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20490" windowHeight="7155" tabRatio="926" activeTab="1"/>
  </bookViews>
  <sheets>
    <sheet name="Objeto" sheetId="1" r:id="rId1"/>
    <sheet name="Resumen" sheetId="42" r:id="rId2"/>
    <sheet name="Contraloría" sheetId="3" r:id="rId3"/>
    <sheet name="INGRESOS" sheetId="12" r:id="rId4"/>
    <sheet name="PROGRAMA" sheetId="41" r:id="rId5"/>
    <sheet name="cuadro asamblea" sheetId="40" r:id="rId6"/>
    <sheet name="Cuadro 1-1-12" sheetId="37" r:id="rId7"/>
    <sheet name="GRAFICA 1" sheetId="35" r:id="rId8"/>
    <sheet name="Cuadro 1-13" sheetId="14" r:id="rId9"/>
    <sheet name="cuadro 2 -13" sheetId="34" r:id="rId10"/>
    <sheet name="cuadr3-13" sheetId="13" r:id="rId11"/>
    <sheet name="Cuadro 3-13" sheetId="36" r:id="rId12"/>
    <sheet name="Cuadro 4-12" sheetId="18" r:id="rId13"/>
    <sheet name="cuadro 5-13" sheetId="38" r:id="rId14"/>
    <sheet name="cuadro 6-13" sheetId="39" r:id="rId15"/>
    <sheet name="cuadro 7-13" sheetId="16" r:id="rId16"/>
    <sheet name="CUADRO 8-13" sheetId="30" r:id="rId17"/>
    <sheet name="ING" sheetId="32" r:id="rId18"/>
    <sheet name="Hoja3" sheetId="33" r:id="rId19"/>
    <sheet name="FLUJO" sheetId="31" r:id="rId20"/>
    <sheet name="Cuadro 1" sheetId="20" r:id="rId21"/>
    <sheet name="CUADRO DE MAT" sheetId="26" r:id="rId22"/>
    <sheet name="Gráfico1" sheetId="21" r:id="rId23"/>
    <sheet name="Gráfico2" sheetId="24" r:id="rId24"/>
    <sheet name="Gráfico3" sheetId="28" r:id="rId25"/>
    <sheet name="COMP ING" sheetId="25" r:id="rId26"/>
    <sheet name="Cuadro 3" sheetId="19" r:id="rId27"/>
    <sheet name="Cuadro 6" sheetId="17" r:id="rId28"/>
    <sheet name="Cuadro 7" sheetId="29" r:id="rId29"/>
    <sheet name="Cuadro 9" sheetId="22" r:id="rId30"/>
  </sheets>
  <externalReferences>
    <externalReference r:id="rId31"/>
    <externalReference r:id="rId32"/>
    <externalReference r:id="rId33"/>
    <externalReference r:id="rId34"/>
  </externalReferences>
  <definedNames>
    <definedName name="_xlnm.Print_Area" localSheetId="2">Contraloría!$A$1:$J$24</definedName>
    <definedName name="_xlnm.Print_Area" localSheetId="3">INGRESOS!$A$1:$AG$53</definedName>
    <definedName name="_xlnm.Print_Area" localSheetId="0">Objeto!$A$1:$JT$871</definedName>
    <definedName name="_xlnm.Print_Area" localSheetId="1">Resumen!$A$1:$K$39</definedName>
    <definedName name="_xlnm.Print_Titles" localSheetId="2">Contraloría!$1:$6</definedName>
    <definedName name="_xlnm.Print_Titles" localSheetId="0">Objeto!$1:$8</definedName>
    <definedName name="_xlnm.Print_Titles" localSheetId="1">Resumen!$1:$5</definedName>
  </definedNames>
  <calcPr calcId="144525" concurrentCalc="0"/>
</workbook>
</file>

<file path=xl/calcChain.xml><?xml version="1.0" encoding="utf-8"?>
<calcChain xmlns="http://schemas.openxmlformats.org/spreadsheetml/2006/main">
  <c r="HZ547" i="1" l="1"/>
  <c r="HZ524" i="1"/>
  <c r="HZ522" i="1"/>
  <c r="HZ518" i="1"/>
  <c r="HZ498" i="1"/>
  <c r="HZ480" i="1"/>
  <c r="HZ470" i="1"/>
  <c r="HZ453" i="1"/>
  <c r="HZ440" i="1"/>
  <c r="HZ425" i="1"/>
  <c r="HZ414" i="1"/>
  <c r="HZ413" i="1"/>
  <c r="HZ409" i="1"/>
  <c r="HZ395" i="1"/>
  <c r="HZ626" i="1"/>
  <c r="HZ371" i="1"/>
  <c r="HZ536" i="1"/>
  <c r="HZ520" i="1"/>
  <c r="IA792" i="1"/>
  <c r="IA770" i="1"/>
  <c r="IA866" i="1"/>
  <c r="IA774" i="1"/>
  <c r="IA703" i="1"/>
  <c r="IA686" i="1"/>
  <c r="IA582" i="1"/>
  <c r="AC66" i="12"/>
  <c r="IA641" i="1"/>
  <c r="IA639" i="1"/>
  <c r="IA638" i="1"/>
  <c r="IA635" i="1"/>
  <c r="IA596" i="1"/>
  <c r="IA588" i="1"/>
  <c r="IA587" i="1"/>
  <c r="IA586" i="1"/>
  <c r="IA285" i="1"/>
  <c r="IA284" i="1"/>
  <c r="IA283" i="1"/>
  <c r="IA281" i="1"/>
  <c r="IA280" i="1"/>
  <c r="IA263" i="1"/>
  <c r="IA255" i="1"/>
  <c r="IA253" i="1"/>
  <c r="IA252" i="1"/>
  <c r="IA247" i="1"/>
  <c r="JJ769" i="1"/>
  <c r="JJ795" i="1"/>
  <c r="JJ794" i="1"/>
  <c r="JJ793" i="1"/>
  <c r="JJ791" i="1"/>
  <c r="JJ773" i="1"/>
  <c r="JJ772" i="1"/>
  <c r="JJ771" i="1"/>
  <c r="JJ761" i="1"/>
  <c r="JJ754" i="1"/>
  <c r="JJ672" i="1"/>
  <c r="JJ649" i="1"/>
  <c r="JJ648" i="1"/>
  <c r="JJ647" i="1"/>
  <c r="JJ646" i="1"/>
  <c r="JJ641" i="1"/>
  <c r="JJ638" i="1"/>
  <c r="JJ635" i="1"/>
  <c r="JJ623" i="1"/>
  <c r="JJ614" i="1"/>
  <c r="JJ601" i="1"/>
  <c r="JJ598" i="1"/>
  <c r="JJ596" i="1"/>
  <c r="JJ595" i="1"/>
  <c r="JJ594" i="1"/>
  <c r="JJ593" i="1"/>
  <c r="JJ588" i="1"/>
  <c r="JJ587" i="1"/>
  <c r="JJ586" i="1"/>
  <c r="JJ582" i="1"/>
  <c r="JJ561" i="1"/>
  <c r="JJ552" i="1"/>
  <c r="JJ547" i="1"/>
  <c r="JJ544" i="1"/>
  <c r="JJ536" i="1"/>
  <c r="JJ524" i="1"/>
  <c r="JJ522" i="1"/>
  <c r="JJ520" i="1"/>
  <c r="JJ510" i="1"/>
  <c r="JJ498" i="1"/>
  <c r="JJ496" i="1"/>
  <c r="JJ493" i="1"/>
  <c r="JJ486" i="1"/>
  <c r="JJ480" i="1"/>
  <c r="JJ470" i="1"/>
  <c r="JJ467" i="1"/>
  <c r="JJ462" i="1"/>
  <c r="JJ460" i="1"/>
  <c r="JJ456" i="1"/>
  <c r="JJ455" i="1"/>
  <c r="JJ454" i="1"/>
  <c r="JJ453" i="1"/>
  <c r="JJ452" i="1"/>
  <c r="JJ448" i="1"/>
  <c r="JJ441" i="1"/>
  <c r="JJ440" i="1"/>
  <c r="JJ425" i="1"/>
  <c r="JJ414" i="1"/>
  <c r="JJ409" i="1"/>
  <c r="JJ408" i="1"/>
  <c r="JJ407" i="1"/>
  <c r="JJ404" i="1"/>
  <c r="JJ403" i="1"/>
  <c r="JJ402" i="1"/>
  <c r="JJ399" i="1"/>
  <c r="JJ395" i="1"/>
  <c r="JJ384" i="1"/>
  <c r="JJ369" i="1"/>
  <c r="JJ351" i="1"/>
  <c r="JL294" i="1"/>
  <c r="JL289" i="1"/>
  <c r="JK294" i="1"/>
  <c r="JJ294" i="1"/>
  <c r="JK295" i="1"/>
  <c r="JL295" i="1"/>
  <c r="JL290" i="1"/>
  <c r="JK290" i="1"/>
  <c r="JK289" i="1"/>
  <c r="JJ289" i="1"/>
  <c r="JJ286" i="1"/>
  <c r="JJ284" i="1"/>
  <c r="JJ283" i="1"/>
  <c r="JJ281" i="1"/>
  <c r="JJ280" i="1"/>
  <c r="JJ268" i="1"/>
  <c r="JJ263" i="1"/>
  <c r="JJ262" i="1"/>
  <c r="JJ261" i="1"/>
  <c r="JJ260" i="1"/>
  <c r="JJ255" i="1"/>
  <c r="JJ253" i="1"/>
  <c r="JJ252" i="1"/>
  <c r="JJ247" i="1"/>
  <c r="GP756" i="1"/>
  <c r="GQ756" i="1"/>
  <c r="HG756" i="1"/>
  <c r="JX756" i="1"/>
  <c r="JY756" i="1"/>
  <c r="JZ756" i="1"/>
  <c r="KA756" i="1"/>
  <c r="KB756" i="1"/>
  <c r="KC756" i="1"/>
  <c r="HA756" i="1"/>
  <c r="HD756" i="1"/>
  <c r="GS756" i="1"/>
  <c r="IF756" i="1"/>
  <c r="JT756" i="1"/>
  <c r="JS756" i="1"/>
  <c r="JQ756" i="1"/>
  <c r="JR756" i="1"/>
  <c r="JN756" i="1"/>
  <c r="JO756" i="1"/>
  <c r="JK756" i="1"/>
  <c r="JL756" i="1"/>
  <c r="JH756" i="1"/>
  <c r="JI756" i="1"/>
  <c r="JE756" i="1"/>
  <c r="JF756" i="1"/>
  <c r="JB756" i="1"/>
  <c r="JC756" i="1"/>
  <c r="IY756" i="1"/>
  <c r="IZ756" i="1"/>
  <c r="IV756" i="1"/>
  <c r="IW756" i="1"/>
  <c r="IS756" i="1"/>
  <c r="IT756" i="1"/>
  <c r="IP756" i="1"/>
  <c r="IQ756" i="1"/>
  <c r="IM756" i="1"/>
  <c r="IN756" i="1"/>
  <c r="IJ756" i="1"/>
  <c r="IK756" i="1"/>
  <c r="IH756" i="1"/>
  <c r="IG756" i="1"/>
  <c r="GT756" i="1"/>
  <c r="GR756" i="1"/>
  <c r="AC65" i="12"/>
  <c r="S18" i="12"/>
  <c r="AG18" i="12"/>
  <c r="AF18" i="12"/>
  <c r="F24" i="12"/>
  <c r="F19" i="12"/>
  <c r="F18" i="12"/>
  <c r="GP758" i="1"/>
  <c r="GQ758" i="1"/>
  <c r="HG758" i="1"/>
  <c r="JX758" i="1"/>
  <c r="JY758" i="1"/>
  <c r="JZ758" i="1"/>
  <c r="KA758" i="1"/>
  <c r="KB758" i="1"/>
  <c r="KC758" i="1"/>
  <c r="HA758" i="1"/>
  <c r="HD758" i="1"/>
  <c r="GS758" i="1"/>
  <c r="IF758" i="1"/>
  <c r="JT758" i="1"/>
  <c r="JS758" i="1"/>
  <c r="JQ758" i="1"/>
  <c r="JR758" i="1"/>
  <c r="JN758" i="1"/>
  <c r="JO758" i="1"/>
  <c r="JK758" i="1"/>
  <c r="JL758" i="1"/>
  <c r="JH758" i="1"/>
  <c r="JI758" i="1"/>
  <c r="JE758" i="1"/>
  <c r="JF758" i="1"/>
  <c r="JB758" i="1"/>
  <c r="JC758" i="1"/>
  <c r="IY758" i="1"/>
  <c r="IZ758" i="1"/>
  <c r="IV758" i="1"/>
  <c r="IW758" i="1"/>
  <c r="IS758" i="1"/>
  <c r="IT758" i="1"/>
  <c r="IP758" i="1"/>
  <c r="IQ758" i="1"/>
  <c r="IM758" i="1"/>
  <c r="IN758" i="1"/>
  <c r="IJ758" i="1"/>
  <c r="IK758" i="1"/>
  <c r="IH758" i="1"/>
  <c r="IG758" i="1"/>
  <c r="GT758" i="1"/>
  <c r="GR758" i="1"/>
  <c r="HD649" i="1"/>
  <c r="HE649" i="1"/>
  <c r="HD596" i="1"/>
  <c r="HE596" i="1"/>
  <c r="HD263" i="1"/>
  <c r="HE263" i="1"/>
  <c r="GP376" i="1"/>
  <c r="GP40" i="1"/>
  <c r="C40" i="1"/>
  <c r="JY547" i="1"/>
  <c r="JY352" i="1"/>
  <c r="JY216" i="1"/>
  <c r="GP547" i="1"/>
  <c r="JZ547" i="1"/>
  <c r="JZ216" i="1"/>
  <c r="GQ547" i="1"/>
  <c r="KA547" i="1"/>
  <c r="KA216" i="1"/>
  <c r="JX547" i="1"/>
  <c r="KB547" i="1"/>
  <c r="JX352" i="1"/>
  <c r="KB352" i="1"/>
  <c r="KB216" i="1"/>
  <c r="JX216" i="1"/>
  <c r="GS547" i="1"/>
  <c r="GS216" i="1"/>
  <c r="GT547" i="1"/>
  <c r="GT216" i="1"/>
  <c r="GU216" i="1"/>
  <c r="GV216" i="1"/>
  <c r="GW216" i="1"/>
  <c r="GX216" i="1"/>
  <c r="GY216" i="1"/>
  <c r="GZ216" i="1"/>
  <c r="HA216" i="1"/>
  <c r="HB216" i="1"/>
  <c r="HC216" i="1"/>
  <c r="HD216" i="1"/>
  <c r="HE216" i="1"/>
  <c r="HF216" i="1"/>
  <c r="HG547" i="1"/>
  <c r="HG216" i="1"/>
  <c r="HH216" i="1"/>
  <c r="HI216" i="1"/>
  <c r="HJ216" i="1"/>
  <c r="HK216" i="1"/>
  <c r="HL216" i="1"/>
  <c r="HM216" i="1"/>
  <c r="HN216" i="1"/>
  <c r="HO216" i="1"/>
  <c r="HP216" i="1"/>
  <c r="HQ216" i="1"/>
  <c r="HR216" i="1"/>
  <c r="HS216" i="1"/>
  <c r="HT216" i="1"/>
  <c r="HU216" i="1"/>
  <c r="HV216" i="1"/>
  <c r="HW216" i="1"/>
  <c r="HX216" i="1"/>
  <c r="HY216" i="1"/>
  <c r="HZ216" i="1"/>
  <c r="IA216" i="1"/>
  <c r="IB216" i="1"/>
  <c r="IC216" i="1"/>
  <c r="ID216" i="1"/>
  <c r="IE216" i="1"/>
  <c r="IF547" i="1"/>
  <c r="IF352" i="1"/>
  <c r="IF216" i="1"/>
  <c r="IJ547" i="1"/>
  <c r="IM547" i="1"/>
  <c r="IP547" i="1"/>
  <c r="IS547" i="1"/>
  <c r="IV547" i="1"/>
  <c r="IY547" i="1"/>
  <c r="JB547" i="1"/>
  <c r="JE547" i="1"/>
  <c r="JH547" i="1"/>
  <c r="JK547" i="1"/>
  <c r="JN547" i="1"/>
  <c r="IG547" i="1"/>
  <c r="IG352" i="1"/>
  <c r="IG216" i="1"/>
  <c r="IK547" i="1"/>
  <c r="IN547" i="1"/>
  <c r="IQ547" i="1"/>
  <c r="IT547" i="1"/>
  <c r="IW547" i="1"/>
  <c r="IZ547" i="1"/>
  <c r="JC547" i="1"/>
  <c r="JF547" i="1"/>
  <c r="JI547" i="1"/>
  <c r="JL547" i="1"/>
  <c r="JO547" i="1"/>
  <c r="IH547" i="1"/>
  <c r="IH352" i="1"/>
  <c r="IH216" i="1"/>
  <c r="II216" i="1"/>
  <c r="IJ216" i="1"/>
  <c r="IK216" i="1"/>
  <c r="IL216" i="1"/>
  <c r="IM216" i="1"/>
  <c r="IN216" i="1"/>
  <c r="IO216" i="1"/>
  <c r="IP216" i="1"/>
  <c r="IQ216" i="1"/>
  <c r="IR216" i="1"/>
  <c r="IS216" i="1"/>
  <c r="IT216" i="1"/>
  <c r="IU216" i="1"/>
  <c r="IV216" i="1"/>
  <c r="IW216" i="1"/>
  <c r="IX216" i="1"/>
  <c r="IY216" i="1"/>
  <c r="IZ216" i="1"/>
  <c r="JA216" i="1"/>
  <c r="JB216" i="1"/>
  <c r="JC216" i="1"/>
  <c r="JD216" i="1"/>
  <c r="JE216" i="1"/>
  <c r="JF216" i="1"/>
  <c r="JG216" i="1"/>
  <c r="JH216" i="1"/>
  <c r="JI216" i="1"/>
  <c r="JJ216" i="1"/>
  <c r="JK216" i="1"/>
  <c r="JL216" i="1"/>
  <c r="JM216" i="1"/>
  <c r="JN216" i="1"/>
  <c r="JO216" i="1"/>
  <c r="JP216" i="1"/>
  <c r="JQ216" i="1"/>
  <c r="JR216" i="1"/>
  <c r="JS547" i="1"/>
  <c r="JS352" i="1"/>
  <c r="JS216" i="1"/>
  <c r="JT547" i="1"/>
  <c r="JT352" i="1"/>
  <c r="JT216" i="1"/>
  <c r="GR547" i="1"/>
  <c r="GR216" i="1"/>
  <c r="GQ216" i="1"/>
  <c r="GP216" i="1"/>
  <c r="GO216" i="1"/>
  <c r="GN216" i="1"/>
  <c r="GM216" i="1"/>
  <c r="GL216" i="1"/>
  <c r="GK216" i="1"/>
  <c r="GJ216" i="1"/>
  <c r="GI216" i="1"/>
  <c r="GH216" i="1"/>
  <c r="GG216" i="1"/>
  <c r="GF216" i="1"/>
  <c r="GE216" i="1"/>
  <c r="GD216" i="1"/>
  <c r="GC216" i="1"/>
  <c r="GB216" i="1"/>
  <c r="GA216" i="1"/>
  <c r="FZ216" i="1"/>
  <c r="FY216" i="1"/>
  <c r="FX216" i="1"/>
  <c r="FW216" i="1"/>
  <c r="FV216" i="1"/>
  <c r="FU216" i="1"/>
  <c r="FT216" i="1"/>
  <c r="FS216" i="1"/>
  <c r="FR216" i="1"/>
  <c r="FQ216" i="1"/>
  <c r="FP216" i="1"/>
  <c r="FO216" i="1"/>
  <c r="FN216" i="1"/>
  <c r="FM216" i="1"/>
  <c r="FL216" i="1"/>
  <c r="FK216" i="1"/>
  <c r="FJ216" i="1"/>
  <c r="FI216" i="1"/>
  <c r="FH216" i="1"/>
  <c r="C216" i="1"/>
  <c r="JX350" i="1"/>
  <c r="JY350" i="1"/>
  <c r="JZ350" i="1"/>
  <c r="KA350" i="1"/>
  <c r="KB350" i="1"/>
  <c r="JX351" i="1"/>
  <c r="JY351" i="1"/>
  <c r="JZ351" i="1"/>
  <c r="KA351" i="1"/>
  <c r="KB351" i="1"/>
  <c r="KB349" i="1"/>
  <c r="JZ349" i="1"/>
  <c r="JY349" i="1"/>
  <c r="KA349" i="1"/>
  <c r="JX349" i="1"/>
  <c r="JZ352" i="1"/>
  <c r="KA352" i="1"/>
  <c r="KC352" i="1"/>
  <c r="GS349" i="1"/>
  <c r="GT349" i="1"/>
  <c r="GU349" i="1"/>
  <c r="GV349" i="1"/>
  <c r="GW349" i="1"/>
  <c r="GX349" i="1"/>
  <c r="GY349" i="1"/>
  <c r="GZ349" i="1"/>
  <c r="HA349" i="1"/>
  <c r="HB349" i="1"/>
  <c r="HC349" i="1"/>
  <c r="HD349" i="1"/>
  <c r="HE349" i="1"/>
  <c r="HF349" i="1"/>
  <c r="HG349" i="1"/>
  <c r="HH349" i="1"/>
  <c r="HI349" i="1"/>
  <c r="HJ349" i="1"/>
  <c r="HK349" i="1"/>
  <c r="HL349" i="1"/>
  <c r="HM349" i="1"/>
  <c r="HN349" i="1"/>
  <c r="HO349" i="1"/>
  <c r="HP349" i="1"/>
  <c r="HQ349" i="1"/>
  <c r="HR349" i="1"/>
  <c r="HS349" i="1"/>
  <c r="HT349" i="1"/>
  <c r="HU349" i="1"/>
  <c r="HV349" i="1"/>
  <c r="HW349" i="1"/>
  <c r="HX349" i="1"/>
  <c r="HY349" i="1"/>
  <c r="HZ349" i="1"/>
  <c r="IA349" i="1"/>
  <c r="IB349" i="1"/>
  <c r="IC349" i="1"/>
  <c r="ID349" i="1"/>
  <c r="IE349" i="1"/>
  <c r="IF350" i="1"/>
  <c r="IF351" i="1"/>
  <c r="IF349" i="1"/>
  <c r="IG350" i="1"/>
  <c r="JK351" i="1"/>
  <c r="IG351" i="1"/>
  <c r="IG349" i="1"/>
  <c r="IH350" i="1"/>
  <c r="JL351" i="1"/>
  <c r="IH351" i="1"/>
  <c r="IH349" i="1"/>
  <c r="II349" i="1"/>
  <c r="IJ349" i="1"/>
  <c r="IK349" i="1"/>
  <c r="IL349" i="1"/>
  <c r="IM349" i="1"/>
  <c r="IN349" i="1"/>
  <c r="IO349" i="1"/>
  <c r="IP349" i="1"/>
  <c r="IQ349" i="1"/>
  <c r="IR349" i="1"/>
  <c r="IS349" i="1"/>
  <c r="IT349" i="1"/>
  <c r="IU349" i="1"/>
  <c r="IV349" i="1"/>
  <c r="IW349" i="1"/>
  <c r="IX349" i="1"/>
  <c r="IY349" i="1"/>
  <c r="IZ349" i="1"/>
  <c r="JA349" i="1"/>
  <c r="JB349" i="1"/>
  <c r="JC349" i="1"/>
  <c r="JD349" i="1"/>
  <c r="JE349" i="1"/>
  <c r="JF349" i="1"/>
  <c r="JG349" i="1"/>
  <c r="JH349" i="1"/>
  <c r="JI349" i="1"/>
  <c r="JJ349" i="1"/>
  <c r="JK349" i="1"/>
  <c r="JL349" i="1"/>
  <c r="JM349" i="1"/>
  <c r="JN349" i="1"/>
  <c r="JO349" i="1"/>
  <c r="JP349" i="1"/>
  <c r="JQ349" i="1"/>
  <c r="JR349" i="1"/>
  <c r="JS350" i="1"/>
  <c r="JS351" i="1"/>
  <c r="JS349" i="1"/>
  <c r="JT350" i="1"/>
  <c r="JT351" i="1"/>
  <c r="JT349" i="1"/>
  <c r="GR349" i="1"/>
  <c r="HG352" i="1"/>
  <c r="GS352" i="1"/>
  <c r="GR352" i="1"/>
  <c r="GQ349" i="1"/>
  <c r="GP349" i="1"/>
  <c r="GQ352" i="1"/>
  <c r="GP352" i="1"/>
  <c r="GO349" i="1"/>
  <c r="GN349" i="1"/>
  <c r="GM349" i="1"/>
  <c r="GL349" i="1"/>
  <c r="GK349" i="1"/>
  <c r="GJ349" i="1"/>
  <c r="GI349" i="1"/>
  <c r="GH349" i="1"/>
  <c r="GG349" i="1"/>
  <c r="GF349" i="1"/>
  <c r="GE349" i="1"/>
  <c r="GD349" i="1"/>
  <c r="GC349" i="1"/>
  <c r="GB349" i="1"/>
  <c r="GA349" i="1"/>
  <c r="FZ349" i="1"/>
  <c r="FY349" i="1"/>
  <c r="FX349" i="1"/>
  <c r="FW349" i="1"/>
  <c r="FV349" i="1"/>
  <c r="FU349" i="1"/>
  <c r="FT349" i="1"/>
  <c r="FS349" i="1"/>
  <c r="FR349" i="1"/>
  <c r="FQ349" i="1"/>
  <c r="FP349" i="1"/>
  <c r="FO349" i="1"/>
  <c r="FN349" i="1"/>
  <c r="FM349" i="1"/>
  <c r="FL349" i="1"/>
  <c r="FK349" i="1"/>
  <c r="FJ349" i="1"/>
  <c r="FI349" i="1"/>
  <c r="FH349" i="1"/>
  <c r="C349" i="1"/>
  <c r="AF58" i="12"/>
  <c r="AF53" i="12"/>
  <c r="AF46" i="12"/>
  <c r="AF42" i="12"/>
  <c r="AF41" i="12"/>
  <c r="AF36" i="12"/>
  <c r="AF35" i="12"/>
  <c r="AF32" i="12"/>
  <c r="AF31" i="12"/>
  <c r="AF30" i="12"/>
  <c r="AF26" i="12"/>
  <c r="AF24" i="12"/>
  <c r="AF19" i="12"/>
  <c r="F58" i="12"/>
  <c r="F53" i="12"/>
  <c r="F46" i="12"/>
  <c r="F42" i="12"/>
  <c r="F41" i="12"/>
  <c r="F36" i="12"/>
  <c r="F35" i="12"/>
  <c r="F32" i="12"/>
  <c r="F31" i="12"/>
  <c r="F30" i="12"/>
  <c r="F26" i="12"/>
  <c r="GQ869" i="1"/>
  <c r="GS869" i="1"/>
  <c r="GQ866" i="1"/>
  <c r="GS866" i="1"/>
  <c r="GS865" i="1"/>
  <c r="GS864" i="1"/>
  <c r="GS861" i="1"/>
  <c r="GS858" i="1"/>
  <c r="GS853" i="1"/>
  <c r="GS852" i="1"/>
  <c r="GS851" i="1"/>
  <c r="GS850" i="1"/>
  <c r="GS849" i="1"/>
  <c r="GS848" i="1"/>
  <c r="GS847" i="1"/>
  <c r="GS846" i="1"/>
  <c r="GS843" i="1"/>
  <c r="GS840" i="1"/>
  <c r="GQ839" i="1"/>
  <c r="GS839" i="1"/>
  <c r="GS838" i="1"/>
  <c r="GS837" i="1"/>
  <c r="GS836" i="1"/>
  <c r="GS835" i="1"/>
  <c r="GS834" i="1"/>
  <c r="GS833" i="1"/>
  <c r="GS832" i="1"/>
  <c r="GS831" i="1"/>
  <c r="GS830" i="1"/>
  <c r="GS829" i="1"/>
  <c r="GS828" i="1"/>
  <c r="GS823" i="1"/>
  <c r="GS822" i="1"/>
  <c r="GS821" i="1"/>
  <c r="GS820" i="1"/>
  <c r="GS819" i="1"/>
  <c r="GS818" i="1"/>
  <c r="GS817" i="1"/>
  <c r="GS816" i="1"/>
  <c r="GS815" i="1"/>
  <c r="GS814" i="1"/>
  <c r="GS813" i="1"/>
  <c r="GS812" i="1"/>
  <c r="GS811" i="1"/>
  <c r="GS810" i="1"/>
  <c r="GS809" i="1"/>
  <c r="GS808" i="1"/>
  <c r="GS807" i="1"/>
  <c r="GS806" i="1"/>
  <c r="GS805" i="1"/>
  <c r="GS804" i="1"/>
  <c r="GS803" i="1"/>
  <c r="GS802" i="1"/>
  <c r="GS801" i="1"/>
  <c r="GS800" i="1"/>
  <c r="GS799" i="1"/>
  <c r="GS798" i="1"/>
  <c r="GQ797" i="1"/>
  <c r="GS797" i="1"/>
  <c r="GS796" i="1"/>
  <c r="GS795" i="1"/>
  <c r="GS794" i="1"/>
  <c r="GS793" i="1"/>
  <c r="GS792" i="1"/>
  <c r="GS791" i="1"/>
  <c r="GS788" i="1"/>
  <c r="GS787" i="1"/>
  <c r="GS786" i="1"/>
  <c r="GS785" i="1"/>
  <c r="GS784" i="1"/>
  <c r="GS781" i="1"/>
  <c r="GS780" i="1"/>
  <c r="GS779" i="1"/>
  <c r="GS778" i="1"/>
  <c r="GS777" i="1"/>
  <c r="GQ776" i="1"/>
  <c r="GS776" i="1"/>
  <c r="GS775" i="1"/>
  <c r="GS774" i="1"/>
  <c r="GS773" i="1"/>
  <c r="GS772" i="1"/>
  <c r="GS771" i="1"/>
  <c r="GS770" i="1"/>
  <c r="GS769" i="1"/>
  <c r="HA762" i="1"/>
  <c r="HD762" i="1"/>
  <c r="GP762" i="1"/>
  <c r="GQ762" i="1"/>
  <c r="GS762" i="1"/>
  <c r="HA761" i="1"/>
  <c r="HD761" i="1"/>
  <c r="GP761" i="1"/>
  <c r="GQ761" i="1"/>
  <c r="GS761" i="1"/>
  <c r="HA760" i="1"/>
  <c r="HD760" i="1"/>
  <c r="GP760" i="1"/>
  <c r="GQ760" i="1"/>
  <c r="GS760" i="1"/>
  <c r="HA759" i="1"/>
  <c r="HD759" i="1"/>
  <c r="GP759" i="1"/>
  <c r="GS759" i="1"/>
  <c r="GP757" i="1"/>
  <c r="HA757" i="1"/>
  <c r="HD757" i="1"/>
  <c r="GQ757" i="1"/>
  <c r="GS757" i="1"/>
  <c r="HA755" i="1"/>
  <c r="HD755" i="1"/>
  <c r="GP755" i="1"/>
  <c r="GQ755" i="1"/>
  <c r="GS755" i="1"/>
  <c r="GQ754" i="1"/>
  <c r="HA754" i="1"/>
  <c r="HD754" i="1"/>
  <c r="GP754" i="1"/>
  <c r="GS754" i="1"/>
  <c r="HA753" i="1"/>
  <c r="HD753" i="1"/>
  <c r="GP753" i="1"/>
  <c r="GQ753" i="1"/>
  <c r="GS753" i="1"/>
  <c r="GQ752" i="1"/>
  <c r="HA752" i="1"/>
  <c r="HD752" i="1"/>
  <c r="GS752" i="1"/>
  <c r="HA751" i="1"/>
  <c r="HD751" i="1"/>
  <c r="GP751" i="1"/>
  <c r="GQ751" i="1"/>
  <c r="GS751" i="1"/>
  <c r="GP746" i="1"/>
  <c r="GQ746" i="1"/>
  <c r="GS746" i="1"/>
  <c r="GP740" i="1"/>
  <c r="GQ740" i="1"/>
  <c r="GS740" i="1"/>
  <c r="GP736" i="1"/>
  <c r="GQ736" i="1"/>
  <c r="GS736" i="1"/>
  <c r="GP735" i="1"/>
  <c r="GQ735" i="1"/>
  <c r="GS735" i="1"/>
  <c r="GP734" i="1"/>
  <c r="GQ734" i="1"/>
  <c r="GS734" i="1"/>
  <c r="GS719" i="1"/>
  <c r="GQ716" i="1"/>
  <c r="GP716" i="1"/>
  <c r="GS716" i="1"/>
  <c r="GP715" i="1"/>
  <c r="GQ715" i="1"/>
  <c r="GS715" i="1"/>
  <c r="GP714" i="1"/>
  <c r="GQ714" i="1"/>
  <c r="GS714" i="1"/>
  <c r="GP713" i="1"/>
  <c r="GQ713" i="1"/>
  <c r="GS713" i="1"/>
  <c r="GS709" i="1"/>
  <c r="GS706" i="1"/>
  <c r="GQ703" i="1"/>
  <c r="GS703" i="1"/>
  <c r="GS700" i="1"/>
  <c r="GS694" i="1"/>
  <c r="GS689" i="1"/>
  <c r="GS686" i="1"/>
  <c r="GS682" i="1"/>
  <c r="GP679" i="1"/>
  <c r="GQ679" i="1"/>
  <c r="GS679" i="1"/>
  <c r="GP678" i="1"/>
  <c r="GQ678" i="1"/>
  <c r="GS678" i="1"/>
  <c r="GQ677" i="1"/>
  <c r="GP677" i="1"/>
  <c r="GS677" i="1"/>
  <c r="GP676" i="1"/>
  <c r="GQ676" i="1"/>
  <c r="GS676" i="1"/>
  <c r="GP675" i="1"/>
  <c r="GQ675" i="1"/>
  <c r="GS675" i="1"/>
  <c r="GP674" i="1"/>
  <c r="GQ674" i="1"/>
  <c r="GS674" i="1"/>
  <c r="GP673" i="1"/>
  <c r="GQ673" i="1"/>
  <c r="GS673" i="1"/>
  <c r="GP672" i="1"/>
  <c r="GQ672" i="1"/>
  <c r="GS672" i="1"/>
  <c r="GP671" i="1"/>
  <c r="GQ671" i="1"/>
  <c r="GS671" i="1"/>
  <c r="GQ670" i="1"/>
  <c r="GS670" i="1"/>
  <c r="GS667" i="1"/>
  <c r="GP649" i="1"/>
  <c r="GQ649" i="1"/>
  <c r="GS649" i="1"/>
  <c r="GP648" i="1"/>
  <c r="GQ648" i="1"/>
  <c r="GS648" i="1"/>
  <c r="GP647" i="1"/>
  <c r="GQ647" i="1"/>
  <c r="GS647" i="1"/>
  <c r="GP646" i="1"/>
  <c r="GQ646" i="1"/>
  <c r="GS646" i="1"/>
  <c r="GS643" i="1"/>
  <c r="GS641" i="1"/>
  <c r="GP639" i="1"/>
  <c r="GQ639" i="1"/>
  <c r="GS639" i="1"/>
  <c r="GP638" i="1"/>
  <c r="GQ638" i="1"/>
  <c r="GS638" i="1"/>
  <c r="GS635" i="1"/>
  <c r="GP626" i="1"/>
  <c r="GS626" i="1"/>
  <c r="GS623" i="1"/>
  <c r="GS614" i="1"/>
  <c r="GP601" i="1"/>
  <c r="GS601" i="1"/>
  <c r="GP598" i="1"/>
  <c r="GS598" i="1"/>
  <c r="GP596" i="1"/>
  <c r="GQ596" i="1"/>
  <c r="GS596" i="1"/>
  <c r="GP595" i="1"/>
  <c r="GQ595" i="1"/>
  <c r="GS595" i="1"/>
  <c r="GP594" i="1"/>
  <c r="GQ594" i="1"/>
  <c r="GS594" i="1"/>
  <c r="GP593" i="1"/>
  <c r="GQ593" i="1"/>
  <c r="GS593" i="1"/>
  <c r="GQ590" i="1"/>
  <c r="GS590" i="1"/>
  <c r="GP588" i="1"/>
  <c r="GQ588" i="1"/>
  <c r="GS588" i="1"/>
  <c r="GP587" i="1"/>
  <c r="GQ587" i="1"/>
  <c r="GS587" i="1"/>
  <c r="GP586" i="1"/>
  <c r="GQ586" i="1"/>
  <c r="GS586" i="1"/>
  <c r="GQ582" i="1"/>
  <c r="GS582" i="1"/>
  <c r="GS561" i="1"/>
  <c r="GP553" i="1"/>
  <c r="GQ553" i="1"/>
  <c r="GS553" i="1"/>
  <c r="GP552" i="1"/>
  <c r="GQ552" i="1"/>
  <c r="GS552" i="1"/>
  <c r="GP546" i="1"/>
  <c r="GQ546" i="1"/>
  <c r="GS546" i="1"/>
  <c r="GP545" i="1"/>
  <c r="GQ545" i="1"/>
  <c r="GS545" i="1"/>
  <c r="GP544" i="1"/>
  <c r="GQ544" i="1"/>
  <c r="GS544" i="1"/>
  <c r="GS539" i="1"/>
  <c r="GQ536" i="1"/>
  <c r="GS536" i="1"/>
  <c r="GQ524" i="1"/>
  <c r="GP524" i="1"/>
  <c r="GS524" i="1"/>
  <c r="GQ522" i="1"/>
  <c r="GP522" i="1"/>
  <c r="GS522" i="1"/>
  <c r="GQ520" i="1"/>
  <c r="GS520" i="1"/>
  <c r="GS518" i="1"/>
  <c r="GQ514" i="1"/>
  <c r="GS514" i="1"/>
  <c r="GS512" i="1"/>
  <c r="GQ510" i="1"/>
  <c r="GP510" i="1"/>
  <c r="GS510" i="1"/>
  <c r="GP498" i="1"/>
  <c r="GS498" i="1"/>
  <c r="GP496" i="1"/>
  <c r="GQ496" i="1"/>
  <c r="GS496" i="1"/>
  <c r="GP495" i="1"/>
  <c r="GQ495" i="1"/>
  <c r="GS495" i="1"/>
  <c r="GP494" i="1"/>
  <c r="GQ494" i="1"/>
  <c r="GS494" i="1"/>
  <c r="GP493" i="1"/>
  <c r="GQ493" i="1"/>
  <c r="GS493" i="1"/>
  <c r="GP492" i="1"/>
  <c r="GQ492" i="1"/>
  <c r="GS492" i="1"/>
  <c r="GP491" i="1"/>
  <c r="GQ491" i="1"/>
  <c r="GS491" i="1"/>
  <c r="GQ490" i="1"/>
  <c r="GP490" i="1"/>
  <c r="GS490" i="1"/>
  <c r="GP489" i="1"/>
  <c r="GQ489" i="1"/>
  <c r="GS489" i="1"/>
  <c r="GQ486" i="1"/>
  <c r="GP486" i="1"/>
  <c r="GS486" i="1"/>
  <c r="GQ485" i="1"/>
  <c r="GP485" i="1"/>
  <c r="GS485" i="1"/>
  <c r="GQ484" i="1"/>
  <c r="GP484" i="1"/>
  <c r="GS484" i="1"/>
  <c r="GP480" i="1"/>
  <c r="GQ480" i="1"/>
  <c r="GS480" i="1"/>
  <c r="GP479" i="1"/>
  <c r="GQ479" i="1"/>
  <c r="GS479" i="1"/>
  <c r="GQ478" i="1"/>
  <c r="GP478" i="1"/>
  <c r="GS478" i="1"/>
  <c r="GP477" i="1"/>
  <c r="GQ477" i="1"/>
  <c r="GS477" i="1"/>
  <c r="GP476" i="1"/>
  <c r="GQ476" i="1"/>
  <c r="GS476" i="1"/>
  <c r="GP475" i="1"/>
  <c r="GQ475" i="1"/>
  <c r="GS475" i="1"/>
  <c r="GP474" i="1"/>
  <c r="GQ474" i="1"/>
  <c r="GS474" i="1"/>
  <c r="GP470" i="1"/>
  <c r="GQ470" i="1"/>
  <c r="GS470" i="1"/>
  <c r="GP469" i="1"/>
  <c r="GQ469" i="1"/>
  <c r="GS469" i="1"/>
  <c r="GP468" i="1"/>
  <c r="GQ468" i="1"/>
  <c r="GS468" i="1"/>
  <c r="GP467" i="1"/>
  <c r="GQ467" i="1"/>
  <c r="GS467" i="1"/>
  <c r="GS466" i="1"/>
  <c r="GQ465" i="1"/>
  <c r="GS465" i="1"/>
  <c r="GP462" i="1"/>
  <c r="GQ462" i="1"/>
  <c r="GS462" i="1"/>
  <c r="GP461" i="1"/>
  <c r="GQ461" i="1"/>
  <c r="GS461" i="1"/>
  <c r="GQ460" i="1"/>
  <c r="GP460" i="1"/>
  <c r="GS460" i="1"/>
  <c r="GQ459" i="1"/>
  <c r="GP459" i="1"/>
  <c r="GS459" i="1"/>
  <c r="GP456" i="1"/>
  <c r="GQ456" i="1"/>
  <c r="GS456" i="1"/>
  <c r="GP455" i="1"/>
  <c r="GQ455" i="1"/>
  <c r="GS455" i="1"/>
  <c r="GP454" i="1"/>
  <c r="GQ454" i="1"/>
  <c r="GS454" i="1"/>
  <c r="GP453" i="1"/>
  <c r="GQ453" i="1"/>
  <c r="GS453" i="1"/>
  <c r="GP452" i="1"/>
  <c r="GQ452" i="1"/>
  <c r="GS452" i="1"/>
  <c r="GP448" i="1"/>
  <c r="GQ448" i="1"/>
  <c r="GS448" i="1"/>
  <c r="GQ447" i="1"/>
  <c r="GP447" i="1"/>
  <c r="GS447" i="1"/>
  <c r="GQ446" i="1"/>
  <c r="GP446" i="1"/>
  <c r="GS446" i="1"/>
  <c r="GQ445" i="1"/>
  <c r="GP445" i="1"/>
  <c r="GS445" i="1"/>
  <c r="GP441" i="1"/>
  <c r="GQ441" i="1"/>
  <c r="GS441" i="1"/>
  <c r="GP440" i="1"/>
  <c r="GQ440" i="1"/>
  <c r="GS440" i="1"/>
  <c r="GS435" i="1"/>
  <c r="GS434" i="1"/>
  <c r="GS433" i="1"/>
  <c r="GP432" i="1"/>
  <c r="GQ432" i="1"/>
  <c r="GS432" i="1"/>
  <c r="GP431" i="1"/>
  <c r="GQ431" i="1"/>
  <c r="GS431" i="1"/>
  <c r="GP425" i="1"/>
  <c r="GQ425" i="1"/>
  <c r="GS425" i="1"/>
  <c r="GP424" i="1"/>
  <c r="GQ424" i="1"/>
  <c r="GS424" i="1"/>
  <c r="GP423" i="1"/>
  <c r="GQ423" i="1"/>
  <c r="GS423" i="1"/>
  <c r="GP422" i="1"/>
  <c r="GQ422" i="1"/>
  <c r="GS422" i="1"/>
  <c r="GP421" i="1"/>
  <c r="GQ421" i="1"/>
  <c r="GS421" i="1"/>
  <c r="GP420" i="1"/>
  <c r="GQ420" i="1"/>
  <c r="GS420" i="1"/>
  <c r="GP414" i="1"/>
  <c r="GQ414" i="1"/>
  <c r="GS414" i="1"/>
  <c r="GQ413" i="1"/>
  <c r="GP413" i="1"/>
  <c r="GS413" i="1"/>
  <c r="GP409" i="1"/>
  <c r="GQ409" i="1"/>
  <c r="GS409" i="1"/>
  <c r="GP408" i="1"/>
  <c r="GQ408" i="1"/>
  <c r="GS408" i="1"/>
  <c r="GP407" i="1"/>
  <c r="GQ407" i="1"/>
  <c r="GS407" i="1"/>
  <c r="GP404" i="1"/>
  <c r="GQ404" i="1"/>
  <c r="GS404" i="1"/>
  <c r="GQ403" i="1"/>
  <c r="GP403" i="1"/>
  <c r="GS403" i="1"/>
  <c r="GP402" i="1"/>
  <c r="GQ402" i="1"/>
  <c r="GS402" i="1"/>
  <c r="GP399" i="1"/>
  <c r="GQ399" i="1"/>
  <c r="GS399" i="1"/>
  <c r="GP395" i="1"/>
  <c r="GQ395" i="1"/>
  <c r="GS395" i="1"/>
  <c r="GP392" i="1"/>
  <c r="GQ392" i="1"/>
  <c r="GS392" i="1"/>
  <c r="GP391" i="1"/>
  <c r="GQ391" i="1"/>
  <c r="GS391" i="1"/>
  <c r="GP390" i="1"/>
  <c r="GQ390" i="1"/>
  <c r="GS390" i="1"/>
  <c r="GP389" i="1"/>
  <c r="GQ389" i="1"/>
  <c r="GS389" i="1"/>
  <c r="GQ384" i="1"/>
  <c r="GS384" i="1"/>
  <c r="GS376" i="1"/>
  <c r="GS369" i="1"/>
  <c r="GS359" i="1"/>
  <c r="GP351" i="1"/>
  <c r="GQ351" i="1"/>
  <c r="GS351" i="1"/>
  <c r="GS331" i="1"/>
  <c r="GS324" i="1"/>
  <c r="GS295" i="1"/>
  <c r="GS294" i="1"/>
  <c r="GS290" i="1"/>
  <c r="GS289" i="1"/>
  <c r="GS286" i="1"/>
  <c r="GP285" i="1"/>
  <c r="GQ285" i="1"/>
  <c r="GS285" i="1"/>
  <c r="GP284" i="1"/>
  <c r="GQ284" i="1"/>
  <c r="GS284" i="1"/>
  <c r="GP283" i="1"/>
  <c r="GQ283" i="1"/>
  <c r="GS283" i="1"/>
  <c r="GP282" i="1"/>
  <c r="GQ282" i="1"/>
  <c r="GS282" i="1"/>
  <c r="GP281" i="1"/>
  <c r="GQ281" i="1"/>
  <c r="GS281" i="1"/>
  <c r="GP280" i="1"/>
  <c r="GQ280" i="1"/>
  <c r="GS280" i="1"/>
  <c r="GS269" i="1"/>
  <c r="GP268" i="1"/>
  <c r="GS268" i="1"/>
  <c r="GP265" i="1"/>
  <c r="GS265" i="1"/>
  <c r="GP263" i="1"/>
  <c r="GQ263" i="1"/>
  <c r="GS263" i="1"/>
  <c r="GP262" i="1"/>
  <c r="GQ262" i="1"/>
  <c r="GS262" i="1"/>
  <c r="GP261" i="1"/>
  <c r="GQ261" i="1"/>
  <c r="GS261" i="1"/>
  <c r="GP260" i="1"/>
  <c r="GQ260" i="1"/>
  <c r="GS260" i="1"/>
  <c r="GS257" i="1"/>
  <c r="GS255" i="1"/>
  <c r="GP253" i="1"/>
  <c r="GQ253" i="1"/>
  <c r="GS253" i="1"/>
  <c r="GP252" i="1"/>
  <c r="GQ252" i="1"/>
  <c r="GS252" i="1"/>
  <c r="GS248" i="1"/>
  <c r="GQ247" i="1"/>
  <c r="GS247" i="1"/>
  <c r="HX496" i="1"/>
  <c r="HY582" i="1"/>
  <c r="AB65" i="12"/>
  <c r="AB63" i="12"/>
  <c r="HH718" i="1"/>
  <c r="HI718" i="1"/>
  <c r="HJ718" i="1"/>
  <c r="HK718" i="1"/>
  <c r="HL718" i="1"/>
  <c r="HM718" i="1"/>
  <c r="HN718" i="1"/>
  <c r="HO718" i="1"/>
  <c r="HP718" i="1"/>
  <c r="HQ718" i="1"/>
  <c r="HR718" i="1"/>
  <c r="HS718" i="1"/>
  <c r="HT718" i="1"/>
  <c r="HU718" i="1"/>
  <c r="HV718" i="1"/>
  <c r="HW718" i="1"/>
  <c r="HX718" i="1"/>
  <c r="HY718" i="1"/>
  <c r="HZ718" i="1"/>
  <c r="IA718" i="1"/>
  <c r="IB718" i="1"/>
  <c r="IC718" i="1"/>
  <c r="ID718" i="1"/>
  <c r="IE718" i="1"/>
  <c r="HY641" i="1"/>
  <c r="HY639" i="1"/>
  <c r="HY638" i="1"/>
  <c r="HY635" i="1"/>
  <c r="HY596" i="1"/>
  <c r="HY588" i="1"/>
  <c r="HY587" i="1"/>
  <c r="HY586" i="1"/>
  <c r="HY285" i="1"/>
  <c r="HY284" i="1"/>
  <c r="HY283" i="1"/>
  <c r="HY281" i="1"/>
  <c r="HY280" i="1"/>
  <c r="HY263" i="1"/>
  <c r="HY255" i="1"/>
  <c r="HY253" i="1"/>
  <c r="HY252" i="1"/>
  <c r="HY247" i="1"/>
  <c r="GP429" i="1"/>
  <c r="GQ429" i="1"/>
  <c r="GS429" i="1"/>
  <c r="GP430" i="1"/>
  <c r="GQ430" i="1"/>
  <c r="GS430" i="1"/>
  <c r="GS427" i="1"/>
  <c r="JG791" i="1"/>
  <c r="JG769" i="1"/>
  <c r="JG672" i="1"/>
  <c r="JG649" i="1"/>
  <c r="JG648" i="1"/>
  <c r="JG647" i="1"/>
  <c r="JG646" i="1"/>
  <c r="JG638" i="1"/>
  <c r="JG635" i="1"/>
  <c r="JG623" i="1"/>
  <c r="JG614" i="1"/>
  <c r="JG601" i="1"/>
  <c r="JG598" i="1"/>
  <c r="JG596" i="1"/>
  <c r="JG595" i="1"/>
  <c r="JG594" i="1"/>
  <c r="JG593" i="1"/>
  <c r="JG588" i="1"/>
  <c r="JG587" i="1"/>
  <c r="JG586" i="1"/>
  <c r="JG582" i="1"/>
  <c r="JG561" i="1"/>
  <c r="JG553" i="1"/>
  <c r="JG547" i="1"/>
  <c r="JG544" i="1"/>
  <c r="JG536" i="1"/>
  <c r="JG524" i="1"/>
  <c r="JG522" i="1"/>
  <c r="JG520" i="1"/>
  <c r="JG514" i="1"/>
  <c r="JG498" i="1"/>
  <c r="JG496" i="1"/>
  <c r="JG493" i="1"/>
  <c r="JG486" i="1"/>
  <c r="JG485" i="1"/>
  <c r="JG484" i="1"/>
  <c r="JG480" i="1"/>
  <c r="JG477" i="1"/>
  <c r="JG470" i="1"/>
  <c r="JG462" i="1"/>
  <c r="JG460" i="1"/>
  <c r="JG456" i="1"/>
  <c r="JG455" i="1"/>
  <c r="JG453" i="1"/>
  <c r="JG448" i="1"/>
  <c r="JG441" i="1"/>
  <c r="JG440" i="1"/>
  <c r="JG425" i="1"/>
  <c r="JG414" i="1"/>
  <c r="JG409" i="1"/>
  <c r="JG408" i="1"/>
  <c r="JG407" i="1"/>
  <c r="JG404" i="1"/>
  <c r="JG403" i="1"/>
  <c r="JG402" i="1"/>
  <c r="JG399" i="1"/>
  <c r="JG395" i="1"/>
  <c r="JG384" i="1"/>
  <c r="JG369" i="1"/>
  <c r="JG359" i="1"/>
  <c r="JG284" i="1"/>
  <c r="JG283" i="1"/>
  <c r="JG281" i="1"/>
  <c r="JG280" i="1"/>
  <c r="JG268" i="1"/>
  <c r="JG263" i="1"/>
  <c r="JG262" i="1"/>
  <c r="JG261" i="1"/>
  <c r="JG260" i="1"/>
  <c r="JG255" i="1"/>
  <c r="JG253" i="1"/>
  <c r="JG252" i="1"/>
  <c r="JG247" i="1"/>
  <c r="E18" i="12"/>
  <c r="KA866" i="1"/>
  <c r="KA863" i="1"/>
  <c r="JZ863" i="1"/>
  <c r="GU863" i="1"/>
  <c r="GV863" i="1"/>
  <c r="GW863" i="1"/>
  <c r="GX863" i="1"/>
  <c r="GY863" i="1"/>
  <c r="GZ863" i="1"/>
  <c r="HA863" i="1"/>
  <c r="HB863" i="1"/>
  <c r="HC863" i="1"/>
  <c r="HD863" i="1"/>
  <c r="HE863" i="1"/>
  <c r="HF863" i="1"/>
  <c r="HH863" i="1"/>
  <c r="HI863" i="1"/>
  <c r="HJ863" i="1"/>
  <c r="HK863" i="1"/>
  <c r="HL863" i="1"/>
  <c r="HM863" i="1"/>
  <c r="HN863" i="1"/>
  <c r="HO863" i="1"/>
  <c r="HP863" i="1"/>
  <c r="HQ863" i="1"/>
  <c r="HR863" i="1"/>
  <c r="HS863" i="1"/>
  <c r="HT863" i="1"/>
  <c r="HU863" i="1"/>
  <c r="HV863" i="1"/>
  <c r="HW863" i="1"/>
  <c r="HX863" i="1"/>
  <c r="HY863" i="1"/>
  <c r="HZ863" i="1"/>
  <c r="IA863" i="1"/>
  <c r="IB863" i="1"/>
  <c r="IC863" i="1"/>
  <c r="ID863" i="1"/>
  <c r="IE863" i="1"/>
  <c r="IF863" i="1"/>
  <c r="IG863" i="1"/>
  <c r="IH863" i="1"/>
  <c r="II863" i="1"/>
  <c r="IJ863" i="1"/>
  <c r="IK863" i="1"/>
  <c r="IL863" i="1"/>
  <c r="IM863" i="1"/>
  <c r="IN863" i="1"/>
  <c r="IO863" i="1"/>
  <c r="IP863" i="1"/>
  <c r="IQ863" i="1"/>
  <c r="IR863" i="1"/>
  <c r="IS863" i="1"/>
  <c r="IT863" i="1"/>
  <c r="IU863" i="1"/>
  <c r="IV863" i="1"/>
  <c r="IW863" i="1"/>
  <c r="IX863" i="1"/>
  <c r="IY863" i="1"/>
  <c r="IZ863" i="1"/>
  <c r="JA863" i="1"/>
  <c r="JB863" i="1"/>
  <c r="JC863" i="1"/>
  <c r="JD863" i="1"/>
  <c r="JE863" i="1"/>
  <c r="JF863" i="1"/>
  <c r="JG863" i="1"/>
  <c r="JH863" i="1"/>
  <c r="JI863" i="1"/>
  <c r="JJ863" i="1"/>
  <c r="JK863" i="1"/>
  <c r="JL863" i="1"/>
  <c r="JM863" i="1"/>
  <c r="JN863" i="1"/>
  <c r="JO863" i="1"/>
  <c r="JP863" i="1"/>
  <c r="JQ863" i="1"/>
  <c r="JR863" i="1"/>
  <c r="GR866" i="1"/>
  <c r="GR863" i="1"/>
  <c r="GQ863" i="1"/>
  <c r="GP863" i="1"/>
  <c r="GO863" i="1"/>
  <c r="GN863" i="1"/>
  <c r="GM863" i="1"/>
  <c r="GL863" i="1"/>
  <c r="GK863" i="1"/>
  <c r="GJ863" i="1"/>
  <c r="GI863" i="1"/>
  <c r="GH863" i="1"/>
  <c r="GG863" i="1"/>
  <c r="GF863" i="1"/>
  <c r="GE863" i="1"/>
  <c r="GD863" i="1"/>
  <c r="GC863" i="1"/>
  <c r="GB863" i="1"/>
  <c r="GA863" i="1"/>
  <c r="FZ863" i="1"/>
  <c r="FY863" i="1"/>
  <c r="FX863" i="1"/>
  <c r="FW863" i="1"/>
  <c r="FV863" i="1"/>
  <c r="FU863" i="1"/>
  <c r="FT863" i="1"/>
  <c r="FS863" i="1"/>
  <c r="FR863" i="1"/>
  <c r="FQ863" i="1"/>
  <c r="FP863" i="1"/>
  <c r="FO863" i="1"/>
  <c r="FN863" i="1"/>
  <c r="FM863" i="1"/>
  <c r="FL863" i="1"/>
  <c r="FK863" i="1"/>
  <c r="FJ863" i="1"/>
  <c r="FI863" i="1"/>
  <c r="FH863" i="1"/>
  <c r="FG863" i="1"/>
  <c r="FF863" i="1"/>
  <c r="FE863" i="1"/>
  <c r="FD863" i="1"/>
  <c r="FC863" i="1"/>
  <c r="FB863" i="1"/>
  <c r="FA863" i="1"/>
  <c r="EZ863" i="1"/>
  <c r="EY863" i="1"/>
  <c r="EX863" i="1"/>
  <c r="EW863" i="1"/>
  <c r="EV863" i="1"/>
  <c r="EU863" i="1"/>
  <c r="ET863" i="1"/>
  <c r="ES863" i="1"/>
  <c r="ER863" i="1"/>
  <c r="EQ863" i="1"/>
  <c r="EP863" i="1"/>
  <c r="EO863" i="1"/>
  <c r="EN863" i="1"/>
  <c r="EM863" i="1"/>
  <c r="EL863" i="1"/>
  <c r="EK863" i="1"/>
  <c r="EJ863" i="1"/>
  <c r="EI863" i="1"/>
  <c r="EH863" i="1"/>
  <c r="EG863" i="1"/>
  <c r="EF863" i="1"/>
  <c r="EE863" i="1"/>
  <c r="ED863" i="1"/>
  <c r="EC863" i="1"/>
  <c r="EB863" i="1"/>
  <c r="EA863" i="1"/>
  <c r="DZ863" i="1"/>
  <c r="DY863" i="1"/>
  <c r="DX863" i="1"/>
  <c r="JY865" i="1"/>
  <c r="JX865" i="1"/>
  <c r="JQ865" i="1"/>
  <c r="JR865" i="1"/>
  <c r="JN865" i="1"/>
  <c r="JO865" i="1"/>
  <c r="JK865" i="1"/>
  <c r="JL865" i="1"/>
  <c r="JH865" i="1"/>
  <c r="JI865" i="1"/>
  <c r="JE865" i="1"/>
  <c r="JF865" i="1"/>
  <c r="JB865" i="1"/>
  <c r="JC865" i="1"/>
  <c r="IY865" i="1"/>
  <c r="IZ865" i="1"/>
  <c r="IV865" i="1"/>
  <c r="IW865" i="1"/>
  <c r="IS865" i="1"/>
  <c r="IT865" i="1"/>
  <c r="IP865" i="1"/>
  <c r="IQ865" i="1"/>
  <c r="IM865" i="1"/>
  <c r="IN865" i="1"/>
  <c r="IJ865" i="1"/>
  <c r="IK865" i="1"/>
  <c r="IH865" i="1"/>
  <c r="IG865" i="1"/>
  <c r="IF865" i="1"/>
  <c r="HD865" i="1"/>
  <c r="HA865" i="1"/>
  <c r="GQ865" i="1"/>
  <c r="KA865" i="1"/>
  <c r="GP865" i="1"/>
  <c r="JY864" i="1"/>
  <c r="JX864" i="1"/>
  <c r="JQ864" i="1"/>
  <c r="JR864" i="1"/>
  <c r="JO864" i="1"/>
  <c r="JN864" i="1"/>
  <c r="JK864" i="1"/>
  <c r="JL864" i="1"/>
  <c r="JI864" i="1"/>
  <c r="JH864" i="1"/>
  <c r="JE864" i="1"/>
  <c r="JF864" i="1"/>
  <c r="JC864" i="1"/>
  <c r="JB864" i="1"/>
  <c r="IY864" i="1"/>
  <c r="IZ864" i="1"/>
  <c r="IW864" i="1"/>
  <c r="IV864" i="1"/>
  <c r="IS864" i="1"/>
  <c r="IT864" i="1"/>
  <c r="IQ864" i="1"/>
  <c r="IP864" i="1"/>
  <c r="IM864" i="1"/>
  <c r="IN864" i="1"/>
  <c r="IK864" i="1"/>
  <c r="IJ864" i="1"/>
  <c r="IG864" i="1"/>
  <c r="IF864" i="1"/>
  <c r="HD864" i="1"/>
  <c r="HA864" i="1"/>
  <c r="GQ864" i="1"/>
  <c r="KA864" i="1"/>
  <c r="GP864" i="1"/>
  <c r="JZ864" i="1"/>
  <c r="JY761" i="1"/>
  <c r="JX761" i="1"/>
  <c r="JQ761" i="1"/>
  <c r="JR761" i="1"/>
  <c r="JN761" i="1"/>
  <c r="JO761" i="1"/>
  <c r="JK761" i="1"/>
  <c r="JL761" i="1"/>
  <c r="JH761" i="1"/>
  <c r="JI761" i="1"/>
  <c r="JE761" i="1"/>
  <c r="JF761" i="1"/>
  <c r="JB761" i="1"/>
  <c r="JC761" i="1"/>
  <c r="IY761" i="1"/>
  <c r="IZ761" i="1"/>
  <c r="IV761" i="1"/>
  <c r="IW761" i="1"/>
  <c r="IS761" i="1"/>
  <c r="IT761" i="1"/>
  <c r="IP761" i="1"/>
  <c r="IQ761" i="1"/>
  <c r="IM761" i="1"/>
  <c r="IN761" i="1"/>
  <c r="IJ761" i="1"/>
  <c r="IK761" i="1"/>
  <c r="IG761" i="1"/>
  <c r="IF761" i="1"/>
  <c r="KA761" i="1"/>
  <c r="JY752" i="1"/>
  <c r="JX752" i="1"/>
  <c r="JQ752" i="1"/>
  <c r="JR752" i="1"/>
  <c r="JN752" i="1"/>
  <c r="JO752" i="1"/>
  <c r="JK752" i="1"/>
  <c r="JL752" i="1"/>
  <c r="JH752" i="1"/>
  <c r="JI752" i="1"/>
  <c r="JE752" i="1"/>
  <c r="JF752" i="1"/>
  <c r="JB752" i="1"/>
  <c r="JC752" i="1"/>
  <c r="IY752" i="1"/>
  <c r="IZ752" i="1"/>
  <c r="IV752" i="1"/>
  <c r="IW752" i="1"/>
  <c r="IS752" i="1"/>
  <c r="IT752" i="1"/>
  <c r="IP752" i="1"/>
  <c r="IQ752" i="1"/>
  <c r="IM752" i="1"/>
  <c r="IN752" i="1"/>
  <c r="IJ752" i="1"/>
  <c r="IK752" i="1"/>
  <c r="IH752" i="1"/>
  <c r="IG752" i="1"/>
  <c r="IF752" i="1"/>
  <c r="KA752" i="1"/>
  <c r="GP752" i="1"/>
  <c r="JZ752" i="1"/>
  <c r="JY755" i="1"/>
  <c r="JX755" i="1"/>
  <c r="JQ755" i="1"/>
  <c r="JR755" i="1"/>
  <c r="JN755" i="1"/>
  <c r="JO755" i="1"/>
  <c r="JK755" i="1"/>
  <c r="JL755" i="1"/>
  <c r="JH755" i="1"/>
  <c r="JI755" i="1"/>
  <c r="JE755" i="1"/>
  <c r="JF755" i="1"/>
  <c r="JB755" i="1"/>
  <c r="JC755" i="1"/>
  <c r="IY755" i="1"/>
  <c r="IZ755" i="1"/>
  <c r="IV755" i="1"/>
  <c r="IW755" i="1"/>
  <c r="IS755" i="1"/>
  <c r="IT755" i="1"/>
  <c r="IP755" i="1"/>
  <c r="IQ755" i="1"/>
  <c r="IM755" i="1"/>
  <c r="IN755" i="1"/>
  <c r="IJ755" i="1"/>
  <c r="IK755" i="1"/>
  <c r="IF755" i="1"/>
  <c r="KA755" i="1"/>
  <c r="GO18" i="1"/>
  <c r="GN18" i="1"/>
  <c r="GO17" i="1"/>
  <c r="GO16" i="1"/>
  <c r="GN17" i="1"/>
  <c r="GN16" i="1"/>
  <c r="GM18" i="1"/>
  <c r="GL18" i="1"/>
  <c r="GM17" i="1"/>
  <c r="GL17" i="1"/>
  <c r="GM16" i="1"/>
  <c r="GL16" i="1"/>
  <c r="GK18" i="1"/>
  <c r="GJ18" i="1"/>
  <c r="GK17" i="1"/>
  <c r="GK16" i="1"/>
  <c r="GJ17" i="1"/>
  <c r="GJ16" i="1"/>
  <c r="GI18" i="1"/>
  <c r="GH18" i="1"/>
  <c r="GI17" i="1"/>
  <c r="GI16" i="1"/>
  <c r="GH17" i="1"/>
  <c r="GH16" i="1"/>
  <c r="GG18" i="1"/>
  <c r="GF18" i="1"/>
  <c r="GG17" i="1"/>
  <c r="GF17" i="1"/>
  <c r="GF16" i="1"/>
  <c r="GG16" i="1"/>
  <c r="GE18" i="1"/>
  <c r="GD18" i="1"/>
  <c r="GE17" i="1"/>
  <c r="GE16" i="1"/>
  <c r="GD17" i="1"/>
  <c r="GD16" i="1"/>
  <c r="GC18" i="1"/>
  <c r="GB18" i="1"/>
  <c r="GC17" i="1"/>
  <c r="GC16" i="1"/>
  <c r="GB17" i="1"/>
  <c r="GB16" i="1"/>
  <c r="GA18" i="1"/>
  <c r="FZ18" i="1"/>
  <c r="GA17" i="1"/>
  <c r="GA16" i="1"/>
  <c r="FZ17" i="1"/>
  <c r="FZ16" i="1"/>
  <c r="FY18" i="1"/>
  <c r="FX18" i="1"/>
  <c r="FY17" i="1"/>
  <c r="FX17" i="1"/>
  <c r="FY16" i="1"/>
  <c r="FX16" i="1"/>
  <c r="FW18" i="1"/>
  <c r="FV18" i="1"/>
  <c r="FW17" i="1"/>
  <c r="FW16" i="1"/>
  <c r="FV17" i="1"/>
  <c r="FV16" i="1"/>
  <c r="FU18" i="1"/>
  <c r="FT18" i="1"/>
  <c r="FU17" i="1"/>
  <c r="FT17" i="1"/>
  <c r="FU16" i="1"/>
  <c r="FT16" i="1"/>
  <c r="FS18" i="1"/>
  <c r="FR18" i="1"/>
  <c r="FS17" i="1"/>
  <c r="FS16" i="1"/>
  <c r="FR17" i="1"/>
  <c r="FR16" i="1"/>
  <c r="FQ18" i="1"/>
  <c r="FP18" i="1"/>
  <c r="FQ17" i="1"/>
  <c r="FQ16" i="1"/>
  <c r="FP17" i="1"/>
  <c r="FP16" i="1"/>
  <c r="FO18" i="1"/>
  <c r="FO16" i="1"/>
  <c r="FN18" i="1"/>
  <c r="FO17" i="1"/>
  <c r="FN17" i="1"/>
  <c r="FN16" i="1"/>
  <c r="FM18" i="1"/>
  <c r="FL18" i="1"/>
  <c r="FM17" i="1"/>
  <c r="FL17" i="1"/>
  <c r="FM16" i="1"/>
  <c r="FL16" i="1"/>
  <c r="FK18" i="1"/>
  <c r="FJ18" i="1"/>
  <c r="FK17" i="1"/>
  <c r="FJ17" i="1"/>
  <c r="FK16" i="1"/>
  <c r="FJ16" i="1"/>
  <c r="FI18" i="1"/>
  <c r="FH18" i="1"/>
  <c r="FI17" i="1"/>
  <c r="FI16" i="1"/>
  <c r="FH17" i="1"/>
  <c r="FH16" i="1"/>
  <c r="FG18" i="1"/>
  <c r="FF18" i="1"/>
  <c r="FG17" i="1"/>
  <c r="FG16" i="1"/>
  <c r="FF17" i="1"/>
  <c r="FF16" i="1"/>
  <c r="FE18" i="1"/>
  <c r="FD18" i="1"/>
  <c r="FE17" i="1"/>
  <c r="FE16" i="1"/>
  <c r="FD17" i="1"/>
  <c r="FD16" i="1"/>
  <c r="FC18" i="1"/>
  <c r="FB18" i="1"/>
  <c r="FC17" i="1"/>
  <c r="FC16" i="1"/>
  <c r="FB17" i="1"/>
  <c r="FB16" i="1"/>
  <c r="FA18" i="1"/>
  <c r="EZ18" i="1"/>
  <c r="FA17" i="1"/>
  <c r="EZ17" i="1"/>
  <c r="FA16" i="1"/>
  <c r="EZ16" i="1"/>
  <c r="EY18" i="1"/>
  <c r="EX18" i="1"/>
  <c r="EY17" i="1"/>
  <c r="EY16" i="1"/>
  <c r="EX17" i="1"/>
  <c r="EX16" i="1"/>
  <c r="EW18" i="1"/>
  <c r="EV18" i="1"/>
  <c r="EW17" i="1"/>
  <c r="EV17" i="1"/>
  <c r="EW16" i="1"/>
  <c r="EV16" i="1"/>
  <c r="EU18" i="1"/>
  <c r="ET18" i="1"/>
  <c r="EU17" i="1"/>
  <c r="EU16" i="1"/>
  <c r="ET17" i="1"/>
  <c r="ET16" i="1"/>
  <c r="ES18" i="1"/>
  <c r="ER18" i="1"/>
  <c r="ES17" i="1"/>
  <c r="ER17" i="1"/>
  <c r="ES16" i="1"/>
  <c r="ER16" i="1"/>
  <c r="EQ18" i="1"/>
  <c r="EP18" i="1"/>
  <c r="EQ17" i="1"/>
  <c r="EP17" i="1"/>
  <c r="EQ16" i="1"/>
  <c r="EP16" i="1"/>
  <c r="EO18" i="1"/>
  <c r="EN18" i="1"/>
  <c r="EO17" i="1"/>
  <c r="EO16" i="1"/>
  <c r="EN17" i="1"/>
  <c r="EN16" i="1"/>
  <c r="EM18" i="1"/>
  <c r="EL18" i="1"/>
  <c r="EM17" i="1"/>
  <c r="EM16" i="1"/>
  <c r="EL17" i="1"/>
  <c r="EL16" i="1"/>
  <c r="EK18" i="1"/>
  <c r="EJ18" i="1"/>
  <c r="EK17" i="1"/>
  <c r="EK16" i="1"/>
  <c r="EJ17" i="1"/>
  <c r="EJ16" i="1"/>
  <c r="EI18" i="1"/>
  <c r="EH18" i="1"/>
  <c r="EI17" i="1"/>
  <c r="EI16" i="1"/>
  <c r="EH17" i="1"/>
  <c r="EH16" i="1"/>
  <c r="EG18" i="1"/>
  <c r="EF18" i="1"/>
  <c r="EG17" i="1"/>
  <c r="EG16" i="1"/>
  <c r="EF17" i="1"/>
  <c r="EF16" i="1"/>
  <c r="EE18" i="1"/>
  <c r="ED18" i="1"/>
  <c r="EE17" i="1"/>
  <c r="EE16" i="1"/>
  <c r="ED17" i="1"/>
  <c r="ED16" i="1"/>
  <c r="EC18" i="1"/>
  <c r="EB18" i="1"/>
  <c r="EC17" i="1"/>
  <c r="EC16" i="1"/>
  <c r="EB17" i="1"/>
  <c r="EA18" i="1"/>
  <c r="DZ18" i="1"/>
  <c r="EA17" i="1"/>
  <c r="EA16" i="1"/>
  <c r="DZ17" i="1"/>
  <c r="DZ16" i="1"/>
  <c r="DY18" i="1"/>
  <c r="DX18" i="1"/>
  <c r="DY17" i="1"/>
  <c r="DY16" i="1"/>
  <c r="DX17" i="1"/>
  <c r="DX16" i="1"/>
  <c r="DW18" i="1"/>
  <c r="DV18" i="1"/>
  <c r="DW17" i="1"/>
  <c r="DW16" i="1"/>
  <c r="DV17" i="1"/>
  <c r="DV16" i="1"/>
  <c r="DU18" i="1"/>
  <c r="EB16" i="1"/>
  <c r="GR865" i="1"/>
  <c r="IH864" i="1"/>
  <c r="KB864" i="1"/>
  <c r="GR864" i="1"/>
  <c r="HG865" i="1"/>
  <c r="JZ865" i="1"/>
  <c r="KB865" i="1"/>
  <c r="JT864" i="1"/>
  <c r="HG864" i="1"/>
  <c r="GT865" i="1"/>
  <c r="GT864" i="1"/>
  <c r="GR761" i="1"/>
  <c r="IH755" i="1"/>
  <c r="IH761" i="1"/>
  <c r="JT761" i="1"/>
  <c r="HG761" i="1"/>
  <c r="JZ761" i="1"/>
  <c r="KB761" i="1"/>
  <c r="GT761" i="1"/>
  <c r="GR755" i="1"/>
  <c r="IG755" i="1"/>
  <c r="KB752" i="1"/>
  <c r="GR752" i="1"/>
  <c r="JT752" i="1"/>
  <c r="HG752" i="1"/>
  <c r="GT752" i="1"/>
  <c r="JT755" i="1"/>
  <c r="HG755" i="1"/>
  <c r="JZ755" i="1"/>
  <c r="KB755" i="1"/>
  <c r="GT755" i="1"/>
  <c r="HH18" i="1"/>
  <c r="HI18" i="1"/>
  <c r="HJ18" i="1"/>
  <c r="HK18" i="1"/>
  <c r="HL18" i="1"/>
  <c r="HM18" i="1"/>
  <c r="HN18" i="1"/>
  <c r="HO18" i="1"/>
  <c r="HP18" i="1"/>
  <c r="HQ18" i="1"/>
  <c r="HR18" i="1"/>
  <c r="HS18" i="1"/>
  <c r="HT18" i="1"/>
  <c r="HU18" i="1"/>
  <c r="HV18" i="1"/>
  <c r="HW18" i="1"/>
  <c r="HX18" i="1"/>
  <c r="HY18" i="1"/>
  <c r="HZ18" i="1"/>
  <c r="IA18" i="1"/>
  <c r="IB18" i="1"/>
  <c r="IC18" i="1"/>
  <c r="ID18" i="1"/>
  <c r="IE18" i="1"/>
  <c r="II18" i="1"/>
  <c r="IL18" i="1"/>
  <c r="IO18" i="1"/>
  <c r="IR18" i="1"/>
  <c r="IU18" i="1"/>
  <c r="IX18" i="1"/>
  <c r="JA18" i="1"/>
  <c r="JD18" i="1"/>
  <c r="JG18" i="1"/>
  <c r="JJ18" i="1"/>
  <c r="JM18" i="1"/>
  <c r="JP18" i="1"/>
  <c r="JQ18" i="1"/>
  <c r="JR18" i="1"/>
  <c r="DT18" i="1"/>
  <c r="GT866" i="1"/>
  <c r="GT863" i="1"/>
  <c r="JT865" i="1"/>
  <c r="GS863" i="1"/>
  <c r="KC865" i="1"/>
  <c r="JS865" i="1"/>
  <c r="JS864" i="1"/>
  <c r="KC864" i="1"/>
  <c r="KC761" i="1"/>
  <c r="JS761" i="1"/>
  <c r="KC752" i="1"/>
  <c r="JS752" i="1"/>
  <c r="KC755" i="1"/>
  <c r="JS755" i="1"/>
  <c r="JY759" i="1"/>
  <c r="JX759" i="1"/>
  <c r="JQ759" i="1"/>
  <c r="JR759" i="1"/>
  <c r="JN759" i="1"/>
  <c r="JO759" i="1"/>
  <c r="JK759" i="1"/>
  <c r="JL759" i="1"/>
  <c r="JH759" i="1"/>
  <c r="JI759" i="1"/>
  <c r="JE759" i="1"/>
  <c r="JF759" i="1"/>
  <c r="JB759" i="1"/>
  <c r="JC759" i="1"/>
  <c r="IY759" i="1"/>
  <c r="IZ759" i="1"/>
  <c r="IV759" i="1"/>
  <c r="IW759" i="1"/>
  <c r="IS759" i="1"/>
  <c r="IT759" i="1"/>
  <c r="IP759" i="1"/>
  <c r="IQ759" i="1"/>
  <c r="IM759" i="1"/>
  <c r="IN759" i="1"/>
  <c r="IJ759" i="1"/>
  <c r="IK759" i="1"/>
  <c r="IG759" i="1"/>
  <c r="IF759" i="1"/>
  <c r="GQ759" i="1"/>
  <c r="KA759" i="1"/>
  <c r="GR759" i="1"/>
  <c r="JY760" i="1"/>
  <c r="JX760" i="1"/>
  <c r="JQ760" i="1"/>
  <c r="JR760" i="1"/>
  <c r="JN760" i="1"/>
  <c r="JO760" i="1"/>
  <c r="JK760" i="1"/>
  <c r="JL760" i="1"/>
  <c r="JH760" i="1"/>
  <c r="JI760" i="1"/>
  <c r="JE760" i="1"/>
  <c r="JF760" i="1"/>
  <c r="JB760" i="1"/>
  <c r="JC760" i="1"/>
  <c r="IY760" i="1"/>
  <c r="IZ760" i="1"/>
  <c r="IV760" i="1"/>
  <c r="IW760" i="1"/>
  <c r="IS760" i="1"/>
  <c r="IT760" i="1"/>
  <c r="IP760" i="1"/>
  <c r="IQ760" i="1"/>
  <c r="IM760" i="1"/>
  <c r="IN760" i="1"/>
  <c r="IJ760" i="1"/>
  <c r="IK760" i="1"/>
  <c r="IH760" i="1"/>
  <c r="IF760" i="1"/>
  <c r="KA760" i="1"/>
  <c r="JY754" i="1"/>
  <c r="JX754" i="1"/>
  <c r="JQ754" i="1"/>
  <c r="JR754" i="1"/>
  <c r="JN754" i="1"/>
  <c r="JO754" i="1"/>
  <c r="JK754" i="1"/>
  <c r="JL754" i="1"/>
  <c r="JH754" i="1"/>
  <c r="JI754" i="1"/>
  <c r="JE754" i="1"/>
  <c r="JF754" i="1"/>
  <c r="JB754" i="1"/>
  <c r="JC754" i="1"/>
  <c r="IY754" i="1"/>
  <c r="IZ754" i="1"/>
  <c r="IV754" i="1"/>
  <c r="IW754" i="1"/>
  <c r="IS754" i="1"/>
  <c r="IT754" i="1"/>
  <c r="IP754" i="1"/>
  <c r="IQ754" i="1"/>
  <c r="IM754" i="1"/>
  <c r="IN754" i="1"/>
  <c r="IJ754" i="1"/>
  <c r="IK754" i="1"/>
  <c r="IF754" i="1"/>
  <c r="JY753" i="1"/>
  <c r="JX753" i="1"/>
  <c r="JQ753" i="1"/>
  <c r="JR753" i="1"/>
  <c r="JN753" i="1"/>
  <c r="JO753" i="1"/>
  <c r="JK753" i="1"/>
  <c r="JL753" i="1"/>
  <c r="JH753" i="1"/>
  <c r="JI753" i="1"/>
  <c r="JE753" i="1"/>
  <c r="JF753" i="1"/>
  <c r="JB753" i="1"/>
  <c r="JC753" i="1"/>
  <c r="IY753" i="1"/>
  <c r="IZ753" i="1"/>
  <c r="IV753" i="1"/>
  <c r="IW753" i="1"/>
  <c r="IS753" i="1"/>
  <c r="IT753" i="1"/>
  <c r="IP753" i="1"/>
  <c r="IQ753" i="1"/>
  <c r="IM753" i="1"/>
  <c r="IN753" i="1"/>
  <c r="IJ753" i="1"/>
  <c r="IK753" i="1"/>
  <c r="IF753" i="1"/>
  <c r="KA754" i="1"/>
  <c r="JZ754" i="1"/>
  <c r="KA753" i="1"/>
  <c r="JZ753" i="1"/>
  <c r="IG760" i="1"/>
  <c r="GR760" i="1"/>
  <c r="IH759" i="1"/>
  <c r="JT759" i="1"/>
  <c r="HG759" i="1"/>
  <c r="JZ759" i="1"/>
  <c r="KB759" i="1"/>
  <c r="GT759" i="1"/>
  <c r="IG754" i="1"/>
  <c r="IG753" i="1"/>
  <c r="JT760" i="1"/>
  <c r="HG760" i="1"/>
  <c r="JZ760" i="1"/>
  <c r="KB760" i="1"/>
  <c r="GT760" i="1"/>
  <c r="HG754" i="1"/>
  <c r="JS754" i="1"/>
  <c r="KB754" i="1"/>
  <c r="GR754" i="1"/>
  <c r="GT754" i="1"/>
  <c r="GT753" i="1"/>
  <c r="KB753" i="1"/>
  <c r="HG753" i="1"/>
  <c r="JS753" i="1"/>
  <c r="GR753" i="1"/>
  <c r="IH754" i="1"/>
  <c r="IH753" i="1"/>
  <c r="JT753" i="1"/>
  <c r="JT754" i="1"/>
  <c r="HV369" i="1"/>
  <c r="KC759" i="1"/>
  <c r="JS759" i="1"/>
  <c r="KC760" i="1"/>
  <c r="JS760" i="1"/>
  <c r="HV480" i="1"/>
  <c r="HW582" i="1"/>
  <c r="HW643" i="1"/>
  <c r="HW641" i="1"/>
  <c r="HW639" i="1"/>
  <c r="HW638" i="1"/>
  <c r="HW635" i="1"/>
  <c r="HW596" i="1"/>
  <c r="HW590" i="1"/>
  <c r="HW588" i="1"/>
  <c r="HW587" i="1"/>
  <c r="HW586" i="1"/>
  <c r="HW285" i="1"/>
  <c r="HW284" i="1"/>
  <c r="HW283" i="1"/>
  <c r="HW281" i="1"/>
  <c r="HW280" i="1"/>
  <c r="HW263" i="1"/>
  <c r="HW257" i="1"/>
  <c r="HW255" i="1"/>
  <c r="HW253" i="1"/>
  <c r="HW252" i="1"/>
  <c r="HW247" i="1"/>
  <c r="JD839" i="1"/>
  <c r="JD792" i="1"/>
  <c r="JD791" i="1"/>
  <c r="JD770" i="1"/>
  <c r="JD769" i="1"/>
  <c r="JD672" i="1"/>
  <c r="JD649" i="1"/>
  <c r="JD648" i="1"/>
  <c r="JD647" i="1"/>
  <c r="JD646" i="1"/>
  <c r="JD643" i="1"/>
  <c r="JD641" i="1"/>
  <c r="JD639" i="1"/>
  <c r="JD638" i="1"/>
  <c r="JD635" i="1"/>
  <c r="JD623" i="1"/>
  <c r="JD614" i="1"/>
  <c r="JD598" i="1"/>
  <c r="JD596" i="1"/>
  <c r="JD595" i="1"/>
  <c r="JD594" i="1"/>
  <c r="JD593" i="1"/>
  <c r="JD590" i="1"/>
  <c r="JD588" i="1"/>
  <c r="JD587" i="1"/>
  <c r="JD586" i="1"/>
  <c r="HB586" i="1"/>
  <c r="HB582" i="1"/>
  <c r="JD582" i="1"/>
  <c r="JD561" i="1"/>
  <c r="JD553" i="1"/>
  <c r="JD547" i="1"/>
  <c r="JD544" i="1"/>
  <c r="JD536" i="1"/>
  <c r="JD524" i="1"/>
  <c r="JD522" i="1"/>
  <c r="JD520" i="1"/>
  <c r="JD514" i="1"/>
  <c r="JD510" i="1"/>
  <c r="JD498" i="1"/>
  <c r="JD496" i="1"/>
  <c r="JD493" i="1"/>
  <c r="JD486" i="1"/>
  <c r="JD485" i="1"/>
  <c r="JD484" i="1"/>
  <c r="JD480" i="1"/>
  <c r="JD478" i="1"/>
  <c r="JD474" i="1"/>
  <c r="JD470" i="1"/>
  <c r="JD467" i="1"/>
  <c r="JD462" i="1"/>
  <c r="JD460" i="1"/>
  <c r="JD459" i="1"/>
  <c r="JD456" i="1"/>
  <c r="JD455" i="1"/>
  <c r="JD454" i="1"/>
  <c r="JD453" i="1"/>
  <c r="JD452" i="1"/>
  <c r="JD448" i="1"/>
  <c r="JD447" i="1"/>
  <c r="JD445" i="1"/>
  <c r="JD441" i="1"/>
  <c r="JD440" i="1"/>
  <c r="JD425" i="1"/>
  <c r="JD414" i="1"/>
  <c r="JD409" i="1"/>
  <c r="JD408" i="1"/>
  <c r="JD407" i="1"/>
  <c r="JD404" i="1"/>
  <c r="JD403" i="1"/>
  <c r="JD402" i="1"/>
  <c r="JD399" i="1"/>
  <c r="JD395" i="1"/>
  <c r="JD392" i="1"/>
  <c r="JD384" i="1"/>
  <c r="JD371" i="1"/>
  <c r="JD369" i="1"/>
  <c r="JD285" i="1"/>
  <c r="JD284" i="1"/>
  <c r="JD283" i="1"/>
  <c r="JD281" i="1"/>
  <c r="JD280" i="1"/>
  <c r="JD265" i="1"/>
  <c r="JD263" i="1"/>
  <c r="JD262" i="1"/>
  <c r="JD261" i="1"/>
  <c r="JD260" i="1"/>
  <c r="JD257" i="1"/>
  <c r="JD255" i="1"/>
  <c r="JD253" i="1"/>
  <c r="JD252" i="1"/>
  <c r="JD247" i="1"/>
  <c r="AA64" i="12"/>
  <c r="AA66" i="12"/>
  <c r="JY757" i="1"/>
  <c r="JX757" i="1"/>
  <c r="JQ757" i="1"/>
  <c r="JR757" i="1"/>
  <c r="JN757" i="1"/>
  <c r="JO757" i="1"/>
  <c r="JK757" i="1"/>
  <c r="JL757" i="1"/>
  <c r="JH757" i="1"/>
  <c r="JI757" i="1"/>
  <c r="JE757" i="1"/>
  <c r="JF757" i="1"/>
  <c r="JB757" i="1"/>
  <c r="JC757" i="1"/>
  <c r="IY757" i="1"/>
  <c r="IZ757" i="1"/>
  <c r="IV757" i="1"/>
  <c r="IW757" i="1"/>
  <c r="IS757" i="1"/>
  <c r="IT757" i="1"/>
  <c r="IP757" i="1"/>
  <c r="IQ757" i="1"/>
  <c r="IM757" i="1"/>
  <c r="IN757" i="1"/>
  <c r="IJ757" i="1"/>
  <c r="IK757" i="1"/>
  <c r="IH757" i="1"/>
  <c r="IF757" i="1"/>
  <c r="KA757" i="1"/>
  <c r="IG757" i="1"/>
  <c r="GR757" i="1"/>
  <c r="JT757" i="1"/>
  <c r="HG757" i="1"/>
  <c r="JZ757" i="1"/>
  <c r="KB757" i="1"/>
  <c r="GT757" i="1"/>
  <c r="HC586" i="1"/>
  <c r="HD586" i="1"/>
  <c r="HE586" i="1"/>
  <c r="HC582" i="1"/>
  <c r="HD582" i="1"/>
  <c r="HE582" i="1"/>
  <c r="KC757" i="1"/>
  <c r="JS757" i="1"/>
  <c r="HG689" i="1"/>
  <c r="HT397" i="1"/>
  <c r="HU672" i="1"/>
  <c r="HU869" i="1"/>
  <c r="HU861" i="1"/>
  <c r="HU839" i="1"/>
  <c r="HU838" i="1"/>
  <c r="HU797" i="1"/>
  <c r="HU796" i="1"/>
  <c r="HU792" i="1"/>
  <c r="HU791" i="1"/>
  <c r="HU774" i="1"/>
  <c r="HU770" i="1"/>
  <c r="HU769" i="1"/>
  <c r="HU582" i="1"/>
  <c r="HU641" i="1"/>
  <c r="HU639" i="1"/>
  <c r="HU638" i="1"/>
  <c r="HU635" i="1"/>
  <c r="HU596" i="1"/>
  <c r="HU588" i="1"/>
  <c r="HU587" i="1"/>
  <c r="HU586" i="1"/>
  <c r="HU285" i="1"/>
  <c r="HU284" i="1"/>
  <c r="HU283" i="1"/>
  <c r="HU281" i="1"/>
  <c r="HU280" i="1"/>
  <c r="HU263" i="1"/>
  <c r="HU255" i="1"/>
  <c r="HU253" i="1"/>
  <c r="HU252" i="1"/>
  <c r="HU247" i="1"/>
  <c r="JA840" i="1"/>
  <c r="JA839" i="1"/>
  <c r="JA795" i="1"/>
  <c r="JA794" i="1"/>
  <c r="JA793" i="1"/>
  <c r="JA792" i="1"/>
  <c r="JA791" i="1"/>
  <c r="JA781" i="1"/>
  <c r="JA773" i="1"/>
  <c r="JA772" i="1"/>
  <c r="JA771" i="1"/>
  <c r="JA770" i="1"/>
  <c r="JA769" i="1"/>
  <c r="JA716" i="1"/>
  <c r="JA703" i="1"/>
  <c r="JA686" i="1"/>
  <c r="JA672" i="1"/>
  <c r="JA649" i="1"/>
  <c r="JA648" i="1"/>
  <c r="JA647" i="1"/>
  <c r="JA646" i="1"/>
  <c r="JA643" i="1"/>
  <c r="JA641" i="1"/>
  <c r="JA639" i="1"/>
  <c r="JA638" i="1"/>
  <c r="JA635" i="1"/>
  <c r="JA623" i="1"/>
  <c r="JA614" i="1"/>
  <c r="JA601" i="1"/>
  <c r="JA598" i="1"/>
  <c r="JA596" i="1"/>
  <c r="JA595" i="1"/>
  <c r="JA594" i="1"/>
  <c r="JA593" i="1"/>
  <c r="JA590" i="1"/>
  <c r="JA588" i="1"/>
  <c r="JA587" i="1"/>
  <c r="JA586" i="1"/>
  <c r="JA582" i="1"/>
  <c r="JA561" i="1"/>
  <c r="JA553" i="1"/>
  <c r="JA552" i="1"/>
  <c r="JA547" i="1"/>
  <c r="JA544" i="1"/>
  <c r="JA539" i="1"/>
  <c r="JA536" i="1"/>
  <c r="JA524" i="1"/>
  <c r="JA522" i="1"/>
  <c r="JA520" i="1"/>
  <c r="JA518" i="1"/>
  <c r="JA514" i="1"/>
  <c r="JA510" i="1"/>
  <c r="JA498" i="1"/>
  <c r="JA496" i="1"/>
  <c r="JA493" i="1"/>
  <c r="JA491" i="1"/>
  <c r="JA490" i="1"/>
  <c r="JA489" i="1"/>
  <c r="JA486" i="1"/>
  <c r="JA485" i="1"/>
  <c r="JA484" i="1"/>
  <c r="JA480" i="1"/>
  <c r="JA478" i="1"/>
  <c r="JA477" i="1"/>
  <c r="JA476" i="1"/>
  <c r="JA475" i="1"/>
  <c r="JA474" i="1"/>
  <c r="JA470" i="1"/>
  <c r="JA467" i="1"/>
  <c r="JA462" i="1"/>
  <c r="JA460" i="1"/>
  <c r="JA459" i="1"/>
  <c r="JA456" i="1"/>
  <c r="JA455" i="1"/>
  <c r="JA454" i="1"/>
  <c r="JA453" i="1"/>
  <c r="JA452" i="1"/>
  <c r="JA448" i="1"/>
  <c r="JA447" i="1"/>
  <c r="JA446" i="1"/>
  <c r="JA445" i="1"/>
  <c r="JA441" i="1"/>
  <c r="JA440" i="1"/>
  <c r="JA432" i="1"/>
  <c r="JA431" i="1"/>
  <c r="JA425" i="1"/>
  <c r="JA414" i="1"/>
  <c r="JA413" i="1"/>
  <c r="JA409" i="1"/>
  <c r="JA408" i="1"/>
  <c r="JA407" i="1"/>
  <c r="JA404" i="1"/>
  <c r="JA403" i="1"/>
  <c r="JA402" i="1"/>
  <c r="JA399" i="1"/>
  <c r="JA395" i="1"/>
  <c r="JA392" i="1"/>
  <c r="JA384" i="1"/>
  <c r="JA371" i="1"/>
  <c r="JA369" i="1"/>
  <c r="JA359" i="1"/>
  <c r="JA351" i="1"/>
  <c r="JA285" i="1"/>
  <c r="JA284" i="1"/>
  <c r="JA283" i="1"/>
  <c r="JA281" i="1"/>
  <c r="JA280" i="1"/>
  <c r="JA269" i="1"/>
  <c r="JA268" i="1"/>
  <c r="JA265" i="1"/>
  <c r="JA263" i="1"/>
  <c r="JA262" i="1"/>
  <c r="JA261" i="1"/>
  <c r="JA260" i="1"/>
  <c r="JA257" i="1"/>
  <c r="JA255" i="1"/>
  <c r="JA253" i="1"/>
  <c r="JA252" i="1"/>
  <c r="JA247" i="1"/>
  <c r="GO691" i="1"/>
  <c r="GN691" i="1"/>
  <c r="GM691" i="1"/>
  <c r="GL691" i="1"/>
  <c r="GK691" i="1"/>
  <c r="GJ691" i="1"/>
  <c r="GI691" i="1"/>
  <c r="GH691" i="1"/>
  <c r="GG691" i="1"/>
  <c r="GF691" i="1"/>
  <c r="GE691" i="1"/>
  <c r="GD691" i="1"/>
  <c r="GC691" i="1"/>
  <c r="GB691" i="1"/>
  <c r="GA691" i="1"/>
  <c r="FZ691" i="1"/>
  <c r="FY691" i="1"/>
  <c r="FX691" i="1"/>
  <c r="FW691" i="1"/>
  <c r="FV691" i="1"/>
  <c r="FU691" i="1"/>
  <c r="FT691" i="1"/>
  <c r="FS691" i="1"/>
  <c r="FR691" i="1"/>
  <c r="FQ691" i="1"/>
  <c r="FP691" i="1"/>
  <c r="FO702" i="1"/>
  <c r="FO711" i="1"/>
  <c r="FO691" i="1"/>
  <c r="FN691" i="1"/>
  <c r="FM691" i="1"/>
  <c r="FL691" i="1"/>
  <c r="FK691" i="1"/>
  <c r="FJ691" i="1"/>
  <c r="FI691" i="1"/>
  <c r="FH691" i="1"/>
  <c r="FG691" i="1"/>
  <c r="FF691" i="1"/>
  <c r="FE691" i="1"/>
  <c r="FD691" i="1"/>
  <c r="FC702" i="1"/>
  <c r="FC691" i="1"/>
  <c r="FB691" i="1"/>
  <c r="FA691" i="1"/>
  <c r="EZ691" i="1"/>
  <c r="EY691" i="1"/>
  <c r="EX691" i="1"/>
  <c r="EW691" i="1"/>
  <c r="EV691" i="1"/>
  <c r="EU691" i="1"/>
  <c r="ET691" i="1"/>
  <c r="ES691" i="1"/>
  <c r="ER691" i="1"/>
  <c r="EQ691" i="1"/>
  <c r="EP691" i="1"/>
  <c r="EO691" i="1"/>
  <c r="EN691" i="1"/>
  <c r="EM691" i="1"/>
  <c r="EL691" i="1"/>
  <c r="EK691" i="1"/>
  <c r="EJ691" i="1"/>
  <c r="EI691" i="1"/>
  <c r="EH691" i="1"/>
  <c r="EG691" i="1"/>
  <c r="EF691" i="1"/>
  <c r="EE691" i="1"/>
  <c r="ED691" i="1"/>
  <c r="EC691" i="1"/>
  <c r="EB691" i="1"/>
  <c r="EA691" i="1"/>
  <c r="DZ691" i="1"/>
  <c r="DX691" i="1"/>
  <c r="DW691" i="1"/>
  <c r="DV691" i="1"/>
  <c r="DU691" i="1"/>
  <c r="DT691" i="1"/>
  <c r="DS691" i="1"/>
  <c r="DR691" i="1"/>
  <c r="DQ691" i="1"/>
  <c r="DP691" i="1"/>
  <c r="DO691" i="1"/>
  <c r="DM691" i="1"/>
  <c r="DL691" i="1"/>
  <c r="DK691" i="1"/>
  <c r="DJ691" i="1"/>
  <c r="DI691" i="1"/>
  <c r="DH691" i="1"/>
  <c r="DG691" i="1"/>
  <c r="DF691" i="1"/>
  <c r="DE691" i="1"/>
  <c r="DD691" i="1"/>
  <c r="DC691" i="1"/>
  <c r="DB691" i="1"/>
  <c r="DA691" i="1"/>
  <c r="CZ691" i="1"/>
  <c r="CY691" i="1"/>
  <c r="CX691" i="1"/>
  <c r="KC749" i="1"/>
  <c r="JY762" i="1"/>
  <c r="JX762" i="1"/>
  <c r="JY751" i="1"/>
  <c r="JY750" i="1"/>
  <c r="JX751" i="1"/>
  <c r="GU750" i="1"/>
  <c r="GU723" i="1"/>
  <c r="GV750" i="1"/>
  <c r="GV723" i="1"/>
  <c r="GW750" i="1"/>
  <c r="GW723" i="1"/>
  <c r="GX750" i="1"/>
  <c r="GX723" i="1"/>
  <c r="GY750" i="1"/>
  <c r="GY723" i="1"/>
  <c r="GZ750" i="1"/>
  <c r="GZ723" i="1"/>
  <c r="HB750" i="1"/>
  <c r="HB723" i="1"/>
  <c r="HC750" i="1"/>
  <c r="HC723" i="1"/>
  <c r="HE750" i="1"/>
  <c r="HE723" i="1"/>
  <c r="HF750" i="1"/>
  <c r="HF723" i="1"/>
  <c r="HH750" i="1"/>
  <c r="HH723" i="1"/>
  <c r="HI750" i="1"/>
  <c r="HI723" i="1"/>
  <c r="HJ750" i="1"/>
  <c r="HJ723" i="1"/>
  <c r="HK750" i="1"/>
  <c r="HK723" i="1"/>
  <c r="HL750" i="1"/>
  <c r="HL723" i="1"/>
  <c r="HM750" i="1"/>
  <c r="HM723" i="1"/>
  <c r="HN750" i="1"/>
  <c r="HN723" i="1"/>
  <c r="HO750" i="1"/>
  <c r="HO723" i="1"/>
  <c r="HP750" i="1"/>
  <c r="HP723" i="1"/>
  <c r="HQ750" i="1"/>
  <c r="HQ723" i="1"/>
  <c r="HR750" i="1"/>
  <c r="HR723" i="1"/>
  <c r="HS750" i="1"/>
  <c r="HS723" i="1"/>
  <c r="HT750" i="1"/>
  <c r="HT723" i="1"/>
  <c r="HU750" i="1"/>
  <c r="HU723" i="1"/>
  <c r="HV750" i="1"/>
  <c r="HV723" i="1"/>
  <c r="HW750" i="1"/>
  <c r="HW723" i="1"/>
  <c r="HX750" i="1"/>
  <c r="HX723" i="1"/>
  <c r="HY750" i="1"/>
  <c r="HY723" i="1"/>
  <c r="HZ750" i="1"/>
  <c r="HZ723" i="1"/>
  <c r="IA750" i="1"/>
  <c r="IA723" i="1"/>
  <c r="IB750" i="1"/>
  <c r="IB723" i="1"/>
  <c r="IC750" i="1"/>
  <c r="IC723" i="1"/>
  <c r="ID750" i="1"/>
  <c r="ID723" i="1"/>
  <c r="IE750" i="1"/>
  <c r="IE723" i="1"/>
  <c r="II750" i="1"/>
  <c r="II723" i="1"/>
  <c r="IL750" i="1"/>
  <c r="IL723" i="1"/>
  <c r="IO750" i="1"/>
  <c r="IO723" i="1"/>
  <c r="IR750" i="1"/>
  <c r="IR723" i="1"/>
  <c r="IU750" i="1"/>
  <c r="IU723" i="1"/>
  <c r="IX750" i="1"/>
  <c r="IX723" i="1"/>
  <c r="JA750" i="1"/>
  <c r="JA723" i="1"/>
  <c r="JD750" i="1"/>
  <c r="JD723" i="1"/>
  <c r="JG750" i="1"/>
  <c r="JG723" i="1"/>
  <c r="JJ750" i="1"/>
  <c r="JJ723" i="1"/>
  <c r="JM750" i="1"/>
  <c r="JM723" i="1"/>
  <c r="JP750" i="1"/>
  <c r="JP723" i="1"/>
  <c r="JQ762" i="1"/>
  <c r="JR762" i="1"/>
  <c r="JN762" i="1"/>
  <c r="JO762" i="1"/>
  <c r="JK762" i="1"/>
  <c r="JL762" i="1"/>
  <c r="JH762" i="1"/>
  <c r="JI762" i="1"/>
  <c r="JE762" i="1"/>
  <c r="JF762" i="1"/>
  <c r="JB762" i="1"/>
  <c r="JC762" i="1"/>
  <c r="IY762" i="1"/>
  <c r="IZ762" i="1"/>
  <c r="IV762" i="1"/>
  <c r="IW762" i="1"/>
  <c r="IS762" i="1"/>
  <c r="IT762" i="1"/>
  <c r="IP762" i="1"/>
  <c r="IQ762" i="1"/>
  <c r="IM762" i="1"/>
  <c r="IN762" i="1"/>
  <c r="IJ762" i="1"/>
  <c r="IK762" i="1"/>
  <c r="IG762" i="1"/>
  <c r="IF762" i="1"/>
  <c r="JQ751" i="1"/>
  <c r="JQ750" i="1"/>
  <c r="JQ723" i="1"/>
  <c r="JN751" i="1"/>
  <c r="JO751" i="1"/>
  <c r="JK751" i="1"/>
  <c r="JK750" i="1"/>
  <c r="JH751" i="1"/>
  <c r="JI751" i="1"/>
  <c r="JE751" i="1"/>
  <c r="JE750" i="1"/>
  <c r="JB751" i="1"/>
  <c r="JC751" i="1"/>
  <c r="IY751" i="1"/>
  <c r="IY750" i="1"/>
  <c r="IV751" i="1"/>
  <c r="IW751" i="1"/>
  <c r="IS751" i="1"/>
  <c r="IS750" i="1"/>
  <c r="IP751" i="1"/>
  <c r="IQ751" i="1"/>
  <c r="IM751" i="1"/>
  <c r="IM750" i="1"/>
  <c r="IJ751" i="1"/>
  <c r="IK751" i="1"/>
  <c r="IF751" i="1"/>
  <c r="IF750" i="1"/>
  <c r="HD750" i="1"/>
  <c r="HD723" i="1"/>
  <c r="HA750" i="1"/>
  <c r="HA723" i="1"/>
  <c r="GO750" i="1"/>
  <c r="GO723" i="1"/>
  <c r="GN750" i="1"/>
  <c r="GN723" i="1"/>
  <c r="GM750" i="1"/>
  <c r="GM723" i="1"/>
  <c r="GL750" i="1"/>
  <c r="GL723" i="1"/>
  <c r="GK750" i="1"/>
  <c r="GK723" i="1"/>
  <c r="GJ750" i="1"/>
  <c r="GJ723" i="1"/>
  <c r="GI750" i="1"/>
  <c r="GI723" i="1"/>
  <c r="GH750" i="1"/>
  <c r="GH723" i="1"/>
  <c r="GG750" i="1"/>
  <c r="GG723" i="1"/>
  <c r="GF750" i="1"/>
  <c r="GF723" i="1"/>
  <c r="GE750" i="1"/>
  <c r="GE723" i="1"/>
  <c r="GD750" i="1"/>
  <c r="GD723" i="1"/>
  <c r="GC750" i="1"/>
  <c r="GC723" i="1"/>
  <c r="GB750" i="1"/>
  <c r="GB723" i="1"/>
  <c r="GA750" i="1"/>
  <c r="GA723" i="1"/>
  <c r="FZ750" i="1"/>
  <c r="FZ723" i="1"/>
  <c r="FY750" i="1"/>
  <c r="FY723" i="1"/>
  <c r="FX750" i="1"/>
  <c r="FX723" i="1"/>
  <c r="FW750" i="1"/>
  <c r="FW723" i="1"/>
  <c r="FV750" i="1"/>
  <c r="FV723" i="1"/>
  <c r="FU750" i="1"/>
  <c r="FU723" i="1"/>
  <c r="FT750" i="1"/>
  <c r="FT723" i="1"/>
  <c r="FS750" i="1"/>
  <c r="FS723" i="1"/>
  <c r="FR750" i="1"/>
  <c r="FR723" i="1"/>
  <c r="FQ750" i="1"/>
  <c r="FQ723" i="1"/>
  <c r="FP750" i="1"/>
  <c r="FP723" i="1"/>
  <c r="FO750" i="1"/>
  <c r="FO723" i="1"/>
  <c r="FN750" i="1"/>
  <c r="FN723" i="1"/>
  <c r="FM750" i="1"/>
  <c r="FM723" i="1"/>
  <c r="FL750" i="1"/>
  <c r="FL723" i="1"/>
  <c r="FK750" i="1"/>
  <c r="FK723" i="1"/>
  <c r="FJ750" i="1"/>
  <c r="FJ723" i="1"/>
  <c r="FI750" i="1"/>
  <c r="FI723" i="1"/>
  <c r="FH750" i="1"/>
  <c r="FH723" i="1"/>
  <c r="FG750" i="1"/>
  <c r="FG723" i="1"/>
  <c r="FF750" i="1"/>
  <c r="FF723" i="1"/>
  <c r="FE750" i="1"/>
  <c r="FE723" i="1"/>
  <c r="FD750" i="1"/>
  <c r="FD723" i="1"/>
  <c r="FC750" i="1"/>
  <c r="FC723" i="1"/>
  <c r="FB750" i="1"/>
  <c r="FB723" i="1"/>
  <c r="FA750" i="1"/>
  <c r="FA723" i="1"/>
  <c r="EZ750" i="1"/>
  <c r="EZ723" i="1"/>
  <c r="EY750" i="1"/>
  <c r="EY723" i="1"/>
  <c r="EX750" i="1"/>
  <c r="EX723" i="1"/>
  <c r="EW750" i="1"/>
  <c r="EW723" i="1"/>
  <c r="EV750" i="1"/>
  <c r="EV723" i="1"/>
  <c r="EU750" i="1"/>
  <c r="EU723" i="1"/>
  <c r="ET750" i="1"/>
  <c r="ET723" i="1"/>
  <c r="ES750" i="1"/>
  <c r="ES723" i="1"/>
  <c r="ER750" i="1"/>
  <c r="ER723" i="1"/>
  <c r="EQ750" i="1"/>
  <c r="EQ723" i="1"/>
  <c r="EP750" i="1"/>
  <c r="EP723" i="1"/>
  <c r="EO750" i="1"/>
  <c r="EO723" i="1"/>
  <c r="EN750" i="1"/>
  <c r="EN723" i="1"/>
  <c r="EM750" i="1"/>
  <c r="EM723" i="1"/>
  <c r="EL750" i="1"/>
  <c r="EL723" i="1"/>
  <c r="EK750" i="1"/>
  <c r="EK723" i="1"/>
  <c r="EJ750" i="1"/>
  <c r="EJ723" i="1"/>
  <c r="EI750" i="1"/>
  <c r="EI723" i="1"/>
  <c r="EH750" i="1"/>
  <c r="EH723" i="1"/>
  <c r="EG750" i="1"/>
  <c r="EG723" i="1"/>
  <c r="EF750" i="1"/>
  <c r="EF723" i="1"/>
  <c r="EE750" i="1"/>
  <c r="EE723" i="1"/>
  <c r="ED750" i="1"/>
  <c r="ED723" i="1"/>
  <c r="EC750" i="1"/>
  <c r="EC723" i="1"/>
  <c r="EB750" i="1"/>
  <c r="EB723" i="1"/>
  <c r="EA750" i="1"/>
  <c r="EA723" i="1"/>
  <c r="DZ750" i="1"/>
  <c r="DZ723" i="1"/>
  <c r="DY750" i="1"/>
  <c r="DY723" i="1"/>
  <c r="DX750" i="1"/>
  <c r="DX723" i="1"/>
  <c r="DW750" i="1"/>
  <c r="DW723" i="1"/>
  <c r="DV750" i="1"/>
  <c r="DV723" i="1"/>
  <c r="DU750" i="1"/>
  <c r="DU723" i="1"/>
  <c r="DT750" i="1"/>
  <c r="DT723" i="1"/>
  <c r="DS750" i="1"/>
  <c r="DS723" i="1"/>
  <c r="DR750" i="1"/>
  <c r="DR723" i="1"/>
  <c r="DQ750" i="1"/>
  <c r="DQ723" i="1"/>
  <c r="DP750" i="1"/>
  <c r="DP723" i="1"/>
  <c r="DO750" i="1"/>
  <c r="DO723" i="1"/>
  <c r="DN750" i="1"/>
  <c r="DN723" i="1"/>
  <c r="DM750" i="1"/>
  <c r="DM723" i="1"/>
  <c r="DL750" i="1"/>
  <c r="DL723" i="1"/>
  <c r="DK750" i="1"/>
  <c r="DK723" i="1"/>
  <c r="DJ750" i="1"/>
  <c r="DJ723" i="1"/>
  <c r="DI750" i="1"/>
  <c r="DI723" i="1"/>
  <c r="DH750" i="1"/>
  <c r="DH723" i="1"/>
  <c r="DG750" i="1"/>
  <c r="DG723" i="1"/>
  <c r="DF750" i="1"/>
  <c r="DF723" i="1"/>
  <c r="DE750" i="1"/>
  <c r="DE723" i="1"/>
  <c r="DD750" i="1"/>
  <c r="DD723" i="1"/>
  <c r="DC750" i="1"/>
  <c r="DC723" i="1"/>
  <c r="DB750" i="1"/>
  <c r="DB723" i="1"/>
  <c r="DA750" i="1"/>
  <c r="DA723" i="1"/>
  <c r="CZ750" i="1"/>
  <c r="CZ723" i="1"/>
  <c r="CY750" i="1"/>
  <c r="CY723" i="1"/>
  <c r="CX750" i="1"/>
  <c r="CX723" i="1"/>
  <c r="CW750" i="1"/>
  <c r="CW723" i="1"/>
  <c r="CV750" i="1"/>
  <c r="CV723" i="1"/>
  <c r="KA762" i="1"/>
  <c r="KA751" i="1"/>
  <c r="CU750" i="1"/>
  <c r="CU723" i="1"/>
  <c r="CT750" i="1"/>
  <c r="CT723" i="1"/>
  <c r="C750" i="1"/>
  <c r="C723" i="1"/>
  <c r="IZ751" i="1"/>
  <c r="JZ751" i="1"/>
  <c r="JT751" i="1"/>
  <c r="IH762" i="1"/>
  <c r="KA750" i="1"/>
  <c r="IZ750" i="1"/>
  <c r="JI750" i="1"/>
  <c r="JZ762" i="1"/>
  <c r="JZ750" i="1"/>
  <c r="IT751" i="1"/>
  <c r="IT750" i="1"/>
  <c r="JC750" i="1"/>
  <c r="JR751" i="1"/>
  <c r="JR750" i="1"/>
  <c r="JR723" i="1"/>
  <c r="IN751" i="1"/>
  <c r="IN750" i="1"/>
  <c r="IW750" i="1"/>
  <c r="JL751" i="1"/>
  <c r="JL750" i="1"/>
  <c r="IQ750" i="1"/>
  <c r="JF751" i="1"/>
  <c r="JF750" i="1"/>
  <c r="JO750" i="1"/>
  <c r="GT762" i="1"/>
  <c r="GR762" i="1"/>
  <c r="KB762" i="1"/>
  <c r="JT762" i="1"/>
  <c r="HG762" i="1"/>
  <c r="JS762" i="1"/>
  <c r="IK750" i="1"/>
  <c r="GQ750" i="1"/>
  <c r="IG751" i="1"/>
  <c r="IG750" i="1"/>
  <c r="JH750" i="1"/>
  <c r="IV750" i="1"/>
  <c r="IJ750" i="1"/>
  <c r="GR751" i="1"/>
  <c r="GR750" i="1"/>
  <c r="GT751" i="1"/>
  <c r="KB751" i="1"/>
  <c r="JX750" i="1"/>
  <c r="HG751" i="1"/>
  <c r="HG750" i="1"/>
  <c r="JN750" i="1"/>
  <c r="JB750" i="1"/>
  <c r="IP750" i="1"/>
  <c r="GP750" i="1"/>
  <c r="GU691" i="1"/>
  <c r="GV691" i="1"/>
  <c r="GW691" i="1"/>
  <c r="GX691" i="1"/>
  <c r="GY691" i="1"/>
  <c r="GZ691" i="1"/>
  <c r="HA691" i="1"/>
  <c r="HB691" i="1"/>
  <c r="HC691" i="1"/>
  <c r="HD691" i="1"/>
  <c r="HE691" i="1"/>
  <c r="HF691" i="1"/>
  <c r="HH691" i="1"/>
  <c r="HI691" i="1"/>
  <c r="HJ691" i="1"/>
  <c r="HK691" i="1"/>
  <c r="HL691" i="1"/>
  <c r="HM691" i="1"/>
  <c r="HN691" i="1"/>
  <c r="HO691" i="1"/>
  <c r="HP691" i="1"/>
  <c r="HQ691" i="1"/>
  <c r="HR691" i="1"/>
  <c r="HS691" i="1"/>
  <c r="HT691" i="1"/>
  <c r="HV691" i="1"/>
  <c r="HW691" i="1"/>
  <c r="HX691" i="1"/>
  <c r="HY691" i="1"/>
  <c r="HZ691" i="1"/>
  <c r="IA702" i="1"/>
  <c r="IA691" i="1"/>
  <c r="IB691" i="1"/>
  <c r="IC691" i="1"/>
  <c r="ID691" i="1"/>
  <c r="IE691" i="1"/>
  <c r="II691" i="1"/>
  <c r="IL691" i="1"/>
  <c r="IO691" i="1"/>
  <c r="IR691" i="1"/>
  <c r="IU691" i="1"/>
  <c r="IX691" i="1"/>
  <c r="JD691" i="1"/>
  <c r="JG691" i="1"/>
  <c r="JJ691" i="1"/>
  <c r="JM691" i="1"/>
  <c r="JP691" i="1"/>
  <c r="KB750" i="1"/>
  <c r="IH751" i="1"/>
  <c r="IH750" i="1"/>
  <c r="JT750" i="1"/>
  <c r="KC762" i="1"/>
  <c r="GT750" i="1"/>
  <c r="GS750" i="1"/>
  <c r="KC750" i="1"/>
  <c r="JS751" i="1"/>
  <c r="JS750" i="1"/>
  <c r="KC751" i="1"/>
  <c r="HA791" i="1"/>
  <c r="HD791" i="1"/>
  <c r="HA769" i="1"/>
  <c r="HD769" i="1"/>
  <c r="GV83" i="1"/>
  <c r="GW83" i="1"/>
  <c r="GX83" i="1"/>
  <c r="GY83" i="1"/>
  <c r="GZ83" i="1"/>
  <c r="HA83" i="1"/>
  <c r="GU83" i="1"/>
  <c r="GU199" i="1"/>
  <c r="GU172" i="1"/>
  <c r="GU401" i="1"/>
  <c r="GV279" i="1"/>
  <c r="GW279" i="1"/>
  <c r="GX279" i="1"/>
  <c r="GY279" i="1"/>
  <c r="GZ279" i="1"/>
  <c r="HA279" i="1"/>
  <c r="GU279" i="1"/>
  <c r="GV259" i="1"/>
  <c r="GW259" i="1"/>
  <c r="GX259" i="1"/>
  <c r="GY259" i="1"/>
  <c r="GZ259" i="1"/>
  <c r="HA259" i="1"/>
  <c r="GU259" i="1"/>
  <c r="GV251" i="1"/>
  <c r="GW251" i="1"/>
  <c r="GX251" i="1"/>
  <c r="GY251" i="1"/>
  <c r="GZ251" i="1"/>
  <c r="HA251" i="1"/>
  <c r="GU251" i="1"/>
  <c r="GU227" i="1"/>
  <c r="GV224" i="1"/>
  <c r="GW224" i="1"/>
  <c r="GX224" i="1"/>
  <c r="GY224" i="1"/>
  <c r="GZ224" i="1"/>
  <c r="HA224" i="1"/>
  <c r="GU224" i="1"/>
  <c r="GV220" i="1"/>
  <c r="GV221" i="1"/>
  <c r="GV218" i="1"/>
  <c r="GW220" i="1"/>
  <c r="GW221" i="1"/>
  <c r="GW218" i="1"/>
  <c r="GX220" i="1"/>
  <c r="GX221" i="1"/>
  <c r="GX218" i="1"/>
  <c r="GY220" i="1"/>
  <c r="GY221" i="1"/>
  <c r="GY218" i="1"/>
  <c r="GZ220" i="1"/>
  <c r="GZ221" i="1"/>
  <c r="GZ218" i="1"/>
  <c r="HA220" i="1"/>
  <c r="HA221" i="1"/>
  <c r="HA218" i="1"/>
  <c r="GU220" i="1"/>
  <c r="GU221" i="1"/>
  <c r="GU218" i="1"/>
  <c r="GV215" i="1"/>
  <c r="GV212" i="1"/>
  <c r="GW215" i="1"/>
  <c r="GW212" i="1"/>
  <c r="GX215" i="1"/>
  <c r="GX212" i="1"/>
  <c r="GY215" i="1"/>
  <c r="GY212" i="1"/>
  <c r="GZ215" i="1"/>
  <c r="GZ212" i="1"/>
  <c r="HA215" i="1"/>
  <c r="HA212" i="1"/>
  <c r="GU215" i="1"/>
  <c r="GU212" i="1"/>
  <c r="GU174" i="1"/>
  <c r="GV131" i="1"/>
  <c r="GW131" i="1"/>
  <c r="GX131" i="1"/>
  <c r="GY131" i="1"/>
  <c r="GZ131" i="1"/>
  <c r="HA131" i="1"/>
  <c r="GU131" i="1"/>
  <c r="GV125" i="1"/>
  <c r="GW125" i="1"/>
  <c r="GX125" i="1"/>
  <c r="GY125" i="1"/>
  <c r="GZ125" i="1"/>
  <c r="HA125" i="1"/>
  <c r="GU125" i="1"/>
  <c r="GV118" i="1"/>
  <c r="GW118" i="1"/>
  <c r="GX118" i="1"/>
  <c r="GY118" i="1"/>
  <c r="GZ118" i="1"/>
  <c r="HA118" i="1"/>
  <c r="GU118" i="1"/>
  <c r="GV111" i="1"/>
  <c r="GW111" i="1"/>
  <c r="GX111" i="1"/>
  <c r="GY111" i="1"/>
  <c r="GZ111" i="1"/>
  <c r="HA111" i="1"/>
  <c r="GU111" i="1"/>
  <c r="GV82" i="1"/>
  <c r="GW82" i="1"/>
  <c r="GX82" i="1"/>
  <c r="GY82" i="1"/>
  <c r="GZ82" i="1"/>
  <c r="HA82" i="1"/>
  <c r="GU82" i="1"/>
  <c r="GV63" i="1"/>
  <c r="GW63" i="1"/>
  <c r="GX63" i="1"/>
  <c r="GY63" i="1"/>
  <c r="GZ63" i="1"/>
  <c r="HA63" i="1"/>
  <c r="GU63" i="1"/>
  <c r="GU46" i="1"/>
  <c r="GV38" i="1"/>
  <c r="GW38" i="1"/>
  <c r="GX38" i="1"/>
  <c r="GY38" i="1"/>
  <c r="GZ38" i="1"/>
  <c r="HA38" i="1"/>
  <c r="GU38" i="1"/>
  <c r="GV30" i="1"/>
  <c r="GW30" i="1"/>
  <c r="GX30" i="1"/>
  <c r="GY30" i="1"/>
  <c r="GZ30" i="1"/>
  <c r="HA30" i="1"/>
  <c r="GU30" i="1"/>
  <c r="GV21" i="1"/>
  <c r="GW21" i="1"/>
  <c r="GX21" i="1"/>
  <c r="GY21" i="1"/>
  <c r="GZ21" i="1"/>
  <c r="HA21" i="1"/>
  <c r="GU21" i="1"/>
  <c r="GU23" i="1"/>
  <c r="GU92" i="1"/>
  <c r="GU86" i="1"/>
  <c r="GU80" i="1"/>
  <c r="GU77" i="1"/>
  <c r="GU68" i="1"/>
  <c r="GU58" i="1"/>
  <c r="GU56" i="1"/>
  <c r="GU55" i="1"/>
  <c r="GU54" i="1"/>
  <c r="GU53" i="1"/>
  <c r="GU50" i="1"/>
  <c r="GU40" i="1"/>
  <c r="GU39" i="1"/>
  <c r="GU36" i="1"/>
  <c r="GU28" i="1"/>
  <c r="GU26" i="1"/>
  <c r="GU22" i="1"/>
  <c r="GV17" i="1"/>
  <c r="GW17" i="1"/>
  <c r="GX17" i="1"/>
  <c r="GY17" i="1"/>
  <c r="GZ17" i="1"/>
  <c r="HA17" i="1"/>
  <c r="GU17" i="1"/>
  <c r="GT641" i="1"/>
  <c r="GT635" i="1"/>
  <c r="HS582" i="1"/>
  <c r="HS641" i="1"/>
  <c r="HS639" i="1"/>
  <c r="HS638" i="1"/>
  <c r="HS635" i="1"/>
  <c r="HS596" i="1"/>
  <c r="HS588" i="1"/>
  <c r="HS587" i="1"/>
  <c r="HS586" i="1"/>
  <c r="HS359" i="1"/>
  <c r="HS285" i="1"/>
  <c r="HS284" i="1"/>
  <c r="HS283" i="1"/>
  <c r="HS281" i="1"/>
  <c r="HS280" i="1"/>
  <c r="HS263" i="1"/>
  <c r="HS255" i="1"/>
  <c r="HS253" i="1"/>
  <c r="HS252" i="1"/>
  <c r="HS247" i="1"/>
  <c r="Y66" i="12"/>
  <c r="Y24" i="12"/>
  <c r="IX791" i="1"/>
  <c r="IX769" i="1"/>
  <c r="IX649" i="1"/>
  <c r="IX648" i="1"/>
  <c r="IX647" i="1"/>
  <c r="IX646" i="1"/>
  <c r="IX639" i="1"/>
  <c r="IX638" i="1"/>
  <c r="IX635" i="1"/>
  <c r="IX623" i="1"/>
  <c r="IX601" i="1"/>
  <c r="IX598" i="1"/>
  <c r="IX596" i="1"/>
  <c r="IX595" i="1"/>
  <c r="IX594" i="1"/>
  <c r="IX593" i="1"/>
  <c r="IX588" i="1"/>
  <c r="IX587" i="1"/>
  <c r="IX586" i="1"/>
  <c r="IX582" i="1"/>
  <c r="IX561" i="1"/>
  <c r="IX553" i="1"/>
  <c r="IX552" i="1"/>
  <c r="IX544" i="1"/>
  <c r="IX536" i="1"/>
  <c r="IX524" i="1"/>
  <c r="IX522" i="1"/>
  <c r="IX520" i="1"/>
  <c r="IX498" i="1"/>
  <c r="IX496" i="1"/>
  <c r="IX493" i="1"/>
  <c r="IX489" i="1"/>
  <c r="IX486" i="1"/>
  <c r="IX485" i="1"/>
  <c r="IX484" i="1"/>
  <c r="IX480" i="1"/>
  <c r="IX478" i="1"/>
  <c r="IX477" i="1"/>
  <c r="IX470" i="1"/>
  <c r="IX462" i="1"/>
  <c r="IX456" i="1"/>
  <c r="IX455" i="1"/>
  <c r="IX454" i="1"/>
  <c r="IX453" i="1"/>
  <c r="IX452" i="1"/>
  <c r="IX445" i="1"/>
  <c r="IX441" i="1"/>
  <c r="IX440" i="1"/>
  <c r="IX425" i="1"/>
  <c r="IX414" i="1"/>
  <c r="IX413" i="1"/>
  <c r="IX409" i="1"/>
  <c r="IX408" i="1"/>
  <c r="IX407" i="1"/>
  <c r="IX404" i="1"/>
  <c r="IX403" i="1"/>
  <c r="IX402" i="1"/>
  <c r="IX395" i="1"/>
  <c r="IX384" i="1"/>
  <c r="IX369" i="1"/>
  <c r="IX351" i="1"/>
  <c r="IX284" i="1"/>
  <c r="IX283" i="1"/>
  <c r="IX281" i="1"/>
  <c r="IX280" i="1"/>
  <c r="IX269" i="1"/>
  <c r="IX268" i="1"/>
  <c r="IX265" i="1"/>
  <c r="IX263" i="1"/>
  <c r="IX262" i="1"/>
  <c r="IX261" i="1"/>
  <c r="IX260" i="1"/>
  <c r="IX255" i="1"/>
  <c r="IX253" i="1"/>
  <c r="IX252" i="1"/>
  <c r="IX247" i="1"/>
  <c r="HC587" i="1"/>
  <c r="HD861" i="1"/>
  <c r="HA861" i="1"/>
  <c r="HD839" i="1"/>
  <c r="HA839" i="1"/>
  <c r="HD838" i="1"/>
  <c r="HA838" i="1"/>
  <c r="HD837" i="1"/>
  <c r="HA837" i="1"/>
  <c r="HD835" i="1"/>
  <c r="HA835" i="1"/>
  <c r="HD834" i="1"/>
  <c r="HA834" i="1"/>
  <c r="HD833" i="1"/>
  <c r="HA833" i="1"/>
  <c r="HD832" i="1"/>
  <c r="HA832" i="1"/>
  <c r="HD831" i="1"/>
  <c r="HA831" i="1"/>
  <c r="HD830" i="1"/>
  <c r="HA830" i="1"/>
  <c r="HD829" i="1"/>
  <c r="HA829" i="1"/>
  <c r="HD828" i="1"/>
  <c r="HA828" i="1"/>
  <c r="HD667" i="1"/>
  <c r="HA667" i="1"/>
  <c r="X21" i="12"/>
  <c r="HQ582" i="1"/>
  <c r="HQ641" i="1"/>
  <c r="HQ639" i="1"/>
  <c r="HQ638" i="1"/>
  <c r="HQ635" i="1"/>
  <c r="HQ596" i="1"/>
  <c r="HQ588" i="1"/>
  <c r="HQ587" i="1"/>
  <c r="HQ586" i="1"/>
  <c r="HQ284" i="1"/>
  <c r="HQ283" i="1"/>
  <c r="HQ281" i="1"/>
  <c r="HQ280" i="1"/>
  <c r="HQ263" i="1"/>
  <c r="HQ255" i="1"/>
  <c r="HQ253" i="1"/>
  <c r="HQ252" i="1"/>
  <c r="HQ247" i="1"/>
  <c r="IU791" i="1"/>
  <c r="IU769" i="1"/>
  <c r="IU672" i="1"/>
  <c r="IU649" i="1"/>
  <c r="IU648" i="1"/>
  <c r="IU647" i="1"/>
  <c r="IU646" i="1"/>
  <c r="IU639" i="1"/>
  <c r="IU638" i="1"/>
  <c r="IU635" i="1"/>
  <c r="IU623" i="1"/>
  <c r="IU601" i="1"/>
  <c r="IU598" i="1"/>
  <c r="IU596" i="1"/>
  <c r="IU595" i="1"/>
  <c r="IU594" i="1"/>
  <c r="IU593" i="1"/>
  <c r="IU588" i="1"/>
  <c r="IU587" i="1"/>
  <c r="IU586" i="1"/>
  <c r="IU582" i="1"/>
  <c r="IU553" i="1"/>
  <c r="IU552" i="1"/>
  <c r="IU544" i="1"/>
  <c r="IU536" i="1"/>
  <c r="IU524" i="1"/>
  <c r="IU522" i="1"/>
  <c r="IU520" i="1"/>
  <c r="IU498" i="1"/>
  <c r="IU496" i="1"/>
  <c r="IU493" i="1"/>
  <c r="IU491" i="1"/>
  <c r="IU490" i="1"/>
  <c r="IU489" i="1"/>
  <c r="IU486" i="1"/>
  <c r="IU485" i="1"/>
  <c r="IU484" i="1"/>
  <c r="IU480" i="1"/>
  <c r="IU478" i="1"/>
  <c r="IU477" i="1"/>
  <c r="IU470" i="1"/>
  <c r="IU462" i="1"/>
  <c r="IU460" i="1"/>
  <c r="IU456" i="1"/>
  <c r="IU455" i="1"/>
  <c r="IU454" i="1"/>
  <c r="IU453" i="1"/>
  <c r="IU452" i="1"/>
  <c r="IU445" i="1"/>
  <c r="IU441" i="1"/>
  <c r="IU440" i="1"/>
  <c r="IU425" i="1"/>
  <c r="IU414" i="1"/>
  <c r="IU409" i="1"/>
  <c r="IU408" i="1"/>
  <c r="IU407" i="1"/>
  <c r="IU404" i="1"/>
  <c r="IU403" i="1"/>
  <c r="IU402" i="1"/>
  <c r="IU399" i="1"/>
  <c r="IU395" i="1"/>
  <c r="IU392" i="1"/>
  <c r="IU384" i="1"/>
  <c r="HG376" i="1"/>
  <c r="IU369" i="1"/>
  <c r="IU284" i="1"/>
  <c r="IU283" i="1"/>
  <c r="IU281" i="1"/>
  <c r="IU280" i="1"/>
  <c r="IU268" i="1"/>
  <c r="IU265" i="1"/>
  <c r="IU263" i="1"/>
  <c r="IU262" i="1"/>
  <c r="IU261" i="1"/>
  <c r="IU260" i="1"/>
  <c r="IU255" i="1"/>
  <c r="IU253" i="1"/>
  <c r="IU252" i="1"/>
  <c r="IU247" i="1"/>
  <c r="X69" i="12"/>
  <c r="X68" i="12"/>
  <c r="GT376" i="1"/>
  <c r="GV40" i="1"/>
  <c r="GW40" i="1"/>
  <c r="GX40" i="1"/>
  <c r="GY40" i="1"/>
  <c r="GZ40" i="1"/>
  <c r="HA40" i="1"/>
  <c r="HB40" i="1"/>
  <c r="HC40" i="1"/>
  <c r="HD40" i="1"/>
  <c r="HE40" i="1"/>
  <c r="HF40" i="1"/>
  <c r="HG40" i="1"/>
  <c r="HH40" i="1"/>
  <c r="HI40" i="1"/>
  <c r="HJ40" i="1"/>
  <c r="HK40" i="1"/>
  <c r="HL40" i="1"/>
  <c r="HM40" i="1"/>
  <c r="HN40" i="1"/>
  <c r="HO40" i="1"/>
  <c r="HP40" i="1"/>
  <c r="HQ40" i="1"/>
  <c r="HR40" i="1"/>
  <c r="HS40" i="1"/>
  <c r="HT40" i="1"/>
  <c r="HU40" i="1"/>
  <c r="HV40" i="1"/>
  <c r="HW40" i="1"/>
  <c r="HX40" i="1"/>
  <c r="HY40" i="1"/>
  <c r="HZ40" i="1"/>
  <c r="IA40" i="1"/>
  <c r="IB40" i="1"/>
  <c r="IC40" i="1"/>
  <c r="ID40" i="1"/>
  <c r="IE40" i="1"/>
  <c r="IF269" i="1"/>
  <c r="JT269" i="1"/>
  <c r="IV269" i="1"/>
  <c r="IW269" i="1"/>
  <c r="II40" i="1"/>
  <c r="IL40" i="1"/>
  <c r="IO40" i="1"/>
  <c r="IR40" i="1"/>
  <c r="IU40" i="1"/>
  <c r="IX40" i="1"/>
  <c r="JA40" i="1"/>
  <c r="JD40" i="1"/>
  <c r="JG40" i="1"/>
  <c r="JJ40" i="1"/>
  <c r="JM40" i="1"/>
  <c r="JP40" i="1"/>
  <c r="JQ40" i="1"/>
  <c r="JR40" i="1"/>
  <c r="JS269" i="1"/>
  <c r="GV39" i="1"/>
  <c r="GW39" i="1"/>
  <c r="GX39" i="1"/>
  <c r="GY39" i="1"/>
  <c r="GZ39" i="1"/>
  <c r="HA39" i="1"/>
  <c r="HB39" i="1"/>
  <c r="HC39" i="1"/>
  <c r="HD39" i="1"/>
  <c r="HE39" i="1"/>
  <c r="HF39" i="1"/>
  <c r="HH39" i="1"/>
  <c r="HI39" i="1"/>
  <c r="HJ39" i="1"/>
  <c r="HK39" i="1"/>
  <c r="HL39" i="1"/>
  <c r="HM39" i="1"/>
  <c r="HN39" i="1"/>
  <c r="HO39" i="1"/>
  <c r="HP39" i="1"/>
  <c r="HQ39" i="1"/>
  <c r="HR39" i="1"/>
  <c r="HS39" i="1"/>
  <c r="HT39" i="1"/>
  <c r="HU39" i="1"/>
  <c r="HV39" i="1"/>
  <c r="HW39" i="1"/>
  <c r="HX39" i="1"/>
  <c r="HY39" i="1"/>
  <c r="HZ39" i="1"/>
  <c r="IA39" i="1"/>
  <c r="IB39" i="1"/>
  <c r="IC39" i="1"/>
  <c r="ID39" i="1"/>
  <c r="IE39" i="1"/>
  <c r="IF268" i="1"/>
  <c r="IF601" i="1"/>
  <c r="IV268" i="1"/>
  <c r="IV601" i="1"/>
  <c r="IW601" i="1"/>
  <c r="IW268" i="1"/>
  <c r="II39" i="1"/>
  <c r="IL39" i="1"/>
  <c r="IO39" i="1"/>
  <c r="IR39" i="1"/>
  <c r="IU39" i="1"/>
  <c r="IX39" i="1"/>
  <c r="JA39" i="1"/>
  <c r="JD39" i="1"/>
  <c r="JG39" i="1"/>
  <c r="JJ39" i="1"/>
  <c r="JM39" i="1"/>
  <c r="JP39" i="1"/>
  <c r="JQ39" i="1"/>
  <c r="JR39" i="1"/>
  <c r="GR376" i="1"/>
  <c r="GR40" i="1"/>
  <c r="GQ39" i="1"/>
  <c r="GQ40" i="1"/>
  <c r="GO40" i="1"/>
  <c r="GN40" i="1"/>
  <c r="GO39" i="1"/>
  <c r="GN39" i="1"/>
  <c r="GM40" i="1"/>
  <c r="GL40" i="1"/>
  <c r="GM39" i="1"/>
  <c r="GL39" i="1"/>
  <c r="GK40" i="1"/>
  <c r="GJ40" i="1"/>
  <c r="GK39" i="1"/>
  <c r="GJ39" i="1"/>
  <c r="GI40" i="1"/>
  <c r="GH40" i="1"/>
  <c r="GI39" i="1"/>
  <c r="GH39" i="1"/>
  <c r="GG40" i="1"/>
  <c r="GF40" i="1"/>
  <c r="GG39" i="1"/>
  <c r="GF39" i="1"/>
  <c r="GE40" i="1"/>
  <c r="GD40" i="1"/>
  <c r="GE39" i="1"/>
  <c r="GD39" i="1"/>
  <c r="GC40" i="1"/>
  <c r="GB40" i="1"/>
  <c r="GC39" i="1"/>
  <c r="GB39" i="1"/>
  <c r="GA40" i="1"/>
  <c r="FZ40" i="1"/>
  <c r="GA39" i="1"/>
  <c r="FZ39" i="1"/>
  <c r="FY40" i="1"/>
  <c r="FX40" i="1"/>
  <c r="FY39" i="1"/>
  <c r="FX39" i="1"/>
  <c r="FW40" i="1"/>
  <c r="FV40" i="1"/>
  <c r="FW39" i="1"/>
  <c r="FV39" i="1"/>
  <c r="FU40" i="1"/>
  <c r="FT40" i="1"/>
  <c r="FU39" i="1"/>
  <c r="FT39" i="1"/>
  <c r="FS40" i="1"/>
  <c r="FR40" i="1"/>
  <c r="FS39" i="1"/>
  <c r="FR39" i="1"/>
  <c r="FQ40" i="1"/>
  <c r="FP40" i="1"/>
  <c r="FQ39" i="1"/>
  <c r="FP39" i="1"/>
  <c r="FO40" i="1"/>
  <c r="FN40" i="1"/>
  <c r="FO39" i="1"/>
  <c r="FN39" i="1"/>
  <c r="FM40" i="1"/>
  <c r="FL40" i="1"/>
  <c r="FM39" i="1"/>
  <c r="FL39" i="1"/>
  <c r="FK40" i="1"/>
  <c r="FJ40" i="1"/>
  <c r="FK39" i="1"/>
  <c r="FJ39" i="1"/>
  <c r="FI40" i="1"/>
  <c r="FH40" i="1"/>
  <c r="FI39" i="1"/>
  <c r="FH39" i="1"/>
  <c r="FG40" i="1"/>
  <c r="FF40" i="1"/>
  <c r="FG39" i="1"/>
  <c r="FF39" i="1"/>
  <c r="FE40" i="1"/>
  <c r="FD40" i="1"/>
  <c r="FE39" i="1"/>
  <c r="FD39" i="1"/>
  <c r="FC40" i="1"/>
  <c r="FB40" i="1"/>
  <c r="FC39" i="1"/>
  <c r="FB39" i="1"/>
  <c r="FA40" i="1"/>
  <c r="EZ40" i="1"/>
  <c r="FA39" i="1"/>
  <c r="EZ39" i="1"/>
  <c r="EY40" i="1"/>
  <c r="EX40" i="1"/>
  <c r="EY39" i="1"/>
  <c r="EX39" i="1"/>
  <c r="EW40" i="1"/>
  <c r="EV40" i="1"/>
  <c r="EW39" i="1"/>
  <c r="EV39" i="1"/>
  <c r="EU40" i="1"/>
  <c r="ET40" i="1"/>
  <c r="EU39" i="1"/>
  <c r="ET39" i="1"/>
  <c r="ES40" i="1"/>
  <c r="ER40" i="1"/>
  <c r="ES39" i="1"/>
  <c r="ER39" i="1"/>
  <c r="EQ40" i="1"/>
  <c r="EP40" i="1"/>
  <c r="EQ39" i="1"/>
  <c r="EP39" i="1"/>
  <c r="EO40" i="1"/>
  <c r="EN40" i="1"/>
  <c r="EO39" i="1"/>
  <c r="EN39" i="1"/>
  <c r="EM40" i="1"/>
  <c r="EL40" i="1"/>
  <c r="EM39" i="1"/>
  <c r="EL39" i="1"/>
  <c r="EK40" i="1"/>
  <c r="EJ40" i="1"/>
  <c r="EK39" i="1"/>
  <c r="EJ39" i="1"/>
  <c r="EI40" i="1"/>
  <c r="EH40" i="1"/>
  <c r="EI39" i="1"/>
  <c r="EH39" i="1"/>
  <c r="EG40" i="1"/>
  <c r="EF40" i="1"/>
  <c r="EG39" i="1"/>
  <c r="EF39" i="1"/>
  <c r="EE40" i="1"/>
  <c r="ED40" i="1"/>
  <c r="EE39" i="1"/>
  <c r="ED39" i="1"/>
  <c r="EC40" i="1"/>
  <c r="EB40" i="1"/>
  <c r="EC39" i="1"/>
  <c r="EB39" i="1"/>
  <c r="EA40" i="1"/>
  <c r="DZ40" i="1"/>
  <c r="EA39" i="1"/>
  <c r="DZ39" i="1"/>
  <c r="DY40" i="1"/>
  <c r="DX40" i="1"/>
  <c r="DY39" i="1"/>
  <c r="DX39" i="1"/>
  <c r="DW40" i="1"/>
  <c r="DV40" i="1"/>
  <c r="DW39" i="1"/>
  <c r="DV39" i="1"/>
  <c r="DU40" i="1"/>
  <c r="DT40" i="1"/>
  <c r="DU39" i="1"/>
  <c r="DT39" i="1"/>
  <c r="DS40" i="1"/>
  <c r="DR40" i="1"/>
  <c r="DS39" i="1"/>
  <c r="DR39" i="1"/>
  <c r="DQ40" i="1"/>
  <c r="DP40" i="1"/>
  <c r="DQ39" i="1"/>
  <c r="DP39" i="1"/>
  <c r="DO40" i="1"/>
  <c r="DN40" i="1"/>
  <c r="DO39" i="1"/>
  <c r="DN39" i="1"/>
  <c r="DM40" i="1"/>
  <c r="DL40" i="1"/>
  <c r="DM39" i="1"/>
  <c r="DL39" i="1"/>
  <c r="DK40" i="1"/>
  <c r="DJ40" i="1"/>
  <c r="DK39" i="1"/>
  <c r="DJ39" i="1"/>
  <c r="DI40" i="1"/>
  <c r="DH40" i="1"/>
  <c r="DI39" i="1"/>
  <c r="DH39" i="1"/>
  <c r="DG40" i="1"/>
  <c r="DF40" i="1"/>
  <c r="DG39" i="1"/>
  <c r="DF39" i="1"/>
  <c r="DE40" i="1"/>
  <c r="DD40" i="1"/>
  <c r="DE39" i="1"/>
  <c r="DD39" i="1"/>
  <c r="DC40" i="1"/>
  <c r="DB40" i="1"/>
  <c r="DC39" i="1"/>
  <c r="DB39" i="1"/>
  <c r="DA40" i="1"/>
  <c r="CZ40" i="1"/>
  <c r="DA39" i="1"/>
  <c r="CZ39" i="1"/>
  <c r="CY40" i="1"/>
  <c r="CX40" i="1"/>
  <c r="CY39" i="1"/>
  <c r="CX39" i="1"/>
  <c r="CW40" i="1"/>
  <c r="CV40" i="1"/>
  <c r="CW39" i="1"/>
  <c r="CV39" i="1"/>
  <c r="CU40" i="1"/>
  <c r="CT40" i="1"/>
  <c r="CU39" i="1"/>
  <c r="CT39" i="1"/>
  <c r="CS40" i="1"/>
  <c r="CR40" i="1"/>
  <c r="CS39" i="1"/>
  <c r="CR39" i="1"/>
  <c r="CQ40" i="1"/>
  <c r="CP40" i="1"/>
  <c r="CQ39" i="1"/>
  <c r="CP39" i="1"/>
  <c r="CO40" i="1"/>
  <c r="CN40" i="1"/>
  <c r="CO39" i="1"/>
  <c r="CN39" i="1"/>
  <c r="CM40" i="1"/>
  <c r="CL40" i="1"/>
  <c r="CM39" i="1"/>
  <c r="CL39" i="1"/>
  <c r="CK40" i="1"/>
  <c r="CJ40" i="1"/>
  <c r="CK39" i="1"/>
  <c r="CJ39" i="1"/>
  <c r="CI40" i="1"/>
  <c r="CH40" i="1"/>
  <c r="CI39" i="1"/>
  <c r="CH39" i="1"/>
  <c r="CG40" i="1"/>
  <c r="CF40" i="1"/>
  <c r="CG39" i="1"/>
  <c r="CF39" i="1"/>
  <c r="CE40" i="1"/>
  <c r="CD40" i="1"/>
  <c r="CE39" i="1"/>
  <c r="CD39" i="1"/>
  <c r="CC40" i="1"/>
  <c r="CB40" i="1"/>
  <c r="CC39" i="1"/>
  <c r="CB39" i="1"/>
  <c r="CA40" i="1"/>
  <c r="BZ40" i="1"/>
  <c r="CA39" i="1"/>
  <c r="BZ39" i="1"/>
  <c r="BY40" i="1"/>
  <c r="BX40" i="1"/>
  <c r="BY39" i="1"/>
  <c r="BX39" i="1"/>
  <c r="BW40" i="1"/>
  <c r="BV40" i="1"/>
  <c r="BW39" i="1"/>
  <c r="BV39" i="1"/>
  <c r="BU40" i="1"/>
  <c r="BT40" i="1"/>
  <c r="BU39" i="1"/>
  <c r="BT39" i="1"/>
  <c r="BS40" i="1"/>
  <c r="BR40" i="1"/>
  <c r="BS39" i="1"/>
  <c r="BR39" i="1"/>
  <c r="BQ40" i="1"/>
  <c r="BP40" i="1"/>
  <c r="BQ39" i="1"/>
  <c r="BP39" i="1"/>
  <c r="BO40" i="1"/>
  <c r="BN40" i="1"/>
  <c r="BO39" i="1"/>
  <c r="BN39" i="1"/>
  <c r="BM40" i="1"/>
  <c r="BL40" i="1"/>
  <c r="BM39" i="1"/>
  <c r="BL39" i="1"/>
  <c r="BK40" i="1"/>
  <c r="BJ40" i="1"/>
  <c r="BK39" i="1"/>
  <c r="BJ39" i="1"/>
  <c r="BC40" i="1"/>
  <c r="BC39" i="1"/>
  <c r="BD39" i="1"/>
  <c r="BE39" i="1"/>
  <c r="BF39" i="1"/>
  <c r="BG39" i="1"/>
  <c r="BH39" i="1"/>
  <c r="BI39" i="1"/>
  <c r="D40" i="1"/>
  <c r="E40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U40" i="1"/>
  <c r="V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P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D39" i="1"/>
  <c r="E39" i="1"/>
  <c r="F39" i="1"/>
  <c r="G39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U39" i="1"/>
  <c r="V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AP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C39" i="1"/>
  <c r="HD823" i="1"/>
  <c r="HA823" i="1"/>
  <c r="HD820" i="1"/>
  <c r="HA820" i="1"/>
  <c r="HD818" i="1"/>
  <c r="HA818" i="1"/>
  <c r="HD816" i="1"/>
  <c r="HA816" i="1"/>
  <c r="HD812" i="1"/>
  <c r="HA812" i="1"/>
  <c r="HD811" i="1"/>
  <c r="HA811" i="1"/>
  <c r="HD806" i="1"/>
  <c r="HA806" i="1"/>
  <c r="HD797" i="1"/>
  <c r="HA797" i="1"/>
  <c r="HD788" i="1"/>
  <c r="HA788" i="1"/>
  <c r="HD786" i="1"/>
  <c r="HA786" i="1"/>
  <c r="HD784" i="1"/>
  <c r="HA784" i="1"/>
  <c r="HA746" i="1"/>
  <c r="HD746" i="1"/>
  <c r="HA740" i="1"/>
  <c r="HD740" i="1"/>
  <c r="HA736" i="1"/>
  <c r="HD736" i="1"/>
  <c r="HA709" i="1"/>
  <c r="HD709" i="1"/>
  <c r="HA682" i="1"/>
  <c r="HD682" i="1"/>
  <c r="GP811" i="1"/>
  <c r="JZ811" i="1"/>
  <c r="JY846" i="1"/>
  <c r="JY847" i="1"/>
  <c r="JY848" i="1"/>
  <c r="JY849" i="1"/>
  <c r="JY851" i="1"/>
  <c r="JX869" i="1"/>
  <c r="JY869" i="1"/>
  <c r="JY868" i="1"/>
  <c r="KA869" i="1"/>
  <c r="KA868" i="1"/>
  <c r="JX868" i="1"/>
  <c r="GY783" i="1"/>
  <c r="GY790" i="1"/>
  <c r="HA783" i="1"/>
  <c r="HA790" i="1"/>
  <c r="HD783" i="1"/>
  <c r="HD790" i="1"/>
  <c r="HQ845" i="1"/>
  <c r="IF769" i="1"/>
  <c r="IF791" i="1"/>
  <c r="IV769" i="1"/>
  <c r="IW769" i="1"/>
  <c r="IV791" i="1"/>
  <c r="IW791" i="1"/>
  <c r="IU768" i="1"/>
  <c r="IU790" i="1"/>
  <c r="BH790" i="1"/>
  <c r="GP869" i="1"/>
  <c r="GT869" i="1"/>
  <c r="GT868" i="1"/>
  <c r="IF869" i="1"/>
  <c r="JQ869" i="1"/>
  <c r="JR869" i="1"/>
  <c r="JN869" i="1"/>
  <c r="JO869" i="1"/>
  <c r="JK869" i="1"/>
  <c r="JL869" i="1"/>
  <c r="JH869" i="1"/>
  <c r="JI869" i="1"/>
  <c r="JE869" i="1"/>
  <c r="JF869" i="1"/>
  <c r="JB869" i="1"/>
  <c r="JC869" i="1"/>
  <c r="IY869" i="1"/>
  <c r="IZ869" i="1"/>
  <c r="IV869" i="1"/>
  <c r="IW869" i="1"/>
  <c r="IS869" i="1"/>
  <c r="IT869" i="1"/>
  <c r="IP869" i="1"/>
  <c r="IQ869" i="1"/>
  <c r="IM869" i="1"/>
  <c r="IN869" i="1"/>
  <c r="IJ869" i="1"/>
  <c r="IK869" i="1"/>
  <c r="IH869" i="1"/>
  <c r="IG869" i="1"/>
  <c r="HD869" i="1"/>
  <c r="HA869" i="1"/>
  <c r="JR868" i="1"/>
  <c r="JQ868" i="1"/>
  <c r="JP868" i="1"/>
  <c r="JO868" i="1"/>
  <c r="JN868" i="1"/>
  <c r="JM868" i="1"/>
  <c r="JL868" i="1"/>
  <c r="JK868" i="1"/>
  <c r="JJ868" i="1"/>
  <c r="JI868" i="1"/>
  <c r="JH868" i="1"/>
  <c r="JG868" i="1"/>
  <c r="JF868" i="1"/>
  <c r="JE868" i="1"/>
  <c r="JD868" i="1"/>
  <c r="JC868" i="1"/>
  <c r="JB868" i="1"/>
  <c r="JA868" i="1"/>
  <c r="IZ868" i="1"/>
  <c r="IY868" i="1"/>
  <c r="IX868" i="1"/>
  <c r="IW868" i="1"/>
  <c r="IV868" i="1"/>
  <c r="IU868" i="1"/>
  <c r="IT868" i="1"/>
  <c r="IS868" i="1"/>
  <c r="IR868" i="1"/>
  <c r="IQ868" i="1"/>
  <c r="IP868" i="1"/>
  <c r="IO868" i="1"/>
  <c r="IN868" i="1"/>
  <c r="IM868" i="1"/>
  <c r="IL868" i="1"/>
  <c r="IK868" i="1"/>
  <c r="IJ868" i="1"/>
  <c r="II868" i="1"/>
  <c r="IH868" i="1"/>
  <c r="IG868" i="1"/>
  <c r="IF868" i="1"/>
  <c r="IE868" i="1"/>
  <c r="ID868" i="1"/>
  <c r="IC868" i="1"/>
  <c r="IB868" i="1"/>
  <c r="IA868" i="1"/>
  <c r="HZ868" i="1"/>
  <c r="HY868" i="1"/>
  <c r="HX868" i="1"/>
  <c r="HW868" i="1"/>
  <c r="HV868" i="1"/>
  <c r="HU868" i="1"/>
  <c r="HT868" i="1"/>
  <c r="HS868" i="1"/>
  <c r="HR868" i="1"/>
  <c r="HQ868" i="1"/>
  <c r="HP868" i="1"/>
  <c r="HO868" i="1"/>
  <c r="HN868" i="1"/>
  <c r="HM868" i="1"/>
  <c r="HL868" i="1"/>
  <c r="HK868" i="1"/>
  <c r="HJ868" i="1"/>
  <c r="HI868" i="1"/>
  <c r="HH868" i="1"/>
  <c r="HF868" i="1"/>
  <c r="HE868" i="1"/>
  <c r="HD868" i="1"/>
  <c r="HC868" i="1"/>
  <c r="HB868" i="1"/>
  <c r="HA868" i="1"/>
  <c r="GZ868" i="1"/>
  <c r="GY868" i="1"/>
  <c r="GX868" i="1"/>
  <c r="GW868" i="1"/>
  <c r="GV868" i="1"/>
  <c r="GU868" i="1"/>
  <c r="GQ868" i="1"/>
  <c r="GO868" i="1"/>
  <c r="GN868" i="1"/>
  <c r="GM868" i="1"/>
  <c r="GL868" i="1"/>
  <c r="GK868" i="1"/>
  <c r="GJ868" i="1"/>
  <c r="GI868" i="1"/>
  <c r="GH868" i="1"/>
  <c r="GG868" i="1"/>
  <c r="GF868" i="1"/>
  <c r="GE868" i="1"/>
  <c r="GD868" i="1"/>
  <c r="GC868" i="1"/>
  <c r="GB868" i="1"/>
  <c r="GA868" i="1"/>
  <c r="FZ868" i="1"/>
  <c r="FY868" i="1"/>
  <c r="FX868" i="1"/>
  <c r="FW868" i="1"/>
  <c r="FV868" i="1"/>
  <c r="FU868" i="1"/>
  <c r="FT868" i="1"/>
  <c r="FS868" i="1"/>
  <c r="FR868" i="1"/>
  <c r="FQ868" i="1"/>
  <c r="FP868" i="1"/>
  <c r="FO868" i="1"/>
  <c r="FN868" i="1"/>
  <c r="FM868" i="1"/>
  <c r="FL868" i="1"/>
  <c r="FK868" i="1"/>
  <c r="FJ868" i="1"/>
  <c r="FI868" i="1"/>
  <c r="FH868" i="1"/>
  <c r="FG868" i="1"/>
  <c r="FF868" i="1"/>
  <c r="FE868" i="1"/>
  <c r="FD868" i="1"/>
  <c r="FC868" i="1"/>
  <c r="FB868" i="1"/>
  <c r="FA868" i="1"/>
  <c r="EZ868" i="1"/>
  <c r="EY868" i="1"/>
  <c r="EX868" i="1"/>
  <c r="EW868" i="1"/>
  <c r="EV868" i="1"/>
  <c r="EU868" i="1"/>
  <c r="ET868" i="1"/>
  <c r="ES868" i="1"/>
  <c r="ER868" i="1"/>
  <c r="EQ868" i="1"/>
  <c r="EP868" i="1"/>
  <c r="EO868" i="1"/>
  <c r="EN868" i="1"/>
  <c r="EM868" i="1"/>
  <c r="EL868" i="1"/>
  <c r="EK868" i="1"/>
  <c r="EJ868" i="1"/>
  <c r="EI868" i="1"/>
  <c r="EH868" i="1"/>
  <c r="EG868" i="1"/>
  <c r="EF868" i="1"/>
  <c r="EE868" i="1"/>
  <c r="ED868" i="1"/>
  <c r="EC868" i="1"/>
  <c r="EB868" i="1"/>
  <c r="EA868" i="1"/>
  <c r="DZ868" i="1"/>
  <c r="DY868" i="1"/>
  <c r="DX868" i="1"/>
  <c r="DW868" i="1"/>
  <c r="DV868" i="1"/>
  <c r="DU868" i="1"/>
  <c r="DT868" i="1"/>
  <c r="DS868" i="1"/>
  <c r="DR868" i="1"/>
  <c r="DQ868" i="1"/>
  <c r="DP868" i="1"/>
  <c r="DO868" i="1"/>
  <c r="DN868" i="1"/>
  <c r="DM868" i="1"/>
  <c r="DL868" i="1"/>
  <c r="DK868" i="1"/>
  <c r="DJ868" i="1"/>
  <c r="DI868" i="1"/>
  <c r="DH868" i="1"/>
  <c r="DG868" i="1"/>
  <c r="DF868" i="1"/>
  <c r="DE868" i="1"/>
  <c r="DD868" i="1"/>
  <c r="DC868" i="1"/>
  <c r="DB868" i="1"/>
  <c r="DA868" i="1"/>
  <c r="CZ868" i="1"/>
  <c r="CY868" i="1"/>
  <c r="CX868" i="1"/>
  <c r="CW868" i="1"/>
  <c r="CV868" i="1"/>
  <c r="CU868" i="1"/>
  <c r="CT868" i="1"/>
  <c r="CS868" i="1"/>
  <c r="CR868" i="1"/>
  <c r="CQ868" i="1"/>
  <c r="CP868" i="1"/>
  <c r="CO868" i="1"/>
  <c r="CN868" i="1"/>
  <c r="CM868" i="1"/>
  <c r="CL868" i="1"/>
  <c r="CK868" i="1"/>
  <c r="CJ868" i="1"/>
  <c r="CI868" i="1"/>
  <c r="CH868" i="1"/>
  <c r="CG868" i="1"/>
  <c r="CF868" i="1"/>
  <c r="CE868" i="1"/>
  <c r="CD868" i="1"/>
  <c r="CC868" i="1"/>
  <c r="CB868" i="1"/>
  <c r="CA868" i="1"/>
  <c r="BZ868" i="1"/>
  <c r="BY868" i="1"/>
  <c r="BX868" i="1"/>
  <c r="BW868" i="1"/>
  <c r="BV868" i="1"/>
  <c r="BU868" i="1"/>
  <c r="BT868" i="1"/>
  <c r="BS868" i="1"/>
  <c r="BR868" i="1"/>
  <c r="BQ868" i="1"/>
  <c r="BP868" i="1"/>
  <c r="BO868" i="1"/>
  <c r="BN868" i="1"/>
  <c r="BM868" i="1"/>
  <c r="BL868" i="1"/>
  <c r="BK868" i="1"/>
  <c r="BJ868" i="1"/>
  <c r="BI868" i="1"/>
  <c r="BH868" i="1"/>
  <c r="BG868" i="1"/>
  <c r="BF868" i="1"/>
  <c r="BE868" i="1"/>
  <c r="BD868" i="1"/>
  <c r="BC868" i="1"/>
  <c r="BB868" i="1"/>
  <c r="BA868" i="1"/>
  <c r="AZ868" i="1"/>
  <c r="AY868" i="1"/>
  <c r="AX868" i="1"/>
  <c r="C868" i="1"/>
  <c r="HD866" i="1"/>
  <c r="HA866" i="1"/>
  <c r="HA853" i="1"/>
  <c r="HD853" i="1"/>
  <c r="HD852" i="1"/>
  <c r="HA852" i="1"/>
  <c r="HA851" i="1"/>
  <c r="HD851" i="1"/>
  <c r="HD849" i="1"/>
  <c r="HA849" i="1"/>
  <c r="HA848" i="1"/>
  <c r="HD848" i="1"/>
  <c r="HA847" i="1"/>
  <c r="HD847" i="1"/>
  <c r="HD846" i="1"/>
  <c r="HA846" i="1"/>
  <c r="HA735" i="1"/>
  <c r="HD735" i="1"/>
  <c r="HA734" i="1"/>
  <c r="HD734" i="1"/>
  <c r="GP853" i="1"/>
  <c r="GQ853" i="1"/>
  <c r="GP852" i="1"/>
  <c r="GQ852" i="1"/>
  <c r="GQ851" i="1"/>
  <c r="HG851" i="1"/>
  <c r="GP851" i="1"/>
  <c r="GP850" i="1"/>
  <c r="GQ850" i="1"/>
  <c r="GQ849" i="1"/>
  <c r="GP849" i="1"/>
  <c r="GQ848" i="1"/>
  <c r="GP848" i="1"/>
  <c r="GQ847" i="1"/>
  <c r="GP847" i="1"/>
  <c r="GQ846" i="1"/>
  <c r="GP846" i="1"/>
  <c r="HG846" i="1"/>
  <c r="GP839" i="1"/>
  <c r="GP838" i="1"/>
  <c r="GQ838" i="1"/>
  <c r="GP837" i="1"/>
  <c r="GQ837" i="1"/>
  <c r="GP836" i="1"/>
  <c r="GQ836" i="1"/>
  <c r="GP835" i="1"/>
  <c r="GQ835" i="1"/>
  <c r="GP833" i="1"/>
  <c r="GQ833" i="1"/>
  <c r="GP832" i="1"/>
  <c r="GQ832" i="1"/>
  <c r="GP831" i="1"/>
  <c r="GQ831" i="1"/>
  <c r="GP830" i="1"/>
  <c r="GQ830" i="1"/>
  <c r="GP829" i="1"/>
  <c r="GQ829" i="1"/>
  <c r="GP828" i="1"/>
  <c r="GQ828" i="1"/>
  <c r="GP823" i="1"/>
  <c r="GQ823" i="1"/>
  <c r="GP822" i="1"/>
  <c r="GQ822" i="1"/>
  <c r="GP821" i="1"/>
  <c r="GQ821" i="1"/>
  <c r="GP820" i="1"/>
  <c r="GQ820" i="1"/>
  <c r="GP819" i="1"/>
  <c r="GQ819" i="1"/>
  <c r="GP818" i="1"/>
  <c r="GQ818" i="1"/>
  <c r="GP817" i="1"/>
  <c r="GQ817" i="1"/>
  <c r="GP816" i="1"/>
  <c r="GQ816" i="1"/>
  <c r="GP815" i="1"/>
  <c r="GQ815" i="1"/>
  <c r="GP814" i="1"/>
  <c r="GQ814" i="1"/>
  <c r="GP813" i="1"/>
  <c r="GQ813" i="1"/>
  <c r="GP812" i="1"/>
  <c r="GQ812" i="1"/>
  <c r="GQ811" i="1"/>
  <c r="GP810" i="1"/>
  <c r="GQ810" i="1"/>
  <c r="GP809" i="1"/>
  <c r="GQ809" i="1"/>
  <c r="GP808" i="1"/>
  <c r="GQ808" i="1"/>
  <c r="GP807" i="1"/>
  <c r="GQ807" i="1"/>
  <c r="GP806" i="1"/>
  <c r="GQ806" i="1"/>
  <c r="GP805" i="1"/>
  <c r="GQ805" i="1"/>
  <c r="GP804" i="1"/>
  <c r="GQ804" i="1"/>
  <c r="GP803" i="1"/>
  <c r="GQ803" i="1"/>
  <c r="GP802" i="1"/>
  <c r="GQ802" i="1"/>
  <c r="GP801" i="1"/>
  <c r="GQ801" i="1"/>
  <c r="GP800" i="1"/>
  <c r="GQ800" i="1"/>
  <c r="GP799" i="1"/>
  <c r="GQ799" i="1"/>
  <c r="GP798" i="1"/>
  <c r="GQ798" i="1"/>
  <c r="GP797" i="1"/>
  <c r="GP796" i="1"/>
  <c r="GQ796" i="1"/>
  <c r="GP795" i="1"/>
  <c r="GQ795" i="1"/>
  <c r="GP794" i="1"/>
  <c r="GQ794" i="1"/>
  <c r="GP793" i="1"/>
  <c r="GQ793" i="1"/>
  <c r="GP792" i="1"/>
  <c r="GQ792" i="1"/>
  <c r="GP791" i="1"/>
  <c r="GP790" i="1"/>
  <c r="GQ791" i="1"/>
  <c r="GP788" i="1"/>
  <c r="GQ788" i="1"/>
  <c r="GT788" i="1"/>
  <c r="GP787" i="1"/>
  <c r="GQ787" i="1"/>
  <c r="GP786" i="1"/>
  <c r="GQ786" i="1"/>
  <c r="GT786" i="1"/>
  <c r="GP785" i="1"/>
  <c r="GQ785" i="1"/>
  <c r="GP784" i="1"/>
  <c r="GQ784" i="1"/>
  <c r="GT784" i="1"/>
  <c r="GP781" i="1"/>
  <c r="GQ781" i="1"/>
  <c r="GP780" i="1"/>
  <c r="GQ780" i="1"/>
  <c r="GP779" i="1"/>
  <c r="GQ779" i="1"/>
  <c r="GP778" i="1"/>
  <c r="GQ778" i="1"/>
  <c r="GP777" i="1"/>
  <c r="GQ777" i="1"/>
  <c r="GP776" i="1"/>
  <c r="GP775" i="1"/>
  <c r="GQ775" i="1"/>
  <c r="GP774" i="1"/>
  <c r="GQ774" i="1"/>
  <c r="GP773" i="1"/>
  <c r="GQ773" i="1"/>
  <c r="GP772" i="1"/>
  <c r="GQ772" i="1"/>
  <c r="GP771" i="1"/>
  <c r="GQ771" i="1"/>
  <c r="GP770" i="1"/>
  <c r="GQ770" i="1"/>
  <c r="GP769" i="1"/>
  <c r="GQ769" i="1"/>
  <c r="GP712" i="1"/>
  <c r="GQ712" i="1"/>
  <c r="GS712" i="1"/>
  <c r="GQ635" i="1"/>
  <c r="GQ512" i="1"/>
  <c r="GR498" i="1"/>
  <c r="GR165" i="1"/>
  <c r="GP269" i="1"/>
  <c r="GQ255" i="1"/>
  <c r="GQ22" i="1"/>
  <c r="KA22" i="1"/>
  <c r="GQ246" i="1"/>
  <c r="KA246" i="1"/>
  <c r="S19" i="12"/>
  <c r="AG19" i="12"/>
  <c r="IF247" i="1"/>
  <c r="IF582" i="1"/>
  <c r="IF641" i="1"/>
  <c r="IF639" i="1"/>
  <c r="IF638" i="1"/>
  <c r="IF635" i="1"/>
  <c r="IF588" i="1"/>
  <c r="IF587" i="1"/>
  <c r="IF586" i="1"/>
  <c r="IF255" i="1"/>
  <c r="IF253" i="1"/>
  <c r="IF252" i="1"/>
  <c r="S41" i="12"/>
  <c r="AG41" i="12"/>
  <c r="HO582" i="1"/>
  <c r="HO285" i="1"/>
  <c r="W66" i="12"/>
  <c r="W67" i="12"/>
  <c r="W64" i="12"/>
  <c r="HO851" i="1"/>
  <c r="HO823" i="1"/>
  <c r="HO820" i="1"/>
  <c r="HO796" i="1"/>
  <c r="HO791" i="1"/>
  <c r="HO769" i="1"/>
  <c r="HO716" i="1"/>
  <c r="HO641" i="1"/>
  <c r="HO639" i="1"/>
  <c r="HO638" i="1"/>
  <c r="HO635" i="1"/>
  <c r="HO596" i="1"/>
  <c r="HO588" i="1"/>
  <c r="HO587" i="1"/>
  <c r="HO586" i="1"/>
  <c r="HO284" i="1"/>
  <c r="HO283" i="1"/>
  <c r="HO281" i="1"/>
  <c r="HO280" i="1"/>
  <c r="HO263" i="1"/>
  <c r="HO255" i="1"/>
  <c r="HO253" i="1"/>
  <c r="HO252" i="1"/>
  <c r="HO247" i="1"/>
  <c r="IR795" i="1"/>
  <c r="IR794" i="1"/>
  <c r="IR793" i="1"/>
  <c r="IR791" i="1"/>
  <c r="IR773" i="1"/>
  <c r="IR772" i="1"/>
  <c r="IR771" i="1"/>
  <c r="IR769" i="1"/>
  <c r="IR649" i="1"/>
  <c r="IR648" i="1"/>
  <c r="IR646" i="1"/>
  <c r="IR641" i="1"/>
  <c r="IR639" i="1"/>
  <c r="IR638" i="1"/>
  <c r="IR635" i="1"/>
  <c r="IR623" i="1"/>
  <c r="IR614" i="1"/>
  <c r="IR598" i="1"/>
  <c r="IR596" i="1"/>
  <c r="IR595" i="1"/>
  <c r="IR594" i="1"/>
  <c r="IR593" i="1"/>
  <c r="IR588" i="1"/>
  <c r="IR587" i="1"/>
  <c r="IR586" i="1"/>
  <c r="IR582" i="1"/>
  <c r="IR553" i="1"/>
  <c r="IR544" i="1"/>
  <c r="IR536" i="1"/>
  <c r="IR524" i="1"/>
  <c r="IR522" i="1"/>
  <c r="IR520" i="1"/>
  <c r="IR498" i="1"/>
  <c r="IR496" i="1"/>
  <c r="IR493" i="1"/>
  <c r="IR489" i="1"/>
  <c r="IR486" i="1"/>
  <c r="IR484" i="1"/>
  <c r="IR480" i="1"/>
  <c r="IR478" i="1"/>
  <c r="IR477" i="1"/>
  <c r="IR470" i="1"/>
  <c r="IR462" i="1"/>
  <c r="IR448" i="1"/>
  <c r="IR446" i="1"/>
  <c r="IR440" i="1"/>
  <c r="IR425" i="1"/>
  <c r="IR414" i="1"/>
  <c r="IR409" i="1"/>
  <c r="IR408" i="1"/>
  <c r="IR407" i="1"/>
  <c r="IR404" i="1"/>
  <c r="IR403" i="1"/>
  <c r="IR402" i="1"/>
  <c r="IR395" i="1"/>
  <c r="IR384" i="1"/>
  <c r="IR369" i="1"/>
  <c r="IR284" i="1"/>
  <c r="IR280" i="1"/>
  <c r="IR268" i="1"/>
  <c r="IR263" i="1"/>
  <c r="IR262" i="1"/>
  <c r="IR261" i="1"/>
  <c r="IR260" i="1"/>
  <c r="IR255" i="1"/>
  <c r="IR253" i="1"/>
  <c r="IR252" i="1"/>
  <c r="IR247" i="1"/>
  <c r="W24" i="12"/>
  <c r="GQ643" i="1"/>
  <c r="GQ257" i="1"/>
  <c r="JX536" i="1"/>
  <c r="KB536" i="1"/>
  <c r="KA207" i="1"/>
  <c r="JZ204" i="1"/>
  <c r="JZ207" i="1"/>
  <c r="JZ199" i="1"/>
  <c r="JY199" i="1"/>
  <c r="JY530" i="1"/>
  <c r="JZ530" i="1"/>
  <c r="KA538" i="1"/>
  <c r="HM582" i="1"/>
  <c r="HM596" i="1"/>
  <c r="HM635" i="1"/>
  <c r="HM641" i="1"/>
  <c r="HM639" i="1"/>
  <c r="HM638" i="1"/>
  <c r="HM588" i="1"/>
  <c r="HM587" i="1"/>
  <c r="HM586" i="1"/>
  <c r="HM359" i="1"/>
  <c r="HM285" i="1"/>
  <c r="HM284" i="1"/>
  <c r="HM283" i="1"/>
  <c r="HM281" i="1"/>
  <c r="HM280" i="1"/>
  <c r="HM255" i="1"/>
  <c r="HM253" i="1"/>
  <c r="HM252" i="1"/>
  <c r="HM247" i="1"/>
  <c r="HM672" i="1"/>
  <c r="HM822" i="1"/>
  <c r="HM792" i="1"/>
  <c r="HM791" i="1"/>
  <c r="V68" i="12"/>
  <c r="IQ539" i="1"/>
  <c r="IP539" i="1"/>
  <c r="IO791" i="1"/>
  <c r="IO769" i="1"/>
  <c r="IO648" i="1"/>
  <c r="IO647" i="1"/>
  <c r="IO646" i="1"/>
  <c r="IO639" i="1"/>
  <c r="IO638" i="1"/>
  <c r="IO635" i="1"/>
  <c r="IO623" i="1"/>
  <c r="IO614" i="1"/>
  <c r="IO598" i="1"/>
  <c r="IO595" i="1"/>
  <c r="IO594" i="1"/>
  <c r="IO593" i="1"/>
  <c r="IO588" i="1"/>
  <c r="IO587" i="1"/>
  <c r="IO586" i="1"/>
  <c r="IO582" i="1"/>
  <c r="IO544" i="1"/>
  <c r="IO536" i="1"/>
  <c r="IO522" i="1"/>
  <c r="IO498" i="1"/>
  <c r="IO496" i="1"/>
  <c r="IO493" i="1"/>
  <c r="IO489" i="1"/>
  <c r="IO486" i="1"/>
  <c r="IO484" i="1"/>
  <c r="IO480" i="1"/>
  <c r="IO478" i="1"/>
  <c r="IO470" i="1"/>
  <c r="IO462" i="1"/>
  <c r="IO460" i="1"/>
  <c r="IO455" i="1"/>
  <c r="IO453" i="1"/>
  <c r="IO446" i="1"/>
  <c r="IO445" i="1"/>
  <c r="IO440" i="1"/>
  <c r="IO425" i="1"/>
  <c r="IO414" i="1"/>
  <c r="IO409" i="1"/>
  <c r="IO408" i="1"/>
  <c r="IO407" i="1"/>
  <c r="IO403" i="1"/>
  <c r="IO402" i="1"/>
  <c r="IO399" i="1"/>
  <c r="IO395" i="1"/>
  <c r="IO384" i="1"/>
  <c r="IO369" i="1"/>
  <c r="IO284" i="1"/>
  <c r="IO280" i="1"/>
  <c r="IO268" i="1"/>
  <c r="IO262" i="1"/>
  <c r="IO261" i="1"/>
  <c r="IO260" i="1"/>
  <c r="IO255" i="1"/>
  <c r="IO253" i="1"/>
  <c r="IO252" i="1"/>
  <c r="IO247" i="1"/>
  <c r="AJ36" i="1"/>
  <c r="S24" i="12"/>
  <c r="GW587" i="1"/>
  <c r="GX587" i="1"/>
  <c r="GY587" i="1"/>
  <c r="GZ587" i="1"/>
  <c r="HA587" i="1"/>
  <c r="HB587" i="1"/>
  <c r="HD587" i="1"/>
  <c r="HE587" i="1"/>
  <c r="GW586" i="1"/>
  <c r="GX586" i="1"/>
  <c r="GY586" i="1"/>
  <c r="GZ586" i="1"/>
  <c r="HA586" i="1"/>
  <c r="GW582" i="1"/>
  <c r="GX582" i="1"/>
  <c r="GY582" i="1"/>
  <c r="GZ582" i="1"/>
  <c r="HA582" i="1"/>
  <c r="GX689" i="1"/>
  <c r="HA689" i="1"/>
  <c r="HD689" i="1"/>
  <c r="GQ518" i="1"/>
  <c r="GP514" i="1"/>
  <c r="GQ268" i="1"/>
  <c r="IP536" i="1"/>
  <c r="IG539" i="1"/>
  <c r="IG208" i="1"/>
  <c r="IG207" i="1"/>
  <c r="IQ536" i="1"/>
  <c r="IH539" i="1"/>
  <c r="IH208" i="1"/>
  <c r="IH207" i="1"/>
  <c r="IF536" i="1"/>
  <c r="IF205" i="1"/>
  <c r="IF204" i="1"/>
  <c r="IF539" i="1"/>
  <c r="IF208" i="1"/>
  <c r="IF207" i="1"/>
  <c r="HG536" i="1"/>
  <c r="HG205" i="1"/>
  <c r="HG539" i="1"/>
  <c r="HG208" i="1"/>
  <c r="HG207" i="1"/>
  <c r="IP544" i="1"/>
  <c r="IP553" i="1"/>
  <c r="IP561" i="1"/>
  <c r="IQ561" i="1"/>
  <c r="IJ561" i="1"/>
  <c r="IK561" i="1"/>
  <c r="IM561" i="1"/>
  <c r="IS561" i="1"/>
  <c r="IV561" i="1"/>
  <c r="IW561" i="1"/>
  <c r="IY561" i="1"/>
  <c r="IZ561" i="1"/>
  <c r="JB561" i="1"/>
  <c r="JE561" i="1"/>
  <c r="JH561" i="1"/>
  <c r="JI561" i="1"/>
  <c r="JK561" i="1"/>
  <c r="JN561" i="1"/>
  <c r="IJ559" i="1"/>
  <c r="IM559" i="1"/>
  <c r="IN559" i="1"/>
  <c r="IP559" i="1"/>
  <c r="IQ559" i="1"/>
  <c r="IS559" i="1"/>
  <c r="IV559" i="1"/>
  <c r="IY559" i="1"/>
  <c r="IZ559" i="1"/>
  <c r="JB559" i="1"/>
  <c r="JC559" i="1"/>
  <c r="JE559" i="1"/>
  <c r="JH559" i="1"/>
  <c r="JK559" i="1"/>
  <c r="JL559" i="1"/>
  <c r="JN559" i="1"/>
  <c r="JO559" i="1"/>
  <c r="IJ560" i="1"/>
  <c r="IM560" i="1"/>
  <c r="IP560" i="1"/>
  <c r="IQ560" i="1"/>
  <c r="IS560" i="1"/>
  <c r="IV560" i="1"/>
  <c r="IY560" i="1"/>
  <c r="JB560" i="1"/>
  <c r="JC560" i="1"/>
  <c r="JE560" i="1"/>
  <c r="JF560" i="1"/>
  <c r="JH560" i="1"/>
  <c r="JK560" i="1"/>
  <c r="JN560" i="1"/>
  <c r="JO560" i="1"/>
  <c r="IQ544" i="1"/>
  <c r="IQ553" i="1"/>
  <c r="IN561" i="1"/>
  <c r="IT561" i="1"/>
  <c r="JC561" i="1"/>
  <c r="JF561" i="1"/>
  <c r="JL561" i="1"/>
  <c r="JO561" i="1"/>
  <c r="IK559" i="1"/>
  <c r="IT559" i="1"/>
  <c r="IW559" i="1"/>
  <c r="JF559" i="1"/>
  <c r="JI559" i="1"/>
  <c r="IK560" i="1"/>
  <c r="IN560" i="1"/>
  <c r="IT560" i="1"/>
  <c r="IW560" i="1"/>
  <c r="IZ560" i="1"/>
  <c r="JI560" i="1"/>
  <c r="JL560" i="1"/>
  <c r="IF544" i="1"/>
  <c r="IF553" i="1"/>
  <c r="IF222" i="1"/>
  <c r="IF561" i="1"/>
  <c r="IF233" i="1"/>
  <c r="IF559" i="1"/>
  <c r="IF231" i="1"/>
  <c r="IF560" i="1"/>
  <c r="IF232" i="1"/>
  <c r="HG359" i="1"/>
  <c r="HG228" i="1"/>
  <c r="HG544" i="1"/>
  <c r="GP350" i="1"/>
  <c r="GQ350" i="1"/>
  <c r="HG350" i="1"/>
  <c r="HG213" i="1"/>
  <c r="GP215" i="1"/>
  <c r="HG553" i="1"/>
  <c r="HG222" i="1"/>
  <c r="HG552" i="1"/>
  <c r="GP356" i="1"/>
  <c r="HG356" i="1"/>
  <c r="HG221" i="1"/>
  <c r="GP355" i="1"/>
  <c r="GQ355" i="1"/>
  <c r="HG355" i="1"/>
  <c r="HG220" i="1"/>
  <c r="IP522" i="1"/>
  <c r="IQ522" i="1"/>
  <c r="IH343" i="1"/>
  <c r="IH331" i="1"/>
  <c r="IJ510" i="1"/>
  <c r="IK510" i="1"/>
  <c r="IM510" i="1"/>
  <c r="IN510" i="1"/>
  <c r="IP510" i="1"/>
  <c r="IQ510" i="1"/>
  <c r="IS510" i="1"/>
  <c r="IT510" i="1"/>
  <c r="IV510" i="1"/>
  <c r="IW510" i="1"/>
  <c r="IY510" i="1"/>
  <c r="IZ510" i="1"/>
  <c r="JB510" i="1"/>
  <c r="JC510" i="1"/>
  <c r="JE510" i="1"/>
  <c r="JF510" i="1"/>
  <c r="JH510" i="1"/>
  <c r="JI510" i="1"/>
  <c r="JK510" i="1"/>
  <c r="JL510" i="1"/>
  <c r="JN510" i="1"/>
  <c r="JO510" i="1"/>
  <c r="IJ508" i="1"/>
  <c r="IK508" i="1"/>
  <c r="IM508" i="1"/>
  <c r="IN508" i="1"/>
  <c r="IP508" i="1"/>
  <c r="IQ508" i="1"/>
  <c r="IS508" i="1"/>
  <c r="IT508" i="1"/>
  <c r="IV508" i="1"/>
  <c r="IW508" i="1"/>
  <c r="IY508" i="1"/>
  <c r="IZ508" i="1"/>
  <c r="JB508" i="1"/>
  <c r="JC508" i="1"/>
  <c r="JE508" i="1"/>
  <c r="JF508" i="1"/>
  <c r="JH508" i="1"/>
  <c r="JI508" i="1"/>
  <c r="JK508" i="1"/>
  <c r="JL508" i="1"/>
  <c r="JN508" i="1"/>
  <c r="JO508" i="1"/>
  <c r="IJ509" i="1"/>
  <c r="IK509" i="1"/>
  <c r="IM509" i="1"/>
  <c r="IN509" i="1"/>
  <c r="IP509" i="1"/>
  <c r="IQ509" i="1"/>
  <c r="IS509" i="1"/>
  <c r="IT509" i="1"/>
  <c r="IV509" i="1"/>
  <c r="IW509" i="1"/>
  <c r="IY509" i="1"/>
  <c r="IZ509" i="1"/>
  <c r="JB509" i="1"/>
  <c r="JC509" i="1"/>
  <c r="JE509" i="1"/>
  <c r="JF509" i="1"/>
  <c r="JH509" i="1"/>
  <c r="JI509" i="1"/>
  <c r="JK509" i="1"/>
  <c r="JL509" i="1"/>
  <c r="JN509" i="1"/>
  <c r="JO509" i="1"/>
  <c r="IH333" i="1"/>
  <c r="IH180" i="1"/>
  <c r="IH179" i="1"/>
  <c r="IJ335" i="1"/>
  <c r="IK335" i="1"/>
  <c r="IM335" i="1"/>
  <c r="IN335" i="1"/>
  <c r="IP335" i="1"/>
  <c r="IQ335" i="1"/>
  <c r="IS335" i="1"/>
  <c r="IT335" i="1"/>
  <c r="IV335" i="1"/>
  <c r="IW335" i="1"/>
  <c r="IY335" i="1"/>
  <c r="IZ335" i="1"/>
  <c r="JB335" i="1"/>
  <c r="JC335" i="1"/>
  <c r="JE335" i="1"/>
  <c r="JF335" i="1"/>
  <c r="JH335" i="1"/>
  <c r="JI335" i="1"/>
  <c r="JK335" i="1"/>
  <c r="JL335" i="1"/>
  <c r="JN335" i="1"/>
  <c r="JO335" i="1"/>
  <c r="JQ335" i="1"/>
  <c r="JR335" i="1"/>
  <c r="IH335" i="1"/>
  <c r="IH337" i="1"/>
  <c r="IH185" i="1"/>
  <c r="IH184" i="1"/>
  <c r="IH339" i="1"/>
  <c r="IH341" i="1"/>
  <c r="IJ345" i="1"/>
  <c r="IK345" i="1"/>
  <c r="IM345" i="1"/>
  <c r="IN345" i="1"/>
  <c r="IP345" i="1"/>
  <c r="IQ345" i="1"/>
  <c r="IS345" i="1"/>
  <c r="IT345" i="1"/>
  <c r="IV345" i="1"/>
  <c r="IW345" i="1"/>
  <c r="IY345" i="1"/>
  <c r="IZ345" i="1"/>
  <c r="JB345" i="1"/>
  <c r="JC345" i="1"/>
  <c r="JE345" i="1"/>
  <c r="JF345" i="1"/>
  <c r="JH345" i="1"/>
  <c r="JI345" i="1"/>
  <c r="JK345" i="1"/>
  <c r="JL345" i="1"/>
  <c r="JN345" i="1"/>
  <c r="JO345" i="1"/>
  <c r="JQ345" i="1"/>
  <c r="JR345" i="1"/>
  <c r="IH345" i="1"/>
  <c r="IG343" i="1"/>
  <c r="IG331" i="1"/>
  <c r="IG333" i="1"/>
  <c r="IG180" i="1"/>
  <c r="IG179" i="1"/>
  <c r="IG335" i="1"/>
  <c r="IG337" i="1"/>
  <c r="IG185" i="1"/>
  <c r="IG184" i="1"/>
  <c r="IG339" i="1"/>
  <c r="IG341" i="1"/>
  <c r="IG345" i="1"/>
  <c r="IF522" i="1"/>
  <c r="IF191" i="1"/>
  <c r="IF343" i="1"/>
  <c r="IF331" i="1"/>
  <c r="IF510" i="1"/>
  <c r="IF177" i="1"/>
  <c r="IF508" i="1"/>
  <c r="IF175" i="1"/>
  <c r="IF509" i="1"/>
  <c r="IF176" i="1"/>
  <c r="IF333" i="1"/>
  <c r="IF335" i="1"/>
  <c r="IF337" i="1"/>
  <c r="IF185" i="1"/>
  <c r="IF184" i="1"/>
  <c r="IF339" i="1"/>
  <c r="IF341" i="1"/>
  <c r="IF345" i="1"/>
  <c r="HG510" i="1"/>
  <c r="GP331" i="1"/>
  <c r="GQ331" i="1"/>
  <c r="HG331" i="1"/>
  <c r="HG177" i="1"/>
  <c r="HG174" i="1"/>
  <c r="HG514" i="1"/>
  <c r="GP335" i="1"/>
  <c r="GQ335" i="1"/>
  <c r="HG335" i="1"/>
  <c r="HG182" i="1"/>
  <c r="HG518" i="1"/>
  <c r="GP339" i="1"/>
  <c r="GQ339" i="1"/>
  <c r="HG339" i="1"/>
  <c r="HG187" i="1"/>
  <c r="HG520" i="1"/>
  <c r="GP341" i="1"/>
  <c r="GQ341" i="1"/>
  <c r="HG341" i="1"/>
  <c r="HG189" i="1"/>
  <c r="HG522" i="1"/>
  <c r="GP343" i="1"/>
  <c r="GQ343" i="1"/>
  <c r="HG343" i="1"/>
  <c r="HG191" i="1"/>
  <c r="HG524" i="1"/>
  <c r="GP345" i="1"/>
  <c r="GQ345" i="1"/>
  <c r="HG345" i="1"/>
  <c r="HG193" i="1"/>
  <c r="GP333" i="1"/>
  <c r="GQ333" i="1"/>
  <c r="HG333" i="1"/>
  <c r="HG180" i="1"/>
  <c r="HG179" i="1"/>
  <c r="GP337" i="1"/>
  <c r="GQ337" i="1"/>
  <c r="HG337" i="1"/>
  <c r="HG185" i="1"/>
  <c r="HG184" i="1"/>
  <c r="IP440" i="1"/>
  <c r="IQ440" i="1"/>
  <c r="IG311" i="1"/>
  <c r="IP441" i="1"/>
  <c r="IJ441" i="1"/>
  <c r="IM441" i="1"/>
  <c r="IN441" i="1"/>
  <c r="IS441" i="1"/>
  <c r="IV441" i="1"/>
  <c r="IY441" i="1"/>
  <c r="JB441" i="1"/>
  <c r="JC441" i="1"/>
  <c r="JC108" i="1"/>
  <c r="JE441" i="1"/>
  <c r="JH441" i="1"/>
  <c r="JK441" i="1"/>
  <c r="JN441" i="1"/>
  <c r="JO441" i="1"/>
  <c r="JO108" i="1"/>
  <c r="IP445" i="1"/>
  <c r="IJ445" i="1"/>
  <c r="IM445" i="1"/>
  <c r="IS445" i="1"/>
  <c r="IT445" i="1"/>
  <c r="IV445" i="1"/>
  <c r="IW445" i="1"/>
  <c r="IY445" i="1"/>
  <c r="JB445" i="1"/>
  <c r="JE445" i="1"/>
  <c r="JF445" i="1"/>
  <c r="JH445" i="1"/>
  <c r="JI445" i="1"/>
  <c r="JK445" i="1"/>
  <c r="JN445" i="1"/>
  <c r="IP446" i="1"/>
  <c r="IQ446" i="1"/>
  <c r="IQ113" i="1"/>
  <c r="IP448" i="1"/>
  <c r="IP453" i="1"/>
  <c r="IJ453" i="1"/>
  <c r="IK453" i="1"/>
  <c r="IM453" i="1"/>
  <c r="IN453" i="1"/>
  <c r="IS453" i="1"/>
  <c r="IV453" i="1"/>
  <c r="IY453" i="1"/>
  <c r="IZ453" i="1"/>
  <c r="JB453" i="1"/>
  <c r="JC453" i="1"/>
  <c r="JE453" i="1"/>
  <c r="JH453" i="1"/>
  <c r="JK453" i="1"/>
  <c r="JL453" i="1"/>
  <c r="JN453" i="1"/>
  <c r="JO453" i="1"/>
  <c r="JQ453" i="1"/>
  <c r="IP455" i="1"/>
  <c r="IJ455" i="1"/>
  <c r="IK455" i="1"/>
  <c r="IM455" i="1"/>
  <c r="IN455" i="1"/>
  <c r="IS455" i="1"/>
  <c r="IV455" i="1"/>
  <c r="IY455" i="1"/>
  <c r="IZ455" i="1"/>
  <c r="JB455" i="1"/>
  <c r="JC455" i="1"/>
  <c r="JE455" i="1"/>
  <c r="JH455" i="1"/>
  <c r="JK455" i="1"/>
  <c r="JL455" i="1"/>
  <c r="JN455" i="1"/>
  <c r="JO455" i="1"/>
  <c r="JQ455" i="1"/>
  <c r="IJ452" i="1"/>
  <c r="IM452" i="1"/>
  <c r="IN452" i="1"/>
  <c r="IP452" i="1"/>
  <c r="IQ452" i="1"/>
  <c r="IS452" i="1"/>
  <c r="IV452" i="1"/>
  <c r="IY452" i="1"/>
  <c r="IZ452" i="1"/>
  <c r="JB452" i="1"/>
  <c r="JC452" i="1"/>
  <c r="JE452" i="1"/>
  <c r="JH452" i="1"/>
  <c r="JK452" i="1"/>
  <c r="JL452" i="1"/>
  <c r="JN452" i="1"/>
  <c r="JO452" i="1"/>
  <c r="JQ452" i="1"/>
  <c r="IJ454" i="1"/>
  <c r="IM454" i="1"/>
  <c r="IN454" i="1"/>
  <c r="IP454" i="1"/>
  <c r="IQ454" i="1"/>
  <c r="IS454" i="1"/>
  <c r="IV454" i="1"/>
  <c r="IY454" i="1"/>
  <c r="IZ454" i="1"/>
  <c r="JB454" i="1"/>
  <c r="JC454" i="1"/>
  <c r="JE454" i="1"/>
  <c r="JH454" i="1"/>
  <c r="JK454" i="1"/>
  <c r="JL454" i="1"/>
  <c r="JN454" i="1"/>
  <c r="JO454" i="1"/>
  <c r="JQ454" i="1"/>
  <c r="IJ456" i="1"/>
  <c r="IM456" i="1"/>
  <c r="IN456" i="1"/>
  <c r="IP456" i="1"/>
  <c r="IQ456" i="1"/>
  <c r="IS456" i="1"/>
  <c r="IV456" i="1"/>
  <c r="IY456" i="1"/>
  <c r="IZ456" i="1"/>
  <c r="JB456" i="1"/>
  <c r="JC456" i="1"/>
  <c r="JE456" i="1"/>
  <c r="JH456" i="1"/>
  <c r="JK456" i="1"/>
  <c r="JL456" i="1"/>
  <c r="JN456" i="1"/>
  <c r="JO456" i="1"/>
  <c r="JQ456" i="1"/>
  <c r="IP460" i="1"/>
  <c r="IJ460" i="1"/>
  <c r="IK460" i="1"/>
  <c r="IM460" i="1"/>
  <c r="IN460" i="1"/>
  <c r="IS460" i="1"/>
  <c r="IV460" i="1"/>
  <c r="IY460" i="1"/>
  <c r="IZ460" i="1"/>
  <c r="JB460" i="1"/>
  <c r="JC460" i="1"/>
  <c r="JE460" i="1"/>
  <c r="JH460" i="1"/>
  <c r="JK460" i="1"/>
  <c r="JL460" i="1"/>
  <c r="JN460" i="1"/>
  <c r="JO460" i="1"/>
  <c r="IP462" i="1"/>
  <c r="IJ314" i="1"/>
  <c r="IJ313" i="1"/>
  <c r="IM314" i="1"/>
  <c r="IP314" i="1"/>
  <c r="IP313" i="1"/>
  <c r="IS314" i="1"/>
  <c r="IV314" i="1"/>
  <c r="IY314" i="1"/>
  <c r="JB314" i="1"/>
  <c r="JE314" i="1"/>
  <c r="JH314" i="1"/>
  <c r="JK314" i="1"/>
  <c r="JN314" i="1"/>
  <c r="JQ314" i="1"/>
  <c r="IG314" i="1"/>
  <c r="IP470" i="1"/>
  <c r="IQ470" i="1"/>
  <c r="IP475" i="1"/>
  <c r="IQ475" i="1"/>
  <c r="IJ475" i="1"/>
  <c r="IM475" i="1"/>
  <c r="IS475" i="1"/>
  <c r="IT475" i="1"/>
  <c r="IV475" i="1"/>
  <c r="IW475" i="1"/>
  <c r="IY475" i="1"/>
  <c r="JB475" i="1"/>
  <c r="JE475" i="1"/>
  <c r="JF475" i="1"/>
  <c r="JH475" i="1"/>
  <c r="JI475" i="1"/>
  <c r="JK475" i="1"/>
  <c r="JN475" i="1"/>
  <c r="IP477" i="1"/>
  <c r="IQ477" i="1"/>
  <c r="IP478" i="1"/>
  <c r="IQ478" i="1"/>
  <c r="IP480" i="1"/>
  <c r="IJ317" i="1"/>
  <c r="IM317" i="1"/>
  <c r="IP317" i="1"/>
  <c r="IS317" i="1"/>
  <c r="IV317" i="1"/>
  <c r="IY317" i="1"/>
  <c r="JB317" i="1"/>
  <c r="JB316" i="1"/>
  <c r="JE317" i="1"/>
  <c r="JH317" i="1"/>
  <c r="JH316" i="1"/>
  <c r="JK317" i="1"/>
  <c r="JN317" i="1"/>
  <c r="JN316" i="1"/>
  <c r="JQ317" i="1"/>
  <c r="IG317" i="1"/>
  <c r="IP484" i="1"/>
  <c r="IQ484" i="1"/>
  <c r="IP486" i="1"/>
  <c r="IQ486" i="1"/>
  <c r="IJ320" i="1"/>
  <c r="IM320" i="1"/>
  <c r="IP320" i="1"/>
  <c r="IS320" i="1"/>
  <c r="IV320" i="1"/>
  <c r="IY320" i="1"/>
  <c r="IY319" i="1"/>
  <c r="JB320" i="1"/>
  <c r="JE320" i="1"/>
  <c r="JH320" i="1"/>
  <c r="JK320" i="1"/>
  <c r="JK319" i="1"/>
  <c r="JN320" i="1"/>
  <c r="JQ320" i="1"/>
  <c r="IP489" i="1"/>
  <c r="IP490" i="1"/>
  <c r="IJ490" i="1"/>
  <c r="IK490" i="1"/>
  <c r="IM490" i="1"/>
  <c r="IN490" i="1"/>
  <c r="IS490" i="1"/>
  <c r="IV490" i="1"/>
  <c r="IY490" i="1"/>
  <c r="IZ490" i="1"/>
  <c r="JB490" i="1"/>
  <c r="JC490" i="1"/>
  <c r="JE490" i="1"/>
  <c r="JH490" i="1"/>
  <c r="JK490" i="1"/>
  <c r="JL490" i="1"/>
  <c r="JN490" i="1"/>
  <c r="JO490" i="1"/>
  <c r="IP493" i="1"/>
  <c r="IJ323" i="1"/>
  <c r="IM323" i="1"/>
  <c r="IN323" i="1"/>
  <c r="IP323" i="1"/>
  <c r="IS323" i="1"/>
  <c r="IV323" i="1"/>
  <c r="IY323" i="1"/>
  <c r="IZ323" i="1"/>
  <c r="JB323" i="1"/>
  <c r="JC323" i="1"/>
  <c r="JE323" i="1"/>
  <c r="JH323" i="1"/>
  <c r="JK323" i="1"/>
  <c r="JL323" i="1"/>
  <c r="JN323" i="1"/>
  <c r="JQ323" i="1"/>
  <c r="IP496" i="1"/>
  <c r="IJ324" i="1"/>
  <c r="IK324" i="1"/>
  <c r="IM324" i="1"/>
  <c r="IN324" i="1"/>
  <c r="IP324" i="1"/>
  <c r="IS324" i="1"/>
  <c r="IV324" i="1"/>
  <c r="IW324" i="1"/>
  <c r="IY324" i="1"/>
  <c r="JB324" i="1"/>
  <c r="JE324" i="1"/>
  <c r="JH324" i="1"/>
  <c r="JI324" i="1"/>
  <c r="JK324" i="1"/>
  <c r="JN324" i="1"/>
  <c r="JQ324" i="1"/>
  <c r="IP498" i="1"/>
  <c r="IJ327" i="1"/>
  <c r="IM327" i="1"/>
  <c r="IP327" i="1"/>
  <c r="IS327" i="1"/>
  <c r="IV327" i="1"/>
  <c r="IY327" i="1"/>
  <c r="JB327" i="1"/>
  <c r="JE327" i="1"/>
  <c r="JH327" i="1"/>
  <c r="JK327" i="1"/>
  <c r="JN327" i="1"/>
  <c r="JQ327" i="1"/>
  <c r="IG502" i="1"/>
  <c r="IG169" i="1"/>
  <c r="IG503" i="1"/>
  <c r="IG170" i="1"/>
  <c r="IH311" i="1"/>
  <c r="IQ441" i="1"/>
  <c r="IK441" i="1"/>
  <c r="IT441" i="1"/>
  <c r="IW441" i="1"/>
  <c r="IZ441" i="1"/>
  <c r="JF441" i="1"/>
  <c r="JI441" i="1"/>
  <c r="JL441" i="1"/>
  <c r="IK445" i="1"/>
  <c r="IN445" i="1"/>
  <c r="IZ445" i="1"/>
  <c r="JC445" i="1"/>
  <c r="JL445" i="1"/>
  <c r="JO445" i="1"/>
  <c r="IQ448" i="1"/>
  <c r="IQ453" i="1"/>
  <c r="IT453" i="1"/>
  <c r="IW453" i="1"/>
  <c r="JF453" i="1"/>
  <c r="JI453" i="1"/>
  <c r="JR453" i="1"/>
  <c r="IQ455" i="1"/>
  <c r="IT455" i="1"/>
  <c r="IW455" i="1"/>
  <c r="JF455" i="1"/>
  <c r="JI455" i="1"/>
  <c r="JR455" i="1"/>
  <c r="IK452" i="1"/>
  <c r="IT452" i="1"/>
  <c r="IW452" i="1"/>
  <c r="JF452" i="1"/>
  <c r="JI452" i="1"/>
  <c r="JR452" i="1"/>
  <c r="IK454" i="1"/>
  <c r="IT454" i="1"/>
  <c r="IW454" i="1"/>
  <c r="JF454" i="1"/>
  <c r="JI454" i="1"/>
  <c r="JR454" i="1"/>
  <c r="IK456" i="1"/>
  <c r="IT456" i="1"/>
  <c r="IW456" i="1"/>
  <c r="JF456" i="1"/>
  <c r="JI456" i="1"/>
  <c r="JR456" i="1"/>
  <c r="IQ460" i="1"/>
  <c r="IT460" i="1"/>
  <c r="IW460" i="1"/>
  <c r="JF460" i="1"/>
  <c r="JI460" i="1"/>
  <c r="IQ462" i="1"/>
  <c r="IK314" i="1"/>
  <c r="IN314" i="1"/>
  <c r="IQ314" i="1"/>
  <c r="IT314" i="1"/>
  <c r="IW314" i="1"/>
  <c r="IZ314" i="1"/>
  <c r="JC314" i="1"/>
  <c r="JF314" i="1"/>
  <c r="JI314" i="1"/>
  <c r="JL314" i="1"/>
  <c r="JO314" i="1"/>
  <c r="JR314" i="1"/>
  <c r="IH314" i="1"/>
  <c r="IK475" i="1"/>
  <c r="IN475" i="1"/>
  <c r="IZ475" i="1"/>
  <c r="JC475" i="1"/>
  <c r="JL475" i="1"/>
  <c r="JO475" i="1"/>
  <c r="IQ480" i="1"/>
  <c r="IK317" i="1"/>
  <c r="IK316" i="1"/>
  <c r="IN317" i="1"/>
  <c r="IQ317" i="1"/>
  <c r="IQ316" i="1"/>
  <c r="IT317" i="1"/>
  <c r="IW317" i="1"/>
  <c r="IZ317" i="1"/>
  <c r="JC317" i="1"/>
  <c r="JF317" i="1"/>
  <c r="JI317" i="1"/>
  <c r="JI316" i="1"/>
  <c r="JL317" i="1"/>
  <c r="JO317" i="1"/>
  <c r="JR317" i="1"/>
  <c r="IH317" i="1"/>
  <c r="IK320" i="1"/>
  <c r="IN320" i="1"/>
  <c r="IQ320" i="1"/>
  <c r="IT320" i="1"/>
  <c r="IW320" i="1"/>
  <c r="IZ320" i="1"/>
  <c r="JC320" i="1"/>
  <c r="JF320" i="1"/>
  <c r="JI320" i="1"/>
  <c r="JL320" i="1"/>
  <c r="JL319" i="1"/>
  <c r="JO320" i="1"/>
  <c r="JR320" i="1"/>
  <c r="IQ489" i="1"/>
  <c r="IQ490" i="1"/>
  <c r="IT490" i="1"/>
  <c r="IW490" i="1"/>
  <c r="JF490" i="1"/>
  <c r="JI490" i="1"/>
  <c r="IQ493" i="1"/>
  <c r="IK323" i="1"/>
  <c r="IT323" i="1"/>
  <c r="IW323" i="1"/>
  <c r="JF323" i="1"/>
  <c r="JI323" i="1"/>
  <c r="JR323" i="1"/>
  <c r="IQ496" i="1"/>
  <c r="IQ324" i="1"/>
  <c r="IT324" i="1"/>
  <c r="JC324" i="1"/>
  <c r="JF324" i="1"/>
  <c r="JO324" i="1"/>
  <c r="JR324" i="1"/>
  <c r="IQ498" i="1"/>
  <c r="IK327" i="1"/>
  <c r="IN327" i="1"/>
  <c r="IQ327" i="1"/>
  <c r="IQ326" i="1"/>
  <c r="IT327" i="1"/>
  <c r="IW327" i="1"/>
  <c r="IW326" i="1"/>
  <c r="IZ327" i="1"/>
  <c r="JC327" i="1"/>
  <c r="JF327" i="1"/>
  <c r="JI327" i="1"/>
  <c r="JL327" i="1"/>
  <c r="JO327" i="1"/>
  <c r="JO326" i="1"/>
  <c r="JR327" i="1"/>
  <c r="IH502" i="1"/>
  <c r="IH169" i="1"/>
  <c r="IH503" i="1"/>
  <c r="IH170" i="1"/>
  <c r="IF440" i="1"/>
  <c r="IF441" i="1"/>
  <c r="IF108" i="1"/>
  <c r="IF442" i="1"/>
  <c r="IF109" i="1"/>
  <c r="IF311" i="1"/>
  <c r="IF445" i="1"/>
  <c r="IF112" i="1"/>
  <c r="IF446" i="1"/>
  <c r="IF113" i="1"/>
  <c r="IF448" i="1"/>
  <c r="IF115" i="1"/>
  <c r="IF453" i="1"/>
  <c r="IF120" i="1"/>
  <c r="IF455" i="1"/>
  <c r="IF122" i="1"/>
  <c r="IF452" i="1"/>
  <c r="IF119" i="1"/>
  <c r="IF454" i="1"/>
  <c r="IF121" i="1"/>
  <c r="IF456" i="1"/>
  <c r="IF123" i="1"/>
  <c r="IF460" i="1"/>
  <c r="IF127" i="1"/>
  <c r="IF462" i="1"/>
  <c r="IF459" i="1"/>
  <c r="IF126" i="1"/>
  <c r="IF461" i="1"/>
  <c r="IF128" i="1"/>
  <c r="IF314" i="1"/>
  <c r="IF470" i="1"/>
  <c r="IF137" i="1"/>
  <c r="IF475" i="1"/>
  <c r="IF142" i="1"/>
  <c r="IF477" i="1"/>
  <c r="IF144" i="1"/>
  <c r="IF478" i="1"/>
  <c r="IF145" i="1"/>
  <c r="IF480" i="1"/>
  <c r="IF317" i="1"/>
  <c r="IF484" i="1"/>
  <c r="IF151" i="1"/>
  <c r="IF486" i="1"/>
  <c r="IF153" i="1"/>
  <c r="IF320" i="1"/>
  <c r="IF489" i="1"/>
  <c r="IF156" i="1"/>
  <c r="IF490" i="1"/>
  <c r="IF157" i="1"/>
  <c r="IF493" i="1"/>
  <c r="IF323" i="1"/>
  <c r="IF496" i="1"/>
  <c r="IF324" i="1"/>
  <c r="IF498" i="1"/>
  <c r="IF165" i="1"/>
  <c r="IF327" i="1"/>
  <c r="IF168" i="1"/>
  <c r="IF502" i="1"/>
  <c r="IF169" i="1"/>
  <c r="IF503" i="1"/>
  <c r="IF170" i="1"/>
  <c r="HG440" i="1"/>
  <c r="GP311" i="1"/>
  <c r="GQ311" i="1"/>
  <c r="HG441" i="1"/>
  <c r="HG108" i="1"/>
  <c r="HG448" i="1"/>
  <c r="HG115" i="1"/>
  <c r="HG445" i="1"/>
  <c r="HG112" i="1"/>
  <c r="HG446" i="1"/>
  <c r="HG113" i="1"/>
  <c r="HG447" i="1"/>
  <c r="HG114" i="1"/>
  <c r="HG452" i="1"/>
  <c r="HG119" i="1"/>
  <c r="HG453" i="1"/>
  <c r="HG120" i="1"/>
  <c r="HG454" i="1"/>
  <c r="HG121" i="1"/>
  <c r="HG460" i="1"/>
  <c r="HG127" i="1"/>
  <c r="HG462" i="1"/>
  <c r="GP314" i="1"/>
  <c r="GQ314" i="1"/>
  <c r="HG459" i="1"/>
  <c r="HG126" i="1"/>
  <c r="HG467" i="1"/>
  <c r="HG134" i="1"/>
  <c r="HG470" i="1"/>
  <c r="HG137" i="1"/>
  <c r="HG468" i="1"/>
  <c r="HG135" i="1"/>
  <c r="HG469" i="1"/>
  <c r="HG136" i="1"/>
  <c r="HG474" i="1"/>
  <c r="HG141" i="1"/>
  <c r="HG475" i="1"/>
  <c r="HG142" i="1"/>
  <c r="HG477" i="1"/>
  <c r="HG144" i="1"/>
  <c r="HG478" i="1"/>
  <c r="HG145" i="1"/>
  <c r="HG480" i="1"/>
  <c r="GP317" i="1"/>
  <c r="GQ317" i="1"/>
  <c r="HG473" i="1"/>
  <c r="HG140" i="1"/>
  <c r="HG476" i="1"/>
  <c r="HG143" i="1"/>
  <c r="HG479" i="1"/>
  <c r="HG146" i="1"/>
  <c r="HG484" i="1"/>
  <c r="HG151" i="1"/>
  <c r="HG485" i="1"/>
  <c r="HG152" i="1"/>
  <c r="HG486" i="1"/>
  <c r="GP320" i="1"/>
  <c r="GS320" i="1"/>
  <c r="GQ320" i="1"/>
  <c r="HG490" i="1"/>
  <c r="HG157" i="1"/>
  <c r="HG491" i="1"/>
  <c r="HG158" i="1"/>
  <c r="HG493" i="1"/>
  <c r="GP323" i="1"/>
  <c r="GQ323" i="1"/>
  <c r="HG496" i="1"/>
  <c r="GP324" i="1"/>
  <c r="GQ324" i="1"/>
  <c r="HG489" i="1"/>
  <c r="HG156" i="1"/>
  <c r="HG492" i="1"/>
  <c r="HG159" i="1"/>
  <c r="HG494" i="1"/>
  <c r="HG161" i="1"/>
  <c r="HG495" i="1"/>
  <c r="HG162" i="1"/>
  <c r="HG498" i="1"/>
  <c r="HG165" i="1"/>
  <c r="GP327" i="1"/>
  <c r="GQ327" i="1"/>
  <c r="IP280" i="1"/>
  <c r="IQ280" i="1"/>
  <c r="IP281" i="1"/>
  <c r="IQ281" i="1"/>
  <c r="IP284" i="1"/>
  <c r="IQ284" i="1"/>
  <c r="IJ285" i="1"/>
  <c r="IK285" i="1"/>
  <c r="IM285" i="1"/>
  <c r="IP285" i="1"/>
  <c r="IQ285" i="1"/>
  <c r="IS285" i="1"/>
  <c r="IT285" i="1"/>
  <c r="IV285" i="1"/>
  <c r="IW285" i="1"/>
  <c r="IY285" i="1"/>
  <c r="IZ285" i="1"/>
  <c r="JB285" i="1"/>
  <c r="JE285" i="1"/>
  <c r="JF285" i="1"/>
  <c r="JH285" i="1"/>
  <c r="JI285" i="1"/>
  <c r="JK285" i="1"/>
  <c r="JL285" i="1"/>
  <c r="JN285" i="1"/>
  <c r="JQ285" i="1"/>
  <c r="IJ286" i="1"/>
  <c r="IM286" i="1"/>
  <c r="IN286" i="1"/>
  <c r="IP286" i="1"/>
  <c r="IQ286" i="1"/>
  <c r="IS286" i="1"/>
  <c r="IV286" i="1"/>
  <c r="IW286" i="1"/>
  <c r="IY286" i="1"/>
  <c r="IZ286" i="1"/>
  <c r="JB286" i="1"/>
  <c r="JC286" i="1"/>
  <c r="JE286" i="1"/>
  <c r="JF286" i="1"/>
  <c r="JH286" i="1"/>
  <c r="JI286" i="1"/>
  <c r="JK286" i="1"/>
  <c r="JL286" i="1"/>
  <c r="JN286" i="1"/>
  <c r="JO286" i="1"/>
  <c r="JQ286" i="1"/>
  <c r="JR286" i="1"/>
  <c r="IJ393" i="1"/>
  <c r="IK393" i="1"/>
  <c r="IM393" i="1"/>
  <c r="IP393" i="1"/>
  <c r="IS393" i="1"/>
  <c r="IT393" i="1"/>
  <c r="IV393" i="1"/>
  <c r="IY393" i="1"/>
  <c r="IZ393" i="1"/>
  <c r="IZ59" i="1"/>
  <c r="JB393" i="1"/>
  <c r="JC393" i="1"/>
  <c r="JE393" i="1"/>
  <c r="JH393" i="1"/>
  <c r="JI393" i="1"/>
  <c r="JK393" i="1"/>
  <c r="JN393" i="1"/>
  <c r="JO393" i="1"/>
  <c r="IP384" i="1"/>
  <c r="IQ384" i="1"/>
  <c r="IP395" i="1"/>
  <c r="IP399" i="1"/>
  <c r="IQ399" i="1"/>
  <c r="IQ65" i="1"/>
  <c r="IJ399" i="1"/>
  <c r="IK399" i="1"/>
  <c r="IM399" i="1"/>
  <c r="IN399" i="1"/>
  <c r="IS399" i="1"/>
  <c r="IT399" i="1"/>
  <c r="IV399" i="1"/>
  <c r="IW399" i="1"/>
  <c r="IY399" i="1"/>
  <c r="JB399" i="1"/>
  <c r="JC399" i="1"/>
  <c r="JE399" i="1"/>
  <c r="JF399" i="1"/>
  <c r="JH399" i="1"/>
  <c r="JI399" i="1"/>
  <c r="JK399" i="1"/>
  <c r="JN399" i="1"/>
  <c r="IJ398" i="1"/>
  <c r="IM398" i="1"/>
  <c r="IN398" i="1"/>
  <c r="IP398" i="1"/>
  <c r="IS398" i="1"/>
  <c r="IT398" i="1"/>
  <c r="IV398" i="1"/>
  <c r="IW398" i="1"/>
  <c r="IY398" i="1"/>
  <c r="IZ398" i="1"/>
  <c r="JB398" i="1"/>
  <c r="JC398" i="1"/>
  <c r="JE398" i="1"/>
  <c r="JF398" i="1"/>
  <c r="JH398" i="1"/>
  <c r="JI398" i="1"/>
  <c r="JK398" i="1"/>
  <c r="JL398" i="1"/>
  <c r="JN398" i="1"/>
  <c r="JO398" i="1"/>
  <c r="IP402" i="1"/>
  <c r="IQ402" i="1"/>
  <c r="IG289" i="1"/>
  <c r="IP403" i="1"/>
  <c r="IQ403" i="1"/>
  <c r="IG290" i="1"/>
  <c r="IP404" i="1"/>
  <c r="IQ404" i="1"/>
  <c r="IG291" i="1"/>
  <c r="IP407" i="1"/>
  <c r="IG294" i="1"/>
  <c r="IP408" i="1"/>
  <c r="IQ408" i="1"/>
  <c r="IG295" i="1"/>
  <c r="IP409" i="1"/>
  <c r="IQ409" i="1"/>
  <c r="IG296" i="1"/>
  <c r="IP414" i="1"/>
  <c r="IQ414" i="1"/>
  <c r="IG300" i="1"/>
  <c r="IG299" i="1"/>
  <c r="IJ413" i="1"/>
  <c r="IK413" i="1"/>
  <c r="IM413" i="1"/>
  <c r="IN413" i="1"/>
  <c r="IP413" i="1"/>
  <c r="IQ413" i="1"/>
  <c r="IS413" i="1"/>
  <c r="IT413" i="1"/>
  <c r="IV413" i="1"/>
  <c r="IY413" i="1"/>
  <c r="IZ413" i="1"/>
  <c r="JB413" i="1"/>
  <c r="JC413" i="1"/>
  <c r="JE413" i="1"/>
  <c r="JF413" i="1"/>
  <c r="JH413" i="1"/>
  <c r="JI413" i="1"/>
  <c r="JK413" i="1"/>
  <c r="JL413" i="1"/>
  <c r="JN413" i="1"/>
  <c r="JO413" i="1"/>
  <c r="IP425" i="1"/>
  <c r="IQ425" i="1"/>
  <c r="IG306" i="1"/>
  <c r="IP623" i="1"/>
  <c r="IN285" i="1"/>
  <c r="JC285" i="1"/>
  <c r="JO285" i="1"/>
  <c r="JR285" i="1"/>
  <c r="IK286" i="1"/>
  <c r="IN393" i="1"/>
  <c r="IW393" i="1"/>
  <c r="JF393" i="1"/>
  <c r="JL393" i="1"/>
  <c r="IQ395" i="1"/>
  <c r="IZ399" i="1"/>
  <c r="JL399" i="1"/>
  <c r="JO399" i="1"/>
  <c r="IK398" i="1"/>
  <c r="IH289" i="1"/>
  <c r="IH290" i="1"/>
  <c r="IH291" i="1"/>
  <c r="IQ407" i="1"/>
  <c r="IH294" i="1"/>
  <c r="IH295" i="1"/>
  <c r="IH296" i="1"/>
  <c r="IH300" i="1"/>
  <c r="IH299" i="1"/>
  <c r="IW413" i="1"/>
  <c r="IH306" i="1"/>
  <c r="IQ623" i="1"/>
  <c r="IF280" i="1"/>
  <c r="IF387" i="1"/>
  <c r="IF281" i="1"/>
  <c r="IF388" i="1"/>
  <c r="IF284" i="1"/>
  <c r="IF391" i="1"/>
  <c r="IF57" i="1"/>
  <c r="IF285" i="1"/>
  <c r="IF286" i="1"/>
  <c r="IF393" i="1"/>
  <c r="IF384" i="1"/>
  <c r="IF277" i="1"/>
  <c r="IF381" i="1"/>
  <c r="IF47" i="1"/>
  <c r="IF382" i="1"/>
  <c r="IF48" i="1"/>
  <c r="IF383" i="1"/>
  <c r="IF49" i="1"/>
  <c r="IF395" i="1"/>
  <c r="IF61" i="1"/>
  <c r="IF399" i="1"/>
  <c r="IF65" i="1"/>
  <c r="IF398" i="1"/>
  <c r="IF64" i="1"/>
  <c r="IF402" i="1"/>
  <c r="IF289" i="1"/>
  <c r="IF403" i="1"/>
  <c r="IF290" i="1"/>
  <c r="IF404" i="1"/>
  <c r="IF291" i="1"/>
  <c r="IF407" i="1"/>
  <c r="IF294" i="1"/>
  <c r="IF408" i="1"/>
  <c r="IF295" i="1"/>
  <c r="IF409" i="1"/>
  <c r="IF296" i="1"/>
  <c r="IF414" i="1"/>
  <c r="IF300" i="1"/>
  <c r="IF412" i="1"/>
  <c r="IF78" i="1"/>
  <c r="IF413" i="1"/>
  <c r="IF299" i="1"/>
  <c r="IF425" i="1"/>
  <c r="IF420" i="1"/>
  <c r="IF87" i="1"/>
  <c r="IF421" i="1"/>
  <c r="IF88" i="1"/>
  <c r="IF422" i="1"/>
  <c r="IF89" i="1"/>
  <c r="IF423" i="1"/>
  <c r="IF90" i="1"/>
  <c r="IF424" i="1"/>
  <c r="IF91" i="1"/>
  <c r="IF306" i="1"/>
  <c r="IF623" i="1"/>
  <c r="IF84" i="1"/>
  <c r="IF622" i="1"/>
  <c r="IF83" i="1"/>
  <c r="HG280" i="1"/>
  <c r="HG387" i="1"/>
  <c r="HG281" i="1"/>
  <c r="HG388" i="1"/>
  <c r="HG283" i="1"/>
  <c r="HG390" i="1"/>
  <c r="HG284" i="1"/>
  <c r="HG391" i="1"/>
  <c r="HG285" i="1"/>
  <c r="HG392" i="1"/>
  <c r="GP286" i="1"/>
  <c r="GQ286" i="1"/>
  <c r="HG393" i="1"/>
  <c r="HG384" i="1"/>
  <c r="HG50" i="1"/>
  <c r="HG46" i="1"/>
  <c r="HG395" i="1"/>
  <c r="HG61" i="1"/>
  <c r="HG399" i="1"/>
  <c r="HG65" i="1"/>
  <c r="HG402" i="1"/>
  <c r="GP289" i="1"/>
  <c r="GQ289" i="1"/>
  <c r="HG403" i="1"/>
  <c r="GP290" i="1"/>
  <c r="GQ290" i="1"/>
  <c r="HG404" i="1"/>
  <c r="GP291" i="1"/>
  <c r="GQ291" i="1"/>
  <c r="HG407" i="1"/>
  <c r="GP294" i="1"/>
  <c r="GQ294" i="1"/>
  <c r="HG408" i="1"/>
  <c r="GP295" i="1"/>
  <c r="GQ295" i="1"/>
  <c r="HG409" i="1"/>
  <c r="GP296" i="1"/>
  <c r="GQ296" i="1"/>
  <c r="HG414" i="1"/>
  <c r="GP300" i="1"/>
  <c r="GQ300" i="1"/>
  <c r="GP299" i="1"/>
  <c r="GQ299" i="1"/>
  <c r="HG425" i="1"/>
  <c r="GP306" i="1"/>
  <c r="GQ306" i="1"/>
  <c r="HG420" i="1"/>
  <c r="HG87" i="1"/>
  <c r="HG421" i="1"/>
  <c r="HG88" i="1"/>
  <c r="HG422" i="1"/>
  <c r="HG89" i="1"/>
  <c r="HG423" i="1"/>
  <c r="HG90" i="1"/>
  <c r="HG424" i="1"/>
  <c r="HG91" i="1"/>
  <c r="HG623" i="1"/>
  <c r="HG84" i="1"/>
  <c r="IJ265" i="1"/>
  <c r="IM265" i="1"/>
  <c r="IP265" i="1"/>
  <c r="IS265" i="1"/>
  <c r="IV265" i="1"/>
  <c r="IY265" i="1"/>
  <c r="JB265" i="1"/>
  <c r="JE265" i="1"/>
  <c r="JH265" i="1"/>
  <c r="JK265" i="1"/>
  <c r="JN265" i="1"/>
  <c r="JQ265" i="1"/>
  <c r="IG265" i="1"/>
  <c r="IP598" i="1"/>
  <c r="IJ268" i="1"/>
  <c r="IK268" i="1"/>
  <c r="IM268" i="1"/>
  <c r="IN268" i="1"/>
  <c r="IP268" i="1"/>
  <c r="IS268" i="1"/>
  <c r="IY268" i="1"/>
  <c r="JB268" i="1"/>
  <c r="JC268" i="1"/>
  <c r="JE268" i="1"/>
  <c r="JH268" i="1"/>
  <c r="JK268" i="1"/>
  <c r="JN268" i="1"/>
  <c r="JO268" i="1"/>
  <c r="JQ268" i="1"/>
  <c r="IJ601" i="1"/>
  <c r="IM601" i="1"/>
  <c r="IP601" i="1"/>
  <c r="IQ601" i="1"/>
  <c r="IS601" i="1"/>
  <c r="IY601" i="1"/>
  <c r="JB601" i="1"/>
  <c r="JC601" i="1"/>
  <c r="JE601" i="1"/>
  <c r="JF601" i="1"/>
  <c r="JH601" i="1"/>
  <c r="JK601" i="1"/>
  <c r="JN601" i="1"/>
  <c r="JO601" i="1"/>
  <c r="IG572" i="1"/>
  <c r="IG376" i="1"/>
  <c r="IJ602" i="1"/>
  <c r="IM602" i="1"/>
  <c r="IP602" i="1"/>
  <c r="IQ602" i="1"/>
  <c r="IS602" i="1"/>
  <c r="IV602" i="1"/>
  <c r="IV40" i="1"/>
  <c r="IY602" i="1"/>
  <c r="JB602" i="1"/>
  <c r="JC602" i="1"/>
  <c r="JE602" i="1"/>
  <c r="JH602" i="1"/>
  <c r="JK602" i="1"/>
  <c r="JL602" i="1"/>
  <c r="JN602" i="1"/>
  <c r="JO602" i="1"/>
  <c r="IJ269" i="1"/>
  <c r="IM269" i="1"/>
  <c r="IP269" i="1"/>
  <c r="IS269" i="1"/>
  <c r="IT269" i="1"/>
  <c r="IY269" i="1"/>
  <c r="JB269" i="1"/>
  <c r="JE269" i="1"/>
  <c r="JH269" i="1"/>
  <c r="JI269" i="1"/>
  <c r="JK269" i="1"/>
  <c r="JN269" i="1"/>
  <c r="IJ270" i="1"/>
  <c r="IM270" i="1"/>
  <c r="IN270" i="1"/>
  <c r="IP270" i="1"/>
  <c r="IS270" i="1"/>
  <c r="IV270" i="1"/>
  <c r="IW270" i="1"/>
  <c r="IY270" i="1"/>
  <c r="IZ270" i="1"/>
  <c r="JB270" i="1"/>
  <c r="JE270" i="1"/>
  <c r="JH270" i="1"/>
  <c r="JI270" i="1"/>
  <c r="JK270" i="1"/>
  <c r="JL270" i="1"/>
  <c r="JN270" i="1"/>
  <c r="IJ604" i="1"/>
  <c r="IM604" i="1"/>
  <c r="IN604" i="1"/>
  <c r="IP604" i="1"/>
  <c r="IQ604" i="1"/>
  <c r="IS604" i="1"/>
  <c r="IV604" i="1"/>
  <c r="IY604" i="1"/>
  <c r="IZ604" i="1"/>
  <c r="JB604" i="1"/>
  <c r="JC604" i="1"/>
  <c r="JE604" i="1"/>
  <c r="JH604" i="1"/>
  <c r="JK604" i="1"/>
  <c r="JN604" i="1"/>
  <c r="JO604" i="1"/>
  <c r="IG271" i="1"/>
  <c r="JQ269" i="1"/>
  <c r="JQ270" i="1"/>
  <c r="IP247" i="1"/>
  <c r="IP582" i="1"/>
  <c r="IP635" i="1"/>
  <c r="IP369" i="1"/>
  <c r="IP252" i="1"/>
  <c r="IQ252" i="1"/>
  <c r="IP586" i="1"/>
  <c r="IP638" i="1"/>
  <c r="IP253" i="1"/>
  <c r="IP587" i="1"/>
  <c r="IQ587" i="1"/>
  <c r="IP614" i="1"/>
  <c r="IP639" i="1"/>
  <c r="IP588" i="1"/>
  <c r="IP255" i="1"/>
  <c r="IP641" i="1"/>
  <c r="IP260" i="1"/>
  <c r="IP593" i="1"/>
  <c r="IP646" i="1"/>
  <c r="IQ646" i="1"/>
  <c r="IP261" i="1"/>
  <c r="IP594" i="1"/>
  <c r="IP647" i="1"/>
  <c r="IP262" i="1"/>
  <c r="IQ262" i="1"/>
  <c r="IP595" i="1"/>
  <c r="IP648" i="1"/>
  <c r="IK265" i="1"/>
  <c r="IN265" i="1"/>
  <c r="IQ265" i="1"/>
  <c r="IT265" i="1"/>
  <c r="IW265" i="1"/>
  <c r="IZ265" i="1"/>
  <c r="JC265" i="1"/>
  <c r="JF265" i="1"/>
  <c r="JI265" i="1"/>
  <c r="JL265" i="1"/>
  <c r="JO265" i="1"/>
  <c r="JR265" i="1"/>
  <c r="IH265" i="1"/>
  <c r="IQ598" i="1"/>
  <c r="IQ268" i="1"/>
  <c r="IT268" i="1"/>
  <c r="IZ268" i="1"/>
  <c r="JF268" i="1"/>
  <c r="JI268" i="1"/>
  <c r="JL268" i="1"/>
  <c r="JR268" i="1"/>
  <c r="IK601" i="1"/>
  <c r="IN601" i="1"/>
  <c r="IT601" i="1"/>
  <c r="IZ601" i="1"/>
  <c r="JI601" i="1"/>
  <c r="JL601" i="1"/>
  <c r="IK269" i="1"/>
  <c r="IN269" i="1"/>
  <c r="IQ269" i="1"/>
  <c r="IZ269" i="1"/>
  <c r="JC269" i="1"/>
  <c r="JF269" i="1"/>
  <c r="JL269" i="1"/>
  <c r="JO269" i="1"/>
  <c r="JR269" i="1"/>
  <c r="IK602" i="1"/>
  <c r="IK40" i="1"/>
  <c r="IN602" i="1"/>
  <c r="IT602" i="1"/>
  <c r="IW602" i="1"/>
  <c r="IW40" i="1"/>
  <c r="IZ602" i="1"/>
  <c r="JF602" i="1"/>
  <c r="JF40" i="1"/>
  <c r="JI602" i="1"/>
  <c r="IK270" i="1"/>
  <c r="IQ270" i="1"/>
  <c r="IT270" i="1"/>
  <c r="JC270" i="1"/>
  <c r="JF270" i="1"/>
  <c r="JO270" i="1"/>
  <c r="JR270" i="1"/>
  <c r="IH271" i="1"/>
  <c r="IK604" i="1"/>
  <c r="IT604" i="1"/>
  <c r="IW604" i="1"/>
  <c r="JF604" i="1"/>
  <c r="JI604" i="1"/>
  <c r="JL604" i="1"/>
  <c r="IQ247" i="1"/>
  <c r="IQ582" i="1"/>
  <c r="IQ635" i="1"/>
  <c r="IQ369" i="1"/>
  <c r="IQ586" i="1"/>
  <c r="IQ638" i="1"/>
  <c r="IQ253" i="1"/>
  <c r="IQ614" i="1"/>
  <c r="IQ639" i="1"/>
  <c r="IQ588" i="1"/>
  <c r="IQ255" i="1"/>
  <c r="IQ641" i="1"/>
  <c r="IQ260" i="1"/>
  <c r="IQ593" i="1"/>
  <c r="IQ261" i="1"/>
  <c r="IQ594" i="1"/>
  <c r="IQ647" i="1"/>
  <c r="IQ595" i="1"/>
  <c r="IQ648" i="1"/>
  <c r="IF265" i="1"/>
  <c r="IF598" i="1"/>
  <c r="IF572" i="1"/>
  <c r="IF376" i="1"/>
  <c r="IF602" i="1"/>
  <c r="IF270" i="1"/>
  <c r="IF41" i="1"/>
  <c r="IF604" i="1"/>
  <c r="IF271" i="1"/>
  <c r="IF369" i="1"/>
  <c r="IF248" i="1"/>
  <c r="IF583" i="1"/>
  <c r="IF614" i="1"/>
  <c r="IF24" i="1"/>
  <c r="IF26" i="1"/>
  <c r="IF260" i="1"/>
  <c r="IF593" i="1"/>
  <c r="IF646" i="1"/>
  <c r="IF261" i="1"/>
  <c r="IF594" i="1"/>
  <c r="IF647" i="1"/>
  <c r="IF262" i="1"/>
  <c r="IF595" i="1"/>
  <c r="IF648" i="1"/>
  <c r="HG635" i="1"/>
  <c r="HG369" i="1"/>
  <c r="GQ265" i="1"/>
  <c r="HG265" i="1"/>
  <c r="HG598" i="1"/>
  <c r="HG36" i="1"/>
  <c r="HG373" i="1"/>
  <c r="HG268" i="1"/>
  <c r="GQ269" i="1"/>
  <c r="HG269" i="1"/>
  <c r="GP270" i="1"/>
  <c r="GQ270" i="1"/>
  <c r="HG270" i="1"/>
  <c r="HG41" i="1"/>
  <c r="GP271" i="1"/>
  <c r="GQ271" i="1"/>
  <c r="HG271" i="1"/>
  <c r="HG42" i="1"/>
  <c r="HG586" i="1"/>
  <c r="HG252" i="1"/>
  <c r="HG638" i="1"/>
  <c r="HG587" i="1"/>
  <c r="HG253" i="1"/>
  <c r="HG639" i="1"/>
  <c r="HG614" i="1"/>
  <c r="HG588" i="1"/>
  <c r="HG24" i="1"/>
  <c r="KA588" i="1"/>
  <c r="JX588" i="1"/>
  <c r="JY588" i="1"/>
  <c r="JZ588" i="1"/>
  <c r="HG255" i="1"/>
  <c r="HG641" i="1"/>
  <c r="HG260" i="1"/>
  <c r="HG593" i="1"/>
  <c r="HG646" i="1"/>
  <c r="HG261" i="1"/>
  <c r="HG594" i="1"/>
  <c r="HG647" i="1"/>
  <c r="HG262" i="1"/>
  <c r="HG595" i="1"/>
  <c r="HG648" i="1"/>
  <c r="HG596" i="1"/>
  <c r="HG590" i="1"/>
  <c r="GQ373" i="1"/>
  <c r="GQ36" i="1"/>
  <c r="GQ376" i="1"/>
  <c r="GQ41" i="1"/>
  <c r="GQ42" i="1"/>
  <c r="GQ38" i="1"/>
  <c r="GQ23" i="1"/>
  <c r="GQ24" i="1"/>
  <c r="GQ26" i="1"/>
  <c r="GQ31" i="1"/>
  <c r="GQ32" i="1"/>
  <c r="GQ33" i="1"/>
  <c r="GQ34" i="1"/>
  <c r="GP373" i="1"/>
  <c r="GP36" i="1"/>
  <c r="GP41" i="1"/>
  <c r="GP42" i="1"/>
  <c r="GP24" i="1"/>
  <c r="GP22" i="1"/>
  <c r="GP31" i="1"/>
  <c r="GP32" i="1"/>
  <c r="GP33" i="1"/>
  <c r="GP34" i="1"/>
  <c r="C36" i="1"/>
  <c r="C41" i="1"/>
  <c r="C38" i="1"/>
  <c r="GQ177" i="1"/>
  <c r="GQ174" i="1"/>
  <c r="KA174" i="1"/>
  <c r="GQ180" i="1"/>
  <c r="GQ179" i="1"/>
  <c r="GQ187" i="1"/>
  <c r="GQ189" i="1"/>
  <c r="GQ185" i="1"/>
  <c r="GQ184" i="1"/>
  <c r="GQ191" i="1"/>
  <c r="GQ193" i="1"/>
  <c r="KA193" i="1"/>
  <c r="GQ196" i="1"/>
  <c r="GQ197" i="1"/>
  <c r="GP182" i="1"/>
  <c r="GP177" i="1"/>
  <c r="GP174" i="1"/>
  <c r="GP180" i="1"/>
  <c r="GP179" i="1"/>
  <c r="GP185" i="1"/>
  <c r="GP184" i="1"/>
  <c r="GP187" i="1"/>
  <c r="GP189" i="1"/>
  <c r="GP191" i="1"/>
  <c r="GP196" i="1"/>
  <c r="GP197" i="1"/>
  <c r="GP213" i="1"/>
  <c r="GP214" i="1"/>
  <c r="GP220" i="1"/>
  <c r="GP221" i="1"/>
  <c r="JZ221" i="1"/>
  <c r="GP222" i="1"/>
  <c r="GP231" i="1"/>
  <c r="GP232" i="1"/>
  <c r="GP237" i="1"/>
  <c r="GP238" i="1"/>
  <c r="GQ213" i="1"/>
  <c r="GQ215" i="1"/>
  <c r="GQ214" i="1"/>
  <c r="GQ220" i="1"/>
  <c r="GQ356" i="1"/>
  <c r="GQ221" i="1"/>
  <c r="GQ222" i="1"/>
  <c r="GQ231" i="1"/>
  <c r="GQ232" i="1"/>
  <c r="GQ237" i="1"/>
  <c r="GQ238" i="1"/>
  <c r="C213" i="1"/>
  <c r="C215" i="1"/>
  <c r="C212" i="1"/>
  <c r="C220" i="1"/>
  <c r="C222" i="1"/>
  <c r="C218" i="1"/>
  <c r="C210" i="1"/>
  <c r="C177" i="1"/>
  <c r="C174" i="1"/>
  <c r="C180" i="1"/>
  <c r="C179" i="1"/>
  <c r="C182" i="1"/>
  <c r="C185" i="1"/>
  <c r="C184" i="1"/>
  <c r="C187" i="1"/>
  <c r="C189" i="1"/>
  <c r="C191" i="1"/>
  <c r="C193" i="1"/>
  <c r="C172" i="1"/>
  <c r="C107" i="1"/>
  <c r="C106" i="1"/>
  <c r="C147" i="1"/>
  <c r="C140" i="1"/>
  <c r="C141" i="1"/>
  <c r="C142" i="1"/>
  <c r="C143" i="1"/>
  <c r="C144" i="1"/>
  <c r="C145" i="1"/>
  <c r="C146" i="1"/>
  <c r="C153" i="1"/>
  <c r="C149" i="1"/>
  <c r="C160" i="1"/>
  <c r="C155" i="1"/>
  <c r="C163" i="1"/>
  <c r="C168" i="1"/>
  <c r="C169" i="1"/>
  <c r="C170" i="1"/>
  <c r="C58" i="1"/>
  <c r="C59" i="1"/>
  <c r="C52" i="1"/>
  <c r="C68" i="1"/>
  <c r="C69" i="1"/>
  <c r="C67" i="1"/>
  <c r="C70" i="1"/>
  <c r="C73" i="1"/>
  <c r="C74" i="1"/>
  <c r="C75" i="1"/>
  <c r="C92" i="1"/>
  <c r="C86" i="1"/>
  <c r="C102" i="1"/>
  <c r="S30" i="12"/>
  <c r="S31" i="12"/>
  <c r="S32" i="12"/>
  <c r="S35" i="12"/>
  <c r="S36" i="12"/>
  <c r="AG36" i="12"/>
  <c r="S42" i="12"/>
  <c r="HJ614" i="1"/>
  <c r="HK582" i="1"/>
  <c r="HK643" i="1"/>
  <c r="HK641" i="1"/>
  <c r="HK639" i="1"/>
  <c r="HK638" i="1"/>
  <c r="HK635" i="1"/>
  <c r="HK598" i="1"/>
  <c r="HK596" i="1"/>
  <c r="HK590" i="1"/>
  <c r="HK588" i="1"/>
  <c r="HK587" i="1"/>
  <c r="HK586" i="1"/>
  <c r="HK284" i="1"/>
  <c r="HK283" i="1"/>
  <c r="HK280" i="1"/>
  <c r="HK263" i="1"/>
  <c r="HK257" i="1"/>
  <c r="HK255" i="1"/>
  <c r="HK253" i="1"/>
  <c r="HK252" i="1"/>
  <c r="HK247" i="1"/>
  <c r="GV199" i="1"/>
  <c r="GW199" i="1"/>
  <c r="GX199" i="1"/>
  <c r="GY199" i="1"/>
  <c r="GZ199" i="1"/>
  <c r="HA199" i="1"/>
  <c r="HB199" i="1"/>
  <c r="HC199" i="1"/>
  <c r="HD199" i="1"/>
  <c r="HE199" i="1"/>
  <c r="HF199" i="1"/>
  <c r="HH199" i="1"/>
  <c r="HI199" i="1"/>
  <c r="HK199" i="1"/>
  <c r="HL205" i="1"/>
  <c r="HL204" i="1"/>
  <c r="HL208" i="1"/>
  <c r="HL207" i="1"/>
  <c r="HL199" i="1"/>
  <c r="HM199" i="1"/>
  <c r="HN205" i="1"/>
  <c r="HN204" i="1"/>
  <c r="HN199" i="1"/>
  <c r="HO199" i="1"/>
  <c r="HP205" i="1"/>
  <c r="HP204" i="1"/>
  <c r="HP199" i="1"/>
  <c r="HQ199" i="1"/>
  <c r="HS199" i="1"/>
  <c r="HU199" i="1"/>
  <c r="HW199" i="1"/>
  <c r="HY199" i="1"/>
  <c r="HZ205" i="1"/>
  <c r="HZ204" i="1"/>
  <c r="HZ199" i="1"/>
  <c r="IA199" i="1"/>
  <c r="IB199" i="1"/>
  <c r="IC199" i="1"/>
  <c r="ID199" i="1"/>
  <c r="IE199" i="1"/>
  <c r="II199" i="1"/>
  <c r="IJ199" i="1"/>
  <c r="IK199" i="1"/>
  <c r="IL199" i="1"/>
  <c r="IM199" i="1"/>
  <c r="IN199" i="1"/>
  <c r="IO205" i="1"/>
  <c r="IO204" i="1"/>
  <c r="IO208" i="1"/>
  <c r="IO207" i="1"/>
  <c r="IO199" i="1"/>
  <c r="IP205" i="1"/>
  <c r="IP204" i="1"/>
  <c r="IP208" i="1"/>
  <c r="IP207" i="1"/>
  <c r="IP199" i="1"/>
  <c r="IQ205" i="1"/>
  <c r="IQ204" i="1"/>
  <c r="IQ208" i="1"/>
  <c r="IQ207" i="1"/>
  <c r="IQ199" i="1"/>
  <c r="IU205" i="1"/>
  <c r="IU204" i="1"/>
  <c r="IU199" i="1"/>
  <c r="IV536" i="1"/>
  <c r="IV205" i="1"/>
  <c r="IV204" i="1"/>
  <c r="IV199" i="1"/>
  <c r="IW536" i="1"/>
  <c r="IW205" i="1"/>
  <c r="IW204" i="1"/>
  <c r="IW199" i="1"/>
  <c r="JJ205" i="1"/>
  <c r="JJ204" i="1"/>
  <c r="JJ199" i="1"/>
  <c r="JK536" i="1"/>
  <c r="JK205" i="1"/>
  <c r="JK204" i="1"/>
  <c r="JK199" i="1"/>
  <c r="JL536" i="1"/>
  <c r="JL205" i="1"/>
  <c r="JL204" i="1"/>
  <c r="JL199" i="1"/>
  <c r="JM199" i="1"/>
  <c r="JN199" i="1"/>
  <c r="JO199" i="1"/>
  <c r="JP199" i="1"/>
  <c r="JQ199" i="1"/>
  <c r="JR199" i="1"/>
  <c r="GP199" i="1"/>
  <c r="IL791" i="1"/>
  <c r="IL769" i="1"/>
  <c r="IL649" i="1"/>
  <c r="IL639" i="1"/>
  <c r="IL638" i="1"/>
  <c r="IL635" i="1"/>
  <c r="IL623" i="1"/>
  <c r="IL598" i="1"/>
  <c r="IL588" i="1"/>
  <c r="IL587" i="1"/>
  <c r="IL586" i="1"/>
  <c r="IL582" i="1"/>
  <c r="IL544" i="1"/>
  <c r="IL536" i="1"/>
  <c r="IL498" i="1"/>
  <c r="IL496" i="1"/>
  <c r="IL493" i="1"/>
  <c r="IL489" i="1"/>
  <c r="IL486" i="1"/>
  <c r="IL480" i="1"/>
  <c r="IL470" i="1"/>
  <c r="IL462" i="1"/>
  <c r="IL452" i="1"/>
  <c r="IL440" i="1"/>
  <c r="IL414" i="1"/>
  <c r="IL407" i="1"/>
  <c r="IL402" i="1"/>
  <c r="IL395" i="1"/>
  <c r="IL384" i="1"/>
  <c r="IL369" i="1"/>
  <c r="IL284" i="1"/>
  <c r="IL263" i="1"/>
  <c r="IL255" i="1"/>
  <c r="IL253" i="1"/>
  <c r="IL252" i="1"/>
  <c r="IL247" i="1"/>
  <c r="D18" i="12"/>
  <c r="U68" i="12"/>
  <c r="U66" i="12"/>
  <c r="U64" i="12"/>
  <c r="GV586" i="1"/>
  <c r="GV582" i="1"/>
  <c r="HL535" i="1"/>
  <c r="HL538" i="1"/>
  <c r="HL530" i="1"/>
  <c r="HM530" i="1"/>
  <c r="HN535" i="1"/>
  <c r="HN530" i="1"/>
  <c r="HO530" i="1"/>
  <c r="HP535" i="1"/>
  <c r="HP530" i="1"/>
  <c r="HQ530" i="1"/>
  <c r="HS530" i="1"/>
  <c r="HU530" i="1"/>
  <c r="HW530" i="1"/>
  <c r="HY530" i="1"/>
  <c r="HZ535" i="1"/>
  <c r="HZ530" i="1"/>
  <c r="IA530" i="1"/>
  <c r="IB530" i="1"/>
  <c r="IC530" i="1"/>
  <c r="ID530" i="1"/>
  <c r="IE530" i="1"/>
  <c r="II530" i="1"/>
  <c r="IJ530" i="1"/>
  <c r="IK530" i="1"/>
  <c r="IO535" i="1"/>
  <c r="IO538" i="1"/>
  <c r="IO530" i="1"/>
  <c r="IP535" i="1"/>
  <c r="IP538" i="1"/>
  <c r="IP530" i="1"/>
  <c r="IQ535" i="1"/>
  <c r="IQ538" i="1"/>
  <c r="IQ530" i="1"/>
  <c r="IU535" i="1"/>
  <c r="IU530" i="1"/>
  <c r="IV535" i="1"/>
  <c r="IV530" i="1"/>
  <c r="IW535" i="1"/>
  <c r="IW530" i="1"/>
  <c r="JJ535" i="1"/>
  <c r="JJ530" i="1"/>
  <c r="JK535" i="1"/>
  <c r="JK530" i="1"/>
  <c r="JL535" i="1"/>
  <c r="JL530" i="1"/>
  <c r="JM530" i="1"/>
  <c r="JN530" i="1"/>
  <c r="JO530" i="1"/>
  <c r="JP530" i="1"/>
  <c r="JQ530" i="1"/>
  <c r="JR530" i="1"/>
  <c r="HK530" i="1"/>
  <c r="GP530" i="1"/>
  <c r="GO530" i="1"/>
  <c r="GN530" i="1"/>
  <c r="GM530" i="1"/>
  <c r="GL530" i="1"/>
  <c r="GK530" i="1"/>
  <c r="GJ530" i="1"/>
  <c r="GI530" i="1"/>
  <c r="GH530" i="1"/>
  <c r="GG530" i="1"/>
  <c r="GF530" i="1"/>
  <c r="GE530" i="1"/>
  <c r="GD530" i="1"/>
  <c r="GC530" i="1"/>
  <c r="GB530" i="1"/>
  <c r="GA530" i="1"/>
  <c r="FZ530" i="1"/>
  <c r="FY535" i="1"/>
  <c r="FY530" i="1"/>
  <c r="FX530" i="1"/>
  <c r="FW530" i="1"/>
  <c r="FV530" i="1"/>
  <c r="FU535" i="1"/>
  <c r="FU530" i="1"/>
  <c r="FT530" i="1"/>
  <c r="FS535" i="1"/>
  <c r="FS530" i="1"/>
  <c r="FR530" i="1"/>
  <c r="FQ530" i="1"/>
  <c r="FP530" i="1"/>
  <c r="FO530" i="1"/>
  <c r="FN530" i="1"/>
  <c r="FM535" i="1"/>
  <c r="FM530" i="1"/>
  <c r="FL530" i="1"/>
  <c r="FK530" i="1"/>
  <c r="FJ530" i="1"/>
  <c r="FI530" i="1"/>
  <c r="FH530" i="1"/>
  <c r="FG530" i="1"/>
  <c r="FF530" i="1"/>
  <c r="FE530" i="1"/>
  <c r="FD530" i="1"/>
  <c r="FC530" i="1"/>
  <c r="FB530" i="1"/>
  <c r="FA530" i="1"/>
  <c r="EZ530" i="1"/>
  <c r="EY530" i="1"/>
  <c r="EX530" i="1"/>
  <c r="EW530" i="1"/>
  <c r="EV530" i="1"/>
  <c r="EU530" i="1"/>
  <c r="ET530" i="1"/>
  <c r="ES530" i="1"/>
  <c r="ER530" i="1"/>
  <c r="EQ530" i="1"/>
  <c r="EP530" i="1"/>
  <c r="EO530" i="1"/>
  <c r="EN530" i="1"/>
  <c r="EM530" i="1"/>
  <c r="EL530" i="1"/>
  <c r="EK530" i="1"/>
  <c r="EJ530" i="1"/>
  <c r="EI530" i="1"/>
  <c r="EH530" i="1"/>
  <c r="EG530" i="1"/>
  <c r="EF530" i="1"/>
  <c r="EE530" i="1"/>
  <c r="ED530" i="1"/>
  <c r="EC530" i="1"/>
  <c r="EB530" i="1"/>
  <c r="EA530" i="1"/>
  <c r="DZ530" i="1"/>
  <c r="DY530" i="1"/>
  <c r="DX530" i="1"/>
  <c r="DW530" i="1"/>
  <c r="DV530" i="1"/>
  <c r="DU530" i="1"/>
  <c r="DT530" i="1"/>
  <c r="DS530" i="1"/>
  <c r="DR530" i="1"/>
  <c r="DP530" i="1"/>
  <c r="DO530" i="1"/>
  <c r="DN530" i="1"/>
  <c r="DM530" i="1"/>
  <c r="DL530" i="1"/>
  <c r="DK530" i="1"/>
  <c r="DJ530" i="1"/>
  <c r="DI530" i="1"/>
  <c r="DH530" i="1"/>
  <c r="DG530" i="1"/>
  <c r="DF530" i="1"/>
  <c r="DE530" i="1"/>
  <c r="DD530" i="1"/>
  <c r="DC530" i="1"/>
  <c r="DB530" i="1"/>
  <c r="CZ530" i="1"/>
  <c r="CY530" i="1"/>
  <c r="CX530" i="1"/>
  <c r="CW530" i="1"/>
  <c r="CV530" i="1"/>
  <c r="CU530" i="1"/>
  <c r="CT530" i="1"/>
  <c r="CS530" i="1"/>
  <c r="CR530" i="1"/>
  <c r="CQ530" i="1"/>
  <c r="CP530" i="1"/>
  <c r="CO530" i="1"/>
  <c r="CN530" i="1"/>
  <c r="CM530" i="1"/>
  <c r="CL530" i="1"/>
  <c r="CJ530" i="1"/>
  <c r="CI530" i="1"/>
  <c r="CH530" i="1"/>
  <c r="CG530" i="1"/>
  <c r="CF530" i="1"/>
  <c r="CE530" i="1"/>
  <c r="CD530" i="1"/>
  <c r="CC530" i="1"/>
  <c r="CB530" i="1"/>
  <c r="CA530" i="1"/>
  <c r="BZ530" i="1"/>
  <c r="BY530" i="1"/>
  <c r="BX530" i="1"/>
  <c r="BW530" i="1"/>
  <c r="BV530" i="1"/>
  <c r="BU530" i="1"/>
  <c r="BT530" i="1"/>
  <c r="BS530" i="1"/>
  <c r="BR530" i="1"/>
  <c r="BQ530" i="1"/>
  <c r="BP530" i="1"/>
  <c r="BO530" i="1"/>
  <c r="BN530" i="1"/>
  <c r="BM530" i="1"/>
  <c r="BL530" i="1"/>
  <c r="BK530" i="1"/>
  <c r="BJ530" i="1"/>
  <c r="BI530" i="1"/>
  <c r="BH530" i="1"/>
  <c r="BG530" i="1"/>
  <c r="BF530" i="1"/>
  <c r="BE530" i="1"/>
  <c r="BD530" i="1"/>
  <c r="BC530" i="1"/>
  <c r="BB530" i="1"/>
  <c r="BA530" i="1"/>
  <c r="AZ530" i="1"/>
  <c r="AY530" i="1"/>
  <c r="AX530" i="1"/>
  <c r="AW530" i="1"/>
  <c r="AV530" i="1"/>
  <c r="AU530" i="1"/>
  <c r="AT530" i="1"/>
  <c r="AS530" i="1"/>
  <c r="AR530" i="1"/>
  <c r="AQ530" i="1"/>
  <c r="AP530" i="1"/>
  <c r="AO530" i="1"/>
  <c r="AN530" i="1"/>
  <c r="AM530" i="1"/>
  <c r="AL530" i="1"/>
  <c r="AK530" i="1"/>
  <c r="AJ530" i="1"/>
  <c r="AI530" i="1"/>
  <c r="AH530" i="1"/>
  <c r="AG530" i="1"/>
  <c r="AF530" i="1"/>
  <c r="AE530" i="1"/>
  <c r="AD530" i="1"/>
  <c r="AC530" i="1"/>
  <c r="AB530" i="1"/>
  <c r="AA530" i="1"/>
  <c r="Z530" i="1"/>
  <c r="Y530" i="1"/>
  <c r="X530" i="1"/>
  <c r="V530" i="1"/>
  <c r="U530" i="1"/>
  <c r="T530" i="1"/>
  <c r="S530" i="1"/>
  <c r="R530" i="1"/>
  <c r="Q530" i="1"/>
  <c r="P530" i="1"/>
  <c r="C530" i="1"/>
  <c r="KC206" i="1"/>
  <c r="JX539" i="1"/>
  <c r="KB539" i="1"/>
  <c r="KB208" i="1"/>
  <c r="KB207" i="1"/>
  <c r="KC207" i="1"/>
  <c r="KC208" i="1"/>
  <c r="KC209" i="1"/>
  <c r="KA208" i="1"/>
  <c r="JZ208" i="1"/>
  <c r="JY208" i="1"/>
  <c r="JX208" i="1"/>
  <c r="JY207" i="1"/>
  <c r="JX207" i="1"/>
  <c r="JS539" i="1"/>
  <c r="JS208" i="1"/>
  <c r="JS207" i="1"/>
  <c r="JR208" i="1"/>
  <c r="JQ208" i="1"/>
  <c r="JP208" i="1"/>
  <c r="JO208" i="1"/>
  <c r="JO207" i="1"/>
  <c r="JN208" i="1"/>
  <c r="JM208" i="1"/>
  <c r="JL208" i="1"/>
  <c r="JK208" i="1"/>
  <c r="JK207" i="1"/>
  <c r="JJ208" i="1"/>
  <c r="JI208" i="1"/>
  <c r="JH208" i="1"/>
  <c r="JG208" i="1"/>
  <c r="JG207" i="1"/>
  <c r="JF208" i="1"/>
  <c r="JE208" i="1"/>
  <c r="JD208" i="1"/>
  <c r="JC208" i="1"/>
  <c r="JC207" i="1"/>
  <c r="JB208" i="1"/>
  <c r="JA208" i="1"/>
  <c r="IZ208" i="1"/>
  <c r="IY208" i="1"/>
  <c r="IY207" i="1"/>
  <c r="IX208" i="1"/>
  <c r="IW208" i="1"/>
  <c r="IV208" i="1"/>
  <c r="IU208" i="1"/>
  <c r="IU207" i="1"/>
  <c r="IT208" i="1"/>
  <c r="IS208" i="1"/>
  <c r="IR208" i="1"/>
  <c r="IN208" i="1"/>
  <c r="IM208" i="1"/>
  <c r="IM207" i="1"/>
  <c r="IL208" i="1"/>
  <c r="JR207" i="1"/>
  <c r="JQ207" i="1"/>
  <c r="JP207" i="1"/>
  <c r="JN207" i="1"/>
  <c r="JM207" i="1"/>
  <c r="JL207" i="1"/>
  <c r="JJ207" i="1"/>
  <c r="JI207" i="1"/>
  <c r="JH207" i="1"/>
  <c r="JF207" i="1"/>
  <c r="JE207" i="1"/>
  <c r="JD207" i="1"/>
  <c r="JB207" i="1"/>
  <c r="JA207" i="1"/>
  <c r="IZ207" i="1"/>
  <c r="IX207" i="1"/>
  <c r="IW207" i="1"/>
  <c r="IV207" i="1"/>
  <c r="IT207" i="1"/>
  <c r="IS207" i="1"/>
  <c r="IR207" i="1"/>
  <c r="IN207" i="1"/>
  <c r="IL207" i="1"/>
  <c r="HM207" i="1"/>
  <c r="HN207" i="1"/>
  <c r="HO207" i="1"/>
  <c r="HP207" i="1"/>
  <c r="HQ207" i="1"/>
  <c r="HR207" i="1"/>
  <c r="HS207" i="1"/>
  <c r="HT207" i="1"/>
  <c r="HU207" i="1"/>
  <c r="HV207" i="1"/>
  <c r="HW207" i="1"/>
  <c r="HX207" i="1"/>
  <c r="HY207" i="1"/>
  <c r="HZ207" i="1"/>
  <c r="IA207" i="1"/>
  <c r="IB207" i="1"/>
  <c r="IC207" i="1"/>
  <c r="ID207" i="1"/>
  <c r="IE207" i="1"/>
  <c r="HM208" i="1"/>
  <c r="HN208" i="1"/>
  <c r="HO208" i="1"/>
  <c r="HP208" i="1"/>
  <c r="HQ208" i="1"/>
  <c r="HR208" i="1"/>
  <c r="HS208" i="1"/>
  <c r="HT208" i="1"/>
  <c r="HU208" i="1"/>
  <c r="HV208" i="1"/>
  <c r="HW208" i="1"/>
  <c r="HX208" i="1"/>
  <c r="HY208" i="1"/>
  <c r="HZ208" i="1"/>
  <c r="IA208" i="1"/>
  <c r="IB208" i="1"/>
  <c r="IC208" i="1"/>
  <c r="ID208" i="1"/>
  <c r="IE208" i="1"/>
  <c r="HK208" i="1"/>
  <c r="HJ208" i="1"/>
  <c r="HI208" i="1"/>
  <c r="HH208" i="1"/>
  <c r="HF208" i="1"/>
  <c r="HE208" i="1"/>
  <c r="HD208" i="1"/>
  <c r="HC208" i="1"/>
  <c r="HB208" i="1"/>
  <c r="HA208" i="1"/>
  <c r="GZ208" i="1"/>
  <c r="GY208" i="1"/>
  <c r="GX208" i="1"/>
  <c r="GW208" i="1"/>
  <c r="GV208" i="1"/>
  <c r="GU208" i="1"/>
  <c r="GT208" i="1"/>
  <c r="GS208" i="1"/>
  <c r="GS207" i="1"/>
  <c r="HK207" i="1"/>
  <c r="HJ207" i="1"/>
  <c r="HI207" i="1"/>
  <c r="HH207" i="1"/>
  <c r="HF207" i="1"/>
  <c r="HE207" i="1"/>
  <c r="HD207" i="1"/>
  <c r="HC207" i="1"/>
  <c r="HB207" i="1"/>
  <c r="HA207" i="1"/>
  <c r="GZ207" i="1"/>
  <c r="GY207" i="1"/>
  <c r="GX207" i="1"/>
  <c r="GW207" i="1"/>
  <c r="GV207" i="1"/>
  <c r="GU207" i="1"/>
  <c r="GT207" i="1"/>
  <c r="GR208" i="1"/>
  <c r="GR207" i="1"/>
  <c r="GQ208" i="1"/>
  <c r="GQ207" i="1"/>
  <c r="GP208" i="1"/>
  <c r="GP207" i="1"/>
  <c r="GO208" i="1"/>
  <c r="GO207" i="1"/>
  <c r="GN208" i="1"/>
  <c r="GN207" i="1"/>
  <c r="GM208" i="1"/>
  <c r="GM207" i="1"/>
  <c r="GL208" i="1"/>
  <c r="GL207" i="1"/>
  <c r="GK208" i="1"/>
  <c r="GK207" i="1"/>
  <c r="GJ208" i="1"/>
  <c r="GJ207" i="1"/>
  <c r="GI208" i="1"/>
  <c r="GI207" i="1"/>
  <c r="GH208" i="1"/>
  <c r="GH207" i="1"/>
  <c r="GG208" i="1"/>
  <c r="GG207" i="1"/>
  <c r="GF208" i="1"/>
  <c r="GF207" i="1"/>
  <c r="GE208" i="1"/>
  <c r="GE207" i="1"/>
  <c r="GD208" i="1"/>
  <c r="GD207" i="1"/>
  <c r="GC208" i="1"/>
  <c r="GC207" i="1"/>
  <c r="GB208" i="1"/>
  <c r="GB207" i="1"/>
  <c r="GA208" i="1"/>
  <c r="GA207" i="1"/>
  <c r="FZ208" i="1"/>
  <c r="FZ207" i="1"/>
  <c r="FY208" i="1"/>
  <c r="FY207" i="1"/>
  <c r="FX208" i="1"/>
  <c r="FX207" i="1"/>
  <c r="FW208" i="1"/>
  <c r="FW207" i="1"/>
  <c r="FV208" i="1"/>
  <c r="FV207" i="1"/>
  <c r="FU208" i="1"/>
  <c r="FU207" i="1"/>
  <c r="FT208" i="1"/>
  <c r="FT207" i="1"/>
  <c r="FS208" i="1"/>
  <c r="FS207" i="1"/>
  <c r="FR208" i="1"/>
  <c r="FR207" i="1"/>
  <c r="FQ208" i="1"/>
  <c r="FQ207" i="1"/>
  <c r="FP208" i="1"/>
  <c r="FP207" i="1"/>
  <c r="FO208" i="1"/>
  <c r="FO207" i="1"/>
  <c r="FN208" i="1"/>
  <c r="FN207" i="1"/>
  <c r="FM208" i="1"/>
  <c r="FM207" i="1"/>
  <c r="FL208" i="1"/>
  <c r="FL207" i="1"/>
  <c r="FK208" i="1"/>
  <c r="FK207" i="1"/>
  <c r="FJ208" i="1"/>
  <c r="FJ207" i="1"/>
  <c r="FI208" i="1"/>
  <c r="FI207" i="1"/>
  <c r="FH208" i="1"/>
  <c r="FH207" i="1"/>
  <c r="FG208" i="1"/>
  <c r="FG207" i="1"/>
  <c r="FF208" i="1"/>
  <c r="FF207" i="1"/>
  <c r="FE208" i="1"/>
  <c r="FE207" i="1"/>
  <c r="FD208" i="1"/>
  <c r="FD207" i="1"/>
  <c r="FC208" i="1"/>
  <c r="FC207" i="1"/>
  <c r="FB208" i="1"/>
  <c r="FB207" i="1"/>
  <c r="FA208" i="1"/>
  <c r="FA207" i="1"/>
  <c r="EZ208" i="1"/>
  <c r="EZ207" i="1"/>
  <c r="EY208" i="1"/>
  <c r="EY207" i="1"/>
  <c r="EX208" i="1"/>
  <c r="EX207" i="1"/>
  <c r="EW208" i="1"/>
  <c r="EW207" i="1"/>
  <c r="EV208" i="1"/>
  <c r="EV207" i="1"/>
  <c r="EU208" i="1"/>
  <c r="EU207" i="1"/>
  <c r="ET208" i="1"/>
  <c r="ET207" i="1"/>
  <c r="ES208" i="1"/>
  <c r="ES207" i="1"/>
  <c r="ER208" i="1"/>
  <c r="ER207" i="1"/>
  <c r="EQ208" i="1"/>
  <c r="EQ207" i="1"/>
  <c r="EP208" i="1"/>
  <c r="EP207" i="1"/>
  <c r="EO208" i="1"/>
  <c r="EO207" i="1"/>
  <c r="EN208" i="1"/>
  <c r="EN207" i="1"/>
  <c r="EM208" i="1"/>
  <c r="EM207" i="1"/>
  <c r="EL208" i="1"/>
  <c r="EL207" i="1"/>
  <c r="EK208" i="1"/>
  <c r="EK207" i="1"/>
  <c r="EJ208" i="1"/>
  <c r="EJ207" i="1"/>
  <c r="EI208" i="1"/>
  <c r="EI207" i="1"/>
  <c r="EH208" i="1"/>
  <c r="EH207" i="1"/>
  <c r="EG208" i="1"/>
  <c r="EG207" i="1"/>
  <c r="EF208" i="1"/>
  <c r="EF207" i="1"/>
  <c r="EE208" i="1"/>
  <c r="EE207" i="1"/>
  <c r="ED208" i="1"/>
  <c r="ED207" i="1"/>
  <c r="EC208" i="1"/>
  <c r="EC207" i="1"/>
  <c r="EB208" i="1"/>
  <c r="EB207" i="1"/>
  <c r="EA208" i="1"/>
  <c r="EA207" i="1"/>
  <c r="DZ208" i="1"/>
  <c r="DZ207" i="1"/>
  <c r="DY208" i="1"/>
  <c r="DY207" i="1"/>
  <c r="DX208" i="1"/>
  <c r="DX207" i="1"/>
  <c r="DW208" i="1"/>
  <c r="DW207" i="1"/>
  <c r="DV208" i="1"/>
  <c r="DV207" i="1"/>
  <c r="DU208" i="1"/>
  <c r="DU207" i="1"/>
  <c r="DT208" i="1"/>
  <c r="DT207" i="1"/>
  <c r="DS208" i="1"/>
  <c r="DR208" i="1"/>
  <c r="DS207" i="1"/>
  <c r="DR207" i="1"/>
  <c r="DQ208" i="1"/>
  <c r="DQ207" i="1"/>
  <c r="DP208" i="1"/>
  <c r="DP207" i="1"/>
  <c r="DO208" i="1"/>
  <c r="DO207" i="1"/>
  <c r="DN208" i="1"/>
  <c r="DN207" i="1"/>
  <c r="DM208" i="1"/>
  <c r="DM207" i="1"/>
  <c r="DL208" i="1"/>
  <c r="DL207" i="1"/>
  <c r="DK208" i="1"/>
  <c r="DK207" i="1"/>
  <c r="DJ208" i="1"/>
  <c r="DJ207" i="1"/>
  <c r="DI208" i="1"/>
  <c r="DI207" i="1"/>
  <c r="DH208" i="1"/>
  <c r="DH207" i="1"/>
  <c r="DG208" i="1"/>
  <c r="DG207" i="1"/>
  <c r="DF208" i="1"/>
  <c r="DF207" i="1"/>
  <c r="DE208" i="1"/>
  <c r="DE207" i="1"/>
  <c r="DD208" i="1"/>
  <c r="DD207" i="1"/>
  <c r="DC208" i="1"/>
  <c r="DC207" i="1"/>
  <c r="DB208" i="1"/>
  <c r="DB207" i="1"/>
  <c r="DA208" i="1"/>
  <c r="DA207" i="1"/>
  <c r="CZ208" i="1"/>
  <c r="CZ207" i="1"/>
  <c r="CY208" i="1"/>
  <c r="CY207" i="1"/>
  <c r="CX208" i="1"/>
  <c r="CX207" i="1"/>
  <c r="CW208" i="1"/>
  <c r="CW207" i="1"/>
  <c r="CV208" i="1"/>
  <c r="CV207" i="1"/>
  <c r="CU208" i="1"/>
  <c r="CU207" i="1"/>
  <c r="CT208" i="1"/>
  <c r="CT207" i="1"/>
  <c r="CS208" i="1"/>
  <c r="CR208" i="1"/>
  <c r="CS207" i="1"/>
  <c r="CR207" i="1"/>
  <c r="CQ208" i="1"/>
  <c r="CQ207" i="1"/>
  <c r="CP208" i="1"/>
  <c r="CP207" i="1"/>
  <c r="CO208" i="1"/>
  <c r="CO207" i="1"/>
  <c r="CN208" i="1"/>
  <c r="CN207" i="1"/>
  <c r="CM208" i="1"/>
  <c r="CM207" i="1"/>
  <c r="CL208" i="1"/>
  <c r="CL207" i="1"/>
  <c r="CK208" i="1"/>
  <c r="CK207" i="1"/>
  <c r="CJ208" i="1"/>
  <c r="CJ207" i="1"/>
  <c r="CI208" i="1"/>
  <c r="CI207" i="1"/>
  <c r="CH208" i="1"/>
  <c r="CH207" i="1"/>
  <c r="CG208" i="1"/>
  <c r="CG207" i="1"/>
  <c r="CF208" i="1"/>
  <c r="CF207" i="1"/>
  <c r="CE208" i="1"/>
  <c r="CE207" i="1"/>
  <c r="CD208" i="1"/>
  <c r="CD207" i="1"/>
  <c r="CC208" i="1"/>
  <c r="CC207" i="1"/>
  <c r="CB208" i="1"/>
  <c r="CB207" i="1"/>
  <c r="CA208" i="1"/>
  <c r="CA207" i="1"/>
  <c r="BZ208" i="1"/>
  <c r="BZ207" i="1"/>
  <c r="BY208" i="1"/>
  <c r="BY207" i="1"/>
  <c r="BX208" i="1"/>
  <c r="BX207" i="1"/>
  <c r="BW208" i="1"/>
  <c r="BW207" i="1"/>
  <c r="BV208" i="1"/>
  <c r="BV207" i="1"/>
  <c r="BU208" i="1"/>
  <c r="BU207" i="1"/>
  <c r="BT208" i="1"/>
  <c r="BT207" i="1"/>
  <c r="BS208" i="1"/>
  <c r="BS207" i="1"/>
  <c r="BR208" i="1"/>
  <c r="BR207" i="1"/>
  <c r="BQ208" i="1"/>
  <c r="BQ207" i="1"/>
  <c r="BP208" i="1"/>
  <c r="BP207" i="1"/>
  <c r="BO208" i="1"/>
  <c r="BO207" i="1"/>
  <c r="BN208" i="1"/>
  <c r="BN207" i="1"/>
  <c r="BM208" i="1"/>
  <c r="BM207" i="1"/>
  <c r="BL208" i="1"/>
  <c r="BL207" i="1"/>
  <c r="BK208" i="1"/>
  <c r="BK207" i="1"/>
  <c r="BJ208" i="1"/>
  <c r="BJ207" i="1"/>
  <c r="BI208" i="1"/>
  <c r="BI207" i="1"/>
  <c r="BH208" i="1"/>
  <c r="BH207" i="1"/>
  <c r="BG208" i="1"/>
  <c r="BG207" i="1"/>
  <c r="BF208" i="1"/>
  <c r="BF207" i="1"/>
  <c r="BE208" i="1"/>
  <c r="BE207" i="1"/>
  <c r="BD208" i="1"/>
  <c r="BD207" i="1"/>
  <c r="BC208" i="1"/>
  <c r="BC207" i="1"/>
  <c r="BB208" i="1"/>
  <c r="BB207" i="1"/>
  <c r="BA208" i="1"/>
  <c r="BA207" i="1"/>
  <c r="AZ208" i="1"/>
  <c r="AZ207" i="1"/>
  <c r="AY208" i="1"/>
  <c r="AY207" i="1"/>
  <c r="AX208" i="1"/>
  <c r="AX207" i="1"/>
  <c r="AW208" i="1"/>
  <c r="AW207" i="1"/>
  <c r="AV208" i="1"/>
  <c r="AV207" i="1"/>
  <c r="AU208" i="1"/>
  <c r="AU207" i="1"/>
  <c r="AT208" i="1"/>
  <c r="AT207" i="1"/>
  <c r="AS208" i="1"/>
  <c r="AS207" i="1"/>
  <c r="AR208" i="1"/>
  <c r="AR207" i="1"/>
  <c r="AQ208" i="1"/>
  <c r="AQ207" i="1"/>
  <c r="AP208" i="1"/>
  <c r="AP207" i="1"/>
  <c r="AO208" i="1"/>
  <c r="AO207" i="1"/>
  <c r="AN208" i="1"/>
  <c r="AN207" i="1"/>
  <c r="AM208" i="1"/>
  <c r="AM207" i="1"/>
  <c r="AL208" i="1"/>
  <c r="AL207" i="1"/>
  <c r="AK208" i="1"/>
  <c r="AK207" i="1"/>
  <c r="AJ208" i="1"/>
  <c r="AJ207" i="1"/>
  <c r="AI208" i="1"/>
  <c r="AI207" i="1"/>
  <c r="AH208" i="1"/>
  <c r="AH207" i="1"/>
  <c r="AG208" i="1"/>
  <c r="AG207" i="1"/>
  <c r="AF208" i="1"/>
  <c r="AF207" i="1"/>
  <c r="AE208" i="1"/>
  <c r="AE207" i="1"/>
  <c r="AD208" i="1"/>
  <c r="AD207" i="1"/>
  <c r="AC208" i="1"/>
  <c r="AC207" i="1"/>
  <c r="AB208" i="1"/>
  <c r="AB207" i="1"/>
  <c r="AA208" i="1"/>
  <c r="AA207" i="1"/>
  <c r="Z208" i="1"/>
  <c r="Z207" i="1"/>
  <c r="Y208" i="1"/>
  <c r="Y207" i="1"/>
  <c r="X208" i="1"/>
  <c r="X207" i="1"/>
  <c r="W208" i="1"/>
  <c r="W207" i="1"/>
  <c r="V208" i="1"/>
  <c r="V207" i="1"/>
  <c r="U208" i="1"/>
  <c r="U207" i="1"/>
  <c r="T208" i="1"/>
  <c r="T207" i="1"/>
  <c r="S208" i="1"/>
  <c r="S207" i="1"/>
  <c r="R208" i="1"/>
  <c r="R207" i="1"/>
  <c r="Q207" i="1"/>
  <c r="P207" i="1"/>
  <c r="Q208" i="1"/>
  <c r="P208" i="1"/>
  <c r="C538" i="1"/>
  <c r="C208" i="1"/>
  <c r="C207" i="1"/>
  <c r="KC537" i="1"/>
  <c r="KC539" i="1"/>
  <c r="KB540" i="1"/>
  <c r="KC540" i="1"/>
  <c r="HG549" i="1"/>
  <c r="JX544" i="1"/>
  <c r="JX545" i="1"/>
  <c r="JX546" i="1"/>
  <c r="JX553" i="1"/>
  <c r="JX552" i="1"/>
  <c r="JX550" i="1"/>
  <c r="JX551" i="1"/>
  <c r="JX559" i="1"/>
  <c r="JX560" i="1"/>
  <c r="JX561" i="1"/>
  <c r="KA539" i="1"/>
  <c r="JZ539" i="1"/>
  <c r="JY539" i="1"/>
  <c r="JZ538" i="1"/>
  <c r="JY538" i="1"/>
  <c r="JT539" i="1"/>
  <c r="JT208" i="1"/>
  <c r="JT207" i="1"/>
  <c r="IK538" i="1"/>
  <c r="HI538" i="1"/>
  <c r="ID538" i="1"/>
  <c r="HJ538" i="1"/>
  <c r="HK538" i="1"/>
  <c r="HF538" i="1"/>
  <c r="HE538" i="1"/>
  <c r="HD538" i="1"/>
  <c r="HC538" i="1"/>
  <c r="HB538" i="1"/>
  <c r="HA538" i="1"/>
  <c r="GZ538" i="1"/>
  <c r="GY538" i="1"/>
  <c r="GX538" i="1"/>
  <c r="GW538" i="1"/>
  <c r="GV538" i="1"/>
  <c r="GU538" i="1"/>
  <c r="GT538" i="1"/>
  <c r="GS538" i="1"/>
  <c r="GT539" i="1"/>
  <c r="GR539" i="1"/>
  <c r="GR538" i="1"/>
  <c r="GQ539" i="1"/>
  <c r="GQ538" i="1"/>
  <c r="GP539" i="1"/>
  <c r="GP538" i="1"/>
  <c r="GO538" i="1"/>
  <c r="GN538" i="1"/>
  <c r="GM538" i="1"/>
  <c r="GL538" i="1"/>
  <c r="GK538" i="1"/>
  <c r="GJ538" i="1"/>
  <c r="GI538" i="1"/>
  <c r="GH538" i="1"/>
  <c r="GG538" i="1"/>
  <c r="GF538" i="1"/>
  <c r="GE538" i="1"/>
  <c r="GD538" i="1"/>
  <c r="GC538" i="1"/>
  <c r="GB538" i="1"/>
  <c r="GA538" i="1"/>
  <c r="FZ538" i="1"/>
  <c r="FY538" i="1"/>
  <c r="FX538" i="1"/>
  <c r="FW538" i="1"/>
  <c r="FV538" i="1"/>
  <c r="FU538" i="1"/>
  <c r="FT538" i="1"/>
  <c r="FS538" i="1"/>
  <c r="FR538" i="1"/>
  <c r="FQ538" i="1"/>
  <c r="FP538" i="1"/>
  <c r="FO538" i="1"/>
  <c r="FN538" i="1"/>
  <c r="FM538" i="1"/>
  <c r="FL538" i="1"/>
  <c r="FK538" i="1"/>
  <c r="FJ538" i="1"/>
  <c r="FI538" i="1"/>
  <c r="FH538" i="1"/>
  <c r="FG538" i="1"/>
  <c r="FF538" i="1"/>
  <c r="FE538" i="1"/>
  <c r="FD538" i="1"/>
  <c r="FC538" i="1"/>
  <c r="FB538" i="1"/>
  <c r="FA538" i="1"/>
  <c r="EZ538" i="1"/>
  <c r="EY538" i="1"/>
  <c r="EX538" i="1"/>
  <c r="EW538" i="1"/>
  <c r="EV538" i="1"/>
  <c r="EU538" i="1"/>
  <c r="ET538" i="1"/>
  <c r="ES538" i="1"/>
  <c r="ER538" i="1"/>
  <c r="EQ538" i="1"/>
  <c r="EP538" i="1"/>
  <c r="EO538" i="1"/>
  <c r="EN538" i="1"/>
  <c r="EM538" i="1"/>
  <c r="EL538" i="1"/>
  <c r="EK538" i="1"/>
  <c r="EJ538" i="1"/>
  <c r="EI538" i="1"/>
  <c r="EH538" i="1"/>
  <c r="EG538" i="1"/>
  <c r="EF538" i="1"/>
  <c r="EE538" i="1"/>
  <c r="ED538" i="1"/>
  <c r="EC538" i="1"/>
  <c r="EB538" i="1"/>
  <c r="EA538" i="1"/>
  <c r="DZ538" i="1"/>
  <c r="DY538" i="1"/>
  <c r="DX538" i="1"/>
  <c r="DW538" i="1"/>
  <c r="DV538" i="1"/>
  <c r="DU538" i="1"/>
  <c r="DT538" i="1"/>
  <c r="DS538" i="1"/>
  <c r="DR538" i="1"/>
  <c r="DQ538" i="1"/>
  <c r="DP538" i="1"/>
  <c r="DO538" i="1"/>
  <c r="DN538" i="1"/>
  <c r="DM538" i="1"/>
  <c r="DL538" i="1"/>
  <c r="DK538" i="1"/>
  <c r="DJ538" i="1"/>
  <c r="DI538" i="1"/>
  <c r="DH538" i="1"/>
  <c r="DG538" i="1"/>
  <c r="DF538" i="1"/>
  <c r="DE538" i="1"/>
  <c r="DD538" i="1"/>
  <c r="DC538" i="1"/>
  <c r="DB538" i="1"/>
  <c r="DA538" i="1"/>
  <c r="CZ538" i="1"/>
  <c r="CY538" i="1"/>
  <c r="CX538" i="1"/>
  <c r="CW538" i="1"/>
  <c r="CV538" i="1"/>
  <c r="CU538" i="1"/>
  <c r="CT538" i="1"/>
  <c r="CS538" i="1"/>
  <c r="CR538" i="1"/>
  <c r="CQ538" i="1"/>
  <c r="CP538" i="1"/>
  <c r="CO538" i="1"/>
  <c r="CN538" i="1"/>
  <c r="CM538" i="1"/>
  <c r="CL538" i="1"/>
  <c r="CK538" i="1"/>
  <c r="CJ538" i="1"/>
  <c r="CI538" i="1"/>
  <c r="CH538" i="1"/>
  <c r="CG538" i="1"/>
  <c r="CF538" i="1"/>
  <c r="CE538" i="1"/>
  <c r="CD538" i="1"/>
  <c r="CC538" i="1"/>
  <c r="CB538" i="1"/>
  <c r="CA538" i="1"/>
  <c r="BZ538" i="1"/>
  <c r="BY538" i="1"/>
  <c r="BX538" i="1"/>
  <c r="BW538" i="1"/>
  <c r="BV538" i="1"/>
  <c r="BU538" i="1"/>
  <c r="BT538" i="1"/>
  <c r="BS538" i="1"/>
  <c r="BR538" i="1"/>
  <c r="BQ538" i="1"/>
  <c r="BP538" i="1"/>
  <c r="BO538" i="1"/>
  <c r="BN538" i="1"/>
  <c r="BM538" i="1"/>
  <c r="BL538" i="1"/>
  <c r="BK538" i="1"/>
  <c r="BJ538" i="1"/>
  <c r="BI538" i="1"/>
  <c r="BH538" i="1"/>
  <c r="BG538" i="1"/>
  <c r="BF538" i="1"/>
  <c r="BE538" i="1"/>
  <c r="BD538" i="1"/>
  <c r="BC538" i="1"/>
  <c r="BB538" i="1"/>
  <c r="BA538" i="1"/>
  <c r="AZ538" i="1"/>
  <c r="AY538" i="1"/>
  <c r="AX538" i="1"/>
  <c r="AW538" i="1"/>
  <c r="AV538" i="1"/>
  <c r="AU538" i="1"/>
  <c r="AT538" i="1"/>
  <c r="AS538" i="1"/>
  <c r="AR538" i="1"/>
  <c r="AQ538" i="1"/>
  <c r="AP538" i="1"/>
  <c r="AO538" i="1"/>
  <c r="AN538" i="1"/>
  <c r="AM538" i="1"/>
  <c r="AL538" i="1"/>
  <c r="AK538" i="1"/>
  <c r="AJ538" i="1"/>
  <c r="AI538" i="1"/>
  <c r="AH538" i="1"/>
  <c r="AG538" i="1"/>
  <c r="AF538" i="1"/>
  <c r="AE538" i="1"/>
  <c r="AD538" i="1"/>
  <c r="AC538" i="1"/>
  <c r="AB538" i="1"/>
  <c r="AA538" i="1"/>
  <c r="Z538" i="1"/>
  <c r="Y538" i="1"/>
  <c r="X538" i="1"/>
  <c r="W538" i="1"/>
  <c r="V538" i="1"/>
  <c r="U538" i="1"/>
  <c r="T538" i="1"/>
  <c r="S538" i="1"/>
  <c r="R538" i="1"/>
  <c r="Q538" i="1"/>
  <c r="P538" i="1"/>
  <c r="JX538" i="1"/>
  <c r="KB538" i="1"/>
  <c r="HD858" i="1"/>
  <c r="HA858" i="1"/>
  <c r="GX858" i="1"/>
  <c r="HD843" i="1"/>
  <c r="HA843" i="1"/>
  <c r="GX843" i="1"/>
  <c r="HD822" i="1"/>
  <c r="HA822" i="1"/>
  <c r="GX822" i="1"/>
  <c r="HD821" i="1"/>
  <c r="HA821" i="1"/>
  <c r="GX821" i="1"/>
  <c r="HD817" i="1"/>
  <c r="HA817" i="1"/>
  <c r="GX817" i="1"/>
  <c r="HD814" i="1"/>
  <c r="HA814" i="1"/>
  <c r="GX814" i="1"/>
  <c r="HD807" i="1"/>
  <c r="HA807" i="1"/>
  <c r="GX807" i="1"/>
  <c r="HD801" i="1"/>
  <c r="HA801" i="1"/>
  <c r="GX801" i="1"/>
  <c r="HD798" i="1"/>
  <c r="HA798" i="1"/>
  <c r="GX798" i="1"/>
  <c r="HD781" i="1"/>
  <c r="HA781" i="1"/>
  <c r="GX781" i="1"/>
  <c r="HD706" i="1"/>
  <c r="HA706" i="1"/>
  <c r="GX706" i="1"/>
  <c r="HD700" i="1"/>
  <c r="HA700" i="1"/>
  <c r="GX700" i="1"/>
  <c r="HD694" i="1"/>
  <c r="HA694" i="1"/>
  <c r="GX694" i="1"/>
  <c r="HD679" i="1"/>
  <c r="HA679" i="1"/>
  <c r="GX679" i="1"/>
  <c r="HD675" i="1"/>
  <c r="HA675" i="1"/>
  <c r="GX675" i="1"/>
  <c r="HD716" i="1"/>
  <c r="HA716" i="1"/>
  <c r="GX716" i="1"/>
  <c r="HD703" i="1"/>
  <c r="HA703" i="1"/>
  <c r="GX703" i="1"/>
  <c r="HD686" i="1"/>
  <c r="HA686" i="1"/>
  <c r="GX686" i="1"/>
  <c r="HD672" i="1"/>
  <c r="HA672" i="1"/>
  <c r="GX672" i="1"/>
  <c r="GU586" i="1"/>
  <c r="GU582" i="1"/>
  <c r="JZ593" i="1"/>
  <c r="M44" i="40"/>
  <c r="F11" i="40"/>
  <c r="H11" i="40"/>
  <c r="H9" i="40"/>
  <c r="J11" i="40"/>
  <c r="J9" i="40"/>
  <c r="L11" i="40"/>
  <c r="N13" i="40"/>
  <c r="P13" i="40"/>
  <c r="P11" i="40"/>
  <c r="Q13" i="40"/>
  <c r="Q11" i="40"/>
  <c r="N14" i="40"/>
  <c r="P14" i="40"/>
  <c r="Q14" i="40"/>
  <c r="N15" i="40"/>
  <c r="P15" i="40"/>
  <c r="Q15" i="40"/>
  <c r="N16" i="40"/>
  <c r="P16" i="40"/>
  <c r="Q16" i="40"/>
  <c r="F18" i="40"/>
  <c r="H18" i="40"/>
  <c r="G18" i="40"/>
  <c r="J18" i="40"/>
  <c r="I18" i="40"/>
  <c r="N19" i="40"/>
  <c r="P19" i="40"/>
  <c r="P18" i="40"/>
  <c r="Q19" i="40"/>
  <c r="L20" i="40"/>
  <c r="L18" i="40"/>
  <c r="N20" i="40"/>
  <c r="P20" i="40"/>
  <c r="Q20" i="40"/>
  <c r="S20" i="40"/>
  <c r="H24" i="40"/>
  <c r="H22" i="40"/>
  <c r="F26" i="40"/>
  <c r="F24" i="40"/>
  <c r="F22" i="40"/>
  <c r="H26" i="40"/>
  <c r="J26" i="40"/>
  <c r="J24" i="40"/>
  <c r="J22" i="40"/>
  <c r="L26" i="40"/>
  <c r="N27" i="40"/>
  <c r="N28" i="40"/>
  <c r="N29" i="40"/>
  <c r="N30" i="40"/>
  <c r="N31" i="40"/>
  <c r="L33" i="40"/>
  <c r="N33" i="40"/>
  <c r="N39" i="40"/>
  <c r="N38" i="40"/>
  <c r="N37" i="40"/>
  <c r="N35" i="40"/>
  <c r="N11" i="40"/>
  <c r="N18" i="40"/>
  <c r="N26" i="40"/>
  <c r="N24" i="40"/>
  <c r="E27" i="40"/>
  <c r="E28" i="40"/>
  <c r="I13" i="40"/>
  <c r="I14" i="40"/>
  <c r="I15" i="40"/>
  <c r="I16" i="40"/>
  <c r="I19" i="40"/>
  <c r="G27" i="40"/>
  <c r="G28" i="40"/>
  <c r="Q18" i="40"/>
  <c r="Q9" i="40"/>
  <c r="O11" i="40"/>
  <c r="P9" i="40"/>
  <c r="G13" i="40"/>
  <c r="G14" i="40"/>
  <c r="G15" i="40"/>
  <c r="G16" i="40"/>
  <c r="G19" i="40"/>
  <c r="M42" i="40"/>
  <c r="I27" i="40"/>
  <c r="I28" i="40"/>
  <c r="O18" i="40"/>
  <c r="N9" i="40"/>
  <c r="M13" i="40"/>
  <c r="L9" i="40"/>
  <c r="K16" i="40"/>
  <c r="G11" i="40"/>
  <c r="L24" i="40"/>
  <c r="L22" i="40"/>
  <c r="F9" i="40"/>
  <c r="E18" i="40"/>
  <c r="I11" i="40"/>
  <c r="M19" i="40"/>
  <c r="K11" i="40"/>
  <c r="M16" i="40"/>
  <c r="O13" i="40"/>
  <c r="O14" i="40"/>
  <c r="O15" i="40"/>
  <c r="O16" i="40"/>
  <c r="O19" i="40"/>
  <c r="K13" i="40"/>
  <c r="K14" i="40"/>
  <c r="K15" i="40"/>
  <c r="K19" i="40"/>
  <c r="M15" i="40"/>
  <c r="E13" i="40"/>
  <c r="E14" i="40"/>
  <c r="E15" i="40"/>
  <c r="E16" i="40"/>
  <c r="E19" i="40"/>
  <c r="E20" i="40"/>
  <c r="E11" i="40"/>
  <c r="M14" i="40"/>
  <c r="D24" i="12"/>
  <c r="JY834" i="1"/>
  <c r="JX834" i="1"/>
  <c r="JR834" i="1"/>
  <c r="JQ834" i="1"/>
  <c r="JO834" i="1"/>
  <c r="JN834" i="1"/>
  <c r="JL834" i="1"/>
  <c r="JK834" i="1"/>
  <c r="JI834" i="1"/>
  <c r="JH834" i="1"/>
  <c r="JF834" i="1"/>
  <c r="JE834" i="1"/>
  <c r="JC834" i="1"/>
  <c r="JB834" i="1"/>
  <c r="IZ834" i="1"/>
  <c r="IY834" i="1"/>
  <c r="IW834" i="1"/>
  <c r="IV834" i="1"/>
  <c r="IT834" i="1"/>
  <c r="IS834" i="1"/>
  <c r="IQ834" i="1"/>
  <c r="IP834" i="1"/>
  <c r="IN834" i="1"/>
  <c r="IM834" i="1"/>
  <c r="IK834" i="1"/>
  <c r="IJ834" i="1"/>
  <c r="IH834" i="1"/>
  <c r="IG834" i="1"/>
  <c r="IF834" i="1"/>
  <c r="GQ834" i="1"/>
  <c r="JT834" i="1"/>
  <c r="GP834" i="1"/>
  <c r="JY709" i="1"/>
  <c r="JY708" i="1"/>
  <c r="JX709" i="1"/>
  <c r="JQ709" i="1"/>
  <c r="JR709" i="1"/>
  <c r="JR708" i="1"/>
  <c r="JN709" i="1"/>
  <c r="JO709" i="1"/>
  <c r="JO708" i="1"/>
  <c r="JK709" i="1"/>
  <c r="JL709" i="1"/>
  <c r="JL708" i="1"/>
  <c r="JH709" i="1"/>
  <c r="JI709" i="1"/>
  <c r="JI708" i="1"/>
  <c r="JE709" i="1"/>
  <c r="JF709" i="1"/>
  <c r="JF708" i="1"/>
  <c r="JB709" i="1"/>
  <c r="JC709" i="1"/>
  <c r="JC708" i="1"/>
  <c r="IY709" i="1"/>
  <c r="IZ709" i="1"/>
  <c r="IZ708" i="1"/>
  <c r="IV709" i="1"/>
  <c r="IW709" i="1"/>
  <c r="IW708" i="1"/>
  <c r="IS709" i="1"/>
  <c r="IT709" i="1"/>
  <c r="IT708" i="1"/>
  <c r="IP709" i="1"/>
  <c r="IQ709" i="1"/>
  <c r="IQ708" i="1"/>
  <c r="IM709" i="1"/>
  <c r="IN709" i="1"/>
  <c r="IN708" i="1"/>
  <c r="IJ709" i="1"/>
  <c r="IK709" i="1"/>
  <c r="IG709" i="1"/>
  <c r="IG708" i="1"/>
  <c r="IF709" i="1"/>
  <c r="GQ709" i="1"/>
  <c r="GT709" i="1"/>
  <c r="GT708" i="1"/>
  <c r="GP709" i="1"/>
  <c r="GR709" i="1"/>
  <c r="GR708" i="1"/>
  <c r="JP708" i="1"/>
  <c r="JN708" i="1"/>
  <c r="JM708" i="1"/>
  <c r="JJ708" i="1"/>
  <c r="JH708" i="1"/>
  <c r="JG708" i="1"/>
  <c r="JD708" i="1"/>
  <c r="JB708" i="1"/>
  <c r="JA708" i="1"/>
  <c r="IX708" i="1"/>
  <c r="IV708" i="1"/>
  <c r="IU708" i="1"/>
  <c r="IR708" i="1"/>
  <c r="IP708" i="1"/>
  <c r="IO708" i="1"/>
  <c r="IL708" i="1"/>
  <c r="IJ708" i="1"/>
  <c r="II708" i="1"/>
  <c r="IF708" i="1"/>
  <c r="IE708" i="1"/>
  <c r="ID708" i="1"/>
  <c r="IC708" i="1"/>
  <c r="IB708" i="1"/>
  <c r="IA708" i="1"/>
  <c r="HZ708" i="1"/>
  <c r="HY708" i="1"/>
  <c r="HX708" i="1"/>
  <c r="HW708" i="1"/>
  <c r="HV708" i="1"/>
  <c r="HU708" i="1"/>
  <c r="HT708" i="1"/>
  <c r="HS708" i="1"/>
  <c r="HR708" i="1"/>
  <c r="HQ708" i="1"/>
  <c r="HP708" i="1"/>
  <c r="HO708" i="1"/>
  <c r="HN708" i="1"/>
  <c r="HM708" i="1"/>
  <c r="HL708" i="1"/>
  <c r="HK708" i="1"/>
  <c r="HJ708" i="1"/>
  <c r="HI708" i="1"/>
  <c r="HH708" i="1"/>
  <c r="HF708" i="1"/>
  <c r="HE708" i="1"/>
  <c r="HD708" i="1"/>
  <c r="HC708" i="1"/>
  <c r="HB708" i="1"/>
  <c r="HA708" i="1"/>
  <c r="GZ708" i="1"/>
  <c r="GY708" i="1"/>
  <c r="GX708" i="1"/>
  <c r="GW708" i="1"/>
  <c r="GV708" i="1"/>
  <c r="GU708" i="1"/>
  <c r="GP708" i="1"/>
  <c r="GO708" i="1"/>
  <c r="GN708" i="1"/>
  <c r="GM708" i="1"/>
  <c r="GL708" i="1"/>
  <c r="GK708" i="1"/>
  <c r="GJ708" i="1"/>
  <c r="GI708" i="1"/>
  <c r="GH708" i="1"/>
  <c r="GG708" i="1"/>
  <c r="GF708" i="1"/>
  <c r="GE708" i="1"/>
  <c r="GD708" i="1"/>
  <c r="GC708" i="1"/>
  <c r="GB708" i="1"/>
  <c r="GA708" i="1"/>
  <c r="FZ708" i="1"/>
  <c r="FY708" i="1"/>
  <c r="FX708" i="1"/>
  <c r="FW708" i="1"/>
  <c r="FV708" i="1"/>
  <c r="FU708" i="1"/>
  <c r="FT708" i="1"/>
  <c r="FS708" i="1"/>
  <c r="FR708" i="1"/>
  <c r="FQ708" i="1"/>
  <c r="FP708" i="1"/>
  <c r="FO708" i="1"/>
  <c r="FN708" i="1"/>
  <c r="FM708" i="1"/>
  <c r="FL708" i="1"/>
  <c r="FK708" i="1"/>
  <c r="FJ708" i="1"/>
  <c r="FI708" i="1"/>
  <c r="FH708" i="1"/>
  <c r="FG708" i="1"/>
  <c r="FF708" i="1"/>
  <c r="FE708" i="1"/>
  <c r="FD708" i="1"/>
  <c r="FC708" i="1"/>
  <c r="FB708" i="1"/>
  <c r="FA708" i="1"/>
  <c r="EZ708" i="1"/>
  <c r="EY708" i="1"/>
  <c r="EX708" i="1"/>
  <c r="EW708" i="1"/>
  <c r="EV708" i="1"/>
  <c r="EU708" i="1"/>
  <c r="ET708" i="1"/>
  <c r="ES708" i="1"/>
  <c r="ER708" i="1"/>
  <c r="EQ708" i="1"/>
  <c r="EP708" i="1"/>
  <c r="EO708" i="1"/>
  <c r="EN708" i="1"/>
  <c r="EM708" i="1"/>
  <c r="EL708" i="1"/>
  <c r="EK708" i="1"/>
  <c r="EJ708" i="1"/>
  <c r="EI708" i="1"/>
  <c r="EH708" i="1"/>
  <c r="EG708" i="1"/>
  <c r="EF708" i="1"/>
  <c r="EE708" i="1"/>
  <c r="ED708" i="1"/>
  <c r="EC708" i="1"/>
  <c r="EB708" i="1"/>
  <c r="EA708" i="1"/>
  <c r="DZ708" i="1"/>
  <c r="DY708" i="1"/>
  <c r="DX708" i="1"/>
  <c r="DW708" i="1"/>
  <c r="DV708" i="1"/>
  <c r="DU708" i="1"/>
  <c r="DT708" i="1"/>
  <c r="DS708" i="1"/>
  <c r="DR708" i="1"/>
  <c r="DQ708" i="1"/>
  <c r="DP708" i="1"/>
  <c r="DO708" i="1"/>
  <c r="DN708" i="1"/>
  <c r="DM708" i="1"/>
  <c r="DL708" i="1"/>
  <c r="DK708" i="1"/>
  <c r="DJ708" i="1"/>
  <c r="DI708" i="1"/>
  <c r="DH708" i="1"/>
  <c r="DG708" i="1"/>
  <c r="DF708" i="1"/>
  <c r="DE708" i="1"/>
  <c r="DD708" i="1"/>
  <c r="DC708" i="1"/>
  <c r="DB708" i="1"/>
  <c r="DA708" i="1"/>
  <c r="CZ708" i="1"/>
  <c r="CY708" i="1"/>
  <c r="CX708" i="1"/>
  <c r="CW708" i="1"/>
  <c r="CV708" i="1"/>
  <c r="CU708" i="1"/>
  <c r="CT708" i="1"/>
  <c r="CS708" i="1"/>
  <c r="CR708" i="1"/>
  <c r="CQ708" i="1"/>
  <c r="CP708" i="1"/>
  <c r="CO708" i="1"/>
  <c r="CN708" i="1"/>
  <c r="CM708" i="1"/>
  <c r="CL708" i="1"/>
  <c r="CK708" i="1"/>
  <c r="CJ708" i="1"/>
  <c r="CI708" i="1"/>
  <c r="CH708" i="1"/>
  <c r="CG708" i="1"/>
  <c r="CF708" i="1"/>
  <c r="CE708" i="1"/>
  <c r="CD708" i="1"/>
  <c r="CC708" i="1"/>
  <c r="CB708" i="1"/>
  <c r="CA708" i="1"/>
  <c r="BZ708" i="1"/>
  <c r="BY708" i="1"/>
  <c r="BX708" i="1"/>
  <c r="BW708" i="1"/>
  <c r="BV708" i="1"/>
  <c r="BU708" i="1"/>
  <c r="BT708" i="1"/>
  <c r="BS708" i="1"/>
  <c r="BR708" i="1"/>
  <c r="BQ708" i="1"/>
  <c r="BP708" i="1"/>
  <c r="BO708" i="1"/>
  <c r="BN708" i="1"/>
  <c r="BM708" i="1"/>
  <c r="BL708" i="1"/>
  <c r="BK708" i="1"/>
  <c r="BJ708" i="1"/>
  <c r="BI708" i="1"/>
  <c r="BH708" i="1"/>
  <c r="BG708" i="1"/>
  <c r="BF708" i="1"/>
  <c r="BE708" i="1"/>
  <c r="BD708" i="1"/>
  <c r="BC708" i="1"/>
  <c r="BB708" i="1"/>
  <c r="BA708" i="1"/>
  <c r="AZ708" i="1"/>
  <c r="AY708" i="1"/>
  <c r="AX708" i="1"/>
  <c r="AW708" i="1"/>
  <c r="AV708" i="1"/>
  <c r="AU708" i="1"/>
  <c r="AT708" i="1"/>
  <c r="AS708" i="1"/>
  <c r="AR708" i="1"/>
  <c r="AQ708" i="1"/>
  <c r="AP708" i="1"/>
  <c r="AO708" i="1"/>
  <c r="AN708" i="1"/>
  <c r="AM708" i="1"/>
  <c r="AL708" i="1"/>
  <c r="AK708" i="1"/>
  <c r="AJ708" i="1"/>
  <c r="AI708" i="1"/>
  <c r="AH708" i="1"/>
  <c r="AG708" i="1"/>
  <c r="AF708" i="1"/>
  <c r="AE708" i="1"/>
  <c r="AD708" i="1"/>
  <c r="AC708" i="1"/>
  <c r="AB708" i="1"/>
  <c r="AA708" i="1"/>
  <c r="Z708" i="1"/>
  <c r="Y708" i="1"/>
  <c r="X708" i="1"/>
  <c r="W708" i="1"/>
  <c r="V708" i="1"/>
  <c r="U708" i="1"/>
  <c r="T708" i="1"/>
  <c r="S708" i="1"/>
  <c r="R708" i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C708" i="1"/>
  <c r="HM666" i="1"/>
  <c r="HM669" i="1"/>
  <c r="HM664" i="1"/>
  <c r="HM662" i="1"/>
  <c r="JY689" i="1"/>
  <c r="JY688" i="1"/>
  <c r="JX689" i="1"/>
  <c r="JR689" i="1"/>
  <c r="JR688" i="1"/>
  <c r="JQ689" i="1"/>
  <c r="JO689" i="1"/>
  <c r="JN689" i="1"/>
  <c r="JL689" i="1"/>
  <c r="JL688" i="1"/>
  <c r="JK689" i="1"/>
  <c r="JH689" i="1"/>
  <c r="JI689" i="1"/>
  <c r="JF689" i="1"/>
  <c r="JF688" i="1"/>
  <c r="JE689" i="1"/>
  <c r="JC689" i="1"/>
  <c r="JB689" i="1"/>
  <c r="IZ689" i="1"/>
  <c r="IY689" i="1"/>
  <c r="IW689" i="1"/>
  <c r="IV689" i="1"/>
  <c r="IT689" i="1"/>
  <c r="IT688" i="1"/>
  <c r="IS689" i="1"/>
  <c r="IQ689" i="1"/>
  <c r="IP689" i="1"/>
  <c r="IN689" i="1"/>
  <c r="IM689" i="1"/>
  <c r="IK689" i="1"/>
  <c r="IJ689" i="1"/>
  <c r="IG689" i="1"/>
  <c r="IG688" i="1"/>
  <c r="IF689" i="1"/>
  <c r="JS689" i="1"/>
  <c r="GQ689" i="1"/>
  <c r="KA689" i="1"/>
  <c r="KA688" i="1"/>
  <c r="GP689" i="1"/>
  <c r="JX688" i="1"/>
  <c r="JQ688" i="1"/>
  <c r="JP688" i="1"/>
  <c r="JO688" i="1"/>
  <c r="JN688" i="1"/>
  <c r="JM688" i="1"/>
  <c r="JK688" i="1"/>
  <c r="JJ688" i="1"/>
  <c r="JH688" i="1"/>
  <c r="JG688" i="1"/>
  <c r="JE688" i="1"/>
  <c r="JD688" i="1"/>
  <c r="JC688" i="1"/>
  <c r="JB688" i="1"/>
  <c r="JA688" i="1"/>
  <c r="IZ688" i="1"/>
  <c r="IY688" i="1"/>
  <c r="IX688" i="1"/>
  <c r="IW688" i="1"/>
  <c r="IV688" i="1"/>
  <c r="IU688" i="1"/>
  <c r="IS688" i="1"/>
  <c r="IR688" i="1"/>
  <c r="IQ688" i="1"/>
  <c r="IP688" i="1"/>
  <c r="IO688" i="1"/>
  <c r="IN688" i="1"/>
  <c r="IM688" i="1"/>
  <c r="IL688" i="1"/>
  <c r="IK688" i="1"/>
  <c r="IJ688" i="1"/>
  <c r="II688" i="1"/>
  <c r="IF688" i="1"/>
  <c r="IE688" i="1"/>
  <c r="ID688" i="1"/>
  <c r="IC688" i="1"/>
  <c r="IB688" i="1"/>
  <c r="IA688" i="1"/>
  <c r="HZ688" i="1"/>
  <c r="HY688" i="1"/>
  <c r="HX688" i="1"/>
  <c r="HW688" i="1"/>
  <c r="HV688" i="1"/>
  <c r="HU688" i="1"/>
  <c r="HT688" i="1"/>
  <c r="HS688" i="1"/>
  <c r="HR688" i="1"/>
  <c r="HQ688" i="1"/>
  <c r="HP688" i="1"/>
  <c r="HO688" i="1"/>
  <c r="HN688" i="1"/>
  <c r="HM688" i="1"/>
  <c r="HL688" i="1"/>
  <c r="HK688" i="1"/>
  <c r="HJ688" i="1"/>
  <c r="HI688" i="1"/>
  <c r="HH688" i="1"/>
  <c r="HF688" i="1"/>
  <c r="HE688" i="1"/>
  <c r="HD688" i="1"/>
  <c r="HC688" i="1"/>
  <c r="HB688" i="1"/>
  <c r="HA688" i="1"/>
  <c r="GZ688" i="1"/>
  <c r="GY688" i="1"/>
  <c r="GX688" i="1"/>
  <c r="GW688" i="1"/>
  <c r="GV688" i="1"/>
  <c r="GU688" i="1"/>
  <c r="GQ688" i="1"/>
  <c r="GO688" i="1"/>
  <c r="GN688" i="1"/>
  <c r="GM688" i="1"/>
  <c r="GL688" i="1"/>
  <c r="GK688" i="1"/>
  <c r="GJ688" i="1"/>
  <c r="GI688" i="1"/>
  <c r="GH688" i="1"/>
  <c r="GG688" i="1"/>
  <c r="GF688" i="1"/>
  <c r="GE688" i="1"/>
  <c r="GD688" i="1"/>
  <c r="GC688" i="1"/>
  <c r="GB688" i="1"/>
  <c r="GA688" i="1"/>
  <c r="FZ688" i="1"/>
  <c r="FY688" i="1"/>
  <c r="FX688" i="1"/>
  <c r="FW688" i="1"/>
  <c r="FV688" i="1"/>
  <c r="FU688" i="1"/>
  <c r="FT688" i="1"/>
  <c r="FS688" i="1"/>
  <c r="FR688" i="1"/>
  <c r="FQ688" i="1"/>
  <c r="FP688" i="1"/>
  <c r="FO688" i="1"/>
  <c r="FN688" i="1"/>
  <c r="FM688" i="1"/>
  <c r="FL688" i="1"/>
  <c r="FK688" i="1"/>
  <c r="FJ688" i="1"/>
  <c r="FI688" i="1"/>
  <c r="FH688" i="1"/>
  <c r="FG688" i="1"/>
  <c r="FF688" i="1"/>
  <c r="FE688" i="1"/>
  <c r="FD688" i="1"/>
  <c r="FC688" i="1"/>
  <c r="FB688" i="1"/>
  <c r="FA688" i="1"/>
  <c r="EZ688" i="1"/>
  <c r="EY688" i="1"/>
  <c r="EX688" i="1"/>
  <c r="EW688" i="1"/>
  <c r="EV688" i="1"/>
  <c r="EU688" i="1"/>
  <c r="ET688" i="1"/>
  <c r="ES688" i="1"/>
  <c r="ER688" i="1"/>
  <c r="EQ688" i="1"/>
  <c r="EP688" i="1"/>
  <c r="EO688" i="1"/>
  <c r="EN688" i="1"/>
  <c r="EM688" i="1"/>
  <c r="EL688" i="1"/>
  <c r="EK688" i="1"/>
  <c r="EJ688" i="1"/>
  <c r="EI688" i="1"/>
  <c r="EH688" i="1"/>
  <c r="EG688" i="1"/>
  <c r="EF688" i="1"/>
  <c r="EE688" i="1"/>
  <c r="ED688" i="1"/>
  <c r="EC688" i="1"/>
  <c r="EB688" i="1"/>
  <c r="EA688" i="1"/>
  <c r="DZ688" i="1"/>
  <c r="DY688" i="1"/>
  <c r="DX688" i="1"/>
  <c r="DW688" i="1"/>
  <c r="DV688" i="1"/>
  <c r="DU688" i="1"/>
  <c r="DT688" i="1"/>
  <c r="DS688" i="1"/>
  <c r="DR688" i="1"/>
  <c r="DQ688" i="1"/>
  <c r="DP688" i="1"/>
  <c r="DO688" i="1"/>
  <c r="DN688" i="1"/>
  <c r="DM688" i="1"/>
  <c r="DL688" i="1"/>
  <c r="DK688" i="1"/>
  <c r="DJ688" i="1"/>
  <c r="DI688" i="1"/>
  <c r="DH688" i="1"/>
  <c r="DG688" i="1"/>
  <c r="DF688" i="1"/>
  <c r="DE688" i="1"/>
  <c r="DD688" i="1"/>
  <c r="DC688" i="1"/>
  <c r="DB688" i="1"/>
  <c r="DA688" i="1"/>
  <c r="CZ688" i="1"/>
  <c r="CY688" i="1"/>
  <c r="CX688" i="1"/>
  <c r="CW688" i="1"/>
  <c r="CV688" i="1"/>
  <c r="CU688" i="1"/>
  <c r="CT688" i="1"/>
  <c r="CS688" i="1"/>
  <c r="CR688" i="1"/>
  <c r="CQ688" i="1"/>
  <c r="CP688" i="1"/>
  <c r="CO688" i="1"/>
  <c r="CN688" i="1"/>
  <c r="CM688" i="1"/>
  <c r="CL688" i="1"/>
  <c r="CK688" i="1"/>
  <c r="CJ688" i="1"/>
  <c r="CI688" i="1"/>
  <c r="CH688" i="1"/>
  <c r="CG688" i="1"/>
  <c r="CF688" i="1"/>
  <c r="CE688" i="1"/>
  <c r="CD688" i="1"/>
  <c r="CC688" i="1"/>
  <c r="CB688" i="1"/>
  <c r="CA688" i="1"/>
  <c r="BZ688" i="1"/>
  <c r="BY688" i="1"/>
  <c r="BX688" i="1"/>
  <c r="BW688" i="1"/>
  <c r="BV688" i="1"/>
  <c r="BU688" i="1"/>
  <c r="BT688" i="1"/>
  <c r="BS688" i="1"/>
  <c r="BR688" i="1"/>
  <c r="BQ688" i="1"/>
  <c r="BP688" i="1"/>
  <c r="BO688" i="1"/>
  <c r="BN688" i="1"/>
  <c r="BM688" i="1"/>
  <c r="BL688" i="1"/>
  <c r="BK688" i="1"/>
  <c r="BJ688" i="1"/>
  <c r="BI688" i="1"/>
  <c r="BH688" i="1"/>
  <c r="BG688" i="1"/>
  <c r="BF688" i="1"/>
  <c r="BE688" i="1"/>
  <c r="BD688" i="1"/>
  <c r="BC688" i="1"/>
  <c r="BB688" i="1"/>
  <c r="BA688" i="1"/>
  <c r="AZ688" i="1"/>
  <c r="AY688" i="1"/>
  <c r="AX688" i="1"/>
  <c r="AW688" i="1"/>
  <c r="AV688" i="1"/>
  <c r="AU688" i="1"/>
  <c r="AT688" i="1"/>
  <c r="AS688" i="1"/>
  <c r="AR688" i="1"/>
  <c r="AQ688" i="1"/>
  <c r="AP688" i="1"/>
  <c r="AO688" i="1"/>
  <c r="AN688" i="1"/>
  <c r="AM688" i="1"/>
  <c r="AL688" i="1"/>
  <c r="AK688" i="1"/>
  <c r="AJ688" i="1"/>
  <c r="AI688" i="1"/>
  <c r="AH688" i="1"/>
  <c r="AG688" i="1"/>
  <c r="AF688" i="1"/>
  <c r="AE688" i="1"/>
  <c r="AD688" i="1"/>
  <c r="AC688" i="1"/>
  <c r="AB688" i="1"/>
  <c r="AA688" i="1"/>
  <c r="Z688" i="1"/>
  <c r="Y688" i="1"/>
  <c r="X688" i="1"/>
  <c r="W688" i="1"/>
  <c r="V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C688" i="1"/>
  <c r="IK866" i="1"/>
  <c r="IJ866" i="1"/>
  <c r="IJ861" i="1"/>
  <c r="IK861" i="1"/>
  <c r="IK860" i="1"/>
  <c r="IJ860" i="1"/>
  <c r="II860" i="1"/>
  <c r="IK858" i="1"/>
  <c r="IK856" i="1"/>
  <c r="IJ858" i="1"/>
  <c r="IJ856" i="1"/>
  <c r="II856" i="1"/>
  <c r="IJ853" i="1"/>
  <c r="IK853" i="1"/>
  <c r="IJ852" i="1"/>
  <c r="IK852" i="1"/>
  <c r="IJ851" i="1"/>
  <c r="IK851" i="1"/>
  <c r="IJ850" i="1"/>
  <c r="IK850" i="1"/>
  <c r="IJ849" i="1"/>
  <c r="IK849" i="1"/>
  <c r="IJ848" i="1"/>
  <c r="IK848" i="1"/>
  <c r="IJ847" i="1"/>
  <c r="IK847" i="1"/>
  <c r="IJ846" i="1"/>
  <c r="IK846" i="1"/>
  <c r="IK845" i="1"/>
  <c r="IJ845" i="1"/>
  <c r="II845" i="1"/>
  <c r="IK843" i="1"/>
  <c r="IJ843" i="1"/>
  <c r="IJ842" i="1"/>
  <c r="IK842" i="1"/>
  <c r="II842" i="1"/>
  <c r="IJ840" i="1"/>
  <c r="IK840" i="1"/>
  <c r="IJ839" i="1"/>
  <c r="IK839" i="1"/>
  <c r="IJ838" i="1"/>
  <c r="IK838" i="1"/>
  <c r="IJ837" i="1"/>
  <c r="IK837" i="1"/>
  <c r="IJ836" i="1"/>
  <c r="IK836" i="1"/>
  <c r="IJ835" i="1"/>
  <c r="IK835" i="1"/>
  <c r="IJ833" i="1"/>
  <c r="IK833" i="1"/>
  <c r="IJ832" i="1"/>
  <c r="IK832" i="1"/>
  <c r="IJ831" i="1"/>
  <c r="IK831" i="1"/>
  <c r="IJ830" i="1"/>
  <c r="IK830" i="1"/>
  <c r="IJ829" i="1"/>
  <c r="IK829" i="1"/>
  <c r="IJ828" i="1"/>
  <c r="IJ827" i="1"/>
  <c r="II827" i="1"/>
  <c r="IJ825" i="1"/>
  <c r="IK825" i="1"/>
  <c r="IJ824" i="1"/>
  <c r="IK824" i="1"/>
  <c r="IJ823" i="1"/>
  <c r="IK823" i="1"/>
  <c r="IJ822" i="1"/>
  <c r="IK822" i="1"/>
  <c r="IJ821" i="1"/>
  <c r="IK821" i="1"/>
  <c r="IJ820" i="1"/>
  <c r="IK820" i="1"/>
  <c r="IJ819" i="1"/>
  <c r="IK819" i="1"/>
  <c r="IJ818" i="1"/>
  <c r="IK818" i="1"/>
  <c r="IJ817" i="1"/>
  <c r="IK817" i="1"/>
  <c r="IJ816" i="1"/>
  <c r="IK816" i="1"/>
  <c r="IJ815" i="1"/>
  <c r="IK815" i="1"/>
  <c r="IJ814" i="1"/>
  <c r="IK814" i="1"/>
  <c r="IJ813" i="1"/>
  <c r="IK813" i="1"/>
  <c r="IJ812" i="1"/>
  <c r="IK812" i="1"/>
  <c r="IJ811" i="1"/>
  <c r="IK811" i="1"/>
  <c r="IJ810" i="1"/>
  <c r="IK810" i="1"/>
  <c r="IJ809" i="1"/>
  <c r="IK809" i="1"/>
  <c r="IJ808" i="1"/>
  <c r="IK808" i="1"/>
  <c r="IJ807" i="1"/>
  <c r="IK807" i="1"/>
  <c r="IJ806" i="1"/>
  <c r="IK806" i="1"/>
  <c r="IJ805" i="1"/>
  <c r="IK805" i="1"/>
  <c r="IJ804" i="1"/>
  <c r="IK804" i="1"/>
  <c r="IJ803" i="1"/>
  <c r="IK803" i="1"/>
  <c r="IJ802" i="1"/>
  <c r="IK802" i="1"/>
  <c r="IJ801" i="1"/>
  <c r="IK801" i="1"/>
  <c r="IJ800" i="1"/>
  <c r="IK800" i="1"/>
  <c r="IJ799" i="1"/>
  <c r="IK799" i="1"/>
  <c r="IJ798" i="1"/>
  <c r="IK798" i="1"/>
  <c r="IJ797" i="1"/>
  <c r="IK797" i="1"/>
  <c r="IJ796" i="1"/>
  <c r="IK796" i="1"/>
  <c r="IJ795" i="1"/>
  <c r="IK795" i="1"/>
  <c r="IJ794" i="1"/>
  <c r="IK794" i="1"/>
  <c r="IJ793" i="1"/>
  <c r="IK793" i="1"/>
  <c r="IJ792" i="1"/>
  <c r="IK792" i="1"/>
  <c r="IJ791" i="1"/>
  <c r="IJ790" i="1"/>
  <c r="II790" i="1"/>
  <c r="IJ788" i="1"/>
  <c r="IK788" i="1"/>
  <c r="IJ787" i="1"/>
  <c r="IK787" i="1"/>
  <c r="IJ786" i="1"/>
  <c r="IK786" i="1"/>
  <c r="IJ785" i="1"/>
  <c r="IK785" i="1"/>
  <c r="IJ784" i="1"/>
  <c r="II783" i="1"/>
  <c r="IJ781" i="1"/>
  <c r="IK781" i="1"/>
  <c r="IJ780" i="1"/>
  <c r="IK780" i="1"/>
  <c r="IJ779" i="1"/>
  <c r="IK779" i="1"/>
  <c r="IJ778" i="1"/>
  <c r="IK778" i="1"/>
  <c r="IJ777" i="1"/>
  <c r="IK777" i="1"/>
  <c r="IJ776" i="1"/>
  <c r="IK776" i="1"/>
  <c r="IJ775" i="1"/>
  <c r="IK775" i="1"/>
  <c r="IJ774" i="1"/>
  <c r="IK774" i="1"/>
  <c r="IJ773" i="1"/>
  <c r="IK773" i="1"/>
  <c r="IJ772" i="1"/>
  <c r="IK772" i="1"/>
  <c r="IJ771" i="1"/>
  <c r="IK771" i="1"/>
  <c r="IJ770" i="1"/>
  <c r="IJ768" i="1"/>
  <c r="IJ769" i="1"/>
  <c r="II768" i="1"/>
  <c r="IJ748" i="1"/>
  <c r="IK748" i="1"/>
  <c r="IJ747" i="1"/>
  <c r="IK747" i="1"/>
  <c r="IJ746" i="1"/>
  <c r="IK746" i="1"/>
  <c r="IJ745" i="1"/>
  <c r="IK745" i="1"/>
  <c r="IJ744" i="1"/>
  <c r="IK744" i="1"/>
  <c r="IJ743" i="1"/>
  <c r="IK743" i="1"/>
  <c r="II742" i="1"/>
  <c r="IK740" i="1"/>
  <c r="IJ740" i="1"/>
  <c r="IK738" i="1"/>
  <c r="IJ738" i="1"/>
  <c r="II738" i="1"/>
  <c r="IJ736" i="1"/>
  <c r="IK736" i="1"/>
  <c r="IJ735" i="1"/>
  <c r="IK735" i="1"/>
  <c r="IJ734" i="1"/>
  <c r="IK734" i="1"/>
  <c r="IJ733" i="1"/>
  <c r="IK733" i="1"/>
  <c r="IJ732" i="1"/>
  <c r="IK732" i="1"/>
  <c r="IJ731" i="1"/>
  <c r="IK731" i="1"/>
  <c r="IJ730" i="1"/>
  <c r="IK730" i="1"/>
  <c r="IJ729" i="1"/>
  <c r="IK729" i="1"/>
  <c r="II728" i="1"/>
  <c r="IK725" i="1"/>
  <c r="IJ725" i="1"/>
  <c r="II725" i="1"/>
  <c r="IK718" i="1"/>
  <c r="IJ718" i="1"/>
  <c r="II718" i="1"/>
  <c r="IJ716" i="1"/>
  <c r="IK716" i="1"/>
  <c r="IJ715" i="1"/>
  <c r="IK715" i="1"/>
  <c r="IJ714" i="1"/>
  <c r="IK714" i="1"/>
  <c r="IJ712" i="1"/>
  <c r="IK712" i="1"/>
  <c r="II711" i="1"/>
  <c r="IJ706" i="1"/>
  <c r="IK706" i="1"/>
  <c r="IK705" i="1"/>
  <c r="IJ705" i="1"/>
  <c r="II705" i="1"/>
  <c r="IK703" i="1"/>
  <c r="IJ703" i="1"/>
  <c r="IJ702" i="1"/>
  <c r="IK702" i="1"/>
  <c r="II702" i="1"/>
  <c r="IJ700" i="1"/>
  <c r="IJ699" i="1"/>
  <c r="II699" i="1"/>
  <c r="IK696" i="1"/>
  <c r="IJ696" i="1"/>
  <c r="II696" i="1"/>
  <c r="IJ694" i="1"/>
  <c r="IJ693" i="1"/>
  <c r="II693" i="1"/>
  <c r="IJ686" i="1"/>
  <c r="IK686" i="1"/>
  <c r="IK685" i="1"/>
  <c r="IJ685" i="1"/>
  <c r="II685" i="1"/>
  <c r="IK682" i="1"/>
  <c r="IJ682" i="1"/>
  <c r="IJ681" i="1"/>
  <c r="IK681" i="1"/>
  <c r="II681" i="1"/>
  <c r="IJ679" i="1"/>
  <c r="IK679" i="1"/>
  <c r="IJ678" i="1"/>
  <c r="IK678" i="1"/>
  <c r="IJ677" i="1"/>
  <c r="IK677" i="1"/>
  <c r="IJ676" i="1"/>
  <c r="IK676" i="1"/>
  <c r="IJ675" i="1"/>
  <c r="IK675" i="1"/>
  <c r="IJ674" i="1"/>
  <c r="IK674" i="1"/>
  <c r="IJ673" i="1"/>
  <c r="IK673" i="1"/>
  <c r="IJ672" i="1"/>
  <c r="IK672" i="1"/>
  <c r="IJ670" i="1"/>
  <c r="II669" i="1"/>
  <c r="II664" i="1"/>
  <c r="II662" i="1"/>
  <c r="IK667" i="1"/>
  <c r="IJ667" i="1"/>
  <c r="IK666" i="1"/>
  <c r="IJ666" i="1"/>
  <c r="II666" i="1"/>
  <c r="IK655" i="1"/>
  <c r="IJ655" i="1"/>
  <c r="IJ653" i="1"/>
  <c r="IJ651" i="1"/>
  <c r="II655" i="1"/>
  <c r="IK653" i="1"/>
  <c r="IK651" i="1"/>
  <c r="II653" i="1"/>
  <c r="II651" i="1"/>
  <c r="IJ649" i="1"/>
  <c r="IK649" i="1"/>
  <c r="IJ648" i="1"/>
  <c r="IK648" i="1"/>
  <c r="IJ647" i="1"/>
  <c r="IK647" i="1"/>
  <c r="IJ646" i="1"/>
  <c r="II645" i="1"/>
  <c r="IJ643" i="1"/>
  <c r="IK643" i="1"/>
  <c r="IJ641" i="1"/>
  <c r="IK641" i="1"/>
  <c r="IJ639" i="1"/>
  <c r="IK639" i="1"/>
  <c r="IJ638" i="1"/>
  <c r="IK638" i="1"/>
  <c r="II637" i="1"/>
  <c r="IJ635" i="1"/>
  <c r="IK635" i="1"/>
  <c r="IK634" i="1"/>
  <c r="IJ634" i="1"/>
  <c r="II634" i="1"/>
  <c r="II632" i="1"/>
  <c r="II630" i="1"/>
  <c r="IJ626" i="1"/>
  <c r="IJ625" i="1"/>
  <c r="IJ619" i="1"/>
  <c r="IJ609" i="1"/>
  <c r="II625" i="1"/>
  <c r="IJ623" i="1"/>
  <c r="IK623" i="1"/>
  <c r="IK621" i="1"/>
  <c r="IJ621" i="1"/>
  <c r="II621" i="1"/>
  <c r="II619" i="1"/>
  <c r="IJ617" i="1"/>
  <c r="IK617" i="1"/>
  <c r="IK616" i="1"/>
  <c r="IK611" i="1"/>
  <c r="II616" i="1"/>
  <c r="IK614" i="1"/>
  <c r="IJ614" i="1"/>
  <c r="IJ613" i="1"/>
  <c r="IK613" i="1"/>
  <c r="II613" i="1"/>
  <c r="II611" i="1"/>
  <c r="IK606" i="1"/>
  <c r="IJ606" i="1"/>
  <c r="II606" i="1"/>
  <c r="IJ603" i="1"/>
  <c r="IK603" i="1"/>
  <c r="II600" i="1"/>
  <c r="IJ598" i="1"/>
  <c r="IK598" i="1"/>
  <c r="IJ596" i="1"/>
  <c r="IK596" i="1"/>
  <c r="IJ595" i="1"/>
  <c r="IK595" i="1"/>
  <c r="IJ594" i="1"/>
  <c r="IK594" i="1"/>
  <c r="IJ593" i="1"/>
  <c r="II592" i="1"/>
  <c r="IK590" i="1"/>
  <c r="IJ590" i="1"/>
  <c r="IJ588" i="1"/>
  <c r="IK588" i="1"/>
  <c r="IJ587" i="1"/>
  <c r="IK587" i="1"/>
  <c r="IJ586" i="1"/>
  <c r="IK586" i="1"/>
  <c r="II585" i="1"/>
  <c r="IJ583" i="1"/>
  <c r="IJ582" i="1"/>
  <c r="IK582" i="1"/>
  <c r="II581" i="1"/>
  <c r="II579" i="1"/>
  <c r="II577" i="1"/>
  <c r="IK571" i="1"/>
  <c r="IJ571" i="1"/>
  <c r="IJ569" i="1"/>
  <c r="IJ567" i="1"/>
  <c r="II571" i="1"/>
  <c r="IK569" i="1"/>
  <c r="IK567" i="1"/>
  <c r="II569" i="1"/>
  <c r="II567" i="1"/>
  <c r="IK563" i="1"/>
  <c r="IJ563" i="1"/>
  <c r="II563" i="1"/>
  <c r="II558" i="1"/>
  <c r="IK555" i="1"/>
  <c r="IJ555" i="1"/>
  <c r="II555" i="1"/>
  <c r="IJ553" i="1"/>
  <c r="IK553" i="1"/>
  <c r="IJ552" i="1"/>
  <c r="IK552" i="1"/>
  <c r="IJ551" i="1"/>
  <c r="II549" i="1"/>
  <c r="IJ546" i="1"/>
  <c r="IK546" i="1"/>
  <c r="IJ545" i="1"/>
  <c r="IK545" i="1"/>
  <c r="IJ544" i="1"/>
  <c r="IK544" i="1"/>
  <c r="II543" i="1"/>
  <c r="IK536" i="1"/>
  <c r="IK535" i="1"/>
  <c r="IJ536" i="1"/>
  <c r="IJ535" i="1"/>
  <c r="II535" i="1"/>
  <c r="IJ533" i="1"/>
  <c r="IJ532" i="1"/>
  <c r="II532" i="1"/>
  <c r="IK526" i="1"/>
  <c r="IJ526" i="1"/>
  <c r="II526" i="1"/>
  <c r="IK524" i="1"/>
  <c r="IJ524" i="1"/>
  <c r="IK522" i="1"/>
  <c r="IJ522" i="1"/>
  <c r="IJ520" i="1"/>
  <c r="IK520" i="1"/>
  <c r="IK518" i="1"/>
  <c r="IJ518" i="1"/>
  <c r="IJ514" i="1"/>
  <c r="IK514" i="1"/>
  <c r="II507" i="1"/>
  <c r="II505" i="1"/>
  <c r="IK500" i="1"/>
  <c r="IJ500" i="1"/>
  <c r="II500" i="1"/>
  <c r="IJ498" i="1"/>
  <c r="IK498" i="1"/>
  <c r="IJ496" i="1"/>
  <c r="IK496" i="1"/>
  <c r="IJ495" i="1"/>
  <c r="IK495" i="1"/>
  <c r="IJ494" i="1"/>
  <c r="IK494" i="1"/>
  <c r="IJ493" i="1"/>
  <c r="IK493" i="1"/>
  <c r="IJ492" i="1"/>
  <c r="IK492" i="1"/>
  <c r="IJ491" i="1"/>
  <c r="IK491" i="1"/>
  <c r="IJ489" i="1"/>
  <c r="IK489" i="1"/>
  <c r="II488" i="1"/>
  <c r="IJ486" i="1"/>
  <c r="IK486" i="1"/>
  <c r="IJ485" i="1"/>
  <c r="IK485" i="1"/>
  <c r="IJ484" i="1"/>
  <c r="IK484" i="1"/>
  <c r="IJ483" i="1"/>
  <c r="IK483" i="1"/>
  <c r="II482" i="1"/>
  <c r="IJ480" i="1"/>
  <c r="IK480" i="1"/>
  <c r="IJ479" i="1"/>
  <c r="IK479" i="1"/>
  <c r="IJ478" i="1"/>
  <c r="IK478" i="1"/>
  <c r="IJ477" i="1"/>
  <c r="IK477" i="1"/>
  <c r="IJ476" i="1"/>
  <c r="IK476" i="1"/>
  <c r="IJ474" i="1"/>
  <c r="IK474" i="1"/>
  <c r="II472" i="1"/>
  <c r="IJ470" i="1"/>
  <c r="IK470" i="1"/>
  <c r="IJ469" i="1"/>
  <c r="IK469" i="1"/>
  <c r="IJ468" i="1"/>
  <c r="IK468" i="1"/>
  <c r="IJ467" i="1"/>
  <c r="IK467" i="1"/>
  <c r="IJ466" i="1"/>
  <c r="IK466" i="1"/>
  <c r="IJ465" i="1"/>
  <c r="IK465" i="1"/>
  <c r="II464" i="1"/>
  <c r="IJ462" i="1"/>
  <c r="IK462" i="1"/>
  <c r="IJ461" i="1"/>
  <c r="IK461" i="1"/>
  <c r="IJ459" i="1"/>
  <c r="IK459" i="1"/>
  <c r="II458" i="1"/>
  <c r="II451" i="1"/>
  <c r="IJ449" i="1"/>
  <c r="IK449" i="1"/>
  <c r="IJ448" i="1"/>
  <c r="IK448" i="1"/>
  <c r="IJ447" i="1"/>
  <c r="IK447" i="1"/>
  <c r="IJ446" i="1"/>
  <c r="IK446" i="1"/>
  <c r="II444" i="1"/>
  <c r="IJ442" i="1"/>
  <c r="IK442" i="1"/>
  <c r="IJ440" i="1"/>
  <c r="IJ439" i="1"/>
  <c r="II439" i="1"/>
  <c r="II437" i="1"/>
  <c r="IJ434" i="1"/>
  <c r="IK434" i="1"/>
  <c r="IJ433" i="1"/>
  <c r="IK433" i="1"/>
  <c r="IJ432" i="1"/>
  <c r="IK432" i="1"/>
  <c r="IJ431" i="1"/>
  <c r="IK431" i="1"/>
  <c r="IJ430" i="1"/>
  <c r="IK430" i="1"/>
  <c r="IJ429" i="1"/>
  <c r="IJ427" i="1"/>
  <c r="II427" i="1"/>
  <c r="IJ425" i="1"/>
  <c r="IK425" i="1"/>
  <c r="IJ424" i="1"/>
  <c r="IK424" i="1"/>
  <c r="IJ423" i="1"/>
  <c r="IK423" i="1"/>
  <c r="IJ422" i="1"/>
  <c r="IK422" i="1"/>
  <c r="IJ421" i="1"/>
  <c r="IK421" i="1"/>
  <c r="IJ420" i="1"/>
  <c r="IK420" i="1"/>
  <c r="II419" i="1"/>
  <c r="IJ417" i="1"/>
  <c r="IJ416" i="1"/>
  <c r="II416" i="1"/>
  <c r="IJ414" i="1"/>
  <c r="IK414" i="1"/>
  <c r="II411" i="1"/>
  <c r="IJ409" i="1"/>
  <c r="IK409" i="1"/>
  <c r="IJ408" i="1"/>
  <c r="IK408" i="1"/>
  <c r="IJ407" i="1"/>
  <c r="II406" i="1"/>
  <c r="IJ404" i="1"/>
  <c r="IK404" i="1"/>
  <c r="IJ403" i="1"/>
  <c r="IK403" i="1"/>
  <c r="IJ402" i="1"/>
  <c r="II401" i="1"/>
  <c r="II397" i="1"/>
  <c r="IJ395" i="1"/>
  <c r="IK395" i="1"/>
  <c r="IJ392" i="1"/>
  <c r="IK392" i="1"/>
  <c r="IJ391" i="1"/>
  <c r="IK391" i="1"/>
  <c r="IJ390" i="1"/>
  <c r="IK390" i="1"/>
  <c r="IJ389" i="1"/>
  <c r="IK389" i="1"/>
  <c r="IJ388" i="1"/>
  <c r="IK388" i="1"/>
  <c r="IJ387" i="1"/>
  <c r="II386" i="1"/>
  <c r="IJ384" i="1"/>
  <c r="IK384" i="1"/>
  <c r="IJ383" i="1"/>
  <c r="IK383" i="1"/>
  <c r="IJ382" i="1"/>
  <c r="IK382" i="1"/>
  <c r="IJ381" i="1"/>
  <c r="II380" i="1"/>
  <c r="IK375" i="1"/>
  <c r="IJ375" i="1"/>
  <c r="II375" i="1"/>
  <c r="IK371" i="1"/>
  <c r="IJ371" i="1"/>
  <c r="IJ369" i="1"/>
  <c r="IK369" i="1"/>
  <c r="IK368" i="1"/>
  <c r="IJ368" i="1"/>
  <c r="IJ366" i="1"/>
  <c r="II368" i="1"/>
  <c r="II366" i="1"/>
  <c r="IK361" i="1"/>
  <c r="IJ361" i="1"/>
  <c r="II361" i="1"/>
  <c r="IK359" i="1"/>
  <c r="IK358" i="1"/>
  <c r="IJ359" i="1"/>
  <c r="IJ358" i="1"/>
  <c r="II358" i="1"/>
  <c r="IK354" i="1"/>
  <c r="IJ354" i="1"/>
  <c r="II354" i="1"/>
  <c r="IJ351" i="1"/>
  <c r="IJ347" i="1"/>
  <c r="IK329" i="1"/>
  <c r="IJ329" i="1"/>
  <c r="II329" i="1"/>
  <c r="IJ326" i="1"/>
  <c r="II326" i="1"/>
  <c r="II322" i="1"/>
  <c r="IJ319" i="1"/>
  <c r="II319" i="1"/>
  <c r="IJ316" i="1"/>
  <c r="II316" i="1"/>
  <c r="IK313" i="1"/>
  <c r="II313" i="1"/>
  <c r="IK310" i="1"/>
  <c r="IJ310" i="1"/>
  <c r="II310" i="1"/>
  <c r="II308" i="1"/>
  <c r="IK305" i="1"/>
  <c r="IJ305" i="1"/>
  <c r="II305" i="1"/>
  <c r="IK302" i="1"/>
  <c r="IJ302" i="1"/>
  <c r="II302" i="1"/>
  <c r="IK298" i="1"/>
  <c r="IJ298" i="1"/>
  <c r="II298" i="1"/>
  <c r="IK293" i="1"/>
  <c r="IJ293" i="1"/>
  <c r="II293" i="1"/>
  <c r="IK288" i="1"/>
  <c r="IJ288" i="1"/>
  <c r="II288" i="1"/>
  <c r="IJ284" i="1"/>
  <c r="IK284" i="1"/>
  <c r="IJ283" i="1"/>
  <c r="IK283" i="1"/>
  <c r="IJ282" i="1"/>
  <c r="IK282" i="1"/>
  <c r="IJ281" i="1"/>
  <c r="IK281" i="1"/>
  <c r="IJ280" i="1"/>
  <c r="IK280" i="1"/>
  <c r="II279" i="1"/>
  <c r="IK275" i="1"/>
  <c r="IJ275" i="1"/>
  <c r="II275" i="1"/>
  <c r="II267" i="1"/>
  <c r="IJ263" i="1"/>
  <c r="IK263" i="1"/>
  <c r="IJ262" i="1"/>
  <c r="IK262" i="1"/>
  <c r="IJ261" i="1"/>
  <c r="IK261" i="1"/>
  <c r="IJ260" i="1"/>
  <c r="IK260" i="1"/>
  <c r="II259" i="1"/>
  <c r="IK257" i="1"/>
  <c r="IJ257" i="1"/>
  <c r="IJ255" i="1"/>
  <c r="IK255" i="1"/>
  <c r="IJ253" i="1"/>
  <c r="IK253" i="1"/>
  <c r="IJ252" i="1"/>
  <c r="II251" i="1"/>
  <c r="IJ247" i="1"/>
  <c r="IK247" i="1"/>
  <c r="IK246" i="1"/>
  <c r="II246" i="1"/>
  <c r="II244" i="1"/>
  <c r="IN866" i="1"/>
  <c r="IM866" i="1"/>
  <c r="IM861" i="1"/>
  <c r="IN861" i="1"/>
  <c r="IN860" i="1"/>
  <c r="IM860" i="1"/>
  <c r="IL860" i="1"/>
  <c r="IN858" i="1"/>
  <c r="IM858" i="1"/>
  <c r="IN856" i="1"/>
  <c r="IM856" i="1"/>
  <c r="IL856" i="1"/>
  <c r="IM853" i="1"/>
  <c r="IN853" i="1"/>
  <c r="IM852" i="1"/>
  <c r="IN852" i="1"/>
  <c r="IM851" i="1"/>
  <c r="IN851" i="1"/>
  <c r="IM850" i="1"/>
  <c r="IN850" i="1"/>
  <c r="IM849" i="1"/>
  <c r="IN849" i="1"/>
  <c r="IM848" i="1"/>
  <c r="IN848" i="1"/>
  <c r="IM847" i="1"/>
  <c r="IN847" i="1"/>
  <c r="IM846" i="1"/>
  <c r="IN846" i="1"/>
  <c r="IN845" i="1"/>
  <c r="IM845" i="1"/>
  <c r="IL845" i="1"/>
  <c r="IN843" i="1"/>
  <c r="IM843" i="1"/>
  <c r="IN842" i="1"/>
  <c r="IM842" i="1"/>
  <c r="IL842" i="1"/>
  <c r="IM840" i="1"/>
  <c r="IN840" i="1"/>
  <c r="IM839" i="1"/>
  <c r="IN839" i="1"/>
  <c r="IM838" i="1"/>
  <c r="IN838" i="1"/>
  <c r="IM837" i="1"/>
  <c r="IN837" i="1"/>
  <c r="IM836" i="1"/>
  <c r="IN836" i="1"/>
  <c r="IM835" i="1"/>
  <c r="IN835" i="1"/>
  <c r="IM833" i="1"/>
  <c r="IN833" i="1"/>
  <c r="IM832" i="1"/>
  <c r="IN832" i="1"/>
  <c r="IM831" i="1"/>
  <c r="IN831" i="1"/>
  <c r="IM830" i="1"/>
  <c r="IN830" i="1"/>
  <c r="IM829" i="1"/>
  <c r="IN829" i="1"/>
  <c r="IM828" i="1"/>
  <c r="IM827" i="1"/>
  <c r="IN828" i="1"/>
  <c r="IL827" i="1"/>
  <c r="IM825" i="1"/>
  <c r="IN825" i="1"/>
  <c r="IM824" i="1"/>
  <c r="IN824" i="1"/>
  <c r="IM823" i="1"/>
  <c r="IN823" i="1"/>
  <c r="IM822" i="1"/>
  <c r="IN822" i="1"/>
  <c r="IM821" i="1"/>
  <c r="IN821" i="1"/>
  <c r="IM820" i="1"/>
  <c r="IN820" i="1"/>
  <c r="IM819" i="1"/>
  <c r="IN819" i="1"/>
  <c r="IM818" i="1"/>
  <c r="IN818" i="1"/>
  <c r="IM817" i="1"/>
  <c r="IN817" i="1"/>
  <c r="IM816" i="1"/>
  <c r="IN816" i="1"/>
  <c r="IM815" i="1"/>
  <c r="IN815" i="1"/>
  <c r="IM814" i="1"/>
  <c r="IN814" i="1"/>
  <c r="IM813" i="1"/>
  <c r="IN813" i="1"/>
  <c r="IM812" i="1"/>
  <c r="IN812" i="1"/>
  <c r="IM811" i="1"/>
  <c r="IN811" i="1"/>
  <c r="IM810" i="1"/>
  <c r="IN810" i="1"/>
  <c r="IM809" i="1"/>
  <c r="IN809" i="1"/>
  <c r="IM808" i="1"/>
  <c r="IN808" i="1"/>
  <c r="IM807" i="1"/>
  <c r="IN807" i="1"/>
  <c r="IM806" i="1"/>
  <c r="IN806" i="1"/>
  <c r="IM805" i="1"/>
  <c r="IN805" i="1"/>
  <c r="IM804" i="1"/>
  <c r="IN804" i="1"/>
  <c r="IM803" i="1"/>
  <c r="IN803" i="1"/>
  <c r="IM802" i="1"/>
  <c r="IN802" i="1"/>
  <c r="IM801" i="1"/>
  <c r="IN801" i="1"/>
  <c r="IM800" i="1"/>
  <c r="IN800" i="1"/>
  <c r="IM799" i="1"/>
  <c r="IN799" i="1"/>
  <c r="IM798" i="1"/>
  <c r="IN798" i="1"/>
  <c r="IM797" i="1"/>
  <c r="IN797" i="1"/>
  <c r="IM796" i="1"/>
  <c r="IN796" i="1"/>
  <c r="IM795" i="1"/>
  <c r="IN795" i="1"/>
  <c r="IM794" i="1"/>
  <c r="IN794" i="1"/>
  <c r="IM793" i="1"/>
  <c r="IN793" i="1"/>
  <c r="IM792" i="1"/>
  <c r="IN792" i="1"/>
  <c r="IN790" i="1"/>
  <c r="IM791" i="1"/>
  <c r="IN791" i="1"/>
  <c r="IL790" i="1"/>
  <c r="IM788" i="1"/>
  <c r="IN788" i="1"/>
  <c r="IM787" i="1"/>
  <c r="IN787" i="1"/>
  <c r="IM786" i="1"/>
  <c r="IN786" i="1"/>
  <c r="IM785" i="1"/>
  <c r="IN785" i="1"/>
  <c r="IM784" i="1"/>
  <c r="IL783" i="1"/>
  <c r="IM781" i="1"/>
  <c r="IN781" i="1"/>
  <c r="IM780" i="1"/>
  <c r="IN780" i="1"/>
  <c r="IM779" i="1"/>
  <c r="IN779" i="1"/>
  <c r="IM778" i="1"/>
  <c r="IN778" i="1"/>
  <c r="IM777" i="1"/>
  <c r="IN777" i="1"/>
  <c r="IM776" i="1"/>
  <c r="IN776" i="1"/>
  <c r="IM775" i="1"/>
  <c r="IN775" i="1"/>
  <c r="IM774" i="1"/>
  <c r="IN774" i="1"/>
  <c r="IM773" i="1"/>
  <c r="IN773" i="1"/>
  <c r="IM772" i="1"/>
  <c r="IN772" i="1"/>
  <c r="IM771" i="1"/>
  <c r="IN771" i="1"/>
  <c r="IM770" i="1"/>
  <c r="IN770" i="1"/>
  <c r="IM769" i="1"/>
  <c r="IN769" i="1"/>
  <c r="IL768" i="1"/>
  <c r="IM748" i="1"/>
  <c r="IN748" i="1"/>
  <c r="IM747" i="1"/>
  <c r="IN747" i="1"/>
  <c r="IM746" i="1"/>
  <c r="IN746" i="1"/>
  <c r="IM745" i="1"/>
  <c r="IN745" i="1"/>
  <c r="IM744" i="1"/>
  <c r="IN744" i="1"/>
  <c r="IM743" i="1"/>
  <c r="IN743" i="1"/>
  <c r="IL742" i="1"/>
  <c r="IN740" i="1"/>
  <c r="IM740" i="1"/>
  <c r="IN738" i="1"/>
  <c r="IM738" i="1"/>
  <c r="IL738" i="1"/>
  <c r="IM736" i="1"/>
  <c r="IN736" i="1"/>
  <c r="IM735" i="1"/>
  <c r="IN735" i="1"/>
  <c r="IM734" i="1"/>
  <c r="IN734" i="1"/>
  <c r="IM733" i="1"/>
  <c r="IN733" i="1"/>
  <c r="IM732" i="1"/>
  <c r="IN732" i="1"/>
  <c r="IM731" i="1"/>
  <c r="IN731" i="1"/>
  <c r="IM730" i="1"/>
  <c r="IN730" i="1"/>
  <c r="IM729" i="1"/>
  <c r="IN729" i="1"/>
  <c r="IL728" i="1"/>
  <c r="IN725" i="1"/>
  <c r="IM725" i="1"/>
  <c r="IL725" i="1"/>
  <c r="IL721" i="1"/>
  <c r="IN718" i="1"/>
  <c r="IM718" i="1"/>
  <c r="IL718" i="1"/>
  <c r="IM716" i="1"/>
  <c r="IN716" i="1"/>
  <c r="IM715" i="1"/>
  <c r="IN715" i="1"/>
  <c r="IM714" i="1"/>
  <c r="IN714" i="1"/>
  <c r="IM712" i="1"/>
  <c r="IL711" i="1"/>
  <c r="IM706" i="1"/>
  <c r="IN706" i="1"/>
  <c r="IN705" i="1"/>
  <c r="IM705" i="1"/>
  <c r="IL705" i="1"/>
  <c r="IN703" i="1"/>
  <c r="IM703" i="1"/>
  <c r="IM702" i="1"/>
  <c r="IN702" i="1"/>
  <c r="IL702" i="1"/>
  <c r="IM700" i="1"/>
  <c r="IM699" i="1"/>
  <c r="IL699" i="1"/>
  <c r="IN696" i="1"/>
  <c r="IM696" i="1"/>
  <c r="IL696" i="1"/>
  <c r="IM694" i="1"/>
  <c r="IM693" i="1"/>
  <c r="IL693" i="1"/>
  <c r="IM686" i="1"/>
  <c r="IN686" i="1"/>
  <c r="IN685" i="1"/>
  <c r="IM685" i="1"/>
  <c r="IL685" i="1"/>
  <c r="IN682" i="1"/>
  <c r="IM682" i="1"/>
  <c r="IM681" i="1"/>
  <c r="IN681" i="1"/>
  <c r="IL681" i="1"/>
  <c r="IM679" i="1"/>
  <c r="IN679" i="1"/>
  <c r="IM678" i="1"/>
  <c r="IN678" i="1"/>
  <c r="IM677" i="1"/>
  <c r="IN677" i="1"/>
  <c r="IM676" i="1"/>
  <c r="IN676" i="1"/>
  <c r="IM675" i="1"/>
  <c r="IN675" i="1"/>
  <c r="IM674" i="1"/>
  <c r="IN674" i="1"/>
  <c r="IM673" i="1"/>
  <c r="IN673" i="1"/>
  <c r="IM672" i="1"/>
  <c r="IN672" i="1"/>
  <c r="IM670" i="1"/>
  <c r="IL669" i="1"/>
  <c r="IL664" i="1"/>
  <c r="IL662" i="1"/>
  <c r="IN667" i="1"/>
  <c r="IN666" i="1"/>
  <c r="IM667" i="1"/>
  <c r="IM666" i="1"/>
  <c r="IL666" i="1"/>
  <c r="IN655" i="1"/>
  <c r="IM655" i="1"/>
  <c r="IM653" i="1"/>
  <c r="IM651" i="1"/>
  <c r="IL655" i="1"/>
  <c r="IN653" i="1"/>
  <c r="IN651" i="1"/>
  <c r="IL653" i="1"/>
  <c r="IL651" i="1"/>
  <c r="IM649" i="1"/>
  <c r="IN649" i="1"/>
  <c r="IM648" i="1"/>
  <c r="IN648" i="1"/>
  <c r="IM647" i="1"/>
  <c r="IN647" i="1"/>
  <c r="IM646" i="1"/>
  <c r="IN646" i="1"/>
  <c r="IL645" i="1"/>
  <c r="IM643" i="1"/>
  <c r="IN643" i="1"/>
  <c r="IM641" i="1"/>
  <c r="IN641" i="1"/>
  <c r="IM639" i="1"/>
  <c r="IN639" i="1"/>
  <c r="IM638" i="1"/>
  <c r="IN638" i="1"/>
  <c r="IL637" i="1"/>
  <c r="IM635" i="1"/>
  <c r="IN635" i="1"/>
  <c r="IN634" i="1"/>
  <c r="IM634" i="1"/>
  <c r="IL634" i="1"/>
  <c r="IL632" i="1"/>
  <c r="IL630" i="1"/>
  <c r="IM626" i="1"/>
  <c r="IM625" i="1"/>
  <c r="IM619" i="1"/>
  <c r="IM609" i="1"/>
  <c r="IL625" i="1"/>
  <c r="IL619" i="1"/>
  <c r="IL609" i="1"/>
  <c r="IL575" i="1"/>
  <c r="IM623" i="1"/>
  <c r="IN623" i="1"/>
  <c r="IN621" i="1"/>
  <c r="IL621" i="1"/>
  <c r="IM617" i="1"/>
  <c r="IN617" i="1"/>
  <c r="IN616" i="1"/>
  <c r="IM616" i="1"/>
  <c r="IL616" i="1"/>
  <c r="IM614" i="1"/>
  <c r="IM613" i="1"/>
  <c r="IM611" i="1"/>
  <c r="IL613" i="1"/>
  <c r="IL611" i="1"/>
  <c r="IN606" i="1"/>
  <c r="IM606" i="1"/>
  <c r="IL606" i="1"/>
  <c r="IM603" i="1"/>
  <c r="IN603" i="1"/>
  <c r="IL600" i="1"/>
  <c r="IM598" i="1"/>
  <c r="IN598" i="1"/>
  <c r="IM596" i="1"/>
  <c r="IN596" i="1"/>
  <c r="IM595" i="1"/>
  <c r="IN595" i="1"/>
  <c r="IM594" i="1"/>
  <c r="IN594" i="1"/>
  <c r="IM593" i="1"/>
  <c r="IL592" i="1"/>
  <c r="IM590" i="1"/>
  <c r="IN590" i="1"/>
  <c r="IM588" i="1"/>
  <c r="IN588" i="1"/>
  <c r="IM587" i="1"/>
  <c r="IN587" i="1"/>
  <c r="IM586" i="1"/>
  <c r="IN586" i="1"/>
  <c r="IL585" i="1"/>
  <c r="IM583" i="1"/>
  <c r="IM582" i="1"/>
  <c r="IN582" i="1"/>
  <c r="IL581" i="1"/>
  <c r="IL579" i="1"/>
  <c r="IL577" i="1"/>
  <c r="IN571" i="1"/>
  <c r="IM571" i="1"/>
  <c r="IM569" i="1"/>
  <c r="IM567" i="1"/>
  <c r="IL571" i="1"/>
  <c r="IN569" i="1"/>
  <c r="IN567" i="1"/>
  <c r="IL569" i="1"/>
  <c r="IL567" i="1"/>
  <c r="IN563" i="1"/>
  <c r="IM563" i="1"/>
  <c r="IL563" i="1"/>
  <c r="IL558" i="1"/>
  <c r="IN555" i="1"/>
  <c r="IM555" i="1"/>
  <c r="IL555" i="1"/>
  <c r="IM553" i="1"/>
  <c r="IN553" i="1"/>
  <c r="IM552" i="1"/>
  <c r="IN552" i="1"/>
  <c r="IM551" i="1"/>
  <c r="IL549" i="1"/>
  <c r="IM546" i="1"/>
  <c r="IN546" i="1"/>
  <c r="IM545" i="1"/>
  <c r="IN545" i="1"/>
  <c r="IM544" i="1"/>
  <c r="IN544" i="1"/>
  <c r="IL543" i="1"/>
  <c r="IM536" i="1"/>
  <c r="IN536" i="1"/>
  <c r="IN535" i="1"/>
  <c r="IN530" i="1"/>
  <c r="IM535" i="1"/>
  <c r="IM530" i="1"/>
  <c r="IL535" i="1"/>
  <c r="IL530" i="1"/>
  <c r="IM533" i="1"/>
  <c r="IM532" i="1"/>
  <c r="IL532" i="1"/>
  <c r="IN526" i="1"/>
  <c r="IM526" i="1"/>
  <c r="IL526" i="1"/>
  <c r="IM524" i="1"/>
  <c r="IN524" i="1"/>
  <c r="IM522" i="1"/>
  <c r="IN522" i="1"/>
  <c r="IN520" i="1"/>
  <c r="IM520" i="1"/>
  <c r="IN518" i="1"/>
  <c r="IM518" i="1"/>
  <c r="IM514" i="1"/>
  <c r="IL507" i="1"/>
  <c r="IL505" i="1"/>
  <c r="IN500" i="1"/>
  <c r="IM500" i="1"/>
  <c r="IL500" i="1"/>
  <c r="IM498" i="1"/>
  <c r="IN498" i="1"/>
  <c r="IM496" i="1"/>
  <c r="IN496" i="1"/>
  <c r="IM495" i="1"/>
  <c r="IN495" i="1"/>
  <c r="IM494" i="1"/>
  <c r="IN494" i="1"/>
  <c r="IM493" i="1"/>
  <c r="IN493" i="1"/>
  <c r="IM492" i="1"/>
  <c r="IN492" i="1"/>
  <c r="IM491" i="1"/>
  <c r="IN491" i="1"/>
  <c r="IM489" i="1"/>
  <c r="IN489" i="1"/>
  <c r="IL488" i="1"/>
  <c r="IM486" i="1"/>
  <c r="IN486" i="1"/>
  <c r="IM485" i="1"/>
  <c r="IN485" i="1"/>
  <c r="IM484" i="1"/>
  <c r="IN484" i="1"/>
  <c r="IM483" i="1"/>
  <c r="IN483" i="1"/>
  <c r="IL482" i="1"/>
  <c r="IM480" i="1"/>
  <c r="IN480" i="1"/>
  <c r="IM479" i="1"/>
  <c r="IN479" i="1"/>
  <c r="IM478" i="1"/>
  <c r="IN478" i="1"/>
  <c r="IM477" i="1"/>
  <c r="IN477" i="1"/>
  <c r="IM476" i="1"/>
  <c r="IN476" i="1"/>
  <c r="IM474" i="1"/>
  <c r="IN474" i="1"/>
  <c r="IL472" i="1"/>
  <c r="IM470" i="1"/>
  <c r="IN470" i="1"/>
  <c r="IM469" i="1"/>
  <c r="IN469" i="1"/>
  <c r="IM468" i="1"/>
  <c r="IN468" i="1"/>
  <c r="IM467" i="1"/>
  <c r="IN467" i="1"/>
  <c r="IM466" i="1"/>
  <c r="IN466" i="1"/>
  <c r="IM465" i="1"/>
  <c r="IN465" i="1"/>
  <c r="IL464" i="1"/>
  <c r="IM462" i="1"/>
  <c r="IN462" i="1"/>
  <c r="IM461" i="1"/>
  <c r="IN461" i="1"/>
  <c r="IM459" i="1"/>
  <c r="IN459" i="1"/>
  <c r="IL458" i="1"/>
  <c r="IL451" i="1"/>
  <c r="IL437" i="1"/>
  <c r="IM449" i="1"/>
  <c r="IN449" i="1"/>
  <c r="IM448" i="1"/>
  <c r="IN448" i="1"/>
  <c r="IM447" i="1"/>
  <c r="IN447" i="1"/>
  <c r="IM446" i="1"/>
  <c r="IN446" i="1"/>
  <c r="IL444" i="1"/>
  <c r="IM442" i="1"/>
  <c r="IN442" i="1"/>
  <c r="IM440" i="1"/>
  <c r="IN440" i="1"/>
  <c r="IL439" i="1"/>
  <c r="IM434" i="1"/>
  <c r="IN434" i="1"/>
  <c r="IM433" i="1"/>
  <c r="IN433" i="1"/>
  <c r="IM432" i="1"/>
  <c r="IN432" i="1"/>
  <c r="IM431" i="1"/>
  <c r="IN431" i="1"/>
  <c r="IM430" i="1"/>
  <c r="IN430" i="1"/>
  <c r="IM429" i="1"/>
  <c r="IL427" i="1"/>
  <c r="IM425" i="1"/>
  <c r="IN425" i="1"/>
  <c r="IM424" i="1"/>
  <c r="IN424" i="1"/>
  <c r="IM423" i="1"/>
  <c r="IN423" i="1"/>
  <c r="IN90" i="1"/>
  <c r="IM422" i="1"/>
  <c r="IN422" i="1"/>
  <c r="IM421" i="1"/>
  <c r="IN421" i="1"/>
  <c r="IM420" i="1"/>
  <c r="IL419" i="1"/>
  <c r="IM417" i="1"/>
  <c r="IM416" i="1"/>
  <c r="IL416" i="1"/>
  <c r="IM414" i="1"/>
  <c r="IN414" i="1"/>
  <c r="IL411" i="1"/>
  <c r="IM409" i="1"/>
  <c r="IN409" i="1"/>
  <c r="IM408" i="1"/>
  <c r="IN408" i="1"/>
  <c r="IM407" i="1"/>
  <c r="IL406" i="1"/>
  <c r="IM404" i="1"/>
  <c r="IN404" i="1"/>
  <c r="IM403" i="1"/>
  <c r="IM402" i="1"/>
  <c r="IN402" i="1"/>
  <c r="IL401" i="1"/>
  <c r="IL397" i="1"/>
  <c r="IM395" i="1"/>
  <c r="IN395" i="1"/>
  <c r="IM392" i="1"/>
  <c r="IN392" i="1"/>
  <c r="IM391" i="1"/>
  <c r="IN391" i="1"/>
  <c r="IM390" i="1"/>
  <c r="IN390" i="1"/>
  <c r="IM389" i="1"/>
  <c r="IN389" i="1"/>
  <c r="IM388" i="1"/>
  <c r="IN388" i="1"/>
  <c r="IM387" i="1"/>
  <c r="IN387" i="1"/>
  <c r="IL386" i="1"/>
  <c r="IM384" i="1"/>
  <c r="IN384" i="1"/>
  <c r="IM383" i="1"/>
  <c r="IN383" i="1"/>
  <c r="IM382" i="1"/>
  <c r="IN382" i="1"/>
  <c r="IM381" i="1"/>
  <c r="IN381" i="1"/>
  <c r="IL380" i="1"/>
  <c r="IN375" i="1"/>
  <c r="IM375" i="1"/>
  <c r="IL375" i="1"/>
  <c r="IM371" i="1"/>
  <c r="IN371" i="1"/>
  <c r="IM369" i="1"/>
  <c r="IM368" i="1"/>
  <c r="IM366" i="1"/>
  <c r="IL368" i="1"/>
  <c r="IL366" i="1"/>
  <c r="IN361" i="1"/>
  <c r="IM361" i="1"/>
  <c r="IL361" i="1"/>
  <c r="IM359" i="1"/>
  <c r="IN359" i="1"/>
  <c r="IN358" i="1"/>
  <c r="IL358" i="1"/>
  <c r="IN354" i="1"/>
  <c r="IM354" i="1"/>
  <c r="IL354" i="1"/>
  <c r="IM351" i="1"/>
  <c r="IN351" i="1"/>
  <c r="IL347" i="1"/>
  <c r="IN329" i="1"/>
  <c r="IM329" i="1"/>
  <c r="IL329" i="1"/>
  <c r="IM326" i="1"/>
  <c r="IL326" i="1"/>
  <c r="IL322" i="1"/>
  <c r="IM319" i="1"/>
  <c r="IL319" i="1"/>
  <c r="IN316" i="1"/>
  <c r="IM316" i="1"/>
  <c r="IL316" i="1"/>
  <c r="IN313" i="1"/>
  <c r="IM313" i="1"/>
  <c r="IL313" i="1"/>
  <c r="IN310" i="1"/>
  <c r="IM310" i="1"/>
  <c r="IL310" i="1"/>
  <c r="IL308" i="1"/>
  <c r="IL242" i="1"/>
  <c r="IL378" i="1"/>
  <c r="IL364" i="1"/>
  <c r="IL240" i="1"/>
  <c r="IN305" i="1"/>
  <c r="IM305" i="1"/>
  <c r="IL305" i="1"/>
  <c r="IN302" i="1"/>
  <c r="IM302" i="1"/>
  <c r="IL302" i="1"/>
  <c r="IN298" i="1"/>
  <c r="IM298" i="1"/>
  <c r="IL298" i="1"/>
  <c r="IN293" i="1"/>
  <c r="IM293" i="1"/>
  <c r="IL293" i="1"/>
  <c r="IN288" i="1"/>
  <c r="IM288" i="1"/>
  <c r="IL288" i="1"/>
  <c r="IM284" i="1"/>
  <c r="IN284" i="1"/>
  <c r="IM283" i="1"/>
  <c r="IN283" i="1"/>
  <c r="IM282" i="1"/>
  <c r="IN282" i="1"/>
  <c r="IM281" i="1"/>
  <c r="IN281" i="1"/>
  <c r="IM280" i="1"/>
  <c r="IL279" i="1"/>
  <c r="IN275" i="1"/>
  <c r="IM275" i="1"/>
  <c r="IL275" i="1"/>
  <c r="IM267" i="1"/>
  <c r="IL267" i="1"/>
  <c r="IM263" i="1"/>
  <c r="IN263" i="1"/>
  <c r="IM262" i="1"/>
  <c r="IN262" i="1"/>
  <c r="IM261" i="1"/>
  <c r="IN261" i="1"/>
  <c r="IM260" i="1"/>
  <c r="IL259" i="1"/>
  <c r="IM257" i="1"/>
  <c r="IN257" i="1"/>
  <c r="IM255" i="1"/>
  <c r="IN255" i="1"/>
  <c r="IM253" i="1"/>
  <c r="IN253" i="1"/>
  <c r="IM252" i="1"/>
  <c r="IL251" i="1"/>
  <c r="IM247" i="1"/>
  <c r="IM246" i="1"/>
  <c r="IL246" i="1"/>
  <c r="IQ866" i="1"/>
  <c r="IP866" i="1"/>
  <c r="IP861" i="1"/>
  <c r="IQ861" i="1"/>
  <c r="IQ860" i="1"/>
  <c r="IP860" i="1"/>
  <c r="IO860" i="1"/>
  <c r="IQ858" i="1"/>
  <c r="IP858" i="1"/>
  <c r="IP856" i="1"/>
  <c r="IQ856" i="1"/>
  <c r="IO856" i="1"/>
  <c r="IP853" i="1"/>
  <c r="IQ853" i="1"/>
  <c r="IP852" i="1"/>
  <c r="IQ852" i="1"/>
  <c r="IP851" i="1"/>
  <c r="IQ851" i="1"/>
  <c r="IP850" i="1"/>
  <c r="IQ850" i="1"/>
  <c r="IP849" i="1"/>
  <c r="IQ849" i="1"/>
  <c r="IP848" i="1"/>
  <c r="IQ848" i="1"/>
  <c r="IP847" i="1"/>
  <c r="IQ847" i="1"/>
  <c r="IP846" i="1"/>
  <c r="IQ846" i="1"/>
  <c r="IP845" i="1"/>
  <c r="IO845" i="1"/>
  <c r="IQ843" i="1"/>
  <c r="IP843" i="1"/>
  <c r="IP842" i="1"/>
  <c r="IQ842" i="1"/>
  <c r="IO842" i="1"/>
  <c r="IP840" i="1"/>
  <c r="IQ840" i="1"/>
  <c r="IP839" i="1"/>
  <c r="IQ839" i="1"/>
  <c r="IP838" i="1"/>
  <c r="IQ838" i="1"/>
  <c r="IP837" i="1"/>
  <c r="IQ837" i="1"/>
  <c r="IP836" i="1"/>
  <c r="IQ836" i="1"/>
  <c r="IP835" i="1"/>
  <c r="IQ835" i="1"/>
  <c r="IP833" i="1"/>
  <c r="IQ833" i="1"/>
  <c r="IP832" i="1"/>
  <c r="IQ832" i="1"/>
  <c r="IP831" i="1"/>
  <c r="IQ831" i="1"/>
  <c r="IP830" i="1"/>
  <c r="IQ830" i="1"/>
  <c r="IP829" i="1"/>
  <c r="IQ829" i="1"/>
  <c r="IP828" i="1"/>
  <c r="IQ828" i="1"/>
  <c r="IP827" i="1"/>
  <c r="IO827" i="1"/>
  <c r="IP825" i="1"/>
  <c r="IQ825" i="1"/>
  <c r="IP824" i="1"/>
  <c r="IQ824" i="1"/>
  <c r="IP823" i="1"/>
  <c r="IQ823" i="1"/>
  <c r="IP822" i="1"/>
  <c r="IQ822" i="1"/>
  <c r="IP821" i="1"/>
  <c r="IQ821" i="1"/>
  <c r="IP820" i="1"/>
  <c r="IQ820" i="1"/>
  <c r="IP819" i="1"/>
  <c r="IQ819" i="1"/>
  <c r="IP818" i="1"/>
  <c r="IQ818" i="1"/>
  <c r="IP817" i="1"/>
  <c r="IQ817" i="1"/>
  <c r="IP816" i="1"/>
  <c r="IQ816" i="1"/>
  <c r="IP815" i="1"/>
  <c r="IQ815" i="1"/>
  <c r="IP814" i="1"/>
  <c r="IQ814" i="1"/>
  <c r="IP813" i="1"/>
  <c r="IQ813" i="1"/>
  <c r="IP812" i="1"/>
  <c r="IQ812" i="1"/>
  <c r="IP811" i="1"/>
  <c r="IQ811" i="1"/>
  <c r="IP810" i="1"/>
  <c r="IQ810" i="1"/>
  <c r="IP809" i="1"/>
  <c r="IQ809" i="1"/>
  <c r="IP808" i="1"/>
  <c r="IQ808" i="1"/>
  <c r="IP807" i="1"/>
  <c r="IQ807" i="1"/>
  <c r="IP806" i="1"/>
  <c r="IQ806" i="1"/>
  <c r="IP805" i="1"/>
  <c r="IQ805" i="1"/>
  <c r="IP804" i="1"/>
  <c r="IQ804" i="1"/>
  <c r="IP803" i="1"/>
  <c r="IQ803" i="1"/>
  <c r="IP802" i="1"/>
  <c r="IQ802" i="1"/>
  <c r="IP801" i="1"/>
  <c r="IQ801" i="1"/>
  <c r="IP800" i="1"/>
  <c r="IQ800" i="1"/>
  <c r="IP799" i="1"/>
  <c r="IQ799" i="1"/>
  <c r="IP798" i="1"/>
  <c r="IQ798" i="1"/>
  <c r="IP797" i="1"/>
  <c r="IQ797" i="1"/>
  <c r="IP796" i="1"/>
  <c r="IQ796" i="1"/>
  <c r="IP795" i="1"/>
  <c r="IQ795" i="1"/>
  <c r="IP794" i="1"/>
  <c r="IQ794" i="1"/>
  <c r="IP793" i="1"/>
  <c r="IQ793" i="1"/>
  <c r="IP792" i="1"/>
  <c r="IQ792" i="1"/>
  <c r="IP791" i="1"/>
  <c r="IP790" i="1"/>
  <c r="IO790" i="1"/>
  <c r="IP788" i="1"/>
  <c r="IQ788" i="1"/>
  <c r="IP787" i="1"/>
  <c r="IQ787" i="1"/>
  <c r="IP786" i="1"/>
  <c r="IQ786" i="1"/>
  <c r="IP785" i="1"/>
  <c r="IQ785" i="1"/>
  <c r="IP784" i="1"/>
  <c r="IO783" i="1"/>
  <c r="IP781" i="1"/>
  <c r="IQ781" i="1"/>
  <c r="IP780" i="1"/>
  <c r="IQ780" i="1"/>
  <c r="IP779" i="1"/>
  <c r="IQ779" i="1"/>
  <c r="IP778" i="1"/>
  <c r="IQ778" i="1"/>
  <c r="IP777" i="1"/>
  <c r="IQ777" i="1"/>
  <c r="IP776" i="1"/>
  <c r="IQ776" i="1"/>
  <c r="IP775" i="1"/>
  <c r="IQ775" i="1"/>
  <c r="IP774" i="1"/>
  <c r="IQ774" i="1"/>
  <c r="IP773" i="1"/>
  <c r="IQ773" i="1"/>
  <c r="IP772" i="1"/>
  <c r="IQ772" i="1"/>
  <c r="IP771" i="1"/>
  <c r="IQ771" i="1"/>
  <c r="IP770" i="1"/>
  <c r="IQ770" i="1"/>
  <c r="IP769" i="1"/>
  <c r="IO768" i="1"/>
  <c r="IP748" i="1"/>
  <c r="IQ748" i="1"/>
  <c r="IP747" i="1"/>
  <c r="IQ747" i="1"/>
  <c r="IP746" i="1"/>
  <c r="IQ746" i="1"/>
  <c r="IP745" i="1"/>
  <c r="IQ745" i="1"/>
  <c r="IP744" i="1"/>
  <c r="IQ744" i="1"/>
  <c r="IP743" i="1"/>
  <c r="IQ743" i="1"/>
  <c r="IO742" i="1"/>
  <c r="IQ740" i="1"/>
  <c r="IP740" i="1"/>
  <c r="IQ738" i="1"/>
  <c r="IP738" i="1"/>
  <c r="IO738" i="1"/>
  <c r="IP736" i="1"/>
  <c r="IQ736" i="1"/>
  <c r="IP735" i="1"/>
  <c r="IQ735" i="1"/>
  <c r="IP734" i="1"/>
  <c r="IQ734" i="1"/>
  <c r="IP733" i="1"/>
  <c r="IQ733" i="1"/>
  <c r="IP732" i="1"/>
  <c r="IQ732" i="1"/>
  <c r="IP731" i="1"/>
  <c r="IQ731" i="1"/>
  <c r="IP730" i="1"/>
  <c r="IQ730" i="1"/>
  <c r="IP729" i="1"/>
  <c r="IQ729" i="1"/>
  <c r="IO728" i="1"/>
  <c r="IQ725" i="1"/>
  <c r="IP725" i="1"/>
  <c r="IO725" i="1"/>
  <c r="IO721" i="1"/>
  <c r="IQ718" i="1"/>
  <c r="IP718" i="1"/>
  <c r="IO718" i="1"/>
  <c r="IP716" i="1"/>
  <c r="IQ716" i="1"/>
  <c r="IP715" i="1"/>
  <c r="IQ715" i="1"/>
  <c r="IP714" i="1"/>
  <c r="IQ714" i="1"/>
  <c r="IQ711" i="1"/>
  <c r="IQ691" i="1"/>
  <c r="IP712" i="1"/>
  <c r="IO711" i="1"/>
  <c r="IP706" i="1"/>
  <c r="IQ706" i="1"/>
  <c r="IQ705" i="1"/>
  <c r="IP705" i="1"/>
  <c r="IO705" i="1"/>
  <c r="IQ703" i="1"/>
  <c r="IP703" i="1"/>
  <c r="IQ702" i="1"/>
  <c r="IP702" i="1"/>
  <c r="IO702" i="1"/>
  <c r="IP700" i="1"/>
  <c r="IP699" i="1"/>
  <c r="IO699" i="1"/>
  <c r="IQ696" i="1"/>
  <c r="IP696" i="1"/>
  <c r="IO696" i="1"/>
  <c r="IP694" i="1"/>
  <c r="IP693" i="1"/>
  <c r="IO693" i="1"/>
  <c r="IP686" i="1"/>
  <c r="IQ686" i="1"/>
  <c r="IQ685" i="1"/>
  <c r="IP685" i="1"/>
  <c r="IO685" i="1"/>
  <c r="IQ682" i="1"/>
  <c r="IP682" i="1"/>
  <c r="IP681" i="1"/>
  <c r="IQ681" i="1"/>
  <c r="IO681" i="1"/>
  <c r="IP679" i="1"/>
  <c r="IQ679" i="1"/>
  <c r="IP678" i="1"/>
  <c r="IQ678" i="1"/>
  <c r="IP677" i="1"/>
  <c r="IQ677" i="1"/>
  <c r="IP676" i="1"/>
  <c r="IQ676" i="1"/>
  <c r="IP675" i="1"/>
  <c r="IQ675" i="1"/>
  <c r="IP674" i="1"/>
  <c r="IQ674" i="1"/>
  <c r="IP673" i="1"/>
  <c r="IQ673" i="1"/>
  <c r="IP672" i="1"/>
  <c r="IP670" i="1"/>
  <c r="IO669" i="1"/>
  <c r="IO664" i="1"/>
  <c r="IO662" i="1"/>
  <c r="IQ667" i="1"/>
  <c r="IP667" i="1"/>
  <c r="IQ666" i="1"/>
  <c r="IP666" i="1"/>
  <c r="IO666" i="1"/>
  <c r="IQ655" i="1"/>
  <c r="IP655" i="1"/>
  <c r="IP653" i="1"/>
  <c r="IP651" i="1"/>
  <c r="IO655" i="1"/>
  <c r="IQ653" i="1"/>
  <c r="IQ651" i="1"/>
  <c r="IO653" i="1"/>
  <c r="IO651" i="1"/>
  <c r="IP649" i="1"/>
  <c r="IQ649" i="1"/>
  <c r="IO645" i="1"/>
  <c r="IP643" i="1"/>
  <c r="IQ643" i="1"/>
  <c r="IO637" i="1"/>
  <c r="IQ634" i="1"/>
  <c r="IP634" i="1"/>
  <c r="IO634" i="1"/>
  <c r="IO632" i="1"/>
  <c r="IO630" i="1"/>
  <c r="IP626" i="1"/>
  <c r="IP625" i="1"/>
  <c r="IP619" i="1"/>
  <c r="IP609" i="1"/>
  <c r="IO625" i="1"/>
  <c r="IQ621" i="1"/>
  <c r="IP621" i="1"/>
  <c r="IO621" i="1"/>
  <c r="IO619" i="1"/>
  <c r="IP617" i="1"/>
  <c r="IQ617" i="1"/>
  <c r="IQ616" i="1"/>
  <c r="IQ613" i="1"/>
  <c r="IQ611" i="1"/>
  <c r="IO616" i="1"/>
  <c r="IP613" i="1"/>
  <c r="IO613" i="1"/>
  <c r="IO611" i="1"/>
  <c r="IO609" i="1"/>
  <c r="IQ606" i="1"/>
  <c r="IP606" i="1"/>
  <c r="IO606" i="1"/>
  <c r="IP603" i="1"/>
  <c r="IQ603" i="1"/>
  <c r="IO600" i="1"/>
  <c r="IP596" i="1"/>
  <c r="IQ596" i="1"/>
  <c r="IO592" i="1"/>
  <c r="IQ590" i="1"/>
  <c r="IP590" i="1"/>
  <c r="IO585" i="1"/>
  <c r="IP583" i="1"/>
  <c r="IO581" i="1"/>
  <c r="IO579" i="1"/>
  <c r="IO577" i="1"/>
  <c r="IQ571" i="1"/>
  <c r="IP571" i="1"/>
  <c r="IP569" i="1"/>
  <c r="IP567" i="1"/>
  <c r="IO571" i="1"/>
  <c r="IQ569" i="1"/>
  <c r="IQ567" i="1"/>
  <c r="IO569" i="1"/>
  <c r="IO567" i="1"/>
  <c r="IQ563" i="1"/>
  <c r="IP563" i="1"/>
  <c r="IO563" i="1"/>
  <c r="IO558" i="1"/>
  <c r="IQ555" i="1"/>
  <c r="IP555" i="1"/>
  <c r="IO555" i="1"/>
  <c r="IP552" i="1"/>
  <c r="IQ552" i="1"/>
  <c r="IP551" i="1"/>
  <c r="IO549" i="1"/>
  <c r="IP546" i="1"/>
  <c r="IQ546" i="1"/>
  <c r="IP545" i="1"/>
  <c r="IQ545" i="1"/>
  <c r="IO543" i="1"/>
  <c r="IP533" i="1"/>
  <c r="IP532" i="1"/>
  <c r="IO532" i="1"/>
  <c r="IQ526" i="1"/>
  <c r="IP526" i="1"/>
  <c r="IO526" i="1"/>
  <c r="IQ524" i="1"/>
  <c r="IP524" i="1"/>
  <c r="IQ520" i="1"/>
  <c r="IP520" i="1"/>
  <c r="IQ518" i="1"/>
  <c r="IP518" i="1"/>
  <c r="IP514" i="1"/>
  <c r="IQ514" i="1"/>
  <c r="IO507" i="1"/>
  <c r="IO505" i="1"/>
  <c r="IQ500" i="1"/>
  <c r="IP500" i="1"/>
  <c r="IO500" i="1"/>
  <c r="IP495" i="1"/>
  <c r="IQ495" i="1"/>
  <c r="IP494" i="1"/>
  <c r="IQ494" i="1"/>
  <c r="IP492" i="1"/>
  <c r="IQ492" i="1"/>
  <c r="IP491" i="1"/>
  <c r="IQ491" i="1"/>
  <c r="IO488" i="1"/>
  <c r="IP485" i="1"/>
  <c r="IQ485" i="1"/>
  <c r="IP483" i="1"/>
  <c r="IO482" i="1"/>
  <c r="IP479" i="1"/>
  <c r="IQ479" i="1"/>
  <c r="IP476" i="1"/>
  <c r="IQ476" i="1"/>
  <c r="IP474" i="1"/>
  <c r="IQ474" i="1"/>
  <c r="IO472" i="1"/>
  <c r="IO439" i="1"/>
  <c r="IO444" i="1"/>
  <c r="IO451" i="1"/>
  <c r="IO458" i="1"/>
  <c r="IO464" i="1"/>
  <c r="IO437" i="1"/>
  <c r="IP469" i="1"/>
  <c r="IQ469" i="1"/>
  <c r="IP468" i="1"/>
  <c r="IQ468" i="1"/>
  <c r="IP467" i="1"/>
  <c r="IQ467" i="1"/>
  <c r="IP466" i="1"/>
  <c r="IQ466" i="1"/>
  <c r="IP465" i="1"/>
  <c r="IQ465" i="1"/>
  <c r="IP461" i="1"/>
  <c r="IQ461" i="1"/>
  <c r="IP459" i="1"/>
  <c r="IQ459" i="1"/>
  <c r="IP449" i="1"/>
  <c r="IQ449" i="1"/>
  <c r="IP447" i="1"/>
  <c r="IQ447" i="1"/>
  <c r="IP442" i="1"/>
  <c r="IQ442" i="1"/>
  <c r="IP434" i="1"/>
  <c r="IQ434" i="1"/>
  <c r="IP433" i="1"/>
  <c r="IQ433" i="1"/>
  <c r="IP432" i="1"/>
  <c r="IQ432" i="1"/>
  <c r="IP431" i="1"/>
  <c r="IQ431" i="1"/>
  <c r="IP430" i="1"/>
  <c r="IQ430" i="1"/>
  <c r="IP429" i="1"/>
  <c r="IO427" i="1"/>
  <c r="IP424" i="1"/>
  <c r="IQ424" i="1"/>
  <c r="IP423" i="1"/>
  <c r="IQ423" i="1"/>
  <c r="IP422" i="1"/>
  <c r="IQ422" i="1"/>
  <c r="IP421" i="1"/>
  <c r="IQ421" i="1"/>
  <c r="IP420" i="1"/>
  <c r="IO419" i="1"/>
  <c r="IP417" i="1"/>
  <c r="IP416" i="1"/>
  <c r="IO416" i="1"/>
  <c r="IO411" i="1"/>
  <c r="IO406" i="1"/>
  <c r="IO401" i="1"/>
  <c r="IO397" i="1"/>
  <c r="IP392" i="1"/>
  <c r="IQ392" i="1"/>
  <c r="IP391" i="1"/>
  <c r="IQ391" i="1"/>
  <c r="IP390" i="1"/>
  <c r="IQ390" i="1"/>
  <c r="IP389" i="1"/>
  <c r="IQ389" i="1"/>
  <c r="IP388" i="1"/>
  <c r="IQ388" i="1"/>
  <c r="IP387" i="1"/>
  <c r="IO386" i="1"/>
  <c r="IO380" i="1"/>
  <c r="IO378" i="1"/>
  <c r="IP383" i="1"/>
  <c r="IQ383" i="1"/>
  <c r="IP382" i="1"/>
  <c r="IQ382" i="1"/>
  <c r="IP381" i="1"/>
  <c r="IQ375" i="1"/>
  <c r="IP375" i="1"/>
  <c r="IO375" i="1"/>
  <c r="IO368" i="1"/>
  <c r="IO366" i="1"/>
  <c r="IQ371" i="1"/>
  <c r="IP371" i="1"/>
  <c r="IP368" i="1"/>
  <c r="IP366" i="1"/>
  <c r="IQ368" i="1"/>
  <c r="IQ366" i="1"/>
  <c r="IQ361" i="1"/>
  <c r="IP361" i="1"/>
  <c r="IO361" i="1"/>
  <c r="IP359" i="1"/>
  <c r="IP358" i="1"/>
  <c r="IO358" i="1"/>
  <c r="IQ354" i="1"/>
  <c r="IP354" i="1"/>
  <c r="IO354" i="1"/>
  <c r="IP351" i="1"/>
  <c r="IQ351" i="1"/>
  <c r="IO347" i="1"/>
  <c r="IP329" i="1"/>
  <c r="IQ329" i="1"/>
  <c r="IO329" i="1"/>
  <c r="IP326" i="1"/>
  <c r="IO326" i="1"/>
  <c r="IO322" i="1"/>
  <c r="IP319" i="1"/>
  <c r="IO319" i="1"/>
  <c r="IP316" i="1"/>
  <c r="IO316" i="1"/>
  <c r="IQ313" i="1"/>
  <c r="IO313" i="1"/>
  <c r="IQ310" i="1"/>
  <c r="IP310" i="1"/>
  <c r="IO310" i="1"/>
  <c r="IQ305" i="1"/>
  <c r="IP305" i="1"/>
  <c r="IO305" i="1"/>
  <c r="IQ302" i="1"/>
  <c r="IP302" i="1"/>
  <c r="IO302" i="1"/>
  <c r="IQ298" i="1"/>
  <c r="IP298" i="1"/>
  <c r="IO298" i="1"/>
  <c r="IQ293" i="1"/>
  <c r="IP293" i="1"/>
  <c r="IO293" i="1"/>
  <c r="IQ288" i="1"/>
  <c r="IP288" i="1"/>
  <c r="IO288" i="1"/>
  <c r="IP283" i="1"/>
  <c r="IQ283" i="1"/>
  <c r="IP282" i="1"/>
  <c r="IQ282" i="1"/>
  <c r="IO279" i="1"/>
  <c r="IQ275" i="1"/>
  <c r="IP275" i="1"/>
  <c r="IO275" i="1"/>
  <c r="IO267" i="1"/>
  <c r="IP263" i="1"/>
  <c r="IQ263" i="1"/>
  <c r="IO259" i="1"/>
  <c r="IQ257" i="1"/>
  <c r="IP257" i="1"/>
  <c r="IP251" i="1"/>
  <c r="IO251" i="1"/>
  <c r="IQ246" i="1"/>
  <c r="IP246" i="1"/>
  <c r="IO246" i="1"/>
  <c r="IO244" i="1"/>
  <c r="IT866" i="1"/>
  <c r="IS866" i="1"/>
  <c r="IS861" i="1"/>
  <c r="IS860" i="1"/>
  <c r="IR860" i="1"/>
  <c r="IT858" i="1"/>
  <c r="IT856" i="1"/>
  <c r="IS858" i="1"/>
  <c r="IS856" i="1"/>
  <c r="IR856" i="1"/>
  <c r="IS853" i="1"/>
  <c r="IT853" i="1"/>
  <c r="IS852" i="1"/>
  <c r="IT852" i="1"/>
  <c r="IS851" i="1"/>
  <c r="IT851" i="1"/>
  <c r="IT845" i="1"/>
  <c r="IS850" i="1"/>
  <c r="IT850" i="1"/>
  <c r="IS849" i="1"/>
  <c r="IT849" i="1"/>
  <c r="IS848" i="1"/>
  <c r="IT848" i="1"/>
  <c r="IS847" i="1"/>
  <c r="IT847" i="1"/>
  <c r="IS846" i="1"/>
  <c r="IT846" i="1"/>
  <c r="IS845" i="1"/>
  <c r="IR845" i="1"/>
  <c r="IT843" i="1"/>
  <c r="IS843" i="1"/>
  <c r="IS842" i="1"/>
  <c r="IT842" i="1"/>
  <c r="IR842" i="1"/>
  <c r="IS840" i="1"/>
  <c r="IT840" i="1"/>
  <c r="IS839" i="1"/>
  <c r="IT839" i="1"/>
  <c r="IS838" i="1"/>
  <c r="IT838" i="1"/>
  <c r="IS837" i="1"/>
  <c r="IT837" i="1"/>
  <c r="IS836" i="1"/>
  <c r="IT836" i="1"/>
  <c r="IS835" i="1"/>
  <c r="IT835" i="1"/>
  <c r="IS833" i="1"/>
  <c r="IT833" i="1"/>
  <c r="IS832" i="1"/>
  <c r="IT832" i="1"/>
  <c r="IS831" i="1"/>
  <c r="IT831" i="1"/>
  <c r="IS830" i="1"/>
  <c r="IT830" i="1"/>
  <c r="IS829" i="1"/>
  <c r="IT829" i="1"/>
  <c r="IS828" i="1"/>
  <c r="IT828" i="1"/>
  <c r="IR827" i="1"/>
  <c r="IS825" i="1"/>
  <c r="IT825" i="1"/>
  <c r="IS824" i="1"/>
  <c r="IT824" i="1"/>
  <c r="IS823" i="1"/>
  <c r="IT823" i="1"/>
  <c r="IS822" i="1"/>
  <c r="IT822" i="1"/>
  <c r="IS821" i="1"/>
  <c r="IT821" i="1"/>
  <c r="IS820" i="1"/>
  <c r="IT820" i="1"/>
  <c r="IS819" i="1"/>
  <c r="IT819" i="1"/>
  <c r="IS818" i="1"/>
  <c r="IT818" i="1"/>
  <c r="IS817" i="1"/>
  <c r="IT817" i="1"/>
  <c r="IS816" i="1"/>
  <c r="IT816" i="1"/>
  <c r="IS815" i="1"/>
  <c r="IT815" i="1"/>
  <c r="IS814" i="1"/>
  <c r="IT814" i="1"/>
  <c r="IS813" i="1"/>
  <c r="IT813" i="1"/>
  <c r="IS812" i="1"/>
  <c r="IT812" i="1"/>
  <c r="IS811" i="1"/>
  <c r="IT811" i="1"/>
  <c r="IS810" i="1"/>
  <c r="IT810" i="1"/>
  <c r="IS809" i="1"/>
  <c r="IT809" i="1"/>
  <c r="IS808" i="1"/>
  <c r="IT808" i="1"/>
  <c r="IS807" i="1"/>
  <c r="IT807" i="1"/>
  <c r="IS806" i="1"/>
  <c r="IT806" i="1"/>
  <c r="IS805" i="1"/>
  <c r="IT805" i="1"/>
  <c r="IS804" i="1"/>
  <c r="IT804" i="1"/>
  <c r="IS803" i="1"/>
  <c r="IT803" i="1"/>
  <c r="IS802" i="1"/>
  <c r="IT802" i="1"/>
  <c r="IS801" i="1"/>
  <c r="IT801" i="1"/>
  <c r="IS800" i="1"/>
  <c r="IT800" i="1"/>
  <c r="IS799" i="1"/>
  <c r="IT799" i="1"/>
  <c r="IS798" i="1"/>
  <c r="IT798" i="1"/>
  <c r="IS797" i="1"/>
  <c r="IT797" i="1"/>
  <c r="IS796" i="1"/>
  <c r="IT796" i="1"/>
  <c r="IS795" i="1"/>
  <c r="IT795" i="1"/>
  <c r="IV795" i="1"/>
  <c r="IW795" i="1"/>
  <c r="IY795" i="1"/>
  <c r="IZ795" i="1"/>
  <c r="JB795" i="1"/>
  <c r="JC795" i="1"/>
  <c r="JE795" i="1"/>
  <c r="JF795" i="1"/>
  <c r="JH795" i="1"/>
  <c r="JI795" i="1"/>
  <c r="JK795" i="1"/>
  <c r="JL795" i="1"/>
  <c r="JN795" i="1"/>
  <c r="JO795" i="1"/>
  <c r="IS794" i="1"/>
  <c r="IT794" i="1"/>
  <c r="IV794" i="1"/>
  <c r="IW794" i="1"/>
  <c r="IY794" i="1"/>
  <c r="IZ794" i="1"/>
  <c r="JB794" i="1"/>
  <c r="JC794" i="1"/>
  <c r="JE794" i="1"/>
  <c r="JF794" i="1"/>
  <c r="JH794" i="1"/>
  <c r="JI794" i="1"/>
  <c r="JK794" i="1"/>
  <c r="JL794" i="1"/>
  <c r="JN794" i="1"/>
  <c r="JO794" i="1"/>
  <c r="IS793" i="1"/>
  <c r="IT793" i="1"/>
  <c r="IS792" i="1"/>
  <c r="IS790" i="1"/>
  <c r="IS791" i="1"/>
  <c r="IR790" i="1"/>
  <c r="IS788" i="1"/>
  <c r="IT788" i="1"/>
  <c r="IS787" i="1"/>
  <c r="IT787" i="1"/>
  <c r="IS786" i="1"/>
  <c r="IT786" i="1"/>
  <c r="IS785" i="1"/>
  <c r="IT785" i="1"/>
  <c r="IS784" i="1"/>
  <c r="IR783" i="1"/>
  <c r="IS781" i="1"/>
  <c r="IT781" i="1"/>
  <c r="IS780" i="1"/>
  <c r="IT780" i="1"/>
  <c r="IS779" i="1"/>
  <c r="IT779" i="1"/>
  <c r="IS778" i="1"/>
  <c r="IT778" i="1"/>
  <c r="IS777" i="1"/>
  <c r="IT777" i="1"/>
  <c r="IS776" i="1"/>
  <c r="IT776" i="1"/>
  <c r="IS775" i="1"/>
  <c r="IT775" i="1"/>
  <c r="IS774" i="1"/>
  <c r="IT774" i="1"/>
  <c r="IS773" i="1"/>
  <c r="IT773" i="1"/>
  <c r="IV773" i="1"/>
  <c r="IW773" i="1"/>
  <c r="IY773" i="1"/>
  <c r="IZ773" i="1"/>
  <c r="JB773" i="1"/>
  <c r="JC773" i="1"/>
  <c r="JE773" i="1"/>
  <c r="JF773" i="1"/>
  <c r="JH773" i="1"/>
  <c r="JI773" i="1"/>
  <c r="JK773" i="1"/>
  <c r="JL773" i="1"/>
  <c r="JN773" i="1"/>
  <c r="JO773" i="1"/>
  <c r="IS772" i="1"/>
  <c r="IT772" i="1"/>
  <c r="IV772" i="1"/>
  <c r="IW772" i="1"/>
  <c r="IY772" i="1"/>
  <c r="IZ772" i="1"/>
  <c r="JB772" i="1"/>
  <c r="JC772" i="1"/>
  <c r="JE772" i="1"/>
  <c r="JF772" i="1"/>
  <c r="JH772" i="1"/>
  <c r="JI772" i="1"/>
  <c r="JK772" i="1"/>
  <c r="JL772" i="1"/>
  <c r="JN772" i="1"/>
  <c r="JO772" i="1"/>
  <c r="IS771" i="1"/>
  <c r="IT771" i="1"/>
  <c r="IV771" i="1"/>
  <c r="IW771" i="1"/>
  <c r="IY771" i="1"/>
  <c r="IZ771" i="1"/>
  <c r="JB771" i="1"/>
  <c r="JC771" i="1"/>
  <c r="JE771" i="1"/>
  <c r="JF771" i="1"/>
  <c r="JH771" i="1"/>
  <c r="JI771" i="1"/>
  <c r="JK771" i="1"/>
  <c r="JL771" i="1"/>
  <c r="JN771" i="1"/>
  <c r="JO771" i="1"/>
  <c r="IS770" i="1"/>
  <c r="IT770" i="1"/>
  <c r="IS769" i="1"/>
  <c r="IT769" i="1"/>
  <c r="IR768" i="1"/>
  <c r="IS748" i="1"/>
  <c r="IT748" i="1"/>
  <c r="IS747" i="1"/>
  <c r="IT747" i="1"/>
  <c r="IS746" i="1"/>
  <c r="IT746" i="1"/>
  <c r="IS745" i="1"/>
  <c r="IT745" i="1"/>
  <c r="IS744" i="1"/>
  <c r="IT744" i="1"/>
  <c r="IS743" i="1"/>
  <c r="IT743" i="1"/>
  <c r="IR742" i="1"/>
  <c r="IT740" i="1"/>
  <c r="IS740" i="1"/>
  <c r="IT738" i="1"/>
  <c r="IS738" i="1"/>
  <c r="IR738" i="1"/>
  <c r="IS736" i="1"/>
  <c r="IT736" i="1"/>
  <c r="IS735" i="1"/>
  <c r="IT735" i="1"/>
  <c r="IS734" i="1"/>
  <c r="IT734" i="1"/>
  <c r="IS733" i="1"/>
  <c r="IT733" i="1"/>
  <c r="IS732" i="1"/>
  <c r="IT732" i="1"/>
  <c r="IS731" i="1"/>
  <c r="IT731" i="1"/>
  <c r="IS730" i="1"/>
  <c r="IT730" i="1"/>
  <c r="IS729" i="1"/>
  <c r="IT729" i="1"/>
  <c r="IR728" i="1"/>
  <c r="IT725" i="1"/>
  <c r="IS725" i="1"/>
  <c r="IR725" i="1"/>
  <c r="IR721" i="1"/>
  <c r="IT718" i="1"/>
  <c r="IS718" i="1"/>
  <c r="IR718" i="1"/>
  <c r="IS716" i="1"/>
  <c r="IT716" i="1"/>
  <c r="IS715" i="1"/>
  <c r="IT715" i="1"/>
  <c r="IS714" i="1"/>
  <c r="IS712" i="1"/>
  <c r="IT712" i="1"/>
  <c r="IR711" i="1"/>
  <c r="IS706" i="1"/>
  <c r="IT706" i="1"/>
  <c r="IT705" i="1"/>
  <c r="IS705" i="1"/>
  <c r="IR705" i="1"/>
  <c r="IS703" i="1"/>
  <c r="IT703" i="1"/>
  <c r="IR702" i="1"/>
  <c r="IS700" i="1"/>
  <c r="IS699" i="1"/>
  <c r="IR699" i="1"/>
  <c r="IT696" i="1"/>
  <c r="IS696" i="1"/>
  <c r="IR696" i="1"/>
  <c r="IS694" i="1"/>
  <c r="IS693" i="1"/>
  <c r="IR693" i="1"/>
  <c r="IS686" i="1"/>
  <c r="IT686" i="1"/>
  <c r="IR685" i="1"/>
  <c r="IT682" i="1"/>
  <c r="IS682" i="1"/>
  <c r="IS681" i="1"/>
  <c r="IT681" i="1"/>
  <c r="IR681" i="1"/>
  <c r="IS679" i="1"/>
  <c r="IT679" i="1"/>
  <c r="IS678" i="1"/>
  <c r="IT678" i="1"/>
  <c r="IS677" i="1"/>
  <c r="IT677" i="1"/>
  <c r="IS676" i="1"/>
  <c r="IT676" i="1"/>
  <c r="IS675" i="1"/>
  <c r="IT675" i="1"/>
  <c r="IS674" i="1"/>
  <c r="IT674" i="1"/>
  <c r="IS673" i="1"/>
  <c r="IT673" i="1"/>
  <c r="IS672" i="1"/>
  <c r="IT672" i="1"/>
  <c r="IS670" i="1"/>
  <c r="IR669" i="1"/>
  <c r="IR664" i="1"/>
  <c r="IT667" i="1"/>
  <c r="IS667" i="1"/>
  <c r="IT666" i="1"/>
  <c r="IS666" i="1"/>
  <c r="IR666" i="1"/>
  <c r="IT655" i="1"/>
  <c r="IS655" i="1"/>
  <c r="IS653" i="1"/>
  <c r="IS651" i="1"/>
  <c r="IR655" i="1"/>
  <c r="IT653" i="1"/>
  <c r="IT651" i="1"/>
  <c r="IR653" i="1"/>
  <c r="IR651" i="1"/>
  <c r="IS649" i="1"/>
  <c r="IT649" i="1"/>
  <c r="IV649" i="1"/>
  <c r="IW649" i="1"/>
  <c r="IY649" i="1"/>
  <c r="IZ649" i="1"/>
  <c r="JB649" i="1"/>
  <c r="JC649" i="1"/>
  <c r="JE649" i="1"/>
  <c r="JF649" i="1"/>
  <c r="JH649" i="1"/>
  <c r="JI649" i="1"/>
  <c r="JK649" i="1"/>
  <c r="JL649" i="1"/>
  <c r="JN649" i="1"/>
  <c r="JO649" i="1"/>
  <c r="IS648" i="1"/>
  <c r="IT648" i="1"/>
  <c r="IV648" i="1"/>
  <c r="IW648" i="1"/>
  <c r="IY648" i="1"/>
  <c r="IZ648" i="1"/>
  <c r="JB648" i="1"/>
  <c r="JC648" i="1"/>
  <c r="JE648" i="1"/>
  <c r="JF648" i="1"/>
  <c r="JH648" i="1"/>
  <c r="JI648" i="1"/>
  <c r="JK648" i="1"/>
  <c r="JL648" i="1"/>
  <c r="JN648" i="1"/>
  <c r="JO648" i="1"/>
  <c r="IS647" i="1"/>
  <c r="IV647" i="1"/>
  <c r="IY647" i="1"/>
  <c r="JB647" i="1"/>
  <c r="JE647" i="1"/>
  <c r="JH647" i="1"/>
  <c r="JK647" i="1"/>
  <c r="JN647" i="1"/>
  <c r="JO647" i="1"/>
  <c r="IS646" i="1"/>
  <c r="IV646" i="1"/>
  <c r="IY646" i="1"/>
  <c r="IZ646" i="1"/>
  <c r="JB646" i="1"/>
  <c r="JE646" i="1"/>
  <c r="JH646" i="1"/>
  <c r="JK646" i="1"/>
  <c r="JL646" i="1"/>
  <c r="JN646" i="1"/>
  <c r="IR645" i="1"/>
  <c r="IS643" i="1"/>
  <c r="IT643" i="1"/>
  <c r="IS641" i="1"/>
  <c r="IV641" i="1"/>
  <c r="IS639" i="1"/>
  <c r="IT639" i="1"/>
  <c r="IV639" i="1"/>
  <c r="IW639" i="1"/>
  <c r="IY639" i="1"/>
  <c r="IZ639" i="1"/>
  <c r="JB639" i="1"/>
  <c r="JC639" i="1"/>
  <c r="JE639" i="1"/>
  <c r="JF639" i="1"/>
  <c r="JH639" i="1"/>
  <c r="JI639" i="1"/>
  <c r="JK639" i="1"/>
  <c r="JL639" i="1"/>
  <c r="JN639" i="1"/>
  <c r="JO639" i="1"/>
  <c r="IS638" i="1"/>
  <c r="IT638" i="1"/>
  <c r="IR637" i="1"/>
  <c r="IS635" i="1"/>
  <c r="IT635" i="1"/>
  <c r="IS634" i="1"/>
  <c r="IR634" i="1"/>
  <c r="IS626" i="1"/>
  <c r="IS625" i="1"/>
  <c r="IR625" i="1"/>
  <c r="IS623" i="1"/>
  <c r="IT623" i="1"/>
  <c r="IR621" i="1"/>
  <c r="IR619" i="1"/>
  <c r="IS617" i="1"/>
  <c r="IT617" i="1"/>
  <c r="IT616" i="1"/>
  <c r="IR616" i="1"/>
  <c r="IS614" i="1"/>
  <c r="IS613" i="1"/>
  <c r="IR613" i="1"/>
  <c r="IR611" i="1"/>
  <c r="IT606" i="1"/>
  <c r="IS606" i="1"/>
  <c r="IR606" i="1"/>
  <c r="IS603" i="1"/>
  <c r="IT603" i="1"/>
  <c r="IR600" i="1"/>
  <c r="IS598" i="1"/>
  <c r="IV598" i="1"/>
  <c r="IS596" i="1"/>
  <c r="IT596" i="1"/>
  <c r="IV596" i="1"/>
  <c r="IW596" i="1"/>
  <c r="IY596" i="1"/>
  <c r="IZ596" i="1"/>
  <c r="JB596" i="1"/>
  <c r="JC596" i="1"/>
  <c r="JE596" i="1"/>
  <c r="JF596" i="1"/>
  <c r="JH596" i="1"/>
  <c r="JI596" i="1"/>
  <c r="JK596" i="1"/>
  <c r="JL596" i="1"/>
  <c r="JN596" i="1"/>
  <c r="JO596" i="1"/>
  <c r="IS595" i="1"/>
  <c r="IT595" i="1"/>
  <c r="IV595" i="1"/>
  <c r="IW595" i="1"/>
  <c r="IY595" i="1"/>
  <c r="IZ595" i="1"/>
  <c r="JB595" i="1"/>
  <c r="JC595" i="1"/>
  <c r="JE595" i="1"/>
  <c r="JF595" i="1"/>
  <c r="JH595" i="1"/>
  <c r="JI595" i="1"/>
  <c r="JK595" i="1"/>
  <c r="JL595" i="1"/>
  <c r="JN595" i="1"/>
  <c r="JO595" i="1"/>
  <c r="IS594" i="1"/>
  <c r="IT594" i="1"/>
  <c r="IV594" i="1"/>
  <c r="IW594" i="1"/>
  <c r="IY594" i="1"/>
  <c r="IZ594" i="1"/>
  <c r="JB594" i="1"/>
  <c r="JC594" i="1"/>
  <c r="JE594" i="1"/>
  <c r="JF594" i="1"/>
  <c r="JH594" i="1"/>
  <c r="JI594" i="1"/>
  <c r="JK594" i="1"/>
  <c r="JL594" i="1"/>
  <c r="JN594" i="1"/>
  <c r="JO594" i="1"/>
  <c r="IS593" i="1"/>
  <c r="IV593" i="1"/>
  <c r="IY593" i="1"/>
  <c r="JB593" i="1"/>
  <c r="JE593" i="1"/>
  <c r="JH593" i="1"/>
  <c r="JK593" i="1"/>
  <c r="JN593" i="1"/>
  <c r="IR592" i="1"/>
  <c r="IT590" i="1"/>
  <c r="IS590" i="1"/>
  <c r="IS588" i="1"/>
  <c r="IV588" i="1"/>
  <c r="IY588" i="1"/>
  <c r="JB588" i="1"/>
  <c r="JE588" i="1"/>
  <c r="JF588" i="1"/>
  <c r="JH588" i="1"/>
  <c r="JK588" i="1"/>
  <c r="JN588" i="1"/>
  <c r="IS587" i="1"/>
  <c r="IV587" i="1"/>
  <c r="IY587" i="1"/>
  <c r="JB587" i="1"/>
  <c r="JC587" i="1"/>
  <c r="JE587" i="1"/>
  <c r="JH587" i="1"/>
  <c r="JK587" i="1"/>
  <c r="JN587" i="1"/>
  <c r="JO587" i="1"/>
  <c r="IS586" i="1"/>
  <c r="IV586" i="1"/>
  <c r="IY586" i="1"/>
  <c r="JB586" i="1"/>
  <c r="JC586" i="1"/>
  <c r="JE586" i="1"/>
  <c r="JH586" i="1"/>
  <c r="JK586" i="1"/>
  <c r="JN586" i="1"/>
  <c r="IR585" i="1"/>
  <c r="IS583" i="1"/>
  <c r="IS582" i="1"/>
  <c r="IT582" i="1"/>
  <c r="IR581" i="1"/>
  <c r="IR579" i="1"/>
  <c r="IR577" i="1"/>
  <c r="IT571" i="1"/>
  <c r="IS571" i="1"/>
  <c r="IS569" i="1"/>
  <c r="IS567" i="1"/>
  <c r="IR571" i="1"/>
  <c r="IT569" i="1"/>
  <c r="IT567" i="1"/>
  <c r="IR569" i="1"/>
  <c r="IR567" i="1"/>
  <c r="IT563" i="1"/>
  <c r="IS563" i="1"/>
  <c r="IR563" i="1"/>
  <c r="IR558" i="1"/>
  <c r="IT555" i="1"/>
  <c r="IS555" i="1"/>
  <c r="IR555" i="1"/>
  <c r="IS553" i="1"/>
  <c r="IT553" i="1"/>
  <c r="IS552" i="1"/>
  <c r="IT552" i="1"/>
  <c r="IS551" i="1"/>
  <c r="IR549" i="1"/>
  <c r="IS546" i="1"/>
  <c r="IT546" i="1"/>
  <c r="IS545" i="1"/>
  <c r="IT545" i="1"/>
  <c r="IS544" i="1"/>
  <c r="IV544" i="1"/>
  <c r="IY544" i="1"/>
  <c r="JB544" i="1"/>
  <c r="JE544" i="1"/>
  <c r="JH544" i="1"/>
  <c r="JK544" i="1"/>
  <c r="JL544" i="1"/>
  <c r="JN544" i="1"/>
  <c r="JO544" i="1"/>
  <c r="IR543" i="1"/>
  <c r="IR541" i="1"/>
  <c r="IS536" i="1"/>
  <c r="IR535" i="1"/>
  <c r="IR530" i="1"/>
  <c r="IS533" i="1"/>
  <c r="IS532" i="1"/>
  <c r="IR532" i="1"/>
  <c r="IT526" i="1"/>
  <c r="IS526" i="1"/>
  <c r="IR526" i="1"/>
  <c r="IS524" i="1"/>
  <c r="IT524" i="1"/>
  <c r="IS522" i="1"/>
  <c r="IT522" i="1"/>
  <c r="IS520" i="1"/>
  <c r="IT520" i="1"/>
  <c r="IS518" i="1"/>
  <c r="IT518" i="1"/>
  <c r="IS514" i="1"/>
  <c r="IT514" i="1"/>
  <c r="IR507" i="1"/>
  <c r="IR505" i="1"/>
  <c r="IT500" i="1"/>
  <c r="IS500" i="1"/>
  <c r="IR500" i="1"/>
  <c r="IS498" i="1"/>
  <c r="IV498" i="1"/>
  <c r="IS496" i="1"/>
  <c r="IV496" i="1"/>
  <c r="IY496" i="1"/>
  <c r="JB496" i="1"/>
  <c r="JC496" i="1"/>
  <c r="JE496" i="1"/>
  <c r="JH496" i="1"/>
  <c r="JK496" i="1"/>
  <c r="JN496" i="1"/>
  <c r="IS495" i="1"/>
  <c r="IT495" i="1"/>
  <c r="IS494" i="1"/>
  <c r="IT494" i="1"/>
  <c r="IS493" i="1"/>
  <c r="IV493" i="1"/>
  <c r="IW493" i="1"/>
  <c r="IY493" i="1"/>
  <c r="JB493" i="1"/>
  <c r="JE493" i="1"/>
  <c r="JF493" i="1"/>
  <c r="JH493" i="1"/>
  <c r="JK493" i="1"/>
  <c r="JN493" i="1"/>
  <c r="IS492" i="1"/>
  <c r="IT492" i="1"/>
  <c r="IS491" i="1"/>
  <c r="IT491" i="1"/>
  <c r="IS489" i="1"/>
  <c r="IV489" i="1"/>
  <c r="IY489" i="1"/>
  <c r="IZ489" i="1"/>
  <c r="JB489" i="1"/>
  <c r="JE489" i="1"/>
  <c r="JH489" i="1"/>
  <c r="JK489" i="1"/>
  <c r="JL489" i="1"/>
  <c r="JN489" i="1"/>
  <c r="IR488" i="1"/>
  <c r="IS486" i="1"/>
  <c r="IT486" i="1"/>
  <c r="IS485" i="1"/>
  <c r="IT485" i="1"/>
  <c r="IS484" i="1"/>
  <c r="IT484" i="1"/>
  <c r="IS483" i="1"/>
  <c r="IT483" i="1"/>
  <c r="IR482" i="1"/>
  <c r="IS480" i="1"/>
  <c r="IT480" i="1"/>
  <c r="IS479" i="1"/>
  <c r="IT479" i="1"/>
  <c r="IS478" i="1"/>
  <c r="IV478" i="1"/>
  <c r="IY478" i="1"/>
  <c r="IZ478" i="1"/>
  <c r="JB478" i="1"/>
  <c r="JE478" i="1"/>
  <c r="JH478" i="1"/>
  <c r="JK478" i="1"/>
  <c r="JL478" i="1"/>
  <c r="JN478" i="1"/>
  <c r="JO478" i="1"/>
  <c r="IS477" i="1"/>
  <c r="IV477" i="1"/>
  <c r="IY477" i="1"/>
  <c r="JB477" i="1"/>
  <c r="JC477" i="1"/>
  <c r="JE477" i="1"/>
  <c r="JH477" i="1"/>
  <c r="JK477" i="1"/>
  <c r="JN477" i="1"/>
  <c r="IS476" i="1"/>
  <c r="IT476" i="1"/>
  <c r="IS474" i="1"/>
  <c r="IT474" i="1"/>
  <c r="IR472" i="1"/>
  <c r="IS470" i="1"/>
  <c r="IV470" i="1"/>
  <c r="IY470" i="1"/>
  <c r="JB470" i="1"/>
  <c r="JC470" i="1"/>
  <c r="JE470" i="1"/>
  <c r="JH470" i="1"/>
  <c r="JK470" i="1"/>
  <c r="JN470" i="1"/>
  <c r="IS469" i="1"/>
  <c r="IT469" i="1"/>
  <c r="IS468" i="1"/>
  <c r="IT468" i="1"/>
  <c r="IS467" i="1"/>
  <c r="IT467" i="1"/>
  <c r="IS466" i="1"/>
  <c r="IT466" i="1"/>
  <c r="IT133" i="1"/>
  <c r="IS465" i="1"/>
  <c r="IT465" i="1"/>
  <c r="IR464" i="1"/>
  <c r="IS462" i="1"/>
  <c r="IV462" i="1"/>
  <c r="IY462" i="1"/>
  <c r="JB462" i="1"/>
  <c r="JE462" i="1"/>
  <c r="JF462" i="1"/>
  <c r="JH462" i="1"/>
  <c r="JK462" i="1"/>
  <c r="JN462" i="1"/>
  <c r="IS461" i="1"/>
  <c r="IT461" i="1"/>
  <c r="IS459" i="1"/>
  <c r="IT459" i="1"/>
  <c r="IR458" i="1"/>
  <c r="IR451" i="1"/>
  <c r="IS449" i="1"/>
  <c r="IT449" i="1"/>
  <c r="IS448" i="1"/>
  <c r="IV448" i="1"/>
  <c r="IY448" i="1"/>
  <c r="JB448" i="1"/>
  <c r="JE448" i="1"/>
  <c r="JH448" i="1"/>
  <c r="JK448" i="1"/>
  <c r="JN448" i="1"/>
  <c r="IS447" i="1"/>
  <c r="IT447" i="1"/>
  <c r="IS446" i="1"/>
  <c r="IT446" i="1"/>
  <c r="IR444" i="1"/>
  <c r="IS442" i="1"/>
  <c r="IT442" i="1"/>
  <c r="IS440" i="1"/>
  <c r="IT440" i="1"/>
  <c r="IR439" i="1"/>
  <c r="IS434" i="1"/>
  <c r="IT434" i="1"/>
  <c r="IS433" i="1"/>
  <c r="IT433" i="1"/>
  <c r="IS432" i="1"/>
  <c r="IT432" i="1"/>
  <c r="IS431" i="1"/>
  <c r="IT431" i="1"/>
  <c r="IT98" i="1"/>
  <c r="IS430" i="1"/>
  <c r="IT430" i="1"/>
  <c r="IS429" i="1"/>
  <c r="IR427" i="1"/>
  <c r="IS425" i="1"/>
  <c r="IV425" i="1"/>
  <c r="IY425" i="1"/>
  <c r="JB425" i="1"/>
  <c r="JC425" i="1"/>
  <c r="JE425" i="1"/>
  <c r="JH425" i="1"/>
  <c r="JK425" i="1"/>
  <c r="JN425" i="1"/>
  <c r="IS424" i="1"/>
  <c r="IT424" i="1"/>
  <c r="IS423" i="1"/>
  <c r="IT423" i="1"/>
  <c r="IS422" i="1"/>
  <c r="IT422" i="1"/>
  <c r="IS421" i="1"/>
  <c r="IT421" i="1"/>
  <c r="IS420" i="1"/>
  <c r="IT420" i="1"/>
  <c r="IR419" i="1"/>
  <c r="IS417" i="1"/>
  <c r="IS416" i="1"/>
  <c r="IR416" i="1"/>
  <c r="IS414" i="1"/>
  <c r="IV414" i="1"/>
  <c r="IW414" i="1"/>
  <c r="IW411" i="1"/>
  <c r="IY414" i="1"/>
  <c r="IZ414" i="1"/>
  <c r="IZ411" i="1"/>
  <c r="JB414" i="1"/>
  <c r="JE414" i="1"/>
  <c r="JH414" i="1"/>
  <c r="JK414" i="1"/>
  <c r="JL414" i="1"/>
  <c r="JN414" i="1"/>
  <c r="IR411" i="1"/>
  <c r="IS409" i="1"/>
  <c r="IT409" i="1"/>
  <c r="IS408" i="1"/>
  <c r="IV408" i="1"/>
  <c r="IW408" i="1"/>
  <c r="IY408" i="1"/>
  <c r="JB408" i="1"/>
  <c r="JC408" i="1"/>
  <c r="JE408" i="1"/>
  <c r="JH408" i="1"/>
  <c r="JK408" i="1"/>
  <c r="JN408" i="1"/>
  <c r="JO408" i="1"/>
  <c r="IS407" i="1"/>
  <c r="IV407" i="1"/>
  <c r="IW407" i="1"/>
  <c r="IY407" i="1"/>
  <c r="JB407" i="1"/>
  <c r="JE407" i="1"/>
  <c r="JH407" i="1"/>
  <c r="JK407" i="1"/>
  <c r="JN407" i="1"/>
  <c r="IR406" i="1"/>
  <c r="IS404" i="1"/>
  <c r="IT404" i="1"/>
  <c r="IS403" i="1"/>
  <c r="IV403" i="1"/>
  <c r="IY403" i="1"/>
  <c r="JB403" i="1"/>
  <c r="JE403" i="1"/>
  <c r="JH403" i="1"/>
  <c r="JK403" i="1"/>
  <c r="JN403" i="1"/>
  <c r="IS402" i="1"/>
  <c r="IT402" i="1"/>
  <c r="IR401" i="1"/>
  <c r="IR397" i="1"/>
  <c r="IS395" i="1"/>
  <c r="IV395" i="1"/>
  <c r="IS392" i="1"/>
  <c r="IT392" i="1"/>
  <c r="IS391" i="1"/>
  <c r="IT391" i="1"/>
  <c r="IS390" i="1"/>
  <c r="IT390" i="1"/>
  <c r="IS389" i="1"/>
  <c r="IT389" i="1"/>
  <c r="IS388" i="1"/>
  <c r="IT388" i="1"/>
  <c r="IS387" i="1"/>
  <c r="IR386" i="1"/>
  <c r="IS384" i="1"/>
  <c r="IV384" i="1"/>
  <c r="IY384" i="1"/>
  <c r="IZ384" i="1"/>
  <c r="JB384" i="1"/>
  <c r="JE384" i="1"/>
  <c r="JH384" i="1"/>
  <c r="JK384" i="1"/>
  <c r="JN384" i="1"/>
  <c r="IS383" i="1"/>
  <c r="IT383" i="1"/>
  <c r="IS382" i="1"/>
  <c r="IT382" i="1"/>
  <c r="IS381" i="1"/>
  <c r="IT381" i="1"/>
  <c r="IR380" i="1"/>
  <c r="IR378" i="1"/>
  <c r="IT375" i="1"/>
  <c r="IS375" i="1"/>
  <c r="IR375" i="1"/>
  <c r="IT371" i="1"/>
  <c r="IS371" i="1"/>
  <c r="IS369" i="1"/>
  <c r="IV369" i="1"/>
  <c r="IR368" i="1"/>
  <c r="IR366" i="1"/>
  <c r="IT361" i="1"/>
  <c r="IS361" i="1"/>
  <c r="IR361" i="1"/>
  <c r="IS359" i="1"/>
  <c r="IT359" i="1"/>
  <c r="IR358" i="1"/>
  <c r="IT354" i="1"/>
  <c r="IS354" i="1"/>
  <c r="IR354" i="1"/>
  <c r="IS351" i="1"/>
  <c r="IT351" i="1"/>
  <c r="IR347" i="1"/>
  <c r="IT329" i="1"/>
  <c r="IS329" i="1"/>
  <c r="IR329" i="1"/>
  <c r="IS326" i="1"/>
  <c r="IR326" i="1"/>
  <c r="IR322" i="1"/>
  <c r="IS319" i="1"/>
  <c r="IR319" i="1"/>
  <c r="IT316" i="1"/>
  <c r="IS316" i="1"/>
  <c r="IR316" i="1"/>
  <c r="IT313" i="1"/>
  <c r="IS313" i="1"/>
  <c r="IR313" i="1"/>
  <c r="IT310" i="1"/>
  <c r="IS310" i="1"/>
  <c r="IR310" i="1"/>
  <c r="IR308" i="1"/>
  <c r="IR242" i="1"/>
  <c r="IT305" i="1"/>
  <c r="IS305" i="1"/>
  <c r="IR305" i="1"/>
  <c r="IT302" i="1"/>
  <c r="IS302" i="1"/>
  <c r="IR302" i="1"/>
  <c r="IT298" i="1"/>
  <c r="IS298" i="1"/>
  <c r="IR298" i="1"/>
  <c r="IT293" i="1"/>
  <c r="IS293" i="1"/>
  <c r="IR293" i="1"/>
  <c r="IT288" i="1"/>
  <c r="IS288" i="1"/>
  <c r="IR288" i="1"/>
  <c r="IS284" i="1"/>
  <c r="IT284" i="1"/>
  <c r="IS283" i="1"/>
  <c r="IT283" i="1"/>
  <c r="IS282" i="1"/>
  <c r="IT282" i="1"/>
  <c r="IS281" i="1"/>
  <c r="IT281" i="1"/>
  <c r="IS280" i="1"/>
  <c r="IV280" i="1"/>
  <c r="IY280" i="1"/>
  <c r="JB280" i="1"/>
  <c r="JE280" i="1"/>
  <c r="JH280" i="1"/>
  <c r="JI280" i="1"/>
  <c r="JK280" i="1"/>
  <c r="JN280" i="1"/>
  <c r="IR279" i="1"/>
  <c r="IT275" i="1"/>
  <c r="IS275" i="1"/>
  <c r="IR275" i="1"/>
  <c r="IR267" i="1"/>
  <c r="IS263" i="1"/>
  <c r="IT263" i="1"/>
  <c r="IS262" i="1"/>
  <c r="IV262" i="1"/>
  <c r="IY262" i="1"/>
  <c r="JB262" i="1"/>
  <c r="JE262" i="1"/>
  <c r="JH262" i="1"/>
  <c r="JK262" i="1"/>
  <c r="JN262" i="1"/>
  <c r="JO262" i="1"/>
  <c r="IS261" i="1"/>
  <c r="IT261" i="1"/>
  <c r="IS260" i="1"/>
  <c r="IV260" i="1"/>
  <c r="IW260" i="1"/>
  <c r="IY260" i="1"/>
  <c r="IZ260" i="1"/>
  <c r="JB260" i="1"/>
  <c r="JE260" i="1"/>
  <c r="JH260" i="1"/>
  <c r="JK260" i="1"/>
  <c r="JN260" i="1"/>
  <c r="IR259" i="1"/>
  <c r="IT257" i="1"/>
  <c r="IS257" i="1"/>
  <c r="IS255" i="1"/>
  <c r="IV255" i="1"/>
  <c r="IS253" i="1"/>
  <c r="IV253" i="1"/>
  <c r="IW253" i="1"/>
  <c r="IY253" i="1"/>
  <c r="JB253" i="1"/>
  <c r="JE253" i="1"/>
  <c r="JH253" i="1"/>
  <c r="JI253" i="1"/>
  <c r="JK253" i="1"/>
  <c r="JN253" i="1"/>
  <c r="IS252" i="1"/>
  <c r="IV252" i="1"/>
  <c r="IW252" i="1"/>
  <c r="IY252" i="1"/>
  <c r="JB252" i="1"/>
  <c r="JE252" i="1"/>
  <c r="JF252" i="1"/>
  <c r="JH252" i="1"/>
  <c r="JI252" i="1"/>
  <c r="JK252" i="1"/>
  <c r="JN252" i="1"/>
  <c r="IR251" i="1"/>
  <c r="IS247" i="1"/>
  <c r="IV247" i="1"/>
  <c r="IR246" i="1"/>
  <c r="IR244" i="1"/>
  <c r="IW866" i="1"/>
  <c r="IV866" i="1"/>
  <c r="IV861" i="1"/>
  <c r="IW861" i="1"/>
  <c r="IW860" i="1"/>
  <c r="IV860" i="1"/>
  <c r="IU860" i="1"/>
  <c r="IW858" i="1"/>
  <c r="IV858" i="1"/>
  <c r="IV856" i="1"/>
  <c r="IW856" i="1"/>
  <c r="IU856" i="1"/>
  <c r="IV853" i="1"/>
  <c r="IW853" i="1"/>
  <c r="IV852" i="1"/>
  <c r="IW852" i="1"/>
  <c r="IV851" i="1"/>
  <c r="IW851" i="1"/>
  <c r="IV850" i="1"/>
  <c r="IW850" i="1"/>
  <c r="IV849" i="1"/>
  <c r="IW849" i="1"/>
  <c r="IV848" i="1"/>
  <c r="IW848" i="1"/>
  <c r="IV847" i="1"/>
  <c r="IW847" i="1"/>
  <c r="IV846" i="1"/>
  <c r="IW846" i="1"/>
  <c r="IW845" i="1"/>
  <c r="IV845" i="1"/>
  <c r="IU845" i="1"/>
  <c r="IW843" i="1"/>
  <c r="IV843" i="1"/>
  <c r="IV842" i="1"/>
  <c r="IW842" i="1"/>
  <c r="IU842" i="1"/>
  <c r="IV840" i="1"/>
  <c r="IW840" i="1"/>
  <c r="IV839" i="1"/>
  <c r="IW839" i="1"/>
  <c r="IV838" i="1"/>
  <c r="IW838" i="1"/>
  <c r="IV837" i="1"/>
  <c r="IW837" i="1"/>
  <c r="IV836" i="1"/>
  <c r="IW836" i="1"/>
  <c r="IW827" i="1"/>
  <c r="IV835" i="1"/>
  <c r="IW835" i="1"/>
  <c r="IV833" i="1"/>
  <c r="IW833" i="1"/>
  <c r="IV832" i="1"/>
  <c r="IW832" i="1"/>
  <c r="IV831" i="1"/>
  <c r="IW831" i="1"/>
  <c r="IV830" i="1"/>
  <c r="IW830" i="1"/>
  <c r="IV829" i="1"/>
  <c r="IW829" i="1"/>
  <c r="IV828" i="1"/>
  <c r="IW828" i="1"/>
  <c r="IU827" i="1"/>
  <c r="IU766" i="1"/>
  <c r="IU764" i="1"/>
  <c r="IV825" i="1"/>
  <c r="IW825" i="1"/>
  <c r="IV824" i="1"/>
  <c r="IW824" i="1"/>
  <c r="IV823" i="1"/>
  <c r="IW823" i="1"/>
  <c r="IV822" i="1"/>
  <c r="IW822" i="1"/>
  <c r="IV821" i="1"/>
  <c r="IW821" i="1"/>
  <c r="IV820" i="1"/>
  <c r="IW820" i="1"/>
  <c r="IV819" i="1"/>
  <c r="IW819" i="1"/>
  <c r="IV818" i="1"/>
  <c r="IW818" i="1"/>
  <c r="IV817" i="1"/>
  <c r="IW817" i="1"/>
  <c r="IV816" i="1"/>
  <c r="IW816" i="1"/>
  <c r="IV815" i="1"/>
  <c r="IW815" i="1"/>
  <c r="IV814" i="1"/>
  <c r="IW814" i="1"/>
  <c r="IV813" i="1"/>
  <c r="IW813" i="1"/>
  <c r="IV812" i="1"/>
  <c r="IW812" i="1"/>
  <c r="IV811" i="1"/>
  <c r="IW811" i="1"/>
  <c r="IV810" i="1"/>
  <c r="IW810" i="1"/>
  <c r="IV809" i="1"/>
  <c r="IW809" i="1"/>
  <c r="IV808" i="1"/>
  <c r="IW808" i="1"/>
  <c r="IV807" i="1"/>
  <c r="IW807" i="1"/>
  <c r="IV806" i="1"/>
  <c r="IW806" i="1"/>
  <c r="IV805" i="1"/>
  <c r="IW805" i="1"/>
  <c r="IV804" i="1"/>
  <c r="IW804" i="1"/>
  <c r="IV803" i="1"/>
  <c r="IW803" i="1"/>
  <c r="IV802" i="1"/>
  <c r="IW802" i="1"/>
  <c r="IV801" i="1"/>
  <c r="IW801" i="1"/>
  <c r="IV800" i="1"/>
  <c r="IW800" i="1"/>
  <c r="IV799" i="1"/>
  <c r="IW799" i="1"/>
  <c r="IV798" i="1"/>
  <c r="IW798" i="1"/>
  <c r="IV797" i="1"/>
  <c r="IW797" i="1"/>
  <c r="IV796" i="1"/>
  <c r="IW796" i="1"/>
  <c r="IV793" i="1"/>
  <c r="IW793" i="1"/>
  <c r="IV792" i="1"/>
  <c r="IV790" i="1"/>
  <c r="IV788" i="1"/>
  <c r="IW788" i="1"/>
  <c r="IV787" i="1"/>
  <c r="IW787" i="1"/>
  <c r="IV786" i="1"/>
  <c r="IW786" i="1"/>
  <c r="IV785" i="1"/>
  <c r="IW785" i="1"/>
  <c r="IV784" i="1"/>
  <c r="IU783" i="1"/>
  <c r="IV781" i="1"/>
  <c r="IW781" i="1"/>
  <c r="IV780" i="1"/>
  <c r="IW780" i="1"/>
  <c r="IV779" i="1"/>
  <c r="IW779" i="1"/>
  <c r="IV778" i="1"/>
  <c r="IW778" i="1"/>
  <c r="IV777" i="1"/>
  <c r="IW777" i="1"/>
  <c r="IV776" i="1"/>
  <c r="IW776" i="1"/>
  <c r="IV775" i="1"/>
  <c r="IW775" i="1"/>
  <c r="IV774" i="1"/>
  <c r="IV770" i="1"/>
  <c r="IW770" i="1"/>
  <c r="IV748" i="1"/>
  <c r="IW748" i="1"/>
  <c r="IV747" i="1"/>
  <c r="IW747" i="1"/>
  <c r="IV746" i="1"/>
  <c r="IW746" i="1"/>
  <c r="IV745" i="1"/>
  <c r="IW745" i="1"/>
  <c r="IV744" i="1"/>
  <c r="IW744" i="1"/>
  <c r="IV743" i="1"/>
  <c r="IW743" i="1"/>
  <c r="IU742" i="1"/>
  <c r="IW740" i="1"/>
  <c r="IV740" i="1"/>
  <c r="IW738" i="1"/>
  <c r="IV738" i="1"/>
  <c r="IU738" i="1"/>
  <c r="IV736" i="1"/>
  <c r="IW736" i="1"/>
  <c r="IV735" i="1"/>
  <c r="IW735" i="1"/>
  <c r="IV734" i="1"/>
  <c r="IW734" i="1"/>
  <c r="IV733" i="1"/>
  <c r="IW733" i="1"/>
  <c r="IV732" i="1"/>
  <c r="IW732" i="1"/>
  <c r="IV731" i="1"/>
  <c r="IW731" i="1"/>
  <c r="IV730" i="1"/>
  <c r="IW730" i="1"/>
  <c r="IV729" i="1"/>
  <c r="IW729" i="1"/>
  <c r="IU728" i="1"/>
  <c r="IW725" i="1"/>
  <c r="IV725" i="1"/>
  <c r="IU725" i="1"/>
  <c r="IU721" i="1"/>
  <c r="IW718" i="1"/>
  <c r="IV718" i="1"/>
  <c r="IU718" i="1"/>
  <c r="IV716" i="1"/>
  <c r="IW716" i="1"/>
  <c r="IV715" i="1"/>
  <c r="IW715" i="1"/>
  <c r="IV714" i="1"/>
  <c r="IW714" i="1"/>
  <c r="IV712" i="1"/>
  <c r="IW712" i="1"/>
  <c r="IU711" i="1"/>
  <c r="IV706" i="1"/>
  <c r="IW706" i="1"/>
  <c r="IW705" i="1"/>
  <c r="IV705" i="1"/>
  <c r="IU705" i="1"/>
  <c r="IW703" i="1"/>
  <c r="IV703" i="1"/>
  <c r="IV702" i="1"/>
  <c r="IW702" i="1"/>
  <c r="IU702" i="1"/>
  <c r="IV700" i="1"/>
  <c r="IV699" i="1"/>
  <c r="IU699" i="1"/>
  <c r="IW696" i="1"/>
  <c r="IV696" i="1"/>
  <c r="IU696" i="1"/>
  <c r="IV694" i="1"/>
  <c r="IV693" i="1"/>
  <c r="IU693" i="1"/>
  <c r="IV686" i="1"/>
  <c r="IW686" i="1"/>
  <c r="IW685" i="1"/>
  <c r="IV685" i="1"/>
  <c r="IU685" i="1"/>
  <c r="IW682" i="1"/>
  <c r="IV682" i="1"/>
  <c r="IV681" i="1"/>
  <c r="IW681" i="1"/>
  <c r="IU681" i="1"/>
  <c r="IV679" i="1"/>
  <c r="IW679" i="1"/>
  <c r="IV678" i="1"/>
  <c r="IW678" i="1"/>
  <c r="IV677" i="1"/>
  <c r="IW677" i="1"/>
  <c r="IV676" i="1"/>
  <c r="IW676" i="1"/>
  <c r="IV675" i="1"/>
  <c r="IW675" i="1"/>
  <c r="IV674" i="1"/>
  <c r="IW674" i="1"/>
  <c r="IV673" i="1"/>
  <c r="IW673" i="1"/>
  <c r="IV672" i="1"/>
  <c r="IW672" i="1"/>
  <c r="IV670" i="1"/>
  <c r="IU669" i="1"/>
  <c r="IU664" i="1"/>
  <c r="IU662" i="1"/>
  <c r="IW667" i="1"/>
  <c r="IW666" i="1"/>
  <c r="IV667" i="1"/>
  <c r="IV666" i="1"/>
  <c r="IU666" i="1"/>
  <c r="IW655" i="1"/>
  <c r="IV655" i="1"/>
  <c r="IV653" i="1"/>
  <c r="IV651" i="1"/>
  <c r="IU655" i="1"/>
  <c r="IW653" i="1"/>
  <c r="IW651" i="1"/>
  <c r="IU653" i="1"/>
  <c r="IU651" i="1"/>
  <c r="IW647" i="1"/>
  <c r="IW646" i="1"/>
  <c r="IU645" i="1"/>
  <c r="IV643" i="1"/>
  <c r="IW643" i="1"/>
  <c r="IW641" i="1"/>
  <c r="IV638" i="1"/>
  <c r="IW638" i="1"/>
  <c r="IU637" i="1"/>
  <c r="IV635" i="1"/>
  <c r="IW635" i="1"/>
  <c r="IW634" i="1"/>
  <c r="IV634" i="1"/>
  <c r="IU634" i="1"/>
  <c r="IU632" i="1"/>
  <c r="IU630" i="1"/>
  <c r="IV626" i="1"/>
  <c r="IW626" i="1"/>
  <c r="IU625" i="1"/>
  <c r="IV623" i="1"/>
  <c r="IW623" i="1"/>
  <c r="IW621" i="1"/>
  <c r="IV621" i="1"/>
  <c r="IU621" i="1"/>
  <c r="IU619" i="1"/>
  <c r="IV617" i="1"/>
  <c r="IW617" i="1"/>
  <c r="IW616" i="1"/>
  <c r="IW611" i="1"/>
  <c r="IU616" i="1"/>
  <c r="IW614" i="1"/>
  <c r="IV614" i="1"/>
  <c r="IV613" i="1"/>
  <c r="IW613" i="1"/>
  <c r="IU613" i="1"/>
  <c r="IU611" i="1"/>
  <c r="IU609" i="1"/>
  <c r="IW606" i="1"/>
  <c r="IV606" i="1"/>
  <c r="IU606" i="1"/>
  <c r="IV603" i="1"/>
  <c r="IW603" i="1"/>
  <c r="IU600" i="1"/>
  <c r="IW598" i="1"/>
  <c r="IU592" i="1"/>
  <c r="IW590" i="1"/>
  <c r="IV590" i="1"/>
  <c r="IW588" i="1"/>
  <c r="IW587" i="1"/>
  <c r="IW586" i="1"/>
  <c r="IU585" i="1"/>
  <c r="IV583" i="1"/>
  <c r="IV582" i="1"/>
  <c r="IW582" i="1"/>
  <c r="IU581" i="1"/>
  <c r="IU579" i="1"/>
  <c r="IU577" i="1"/>
  <c r="IU575" i="1"/>
  <c r="IW571" i="1"/>
  <c r="IV571" i="1"/>
  <c r="IV569" i="1"/>
  <c r="IV567" i="1"/>
  <c r="IU571" i="1"/>
  <c r="IW569" i="1"/>
  <c r="IW567" i="1"/>
  <c r="IU569" i="1"/>
  <c r="IU567" i="1"/>
  <c r="IW563" i="1"/>
  <c r="IV563" i="1"/>
  <c r="IU563" i="1"/>
  <c r="IU558" i="1"/>
  <c r="IW555" i="1"/>
  <c r="IV555" i="1"/>
  <c r="IU555" i="1"/>
  <c r="IV553" i="1"/>
  <c r="IW553" i="1"/>
  <c r="IV552" i="1"/>
  <c r="IW552" i="1"/>
  <c r="IV551" i="1"/>
  <c r="IU549" i="1"/>
  <c r="IV546" i="1"/>
  <c r="IW546" i="1"/>
  <c r="IV545" i="1"/>
  <c r="IW545" i="1"/>
  <c r="IW544" i="1"/>
  <c r="IU543" i="1"/>
  <c r="IV533" i="1"/>
  <c r="IV532" i="1"/>
  <c r="IU532" i="1"/>
  <c r="IW526" i="1"/>
  <c r="IV526" i="1"/>
  <c r="IU526" i="1"/>
  <c r="IV524" i="1"/>
  <c r="IW524" i="1"/>
  <c r="IV522" i="1"/>
  <c r="IW522" i="1"/>
  <c r="IV520" i="1"/>
  <c r="IW520" i="1"/>
  <c r="IW518" i="1"/>
  <c r="IV518" i="1"/>
  <c r="IV514" i="1"/>
  <c r="IU507" i="1"/>
  <c r="IU505" i="1"/>
  <c r="IW500" i="1"/>
  <c r="IV500" i="1"/>
  <c r="IU500" i="1"/>
  <c r="IW498" i="1"/>
  <c r="IW496" i="1"/>
  <c r="IV495" i="1"/>
  <c r="IW495" i="1"/>
  <c r="IV494" i="1"/>
  <c r="IW494" i="1"/>
  <c r="IV492" i="1"/>
  <c r="IW492" i="1"/>
  <c r="IV491" i="1"/>
  <c r="IW491" i="1"/>
  <c r="IW489" i="1"/>
  <c r="IU488" i="1"/>
  <c r="IV486" i="1"/>
  <c r="IW486" i="1"/>
  <c r="IV485" i="1"/>
  <c r="IW485" i="1"/>
  <c r="IV484" i="1"/>
  <c r="IW484" i="1"/>
  <c r="IV483" i="1"/>
  <c r="IW483" i="1"/>
  <c r="IU482" i="1"/>
  <c r="IV480" i="1"/>
  <c r="IW480" i="1"/>
  <c r="IV479" i="1"/>
  <c r="IW479" i="1"/>
  <c r="IW478" i="1"/>
  <c r="IW477" i="1"/>
  <c r="IV476" i="1"/>
  <c r="IW476" i="1"/>
  <c r="IV474" i="1"/>
  <c r="IW474" i="1"/>
  <c r="IU472" i="1"/>
  <c r="IW470" i="1"/>
  <c r="IV469" i="1"/>
  <c r="IW469" i="1"/>
  <c r="IV468" i="1"/>
  <c r="IW468" i="1"/>
  <c r="IV467" i="1"/>
  <c r="IW467" i="1"/>
  <c r="IV466" i="1"/>
  <c r="IW466" i="1"/>
  <c r="IV465" i="1"/>
  <c r="IW465" i="1"/>
  <c r="IU464" i="1"/>
  <c r="IV461" i="1"/>
  <c r="IW461" i="1"/>
  <c r="IV459" i="1"/>
  <c r="IW459" i="1"/>
  <c r="IU458" i="1"/>
  <c r="IU451" i="1"/>
  <c r="IV449" i="1"/>
  <c r="IW449" i="1"/>
  <c r="IW448" i="1"/>
  <c r="IV447" i="1"/>
  <c r="IW447" i="1"/>
  <c r="IV446" i="1"/>
  <c r="IW446" i="1"/>
  <c r="IU444" i="1"/>
  <c r="IV442" i="1"/>
  <c r="IW442" i="1"/>
  <c r="IV440" i="1"/>
  <c r="IW440" i="1"/>
  <c r="IU439" i="1"/>
  <c r="IV434" i="1"/>
  <c r="IW434" i="1"/>
  <c r="IV433" i="1"/>
  <c r="IW433" i="1"/>
  <c r="IV432" i="1"/>
  <c r="IW432" i="1"/>
  <c r="IV431" i="1"/>
  <c r="IW431" i="1"/>
  <c r="IV430" i="1"/>
  <c r="IW430" i="1"/>
  <c r="IW97" i="1"/>
  <c r="IV429" i="1"/>
  <c r="IW429" i="1"/>
  <c r="IU427" i="1"/>
  <c r="IW425" i="1"/>
  <c r="IV424" i="1"/>
  <c r="IW424" i="1"/>
  <c r="IV423" i="1"/>
  <c r="IW423" i="1"/>
  <c r="IW90" i="1"/>
  <c r="IV422" i="1"/>
  <c r="IW422" i="1"/>
  <c r="IV421" i="1"/>
  <c r="IW421" i="1"/>
  <c r="IV420" i="1"/>
  <c r="IU419" i="1"/>
  <c r="IW417" i="1"/>
  <c r="IW416" i="1"/>
  <c r="IV417" i="1"/>
  <c r="IV416" i="1"/>
  <c r="IU416" i="1"/>
  <c r="IU411" i="1"/>
  <c r="IV409" i="1"/>
  <c r="IW409" i="1"/>
  <c r="IU406" i="1"/>
  <c r="IV404" i="1"/>
  <c r="IW404" i="1"/>
  <c r="IW403" i="1"/>
  <c r="IV402" i="1"/>
  <c r="IU401" i="1"/>
  <c r="IU397" i="1"/>
  <c r="IW395" i="1"/>
  <c r="IV392" i="1"/>
  <c r="IW392" i="1"/>
  <c r="IV391" i="1"/>
  <c r="IW391" i="1"/>
  <c r="IV390" i="1"/>
  <c r="IW390" i="1"/>
  <c r="IV389" i="1"/>
  <c r="IW389" i="1"/>
  <c r="IV388" i="1"/>
  <c r="IW388" i="1"/>
  <c r="IV387" i="1"/>
  <c r="IW387" i="1"/>
  <c r="IU386" i="1"/>
  <c r="IW384" i="1"/>
  <c r="IV383" i="1"/>
  <c r="IW383" i="1"/>
  <c r="IV382" i="1"/>
  <c r="IW382" i="1"/>
  <c r="IW48" i="1"/>
  <c r="IV381" i="1"/>
  <c r="IU380" i="1"/>
  <c r="IW375" i="1"/>
  <c r="IV375" i="1"/>
  <c r="IV368" i="1"/>
  <c r="IV366" i="1"/>
  <c r="IU375" i="1"/>
  <c r="IV371" i="1"/>
  <c r="IW371" i="1"/>
  <c r="IW369" i="1"/>
  <c r="IW368" i="1"/>
  <c r="IW366" i="1"/>
  <c r="IU368" i="1"/>
  <c r="IU366" i="1"/>
  <c r="IW361" i="1"/>
  <c r="IV361" i="1"/>
  <c r="IU361" i="1"/>
  <c r="IV359" i="1"/>
  <c r="IW359" i="1"/>
  <c r="IW358" i="1"/>
  <c r="IU358" i="1"/>
  <c r="IW354" i="1"/>
  <c r="IV354" i="1"/>
  <c r="IU354" i="1"/>
  <c r="IV351" i="1"/>
  <c r="IW351" i="1"/>
  <c r="IW347" i="1"/>
  <c r="IW329" i="1"/>
  <c r="IV329" i="1"/>
  <c r="IU329" i="1"/>
  <c r="IV326" i="1"/>
  <c r="IU326" i="1"/>
  <c r="IU322" i="1"/>
  <c r="IW319" i="1"/>
  <c r="IV319" i="1"/>
  <c r="IU319" i="1"/>
  <c r="IV316" i="1"/>
  <c r="IU316" i="1"/>
  <c r="IW313" i="1"/>
  <c r="IV313" i="1"/>
  <c r="IU313" i="1"/>
  <c r="IW310" i="1"/>
  <c r="IV310" i="1"/>
  <c r="IU310" i="1"/>
  <c r="IU308" i="1"/>
  <c r="IW305" i="1"/>
  <c r="IV305" i="1"/>
  <c r="IU305" i="1"/>
  <c r="IW302" i="1"/>
  <c r="IV302" i="1"/>
  <c r="IU302" i="1"/>
  <c r="IW298" i="1"/>
  <c r="IV298" i="1"/>
  <c r="IU298" i="1"/>
  <c r="IW293" i="1"/>
  <c r="IV293" i="1"/>
  <c r="IU293" i="1"/>
  <c r="IW288" i="1"/>
  <c r="IV288" i="1"/>
  <c r="IU288" i="1"/>
  <c r="IV284" i="1"/>
  <c r="IW284" i="1"/>
  <c r="IV283" i="1"/>
  <c r="IW283" i="1"/>
  <c r="IV282" i="1"/>
  <c r="IW282" i="1"/>
  <c r="IV281" i="1"/>
  <c r="IW281" i="1"/>
  <c r="IU279" i="1"/>
  <c r="IU273" i="1"/>
  <c r="IW275" i="1"/>
  <c r="IV275" i="1"/>
  <c r="IU275" i="1"/>
  <c r="IU267" i="1"/>
  <c r="IV263" i="1"/>
  <c r="IW263" i="1"/>
  <c r="IW34" i="1"/>
  <c r="IW262" i="1"/>
  <c r="IV261" i="1"/>
  <c r="IW261" i="1"/>
  <c r="IU259" i="1"/>
  <c r="IV257" i="1"/>
  <c r="IW257" i="1"/>
  <c r="IW255" i="1"/>
  <c r="IU251" i="1"/>
  <c r="IW247" i="1"/>
  <c r="IW246" i="1"/>
  <c r="IV246" i="1"/>
  <c r="IU246" i="1"/>
  <c r="IU244" i="1"/>
  <c r="IZ866" i="1"/>
  <c r="IY866" i="1"/>
  <c r="IY861" i="1"/>
  <c r="IY860" i="1"/>
  <c r="IX860" i="1"/>
  <c r="IZ858" i="1"/>
  <c r="IZ856" i="1"/>
  <c r="IY858" i="1"/>
  <c r="IY856" i="1"/>
  <c r="IX856" i="1"/>
  <c r="IY853" i="1"/>
  <c r="IZ853" i="1"/>
  <c r="IY852" i="1"/>
  <c r="IZ852" i="1"/>
  <c r="IY851" i="1"/>
  <c r="IZ851" i="1"/>
  <c r="IZ845" i="1"/>
  <c r="IY850" i="1"/>
  <c r="IZ850" i="1"/>
  <c r="IY849" i="1"/>
  <c r="IZ849" i="1"/>
  <c r="IY848" i="1"/>
  <c r="IZ848" i="1"/>
  <c r="IY847" i="1"/>
  <c r="IZ847" i="1"/>
  <c r="IY846" i="1"/>
  <c r="IZ846" i="1"/>
  <c r="IX845" i="1"/>
  <c r="IZ843" i="1"/>
  <c r="IY843" i="1"/>
  <c r="IY842" i="1"/>
  <c r="IZ842" i="1"/>
  <c r="IX842" i="1"/>
  <c r="IY840" i="1"/>
  <c r="IZ840" i="1"/>
  <c r="IY839" i="1"/>
  <c r="IZ839" i="1"/>
  <c r="IY838" i="1"/>
  <c r="IZ838" i="1"/>
  <c r="IY837" i="1"/>
  <c r="IZ837" i="1"/>
  <c r="IY836" i="1"/>
  <c r="IZ836" i="1"/>
  <c r="IY835" i="1"/>
  <c r="IZ835" i="1"/>
  <c r="IY833" i="1"/>
  <c r="IZ833" i="1"/>
  <c r="IY832" i="1"/>
  <c r="IZ832" i="1"/>
  <c r="IY831" i="1"/>
  <c r="IZ831" i="1"/>
  <c r="IY830" i="1"/>
  <c r="IZ830" i="1"/>
  <c r="IY829" i="1"/>
  <c r="IZ829" i="1"/>
  <c r="IY828" i="1"/>
  <c r="IZ828" i="1"/>
  <c r="IY827" i="1"/>
  <c r="IX827" i="1"/>
  <c r="IY825" i="1"/>
  <c r="IZ825" i="1"/>
  <c r="IY824" i="1"/>
  <c r="IZ824" i="1"/>
  <c r="IY823" i="1"/>
  <c r="IZ823" i="1"/>
  <c r="IY822" i="1"/>
  <c r="IZ822" i="1"/>
  <c r="IY821" i="1"/>
  <c r="IZ821" i="1"/>
  <c r="IY820" i="1"/>
  <c r="IZ820" i="1"/>
  <c r="IY819" i="1"/>
  <c r="IZ819" i="1"/>
  <c r="IY818" i="1"/>
  <c r="IZ818" i="1"/>
  <c r="IY817" i="1"/>
  <c r="IZ817" i="1"/>
  <c r="IY816" i="1"/>
  <c r="IZ816" i="1"/>
  <c r="IY815" i="1"/>
  <c r="IZ815" i="1"/>
  <c r="IY814" i="1"/>
  <c r="IZ814" i="1"/>
  <c r="IY813" i="1"/>
  <c r="IZ813" i="1"/>
  <c r="IY812" i="1"/>
  <c r="IZ812" i="1"/>
  <c r="IY811" i="1"/>
  <c r="IZ811" i="1"/>
  <c r="IY810" i="1"/>
  <c r="IZ810" i="1"/>
  <c r="IY809" i="1"/>
  <c r="IZ809" i="1"/>
  <c r="IY808" i="1"/>
  <c r="IZ808" i="1"/>
  <c r="IY807" i="1"/>
  <c r="IZ807" i="1"/>
  <c r="IY806" i="1"/>
  <c r="IZ806" i="1"/>
  <c r="IY805" i="1"/>
  <c r="IZ805" i="1"/>
  <c r="IY804" i="1"/>
  <c r="IZ804" i="1"/>
  <c r="IY803" i="1"/>
  <c r="IZ803" i="1"/>
  <c r="IY802" i="1"/>
  <c r="IZ802" i="1"/>
  <c r="IY801" i="1"/>
  <c r="IZ801" i="1"/>
  <c r="IY800" i="1"/>
  <c r="IZ800" i="1"/>
  <c r="IY799" i="1"/>
  <c r="IZ799" i="1"/>
  <c r="IY798" i="1"/>
  <c r="IZ798" i="1"/>
  <c r="IY797" i="1"/>
  <c r="IZ797" i="1"/>
  <c r="IY796" i="1"/>
  <c r="IZ796" i="1"/>
  <c r="IY793" i="1"/>
  <c r="IZ793" i="1"/>
  <c r="IY792" i="1"/>
  <c r="IZ792" i="1"/>
  <c r="IY791" i="1"/>
  <c r="IX790" i="1"/>
  <c r="IY788" i="1"/>
  <c r="IZ788" i="1"/>
  <c r="IY787" i="1"/>
  <c r="IZ787" i="1"/>
  <c r="IY786" i="1"/>
  <c r="IZ786" i="1"/>
  <c r="IY785" i="1"/>
  <c r="IZ785" i="1"/>
  <c r="IY784" i="1"/>
  <c r="IX783" i="1"/>
  <c r="IY781" i="1"/>
  <c r="IZ781" i="1"/>
  <c r="IY780" i="1"/>
  <c r="IZ780" i="1"/>
  <c r="IY779" i="1"/>
  <c r="IZ779" i="1"/>
  <c r="IY778" i="1"/>
  <c r="IZ778" i="1"/>
  <c r="IY777" i="1"/>
  <c r="IZ777" i="1"/>
  <c r="IY776" i="1"/>
  <c r="IZ776" i="1"/>
  <c r="IY775" i="1"/>
  <c r="IZ775" i="1"/>
  <c r="IY774" i="1"/>
  <c r="IZ774" i="1"/>
  <c r="IY770" i="1"/>
  <c r="IZ770" i="1"/>
  <c r="IY769" i="1"/>
  <c r="IX768" i="1"/>
  <c r="IY748" i="1"/>
  <c r="IZ748" i="1"/>
  <c r="IY747" i="1"/>
  <c r="IZ747" i="1"/>
  <c r="IY746" i="1"/>
  <c r="IZ746" i="1"/>
  <c r="IY745" i="1"/>
  <c r="IZ745" i="1"/>
  <c r="IY744" i="1"/>
  <c r="IZ744" i="1"/>
  <c r="IY743" i="1"/>
  <c r="IZ743" i="1"/>
  <c r="IX742" i="1"/>
  <c r="IZ740" i="1"/>
  <c r="IY740" i="1"/>
  <c r="IZ738" i="1"/>
  <c r="IY738" i="1"/>
  <c r="IX738" i="1"/>
  <c r="IY736" i="1"/>
  <c r="IZ736" i="1"/>
  <c r="IY735" i="1"/>
  <c r="IZ735" i="1"/>
  <c r="IY734" i="1"/>
  <c r="IZ734" i="1"/>
  <c r="IY733" i="1"/>
  <c r="IZ733" i="1"/>
  <c r="IY732" i="1"/>
  <c r="IZ732" i="1"/>
  <c r="IY731" i="1"/>
  <c r="IZ731" i="1"/>
  <c r="IY730" i="1"/>
  <c r="IZ730" i="1"/>
  <c r="IY729" i="1"/>
  <c r="IZ729" i="1"/>
  <c r="IX728" i="1"/>
  <c r="IZ725" i="1"/>
  <c r="IY725" i="1"/>
  <c r="IX725" i="1"/>
  <c r="IX721" i="1"/>
  <c r="IZ718" i="1"/>
  <c r="IY718" i="1"/>
  <c r="IX718" i="1"/>
  <c r="IY716" i="1"/>
  <c r="IZ716" i="1"/>
  <c r="IY715" i="1"/>
  <c r="IZ715" i="1"/>
  <c r="IY714" i="1"/>
  <c r="IY711" i="1"/>
  <c r="IY691" i="1"/>
  <c r="IY712" i="1"/>
  <c r="IZ712" i="1"/>
  <c r="IX711" i="1"/>
  <c r="IY706" i="1"/>
  <c r="IZ706" i="1"/>
  <c r="IZ705" i="1"/>
  <c r="IY705" i="1"/>
  <c r="IX705" i="1"/>
  <c r="IZ703" i="1"/>
  <c r="IY703" i="1"/>
  <c r="IY702" i="1"/>
  <c r="IZ702" i="1"/>
  <c r="IX702" i="1"/>
  <c r="IY700" i="1"/>
  <c r="IY699" i="1"/>
  <c r="IX699" i="1"/>
  <c r="IZ696" i="1"/>
  <c r="IY696" i="1"/>
  <c r="IX696" i="1"/>
  <c r="IY694" i="1"/>
  <c r="IY693" i="1"/>
  <c r="IX693" i="1"/>
  <c r="IY686" i="1"/>
  <c r="IZ686" i="1"/>
  <c r="IZ685" i="1"/>
  <c r="IY685" i="1"/>
  <c r="IX685" i="1"/>
  <c r="IZ682" i="1"/>
  <c r="IY682" i="1"/>
  <c r="IY681" i="1"/>
  <c r="IZ681" i="1"/>
  <c r="IX681" i="1"/>
  <c r="IY679" i="1"/>
  <c r="IZ679" i="1"/>
  <c r="IY678" i="1"/>
  <c r="IZ678" i="1"/>
  <c r="IY677" i="1"/>
  <c r="IZ677" i="1"/>
  <c r="IY676" i="1"/>
  <c r="IZ676" i="1"/>
  <c r="IY675" i="1"/>
  <c r="IZ675" i="1"/>
  <c r="IY674" i="1"/>
  <c r="IZ674" i="1"/>
  <c r="IY673" i="1"/>
  <c r="IZ673" i="1"/>
  <c r="IY672" i="1"/>
  <c r="IZ672" i="1"/>
  <c r="IY670" i="1"/>
  <c r="IX669" i="1"/>
  <c r="IX664" i="1"/>
  <c r="IX662" i="1"/>
  <c r="IZ667" i="1"/>
  <c r="IZ666" i="1"/>
  <c r="IY667" i="1"/>
  <c r="IY666" i="1"/>
  <c r="IX666" i="1"/>
  <c r="IZ655" i="1"/>
  <c r="IY655" i="1"/>
  <c r="IY653" i="1"/>
  <c r="IY651" i="1"/>
  <c r="IX655" i="1"/>
  <c r="IZ653" i="1"/>
  <c r="IZ651" i="1"/>
  <c r="IX653" i="1"/>
  <c r="IX651" i="1"/>
  <c r="IZ647" i="1"/>
  <c r="IX645" i="1"/>
  <c r="IX632" i="1"/>
  <c r="IX630" i="1"/>
  <c r="IX628" i="1"/>
  <c r="IY643" i="1"/>
  <c r="IZ643" i="1"/>
  <c r="IY641" i="1"/>
  <c r="IZ641" i="1"/>
  <c r="IY638" i="1"/>
  <c r="IZ638" i="1"/>
  <c r="IX637" i="1"/>
  <c r="IY635" i="1"/>
  <c r="IY634" i="1"/>
  <c r="IX634" i="1"/>
  <c r="IY626" i="1"/>
  <c r="IY625" i="1"/>
  <c r="IX625" i="1"/>
  <c r="IY623" i="1"/>
  <c r="IY621" i="1"/>
  <c r="IX621" i="1"/>
  <c r="IX619" i="1"/>
  <c r="IX609" i="1"/>
  <c r="IY617" i="1"/>
  <c r="IZ617" i="1"/>
  <c r="IZ616" i="1"/>
  <c r="IZ611" i="1"/>
  <c r="IX616" i="1"/>
  <c r="IZ614" i="1"/>
  <c r="IY614" i="1"/>
  <c r="IY613" i="1"/>
  <c r="IZ613" i="1"/>
  <c r="IX613" i="1"/>
  <c r="IX611" i="1"/>
  <c r="IZ606" i="1"/>
  <c r="IY606" i="1"/>
  <c r="IX606" i="1"/>
  <c r="IY603" i="1"/>
  <c r="IZ603" i="1"/>
  <c r="IX600" i="1"/>
  <c r="IY598" i="1"/>
  <c r="IZ598" i="1"/>
  <c r="IX592" i="1"/>
  <c r="IZ590" i="1"/>
  <c r="IY590" i="1"/>
  <c r="IZ588" i="1"/>
  <c r="IZ587" i="1"/>
  <c r="IX585" i="1"/>
  <c r="IY583" i="1"/>
  <c r="IY582" i="1"/>
  <c r="IZ582" i="1"/>
  <c r="IX581" i="1"/>
  <c r="IX579" i="1"/>
  <c r="IX577" i="1"/>
  <c r="IZ571" i="1"/>
  <c r="IY571" i="1"/>
  <c r="IY569" i="1"/>
  <c r="IY567" i="1"/>
  <c r="IX571" i="1"/>
  <c r="IZ569" i="1"/>
  <c r="IZ567" i="1"/>
  <c r="IX569" i="1"/>
  <c r="IX567" i="1"/>
  <c r="IZ563" i="1"/>
  <c r="IY563" i="1"/>
  <c r="IX563" i="1"/>
  <c r="IX558" i="1"/>
  <c r="IZ555" i="1"/>
  <c r="IY555" i="1"/>
  <c r="IX555" i="1"/>
  <c r="IY553" i="1"/>
  <c r="IZ553" i="1"/>
  <c r="IY552" i="1"/>
  <c r="IZ552" i="1"/>
  <c r="IY551" i="1"/>
  <c r="IX549" i="1"/>
  <c r="IY546" i="1"/>
  <c r="IZ546" i="1"/>
  <c r="IY545" i="1"/>
  <c r="IZ545" i="1"/>
  <c r="IX543" i="1"/>
  <c r="IY536" i="1"/>
  <c r="IZ536" i="1"/>
  <c r="IY535" i="1"/>
  <c r="IY530" i="1"/>
  <c r="IX535" i="1"/>
  <c r="IX530" i="1"/>
  <c r="IY533" i="1"/>
  <c r="IY532" i="1"/>
  <c r="IX532" i="1"/>
  <c r="IZ526" i="1"/>
  <c r="IY526" i="1"/>
  <c r="IX526" i="1"/>
  <c r="IY524" i="1"/>
  <c r="IZ524" i="1"/>
  <c r="IY522" i="1"/>
  <c r="IZ522" i="1"/>
  <c r="IY520" i="1"/>
  <c r="IZ520" i="1"/>
  <c r="IZ518" i="1"/>
  <c r="IY518" i="1"/>
  <c r="IY514" i="1"/>
  <c r="IZ514" i="1"/>
  <c r="IX507" i="1"/>
  <c r="IX505" i="1"/>
  <c r="IZ500" i="1"/>
  <c r="IY500" i="1"/>
  <c r="IX500" i="1"/>
  <c r="IY498" i="1"/>
  <c r="IZ498" i="1"/>
  <c r="IZ496" i="1"/>
  <c r="IY495" i="1"/>
  <c r="IZ495" i="1"/>
  <c r="IY494" i="1"/>
  <c r="IZ494" i="1"/>
  <c r="IZ493" i="1"/>
  <c r="IY492" i="1"/>
  <c r="IZ492" i="1"/>
  <c r="IY491" i="1"/>
  <c r="IZ491" i="1"/>
  <c r="IX488" i="1"/>
  <c r="IY486" i="1"/>
  <c r="IZ486" i="1"/>
  <c r="IY485" i="1"/>
  <c r="IZ485" i="1"/>
  <c r="IY484" i="1"/>
  <c r="IZ484" i="1"/>
  <c r="IY483" i="1"/>
  <c r="IZ483" i="1"/>
  <c r="IX482" i="1"/>
  <c r="IY480" i="1"/>
  <c r="IZ480" i="1"/>
  <c r="IY479" i="1"/>
  <c r="IZ479" i="1"/>
  <c r="IZ477" i="1"/>
  <c r="IY476" i="1"/>
  <c r="IZ476" i="1"/>
  <c r="IY474" i="1"/>
  <c r="IZ474" i="1"/>
  <c r="IX472" i="1"/>
  <c r="IZ470" i="1"/>
  <c r="IY469" i="1"/>
  <c r="IZ469" i="1"/>
  <c r="IY468" i="1"/>
  <c r="IZ468" i="1"/>
  <c r="IY467" i="1"/>
  <c r="IZ467" i="1"/>
  <c r="IY466" i="1"/>
  <c r="IZ466" i="1"/>
  <c r="IY465" i="1"/>
  <c r="IZ465" i="1"/>
  <c r="IX464" i="1"/>
  <c r="IZ462" i="1"/>
  <c r="IY461" i="1"/>
  <c r="IZ461" i="1"/>
  <c r="IY459" i="1"/>
  <c r="IZ459" i="1"/>
  <c r="IX458" i="1"/>
  <c r="IX451" i="1"/>
  <c r="IY449" i="1"/>
  <c r="IZ449" i="1"/>
  <c r="IZ448" i="1"/>
  <c r="IY447" i="1"/>
  <c r="IZ447" i="1"/>
  <c r="IY446" i="1"/>
  <c r="IZ446" i="1"/>
  <c r="IX444" i="1"/>
  <c r="IY442" i="1"/>
  <c r="IZ442" i="1"/>
  <c r="IY440" i="1"/>
  <c r="IX439" i="1"/>
  <c r="IX437" i="1"/>
  <c r="IY434" i="1"/>
  <c r="IZ434" i="1"/>
  <c r="IY433" i="1"/>
  <c r="IZ433" i="1"/>
  <c r="IY432" i="1"/>
  <c r="IZ432" i="1"/>
  <c r="IY431" i="1"/>
  <c r="IZ431" i="1"/>
  <c r="IY430" i="1"/>
  <c r="IZ430" i="1"/>
  <c r="IY429" i="1"/>
  <c r="IX427" i="1"/>
  <c r="IZ425" i="1"/>
  <c r="IY424" i="1"/>
  <c r="IZ424" i="1"/>
  <c r="IY423" i="1"/>
  <c r="IZ423" i="1"/>
  <c r="IY422" i="1"/>
  <c r="IZ422" i="1"/>
  <c r="IY421" i="1"/>
  <c r="IZ421" i="1"/>
  <c r="IY420" i="1"/>
  <c r="IZ420" i="1"/>
  <c r="IX419" i="1"/>
  <c r="IY417" i="1"/>
  <c r="IY416" i="1"/>
  <c r="IX416" i="1"/>
  <c r="IX411" i="1"/>
  <c r="IY409" i="1"/>
  <c r="IZ409" i="1"/>
  <c r="IZ408" i="1"/>
  <c r="IZ407" i="1"/>
  <c r="IX406" i="1"/>
  <c r="IY404" i="1"/>
  <c r="IZ404" i="1"/>
  <c r="IZ403" i="1"/>
  <c r="IY402" i="1"/>
  <c r="IX401" i="1"/>
  <c r="IX397" i="1"/>
  <c r="IY395" i="1"/>
  <c r="IY392" i="1"/>
  <c r="IZ392" i="1"/>
  <c r="IY391" i="1"/>
  <c r="IZ391" i="1"/>
  <c r="IY390" i="1"/>
  <c r="IZ390" i="1"/>
  <c r="IY389" i="1"/>
  <c r="IZ389" i="1"/>
  <c r="IY388" i="1"/>
  <c r="IZ388" i="1"/>
  <c r="IY387" i="1"/>
  <c r="IX386" i="1"/>
  <c r="IY383" i="1"/>
  <c r="IZ383" i="1"/>
  <c r="IY382" i="1"/>
  <c r="IZ382" i="1"/>
  <c r="IY381" i="1"/>
  <c r="IX380" i="1"/>
  <c r="IX378" i="1"/>
  <c r="IZ375" i="1"/>
  <c r="IY375" i="1"/>
  <c r="IX375" i="1"/>
  <c r="IZ371" i="1"/>
  <c r="IY371" i="1"/>
  <c r="IY369" i="1"/>
  <c r="IY368" i="1"/>
  <c r="IY366" i="1"/>
  <c r="IX368" i="1"/>
  <c r="IX366" i="1"/>
  <c r="IZ361" i="1"/>
  <c r="IY361" i="1"/>
  <c r="IX361" i="1"/>
  <c r="IY359" i="1"/>
  <c r="IY358" i="1"/>
  <c r="IX358" i="1"/>
  <c r="IZ354" i="1"/>
  <c r="IY354" i="1"/>
  <c r="IX354" i="1"/>
  <c r="IY351" i="1"/>
  <c r="IZ351" i="1"/>
  <c r="IZ329" i="1"/>
  <c r="IY329" i="1"/>
  <c r="IX329" i="1"/>
  <c r="IZ326" i="1"/>
  <c r="IY326" i="1"/>
  <c r="IX326" i="1"/>
  <c r="IX322" i="1"/>
  <c r="IZ319" i="1"/>
  <c r="IX319" i="1"/>
  <c r="IZ316" i="1"/>
  <c r="IY316" i="1"/>
  <c r="IX316" i="1"/>
  <c r="IY313" i="1"/>
  <c r="IX313" i="1"/>
  <c r="IZ310" i="1"/>
  <c r="IY310" i="1"/>
  <c r="IX310" i="1"/>
  <c r="IX308" i="1"/>
  <c r="IZ305" i="1"/>
  <c r="IY305" i="1"/>
  <c r="IX305" i="1"/>
  <c r="IZ302" i="1"/>
  <c r="IY302" i="1"/>
  <c r="IX302" i="1"/>
  <c r="IZ298" i="1"/>
  <c r="IY298" i="1"/>
  <c r="IX298" i="1"/>
  <c r="IZ293" i="1"/>
  <c r="IY293" i="1"/>
  <c r="IX293" i="1"/>
  <c r="IZ288" i="1"/>
  <c r="IY288" i="1"/>
  <c r="IX288" i="1"/>
  <c r="IY284" i="1"/>
  <c r="IZ284" i="1"/>
  <c r="IY283" i="1"/>
  <c r="IZ283" i="1"/>
  <c r="IY282" i="1"/>
  <c r="IZ282" i="1"/>
  <c r="IY281" i="1"/>
  <c r="IZ281" i="1"/>
  <c r="IZ280" i="1"/>
  <c r="IX279" i="1"/>
  <c r="IZ275" i="1"/>
  <c r="IY275" i="1"/>
  <c r="IX275" i="1"/>
  <c r="IX267" i="1"/>
  <c r="IY263" i="1"/>
  <c r="IZ263" i="1"/>
  <c r="IZ262" i="1"/>
  <c r="IY261" i="1"/>
  <c r="IZ261" i="1"/>
  <c r="IX259" i="1"/>
  <c r="IZ257" i="1"/>
  <c r="IY257" i="1"/>
  <c r="IY255" i="1"/>
  <c r="IZ253" i="1"/>
  <c r="IX251" i="1"/>
  <c r="IY247" i="1"/>
  <c r="IY246" i="1"/>
  <c r="IX246" i="1"/>
  <c r="IX244" i="1"/>
  <c r="JC866" i="1"/>
  <c r="JB866" i="1"/>
  <c r="JB861" i="1"/>
  <c r="JB860" i="1"/>
  <c r="JA860" i="1"/>
  <c r="JC858" i="1"/>
  <c r="JB858" i="1"/>
  <c r="JB856" i="1"/>
  <c r="JC856" i="1"/>
  <c r="JA856" i="1"/>
  <c r="JB853" i="1"/>
  <c r="JC853" i="1"/>
  <c r="JB852" i="1"/>
  <c r="JC852" i="1"/>
  <c r="JB851" i="1"/>
  <c r="JC851" i="1"/>
  <c r="JB850" i="1"/>
  <c r="JC850" i="1"/>
  <c r="JB849" i="1"/>
  <c r="JC849" i="1"/>
  <c r="JB848" i="1"/>
  <c r="JC848" i="1"/>
  <c r="JB847" i="1"/>
  <c r="JC847" i="1"/>
  <c r="JB846" i="1"/>
  <c r="JC846" i="1"/>
  <c r="JB845" i="1"/>
  <c r="JA845" i="1"/>
  <c r="JC843" i="1"/>
  <c r="JB843" i="1"/>
  <c r="JB842" i="1"/>
  <c r="JC842" i="1"/>
  <c r="JA842" i="1"/>
  <c r="JB840" i="1"/>
  <c r="JC840" i="1"/>
  <c r="JB839" i="1"/>
  <c r="JC839" i="1"/>
  <c r="JB838" i="1"/>
  <c r="JC838" i="1"/>
  <c r="JB837" i="1"/>
  <c r="JC837" i="1"/>
  <c r="JB836" i="1"/>
  <c r="JC836" i="1"/>
  <c r="JB835" i="1"/>
  <c r="JC835" i="1"/>
  <c r="JB833" i="1"/>
  <c r="JC833" i="1"/>
  <c r="JB832" i="1"/>
  <c r="JC832" i="1"/>
  <c r="JB831" i="1"/>
  <c r="JC831" i="1"/>
  <c r="JB830" i="1"/>
  <c r="JC830" i="1"/>
  <c r="JC827" i="1"/>
  <c r="JB829" i="1"/>
  <c r="JC829" i="1"/>
  <c r="JB828" i="1"/>
  <c r="JC828" i="1"/>
  <c r="JA827" i="1"/>
  <c r="JB825" i="1"/>
  <c r="JC825" i="1"/>
  <c r="JB824" i="1"/>
  <c r="JC824" i="1"/>
  <c r="JB823" i="1"/>
  <c r="JC823" i="1"/>
  <c r="JB822" i="1"/>
  <c r="JC822" i="1"/>
  <c r="JB821" i="1"/>
  <c r="JC821" i="1"/>
  <c r="JB820" i="1"/>
  <c r="JC820" i="1"/>
  <c r="JB819" i="1"/>
  <c r="JC819" i="1"/>
  <c r="JB818" i="1"/>
  <c r="JC818" i="1"/>
  <c r="JB817" i="1"/>
  <c r="JC817" i="1"/>
  <c r="JB816" i="1"/>
  <c r="JC816" i="1"/>
  <c r="JB815" i="1"/>
  <c r="JC815" i="1"/>
  <c r="JB814" i="1"/>
  <c r="JC814" i="1"/>
  <c r="JB813" i="1"/>
  <c r="JC813" i="1"/>
  <c r="JB812" i="1"/>
  <c r="JC812" i="1"/>
  <c r="JB811" i="1"/>
  <c r="JC811" i="1"/>
  <c r="JB810" i="1"/>
  <c r="JC810" i="1"/>
  <c r="JB809" i="1"/>
  <c r="JC809" i="1"/>
  <c r="JB808" i="1"/>
  <c r="JC808" i="1"/>
  <c r="JB807" i="1"/>
  <c r="JC807" i="1"/>
  <c r="JB806" i="1"/>
  <c r="JC806" i="1"/>
  <c r="JB805" i="1"/>
  <c r="JC805" i="1"/>
  <c r="JB804" i="1"/>
  <c r="JC804" i="1"/>
  <c r="JB803" i="1"/>
  <c r="JC803" i="1"/>
  <c r="JB802" i="1"/>
  <c r="JC802" i="1"/>
  <c r="JB801" i="1"/>
  <c r="JC801" i="1"/>
  <c r="JB800" i="1"/>
  <c r="JC800" i="1"/>
  <c r="JB799" i="1"/>
  <c r="JC799" i="1"/>
  <c r="JB798" i="1"/>
  <c r="JC798" i="1"/>
  <c r="JB797" i="1"/>
  <c r="JC797" i="1"/>
  <c r="JB796" i="1"/>
  <c r="JC796" i="1"/>
  <c r="JB793" i="1"/>
  <c r="JC793" i="1"/>
  <c r="JB792" i="1"/>
  <c r="JC792" i="1"/>
  <c r="JB791" i="1"/>
  <c r="JA790" i="1"/>
  <c r="JB788" i="1"/>
  <c r="JC788" i="1"/>
  <c r="JB787" i="1"/>
  <c r="JC787" i="1"/>
  <c r="JB786" i="1"/>
  <c r="JC786" i="1"/>
  <c r="JB785" i="1"/>
  <c r="JC785" i="1"/>
  <c r="JB784" i="1"/>
  <c r="JA783" i="1"/>
  <c r="JB781" i="1"/>
  <c r="JC781" i="1"/>
  <c r="JB780" i="1"/>
  <c r="JC780" i="1"/>
  <c r="JB779" i="1"/>
  <c r="JC779" i="1"/>
  <c r="JB778" i="1"/>
  <c r="JC778" i="1"/>
  <c r="JB777" i="1"/>
  <c r="JC777" i="1"/>
  <c r="JB776" i="1"/>
  <c r="JC776" i="1"/>
  <c r="JB775" i="1"/>
  <c r="JC775" i="1"/>
  <c r="JB774" i="1"/>
  <c r="JC774" i="1"/>
  <c r="JB770" i="1"/>
  <c r="JC770" i="1"/>
  <c r="JB769" i="1"/>
  <c r="JC769" i="1"/>
  <c r="JA768" i="1"/>
  <c r="JB748" i="1"/>
  <c r="JC748" i="1"/>
  <c r="JB747" i="1"/>
  <c r="JC747" i="1"/>
  <c r="JB746" i="1"/>
  <c r="JC746" i="1"/>
  <c r="JB745" i="1"/>
  <c r="JC745" i="1"/>
  <c r="JB744" i="1"/>
  <c r="JC744" i="1"/>
  <c r="JB743" i="1"/>
  <c r="JC743" i="1"/>
  <c r="JA742" i="1"/>
  <c r="JC740" i="1"/>
  <c r="JB740" i="1"/>
  <c r="JC738" i="1"/>
  <c r="JB738" i="1"/>
  <c r="JA738" i="1"/>
  <c r="JB736" i="1"/>
  <c r="JC736" i="1"/>
  <c r="JB735" i="1"/>
  <c r="JC735" i="1"/>
  <c r="JB734" i="1"/>
  <c r="JC734" i="1"/>
  <c r="JB733" i="1"/>
  <c r="JC733" i="1"/>
  <c r="JB732" i="1"/>
  <c r="JC732" i="1"/>
  <c r="JB731" i="1"/>
  <c r="JC731" i="1"/>
  <c r="JB730" i="1"/>
  <c r="JC730" i="1"/>
  <c r="JB729" i="1"/>
  <c r="JC729" i="1"/>
  <c r="JA728" i="1"/>
  <c r="JC725" i="1"/>
  <c r="JB725" i="1"/>
  <c r="JA725" i="1"/>
  <c r="JA721" i="1"/>
  <c r="JC718" i="1"/>
  <c r="JB718" i="1"/>
  <c r="JA718" i="1"/>
  <c r="JB716" i="1"/>
  <c r="JC716" i="1"/>
  <c r="JB715" i="1"/>
  <c r="JC715" i="1"/>
  <c r="JB714" i="1"/>
  <c r="JC714" i="1"/>
  <c r="JB712" i="1"/>
  <c r="JC712" i="1"/>
  <c r="JA711" i="1"/>
  <c r="JB706" i="1"/>
  <c r="JC706" i="1"/>
  <c r="JC705" i="1"/>
  <c r="JB705" i="1"/>
  <c r="JA705" i="1"/>
  <c r="JB703" i="1"/>
  <c r="JC703" i="1"/>
  <c r="JA702" i="1"/>
  <c r="JA691" i="1"/>
  <c r="JB700" i="1"/>
  <c r="JB699" i="1"/>
  <c r="JA699" i="1"/>
  <c r="JC696" i="1"/>
  <c r="JB696" i="1"/>
  <c r="JA696" i="1"/>
  <c r="JB694" i="1"/>
  <c r="JB693" i="1"/>
  <c r="JA693" i="1"/>
  <c r="JB686" i="1"/>
  <c r="JB685" i="1"/>
  <c r="JA685" i="1"/>
  <c r="JC682" i="1"/>
  <c r="JC681" i="1"/>
  <c r="JB682" i="1"/>
  <c r="JB681" i="1"/>
  <c r="JA681" i="1"/>
  <c r="JB679" i="1"/>
  <c r="JC679" i="1"/>
  <c r="JB678" i="1"/>
  <c r="JC678" i="1"/>
  <c r="JB677" i="1"/>
  <c r="JC677" i="1"/>
  <c r="JB676" i="1"/>
  <c r="JC676" i="1"/>
  <c r="JB675" i="1"/>
  <c r="JC675" i="1"/>
  <c r="JB674" i="1"/>
  <c r="JC674" i="1"/>
  <c r="JB673" i="1"/>
  <c r="JC673" i="1"/>
  <c r="JB672" i="1"/>
  <c r="JC672" i="1"/>
  <c r="JB670" i="1"/>
  <c r="JC670" i="1"/>
  <c r="JA669" i="1"/>
  <c r="JB667" i="1"/>
  <c r="JC667" i="1"/>
  <c r="JB666" i="1"/>
  <c r="JA666" i="1"/>
  <c r="JC655" i="1"/>
  <c r="JB655" i="1"/>
  <c r="JB653" i="1"/>
  <c r="JB651" i="1"/>
  <c r="JA655" i="1"/>
  <c r="JC653" i="1"/>
  <c r="JC651" i="1"/>
  <c r="JA653" i="1"/>
  <c r="JA651" i="1"/>
  <c r="JC646" i="1"/>
  <c r="JA645" i="1"/>
  <c r="JB643" i="1"/>
  <c r="JC643" i="1"/>
  <c r="JB641" i="1"/>
  <c r="JC641" i="1"/>
  <c r="JB638" i="1"/>
  <c r="JA637" i="1"/>
  <c r="JA632" i="1"/>
  <c r="JA630" i="1"/>
  <c r="JA628" i="1"/>
  <c r="JB635" i="1"/>
  <c r="JC635" i="1"/>
  <c r="JA634" i="1"/>
  <c r="JB626" i="1"/>
  <c r="JB625" i="1"/>
  <c r="JA625" i="1"/>
  <c r="JB623" i="1"/>
  <c r="JC623" i="1"/>
  <c r="JB621" i="1"/>
  <c r="JA621" i="1"/>
  <c r="JA619" i="1"/>
  <c r="JB617" i="1"/>
  <c r="JC617" i="1"/>
  <c r="JC616" i="1"/>
  <c r="JA616" i="1"/>
  <c r="JB614" i="1"/>
  <c r="JC614" i="1"/>
  <c r="JB613" i="1"/>
  <c r="JA613" i="1"/>
  <c r="JA611" i="1"/>
  <c r="JC606" i="1"/>
  <c r="JB606" i="1"/>
  <c r="JA606" i="1"/>
  <c r="JB603" i="1"/>
  <c r="JC603" i="1"/>
  <c r="JA600" i="1"/>
  <c r="JB598" i="1"/>
  <c r="JC598" i="1"/>
  <c r="JC36" i="1"/>
  <c r="JA592" i="1"/>
  <c r="JB590" i="1"/>
  <c r="JC590" i="1"/>
  <c r="JC588" i="1"/>
  <c r="JA585" i="1"/>
  <c r="JB583" i="1"/>
  <c r="JB582" i="1"/>
  <c r="JC582" i="1"/>
  <c r="JA581" i="1"/>
  <c r="JA579" i="1"/>
  <c r="JA577" i="1"/>
  <c r="JC571" i="1"/>
  <c r="JC569" i="1"/>
  <c r="JC567" i="1"/>
  <c r="JB571" i="1"/>
  <c r="JA571" i="1"/>
  <c r="JB569" i="1"/>
  <c r="JB567" i="1"/>
  <c r="JA569" i="1"/>
  <c r="JA567" i="1"/>
  <c r="JC563" i="1"/>
  <c r="JB563" i="1"/>
  <c r="JA563" i="1"/>
  <c r="JA558" i="1"/>
  <c r="JC555" i="1"/>
  <c r="JB555" i="1"/>
  <c r="JA555" i="1"/>
  <c r="JB553" i="1"/>
  <c r="JC553" i="1"/>
  <c r="JB552" i="1"/>
  <c r="JC552" i="1"/>
  <c r="JB551" i="1"/>
  <c r="JA549" i="1"/>
  <c r="JB546" i="1"/>
  <c r="JC546" i="1"/>
  <c r="JB545" i="1"/>
  <c r="JC545" i="1"/>
  <c r="JA543" i="1"/>
  <c r="JA541" i="1"/>
  <c r="JB536" i="1"/>
  <c r="JC536" i="1"/>
  <c r="JB535" i="1"/>
  <c r="JB530" i="1"/>
  <c r="JA535" i="1"/>
  <c r="JB533" i="1"/>
  <c r="JB532" i="1"/>
  <c r="JA532" i="1"/>
  <c r="JC526" i="1"/>
  <c r="JB526" i="1"/>
  <c r="JA526" i="1"/>
  <c r="JB524" i="1"/>
  <c r="JC524" i="1"/>
  <c r="JC193" i="1"/>
  <c r="JB522" i="1"/>
  <c r="JC522" i="1"/>
  <c r="JC191" i="1"/>
  <c r="JB520" i="1"/>
  <c r="JC520" i="1"/>
  <c r="JC189" i="1"/>
  <c r="JB518" i="1"/>
  <c r="JC518" i="1"/>
  <c r="JB514" i="1"/>
  <c r="JC514" i="1"/>
  <c r="JC182" i="1"/>
  <c r="JA507" i="1"/>
  <c r="JA505" i="1"/>
  <c r="JC500" i="1"/>
  <c r="JB500" i="1"/>
  <c r="JA500" i="1"/>
  <c r="JB498" i="1"/>
  <c r="JC498" i="1"/>
  <c r="JC165" i="1"/>
  <c r="JB495" i="1"/>
  <c r="JC495" i="1"/>
  <c r="JB494" i="1"/>
  <c r="JC494" i="1"/>
  <c r="JC493" i="1"/>
  <c r="JB492" i="1"/>
  <c r="JC492" i="1"/>
  <c r="JB491" i="1"/>
  <c r="JC491" i="1"/>
  <c r="JC489" i="1"/>
  <c r="JA488" i="1"/>
  <c r="JB486" i="1"/>
  <c r="JC486" i="1"/>
  <c r="JB485" i="1"/>
  <c r="JC485" i="1"/>
  <c r="JB484" i="1"/>
  <c r="JC484" i="1"/>
  <c r="JB483" i="1"/>
  <c r="JA482" i="1"/>
  <c r="JB480" i="1"/>
  <c r="JC480" i="1"/>
  <c r="JB479" i="1"/>
  <c r="JC479" i="1"/>
  <c r="JC478" i="1"/>
  <c r="JB476" i="1"/>
  <c r="JC476" i="1"/>
  <c r="JB474" i="1"/>
  <c r="JC474" i="1"/>
  <c r="JA472" i="1"/>
  <c r="JB469" i="1"/>
  <c r="JC469" i="1"/>
  <c r="JB468" i="1"/>
  <c r="JC468" i="1"/>
  <c r="JB467" i="1"/>
  <c r="JC467" i="1"/>
  <c r="JB466" i="1"/>
  <c r="JC466" i="1"/>
  <c r="JB465" i="1"/>
  <c r="JC465" i="1"/>
  <c r="JA464" i="1"/>
  <c r="JC462" i="1"/>
  <c r="JB461" i="1"/>
  <c r="JC461" i="1"/>
  <c r="JB459" i="1"/>
  <c r="JC459" i="1"/>
  <c r="JA458" i="1"/>
  <c r="JA451" i="1"/>
  <c r="JB449" i="1"/>
  <c r="JC449" i="1"/>
  <c r="JC448" i="1"/>
  <c r="JB447" i="1"/>
  <c r="JC447" i="1"/>
  <c r="JB446" i="1"/>
  <c r="JC446" i="1"/>
  <c r="JA444" i="1"/>
  <c r="JB442" i="1"/>
  <c r="JC442" i="1"/>
  <c r="JB440" i="1"/>
  <c r="JA439" i="1"/>
  <c r="JB434" i="1"/>
  <c r="JC434" i="1"/>
  <c r="JB433" i="1"/>
  <c r="JC433" i="1"/>
  <c r="JB432" i="1"/>
  <c r="JC432" i="1"/>
  <c r="JB431" i="1"/>
  <c r="JC431" i="1"/>
  <c r="JB430" i="1"/>
  <c r="JC430" i="1"/>
  <c r="JB429" i="1"/>
  <c r="JA427" i="1"/>
  <c r="JB424" i="1"/>
  <c r="JC424" i="1"/>
  <c r="JB423" i="1"/>
  <c r="JC423" i="1"/>
  <c r="JB422" i="1"/>
  <c r="JB421" i="1"/>
  <c r="JC421" i="1"/>
  <c r="JB420" i="1"/>
  <c r="JA419" i="1"/>
  <c r="JB417" i="1"/>
  <c r="JB416" i="1"/>
  <c r="JA416" i="1"/>
  <c r="JC414" i="1"/>
  <c r="JA411" i="1"/>
  <c r="JB409" i="1"/>
  <c r="JC409" i="1"/>
  <c r="JA406" i="1"/>
  <c r="JB404" i="1"/>
  <c r="JC403" i="1"/>
  <c r="JB402" i="1"/>
  <c r="JA401" i="1"/>
  <c r="JA397" i="1"/>
  <c r="JB395" i="1"/>
  <c r="JC395" i="1"/>
  <c r="JC61" i="1"/>
  <c r="JB392" i="1"/>
  <c r="JC392" i="1"/>
  <c r="JB391" i="1"/>
  <c r="JC391" i="1"/>
  <c r="JB390" i="1"/>
  <c r="JC390" i="1"/>
  <c r="JB389" i="1"/>
  <c r="JC389" i="1"/>
  <c r="JB388" i="1"/>
  <c r="JC388" i="1"/>
  <c r="JB387" i="1"/>
  <c r="JC387" i="1"/>
  <c r="JA386" i="1"/>
  <c r="JA378" i="1"/>
  <c r="JC384" i="1"/>
  <c r="JB383" i="1"/>
  <c r="JC383" i="1"/>
  <c r="JB382" i="1"/>
  <c r="JC382" i="1"/>
  <c r="JB381" i="1"/>
  <c r="JC381" i="1"/>
  <c r="JA380" i="1"/>
  <c r="JC375" i="1"/>
  <c r="JB375" i="1"/>
  <c r="JA375" i="1"/>
  <c r="JB371" i="1"/>
  <c r="JC371" i="1"/>
  <c r="JB369" i="1"/>
  <c r="JC369" i="1"/>
  <c r="JB368" i="1"/>
  <c r="JA368" i="1"/>
  <c r="JA366" i="1"/>
  <c r="JB366" i="1"/>
  <c r="JC361" i="1"/>
  <c r="JB361" i="1"/>
  <c r="JA361" i="1"/>
  <c r="JB359" i="1"/>
  <c r="JB358" i="1"/>
  <c r="JB351" i="1"/>
  <c r="JB354" i="1"/>
  <c r="JB347" i="1"/>
  <c r="JA358" i="1"/>
  <c r="JC354" i="1"/>
  <c r="JA354" i="1"/>
  <c r="JC351" i="1"/>
  <c r="JA347" i="1"/>
  <c r="JC329" i="1"/>
  <c r="JB329" i="1"/>
  <c r="JA329" i="1"/>
  <c r="JB326" i="1"/>
  <c r="JA326" i="1"/>
  <c r="JA322" i="1"/>
  <c r="JB319" i="1"/>
  <c r="JA319" i="1"/>
  <c r="JC316" i="1"/>
  <c r="JA316" i="1"/>
  <c r="JC313" i="1"/>
  <c r="JB313" i="1"/>
  <c r="JA313" i="1"/>
  <c r="JC310" i="1"/>
  <c r="JB310" i="1"/>
  <c r="JA310" i="1"/>
  <c r="JA308" i="1"/>
  <c r="JC305" i="1"/>
  <c r="JB305" i="1"/>
  <c r="JA305" i="1"/>
  <c r="JC302" i="1"/>
  <c r="JB302" i="1"/>
  <c r="JA302" i="1"/>
  <c r="JC298" i="1"/>
  <c r="JB298" i="1"/>
  <c r="JA298" i="1"/>
  <c r="JC293" i="1"/>
  <c r="JB293" i="1"/>
  <c r="JA293" i="1"/>
  <c r="JC288" i="1"/>
  <c r="JB288" i="1"/>
  <c r="JA288" i="1"/>
  <c r="JB284" i="1"/>
  <c r="JC284" i="1"/>
  <c r="JB283" i="1"/>
  <c r="JC283" i="1"/>
  <c r="JB282" i="1"/>
  <c r="JC282" i="1"/>
  <c r="JB281" i="1"/>
  <c r="JC281" i="1"/>
  <c r="JC280" i="1"/>
  <c r="JA279" i="1"/>
  <c r="JC275" i="1"/>
  <c r="JB275" i="1"/>
  <c r="JA275" i="1"/>
  <c r="JA267" i="1"/>
  <c r="JB263" i="1"/>
  <c r="JC263" i="1"/>
  <c r="JC262" i="1"/>
  <c r="JB261" i="1"/>
  <c r="JC261" i="1"/>
  <c r="JA259" i="1"/>
  <c r="JB257" i="1"/>
  <c r="JC257" i="1"/>
  <c r="JB255" i="1"/>
  <c r="JC255" i="1"/>
  <c r="JC253" i="1"/>
  <c r="JA251" i="1"/>
  <c r="JB247" i="1"/>
  <c r="JB246" i="1"/>
  <c r="JA246" i="1"/>
  <c r="JA244" i="1"/>
  <c r="JF866" i="1"/>
  <c r="JE866" i="1"/>
  <c r="JE861" i="1"/>
  <c r="JF861" i="1"/>
  <c r="JF860" i="1"/>
  <c r="JE860" i="1"/>
  <c r="JD860" i="1"/>
  <c r="JF858" i="1"/>
  <c r="JF856" i="1"/>
  <c r="JE858" i="1"/>
  <c r="JE856" i="1"/>
  <c r="JD856" i="1"/>
  <c r="JE853" i="1"/>
  <c r="JF853" i="1"/>
  <c r="JE852" i="1"/>
  <c r="JF852" i="1"/>
  <c r="JE851" i="1"/>
  <c r="JF851" i="1"/>
  <c r="JE850" i="1"/>
  <c r="JF850" i="1"/>
  <c r="JE849" i="1"/>
  <c r="JF849" i="1"/>
  <c r="JE848" i="1"/>
  <c r="JF848" i="1"/>
  <c r="JE847" i="1"/>
  <c r="JF847" i="1"/>
  <c r="JE846" i="1"/>
  <c r="JF846" i="1"/>
  <c r="JD845" i="1"/>
  <c r="JF843" i="1"/>
  <c r="JE843" i="1"/>
  <c r="JF842" i="1"/>
  <c r="JE842" i="1"/>
  <c r="JD842" i="1"/>
  <c r="JE840" i="1"/>
  <c r="JF840" i="1"/>
  <c r="JE839" i="1"/>
  <c r="JF839" i="1"/>
  <c r="JE838" i="1"/>
  <c r="JF838" i="1"/>
  <c r="JE837" i="1"/>
  <c r="JF837" i="1"/>
  <c r="JE836" i="1"/>
  <c r="JF836" i="1"/>
  <c r="JE835" i="1"/>
  <c r="JF835" i="1"/>
  <c r="JE833" i="1"/>
  <c r="JF833" i="1"/>
  <c r="JE832" i="1"/>
  <c r="JF832" i="1"/>
  <c r="JE831" i="1"/>
  <c r="JF831" i="1"/>
  <c r="JF827" i="1"/>
  <c r="JE830" i="1"/>
  <c r="JF830" i="1"/>
  <c r="JE829" i="1"/>
  <c r="JF829" i="1"/>
  <c r="JE828" i="1"/>
  <c r="JF828" i="1"/>
  <c r="JD827" i="1"/>
  <c r="JE825" i="1"/>
  <c r="JF825" i="1"/>
  <c r="JE824" i="1"/>
  <c r="JF824" i="1"/>
  <c r="JE823" i="1"/>
  <c r="JF823" i="1"/>
  <c r="JE822" i="1"/>
  <c r="JF822" i="1"/>
  <c r="JE821" i="1"/>
  <c r="JF821" i="1"/>
  <c r="JE820" i="1"/>
  <c r="JF820" i="1"/>
  <c r="JE819" i="1"/>
  <c r="JF819" i="1"/>
  <c r="JE818" i="1"/>
  <c r="JF818" i="1"/>
  <c r="JE817" i="1"/>
  <c r="JF817" i="1"/>
  <c r="JE816" i="1"/>
  <c r="JF816" i="1"/>
  <c r="JE815" i="1"/>
  <c r="JF815" i="1"/>
  <c r="JE814" i="1"/>
  <c r="JF814" i="1"/>
  <c r="JE813" i="1"/>
  <c r="JF813" i="1"/>
  <c r="JE812" i="1"/>
  <c r="JF812" i="1"/>
  <c r="JE811" i="1"/>
  <c r="JF811" i="1"/>
  <c r="JE810" i="1"/>
  <c r="JF810" i="1"/>
  <c r="JE809" i="1"/>
  <c r="JF809" i="1"/>
  <c r="JE808" i="1"/>
  <c r="JF808" i="1"/>
  <c r="JE807" i="1"/>
  <c r="JF807" i="1"/>
  <c r="JE806" i="1"/>
  <c r="JF806" i="1"/>
  <c r="JE805" i="1"/>
  <c r="JF805" i="1"/>
  <c r="JE804" i="1"/>
  <c r="JF804" i="1"/>
  <c r="JE803" i="1"/>
  <c r="JF803" i="1"/>
  <c r="JE802" i="1"/>
  <c r="JF802" i="1"/>
  <c r="JE801" i="1"/>
  <c r="JF801" i="1"/>
  <c r="JE800" i="1"/>
  <c r="JF800" i="1"/>
  <c r="JE799" i="1"/>
  <c r="JF799" i="1"/>
  <c r="JE798" i="1"/>
  <c r="JF798" i="1"/>
  <c r="JE797" i="1"/>
  <c r="JF797" i="1"/>
  <c r="JE796" i="1"/>
  <c r="JF796" i="1"/>
  <c r="JE793" i="1"/>
  <c r="JF793" i="1"/>
  <c r="JE792" i="1"/>
  <c r="JF792" i="1"/>
  <c r="JE791" i="1"/>
  <c r="JF791" i="1"/>
  <c r="JD790" i="1"/>
  <c r="JE788" i="1"/>
  <c r="JF788" i="1"/>
  <c r="JF783" i="1"/>
  <c r="JE787" i="1"/>
  <c r="JF787" i="1"/>
  <c r="JE786" i="1"/>
  <c r="JF786" i="1"/>
  <c r="JE785" i="1"/>
  <c r="JF785" i="1"/>
  <c r="JE784" i="1"/>
  <c r="JD783" i="1"/>
  <c r="JE781" i="1"/>
  <c r="JF781" i="1"/>
  <c r="JE780" i="1"/>
  <c r="JF780" i="1"/>
  <c r="JE779" i="1"/>
  <c r="JF779" i="1"/>
  <c r="JE778" i="1"/>
  <c r="JF778" i="1"/>
  <c r="JE777" i="1"/>
  <c r="JF777" i="1"/>
  <c r="JE776" i="1"/>
  <c r="JF776" i="1"/>
  <c r="JE775" i="1"/>
  <c r="JF775" i="1"/>
  <c r="JE774" i="1"/>
  <c r="JF774" i="1"/>
  <c r="JE770" i="1"/>
  <c r="JF770" i="1"/>
  <c r="JE769" i="1"/>
  <c r="JF769" i="1"/>
  <c r="JD768" i="1"/>
  <c r="JE748" i="1"/>
  <c r="JF748" i="1"/>
  <c r="JE747" i="1"/>
  <c r="JF747" i="1"/>
  <c r="JE746" i="1"/>
  <c r="JF746" i="1"/>
  <c r="JE745" i="1"/>
  <c r="JF745" i="1"/>
  <c r="JE744" i="1"/>
  <c r="JF744" i="1"/>
  <c r="JE743" i="1"/>
  <c r="JF743" i="1"/>
  <c r="JD742" i="1"/>
  <c r="JF740" i="1"/>
  <c r="JE740" i="1"/>
  <c r="JF738" i="1"/>
  <c r="JE738" i="1"/>
  <c r="JD738" i="1"/>
  <c r="JE736" i="1"/>
  <c r="JF736" i="1"/>
  <c r="JE735" i="1"/>
  <c r="JF735" i="1"/>
  <c r="JE734" i="1"/>
  <c r="JF734" i="1"/>
  <c r="JE733" i="1"/>
  <c r="JF733" i="1"/>
  <c r="JE732" i="1"/>
  <c r="JF732" i="1"/>
  <c r="JE731" i="1"/>
  <c r="JF731" i="1"/>
  <c r="JE730" i="1"/>
  <c r="JF730" i="1"/>
  <c r="JE729" i="1"/>
  <c r="JF729" i="1"/>
  <c r="JD728" i="1"/>
  <c r="JF725" i="1"/>
  <c r="JE725" i="1"/>
  <c r="JD725" i="1"/>
  <c r="JF718" i="1"/>
  <c r="JE718" i="1"/>
  <c r="JD718" i="1"/>
  <c r="JE716" i="1"/>
  <c r="JF716" i="1"/>
  <c r="JE715" i="1"/>
  <c r="JF715" i="1"/>
  <c r="JE714" i="1"/>
  <c r="JF714" i="1"/>
  <c r="JE712" i="1"/>
  <c r="JD711" i="1"/>
  <c r="JE706" i="1"/>
  <c r="JE705" i="1"/>
  <c r="JD705" i="1"/>
  <c r="JF703" i="1"/>
  <c r="JF702" i="1"/>
  <c r="JE703" i="1"/>
  <c r="JE702" i="1"/>
  <c r="JD702" i="1"/>
  <c r="JE700" i="1"/>
  <c r="JF700" i="1"/>
  <c r="JF699" i="1"/>
  <c r="JE699" i="1"/>
  <c r="JD699" i="1"/>
  <c r="JF696" i="1"/>
  <c r="JE696" i="1"/>
  <c r="JD696" i="1"/>
  <c r="JE694" i="1"/>
  <c r="JF694" i="1"/>
  <c r="JF693" i="1"/>
  <c r="JE693" i="1"/>
  <c r="JD693" i="1"/>
  <c r="JE686" i="1"/>
  <c r="JF686" i="1"/>
  <c r="JF685" i="1"/>
  <c r="JE685" i="1"/>
  <c r="JD685" i="1"/>
  <c r="JF682" i="1"/>
  <c r="JE682" i="1"/>
  <c r="JE681" i="1"/>
  <c r="JF681" i="1"/>
  <c r="JD681" i="1"/>
  <c r="JE679" i="1"/>
  <c r="JF679" i="1"/>
  <c r="JE678" i="1"/>
  <c r="JF678" i="1"/>
  <c r="JE677" i="1"/>
  <c r="JF677" i="1"/>
  <c r="JE676" i="1"/>
  <c r="JF676" i="1"/>
  <c r="JE675" i="1"/>
  <c r="JF675" i="1"/>
  <c r="JE674" i="1"/>
  <c r="JF674" i="1"/>
  <c r="JE673" i="1"/>
  <c r="JF673" i="1"/>
  <c r="JE672" i="1"/>
  <c r="JE670" i="1"/>
  <c r="JD669" i="1"/>
  <c r="JD664" i="1"/>
  <c r="JD662" i="1"/>
  <c r="JF667" i="1"/>
  <c r="JF666" i="1"/>
  <c r="JE667" i="1"/>
  <c r="JE666" i="1"/>
  <c r="JD666" i="1"/>
  <c r="JF655" i="1"/>
  <c r="JE655" i="1"/>
  <c r="JE653" i="1"/>
  <c r="JE651" i="1"/>
  <c r="JD655" i="1"/>
  <c r="JF653" i="1"/>
  <c r="JF651" i="1"/>
  <c r="JD653" i="1"/>
  <c r="JD651" i="1"/>
  <c r="JF647" i="1"/>
  <c r="JE645" i="1"/>
  <c r="JD645" i="1"/>
  <c r="JE643" i="1"/>
  <c r="JF643" i="1"/>
  <c r="JE641" i="1"/>
  <c r="JF641" i="1"/>
  <c r="JE638" i="1"/>
  <c r="JF638" i="1"/>
  <c r="JD637" i="1"/>
  <c r="JD632" i="1"/>
  <c r="JD630" i="1"/>
  <c r="JD628" i="1"/>
  <c r="JE635" i="1"/>
  <c r="JE634" i="1"/>
  <c r="JD634" i="1"/>
  <c r="JE626" i="1"/>
  <c r="JF626" i="1"/>
  <c r="JD625" i="1"/>
  <c r="JE623" i="1"/>
  <c r="JF623" i="1"/>
  <c r="JE621" i="1"/>
  <c r="JD621" i="1"/>
  <c r="JD619" i="1"/>
  <c r="JE617" i="1"/>
  <c r="JF617" i="1"/>
  <c r="JF616" i="1"/>
  <c r="JD616" i="1"/>
  <c r="JE614" i="1"/>
  <c r="JF614" i="1"/>
  <c r="JE613" i="1"/>
  <c r="JD613" i="1"/>
  <c r="JD611" i="1"/>
  <c r="JD609" i="1"/>
  <c r="JF606" i="1"/>
  <c r="JE606" i="1"/>
  <c r="JD606" i="1"/>
  <c r="JE603" i="1"/>
  <c r="JF603" i="1"/>
  <c r="JD600" i="1"/>
  <c r="JE598" i="1"/>
  <c r="JF598" i="1"/>
  <c r="JF36" i="1"/>
  <c r="JD592" i="1"/>
  <c r="JE590" i="1"/>
  <c r="JF590" i="1"/>
  <c r="JF587" i="1"/>
  <c r="JF586" i="1"/>
  <c r="JD585" i="1"/>
  <c r="JE583" i="1"/>
  <c r="JE582" i="1"/>
  <c r="JF582" i="1"/>
  <c r="JD581" i="1"/>
  <c r="JD579" i="1"/>
  <c r="JD577" i="1"/>
  <c r="JF571" i="1"/>
  <c r="JE571" i="1"/>
  <c r="JE569" i="1"/>
  <c r="JE567" i="1"/>
  <c r="JD571" i="1"/>
  <c r="JF569" i="1"/>
  <c r="JF567" i="1"/>
  <c r="JD569" i="1"/>
  <c r="JD567" i="1"/>
  <c r="JF563" i="1"/>
  <c r="JE563" i="1"/>
  <c r="JD563" i="1"/>
  <c r="JD558" i="1"/>
  <c r="JF555" i="1"/>
  <c r="JE555" i="1"/>
  <c r="JD555" i="1"/>
  <c r="JE553" i="1"/>
  <c r="JF553" i="1"/>
  <c r="JE552" i="1"/>
  <c r="JF552" i="1"/>
  <c r="JF221" i="1"/>
  <c r="JE551" i="1"/>
  <c r="JD549" i="1"/>
  <c r="JE546" i="1"/>
  <c r="JF546" i="1"/>
  <c r="JE545" i="1"/>
  <c r="JF545" i="1"/>
  <c r="JF544" i="1"/>
  <c r="JD543" i="1"/>
  <c r="JD541" i="1"/>
  <c r="JE536" i="1"/>
  <c r="JE535" i="1"/>
  <c r="JE530" i="1"/>
  <c r="JD535" i="1"/>
  <c r="JD530" i="1"/>
  <c r="JE533" i="1"/>
  <c r="JE532" i="1"/>
  <c r="JD532" i="1"/>
  <c r="JF526" i="1"/>
  <c r="JE526" i="1"/>
  <c r="JD526" i="1"/>
  <c r="JE524" i="1"/>
  <c r="JF524" i="1"/>
  <c r="JF193" i="1"/>
  <c r="JE522" i="1"/>
  <c r="JF522" i="1"/>
  <c r="JF191" i="1"/>
  <c r="JE520" i="1"/>
  <c r="JF520" i="1"/>
  <c r="JF189" i="1"/>
  <c r="JF518" i="1"/>
  <c r="JE518" i="1"/>
  <c r="JE514" i="1"/>
  <c r="JF514" i="1"/>
  <c r="JF182" i="1"/>
  <c r="JD507" i="1"/>
  <c r="JD505" i="1"/>
  <c r="JF500" i="1"/>
  <c r="JE500" i="1"/>
  <c r="JD500" i="1"/>
  <c r="JE498" i="1"/>
  <c r="JF498" i="1"/>
  <c r="JF165" i="1"/>
  <c r="JF496" i="1"/>
  <c r="JE495" i="1"/>
  <c r="JF495" i="1"/>
  <c r="JE494" i="1"/>
  <c r="JF494" i="1"/>
  <c r="JE492" i="1"/>
  <c r="JF492" i="1"/>
  <c r="JE491" i="1"/>
  <c r="JF489" i="1"/>
  <c r="JD488" i="1"/>
  <c r="JE486" i="1"/>
  <c r="JF486" i="1"/>
  <c r="JE485" i="1"/>
  <c r="JF485" i="1"/>
  <c r="JE484" i="1"/>
  <c r="JF484" i="1"/>
  <c r="JE483" i="1"/>
  <c r="JF483" i="1"/>
  <c r="JD482" i="1"/>
  <c r="JE480" i="1"/>
  <c r="JF480" i="1"/>
  <c r="JE479" i="1"/>
  <c r="JF479" i="1"/>
  <c r="JF478" i="1"/>
  <c r="JF477" i="1"/>
  <c r="JE476" i="1"/>
  <c r="JF476" i="1"/>
  <c r="JE474" i="1"/>
  <c r="JF474" i="1"/>
  <c r="JD472" i="1"/>
  <c r="JF470" i="1"/>
  <c r="JE469" i="1"/>
  <c r="JF469" i="1"/>
  <c r="JE468" i="1"/>
  <c r="JF468" i="1"/>
  <c r="JE467" i="1"/>
  <c r="JF467" i="1"/>
  <c r="JE466" i="1"/>
  <c r="JF466" i="1"/>
  <c r="JE465" i="1"/>
  <c r="JF465" i="1"/>
  <c r="JD464" i="1"/>
  <c r="JE461" i="1"/>
  <c r="JF461" i="1"/>
  <c r="JF128" i="1"/>
  <c r="JE459" i="1"/>
  <c r="JF459" i="1"/>
  <c r="JD458" i="1"/>
  <c r="JD451" i="1"/>
  <c r="JE449" i="1"/>
  <c r="JF449" i="1"/>
  <c r="JF448" i="1"/>
  <c r="JE447" i="1"/>
  <c r="JF447" i="1"/>
  <c r="JE446" i="1"/>
  <c r="JF446" i="1"/>
  <c r="JD444" i="1"/>
  <c r="JE442" i="1"/>
  <c r="JE440" i="1"/>
  <c r="JD439" i="1"/>
  <c r="JD437" i="1"/>
  <c r="JE434" i="1"/>
  <c r="JF434" i="1"/>
  <c r="JE433" i="1"/>
  <c r="JF433" i="1"/>
  <c r="JE432" i="1"/>
  <c r="JF432" i="1"/>
  <c r="JE431" i="1"/>
  <c r="JF431" i="1"/>
  <c r="JE430" i="1"/>
  <c r="JE429" i="1"/>
  <c r="JD427" i="1"/>
  <c r="JF425" i="1"/>
  <c r="JE424" i="1"/>
  <c r="JF424" i="1"/>
  <c r="JE423" i="1"/>
  <c r="JF423" i="1"/>
  <c r="JE422" i="1"/>
  <c r="JF422" i="1"/>
  <c r="JE421" i="1"/>
  <c r="JF421" i="1"/>
  <c r="JE420" i="1"/>
  <c r="JF420" i="1"/>
  <c r="JD419" i="1"/>
  <c r="JE417" i="1"/>
  <c r="JE416" i="1"/>
  <c r="JD416" i="1"/>
  <c r="JF414" i="1"/>
  <c r="JD411" i="1"/>
  <c r="JE409" i="1"/>
  <c r="JF409" i="1"/>
  <c r="JF408" i="1"/>
  <c r="JD406" i="1"/>
  <c r="JE404" i="1"/>
  <c r="JF404" i="1"/>
  <c r="JF403" i="1"/>
  <c r="JE402" i="1"/>
  <c r="JE401" i="1"/>
  <c r="JD401" i="1"/>
  <c r="JD397" i="1"/>
  <c r="JE395" i="1"/>
  <c r="JF395" i="1"/>
  <c r="JF61" i="1"/>
  <c r="JE392" i="1"/>
  <c r="JF392" i="1"/>
  <c r="JE391" i="1"/>
  <c r="JF391" i="1"/>
  <c r="JE390" i="1"/>
  <c r="JF390" i="1"/>
  <c r="JE389" i="1"/>
  <c r="JF389" i="1"/>
  <c r="JE388" i="1"/>
  <c r="JE387" i="1"/>
  <c r="JF387" i="1"/>
  <c r="JD386" i="1"/>
  <c r="JF384" i="1"/>
  <c r="JE383" i="1"/>
  <c r="JF383" i="1"/>
  <c r="JE382" i="1"/>
  <c r="JF382" i="1"/>
  <c r="JE381" i="1"/>
  <c r="JF381" i="1"/>
  <c r="JD380" i="1"/>
  <c r="JD378" i="1"/>
  <c r="JF375" i="1"/>
  <c r="JE375" i="1"/>
  <c r="JD375" i="1"/>
  <c r="JE371" i="1"/>
  <c r="JF371" i="1"/>
  <c r="JE369" i="1"/>
  <c r="JF369" i="1"/>
  <c r="JE368" i="1"/>
  <c r="JD368" i="1"/>
  <c r="JD366" i="1"/>
  <c r="JE366" i="1"/>
  <c r="JF361" i="1"/>
  <c r="JE361" i="1"/>
  <c r="JD361" i="1"/>
  <c r="JE359" i="1"/>
  <c r="JF359" i="1"/>
  <c r="JF358" i="1"/>
  <c r="JD358" i="1"/>
  <c r="JF354" i="1"/>
  <c r="JE354" i="1"/>
  <c r="JD354" i="1"/>
  <c r="JE351" i="1"/>
  <c r="JD347" i="1"/>
  <c r="JF329" i="1"/>
  <c r="JE329" i="1"/>
  <c r="JD329" i="1"/>
  <c r="JE326" i="1"/>
  <c r="JD326" i="1"/>
  <c r="JD322" i="1"/>
  <c r="JE319" i="1"/>
  <c r="JD319" i="1"/>
  <c r="JF316" i="1"/>
  <c r="JE316" i="1"/>
  <c r="JD316" i="1"/>
  <c r="JF313" i="1"/>
  <c r="JE313" i="1"/>
  <c r="JD313" i="1"/>
  <c r="JF310" i="1"/>
  <c r="JE310" i="1"/>
  <c r="JD310" i="1"/>
  <c r="JD308" i="1"/>
  <c r="JF305" i="1"/>
  <c r="JE305" i="1"/>
  <c r="JD305" i="1"/>
  <c r="JF302" i="1"/>
  <c r="JE302" i="1"/>
  <c r="JD302" i="1"/>
  <c r="JF298" i="1"/>
  <c r="JE298" i="1"/>
  <c r="JD298" i="1"/>
  <c r="JF293" i="1"/>
  <c r="JE293" i="1"/>
  <c r="JD293" i="1"/>
  <c r="JF288" i="1"/>
  <c r="JE288" i="1"/>
  <c r="JD288" i="1"/>
  <c r="JE284" i="1"/>
  <c r="JF284" i="1"/>
  <c r="JE283" i="1"/>
  <c r="JF283" i="1"/>
  <c r="JE282" i="1"/>
  <c r="JF282" i="1"/>
  <c r="JE281" i="1"/>
  <c r="JF281" i="1"/>
  <c r="JF280" i="1"/>
  <c r="JD279" i="1"/>
  <c r="JF275" i="1"/>
  <c r="JE275" i="1"/>
  <c r="JD275" i="1"/>
  <c r="JD267" i="1"/>
  <c r="JE263" i="1"/>
  <c r="JF263" i="1"/>
  <c r="JF262" i="1"/>
  <c r="JE261" i="1"/>
  <c r="JD259" i="1"/>
  <c r="JE257" i="1"/>
  <c r="JF257" i="1"/>
  <c r="JE255" i="1"/>
  <c r="JF255" i="1"/>
  <c r="JF253" i="1"/>
  <c r="JD251" i="1"/>
  <c r="JE247" i="1"/>
  <c r="JE246" i="1"/>
  <c r="JD246" i="1"/>
  <c r="JD244" i="1"/>
  <c r="JI866" i="1"/>
  <c r="JH866" i="1"/>
  <c r="JH861" i="1"/>
  <c r="JI861" i="1"/>
  <c r="JI860" i="1"/>
  <c r="JH860" i="1"/>
  <c r="JG860" i="1"/>
  <c r="JI858" i="1"/>
  <c r="JI856" i="1"/>
  <c r="JH858" i="1"/>
  <c r="JH856" i="1"/>
  <c r="JG856" i="1"/>
  <c r="JH853" i="1"/>
  <c r="JI853" i="1"/>
  <c r="JH852" i="1"/>
  <c r="JI852" i="1"/>
  <c r="JH851" i="1"/>
  <c r="JI851" i="1"/>
  <c r="JH850" i="1"/>
  <c r="JI850" i="1"/>
  <c r="JH849" i="1"/>
  <c r="JI849" i="1"/>
  <c r="JH848" i="1"/>
  <c r="JI848" i="1"/>
  <c r="JH847" i="1"/>
  <c r="JI847" i="1"/>
  <c r="JH846" i="1"/>
  <c r="JI846" i="1"/>
  <c r="JH845" i="1"/>
  <c r="JG845" i="1"/>
  <c r="JI843" i="1"/>
  <c r="JH843" i="1"/>
  <c r="JH842" i="1"/>
  <c r="JI842" i="1"/>
  <c r="JG842" i="1"/>
  <c r="JH840" i="1"/>
  <c r="JI840" i="1"/>
  <c r="JH839" i="1"/>
  <c r="JI839" i="1"/>
  <c r="JH838" i="1"/>
  <c r="JI838" i="1"/>
  <c r="JH837" i="1"/>
  <c r="JI837" i="1"/>
  <c r="JH836" i="1"/>
  <c r="JI836" i="1"/>
  <c r="JH835" i="1"/>
  <c r="JI835" i="1"/>
  <c r="JH833" i="1"/>
  <c r="JI833" i="1"/>
  <c r="JI827" i="1"/>
  <c r="JH832" i="1"/>
  <c r="JI832" i="1"/>
  <c r="JH831" i="1"/>
  <c r="JI831" i="1"/>
  <c r="JH830" i="1"/>
  <c r="JI830" i="1"/>
  <c r="JH829" i="1"/>
  <c r="JI829" i="1"/>
  <c r="JH828" i="1"/>
  <c r="JI828" i="1"/>
  <c r="JH827" i="1"/>
  <c r="JG827" i="1"/>
  <c r="JH825" i="1"/>
  <c r="JI825" i="1"/>
  <c r="JH824" i="1"/>
  <c r="JI824" i="1"/>
  <c r="JH823" i="1"/>
  <c r="JI823" i="1"/>
  <c r="JH822" i="1"/>
  <c r="JI822" i="1"/>
  <c r="JH821" i="1"/>
  <c r="JI821" i="1"/>
  <c r="JH820" i="1"/>
  <c r="JI820" i="1"/>
  <c r="JH819" i="1"/>
  <c r="JI819" i="1"/>
  <c r="JH818" i="1"/>
  <c r="JI818" i="1"/>
  <c r="JH817" i="1"/>
  <c r="JI817" i="1"/>
  <c r="JH816" i="1"/>
  <c r="JI816" i="1"/>
  <c r="JH815" i="1"/>
  <c r="JI815" i="1"/>
  <c r="JH814" i="1"/>
  <c r="JI814" i="1"/>
  <c r="JH813" i="1"/>
  <c r="JI813" i="1"/>
  <c r="JH812" i="1"/>
  <c r="JI812" i="1"/>
  <c r="JH811" i="1"/>
  <c r="JI811" i="1"/>
  <c r="JH810" i="1"/>
  <c r="JI810" i="1"/>
  <c r="JH809" i="1"/>
  <c r="JI809" i="1"/>
  <c r="JH808" i="1"/>
  <c r="JI808" i="1"/>
  <c r="JH807" i="1"/>
  <c r="JI807" i="1"/>
  <c r="JH806" i="1"/>
  <c r="JI806" i="1"/>
  <c r="JH805" i="1"/>
  <c r="JI805" i="1"/>
  <c r="JH804" i="1"/>
  <c r="JI804" i="1"/>
  <c r="JH803" i="1"/>
  <c r="JI803" i="1"/>
  <c r="JH802" i="1"/>
  <c r="JI802" i="1"/>
  <c r="JH801" i="1"/>
  <c r="JI801" i="1"/>
  <c r="JH800" i="1"/>
  <c r="JI800" i="1"/>
  <c r="JH799" i="1"/>
  <c r="JI799" i="1"/>
  <c r="JH798" i="1"/>
  <c r="JI798" i="1"/>
  <c r="JH797" i="1"/>
  <c r="JI797" i="1"/>
  <c r="JH796" i="1"/>
  <c r="JI796" i="1"/>
  <c r="JH793" i="1"/>
  <c r="JI793" i="1"/>
  <c r="JH792" i="1"/>
  <c r="JI792" i="1"/>
  <c r="JH791" i="1"/>
  <c r="JI791" i="1"/>
  <c r="JG790" i="1"/>
  <c r="JH788" i="1"/>
  <c r="JI788" i="1"/>
  <c r="JH787" i="1"/>
  <c r="JI787" i="1"/>
  <c r="JH786" i="1"/>
  <c r="JI786" i="1"/>
  <c r="JH785" i="1"/>
  <c r="JI785" i="1"/>
  <c r="JH784" i="1"/>
  <c r="JG783" i="1"/>
  <c r="JH781" i="1"/>
  <c r="JI781" i="1"/>
  <c r="JH780" i="1"/>
  <c r="JI780" i="1"/>
  <c r="JH779" i="1"/>
  <c r="JI779" i="1"/>
  <c r="JH778" i="1"/>
  <c r="JI778" i="1"/>
  <c r="JH777" i="1"/>
  <c r="JI777" i="1"/>
  <c r="JH776" i="1"/>
  <c r="JI776" i="1"/>
  <c r="JH775" i="1"/>
  <c r="JI775" i="1"/>
  <c r="JH774" i="1"/>
  <c r="JI774" i="1"/>
  <c r="JH770" i="1"/>
  <c r="JI770" i="1"/>
  <c r="JH769" i="1"/>
  <c r="JH768" i="1"/>
  <c r="JG768" i="1"/>
  <c r="JH748" i="1"/>
  <c r="JI748" i="1"/>
  <c r="JH747" i="1"/>
  <c r="JI747" i="1"/>
  <c r="JH746" i="1"/>
  <c r="JI746" i="1"/>
  <c r="JH745" i="1"/>
  <c r="JI745" i="1"/>
  <c r="JH744" i="1"/>
  <c r="JI744" i="1"/>
  <c r="JH743" i="1"/>
  <c r="JG742" i="1"/>
  <c r="JI740" i="1"/>
  <c r="JH740" i="1"/>
  <c r="JI738" i="1"/>
  <c r="JH738" i="1"/>
  <c r="JG738" i="1"/>
  <c r="JH736" i="1"/>
  <c r="JI736" i="1"/>
  <c r="JH735" i="1"/>
  <c r="JI735" i="1"/>
  <c r="JH734" i="1"/>
  <c r="JI734" i="1"/>
  <c r="JH733" i="1"/>
  <c r="JI733" i="1"/>
  <c r="JH732" i="1"/>
  <c r="JI732" i="1"/>
  <c r="JH731" i="1"/>
  <c r="JI731" i="1"/>
  <c r="JH730" i="1"/>
  <c r="JI730" i="1"/>
  <c r="JH729" i="1"/>
  <c r="JI729" i="1"/>
  <c r="JG728" i="1"/>
  <c r="JI725" i="1"/>
  <c r="JH725" i="1"/>
  <c r="JG725" i="1"/>
  <c r="JG721" i="1"/>
  <c r="JI718" i="1"/>
  <c r="JH718" i="1"/>
  <c r="JG718" i="1"/>
  <c r="JH716" i="1"/>
  <c r="JH715" i="1"/>
  <c r="JI715" i="1"/>
  <c r="JH714" i="1"/>
  <c r="JI714" i="1"/>
  <c r="JH712" i="1"/>
  <c r="JI712" i="1"/>
  <c r="JG711" i="1"/>
  <c r="JH706" i="1"/>
  <c r="JI706" i="1"/>
  <c r="JI705" i="1"/>
  <c r="JH705" i="1"/>
  <c r="JG705" i="1"/>
  <c r="JI703" i="1"/>
  <c r="JH703" i="1"/>
  <c r="JH702" i="1"/>
  <c r="JI702" i="1"/>
  <c r="JG702" i="1"/>
  <c r="JH700" i="1"/>
  <c r="JH699" i="1"/>
  <c r="JG699" i="1"/>
  <c r="JI696" i="1"/>
  <c r="JH696" i="1"/>
  <c r="JG696" i="1"/>
  <c r="JH694" i="1"/>
  <c r="JH693" i="1"/>
  <c r="JG693" i="1"/>
  <c r="JH686" i="1"/>
  <c r="JH685" i="1"/>
  <c r="JG685" i="1"/>
  <c r="JI682" i="1"/>
  <c r="JI681" i="1"/>
  <c r="JH682" i="1"/>
  <c r="JH681" i="1"/>
  <c r="JG681" i="1"/>
  <c r="JH679" i="1"/>
  <c r="JI679" i="1"/>
  <c r="JH678" i="1"/>
  <c r="JI678" i="1"/>
  <c r="JH677" i="1"/>
  <c r="JI677" i="1"/>
  <c r="JH676" i="1"/>
  <c r="JI676" i="1"/>
  <c r="JH675" i="1"/>
  <c r="JI675" i="1"/>
  <c r="JH674" i="1"/>
  <c r="JI674" i="1"/>
  <c r="JH673" i="1"/>
  <c r="JI673" i="1"/>
  <c r="JH672" i="1"/>
  <c r="JI672" i="1"/>
  <c r="JH670" i="1"/>
  <c r="JI670" i="1"/>
  <c r="JG669" i="1"/>
  <c r="JG664" i="1"/>
  <c r="JG662" i="1"/>
  <c r="JI667" i="1"/>
  <c r="JH667" i="1"/>
  <c r="JI666" i="1"/>
  <c r="JH666" i="1"/>
  <c r="JG666" i="1"/>
  <c r="JI655" i="1"/>
  <c r="JH655" i="1"/>
  <c r="JH653" i="1"/>
  <c r="JH651" i="1"/>
  <c r="JG655" i="1"/>
  <c r="JI653" i="1"/>
  <c r="JI651" i="1"/>
  <c r="JG653" i="1"/>
  <c r="JG651" i="1"/>
  <c r="JI647" i="1"/>
  <c r="JG645" i="1"/>
  <c r="JG632" i="1"/>
  <c r="JG630" i="1"/>
  <c r="JG628" i="1"/>
  <c r="JH643" i="1"/>
  <c r="JI643" i="1"/>
  <c r="JH641" i="1"/>
  <c r="JI641" i="1"/>
  <c r="JH638" i="1"/>
  <c r="JG637" i="1"/>
  <c r="JH635" i="1"/>
  <c r="JI635" i="1"/>
  <c r="JH634" i="1"/>
  <c r="JG634" i="1"/>
  <c r="JH626" i="1"/>
  <c r="JH625" i="1"/>
  <c r="JG625" i="1"/>
  <c r="JH623" i="1"/>
  <c r="JI623" i="1"/>
  <c r="JG621" i="1"/>
  <c r="JG619" i="1"/>
  <c r="JH617" i="1"/>
  <c r="JI617" i="1"/>
  <c r="JI616" i="1"/>
  <c r="JG616" i="1"/>
  <c r="JH614" i="1"/>
  <c r="JI614" i="1"/>
  <c r="JH613" i="1"/>
  <c r="JG613" i="1"/>
  <c r="JG611" i="1"/>
  <c r="JI606" i="1"/>
  <c r="JH606" i="1"/>
  <c r="JG606" i="1"/>
  <c r="JH603" i="1"/>
  <c r="JI603" i="1"/>
  <c r="JI600" i="1"/>
  <c r="JG600" i="1"/>
  <c r="JH598" i="1"/>
  <c r="JI598" i="1"/>
  <c r="JI36" i="1"/>
  <c r="JG592" i="1"/>
  <c r="JI590" i="1"/>
  <c r="JH590" i="1"/>
  <c r="JI588" i="1"/>
  <c r="JI587" i="1"/>
  <c r="JG585" i="1"/>
  <c r="JH583" i="1"/>
  <c r="JH582" i="1"/>
  <c r="JI582" i="1"/>
  <c r="JG581" i="1"/>
  <c r="JG579" i="1"/>
  <c r="JG577" i="1"/>
  <c r="JI571" i="1"/>
  <c r="JH571" i="1"/>
  <c r="JH569" i="1"/>
  <c r="JH567" i="1"/>
  <c r="JG571" i="1"/>
  <c r="JI569" i="1"/>
  <c r="JI567" i="1"/>
  <c r="JG569" i="1"/>
  <c r="JG567" i="1"/>
  <c r="JI563" i="1"/>
  <c r="JH563" i="1"/>
  <c r="JG563" i="1"/>
  <c r="JG558" i="1"/>
  <c r="JI555" i="1"/>
  <c r="JH555" i="1"/>
  <c r="JG555" i="1"/>
  <c r="JH553" i="1"/>
  <c r="JH552" i="1"/>
  <c r="JI552" i="1"/>
  <c r="JH551" i="1"/>
  <c r="JG549" i="1"/>
  <c r="JH546" i="1"/>
  <c r="JI546" i="1"/>
  <c r="JH545" i="1"/>
  <c r="JI545" i="1"/>
  <c r="JG543" i="1"/>
  <c r="JH536" i="1"/>
  <c r="JH535" i="1"/>
  <c r="JH530" i="1"/>
  <c r="JG535" i="1"/>
  <c r="JG530" i="1"/>
  <c r="JH533" i="1"/>
  <c r="JH532" i="1"/>
  <c r="JG532" i="1"/>
  <c r="JI526" i="1"/>
  <c r="JH526" i="1"/>
  <c r="JG526" i="1"/>
  <c r="JH524" i="1"/>
  <c r="JI524" i="1"/>
  <c r="JI193" i="1"/>
  <c r="JI522" i="1"/>
  <c r="JH522" i="1"/>
  <c r="JH520" i="1"/>
  <c r="JI520" i="1"/>
  <c r="JI189" i="1"/>
  <c r="JI518" i="1"/>
  <c r="JH518" i="1"/>
  <c r="JH514" i="1"/>
  <c r="JI514" i="1"/>
  <c r="JI182" i="1"/>
  <c r="JG507" i="1"/>
  <c r="JG505" i="1"/>
  <c r="JI500" i="1"/>
  <c r="JH500" i="1"/>
  <c r="JG500" i="1"/>
  <c r="JH498" i="1"/>
  <c r="JI498" i="1"/>
  <c r="JI165" i="1"/>
  <c r="JI496" i="1"/>
  <c r="JH495" i="1"/>
  <c r="JI495" i="1"/>
  <c r="JH494" i="1"/>
  <c r="JI494" i="1"/>
  <c r="JI493" i="1"/>
  <c r="JH492" i="1"/>
  <c r="JI492" i="1"/>
  <c r="JH491" i="1"/>
  <c r="JI491" i="1"/>
  <c r="JI489" i="1"/>
  <c r="JG488" i="1"/>
  <c r="JH486" i="1"/>
  <c r="JI486" i="1"/>
  <c r="JH485" i="1"/>
  <c r="JI485" i="1"/>
  <c r="JH484" i="1"/>
  <c r="JI484" i="1"/>
  <c r="JH483" i="1"/>
  <c r="JG482" i="1"/>
  <c r="JH480" i="1"/>
  <c r="JI480" i="1"/>
  <c r="JH479" i="1"/>
  <c r="JI479" i="1"/>
  <c r="JI478" i="1"/>
  <c r="JI477" i="1"/>
  <c r="JH476" i="1"/>
  <c r="JI476" i="1"/>
  <c r="JH474" i="1"/>
  <c r="JI474" i="1"/>
  <c r="JG472" i="1"/>
  <c r="JI470" i="1"/>
  <c r="JH469" i="1"/>
  <c r="JI469" i="1"/>
  <c r="JH468" i="1"/>
  <c r="JI468" i="1"/>
  <c r="JH467" i="1"/>
  <c r="JI467" i="1"/>
  <c r="JH466" i="1"/>
  <c r="JH465" i="1"/>
  <c r="JG464" i="1"/>
  <c r="JI462" i="1"/>
  <c r="JH461" i="1"/>
  <c r="JI461" i="1"/>
  <c r="JH459" i="1"/>
  <c r="JI459" i="1"/>
  <c r="JG458" i="1"/>
  <c r="JG451" i="1"/>
  <c r="JH449" i="1"/>
  <c r="JI449" i="1"/>
  <c r="JI448" i="1"/>
  <c r="JH447" i="1"/>
  <c r="JI447" i="1"/>
  <c r="JH446" i="1"/>
  <c r="JG444" i="1"/>
  <c r="JH442" i="1"/>
  <c r="JI442" i="1"/>
  <c r="JH440" i="1"/>
  <c r="JG439" i="1"/>
  <c r="JH434" i="1"/>
  <c r="JI434" i="1"/>
  <c r="JH433" i="1"/>
  <c r="JI433" i="1"/>
  <c r="JH432" i="1"/>
  <c r="JI432" i="1"/>
  <c r="JH431" i="1"/>
  <c r="JH430" i="1"/>
  <c r="JI430" i="1"/>
  <c r="JH429" i="1"/>
  <c r="JI429" i="1"/>
  <c r="JG427" i="1"/>
  <c r="JI425" i="1"/>
  <c r="JH424" i="1"/>
  <c r="JI424" i="1"/>
  <c r="JH423" i="1"/>
  <c r="JI423" i="1"/>
  <c r="JH422" i="1"/>
  <c r="JI422" i="1"/>
  <c r="JH421" i="1"/>
  <c r="JH420" i="1"/>
  <c r="JG419" i="1"/>
  <c r="JI417" i="1"/>
  <c r="JI416" i="1"/>
  <c r="JH417" i="1"/>
  <c r="JH416" i="1"/>
  <c r="JG416" i="1"/>
  <c r="JI414" i="1"/>
  <c r="JG411" i="1"/>
  <c r="JH409" i="1"/>
  <c r="JI409" i="1"/>
  <c r="JI408" i="1"/>
  <c r="JI407" i="1"/>
  <c r="JG406" i="1"/>
  <c r="JH404" i="1"/>
  <c r="JI404" i="1"/>
  <c r="JI403" i="1"/>
  <c r="JH402" i="1"/>
  <c r="JG401" i="1"/>
  <c r="JG397" i="1"/>
  <c r="JH395" i="1"/>
  <c r="JI395" i="1"/>
  <c r="JI61" i="1"/>
  <c r="JH392" i="1"/>
  <c r="JI392" i="1"/>
  <c r="JH391" i="1"/>
  <c r="JI391" i="1"/>
  <c r="JH390" i="1"/>
  <c r="JI390" i="1"/>
  <c r="JH389" i="1"/>
  <c r="JH388" i="1"/>
  <c r="JI388" i="1"/>
  <c r="JH387" i="1"/>
  <c r="JI387" i="1"/>
  <c r="JG386" i="1"/>
  <c r="JI384" i="1"/>
  <c r="JH383" i="1"/>
  <c r="JI383" i="1"/>
  <c r="JH382" i="1"/>
  <c r="JI382" i="1"/>
  <c r="JH381" i="1"/>
  <c r="JG380" i="1"/>
  <c r="JI375" i="1"/>
  <c r="JH375" i="1"/>
  <c r="JG375" i="1"/>
  <c r="JH371" i="1"/>
  <c r="JI371" i="1"/>
  <c r="JH369" i="1"/>
  <c r="JH368" i="1"/>
  <c r="JH366" i="1"/>
  <c r="JG368" i="1"/>
  <c r="JG366" i="1"/>
  <c r="JI361" i="1"/>
  <c r="JH361" i="1"/>
  <c r="JG361" i="1"/>
  <c r="JH359" i="1"/>
  <c r="JI359" i="1"/>
  <c r="JG358" i="1"/>
  <c r="JI354" i="1"/>
  <c r="JH354" i="1"/>
  <c r="JG354" i="1"/>
  <c r="JH351" i="1"/>
  <c r="JI351" i="1"/>
  <c r="JG347" i="1"/>
  <c r="JH329" i="1"/>
  <c r="JG329" i="1"/>
  <c r="JI326" i="1"/>
  <c r="JH326" i="1"/>
  <c r="JG326" i="1"/>
  <c r="JG322" i="1"/>
  <c r="JI319" i="1"/>
  <c r="JH319" i="1"/>
  <c r="JG319" i="1"/>
  <c r="JG316" i="1"/>
  <c r="JI313" i="1"/>
  <c r="JH313" i="1"/>
  <c r="JG313" i="1"/>
  <c r="JI310" i="1"/>
  <c r="JH310" i="1"/>
  <c r="JG310" i="1"/>
  <c r="JG308" i="1"/>
  <c r="JI305" i="1"/>
  <c r="JH305" i="1"/>
  <c r="JG305" i="1"/>
  <c r="JI302" i="1"/>
  <c r="JH302" i="1"/>
  <c r="JG302" i="1"/>
  <c r="JI298" i="1"/>
  <c r="JH298" i="1"/>
  <c r="JG298" i="1"/>
  <c r="JI293" i="1"/>
  <c r="JH293" i="1"/>
  <c r="JG293" i="1"/>
  <c r="JI288" i="1"/>
  <c r="JH288" i="1"/>
  <c r="JG288" i="1"/>
  <c r="JH284" i="1"/>
  <c r="JI284" i="1"/>
  <c r="JH283" i="1"/>
  <c r="JI283" i="1"/>
  <c r="JH282" i="1"/>
  <c r="JI282" i="1"/>
  <c r="JH281" i="1"/>
  <c r="JG279" i="1"/>
  <c r="JI275" i="1"/>
  <c r="JH275" i="1"/>
  <c r="JG275" i="1"/>
  <c r="JG273" i="1"/>
  <c r="JG267" i="1"/>
  <c r="JH263" i="1"/>
  <c r="JI262" i="1"/>
  <c r="JH261" i="1"/>
  <c r="JI261" i="1"/>
  <c r="JI260" i="1"/>
  <c r="JG259" i="1"/>
  <c r="JH257" i="1"/>
  <c r="JI257" i="1"/>
  <c r="JH255" i="1"/>
  <c r="JI255" i="1"/>
  <c r="JG251" i="1"/>
  <c r="JH247" i="1"/>
  <c r="JI247" i="1"/>
  <c r="JI246" i="1"/>
  <c r="JG246" i="1"/>
  <c r="JL866" i="1"/>
  <c r="JK866" i="1"/>
  <c r="JK861" i="1"/>
  <c r="JL861" i="1"/>
  <c r="JL860" i="1"/>
  <c r="JK860" i="1"/>
  <c r="JJ860" i="1"/>
  <c r="JL858" i="1"/>
  <c r="JL856" i="1"/>
  <c r="JK858" i="1"/>
  <c r="JK856" i="1"/>
  <c r="JJ856" i="1"/>
  <c r="JK853" i="1"/>
  <c r="JL853" i="1"/>
  <c r="JK852" i="1"/>
  <c r="JL852" i="1"/>
  <c r="JK851" i="1"/>
  <c r="JL851" i="1"/>
  <c r="JK850" i="1"/>
  <c r="JL850" i="1"/>
  <c r="JK849" i="1"/>
  <c r="JL849" i="1"/>
  <c r="JK848" i="1"/>
  <c r="JL848" i="1"/>
  <c r="JK847" i="1"/>
  <c r="JL847" i="1"/>
  <c r="JK846" i="1"/>
  <c r="JL846" i="1"/>
  <c r="JK845" i="1"/>
  <c r="JJ845" i="1"/>
  <c r="JL843" i="1"/>
  <c r="JK843" i="1"/>
  <c r="JL842" i="1"/>
  <c r="JK842" i="1"/>
  <c r="JJ842" i="1"/>
  <c r="JK840" i="1"/>
  <c r="JL840" i="1"/>
  <c r="JK839" i="1"/>
  <c r="JL839" i="1"/>
  <c r="JK838" i="1"/>
  <c r="JL838" i="1"/>
  <c r="JK837" i="1"/>
  <c r="JL837" i="1"/>
  <c r="JK836" i="1"/>
  <c r="JL836" i="1"/>
  <c r="JK835" i="1"/>
  <c r="JL835" i="1"/>
  <c r="JK833" i="1"/>
  <c r="JL833" i="1"/>
  <c r="JK832" i="1"/>
  <c r="JL832" i="1"/>
  <c r="JK831" i="1"/>
  <c r="JL831" i="1"/>
  <c r="JK830" i="1"/>
  <c r="JL830" i="1"/>
  <c r="JK829" i="1"/>
  <c r="JL829" i="1"/>
  <c r="JK828" i="1"/>
  <c r="JK827" i="1"/>
  <c r="JJ827" i="1"/>
  <c r="JK825" i="1"/>
  <c r="JL825" i="1"/>
  <c r="JK824" i="1"/>
  <c r="JL824" i="1"/>
  <c r="JK823" i="1"/>
  <c r="JL823" i="1"/>
  <c r="JK822" i="1"/>
  <c r="JL822" i="1"/>
  <c r="JK821" i="1"/>
  <c r="JL821" i="1"/>
  <c r="JK820" i="1"/>
  <c r="JL820" i="1"/>
  <c r="JK819" i="1"/>
  <c r="JL819" i="1"/>
  <c r="JK818" i="1"/>
  <c r="JL818" i="1"/>
  <c r="JK817" i="1"/>
  <c r="JL817" i="1"/>
  <c r="JK816" i="1"/>
  <c r="JL816" i="1"/>
  <c r="JK815" i="1"/>
  <c r="JL815" i="1"/>
  <c r="JK814" i="1"/>
  <c r="JL814" i="1"/>
  <c r="JK813" i="1"/>
  <c r="JL813" i="1"/>
  <c r="JK812" i="1"/>
  <c r="JL812" i="1"/>
  <c r="JK811" i="1"/>
  <c r="JL811" i="1"/>
  <c r="JK810" i="1"/>
  <c r="JL810" i="1"/>
  <c r="JK809" i="1"/>
  <c r="JL809" i="1"/>
  <c r="JK808" i="1"/>
  <c r="JL808" i="1"/>
  <c r="JK807" i="1"/>
  <c r="JL807" i="1"/>
  <c r="JK806" i="1"/>
  <c r="JL806" i="1"/>
  <c r="JK805" i="1"/>
  <c r="JL805" i="1"/>
  <c r="JK804" i="1"/>
  <c r="JL804" i="1"/>
  <c r="JK803" i="1"/>
  <c r="JL803" i="1"/>
  <c r="JK802" i="1"/>
  <c r="JL802" i="1"/>
  <c r="JK801" i="1"/>
  <c r="JL801" i="1"/>
  <c r="JK800" i="1"/>
  <c r="JL800" i="1"/>
  <c r="JK799" i="1"/>
  <c r="JL799" i="1"/>
  <c r="JK798" i="1"/>
  <c r="JL798" i="1"/>
  <c r="JK797" i="1"/>
  <c r="JL797" i="1"/>
  <c r="JK796" i="1"/>
  <c r="JL796" i="1"/>
  <c r="JK793" i="1"/>
  <c r="JL793" i="1"/>
  <c r="JK792" i="1"/>
  <c r="JL792" i="1"/>
  <c r="JK791" i="1"/>
  <c r="JL791" i="1"/>
  <c r="JJ790" i="1"/>
  <c r="JK788" i="1"/>
  <c r="JL788" i="1"/>
  <c r="JK787" i="1"/>
  <c r="JL787" i="1"/>
  <c r="JK786" i="1"/>
  <c r="JL786" i="1"/>
  <c r="JK785" i="1"/>
  <c r="JL785" i="1"/>
  <c r="JK784" i="1"/>
  <c r="JK783" i="1"/>
  <c r="JJ783" i="1"/>
  <c r="JK781" i="1"/>
  <c r="JL781" i="1"/>
  <c r="JK780" i="1"/>
  <c r="JL780" i="1"/>
  <c r="JK779" i="1"/>
  <c r="JL779" i="1"/>
  <c r="JK778" i="1"/>
  <c r="JL778" i="1"/>
  <c r="JK777" i="1"/>
  <c r="JL777" i="1"/>
  <c r="JK776" i="1"/>
  <c r="JL776" i="1"/>
  <c r="JK775" i="1"/>
  <c r="JL775" i="1"/>
  <c r="JK774" i="1"/>
  <c r="JL774" i="1"/>
  <c r="JK770" i="1"/>
  <c r="JL770" i="1"/>
  <c r="JK769" i="1"/>
  <c r="JL769" i="1"/>
  <c r="JJ768" i="1"/>
  <c r="JK748" i="1"/>
  <c r="JL748" i="1"/>
  <c r="JK747" i="1"/>
  <c r="JL747" i="1"/>
  <c r="JK746" i="1"/>
  <c r="JL746" i="1"/>
  <c r="JK745" i="1"/>
  <c r="JL745" i="1"/>
  <c r="JK744" i="1"/>
  <c r="JL744" i="1"/>
  <c r="JK743" i="1"/>
  <c r="JL743" i="1"/>
  <c r="JJ742" i="1"/>
  <c r="JL740" i="1"/>
  <c r="JK740" i="1"/>
  <c r="JL738" i="1"/>
  <c r="JK738" i="1"/>
  <c r="JJ738" i="1"/>
  <c r="JK736" i="1"/>
  <c r="JL736" i="1"/>
  <c r="JK735" i="1"/>
  <c r="JL735" i="1"/>
  <c r="JK734" i="1"/>
  <c r="JL734" i="1"/>
  <c r="JK733" i="1"/>
  <c r="JL733" i="1"/>
  <c r="JK732" i="1"/>
  <c r="JL732" i="1"/>
  <c r="JK731" i="1"/>
  <c r="JL731" i="1"/>
  <c r="JK730" i="1"/>
  <c r="JL730" i="1"/>
  <c r="JK729" i="1"/>
  <c r="JL729" i="1"/>
  <c r="JJ728" i="1"/>
  <c r="JL725" i="1"/>
  <c r="JK725" i="1"/>
  <c r="JJ725" i="1"/>
  <c r="JJ721" i="1"/>
  <c r="JL718" i="1"/>
  <c r="JK718" i="1"/>
  <c r="JJ718" i="1"/>
  <c r="JK716" i="1"/>
  <c r="JL716" i="1"/>
  <c r="JK715" i="1"/>
  <c r="JL715" i="1"/>
  <c r="JK714" i="1"/>
  <c r="JK712" i="1"/>
  <c r="JJ711" i="1"/>
  <c r="JK706" i="1"/>
  <c r="JL706" i="1"/>
  <c r="JL705" i="1"/>
  <c r="JK705" i="1"/>
  <c r="JJ705" i="1"/>
  <c r="JL703" i="1"/>
  <c r="JK703" i="1"/>
  <c r="JL702" i="1"/>
  <c r="JK702" i="1"/>
  <c r="JJ702" i="1"/>
  <c r="JK700" i="1"/>
  <c r="JK699" i="1"/>
  <c r="JJ699" i="1"/>
  <c r="JL696" i="1"/>
  <c r="JK696" i="1"/>
  <c r="JJ696" i="1"/>
  <c r="JK694" i="1"/>
  <c r="JK693" i="1"/>
  <c r="JJ693" i="1"/>
  <c r="JK686" i="1"/>
  <c r="JL686" i="1"/>
  <c r="JL685" i="1"/>
  <c r="JK685" i="1"/>
  <c r="JJ685" i="1"/>
  <c r="JL682" i="1"/>
  <c r="JK682" i="1"/>
  <c r="JK681" i="1"/>
  <c r="JL681" i="1"/>
  <c r="JJ681" i="1"/>
  <c r="JK679" i="1"/>
  <c r="JL679" i="1"/>
  <c r="JK678" i="1"/>
  <c r="JL678" i="1"/>
  <c r="JK677" i="1"/>
  <c r="JL677" i="1"/>
  <c r="JK676" i="1"/>
  <c r="JL676" i="1"/>
  <c r="JK675" i="1"/>
  <c r="JL675" i="1"/>
  <c r="JK674" i="1"/>
  <c r="JL674" i="1"/>
  <c r="JK673" i="1"/>
  <c r="JL673" i="1"/>
  <c r="JK672" i="1"/>
  <c r="JL672" i="1"/>
  <c r="JK670" i="1"/>
  <c r="JJ669" i="1"/>
  <c r="JJ664" i="1"/>
  <c r="JJ662" i="1"/>
  <c r="JL667" i="1"/>
  <c r="JK667" i="1"/>
  <c r="JL666" i="1"/>
  <c r="JK666" i="1"/>
  <c r="JJ666" i="1"/>
  <c r="JL655" i="1"/>
  <c r="JK655" i="1"/>
  <c r="JK653" i="1"/>
  <c r="JK651" i="1"/>
  <c r="JJ655" i="1"/>
  <c r="JL653" i="1"/>
  <c r="JL651" i="1"/>
  <c r="JJ653" i="1"/>
  <c r="JJ651" i="1"/>
  <c r="JL647" i="1"/>
  <c r="JJ645" i="1"/>
  <c r="JK643" i="1"/>
  <c r="JL643" i="1"/>
  <c r="JK641" i="1"/>
  <c r="JL641" i="1"/>
  <c r="JK638" i="1"/>
  <c r="JJ637" i="1"/>
  <c r="JK635" i="1"/>
  <c r="JL635" i="1"/>
  <c r="JL634" i="1"/>
  <c r="JK634" i="1"/>
  <c r="JJ634" i="1"/>
  <c r="JJ632" i="1"/>
  <c r="JJ630" i="1"/>
  <c r="JK626" i="1"/>
  <c r="JL626" i="1"/>
  <c r="JJ625" i="1"/>
  <c r="JK623" i="1"/>
  <c r="JL623" i="1"/>
  <c r="JL621" i="1"/>
  <c r="JK621" i="1"/>
  <c r="JJ621" i="1"/>
  <c r="JJ619" i="1"/>
  <c r="JK617" i="1"/>
  <c r="JL617" i="1"/>
  <c r="JL616" i="1"/>
  <c r="JK614" i="1"/>
  <c r="JL614" i="1"/>
  <c r="JL613" i="1"/>
  <c r="JL611" i="1"/>
  <c r="JJ616" i="1"/>
  <c r="JK613" i="1"/>
  <c r="JJ613" i="1"/>
  <c r="JJ611" i="1"/>
  <c r="JJ609" i="1"/>
  <c r="JL606" i="1"/>
  <c r="JK606" i="1"/>
  <c r="JJ606" i="1"/>
  <c r="JK603" i="1"/>
  <c r="JL603" i="1"/>
  <c r="JJ600" i="1"/>
  <c r="JK598" i="1"/>
  <c r="JL598" i="1"/>
  <c r="JJ592" i="1"/>
  <c r="JL590" i="1"/>
  <c r="JK590" i="1"/>
  <c r="JL588" i="1"/>
  <c r="JL587" i="1"/>
  <c r="JJ585" i="1"/>
  <c r="JK583" i="1"/>
  <c r="JK582" i="1"/>
  <c r="JL582" i="1"/>
  <c r="JJ581" i="1"/>
  <c r="JJ579" i="1"/>
  <c r="JJ577" i="1"/>
  <c r="JL571" i="1"/>
  <c r="JK571" i="1"/>
  <c r="JK569" i="1"/>
  <c r="JK567" i="1"/>
  <c r="JJ571" i="1"/>
  <c r="JL569" i="1"/>
  <c r="JL567" i="1"/>
  <c r="JJ569" i="1"/>
  <c r="JJ567" i="1"/>
  <c r="JL563" i="1"/>
  <c r="JK563" i="1"/>
  <c r="JJ563" i="1"/>
  <c r="JJ558" i="1"/>
  <c r="JL555" i="1"/>
  <c r="JK555" i="1"/>
  <c r="JJ555" i="1"/>
  <c r="JK553" i="1"/>
  <c r="JL553" i="1"/>
  <c r="JK552" i="1"/>
  <c r="JL552" i="1"/>
  <c r="JK551" i="1"/>
  <c r="JJ549" i="1"/>
  <c r="JK546" i="1"/>
  <c r="JL546" i="1"/>
  <c r="JK545" i="1"/>
  <c r="JL545" i="1"/>
  <c r="JJ543" i="1"/>
  <c r="JK533" i="1"/>
  <c r="JK532" i="1"/>
  <c r="JJ532" i="1"/>
  <c r="JL526" i="1"/>
  <c r="JK526" i="1"/>
  <c r="JJ526" i="1"/>
  <c r="JK524" i="1"/>
  <c r="JL524" i="1"/>
  <c r="JK522" i="1"/>
  <c r="JL522" i="1"/>
  <c r="JK520" i="1"/>
  <c r="JL520" i="1"/>
  <c r="JL518" i="1"/>
  <c r="JK518" i="1"/>
  <c r="JK514" i="1"/>
  <c r="JL514" i="1"/>
  <c r="JJ507" i="1"/>
  <c r="JJ505" i="1"/>
  <c r="JL500" i="1"/>
  <c r="JK500" i="1"/>
  <c r="JJ500" i="1"/>
  <c r="JK498" i="1"/>
  <c r="JL498" i="1"/>
  <c r="JL496" i="1"/>
  <c r="JK495" i="1"/>
  <c r="JL495" i="1"/>
  <c r="JK494" i="1"/>
  <c r="JL494" i="1"/>
  <c r="JL493" i="1"/>
  <c r="JK492" i="1"/>
  <c r="JL492" i="1"/>
  <c r="JK491" i="1"/>
  <c r="JJ488" i="1"/>
  <c r="JK486" i="1"/>
  <c r="JL486" i="1"/>
  <c r="JK485" i="1"/>
  <c r="JK484" i="1"/>
  <c r="JL484" i="1"/>
  <c r="JK483" i="1"/>
  <c r="JJ482" i="1"/>
  <c r="JK480" i="1"/>
  <c r="JL480" i="1"/>
  <c r="JK479" i="1"/>
  <c r="JL479" i="1"/>
  <c r="JL477" i="1"/>
  <c r="JK476" i="1"/>
  <c r="JL476" i="1"/>
  <c r="JK474" i="1"/>
  <c r="JL474" i="1"/>
  <c r="JJ472" i="1"/>
  <c r="JL470" i="1"/>
  <c r="JK469" i="1"/>
  <c r="JL469" i="1"/>
  <c r="JL136" i="1"/>
  <c r="JK468" i="1"/>
  <c r="JL468" i="1"/>
  <c r="JK467" i="1"/>
  <c r="JL467" i="1"/>
  <c r="JL134" i="1"/>
  <c r="JK466" i="1"/>
  <c r="JL466" i="1"/>
  <c r="JK465" i="1"/>
  <c r="JJ464" i="1"/>
  <c r="JL462" i="1"/>
  <c r="JK461" i="1"/>
  <c r="JL461" i="1"/>
  <c r="JK459" i="1"/>
  <c r="JL459" i="1"/>
  <c r="JJ458" i="1"/>
  <c r="JJ451" i="1"/>
  <c r="JK449" i="1"/>
  <c r="JL449" i="1"/>
  <c r="JL448" i="1"/>
  <c r="JK447" i="1"/>
  <c r="JL447" i="1"/>
  <c r="JK446" i="1"/>
  <c r="JL446" i="1"/>
  <c r="JJ444" i="1"/>
  <c r="JK442" i="1"/>
  <c r="JL442" i="1"/>
  <c r="JK440" i="1"/>
  <c r="JL440" i="1"/>
  <c r="JJ439" i="1"/>
  <c r="JJ437" i="1"/>
  <c r="JK434" i="1"/>
  <c r="JL434" i="1"/>
  <c r="JK433" i="1"/>
  <c r="JL433" i="1"/>
  <c r="JK432" i="1"/>
  <c r="JL432" i="1"/>
  <c r="JK431" i="1"/>
  <c r="JL431" i="1"/>
  <c r="JL98" i="1"/>
  <c r="JK430" i="1"/>
  <c r="JL430" i="1"/>
  <c r="JK429" i="1"/>
  <c r="JJ427" i="1"/>
  <c r="JL425" i="1"/>
  <c r="JK424" i="1"/>
  <c r="JL424" i="1"/>
  <c r="JK423" i="1"/>
  <c r="JL423" i="1"/>
  <c r="JK422" i="1"/>
  <c r="JL422" i="1"/>
  <c r="JK421" i="1"/>
  <c r="JL421" i="1"/>
  <c r="JK420" i="1"/>
  <c r="JJ419" i="1"/>
  <c r="JK417" i="1"/>
  <c r="JK416" i="1"/>
  <c r="JJ416" i="1"/>
  <c r="JJ411" i="1"/>
  <c r="JK409" i="1"/>
  <c r="JL408" i="1"/>
  <c r="JJ406" i="1"/>
  <c r="JK404" i="1"/>
  <c r="JL404" i="1"/>
  <c r="JL403" i="1"/>
  <c r="JK402" i="1"/>
  <c r="JL402" i="1"/>
  <c r="JJ401" i="1"/>
  <c r="JJ397" i="1"/>
  <c r="JK395" i="1"/>
  <c r="JL395" i="1"/>
  <c r="JK392" i="1"/>
  <c r="JL392" i="1"/>
  <c r="JK391" i="1"/>
  <c r="JL391" i="1"/>
  <c r="JK390" i="1"/>
  <c r="JL390" i="1"/>
  <c r="JK389" i="1"/>
  <c r="JL389" i="1"/>
  <c r="JK388" i="1"/>
  <c r="JL388" i="1"/>
  <c r="JK387" i="1"/>
  <c r="JL387" i="1"/>
  <c r="JJ386" i="1"/>
  <c r="JL384" i="1"/>
  <c r="JK383" i="1"/>
  <c r="JL383" i="1"/>
  <c r="JK382" i="1"/>
  <c r="JL382" i="1"/>
  <c r="JK381" i="1"/>
  <c r="JJ380" i="1"/>
  <c r="JJ378" i="1"/>
  <c r="JL375" i="1"/>
  <c r="JK375" i="1"/>
  <c r="JJ375" i="1"/>
  <c r="JL371" i="1"/>
  <c r="JK371" i="1"/>
  <c r="JK369" i="1"/>
  <c r="JL369" i="1"/>
  <c r="JL368" i="1"/>
  <c r="JL366" i="1"/>
  <c r="JK368" i="1"/>
  <c r="JJ368" i="1"/>
  <c r="JJ366" i="1"/>
  <c r="JK366" i="1"/>
  <c r="JL361" i="1"/>
  <c r="JK361" i="1"/>
  <c r="JJ361" i="1"/>
  <c r="JK359" i="1"/>
  <c r="JL359" i="1"/>
  <c r="JL358" i="1"/>
  <c r="JJ358" i="1"/>
  <c r="JL354" i="1"/>
  <c r="JK354" i="1"/>
  <c r="JJ354" i="1"/>
  <c r="JJ347" i="1"/>
  <c r="JK329" i="1"/>
  <c r="JL329" i="1"/>
  <c r="JJ329" i="1"/>
  <c r="JK326" i="1"/>
  <c r="JJ326" i="1"/>
  <c r="JJ322" i="1"/>
  <c r="JJ319" i="1"/>
  <c r="JL316" i="1"/>
  <c r="JK316" i="1"/>
  <c r="JJ316" i="1"/>
  <c r="JL313" i="1"/>
  <c r="JK313" i="1"/>
  <c r="JJ313" i="1"/>
  <c r="JL310" i="1"/>
  <c r="JK310" i="1"/>
  <c r="JJ310" i="1"/>
  <c r="JJ308" i="1"/>
  <c r="JL305" i="1"/>
  <c r="JK305" i="1"/>
  <c r="JJ305" i="1"/>
  <c r="JL302" i="1"/>
  <c r="JK302" i="1"/>
  <c r="JJ302" i="1"/>
  <c r="JL298" i="1"/>
  <c r="JK298" i="1"/>
  <c r="JJ298" i="1"/>
  <c r="JL293" i="1"/>
  <c r="JK293" i="1"/>
  <c r="JJ293" i="1"/>
  <c r="JL288" i="1"/>
  <c r="JK288" i="1"/>
  <c r="JJ288" i="1"/>
  <c r="JK284" i="1"/>
  <c r="JL284" i="1"/>
  <c r="JK283" i="1"/>
  <c r="JL283" i="1"/>
  <c r="JK282" i="1"/>
  <c r="JL282" i="1"/>
  <c r="JK281" i="1"/>
  <c r="JL281" i="1"/>
  <c r="JL280" i="1"/>
  <c r="JJ279" i="1"/>
  <c r="JL275" i="1"/>
  <c r="JK275" i="1"/>
  <c r="JJ275" i="1"/>
  <c r="JJ267" i="1"/>
  <c r="JK263" i="1"/>
  <c r="JL262" i="1"/>
  <c r="JK261" i="1"/>
  <c r="JL261" i="1"/>
  <c r="JJ259" i="1"/>
  <c r="JL257" i="1"/>
  <c r="JK257" i="1"/>
  <c r="JK255" i="1"/>
  <c r="JL255" i="1"/>
  <c r="JL253" i="1"/>
  <c r="JL252" i="1"/>
  <c r="JL251" i="1"/>
  <c r="JJ251" i="1"/>
  <c r="JK247" i="1"/>
  <c r="JK246" i="1"/>
  <c r="JJ246" i="1"/>
  <c r="JJ244" i="1"/>
  <c r="JO866" i="1"/>
  <c r="JN866" i="1"/>
  <c r="JN861" i="1"/>
  <c r="JN860" i="1"/>
  <c r="JM860" i="1"/>
  <c r="JO858" i="1"/>
  <c r="JN858" i="1"/>
  <c r="JN856" i="1"/>
  <c r="JO856" i="1"/>
  <c r="JM856" i="1"/>
  <c r="JN853" i="1"/>
  <c r="JO853" i="1"/>
  <c r="JN852" i="1"/>
  <c r="JO852" i="1"/>
  <c r="JN851" i="1"/>
  <c r="JO851" i="1"/>
  <c r="JN850" i="1"/>
  <c r="JO850" i="1"/>
  <c r="JN849" i="1"/>
  <c r="JO849" i="1"/>
  <c r="JN848" i="1"/>
  <c r="JO848" i="1"/>
  <c r="JN847" i="1"/>
  <c r="JO847" i="1"/>
  <c r="JN846" i="1"/>
  <c r="JN845" i="1"/>
  <c r="JM845" i="1"/>
  <c r="JO843" i="1"/>
  <c r="JN843" i="1"/>
  <c r="JN842" i="1"/>
  <c r="JO842" i="1"/>
  <c r="JM842" i="1"/>
  <c r="JN840" i="1"/>
  <c r="JO840" i="1"/>
  <c r="JN839" i="1"/>
  <c r="JO839" i="1"/>
  <c r="JN838" i="1"/>
  <c r="JO838" i="1"/>
  <c r="JN837" i="1"/>
  <c r="JO837" i="1"/>
  <c r="JN836" i="1"/>
  <c r="JO836" i="1"/>
  <c r="JN835" i="1"/>
  <c r="JO835" i="1"/>
  <c r="JN833" i="1"/>
  <c r="JO833" i="1"/>
  <c r="JN832" i="1"/>
  <c r="JO832" i="1"/>
  <c r="JN831" i="1"/>
  <c r="JO831" i="1"/>
  <c r="JN830" i="1"/>
  <c r="JO830" i="1"/>
  <c r="JN829" i="1"/>
  <c r="JO829" i="1"/>
  <c r="JN828" i="1"/>
  <c r="JO828" i="1"/>
  <c r="JM827" i="1"/>
  <c r="JN825" i="1"/>
  <c r="JO825" i="1"/>
  <c r="JN824" i="1"/>
  <c r="JO824" i="1"/>
  <c r="JN823" i="1"/>
  <c r="JO823" i="1"/>
  <c r="JN822" i="1"/>
  <c r="JO822" i="1"/>
  <c r="JN821" i="1"/>
  <c r="JO821" i="1"/>
  <c r="JN820" i="1"/>
  <c r="JO820" i="1"/>
  <c r="JN819" i="1"/>
  <c r="JO819" i="1"/>
  <c r="JN818" i="1"/>
  <c r="JO818" i="1"/>
  <c r="JN817" i="1"/>
  <c r="JO817" i="1"/>
  <c r="JN816" i="1"/>
  <c r="JO816" i="1"/>
  <c r="JN815" i="1"/>
  <c r="JO815" i="1"/>
  <c r="JN814" i="1"/>
  <c r="JO814" i="1"/>
  <c r="JN813" i="1"/>
  <c r="JO813" i="1"/>
  <c r="JN812" i="1"/>
  <c r="JO812" i="1"/>
  <c r="JN811" i="1"/>
  <c r="JO811" i="1"/>
  <c r="JN810" i="1"/>
  <c r="JO810" i="1"/>
  <c r="JN809" i="1"/>
  <c r="JO809" i="1"/>
  <c r="JN808" i="1"/>
  <c r="JO808" i="1"/>
  <c r="JN807" i="1"/>
  <c r="JO807" i="1"/>
  <c r="JN806" i="1"/>
  <c r="JO806" i="1"/>
  <c r="JN805" i="1"/>
  <c r="JO805" i="1"/>
  <c r="JN804" i="1"/>
  <c r="JO804" i="1"/>
  <c r="JN803" i="1"/>
  <c r="JO803" i="1"/>
  <c r="JN802" i="1"/>
  <c r="JO802" i="1"/>
  <c r="JN801" i="1"/>
  <c r="JO801" i="1"/>
  <c r="JN800" i="1"/>
  <c r="JO800" i="1"/>
  <c r="JN799" i="1"/>
  <c r="JO799" i="1"/>
  <c r="JN798" i="1"/>
  <c r="JO798" i="1"/>
  <c r="JN797" i="1"/>
  <c r="JO797" i="1"/>
  <c r="JN796" i="1"/>
  <c r="JO796" i="1"/>
  <c r="JN793" i="1"/>
  <c r="JO793" i="1"/>
  <c r="JN792" i="1"/>
  <c r="JO792" i="1"/>
  <c r="JN791" i="1"/>
  <c r="JO791" i="1"/>
  <c r="JM790" i="1"/>
  <c r="JN788" i="1"/>
  <c r="JO788" i="1"/>
  <c r="JN787" i="1"/>
  <c r="JO787" i="1"/>
  <c r="JN786" i="1"/>
  <c r="JO786" i="1"/>
  <c r="JN785" i="1"/>
  <c r="JO785" i="1"/>
  <c r="JN784" i="1"/>
  <c r="JN783" i="1"/>
  <c r="JM783" i="1"/>
  <c r="JN781" i="1"/>
  <c r="JO781" i="1"/>
  <c r="JN780" i="1"/>
  <c r="JO780" i="1"/>
  <c r="JN779" i="1"/>
  <c r="JO779" i="1"/>
  <c r="JN778" i="1"/>
  <c r="JO778" i="1"/>
  <c r="JN777" i="1"/>
  <c r="JO777" i="1"/>
  <c r="JN776" i="1"/>
  <c r="JO776" i="1"/>
  <c r="JN775" i="1"/>
  <c r="JO775" i="1"/>
  <c r="JN774" i="1"/>
  <c r="JO774" i="1"/>
  <c r="JN770" i="1"/>
  <c r="JO770" i="1"/>
  <c r="JN769" i="1"/>
  <c r="JO769" i="1"/>
  <c r="JM768" i="1"/>
  <c r="JN748" i="1"/>
  <c r="JO748" i="1"/>
  <c r="JN747" i="1"/>
  <c r="JO747" i="1"/>
  <c r="JN746" i="1"/>
  <c r="JO746" i="1"/>
  <c r="JN745" i="1"/>
  <c r="JO745" i="1"/>
  <c r="JN744" i="1"/>
  <c r="JO744" i="1"/>
  <c r="JN743" i="1"/>
  <c r="JO743" i="1"/>
  <c r="JM742" i="1"/>
  <c r="JO740" i="1"/>
  <c r="JN740" i="1"/>
  <c r="JN738" i="1"/>
  <c r="JO738" i="1"/>
  <c r="JM738" i="1"/>
  <c r="JN736" i="1"/>
  <c r="JO736" i="1"/>
  <c r="JN735" i="1"/>
  <c r="JO735" i="1"/>
  <c r="JN734" i="1"/>
  <c r="JO734" i="1"/>
  <c r="JN733" i="1"/>
  <c r="JO733" i="1"/>
  <c r="JN732" i="1"/>
  <c r="JO732" i="1"/>
  <c r="JN731" i="1"/>
  <c r="JO731" i="1"/>
  <c r="JN730" i="1"/>
  <c r="JO730" i="1"/>
  <c r="JN729" i="1"/>
  <c r="JM728" i="1"/>
  <c r="JO725" i="1"/>
  <c r="JN725" i="1"/>
  <c r="JM725" i="1"/>
  <c r="JO718" i="1"/>
  <c r="JN718" i="1"/>
  <c r="JM718" i="1"/>
  <c r="JN716" i="1"/>
  <c r="JO716" i="1"/>
  <c r="JN715" i="1"/>
  <c r="JO715" i="1"/>
  <c r="JN714" i="1"/>
  <c r="JN712" i="1"/>
  <c r="JO712" i="1"/>
  <c r="JM711" i="1"/>
  <c r="JN706" i="1"/>
  <c r="JO706" i="1"/>
  <c r="JO705" i="1"/>
  <c r="JN705" i="1"/>
  <c r="JM705" i="1"/>
  <c r="JO703" i="1"/>
  <c r="JN703" i="1"/>
  <c r="JN702" i="1"/>
  <c r="JO702" i="1"/>
  <c r="JM702" i="1"/>
  <c r="JN700" i="1"/>
  <c r="JN699" i="1"/>
  <c r="JM699" i="1"/>
  <c r="JO696" i="1"/>
  <c r="JN696" i="1"/>
  <c r="JM696" i="1"/>
  <c r="JN694" i="1"/>
  <c r="JN693" i="1"/>
  <c r="JM693" i="1"/>
  <c r="JN686" i="1"/>
  <c r="JO686" i="1"/>
  <c r="JO685" i="1"/>
  <c r="JN685" i="1"/>
  <c r="JM685" i="1"/>
  <c r="JO682" i="1"/>
  <c r="JN682" i="1"/>
  <c r="JN681" i="1"/>
  <c r="JO681" i="1"/>
  <c r="JM681" i="1"/>
  <c r="JN679" i="1"/>
  <c r="JO679" i="1"/>
  <c r="JN678" i="1"/>
  <c r="JO678" i="1"/>
  <c r="JN677" i="1"/>
  <c r="JO677" i="1"/>
  <c r="JN676" i="1"/>
  <c r="JO676" i="1"/>
  <c r="JN675" i="1"/>
  <c r="JO675" i="1"/>
  <c r="JN674" i="1"/>
  <c r="JO674" i="1"/>
  <c r="JN673" i="1"/>
  <c r="JO673" i="1"/>
  <c r="JN672" i="1"/>
  <c r="JO672" i="1"/>
  <c r="JN670" i="1"/>
  <c r="JO670" i="1"/>
  <c r="JM669" i="1"/>
  <c r="JM664" i="1"/>
  <c r="JM662" i="1"/>
  <c r="JO667" i="1"/>
  <c r="JN667" i="1"/>
  <c r="JO666" i="1"/>
  <c r="JN666" i="1"/>
  <c r="JM666" i="1"/>
  <c r="JO655" i="1"/>
  <c r="JN655" i="1"/>
  <c r="JN653" i="1"/>
  <c r="JN651" i="1"/>
  <c r="JM655" i="1"/>
  <c r="JO653" i="1"/>
  <c r="JO651" i="1"/>
  <c r="JM653" i="1"/>
  <c r="JM651" i="1"/>
  <c r="JM645" i="1"/>
  <c r="JN643" i="1"/>
  <c r="JO643" i="1"/>
  <c r="JN641" i="1"/>
  <c r="JO641" i="1"/>
  <c r="JN638" i="1"/>
  <c r="JM637" i="1"/>
  <c r="JO635" i="1"/>
  <c r="JN635" i="1"/>
  <c r="JO634" i="1"/>
  <c r="JN634" i="1"/>
  <c r="JM634" i="1"/>
  <c r="JM632" i="1"/>
  <c r="JM630" i="1"/>
  <c r="JN626" i="1"/>
  <c r="JO626" i="1"/>
  <c r="JO625" i="1"/>
  <c r="JO619" i="1"/>
  <c r="JO609" i="1"/>
  <c r="JM625" i="1"/>
  <c r="JO623" i="1"/>
  <c r="JN623" i="1"/>
  <c r="JO621" i="1"/>
  <c r="JN621" i="1"/>
  <c r="JM621" i="1"/>
  <c r="JM619" i="1"/>
  <c r="JM609" i="1"/>
  <c r="JM575" i="1"/>
  <c r="JN617" i="1"/>
  <c r="JN616" i="1"/>
  <c r="JN611" i="1"/>
  <c r="JM616" i="1"/>
  <c r="JN614" i="1"/>
  <c r="JN613" i="1"/>
  <c r="JM613" i="1"/>
  <c r="JM611" i="1"/>
  <c r="JO606" i="1"/>
  <c r="JN606" i="1"/>
  <c r="JM606" i="1"/>
  <c r="JN603" i="1"/>
  <c r="JM600" i="1"/>
  <c r="JO598" i="1"/>
  <c r="JN598" i="1"/>
  <c r="JO593" i="1"/>
  <c r="JM592" i="1"/>
  <c r="JN590" i="1"/>
  <c r="JO590" i="1"/>
  <c r="JO588" i="1"/>
  <c r="JM585" i="1"/>
  <c r="JN583" i="1"/>
  <c r="JN18" i="1"/>
  <c r="JN582" i="1"/>
  <c r="JM581" i="1"/>
  <c r="JM579" i="1"/>
  <c r="JM577" i="1"/>
  <c r="JO571" i="1"/>
  <c r="JO569" i="1"/>
  <c r="JO567" i="1"/>
  <c r="JN571" i="1"/>
  <c r="JM571" i="1"/>
  <c r="JM569" i="1"/>
  <c r="JM567" i="1"/>
  <c r="JN569" i="1"/>
  <c r="JN567" i="1"/>
  <c r="JO563" i="1"/>
  <c r="JN563" i="1"/>
  <c r="JM563" i="1"/>
  <c r="JN558" i="1"/>
  <c r="JM558" i="1"/>
  <c r="JO555" i="1"/>
  <c r="JN555" i="1"/>
  <c r="JM555" i="1"/>
  <c r="JM541" i="1"/>
  <c r="JN553" i="1"/>
  <c r="JO553" i="1"/>
  <c r="JN552" i="1"/>
  <c r="JN551" i="1"/>
  <c r="JO551" i="1"/>
  <c r="JM549" i="1"/>
  <c r="JN546" i="1"/>
  <c r="JO546" i="1"/>
  <c r="JN545" i="1"/>
  <c r="JO545" i="1"/>
  <c r="JM543" i="1"/>
  <c r="JN536" i="1"/>
  <c r="JO536" i="1"/>
  <c r="JO535" i="1"/>
  <c r="JN535" i="1"/>
  <c r="JM535" i="1"/>
  <c r="JN533" i="1"/>
  <c r="JN532" i="1"/>
  <c r="JM532" i="1"/>
  <c r="JO526" i="1"/>
  <c r="JN526" i="1"/>
  <c r="JM526" i="1"/>
  <c r="JN524" i="1"/>
  <c r="JO524" i="1"/>
  <c r="JN522" i="1"/>
  <c r="JO522" i="1"/>
  <c r="JN520" i="1"/>
  <c r="JO520" i="1"/>
  <c r="JN518" i="1"/>
  <c r="JO518" i="1"/>
  <c r="JN514" i="1"/>
  <c r="JO514" i="1"/>
  <c r="JM507" i="1"/>
  <c r="JM505" i="1"/>
  <c r="JO500" i="1"/>
  <c r="JN500" i="1"/>
  <c r="JM500" i="1"/>
  <c r="JO498" i="1"/>
  <c r="JN498" i="1"/>
  <c r="JO496" i="1"/>
  <c r="JN495" i="1"/>
  <c r="JO495" i="1"/>
  <c r="JN494" i="1"/>
  <c r="JO494" i="1"/>
  <c r="JO493" i="1"/>
  <c r="JN492" i="1"/>
  <c r="JO492" i="1"/>
  <c r="JN491" i="1"/>
  <c r="JO491" i="1"/>
  <c r="JM488" i="1"/>
  <c r="JN486" i="1"/>
  <c r="JO486" i="1"/>
  <c r="JN485" i="1"/>
  <c r="JO485" i="1"/>
  <c r="JN484" i="1"/>
  <c r="JO484" i="1"/>
  <c r="JN483" i="1"/>
  <c r="JM482" i="1"/>
  <c r="JN480" i="1"/>
  <c r="JO480" i="1"/>
  <c r="JN479" i="1"/>
  <c r="JO479" i="1"/>
  <c r="JO477" i="1"/>
  <c r="JN476" i="1"/>
  <c r="JN474" i="1"/>
  <c r="JO474" i="1"/>
  <c r="JM472" i="1"/>
  <c r="JO470" i="1"/>
  <c r="JN469" i="1"/>
  <c r="JO469" i="1"/>
  <c r="JN468" i="1"/>
  <c r="JO468" i="1"/>
  <c r="JN467" i="1"/>
  <c r="JO467" i="1"/>
  <c r="JN466" i="1"/>
  <c r="JO466" i="1"/>
  <c r="JN465" i="1"/>
  <c r="JM464" i="1"/>
  <c r="JO462" i="1"/>
  <c r="JN461" i="1"/>
  <c r="JO461" i="1"/>
  <c r="JN459" i="1"/>
  <c r="JM458" i="1"/>
  <c r="JM451" i="1"/>
  <c r="JN449" i="1"/>
  <c r="JO449" i="1"/>
  <c r="JO448" i="1"/>
  <c r="JN447" i="1"/>
  <c r="JO447" i="1"/>
  <c r="JN446" i="1"/>
  <c r="JO446" i="1"/>
  <c r="JM444" i="1"/>
  <c r="JN442" i="1"/>
  <c r="JO442" i="1"/>
  <c r="JN440" i="1"/>
  <c r="JO440" i="1"/>
  <c r="JM439" i="1"/>
  <c r="JM437" i="1"/>
  <c r="JN434" i="1"/>
  <c r="JO434" i="1"/>
  <c r="JN433" i="1"/>
  <c r="JO433" i="1"/>
  <c r="JN432" i="1"/>
  <c r="JO432" i="1"/>
  <c r="JN431" i="1"/>
  <c r="JO431" i="1"/>
  <c r="JN430" i="1"/>
  <c r="JN429" i="1"/>
  <c r="JM427" i="1"/>
  <c r="JO425" i="1"/>
  <c r="JN424" i="1"/>
  <c r="JO424" i="1"/>
  <c r="JN423" i="1"/>
  <c r="JO423" i="1"/>
  <c r="JN422" i="1"/>
  <c r="JO422" i="1"/>
  <c r="JN421" i="1"/>
  <c r="JO421" i="1"/>
  <c r="JN420" i="1"/>
  <c r="JM419" i="1"/>
  <c r="JN417" i="1"/>
  <c r="JN416" i="1"/>
  <c r="JM416" i="1"/>
  <c r="JO414" i="1"/>
  <c r="JM411" i="1"/>
  <c r="JN409" i="1"/>
  <c r="JO409" i="1"/>
  <c r="JM406" i="1"/>
  <c r="JN404" i="1"/>
  <c r="JO404" i="1"/>
  <c r="JO403" i="1"/>
  <c r="JN402" i="1"/>
  <c r="JM401" i="1"/>
  <c r="JM397" i="1"/>
  <c r="JO395" i="1"/>
  <c r="JN395" i="1"/>
  <c r="JN392" i="1"/>
  <c r="JO392" i="1"/>
  <c r="JN391" i="1"/>
  <c r="JO391" i="1"/>
  <c r="JN390" i="1"/>
  <c r="JO390" i="1"/>
  <c r="JN389" i="1"/>
  <c r="JO389" i="1"/>
  <c r="JN388" i="1"/>
  <c r="JO388" i="1"/>
  <c r="JN387" i="1"/>
  <c r="JO387" i="1"/>
  <c r="JM386" i="1"/>
  <c r="JM378" i="1"/>
  <c r="JO384" i="1"/>
  <c r="JN383" i="1"/>
  <c r="JO383" i="1"/>
  <c r="JN382" i="1"/>
  <c r="JO382" i="1"/>
  <c r="JN381" i="1"/>
  <c r="JO381" i="1"/>
  <c r="JM380" i="1"/>
  <c r="JO375" i="1"/>
  <c r="JN375" i="1"/>
  <c r="JM375" i="1"/>
  <c r="JO371" i="1"/>
  <c r="JN371" i="1"/>
  <c r="JO369" i="1"/>
  <c r="JN369" i="1"/>
  <c r="JO368" i="1"/>
  <c r="JO366" i="1"/>
  <c r="JN368" i="1"/>
  <c r="JM368" i="1"/>
  <c r="JM366" i="1"/>
  <c r="JN366" i="1"/>
  <c r="JO361" i="1"/>
  <c r="JN361" i="1"/>
  <c r="JM361" i="1"/>
  <c r="JN359" i="1"/>
  <c r="JO359" i="1"/>
  <c r="JO358" i="1"/>
  <c r="JN358" i="1"/>
  <c r="JM358" i="1"/>
  <c r="JO354" i="1"/>
  <c r="JN354" i="1"/>
  <c r="JM354" i="1"/>
  <c r="JN351" i="1"/>
  <c r="JO351" i="1"/>
  <c r="JM347" i="1"/>
  <c r="JO329" i="1"/>
  <c r="JN329" i="1"/>
  <c r="JM329" i="1"/>
  <c r="JN326" i="1"/>
  <c r="JM326" i="1"/>
  <c r="JM322" i="1"/>
  <c r="JO319" i="1"/>
  <c r="JN319" i="1"/>
  <c r="JM319" i="1"/>
  <c r="JO316" i="1"/>
  <c r="JM316" i="1"/>
  <c r="JO313" i="1"/>
  <c r="JN313" i="1"/>
  <c r="JM313" i="1"/>
  <c r="JO310" i="1"/>
  <c r="JN310" i="1"/>
  <c r="JM310" i="1"/>
  <c r="JM308" i="1"/>
  <c r="JO305" i="1"/>
  <c r="JN305" i="1"/>
  <c r="JM305" i="1"/>
  <c r="JO302" i="1"/>
  <c r="JN302" i="1"/>
  <c r="JM302" i="1"/>
  <c r="JO298" i="1"/>
  <c r="JN298" i="1"/>
  <c r="JM298" i="1"/>
  <c r="JO293" i="1"/>
  <c r="JN293" i="1"/>
  <c r="JM293" i="1"/>
  <c r="JO288" i="1"/>
  <c r="JN288" i="1"/>
  <c r="JM288" i="1"/>
  <c r="JN284" i="1"/>
  <c r="JO284" i="1"/>
  <c r="JN283" i="1"/>
  <c r="JO283" i="1"/>
  <c r="JN282" i="1"/>
  <c r="JO282" i="1"/>
  <c r="JN281" i="1"/>
  <c r="JO281" i="1"/>
  <c r="JM279" i="1"/>
  <c r="JO275" i="1"/>
  <c r="JN275" i="1"/>
  <c r="JM275" i="1"/>
  <c r="JM267" i="1"/>
  <c r="JN263" i="1"/>
  <c r="JO263" i="1"/>
  <c r="JN261" i="1"/>
  <c r="JO261" i="1"/>
  <c r="JO260" i="1"/>
  <c r="JM259" i="1"/>
  <c r="JN257" i="1"/>
  <c r="JO257" i="1"/>
  <c r="JN255" i="1"/>
  <c r="JO255" i="1"/>
  <c r="JO253" i="1"/>
  <c r="JO252" i="1"/>
  <c r="JM251" i="1"/>
  <c r="JN247" i="1"/>
  <c r="JO247" i="1"/>
  <c r="JO246" i="1"/>
  <c r="JN246" i="1"/>
  <c r="JM246" i="1"/>
  <c r="JM244" i="1"/>
  <c r="GT689" i="1"/>
  <c r="GT688" i="1"/>
  <c r="IS711" i="1"/>
  <c r="IS691" i="1"/>
  <c r="IN712" i="1"/>
  <c r="JH711" i="1"/>
  <c r="JH691" i="1"/>
  <c r="IM790" i="1"/>
  <c r="IM621" i="1"/>
  <c r="IN614" i="1"/>
  <c r="IN613" i="1"/>
  <c r="IN611" i="1"/>
  <c r="IL541" i="1"/>
  <c r="IN369" i="1"/>
  <c r="IN368" i="1"/>
  <c r="IN366" i="1"/>
  <c r="IL273" i="1"/>
  <c r="IL244" i="1"/>
  <c r="IY427" i="1"/>
  <c r="JC600" i="1"/>
  <c r="IK791" i="1"/>
  <c r="IK769" i="1"/>
  <c r="II609" i="1"/>
  <c r="II378" i="1"/>
  <c r="IK366" i="1"/>
  <c r="IJ251" i="1"/>
  <c r="IJ246" i="1"/>
  <c r="JG244" i="1"/>
  <c r="IX347" i="1"/>
  <c r="IU347" i="1"/>
  <c r="II347" i="1"/>
  <c r="JO347" i="1"/>
  <c r="JK358" i="1"/>
  <c r="JH358" i="1"/>
  <c r="JH347" i="1"/>
  <c r="JC359" i="1"/>
  <c r="JC358" i="1"/>
  <c r="IZ359" i="1"/>
  <c r="IZ358" i="1"/>
  <c r="IV358" i="1"/>
  <c r="IS358" i="1"/>
  <c r="IQ359" i="1"/>
  <c r="IQ358" i="1"/>
  <c r="IM358" i="1"/>
  <c r="JE358" i="1"/>
  <c r="JE347" i="1"/>
  <c r="IQ347" i="1"/>
  <c r="IM347" i="1"/>
  <c r="JK347" i="1"/>
  <c r="IN347" i="1"/>
  <c r="IV347" i="1"/>
  <c r="HG834" i="1"/>
  <c r="JZ834" i="1"/>
  <c r="GR834" i="1"/>
  <c r="JO251" i="1"/>
  <c r="JN827" i="1"/>
  <c r="JK444" i="1"/>
  <c r="JK451" i="1"/>
  <c r="JK768" i="1"/>
  <c r="JI716" i="1"/>
  <c r="JH728" i="1"/>
  <c r="JI769" i="1"/>
  <c r="JK790" i="1"/>
  <c r="JN581" i="1"/>
  <c r="JN742" i="1"/>
  <c r="JN768" i="1"/>
  <c r="JK728" i="1"/>
  <c r="JN790" i="1"/>
  <c r="JE742" i="1"/>
  <c r="JE768" i="1"/>
  <c r="JE783" i="1"/>
  <c r="JE790" i="1"/>
  <c r="JB742" i="1"/>
  <c r="JB768" i="1"/>
  <c r="IY592" i="1"/>
  <c r="IY790" i="1"/>
  <c r="IT714" i="1"/>
  <c r="IT791" i="1"/>
  <c r="JH783" i="1"/>
  <c r="JB669" i="1"/>
  <c r="JB728" i="1"/>
  <c r="JB783" i="1"/>
  <c r="JB827" i="1"/>
  <c r="IY768" i="1"/>
  <c r="IV783" i="1"/>
  <c r="IV827" i="1"/>
  <c r="IS783" i="1"/>
  <c r="JB267" i="1"/>
  <c r="JB600" i="1"/>
  <c r="IZ769" i="1"/>
  <c r="IY783" i="1"/>
  <c r="IV728" i="1"/>
  <c r="IS669" i="1"/>
  <c r="IM783" i="1"/>
  <c r="IV669" i="1"/>
  <c r="IV664" i="1"/>
  <c r="IQ769" i="1"/>
  <c r="IM768" i="1"/>
  <c r="IJ645" i="1"/>
  <c r="IJ728" i="1"/>
  <c r="IK790" i="1"/>
  <c r="JK742" i="1"/>
  <c r="JM721" i="1"/>
  <c r="IM742" i="1"/>
  <c r="JD721" i="1"/>
  <c r="IS742" i="1"/>
  <c r="IP742" i="1"/>
  <c r="II721" i="1"/>
  <c r="IK711" i="1"/>
  <c r="IK691" i="1"/>
  <c r="JF712" i="1"/>
  <c r="JL712" i="1"/>
  <c r="IQ712" i="1"/>
  <c r="IH709" i="1"/>
  <c r="IH708" i="1"/>
  <c r="IK708" i="1"/>
  <c r="HG709" i="1"/>
  <c r="JZ709" i="1"/>
  <c r="JZ708" i="1"/>
  <c r="IS708" i="1"/>
  <c r="JE708" i="1"/>
  <c r="JQ708" i="1"/>
  <c r="JX708" i="1"/>
  <c r="KA709" i="1"/>
  <c r="KA708" i="1"/>
  <c r="IM708" i="1"/>
  <c r="IY708" i="1"/>
  <c r="JK708" i="1"/>
  <c r="JB322" i="1"/>
  <c r="JB308" i="1"/>
  <c r="JB558" i="1"/>
  <c r="IM451" i="1"/>
  <c r="IS585" i="1"/>
  <c r="IV549" i="1"/>
  <c r="IS549" i="1"/>
  <c r="JE451" i="1"/>
  <c r="JB251" i="1"/>
  <c r="JB451" i="1"/>
  <c r="IS411" i="1"/>
  <c r="IM251" i="1"/>
  <c r="IJ585" i="1"/>
  <c r="JN645" i="1"/>
  <c r="JB380" i="1"/>
  <c r="IY464" i="1"/>
  <c r="IP482" i="1"/>
  <c r="IM406" i="1"/>
  <c r="JK401" i="1"/>
  <c r="IY251" i="1"/>
  <c r="IP427" i="1"/>
  <c r="IY549" i="1"/>
  <c r="IS458" i="1"/>
  <c r="IP585" i="1"/>
  <c r="JN411" i="1"/>
  <c r="JI465" i="1"/>
  <c r="JH581" i="1"/>
  <c r="JE543" i="1"/>
  <c r="JB549" i="1"/>
  <c r="JB585" i="1"/>
  <c r="IV451" i="1"/>
  <c r="IS543" i="1"/>
  <c r="IP386" i="1"/>
  <c r="IM380" i="1"/>
  <c r="IM507" i="1"/>
  <c r="IS322" i="1"/>
  <c r="IP411" i="1"/>
  <c r="IM464" i="1"/>
  <c r="JK581" i="1"/>
  <c r="JK585" i="1"/>
  <c r="IM411" i="1"/>
  <c r="JZ689" i="1"/>
  <c r="JZ688" i="1"/>
  <c r="GR689" i="1"/>
  <c r="GR688" i="1"/>
  <c r="GP688" i="1"/>
  <c r="JO646" i="1"/>
  <c r="JK411" i="1"/>
  <c r="JL586" i="1"/>
  <c r="JL585" i="1"/>
  <c r="JH411" i="1"/>
  <c r="JI544" i="1"/>
  <c r="JF251" i="1"/>
  <c r="JB444" i="1"/>
  <c r="IP543" i="1"/>
  <c r="IM401" i="1"/>
  <c r="IJ406" i="1"/>
  <c r="IJ411" i="1"/>
  <c r="JK543" i="1"/>
  <c r="JB645" i="1"/>
  <c r="IS386" i="1"/>
  <c r="IP401" i="1"/>
  <c r="IP439" i="1"/>
  <c r="IM322" i="1"/>
  <c r="IM308" i="1"/>
  <c r="IN637" i="1"/>
  <c r="JK592" i="1"/>
  <c r="JK669" i="1"/>
  <c r="JK664" i="1"/>
  <c r="JH600" i="1"/>
  <c r="JF322" i="1"/>
  <c r="JC411" i="1"/>
  <c r="IY401" i="1"/>
  <c r="IY507" i="1"/>
  <c r="IY505" i="1"/>
  <c r="IY558" i="1"/>
  <c r="IS645" i="1"/>
  <c r="IK419" i="1"/>
  <c r="IJ581" i="1"/>
  <c r="JN397" i="1"/>
  <c r="JE581" i="1"/>
  <c r="JE585" i="1"/>
  <c r="IV585" i="1"/>
  <c r="IS637" i="1"/>
  <c r="JN267" i="1"/>
  <c r="JO411" i="1"/>
  <c r="JN488" i="1"/>
  <c r="JN543" i="1"/>
  <c r="JO582" i="1"/>
  <c r="JK251" i="1"/>
  <c r="JL483" i="1"/>
  <c r="JK645" i="1"/>
  <c r="JH406" i="1"/>
  <c r="JI483" i="1"/>
  <c r="JH585" i="1"/>
  <c r="JF646" i="1"/>
  <c r="JB397" i="1"/>
  <c r="JB411" i="1"/>
  <c r="IY267" i="1"/>
  <c r="IY543" i="1"/>
  <c r="IY541" i="1"/>
  <c r="IY645" i="1"/>
  <c r="IS267" i="1"/>
  <c r="IS419" i="1"/>
  <c r="IT544" i="1"/>
  <c r="IZ544" i="1"/>
  <c r="JC544" i="1"/>
  <c r="IP380" i="1"/>
  <c r="IQ645" i="1"/>
  <c r="IN543" i="1"/>
  <c r="IM585" i="1"/>
  <c r="IM645" i="1"/>
  <c r="IK252" i="1"/>
  <c r="IK251" i="1"/>
  <c r="IK259" i="1"/>
  <c r="IJ401" i="1"/>
  <c r="IK507" i="1"/>
  <c r="IJ558" i="1"/>
  <c r="IJ600" i="1"/>
  <c r="IK646" i="1"/>
  <c r="JN406" i="1"/>
  <c r="JN592" i="1"/>
  <c r="JK507" i="1"/>
  <c r="JK505" i="1"/>
  <c r="JK600" i="1"/>
  <c r="JI586" i="1"/>
  <c r="JH645" i="1"/>
  <c r="JE322" i="1"/>
  <c r="JE308" i="1"/>
  <c r="IZ402" i="1"/>
  <c r="IZ401" i="1"/>
  <c r="IY482" i="1"/>
  <c r="IY585" i="1"/>
  <c r="IW381" i="1"/>
  <c r="IV397" i="1"/>
  <c r="IV411" i="1"/>
  <c r="IV507" i="1"/>
  <c r="IV645" i="1"/>
  <c r="IT647" i="1"/>
  <c r="JC647" i="1"/>
  <c r="IQ483" i="1"/>
  <c r="IQ543" i="1"/>
  <c r="IN403" i="1"/>
  <c r="IN401" i="1"/>
  <c r="IM543" i="1"/>
  <c r="IN585" i="1"/>
  <c r="IN645" i="1"/>
  <c r="IK600" i="1"/>
  <c r="JI451" i="1"/>
  <c r="JH669" i="1"/>
  <c r="JH664" i="1"/>
  <c r="JH662" i="1"/>
  <c r="JE251" i="1"/>
  <c r="JF451" i="1"/>
  <c r="JB259" i="1"/>
  <c r="JB507" i="1"/>
  <c r="JB505" i="1"/>
  <c r="IV279" i="1"/>
  <c r="IV273" i="1"/>
  <c r="IS427" i="1"/>
  <c r="IP259" i="1"/>
  <c r="IQ420" i="1"/>
  <c r="IP637" i="1"/>
  <c r="IM427" i="1"/>
  <c r="IJ380" i="1"/>
  <c r="IJ592" i="1"/>
  <c r="JI381" i="1"/>
  <c r="JE397" i="1"/>
  <c r="JE411" i="1"/>
  <c r="JB458" i="1"/>
  <c r="IV267" i="1"/>
  <c r="IV322" i="1"/>
  <c r="IV308" i="1"/>
  <c r="IW585" i="1"/>
  <c r="IS401" i="1"/>
  <c r="IP451" i="1"/>
  <c r="IP464" i="1"/>
  <c r="IP558" i="1"/>
  <c r="IM397" i="1"/>
  <c r="IM419" i="1"/>
  <c r="IJ259" i="1"/>
  <c r="IJ322" i="1"/>
  <c r="IJ308" i="1"/>
  <c r="IJ419" i="1"/>
  <c r="IJ451" i="1"/>
  <c r="IJ507" i="1"/>
  <c r="IJ505" i="1"/>
  <c r="IJ543" i="1"/>
  <c r="JN386" i="1"/>
  <c r="JO402" i="1"/>
  <c r="JN451" i="1"/>
  <c r="JL411" i="1"/>
  <c r="JC585" i="1"/>
  <c r="JN464" i="1"/>
  <c r="JF585" i="1"/>
  <c r="JH439" i="1"/>
  <c r="JH507" i="1"/>
  <c r="JH505" i="1"/>
  <c r="JF402" i="1"/>
  <c r="JE419" i="1"/>
  <c r="JE507" i="1"/>
  <c r="JE505" i="1"/>
  <c r="JE600" i="1"/>
  <c r="JB592" i="1"/>
  <c r="IK543" i="1"/>
  <c r="JK427" i="1"/>
  <c r="JK439" i="1"/>
  <c r="JI440" i="1"/>
  <c r="JI439" i="1"/>
  <c r="JH451" i="1"/>
  <c r="JE464" i="1"/>
  <c r="JE482" i="1"/>
  <c r="JE637" i="1"/>
  <c r="JC252" i="1"/>
  <c r="JC267" i="1"/>
  <c r="JC402" i="1"/>
  <c r="JC420" i="1"/>
  <c r="JB472" i="1"/>
  <c r="JB488" i="1"/>
  <c r="IY380" i="1"/>
  <c r="IY406" i="1"/>
  <c r="IY451" i="1"/>
  <c r="JO489" i="1"/>
  <c r="JN585" i="1"/>
  <c r="JK267" i="1"/>
  <c r="JK558" i="1"/>
  <c r="JH592" i="1"/>
  <c r="JI646" i="1"/>
  <c r="JI645" i="1"/>
  <c r="JE380" i="1"/>
  <c r="JE406" i="1"/>
  <c r="JE558" i="1"/>
  <c r="JE592" i="1"/>
  <c r="JB279" i="1"/>
  <c r="IZ252" i="1"/>
  <c r="IZ267" i="1"/>
  <c r="IW543" i="1"/>
  <c r="IT322" i="1"/>
  <c r="IQ585" i="1"/>
  <c r="IN411" i="1"/>
  <c r="JK279" i="1"/>
  <c r="JK386" i="1"/>
  <c r="JK397" i="1"/>
  <c r="JH251" i="1"/>
  <c r="JH322" i="1"/>
  <c r="JH308" i="1"/>
  <c r="JH397" i="1"/>
  <c r="JH558" i="1"/>
  <c r="JB406" i="1"/>
  <c r="JB427" i="1"/>
  <c r="JC483" i="1"/>
  <c r="JC482" i="1"/>
  <c r="IY411" i="1"/>
  <c r="IY439" i="1"/>
  <c r="IK482" i="1"/>
  <c r="IK585" i="1"/>
  <c r="IK645" i="1"/>
  <c r="IY637" i="1"/>
  <c r="IV251" i="1"/>
  <c r="IV401" i="1"/>
  <c r="IV406" i="1"/>
  <c r="IV427" i="1"/>
  <c r="IV505" i="1"/>
  <c r="IT252" i="1"/>
  <c r="IS259" i="1"/>
  <c r="IT267" i="1"/>
  <c r="IS279" i="1"/>
  <c r="IS273" i="1"/>
  <c r="IS397" i="1"/>
  <c r="IS439" i="1"/>
  <c r="IS451" i="1"/>
  <c r="IS482" i="1"/>
  <c r="IS600" i="1"/>
  <c r="IP600" i="1"/>
  <c r="IP645" i="1"/>
  <c r="IJ464" i="1"/>
  <c r="IZ586" i="1"/>
  <c r="IZ585" i="1"/>
  <c r="IV419" i="1"/>
  <c r="IV439" i="1"/>
  <c r="IV543" i="1"/>
  <c r="IV558" i="1"/>
  <c r="IV592" i="1"/>
  <c r="IV637" i="1"/>
  <c r="IS380" i="1"/>
  <c r="IS444" i="1"/>
  <c r="IS507" i="1"/>
  <c r="IS505" i="1"/>
  <c r="IP444" i="1"/>
  <c r="IP507" i="1"/>
  <c r="IP505" i="1"/>
  <c r="IN420" i="1"/>
  <c r="IM439" i="1"/>
  <c r="IM482" i="1"/>
  <c r="IM637" i="1"/>
  <c r="IM632" i="1"/>
  <c r="IM630" i="1"/>
  <c r="IM628" i="1"/>
  <c r="IJ637" i="1"/>
  <c r="IW280" i="1"/>
  <c r="IW279" i="1"/>
  <c r="IW273" i="1"/>
  <c r="IV386" i="1"/>
  <c r="IW439" i="1"/>
  <c r="IW464" i="1"/>
  <c r="IV482" i="1"/>
  <c r="IS488" i="1"/>
  <c r="IS558" i="1"/>
  <c r="IT586" i="1"/>
  <c r="JO586" i="1"/>
  <c r="IS592" i="1"/>
  <c r="IP397" i="1"/>
  <c r="IQ411" i="1"/>
  <c r="IP592" i="1"/>
  <c r="IN252" i="1"/>
  <c r="IN251" i="1"/>
  <c r="IM259" i="1"/>
  <c r="IM558" i="1"/>
  <c r="IM592" i="1"/>
  <c r="IK402" i="1"/>
  <c r="IK401" i="1"/>
  <c r="IY600" i="1"/>
  <c r="IW451" i="1"/>
  <c r="IV600" i="1"/>
  <c r="IS581" i="1"/>
  <c r="IP406" i="1"/>
  <c r="IP581" i="1"/>
  <c r="IM386" i="1"/>
  <c r="IN482" i="1"/>
  <c r="IM505" i="1"/>
  <c r="IM549" i="1"/>
  <c r="IM581" i="1"/>
  <c r="IJ386" i="1"/>
  <c r="IJ669" i="1"/>
  <c r="IJ664" i="1"/>
  <c r="IM669" i="1"/>
  <c r="IM664" i="1"/>
  <c r="JN625" i="1"/>
  <c r="JN619" i="1"/>
  <c r="JN609" i="1"/>
  <c r="IZ626" i="1"/>
  <c r="IZ625" i="1"/>
  <c r="IT626" i="1"/>
  <c r="IT625" i="1"/>
  <c r="IQ626" i="1"/>
  <c r="IQ625" i="1"/>
  <c r="IQ619" i="1"/>
  <c r="IQ609" i="1"/>
  <c r="JK625" i="1"/>
  <c r="JE625" i="1"/>
  <c r="JE619" i="1"/>
  <c r="JC626" i="1"/>
  <c r="JC625" i="1"/>
  <c r="IV625" i="1"/>
  <c r="IN626" i="1"/>
  <c r="IN625" i="1"/>
  <c r="IN619" i="1"/>
  <c r="IN609" i="1"/>
  <c r="JK619" i="1"/>
  <c r="IV619" i="1"/>
  <c r="JI626" i="1"/>
  <c r="JI625" i="1"/>
  <c r="JH616" i="1"/>
  <c r="JH611" i="1"/>
  <c r="JE616" i="1"/>
  <c r="IJ616" i="1"/>
  <c r="JE611" i="1"/>
  <c r="IS616" i="1"/>
  <c r="IJ611" i="1"/>
  <c r="JK616" i="1"/>
  <c r="IS611" i="1"/>
  <c r="IP616" i="1"/>
  <c r="JO617" i="1"/>
  <c r="JO616" i="1"/>
  <c r="JK611" i="1"/>
  <c r="JK609" i="1"/>
  <c r="JB616" i="1"/>
  <c r="JB611" i="1"/>
  <c r="IY616" i="1"/>
  <c r="IY611" i="1"/>
  <c r="IV616" i="1"/>
  <c r="IV611" i="1"/>
  <c r="IP611" i="1"/>
  <c r="JL600" i="1"/>
  <c r="JF600" i="1"/>
  <c r="IT600" i="1"/>
  <c r="IN600" i="1"/>
  <c r="JJ541" i="1"/>
  <c r="II541" i="1"/>
  <c r="IX541" i="1"/>
  <c r="IU541" i="1"/>
  <c r="IO541" i="1"/>
  <c r="JO533" i="1"/>
  <c r="JO532" i="1"/>
  <c r="IK505" i="1"/>
  <c r="IN514" i="1"/>
  <c r="IW514" i="1"/>
  <c r="IS472" i="1"/>
  <c r="IK472" i="1"/>
  <c r="JE472" i="1"/>
  <c r="IV464" i="1"/>
  <c r="JB464" i="1"/>
  <c r="IU437" i="1"/>
  <c r="IS464" i="1"/>
  <c r="IJ444" i="1"/>
  <c r="IK444" i="1"/>
  <c r="IM444" i="1"/>
  <c r="JN444" i="1"/>
  <c r="IJ397" i="1"/>
  <c r="IY397" i="1"/>
  <c r="JB386" i="1"/>
  <c r="IZ387" i="1"/>
  <c r="IK387" i="1"/>
  <c r="IK386" i="1"/>
  <c r="JJ364" i="1"/>
  <c r="IU378" i="1"/>
  <c r="II364" i="1"/>
  <c r="IQ387" i="1"/>
  <c r="JG378" i="1"/>
  <c r="IT387" i="1"/>
  <c r="IT386" i="1"/>
  <c r="IO364" i="1"/>
  <c r="JN347" i="1"/>
  <c r="JL347" i="1"/>
  <c r="IY347" i="1"/>
  <c r="JF351" i="1"/>
  <c r="JF347" i="1"/>
  <c r="IS347" i="1"/>
  <c r="IP347" i="1"/>
  <c r="IK351" i="1"/>
  <c r="IK347" i="1"/>
  <c r="IY279" i="1"/>
  <c r="IY273" i="1"/>
  <c r="JJ273" i="1"/>
  <c r="JJ242" i="1"/>
  <c r="IM279" i="1"/>
  <c r="IR273" i="1"/>
  <c r="JD273" i="1"/>
  <c r="JE279" i="1"/>
  <c r="JE273" i="1"/>
  <c r="II273" i="1"/>
  <c r="IJ279" i="1"/>
  <c r="IJ273" i="1"/>
  <c r="JL267" i="1"/>
  <c r="JO267" i="1"/>
  <c r="JF267" i="1"/>
  <c r="JE267" i="1"/>
  <c r="IP267" i="1"/>
  <c r="IP244" i="1"/>
  <c r="IQ267" i="1"/>
  <c r="IO273" i="1"/>
  <c r="IK267" i="1"/>
  <c r="IX273" i="1"/>
  <c r="IN267" i="1"/>
  <c r="JH267" i="1"/>
  <c r="IJ267" i="1"/>
  <c r="IK279" i="1"/>
  <c r="IK273" i="1"/>
  <c r="IK381" i="1"/>
  <c r="IK440" i="1"/>
  <c r="IK439" i="1"/>
  <c r="II575" i="1"/>
  <c r="IJ458" i="1"/>
  <c r="II628" i="1"/>
  <c r="IK319" i="1"/>
  <c r="IK326" i="1"/>
  <c r="IK407" i="1"/>
  <c r="IK406" i="1"/>
  <c r="IK417" i="1"/>
  <c r="IK416" i="1"/>
  <c r="IK429" i="1"/>
  <c r="IK427" i="1"/>
  <c r="IJ472" i="1"/>
  <c r="IJ488" i="1"/>
  <c r="IK637" i="1"/>
  <c r="IK533" i="1"/>
  <c r="IK532" i="1"/>
  <c r="IK551" i="1"/>
  <c r="IK549" i="1"/>
  <c r="IK558" i="1"/>
  <c r="IK593" i="1"/>
  <c r="IK592" i="1"/>
  <c r="IK694" i="1"/>
  <c r="IK693" i="1"/>
  <c r="IK700" i="1"/>
  <c r="IK699" i="1"/>
  <c r="IK784" i="1"/>
  <c r="IK783" i="1"/>
  <c r="IK670" i="1"/>
  <c r="IM244" i="1"/>
  <c r="IN247" i="1"/>
  <c r="IN246" i="1"/>
  <c r="IN260" i="1"/>
  <c r="IN259" i="1"/>
  <c r="IN280" i="1"/>
  <c r="IN319" i="1"/>
  <c r="IN326" i="1"/>
  <c r="IN407" i="1"/>
  <c r="IN406" i="1"/>
  <c r="IN417" i="1"/>
  <c r="IN416" i="1"/>
  <c r="IN429" i="1"/>
  <c r="IN427" i="1"/>
  <c r="IM458" i="1"/>
  <c r="IM472" i="1"/>
  <c r="IM488" i="1"/>
  <c r="IN632" i="1"/>
  <c r="IN630" i="1"/>
  <c r="IN628" i="1"/>
  <c r="IL628" i="1"/>
  <c r="IN533" i="1"/>
  <c r="IN532" i="1"/>
  <c r="IN551" i="1"/>
  <c r="IN549" i="1"/>
  <c r="IN593" i="1"/>
  <c r="IN592" i="1"/>
  <c r="IN694" i="1"/>
  <c r="IN693" i="1"/>
  <c r="IN700" i="1"/>
  <c r="IN699" i="1"/>
  <c r="IN784" i="1"/>
  <c r="IN783" i="1"/>
  <c r="IN670" i="1"/>
  <c r="IQ259" i="1"/>
  <c r="IQ451" i="1"/>
  <c r="IQ381" i="1"/>
  <c r="IQ380" i="1"/>
  <c r="IP458" i="1"/>
  <c r="IQ637" i="1"/>
  <c r="IQ632" i="1"/>
  <c r="IQ630" i="1"/>
  <c r="IQ628" i="1"/>
  <c r="IQ827" i="1"/>
  <c r="IQ458" i="1"/>
  <c r="IP472" i="1"/>
  <c r="IP488" i="1"/>
  <c r="IQ319" i="1"/>
  <c r="IQ417" i="1"/>
  <c r="IQ416" i="1"/>
  <c r="IQ429" i="1"/>
  <c r="IQ427" i="1"/>
  <c r="IQ488" i="1"/>
  <c r="IO575" i="1"/>
  <c r="IO628" i="1"/>
  <c r="IQ728" i="1"/>
  <c r="IQ533" i="1"/>
  <c r="IQ532" i="1"/>
  <c r="IQ551" i="1"/>
  <c r="IQ549" i="1"/>
  <c r="IQ592" i="1"/>
  <c r="IQ694" i="1"/>
  <c r="IQ693" i="1"/>
  <c r="IQ700" i="1"/>
  <c r="IQ699" i="1"/>
  <c r="IQ784" i="1"/>
  <c r="IQ783" i="1"/>
  <c r="IQ670" i="1"/>
  <c r="IS541" i="1"/>
  <c r="IT728" i="1"/>
  <c r="IT247" i="1"/>
  <c r="IT246" i="1"/>
  <c r="IT260" i="1"/>
  <c r="JC260" i="1"/>
  <c r="JF260" i="1"/>
  <c r="JL260" i="1"/>
  <c r="IT319" i="1"/>
  <c r="IT326" i="1"/>
  <c r="IT397" i="1"/>
  <c r="IT407" i="1"/>
  <c r="JC407" i="1"/>
  <c r="JC406" i="1"/>
  <c r="JF407" i="1"/>
  <c r="JF406" i="1"/>
  <c r="JL407" i="1"/>
  <c r="JO407" i="1"/>
  <c r="IT417" i="1"/>
  <c r="IT416" i="1"/>
  <c r="IT429" i="1"/>
  <c r="IT827" i="1"/>
  <c r="IT451" i="1"/>
  <c r="IT489" i="1"/>
  <c r="IT533" i="1"/>
  <c r="IT532" i="1"/>
  <c r="IT551" i="1"/>
  <c r="IT558" i="1"/>
  <c r="IT593" i="1"/>
  <c r="IT694" i="1"/>
  <c r="IT693" i="1"/>
  <c r="IT700" i="1"/>
  <c r="IT699" i="1"/>
  <c r="IT784" i="1"/>
  <c r="IT783" i="1"/>
  <c r="IT670" i="1"/>
  <c r="IT861" i="1"/>
  <c r="IT860" i="1"/>
  <c r="IW251" i="1"/>
  <c r="IW267" i="1"/>
  <c r="IW420" i="1"/>
  <c r="IV472" i="1"/>
  <c r="IW488" i="1"/>
  <c r="IU628" i="1"/>
  <c r="IW316" i="1"/>
  <c r="IW402" i="1"/>
  <c r="IW401" i="1"/>
  <c r="IV444" i="1"/>
  <c r="IV458" i="1"/>
  <c r="IV488" i="1"/>
  <c r="IW533" i="1"/>
  <c r="IW532" i="1"/>
  <c r="IW551" i="1"/>
  <c r="IW549" i="1"/>
  <c r="IW593" i="1"/>
  <c r="IW592" i="1"/>
  <c r="IW694" i="1"/>
  <c r="IW693" i="1"/>
  <c r="IW700" i="1"/>
  <c r="IW699" i="1"/>
  <c r="IW784" i="1"/>
  <c r="IW670" i="1"/>
  <c r="IZ313" i="1"/>
  <c r="IZ381" i="1"/>
  <c r="IZ380" i="1"/>
  <c r="IZ440" i="1"/>
  <c r="IZ439" i="1"/>
  <c r="IY458" i="1"/>
  <c r="IY472" i="1"/>
  <c r="IY488" i="1"/>
  <c r="IZ728" i="1"/>
  <c r="IZ417" i="1"/>
  <c r="IZ416" i="1"/>
  <c r="IZ429" i="1"/>
  <c r="IY444" i="1"/>
  <c r="IZ827" i="1"/>
  <c r="IZ533" i="1"/>
  <c r="IZ532" i="1"/>
  <c r="IZ551" i="1"/>
  <c r="IZ593" i="1"/>
  <c r="IZ694" i="1"/>
  <c r="IZ693" i="1"/>
  <c r="IZ700" i="1"/>
  <c r="IZ699" i="1"/>
  <c r="IZ784" i="1"/>
  <c r="IZ783" i="1"/>
  <c r="IZ670" i="1"/>
  <c r="IZ861" i="1"/>
  <c r="IZ860" i="1"/>
  <c r="JC279" i="1"/>
  <c r="JC273" i="1"/>
  <c r="JC380" i="1"/>
  <c r="JC784" i="1"/>
  <c r="JC783" i="1"/>
  <c r="JC247" i="1"/>
  <c r="JC246" i="1"/>
  <c r="JC319" i="1"/>
  <c r="JC326" i="1"/>
  <c r="JC397" i="1"/>
  <c r="JC417" i="1"/>
  <c r="JC416" i="1"/>
  <c r="JC444" i="1"/>
  <c r="JC533" i="1"/>
  <c r="JC532" i="1"/>
  <c r="JC551" i="1"/>
  <c r="JC549" i="1"/>
  <c r="JC593" i="1"/>
  <c r="JC592" i="1"/>
  <c r="JC686" i="1"/>
  <c r="JC685" i="1"/>
  <c r="JC694" i="1"/>
  <c r="JC693" i="1"/>
  <c r="JC700" i="1"/>
  <c r="JC699" i="1"/>
  <c r="JC429" i="1"/>
  <c r="JC427" i="1"/>
  <c r="JC451" i="1"/>
  <c r="JC861" i="1"/>
  <c r="JC860" i="1"/>
  <c r="JD242" i="1"/>
  <c r="JF247" i="1"/>
  <c r="JF246" i="1"/>
  <c r="JF319" i="1"/>
  <c r="JF308" i="1"/>
  <c r="JF326" i="1"/>
  <c r="JF397" i="1"/>
  <c r="JF417" i="1"/>
  <c r="JF416" i="1"/>
  <c r="JF429" i="1"/>
  <c r="JE444" i="1"/>
  <c r="JE458" i="1"/>
  <c r="JF637" i="1"/>
  <c r="JF440" i="1"/>
  <c r="JF533" i="1"/>
  <c r="JF532" i="1"/>
  <c r="JF551" i="1"/>
  <c r="JF558" i="1"/>
  <c r="JF593" i="1"/>
  <c r="JF592" i="1"/>
  <c r="JF784" i="1"/>
  <c r="JF670" i="1"/>
  <c r="JF706" i="1"/>
  <c r="JF705" i="1"/>
  <c r="JI267" i="1"/>
  <c r="JI251" i="1"/>
  <c r="JI329" i="1"/>
  <c r="JI411" i="1"/>
  <c r="JI420" i="1"/>
  <c r="JI458" i="1"/>
  <c r="JH472" i="1"/>
  <c r="JI728" i="1"/>
  <c r="JI402" i="1"/>
  <c r="JH458" i="1"/>
  <c r="JH488" i="1"/>
  <c r="JI533" i="1"/>
  <c r="JI532" i="1"/>
  <c r="JI551" i="1"/>
  <c r="JI593" i="1"/>
  <c r="JI686" i="1"/>
  <c r="JI685" i="1"/>
  <c r="JI694" i="1"/>
  <c r="JI693" i="1"/>
  <c r="JI700" i="1"/>
  <c r="JI699" i="1"/>
  <c r="JI784" i="1"/>
  <c r="JL247" i="1"/>
  <c r="JL246" i="1"/>
  <c r="JL326" i="1"/>
  <c r="JL417" i="1"/>
  <c r="JL416" i="1"/>
  <c r="JL429" i="1"/>
  <c r="JL472" i="1"/>
  <c r="JK458" i="1"/>
  <c r="JJ575" i="1"/>
  <c r="JK472" i="1"/>
  <c r="JJ628" i="1"/>
  <c r="JL533" i="1"/>
  <c r="JL532" i="1"/>
  <c r="JL551" i="1"/>
  <c r="JL549" i="1"/>
  <c r="JL593" i="1"/>
  <c r="JL694" i="1"/>
  <c r="JL693" i="1"/>
  <c r="JL700" i="1"/>
  <c r="JL699" i="1"/>
  <c r="JL784" i="1"/>
  <c r="JL783" i="1"/>
  <c r="JL670" i="1"/>
  <c r="JN251" i="1"/>
  <c r="JO507" i="1"/>
  <c r="JO505" i="1"/>
  <c r="JM628" i="1"/>
  <c r="JM364" i="1"/>
  <c r="JN259" i="1"/>
  <c r="JN439" i="1"/>
  <c r="JN507" i="1"/>
  <c r="JN505" i="1"/>
  <c r="JO694" i="1"/>
  <c r="JO693" i="1"/>
  <c r="JO700" i="1"/>
  <c r="JO699" i="1"/>
  <c r="JO784" i="1"/>
  <c r="JO783" i="1"/>
  <c r="JO280" i="1"/>
  <c r="JO397" i="1"/>
  <c r="JO417" i="1"/>
  <c r="JO416" i="1"/>
  <c r="JO429" i="1"/>
  <c r="JO465" i="1"/>
  <c r="JO483" i="1"/>
  <c r="JO482" i="1"/>
  <c r="JO585" i="1"/>
  <c r="JO614" i="1"/>
  <c r="JO613" i="1"/>
  <c r="JO611" i="1"/>
  <c r="JO861" i="1"/>
  <c r="JO860" i="1"/>
  <c r="HI860" i="1"/>
  <c r="HH860" i="1"/>
  <c r="HI856" i="1"/>
  <c r="HH856" i="1"/>
  <c r="HI845" i="1"/>
  <c r="HH845" i="1"/>
  <c r="HI842" i="1"/>
  <c r="HH842" i="1"/>
  <c r="HI827" i="1"/>
  <c r="HH827" i="1"/>
  <c r="HI790" i="1"/>
  <c r="HH790" i="1"/>
  <c r="HI783" i="1"/>
  <c r="HH783" i="1"/>
  <c r="HI768" i="1"/>
  <c r="HH768" i="1"/>
  <c r="HI742" i="1"/>
  <c r="HH742" i="1"/>
  <c r="HI738" i="1"/>
  <c r="HH738" i="1"/>
  <c r="HI728" i="1"/>
  <c r="HH728" i="1"/>
  <c r="HH721" i="1"/>
  <c r="HI725" i="1"/>
  <c r="HH725" i="1"/>
  <c r="HI711" i="1"/>
  <c r="HH711" i="1"/>
  <c r="HI705" i="1"/>
  <c r="HH705" i="1"/>
  <c r="HI702" i="1"/>
  <c r="HH702" i="1"/>
  <c r="HI699" i="1"/>
  <c r="HH699" i="1"/>
  <c r="HI696" i="1"/>
  <c r="HH696" i="1"/>
  <c r="HI693" i="1"/>
  <c r="HH693" i="1"/>
  <c r="HI685" i="1"/>
  <c r="HH685" i="1"/>
  <c r="HI681" i="1"/>
  <c r="HH681" i="1"/>
  <c r="HI669" i="1"/>
  <c r="HI664" i="1"/>
  <c r="HI662" i="1"/>
  <c r="HH669" i="1"/>
  <c r="HH664" i="1"/>
  <c r="HH662" i="1"/>
  <c r="HI666" i="1"/>
  <c r="HH666" i="1"/>
  <c r="HI655" i="1"/>
  <c r="HH655" i="1"/>
  <c r="HH653" i="1"/>
  <c r="HI653" i="1"/>
  <c r="HI645" i="1"/>
  <c r="HH645" i="1"/>
  <c r="HI637" i="1"/>
  <c r="HH637" i="1"/>
  <c r="HI634" i="1"/>
  <c r="HH634" i="1"/>
  <c r="HI632" i="1"/>
  <c r="HI630" i="1"/>
  <c r="HH632" i="1"/>
  <c r="HH630" i="1"/>
  <c r="HI625" i="1"/>
  <c r="HH625" i="1"/>
  <c r="HI621" i="1"/>
  <c r="HI619" i="1"/>
  <c r="HH621" i="1"/>
  <c r="HH619" i="1"/>
  <c r="HI616" i="1"/>
  <c r="HH616" i="1"/>
  <c r="HI613" i="1"/>
  <c r="HH613" i="1"/>
  <c r="HH611" i="1"/>
  <c r="HH609" i="1"/>
  <c r="HI611" i="1"/>
  <c r="HI609" i="1"/>
  <c r="HI606" i="1"/>
  <c r="HH606" i="1"/>
  <c r="HI600" i="1"/>
  <c r="HH600" i="1"/>
  <c r="HI592" i="1"/>
  <c r="HH592" i="1"/>
  <c r="HI585" i="1"/>
  <c r="HH585" i="1"/>
  <c r="HI581" i="1"/>
  <c r="HH581" i="1"/>
  <c r="HI579" i="1"/>
  <c r="HI577" i="1"/>
  <c r="HI575" i="1"/>
  <c r="HH579" i="1"/>
  <c r="HH577" i="1"/>
  <c r="HI571" i="1"/>
  <c r="HH571" i="1"/>
  <c r="HI569" i="1"/>
  <c r="HI567" i="1"/>
  <c r="HH569" i="1"/>
  <c r="HH567" i="1"/>
  <c r="HI563" i="1"/>
  <c r="HH563" i="1"/>
  <c r="HI558" i="1"/>
  <c r="HH558" i="1"/>
  <c r="HI555" i="1"/>
  <c r="HI541" i="1"/>
  <c r="HH555" i="1"/>
  <c r="HI549" i="1"/>
  <c r="HH549" i="1"/>
  <c r="HI543" i="1"/>
  <c r="HH543" i="1"/>
  <c r="HH541" i="1"/>
  <c r="HI535" i="1"/>
  <c r="HH535" i="1"/>
  <c r="HI532" i="1"/>
  <c r="HH532" i="1"/>
  <c r="HI530" i="1"/>
  <c r="HI526" i="1"/>
  <c r="HH526" i="1"/>
  <c r="HI507" i="1"/>
  <c r="HH507" i="1"/>
  <c r="HI505" i="1"/>
  <c r="HH505" i="1"/>
  <c r="HI500" i="1"/>
  <c r="HH500" i="1"/>
  <c r="HI488" i="1"/>
  <c r="HH488" i="1"/>
  <c r="HI482" i="1"/>
  <c r="HH482" i="1"/>
  <c r="HI472" i="1"/>
  <c r="HH472" i="1"/>
  <c r="HI464" i="1"/>
  <c r="HH464" i="1"/>
  <c r="HI458" i="1"/>
  <c r="HH458" i="1"/>
  <c r="HI451" i="1"/>
  <c r="HH451" i="1"/>
  <c r="HI444" i="1"/>
  <c r="HH444" i="1"/>
  <c r="HI439" i="1"/>
  <c r="HH439" i="1"/>
  <c r="HI437" i="1"/>
  <c r="HH437" i="1"/>
  <c r="HI427" i="1"/>
  <c r="HH427" i="1"/>
  <c r="HI419" i="1"/>
  <c r="HH419" i="1"/>
  <c r="HI416" i="1"/>
  <c r="HH416" i="1"/>
  <c r="HI411" i="1"/>
  <c r="HH411" i="1"/>
  <c r="HI406" i="1"/>
  <c r="HH406" i="1"/>
  <c r="HI401" i="1"/>
  <c r="HH401" i="1"/>
  <c r="HI397" i="1"/>
  <c r="HH397" i="1"/>
  <c r="HI386" i="1"/>
  <c r="HH386" i="1"/>
  <c r="HI380" i="1"/>
  <c r="HH380" i="1"/>
  <c r="HI375" i="1"/>
  <c r="HH375" i="1"/>
  <c r="HI368" i="1"/>
  <c r="HI366" i="1"/>
  <c r="HH368" i="1"/>
  <c r="HH366" i="1"/>
  <c r="HI361" i="1"/>
  <c r="HH361" i="1"/>
  <c r="HI358" i="1"/>
  <c r="HH358" i="1"/>
  <c r="HI354" i="1"/>
  <c r="HH354" i="1"/>
  <c r="HI347" i="1"/>
  <c r="HI329" i="1"/>
  <c r="HH329" i="1"/>
  <c r="HI326" i="1"/>
  <c r="HH326" i="1"/>
  <c r="HI322" i="1"/>
  <c r="HH322" i="1"/>
  <c r="HI319" i="1"/>
  <c r="HH319" i="1"/>
  <c r="HI316" i="1"/>
  <c r="HH316" i="1"/>
  <c r="HI310" i="1"/>
  <c r="HH310" i="1"/>
  <c r="HI308" i="1"/>
  <c r="HI305" i="1"/>
  <c r="HH305" i="1"/>
  <c r="HI293" i="1"/>
  <c r="HH293" i="1"/>
  <c r="HI288" i="1"/>
  <c r="HH288" i="1"/>
  <c r="HI279" i="1"/>
  <c r="HH279" i="1"/>
  <c r="HI275" i="1"/>
  <c r="HH275" i="1"/>
  <c r="HI273" i="1"/>
  <c r="HI267" i="1"/>
  <c r="HH267" i="1"/>
  <c r="HI259" i="1"/>
  <c r="HH259" i="1"/>
  <c r="HI251" i="1"/>
  <c r="HH251" i="1"/>
  <c r="HI246" i="1"/>
  <c r="HI244" i="1"/>
  <c r="HH246" i="1"/>
  <c r="HH244" i="1"/>
  <c r="HK860" i="1"/>
  <c r="HJ860" i="1"/>
  <c r="HK856" i="1"/>
  <c r="HJ856" i="1"/>
  <c r="HK845" i="1"/>
  <c r="HJ845" i="1"/>
  <c r="HK842" i="1"/>
  <c r="HJ842" i="1"/>
  <c r="HK827" i="1"/>
  <c r="HJ827" i="1"/>
  <c r="HK790" i="1"/>
  <c r="HJ790" i="1"/>
  <c r="HK783" i="1"/>
  <c r="HJ783" i="1"/>
  <c r="HK768" i="1"/>
  <c r="HJ768" i="1"/>
  <c r="HK742" i="1"/>
  <c r="HJ742" i="1"/>
  <c r="HK738" i="1"/>
  <c r="HJ738" i="1"/>
  <c r="HK728" i="1"/>
  <c r="HJ728" i="1"/>
  <c r="HK725" i="1"/>
  <c r="HJ725" i="1"/>
  <c r="HK711" i="1"/>
  <c r="HJ711" i="1"/>
  <c r="HK705" i="1"/>
  <c r="HJ705" i="1"/>
  <c r="HK702" i="1"/>
  <c r="HJ702" i="1"/>
  <c r="HK699" i="1"/>
  <c r="HJ699" i="1"/>
  <c r="HK696" i="1"/>
  <c r="HJ696" i="1"/>
  <c r="HK693" i="1"/>
  <c r="HJ693" i="1"/>
  <c r="HK685" i="1"/>
  <c r="HJ685" i="1"/>
  <c r="HK681" i="1"/>
  <c r="HJ681" i="1"/>
  <c r="HK669" i="1"/>
  <c r="HK664" i="1"/>
  <c r="HK662" i="1"/>
  <c r="HJ669" i="1"/>
  <c r="HJ664" i="1"/>
  <c r="HJ662" i="1"/>
  <c r="HK666" i="1"/>
  <c r="HJ666" i="1"/>
  <c r="HK655" i="1"/>
  <c r="HK653" i="1"/>
  <c r="HJ655" i="1"/>
  <c r="HJ653" i="1"/>
  <c r="HK645" i="1"/>
  <c r="HJ645" i="1"/>
  <c r="HK637" i="1"/>
  <c r="HJ637" i="1"/>
  <c r="HK634" i="1"/>
  <c r="HJ634" i="1"/>
  <c r="HK632" i="1"/>
  <c r="HK630" i="1"/>
  <c r="HJ632" i="1"/>
  <c r="HJ630" i="1"/>
  <c r="HK625" i="1"/>
  <c r="HJ625" i="1"/>
  <c r="HK621" i="1"/>
  <c r="HK619" i="1"/>
  <c r="HJ621" i="1"/>
  <c r="HJ619" i="1"/>
  <c r="HK616" i="1"/>
  <c r="HJ616" i="1"/>
  <c r="HK613" i="1"/>
  <c r="HJ613" i="1"/>
  <c r="HJ611" i="1"/>
  <c r="HK611" i="1"/>
  <c r="HK606" i="1"/>
  <c r="HJ606" i="1"/>
  <c r="HK600" i="1"/>
  <c r="HJ600" i="1"/>
  <c r="HK592" i="1"/>
  <c r="HJ592" i="1"/>
  <c r="HK585" i="1"/>
  <c r="HJ585" i="1"/>
  <c r="HK581" i="1"/>
  <c r="HK579" i="1"/>
  <c r="HK577" i="1"/>
  <c r="HJ581" i="1"/>
  <c r="HJ579" i="1"/>
  <c r="HJ577" i="1"/>
  <c r="HK571" i="1"/>
  <c r="HK569" i="1"/>
  <c r="HK567" i="1"/>
  <c r="HJ571" i="1"/>
  <c r="HJ569" i="1"/>
  <c r="HJ567" i="1"/>
  <c r="HK563" i="1"/>
  <c r="HJ563" i="1"/>
  <c r="HK558" i="1"/>
  <c r="HJ558" i="1"/>
  <c r="HK555" i="1"/>
  <c r="HJ555" i="1"/>
  <c r="HK549" i="1"/>
  <c r="HJ549" i="1"/>
  <c r="HK543" i="1"/>
  <c r="HJ543" i="1"/>
  <c r="HK541" i="1"/>
  <c r="HJ541" i="1"/>
  <c r="HK535" i="1"/>
  <c r="HJ535" i="1"/>
  <c r="HJ530" i="1"/>
  <c r="HK532" i="1"/>
  <c r="HJ532" i="1"/>
  <c r="HK526" i="1"/>
  <c r="HJ526" i="1"/>
  <c r="HK507" i="1"/>
  <c r="HJ507" i="1"/>
  <c r="HK505" i="1"/>
  <c r="HJ505" i="1"/>
  <c r="HK500" i="1"/>
  <c r="HJ500" i="1"/>
  <c r="HK488" i="1"/>
  <c r="HJ488" i="1"/>
  <c r="HK482" i="1"/>
  <c r="HJ482" i="1"/>
  <c r="HK472" i="1"/>
  <c r="HJ472" i="1"/>
  <c r="HK464" i="1"/>
  <c r="HJ464" i="1"/>
  <c r="HK458" i="1"/>
  <c r="HJ458" i="1"/>
  <c r="HK451" i="1"/>
  <c r="HJ451" i="1"/>
  <c r="HK444" i="1"/>
  <c r="HJ444" i="1"/>
  <c r="HK439" i="1"/>
  <c r="HJ439" i="1"/>
  <c r="HK437" i="1"/>
  <c r="HJ437" i="1"/>
  <c r="HK427" i="1"/>
  <c r="HJ427" i="1"/>
  <c r="HK419" i="1"/>
  <c r="HJ419" i="1"/>
  <c r="HK416" i="1"/>
  <c r="HJ416" i="1"/>
  <c r="HK411" i="1"/>
  <c r="HJ411" i="1"/>
  <c r="HK406" i="1"/>
  <c r="HJ406" i="1"/>
  <c r="HK401" i="1"/>
  <c r="HJ401" i="1"/>
  <c r="HK397" i="1"/>
  <c r="HJ397" i="1"/>
  <c r="HK386" i="1"/>
  <c r="HJ386" i="1"/>
  <c r="HK380" i="1"/>
  <c r="HJ380" i="1"/>
  <c r="HJ378" i="1"/>
  <c r="HK378" i="1"/>
  <c r="HK364" i="1"/>
  <c r="HK375" i="1"/>
  <c r="HJ375" i="1"/>
  <c r="HK368" i="1"/>
  <c r="HK366" i="1"/>
  <c r="HJ368" i="1"/>
  <c r="HJ366" i="1"/>
  <c r="HK361" i="1"/>
  <c r="HJ361" i="1"/>
  <c r="HK358" i="1"/>
  <c r="HJ358" i="1"/>
  <c r="HK354" i="1"/>
  <c r="HJ354" i="1"/>
  <c r="HK347" i="1"/>
  <c r="HJ347" i="1"/>
  <c r="HK329" i="1"/>
  <c r="HJ329" i="1"/>
  <c r="HK326" i="1"/>
  <c r="HJ326" i="1"/>
  <c r="HK322" i="1"/>
  <c r="HJ322" i="1"/>
  <c r="HK319" i="1"/>
  <c r="HJ319" i="1"/>
  <c r="HK316" i="1"/>
  <c r="HJ316" i="1"/>
  <c r="HK310" i="1"/>
  <c r="HJ310" i="1"/>
  <c r="HJ308" i="1"/>
  <c r="HK305" i="1"/>
  <c r="HJ305" i="1"/>
  <c r="HK293" i="1"/>
  <c r="HJ293" i="1"/>
  <c r="HK288" i="1"/>
  <c r="HJ288" i="1"/>
  <c r="HK279" i="1"/>
  <c r="HJ279" i="1"/>
  <c r="HK275" i="1"/>
  <c r="HJ275" i="1"/>
  <c r="HK267" i="1"/>
  <c r="HJ267" i="1"/>
  <c r="HK259" i="1"/>
  <c r="HJ259" i="1"/>
  <c r="HK251" i="1"/>
  <c r="HJ251" i="1"/>
  <c r="HK246" i="1"/>
  <c r="HK244" i="1"/>
  <c r="HJ246" i="1"/>
  <c r="HM860" i="1"/>
  <c r="HL860" i="1"/>
  <c r="HM856" i="1"/>
  <c r="HL856" i="1"/>
  <c r="HM845" i="1"/>
  <c r="HL845" i="1"/>
  <c r="HM842" i="1"/>
  <c r="HL842" i="1"/>
  <c r="HM827" i="1"/>
  <c r="HL827" i="1"/>
  <c r="HM790" i="1"/>
  <c r="HL790" i="1"/>
  <c r="HM783" i="1"/>
  <c r="HL783" i="1"/>
  <c r="HM768" i="1"/>
  <c r="HL768" i="1"/>
  <c r="HM742" i="1"/>
  <c r="HL742" i="1"/>
  <c r="HL721" i="1"/>
  <c r="HM738" i="1"/>
  <c r="HL738" i="1"/>
  <c r="HM728" i="1"/>
  <c r="HL728" i="1"/>
  <c r="HM725" i="1"/>
  <c r="HM721" i="1"/>
  <c r="HL725" i="1"/>
  <c r="HM711" i="1"/>
  <c r="HM693" i="1"/>
  <c r="HM699" i="1"/>
  <c r="HM705" i="1"/>
  <c r="HL711" i="1"/>
  <c r="HL705" i="1"/>
  <c r="HM702" i="1"/>
  <c r="HL702" i="1"/>
  <c r="HL699" i="1"/>
  <c r="HM696" i="1"/>
  <c r="HL696" i="1"/>
  <c r="HL693" i="1"/>
  <c r="HM685" i="1"/>
  <c r="HL685" i="1"/>
  <c r="HM681" i="1"/>
  <c r="HL681" i="1"/>
  <c r="HL669" i="1"/>
  <c r="HL664" i="1"/>
  <c r="HL662" i="1"/>
  <c r="HL666" i="1"/>
  <c r="HM655" i="1"/>
  <c r="HL655" i="1"/>
  <c r="HM653" i="1"/>
  <c r="HL653" i="1"/>
  <c r="HM645" i="1"/>
  <c r="HL645" i="1"/>
  <c r="HM637" i="1"/>
  <c r="HL637" i="1"/>
  <c r="HM634" i="1"/>
  <c r="HL634" i="1"/>
  <c r="HM632" i="1"/>
  <c r="HM630" i="1"/>
  <c r="HL632" i="1"/>
  <c r="HL630" i="1"/>
  <c r="HM625" i="1"/>
  <c r="HL625" i="1"/>
  <c r="HM621" i="1"/>
  <c r="HL621" i="1"/>
  <c r="HL619" i="1"/>
  <c r="HM616" i="1"/>
  <c r="HL616" i="1"/>
  <c r="HM613" i="1"/>
  <c r="HL613" i="1"/>
  <c r="HM611" i="1"/>
  <c r="HL611" i="1"/>
  <c r="HM606" i="1"/>
  <c r="HL606" i="1"/>
  <c r="HM600" i="1"/>
  <c r="HL600" i="1"/>
  <c r="HM592" i="1"/>
  <c r="HL592" i="1"/>
  <c r="HM585" i="1"/>
  <c r="HL585" i="1"/>
  <c r="HM581" i="1"/>
  <c r="HL581" i="1"/>
  <c r="HM579" i="1"/>
  <c r="HM577" i="1"/>
  <c r="HL579" i="1"/>
  <c r="HL577" i="1"/>
  <c r="HM571" i="1"/>
  <c r="HL571" i="1"/>
  <c r="HM569" i="1"/>
  <c r="HM567" i="1"/>
  <c r="HL569" i="1"/>
  <c r="HL567" i="1"/>
  <c r="HM563" i="1"/>
  <c r="HL563" i="1"/>
  <c r="HM558" i="1"/>
  <c r="HL558" i="1"/>
  <c r="HM555" i="1"/>
  <c r="HM541" i="1"/>
  <c r="HL555" i="1"/>
  <c r="HM549" i="1"/>
  <c r="HL549" i="1"/>
  <c r="HM543" i="1"/>
  <c r="HL543" i="1"/>
  <c r="HL541" i="1"/>
  <c r="HM535" i="1"/>
  <c r="HM532" i="1"/>
  <c r="HL532" i="1"/>
  <c r="HM526" i="1"/>
  <c r="HL526" i="1"/>
  <c r="HM507" i="1"/>
  <c r="HL507" i="1"/>
  <c r="HM505" i="1"/>
  <c r="HL505" i="1"/>
  <c r="HM500" i="1"/>
  <c r="HL500" i="1"/>
  <c r="HM488" i="1"/>
  <c r="HL488" i="1"/>
  <c r="HM482" i="1"/>
  <c r="HL482" i="1"/>
  <c r="HM472" i="1"/>
  <c r="HL472" i="1"/>
  <c r="HM464" i="1"/>
  <c r="HL464" i="1"/>
  <c r="HM458" i="1"/>
  <c r="HL458" i="1"/>
  <c r="HM451" i="1"/>
  <c r="HL451" i="1"/>
  <c r="HM444" i="1"/>
  <c r="HL444" i="1"/>
  <c r="HM439" i="1"/>
  <c r="HL439" i="1"/>
  <c r="HM437" i="1"/>
  <c r="HL437" i="1"/>
  <c r="HM427" i="1"/>
  <c r="HL427" i="1"/>
  <c r="HM419" i="1"/>
  <c r="HL419" i="1"/>
  <c r="HM416" i="1"/>
  <c r="HL416" i="1"/>
  <c r="HM411" i="1"/>
  <c r="HL411" i="1"/>
  <c r="HM406" i="1"/>
  <c r="HL406" i="1"/>
  <c r="HM401" i="1"/>
  <c r="HL401" i="1"/>
  <c r="HM397" i="1"/>
  <c r="HL397" i="1"/>
  <c r="HM386" i="1"/>
  <c r="HL386" i="1"/>
  <c r="HM380" i="1"/>
  <c r="HL380" i="1"/>
  <c r="HM378" i="1"/>
  <c r="HL378" i="1"/>
  <c r="HM375" i="1"/>
  <c r="HL375" i="1"/>
  <c r="HM368" i="1"/>
  <c r="HM366" i="1"/>
  <c r="HL368" i="1"/>
  <c r="HL366" i="1"/>
  <c r="HM361" i="1"/>
  <c r="HL361" i="1"/>
  <c r="HM358" i="1"/>
  <c r="HL358" i="1"/>
  <c r="HM354" i="1"/>
  <c r="HL354" i="1"/>
  <c r="HM347" i="1"/>
  <c r="HL347" i="1"/>
  <c r="HM329" i="1"/>
  <c r="HL329" i="1"/>
  <c r="HM326" i="1"/>
  <c r="HL326" i="1"/>
  <c r="HM322" i="1"/>
  <c r="HL322" i="1"/>
  <c r="HM319" i="1"/>
  <c r="HL319" i="1"/>
  <c r="HM316" i="1"/>
  <c r="HL316" i="1"/>
  <c r="HM310" i="1"/>
  <c r="HM308" i="1"/>
  <c r="HL310" i="1"/>
  <c r="HM305" i="1"/>
  <c r="HL305" i="1"/>
  <c r="HM293" i="1"/>
  <c r="HL293" i="1"/>
  <c r="HM288" i="1"/>
  <c r="HL288" i="1"/>
  <c r="HM279" i="1"/>
  <c r="HL279" i="1"/>
  <c r="HM275" i="1"/>
  <c r="HL275" i="1"/>
  <c r="HM267" i="1"/>
  <c r="HL267" i="1"/>
  <c r="HM259" i="1"/>
  <c r="HL259" i="1"/>
  <c r="HM251" i="1"/>
  <c r="HL251" i="1"/>
  <c r="HM246" i="1"/>
  <c r="HL246" i="1"/>
  <c r="HO860" i="1"/>
  <c r="HN860" i="1"/>
  <c r="HO856" i="1"/>
  <c r="HN856" i="1"/>
  <c r="HO845" i="1"/>
  <c r="HN845" i="1"/>
  <c r="HO842" i="1"/>
  <c r="HN842" i="1"/>
  <c r="HO827" i="1"/>
  <c r="HN827" i="1"/>
  <c r="HO790" i="1"/>
  <c r="HN790" i="1"/>
  <c r="HO783" i="1"/>
  <c r="HN783" i="1"/>
  <c r="HO768" i="1"/>
  <c r="HN768" i="1"/>
  <c r="HO742" i="1"/>
  <c r="HN742" i="1"/>
  <c r="HO738" i="1"/>
  <c r="HN738" i="1"/>
  <c r="HO728" i="1"/>
  <c r="HN728" i="1"/>
  <c r="HO725" i="1"/>
  <c r="HN725" i="1"/>
  <c r="HN721" i="1"/>
  <c r="HO711" i="1"/>
  <c r="HN711" i="1"/>
  <c r="HO705" i="1"/>
  <c r="HN705" i="1"/>
  <c r="HO702" i="1"/>
  <c r="HN702" i="1"/>
  <c r="HO699" i="1"/>
  <c r="HN699" i="1"/>
  <c r="HO696" i="1"/>
  <c r="HN696" i="1"/>
  <c r="HO693" i="1"/>
  <c r="HN693" i="1"/>
  <c r="HO685" i="1"/>
  <c r="HN685" i="1"/>
  <c r="HO681" i="1"/>
  <c r="HN681" i="1"/>
  <c r="HO669" i="1"/>
  <c r="HN669" i="1"/>
  <c r="HN664" i="1"/>
  <c r="HO666" i="1"/>
  <c r="HN666" i="1"/>
  <c r="HO655" i="1"/>
  <c r="HN655" i="1"/>
  <c r="HO653" i="1"/>
  <c r="HN653" i="1"/>
  <c r="HO645" i="1"/>
  <c r="HN645" i="1"/>
  <c r="HO637" i="1"/>
  <c r="HN637" i="1"/>
  <c r="HO634" i="1"/>
  <c r="HN634" i="1"/>
  <c r="HO632" i="1"/>
  <c r="HO630" i="1"/>
  <c r="HN632" i="1"/>
  <c r="HN630" i="1"/>
  <c r="HO625" i="1"/>
  <c r="HN625" i="1"/>
  <c r="HO621" i="1"/>
  <c r="HO619" i="1"/>
  <c r="HN621" i="1"/>
  <c r="HN619" i="1"/>
  <c r="HO616" i="1"/>
  <c r="HN616" i="1"/>
  <c r="HO613" i="1"/>
  <c r="HN613" i="1"/>
  <c r="HO611" i="1"/>
  <c r="HN611" i="1"/>
  <c r="HO606" i="1"/>
  <c r="HN606" i="1"/>
  <c r="HO600" i="1"/>
  <c r="HN600" i="1"/>
  <c r="HO592" i="1"/>
  <c r="HN592" i="1"/>
  <c r="HO585" i="1"/>
  <c r="HN585" i="1"/>
  <c r="HO581" i="1"/>
  <c r="HN581" i="1"/>
  <c r="HO579" i="1"/>
  <c r="HO577" i="1"/>
  <c r="HN579" i="1"/>
  <c r="HN577" i="1"/>
  <c r="HO571" i="1"/>
  <c r="HN571" i="1"/>
  <c r="HO569" i="1"/>
  <c r="HO567" i="1"/>
  <c r="HN569" i="1"/>
  <c r="HN567" i="1"/>
  <c r="HO563" i="1"/>
  <c r="HN563" i="1"/>
  <c r="HO558" i="1"/>
  <c r="HN558" i="1"/>
  <c r="HO555" i="1"/>
  <c r="HN555" i="1"/>
  <c r="HO549" i="1"/>
  <c r="HN549" i="1"/>
  <c r="HO543" i="1"/>
  <c r="HN543" i="1"/>
  <c r="HO541" i="1"/>
  <c r="HN541" i="1"/>
  <c r="HO535" i="1"/>
  <c r="HO532" i="1"/>
  <c r="HN532" i="1"/>
  <c r="HO526" i="1"/>
  <c r="HN526" i="1"/>
  <c r="HO507" i="1"/>
  <c r="HN507" i="1"/>
  <c r="HO505" i="1"/>
  <c r="HN505" i="1"/>
  <c r="HO500" i="1"/>
  <c r="HN500" i="1"/>
  <c r="HO488" i="1"/>
  <c r="HN488" i="1"/>
  <c r="HO482" i="1"/>
  <c r="HN482" i="1"/>
  <c r="HO472" i="1"/>
  <c r="HN472" i="1"/>
  <c r="HO464" i="1"/>
  <c r="HN464" i="1"/>
  <c r="HO458" i="1"/>
  <c r="HN458" i="1"/>
  <c r="HO451" i="1"/>
  <c r="HN451" i="1"/>
  <c r="HO444" i="1"/>
  <c r="HN444" i="1"/>
  <c r="HO439" i="1"/>
  <c r="HN439" i="1"/>
  <c r="HO437" i="1"/>
  <c r="HN437" i="1"/>
  <c r="HO427" i="1"/>
  <c r="HN427" i="1"/>
  <c r="HO419" i="1"/>
  <c r="HN419" i="1"/>
  <c r="HO416" i="1"/>
  <c r="HN416" i="1"/>
  <c r="HO411" i="1"/>
  <c r="HN411" i="1"/>
  <c r="HO406" i="1"/>
  <c r="HN406" i="1"/>
  <c r="HO401" i="1"/>
  <c r="HN401" i="1"/>
  <c r="HO397" i="1"/>
  <c r="HN397" i="1"/>
  <c r="HO386" i="1"/>
  <c r="HN386" i="1"/>
  <c r="HO380" i="1"/>
  <c r="HN380" i="1"/>
  <c r="HO378" i="1"/>
  <c r="HO364" i="1"/>
  <c r="HN378" i="1"/>
  <c r="HO375" i="1"/>
  <c r="HN375" i="1"/>
  <c r="HO368" i="1"/>
  <c r="HO366" i="1"/>
  <c r="HN368" i="1"/>
  <c r="HN366" i="1"/>
  <c r="HN364" i="1"/>
  <c r="HO361" i="1"/>
  <c r="HN361" i="1"/>
  <c r="HO358" i="1"/>
  <c r="HN358" i="1"/>
  <c r="HO354" i="1"/>
  <c r="HN354" i="1"/>
  <c r="HO347" i="1"/>
  <c r="HN347" i="1"/>
  <c r="HO329" i="1"/>
  <c r="HN329" i="1"/>
  <c r="HO326" i="1"/>
  <c r="HN326" i="1"/>
  <c r="HO322" i="1"/>
  <c r="HN322" i="1"/>
  <c r="HO319" i="1"/>
  <c r="HN319" i="1"/>
  <c r="HO316" i="1"/>
  <c r="HN316" i="1"/>
  <c r="HO310" i="1"/>
  <c r="HO308" i="1"/>
  <c r="HN310" i="1"/>
  <c r="HN308" i="1"/>
  <c r="HO305" i="1"/>
  <c r="HN305" i="1"/>
  <c r="HO293" i="1"/>
  <c r="HN293" i="1"/>
  <c r="HO288" i="1"/>
  <c r="HN288" i="1"/>
  <c r="HO279" i="1"/>
  <c r="HN279" i="1"/>
  <c r="HO275" i="1"/>
  <c r="HN275" i="1"/>
  <c r="HO267" i="1"/>
  <c r="HN267" i="1"/>
  <c r="HO259" i="1"/>
  <c r="HN259" i="1"/>
  <c r="HO251" i="1"/>
  <c r="HN251" i="1"/>
  <c r="HO246" i="1"/>
  <c r="HO244" i="1"/>
  <c r="HN246" i="1"/>
  <c r="HN244" i="1"/>
  <c r="HQ860" i="1"/>
  <c r="HP860" i="1"/>
  <c r="HQ856" i="1"/>
  <c r="HP856" i="1"/>
  <c r="HP845" i="1"/>
  <c r="HQ842" i="1"/>
  <c r="HP842" i="1"/>
  <c r="HQ827" i="1"/>
  <c r="HP827" i="1"/>
  <c r="HQ790" i="1"/>
  <c r="HP790" i="1"/>
  <c r="HQ783" i="1"/>
  <c r="HP783" i="1"/>
  <c r="HQ768" i="1"/>
  <c r="HP768" i="1"/>
  <c r="HQ742" i="1"/>
  <c r="HP742" i="1"/>
  <c r="HQ738" i="1"/>
  <c r="HP738" i="1"/>
  <c r="HQ728" i="1"/>
  <c r="HP728" i="1"/>
  <c r="HQ725" i="1"/>
  <c r="HP725" i="1"/>
  <c r="HP721" i="1"/>
  <c r="HQ711" i="1"/>
  <c r="HP711" i="1"/>
  <c r="HQ705" i="1"/>
  <c r="HP705" i="1"/>
  <c r="HQ702" i="1"/>
  <c r="HP702" i="1"/>
  <c r="HQ699" i="1"/>
  <c r="HP699" i="1"/>
  <c r="HQ696" i="1"/>
  <c r="HP696" i="1"/>
  <c r="HQ693" i="1"/>
  <c r="HP693" i="1"/>
  <c r="HQ685" i="1"/>
  <c r="HP685" i="1"/>
  <c r="HQ681" i="1"/>
  <c r="HP681" i="1"/>
  <c r="HQ669" i="1"/>
  <c r="HQ664" i="1"/>
  <c r="HQ662" i="1"/>
  <c r="HP669" i="1"/>
  <c r="HP664" i="1"/>
  <c r="HP662" i="1"/>
  <c r="HQ666" i="1"/>
  <c r="HP666" i="1"/>
  <c r="HQ655" i="1"/>
  <c r="HP655" i="1"/>
  <c r="HP653" i="1"/>
  <c r="HQ653" i="1"/>
  <c r="HQ645" i="1"/>
  <c r="HP645" i="1"/>
  <c r="HQ637" i="1"/>
  <c r="HP637" i="1"/>
  <c r="HQ634" i="1"/>
  <c r="HP634" i="1"/>
  <c r="HQ632" i="1"/>
  <c r="HQ630" i="1"/>
  <c r="HP632" i="1"/>
  <c r="HP630" i="1"/>
  <c r="HQ625" i="1"/>
  <c r="HP625" i="1"/>
  <c r="HQ621" i="1"/>
  <c r="HQ619" i="1"/>
  <c r="HP621" i="1"/>
  <c r="HP619" i="1"/>
  <c r="HQ616" i="1"/>
  <c r="HP616" i="1"/>
  <c r="HQ613" i="1"/>
  <c r="HP613" i="1"/>
  <c r="HQ611" i="1"/>
  <c r="HP611" i="1"/>
  <c r="HQ606" i="1"/>
  <c r="HP606" i="1"/>
  <c r="HQ600" i="1"/>
  <c r="HP600" i="1"/>
  <c r="HQ592" i="1"/>
  <c r="HP592" i="1"/>
  <c r="HQ585" i="1"/>
  <c r="HP585" i="1"/>
  <c r="HQ581" i="1"/>
  <c r="HP581" i="1"/>
  <c r="HQ579" i="1"/>
  <c r="HQ577" i="1"/>
  <c r="HP579" i="1"/>
  <c r="HP577" i="1"/>
  <c r="HQ571" i="1"/>
  <c r="HP571" i="1"/>
  <c r="HQ569" i="1"/>
  <c r="HQ567" i="1"/>
  <c r="HP569" i="1"/>
  <c r="HP567" i="1"/>
  <c r="HQ563" i="1"/>
  <c r="HP563" i="1"/>
  <c r="HQ558" i="1"/>
  <c r="HP558" i="1"/>
  <c r="HQ555" i="1"/>
  <c r="HQ541" i="1"/>
  <c r="HP555" i="1"/>
  <c r="HP543" i="1"/>
  <c r="HP549" i="1"/>
  <c r="HP541" i="1"/>
  <c r="HQ549" i="1"/>
  <c r="HQ543" i="1"/>
  <c r="HQ535" i="1"/>
  <c r="HQ532" i="1"/>
  <c r="HP532" i="1"/>
  <c r="HQ526" i="1"/>
  <c r="HP526" i="1"/>
  <c r="HQ507" i="1"/>
  <c r="HP507" i="1"/>
  <c r="HQ505" i="1"/>
  <c r="HP505" i="1"/>
  <c r="HQ500" i="1"/>
  <c r="HP500" i="1"/>
  <c r="HQ488" i="1"/>
  <c r="HP488" i="1"/>
  <c r="HQ482" i="1"/>
  <c r="HP482" i="1"/>
  <c r="HQ472" i="1"/>
  <c r="HP472" i="1"/>
  <c r="HQ464" i="1"/>
  <c r="HP464" i="1"/>
  <c r="HQ458" i="1"/>
  <c r="HP458" i="1"/>
  <c r="HQ451" i="1"/>
  <c r="HP451" i="1"/>
  <c r="HQ444" i="1"/>
  <c r="HP444" i="1"/>
  <c r="HQ439" i="1"/>
  <c r="HP439" i="1"/>
  <c r="HQ437" i="1"/>
  <c r="HP437" i="1"/>
  <c r="HQ427" i="1"/>
  <c r="HP427" i="1"/>
  <c r="HQ419" i="1"/>
  <c r="HP419" i="1"/>
  <c r="HQ416" i="1"/>
  <c r="HP416" i="1"/>
  <c r="HQ411" i="1"/>
  <c r="HP411" i="1"/>
  <c r="HQ406" i="1"/>
  <c r="HP406" i="1"/>
  <c r="HQ401" i="1"/>
  <c r="HP401" i="1"/>
  <c r="HQ397" i="1"/>
  <c r="HP397" i="1"/>
  <c r="HQ386" i="1"/>
  <c r="HP386" i="1"/>
  <c r="HQ380" i="1"/>
  <c r="HP380" i="1"/>
  <c r="HQ378" i="1"/>
  <c r="HQ364" i="1"/>
  <c r="HP378" i="1"/>
  <c r="HQ375" i="1"/>
  <c r="HP375" i="1"/>
  <c r="HQ368" i="1"/>
  <c r="HQ366" i="1"/>
  <c r="HP368" i="1"/>
  <c r="HP366" i="1"/>
  <c r="HP364" i="1"/>
  <c r="HQ361" i="1"/>
  <c r="HP361" i="1"/>
  <c r="HQ358" i="1"/>
  <c r="HP358" i="1"/>
  <c r="HQ354" i="1"/>
  <c r="HP354" i="1"/>
  <c r="HQ347" i="1"/>
  <c r="HP347" i="1"/>
  <c r="HQ329" i="1"/>
  <c r="HP329" i="1"/>
  <c r="HQ326" i="1"/>
  <c r="HP326" i="1"/>
  <c r="HQ322" i="1"/>
  <c r="HP322" i="1"/>
  <c r="HQ319" i="1"/>
  <c r="HP319" i="1"/>
  <c r="HQ316" i="1"/>
  <c r="HP316" i="1"/>
  <c r="HQ310" i="1"/>
  <c r="HQ308" i="1"/>
  <c r="HP310" i="1"/>
  <c r="HP308" i="1"/>
  <c r="HQ305" i="1"/>
  <c r="HP305" i="1"/>
  <c r="HQ293" i="1"/>
  <c r="HP293" i="1"/>
  <c r="HQ288" i="1"/>
  <c r="HP288" i="1"/>
  <c r="HQ279" i="1"/>
  <c r="HP279" i="1"/>
  <c r="HQ275" i="1"/>
  <c r="HP275" i="1"/>
  <c r="HQ267" i="1"/>
  <c r="HP267" i="1"/>
  <c r="HQ259" i="1"/>
  <c r="HP259" i="1"/>
  <c r="HQ251" i="1"/>
  <c r="HP251" i="1"/>
  <c r="HQ246" i="1"/>
  <c r="HP246" i="1"/>
  <c r="HS860" i="1"/>
  <c r="HR860" i="1"/>
  <c r="HS856" i="1"/>
  <c r="HR856" i="1"/>
  <c r="HS845" i="1"/>
  <c r="HR845" i="1"/>
  <c r="HS842" i="1"/>
  <c r="HR842" i="1"/>
  <c r="HS827" i="1"/>
  <c r="HR827" i="1"/>
  <c r="HS790" i="1"/>
  <c r="HR790" i="1"/>
  <c r="HS783" i="1"/>
  <c r="HR783" i="1"/>
  <c r="HS768" i="1"/>
  <c r="HR768" i="1"/>
  <c r="HS742" i="1"/>
  <c r="HR742" i="1"/>
  <c r="HS738" i="1"/>
  <c r="HR738" i="1"/>
  <c r="HS728" i="1"/>
  <c r="HR728" i="1"/>
  <c r="HS725" i="1"/>
  <c r="HR725" i="1"/>
  <c r="HR721" i="1"/>
  <c r="HS711" i="1"/>
  <c r="HR711" i="1"/>
  <c r="HS705" i="1"/>
  <c r="HR705" i="1"/>
  <c r="HS702" i="1"/>
  <c r="HR702" i="1"/>
  <c r="HS699" i="1"/>
  <c r="HR699" i="1"/>
  <c r="HS696" i="1"/>
  <c r="HR696" i="1"/>
  <c r="HS693" i="1"/>
  <c r="HR693" i="1"/>
  <c r="HS685" i="1"/>
  <c r="HR685" i="1"/>
  <c r="HS681" i="1"/>
  <c r="HR681" i="1"/>
  <c r="HS669" i="1"/>
  <c r="HR669" i="1"/>
  <c r="HR664" i="1"/>
  <c r="HR662" i="1"/>
  <c r="HS666" i="1"/>
  <c r="HR666" i="1"/>
  <c r="HS655" i="1"/>
  <c r="HR655" i="1"/>
  <c r="HS653" i="1"/>
  <c r="HR653" i="1"/>
  <c r="HS645" i="1"/>
  <c r="HR645" i="1"/>
  <c r="HS637" i="1"/>
  <c r="HR637" i="1"/>
  <c r="HS634" i="1"/>
  <c r="HR634" i="1"/>
  <c r="HS632" i="1"/>
  <c r="HS630" i="1"/>
  <c r="HR632" i="1"/>
  <c r="HR630" i="1"/>
  <c r="HS625" i="1"/>
  <c r="HS619" i="1"/>
  <c r="HS609" i="1"/>
  <c r="HR625" i="1"/>
  <c r="HS621" i="1"/>
  <c r="HR621" i="1"/>
  <c r="HR619" i="1"/>
  <c r="HS616" i="1"/>
  <c r="HR616" i="1"/>
  <c r="HS613" i="1"/>
  <c r="HR613" i="1"/>
  <c r="HR611" i="1"/>
  <c r="HS611" i="1"/>
  <c r="HS606" i="1"/>
  <c r="HR606" i="1"/>
  <c r="HS600" i="1"/>
  <c r="HR600" i="1"/>
  <c r="HS592" i="1"/>
  <c r="HR592" i="1"/>
  <c r="HS585" i="1"/>
  <c r="HR585" i="1"/>
  <c r="HS581" i="1"/>
  <c r="HS579" i="1"/>
  <c r="HS577" i="1"/>
  <c r="HR581" i="1"/>
  <c r="HR579" i="1"/>
  <c r="HR577" i="1"/>
  <c r="HS571" i="1"/>
  <c r="HS569" i="1"/>
  <c r="HS567" i="1"/>
  <c r="HR571" i="1"/>
  <c r="HR569" i="1"/>
  <c r="HR567" i="1"/>
  <c r="HS563" i="1"/>
  <c r="HR563" i="1"/>
  <c r="HS558" i="1"/>
  <c r="HR558" i="1"/>
  <c r="HS555" i="1"/>
  <c r="HR555" i="1"/>
  <c r="HS549" i="1"/>
  <c r="HR549" i="1"/>
  <c r="HS543" i="1"/>
  <c r="HR543" i="1"/>
  <c r="HS541" i="1"/>
  <c r="HS535" i="1"/>
  <c r="HR535" i="1"/>
  <c r="HR530" i="1"/>
  <c r="HS532" i="1"/>
  <c r="HR532" i="1"/>
  <c r="HS526" i="1"/>
  <c r="HR526" i="1"/>
  <c r="HS507" i="1"/>
  <c r="HR507" i="1"/>
  <c r="HR505" i="1"/>
  <c r="HS505" i="1"/>
  <c r="HS500" i="1"/>
  <c r="HR500" i="1"/>
  <c r="HS488" i="1"/>
  <c r="HR488" i="1"/>
  <c r="HS482" i="1"/>
  <c r="HR482" i="1"/>
  <c r="HR437" i="1"/>
  <c r="HS472" i="1"/>
  <c r="HR472" i="1"/>
  <c r="HS464" i="1"/>
  <c r="HR464" i="1"/>
  <c r="HS458" i="1"/>
  <c r="HR458" i="1"/>
  <c r="HS451" i="1"/>
  <c r="HR451" i="1"/>
  <c r="HS444" i="1"/>
  <c r="HR444" i="1"/>
  <c r="HS439" i="1"/>
  <c r="HR439" i="1"/>
  <c r="HS437" i="1"/>
  <c r="HS427" i="1"/>
  <c r="HR427" i="1"/>
  <c r="HS419" i="1"/>
  <c r="HR419" i="1"/>
  <c r="HS416" i="1"/>
  <c r="HR416" i="1"/>
  <c r="HS411" i="1"/>
  <c r="HR411" i="1"/>
  <c r="HS406" i="1"/>
  <c r="HR406" i="1"/>
  <c r="HS401" i="1"/>
  <c r="HR401" i="1"/>
  <c r="HS397" i="1"/>
  <c r="HR397" i="1"/>
  <c r="HS386" i="1"/>
  <c r="HR386" i="1"/>
  <c r="HS380" i="1"/>
  <c r="HR380" i="1"/>
  <c r="HS378" i="1"/>
  <c r="HS364" i="1"/>
  <c r="HR378" i="1"/>
  <c r="HS375" i="1"/>
  <c r="HR375" i="1"/>
  <c r="HS368" i="1"/>
  <c r="HS366" i="1"/>
  <c r="HR368" i="1"/>
  <c r="HR366" i="1"/>
  <c r="HS361" i="1"/>
  <c r="HR361" i="1"/>
  <c r="HS358" i="1"/>
  <c r="HR358" i="1"/>
  <c r="HS354" i="1"/>
  <c r="HR354" i="1"/>
  <c r="HS347" i="1"/>
  <c r="HR347" i="1"/>
  <c r="HS329" i="1"/>
  <c r="HR329" i="1"/>
  <c r="HS326" i="1"/>
  <c r="HR326" i="1"/>
  <c r="HS322" i="1"/>
  <c r="HR322" i="1"/>
  <c r="HS319" i="1"/>
  <c r="HR319" i="1"/>
  <c r="HS316" i="1"/>
  <c r="HR316" i="1"/>
  <c r="HS310" i="1"/>
  <c r="HR310" i="1"/>
  <c r="HR308" i="1"/>
  <c r="HS305" i="1"/>
  <c r="HR305" i="1"/>
  <c r="HS293" i="1"/>
  <c r="HR293" i="1"/>
  <c r="HS288" i="1"/>
  <c r="HR288" i="1"/>
  <c r="HS279" i="1"/>
  <c r="HR279" i="1"/>
  <c r="HS275" i="1"/>
  <c r="HR275" i="1"/>
  <c r="HS267" i="1"/>
  <c r="HR267" i="1"/>
  <c r="HS259" i="1"/>
  <c r="HR259" i="1"/>
  <c r="HS251" i="1"/>
  <c r="HR251" i="1"/>
  <c r="HS246" i="1"/>
  <c r="HS244" i="1"/>
  <c r="HR246" i="1"/>
  <c r="HR244" i="1"/>
  <c r="HU860" i="1"/>
  <c r="HT860" i="1"/>
  <c r="HU856" i="1"/>
  <c r="HT856" i="1"/>
  <c r="HU845" i="1"/>
  <c r="HT845" i="1"/>
  <c r="HU842" i="1"/>
  <c r="HT842" i="1"/>
  <c r="HU827" i="1"/>
  <c r="HT827" i="1"/>
  <c r="HU790" i="1"/>
  <c r="HT790" i="1"/>
  <c r="HU783" i="1"/>
  <c r="HT783" i="1"/>
  <c r="HU768" i="1"/>
  <c r="HT768" i="1"/>
  <c r="HU742" i="1"/>
  <c r="HT742" i="1"/>
  <c r="HU738" i="1"/>
  <c r="HT738" i="1"/>
  <c r="HU728" i="1"/>
  <c r="HT728" i="1"/>
  <c r="HU725" i="1"/>
  <c r="HT725" i="1"/>
  <c r="HT721" i="1"/>
  <c r="HU711" i="1"/>
  <c r="HT711" i="1"/>
  <c r="HU705" i="1"/>
  <c r="HT705" i="1"/>
  <c r="HU702" i="1"/>
  <c r="HU691" i="1"/>
  <c r="HT702" i="1"/>
  <c r="HU699" i="1"/>
  <c r="HT699" i="1"/>
  <c r="HU696" i="1"/>
  <c r="HT696" i="1"/>
  <c r="HU693" i="1"/>
  <c r="HT693" i="1"/>
  <c r="HU685" i="1"/>
  <c r="HT685" i="1"/>
  <c r="HU681" i="1"/>
  <c r="HT681" i="1"/>
  <c r="HU669" i="1"/>
  <c r="HT669" i="1"/>
  <c r="HT664" i="1"/>
  <c r="HT662" i="1"/>
  <c r="HU666" i="1"/>
  <c r="HT666" i="1"/>
  <c r="HU655" i="1"/>
  <c r="HT655" i="1"/>
  <c r="HT653" i="1"/>
  <c r="HU653" i="1"/>
  <c r="HU645" i="1"/>
  <c r="HU632" i="1"/>
  <c r="HU630" i="1"/>
  <c r="HT645" i="1"/>
  <c r="HU637" i="1"/>
  <c r="HT637" i="1"/>
  <c r="HU634" i="1"/>
  <c r="HT634" i="1"/>
  <c r="HT632" i="1"/>
  <c r="HT630" i="1"/>
  <c r="HU625" i="1"/>
  <c r="HT625" i="1"/>
  <c r="HU621" i="1"/>
  <c r="HT621" i="1"/>
  <c r="HU616" i="1"/>
  <c r="HT616" i="1"/>
  <c r="HU613" i="1"/>
  <c r="HT613" i="1"/>
  <c r="HU611" i="1"/>
  <c r="HT611" i="1"/>
  <c r="HU606" i="1"/>
  <c r="HT606" i="1"/>
  <c r="HU600" i="1"/>
  <c r="HT600" i="1"/>
  <c r="HU592" i="1"/>
  <c r="HT592" i="1"/>
  <c r="HU585" i="1"/>
  <c r="HT585" i="1"/>
  <c r="HU581" i="1"/>
  <c r="HT581" i="1"/>
  <c r="HU579" i="1"/>
  <c r="HU577" i="1"/>
  <c r="HT579" i="1"/>
  <c r="HT577" i="1"/>
  <c r="HU571" i="1"/>
  <c r="HT571" i="1"/>
  <c r="HU569" i="1"/>
  <c r="HU567" i="1"/>
  <c r="HT569" i="1"/>
  <c r="HT567" i="1"/>
  <c r="HU563" i="1"/>
  <c r="HT563" i="1"/>
  <c r="HU558" i="1"/>
  <c r="HT558" i="1"/>
  <c r="HU555" i="1"/>
  <c r="HT555" i="1"/>
  <c r="HU549" i="1"/>
  <c r="HT549" i="1"/>
  <c r="HU543" i="1"/>
  <c r="HT543" i="1"/>
  <c r="HT541" i="1"/>
  <c r="HU541" i="1"/>
  <c r="HU535" i="1"/>
  <c r="HT535" i="1"/>
  <c r="HT530" i="1"/>
  <c r="HU532" i="1"/>
  <c r="HT532" i="1"/>
  <c r="HU526" i="1"/>
  <c r="HT526" i="1"/>
  <c r="HU507" i="1"/>
  <c r="HT507" i="1"/>
  <c r="HU505" i="1"/>
  <c r="HT505" i="1"/>
  <c r="HU500" i="1"/>
  <c r="HT500" i="1"/>
  <c r="HU488" i="1"/>
  <c r="HT488" i="1"/>
  <c r="HU482" i="1"/>
  <c r="HT482" i="1"/>
  <c r="HU472" i="1"/>
  <c r="HT472" i="1"/>
  <c r="HU464" i="1"/>
  <c r="HT464" i="1"/>
  <c r="HU458" i="1"/>
  <c r="HT458" i="1"/>
  <c r="HU451" i="1"/>
  <c r="HT451" i="1"/>
  <c r="HU444" i="1"/>
  <c r="HT444" i="1"/>
  <c r="HU439" i="1"/>
  <c r="HT439" i="1"/>
  <c r="HU437" i="1"/>
  <c r="HT437" i="1"/>
  <c r="HU427" i="1"/>
  <c r="HT427" i="1"/>
  <c r="HU419" i="1"/>
  <c r="HT419" i="1"/>
  <c r="HU416" i="1"/>
  <c r="HT416" i="1"/>
  <c r="HU411" i="1"/>
  <c r="HT411" i="1"/>
  <c r="HU406" i="1"/>
  <c r="HT406" i="1"/>
  <c r="HU401" i="1"/>
  <c r="HT401" i="1"/>
  <c r="HU397" i="1"/>
  <c r="HU386" i="1"/>
  <c r="HT386" i="1"/>
  <c r="HU380" i="1"/>
  <c r="HT380" i="1"/>
  <c r="HT378" i="1"/>
  <c r="HU378" i="1"/>
  <c r="HU375" i="1"/>
  <c r="HT375" i="1"/>
  <c r="HU368" i="1"/>
  <c r="HU366" i="1"/>
  <c r="HT368" i="1"/>
  <c r="HT366" i="1"/>
  <c r="HU361" i="1"/>
  <c r="HT361" i="1"/>
  <c r="HU358" i="1"/>
  <c r="HT358" i="1"/>
  <c r="HU354" i="1"/>
  <c r="HT354" i="1"/>
  <c r="HU347" i="1"/>
  <c r="HT347" i="1"/>
  <c r="HU329" i="1"/>
  <c r="HT329" i="1"/>
  <c r="HU326" i="1"/>
  <c r="HT326" i="1"/>
  <c r="HU322" i="1"/>
  <c r="HT322" i="1"/>
  <c r="HU319" i="1"/>
  <c r="HT319" i="1"/>
  <c r="HU316" i="1"/>
  <c r="HT316" i="1"/>
  <c r="HU310" i="1"/>
  <c r="HT310" i="1"/>
  <c r="HU305" i="1"/>
  <c r="HT305" i="1"/>
  <c r="HU293" i="1"/>
  <c r="HT293" i="1"/>
  <c r="HU288" i="1"/>
  <c r="HT288" i="1"/>
  <c r="HU279" i="1"/>
  <c r="HT279" i="1"/>
  <c r="HU275" i="1"/>
  <c r="HT275" i="1"/>
  <c r="HU267" i="1"/>
  <c r="HT267" i="1"/>
  <c r="HU259" i="1"/>
  <c r="HT259" i="1"/>
  <c r="HU251" i="1"/>
  <c r="HT251" i="1"/>
  <c r="HT246" i="1"/>
  <c r="HW860" i="1"/>
  <c r="HV860" i="1"/>
  <c r="HW856" i="1"/>
  <c r="HV856" i="1"/>
  <c r="HW845" i="1"/>
  <c r="HV845" i="1"/>
  <c r="HW842" i="1"/>
  <c r="HV842" i="1"/>
  <c r="HW827" i="1"/>
  <c r="HV827" i="1"/>
  <c r="HW790" i="1"/>
  <c r="HV790" i="1"/>
  <c r="HW783" i="1"/>
  <c r="HV783" i="1"/>
  <c r="HW768" i="1"/>
  <c r="HV768" i="1"/>
  <c r="HW742" i="1"/>
  <c r="HV742" i="1"/>
  <c r="HW738" i="1"/>
  <c r="HV738" i="1"/>
  <c r="HW728" i="1"/>
  <c r="HV728" i="1"/>
  <c r="HW725" i="1"/>
  <c r="HV725" i="1"/>
  <c r="HW721" i="1"/>
  <c r="HV721" i="1"/>
  <c r="HW711" i="1"/>
  <c r="HV711" i="1"/>
  <c r="HW705" i="1"/>
  <c r="HV705" i="1"/>
  <c r="HW702" i="1"/>
  <c r="HV702" i="1"/>
  <c r="HW699" i="1"/>
  <c r="HV699" i="1"/>
  <c r="HW696" i="1"/>
  <c r="HV696" i="1"/>
  <c r="HW693" i="1"/>
  <c r="HV693" i="1"/>
  <c r="HW685" i="1"/>
  <c r="HV685" i="1"/>
  <c r="HW681" i="1"/>
  <c r="HV681" i="1"/>
  <c r="HW669" i="1"/>
  <c r="HW664" i="1"/>
  <c r="HW662" i="1"/>
  <c r="HV669" i="1"/>
  <c r="HV664" i="1"/>
  <c r="HV662" i="1"/>
  <c r="HW666" i="1"/>
  <c r="HV666" i="1"/>
  <c r="HW655" i="1"/>
  <c r="HV655" i="1"/>
  <c r="HW653" i="1"/>
  <c r="HV653" i="1"/>
  <c r="HW645" i="1"/>
  <c r="HV645" i="1"/>
  <c r="HW637" i="1"/>
  <c r="HV637" i="1"/>
  <c r="HW634" i="1"/>
  <c r="HV634" i="1"/>
  <c r="HW632" i="1"/>
  <c r="HW630" i="1"/>
  <c r="HV632" i="1"/>
  <c r="HV630" i="1"/>
  <c r="HW625" i="1"/>
  <c r="HV625" i="1"/>
  <c r="HW621" i="1"/>
  <c r="HW619" i="1"/>
  <c r="HV621" i="1"/>
  <c r="HV619" i="1"/>
  <c r="HW616" i="1"/>
  <c r="HV616" i="1"/>
  <c r="HW613" i="1"/>
  <c r="HV613" i="1"/>
  <c r="HV611" i="1"/>
  <c r="HW611" i="1"/>
  <c r="HW606" i="1"/>
  <c r="HV606" i="1"/>
  <c r="HW600" i="1"/>
  <c r="HV600" i="1"/>
  <c r="HW592" i="1"/>
  <c r="HV592" i="1"/>
  <c r="HW585" i="1"/>
  <c r="HV585" i="1"/>
  <c r="HW581" i="1"/>
  <c r="HV581" i="1"/>
  <c r="HW579" i="1"/>
  <c r="HW577" i="1"/>
  <c r="HW575" i="1"/>
  <c r="HV579" i="1"/>
  <c r="HV577" i="1"/>
  <c r="HW571" i="1"/>
  <c r="HV571" i="1"/>
  <c r="HW569" i="1"/>
  <c r="HW567" i="1"/>
  <c r="HV569" i="1"/>
  <c r="HV567" i="1"/>
  <c r="HW563" i="1"/>
  <c r="HV563" i="1"/>
  <c r="HW558" i="1"/>
  <c r="HV558" i="1"/>
  <c r="HW555" i="1"/>
  <c r="HV555" i="1"/>
  <c r="HW549" i="1"/>
  <c r="HV549" i="1"/>
  <c r="HW543" i="1"/>
  <c r="HW541" i="1"/>
  <c r="HV543" i="1"/>
  <c r="HV541" i="1"/>
  <c r="HW535" i="1"/>
  <c r="HV535" i="1"/>
  <c r="HV530" i="1"/>
  <c r="HW532" i="1"/>
  <c r="HV532" i="1"/>
  <c r="HW526" i="1"/>
  <c r="HV526" i="1"/>
  <c r="HW507" i="1"/>
  <c r="HV507" i="1"/>
  <c r="HW505" i="1"/>
  <c r="HV505" i="1"/>
  <c r="HW500" i="1"/>
  <c r="HV500" i="1"/>
  <c r="HW488" i="1"/>
  <c r="HV488" i="1"/>
  <c r="HW482" i="1"/>
  <c r="HV482" i="1"/>
  <c r="HW472" i="1"/>
  <c r="HV472" i="1"/>
  <c r="HW464" i="1"/>
  <c r="HV464" i="1"/>
  <c r="HW458" i="1"/>
  <c r="HV458" i="1"/>
  <c r="HW451" i="1"/>
  <c r="HV451" i="1"/>
  <c r="HW444" i="1"/>
  <c r="HV444" i="1"/>
  <c r="HW439" i="1"/>
  <c r="HV439" i="1"/>
  <c r="HW437" i="1"/>
  <c r="HV437" i="1"/>
  <c r="HW427" i="1"/>
  <c r="HV427" i="1"/>
  <c r="HW419" i="1"/>
  <c r="HV419" i="1"/>
  <c r="HW416" i="1"/>
  <c r="HV416" i="1"/>
  <c r="HW411" i="1"/>
  <c r="HV411" i="1"/>
  <c r="HW406" i="1"/>
  <c r="HV406" i="1"/>
  <c r="HW401" i="1"/>
  <c r="HV401" i="1"/>
  <c r="HW397" i="1"/>
  <c r="HV397" i="1"/>
  <c r="HW386" i="1"/>
  <c r="HV386" i="1"/>
  <c r="HW380" i="1"/>
  <c r="HV380" i="1"/>
  <c r="HV378" i="1"/>
  <c r="HW378" i="1"/>
  <c r="HW364" i="1"/>
  <c r="HW375" i="1"/>
  <c r="HV375" i="1"/>
  <c r="HW368" i="1"/>
  <c r="HW366" i="1"/>
  <c r="HV368" i="1"/>
  <c r="HV366" i="1"/>
  <c r="HW361" i="1"/>
  <c r="HV361" i="1"/>
  <c r="HW358" i="1"/>
  <c r="HV358" i="1"/>
  <c r="HW354" i="1"/>
  <c r="HV354" i="1"/>
  <c r="HW347" i="1"/>
  <c r="HV347" i="1"/>
  <c r="HW329" i="1"/>
  <c r="HV329" i="1"/>
  <c r="HW326" i="1"/>
  <c r="HV326" i="1"/>
  <c r="HW322" i="1"/>
  <c r="HV322" i="1"/>
  <c r="HW319" i="1"/>
  <c r="HV319" i="1"/>
  <c r="HW316" i="1"/>
  <c r="HV316" i="1"/>
  <c r="HW310" i="1"/>
  <c r="HV310" i="1"/>
  <c r="HW305" i="1"/>
  <c r="HV305" i="1"/>
  <c r="HW293" i="1"/>
  <c r="HV293" i="1"/>
  <c r="HW288" i="1"/>
  <c r="HV288" i="1"/>
  <c r="HW279" i="1"/>
  <c r="HV279" i="1"/>
  <c r="HW275" i="1"/>
  <c r="HV275" i="1"/>
  <c r="HW267" i="1"/>
  <c r="HV267" i="1"/>
  <c r="HW259" i="1"/>
  <c r="HV259" i="1"/>
  <c r="HW251" i="1"/>
  <c r="HV251" i="1"/>
  <c r="HW246" i="1"/>
  <c r="HV246" i="1"/>
  <c r="HV244" i="1"/>
  <c r="HY860" i="1"/>
  <c r="HX860" i="1"/>
  <c r="HY856" i="1"/>
  <c r="HX856" i="1"/>
  <c r="HY845" i="1"/>
  <c r="HX845" i="1"/>
  <c r="HY842" i="1"/>
  <c r="HX842" i="1"/>
  <c r="HY827" i="1"/>
  <c r="HX827" i="1"/>
  <c r="HY790" i="1"/>
  <c r="HX790" i="1"/>
  <c r="HY783" i="1"/>
  <c r="HX783" i="1"/>
  <c r="HY768" i="1"/>
  <c r="HX768" i="1"/>
  <c r="HY742" i="1"/>
  <c r="HX742" i="1"/>
  <c r="HY738" i="1"/>
  <c r="HX738" i="1"/>
  <c r="HY728" i="1"/>
  <c r="HX728" i="1"/>
  <c r="HY725" i="1"/>
  <c r="HX725" i="1"/>
  <c r="HY721" i="1"/>
  <c r="HX721" i="1"/>
  <c r="HY711" i="1"/>
  <c r="HX711" i="1"/>
  <c r="HY705" i="1"/>
  <c r="HX705" i="1"/>
  <c r="HY702" i="1"/>
  <c r="HX702" i="1"/>
  <c r="HY699" i="1"/>
  <c r="HX699" i="1"/>
  <c r="HY696" i="1"/>
  <c r="HX696" i="1"/>
  <c r="HY693" i="1"/>
  <c r="HX693" i="1"/>
  <c r="HY685" i="1"/>
  <c r="HX685" i="1"/>
  <c r="HY681" i="1"/>
  <c r="HX681" i="1"/>
  <c r="HY669" i="1"/>
  <c r="HY664" i="1"/>
  <c r="HY662" i="1"/>
  <c r="HX669" i="1"/>
  <c r="HX664" i="1"/>
  <c r="HX662" i="1"/>
  <c r="HY666" i="1"/>
  <c r="HX666" i="1"/>
  <c r="HY655" i="1"/>
  <c r="HX655" i="1"/>
  <c r="HX653" i="1"/>
  <c r="HY653" i="1"/>
  <c r="HY645" i="1"/>
  <c r="HX645" i="1"/>
  <c r="HY637" i="1"/>
  <c r="HX637" i="1"/>
  <c r="HY634" i="1"/>
  <c r="HX634" i="1"/>
  <c r="HY632" i="1"/>
  <c r="HY630" i="1"/>
  <c r="HX632" i="1"/>
  <c r="HX630" i="1"/>
  <c r="HY625" i="1"/>
  <c r="HY619" i="1"/>
  <c r="HY609" i="1"/>
  <c r="HX625" i="1"/>
  <c r="HX619" i="1"/>
  <c r="HY621" i="1"/>
  <c r="HX621" i="1"/>
  <c r="HY616" i="1"/>
  <c r="HX616" i="1"/>
  <c r="HY613" i="1"/>
  <c r="HX613" i="1"/>
  <c r="HX611" i="1"/>
  <c r="HY611" i="1"/>
  <c r="HY606" i="1"/>
  <c r="HX606" i="1"/>
  <c r="HY600" i="1"/>
  <c r="HX600" i="1"/>
  <c r="HY592" i="1"/>
  <c r="HX592" i="1"/>
  <c r="HY585" i="1"/>
  <c r="HX585" i="1"/>
  <c r="HY581" i="1"/>
  <c r="HX581" i="1"/>
  <c r="HY579" i="1"/>
  <c r="HY577" i="1"/>
  <c r="HX579" i="1"/>
  <c r="HX577" i="1"/>
  <c r="HY571" i="1"/>
  <c r="HX571" i="1"/>
  <c r="HY569" i="1"/>
  <c r="HY567" i="1"/>
  <c r="HX569" i="1"/>
  <c r="HX567" i="1"/>
  <c r="HY563" i="1"/>
  <c r="HX563" i="1"/>
  <c r="HY558" i="1"/>
  <c r="HX558" i="1"/>
  <c r="HY555" i="1"/>
  <c r="HX555" i="1"/>
  <c r="HY549" i="1"/>
  <c r="HX549" i="1"/>
  <c r="HY543" i="1"/>
  <c r="HX543" i="1"/>
  <c r="HX541" i="1"/>
  <c r="HY541" i="1"/>
  <c r="HY535" i="1"/>
  <c r="HX535" i="1"/>
  <c r="HX530" i="1"/>
  <c r="HY532" i="1"/>
  <c r="HX532" i="1"/>
  <c r="HY526" i="1"/>
  <c r="HX526" i="1"/>
  <c r="HY507" i="1"/>
  <c r="HX507" i="1"/>
  <c r="HY505" i="1"/>
  <c r="HX505" i="1"/>
  <c r="HY500" i="1"/>
  <c r="HX500" i="1"/>
  <c r="HY488" i="1"/>
  <c r="HX488" i="1"/>
  <c r="HY482" i="1"/>
  <c r="HX482" i="1"/>
  <c r="HY472" i="1"/>
  <c r="HX472" i="1"/>
  <c r="HY464" i="1"/>
  <c r="HX464" i="1"/>
  <c r="HY458" i="1"/>
  <c r="HX458" i="1"/>
  <c r="HY451" i="1"/>
  <c r="HX451" i="1"/>
  <c r="HY444" i="1"/>
  <c r="HX444" i="1"/>
  <c r="HY439" i="1"/>
  <c r="HX439" i="1"/>
  <c r="HY437" i="1"/>
  <c r="HX437" i="1"/>
  <c r="HY427" i="1"/>
  <c r="HX427" i="1"/>
  <c r="HY419" i="1"/>
  <c r="HX419" i="1"/>
  <c r="HY416" i="1"/>
  <c r="HX416" i="1"/>
  <c r="HY411" i="1"/>
  <c r="HX411" i="1"/>
  <c r="HY406" i="1"/>
  <c r="HX406" i="1"/>
  <c r="HY401" i="1"/>
  <c r="HX401" i="1"/>
  <c r="HY397" i="1"/>
  <c r="HX397" i="1"/>
  <c r="HY386" i="1"/>
  <c r="HX386" i="1"/>
  <c r="HY380" i="1"/>
  <c r="HX380" i="1"/>
  <c r="HY378" i="1"/>
  <c r="HY364" i="1"/>
  <c r="HY375" i="1"/>
  <c r="HX375" i="1"/>
  <c r="HY368" i="1"/>
  <c r="HY366" i="1"/>
  <c r="HX368" i="1"/>
  <c r="HX366" i="1"/>
  <c r="HY361" i="1"/>
  <c r="HX361" i="1"/>
  <c r="HY358" i="1"/>
  <c r="HX358" i="1"/>
  <c r="HY354" i="1"/>
  <c r="HX354" i="1"/>
  <c r="HY347" i="1"/>
  <c r="HX347" i="1"/>
  <c r="HY329" i="1"/>
  <c r="HX329" i="1"/>
  <c r="HY326" i="1"/>
  <c r="HX326" i="1"/>
  <c r="HY322" i="1"/>
  <c r="HX322" i="1"/>
  <c r="HY319" i="1"/>
  <c r="HX319" i="1"/>
  <c r="HY316" i="1"/>
  <c r="HX316" i="1"/>
  <c r="HY310" i="1"/>
  <c r="HY308" i="1"/>
  <c r="HX310" i="1"/>
  <c r="HY305" i="1"/>
  <c r="HX305" i="1"/>
  <c r="HY293" i="1"/>
  <c r="HX293" i="1"/>
  <c r="HY288" i="1"/>
  <c r="HX288" i="1"/>
  <c r="HY279" i="1"/>
  <c r="HX279" i="1"/>
  <c r="HY275" i="1"/>
  <c r="HX275" i="1"/>
  <c r="HY267" i="1"/>
  <c r="HX267" i="1"/>
  <c r="HY259" i="1"/>
  <c r="HX259" i="1"/>
  <c r="HY251" i="1"/>
  <c r="HX251" i="1"/>
  <c r="HY246" i="1"/>
  <c r="HY244" i="1"/>
  <c r="HX246" i="1"/>
  <c r="HX244" i="1"/>
  <c r="IA860" i="1"/>
  <c r="HZ860" i="1"/>
  <c r="IA856" i="1"/>
  <c r="HZ856" i="1"/>
  <c r="IA845" i="1"/>
  <c r="HZ845" i="1"/>
  <c r="IA842" i="1"/>
  <c r="HZ842" i="1"/>
  <c r="IA827" i="1"/>
  <c r="HZ827" i="1"/>
  <c r="IA790" i="1"/>
  <c r="HZ790" i="1"/>
  <c r="IA783" i="1"/>
  <c r="HZ783" i="1"/>
  <c r="IA768" i="1"/>
  <c r="HZ768" i="1"/>
  <c r="IA742" i="1"/>
  <c r="HZ742" i="1"/>
  <c r="IA738" i="1"/>
  <c r="HZ738" i="1"/>
  <c r="IA728" i="1"/>
  <c r="HZ728" i="1"/>
  <c r="IA725" i="1"/>
  <c r="HZ725" i="1"/>
  <c r="HZ721" i="1"/>
  <c r="IA711" i="1"/>
  <c r="HZ711" i="1"/>
  <c r="IA705" i="1"/>
  <c r="HZ705" i="1"/>
  <c r="HZ702" i="1"/>
  <c r="IA699" i="1"/>
  <c r="HZ699" i="1"/>
  <c r="IA696" i="1"/>
  <c r="HZ696" i="1"/>
  <c r="IA693" i="1"/>
  <c r="HZ693" i="1"/>
  <c r="IA685" i="1"/>
  <c r="HZ685" i="1"/>
  <c r="IA681" i="1"/>
  <c r="HZ681" i="1"/>
  <c r="IA669" i="1"/>
  <c r="IA664" i="1"/>
  <c r="IA662" i="1"/>
  <c r="HZ669" i="1"/>
  <c r="HZ664" i="1"/>
  <c r="HZ662" i="1"/>
  <c r="IA666" i="1"/>
  <c r="HZ666" i="1"/>
  <c r="IA655" i="1"/>
  <c r="HZ655" i="1"/>
  <c r="HZ653" i="1"/>
  <c r="IA653" i="1"/>
  <c r="IA645" i="1"/>
  <c r="HZ645" i="1"/>
  <c r="IA637" i="1"/>
  <c r="HZ637" i="1"/>
  <c r="IA634" i="1"/>
  <c r="HZ634" i="1"/>
  <c r="IA632" i="1"/>
  <c r="IA630" i="1"/>
  <c r="HZ632" i="1"/>
  <c r="HZ630" i="1"/>
  <c r="IA625" i="1"/>
  <c r="IA619" i="1"/>
  <c r="IA609" i="1"/>
  <c r="IA581" i="1"/>
  <c r="IA585" i="1"/>
  <c r="IA592" i="1"/>
  <c r="IA579" i="1"/>
  <c r="IA577" i="1"/>
  <c r="IA575" i="1"/>
  <c r="HZ625" i="1"/>
  <c r="IA621" i="1"/>
  <c r="HZ621" i="1"/>
  <c r="HZ619" i="1"/>
  <c r="IA616" i="1"/>
  <c r="HZ616" i="1"/>
  <c r="IA613" i="1"/>
  <c r="HZ613" i="1"/>
  <c r="IA611" i="1"/>
  <c r="HZ611" i="1"/>
  <c r="IA606" i="1"/>
  <c r="HZ606" i="1"/>
  <c r="IA600" i="1"/>
  <c r="HZ600" i="1"/>
  <c r="HZ592" i="1"/>
  <c r="HZ585" i="1"/>
  <c r="HZ581" i="1"/>
  <c r="HZ579" i="1"/>
  <c r="HZ577" i="1"/>
  <c r="IA571" i="1"/>
  <c r="IA569" i="1"/>
  <c r="IA567" i="1"/>
  <c r="HZ571" i="1"/>
  <c r="HZ569" i="1"/>
  <c r="HZ567" i="1"/>
  <c r="IA563" i="1"/>
  <c r="HZ563" i="1"/>
  <c r="IA558" i="1"/>
  <c r="HZ558" i="1"/>
  <c r="IA555" i="1"/>
  <c r="HZ555" i="1"/>
  <c r="IA549" i="1"/>
  <c r="HZ549" i="1"/>
  <c r="IA543" i="1"/>
  <c r="HZ543" i="1"/>
  <c r="IA541" i="1"/>
  <c r="HZ541" i="1"/>
  <c r="IA535" i="1"/>
  <c r="IA532" i="1"/>
  <c r="HZ532" i="1"/>
  <c r="IA526" i="1"/>
  <c r="HZ526" i="1"/>
  <c r="IA507" i="1"/>
  <c r="HZ507" i="1"/>
  <c r="IA505" i="1"/>
  <c r="HZ505" i="1"/>
  <c r="IA500" i="1"/>
  <c r="HZ500" i="1"/>
  <c r="IA488" i="1"/>
  <c r="HZ488" i="1"/>
  <c r="IA482" i="1"/>
  <c r="HZ482" i="1"/>
  <c r="IA472" i="1"/>
  <c r="HZ472" i="1"/>
  <c r="IA464" i="1"/>
  <c r="HZ464" i="1"/>
  <c r="IA458" i="1"/>
  <c r="HZ458" i="1"/>
  <c r="IA451" i="1"/>
  <c r="HZ451" i="1"/>
  <c r="IA444" i="1"/>
  <c r="HZ444" i="1"/>
  <c r="IA439" i="1"/>
  <c r="HZ439" i="1"/>
  <c r="IA437" i="1"/>
  <c r="HZ437" i="1"/>
  <c r="IA427" i="1"/>
  <c r="HZ427" i="1"/>
  <c r="IA419" i="1"/>
  <c r="HZ419" i="1"/>
  <c r="IA416" i="1"/>
  <c r="HZ416" i="1"/>
  <c r="IA411" i="1"/>
  <c r="HZ411" i="1"/>
  <c r="IA406" i="1"/>
  <c r="HZ406" i="1"/>
  <c r="IA401" i="1"/>
  <c r="HZ401" i="1"/>
  <c r="IA397" i="1"/>
  <c r="HZ397" i="1"/>
  <c r="IA386" i="1"/>
  <c r="HZ386" i="1"/>
  <c r="IA380" i="1"/>
  <c r="HZ380" i="1"/>
  <c r="IA378" i="1"/>
  <c r="IA364" i="1"/>
  <c r="HZ378" i="1"/>
  <c r="IA375" i="1"/>
  <c r="HZ375" i="1"/>
  <c r="IA368" i="1"/>
  <c r="IA366" i="1"/>
  <c r="HZ368" i="1"/>
  <c r="HZ366" i="1"/>
  <c r="HZ364" i="1"/>
  <c r="IA361" i="1"/>
  <c r="HZ361" i="1"/>
  <c r="IA358" i="1"/>
  <c r="HZ358" i="1"/>
  <c r="IA354" i="1"/>
  <c r="HZ354" i="1"/>
  <c r="HZ347" i="1"/>
  <c r="IA329" i="1"/>
  <c r="HZ329" i="1"/>
  <c r="IA326" i="1"/>
  <c r="HZ326" i="1"/>
  <c r="IA322" i="1"/>
  <c r="HZ322" i="1"/>
  <c r="IA319" i="1"/>
  <c r="HZ319" i="1"/>
  <c r="IA316" i="1"/>
  <c r="HZ316" i="1"/>
  <c r="IA310" i="1"/>
  <c r="HZ310" i="1"/>
  <c r="IA305" i="1"/>
  <c r="HZ305" i="1"/>
  <c r="IA293" i="1"/>
  <c r="HZ293" i="1"/>
  <c r="IA288" i="1"/>
  <c r="HZ288" i="1"/>
  <c r="IA279" i="1"/>
  <c r="HZ279" i="1"/>
  <c r="IA275" i="1"/>
  <c r="HZ275" i="1"/>
  <c r="IA267" i="1"/>
  <c r="HZ267" i="1"/>
  <c r="IA259" i="1"/>
  <c r="HZ259" i="1"/>
  <c r="IA251" i="1"/>
  <c r="HZ251" i="1"/>
  <c r="IA246" i="1"/>
  <c r="HZ246" i="1"/>
  <c r="HZ244" i="1"/>
  <c r="IC860" i="1"/>
  <c r="IB860" i="1"/>
  <c r="IC856" i="1"/>
  <c r="IB856" i="1"/>
  <c r="IC845" i="1"/>
  <c r="IB845" i="1"/>
  <c r="IC842" i="1"/>
  <c r="IB842" i="1"/>
  <c r="IC827" i="1"/>
  <c r="IB827" i="1"/>
  <c r="IC790" i="1"/>
  <c r="IB790" i="1"/>
  <c r="IC783" i="1"/>
  <c r="IB783" i="1"/>
  <c r="IC768" i="1"/>
  <c r="IB768" i="1"/>
  <c r="IC742" i="1"/>
  <c r="IB742" i="1"/>
  <c r="IC738" i="1"/>
  <c r="IB738" i="1"/>
  <c r="IC728" i="1"/>
  <c r="IB728" i="1"/>
  <c r="IC725" i="1"/>
  <c r="IC721" i="1"/>
  <c r="IB725" i="1"/>
  <c r="IB721" i="1"/>
  <c r="IC711" i="1"/>
  <c r="IB711" i="1"/>
  <c r="IC705" i="1"/>
  <c r="IB705" i="1"/>
  <c r="IC702" i="1"/>
  <c r="IB702" i="1"/>
  <c r="IC699" i="1"/>
  <c r="IB699" i="1"/>
  <c r="IC696" i="1"/>
  <c r="IB696" i="1"/>
  <c r="IC693" i="1"/>
  <c r="IB693" i="1"/>
  <c r="IC685" i="1"/>
  <c r="IB685" i="1"/>
  <c r="IC681" i="1"/>
  <c r="IB681" i="1"/>
  <c r="IC669" i="1"/>
  <c r="IC664" i="1"/>
  <c r="IC662" i="1"/>
  <c r="IB669" i="1"/>
  <c r="IB664" i="1"/>
  <c r="IB662" i="1"/>
  <c r="IC666" i="1"/>
  <c r="IB666" i="1"/>
  <c r="IC655" i="1"/>
  <c r="IB655" i="1"/>
  <c r="IC653" i="1"/>
  <c r="IB653" i="1"/>
  <c r="IC645" i="1"/>
  <c r="IB645" i="1"/>
  <c r="IC637" i="1"/>
  <c r="IB637" i="1"/>
  <c r="IC634" i="1"/>
  <c r="IB634" i="1"/>
  <c r="IC632" i="1"/>
  <c r="IC630" i="1"/>
  <c r="IB632" i="1"/>
  <c r="IB630" i="1"/>
  <c r="IC625" i="1"/>
  <c r="IB625" i="1"/>
  <c r="IC621" i="1"/>
  <c r="IC619" i="1"/>
  <c r="IB621" i="1"/>
  <c r="IC616" i="1"/>
  <c r="IB616" i="1"/>
  <c r="IC613" i="1"/>
  <c r="IB613" i="1"/>
  <c r="IC611" i="1"/>
  <c r="IB611" i="1"/>
  <c r="IC606" i="1"/>
  <c r="IB606" i="1"/>
  <c r="IC600" i="1"/>
  <c r="IB600" i="1"/>
  <c r="IC592" i="1"/>
  <c r="IB592" i="1"/>
  <c r="IC585" i="1"/>
  <c r="IB585" i="1"/>
  <c r="IC581" i="1"/>
  <c r="IB581" i="1"/>
  <c r="IC579" i="1"/>
  <c r="IC577" i="1"/>
  <c r="IB579" i="1"/>
  <c r="IB577" i="1"/>
  <c r="IC571" i="1"/>
  <c r="IB571" i="1"/>
  <c r="IC569" i="1"/>
  <c r="IC567" i="1"/>
  <c r="IB569" i="1"/>
  <c r="IB567" i="1"/>
  <c r="IC563" i="1"/>
  <c r="IB563" i="1"/>
  <c r="IC558" i="1"/>
  <c r="IB558" i="1"/>
  <c r="IC555" i="1"/>
  <c r="IC541" i="1"/>
  <c r="IB555" i="1"/>
  <c r="IB541" i="1"/>
  <c r="IC549" i="1"/>
  <c r="IB549" i="1"/>
  <c r="IC543" i="1"/>
  <c r="IB543" i="1"/>
  <c r="IC535" i="1"/>
  <c r="IB535" i="1"/>
  <c r="IC532" i="1"/>
  <c r="IB532" i="1"/>
  <c r="IC526" i="1"/>
  <c r="IB526" i="1"/>
  <c r="IC507" i="1"/>
  <c r="IB507" i="1"/>
  <c r="IC505" i="1"/>
  <c r="IB505" i="1"/>
  <c r="IC500" i="1"/>
  <c r="IB500" i="1"/>
  <c r="IC488" i="1"/>
  <c r="IB488" i="1"/>
  <c r="IC482" i="1"/>
  <c r="IB482" i="1"/>
  <c r="IC472" i="1"/>
  <c r="IB472" i="1"/>
  <c r="IC464" i="1"/>
  <c r="IB464" i="1"/>
  <c r="IC458" i="1"/>
  <c r="IB458" i="1"/>
  <c r="IC451" i="1"/>
  <c r="IB451" i="1"/>
  <c r="IC444" i="1"/>
  <c r="IB444" i="1"/>
  <c r="IC439" i="1"/>
  <c r="IB439" i="1"/>
  <c r="IC437" i="1"/>
  <c r="IB437" i="1"/>
  <c r="IC427" i="1"/>
  <c r="IB427" i="1"/>
  <c r="IC419" i="1"/>
  <c r="IB419" i="1"/>
  <c r="IC416" i="1"/>
  <c r="IB416" i="1"/>
  <c r="IC411" i="1"/>
  <c r="IB411" i="1"/>
  <c r="IC406" i="1"/>
  <c r="IB406" i="1"/>
  <c r="IC401" i="1"/>
  <c r="IB401" i="1"/>
  <c r="IC397" i="1"/>
  <c r="IB397" i="1"/>
  <c r="IC386" i="1"/>
  <c r="IB386" i="1"/>
  <c r="IC380" i="1"/>
  <c r="IB380" i="1"/>
  <c r="IC378" i="1"/>
  <c r="IB378" i="1"/>
  <c r="IC375" i="1"/>
  <c r="IB375" i="1"/>
  <c r="IC368" i="1"/>
  <c r="IC366" i="1"/>
  <c r="IB368" i="1"/>
  <c r="IB366" i="1"/>
  <c r="IC361" i="1"/>
  <c r="IB361" i="1"/>
  <c r="IC358" i="1"/>
  <c r="IB358" i="1"/>
  <c r="IC354" i="1"/>
  <c r="IB354" i="1"/>
  <c r="IC347" i="1"/>
  <c r="IB347" i="1"/>
  <c r="IC329" i="1"/>
  <c r="IB329" i="1"/>
  <c r="IC326" i="1"/>
  <c r="IB326" i="1"/>
  <c r="IC322" i="1"/>
  <c r="IB322" i="1"/>
  <c r="IC319" i="1"/>
  <c r="IB319" i="1"/>
  <c r="IC316" i="1"/>
  <c r="IB316" i="1"/>
  <c r="IC310" i="1"/>
  <c r="IB310" i="1"/>
  <c r="IC305" i="1"/>
  <c r="IB305" i="1"/>
  <c r="IC293" i="1"/>
  <c r="IB293" i="1"/>
  <c r="IC288" i="1"/>
  <c r="IB288" i="1"/>
  <c r="IC279" i="1"/>
  <c r="IB279" i="1"/>
  <c r="IC275" i="1"/>
  <c r="IB275" i="1"/>
  <c r="IC267" i="1"/>
  <c r="IB267" i="1"/>
  <c r="IC259" i="1"/>
  <c r="IB259" i="1"/>
  <c r="IC251" i="1"/>
  <c r="IB251" i="1"/>
  <c r="IC246" i="1"/>
  <c r="IC244" i="1"/>
  <c r="IB246" i="1"/>
  <c r="IB244" i="1"/>
  <c r="E863" i="1"/>
  <c r="D863" i="1"/>
  <c r="E860" i="1"/>
  <c r="D860" i="1"/>
  <c r="E856" i="1"/>
  <c r="D856" i="1"/>
  <c r="E845" i="1"/>
  <c r="D845" i="1"/>
  <c r="E842" i="1"/>
  <c r="D842" i="1"/>
  <c r="E827" i="1"/>
  <c r="D827" i="1"/>
  <c r="E790" i="1"/>
  <c r="D790" i="1"/>
  <c r="E783" i="1"/>
  <c r="D783" i="1"/>
  <c r="E768" i="1"/>
  <c r="D768" i="1"/>
  <c r="E742" i="1"/>
  <c r="D742" i="1"/>
  <c r="E738" i="1"/>
  <c r="D738" i="1"/>
  <c r="E728" i="1"/>
  <c r="D728" i="1"/>
  <c r="E725" i="1"/>
  <c r="D725" i="1"/>
  <c r="E718" i="1"/>
  <c r="D718" i="1"/>
  <c r="E711" i="1"/>
  <c r="E691" i="1"/>
  <c r="D711" i="1"/>
  <c r="D691" i="1"/>
  <c r="E705" i="1"/>
  <c r="D705" i="1"/>
  <c r="E702" i="1"/>
  <c r="D702" i="1"/>
  <c r="E699" i="1"/>
  <c r="D699" i="1"/>
  <c r="E696" i="1"/>
  <c r="D696" i="1"/>
  <c r="E693" i="1"/>
  <c r="D693" i="1"/>
  <c r="E685" i="1"/>
  <c r="D685" i="1"/>
  <c r="E681" i="1"/>
  <c r="D681" i="1"/>
  <c r="E669" i="1"/>
  <c r="E664" i="1"/>
  <c r="E662" i="1"/>
  <c r="D669" i="1"/>
  <c r="D664" i="1"/>
  <c r="E666" i="1"/>
  <c r="D666" i="1"/>
  <c r="E655" i="1"/>
  <c r="D655" i="1"/>
  <c r="E645" i="1"/>
  <c r="D645" i="1"/>
  <c r="E637" i="1"/>
  <c r="D637" i="1"/>
  <c r="E634" i="1"/>
  <c r="D634" i="1"/>
  <c r="E632" i="1"/>
  <c r="E630" i="1"/>
  <c r="E628" i="1"/>
  <c r="D632" i="1"/>
  <c r="D630" i="1"/>
  <c r="D628" i="1"/>
  <c r="E625" i="1"/>
  <c r="D625" i="1"/>
  <c r="E621" i="1"/>
  <c r="E619" i="1"/>
  <c r="D621" i="1"/>
  <c r="D619" i="1"/>
  <c r="E616" i="1"/>
  <c r="D616" i="1"/>
  <c r="E613" i="1"/>
  <c r="D613" i="1"/>
  <c r="E611" i="1"/>
  <c r="E609" i="1"/>
  <c r="D611" i="1"/>
  <c r="E606" i="1"/>
  <c r="D606" i="1"/>
  <c r="E600" i="1"/>
  <c r="D600" i="1"/>
  <c r="E592" i="1"/>
  <c r="D592" i="1"/>
  <c r="E585" i="1"/>
  <c r="D585" i="1"/>
  <c r="E581" i="1"/>
  <c r="E579" i="1"/>
  <c r="E577" i="1"/>
  <c r="E575" i="1"/>
  <c r="D581" i="1"/>
  <c r="D579" i="1"/>
  <c r="D577" i="1"/>
  <c r="E571" i="1"/>
  <c r="E569" i="1"/>
  <c r="E567" i="1"/>
  <c r="D571" i="1"/>
  <c r="D569" i="1"/>
  <c r="D567" i="1"/>
  <c r="E563" i="1"/>
  <c r="D563" i="1"/>
  <c r="E558" i="1"/>
  <c r="D558" i="1"/>
  <c r="E555" i="1"/>
  <c r="D555" i="1"/>
  <c r="E549" i="1"/>
  <c r="D549" i="1"/>
  <c r="E543" i="1"/>
  <c r="D543" i="1"/>
  <c r="E541" i="1"/>
  <c r="D541" i="1"/>
  <c r="E535" i="1"/>
  <c r="D535" i="1"/>
  <c r="E532" i="1"/>
  <c r="D532" i="1"/>
  <c r="E530" i="1"/>
  <c r="D530" i="1"/>
  <c r="E526" i="1"/>
  <c r="D526" i="1"/>
  <c r="E507" i="1"/>
  <c r="D507" i="1"/>
  <c r="E505" i="1"/>
  <c r="D505" i="1"/>
  <c r="E500" i="1"/>
  <c r="D500" i="1"/>
  <c r="E488" i="1"/>
  <c r="D488" i="1"/>
  <c r="E482" i="1"/>
  <c r="D482" i="1"/>
  <c r="E472" i="1"/>
  <c r="D472" i="1"/>
  <c r="E464" i="1"/>
  <c r="D464" i="1"/>
  <c r="E458" i="1"/>
  <c r="D458" i="1"/>
  <c r="E451" i="1"/>
  <c r="D451" i="1"/>
  <c r="E444" i="1"/>
  <c r="D444" i="1"/>
  <c r="E439" i="1"/>
  <c r="D439" i="1"/>
  <c r="E437" i="1"/>
  <c r="D437" i="1"/>
  <c r="E427" i="1"/>
  <c r="D427" i="1"/>
  <c r="E419" i="1"/>
  <c r="D419" i="1"/>
  <c r="E416" i="1"/>
  <c r="D416" i="1"/>
  <c r="E411" i="1"/>
  <c r="D411" i="1"/>
  <c r="E406" i="1"/>
  <c r="D406" i="1"/>
  <c r="E401" i="1"/>
  <c r="D401" i="1"/>
  <c r="E397" i="1"/>
  <c r="D397" i="1"/>
  <c r="E386" i="1"/>
  <c r="D386" i="1"/>
  <c r="E380" i="1"/>
  <c r="D380" i="1"/>
  <c r="E378" i="1"/>
  <c r="E364" i="1"/>
  <c r="D378" i="1"/>
  <c r="E375" i="1"/>
  <c r="D375" i="1"/>
  <c r="E368" i="1"/>
  <c r="E366" i="1"/>
  <c r="D368" i="1"/>
  <c r="D366" i="1"/>
  <c r="D364" i="1"/>
  <c r="E361" i="1"/>
  <c r="D361" i="1"/>
  <c r="E358" i="1"/>
  <c r="D358" i="1"/>
  <c r="E354" i="1"/>
  <c r="D354" i="1"/>
  <c r="E349" i="1"/>
  <c r="E347" i="1"/>
  <c r="D349" i="1"/>
  <c r="E329" i="1"/>
  <c r="D329" i="1"/>
  <c r="E326" i="1"/>
  <c r="D326" i="1"/>
  <c r="E322" i="1"/>
  <c r="D322" i="1"/>
  <c r="E319" i="1"/>
  <c r="D319" i="1"/>
  <c r="E316" i="1"/>
  <c r="D316" i="1"/>
  <c r="E313" i="1"/>
  <c r="D313" i="1"/>
  <c r="E310" i="1"/>
  <c r="E308" i="1"/>
  <c r="D310" i="1"/>
  <c r="E305" i="1"/>
  <c r="D305" i="1"/>
  <c r="E302" i="1"/>
  <c r="D302" i="1"/>
  <c r="E298" i="1"/>
  <c r="D298" i="1"/>
  <c r="E293" i="1"/>
  <c r="D293" i="1"/>
  <c r="E288" i="1"/>
  <c r="D288" i="1"/>
  <c r="E279" i="1"/>
  <c r="D279" i="1"/>
  <c r="E275" i="1"/>
  <c r="D275" i="1"/>
  <c r="E267" i="1"/>
  <c r="D267" i="1"/>
  <c r="E259" i="1"/>
  <c r="D259" i="1"/>
  <c r="E251" i="1"/>
  <c r="D251" i="1"/>
  <c r="E246" i="1"/>
  <c r="D246" i="1"/>
  <c r="E244" i="1"/>
  <c r="D244" i="1"/>
  <c r="E238" i="1"/>
  <c r="D238" i="1"/>
  <c r="E237" i="1"/>
  <c r="E236" i="1"/>
  <c r="D237" i="1"/>
  <c r="D236" i="1"/>
  <c r="E234" i="1"/>
  <c r="D234" i="1"/>
  <c r="E233" i="1"/>
  <c r="D233" i="1"/>
  <c r="E231" i="1"/>
  <c r="E230" i="1"/>
  <c r="D231" i="1"/>
  <c r="D230" i="1"/>
  <c r="E228" i="1"/>
  <c r="E227" i="1"/>
  <c r="D228" i="1"/>
  <c r="D227" i="1"/>
  <c r="E225" i="1"/>
  <c r="E224" i="1"/>
  <c r="D225" i="1"/>
  <c r="D224" i="1"/>
  <c r="E222" i="1"/>
  <c r="D222" i="1"/>
  <c r="E221" i="1"/>
  <c r="D221" i="1"/>
  <c r="E220" i="1"/>
  <c r="D220" i="1"/>
  <c r="D218" i="1"/>
  <c r="E219" i="1"/>
  <c r="D219" i="1"/>
  <c r="E218" i="1"/>
  <c r="E216" i="1"/>
  <c r="D216" i="1"/>
  <c r="E215" i="1"/>
  <c r="D215" i="1"/>
  <c r="E214" i="1"/>
  <c r="D214" i="1"/>
  <c r="E213" i="1"/>
  <c r="E212" i="1"/>
  <c r="D213" i="1"/>
  <c r="D212" i="1"/>
  <c r="E205" i="1"/>
  <c r="D205" i="1"/>
  <c r="E204" i="1"/>
  <c r="D204" i="1"/>
  <c r="E202" i="1"/>
  <c r="E201" i="1"/>
  <c r="E199" i="1"/>
  <c r="D202" i="1"/>
  <c r="D201" i="1"/>
  <c r="D199" i="1"/>
  <c r="E197" i="1"/>
  <c r="D197" i="1"/>
  <c r="E196" i="1"/>
  <c r="D196" i="1"/>
  <c r="E195" i="1"/>
  <c r="D195" i="1"/>
  <c r="E193" i="1"/>
  <c r="D193" i="1"/>
  <c r="E191" i="1"/>
  <c r="D191" i="1"/>
  <c r="E189" i="1"/>
  <c r="D189" i="1"/>
  <c r="E187" i="1"/>
  <c r="D187" i="1"/>
  <c r="E185" i="1"/>
  <c r="D185" i="1"/>
  <c r="E184" i="1"/>
  <c r="D184" i="1"/>
  <c r="E182" i="1"/>
  <c r="D182" i="1"/>
  <c r="E180" i="1"/>
  <c r="E179" i="1"/>
  <c r="D180" i="1"/>
  <c r="D179" i="1"/>
  <c r="E177" i="1"/>
  <c r="D177" i="1"/>
  <c r="E176" i="1"/>
  <c r="D176" i="1"/>
  <c r="E175" i="1"/>
  <c r="E174" i="1"/>
  <c r="D175" i="1"/>
  <c r="D174" i="1"/>
  <c r="D172" i="1"/>
  <c r="E170" i="1"/>
  <c r="D170" i="1"/>
  <c r="E169" i="1"/>
  <c r="D169" i="1"/>
  <c r="E168" i="1"/>
  <c r="D168" i="1"/>
  <c r="E165" i="1"/>
  <c r="D165" i="1"/>
  <c r="E163" i="1"/>
  <c r="D163" i="1"/>
  <c r="E162" i="1"/>
  <c r="D162" i="1"/>
  <c r="E161" i="1"/>
  <c r="D161" i="1"/>
  <c r="E160" i="1"/>
  <c r="E155" i="1"/>
  <c r="D160" i="1"/>
  <c r="D155" i="1"/>
  <c r="E159" i="1"/>
  <c r="D159" i="1"/>
  <c r="E158" i="1"/>
  <c r="D158" i="1"/>
  <c r="E157" i="1"/>
  <c r="D157" i="1"/>
  <c r="E156" i="1"/>
  <c r="D156" i="1"/>
  <c r="E153" i="1"/>
  <c r="E149" i="1"/>
  <c r="D153" i="1"/>
  <c r="E152" i="1"/>
  <c r="D152" i="1"/>
  <c r="E151" i="1"/>
  <c r="D151" i="1"/>
  <c r="E150" i="1"/>
  <c r="D150" i="1"/>
  <c r="D149" i="1"/>
  <c r="E147" i="1"/>
  <c r="D147" i="1"/>
  <c r="E146" i="1"/>
  <c r="D146" i="1"/>
  <c r="E145" i="1"/>
  <c r="D145" i="1"/>
  <c r="E144" i="1"/>
  <c r="D144" i="1"/>
  <c r="E143" i="1"/>
  <c r="D143" i="1"/>
  <c r="E142" i="1"/>
  <c r="D142" i="1"/>
  <c r="E141" i="1"/>
  <c r="D141" i="1"/>
  <c r="D140" i="1"/>
  <c r="D139" i="1"/>
  <c r="E140" i="1"/>
  <c r="E137" i="1"/>
  <c r="D137" i="1"/>
  <c r="E134" i="1"/>
  <c r="D134" i="1"/>
  <c r="E133" i="1"/>
  <c r="D133" i="1"/>
  <c r="E132" i="1"/>
  <c r="E131" i="1"/>
  <c r="D132" i="1"/>
  <c r="D131" i="1"/>
  <c r="E129" i="1"/>
  <c r="D129" i="1"/>
  <c r="E128" i="1"/>
  <c r="D128" i="1"/>
  <c r="E127" i="1"/>
  <c r="D127" i="1"/>
  <c r="E126" i="1"/>
  <c r="D126" i="1"/>
  <c r="E125" i="1"/>
  <c r="D125" i="1"/>
  <c r="E123" i="1"/>
  <c r="D123" i="1"/>
  <c r="E122" i="1"/>
  <c r="D122" i="1"/>
  <c r="E121" i="1"/>
  <c r="D121" i="1"/>
  <c r="E120" i="1"/>
  <c r="D120" i="1"/>
  <c r="E119" i="1"/>
  <c r="D119" i="1"/>
  <c r="E118" i="1"/>
  <c r="D118" i="1"/>
  <c r="E116" i="1"/>
  <c r="D116" i="1"/>
  <c r="E115" i="1"/>
  <c r="D115" i="1"/>
  <c r="E114" i="1"/>
  <c r="D114" i="1"/>
  <c r="E113" i="1"/>
  <c r="D113" i="1"/>
  <c r="E112" i="1"/>
  <c r="D112" i="1"/>
  <c r="E111" i="1"/>
  <c r="D111" i="1"/>
  <c r="E109" i="1"/>
  <c r="D109" i="1"/>
  <c r="E108" i="1"/>
  <c r="D108" i="1"/>
  <c r="E107" i="1"/>
  <c r="E106" i="1"/>
  <c r="D107" i="1"/>
  <c r="D106" i="1"/>
  <c r="E102" i="1"/>
  <c r="D102" i="1"/>
  <c r="E101" i="1"/>
  <c r="D101" i="1"/>
  <c r="E100" i="1"/>
  <c r="D100" i="1"/>
  <c r="E99" i="1"/>
  <c r="D99" i="1"/>
  <c r="E98" i="1"/>
  <c r="D98" i="1"/>
  <c r="E97" i="1"/>
  <c r="D97" i="1"/>
  <c r="E96" i="1"/>
  <c r="D96" i="1"/>
  <c r="E95" i="1"/>
  <c r="D95" i="1"/>
  <c r="E94" i="1"/>
  <c r="D94" i="1"/>
  <c r="E92" i="1"/>
  <c r="E86" i="1"/>
  <c r="D92" i="1"/>
  <c r="D86" i="1"/>
  <c r="E91" i="1"/>
  <c r="D91" i="1"/>
  <c r="E90" i="1"/>
  <c r="D90" i="1"/>
  <c r="E89" i="1"/>
  <c r="D89" i="1"/>
  <c r="E88" i="1"/>
  <c r="D88" i="1"/>
  <c r="E87" i="1"/>
  <c r="D87" i="1"/>
  <c r="E84" i="1"/>
  <c r="D84" i="1"/>
  <c r="E83" i="1"/>
  <c r="D83" i="1"/>
  <c r="E82" i="1"/>
  <c r="D82" i="1"/>
  <c r="E80" i="1"/>
  <c r="E77" i="1"/>
  <c r="D80" i="1"/>
  <c r="E79" i="1"/>
  <c r="D79" i="1"/>
  <c r="D77" i="1"/>
  <c r="E78" i="1"/>
  <c r="D78" i="1"/>
  <c r="E75" i="1"/>
  <c r="D75" i="1"/>
  <c r="E74" i="1"/>
  <c r="D74" i="1"/>
  <c r="E73" i="1"/>
  <c r="D73" i="1"/>
  <c r="D72" i="1"/>
  <c r="E70" i="1"/>
  <c r="D70" i="1"/>
  <c r="E69" i="1"/>
  <c r="D69" i="1"/>
  <c r="E68" i="1"/>
  <c r="D68" i="1"/>
  <c r="D67" i="1"/>
  <c r="E65" i="1"/>
  <c r="D65" i="1"/>
  <c r="E64" i="1"/>
  <c r="E63" i="1"/>
  <c r="D64" i="1"/>
  <c r="D63" i="1"/>
  <c r="E61" i="1"/>
  <c r="D61" i="1"/>
  <c r="E59" i="1"/>
  <c r="D59" i="1"/>
  <c r="E58" i="1"/>
  <c r="D58" i="1"/>
  <c r="E57" i="1"/>
  <c r="D57" i="1"/>
  <c r="E56" i="1"/>
  <c r="D56" i="1"/>
  <c r="E55" i="1"/>
  <c r="D55" i="1"/>
  <c r="E54" i="1"/>
  <c r="D54" i="1"/>
  <c r="E53" i="1"/>
  <c r="D53" i="1"/>
  <c r="E52" i="1"/>
  <c r="D52" i="1"/>
  <c r="E50" i="1"/>
  <c r="D50" i="1"/>
  <c r="E49" i="1"/>
  <c r="D49" i="1"/>
  <c r="E48" i="1"/>
  <c r="D48" i="1"/>
  <c r="E47" i="1"/>
  <c r="D47" i="1"/>
  <c r="E42" i="1"/>
  <c r="D42" i="1"/>
  <c r="E41" i="1"/>
  <c r="D41" i="1"/>
  <c r="E36" i="1"/>
  <c r="D36" i="1"/>
  <c r="E34" i="1"/>
  <c r="D34" i="1"/>
  <c r="E33" i="1"/>
  <c r="D33" i="1"/>
  <c r="E32" i="1"/>
  <c r="D32" i="1"/>
  <c r="E31" i="1"/>
  <c r="E30" i="1"/>
  <c r="D31" i="1"/>
  <c r="E28" i="1"/>
  <c r="D28" i="1"/>
  <c r="E26" i="1"/>
  <c r="D26" i="1"/>
  <c r="E24" i="1"/>
  <c r="D24" i="1"/>
  <c r="E23" i="1"/>
  <c r="D23" i="1"/>
  <c r="E22" i="1"/>
  <c r="E21" i="1"/>
  <c r="D22" i="1"/>
  <c r="D21" i="1"/>
  <c r="E19" i="1"/>
  <c r="D19" i="1"/>
  <c r="E18" i="1"/>
  <c r="D18" i="1"/>
  <c r="E17" i="1"/>
  <c r="E16" i="1"/>
  <c r="E14" i="1"/>
  <c r="D17" i="1"/>
  <c r="D16" i="1"/>
  <c r="D14" i="1"/>
  <c r="G863" i="1"/>
  <c r="F863" i="1"/>
  <c r="G860" i="1"/>
  <c r="F860" i="1"/>
  <c r="G856" i="1"/>
  <c r="F856" i="1"/>
  <c r="G845" i="1"/>
  <c r="F845" i="1"/>
  <c r="G842" i="1"/>
  <c r="F842" i="1"/>
  <c r="G827" i="1"/>
  <c r="F827" i="1"/>
  <c r="G790" i="1"/>
  <c r="F790" i="1"/>
  <c r="G783" i="1"/>
  <c r="F783" i="1"/>
  <c r="G768" i="1"/>
  <c r="F768" i="1"/>
  <c r="G742" i="1"/>
  <c r="F742" i="1"/>
  <c r="G738" i="1"/>
  <c r="F738" i="1"/>
  <c r="G728" i="1"/>
  <c r="F728" i="1"/>
  <c r="G725" i="1"/>
  <c r="F725" i="1"/>
  <c r="G723" i="1"/>
  <c r="G721" i="1"/>
  <c r="F723" i="1"/>
  <c r="F721" i="1"/>
  <c r="G718" i="1"/>
  <c r="F718" i="1"/>
  <c r="G711" i="1"/>
  <c r="G691" i="1"/>
  <c r="F711" i="1"/>
  <c r="F691" i="1"/>
  <c r="G705" i="1"/>
  <c r="F705" i="1"/>
  <c r="G702" i="1"/>
  <c r="F702" i="1"/>
  <c r="G699" i="1"/>
  <c r="F699" i="1"/>
  <c r="G696" i="1"/>
  <c r="F696" i="1"/>
  <c r="G693" i="1"/>
  <c r="F693" i="1"/>
  <c r="G685" i="1"/>
  <c r="F685" i="1"/>
  <c r="G681" i="1"/>
  <c r="F681" i="1"/>
  <c r="G669" i="1"/>
  <c r="G664" i="1"/>
  <c r="F669" i="1"/>
  <c r="F664" i="1"/>
  <c r="G666" i="1"/>
  <c r="F666" i="1"/>
  <c r="G655" i="1"/>
  <c r="F655" i="1"/>
  <c r="G645" i="1"/>
  <c r="F645" i="1"/>
  <c r="G637" i="1"/>
  <c r="F637" i="1"/>
  <c r="G634" i="1"/>
  <c r="F634" i="1"/>
  <c r="G632" i="1"/>
  <c r="G630" i="1"/>
  <c r="G628" i="1"/>
  <c r="F632" i="1"/>
  <c r="F630" i="1"/>
  <c r="F628" i="1"/>
  <c r="G625" i="1"/>
  <c r="F625" i="1"/>
  <c r="G621" i="1"/>
  <c r="G619" i="1"/>
  <c r="F621" i="1"/>
  <c r="F619" i="1"/>
  <c r="G616" i="1"/>
  <c r="F616" i="1"/>
  <c r="G613" i="1"/>
  <c r="F613" i="1"/>
  <c r="G611" i="1"/>
  <c r="F611" i="1"/>
  <c r="G606" i="1"/>
  <c r="F606" i="1"/>
  <c r="G600" i="1"/>
  <c r="F600" i="1"/>
  <c r="G592" i="1"/>
  <c r="F592" i="1"/>
  <c r="G585" i="1"/>
  <c r="F585" i="1"/>
  <c r="G581" i="1"/>
  <c r="G579" i="1"/>
  <c r="G577" i="1"/>
  <c r="F581" i="1"/>
  <c r="F579" i="1"/>
  <c r="F577" i="1"/>
  <c r="G571" i="1"/>
  <c r="G569" i="1"/>
  <c r="G567" i="1"/>
  <c r="F571" i="1"/>
  <c r="F569" i="1"/>
  <c r="F567" i="1"/>
  <c r="G563" i="1"/>
  <c r="F563" i="1"/>
  <c r="G558" i="1"/>
  <c r="F558" i="1"/>
  <c r="G555" i="1"/>
  <c r="F555" i="1"/>
  <c r="G549" i="1"/>
  <c r="F549" i="1"/>
  <c r="G543" i="1"/>
  <c r="F543" i="1"/>
  <c r="G541" i="1"/>
  <c r="F541" i="1"/>
  <c r="G535" i="1"/>
  <c r="F535" i="1"/>
  <c r="G532" i="1"/>
  <c r="F532" i="1"/>
  <c r="G530" i="1"/>
  <c r="F530" i="1"/>
  <c r="G526" i="1"/>
  <c r="F526" i="1"/>
  <c r="G507" i="1"/>
  <c r="F507" i="1"/>
  <c r="G505" i="1"/>
  <c r="F505" i="1"/>
  <c r="G500" i="1"/>
  <c r="F500" i="1"/>
  <c r="G488" i="1"/>
  <c r="F488" i="1"/>
  <c r="G482" i="1"/>
  <c r="F482" i="1"/>
  <c r="G472" i="1"/>
  <c r="F472" i="1"/>
  <c r="G464" i="1"/>
  <c r="F464" i="1"/>
  <c r="G458" i="1"/>
  <c r="F458" i="1"/>
  <c r="G451" i="1"/>
  <c r="F451" i="1"/>
  <c r="G444" i="1"/>
  <c r="F444" i="1"/>
  <c r="G439" i="1"/>
  <c r="F439" i="1"/>
  <c r="G437" i="1"/>
  <c r="F437" i="1"/>
  <c r="G427" i="1"/>
  <c r="F427" i="1"/>
  <c r="G419" i="1"/>
  <c r="F419" i="1"/>
  <c r="G416" i="1"/>
  <c r="F416" i="1"/>
  <c r="G411" i="1"/>
  <c r="F411" i="1"/>
  <c r="G406" i="1"/>
  <c r="F406" i="1"/>
  <c r="G401" i="1"/>
  <c r="F401" i="1"/>
  <c r="G397" i="1"/>
  <c r="F397" i="1"/>
  <c r="G386" i="1"/>
  <c r="F386" i="1"/>
  <c r="G380" i="1"/>
  <c r="F380" i="1"/>
  <c r="G378" i="1"/>
  <c r="G375" i="1"/>
  <c r="F375" i="1"/>
  <c r="G368" i="1"/>
  <c r="G366" i="1"/>
  <c r="F368" i="1"/>
  <c r="F366" i="1"/>
  <c r="G361" i="1"/>
  <c r="F361" i="1"/>
  <c r="G358" i="1"/>
  <c r="F358" i="1"/>
  <c r="G354" i="1"/>
  <c r="F354" i="1"/>
  <c r="G349" i="1"/>
  <c r="G347" i="1"/>
  <c r="F349" i="1"/>
  <c r="F347" i="1"/>
  <c r="G329" i="1"/>
  <c r="F329" i="1"/>
  <c r="G326" i="1"/>
  <c r="F326" i="1"/>
  <c r="G322" i="1"/>
  <c r="F322" i="1"/>
  <c r="G319" i="1"/>
  <c r="F319" i="1"/>
  <c r="G316" i="1"/>
  <c r="F316" i="1"/>
  <c r="G313" i="1"/>
  <c r="F313" i="1"/>
  <c r="G310" i="1"/>
  <c r="G308" i="1"/>
  <c r="F310" i="1"/>
  <c r="G305" i="1"/>
  <c r="F305" i="1"/>
  <c r="G302" i="1"/>
  <c r="F302" i="1"/>
  <c r="G298" i="1"/>
  <c r="F298" i="1"/>
  <c r="G293" i="1"/>
  <c r="F293" i="1"/>
  <c r="G288" i="1"/>
  <c r="F288" i="1"/>
  <c r="G279" i="1"/>
  <c r="F279" i="1"/>
  <c r="G275" i="1"/>
  <c r="F275" i="1"/>
  <c r="G267" i="1"/>
  <c r="F267" i="1"/>
  <c r="G259" i="1"/>
  <c r="F259" i="1"/>
  <c r="G251" i="1"/>
  <c r="F251" i="1"/>
  <c r="G246" i="1"/>
  <c r="F246" i="1"/>
  <c r="G244" i="1"/>
  <c r="F244" i="1"/>
  <c r="G238" i="1"/>
  <c r="F238" i="1"/>
  <c r="G237" i="1"/>
  <c r="G236" i="1"/>
  <c r="F237" i="1"/>
  <c r="F236" i="1"/>
  <c r="G234" i="1"/>
  <c r="F234" i="1"/>
  <c r="G233" i="1"/>
  <c r="F233" i="1"/>
  <c r="G231" i="1"/>
  <c r="G230" i="1"/>
  <c r="F231" i="1"/>
  <c r="F230" i="1"/>
  <c r="G228" i="1"/>
  <c r="G227" i="1"/>
  <c r="F228" i="1"/>
  <c r="F227" i="1"/>
  <c r="G225" i="1"/>
  <c r="G224" i="1"/>
  <c r="F225" i="1"/>
  <c r="F224" i="1"/>
  <c r="G222" i="1"/>
  <c r="F222" i="1"/>
  <c r="G221" i="1"/>
  <c r="F221" i="1"/>
  <c r="F220" i="1"/>
  <c r="F218" i="1"/>
  <c r="G220" i="1"/>
  <c r="G219" i="1"/>
  <c r="F219" i="1"/>
  <c r="G218" i="1"/>
  <c r="G216" i="1"/>
  <c r="F216" i="1"/>
  <c r="G215" i="1"/>
  <c r="F215" i="1"/>
  <c r="G214" i="1"/>
  <c r="F214" i="1"/>
  <c r="G213" i="1"/>
  <c r="G212" i="1"/>
  <c r="F213" i="1"/>
  <c r="F212" i="1"/>
  <c r="G205" i="1"/>
  <c r="F205" i="1"/>
  <c r="G204" i="1"/>
  <c r="F204" i="1"/>
  <c r="G202" i="1"/>
  <c r="G201" i="1"/>
  <c r="G199" i="1"/>
  <c r="F202" i="1"/>
  <c r="F201" i="1"/>
  <c r="F199" i="1"/>
  <c r="G197" i="1"/>
  <c r="F197" i="1"/>
  <c r="G196" i="1"/>
  <c r="F196" i="1"/>
  <c r="G195" i="1"/>
  <c r="F195" i="1"/>
  <c r="G193" i="1"/>
  <c r="F193" i="1"/>
  <c r="G191" i="1"/>
  <c r="F191" i="1"/>
  <c r="G189" i="1"/>
  <c r="F189" i="1"/>
  <c r="G187" i="1"/>
  <c r="F187" i="1"/>
  <c r="G185" i="1"/>
  <c r="F185" i="1"/>
  <c r="G184" i="1"/>
  <c r="F184" i="1"/>
  <c r="G182" i="1"/>
  <c r="F182" i="1"/>
  <c r="G180" i="1"/>
  <c r="G179" i="1"/>
  <c r="F180" i="1"/>
  <c r="F179" i="1"/>
  <c r="G177" i="1"/>
  <c r="F177" i="1"/>
  <c r="G176" i="1"/>
  <c r="F176" i="1"/>
  <c r="G175" i="1"/>
  <c r="G174" i="1"/>
  <c r="G172" i="1"/>
  <c r="F175" i="1"/>
  <c r="F174" i="1"/>
  <c r="F172" i="1"/>
  <c r="G170" i="1"/>
  <c r="G168" i="1"/>
  <c r="G169" i="1"/>
  <c r="G167" i="1"/>
  <c r="F170" i="1"/>
  <c r="F168" i="1"/>
  <c r="F169" i="1"/>
  <c r="F167" i="1"/>
  <c r="G165" i="1"/>
  <c r="F165" i="1"/>
  <c r="G163" i="1"/>
  <c r="F163" i="1"/>
  <c r="G162" i="1"/>
  <c r="F162" i="1"/>
  <c r="G161" i="1"/>
  <c r="F161" i="1"/>
  <c r="G160" i="1"/>
  <c r="F160" i="1"/>
  <c r="G159" i="1"/>
  <c r="F159" i="1"/>
  <c r="G158" i="1"/>
  <c r="F158" i="1"/>
  <c r="G157" i="1"/>
  <c r="F157" i="1"/>
  <c r="G156" i="1"/>
  <c r="F156" i="1"/>
  <c r="G153" i="1"/>
  <c r="G149" i="1"/>
  <c r="F153" i="1"/>
  <c r="F149" i="1"/>
  <c r="G152" i="1"/>
  <c r="F152" i="1"/>
  <c r="G151" i="1"/>
  <c r="F151" i="1"/>
  <c r="G150" i="1"/>
  <c r="F150" i="1"/>
  <c r="G147" i="1"/>
  <c r="F147" i="1"/>
  <c r="G146" i="1"/>
  <c r="F146" i="1"/>
  <c r="G145" i="1"/>
  <c r="F145" i="1"/>
  <c r="G144" i="1"/>
  <c r="F144" i="1"/>
  <c r="G143" i="1"/>
  <c r="F143" i="1"/>
  <c r="G142" i="1"/>
  <c r="F142" i="1"/>
  <c r="G141" i="1"/>
  <c r="F141" i="1"/>
  <c r="G140" i="1"/>
  <c r="F140" i="1"/>
  <c r="G137" i="1"/>
  <c r="F137" i="1"/>
  <c r="G134" i="1"/>
  <c r="F134" i="1"/>
  <c r="G133" i="1"/>
  <c r="F133" i="1"/>
  <c r="G132" i="1"/>
  <c r="G131" i="1"/>
  <c r="F132" i="1"/>
  <c r="F131" i="1"/>
  <c r="G129" i="1"/>
  <c r="F129" i="1"/>
  <c r="G128" i="1"/>
  <c r="F128" i="1"/>
  <c r="G127" i="1"/>
  <c r="F127" i="1"/>
  <c r="G126" i="1"/>
  <c r="F126" i="1"/>
  <c r="G125" i="1"/>
  <c r="F125" i="1"/>
  <c r="G123" i="1"/>
  <c r="F123" i="1"/>
  <c r="G122" i="1"/>
  <c r="F122" i="1"/>
  <c r="G121" i="1"/>
  <c r="F121" i="1"/>
  <c r="G120" i="1"/>
  <c r="F120" i="1"/>
  <c r="G119" i="1"/>
  <c r="F119" i="1"/>
  <c r="G118" i="1"/>
  <c r="F118" i="1"/>
  <c r="G116" i="1"/>
  <c r="F116" i="1"/>
  <c r="G115" i="1"/>
  <c r="F115" i="1"/>
  <c r="G114" i="1"/>
  <c r="F114" i="1"/>
  <c r="G113" i="1"/>
  <c r="F113" i="1"/>
  <c r="G112" i="1"/>
  <c r="G111" i="1"/>
  <c r="F112" i="1"/>
  <c r="F111" i="1"/>
  <c r="G109" i="1"/>
  <c r="F109" i="1"/>
  <c r="G108" i="1"/>
  <c r="F108" i="1"/>
  <c r="G107" i="1"/>
  <c r="G106" i="1"/>
  <c r="F107" i="1"/>
  <c r="F106" i="1"/>
  <c r="G102" i="1"/>
  <c r="F102" i="1"/>
  <c r="G101" i="1"/>
  <c r="F101" i="1"/>
  <c r="G100" i="1"/>
  <c r="F100" i="1"/>
  <c r="G99" i="1"/>
  <c r="F99" i="1"/>
  <c r="G98" i="1"/>
  <c r="F98" i="1"/>
  <c r="G97" i="1"/>
  <c r="F97" i="1"/>
  <c r="G96" i="1"/>
  <c r="F96" i="1"/>
  <c r="G95" i="1"/>
  <c r="F95" i="1"/>
  <c r="G94" i="1"/>
  <c r="F94" i="1"/>
  <c r="G92" i="1"/>
  <c r="G86" i="1"/>
  <c r="F92" i="1"/>
  <c r="F86" i="1"/>
  <c r="G91" i="1"/>
  <c r="F91" i="1"/>
  <c r="G90" i="1"/>
  <c r="F90" i="1"/>
  <c r="G89" i="1"/>
  <c r="F89" i="1"/>
  <c r="G88" i="1"/>
  <c r="F88" i="1"/>
  <c r="G87" i="1"/>
  <c r="F87" i="1"/>
  <c r="G84" i="1"/>
  <c r="F84" i="1"/>
  <c r="G83" i="1"/>
  <c r="F83" i="1"/>
  <c r="G82" i="1"/>
  <c r="F82" i="1"/>
  <c r="G80" i="1"/>
  <c r="F80" i="1"/>
  <c r="G79" i="1"/>
  <c r="F79" i="1"/>
  <c r="G78" i="1"/>
  <c r="F78" i="1"/>
  <c r="G75" i="1"/>
  <c r="F75" i="1"/>
  <c r="G74" i="1"/>
  <c r="F74" i="1"/>
  <c r="G73" i="1"/>
  <c r="F73" i="1"/>
  <c r="F72" i="1"/>
  <c r="G70" i="1"/>
  <c r="G67" i="1"/>
  <c r="F70" i="1"/>
  <c r="G69" i="1"/>
  <c r="F69" i="1"/>
  <c r="G68" i="1"/>
  <c r="F68" i="1"/>
  <c r="G65" i="1"/>
  <c r="F65" i="1"/>
  <c r="G64" i="1"/>
  <c r="G63" i="1"/>
  <c r="F64" i="1"/>
  <c r="F63" i="1"/>
  <c r="G61" i="1"/>
  <c r="F61" i="1"/>
  <c r="G59" i="1"/>
  <c r="G58" i="1"/>
  <c r="G52" i="1"/>
  <c r="F59" i="1"/>
  <c r="F58" i="1"/>
  <c r="F52" i="1"/>
  <c r="G57" i="1"/>
  <c r="F57" i="1"/>
  <c r="G56" i="1"/>
  <c r="F56" i="1"/>
  <c r="G55" i="1"/>
  <c r="F55" i="1"/>
  <c r="G54" i="1"/>
  <c r="F54" i="1"/>
  <c r="G53" i="1"/>
  <c r="F53" i="1"/>
  <c r="G50" i="1"/>
  <c r="F50" i="1"/>
  <c r="G49" i="1"/>
  <c r="F49" i="1"/>
  <c r="G48" i="1"/>
  <c r="F48" i="1"/>
  <c r="G47" i="1"/>
  <c r="G46" i="1"/>
  <c r="F47" i="1"/>
  <c r="G42" i="1"/>
  <c r="F42" i="1"/>
  <c r="G41" i="1"/>
  <c r="F41" i="1"/>
  <c r="G38" i="1"/>
  <c r="F38" i="1"/>
  <c r="G36" i="1"/>
  <c r="F36" i="1"/>
  <c r="G34" i="1"/>
  <c r="F34" i="1"/>
  <c r="G33" i="1"/>
  <c r="F33" i="1"/>
  <c r="G32" i="1"/>
  <c r="F32" i="1"/>
  <c r="G31" i="1"/>
  <c r="G30" i="1"/>
  <c r="F31" i="1"/>
  <c r="F30" i="1"/>
  <c r="G28" i="1"/>
  <c r="F28" i="1"/>
  <c r="G26" i="1"/>
  <c r="F26" i="1"/>
  <c r="G24" i="1"/>
  <c r="F24" i="1"/>
  <c r="G23" i="1"/>
  <c r="F23" i="1"/>
  <c r="G22" i="1"/>
  <c r="G21" i="1"/>
  <c r="F22" i="1"/>
  <c r="F21" i="1"/>
  <c r="G19" i="1"/>
  <c r="F19" i="1"/>
  <c r="G18" i="1"/>
  <c r="F18" i="1"/>
  <c r="G17" i="1"/>
  <c r="G16" i="1"/>
  <c r="G14" i="1"/>
  <c r="F17" i="1"/>
  <c r="F16" i="1"/>
  <c r="F14" i="1"/>
  <c r="I863" i="1"/>
  <c r="H863" i="1"/>
  <c r="I860" i="1"/>
  <c r="H860" i="1"/>
  <c r="I856" i="1"/>
  <c r="H856" i="1"/>
  <c r="I845" i="1"/>
  <c r="H845" i="1"/>
  <c r="I842" i="1"/>
  <c r="H842" i="1"/>
  <c r="I827" i="1"/>
  <c r="H827" i="1"/>
  <c r="I790" i="1"/>
  <c r="H790" i="1"/>
  <c r="I783" i="1"/>
  <c r="H783" i="1"/>
  <c r="I768" i="1"/>
  <c r="H768" i="1"/>
  <c r="I742" i="1"/>
  <c r="H742" i="1"/>
  <c r="I738" i="1"/>
  <c r="H738" i="1"/>
  <c r="I728" i="1"/>
  <c r="H728" i="1"/>
  <c r="I725" i="1"/>
  <c r="H725" i="1"/>
  <c r="H723" i="1"/>
  <c r="H721" i="1"/>
  <c r="I718" i="1"/>
  <c r="H718" i="1"/>
  <c r="I711" i="1"/>
  <c r="I691" i="1"/>
  <c r="H711" i="1"/>
  <c r="H691" i="1"/>
  <c r="I705" i="1"/>
  <c r="H705" i="1"/>
  <c r="I702" i="1"/>
  <c r="H702" i="1"/>
  <c r="I699" i="1"/>
  <c r="H699" i="1"/>
  <c r="I696" i="1"/>
  <c r="H696" i="1"/>
  <c r="I693" i="1"/>
  <c r="H693" i="1"/>
  <c r="I685" i="1"/>
  <c r="H685" i="1"/>
  <c r="I681" i="1"/>
  <c r="H681" i="1"/>
  <c r="I669" i="1"/>
  <c r="I664" i="1"/>
  <c r="I662" i="1"/>
  <c r="H669" i="1"/>
  <c r="H664" i="1"/>
  <c r="I666" i="1"/>
  <c r="H666" i="1"/>
  <c r="I655" i="1"/>
  <c r="H655" i="1"/>
  <c r="I645" i="1"/>
  <c r="H645" i="1"/>
  <c r="I637" i="1"/>
  <c r="H637" i="1"/>
  <c r="I634" i="1"/>
  <c r="H634" i="1"/>
  <c r="I632" i="1"/>
  <c r="I630" i="1"/>
  <c r="I628" i="1"/>
  <c r="H632" i="1"/>
  <c r="H630" i="1"/>
  <c r="H628" i="1"/>
  <c r="I625" i="1"/>
  <c r="H625" i="1"/>
  <c r="I621" i="1"/>
  <c r="H621" i="1"/>
  <c r="H619" i="1"/>
  <c r="H609" i="1"/>
  <c r="H575" i="1"/>
  <c r="I616" i="1"/>
  <c r="H616" i="1"/>
  <c r="I613" i="1"/>
  <c r="H613" i="1"/>
  <c r="I611" i="1"/>
  <c r="H611" i="1"/>
  <c r="I606" i="1"/>
  <c r="H606" i="1"/>
  <c r="I600" i="1"/>
  <c r="H600" i="1"/>
  <c r="I592" i="1"/>
  <c r="H592" i="1"/>
  <c r="I585" i="1"/>
  <c r="H585" i="1"/>
  <c r="I581" i="1"/>
  <c r="I579" i="1"/>
  <c r="I577" i="1"/>
  <c r="H581" i="1"/>
  <c r="I571" i="1"/>
  <c r="I569" i="1"/>
  <c r="I567" i="1"/>
  <c r="H571" i="1"/>
  <c r="H569" i="1"/>
  <c r="H567" i="1"/>
  <c r="I563" i="1"/>
  <c r="H563" i="1"/>
  <c r="I558" i="1"/>
  <c r="H558" i="1"/>
  <c r="I555" i="1"/>
  <c r="I541" i="1"/>
  <c r="H555" i="1"/>
  <c r="H541" i="1"/>
  <c r="I549" i="1"/>
  <c r="H549" i="1"/>
  <c r="I543" i="1"/>
  <c r="H543" i="1"/>
  <c r="I535" i="1"/>
  <c r="H535" i="1"/>
  <c r="I532" i="1"/>
  <c r="H532" i="1"/>
  <c r="I530" i="1"/>
  <c r="H530" i="1"/>
  <c r="I526" i="1"/>
  <c r="H526" i="1"/>
  <c r="I507" i="1"/>
  <c r="H507" i="1"/>
  <c r="I505" i="1"/>
  <c r="H505" i="1"/>
  <c r="I500" i="1"/>
  <c r="H500" i="1"/>
  <c r="I488" i="1"/>
  <c r="H488" i="1"/>
  <c r="I482" i="1"/>
  <c r="H482" i="1"/>
  <c r="I472" i="1"/>
  <c r="H472" i="1"/>
  <c r="I464" i="1"/>
  <c r="H464" i="1"/>
  <c r="I458" i="1"/>
  <c r="H458" i="1"/>
  <c r="I451" i="1"/>
  <c r="H451" i="1"/>
  <c r="I444" i="1"/>
  <c r="H444" i="1"/>
  <c r="I439" i="1"/>
  <c r="H439" i="1"/>
  <c r="I437" i="1"/>
  <c r="H437" i="1"/>
  <c r="I427" i="1"/>
  <c r="H427" i="1"/>
  <c r="I419" i="1"/>
  <c r="H419" i="1"/>
  <c r="I416" i="1"/>
  <c r="H416" i="1"/>
  <c r="I411" i="1"/>
  <c r="H411" i="1"/>
  <c r="I406" i="1"/>
  <c r="H406" i="1"/>
  <c r="I401" i="1"/>
  <c r="H401" i="1"/>
  <c r="I397" i="1"/>
  <c r="H397" i="1"/>
  <c r="I386" i="1"/>
  <c r="H386" i="1"/>
  <c r="I380" i="1"/>
  <c r="H380" i="1"/>
  <c r="I378" i="1"/>
  <c r="H378" i="1"/>
  <c r="I375" i="1"/>
  <c r="H375" i="1"/>
  <c r="I368" i="1"/>
  <c r="I366" i="1"/>
  <c r="H368" i="1"/>
  <c r="H366" i="1"/>
  <c r="I361" i="1"/>
  <c r="H361" i="1"/>
  <c r="I358" i="1"/>
  <c r="H358" i="1"/>
  <c r="I354" i="1"/>
  <c r="H354" i="1"/>
  <c r="I349" i="1"/>
  <c r="I347" i="1"/>
  <c r="H349" i="1"/>
  <c r="H347" i="1"/>
  <c r="I329" i="1"/>
  <c r="H329" i="1"/>
  <c r="I326" i="1"/>
  <c r="H326" i="1"/>
  <c r="I322" i="1"/>
  <c r="H322" i="1"/>
  <c r="I319" i="1"/>
  <c r="H319" i="1"/>
  <c r="I316" i="1"/>
  <c r="H316" i="1"/>
  <c r="I313" i="1"/>
  <c r="H313" i="1"/>
  <c r="I310" i="1"/>
  <c r="I308" i="1"/>
  <c r="H310" i="1"/>
  <c r="I305" i="1"/>
  <c r="H305" i="1"/>
  <c r="I302" i="1"/>
  <c r="H302" i="1"/>
  <c r="I298" i="1"/>
  <c r="H298" i="1"/>
  <c r="I293" i="1"/>
  <c r="H293" i="1"/>
  <c r="I288" i="1"/>
  <c r="H288" i="1"/>
  <c r="I279" i="1"/>
  <c r="H279" i="1"/>
  <c r="I275" i="1"/>
  <c r="H275" i="1"/>
  <c r="I267" i="1"/>
  <c r="H267" i="1"/>
  <c r="I259" i="1"/>
  <c r="H259" i="1"/>
  <c r="I251" i="1"/>
  <c r="H251" i="1"/>
  <c r="I246" i="1"/>
  <c r="I244" i="1"/>
  <c r="H246" i="1"/>
  <c r="H244" i="1"/>
  <c r="I238" i="1"/>
  <c r="H238" i="1"/>
  <c r="I237" i="1"/>
  <c r="I236" i="1"/>
  <c r="H237" i="1"/>
  <c r="H236" i="1"/>
  <c r="I234" i="1"/>
  <c r="H234" i="1"/>
  <c r="I233" i="1"/>
  <c r="H233" i="1"/>
  <c r="I231" i="1"/>
  <c r="I230" i="1"/>
  <c r="H231" i="1"/>
  <c r="H230" i="1"/>
  <c r="I228" i="1"/>
  <c r="I227" i="1"/>
  <c r="H228" i="1"/>
  <c r="H227" i="1"/>
  <c r="I225" i="1"/>
  <c r="I224" i="1"/>
  <c r="H225" i="1"/>
  <c r="H224" i="1"/>
  <c r="I222" i="1"/>
  <c r="H222" i="1"/>
  <c r="I221" i="1"/>
  <c r="I220" i="1"/>
  <c r="I218" i="1"/>
  <c r="H221" i="1"/>
  <c r="H220" i="1"/>
  <c r="I219" i="1"/>
  <c r="H219" i="1"/>
  <c r="H218" i="1"/>
  <c r="I216" i="1"/>
  <c r="H216" i="1"/>
  <c r="I215" i="1"/>
  <c r="H215" i="1"/>
  <c r="I214" i="1"/>
  <c r="H214" i="1"/>
  <c r="I213" i="1"/>
  <c r="I212" i="1"/>
  <c r="H213" i="1"/>
  <c r="H212" i="1"/>
  <c r="I205" i="1"/>
  <c r="H205" i="1"/>
  <c r="I204" i="1"/>
  <c r="H204" i="1"/>
  <c r="I202" i="1"/>
  <c r="I201" i="1"/>
  <c r="I199" i="1"/>
  <c r="H202" i="1"/>
  <c r="H201" i="1"/>
  <c r="H199" i="1"/>
  <c r="I197" i="1"/>
  <c r="H197" i="1"/>
  <c r="I196" i="1"/>
  <c r="H196" i="1"/>
  <c r="I195" i="1"/>
  <c r="H195" i="1"/>
  <c r="I193" i="1"/>
  <c r="H193" i="1"/>
  <c r="I191" i="1"/>
  <c r="H191" i="1"/>
  <c r="I189" i="1"/>
  <c r="H189" i="1"/>
  <c r="I187" i="1"/>
  <c r="H187" i="1"/>
  <c r="I185" i="1"/>
  <c r="H185" i="1"/>
  <c r="I184" i="1"/>
  <c r="H184" i="1"/>
  <c r="I182" i="1"/>
  <c r="H182" i="1"/>
  <c r="I180" i="1"/>
  <c r="I179" i="1"/>
  <c r="H180" i="1"/>
  <c r="H179" i="1"/>
  <c r="I177" i="1"/>
  <c r="H177" i="1"/>
  <c r="I176" i="1"/>
  <c r="H176" i="1"/>
  <c r="I175" i="1"/>
  <c r="I174" i="1"/>
  <c r="H175" i="1"/>
  <c r="H174" i="1"/>
  <c r="I170" i="1"/>
  <c r="H170" i="1"/>
  <c r="I169" i="1"/>
  <c r="H169" i="1"/>
  <c r="I168" i="1"/>
  <c r="I167" i="1"/>
  <c r="H168" i="1"/>
  <c r="I165" i="1"/>
  <c r="H165" i="1"/>
  <c r="I163" i="1"/>
  <c r="H163" i="1"/>
  <c r="I162" i="1"/>
  <c r="H162" i="1"/>
  <c r="I161" i="1"/>
  <c r="H161" i="1"/>
  <c r="I160" i="1"/>
  <c r="H160" i="1"/>
  <c r="H155" i="1"/>
  <c r="I159" i="1"/>
  <c r="H159" i="1"/>
  <c r="I158" i="1"/>
  <c r="H158" i="1"/>
  <c r="I157" i="1"/>
  <c r="H157" i="1"/>
  <c r="I156" i="1"/>
  <c r="H156" i="1"/>
  <c r="I153" i="1"/>
  <c r="I149" i="1"/>
  <c r="H153" i="1"/>
  <c r="H149" i="1"/>
  <c r="I152" i="1"/>
  <c r="H152" i="1"/>
  <c r="I151" i="1"/>
  <c r="H151" i="1"/>
  <c r="I150" i="1"/>
  <c r="H150" i="1"/>
  <c r="I147" i="1"/>
  <c r="H147" i="1"/>
  <c r="I146" i="1"/>
  <c r="H146" i="1"/>
  <c r="I145" i="1"/>
  <c r="H145" i="1"/>
  <c r="I144" i="1"/>
  <c r="H144" i="1"/>
  <c r="I143" i="1"/>
  <c r="H143" i="1"/>
  <c r="I142" i="1"/>
  <c r="H142" i="1"/>
  <c r="I141" i="1"/>
  <c r="H141" i="1"/>
  <c r="I140" i="1"/>
  <c r="H140" i="1"/>
  <c r="I137" i="1"/>
  <c r="H137" i="1"/>
  <c r="I134" i="1"/>
  <c r="H134" i="1"/>
  <c r="I133" i="1"/>
  <c r="H133" i="1"/>
  <c r="I132" i="1"/>
  <c r="I131" i="1"/>
  <c r="H132" i="1"/>
  <c r="H131" i="1"/>
  <c r="I129" i="1"/>
  <c r="H129" i="1"/>
  <c r="I128" i="1"/>
  <c r="H128" i="1"/>
  <c r="I127" i="1"/>
  <c r="H127" i="1"/>
  <c r="I126" i="1"/>
  <c r="H126" i="1"/>
  <c r="I125" i="1"/>
  <c r="H125" i="1"/>
  <c r="I123" i="1"/>
  <c r="H123" i="1"/>
  <c r="I122" i="1"/>
  <c r="H122" i="1"/>
  <c r="I121" i="1"/>
  <c r="H121" i="1"/>
  <c r="I120" i="1"/>
  <c r="H120" i="1"/>
  <c r="I119" i="1"/>
  <c r="H119" i="1"/>
  <c r="I118" i="1"/>
  <c r="H118" i="1"/>
  <c r="I116" i="1"/>
  <c r="H116" i="1"/>
  <c r="I115" i="1"/>
  <c r="H115" i="1"/>
  <c r="I114" i="1"/>
  <c r="H114" i="1"/>
  <c r="I113" i="1"/>
  <c r="H113" i="1"/>
  <c r="I112" i="1"/>
  <c r="H112" i="1"/>
  <c r="H111" i="1"/>
  <c r="I111" i="1"/>
  <c r="I109" i="1"/>
  <c r="H109" i="1"/>
  <c r="I108" i="1"/>
  <c r="H108" i="1"/>
  <c r="I107" i="1"/>
  <c r="I106" i="1"/>
  <c r="H107" i="1"/>
  <c r="H106" i="1"/>
  <c r="I102" i="1"/>
  <c r="H102" i="1"/>
  <c r="I101" i="1"/>
  <c r="H101" i="1"/>
  <c r="I100" i="1"/>
  <c r="H100" i="1"/>
  <c r="I99" i="1"/>
  <c r="H99" i="1"/>
  <c r="I98" i="1"/>
  <c r="H98" i="1"/>
  <c r="I97" i="1"/>
  <c r="H97" i="1"/>
  <c r="I96" i="1"/>
  <c r="H96" i="1"/>
  <c r="I95" i="1"/>
  <c r="I94" i="1"/>
  <c r="H95" i="1"/>
  <c r="I92" i="1"/>
  <c r="H92" i="1"/>
  <c r="I91" i="1"/>
  <c r="H91" i="1"/>
  <c r="I90" i="1"/>
  <c r="H90" i="1"/>
  <c r="I89" i="1"/>
  <c r="H89" i="1"/>
  <c r="I88" i="1"/>
  <c r="H88" i="1"/>
  <c r="I87" i="1"/>
  <c r="I86" i="1"/>
  <c r="H87" i="1"/>
  <c r="H86" i="1"/>
  <c r="I84" i="1"/>
  <c r="H84" i="1"/>
  <c r="I83" i="1"/>
  <c r="H83" i="1"/>
  <c r="I82" i="1"/>
  <c r="H82" i="1"/>
  <c r="I80" i="1"/>
  <c r="I77" i="1"/>
  <c r="H80" i="1"/>
  <c r="I79" i="1"/>
  <c r="H79" i="1"/>
  <c r="I78" i="1"/>
  <c r="H78" i="1"/>
  <c r="I75" i="1"/>
  <c r="H75" i="1"/>
  <c r="I74" i="1"/>
  <c r="H74" i="1"/>
  <c r="I73" i="1"/>
  <c r="H73" i="1"/>
  <c r="H72" i="1"/>
  <c r="I70" i="1"/>
  <c r="I67" i="1"/>
  <c r="H70" i="1"/>
  <c r="I69" i="1"/>
  <c r="H69" i="1"/>
  <c r="I68" i="1"/>
  <c r="H68" i="1"/>
  <c r="H67" i="1"/>
  <c r="I65" i="1"/>
  <c r="H65" i="1"/>
  <c r="I64" i="1"/>
  <c r="I63" i="1"/>
  <c r="H64" i="1"/>
  <c r="H63" i="1"/>
  <c r="I61" i="1"/>
  <c r="H61" i="1"/>
  <c r="I59" i="1"/>
  <c r="H59" i="1"/>
  <c r="I58" i="1"/>
  <c r="H58" i="1"/>
  <c r="I57" i="1"/>
  <c r="H57" i="1"/>
  <c r="I56" i="1"/>
  <c r="H56" i="1"/>
  <c r="I55" i="1"/>
  <c r="H55" i="1"/>
  <c r="I54" i="1"/>
  <c r="H54" i="1"/>
  <c r="I53" i="1"/>
  <c r="H53" i="1"/>
  <c r="H52" i="1"/>
  <c r="I52" i="1"/>
  <c r="I50" i="1"/>
  <c r="H50" i="1"/>
  <c r="I49" i="1"/>
  <c r="H49" i="1"/>
  <c r="I48" i="1"/>
  <c r="H48" i="1"/>
  <c r="I47" i="1"/>
  <c r="I46" i="1"/>
  <c r="H47" i="1"/>
  <c r="H46" i="1"/>
  <c r="I42" i="1"/>
  <c r="H42" i="1"/>
  <c r="I41" i="1"/>
  <c r="H41" i="1"/>
  <c r="H38" i="1"/>
  <c r="I36" i="1"/>
  <c r="H36" i="1"/>
  <c r="I34" i="1"/>
  <c r="H34" i="1"/>
  <c r="I33" i="1"/>
  <c r="H33" i="1"/>
  <c r="I32" i="1"/>
  <c r="H32" i="1"/>
  <c r="I31" i="1"/>
  <c r="I30" i="1"/>
  <c r="H31" i="1"/>
  <c r="H30" i="1"/>
  <c r="I28" i="1"/>
  <c r="H28" i="1"/>
  <c r="I26" i="1"/>
  <c r="H26" i="1"/>
  <c r="I24" i="1"/>
  <c r="H24" i="1"/>
  <c r="I23" i="1"/>
  <c r="H23" i="1"/>
  <c r="I22" i="1"/>
  <c r="I21" i="1"/>
  <c r="H22" i="1"/>
  <c r="H21" i="1"/>
  <c r="I19" i="1"/>
  <c r="H19" i="1"/>
  <c r="I18" i="1"/>
  <c r="H18" i="1"/>
  <c r="I17" i="1"/>
  <c r="I16" i="1"/>
  <c r="I14" i="1"/>
  <c r="H17" i="1"/>
  <c r="H16" i="1"/>
  <c r="H14" i="1"/>
  <c r="K863" i="1"/>
  <c r="J863" i="1"/>
  <c r="K860" i="1"/>
  <c r="J860" i="1"/>
  <c r="K856" i="1"/>
  <c r="J856" i="1"/>
  <c r="K845" i="1"/>
  <c r="J845" i="1"/>
  <c r="K842" i="1"/>
  <c r="J842" i="1"/>
  <c r="K827" i="1"/>
  <c r="J827" i="1"/>
  <c r="K790" i="1"/>
  <c r="J790" i="1"/>
  <c r="K783" i="1"/>
  <c r="J783" i="1"/>
  <c r="K768" i="1"/>
  <c r="J768" i="1"/>
  <c r="K742" i="1"/>
  <c r="J742" i="1"/>
  <c r="K738" i="1"/>
  <c r="J738" i="1"/>
  <c r="K728" i="1"/>
  <c r="J728" i="1"/>
  <c r="K725" i="1"/>
  <c r="J725" i="1"/>
  <c r="K718" i="1"/>
  <c r="J718" i="1"/>
  <c r="K711" i="1"/>
  <c r="K691" i="1"/>
  <c r="J711" i="1"/>
  <c r="K705" i="1"/>
  <c r="J705" i="1"/>
  <c r="K702" i="1"/>
  <c r="J702" i="1"/>
  <c r="K699" i="1"/>
  <c r="J699" i="1"/>
  <c r="K696" i="1"/>
  <c r="J696" i="1"/>
  <c r="K693" i="1"/>
  <c r="J693" i="1"/>
  <c r="K685" i="1"/>
  <c r="J685" i="1"/>
  <c r="K681" i="1"/>
  <c r="J681" i="1"/>
  <c r="K669" i="1"/>
  <c r="K664" i="1"/>
  <c r="K662" i="1"/>
  <c r="J669" i="1"/>
  <c r="J664" i="1"/>
  <c r="J662" i="1"/>
  <c r="K666" i="1"/>
  <c r="J666" i="1"/>
  <c r="K655" i="1"/>
  <c r="J655" i="1"/>
  <c r="K645" i="1"/>
  <c r="J645" i="1"/>
  <c r="K637" i="1"/>
  <c r="J637" i="1"/>
  <c r="K634" i="1"/>
  <c r="J634" i="1"/>
  <c r="K632" i="1"/>
  <c r="K630" i="1"/>
  <c r="K628" i="1"/>
  <c r="J632" i="1"/>
  <c r="J630" i="1"/>
  <c r="J628" i="1"/>
  <c r="K625" i="1"/>
  <c r="J625" i="1"/>
  <c r="K621" i="1"/>
  <c r="K619" i="1"/>
  <c r="J621" i="1"/>
  <c r="J619" i="1"/>
  <c r="K616" i="1"/>
  <c r="J616" i="1"/>
  <c r="K613" i="1"/>
  <c r="J613" i="1"/>
  <c r="K611" i="1"/>
  <c r="K609" i="1"/>
  <c r="J611" i="1"/>
  <c r="J609" i="1"/>
  <c r="K606" i="1"/>
  <c r="J606" i="1"/>
  <c r="K600" i="1"/>
  <c r="J600" i="1"/>
  <c r="K592" i="1"/>
  <c r="J592" i="1"/>
  <c r="K585" i="1"/>
  <c r="J585" i="1"/>
  <c r="K581" i="1"/>
  <c r="K579" i="1"/>
  <c r="K577" i="1"/>
  <c r="J581" i="1"/>
  <c r="J579" i="1"/>
  <c r="J577" i="1"/>
  <c r="K571" i="1"/>
  <c r="K569" i="1"/>
  <c r="K567" i="1"/>
  <c r="J571" i="1"/>
  <c r="J569" i="1"/>
  <c r="J567" i="1"/>
  <c r="K563" i="1"/>
  <c r="J563" i="1"/>
  <c r="K558" i="1"/>
  <c r="J558" i="1"/>
  <c r="K555" i="1"/>
  <c r="J555" i="1"/>
  <c r="K549" i="1"/>
  <c r="J549" i="1"/>
  <c r="K543" i="1"/>
  <c r="J543" i="1"/>
  <c r="K541" i="1"/>
  <c r="J541" i="1"/>
  <c r="K535" i="1"/>
  <c r="J535" i="1"/>
  <c r="K532" i="1"/>
  <c r="J532" i="1"/>
  <c r="K530" i="1"/>
  <c r="J530" i="1"/>
  <c r="K526" i="1"/>
  <c r="J526" i="1"/>
  <c r="K507" i="1"/>
  <c r="J507" i="1"/>
  <c r="K505" i="1"/>
  <c r="J505" i="1"/>
  <c r="K500" i="1"/>
  <c r="J500" i="1"/>
  <c r="K488" i="1"/>
  <c r="J488" i="1"/>
  <c r="K482" i="1"/>
  <c r="J482" i="1"/>
  <c r="K472" i="1"/>
  <c r="J472" i="1"/>
  <c r="K464" i="1"/>
  <c r="J464" i="1"/>
  <c r="K458" i="1"/>
  <c r="J458" i="1"/>
  <c r="K451" i="1"/>
  <c r="J451" i="1"/>
  <c r="K444" i="1"/>
  <c r="J444" i="1"/>
  <c r="K439" i="1"/>
  <c r="J439" i="1"/>
  <c r="K437" i="1"/>
  <c r="J437" i="1"/>
  <c r="K427" i="1"/>
  <c r="J427" i="1"/>
  <c r="K419" i="1"/>
  <c r="J419" i="1"/>
  <c r="K416" i="1"/>
  <c r="J416" i="1"/>
  <c r="K411" i="1"/>
  <c r="J411" i="1"/>
  <c r="K406" i="1"/>
  <c r="J406" i="1"/>
  <c r="K401" i="1"/>
  <c r="J401" i="1"/>
  <c r="K397" i="1"/>
  <c r="J397" i="1"/>
  <c r="K386" i="1"/>
  <c r="J386" i="1"/>
  <c r="K380" i="1"/>
  <c r="J380" i="1"/>
  <c r="K378" i="1"/>
  <c r="K364" i="1"/>
  <c r="J378" i="1"/>
  <c r="K375" i="1"/>
  <c r="J375" i="1"/>
  <c r="K368" i="1"/>
  <c r="K366" i="1"/>
  <c r="J368" i="1"/>
  <c r="J366" i="1"/>
  <c r="J364" i="1"/>
  <c r="K361" i="1"/>
  <c r="J361" i="1"/>
  <c r="K358" i="1"/>
  <c r="J358" i="1"/>
  <c r="K354" i="1"/>
  <c r="J354" i="1"/>
  <c r="K349" i="1"/>
  <c r="J349" i="1"/>
  <c r="K329" i="1"/>
  <c r="J329" i="1"/>
  <c r="K326" i="1"/>
  <c r="J326" i="1"/>
  <c r="K322" i="1"/>
  <c r="J322" i="1"/>
  <c r="K319" i="1"/>
  <c r="J319" i="1"/>
  <c r="K316" i="1"/>
  <c r="J316" i="1"/>
  <c r="K313" i="1"/>
  <c r="J313" i="1"/>
  <c r="K310" i="1"/>
  <c r="J310" i="1"/>
  <c r="J308" i="1"/>
  <c r="K305" i="1"/>
  <c r="J305" i="1"/>
  <c r="K302" i="1"/>
  <c r="J302" i="1"/>
  <c r="K298" i="1"/>
  <c r="J298" i="1"/>
  <c r="K293" i="1"/>
  <c r="J293" i="1"/>
  <c r="K288" i="1"/>
  <c r="J288" i="1"/>
  <c r="K279" i="1"/>
  <c r="J279" i="1"/>
  <c r="K275" i="1"/>
  <c r="J275" i="1"/>
  <c r="K267" i="1"/>
  <c r="J267" i="1"/>
  <c r="K259" i="1"/>
  <c r="J259" i="1"/>
  <c r="K251" i="1"/>
  <c r="J251" i="1"/>
  <c r="K246" i="1"/>
  <c r="J246" i="1"/>
  <c r="K244" i="1"/>
  <c r="J244" i="1"/>
  <c r="K238" i="1"/>
  <c r="J238" i="1"/>
  <c r="K237" i="1"/>
  <c r="K236" i="1"/>
  <c r="J237" i="1"/>
  <c r="J236" i="1"/>
  <c r="K234" i="1"/>
  <c r="J234" i="1"/>
  <c r="K233" i="1"/>
  <c r="J233" i="1"/>
  <c r="K231" i="1"/>
  <c r="K230" i="1"/>
  <c r="J231" i="1"/>
  <c r="J230" i="1"/>
  <c r="K228" i="1"/>
  <c r="K227" i="1"/>
  <c r="J228" i="1"/>
  <c r="J227" i="1"/>
  <c r="K225" i="1"/>
  <c r="K224" i="1"/>
  <c r="J225" i="1"/>
  <c r="J224" i="1"/>
  <c r="K222" i="1"/>
  <c r="J222" i="1"/>
  <c r="K221" i="1"/>
  <c r="J221" i="1"/>
  <c r="K220" i="1"/>
  <c r="J220" i="1"/>
  <c r="J218" i="1"/>
  <c r="K219" i="1"/>
  <c r="J219" i="1"/>
  <c r="K218" i="1"/>
  <c r="K216" i="1"/>
  <c r="J216" i="1"/>
  <c r="K215" i="1"/>
  <c r="J215" i="1"/>
  <c r="K214" i="1"/>
  <c r="J214" i="1"/>
  <c r="K213" i="1"/>
  <c r="K212" i="1"/>
  <c r="J213" i="1"/>
  <c r="J212" i="1"/>
  <c r="K205" i="1"/>
  <c r="J205" i="1"/>
  <c r="K204" i="1"/>
  <c r="J204" i="1"/>
  <c r="K202" i="1"/>
  <c r="K201" i="1"/>
  <c r="K199" i="1"/>
  <c r="J202" i="1"/>
  <c r="J201" i="1"/>
  <c r="J199" i="1"/>
  <c r="K197" i="1"/>
  <c r="J197" i="1"/>
  <c r="K196" i="1"/>
  <c r="J196" i="1"/>
  <c r="K195" i="1"/>
  <c r="J195" i="1"/>
  <c r="K193" i="1"/>
  <c r="J193" i="1"/>
  <c r="K191" i="1"/>
  <c r="J191" i="1"/>
  <c r="K189" i="1"/>
  <c r="J189" i="1"/>
  <c r="K187" i="1"/>
  <c r="J187" i="1"/>
  <c r="K185" i="1"/>
  <c r="J185" i="1"/>
  <c r="K184" i="1"/>
  <c r="J184" i="1"/>
  <c r="K182" i="1"/>
  <c r="J182" i="1"/>
  <c r="K180" i="1"/>
  <c r="K179" i="1"/>
  <c r="J180" i="1"/>
  <c r="J179" i="1"/>
  <c r="K177" i="1"/>
  <c r="J177" i="1"/>
  <c r="K176" i="1"/>
  <c r="J176" i="1"/>
  <c r="K175" i="1"/>
  <c r="K174" i="1"/>
  <c r="J175" i="1"/>
  <c r="J174" i="1"/>
  <c r="K170" i="1"/>
  <c r="J170" i="1"/>
  <c r="K169" i="1"/>
  <c r="J169" i="1"/>
  <c r="K168" i="1"/>
  <c r="K167" i="1"/>
  <c r="J168" i="1"/>
  <c r="K165" i="1"/>
  <c r="J165" i="1"/>
  <c r="K163" i="1"/>
  <c r="J163" i="1"/>
  <c r="K162" i="1"/>
  <c r="J162" i="1"/>
  <c r="K161" i="1"/>
  <c r="J161" i="1"/>
  <c r="K160" i="1"/>
  <c r="K155" i="1"/>
  <c r="J160" i="1"/>
  <c r="J155" i="1"/>
  <c r="K159" i="1"/>
  <c r="J159" i="1"/>
  <c r="K158" i="1"/>
  <c r="J158" i="1"/>
  <c r="K157" i="1"/>
  <c r="J157" i="1"/>
  <c r="K156" i="1"/>
  <c r="J156" i="1"/>
  <c r="K153" i="1"/>
  <c r="K149" i="1"/>
  <c r="J153" i="1"/>
  <c r="K152" i="1"/>
  <c r="J152" i="1"/>
  <c r="K151" i="1"/>
  <c r="J151" i="1"/>
  <c r="K150" i="1"/>
  <c r="J150" i="1"/>
  <c r="J149" i="1"/>
  <c r="K147" i="1"/>
  <c r="J147" i="1"/>
  <c r="J140" i="1"/>
  <c r="J141" i="1"/>
  <c r="J142" i="1"/>
  <c r="J143" i="1"/>
  <c r="J144" i="1"/>
  <c r="J145" i="1"/>
  <c r="J146" i="1"/>
  <c r="J139" i="1"/>
  <c r="K146" i="1"/>
  <c r="K145" i="1"/>
  <c r="K144" i="1"/>
  <c r="K143" i="1"/>
  <c r="K142" i="1"/>
  <c r="K141" i="1"/>
  <c r="K140" i="1"/>
  <c r="K137" i="1"/>
  <c r="J137" i="1"/>
  <c r="K134" i="1"/>
  <c r="J134" i="1"/>
  <c r="K133" i="1"/>
  <c r="J133" i="1"/>
  <c r="K132" i="1"/>
  <c r="K131" i="1"/>
  <c r="J132" i="1"/>
  <c r="J131" i="1"/>
  <c r="K129" i="1"/>
  <c r="J129" i="1"/>
  <c r="K128" i="1"/>
  <c r="J128" i="1"/>
  <c r="K127" i="1"/>
  <c r="J127" i="1"/>
  <c r="K126" i="1"/>
  <c r="J126" i="1"/>
  <c r="K125" i="1"/>
  <c r="J125" i="1"/>
  <c r="K123" i="1"/>
  <c r="J123" i="1"/>
  <c r="K122" i="1"/>
  <c r="J122" i="1"/>
  <c r="K121" i="1"/>
  <c r="J121" i="1"/>
  <c r="K120" i="1"/>
  <c r="J120" i="1"/>
  <c r="K119" i="1"/>
  <c r="J119" i="1"/>
  <c r="K118" i="1"/>
  <c r="J118" i="1"/>
  <c r="K116" i="1"/>
  <c r="J116" i="1"/>
  <c r="K115" i="1"/>
  <c r="J115" i="1"/>
  <c r="K114" i="1"/>
  <c r="J114" i="1"/>
  <c r="K113" i="1"/>
  <c r="J113" i="1"/>
  <c r="K112" i="1"/>
  <c r="J112" i="1"/>
  <c r="K111" i="1"/>
  <c r="J111" i="1"/>
  <c r="K109" i="1"/>
  <c r="J109" i="1"/>
  <c r="K108" i="1"/>
  <c r="J108" i="1"/>
  <c r="K107" i="1"/>
  <c r="K106" i="1"/>
  <c r="J107" i="1"/>
  <c r="J106" i="1"/>
  <c r="K102" i="1"/>
  <c r="J102" i="1"/>
  <c r="K101" i="1"/>
  <c r="J101" i="1"/>
  <c r="K100" i="1"/>
  <c r="J100" i="1"/>
  <c r="K99" i="1"/>
  <c r="J99" i="1"/>
  <c r="K98" i="1"/>
  <c r="J98" i="1"/>
  <c r="K97" i="1"/>
  <c r="J97" i="1"/>
  <c r="K96" i="1"/>
  <c r="J96" i="1"/>
  <c r="K95" i="1"/>
  <c r="J95" i="1"/>
  <c r="K92" i="1"/>
  <c r="K86" i="1"/>
  <c r="J92" i="1"/>
  <c r="J86" i="1"/>
  <c r="K91" i="1"/>
  <c r="J91" i="1"/>
  <c r="K90" i="1"/>
  <c r="J90" i="1"/>
  <c r="K89" i="1"/>
  <c r="J89" i="1"/>
  <c r="K88" i="1"/>
  <c r="J88" i="1"/>
  <c r="K87" i="1"/>
  <c r="J87" i="1"/>
  <c r="K84" i="1"/>
  <c r="J84" i="1"/>
  <c r="K83" i="1"/>
  <c r="J83" i="1"/>
  <c r="K82" i="1"/>
  <c r="J82" i="1"/>
  <c r="K80" i="1"/>
  <c r="J80" i="1"/>
  <c r="J77" i="1"/>
  <c r="K79" i="1"/>
  <c r="J79" i="1"/>
  <c r="K78" i="1"/>
  <c r="J78" i="1"/>
  <c r="K75" i="1"/>
  <c r="J75" i="1"/>
  <c r="K74" i="1"/>
  <c r="J74" i="1"/>
  <c r="K73" i="1"/>
  <c r="J73" i="1"/>
  <c r="K70" i="1"/>
  <c r="J70" i="1"/>
  <c r="K69" i="1"/>
  <c r="J69" i="1"/>
  <c r="K68" i="1"/>
  <c r="K67" i="1"/>
  <c r="J68" i="1"/>
  <c r="K65" i="1"/>
  <c r="J65" i="1"/>
  <c r="K64" i="1"/>
  <c r="K63" i="1"/>
  <c r="J64" i="1"/>
  <c r="J63" i="1"/>
  <c r="K61" i="1"/>
  <c r="J61" i="1"/>
  <c r="K59" i="1"/>
  <c r="J59" i="1"/>
  <c r="J58" i="1"/>
  <c r="J52" i="1"/>
  <c r="K58" i="1"/>
  <c r="K57" i="1"/>
  <c r="J57" i="1"/>
  <c r="K56" i="1"/>
  <c r="J56" i="1"/>
  <c r="K55" i="1"/>
  <c r="J55" i="1"/>
  <c r="K54" i="1"/>
  <c r="J54" i="1"/>
  <c r="K53" i="1"/>
  <c r="K52" i="1"/>
  <c r="J53" i="1"/>
  <c r="K50" i="1"/>
  <c r="J50" i="1"/>
  <c r="K49" i="1"/>
  <c r="J49" i="1"/>
  <c r="K48" i="1"/>
  <c r="J48" i="1"/>
  <c r="K47" i="1"/>
  <c r="K46" i="1"/>
  <c r="J47" i="1"/>
  <c r="J46" i="1"/>
  <c r="K42" i="1"/>
  <c r="J42" i="1"/>
  <c r="K41" i="1"/>
  <c r="J41" i="1"/>
  <c r="K38" i="1"/>
  <c r="J38" i="1"/>
  <c r="K36" i="1"/>
  <c r="J36" i="1"/>
  <c r="K34" i="1"/>
  <c r="J34" i="1"/>
  <c r="K33" i="1"/>
  <c r="J33" i="1"/>
  <c r="K32" i="1"/>
  <c r="J32" i="1"/>
  <c r="K31" i="1"/>
  <c r="K30" i="1"/>
  <c r="J31" i="1"/>
  <c r="J30" i="1"/>
  <c r="K28" i="1"/>
  <c r="J28" i="1"/>
  <c r="K26" i="1"/>
  <c r="J26" i="1"/>
  <c r="K24" i="1"/>
  <c r="J24" i="1"/>
  <c r="K23" i="1"/>
  <c r="J23" i="1"/>
  <c r="K22" i="1"/>
  <c r="K21" i="1"/>
  <c r="J22" i="1"/>
  <c r="J21" i="1"/>
  <c r="K19" i="1"/>
  <c r="J19" i="1"/>
  <c r="K18" i="1"/>
  <c r="J18" i="1"/>
  <c r="K17" i="1"/>
  <c r="K16" i="1"/>
  <c r="K14" i="1"/>
  <c r="J17" i="1"/>
  <c r="J16" i="1"/>
  <c r="J14" i="1"/>
  <c r="M863" i="1"/>
  <c r="L863" i="1"/>
  <c r="M860" i="1"/>
  <c r="L860" i="1"/>
  <c r="M856" i="1"/>
  <c r="L856" i="1"/>
  <c r="M845" i="1"/>
  <c r="L845" i="1"/>
  <c r="M842" i="1"/>
  <c r="L842" i="1"/>
  <c r="M827" i="1"/>
  <c r="L827" i="1"/>
  <c r="M790" i="1"/>
  <c r="L790" i="1"/>
  <c r="M783" i="1"/>
  <c r="L783" i="1"/>
  <c r="M768" i="1"/>
  <c r="L768" i="1"/>
  <c r="M742" i="1"/>
  <c r="L742" i="1"/>
  <c r="M738" i="1"/>
  <c r="L738" i="1"/>
  <c r="L723" i="1"/>
  <c r="L721" i="1"/>
  <c r="M728" i="1"/>
  <c r="L728" i="1"/>
  <c r="M725" i="1"/>
  <c r="L725" i="1"/>
  <c r="M718" i="1"/>
  <c r="L718" i="1"/>
  <c r="M711" i="1"/>
  <c r="M691" i="1"/>
  <c r="L711" i="1"/>
  <c r="L691" i="1"/>
  <c r="M705" i="1"/>
  <c r="L705" i="1"/>
  <c r="M702" i="1"/>
  <c r="L702" i="1"/>
  <c r="M699" i="1"/>
  <c r="L699" i="1"/>
  <c r="M696" i="1"/>
  <c r="L696" i="1"/>
  <c r="M693" i="1"/>
  <c r="L693" i="1"/>
  <c r="M685" i="1"/>
  <c r="L685" i="1"/>
  <c r="M681" i="1"/>
  <c r="L681" i="1"/>
  <c r="M669" i="1"/>
  <c r="M664" i="1"/>
  <c r="M662" i="1"/>
  <c r="L669" i="1"/>
  <c r="L664" i="1"/>
  <c r="M666" i="1"/>
  <c r="L666" i="1"/>
  <c r="M655" i="1"/>
  <c r="L655" i="1"/>
  <c r="M645" i="1"/>
  <c r="L645" i="1"/>
  <c r="M637" i="1"/>
  <c r="L637" i="1"/>
  <c r="M634" i="1"/>
  <c r="L634" i="1"/>
  <c r="M632" i="1"/>
  <c r="M630" i="1"/>
  <c r="M628" i="1"/>
  <c r="L632" i="1"/>
  <c r="L630" i="1"/>
  <c r="L628" i="1"/>
  <c r="M625" i="1"/>
  <c r="L625" i="1"/>
  <c r="M621" i="1"/>
  <c r="L621" i="1"/>
  <c r="L619" i="1"/>
  <c r="M616" i="1"/>
  <c r="L616" i="1"/>
  <c r="M613" i="1"/>
  <c r="L613" i="1"/>
  <c r="M611" i="1"/>
  <c r="L611" i="1"/>
  <c r="M606" i="1"/>
  <c r="L606" i="1"/>
  <c r="M600" i="1"/>
  <c r="L600" i="1"/>
  <c r="M592" i="1"/>
  <c r="L592" i="1"/>
  <c r="M585" i="1"/>
  <c r="L585" i="1"/>
  <c r="M581" i="1"/>
  <c r="M579" i="1"/>
  <c r="M577" i="1"/>
  <c r="L581" i="1"/>
  <c r="L579" i="1"/>
  <c r="L577" i="1"/>
  <c r="M571" i="1"/>
  <c r="M569" i="1"/>
  <c r="M567" i="1"/>
  <c r="L571" i="1"/>
  <c r="L569" i="1"/>
  <c r="L567" i="1"/>
  <c r="M563" i="1"/>
  <c r="L563" i="1"/>
  <c r="M558" i="1"/>
  <c r="L558" i="1"/>
  <c r="M555" i="1"/>
  <c r="L555" i="1"/>
  <c r="M549" i="1"/>
  <c r="L549" i="1"/>
  <c r="M543" i="1"/>
  <c r="L543" i="1"/>
  <c r="M541" i="1"/>
  <c r="L541" i="1"/>
  <c r="M535" i="1"/>
  <c r="L535" i="1"/>
  <c r="M532" i="1"/>
  <c r="L532" i="1"/>
  <c r="M530" i="1"/>
  <c r="L530" i="1"/>
  <c r="M526" i="1"/>
  <c r="L526" i="1"/>
  <c r="M507" i="1"/>
  <c r="L507" i="1"/>
  <c r="M505" i="1"/>
  <c r="L505" i="1"/>
  <c r="M500" i="1"/>
  <c r="L500" i="1"/>
  <c r="M488" i="1"/>
  <c r="L488" i="1"/>
  <c r="M482" i="1"/>
  <c r="L482" i="1"/>
  <c r="M472" i="1"/>
  <c r="L472" i="1"/>
  <c r="M464" i="1"/>
  <c r="L464" i="1"/>
  <c r="M458" i="1"/>
  <c r="L458" i="1"/>
  <c r="M451" i="1"/>
  <c r="L451" i="1"/>
  <c r="M444" i="1"/>
  <c r="L444" i="1"/>
  <c r="M439" i="1"/>
  <c r="L439" i="1"/>
  <c r="M437" i="1"/>
  <c r="L437" i="1"/>
  <c r="M427" i="1"/>
  <c r="L427" i="1"/>
  <c r="M419" i="1"/>
  <c r="L419" i="1"/>
  <c r="M416" i="1"/>
  <c r="L416" i="1"/>
  <c r="M411" i="1"/>
  <c r="L411" i="1"/>
  <c r="M406" i="1"/>
  <c r="L406" i="1"/>
  <c r="M401" i="1"/>
  <c r="L401" i="1"/>
  <c r="M397" i="1"/>
  <c r="L397" i="1"/>
  <c r="M386" i="1"/>
  <c r="L386" i="1"/>
  <c r="M380" i="1"/>
  <c r="L380" i="1"/>
  <c r="M378" i="1"/>
  <c r="M364" i="1"/>
  <c r="L378" i="1"/>
  <c r="M375" i="1"/>
  <c r="L375" i="1"/>
  <c r="M368" i="1"/>
  <c r="M366" i="1"/>
  <c r="L368" i="1"/>
  <c r="L366" i="1"/>
  <c r="L364" i="1"/>
  <c r="M361" i="1"/>
  <c r="L361" i="1"/>
  <c r="M358" i="1"/>
  <c r="L358" i="1"/>
  <c r="M354" i="1"/>
  <c r="L354" i="1"/>
  <c r="M349" i="1"/>
  <c r="M347" i="1"/>
  <c r="L349" i="1"/>
  <c r="L347" i="1"/>
  <c r="M329" i="1"/>
  <c r="L329" i="1"/>
  <c r="M326" i="1"/>
  <c r="L326" i="1"/>
  <c r="M322" i="1"/>
  <c r="L322" i="1"/>
  <c r="M319" i="1"/>
  <c r="L319" i="1"/>
  <c r="M316" i="1"/>
  <c r="L316" i="1"/>
  <c r="M313" i="1"/>
  <c r="L313" i="1"/>
  <c r="M310" i="1"/>
  <c r="M308" i="1"/>
  <c r="L310" i="1"/>
  <c r="M305" i="1"/>
  <c r="L305" i="1"/>
  <c r="M302" i="1"/>
  <c r="L302" i="1"/>
  <c r="M298" i="1"/>
  <c r="L298" i="1"/>
  <c r="M293" i="1"/>
  <c r="L293" i="1"/>
  <c r="M288" i="1"/>
  <c r="L288" i="1"/>
  <c r="M279" i="1"/>
  <c r="L279" i="1"/>
  <c r="M275" i="1"/>
  <c r="L275" i="1"/>
  <c r="M267" i="1"/>
  <c r="L267" i="1"/>
  <c r="M259" i="1"/>
  <c r="L259" i="1"/>
  <c r="M251" i="1"/>
  <c r="L251" i="1"/>
  <c r="M246" i="1"/>
  <c r="M244" i="1"/>
  <c r="L246" i="1"/>
  <c r="L244" i="1"/>
  <c r="M238" i="1"/>
  <c r="L238" i="1"/>
  <c r="M237" i="1"/>
  <c r="M236" i="1"/>
  <c r="L237" i="1"/>
  <c r="L236" i="1"/>
  <c r="M234" i="1"/>
  <c r="L234" i="1"/>
  <c r="M233" i="1"/>
  <c r="L233" i="1"/>
  <c r="M231" i="1"/>
  <c r="M230" i="1"/>
  <c r="L231" i="1"/>
  <c r="L230" i="1"/>
  <c r="M228" i="1"/>
  <c r="M227" i="1"/>
  <c r="L228" i="1"/>
  <c r="L227" i="1"/>
  <c r="M225" i="1"/>
  <c r="M224" i="1"/>
  <c r="L225" i="1"/>
  <c r="L224" i="1"/>
  <c r="M222" i="1"/>
  <c r="L222" i="1"/>
  <c r="M221" i="1"/>
  <c r="L221" i="1"/>
  <c r="L220" i="1"/>
  <c r="L218" i="1"/>
  <c r="M220" i="1"/>
  <c r="M219" i="1"/>
  <c r="L219" i="1"/>
  <c r="M218" i="1"/>
  <c r="M216" i="1"/>
  <c r="L216" i="1"/>
  <c r="M215" i="1"/>
  <c r="L215" i="1"/>
  <c r="M214" i="1"/>
  <c r="L214" i="1"/>
  <c r="M213" i="1"/>
  <c r="M212" i="1"/>
  <c r="L213" i="1"/>
  <c r="L212" i="1"/>
  <c r="M205" i="1"/>
  <c r="L205" i="1"/>
  <c r="M204" i="1"/>
  <c r="L204" i="1"/>
  <c r="M202" i="1"/>
  <c r="L202" i="1"/>
  <c r="M201" i="1"/>
  <c r="M199" i="1"/>
  <c r="L201" i="1"/>
  <c r="L199" i="1"/>
  <c r="M197" i="1"/>
  <c r="L197" i="1"/>
  <c r="M196" i="1"/>
  <c r="L196" i="1"/>
  <c r="M195" i="1"/>
  <c r="L195" i="1"/>
  <c r="M193" i="1"/>
  <c r="L193" i="1"/>
  <c r="M191" i="1"/>
  <c r="L191" i="1"/>
  <c r="M189" i="1"/>
  <c r="L189" i="1"/>
  <c r="M187" i="1"/>
  <c r="L187" i="1"/>
  <c r="M185" i="1"/>
  <c r="L185" i="1"/>
  <c r="M184" i="1"/>
  <c r="L184" i="1"/>
  <c r="M182" i="1"/>
  <c r="L182" i="1"/>
  <c r="M180" i="1"/>
  <c r="M179" i="1"/>
  <c r="L180" i="1"/>
  <c r="L179" i="1"/>
  <c r="M177" i="1"/>
  <c r="L177" i="1"/>
  <c r="M176" i="1"/>
  <c r="L176" i="1"/>
  <c r="M175" i="1"/>
  <c r="M174" i="1"/>
  <c r="L175" i="1"/>
  <c r="L174" i="1"/>
  <c r="L172" i="1"/>
  <c r="M170" i="1"/>
  <c r="L170" i="1"/>
  <c r="M169" i="1"/>
  <c r="L169" i="1"/>
  <c r="M168" i="1"/>
  <c r="L168" i="1"/>
  <c r="M165" i="1"/>
  <c r="L165" i="1"/>
  <c r="M163" i="1"/>
  <c r="L163" i="1"/>
  <c r="M162" i="1"/>
  <c r="L162" i="1"/>
  <c r="M161" i="1"/>
  <c r="L161" i="1"/>
  <c r="M160" i="1"/>
  <c r="L160" i="1"/>
  <c r="M159" i="1"/>
  <c r="L159" i="1"/>
  <c r="M158" i="1"/>
  <c r="L158" i="1"/>
  <c r="M157" i="1"/>
  <c r="L157" i="1"/>
  <c r="M156" i="1"/>
  <c r="L156" i="1"/>
  <c r="M153" i="1"/>
  <c r="M149" i="1"/>
  <c r="L153" i="1"/>
  <c r="L149" i="1"/>
  <c r="M152" i="1"/>
  <c r="L152" i="1"/>
  <c r="M151" i="1"/>
  <c r="L151" i="1"/>
  <c r="M150" i="1"/>
  <c r="L150" i="1"/>
  <c r="M147" i="1"/>
  <c r="M140" i="1"/>
  <c r="M141" i="1"/>
  <c r="M142" i="1"/>
  <c r="M143" i="1"/>
  <c r="M144" i="1"/>
  <c r="M145" i="1"/>
  <c r="M146" i="1"/>
  <c r="M139" i="1"/>
  <c r="L147" i="1"/>
  <c r="L140" i="1"/>
  <c r="L141" i="1"/>
  <c r="L142" i="1"/>
  <c r="L143" i="1"/>
  <c r="L144" i="1"/>
  <c r="L145" i="1"/>
  <c r="L146" i="1"/>
  <c r="L139" i="1"/>
  <c r="M137" i="1"/>
  <c r="L137" i="1"/>
  <c r="M134" i="1"/>
  <c r="L134" i="1"/>
  <c r="M133" i="1"/>
  <c r="L133" i="1"/>
  <c r="M132" i="1"/>
  <c r="M131" i="1"/>
  <c r="L132" i="1"/>
  <c r="L131" i="1"/>
  <c r="M129" i="1"/>
  <c r="L129" i="1"/>
  <c r="M128" i="1"/>
  <c r="L128" i="1"/>
  <c r="M127" i="1"/>
  <c r="L127" i="1"/>
  <c r="M126" i="1"/>
  <c r="L126" i="1"/>
  <c r="M125" i="1"/>
  <c r="L125" i="1"/>
  <c r="M123" i="1"/>
  <c r="L123" i="1"/>
  <c r="M122" i="1"/>
  <c r="L122" i="1"/>
  <c r="M121" i="1"/>
  <c r="L121" i="1"/>
  <c r="M120" i="1"/>
  <c r="L120" i="1"/>
  <c r="M119" i="1"/>
  <c r="L119" i="1"/>
  <c r="M118" i="1"/>
  <c r="L118" i="1"/>
  <c r="M116" i="1"/>
  <c r="L116" i="1"/>
  <c r="M115" i="1"/>
  <c r="L115" i="1"/>
  <c r="M114" i="1"/>
  <c r="L114" i="1"/>
  <c r="M113" i="1"/>
  <c r="L113" i="1"/>
  <c r="M112" i="1"/>
  <c r="M111" i="1"/>
  <c r="L112" i="1"/>
  <c r="L111" i="1"/>
  <c r="M109" i="1"/>
  <c r="L109" i="1"/>
  <c r="M108" i="1"/>
  <c r="L108" i="1"/>
  <c r="M107" i="1"/>
  <c r="M106" i="1"/>
  <c r="L107" i="1"/>
  <c r="L106" i="1"/>
  <c r="M102" i="1"/>
  <c r="L102" i="1"/>
  <c r="M101" i="1"/>
  <c r="L101" i="1"/>
  <c r="M100" i="1"/>
  <c r="L100" i="1"/>
  <c r="M99" i="1"/>
  <c r="L99" i="1"/>
  <c r="M98" i="1"/>
  <c r="L98" i="1"/>
  <c r="M97" i="1"/>
  <c r="L97" i="1"/>
  <c r="M96" i="1"/>
  <c r="L96" i="1"/>
  <c r="M95" i="1"/>
  <c r="L95" i="1"/>
  <c r="L94" i="1"/>
  <c r="M92" i="1"/>
  <c r="M86" i="1"/>
  <c r="L92" i="1"/>
  <c r="L86" i="1"/>
  <c r="M91" i="1"/>
  <c r="L91" i="1"/>
  <c r="M90" i="1"/>
  <c r="L90" i="1"/>
  <c r="M89" i="1"/>
  <c r="L89" i="1"/>
  <c r="M88" i="1"/>
  <c r="L88" i="1"/>
  <c r="M87" i="1"/>
  <c r="L87" i="1"/>
  <c r="M84" i="1"/>
  <c r="L84" i="1"/>
  <c r="M83" i="1"/>
  <c r="L83" i="1"/>
  <c r="M82" i="1"/>
  <c r="L82" i="1"/>
  <c r="M80" i="1"/>
  <c r="L80" i="1"/>
  <c r="M79" i="1"/>
  <c r="L79" i="1"/>
  <c r="L77" i="1"/>
  <c r="M78" i="1"/>
  <c r="L78" i="1"/>
  <c r="M75" i="1"/>
  <c r="L75" i="1"/>
  <c r="M74" i="1"/>
  <c r="L74" i="1"/>
  <c r="M73" i="1"/>
  <c r="M72" i="1"/>
  <c r="L73" i="1"/>
  <c r="L72" i="1"/>
  <c r="M70" i="1"/>
  <c r="L70" i="1"/>
  <c r="L67" i="1"/>
  <c r="M69" i="1"/>
  <c r="L69" i="1"/>
  <c r="M68" i="1"/>
  <c r="L68" i="1"/>
  <c r="M65" i="1"/>
  <c r="L65" i="1"/>
  <c r="M64" i="1"/>
  <c r="M63" i="1"/>
  <c r="L64" i="1"/>
  <c r="L63" i="1"/>
  <c r="M61" i="1"/>
  <c r="L61" i="1"/>
  <c r="M59" i="1"/>
  <c r="L59" i="1"/>
  <c r="M58" i="1"/>
  <c r="L58" i="1"/>
  <c r="M57" i="1"/>
  <c r="L57" i="1"/>
  <c r="M56" i="1"/>
  <c r="L56" i="1"/>
  <c r="M55" i="1"/>
  <c r="L55" i="1"/>
  <c r="M54" i="1"/>
  <c r="L54" i="1"/>
  <c r="M53" i="1"/>
  <c r="M52" i="1"/>
  <c r="L53" i="1"/>
  <c r="L52" i="1"/>
  <c r="M50" i="1"/>
  <c r="L50" i="1"/>
  <c r="M49" i="1"/>
  <c r="L49" i="1"/>
  <c r="M48" i="1"/>
  <c r="L48" i="1"/>
  <c r="M47" i="1"/>
  <c r="M46" i="1"/>
  <c r="L47" i="1"/>
  <c r="L46" i="1"/>
  <c r="M42" i="1"/>
  <c r="L42" i="1"/>
  <c r="M41" i="1"/>
  <c r="L41" i="1"/>
  <c r="M36" i="1"/>
  <c r="L36" i="1"/>
  <c r="M34" i="1"/>
  <c r="L34" i="1"/>
  <c r="M33" i="1"/>
  <c r="L33" i="1"/>
  <c r="M32" i="1"/>
  <c r="L32" i="1"/>
  <c r="M31" i="1"/>
  <c r="M30" i="1"/>
  <c r="L31" i="1"/>
  <c r="L30" i="1"/>
  <c r="M28" i="1"/>
  <c r="L28" i="1"/>
  <c r="M26" i="1"/>
  <c r="L26" i="1"/>
  <c r="M24" i="1"/>
  <c r="L24" i="1"/>
  <c r="M23" i="1"/>
  <c r="L23" i="1"/>
  <c r="M22" i="1"/>
  <c r="M21" i="1"/>
  <c r="L22" i="1"/>
  <c r="L21" i="1"/>
  <c r="M19" i="1"/>
  <c r="L19" i="1"/>
  <c r="M18" i="1"/>
  <c r="L18" i="1"/>
  <c r="M17" i="1"/>
  <c r="M16" i="1"/>
  <c r="M14" i="1"/>
  <c r="L17" i="1"/>
  <c r="L16" i="1"/>
  <c r="L14" i="1"/>
  <c r="O863" i="1"/>
  <c r="N863" i="1"/>
  <c r="O860" i="1"/>
  <c r="N860" i="1"/>
  <c r="O856" i="1"/>
  <c r="N856" i="1"/>
  <c r="O845" i="1"/>
  <c r="N845" i="1"/>
  <c r="O842" i="1"/>
  <c r="N842" i="1"/>
  <c r="O827" i="1"/>
  <c r="N827" i="1"/>
  <c r="O790" i="1"/>
  <c r="N790" i="1"/>
  <c r="O783" i="1"/>
  <c r="N783" i="1"/>
  <c r="O768" i="1"/>
  <c r="N768" i="1"/>
  <c r="O742" i="1"/>
  <c r="N742" i="1"/>
  <c r="O738" i="1"/>
  <c r="N738" i="1"/>
  <c r="O728" i="1"/>
  <c r="N728" i="1"/>
  <c r="O725" i="1"/>
  <c r="N725" i="1"/>
  <c r="O723" i="1"/>
  <c r="O721" i="1"/>
  <c r="N723" i="1"/>
  <c r="N721" i="1"/>
  <c r="O718" i="1"/>
  <c r="N718" i="1"/>
  <c r="O711" i="1"/>
  <c r="N711" i="1"/>
  <c r="N691" i="1"/>
  <c r="O705" i="1"/>
  <c r="N705" i="1"/>
  <c r="O702" i="1"/>
  <c r="N702" i="1"/>
  <c r="O699" i="1"/>
  <c r="N699" i="1"/>
  <c r="O696" i="1"/>
  <c r="N696" i="1"/>
  <c r="O693" i="1"/>
  <c r="N693" i="1"/>
  <c r="O685" i="1"/>
  <c r="N685" i="1"/>
  <c r="O681" i="1"/>
  <c r="N681" i="1"/>
  <c r="O669" i="1"/>
  <c r="O664" i="1"/>
  <c r="O662" i="1"/>
  <c r="O691" i="1"/>
  <c r="N669" i="1"/>
  <c r="N664" i="1"/>
  <c r="O666" i="1"/>
  <c r="N666" i="1"/>
  <c r="O655" i="1"/>
  <c r="N655" i="1"/>
  <c r="O645" i="1"/>
  <c r="N645" i="1"/>
  <c r="O637" i="1"/>
  <c r="N637" i="1"/>
  <c r="O634" i="1"/>
  <c r="N634" i="1"/>
  <c r="O632" i="1"/>
  <c r="O630" i="1"/>
  <c r="O628" i="1"/>
  <c r="N632" i="1"/>
  <c r="N630" i="1"/>
  <c r="N628" i="1"/>
  <c r="O625" i="1"/>
  <c r="N625" i="1"/>
  <c r="O621" i="1"/>
  <c r="N621" i="1"/>
  <c r="O616" i="1"/>
  <c r="N616" i="1"/>
  <c r="O613" i="1"/>
  <c r="N613" i="1"/>
  <c r="O611" i="1"/>
  <c r="N611" i="1"/>
  <c r="O606" i="1"/>
  <c r="N606" i="1"/>
  <c r="O600" i="1"/>
  <c r="N600" i="1"/>
  <c r="O592" i="1"/>
  <c r="N592" i="1"/>
  <c r="O585" i="1"/>
  <c r="N585" i="1"/>
  <c r="O581" i="1"/>
  <c r="O579" i="1"/>
  <c r="O577" i="1"/>
  <c r="N581" i="1"/>
  <c r="N579" i="1"/>
  <c r="N577" i="1"/>
  <c r="O571" i="1"/>
  <c r="O569" i="1"/>
  <c r="O567" i="1"/>
  <c r="N571" i="1"/>
  <c r="N569" i="1"/>
  <c r="N567" i="1"/>
  <c r="O563" i="1"/>
  <c r="N563" i="1"/>
  <c r="O558" i="1"/>
  <c r="N558" i="1"/>
  <c r="O555" i="1"/>
  <c r="O541" i="1"/>
  <c r="N555" i="1"/>
  <c r="N541" i="1"/>
  <c r="O549" i="1"/>
  <c r="N549" i="1"/>
  <c r="O543" i="1"/>
  <c r="N543" i="1"/>
  <c r="O535" i="1"/>
  <c r="N535" i="1"/>
  <c r="O532" i="1"/>
  <c r="N532" i="1"/>
  <c r="O530" i="1"/>
  <c r="N530" i="1"/>
  <c r="O526" i="1"/>
  <c r="N526" i="1"/>
  <c r="O507" i="1"/>
  <c r="N507" i="1"/>
  <c r="O505" i="1"/>
  <c r="N505" i="1"/>
  <c r="O500" i="1"/>
  <c r="N500" i="1"/>
  <c r="O488" i="1"/>
  <c r="N488" i="1"/>
  <c r="O482" i="1"/>
  <c r="N482" i="1"/>
  <c r="O472" i="1"/>
  <c r="N472" i="1"/>
  <c r="O464" i="1"/>
  <c r="N464" i="1"/>
  <c r="O458" i="1"/>
  <c r="N458" i="1"/>
  <c r="O451" i="1"/>
  <c r="N451" i="1"/>
  <c r="O444" i="1"/>
  <c r="N444" i="1"/>
  <c r="O439" i="1"/>
  <c r="N439" i="1"/>
  <c r="O437" i="1"/>
  <c r="N437" i="1"/>
  <c r="O427" i="1"/>
  <c r="N427" i="1"/>
  <c r="O419" i="1"/>
  <c r="N419" i="1"/>
  <c r="O416" i="1"/>
  <c r="N416" i="1"/>
  <c r="O411" i="1"/>
  <c r="N411" i="1"/>
  <c r="O406" i="1"/>
  <c r="N406" i="1"/>
  <c r="O401" i="1"/>
  <c r="N401" i="1"/>
  <c r="O397" i="1"/>
  <c r="N397" i="1"/>
  <c r="O386" i="1"/>
  <c r="N386" i="1"/>
  <c r="O380" i="1"/>
  <c r="N380" i="1"/>
  <c r="O378" i="1"/>
  <c r="N378" i="1"/>
  <c r="O375" i="1"/>
  <c r="N375" i="1"/>
  <c r="O368" i="1"/>
  <c r="O366" i="1"/>
  <c r="N368" i="1"/>
  <c r="N366" i="1"/>
  <c r="O361" i="1"/>
  <c r="N361" i="1"/>
  <c r="O358" i="1"/>
  <c r="N358" i="1"/>
  <c r="O354" i="1"/>
  <c r="N354" i="1"/>
  <c r="O349" i="1"/>
  <c r="N349" i="1"/>
  <c r="N347" i="1"/>
  <c r="O329" i="1"/>
  <c r="N329" i="1"/>
  <c r="O326" i="1"/>
  <c r="N326" i="1"/>
  <c r="O322" i="1"/>
  <c r="N322" i="1"/>
  <c r="O319" i="1"/>
  <c r="N319" i="1"/>
  <c r="O316" i="1"/>
  <c r="N316" i="1"/>
  <c r="O313" i="1"/>
  <c r="N313" i="1"/>
  <c r="O310" i="1"/>
  <c r="N310" i="1"/>
  <c r="O305" i="1"/>
  <c r="N305" i="1"/>
  <c r="O302" i="1"/>
  <c r="N302" i="1"/>
  <c r="O298" i="1"/>
  <c r="N298" i="1"/>
  <c r="O293" i="1"/>
  <c r="N293" i="1"/>
  <c r="O288" i="1"/>
  <c r="N288" i="1"/>
  <c r="O279" i="1"/>
  <c r="N279" i="1"/>
  <c r="O275" i="1"/>
  <c r="N275" i="1"/>
  <c r="O267" i="1"/>
  <c r="N267" i="1"/>
  <c r="O259" i="1"/>
  <c r="N259" i="1"/>
  <c r="O251" i="1"/>
  <c r="N251" i="1"/>
  <c r="O246" i="1"/>
  <c r="O244" i="1"/>
  <c r="N246" i="1"/>
  <c r="N244" i="1"/>
  <c r="O238" i="1"/>
  <c r="N238" i="1"/>
  <c r="O237" i="1"/>
  <c r="N237" i="1"/>
  <c r="N236" i="1"/>
  <c r="O234" i="1"/>
  <c r="N234" i="1"/>
  <c r="O233" i="1"/>
  <c r="N233" i="1"/>
  <c r="O231" i="1"/>
  <c r="O230" i="1"/>
  <c r="N231" i="1"/>
  <c r="N230" i="1"/>
  <c r="O228" i="1"/>
  <c r="O227" i="1"/>
  <c r="N228" i="1"/>
  <c r="N227" i="1"/>
  <c r="O225" i="1"/>
  <c r="O224" i="1"/>
  <c r="N225" i="1"/>
  <c r="N224" i="1"/>
  <c r="O222" i="1"/>
  <c r="N222" i="1"/>
  <c r="O221" i="1"/>
  <c r="N221" i="1"/>
  <c r="O220" i="1"/>
  <c r="O218" i="1"/>
  <c r="N220" i="1"/>
  <c r="O219" i="1"/>
  <c r="N219" i="1"/>
  <c r="N218" i="1"/>
  <c r="O216" i="1"/>
  <c r="N216" i="1"/>
  <c r="O215" i="1"/>
  <c r="N215" i="1"/>
  <c r="O214" i="1"/>
  <c r="N214" i="1"/>
  <c r="O213" i="1"/>
  <c r="O212" i="1"/>
  <c r="N213" i="1"/>
  <c r="N212" i="1"/>
  <c r="O205" i="1"/>
  <c r="N205" i="1"/>
  <c r="O204" i="1"/>
  <c r="N204" i="1"/>
  <c r="O202" i="1"/>
  <c r="N202" i="1"/>
  <c r="N201" i="1"/>
  <c r="N199" i="1"/>
  <c r="O201" i="1"/>
  <c r="O199" i="1"/>
  <c r="O197" i="1"/>
  <c r="O196" i="1"/>
  <c r="O195" i="1"/>
  <c r="O172" i="1"/>
  <c r="N197" i="1"/>
  <c r="N196" i="1"/>
  <c r="N195" i="1"/>
  <c r="N172" i="1"/>
  <c r="O193" i="1"/>
  <c r="N193" i="1"/>
  <c r="O191" i="1"/>
  <c r="N191" i="1"/>
  <c r="O189" i="1"/>
  <c r="N189" i="1"/>
  <c r="O187" i="1"/>
  <c r="N187" i="1"/>
  <c r="O185" i="1"/>
  <c r="N185" i="1"/>
  <c r="O184" i="1"/>
  <c r="N184" i="1"/>
  <c r="O182" i="1"/>
  <c r="N182" i="1"/>
  <c r="O180" i="1"/>
  <c r="O179" i="1"/>
  <c r="N180" i="1"/>
  <c r="N179" i="1"/>
  <c r="O177" i="1"/>
  <c r="N177" i="1"/>
  <c r="O176" i="1"/>
  <c r="N176" i="1"/>
  <c r="O175" i="1"/>
  <c r="O174" i="1"/>
  <c r="N175" i="1"/>
  <c r="N174" i="1"/>
  <c r="O170" i="1"/>
  <c r="N170" i="1"/>
  <c r="O169" i="1"/>
  <c r="N169" i="1"/>
  <c r="O168" i="1"/>
  <c r="N168" i="1"/>
  <c r="O165" i="1"/>
  <c r="N165" i="1"/>
  <c r="O163" i="1"/>
  <c r="N163" i="1"/>
  <c r="O162" i="1"/>
  <c r="N162" i="1"/>
  <c r="O161" i="1"/>
  <c r="N161" i="1"/>
  <c r="O160" i="1"/>
  <c r="N160" i="1"/>
  <c r="N155" i="1"/>
  <c r="O159" i="1"/>
  <c r="N159" i="1"/>
  <c r="O158" i="1"/>
  <c r="N158" i="1"/>
  <c r="O157" i="1"/>
  <c r="N157" i="1"/>
  <c r="O156" i="1"/>
  <c r="N156" i="1"/>
  <c r="O155" i="1"/>
  <c r="O153" i="1"/>
  <c r="N153" i="1"/>
  <c r="O152" i="1"/>
  <c r="N152" i="1"/>
  <c r="O151" i="1"/>
  <c r="N151" i="1"/>
  <c r="O150" i="1"/>
  <c r="O149" i="1"/>
  <c r="N150" i="1"/>
  <c r="N149" i="1"/>
  <c r="O147" i="1"/>
  <c r="O140" i="1"/>
  <c r="O141" i="1"/>
  <c r="O142" i="1"/>
  <c r="O143" i="1"/>
  <c r="O144" i="1"/>
  <c r="O145" i="1"/>
  <c r="O146" i="1"/>
  <c r="O139" i="1"/>
  <c r="N147" i="1"/>
  <c r="N146" i="1"/>
  <c r="N145" i="1"/>
  <c r="N144" i="1"/>
  <c r="N143" i="1"/>
  <c r="N142" i="1"/>
  <c r="N141" i="1"/>
  <c r="N140" i="1"/>
  <c r="O137" i="1"/>
  <c r="N137" i="1"/>
  <c r="O134" i="1"/>
  <c r="N134" i="1"/>
  <c r="O133" i="1"/>
  <c r="N133" i="1"/>
  <c r="O132" i="1"/>
  <c r="O131" i="1"/>
  <c r="N132" i="1"/>
  <c r="N131" i="1"/>
  <c r="O129" i="1"/>
  <c r="N129" i="1"/>
  <c r="O128" i="1"/>
  <c r="N128" i="1"/>
  <c r="O127" i="1"/>
  <c r="N127" i="1"/>
  <c r="O126" i="1"/>
  <c r="N126" i="1"/>
  <c r="O125" i="1"/>
  <c r="N125" i="1"/>
  <c r="O123" i="1"/>
  <c r="N123" i="1"/>
  <c r="O122" i="1"/>
  <c r="N122" i="1"/>
  <c r="O121" i="1"/>
  <c r="N121" i="1"/>
  <c r="O120" i="1"/>
  <c r="N120" i="1"/>
  <c r="O119" i="1"/>
  <c r="N119" i="1"/>
  <c r="O118" i="1"/>
  <c r="N118" i="1"/>
  <c r="O116" i="1"/>
  <c r="N116" i="1"/>
  <c r="O115" i="1"/>
  <c r="N115" i="1"/>
  <c r="O114" i="1"/>
  <c r="N114" i="1"/>
  <c r="O113" i="1"/>
  <c r="N113" i="1"/>
  <c r="O112" i="1"/>
  <c r="N112" i="1"/>
  <c r="O111" i="1"/>
  <c r="N111" i="1"/>
  <c r="O109" i="1"/>
  <c r="N109" i="1"/>
  <c r="O108" i="1"/>
  <c r="N108" i="1"/>
  <c r="O107" i="1"/>
  <c r="O106" i="1"/>
  <c r="N107" i="1"/>
  <c r="N106" i="1"/>
  <c r="O102" i="1"/>
  <c r="N102" i="1"/>
  <c r="O101" i="1"/>
  <c r="N101" i="1"/>
  <c r="O100" i="1"/>
  <c r="N100" i="1"/>
  <c r="O99" i="1"/>
  <c r="N99" i="1"/>
  <c r="O98" i="1"/>
  <c r="N98" i="1"/>
  <c r="O97" i="1"/>
  <c r="N97" i="1"/>
  <c r="O96" i="1"/>
  <c r="N96" i="1"/>
  <c r="O95" i="1"/>
  <c r="N95" i="1"/>
  <c r="N94" i="1"/>
  <c r="O92" i="1"/>
  <c r="N92" i="1"/>
  <c r="O91" i="1"/>
  <c r="N91" i="1"/>
  <c r="O90" i="1"/>
  <c r="N90" i="1"/>
  <c r="O89" i="1"/>
  <c r="N89" i="1"/>
  <c r="O88" i="1"/>
  <c r="N88" i="1"/>
  <c r="O87" i="1"/>
  <c r="O86" i="1"/>
  <c r="N87" i="1"/>
  <c r="N86" i="1"/>
  <c r="O84" i="1"/>
  <c r="N84" i="1"/>
  <c r="O83" i="1"/>
  <c r="N83" i="1"/>
  <c r="O82" i="1"/>
  <c r="N82" i="1"/>
  <c r="O80" i="1"/>
  <c r="N80" i="1"/>
  <c r="N77" i="1"/>
  <c r="O79" i="1"/>
  <c r="N79" i="1"/>
  <c r="O78" i="1"/>
  <c r="N78" i="1"/>
  <c r="O77" i="1"/>
  <c r="O75" i="1"/>
  <c r="N75" i="1"/>
  <c r="O74" i="1"/>
  <c r="N74" i="1"/>
  <c r="O73" i="1"/>
  <c r="N73" i="1"/>
  <c r="O70" i="1"/>
  <c r="N70" i="1"/>
  <c r="O69" i="1"/>
  <c r="N69" i="1"/>
  <c r="O68" i="1"/>
  <c r="O67" i="1"/>
  <c r="N68" i="1"/>
  <c r="O65" i="1"/>
  <c r="N65" i="1"/>
  <c r="O64" i="1"/>
  <c r="O63" i="1"/>
  <c r="N64" i="1"/>
  <c r="N63" i="1"/>
  <c r="O61" i="1"/>
  <c r="N61" i="1"/>
  <c r="O59" i="1"/>
  <c r="N59" i="1"/>
  <c r="N58" i="1"/>
  <c r="N52" i="1"/>
  <c r="O58" i="1"/>
  <c r="O57" i="1"/>
  <c r="N57" i="1"/>
  <c r="O56" i="1"/>
  <c r="N56" i="1"/>
  <c r="O55" i="1"/>
  <c r="N55" i="1"/>
  <c r="O54" i="1"/>
  <c r="N54" i="1"/>
  <c r="O53" i="1"/>
  <c r="O52" i="1"/>
  <c r="N53" i="1"/>
  <c r="O50" i="1"/>
  <c r="N50" i="1"/>
  <c r="O49" i="1"/>
  <c r="N49" i="1"/>
  <c r="O48" i="1"/>
  <c r="N48" i="1"/>
  <c r="O47" i="1"/>
  <c r="O46" i="1"/>
  <c r="N47" i="1"/>
  <c r="N46" i="1"/>
  <c r="O42" i="1"/>
  <c r="N42" i="1"/>
  <c r="O41" i="1"/>
  <c r="N41" i="1"/>
  <c r="O38" i="1"/>
  <c r="O36" i="1"/>
  <c r="N36" i="1"/>
  <c r="O34" i="1"/>
  <c r="N34" i="1"/>
  <c r="O33" i="1"/>
  <c r="N33" i="1"/>
  <c r="O32" i="1"/>
  <c r="N32" i="1"/>
  <c r="O31" i="1"/>
  <c r="O30" i="1"/>
  <c r="N31" i="1"/>
  <c r="N30" i="1"/>
  <c r="O28" i="1"/>
  <c r="N28" i="1"/>
  <c r="O26" i="1"/>
  <c r="N26" i="1"/>
  <c r="O24" i="1"/>
  <c r="N24" i="1"/>
  <c r="O23" i="1"/>
  <c r="N23" i="1"/>
  <c r="O22" i="1"/>
  <c r="O21" i="1"/>
  <c r="N22" i="1"/>
  <c r="N21" i="1"/>
  <c r="O19" i="1"/>
  <c r="N19" i="1"/>
  <c r="O18" i="1"/>
  <c r="N18" i="1"/>
  <c r="O17" i="1"/>
  <c r="O16" i="1"/>
  <c r="O14" i="1"/>
  <c r="N17" i="1"/>
  <c r="N16" i="1"/>
  <c r="N14" i="1"/>
  <c r="Q863" i="1"/>
  <c r="P863" i="1"/>
  <c r="Q860" i="1"/>
  <c r="P860" i="1"/>
  <c r="Q856" i="1"/>
  <c r="P856" i="1"/>
  <c r="Q845" i="1"/>
  <c r="P845" i="1"/>
  <c r="Q842" i="1"/>
  <c r="P842" i="1"/>
  <c r="Q827" i="1"/>
  <c r="P827" i="1"/>
  <c r="Q790" i="1"/>
  <c r="P790" i="1"/>
  <c r="Q783" i="1"/>
  <c r="P783" i="1"/>
  <c r="Q768" i="1"/>
  <c r="P768" i="1"/>
  <c r="Q742" i="1"/>
  <c r="P742" i="1"/>
  <c r="Q738" i="1"/>
  <c r="P738" i="1"/>
  <c r="Q728" i="1"/>
  <c r="P728" i="1"/>
  <c r="Q725" i="1"/>
  <c r="P725" i="1"/>
  <c r="P723" i="1"/>
  <c r="P721" i="1"/>
  <c r="Q718" i="1"/>
  <c r="P718" i="1"/>
  <c r="Q711" i="1"/>
  <c r="Q691" i="1"/>
  <c r="P711" i="1"/>
  <c r="P691" i="1"/>
  <c r="Q705" i="1"/>
  <c r="P705" i="1"/>
  <c r="Q702" i="1"/>
  <c r="P702" i="1"/>
  <c r="Q699" i="1"/>
  <c r="P699" i="1"/>
  <c r="Q696" i="1"/>
  <c r="P696" i="1"/>
  <c r="Q693" i="1"/>
  <c r="P693" i="1"/>
  <c r="Q685" i="1"/>
  <c r="P685" i="1"/>
  <c r="Q681" i="1"/>
  <c r="P681" i="1"/>
  <c r="Q669" i="1"/>
  <c r="Q664" i="1"/>
  <c r="Q662" i="1"/>
  <c r="P669" i="1"/>
  <c r="P664" i="1"/>
  <c r="P662" i="1"/>
  <c r="Q666" i="1"/>
  <c r="P666" i="1"/>
  <c r="Q655" i="1"/>
  <c r="P655" i="1"/>
  <c r="Q645" i="1"/>
  <c r="P645" i="1"/>
  <c r="Q637" i="1"/>
  <c r="P637" i="1"/>
  <c r="Q634" i="1"/>
  <c r="P634" i="1"/>
  <c r="Q632" i="1"/>
  <c r="Q630" i="1"/>
  <c r="Q628" i="1"/>
  <c r="P632" i="1"/>
  <c r="P630" i="1"/>
  <c r="P628" i="1"/>
  <c r="Q625" i="1"/>
  <c r="P625" i="1"/>
  <c r="Q621" i="1"/>
  <c r="Q619" i="1"/>
  <c r="P621" i="1"/>
  <c r="P619" i="1"/>
  <c r="Q616" i="1"/>
  <c r="P616" i="1"/>
  <c r="Q613" i="1"/>
  <c r="P613" i="1"/>
  <c r="Q611" i="1"/>
  <c r="Q609" i="1"/>
  <c r="P611" i="1"/>
  <c r="P609" i="1"/>
  <c r="Q606" i="1"/>
  <c r="P606" i="1"/>
  <c r="Q600" i="1"/>
  <c r="P600" i="1"/>
  <c r="Q592" i="1"/>
  <c r="P592" i="1"/>
  <c r="Q585" i="1"/>
  <c r="P585" i="1"/>
  <c r="Q581" i="1"/>
  <c r="Q579" i="1"/>
  <c r="Q577" i="1"/>
  <c r="P581" i="1"/>
  <c r="P579" i="1"/>
  <c r="P577" i="1"/>
  <c r="P575" i="1"/>
  <c r="Q571" i="1"/>
  <c r="Q569" i="1"/>
  <c r="Q567" i="1"/>
  <c r="P571" i="1"/>
  <c r="P569" i="1"/>
  <c r="P567" i="1"/>
  <c r="Q563" i="1"/>
  <c r="P563" i="1"/>
  <c r="Q558" i="1"/>
  <c r="P558" i="1"/>
  <c r="Q555" i="1"/>
  <c r="Q541" i="1"/>
  <c r="P555" i="1"/>
  <c r="P541" i="1"/>
  <c r="Q549" i="1"/>
  <c r="P549" i="1"/>
  <c r="Q543" i="1"/>
  <c r="P543" i="1"/>
  <c r="Q535" i="1"/>
  <c r="P535" i="1"/>
  <c r="Q532" i="1"/>
  <c r="P532" i="1"/>
  <c r="Q526" i="1"/>
  <c r="P526" i="1"/>
  <c r="Q507" i="1"/>
  <c r="P507" i="1"/>
  <c r="Q505" i="1"/>
  <c r="P505" i="1"/>
  <c r="Q500" i="1"/>
  <c r="P500" i="1"/>
  <c r="Q488" i="1"/>
  <c r="P488" i="1"/>
  <c r="Q482" i="1"/>
  <c r="P482" i="1"/>
  <c r="Q472" i="1"/>
  <c r="P472" i="1"/>
  <c r="Q464" i="1"/>
  <c r="P464" i="1"/>
  <c r="Q458" i="1"/>
  <c r="P458" i="1"/>
  <c r="Q451" i="1"/>
  <c r="P451" i="1"/>
  <c r="Q444" i="1"/>
  <c r="P444" i="1"/>
  <c r="Q439" i="1"/>
  <c r="P439" i="1"/>
  <c r="Q437" i="1"/>
  <c r="P437" i="1"/>
  <c r="Q427" i="1"/>
  <c r="P427" i="1"/>
  <c r="Q419" i="1"/>
  <c r="P419" i="1"/>
  <c r="Q416" i="1"/>
  <c r="P416" i="1"/>
  <c r="Q411" i="1"/>
  <c r="P411" i="1"/>
  <c r="Q406" i="1"/>
  <c r="P406" i="1"/>
  <c r="Q401" i="1"/>
  <c r="P401" i="1"/>
  <c r="Q397" i="1"/>
  <c r="P397" i="1"/>
  <c r="Q386" i="1"/>
  <c r="P386" i="1"/>
  <c r="Q380" i="1"/>
  <c r="P380" i="1"/>
  <c r="Q378" i="1"/>
  <c r="P378" i="1"/>
  <c r="Q375" i="1"/>
  <c r="P375" i="1"/>
  <c r="Q368" i="1"/>
  <c r="Q366" i="1"/>
  <c r="P368" i="1"/>
  <c r="P366" i="1"/>
  <c r="Q361" i="1"/>
  <c r="P361" i="1"/>
  <c r="Q358" i="1"/>
  <c r="P358" i="1"/>
  <c r="Q354" i="1"/>
  <c r="P354" i="1"/>
  <c r="Q349" i="1"/>
  <c r="P349" i="1"/>
  <c r="P347" i="1"/>
  <c r="Q329" i="1"/>
  <c r="P329" i="1"/>
  <c r="Q326" i="1"/>
  <c r="P326" i="1"/>
  <c r="Q322" i="1"/>
  <c r="P322" i="1"/>
  <c r="Q319" i="1"/>
  <c r="P319" i="1"/>
  <c r="Q316" i="1"/>
  <c r="P316" i="1"/>
  <c r="Q313" i="1"/>
  <c r="P313" i="1"/>
  <c r="Q310" i="1"/>
  <c r="P310" i="1"/>
  <c r="P308" i="1"/>
  <c r="Q305" i="1"/>
  <c r="P305" i="1"/>
  <c r="Q302" i="1"/>
  <c r="P302" i="1"/>
  <c r="Q298" i="1"/>
  <c r="P298" i="1"/>
  <c r="Q293" i="1"/>
  <c r="P293" i="1"/>
  <c r="Q288" i="1"/>
  <c r="P288" i="1"/>
  <c r="Q279" i="1"/>
  <c r="P279" i="1"/>
  <c r="Q275" i="1"/>
  <c r="P275" i="1"/>
  <c r="Q267" i="1"/>
  <c r="P267" i="1"/>
  <c r="Q259" i="1"/>
  <c r="P259" i="1"/>
  <c r="Q251" i="1"/>
  <c r="P251" i="1"/>
  <c r="Q246" i="1"/>
  <c r="P246" i="1"/>
  <c r="Q244" i="1"/>
  <c r="P244" i="1"/>
  <c r="Q238" i="1"/>
  <c r="P238" i="1"/>
  <c r="Q237" i="1"/>
  <c r="Q236" i="1"/>
  <c r="Q215" i="1"/>
  <c r="Q212" i="1"/>
  <c r="Q220" i="1"/>
  <c r="Q221" i="1"/>
  <c r="Q218" i="1"/>
  <c r="Q210" i="1"/>
  <c r="P237" i="1"/>
  <c r="P236" i="1"/>
  <c r="P215" i="1"/>
  <c r="P212" i="1"/>
  <c r="P220" i="1"/>
  <c r="P221" i="1"/>
  <c r="P218" i="1"/>
  <c r="P210" i="1"/>
  <c r="Q234" i="1"/>
  <c r="P234" i="1"/>
  <c r="Q233" i="1"/>
  <c r="P233" i="1"/>
  <c r="Q231" i="1"/>
  <c r="Q230" i="1"/>
  <c r="P231" i="1"/>
  <c r="P230" i="1"/>
  <c r="Q228" i="1"/>
  <c r="Q227" i="1"/>
  <c r="P228" i="1"/>
  <c r="P227" i="1"/>
  <c r="Q225" i="1"/>
  <c r="Q224" i="1"/>
  <c r="P225" i="1"/>
  <c r="P224" i="1"/>
  <c r="Q222" i="1"/>
  <c r="P222" i="1"/>
  <c r="Q219" i="1"/>
  <c r="P219" i="1"/>
  <c r="Q216" i="1"/>
  <c r="P216" i="1"/>
  <c r="Q214" i="1"/>
  <c r="P214" i="1"/>
  <c r="Q213" i="1"/>
  <c r="P213" i="1"/>
  <c r="Q205" i="1"/>
  <c r="Q204" i="1"/>
  <c r="P205" i="1"/>
  <c r="P204" i="1"/>
  <c r="Q202" i="1"/>
  <c r="P202" i="1"/>
  <c r="Q201" i="1"/>
  <c r="P201" i="1"/>
  <c r="P199" i="1"/>
  <c r="Q197" i="1"/>
  <c r="P197" i="1"/>
  <c r="P196" i="1"/>
  <c r="P195" i="1"/>
  <c r="P172" i="1"/>
  <c r="Q196" i="1"/>
  <c r="Q193" i="1"/>
  <c r="P193" i="1"/>
  <c r="Q191" i="1"/>
  <c r="P191" i="1"/>
  <c r="Q189" i="1"/>
  <c r="P189" i="1"/>
  <c r="Q187" i="1"/>
  <c r="P187" i="1"/>
  <c r="Q185" i="1"/>
  <c r="P185" i="1"/>
  <c r="Q184" i="1"/>
  <c r="P184" i="1"/>
  <c r="Q182" i="1"/>
  <c r="P182" i="1"/>
  <c r="Q180" i="1"/>
  <c r="Q179" i="1"/>
  <c r="P180" i="1"/>
  <c r="P179" i="1"/>
  <c r="Q177" i="1"/>
  <c r="P177" i="1"/>
  <c r="Q176" i="1"/>
  <c r="P176" i="1"/>
  <c r="Q175" i="1"/>
  <c r="Q174" i="1"/>
  <c r="P175" i="1"/>
  <c r="P174" i="1"/>
  <c r="Q170" i="1"/>
  <c r="P170" i="1"/>
  <c r="Q169" i="1"/>
  <c r="P169" i="1"/>
  <c r="P168" i="1"/>
  <c r="Q168" i="1"/>
  <c r="Q167" i="1"/>
  <c r="Q165" i="1"/>
  <c r="P165" i="1"/>
  <c r="Q163" i="1"/>
  <c r="P163" i="1"/>
  <c r="Q162" i="1"/>
  <c r="P162" i="1"/>
  <c r="Q161" i="1"/>
  <c r="P161" i="1"/>
  <c r="Q160" i="1"/>
  <c r="P160" i="1"/>
  <c r="Q159" i="1"/>
  <c r="P159" i="1"/>
  <c r="Q158" i="1"/>
  <c r="P158" i="1"/>
  <c r="Q157" i="1"/>
  <c r="P157" i="1"/>
  <c r="Q156" i="1"/>
  <c r="P156" i="1"/>
  <c r="Q155" i="1"/>
  <c r="Q153" i="1"/>
  <c r="Q149" i="1"/>
  <c r="P153" i="1"/>
  <c r="Q152" i="1"/>
  <c r="P152" i="1"/>
  <c r="Q151" i="1"/>
  <c r="P151" i="1"/>
  <c r="Q150" i="1"/>
  <c r="P150" i="1"/>
  <c r="P149" i="1"/>
  <c r="Q147" i="1"/>
  <c r="P147" i="1"/>
  <c r="Q146" i="1"/>
  <c r="P146" i="1"/>
  <c r="Q145" i="1"/>
  <c r="P145" i="1"/>
  <c r="Q144" i="1"/>
  <c r="P144" i="1"/>
  <c r="Q143" i="1"/>
  <c r="P143" i="1"/>
  <c r="Q142" i="1"/>
  <c r="P142" i="1"/>
  <c r="Q141" i="1"/>
  <c r="P141" i="1"/>
  <c r="Q140" i="1"/>
  <c r="P140" i="1"/>
  <c r="Q137" i="1"/>
  <c r="P137" i="1"/>
  <c r="Q134" i="1"/>
  <c r="P134" i="1"/>
  <c r="Q133" i="1"/>
  <c r="P133" i="1"/>
  <c r="Q132" i="1"/>
  <c r="Q131" i="1"/>
  <c r="P132" i="1"/>
  <c r="P131" i="1"/>
  <c r="Q129" i="1"/>
  <c r="P129" i="1"/>
  <c r="Q128" i="1"/>
  <c r="P128" i="1"/>
  <c r="Q127" i="1"/>
  <c r="P127" i="1"/>
  <c r="Q126" i="1"/>
  <c r="P126" i="1"/>
  <c r="Q125" i="1"/>
  <c r="P125" i="1"/>
  <c r="Q123" i="1"/>
  <c r="P123" i="1"/>
  <c r="Q122" i="1"/>
  <c r="P122" i="1"/>
  <c r="Q121" i="1"/>
  <c r="P121" i="1"/>
  <c r="Q120" i="1"/>
  <c r="P120" i="1"/>
  <c r="Q119" i="1"/>
  <c r="P119" i="1"/>
  <c r="Q118" i="1"/>
  <c r="P118" i="1"/>
  <c r="Q116" i="1"/>
  <c r="P116" i="1"/>
  <c r="Q115" i="1"/>
  <c r="P115" i="1"/>
  <c r="Q114" i="1"/>
  <c r="P114" i="1"/>
  <c r="Q113" i="1"/>
  <c r="P113" i="1"/>
  <c r="Q112" i="1"/>
  <c r="P112" i="1"/>
  <c r="Q111" i="1"/>
  <c r="P111" i="1"/>
  <c r="Q109" i="1"/>
  <c r="P109" i="1"/>
  <c r="Q108" i="1"/>
  <c r="P108" i="1"/>
  <c r="Q107" i="1"/>
  <c r="Q106" i="1"/>
  <c r="P107" i="1"/>
  <c r="P106" i="1"/>
  <c r="Q102" i="1"/>
  <c r="P102" i="1"/>
  <c r="Q101" i="1"/>
  <c r="P101" i="1"/>
  <c r="Q100" i="1"/>
  <c r="P100" i="1"/>
  <c r="Q99" i="1"/>
  <c r="P99" i="1"/>
  <c r="Q98" i="1"/>
  <c r="P98" i="1"/>
  <c r="Q97" i="1"/>
  <c r="P97" i="1"/>
  <c r="Q96" i="1"/>
  <c r="P96" i="1"/>
  <c r="P95" i="1"/>
  <c r="P94" i="1"/>
  <c r="Q95" i="1"/>
  <c r="Q92" i="1"/>
  <c r="Q86" i="1"/>
  <c r="P92" i="1"/>
  <c r="P86" i="1"/>
  <c r="Q91" i="1"/>
  <c r="P91" i="1"/>
  <c r="Q90" i="1"/>
  <c r="P90" i="1"/>
  <c r="Q89" i="1"/>
  <c r="P89" i="1"/>
  <c r="Q88" i="1"/>
  <c r="P88" i="1"/>
  <c r="Q87" i="1"/>
  <c r="P87" i="1"/>
  <c r="Q84" i="1"/>
  <c r="P84" i="1"/>
  <c r="Q83" i="1"/>
  <c r="P83" i="1"/>
  <c r="Q82" i="1"/>
  <c r="P82" i="1"/>
  <c r="Q80" i="1"/>
  <c r="P80" i="1"/>
  <c r="P77" i="1"/>
  <c r="Q79" i="1"/>
  <c r="P79" i="1"/>
  <c r="Q78" i="1"/>
  <c r="P78" i="1"/>
  <c r="Q77" i="1"/>
  <c r="Q75" i="1"/>
  <c r="P75" i="1"/>
  <c r="Q74" i="1"/>
  <c r="P74" i="1"/>
  <c r="Q73" i="1"/>
  <c r="P73" i="1"/>
  <c r="Q72" i="1"/>
  <c r="Q70" i="1"/>
  <c r="P70" i="1"/>
  <c r="Q69" i="1"/>
  <c r="P69" i="1"/>
  <c r="Q68" i="1"/>
  <c r="P68" i="1"/>
  <c r="P67" i="1"/>
  <c r="Q67" i="1"/>
  <c r="Q65" i="1"/>
  <c r="P65" i="1"/>
  <c r="Q64" i="1"/>
  <c r="Q63" i="1"/>
  <c r="P64" i="1"/>
  <c r="P63" i="1"/>
  <c r="Q61" i="1"/>
  <c r="P61" i="1"/>
  <c r="Q59" i="1"/>
  <c r="P59" i="1"/>
  <c r="Q58" i="1"/>
  <c r="P58" i="1"/>
  <c r="Q57" i="1"/>
  <c r="P57" i="1"/>
  <c r="Q56" i="1"/>
  <c r="P56" i="1"/>
  <c r="Q55" i="1"/>
  <c r="P55" i="1"/>
  <c r="Q54" i="1"/>
  <c r="P54" i="1"/>
  <c r="Q53" i="1"/>
  <c r="Q52" i="1"/>
  <c r="P53" i="1"/>
  <c r="P52" i="1"/>
  <c r="Q50" i="1"/>
  <c r="P50" i="1"/>
  <c r="Q49" i="1"/>
  <c r="P49" i="1"/>
  <c r="Q48" i="1"/>
  <c r="P48" i="1"/>
  <c r="Q47" i="1"/>
  <c r="Q46" i="1"/>
  <c r="P47" i="1"/>
  <c r="P46" i="1"/>
  <c r="Q42" i="1"/>
  <c r="P42" i="1"/>
  <c r="Q41" i="1"/>
  <c r="P41" i="1"/>
  <c r="Q36" i="1"/>
  <c r="P36" i="1"/>
  <c r="Q34" i="1"/>
  <c r="P34" i="1"/>
  <c r="Q33" i="1"/>
  <c r="P33" i="1"/>
  <c r="Q32" i="1"/>
  <c r="P32" i="1"/>
  <c r="Q31" i="1"/>
  <c r="Q30" i="1"/>
  <c r="P31" i="1"/>
  <c r="P30" i="1"/>
  <c r="Q28" i="1"/>
  <c r="P28" i="1"/>
  <c r="Q26" i="1"/>
  <c r="P26" i="1"/>
  <c r="Q24" i="1"/>
  <c r="P24" i="1"/>
  <c r="Q23" i="1"/>
  <c r="P23" i="1"/>
  <c r="Q22" i="1"/>
  <c r="Q21" i="1"/>
  <c r="P22" i="1"/>
  <c r="P21" i="1"/>
  <c r="Q19" i="1"/>
  <c r="P19" i="1"/>
  <c r="Q18" i="1"/>
  <c r="P18" i="1"/>
  <c r="Q17" i="1"/>
  <c r="Q16" i="1"/>
  <c r="Q14" i="1"/>
  <c r="P17" i="1"/>
  <c r="P16" i="1"/>
  <c r="P14" i="1"/>
  <c r="S863" i="1"/>
  <c r="R863" i="1"/>
  <c r="S860" i="1"/>
  <c r="R860" i="1"/>
  <c r="S856" i="1"/>
  <c r="R856" i="1"/>
  <c r="S845" i="1"/>
  <c r="R845" i="1"/>
  <c r="S842" i="1"/>
  <c r="R842" i="1"/>
  <c r="S827" i="1"/>
  <c r="R827" i="1"/>
  <c r="S790" i="1"/>
  <c r="R790" i="1"/>
  <c r="S783" i="1"/>
  <c r="R783" i="1"/>
  <c r="S768" i="1"/>
  <c r="R768" i="1"/>
  <c r="S742" i="1"/>
  <c r="R742" i="1"/>
  <c r="S738" i="1"/>
  <c r="R738" i="1"/>
  <c r="S728" i="1"/>
  <c r="R728" i="1"/>
  <c r="S725" i="1"/>
  <c r="R725" i="1"/>
  <c r="S718" i="1"/>
  <c r="R718" i="1"/>
  <c r="S711" i="1"/>
  <c r="S691" i="1"/>
  <c r="R711" i="1"/>
  <c r="R691" i="1"/>
  <c r="S705" i="1"/>
  <c r="R705" i="1"/>
  <c r="S702" i="1"/>
  <c r="R702" i="1"/>
  <c r="S699" i="1"/>
  <c r="R699" i="1"/>
  <c r="S696" i="1"/>
  <c r="R696" i="1"/>
  <c r="S693" i="1"/>
  <c r="R693" i="1"/>
  <c r="S685" i="1"/>
  <c r="R685" i="1"/>
  <c r="S681" i="1"/>
  <c r="R681" i="1"/>
  <c r="S669" i="1"/>
  <c r="S664" i="1"/>
  <c r="S662" i="1"/>
  <c r="R669" i="1"/>
  <c r="R664" i="1"/>
  <c r="R662" i="1"/>
  <c r="S666" i="1"/>
  <c r="R666" i="1"/>
  <c r="S655" i="1"/>
  <c r="R655" i="1"/>
  <c r="S645" i="1"/>
  <c r="R645" i="1"/>
  <c r="S637" i="1"/>
  <c r="R637" i="1"/>
  <c r="S634" i="1"/>
  <c r="S632" i="1"/>
  <c r="S630" i="1"/>
  <c r="S628" i="1"/>
  <c r="R634" i="1"/>
  <c r="R632" i="1"/>
  <c r="R630" i="1"/>
  <c r="R628" i="1"/>
  <c r="S625" i="1"/>
  <c r="R625" i="1"/>
  <c r="S621" i="1"/>
  <c r="R621" i="1"/>
  <c r="S619" i="1"/>
  <c r="R619" i="1"/>
  <c r="R609" i="1"/>
  <c r="R575" i="1"/>
  <c r="S616" i="1"/>
  <c r="R616" i="1"/>
  <c r="S613" i="1"/>
  <c r="R613" i="1"/>
  <c r="R611" i="1"/>
  <c r="S606" i="1"/>
  <c r="R606" i="1"/>
  <c r="S600" i="1"/>
  <c r="R600" i="1"/>
  <c r="S592" i="1"/>
  <c r="R592" i="1"/>
  <c r="S585" i="1"/>
  <c r="R585" i="1"/>
  <c r="S581" i="1"/>
  <c r="R581" i="1"/>
  <c r="S579" i="1"/>
  <c r="R579" i="1"/>
  <c r="S571" i="1"/>
  <c r="R571" i="1"/>
  <c r="S569" i="1"/>
  <c r="S567" i="1"/>
  <c r="R569" i="1"/>
  <c r="R567" i="1"/>
  <c r="S563" i="1"/>
  <c r="R563" i="1"/>
  <c r="S558" i="1"/>
  <c r="R558" i="1"/>
  <c r="S555" i="1"/>
  <c r="R555" i="1"/>
  <c r="S549" i="1"/>
  <c r="R549" i="1"/>
  <c r="S543" i="1"/>
  <c r="R543" i="1"/>
  <c r="S535" i="1"/>
  <c r="R535" i="1"/>
  <c r="S532" i="1"/>
  <c r="R532" i="1"/>
  <c r="S526" i="1"/>
  <c r="R526" i="1"/>
  <c r="S507" i="1"/>
  <c r="S505" i="1"/>
  <c r="R507" i="1"/>
  <c r="R505" i="1"/>
  <c r="S500" i="1"/>
  <c r="R500" i="1"/>
  <c r="S488" i="1"/>
  <c r="R488" i="1"/>
  <c r="S482" i="1"/>
  <c r="R482" i="1"/>
  <c r="S472" i="1"/>
  <c r="R472" i="1"/>
  <c r="S464" i="1"/>
  <c r="R464" i="1"/>
  <c r="S458" i="1"/>
  <c r="R458" i="1"/>
  <c r="S451" i="1"/>
  <c r="R451" i="1"/>
  <c r="S444" i="1"/>
  <c r="R444" i="1"/>
  <c r="S439" i="1"/>
  <c r="R439" i="1"/>
  <c r="S427" i="1"/>
  <c r="R427" i="1"/>
  <c r="S419" i="1"/>
  <c r="R419" i="1"/>
  <c r="S416" i="1"/>
  <c r="R416" i="1"/>
  <c r="S411" i="1"/>
  <c r="R411" i="1"/>
  <c r="S406" i="1"/>
  <c r="R406" i="1"/>
  <c r="S401" i="1"/>
  <c r="R401" i="1"/>
  <c r="S397" i="1"/>
  <c r="R397" i="1"/>
  <c r="S386" i="1"/>
  <c r="R386" i="1"/>
  <c r="S380" i="1"/>
  <c r="R380" i="1"/>
  <c r="S375" i="1"/>
  <c r="R375" i="1"/>
  <c r="S368" i="1"/>
  <c r="R368" i="1"/>
  <c r="S366" i="1"/>
  <c r="R366" i="1"/>
  <c r="S361" i="1"/>
  <c r="R361" i="1"/>
  <c r="S358" i="1"/>
  <c r="R358" i="1"/>
  <c r="S354" i="1"/>
  <c r="R354" i="1"/>
  <c r="S349" i="1"/>
  <c r="S347" i="1"/>
  <c r="R349" i="1"/>
  <c r="R347" i="1"/>
  <c r="S329" i="1"/>
  <c r="R329" i="1"/>
  <c r="S326" i="1"/>
  <c r="R326" i="1"/>
  <c r="S322" i="1"/>
  <c r="R322" i="1"/>
  <c r="S319" i="1"/>
  <c r="R319" i="1"/>
  <c r="S316" i="1"/>
  <c r="R316" i="1"/>
  <c r="S313" i="1"/>
  <c r="R313" i="1"/>
  <c r="S310" i="1"/>
  <c r="S308" i="1"/>
  <c r="R310" i="1"/>
  <c r="R308" i="1"/>
  <c r="S305" i="1"/>
  <c r="R305" i="1"/>
  <c r="S302" i="1"/>
  <c r="R302" i="1"/>
  <c r="S298" i="1"/>
  <c r="R298" i="1"/>
  <c r="S293" i="1"/>
  <c r="R293" i="1"/>
  <c r="S288" i="1"/>
  <c r="R288" i="1"/>
  <c r="S279" i="1"/>
  <c r="R279" i="1"/>
  <c r="S275" i="1"/>
  <c r="R275" i="1"/>
  <c r="S267" i="1"/>
  <c r="R267" i="1"/>
  <c r="S259" i="1"/>
  <c r="R259" i="1"/>
  <c r="S251" i="1"/>
  <c r="R251" i="1"/>
  <c r="S246" i="1"/>
  <c r="S244" i="1"/>
  <c r="R246" i="1"/>
  <c r="R244" i="1"/>
  <c r="S238" i="1"/>
  <c r="R238" i="1"/>
  <c r="S237" i="1"/>
  <c r="R237" i="1"/>
  <c r="S234" i="1"/>
  <c r="R234" i="1"/>
  <c r="S233" i="1"/>
  <c r="R233" i="1"/>
  <c r="S231" i="1"/>
  <c r="R231" i="1"/>
  <c r="S230" i="1"/>
  <c r="R230" i="1"/>
  <c r="S228" i="1"/>
  <c r="R228" i="1"/>
  <c r="R227" i="1"/>
  <c r="S227" i="1"/>
  <c r="S225" i="1"/>
  <c r="S224" i="1"/>
  <c r="R225" i="1"/>
  <c r="R224" i="1"/>
  <c r="S222" i="1"/>
  <c r="R222" i="1"/>
  <c r="S221" i="1"/>
  <c r="R221" i="1"/>
  <c r="S220" i="1"/>
  <c r="R220" i="1"/>
  <c r="S219" i="1"/>
  <c r="R219" i="1"/>
  <c r="R218" i="1"/>
  <c r="S216" i="1"/>
  <c r="R216" i="1"/>
  <c r="S215" i="1"/>
  <c r="R215" i="1"/>
  <c r="S214" i="1"/>
  <c r="R214" i="1"/>
  <c r="S213" i="1"/>
  <c r="S212" i="1"/>
  <c r="R213" i="1"/>
  <c r="R212" i="1"/>
  <c r="S205" i="1"/>
  <c r="S204" i="1"/>
  <c r="R205" i="1"/>
  <c r="R204" i="1"/>
  <c r="S202" i="1"/>
  <c r="S201" i="1"/>
  <c r="R202" i="1"/>
  <c r="R201" i="1"/>
  <c r="S197" i="1"/>
  <c r="R197" i="1"/>
  <c r="R196" i="1"/>
  <c r="R195" i="1"/>
  <c r="S196" i="1"/>
  <c r="S193" i="1"/>
  <c r="R193" i="1"/>
  <c r="S191" i="1"/>
  <c r="R191" i="1"/>
  <c r="S189" i="1"/>
  <c r="R189" i="1"/>
  <c r="S187" i="1"/>
  <c r="R187" i="1"/>
  <c r="S185" i="1"/>
  <c r="S184" i="1"/>
  <c r="R185" i="1"/>
  <c r="R184" i="1"/>
  <c r="S182" i="1"/>
  <c r="R182" i="1"/>
  <c r="S180" i="1"/>
  <c r="R180" i="1"/>
  <c r="S179" i="1"/>
  <c r="R179" i="1"/>
  <c r="S177" i="1"/>
  <c r="R177" i="1"/>
  <c r="S176" i="1"/>
  <c r="R176" i="1"/>
  <c r="S175" i="1"/>
  <c r="R175" i="1"/>
  <c r="S174" i="1"/>
  <c r="R174" i="1"/>
  <c r="S170" i="1"/>
  <c r="R170" i="1"/>
  <c r="S169" i="1"/>
  <c r="R169" i="1"/>
  <c r="S168" i="1"/>
  <c r="R168" i="1"/>
  <c r="S165" i="1"/>
  <c r="R165" i="1"/>
  <c r="S163" i="1"/>
  <c r="R163" i="1"/>
  <c r="S162" i="1"/>
  <c r="R162" i="1"/>
  <c r="S161" i="1"/>
  <c r="R161" i="1"/>
  <c r="S160" i="1"/>
  <c r="R160" i="1"/>
  <c r="S159" i="1"/>
  <c r="R159" i="1"/>
  <c r="S158" i="1"/>
  <c r="R158" i="1"/>
  <c r="S157" i="1"/>
  <c r="R157" i="1"/>
  <c r="S156" i="1"/>
  <c r="R156" i="1"/>
  <c r="R155" i="1"/>
  <c r="S153" i="1"/>
  <c r="R153" i="1"/>
  <c r="S152" i="1"/>
  <c r="R152" i="1"/>
  <c r="S151" i="1"/>
  <c r="R151" i="1"/>
  <c r="S150" i="1"/>
  <c r="R150" i="1"/>
  <c r="S149" i="1"/>
  <c r="R149" i="1"/>
  <c r="S147" i="1"/>
  <c r="R147" i="1"/>
  <c r="R140" i="1"/>
  <c r="R141" i="1"/>
  <c r="R142" i="1"/>
  <c r="R143" i="1"/>
  <c r="R144" i="1"/>
  <c r="R145" i="1"/>
  <c r="R146" i="1"/>
  <c r="R139" i="1"/>
  <c r="S146" i="1"/>
  <c r="S145" i="1"/>
  <c r="S144" i="1"/>
  <c r="S143" i="1"/>
  <c r="S142" i="1"/>
  <c r="S141" i="1"/>
  <c r="S140" i="1"/>
  <c r="S137" i="1"/>
  <c r="R137" i="1"/>
  <c r="S134" i="1"/>
  <c r="R134" i="1"/>
  <c r="S133" i="1"/>
  <c r="R133" i="1"/>
  <c r="S132" i="1"/>
  <c r="R132" i="1"/>
  <c r="S131" i="1"/>
  <c r="R131" i="1"/>
  <c r="S129" i="1"/>
  <c r="S125" i="1"/>
  <c r="R129" i="1"/>
  <c r="S128" i="1"/>
  <c r="R128" i="1"/>
  <c r="S127" i="1"/>
  <c r="R127" i="1"/>
  <c r="S126" i="1"/>
  <c r="R126" i="1"/>
  <c r="R125" i="1"/>
  <c r="S123" i="1"/>
  <c r="R123" i="1"/>
  <c r="S122" i="1"/>
  <c r="R122" i="1"/>
  <c r="S121" i="1"/>
  <c r="R121" i="1"/>
  <c r="S120" i="1"/>
  <c r="R120" i="1"/>
  <c r="S119" i="1"/>
  <c r="S118" i="1"/>
  <c r="R119" i="1"/>
  <c r="R118" i="1"/>
  <c r="S116" i="1"/>
  <c r="R116" i="1"/>
  <c r="S115" i="1"/>
  <c r="R115" i="1"/>
  <c r="S114" i="1"/>
  <c r="R114" i="1"/>
  <c r="S113" i="1"/>
  <c r="R113" i="1"/>
  <c r="S112" i="1"/>
  <c r="S111" i="1"/>
  <c r="R112" i="1"/>
  <c r="R111" i="1"/>
  <c r="S109" i="1"/>
  <c r="R109" i="1"/>
  <c r="S108" i="1"/>
  <c r="R108" i="1"/>
  <c r="S107" i="1"/>
  <c r="S106" i="1"/>
  <c r="R107" i="1"/>
  <c r="R106" i="1"/>
  <c r="S102" i="1"/>
  <c r="R102" i="1"/>
  <c r="S101" i="1"/>
  <c r="R101" i="1"/>
  <c r="S100" i="1"/>
  <c r="R100" i="1"/>
  <c r="S99" i="1"/>
  <c r="R99" i="1"/>
  <c r="S98" i="1"/>
  <c r="R98" i="1"/>
  <c r="S97" i="1"/>
  <c r="R97" i="1"/>
  <c r="S96" i="1"/>
  <c r="R96" i="1"/>
  <c r="S95" i="1"/>
  <c r="R95" i="1"/>
  <c r="R94" i="1"/>
  <c r="S92" i="1"/>
  <c r="R92" i="1"/>
  <c r="S91" i="1"/>
  <c r="R91" i="1"/>
  <c r="S90" i="1"/>
  <c r="R90" i="1"/>
  <c r="S89" i="1"/>
  <c r="R89" i="1"/>
  <c r="S88" i="1"/>
  <c r="R88" i="1"/>
  <c r="S87" i="1"/>
  <c r="R87" i="1"/>
  <c r="S86" i="1"/>
  <c r="R86" i="1"/>
  <c r="S84" i="1"/>
  <c r="R84" i="1"/>
  <c r="S83" i="1"/>
  <c r="S82" i="1"/>
  <c r="R83" i="1"/>
  <c r="R82" i="1"/>
  <c r="S80" i="1"/>
  <c r="S77" i="1"/>
  <c r="R80" i="1"/>
  <c r="S79" i="1"/>
  <c r="R79" i="1"/>
  <c r="S78" i="1"/>
  <c r="R78" i="1"/>
  <c r="S75" i="1"/>
  <c r="R75" i="1"/>
  <c r="S74" i="1"/>
  <c r="R74" i="1"/>
  <c r="S73" i="1"/>
  <c r="R73" i="1"/>
  <c r="S70" i="1"/>
  <c r="R70" i="1"/>
  <c r="S69" i="1"/>
  <c r="R69" i="1"/>
  <c r="S68" i="1"/>
  <c r="R68" i="1"/>
  <c r="S65" i="1"/>
  <c r="R65" i="1"/>
  <c r="S64" i="1"/>
  <c r="R64" i="1"/>
  <c r="R63" i="1"/>
  <c r="S63" i="1"/>
  <c r="S61" i="1"/>
  <c r="R61" i="1"/>
  <c r="S59" i="1"/>
  <c r="R59" i="1"/>
  <c r="S58" i="1"/>
  <c r="R58" i="1"/>
  <c r="S57" i="1"/>
  <c r="R57" i="1"/>
  <c r="S56" i="1"/>
  <c r="R56" i="1"/>
  <c r="S55" i="1"/>
  <c r="R55" i="1"/>
  <c r="S54" i="1"/>
  <c r="R54" i="1"/>
  <c r="S53" i="1"/>
  <c r="R53" i="1"/>
  <c r="R52" i="1"/>
  <c r="S50" i="1"/>
  <c r="R50" i="1"/>
  <c r="S49" i="1"/>
  <c r="R49" i="1"/>
  <c r="S48" i="1"/>
  <c r="R48" i="1"/>
  <c r="S47" i="1"/>
  <c r="R47" i="1"/>
  <c r="S46" i="1"/>
  <c r="R46" i="1"/>
  <c r="S42" i="1"/>
  <c r="R42" i="1"/>
  <c r="S41" i="1"/>
  <c r="R41" i="1"/>
  <c r="S36" i="1"/>
  <c r="R36" i="1"/>
  <c r="S34" i="1"/>
  <c r="R34" i="1"/>
  <c r="S33" i="1"/>
  <c r="R33" i="1"/>
  <c r="S32" i="1"/>
  <c r="R32" i="1"/>
  <c r="S31" i="1"/>
  <c r="R31" i="1"/>
  <c r="S30" i="1"/>
  <c r="R30" i="1"/>
  <c r="S28" i="1"/>
  <c r="R28" i="1"/>
  <c r="S26" i="1"/>
  <c r="R26" i="1"/>
  <c r="S24" i="1"/>
  <c r="R24" i="1"/>
  <c r="S23" i="1"/>
  <c r="R23" i="1"/>
  <c r="S22" i="1"/>
  <c r="R22" i="1"/>
  <c r="S21" i="1"/>
  <c r="R21" i="1"/>
  <c r="S19" i="1"/>
  <c r="R19" i="1"/>
  <c r="S18" i="1"/>
  <c r="R18" i="1"/>
  <c r="S17" i="1"/>
  <c r="S16" i="1"/>
  <c r="S14" i="1"/>
  <c r="R17" i="1"/>
  <c r="R16" i="1"/>
  <c r="R14" i="1"/>
  <c r="U863" i="1"/>
  <c r="T863" i="1"/>
  <c r="U860" i="1"/>
  <c r="T860" i="1"/>
  <c r="U856" i="1"/>
  <c r="T856" i="1"/>
  <c r="U845" i="1"/>
  <c r="T845" i="1"/>
  <c r="U842" i="1"/>
  <c r="T842" i="1"/>
  <c r="U827" i="1"/>
  <c r="T827" i="1"/>
  <c r="U790" i="1"/>
  <c r="T790" i="1"/>
  <c r="U783" i="1"/>
  <c r="T783" i="1"/>
  <c r="U768" i="1"/>
  <c r="T768" i="1"/>
  <c r="U742" i="1"/>
  <c r="T742" i="1"/>
  <c r="U738" i="1"/>
  <c r="T738" i="1"/>
  <c r="U728" i="1"/>
  <c r="T728" i="1"/>
  <c r="U725" i="1"/>
  <c r="T725" i="1"/>
  <c r="U723" i="1"/>
  <c r="U721" i="1"/>
  <c r="T723" i="1"/>
  <c r="T721" i="1"/>
  <c r="U718" i="1"/>
  <c r="T718" i="1"/>
  <c r="U711" i="1"/>
  <c r="T711" i="1"/>
  <c r="T691" i="1"/>
  <c r="U705" i="1"/>
  <c r="T705" i="1"/>
  <c r="U702" i="1"/>
  <c r="T702" i="1"/>
  <c r="U699" i="1"/>
  <c r="T699" i="1"/>
  <c r="U696" i="1"/>
  <c r="T696" i="1"/>
  <c r="U693" i="1"/>
  <c r="T693" i="1"/>
  <c r="U685" i="1"/>
  <c r="T685" i="1"/>
  <c r="U681" i="1"/>
  <c r="T681" i="1"/>
  <c r="U669" i="1"/>
  <c r="U664" i="1"/>
  <c r="T669" i="1"/>
  <c r="T664" i="1"/>
  <c r="T662" i="1"/>
  <c r="U666" i="1"/>
  <c r="T666" i="1"/>
  <c r="U655" i="1"/>
  <c r="T655" i="1"/>
  <c r="U645" i="1"/>
  <c r="T645" i="1"/>
  <c r="U637" i="1"/>
  <c r="T637" i="1"/>
  <c r="U634" i="1"/>
  <c r="T634" i="1"/>
  <c r="U632" i="1"/>
  <c r="U630" i="1"/>
  <c r="U628" i="1"/>
  <c r="T632" i="1"/>
  <c r="T630" i="1"/>
  <c r="T628" i="1"/>
  <c r="U625" i="1"/>
  <c r="T625" i="1"/>
  <c r="U621" i="1"/>
  <c r="U619" i="1"/>
  <c r="T621" i="1"/>
  <c r="T619" i="1"/>
  <c r="U616" i="1"/>
  <c r="T616" i="1"/>
  <c r="U613" i="1"/>
  <c r="T613" i="1"/>
  <c r="U611" i="1"/>
  <c r="T611" i="1"/>
  <c r="U606" i="1"/>
  <c r="T606" i="1"/>
  <c r="U600" i="1"/>
  <c r="T600" i="1"/>
  <c r="U592" i="1"/>
  <c r="T592" i="1"/>
  <c r="U585" i="1"/>
  <c r="T585" i="1"/>
  <c r="U581" i="1"/>
  <c r="U579" i="1"/>
  <c r="U577" i="1"/>
  <c r="T581" i="1"/>
  <c r="T579" i="1"/>
  <c r="T577" i="1"/>
  <c r="U571" i="1"/>
  <c r="U569" i="1"/>
  <c r="U567" i="1"/>
  <c r="T571" i="1"/>
  <c r="T569" i="1"/>
  <c r="T567" i="1"/>
  <c r="U563" i="1"/>
  <c r="T563" i="1"/>
  <c r="U558" i="1"/>
  <c r="T558" i="1"/>
  <c r="U555" i="1"/>
  <c r="T555" i="1"/>
  <c r="U549" i="1"/>
  <c r="T549" i="1"/>
  <c r="U543" i="1"/>
  <c r="T543" i="1"/>
  <c r="U541" i="1"/>
  <c r="T541" i="1"/>
  <c r="U535" i="1"/>
  <c r="T535" i="1"/>
  <c r="U532" i="1"/>
  <c r="T532" i="1"/>
  <c r="U526" i="1"/>
  <c r="T526" i="1"/>
  <c r="U507" i="1"/>
  <c r="T507" i="1"/>
  <c r="U505" i="1"/>
  <c r="T505" i="1"/>
  <c r="U500" i="1"/>
  <c r="T500" i="1"/>
  <c r="U488" i="1"/>
  <c r="T488" i="1"/>
  <c r="U482" i="1"/>
  <c r="T482" i="1"/>
  <c r="U472" i="1"/>
  <c r="T472" i="1"/>
  <c r="U464" i="1"/>
  <c r="T464" i="1"/>
  <c r="U458" i="1"/>
  <c r="T458" i="1"/>
  <c r="U451" i="1"/>
  <c r="T451" i="1"/>
  <c r="U444" i="1"/>
  <c r="T444" i="1"/>
  <c r="U439" i="1"/>
  <c r="T439" i="1"/>
  <c r="U437" i="1"/>
  <c r="T437" i="1"/>
  <c r="U427" i="1"/>
  <c r="T427" i="1"/>
  <c r="U419" i="1"/>
  <c r="T419" i="1"/>
  <c r="U416" i="1"/>
  <c r="T416" i="1"/>
  <c r="U411" i="1"/>
  <c r="T411" i="1"/>
  <c r="U406" i="1"/>
  <c r="T406" i="1"/>
  <c r="U401" i="1"/>
  <c r="T401" i="1"/>
  <c r="U397" i="1"/>
  <c r="T397" i="1"/>
  <c r="U386" i="1"/>
  <c r="T386" i="1"/>
  <c r="U380" i="1"/>
  <c r="T380" i="1"/>
  <c r="U378" i="1"/>
  <c r="U364" i="1"/>
  <c r="T378" i="1"/>
  <c r="U375" i="1"/>
  <c r="T375" i="1"/>
  <c r="U368" i="1"/>
  <c r="U366" i="1"/>
  <c r="T368" i="1"/>
  <c r="T366" i="1"/>
  <c r="T364" i="1"/>
  <c r="U361" i="1"/>
  <c r="T361" i="1"/>
  <c r="U358" i="1"/>
  <c r="T358" i="1"/>
  <c r="U354" i="1"/>
  <c r="T354" i="1"/>
  <c r="U349" i="1"/>
  <c r="T349" i="1"/>
  <c r="T347" i="1"/>
  <c r="U329" i="1"/>
  <c r="T329" i="1"/>
  <c r="U326" i="1"/>
  <c r="T326" i="1"/>
  <c r="U322" i="1"/>
  <c r="T322" i="1"/>
  <c r="U319" i="1"/>
  <c r="T319" i="1"/>
  <c r="U316" i="1"/>
  <c r="T316" i="1"/>
  <c r="U313" i="1"/>
  <c r="T313" i="1"/>
  <c r="U310" i="1"/>
  <c r="T310" i="1"/>
  <c r="U305" i="1"/>
  <c r="T305" i="1"/>
  <c r="U302" i="1"/>
  <c r="T302" i="1"/>
  <c r="U298" i="1"/>
  <c r="T298" i="1"/>
  <c r="U293" i="1"/>
  <c r="T293" i="1"/>
  <c r="U288" i="1"/>
  <c r="T288" i="1"/>
  <c r="U279" i="1"/>
  <c r="T279" i="1"/>
  <c r="U275" i="1"/>
  <c r="T275" i="1"/>
  <c r="U267" i="1"/>
  <c r="T267" i="1"/>
  <c r="U259" i="1"/>
  <c r="T259" i="1"/>
  <c r="U251" i="1"/>
  <c r="T251" i="1"/>
  <c r="U246" i="1"/>
  <c r="T246" i="1"/>
  <c r="U244" i="1"/>
  <c r="T244" i="1"/>
  <c r="U238" i="1"/>
  <c r="T238" i="1"/>
  <c r="U237" i="1"/>
  <c r="T237" i="1"/>
  <c r="T236" i="1"/>
  <c r="U234" i="1"/>
  <c r="T234" i="1"/>
  <c r="U233" i="1"/>
  <c r="T233" i="1"/>
  <c r="U231" i="1"/>
  <c r="U230" i="1"/>
  <c r="T231" i="1"/>
  <c r="T230" i="1"/>
  <c r="U228" i="1"/>
  <c r="U227" i="1"/>
  <c r="T228" i="1"/>
  <c r="T227" i="1"/>
  <c r="U225" i="1"/>
  <c r="U224" i="1"/>
  <c r="T225" i="1"/>
  <c r="T224" i="1"/>
  <c r="U222" i="1"/>
  <c r="T222" i="1"/>
  <c r="U221" i="1"/>
  <c r="T221" i="1"/>
  <c r="U220" i="1"/>
  <c r="U218" i="1"/>
  <c r="T220" i="1"/>
  <c r="U219" i="1"/>
  <c r="T219" i="1"/>
  <c r="T218" i="1"/>
  <c r="U216" i="1"/>
  <c r="T216" i="1"/>
  <c r="U215" i="1"/>
  <c r="T215" i="1"/>
  <c r="U214" i="1"/>
  <c r="T214" i="1"/>
  <c r="U213" i="1"/>
  <c r="U212" i="1"/>
  <c r="T213" i="1"/>
  <c r="T212" i="1"/>
  <c r="U205" i="1"/>
  <c r="T205" i="1"/>
  <c r="U204" i="1"/>
  <c r="T204" i="1"/>
  <c r="U202" i="1"/>
  <c r="U201" i="1"/>
  <c r="U199" i="1"/>
  <c r="T202" i="1"/>
  <c r="T201" i="1"/>
  <c r="T199" i="1"/>
  <c r="U197" i="1"/>
  <c r="T197" i="1"/>
  <c r="T196" i="1"/>
  <c r="T195" i="1"/>
  <c r="U196" i="1"/>
  <c r="U193" i="1"/>
  <c r="T193" i="1"/>
  <c r="U191" i="1"/>
  <c r="T191" i="1"/>
  <c r="U189" i="1"/>
  <c r="T189" i="1"/>
  <c r="U187" i="1"/>
  <c r="T187" i="1"/>
  <c r="U185" i="1"/>
  <c r="T185" i="1"/>
  <c r="U184" i="1"/>
  <c r="T184" i="1"/>
  <c r="U182" i="1"/>
  <c r="T182" i="1"/>
  <c r="U180" i="1"/>
  <c r="U179" i="1"/>
  <c r="T180" i="1"/>
  <c r="T179" i="1"/>
  <c r="U177" i="1"/>
  <c r="T177" i="1"/>
  <c r="U176" i="1"/>
  <c r="T176" i="1"/>
  <c r="U175" i="1"/>
  <c r="U174" i="1"/>
  <c r="T175" i="1"/>
  <c r="T174" i="1"/>
  <c r="U170" i="1"/>
  <c r="T170" i="1"/>
  <c r="T168" i="1"/>
  <c r="T169" i="1"/>
  <c r="T167" i="1"/>
  <c r="U169" i="1"/>
  <c r="U168" i="1"/>
  <c r="U165" i="1"/>
  <c r="T165" i="1"/>
  <c r="U163" i="1"/>
  <c r="T163" i="1"/>
  <c r="U162" i="1"/>
  <c r="T162" i="1"/>
  <c r="U161" i="1"/>
  <c r="T161" i="1"/>
  <c r="U160" i="1"/>
  <c r="T160" i="1"/>
  <c r="U159" i="1"/>
  <c r="T159" i="1"/>
  <c r="U158" i="1"/>
  <c r="T158" i="1"/>
  <c r="U157" i="1"/>
  <c r="T157" i="1"/>
  <c r="U156" i="1"/>
  <c r="T156" i="1"/>
  <c r="U155" i="1"/>
  <c r="U153" i="1"/>
  <c r="U149" i="1"/>
  <c r="T153" i="1"/>
  <c r="U152" i="1"/>
  <c r="T152" i="1"/>
  <c r="U151" i="1"/>
  <c r="T151" i="1"/>
  <c r="U150" i="1"/>
  <c r="T150" i="1"/>
  <c r="T149" i="1"/>
  <c r="U147" i="1"/>
  <c r="T147" i="1"/>
  <c r="U146" i="1"/>
  <c r="T146" i="1"/>
  <c r="U145" i="1"/>
  <c r="T145" i="1"/>
  <c r="U144" i="1"/>
  <c r="T144" i="1"/>
  <c r="U143" i="1"/>
  <c r="T143" i="1"/>
  <c r="U142" i="1"/>
  <c r="T142" i="1"/>
  <c r="U141" i="1"/>
  <c r="T141" i="1"/>
  <c r="U140" i="1"/>
  <c r="T140" i="1"/>
  <c r="U137" i="1"/>
  <c r="T137" i="1"/>
  <c r="U134" i="1"/>
  <c r="T134" i="1"/>
  <c r="U133" i="1"/>
  <c r="T133" i="1"/>
  <c r="U132" i="1"/>
  <c r="T132" i="1"/>
  <c r="T131" i="1"/>
  <c r="U131" i="1"/>
  <c r="U129" i="1"/>
  <c r="U125" i="1"/>
  <c r="T129" i="1"/>
  <c r="T125" i="1"/>
  <c r="U128" i="1"/>
  <c r="T128" i="1"/>
  <c r="U127" i="1"/>
  <c r="T127" i="1"/>
  <c r="U126" i="1"/>
  <c r="T126" i="1"/>
  <c r="U123" i="1"/>
  <c r="T123" i="1"/>
  <c r="U122" i="1"/>
  <c r="T122" i="1"/>
  <c r="U121" i="1"/>
  <c r="T121" i="1"/>
  <c r="U120" i="1"/>
  <c r="T120" i="1"/>
  <c r="U119" i="1"/>
  <c r="U118" i="1"/>
  <c r="T119" i="1"/>
  <c r="T118" i="1"/>
  <c r="U116" i="1"/>
  <c r="T116" i="1"/>
  <c r="U115" i="1"/>
  <c r="T115" i="1"/>
  <c r="U114" i="1"/>
  <c r="T114" i="1"/>
  <c r="U113" i="1"/>
  <c r="T113" i="1"/>
  <c r="U112" i="1"/>
  <c r="T112" i="1"/>
  <c r="T111" i="1"/>
  <c r="U109" i="1"/>
  <c r="T109" i="1"/>
  <c r="U108" i="1"/>
  <c r="T108" i="1"/>
  <c r="U107" i="1"/>
  <c r="U106" i="1"/>
  <c r="T107" i="1"/>
  <c r="T106" i="1"/>
  <c r="U102" i="1"/>
  <c r="T102" i="1"/>
  <c r="U101" i="1"/>
  <c r="T101" i="1"/>
  <c r="U100" i="1"/>
  <c r="T100" i="1"/>
  <c r="U99" i="1"/>
  <c r="T99" i="1"/>
  <c r="U98" i="1"/>
  <c r="T98" i="1"/>
  <c r="U97" i="1"/>
  <c r="T97" i="1"/>
  <c r="U96" i="1"/>
  <c r="T96" i="1"/>
  <c r="U95" i="1"/>
  <c r="T95" i="1"/>
  <c r="U92" i="1"/>
  <c r="T92" i="1"/>
  <c r="T86" i="1"/>
  <c r="U91" i="1"/>
  <c r="T91" i="1"/>
  <c r="U90" i="1"/>
  <c r="T90" i="1"/>
  <c r="U89" i="1"/>
  <c r="T89" i="1"/>
  <c r="U88" i="1"/>
  <c r="T88" i="1"/>
  <c r="U87" i="1"/>
  <c r="T87" i="1"/>
  <c r="U86" i="1"/>
  <c r="U84" i="1"/>
  <c r="T84" i="1"/>
  <c r="U83" i="1"/>
  <c r="U82" i="1"/>
  <c r="T83" i="1"/>
  <c r="T82" i="1"/>
  <c r="U80" i="1"/>
  <c r="U77" i="1"/>
  <c r="T80" i="1"/>
  <c r="U79" i="1"/>
  <c r="T79" i="1"/>
  <c r="U78" i="1"/>
  <c r="T78" i="1"/>
  <c r="U75" i="1"/>
  <c r="T75" i="1"/>
  <c r="U74" i="1"/>
  <c r="T74" i="1"/>
  <c r="U73" i="1"/>
  <c r="T73" i="1"/>
  <c r="T72" i="1"/>
  <c r="U70" i="1"/>
  <c r="T70" i="1"/>
  <c r="U69" i="1"/>
  <c r="T69" i="1"/>
  <c r="U68" i="1"/>
  <c r="U67" i="1"/>
  <c r="T68" i="1"/>
  <c r="T67" i="1"/>
  <c r="U65" i="1"/>
  <c r="T65" i="1"/>
  <c r="U64" i="1"/>
  <c r="U63" i="1"/>
  <c r="T64" i="1"/>
  <c r="T63" i="1"/>
  <c r="U61" i="1"/>
  <c r="T61" i="1"/>
  <c r="U59" i="1"/>
  <c r="T59" i="1"/>
  <c r="U58" i="1"/>
  <c r="T58" i="1"/>
  <c r="U57" i="1"/>
  <c r="T57" i="1"/>
  <c r="U56" i="1"/>
  <c r="T56" i="1"/>
  <c r="U55" i="1"/>
  <c r="T55" i="1"/>
  <c r="U54" i="1"/>
  <c r="T54" i="1"/>
  <c r="U53" i="1"/>
  <c r="U52" i="1"/>
  <c r="T53" i="1"/>
  <c r="U50" i="1"/>
  <c r="T50" i="1"/>
  <c r="U49" i="1"/>
  <c r="T49" i="1"/>
  <c r="U48" i="1"/>
  <c r="T48" i="1"/>
  <c r="U47" i="1"/>
  <c r="T47" i="1"/>
  <c r="T46" i="1"/>
  <c r="U46" i="1"/>
  <c r="U42" i="1"/>
  <c r="T42" i="1"/>
  <c r="U41" i="1"/>
  <c r="T41" i="1"/>
  <c r="U38" i="1"/>
  <c r="U36" i="1"/>
  <c r="T36" i="1"/>
  <c r="U34" i="1"/>
  <c r="T34" i="1"/>
  <c r="U33" i="1"/>
  <c r="T33" i="1"/>
  <c r="U32" i="1"/>
  <c r="T32" i="1"/>
  <c r="U31" i="1"/>
  <c r="T31" i="1"/>
  <c r="T30" i="1"/>
  <c r="U30" i="1"/>
  <c r="U28" i="1"/>
  <c r="T28" i="1"/>
  <c r="U26" i="1"/>
  <c r="T26" i="1"/>
  <c r="U24" i="1"/>
  <c r="T24" i="1"/>
  <c r="U23" i="1"/>
  <c r="T23" i="1"/>
  <c r="U22" i="1"/>
  <c r="T22" i="1"/>
  <c r="T21" i="1"/>
  <c r="U21" i="1"/>
  <c r="U19" i="1"/>
  <c r="T19" i="1"/>
  <c r="U18" i="1"/>
  <c r="T18" i="1"/>
  <c r="U17" i="1"/>
  <c r="U16" i="1"/>
  <c r="U14" i="1"/>
  <c r="T17" i="1"/>
  <c r="T16" i="1"/>
  <c r="T14" i="1"/>
  <c r="W863" i="1"/>
  <c r="V863" i="1"/>
  <c r="W860" i="1"/>
  <c r="V860" i="1"/>
  <c r="W856" i="1"/>
  <c r="V856" i="1"/>
  <c r="W845" i="1"/>
  <c r="V845" i="1"/>
  <c r="W842" i="1"/>
  <c r="V842" i="1"/>
  <c r="W827" i="1"/>
  <c r="V827" i="1"/>
  <c r="W790" i="1"/>
  <c r="V790" i="1"/>
  <c r="W783" i="1"/>
  <c r="V783" i="1"/>
  <c r="W768" i="1"/>
  <c r="V768" i="1"/>
  <c r="W742" i="1"/>
  <c r="V742" i="1"/>
  <c r="W738" i="1"/>
  <c r="V738" i="1"/>
  <c r="W728" i="1"/>
  <c r="V728" i="1"/>
  <c r="W725" i="1"/>
  <c r="V725" i="1"/>
  <c r="W718" i="1"/>
  <c r="V718" i="1"/>
  <c r="W711" i="1"/>
  <c r="W691" i="1"/>
  <c r="V711" i="1"/>
  <c r="V691" i="1"/>
  <c r="W705" i="1"/>
  <c r="V705" i="1"/>
  <c r="W702" i="1"/>
  <c r="V702" i="1"/>
  <c r="W699" i="1"/>
  <c r="V699" i="1"/>
  <c r="W696" i="1"/>
  <c r="V696" i="1"/>
  <c r="W693" i="1"/>
  <c r="V693" i="1"/>
  <c r="W685" i="1"/>
  <c r="V685" i="1"/>
  <c r="W681" i="1"/>
  <c r="V681" i="1"/>
  <c r="W669" i="1"/>
  <c r="W664" i="1"/>
  <c r="W662" i="1"/>
  <c r="V669" i="1"/>
  <c r="V664" i="1"/>
  <c r="V662" i="1"/>
  <c r="W666" i="1"/>
  <c r="V666" i="1"/>
  <c r="W655" i="1"/>
  <c r="V655" i="1"/>
  <c r="W645" i="1"/>
  <c r="V645" i="1"/>
  <c r="W637" i="1"/>
  <c r="V637" i="1"/>
  <c r="W634" i="1"/>
  <c r="V634" i="1"/>
  <c r="W632" i="1"/>
  <c r="W630" i="1"/>
  <c r="W628" i="1"/>
  <c r="V632" i="1"/>
  <c r="V630" i="1"/>
  <c r="V628" i="1"/>
  <c r="W625" i="1"/>
  <c r="V625" i="1"/>
  <c r="W621" i="1"/>
  <c r="W619" i="1"/>
  <c r="V621" i="1"/>
  <c r="V619" i="1"/>
  <c r="W616" i="1"/>
  <c r="V616" i="1"/>
  <c r="W613" i="1"/>
  <c r="V613" i="1"/>
  <c r="W611" i="1"/>
  <c r="V611" i="1"/>
  <c r="V609" i="1"/>
  <c r="W606" i="1"/>
  <c r="V606" i="1"/>
  <c r="W600" i="1"/>
  <c r="V600" i="1"/>
  <c r="W592" i="1"/>
  <c r="V592" i="1"/>
  <c r="W585" i="1"/>
  <c r="V585" i="1"/>
  <c r="W581" i="1"/>
  <c r="W579" i="1"/>
  <c r="W577" i="1"/>
  <c r="V581" i="1"/>
  <c r="W571" i="1"/>
  <c r="W569" i="1"/>
  <c r="W567" i="1"/>
  <c r="V571" i="1"/>
  <c r="V569" i="1"/>
  <c r="V567" i="1"/>
  <c r="W563" i="1"/>
  <c r="V563" i="1"/>
  <c r="W558" i="1"/>
  <c r="V558" i="1"/>
  <c r="W555" i="1"/>
  <c r="V555" i="1"/>
  <c r="W549" i="1"/>
  <c r="V549" i="1"/>
  <c r="W543" i="1"/>
  <c r="V543" i="1"/>
  <c r="W541" i="1"/>
  <c r="V541" i="1"/>
  <c r="W535" i="1"/>
  <c r="W530" i="1"/>
  <c r="V535" i="1"/>
  <c r="W532" i="1"/>
  <c r="V532" i="1"/>
  <c r="W526" i="1"/>
  <c r="V526" i="1"/>
  <c r="W507" i="1"/>
  <c r="V507" i="1"/>
  <c r="W505" i="1"/>
  <c r="V505" i="1"/>
  <c r="W500" i="1"/>
  <c r="V500" i="1"/>
  <c r="W488" i="1"/>
  <c r="V488" i="1"/>
  <c r="W482" i="1"/>
  <c r="V482" i="1"/>
  <c r="W472" i="1"/>
  <c r="V472" i="1"/>
  <c r="W464" i="1"/>
  <c r="V464" i="1"/>
  <c r="W458" i="1"/>
  <c r="V458" i="1"/>
  <c r="W451" i="1"/>
  <c r="V451" i="1"/>
  <c r="W444" i="1"/>
  <c r="V444" i="1"/>
  <c r="W439" i="1"/>
  <c r="V439" i="1"/>
  <c r="W437" i="1"/>
  <c r="V437" i="1"/>
  <c r="W427" i="1"/>
  <c r="V427" i="1"/>
  <c r="W419" i="1"/>
  <c r="V419" i="1"/>
  <c r="W416" i="1"/>
  <c r="V416" i="1"/>
  <c r="W411" i="1"/>
  <c r="V411" i="1"/>
  <c r="W406" i="1"/>
  <c r="V406" i="1"/>
  <c r="W401" i="1"/>
  <c r="V401" i="1"/>
  <c r="W397" i="1"/>
  <c r="V397" i="1"/>
  <c r="W386" i="1"/>
  <c r="V386" i="1"/>
  <c r="W380" i="1"/>
  <c r="V380" i="1"/>
  <c r="V378" i="1"/>
  <c r="W378" i="1"/>
  <c r="W375" i="1"/>
  <c r="V375" i="1"/>
  <c r="W368" i="1"/>
  <c r="W366" i="1"/>
  <c r="V368" i="1"/>
  <c r="V366" i="1"/>
  <c r="W361" i="1"/>
  <c r="V361" i="1"/>
  <c r="W358" i="1"/>
  <c r="V358" i="1"/>
  <c r="W354" i="1"/>
  <c r="V354" i="1"/>
  <c r="W349" i="1"/>
  <c r="W347" i="1"/>
  <c r="V349" i="1"/>
  <c r="V347" i="1"/>
  <c r="W329" i="1"/>
  <c r="V329" i="1"/>
  <c r="W326" i="1"/>
  <c r="V326" i="1"/>
  <c r="W322" i="1"/>
  <c r="V322" i="1"/>
  <c r="W319" i="1"/>
  <c r="V319" i="1"/>
  <c r="W316" i="1"/>
  <c r="V316" i="1"/>
  <c r="W313" i="1"/>
  <c r="V313" i="1"/>
  <c r="W310" i="1"/>
  <c r="V310" i="1"/>
  <c r="W305" i="1"/>
  <c r="V305" i="1"/>
  <c r="W302" i="1"/>
  <c r="V302" i="1"/>
  <c r="W298" i="1"/>
  <c r="V298" i="1"/>
  <c r="W293" i="1"/>
  <c r="V293" i="1"/>
  <c r="W288" i="1"/>
  <c r="V288" i="1"/>
  <c r="W279" i="1"/>
  <c r="V279" i="1"/>
  <c r="W275" i="1"/>
  <c r="V275" i="1"/>
  <c r="W267" i="1"/>
  <c r="V267" i="1"/>
  <c r="W259" i="1"/>
  <c r="V259" i="1"/>
  <c r="W251" i="1"/>
  <c r="V251" i="1"/>
  <c r="W246" i="1"/>
  <c r="W244" i="1"/>
  <c r="V246" i="1"/>
  <c r="V244" i="1"/>
  <c r="W238" i="1"/>
  <c r="V238" i="1"/>
  <c r="W237" i="1"/>
  <c r="W236" i="1"/>
  <c r="V237" i="1"/>
  <c r="W234" i="1"/>
  <c r="V234" i="1"/>
  <c r="W233" i="1"/>
  <c r="V233" i="1"/>
  <c r="W231" i="1"/>
  <c r="W230" i="1"/>
  <c r="V231" i="1"/>
  <c r="V230" i="1"/>
  <c r="W228" i="1"/>
  <c r="W227" i="1"/>
  <c r="V228" i="1"/>
  <c r="V227" i="1"/>
  <c r="W225" i="1"/>
  <c r="W224" i="1"/>
  <c r="V225" i="1"/>
  <c r="V224" i="1"/>
  <c r="W222" i="1"/>
  <c r="V222" i="1"/>
  <c r="W221" i="1"/>
  <c r="W220" i="1"/>
  <c r="W218" i="1"/>
  <c r="V221" i="1"/>
  <c r="V220" i="1"/>
  <c r="W219" i="1"/>
  <c r="V219" i="1"/>
  <c r="V218" i="1"/>
  <c r="W216" i="1"/>
  <c r="V216" i="1"/>
  <c r="W215" i="1"/>
  <c r="V215" i="1"/>
  <c r="W214" i="1"/>
  <c r="V214" i="1"/>
  <c r="W213" i="1"/>
  <c r="W212" i="1"/>
  <c r="V213" i="1"/>
  <c r="V212" i="1"/>
  <c r="W205" i="1"/>
  <c r="V205" i="1"/>
  <c r="W204" i="1"/>
  <c r="V204" i="1"/>
  <c r="W202" i="1"/>
  <c r="W201" i="1"/>
  <c r="W199" i="1"/>
  <c r="V202" i="1"/>
  <c r="V201" i="1"/>
  <c r="V199" i="1"/>
  <c r="W197" i="1"/>
  <c r="W196" i="1"/>
  <c r="W195" i="1"/>
  <c r="W172" i="1"/>
  <c r="V197" i="1"/>
  <c r="V196" i="1"/>
  <c r="V195" i="1"/>
  <c r="W193" i="1"/>
  <c r="V193" i="1"/>
  <c r="W191" i="1"/>
  <c r="V191" i="1"/>
  <c r="W189" i="1"/>
  <c r="V189" i="1"/>
  <c r="W187" i="1"/>
  <c r="V187" i="1"/>
  <c r="W185" i="1"/>
  <c r="V185" i="1"/>
  <c r="W184" i="1"/>
  <c r="V184" i="1"/>
  <c r="W182" i="1"/>
  <c r="V182" i="1"/>
  <c r="W180" i="1"/>
  <c r="W179" i="1"/>
  <c r="V180" i="1"/>
  <c r="V179" i="1"/>
  <c r="W177" i="1"/>
  <c r="V177" i="1"/>
  <c r="W176" i="1"/>
  <c r="V176" i="1"/>
  <c r="W175" i="1"/>
  <c r="W174" i="1"/>
  <c r="V175" i="1"/>
  <c r="V174" i="1"/>
  <c r="W170" i="1"/>
  <c r="W168" i="1"/>
  <c r="W169" i="1"/>
  <c r="W167" i="1"/>
  <c r="V170" i="1"/>
  <c r="V169" i="1"/>
  <c r="V168" i="1"/>
  <c r="W165" i="1"/>
  <c r="V165" i="1"/>
  <c r="W163" i="1"/>
  <c r="V163" i="1"/>
  <c r="W162" i="1"/>
  <c r="V162" i="1"/>
  <c r="W161" i="1"/>
  <c r="V161" i="1"/>
  <c r="W160" i="1"/>
  <c r="W155" i="1"/>
  <c r="V160" i="1"/>
  <c r="W159" i="1"/>
  <c r="V159" i="1"/>
  <c r="W158" i="1"/>
  <c r="V158" i="1"/>
  <c r="W157" i="1"/>
  <c r="V157" i="1"/>
  <c r="W156" i="1"/>
  <c r="V156" i="1"/>
  <c r="W153" i="1"/>
  <c r="V153" i="1"/>
  <c r="V149" i="1"/>
  <c r="W152" i="1"/>
  <c r="V152" i="1"/>
  <c r="W151" i="1"/>
  <c r="V151" i="1"/>
  <c r="W150" i="1"/>
  <c r="V150" i="1"/>
  <c r="W147" i="1"/>
  <c r="V147" i="1"/>
  <c r="W146" i="1"/>
  <c r="V146" i="1"/>
  <c r="W145" i="1"/>
  <c r="V145" i="1"/>
  <c r="W144" i="1"/>
  <c r="V144" i="1"/>
  <c r="W143" i="1"/>
  <c r="V143" i="1"/>
  <c r="W142" i="1"/>
  <c r="V142" i="1"/>
  <c r="W141" i="1"/>
  <c r="V141" i="1"/>
  <c r="W140" i="1"/>
  <c r="V140" i="1"/>
  <c r="W137" i="1"/>
  <c r="V137" i="1"/>
  <c r="W134" i="1"/>
  <c r="V134" i="1"/>
  <c r="W133" i="1"/>
  <c r="V133" i="1"/>
  <c r="W132" i="1"/>
  <c r="W131" i="1"/>
  <c r="V132" i="1"/>
  <c r="V131" i="1"/>
  <c r="W129" i="1"/>
  <c r="V129" i="1"/>
  <c r="W128" i="1"/>
  <c r="V128" i="1"/>
  <c r="W127" i="1"/>
  <c r="V127" i="1"/>
  <c r="W126" i="1"/>
  <c r="V126" i="1"/>
  <c r="W125" i="1"/>
  <c r="V125" i="1"/>
  <c r="W123" i="1"/>
  <c r="V123" i="1"/>
  <c r="W122" i="1"/>
  <c r="V122" i="1"/>
  <c r="W121" i="1"/>
  <c r="V121" i="1"/>
  <c r="W120" i="1"/>
  <c r="V120" i="1"/>
  <c r="W119" i="1"/>
  <c r="V119" i="1"/>
  <c r="W118" i="1"/>
  <c r="V118" i="1"/>
  <c r="W116" i="1"/>
  <c r="V116" i="1"/>
  <c r="W115" i="1"/>
  <c r="V115" i="1"/>
  <c r="W114" i="1"/>
  <c r="V114" i="1"/>
  <c r="W113" i="1"/>
  <c r="V113" i="1"/>
  <c r="W112" i="1"/>
  <c r="V112" i="1"/>
  <c r="V111" i="1"/>
  <c r="W111" i="1"/>
  <c r="W109" i="1"/>
  <c r="V109" i="1"/>
  <c r="W108" i="1"/>
  <c r="V108" i="1"/>
  <c r="W107" i="1"/>
  <c r="W106" i="1"/>
  <c r="V107" i="1"/>
  <c r="V106" i="1"/>
  <c r="W102" i="1"/>
  <c r="V102" i="1"/>
  <c r="W101" i="1"/>
  <c r="V101" i="1"/>
  <c r="W100" i="1"/>
  <c r="V100" i="1"/>
  <c r="W99" i="1"/>
  <c r="V99" i="1"/>
  <c r="W98" i="1"/>
  <c r="V98" i="1"/>
  <c r="W97" i="1"/>
  <c r="V97" i="1"/>
  <c r="W96" i="1"/>
  <c r="V96" i="1"/>
  <c r="W95" i="1"/>
  <c r="W94" i="1"/>
  <c r="V95" i="1"/>
  <c r="W92" i="1"/>
  <c r="W86" i="1"/>
  <c r="V92" i="1"/>
  <c r="V86" i="1"/>
  <c r="W91" i="1"/>
  <c r="V91" i="1"/>
  <c r="W90" i="1"/>
  <c r="V90" i="1"/>
  <c r="W89" i="1"/>
  <c r="V89" i="1"/>
  <c r="W88" i="1"/>
  <c r="V88" i="1"/>
  <c r="W87" i="1"/>
  <c r="V87" i="1"/>
  <c r="W84" i="1"/>
  <c r="V84" i="1"/>
  <c r="W83" i="1"/>
  <c r="V83" i="1"/>
  <c r="W82" i="1"/>
  <c r="V82" i="1"/>
  <c r="W80" i="1"/>
  <c r="V80" i="1"/>
  <c r="W79" i="1"/>
  <c r="V79" i="1"/>
  <c r="W78" i="1"/>
  <c r="V78" i="1"/>
  <c r="W75" i="1"/>
  <c r="V75" i="1"/>
  <c r="W74" i="1"/>
  <c r="V74" i="1"/>
  <c r="W73" i="1"/>
  <c r="V73" i="1"/>
  <c r="W70" i="1"/>
  <c r="V70" i="1"/>
  <c r="W69" i="1"/>
  <c r="V69" i="1"/>
  <c r="W68" i="1"/>
  <c r="W67" i="1"/>
  <c r="V68" i="1"/>
  <c r="V67" i="1"/>
  <c r="W65" i="1"/>
  <c r="V65" i="1"/>
  <c r="W64" i="1"/>
  <c r="W63" i="1"/>
  <c r="V64" i="1"/>
  <c r="V63" i="1"/>
  <c r="W61" i="1"/>
  <c r="V61" i="1"/>
  <c r="W59" i="1"/>
  <c r="V59" i="1"/>
  <c r="W58" i="1"/>
  <c r="V58" i="1"/>
  <c r="W57" i="1"/>
  <c r="V57" i="1"/>
  <c r="W56" i="1"/>
  <c r="V56" i="1"/>
  <c r="W55" i="1"/>
  <c r="V55" i="1"/>
  <c r="V52" i="1"/>
  <c r="W54" i="1"/>
  <c r="V54" i="1"/>
  <c r="W53" i="1"/>
  <c r="W52" i="1"/>
  <c r="V53" i="1"/>
  <c r="W50" i="1"/>
  <c r="V50" i="1"/>
  <c r="W49" i="1"/>
  <c r="V49" i="1"/>
  <c r="W48" i="1"/>
  <c r="V48" i="1"/>
  <c r="W47" i="1"/>
  <c r="W46" i="1"/>
  <c r="V47" i="1"/>
  <c r="W42" i="1"/>
  <c r="V42" i="1"/>
  <c r="W41" i="1"/>
  <c r="V41" i="1"/>
  <c r="W36" i="1"/>
  <c r="V36" i="1"/>
  <c r="W34" i="1"/>
  <c r="V34" i="1"/>
  <c r="W33" i="1"/>
  <c r="V33" i="1"/>
  <c r="W32" i="1"/>
  <c r="V32" i="1"/>
  <c r="W31" i="1"/>
  <c r="W30" i="1"/>
  <c r="V31" i="1"/>
  <c r="V30" i="1"/>
  <c r="W28" i="1"/>
  <c r="V28" i="1"/>
  <c r="W26" i="1"/>
  <c r="V26" i="1"/>
  <c r="W24" i="1"/>
  <c r="V24" i="1"/>
  <c r="W23" i="1"/>
  <c r="V23" i="1"/>
  <c r="W22" i="1"/>
  <c r="W21" i="1"/>
  <c r="V22" i="1"/>
  <c r="V21" i="1"/>
  <c r="W19" i="1"/>
  <c r="V19" i="1"/>
  <c r="W18" i="1"/>
  <c r="V18" i="1"/>
  <c r="W17" i="1"/>
  <c r="W16" i="1"/>
  <c r="W14" i="1"/>
  <c r="V17" i="1"/>
  <c r="V16" i="1"/>
  <c r="V14" i="1"/>
  <c r="Y863" i="1"/>
  <c r="X863" i="1"/>
  <c r="Y860" i="1"/>
  <c r="X860" i="1"/>
  <c r="Y856" i="1"/>
  <c r="X856" i="1"/>
  <c r="Y845" i="1"/>
  <c r="X845" i="1"/>
  <c r="Y842" i="1"/>
  <c r="X842" i="1"/>
  <c r="Y827" i="1"/>
  <c r="X827" i="1"/>
  <c r="Y790" i="1"/>
  <c r="X790" i="1"/>
  <c r="Y783" i="1"/>
  <c r="X783" i="1"/>
  <c r="Y768" i="1"/>
  <c r="X768" i="1"/>
  <c r="Y742" i="1"/>
  <c r="X742" i="1"/>
  <c r="Y738" i="1"/>
  <c r="X738" i="1"/>
  <c r="Y728" i="1"/>
  <c r="X728" i="1"/>
  <c r="Y725" i="1"/>
  <c r="X725" i="1"/>
  <c r="X723" i="1"/>
  <c r="X721" i="1"/>
  <c r="Y718" i="1"/>
  <c r="X718" i="1"/>
  <c r="Y711" i="1"/>
  <c r="Y691" i="1"/>
  <c r="X711" i="1"/>
  <c r="X691" i="1"/>
  <c r="Y705" i="1"/>
  <c r="X705" i="1"/>
  <c r="Y702" i="1"/>
  <c r="X702" i="1"/>
  <c r="Y699" i="1"/>
  <c r="X699" i="1"/>
  <c r="Y696" i="1"/>
  <c r="X696" i="1"/>
  <c r="Y693" i="1"/>
  <c r="X693" i="1"/>
  <c r="Y685" i="1"/>
  <c r="X685" i="1"/>
  <c r="Y681" i="1"/>
  <c r="X681" i="1"/>
  <c r="Y669" i="1"/>
  <c r="Y664" i="1"/>
  <c r="Y662" i="1"/>
  <c r="X669" i="1"/>
  <c r="X664" i="1"/>
  <c r="Y666" i="1"/>
  <c r="X666" i="1"/>
  <c r="Y655" i="1"/>
  <c r="X655" i="1"/>
  <c r="Y645" i="1"/>
  <c r="X645" i="1"/>
  <c r="Y637" i="1"/>
  <c r="X637" i="1"/>
  <c r="Y634" i="1"/>
  <c r="Y632" i="1"/>
  <c r="Y630" i="1"/>
  <c r="Y628" i="1"/>
  <c r="X634" i="1"/>
  <c r="X632" i="1"/>
  <c r="X630" i="1"/>
  <c r="X628" i="1"/>
  <c r="Y625" i="1"/>
  <c r="X625" i="1"/>
  <c r="Y621" i="1"/>
  <c r="X621" i="1"/>
  <c r="Y616" i="1"/>
  <c r="X616" i="1"/>
  <c r="Y613" i="1"/>
  <c r="X613" i="1"/>
  <c r="Y611" i="1"/>
  <c r="X611" i="1"/>
  <c r="Y606" i="1"/>
  <c r="X606" i="1"/>
  <c r="Y600" i="1"/>
  <c r="X600" i="1"/>
  <c r="Y592" i="1"/>
  <c r="X592" i="1"/>
  <c r="Y585" i="1"/>
  <c r="X585" i="1"/>
  <c r="Y581" i="1"/>
  <c r="X581" i="1"/>
  <c r="X579" i="1"/>
  <c r="X577" i="1"/>
  <c r="Y571" i="1"/>
  <c r="Y569" i="1"/>
  <c r="Y567" i="1"/>
  <c r="X571" i="1"/>
  <c r="X569" i="1"/>
  <c r="X567" i="1"/>
  <c r="Y563" i="1"/>
  <c r="X563" i="1"/>
  <c r="Y558" i="1"/>
  <c r="X558" i="1"/>
  <c r="Y555" i="1"/>
  <c r="Y541" i="1"/>
  <c r="X555" i="1"/>
  <c r="X541" i="1"/>
  <c r="Y549" i="1"/>
  <c r="X549" i="1"/>
  <c r="Y543" i="1"/>
  <c r="X543" i="1"/>
  <c r="Y535" i="1"/>
  <c r="X535" i="1"/>
  <c r="Y532" i="1"/>
  <c r="X532" i="1"/>
  <c r="Y526" i="1"/>
  <c r="X526" i="1"/>
  <c r="Y507" i="1"/>
  <c r="X507" i="1"/>
  <c r="Y505" i="1"/>
  <c r="X505" i="1"/>
  <c r="Y500" i="1"/>
  <c r="X500" i="1"/>
  <c r="Y488" i="1"/>
  <c r="X488" i="1"/>
  <c r="Y482" i="1"/>
  <c r="X482" i="1"/>
  <c r="Y472" i="1"/>
  <c r="X472" i="1"/>
  <c r="Y464" i="1"/>
  <c r="X464" i="1"/>
  <c r="Y458" i="1"/>
  <c r="X458" i="1"/>
  <c r="Y451" i="1"/>
  <c r="X451" i="1"/>
  <c r="Y444" i="1"/>
  <c r="X444" i="1"/>
  <c r="Y439" i="1"/>
  <c r="X439" i="1"/>
  <c r="Y437" i="1"/>
  <c r="X437" i="1"/>
  <c r="Y427" i="1"/>
  <c r="X427" i="1"/>
  <c r="Y419" i="1"/>
  <c r="X419" i="1"/>
  <c r="Y416" i="1"/>
  <c r="X416" i="1"/>
  <c r="Y411" i="1"/>
  <c r="X411" i="1"/>
  <c r="Y406" i="1"/>
  <c r="X406" i="1"/>
  <c r="X386" i="1"/>
  <c r="X378" i="1"/>
  <c r="Y401" i="1"/>
  <c r="X401" i="1"/>
  <c r="Y397" i="1"/>
  <c r="X397" i="1"/>
  <c r="Y386" i="1"/>
  <c r="Y380" i="1"/>
  <c r="X380" i="1"/>
  <c r="Y378" i="1"/>
  <c r="Y375" i="1"/>
  <c r="X375" i="1"/>
  <c r="Y368" i="1"/>
  <c r="Y366" i="1"/>
  <c r="X368" i="1"/>
  <c r="X366" i="1"/>
  <c r="Y361" i="1"/>
  <c r="X361" i="1"/>
  <c r="Y358" i="1"/>
  <c r="X358" i="1"/>
  <c r="Y354" i="1"/>
  <c r="X354" i="1"/>
  <c r="Y349" i="1"/>
  <c r="Y347" i="1"/>
  <c r="X349" i="1"/>
  <c r="Y329" i="1"/>
  <c r="X329" i="1"/>
  <c r="Y326" i="1"/>
  <c r="X326" i="1"/>
  <c r="Y322" i="1"/>
  <c r="X322" i="1"/>
  <c r="Y319" i="1"/>
  <c r="X319" i="1"/>
  <c r="Y316" i="1"/>
  <c r="X316" i="1"/>
  <c r="Y313" i="1"/>
  <c r="X313" i="1"/>
  <c r="Y310" i="1"/>
  <c r="Y308" i="1"/>
  <c r="X310" i="1"/>
  <c r="X308" i="1"/>
  <c r="Y305" i="1"/>
  <c r="X305" i="1"/>
  <c r="Y302" i="1"/>
  <c r="X302" i="1"/>
  <c r="Y298" i="1"/>
  <c r="X298" i="1"/>
  <c r="Y293" i="1"/>
  <c r="X293" i="1"/>
  <c r="Y288" i="1"/>
  <c r="X288" i="1"/>
  <c r="Y279" i="1"/>
  <c r="X279" i="1"/>
  <c r="Y275" i="1"/>
  <c r="X275" i="1"/>
  <c r="Y267" i="1"/>
  <c r="X267" i="1"/>
  <c r="Y259" i="1"/>
  <c r="X259" i="1"/>
  <c r="Y251" i="1"/>
  <c r="X251" i="1"/>
  <c r="Y246" i="1"/>
  <c r="Y244" i="1"/>
  <c r="X246" i="1"/>
  <c r="X244" i="1"/>
  <c r="Y238" i="1"/>
  <c r="X238" i="1"/>
  <c r="Y237" i="1"/>
  <c r="Y236" i="1"/>
  <c r="X237" i="1"/>
  <c r="Y234" i="1"/>
  <c r="X234" i="1"/>
  <c r="Y233" i="1"/>
  <c r="X233" i="1"/>
  <c r="Y231" i="1"/>
  <c r="Y230" i="1"/>
  <c r="X231" i="1"/>
  <c r="X230" i="1"/>
  <c r="Y228" i="1"/>
  <c r="Y227" i="1"/>
  <c r="X228" i="1"/>
  <c r="X227" i="1"/>
  <c r="Y225" i="1"/>
  <c r="Y224" i="1"/>
  <c r="X225" i="1"/>
  <c r="X224" i="1"/>
  <c r="Y222" i="1"/>
  <c r="X222" i="1"/>
  <c r="Y221" i="1"/>
  <c r="X221" i="1"/>
  <c r="Y220" i="1"/>
  <c r="X220" i="1"/>
  <c r="X218" i="1"/>
  <c r="Y219" i="1"/>
  <c r="X219" i="1"/>
  <c r="Y218" i="1"/>
  <c r="Y216" i="1"/>
  <c r="X216" i="1"/>
  <c r="Y215" i="1"/>
  <c r="X215" i="1"/>
  <c r="Y214" i="1"/>
  <c r="X214" i="1"/>
  <c r="Y213" i="1"/>
  <c r="Y212" i="1"/>
  <c r="X213" i="1"/>
  <c r="X212" i="1"/>
  <c r="Y205" i="1"/>
  <c r="X205" i="1"/>
  <c r="Y204" i="1"/>
  <c r="X204" i="1"/>
  <c r="Y202" i="1"/>
  <c r="Y201" i="1"/>
  <c r="Y199" i="1"/>
  <c r="X202" i="1"/>
  <c r="X201" i="1"/>
  <c r="X199" i="1"/>
  <c r="Y197" i="1"/>
  <c r="X197" i="1"/>
  <c r="Y196" i="1"/>
  <c r="Y195" i="1"/>
  <c r="X196" i="1"/>
  <c r="X195" i="1"/>
  <c r="Y193" i="1"/>
  <c r="X193" i="1"/>
  <c r="Y191" i="1"/>
  <c r="X191" i="1"/>
  <c r="Y189" i="1"/>
  <c r="X189" i="1"/>
  <c r="Y187" i="1"/>
  <c r="X187" i="1"/>
  <c r="Y185" i="1"/>
  <c r="X185" i="1"/>
  <c r="Y184" i="1"/>
  <c r="X184" i="1"/>
  <c r="Y182" i="1"/>
  <c r="X182" i="1"/>
  <c r="Y180" i="1"/>
  <c r="Y179" i="1"/>
  <c r="X180" i="1"/>
  <c r="X179" i="1"/>
  <c r="Y177" i="1"/>
  <c r="X177" i="1"/>
  <c r="Y176" i="1"/>
  <c r="X176" i="1"/>
  <c r="Y175" i="1"/>
  <c r="Y174" i="1"/>
  <c r="X175" i="1"/>
  <c r="X174" i="1"/>
  <c r="Y170" i="1"/>
  <c r="X170" i="1"/>
  <c r="X168" i="1"/>
  <c r="X169" i="1"/>
  <c r="X167" i="1"/>
  <c r="Y169" i="1"/>
  <c r="Y168" i="1"/>
  <c r="Y165" i="1"/>
  <c r="X165" i="1"/>
  <c r="Y163" i="1"/>
  <c r="X163" i="1"/>
  <c r="Y162" i="1"/>
  <c r="X162" i="1"/>
  <c r="Y161" i="1"/>
  <c r="X161" i="1"/>
  <c r="Y160" i="1"/>
  <c r="X160" i="1"/>
  <c r="X155" i="1"/>
  <c r="Y159" i="1"/>
  <c r="X159" i="1"/>
  <c r="Y158" i="1"/>
  <c r="X158" i="1"/>
  <c r="Y157" i="1"/>
  <c r="X157" i="1"/>
  <c r="Y156" i="1"/>
  <c r="X156" i="1"/>
  <c r="Y155" i="1"/>
  <c r="Y153" i="1"/>
  <c r="Y149" i="1"/>
  <c r="X153" i="1"/>
  <c r="Y152" i="1"/>
  <c r="X152" i="1"/>
  <c r="Y151" i="1"/>
  <c r="X151" i="1"/>
  <c r="Y150" i="1"/>
  <c r="X150" i="1"/>
  <c r="X149" i="1"/>
  <c r="Y147" i="1"/>
  <c r="X147" i="1"/>
  <c r="Y146" i="1"/>
  <c r="X146" i="1"/>
  <c r="Y145" i="1"/>
  <c r="X145" i="1"/>
  <c r="Y144" i="1"/>
  <c r="X144" i="1"/>
  <c r="Y143" i="1"/>
  <c r="X143" i="1"/>
  <c r="Y142" i="1"/>
  <c r="X142" i="1"/>
  <c r="Y141" i="1"/>
  <c r="X141" i="1"/>
  <c r="Y140" i="1"/>
  <c r="Y139" i="1"/>
  <c r="X140" i="1"/>
  <c r="Y137" i="1"/>
  <c r="X137" i="1"/>
  <c r="Y134" i="1"/>
  <c r="X134" i="1"/>
  <c r="Y133" i="1"/>
  <c r="X133" i="1"/>
  <c r="Y132" i="1"/>
  <c r="Y131" i="1"/>
  <c r="X132" i="1"/>
  <c r="X131" i="1"/>
  <c r="Y129" i="1"/>
  <c r="X129" i="1"/>
  <c r="Y128" i="1"/>
  <c r="X128" i="1"/>
  <c r="Y127" i="1"/>
  <c r="X127" i="1"/>
  <c r="Y126" i="1"/>
  <c r="X126" i="1"/>
  <c r="Y125" i="1"/>
  <c r="X125" i="1"/>
  <c r="Y123" i="1"/>
  <c r="X123" i="1"/>
  <c r="Y122" i="1"/>
  <c r="X122" i="1"/>
  <c r="Y121" i="1"/>
  <c r="X121" i="1"/>
  <c r="Y120" i="1"/>
  <c r="X120" i="1"/>
  <c r="Y119" i="1"/>
  <c r="X119" i="1"/>
  <c r="Y118" i="1"/>
  <c r="X118" i="1"/>
  <c r="Y116" i="1"/>
  <c r="X116" i="1"/>
  <c r="Y115" i="1"/>
  <c r="X115" i="1"/>
  <c r="Y114" i="1"/>
  <c r="X114" i="1"/>
  <c r="Y113" i="1"/>
  <c r="X113" i="1"/>
  <c r="Y112" i="1"/>
  <c r="X112" i="1"/>
  <c r="Y111" i="1"/>
  <c r="X111" i="1"/>
  <c r="Y109" i="1"/>
  <c r="X109" i="1"/>
  <c r="Y108" i="1"/>
  <c r="X108" i="1"/>
  <c r="Y107" i="1"/>
  <c r="Y106" i="1"/>
  <c r="X107" i="1"/>
  <c r="X106" i="1"/>
  <c r="Y102" i="1"/>
  <c r="X102" i="1"/>
  <c r="Y101" i="1"/>
  <c r="X101" i="1"/>
  <c r="Y100" i="1"/>
  <c r="X100" i="1"/>
  <c r="Y99" i="1"/>
  <c r="X99" i="1"/>
  <c r="Y98" i="1"/>
  <c r="X98" i="1"/>
  <c r="Y97" i="1"/>
  <c r="X97" i="1"/>
  <c r="Y96" i="1"/>
  <c r="X96" i="1"/>
  <c r="Y95" i="1"/>
  <c r="X95" i="1"/>
  <c r="Y92" i="1"/>
  <c r="Y86" i="1"/>
  <c r="X92" i="1"/>
  <c r="Y91" i="1"/>
  <c r="X91" i="1"/>
  <c r="Y90" i="1"/>
  <c r="X90" i="1"/>
  <c r="Y89" i="1"/>
  <c r="X89" i="1"/>
  <c r="Y88" i="1"/>
  <c r="X88" i="1"/>
  <c r="Y87" i="1"/>
  <c r="X87" i="1"/>
  <c r="X86" i="1"/>
  <c r="Y84" i="1"/>
  <c r="X84" i="1"/>
  <c r="Y83" i="1"/>
  <c r="X83" i="1"/>
  <c r="Y82" i="1"/>
  <c r="X82" i="1"/>
  <c r="Y80" i="1"/>
  <c r="X80" i="1"/>
  <c r="X77" i="1"/>
  <c r="Y79" i="1"/>
  <c r="X79" i="1"/>
  <c r="Y78" i="1"/>
  <c r="X78" i="1"/>
  <c r="Y77" i="1"/>
  <c r="Y75" i="1"/>
  <c r="X75" i="1"/>
  <c r="Y74" i="1"/>
  <c r="X74" i="1"/>
  <c r="Y73" i="1"/>
  <c r="X73" i="1"/>
  <c r="X72" i="1"/>
  <c r="Y72" i="1"/>
  <c r="Y70" i="1"/>
  <c r="X70" i="1"/>
  <c r="Y69" i="1"/>
  <c r="X69" i="1"/>
  <c r="Y68" i="1"/>
  <c r="X68" i="1"/>
  <c r="Y67" i="1"/>
  <c r="Y65" i="1"/>
  <c r="X65" i="1"/>
  <c r="Y64" i="1"/>
  <c r="Y63" i="1"/>
  <c r="X64" i="1"/>
  <c r="X63" i="1"/>
  <c r="Y61" i="1"/>
  <c r="X61" i="1"/>
  <c r="Y59" i="1"/>
  <c r="X59" i="1"/>
  <c r="Y58" i="1"/>
  <c r="X58" i="1"/>
  <c r="Y57" i="1"/>
  <c r="X57" i="1"/>
  <c r="Y56" i="1"/>
  <c r="X56" i="1"/>
  <c r="Y55" i="1"/>
  <c r="X55" i="1"/>
  <c r="Y54" i="1"/>
  <c r="X54" i="1"/>
  <c r="Y53" i="1"/>
  <c r="X53" i="1"/>
  <c r="X52" i="1"/>
  <c r="Y50" i="1"/>
  <c r="X50" i="1"/>
  <c r="Y49" i="1"/>
  <c r="X49" i="1"/>
  <c r="Y48" i="1"/>
  <c r="X48" i="1"/>
  <c r="Y47" i="1"/>
  <c r="Y46" i="1"/>
  <c r="X47" i="1"/>
  <c r="X46" i="1"/>
  <c r="Y42" i="1"/>
  <c r="X42" i="1"/>
  <c r="Y41" i="1"/>
  <c r="X41" i="1"/>
  <c r="Y38" i="1"/>
  <c r="X38" i="1"/>
  <c r="Y36" i="1"/>
  <c r="X36" i="1"/>
  <c r="Y34" i="1"/>
  <c r="X34" i="1"/>
  <c r="Y33" i="1"/>
  <c r="X33" i="1"/>
  <c r="Y32" i="1"/>
  <c r="X32" i="1"/>
  <c r="Y31" i="1"/>
  <c r="Y30" i="1"/>
  <c r="X31" i="1"/>
  <c r="X30" i="1"/>
  <c r="Y28" i="1"/>
  <c r="X28" i="1"/>
  <c r="Y26" i="1"/>
  <c r="X26" i="1"/>
  <c r="Y24" i="1"/>
  <c r="X24" i="1"/>
  <c r="Y23" i="1"/>
  <c r="X23" i="1"/>
  <c r="Y22" i="1"/>
  <c r="Y21" i="1"/>
  <c r="X22" i="1"/>
  <c r="X21" i="1"/>
  <c r="Y19" i="1"/>
  <c r="X19" i="1"/>
  <c r="Y18" i="1"/>
  <c r="X18" i="1"/>
  <c r="Y17" i="1"/>
  <c r="Y16" i="1"/>
  <c r="Y14" i="1"/>
  <c r="X17" i="1"/>
  <c r="X16" i="1"/>
  <c r="X14" i="1"/>
  <c r="AA863" i="1"/>
  <c r="Z863" i="1"/>
  <c r="AA860" i="1"/>
  <c r="Z860" i="1"/>
  <c r="AA856" i="1"/>
  <c r="Z856" i="1"/>
  <c r="AA845" i="1"/>
  <c r="Z845" i="1"/>
  <c r="AA842" i="1"/>
  <c r="Z842" i="1"/>
  <c r="AA827" i="1"/>
  <c r="Z827" i="1"/>
  <c r="AA790" i="1"/>
  <c r="Z790" i="1"/>
  <c r="AA783" i="1"/>
  <c r="Z783" i="1"/>
  <c r="AA768" i="1"/>
  <c r="Z768" i="1"/>
  <c r="AA742" i="1"/>
  <c r="Z742" i="1"/>
  <c r="AA738" i="1"/>
  <c r="Z738" i="1"/>
  <c r="AA728" i="1"/>
  <c r="Z728" i="1"/>
  <c r="AA725" i="1"/>
  <c r="Z725" i="1"/>
  <c r="AA718" i="1"/>
  <c r="Z718" i="1"/>
  <c r="AA711" i="1"/>
  <c r="AA691" i="1"/>
  <c r="Z711" i="1"/>
  <c r="Z691" i="1"/>
  <c r="AA705" i="1"/>
  <c r="Z705" i="1"/>
  <c r="AA702" i="1"/>
  <c r="Z702" i="1"/>
  <c r="AA699" i="1"/>
  <c r="Z699" i="1"/>
  <c r="AA696" i="1"/>
  <c r="Z696" i="1"/>
  <c r="AA693" i="1"/>
  <c r="Z693" i="1"/>
  <c r="AA685" i="1"/>
  <c r="Z685" i="1"/>
  <c r="AA681" i="1"/>
  <c r="Z681" i="1"/>
  <c r="AA669" i="1"/>
  <c r="AA664" i="1"/>
  <c r="AA662" i="1"/>
  <c r="Z669" i="1"/>
  <c r="Z664" i="1"/>
  <c r="AA666" i="1"/>
  <c r="Z666" i="1"/>
  <c r="AA655" i="1"/>
  <c r="Z655" i="1"/>
  <c r="AA645" i="1"/>
  <c r="Z645" i="1"/>
  <c r="AA637" i="1"/>
  <c r="Z637" i="1"/>
  <c r="AA634" i="1"/>
  <c r="Z634" i="1"/>
  <c r="AA632" i="1"/>
  <c r="AA630" i="1"/>
  <c r="AA628" i="1"/>
  <c r="Z632" i="1"/>
  <c r="Z630" i="1"/>
  <c r="Z628" i="1"/>
  <c r="AA625" i="1"/>
  <c r="Z625" i="1"/>
  <c r="AA621" i="1"/>
  <c r="AA619" i="1"/>
  <c r="Z621" i="1"/>
  <c r="AA616" i="1"/>
  <c r="Z616" i="1"/>
  <c r="AA613" i="1"/>
  <c r="Z613" i="1"/>
  <c r="AA611" i="1"/>
  <c r="AA609" i="1"/>
  <c r="Z611" i="1"/>
  <c r="AA606" i="1"/>
  <c r="Z606" i="1"/>
  <c r="AA600" i="1"/>
  <c r="Z600" i="1"/>
  <c r="AA592" i="1"/>
  <c r="Z592" i="1"/>
  <c r="AA585" i="1"/>
  <c r="Z585" i="1"/>
  <c r="AA581" i="1"/>
  <c r="AA579" i="1"/>
  <c r="AA577" i="1"/>
  <c r="AA575" i="1"/>
  <c r="Z581" i="1"/>
  <c r="Z579" i="1"/>
  <c r="Z577" i="1"/>
  <c r="AA571" i="1"/>
  <c r="AA569" i="1"/>
  <c r="AA567" i="1"/>
  <c r="Z571" i="1"/>
  <c r="Z569" i="1"/>
  <c r="Z567" i="1"/>
  <c r="AA563" i="1"/>
  <c r="Z563" i="1"/>
  <c r="AA558" i="1"/>
  <c r="Z558" i="1"/>
  <c r="AA555" i="1"/>
  <c r="Z555" i="1"/>
  <c r="AA549" i="1"/>
  <c r="Z549" i="1"/>
  <c r="AA543" i="1"/>
  <c r="Z543" i="1"/>
  <c r="AA541" i="1"/>
  <c r="Z541" i="1"/>
  <c r="AA535" i="1"/>
  <c r="Z535" i="1"/>
  <c r="AA532" i="1"/>
  <c r="Z532" i="1"/>
  <c r="AA526" i="1"/>
  <c r="Z526" i="1"/>
  <c r="AA507" i="1"/>
  <c r="Z507" i="1"/>
  <c r="AA505" i="1"/>
  <c r="Z505" i="1"/>
  <c r="AA500" i="1"/>
  <c r="Z500" i="1"/>
  <c r="AA488" i="1"/>
  <c r="Z488" i="1"/>
  <c r="AA482" i="1"/>
  <c r="Z482" i="1"/>
  <c r="AA472" i="1"/>
  <c r="Z472" i="1"/>
  <c r="AA464" i="1"/>
  <c r="Z464" i="1"/>
  <c r="AA458" i="1"/>
  <c r="Z458" i="1"/>
  <c r="AA451" i="1"/>
  <c r="Z451" i="1"/>
  <c r="AA444" i="1"/>
  <c r="Z444" i="1"/>
  <c r="AA439" i="1"/>
  <c r="Z439" i="1"/>
  <c r="AA437" i="1"/>
  <c r="Z437" i="1"/>
  <c r="AA427" i="1"/>
  <c r="Z427" i="1"/>
  <c r="AA419" i="1"/>
  <c r="Z419" i="1"/>
  <c r="AA416" i="1"/>
  <c r="Z416" i="1"/>
  <c r="AA411" i="1"/>
  <c r="Z411" i="1"/>
  <c r="AA406" i="1"/>
  <c r="Z406" i="1"/>
  <c r="AA401" i="1"/>
  <c r="Z401" i="1"/>
  <c r="AA397" i="1"/>
  <c r="Z397" i="1"/>
  <c r="AA386" i="1"/>
  <c r="Z386" i="1"/>
  <c r="AA380" i="1"/>
  <c r="Z380" i="1"/>
  <c r="AA378" i="1"/>
  <c r="AA364" i="1"/>
  <c r="Z378" i="1"/>
  <c r="AA375" i="1"/>
  <c r="Z375" i="1"/>
  <c r="AA368" i="1"/>
  <c r="AA366" i="1"/>
  <c r="Z368" i="1"/>
  <c r="Z366" i="1"/>
  <c r="Z364" i="1"/>
  <c r="AA361" i="1"/>
  <c r="Z361" i="1"/>
  <c r="AA358" i="1"/>
  <c r="Z358" i="1"/>
  <c r="AA354" i="1"/>
  <c r="Z354" i="1"/>
  <c r="AA349" i="1"/>
  <c r="AA347" i="1"/>
  <c r="Z349" i="1"/>
  <c r="AA329" i="1"/>
  <c r="Z329" i="1"/>
  <c r="AA326" i="1"/>
  <c r="Z326" i="1"/>
  <c r="AA322" i="1"/>
  <c r="Z322" i="1"/>
  <c r="AA319" i="1"/>
  <c r="Z319" i="1"/>
  <c r="AA316" i="1"/>
  <c r="Z316" i="1"/>
  <c r="AA313" i="1"/>
  <c r="Z313" i="1"/>
  <c r="AA310" i="1"/>
  <c r="AA308" i="1"/>
  <c r="Z310" i="1"/>
  <c r="Z308" i="1"/>
  <c r="AA305" i="1"/>
  <c r="Z305" i="1"/>
  <c r="AA302" i="1"/>
  <c r="Z302" i="1"/>
  <c r="AA298" i="1"/>
  <c r="Z298" i="1"/>
  <c r="AA293" i="1"/>
  <c r="AA273" i="1"/>
  <c r="AA242" i="1"/>
  <c r="Z293" i="1"/>
  <c r="AA288" i="1"/>
  <c r="Z288" i="1"/>
  <c r="AA279" i="1"/>
  <c r="Z279" i="1"/>
  <c r="AA275" i="1"/>
  <c r="Z275" i="1"/>
  <c r="AA267" i="1"/>
  <c r="Z267" i="1"/>
  <c r="AA259" i="1"/>
  <c r="Z259" i="1"/>
  <c r="AA251" i="1"/>
  <c r="Z251" i="1"/>
  <c r="AA246" i="1"/>
  <c r="Z246" i="1"/>
  <c r="AA244" i="1"/>
  <c r="Z244" i="1"/>
  <c r="AA238" i="1"/>
  <c r="Z238" i="1"/>
  <c r="Z237" i="1"/>
  <c r="Z236" i="1"/>
  <c r="AA237" i="1"/>
  <c r="AA234" i="1"/>
  <c r="Z234" i="1"/>
  <c r="AA233" i="1"/>
  <c r="Z233" i="1"/>
  <c r="AA231" i="1"/>
  <c r="AA230" i="1"/>
  <c r="Z231" i="1"/>
  <c r="Z230" i="1"/>
  <c r="AA228" i="1"/>
  <c r="AA227" i="1"/>
  <c r="Z228" i="1"/>
  <c r="Z227" i="1"/>
  <c r="AA225" i="1"/>
  <c r="AA224" i="1"/>
  <c r="Z225" i="1"/>
  <c r="Z224" i="1"/>
  <c r="AA222" i="1"/>
  <c r="Z222" i="1"/>
  <c r="AA221" i="1"/>
  <c r="Z221" i="1"/>
  <c r="AA220" i="1"/>
  <c r="Z220" i="1"/>
  <c r="AA219" i="1"/>
  <c r="Z219" i="1"/>
  <c r="AA218" i="1"/>
  <c r="Z218" i="1"/>
  <c r="AA216" i="1"/>
  <c r="Z216" i="1"/>
  <c r="AA215" i="1"/>
  <c r="Z215" i="1"/>
  <c r="AA214" i="1"/>
  <c r="Z214" i="1"/>
  <c r="AA213" i="1"/>
  <c r="AA212" i="1"/>
  <c r="Z213" i="1"/>
  <c r="Z212" i="1"/>
  <c r="AA205" i="1"/>
  <c r="Z205" i="1"/>
  <c r="AA204" i="1"/>
  <c r="Z204" i="1"/>
  <c r="AA202" i="1"/>
  <c r="AA201" i="1"/>
  <c r="AA199" i="1"/>
  <c r="Z202" i="1"/>
  <c r="Z201" i="1"/>
  <c r="Z199" i="1"/>
  <c r="AA197" i="1"/>
  <c r="Z197" i="1"/>
  <c r="AA196" i="1"/>
  <c r="AA195" i="1"/>
  <c r="Z196" i="1"/>
  <c r="AA193" i="1"/>
  <c r="Z193" i="1"/>
  <c r="AA191" i="1"/>
  <c r="Z191" i="1"/>
  <c r="AA189" i="1"/>
  <c r="Z189" i="1"/>
  <c r="AA187" i="1"/>
  <c r="Z187" i="1"/>
  <c r="AA185" i="1"/>
  <c r="Z185" i="1"/>
  <c r="AA184" i="1"/>
  <c r="Z184" i="1"/>
  <c r="AA182" i="1"/>
  <c r="Z182" i="1"/>
  <c r="AA180" i="1"/>
  <c r="AA179" i="1"/>
  <c r="Z180" i="1"/>
  <c r="Z179" i="1"/>
  <c r="AA177" i="1"/>
  <c r="Z177" i="1"/>
  <c r="AA176" i="1"/>
  <c r="Z176" i="1"/>
  <c r="AA175" i="1"/>
  <c r="AA174" i="1"/>
  <c r="Z175" i="1"/>
  <c r="Z174" i="1"/>
  <c r="AA170" i="1"/>
  <c r="AA168" i="1"/>
  <c r="AA169" i="1"/>
  <c r="Z170" i="1"/>
  <c r="Z169" i="1"/>
  <c r="Z168" i="1"/>
  <c r="AA165" i="1"/>
  <c r="Z165" i="1"/>
  <c r="AA163" i="1"/>
  <c r="Z163" i="1"/>
  <c r="AA162" i="1"/>
  <c r="Z162" i="1"/>
  <c r="AA161" i="1"/>
  <c r="Z161" i="1"/>
  <c r="AA160" i="1"/>
  <c r="AA155" i="1"/>
  <c r="Z160" i="1"/>
  <c r="Z155" i="1"/>
  <c r="AA159" i="1"/>
  <c r="Z159" i="1"/>
  <c r="AA158" i="1"/>
  <c r="Z158" i="1"/>
  <c r="AA157" i="1"/>
  <c r="Z157" i="1"/>
  <c r="AA156" i="1"/>
  <c r="Z156" i="1"/>
  <c r="AA153" i="1"/>
  <c r="Z153" i="1"/>
  <c r="AA152" i="1"/>
  <c r="Z152" i="1"/>
  <c r="AA151" i="1"/>
  <c r="Z151" i="1"/>
  <c r="AA150" i="1"/>
  <c r="AA149" i="1"/>
  <c r="Z150" i="1"/>
  <c r="Z149" i="1"/>
  <c r="AA147" i="1"/>
  <c r="Z147" i="1"/>
  <c r="AA146" i="1"/>
  <c r="Z146" i="1"/>
  <c r="AA145" i="1"/>
  <c r="Z145" i="1"/>
  <c r="AA144" i="1"/>
  <c r="Z144" i="1"/>
  <c r="AA143" i="1"/>
  <c r="Z143" i="1"/>
  <c r="AA142" i="1"/>
  <c r="Z142" i="1"/>
  <c r="AA141" i="1"/>
  <c r="Z141" i="1"/>
  <c r="AA140" i="1"/>
  <c r="Z140" i="1"/>
  <c r="AA137" i="1"/>
  <c r="Z137" i="1"/>
  <c r="AA134" i="1"/>
  <c r="Z134" i="1"/>
  <c r="AA133" i="1"/>
  <c r="Z133" i="1"/>
  <c r="AA132" i="1"/>
  <c r="AA131" i="1"/>
  <c r="Z132" i="1"/>
  <c r="Z131" i="1"/>
  <c r="AA129" i="1"/>
  <c r="Z129" i="1"/>
  <c r="AA128" i="1"/>
  <c r="Z128" i="1"/>
  <c r="AA127" i="1"/>
  <c r="Z127" i="1"/>
  <c r="AA126" i="1"/>
  <c r="Z126" i="1"/>
  <c r="AA125" i="1"/>
  <c r="Z125" i="1"/>
  <c r="AA123" i="1"/>
  <c r="Z123" i="1"/>
  <c r="AA122" i="1"/>
  <c r="Z122" i="1"/>
  <c r="AA121" i="1"/>
  <c r="Z121" i="1"/>
  <c r="AA120" i="1"/>
  <c r="Z120" i="1"/>
  <c r="AA119" i="1"/>
  <c r="Z119" i="1"/>
  <c r="AA118" i="1"/>
  <c r="Z118" i="1"/>
  <c r="AA116" i="1"/>
  <c r="Z116" i="1"/>
  <c r="AA115" i="1"/>
  <c r="Z115" i="1"/>
  <c r="AA114" i="1"/>
  <c r="Z114" i="1"/>
  <c r="AA113" i="1"/>
  <c r="Z113" i="1"/>
  <c r="AA112" i="1"/>
  <c r="Z112" i="1"/>
  <c r="AA111" i="1"/>
  <c r="Z111" i="1"/>
  <c r="AA109" i="1"/>
  <c r="Z109" i="1"/>
  <c r="AA108" i="1"/>
  <c r="Z108" i="1"/>
  <c r="AA107" i="1"/>
  <c r="AA106" i="1"/>
  <c r="Z107" i="1"/>
  <c r="Z106" i="1"/>
  <c r="AA102" i="1"/>
  <c r="Z102" i="1"/>
  <c r="AA101" i="1"/>
  <c r="Z101" i="1"/>
  <c r="AA100" i="1"/>
  <c r="Z100" i="1"/>
  <c r="AA99" i="1"/>
  <c r="Z99" i="1"/>
  <c r="AA98" i="1"/>
  <c r="Z98" i="1"/>
  <c r="AA97" i="1"/>
  <c r="Z97" i="1"/>
  <c r="AA96" i="1"/>
  <c r="Z96" i="1"/>
  <c r="AA95" i="1"/>
  <c r="AA94" i="1"/>
  <c r="Z95" i="1"/>
  <c r="Z94" i="1"/>
  <c r="AA92" i="1"/>
  <c r="Z92" i="1"/>
  <c r="AA91" i="1"/>
  <c r="Z91" i="1"/>
  <c r="AA90" i="1"/>
  <c r="Z90" i="1"/>
  <c r="AA89" i="1"/>
  <c r="Z89" i="1"/>
  <c r="AA88" i="1"/>
  <c r="Z88" i="1"/>
  <c r="AA87" i="1"/>
  <c r="AA86" i="1"/>
  <c r="Z87" i="1"/>
  <c r="Z86" i="1"/>
  <c r="AA84" i="1"/>
  <c r="Z84" i="1"/>
  <c r="AA83" i="1"/>
  <c r="Z83" i="1"/>
  <c r="AA82" i="1"/>
  <c r="Z82" i="1"/>
  <c r="AA80" i="1"/>
  <c r="Z80" i="1"/>
  <c r="AA79" i="1"/>
  <c r="Z79" i="1"/>
  <c r="AA78" i="1"/>
  <c r="Z78" i="1"/>
  <c r="AA77" i="1"/>
  <c r="AA75" i="1"/>
  <c r="Z75" i="1"/>
  <c r="AA74" i="1"/>
  <c r="Z74" i="1"/>
  <c r="AA73" i="1"/>
  <c r="Z73" i="1"/>
  <c r="AA70" i="1"/>
  <c r="Z70" i="1"/>
  <c r="AA69" i="1"/>
  <c r="Z69" i="1"/>
  <c r="AA68" i="1"/>
  <c r="AA67" i="1"/>
  <c r="Z68" i="1"/>
  <c r="Z67" i="1"/>
  <c r="AA65" i="1"/>
  <c r="Z65" i="1"/>
  <c r="AA64" i="1"/>
  <c r="AA63" i="1"/>
  <c r="Z64" i="1"/>
  <c r="Z63" i="1"/>
  <c r="AA61" i="1"/>
  <c r="Z61" i="1"/>
  <c r="AA59" i="1"/>
  <c r="Z59" i="1"/>
  <c r="AA58" i="1"/>
  <c r="Z58" i="1"/>
  <c r="AA57" i="1"/>
  <c r="Z57" i="1"/>
  <c r="AA56" i="1"/>
  <c r="Z56" i="1"/>
  <c r="AA55" i="1"/>
  <c r="Z55" i="1"/>
  <c r="AA54" i="1"/>
  <c r="Z54" i="1"/>
  <c r="AA53" i="1"/>
  <c r="Z53" i="1"/>
  <c r="Z52" i="1"/>
  <c r="AA50" i="1"/>
  <c r="Z50" i="1"/>
  <c r="AA49" i="1"/>
  <c r="Z49" i="1"/>
  <c r="AA48" i="1"/>
  <c r="Z48" i="1"/>
  <c r="AA47" i="1"/>
  <c r="AA46" i="1"/>
  <c r="Z47" i="1"/>
  <c r="Z46" i="1"/>
  <c r="AA42" i="1"/>
  <c r="Z42" i="1"/>
  <c r="AA41" i="1"/>
  <c r="Z41" i="1"/>
  <c r="AA36" i="1"/>
  <c r="Z36" i="1"/>
  <c r="AA34" i="1"/>
  <c r="Z34" i="1"/>
  <c r="AA33" i="1"/>
  <c r="Z33" i="1"/>
  <c r="AA32" i="1"/>
  <c r="Z32" i="1"/>
  <c r="AA31" i="1"/>
  <c r="AA30" i="1"/>
  <c r="Z31" i="1"/>
  <c r="Z30" i="1"/>
  <c r="AA28" i="1"/>
  <c r="Z28" i="1"/>
  <c r="AA26" i="1"/>
  <c r="Z26" i="1"/>
  <c r="AA24" i="1"/>
  <c r="Z24" i="1"/>
  <c r="AA23" i="1"/>
  <c r="Z23" i="1"/>
  <c r="AA22" i="1"/>
  <c r="AA21" i="1"/>
  <c r="Z22" i="1"/>
  <c r="Z21" i="1"/>
  <c r="AA19" i="1"/>
  <c r="Z19" i="1"/>
  <c r="AA18" i="1"/>
  <c r="Z18" i="1"/>
  <c r="AA17" i="1"/>
  <c r="AA16" i="1"/>
  <c r="AA14" i="1"/>
  <c r="Z17" i="1"/>
  <c r="Z16" i="1"/>
  <c r="Z14" i="1"/>
  <c r="AC863" i="1"/>
  <c r="AB863" i="1"/>
  <c r="AC860" i="1"/>
  <c r="AB860" i="1"/>
  <c r="AC856" i="1"/>
  <c r="AB856" i="1"/>
  <c r="AC845" i="1"/>
  <c r="AB845" i="1"/>
  <c r="AC842" i="1"/>
  <c r="AB842" i="1"/>
  <c r="AC827" i="1"/>
  <c r="AB827" i="1"/>
  <c r="AC790" i="1"/>
  <c r="AB790" i="1"/>
  <c r="AC783" i="1"/>
  <c r="AB783" i="1"/>
  <c r="AC768" i="1"/>
  <c r="AB768" i="1"/>
  <c r="AC742" i="1"/>
  <c r="AB742" i="1"/>
  <c r="AC738" i="1"/>
  <c r="AB738" i="1"/>
  <c r="AC728" i="1"/>
  <c r="AB728" i="1"/>
  <c r="AC725" i="1"/>
  <c r="AB725" i="1"/>
  <c r="AC723" i="1"/>
  <c r="AC721" i="1"/>
  <c r="AB723" i="1"/>
  <c r="AB721" i="1"/>
  <c r="AC718" i="1"/>
  <c r="AB718" i="1"/>
  <c r="AC711" i="1"/>
  <c r="AC691" i="1"/>
  <c r="AB711" i="1"/>
  <c r="AB691" i="1"/>
  <c r="AC705" i="1"/>
  <c r="AB705" i="1"/>
  <c r="AC702" i="1"/>
  <c r="AB702" i="1"/>
  <c r="AC699" i="1"/>
  <c r="AB699" i="1"/>
  <c r="AC696" i="1"/>
  <c r="AB696" i="1"/>
  <c r="AC693" i="1"/>
  <c r="AB693" i="1"/>
  <c r="AC685" i="1"/>
  <c r="AB685" i="1"/>
  <c r="AC681" i="1"/>
  <c r="AB681" i="1"/>
  <c r="AC669" i="1"/>
  <c r="AC664" i="1"/>
  <c r="AB669" i="1"/>
  <c r="AB664" i="1"/>
  <c r="AC666" i="1"/>
  <c r="AB666" i="1"/>
  <c r="AC655" i="1"/>
  <c r="AB655" i="1"/>
  <c r="AC645" i="1"/>
  <c r="AB645" i="1"/>
  <c r="AC637" i="1"/>
  <c r="AB637" i="1"/>
  <c r="AC634" i="1"/>
  <c r="AB634" i="1"/>
  <c r="AC632" i="1"/>
  <c r="AC630" i="1"/>
  <c r="AC628" i="1"/>
  <c r="AB632" i="1"/>
  <c r="AB630" i="1"/>
  <c r="AB628" i="1"/>
  <c r="AC625" i="1"/>
  <c r="AB625" i="1"/>
  <c r="AC621" i="1"/>
  <c r="AC619" i="1"/>
  <c r="AB621" i="1"/>
  <c r="AB619" i="1"/>
  <c r="AC616" i="1"/>
  <c r="AB616" i="1"/>
  <c r="AC613" i="1"/>
  <c r="AB613" i="1"/>
  <c r="AC611" i="1"/>
  <c r="AB611" i="1"/>
  <c r="AC606" i="1"/>
  <c r="AB606" i="1"/>
  <c r="AC600" i="1"/>
  <c r="AB600" i="1"/>
  <c r="AC592" i="1"/>
  <c r="AB592" i="1"/>
  <c r="AC585" i="1"/>
  <c r="AB585" i="1"/>
  <c r="AC581" i="1"/>
  <c r="AC579" i="1"/>
  <c r="AC577" i="1"/>
  <c r="AB581" i="1"/>
  <c r="AB579" i="1"/>
  <c r="AB577" i="1"/>
  <c r="AC571" i="1"/>
  <c r="AC569" i="1"/>
  <c r="AC567" i="1"/>
  <c r="AB571" i="1"/>
  <c r="AB569" i="1"/>
  <c r="AB567" i="1"/>
  <c r="AC563" i="1"/>
  <c r="AB563" i="1"/>
  <c r="AC558" i="1"/>
  <c r="AB558" i="1"/>
  <c r="AC555" i="1"/>
  <c r="AB555" i="1"/>
  <c r="AC549" i="1"/>
  <c r="AB549" i="1"/>
  <c r="AC543" i="1"/>
  <c r="AB543" i="1"/>
  <c r="AC541" i="1"/>
  <c r="AB541" i="1"/>
  <c r="AC535" i="1"/>
  <c r="AB535" i="1"/>
  <c r="AC532" i="1"/>
  <c r="AB532" i="1"/>
  <c r="AC526" i="1"/>
  <c r="AB526" i="1"/>
  <c r="AC507" i="1"/>
  <c r="AB507" i="1"/>
  <c r="AC505" i="1"/>
  <c r="AB505" i="1"/>
  <c r="AC500" i="1"/>
  <c r="AB500" i="1"/>
  <c r="AC488" i="1"/>
  <c r="AB488" i="1"/>
  <c r="AC482" i="1"/>
  <c r="AB482" i="1"/>
  <c r="AC472" i="1"/>
  <c r="AB472" i="1"/>
  <c r="AC464" i="1"/>
  <c r="AB464" i="1"/>
  <c r="AC458" i="1"/>
  <c r="AB458" i="1"/>
  <c r="AC451" i="1"/>
  <c r="AB451" i="1"/>
  <c r="AC444" i="1"/>
  <c r="AB444" i="1"/>
  <c r="AC439" i="1"/>
  <c r="AB439" i="1"/>
  <c r="AC437" i="1"/>
  <c r="AB437" i="1"/>
  <c r="AC427" i="1"/>
  <c r="AB427" i="1"/>
  <c r="AC419" i="1"/>
  <c r="AB419" i="1"/>
  <c r="AC416" i="1"/>
  <c r="AB416" i="1"/>
  <c r="AC411" i="1"/>
  <c r="AB411" i="1"/>
  <c r="AC406" i="1"/>
  <c r="AB406" i="1"/>
  <c r="AC401" i="1"/>
  <c r="AB401" i="1"/>
  <c r="AC397" i="1"/>
  <c r="AB397" i="1"/>
  <c r="AC386" i="1"/>
  <c r="AB386" i="1"/>
  <c r="AC380" i="1"/>
  <c r="AB380" i="1"/>
  <c r="AC378" i="1"/>
  <c r="AC364" i="1"/>
  <c r="AB378" i="1"/>
  <c r="AC375" i="1"/>
  <c r="AB375" i="1"/>
  <c r="AC368" i="1"/>
  <c r="AC366" i="1"/>
  <c r="AB368" i="1"/>
  <c r="AB366" i="1"/>
  <c r="AB364" i="1"/>
  <c r="AC361" i="1"/>
  <c r="AB361" i="1"/>
  <c r="AC358" i="1"/>
  <c r="AB358" i="1"/>
  <c r="AC354" i="1"/>
  <c r="AB354" i="1"/>
  <c r="AC349" i="1"/>
  <c r="AC347" i="1"/>
  <c r="AB349" i="1"/>
  <c r="AB347" i="1"/>
  <c r="AC329" i="1"/>
  <c r="AB329" i="1"/>
  <c r="AC326" i="1"/>
  <c r="AB326" i="1"/>
  <c r="AC322" i="1"/>
  <c r="AB322" i="1"/>
  <c r="AC319" i="1"/>
  <c r="AB319" i="1"/>
  <c r="AC316" i="1"/>
  <c r="AB316" i="1"/>
  <c r="AC313" i="1"/>
  <c r="AB313" i="1"/>
  <c r="AC310" i="1"/>
  <c r="AB310" i="1"/>
  <c r="AB308" i="1"/>
  <c r="AC305" i="1"/>
  <c r="AB305" i="1"/>
  <c r="AC302" i="1"/>
  <c r="AB302" i="1"/>
  <c r="AC298" i="1"/>
  <c r="AB298" i="1"/>
  <c r="AC293" i="1"/>
  <c r="AB293" i="1"/>
  <c r="AC288" i="1"/>
  <c r="AB288" i="1"/>
  <c r="AC279" i="1"/>
  <c r="AB279" i="1"/>
  <c r="AC275" i="1"/>
  <c r="AB275" i="1"/>
  <c r="AC267" i="1"/>
  <c r="AB267" i="1"/>
  <c r="AC259" i="1"/>
  <c r="AB259" i="1"/>
  <c r="AC251" i="1"/>
  <c r="AB251" i="1"/>
  <c r="AC246" i="1"/>
  <c r="AC244" i="1"/>
  <c r="AB246" i="1"/>
  <c r="AB244" i="1"/>
  <c r="AC238" i="1"/>
  <c r="AC237" i="1"/>
  <c r="AC236" i="1"/>
  <c r="AB238" i="1"/>
  <c r="AB237" i="1"/>
  <c r="AB236" i="1"/>
  <c r="AC234" i="1"/>
  <c r="AB234" i="1"/>
  <c r="AC233" i="1"/>
  <c r="AB233" i="1"/>
  <c r="AC231" i="1"/>
  <c r="AC230" i="1"/>
  <c r="AB231" i="1"/>
  <c r="AB230" i="1"/>
  <c r="AC228" i="1"/>
  <c r="AC227" i="1"/>
  <c r="AB228" i="1"/>
  <c r="AB227" i="1"/>
  <c r="AC225" i="1"/>
  <c r="AC224" i="1"/>
  <c r="AB225" i="1"/>
  <c r="AB224" i="1"/>
  <c r="AC222" i="1"/>
  <c r="AB222" i="1"/>
  <c r="AC221" i="1"/>
  <c r="AB221" i="1"/>
  <c r="AB220" i="1"/>
  <c r="AB218" i="1"/>
  <c r="AC220" i="1"/>
  <c r="AC219" i="1"/>
  <c r="AB219" i="1"/>
  <c r="AC218" i="1"/>
  <c r="AC216" i="1"/>
  <c r="AB216" i="1"/>
  <c r="AC215" i="1"/>
  <c r="AB215" i="1"/>
  <c r="AC214" i="1"/>
  <c r="AB214" i="1"/>
  <c r="AC213" i="1"/>
  <c r="AC212" i="1"/>
  <c r="AB213" i="1"/>
  <c r="AB212" i="1"/>
  <c r="AC205" i="1"/>
  <c r="AB205" i="1"/>
  <c r="AC204" i="1"/>
  <c r="AB204" i="1"/>
  <c r="AC202" i="1"/>
  <c r="AB202" i="1"/>
  <c r="AC201" i="1"/>
  <c r="AC199" i="1"/>
  <c r="AB201" i="1"/>
  <c r="AB199" i="1"/>
  <c r="AC197" i="1"/>
  <c r="AB197" i="1"/>
  <c r="AC196" i="1"/>
  <c r="AC195" i="1"/>
  <c r="AB196" i="1"/>
  <c r="AC193" i="1"/>
  <c r="AB193" i="1"/>
  <c r="AC191" i="1"/>
  <c r="AB191" i="1"/>
  <c r="AC189" i="1"/>
  <c r="AB189" i="1"/>
  <c r="AC187" i="1"/>
  <c r="AB187" i="1"/>
  <c r="AC185" i="1"/>
  <c r="AB185" i="1"/>
  <c r="AC184" i="1"/>
  <c r="AB184" i="1"/>
  <c r="AC182" i="1"/>
  <c r="AB182" i="1"/>
  <c r="AC180" i="1"/>
  <c r="AC179" i="1"/>
  <c r="AB180" i="1"/>
  <c r="AB179" i="1"/>
  <c r="AC177" i="1"/>
  <c r="AB177" i="1"/>
  <c r="AC176" i="1"/>
  <c r="AB176" i="1"/>
  <c r="AC175" i="1"/>
  <c r="AC174" i="1"/>
  <c r="AB175" i="1"/>
  <c r="AB174" i="1"/>
  <c r="AC170" i="1"/>
  <c r="AC168" i="1"/>
  <c r="AC169" i="1"/>
  <c r="AB170" i="1"/>
  <c r="AB168" i="1"/>
  <c r="AB169" i="1"/>
  <c r="AC165" i="1"/>
  <c r="AB165" i="1"/>
  <c r="AC163" i="1"/>
  <c r="AB163" i="1"/>
  <c r="AC162" i="1"/>
  <c r="AB162" i="1"/>
  <c r="AC161" i="1"/>
  <c r="AB161" i="1"/>
  <c r="AC160" i="1"/>
  <c r="AC155" i="1"/>
  <c r="AB160" i="1"/>
  <c r="AB155" i="1"/>
  <c r="AC159" i="1"/>
  <c r="AB159" i="1"/>
  <c r="AC158" i="1"/>
  <c r="AB158" i="1"/>
  <c r="AC157" i="1"/>
  <c r="AB157" i="1"/>
  <c r="AC156" i="1"/>
  <c r="AB156" i="1"/>
  <c r="AC153" i="1"/>
  <c r="AC149" i="1"/>
  <c r="AB153" i="1"/>
  <c r="AC152" i="1"/>
  <c r="AB152" i="1"/>
  <c r="AC151" i="1"/>
  <c r="AB151" i="1"/>
  <c r="AC150" i="1"/>
  <c r="AB150" i="1"/>
  <c r="AB149" i="1"/>
  <c r="AC147" i="1"/>
  <c r="AB147" i="1"/>
  <c r="AB140" i="1"/>
  <c r="AB141" i="1"/>
  <c r="AB142" i="1"/>
  <c r="AB143" i="1"/>
  <c r="AB144" i="1"/>
  <c r="AB145" i="1"/>
  <c r="AB146" i="1"/>
  <c r="AB139" i="1"/>
  <c r="AC146" i="1"/>
  <c r="AC145" i="1"/>
  <c r="AC144" i="1"/>
  <c r="AC143" i="1"/>
  <c r="AC142" i="1"/>
  <c r="AC141" i="1"/>
  <c r="AC140" i="1"/>
  <c r="AC137" i="1"/>
  <c r="AB137" i="1"/>
  <c r="AC134" i="1"/>
  <c r="AB134" i="1"/>
  <c r="AC133" i="1"/>
  <c r="AB133" i="1"/>
  <c r="AC132" i="1"/>
  <c r="AC131" i="1"/>
  <c r="AB132" i="1"/>
  <c r="AB131" i="1"/>
  <c r="AC129" i="1"/>
  <c r="AB129" i="1"/>
  <c r="AC128" i="1"/>
  <c r="AB128" i="1"/>
  <c r="AC127" i="1"/>
  <c r="AB127" i="1"/>
  <c r="AC126" i="1"/>
  <c r="AB126" i="1"/>
  <c r="AC125" i="1"/>
  <c r="AB125" i="1"/>
  <c r="AC123" i="1"/>
  <c r="AB123" i="1"/>
  <c r="AC122" i="1"/>
  <c r="AB122" i="1"/>
  <c r="AC121" i="1"/>
  <c r="AB121" i="1"/>
  <c r="AC120" i="1"/>
  <c r="AB120" i="1"/>
  <c r="AC119" i="1"/>
  <c r="AB119" i="1"/>
  <c r="AC118" i="1"/>
  <c r="AB118" i="1"/>
  <c r="AC116" i="1"/>
  <c r="AB116" i="1"/>
  <c r="AC115" i="1"/>
  <c r="AB115" i="1"/>
  <c r="AC114" i="1"/>
  <c r="AB114" i="1"/>
  <c r="AC113" i="1"/>
  <c r="AB113" i="1"/>
  <c r="AC112" i="1"/>
  <c r="AB112" i="1"/>
  <c r="AB111" i="1"/>
  <c r="AC111" i="1"/>
  <c r="AC109" i="1"/>
  <c r="AB109" i="1"/>
  <c r="AC108" i="1"/>
  <c r="AB108" i="1"/>
  <c r="AC107" i="1"/>
  <c r="AC106" i="1"/>
  <c r="AB107" i="1"/>
  <c r="AB106" i="1"/>
  <c r="AC102" i="1"/>
  <c r="AB102" i="1"/>
  <c r="AC101" i="1"/>
  <c r="AB101" i="1"/>
  <c r="AC100" i="1"/>
  <c r="AB100" i="1"/>
  <c r="AC99" i="1"/>
  <c r="AB99" i="1"/>
  <c r="AC98" i="1"/>
  <c r="AB98" i="1"/>
  <c r="AC97" i="1"/>
  <c r="AB97" i="1"/>
  <c r="AC96" i="1"/>
  <c r="AB96" i="1"/>
  <c r="AC95" i="1"/>
  <c r="AB95" i="1"/>
  <c r="AC92" i="1"/>
  <c r="AB92" i="1"/>
  <c r="AC91" i="1"/>
  <c r="AB91" i="1"/>
  <c r="AC90" i="1"/>
  <c r="AB90" i="1"/>
  <c r="AC89" i="1"/>
  <c r="AB89" i="1"/>
  <c r="AC88" i="1"/>
  <c r="AB88" i="1"/>
  <c r="AC87" i="1"/>
  <c r="AC86" i="1"/>
  <c r="AB87" i="1"/>
  <c r="AB86" i="1"/>
  <c r="AC84" i="1"/>
  <c r="AB84" i="1"/>
  <c r="AC83" i="1"/>
  <c r="AB83" i="1"/>
  <c r="AC82" i="1"/>
  <c r="AB82" i="1"/>
  <c r="AC80" i="1"/>
  <c r="AB80" i="1"/>
  <c r="AC79" i="1"/>
  <c r="AB79" i="1"/>
  <c r="AC78" i="1"/>
  <c r="AB78" i="1"/>
  <c r="AC77" i="1"/>
  <c r="AB77" i="1"/>
  <c r="AC75" i="1"/>
  <c r="AB75" i="1"/>
  <c r="AC74" i="1"/>
  <c r="AB74" i="1"/>
  <c r="AC73" i="1"/>
  <c r="AB73" i="1"/>
  <c r="AC72" i="1"/>
  <c r="AB72" i="1"/>
  <c r="AC70" i="1"/>
  <c r="AC67" i="1"/>
  <c r="AB70" i="1"/>
  <c r="AB67" i="1"/>
  <c r="AC69" i="1"/>
  <c r="AB69" i="1"/>
  <c r="AC68" i="1"/>
  <c r="AB68" i="1"/>
  <c r="AC65" i="1"/>
  <c r="AB65" i="1"/>
  <c r="AC64" i="1"/>
  <c r="AC63" i="1"/>
  <c r="AB64" i="1"/>
  <c r="AB63" i="1"/>
  <c r="AC61" i="1"/>
  <c r="AB61" i="1"/>
  <c r="AC59" i="1"/>
  <c r="AB59" i="1"/>
  <c r="AC58" i="1"/>
  <c r="AB58" i="1"/>
  <c r="AC57" i="1"/>
  <c r="AB57" i="1"/>
  <c r="AC56" i="1"/>
  <c r="AB56" i="1"/>
  <c r="AC55" i="1"/>
  <c r="AB55" i="1"/>
  <c r="AC54" i="1"/>
  <c r="AB54" i="1"/>
  <c r="AC53" i="1"/>
  <c r="AC52" i="1"/>
  <c r="AB53" i="1"/>
  <c r="AB52" i="1"/>
  <c r="AC50" i="1"/>
  <c r="AB50" i="1"/>
  <c r="AC49" i="1"/>
  <c r="AB49" i="1"/>
  <c r="AC48" i="1"/>
  <c r="AB48" i="1"/>
  <c r="AC47" i="1"/>
  <c r="AC46" i="1"/>
  <c r="AB47" i="1"/>
  <c r="AB46" i="1"/>
  <c r="AC42" i="1"/>
  <c r="AB42" i="1"/>
  <c r="AC41" i="1"/>
  <c r="AB41" i="1"/>
  <c r="AB38" i="1"/>
  <c r="AC36" i="1"/>
  <c r="AB36" i="1"/>
  <c r="AC34" i="1"/>
  <c r="AB34" i="1"/>
  <c r="AC33" i="1"/>
  <c r="AB33" i="1"/>
  <c r="AC32" i="1"/>
  <c r="AB32" i="1"/>
  <c r="AC31" i="1"/>
  <c r="AC30" i="1"/>
  <c r="AB31" i="1"/>
  <c r="AB30" i="1"/>
  <c r="AC28" i="1"/>
  <c r="AB28" i="1"/>
  <c r="AC26" i="1"/>
  <c r="AB26" i="1"/>
  <c r="AC24" i="1"/>
  <c r="AB24" i="1"/>
  <c r="AC23" i="1"/>
  <c r="AB23" i="1"/>
  <c r="AC22" i="1"/>
  <c r="AC21" i="1"/>
  <c r="AB22" i="1"/>
  <c r="AB21" i="1"/>
  <c r="AC19" i="1"/>
  <c r="AB19" i="1"/>
  <c r="AC18" i="1"/>
  <c r="AB18" i="1"/>
  <c r="AC17" i="1"/>
  <c r="AC16" i="1"/>
  <c r="AC14" i="1"/>
  <c r="AB17" i="1"/>
  <c r="AB16" i="1"/>
  <c r="AB14" i="1"/>
  <c r="AE863" i="1"/>
  <c r="AD863" i="1"/>
  <c r="AE860" i="1"/>
  <c r="AD860" i="1"/>
  <c r="AE856" i="1"/>
  <c r="AD856" i="1"/>
  <c r="AE845" i="1"/>
  <c r="AD845" i="1"/>
  <c r="AE842" i="1"/>
  <c r="AD842" i="1"/>
  <c r="AE827" i="1"/>
  <c r="AD827" i="1"/>
  <c r="AE790" i="1"/>
  <c r="AD790" i="1"/>
  <c r="AE783" i="1"/>
  <c r="AD783" i="1"/>
  <c r="AE768" i="1"/>
  <c r="AD768" i="1"/>
  <c r="AE742" i="1"/>
  <c r="AE723" i="1"/>
  <c r="AE721" i="1"/>
  <c r="AD742" i="1"/>
  <c r="AD723" i="1"/>
  <c r="AD721" i="1"/>
  <c r="AE738" i="1"/>
  <c r="AD738" i="1"/>
  <c r="AE728" i="1"/>
  <c r="AD728" i="1"/>
  <c r="AE725" i="1"/>
  <c r="AD725" i="1"/>
  <c r="AE718" i="1"/>
  <c r="AD718" i="1"/>
  <c r="AE711" i="1"/>
  <c r="AE691" i="1"/>
  <c r="AD711" i="1"/>
  <c r="AD691" i="1"/>
  <c r="AE705" i="1"/>
  <c r="AD705" i="1"/>
  <c r="AE702" i="1"/>
  <c r="AD702" i="1"/>
  <c r="AE699" i="1"/>
  <c r="AD699" i="1"/>
  <c r="AE696" i="1"/>
  <c r="AD696" i="1"/>
  <c r="AE693" i="1"/>
  <c r="AD693" i="1"/>
  <c r="AE685" i="1"/>
  <c r="AD685" i="1"/>
  <c r="AE681" i="1"/>
  <c r="AD681" i="1"/>
  <c r="AE669" i="1"/>
  <c r="AE664" i="1"/>
  <c r="AE662" i="1"/>
  <c r="AD669" i="1"/>
  <c r="AD664" i="1"/>
  <c r="AD662" i="1"/>
  <c r="AE666" i="1"/>
  <c r="AD666" i="1"/>
  <c r="AE655" i="1"/>
  <c r="AD655" i="1"/>
  <c r="AE645" i="1"/>
  <c r="AD645" i="1"/>
  <c r="AE637" i="1"/>
  <c r="AD637" i="1"/>
  <c r="AE634" i="1"/>
  <c r="AD634" i="1"/>
  <c r="AE632" i="1"/>
  <c r="AE630" i="1"/>
  <c r="AE628" i="1"/>
  <c r="AD632" i="1"/>
  <c r="AD630" i="1"/>
  <c r="AD628" i="1"/>
  <c r="AE625" i="1"/>
  <c r="AD625" i="1"/>
  <c r="AE621" i="1"/>
  <c r="AD621" i="1"/>
  <c r="AE616" i="1"/>
  <c r="AD616" i="1"/>
  <c r="AE613" i="1"/>
  <c r="AD613" i="1"/>
  <c r="AE611" i="1"/>
  <c r="AD611" i="1"/>
  <c r="AE606" i="1"/>
  <c r="AD606" i="1"/>
  <c r="AE600" i="1"/>
  <c r="AD600" i="1"/>
  <c r="AE592" i="1"/>
  <c r="AD592" i="1"/>
  <c r="AE585" i="1"/>
  <c r="AD585" i="1"/>
  <c r="AE581" i="1"/>
  <c r="AD581" i="1"/>
  <c r="AE571" i="1"/>
  <c r="AE569" i="1"/>
  <c r="AE567" i="1"/>
  <c r="AD571" i="1"/>
  <c r="AD569" i="1"/>
  <c r="AD567" i="1"/>
  <c r="AE563" i="1"/>
  <c r="AD563" i="1"/>
  <c r="AE558" i="1"/>
  <c r="AD558" i="1"/>
  <c r="AE555" i="1"/>
  <c r="AD555" i="1"/>
  <c r="AE549" i="1"/>
  <c r="AD549" i="1"/>
  <c r="AE543" i="1"/>
  <c r="AD543" i="1"/>
  <c r="AE541" i="1"/>
  <c r="AD541" i="1"/>
  <c r="AE535" i="1"/>
  <c r="AD535" i="1"/>
  <c r="AE532" i="1"/>
  <c r="AD532" i="1"/>
  <c r="AE526" i="1"/>
  <c r="AD526" i="1"/>
  <c r="AE507" i="1"/>
  <c r="AD507" i="1"/>
  <c r="AE505" i="1"/>
  <c r="AD505" i="1"/>
  <c r="AE500" i="1"/>
  <c r="AD500" i="1"/>
  <c r="AE488" i="1"/>
  <c r="AD488" i="1"/>
  <c r="AE482" i="1"/>
  <c r="AD482" i="1"/>
  <c r="AE472" i="1"/>
  <c r="AD472" i="1"/>
  <c r="AE464" i="1"/>
  <c r="AD464" i="1"/>
  <c r="AE458" i="1"/>
  <c r="AD458" i="1"/>
  <c r="AE451" i="1"/>
  <c r="AD451" i="1"/>
  <c r="AE444" i="1"/>
  <c r="AD444" i="1"/>
  <c r="AE439" i="1"/>
  <c r="AD439" i="1"/>
  <c r="AE437" i="1"/>
  <c r="AD437" i="1"/>
  <c r="AE427" i="1"/>
  <c r="AD427" i="1"/>
  <c r="AE419" i="1"/>
  <c r="AD419" i="1"/>
  <c r="AE416" i="1"/>
  <c r="AD416" i="1"/>
  <c r="AE411" i="1"/>
  <c r="AD411" i="1"/>
  <c r="AE406" i="1"/>
  <c r="AD406" i="1"/>
  <c r="AE401" i="1"/>
  <c r="AD401" i="1"/>
  <c r="AE397" i="1"/>
  <c r="AD397" i="1"/>
  <c r="AE386" i="1"/>
  <c r="AD386" i="1"/>
  <c r="AE380" i="1"/>
  <c r="AD380" i="1"/>
  <c r="AE378" i="1"/>
  <c r="AE364" i="1"/>
  <c r="AD378" i="1"/>
  <c r="AE375" i="1"/>
  <c r="AD375" i="1"/>
  <c r="AE368" i="1"/>
  <c r="AE366" i="1"/>
  <c r="AD368" i="1"/>
  <c r="AD366" i="1"/>
  <c r="AD364" i="1"/>
  <c r="AE361" i="1"/>
  <c r="AD361" i="1"/>
  <c r="AE358" i="1"/>
  <c r="AD358" i="1"/>
  <c r="AE354" i="1"/>
  <c r="AD354" i="1"/>
  <c r="AE349" i="1"/>
  <c r="AE347" i="1"/>
  <c r="AD349" i="1"/>
  <c r="AD347" i="1"/>
  <c r="AE329" i="1"/>
  <c r="AD329" i="1"/>
  <c r="AE326" i="1"/>
  <c r="AD326" i="1"/>
  <c r="AE322" i="1"/>
  <c r="AD322" i="1"/>
  <c r="AE319" i="1"/>
  <c r="AD319" i="1"/>
  <c r="AE316" i="1"/>
  <c r="AD316" i="1"/>
  <c r="AE313" i="1"/>
  <c r="AD313" i="1"/>
  <c r="AE310" i="1"/>
  <c r="AE308" i="1"/>
  <c r="AD310" i="1"/>
  <c r="AE305" i="1"/>
  <c r="AD305" i="1"/>
  <c r="AE302" i="1"/>
  <c r="AD302" i="1"/>
  <c r="AE298" i="1"/>
  <c r="AD298" i="1"/>
  <c r="AE293" i="1"/>
  <c r="AD293" i="1"/>
  <c r="AE288" i="1"/>
  <c r="AD288" i="1"/>
  <c r="AE279" i="1"/>
  <c r="AD279" i="1"/>
  <c r="AE275" i="1"/>
  <c r="AD275" i="1"/>
  <c r="AE267" i="1"/>
  <c r="AD267" i="1"/>
  <c r="AE259" i="1"/>
  <c r="AD259" i="1"/>
  <c r="AE251" i="1"/>
  <c r="AD251" i="1"/>
  <c r="AE246" i="1"/>
  <c r="AE244" i="1"/>
  <c r="AD246" i="1"/>
  <c r="AD244" i="1"/>
  <c r="AE238" i="1"/>
  <c r="AD238" i="1"/>
  <c r="AE237" i="1"/>
  <c r="AE236" i="1"/>
  <c r="AD237" i="1"/>
  <c r="AD236" i="1"/>
  <c r="AE234" i="1"/>
  <c r="AD234" i="1"/>
  <c r="AE233" i="1"/>
  <c r="AD233" i="1"/>
  <c r="AE231" i="1"/>
  <c r="AE230" i="1"/>
  <c r="AD231" i="1"/>
  <c r="AD230" i="1"/>
  <c r="AE228" i="1"/>
  <c r="AE227" i="1"/>
  <c r="AD228" i="1"/>
  <c r="AD227" i="1"/>
  <c r="AE225" i="1"/>
  <c r="AE224" i="1"/>
  <c r="AD225" i="1"/>
  <c r="AD224" i="1"/>
  <c r="AE222" i="1"/>
  <c r="AD222" i="1"/>
  <c r="AE221" i="1"/>
  <c r="AE220" i="1"/>
  <c r="AE218" i="1"/>
  <c r="AD221" i="1"/>
  <c r="AD220" i="1"/>
  <c r="AE219" i="1"/>
  <c r="AD219" i="1"/>
  <c r="AD218" i="1"/>
  <c r="AE216" i="1"/>
  <c r="AD216" i="1"/>
  <c r="AE215" i="1"/>
  <c r="AD215" i="1"/>
  <c r="AE214" i="1"/>
  <c r="AD214" i="1"/>
  <c r="AE213" i="1"/>
  <c r="AE212" i="1"/>
  <c r="AD213" i="1"/>
  <c r="AD212" i="1"/>
  <c r="AE205" i="1"/>
  <c r="AD205" i="1"/>
  <c r="AE204" i="1"/>
  <c r="AD204" i="1"/>
  <c r="AE202" i="1"/>
  <c r="AD202" i="1"/>
  <c r="AD201" i="1"/>
  <c r="AD199" i="1"/>
  <c r="AE201" i="1"/>
  <c r="AE199" i="1"/>
  <c r="AE197" i="1"/>
  <c r="AD197" i="1"/>
  <c r="AE196" i="1"/>
  <c r="AD196" i="1"/>
  <c r="AE195" i="1"/>
  <c r="AD195" i="1"/>
  <c r="AE193" i="1"/>
  <c r="AD193" i="1"/>
  <c r="AE191" i="1"/>
  <c r="AD191" i="1"/>
  <c r="AE189" i="1"/>
  <c r="AD189" i="1"/>
  <c r="AE187" i="1"/>
  <c r="AD187" i="1"/>
  <c r="AE185" i="1"/>
  <c r="AD185" i="1"/>
  <c r="AE184" i="1"/>
  <c r="AD184" i="1"/>
  <c r="AE182" i="1"/>
  <c r="AD182" i="1"/>
  <c r="AE180" i="1"/>
  <c r="AE179" i="1"/>
  <c r="AD180" i="1"/>
  <c r="AD179" i="1"/>
  <c r="AE177" i="1"/>
  <c r="AD177" i="1"/>
  <c r="AE176" i="1"/>
  <c r="AD176" i="1"/>
  <c r="AE175" i="1"/>
  <c r="AE174" i="1"/>
  <c r="AD175" i="1"/>
  <c r="AD174" i="1"/>
  <c r="AE170" i="1"/>
  <c r="AD170" i="1"/>
  <c r="AE169" i="1"/>
  <c r="AD169" i="1"/>
  <c r="AE168" i="1"/>
  <c r="AE167" i="1"/>
  <c r="AD168" i="1"/>
  <c r="AD167" i="1"/>
  <c r="AE165" i="1"/>
  <c r="AD165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3" i="1"/>
  <c r="AD153" i="1"/>
  <c r="AE152" i="1"/>
  <c r="AD152" i="1"/>
  <c r="AE151" i="1"/>
  <c r="AD151" i="1"/>
  <c r="AE150" i="1"/>
  <c r="AE149" i="1"/>
  <c r="AD150" i="1"/>
  <c r="AD149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7" i="1"/>
  <c r="AD137" i="1"/>
  <c r="AE134" i="1"/>
  <c r="AD134" i="1"/>
  <c r="AE133" i="1"/>
  <c r="AD133" i="1"/>
  <c r="AE132" i="1"/>
  <c r="AE131" i="1"/>
  <c r="AD132" i="1"/>
  <c r="AD131" i="1"/>
  <c r="AE129" i="1"/>
  <c r="AD129" i="1"/>
  <c r="AE128" i="1"/>
  <c r="AD128" i="1"/>
  <c r="AE127" i="1"/>
  <c r="AD127" i="1"/>
  <c r="AE126" i="1"/>
  <c r="AD126" i="1"/>
  <c r="AE125" i="1"/>
  <c r="AD125" i="1"/>
  <c r="AE123" i="1"/>
  <c r="AD123" i="1"/>
  <c r="AE122" i="1"/>
  <c r="AD122" i="1"/>
  <c r="AE121" i="1"/>
  <c r="AD121" i="1"/>
  <c r="AE120" i="1"/>
  <c r="AD120" i="1"/>
  <c r="AE119" i="1"/>
  <c r="AD119" i="1"/>
  <c r="AE118" i="1"/>
  <c r="AD118" i="1"/>
  <c r="AE116" i="1"/>
  <c r="AD116" i="1"/>
  <c r="AE115" i="1"/>
  <c r="AD115" i="1"/>
  <c r="AE114" i="1"/>
  <c r="AD114" i="1"/>
  <c r="AE113" i="1"/>
  <c r="AD113" i="1"/>
  <c r="AE112" i="1"/>
  <c r="AD112" i="1"/>
  <c r="AE111" i="1"/>
  <c r="AD111" i="1"/>
  <c r="AE109" i="1"/>
  <c r="AD109" i="1"/>
  <c r="AE108" i="1"/>
  <c r="AD108" i="1"/>
  <c r="AE107" i="1"/>
  <c r="AE106" i="1"/>
  <c r="AD107" i="1"/>
  <c r="AD106" i="1"/>
  <c r="AE102" i="1"/>
  <c r="AD102" i="1"/>
  <c r="AE101" i="1"/>
  <c r="AD101" i="1"/>
  <c r="AE100" i="1"/>
  <c r="AD100" i="1"/>
  <c r="AE99" i="1"/>
  <c r="AD99" i="1"/>
  <c r="AE98" i="1"/>
  <c r="AD98" i="1"/>
  <c r="AE97" i="1"/>
  <c r="AD97" i="1"/>
  <c r="AE96" i="1"/>
  <c r="AD96" i="1"/>
  <c r="AE95" i="1"/>
  <c r="AD95" i="1"/>
  <c r="AE94" i="1"/>
  <c r="AD94" i="1"/>
  <c r="AE92" i="1"/>
  <c r="AE86" i="1"/>
  <c r="AD92" i="1"/>
  <c r="AE91" i="1"/>
  <c r="AD91" i="1"/>
  <c r="AE90" i="1"/>
  <c r="AD90" i="1"/>
  <c r="AE89" i="1"/>
  <c r="AD89" i="1"/>
  <c r="AE88" i="1"/>
  <c r="AD88" i="1"/>
  <c r="AE87" i="1"/>
  <c r="AD87" i="1"/>
  <c r="AD86" i="1"/>
  <c r="AE84" i="1"/>
  <c r="AD84" i="1"/>
  <c r="AE83" i="1"/>
  <c r="AD83" i="1"/>
  <c r="AE82" i="1"/>
  <c r="AD82" i="1"/>
  <c r="AE80" i="1"/>
  <c r="AD80" i="1"/>
  <c r="AE79" i="1"/>
  <c r="AD79" i="1"/>
  <c r="AE78" i="1"/>
  <c r="AD78" i="1"/>
  <c r="AE75" i="1"/>
  <c r="AD75" i="1"/>
  <c r="AE74" i="1"/>
  <c r="AD74" i="1"/>
  <c r="AE73" i="1"/>
  <c r="AD73" i="1"/>
  <c r="AD72" i="1"/>
  <c r="AE70" i="1"/>
  <c r="AD70" i="1"/>
  <c r="AE69" i="1"/>
  <c r="AD69" i="1"/>
  <c r="AE68" i="1"/>
  <c r="AD68" i="1"/>
  <c r="AD67" i="1"/>
  <c r="AE65" i="1"/>
  <c r="AD65" i="1"/>
  <c r="AE64" i="1"/>
  <c r="AE63" i="1"/>
  <c r="AD64" i="1"/>
  <c r="AD63" i="1"/>
  <c r="AE61" i="1"/>
  <c r="AD61" i="1"/>
  <c r="AE59" i="1"/>
  <c r="AD59" i="1"/>
  <c r="AE58" i="1"/>
  <c r="AD58" i="1"/>
  <c r="AE57" i="1"/>
  <c r="AD57" i="1"/>
  <c r="AE56" i="1"/>
  <c r="AD56" i="1"/>
  <c r="AE55" i="1"/>
  <c r="AD55" i="1"/>
  <c r="AE54" i="1"/>
  <c r="AD54" i="1"/>
  <c r="AE53" i="1"/>
  <c r="AD53" i="1"/>
  <c r="AD52" i="1"/>
  <c r="AE50" i="1"/>
  <c r="AD50" i="1"/>
  <c r="AE49" i="1"/>
  <c r="AD49" i="1"/>
  <c r="AE48" i="1"/>
  <c r="AD48" i="1"/>
  <c r="AE47" i="1"/>
  <c r="AE46" i="1"/>
  <c r="AD47" i="1"/>
  <c r="AD46" i="1"/>
  <c r="AE42" i="1"/>
  <c r="AD42" i="1"/>
  <c r="AE41" i="1"/>
  <c r="AD41" i="1"/>
  <c r="AE38" i="1"/>
  <c r="AD38" i="1"/>
  <c r="AE36" i="1"/>
  <c r="AD36" i="1"/>
  <c r="AE34" i="1"/>
  <c r="AD34" i="1"/>
  <c r="AE33" i="1"/>
  <c r="AD33" i="1"/>
  <c r="AE32" i="1"/>
  <c r="AD32" i="1"/>
  <c r="AE31" i="1"/>
  <c r="AE30" i="1"/>
  <c r="AD31" i="1"/>
  <c r="AD30" i="1"/>
  <c r="AE28" i="1"/>
  <c r="AD28" i="1"/>
  <c r="AE26" i="1"/>
  <c r="AD26" i="1"/>
  <c r="AE24" i="1"/>
  <c r="AD24" i="1"/>
  <c r="AE23" i="1"/>
  <c r="AD23" i="1"/>
  <c r="AE22" i="1"/>
  <c r="AE21" i="1"/>
  <c r="AD22" i="1"/>
  <c r="AD21" i="1"/>
  <c r="AE19" i="1"/>
  <c r="AD19" i="1"/>
  <c r="AE18" i="1"/>
  <c r="AD18" i="1"/>
  <c r="AE17" i="1"/>
  <c r="AE16" i="1"/>
  <c r="AE14" i="1"/>
  <c r="AD17" i="1"/>
  <c r="AD16" i="1"/>
  <c r="AD14" i="1"/>
  <c r="AG863" i="1"/>
  <c r="AF863" i="1"/>
  <c r="AG860" i="1"/>
  <c r="AF860" i="1"/>
  <c r="AG856" i="1"/>
  <c r="AF856" i="1"/>
  <c r="AG845" i="1"/>
  <c r="AF845" i="1"/>
  <c r="AG842" i="1"/>
  <c r="AF842" i="1"/>
  <c r="AG827" i="1"/>
  <c r="AF827" i="1"/>
  <c r="AG790" i="1"/>
  <c r="AF790" i="1"/>
  <c r="AG783" i="1"/>
  <c r="AF783" i="1"/>
  <c r="AG768" i="1"/>
  <c r="AF768" i="1"/>
  <c r="AG742" i="1"/>
  <c r="AF742" i="1"/>
  <c r="AF723" i="1"/>
  <c r="AF721" i="1"/>
  <c r="AG738" i="1"/>
  <c r="AF738" i="1"/>
  <c r="AG728" i="1"/>
  <c r="AF728" i="1"/>
  <c r="AG725" i="1"/>
  <c r="AF725" i="1"/>
  <c r="AG723" i="1"/>
  <c r="AG721" i="1"/>
  <c r="AG718" i="1"/>
  <c r="AF718" i="1"/>
  <c r="AG711" i="1"/>
  <c r="AG691" i="1"/>
  <c r="AF711" i="1"/>
  <c r="AF691" i="1"/>
  <c r="AG705" i="1"/>
  <c r="AF705" i="1"/>
  <c r="AG702" i="1"/>
  <c r="AF702" i="1"/>
  <c r="AG699" i="1"/>
  <c r="AF699" i="1"/>
  <c r="AG696" i="1"/>
  <c r="AF696" i="1"/>
  <c r="AG693" i="1"/>
  <c r="AF693" i="1"/>
  <c r="AG685" i="1"/>
  <c r="AF685" i="1"/>
  <c r="AG681" i="1"/>
  <c r="AF681" i="1"/>
  <c r="AG669" i="1"/>
  <c r="AG664" i="1"/>
  <c r="AF669" i="1"/>
  <c r="AF664" i="1"/>
  <c r="AG666" i="1"/>
  <c r="AF666" i="1"/>
  <c r="AG655" i="1"/>
  <c r="AF655" i="1"/>
  <c r="AG645" i="1"/>
  <c r="AF645" i="1"/>
  <c r="AG637" i="1"/>
  <c r="AF637" i="1"/>
  <c r="AG634" i="1"/>
  <c r="AF634" i="1"/>
  <c r="AG632" i="1"/>
  <c r="AG630" i="1"/>
  <c r="AG628" i="1"/>
  <c r="AF632" i="1"/>
  <c r="AF630" i="1"/>
  <c r="AF628" i="1"/>
  <c r="AG625" i="1"/>
  <c r="AF625" i="1"/>
  <c r="AG621" i="1"/>
  <c r="AG619" i="1"/>
  <c r="AF621" i="1"/>
  <c r="AF619" i="1"/>
  <c r="AG616" i="1"/>
  <c r="AF616" i="1"/>
  <c r="AG613" i="1"/>
  <c r="AF613" i="1"/>
  <c r="AG611" i="1"/>
  <c r="AF611" i="1"/>
  <c r="AG606" i="1"/>
  <c r="AF606" i="1"/>
  <c r="AG600" i="1"/>
  <c r="AF600" i="1"/>
  <c r="AG592" i="1"/>
  <c r="AF592" i="1"/>
  <c r="AG585" i="1"/>
  <c r="AF585" i="1"/>
  <c r="AG581" i="1"/>
  <c r="AG579" i="1"/>
  <c r="AG577" i="1"/>
  <c r="AF581" i="1"/>
  <c r="AF579" i="1"/>
  <c r="AF577" i="1"/>
  <c r="AG571" i="1"/>
  <c r="AG569" i="1"/>
  <c r="AG567" i="1"/>
  <c r="AF571" i="1"/>
  <c r="AF569" i="1"/>
  <c r="AF567" i="1"/>
  <c r="AG563" i="1"/>
  <c r="AF563" i="1"/>
  <c r="AG558" i="1"/>
  <c r="AF558" i="1"/>
  <c r="AG555" i="1"/>
  <c r="AG541" i="1"/>
  <c r="AF555" i="1"/>
  <c r="AF541" i="1"/>
  <c r="AG549" i="1"/>
  <c r="AF549" i="1"/>
  <c r="AG543" i="1"/>
  <c r="AF543" i="1"/>
  <c r="AG535" i="1"/>
  <c r="AF535" i="1"/>
  <c r="AG532" i="1"/>
  <c r="AF532" i="1"/>
  <c r="AG526" i="1"/>
  <c r="AF526" i="1"/>
  <c r="AG507" i="1"/>
  <c r="AF507" i="1"/>
  <c r="AG505" i="1"/>
  <c r="AF505" i="1"/>
  <c r="AG500" i="1"/>
  <c r="AF500" i="1"/>
  <c r="AG488" i="1"/>
  <c r="AF488" i="1"/>
  <c r="AG482" i="1"/>
  <c r="AF482" i="1"/>
  <c r="AG472" i="1"/>
  <c r="AF472" i="1"/>
  <c r="AG464" i="1"/>
  <c r="AF464" i="1"/>
  <c r="AG458" i="1"/>
  <c r="AF458" i="1"/>
  <c r="AG451" i="1"/>
  <c r="AF451" i="1"/>
  <c r="AG444" i="1"/>
  <c r="AF444" i="1"/>
  <c r="AG439" i="1"/>
  <c r="AF439" i="1"/>
  <c r="AG437" i="1"/>
  <c r="AF437" i="1"/>
  <c r="AG427" i="1"/>
  <c r="AF427" i="1"/>
  <c r="AG419" i="1"/>
  <c r="AF419" i="1"/>
  <c r="AG416" i="1"/>
  <c r="AF416" i="1"/>
  <c r="AG411" i="1"/>
  <c r="AF411" i="1"/>
  <c r="AG406" i="1"/>
  <c r="AF406" i="1"/>
  <c r="AG401" i="1"/>
  <c r="AF401" i="1"/>
  <c r="AG397" i="1"/>
  <c r="AF397" i="1"/>
  <c r="AG386" i="1"/>
  <c r="AF386" i="1"/>
  <c r="AG380" i="1"/>
  <c r="AF380" i="1"/>
  <c r="AG378" i="1"/>
  <c r="AF378" i="1"/>
  <c r="AG375" i="1"/>
  <c r="AF375" i="1"/>
  <c r="AG368" i="1"/>
  <c r="AG366" i="1"/>
  <c r="AF368" i="1"/>
  <c r="AF366" i="1"/>
  <c r="AG361" i="1"/>
  <c r="AF361" i="1"/>
  <c r="AG358" i="1"/>
  <c r="AF358" i="1"/>
  <c r="AG354" i="1"/>
  <c r="AF354" i="1"/>
  <c r="AG349" i="1"/>
  <c r="AG347" i="1"/>
  <c r="AF349" i="1"/>
  <c r="AF347" i="1"/>
  <c r="AG329" i="1"/>
  <c r="AF329" i="1"/>
  <c r="AG326" i="1"/>
  <c r="AF326" i="1"/>
  <c r="AG322" i="1"/>
  <c r="AF322" i="1"/>
  <c r="AG319" i="1"/>
  <c r="AF319" i="1"/>
  <c r="AG316" i="1"/>
  <c r="AF316" i="1"/>
  <c r="AG313" i="1"/>
  <c r="AF313" i="1"/>
  <c r="AG310" i="1"/>
  <c r="AG308" i="1"/>
  <c r="AF310" i="1"/>
  <c r="AG305" i="1"/>
  <c r="AF305" i="1"/>
  <c r="AG302" i="1"/>
  <c r="AF302" i="1"/>
  <c r="AG298" i="1"/>
  <c r="AF298" i="1"/>
  <c r="AG293" i="1"/>
  <c r="AG273" i="1"/>
  <c r="AF293" i="1"/>
  <c r="AG288" i="1"/>
  <c r="AF288" i="1"/>
  <c r="AG279" i="1"/>
  <c r="AF279" i="1"/>
  <c r="AG275" i="1"/>
  <c r="AF275" i="1"/>
  <c r="AG267" i="1"/>
  <c r="AF267" i="1"/>
  <c r="AG259" i="1"/>
  <c r="AF259" i="1"/>
  <c r="AG251" i="1"/>
  <c r="AF251" i="1"/>
  <c r="AG246" i="1"/>
  <c r="AF246" i="1"/>
  <c r="AG244" i="1"/>
  <c r="AF244" i="1"/>
  <c r="AG238" i="1"/>
  <c r="AF238" i="1"/>
  <c r="AG237" i="1"/>
  <c r="AG236" i="1"/>
  <c r="AF237" i="1"/>
  <c r="AF236" i="1"/>
  <c r="AG234" i="1"/>
  <c r="AF234" i="1"/>
  <c r="AG233" i="1"/>
  <c r="AF233" i="1"/>
  <c r="AG231" i="1"/>
  <c r="AG230" i="1"/>
  <c r="AF231" i="1"/>
  <c r="AF230" i="1"/>
  <c r="AG228" i="1"/>
  <c r="AG227" i="1"/>
  <c r="AF228" i="1"/>
  <c r="AF227" i="1"/>
  <c r="AG225" i="1"/>
  <c r="AG224" i="1"/>
  <c r="AF225" i="1"/>
  <c r="AF224" i="1"/>
  <c r="AG222" i="1"/>
  <c r="AF222" i="1"/>
  <c r="AG221" i="1"/>
  <c r="AF221" i="1"/>
  <c r="AF220" i="1"/>
  <c r="AF218" i="1"/>
  <c r="AG220" i="1"/>
  <c r="AG219" i="1"/>
  <c r="AF219" i="1"/>
  <c r="AG218" i="1"/>
  <c r="AG216" i="1"/>
  <c r="AF216" i="1"/>
  <c r="AG215" i="1"/>
  <c r="AF215" i="1"/>
  <c r="AG214" i="1"/>
  <c r="AF214" i="1"/>
  <c r="AG213" i="1"/>
  <c r="AG212" i="1"/>
  <c r="AF213" i="1"/>
  <c r="AF212" i="1"/>
  <c r="AG205" i="1"/>
  <c r="AF205" i="1"/>
  <c r="AG204" i="1"/>
  <c r="AF204" i="1"/>
  <c r="AG202" i="1"/>
  <c r="AG201" i="1"/>
  <c r="AG199" i="1"/>
  <c r="AF202" i="1"/>
  <c r="AF201" i="1"/>
  <c r="AF199" i="1"/>
  <c r="AG197" i="1"/>
  <c r="AF197" i="1"/>
  <c r="AG196" i="1"/>
  <c r="AF196" i="1"/>
  <c r="AG195" i="1"/>
  <c r="AF195" i="1"/>
  <c r="AG193" i="1"/>
  <c r="AF193" i="1"/>
  <c r="AG191" i="1"/>
  <c r="AF191" i="1"/>
  <c r="AG189" i="1"/>
  <c r="AF189" i="1"/>
  <c r="AG187" i="1"/>
  <c r="AF187" i="1"/>
  <c r="AG185" i="1"/>
  <c r="AF185" i="1"/>
  <c r="AG184" i="1"/>
  <c r="AF184" i="1"/>
  <c r="AG182" i="1"/>
  <c r="AF182" i="1"/>
  <c r="AG180" i="1"/>
  <c r="AG179" i="1"/>
  <c r="AF180" i="1"/>
  <c r="AF179" i="1"/>
  <c r="AG177" i="1"/>
  <c r="AF177" i="1"/>
  <c r="AG176" i="1"/>
  <c r="AF176" i="1"/>
  <c r="AG175" i="1"/>
  <c r="AG174" i="1"/>
  <c r="AG172" i="1"/>
  <c r="AF175" i="1"/>
  <c r="AF174" i="1"/>
  <c r="AF172" i="1"/>
  <c r="AG170" i="1"/>
  <c r="AF170" i="1"/>
  <c r="AG169" i="1"/>
  <c r="AF169" i="1"/>
  <c r="AG168" i="1"/>
  <c r="AG167" i="1"/>
  <c r="AF168" i="1"/>
  <c r="AF167" i="1"/>
  <c r="AG165" i="1"/>
  <c r="AF165" i="1"/>
  <c r="AG163" i="1"/>
  <c r="AF163" i="1"/>
  <c r="AG162" i="1"/>
  <c r="AF162" i="1"/>
  <c r="AG161" i="1"/>
  <c r="AF161" i="1"/>
  <c r="AG160" i="1"/>
  <c r="AF160" i="1"/>
  <c r="AG159" i="1"/>
  <c r="AF159" i="1"/>
  <c r="AG158" i="1"/>
  <c r="AF158" i="1"/>
  <c r="AG157" i="1"/>
  <c r="AF157" i="1"/>
  <c r="AG156" i="1"/>
  <c r="AF156" i="1"/>
  <c r="AG155" i="1"/>
  <c r="AG153" i="1"/>
  <c r="AF153" i="1"/>
  <c r="AG152" i="1"/>
  <c r="AF152" i="1"/>
  <c r="AG151" i="1"/>
  <c r="AF151" i="1"/>
  <c r="AG150" i="1"/>
  <c r="AG149" i="1"/>
  <c r="AF150" i="1"/>
  <c r="AF149" i="1"/>
  <c r="AG147" i="1"/>
  <c r="AF147" i="1"/>
  <c r="AG146" i="1"/>
  <c r="AF146" i="1"/>
  <c r="AG145" i="1"/>
  <c r="AF145" i="1"/>
  <c r="AG144" i="1"/>
  <c r="AF144" i="1"/>
  <c r="AG143" i="1"/>
  <c r="AF143" i="1"/>
  <c r="AG142" i="1"/>
  <c r="AF142" i="1"/>
  <c r="AG141" i="1"/>
  <c r="AF141" i="1"/>
  <c r="AG140" i="1"/>
  <c r="AF140" i="1"/>
  <c r="AG139" i="1"/>
  <c r="AF139" i="1"/>
  <c r="AG137" i="1"/>
  <c r="AF137" i="1"/>
  <c r="AG134" i="1"/>
  <c r="AF134" i="1"/>
  <c r="AG133" i="1"/>
  <c r="AF133" i="1"/>
  <c r="AG132" i="1"/>
  <c r="AG131" i="1"/>
  <c r="AF132" i="1"/>
  <c r="AF131" i="1"/>
  <c r="AG129" i="1"/>
  <c r="AF129" i="1"/>
  <c r="AG128" i="1"/>
  <c r="AF128" i="1"/>
  <c r="AG127" i="1"/>
  <c r="AF127" i="1"/>
  <c r="AG126" i="1"/>
  <c r="AF126" i="1"/>
  <c r="AG125" i="1"/>
  <c r="AF125" i="1"/>
  <c r="AG123" i="1"/>
  <c r="AF123" i="1"/>
  <c r="AG122" i="1"/>
  <c r="AF122" i="1"/>
  <c r="AG121" i="1"/>
  <c r="AF121" i="1"/>
  <c r="AG120" i="1"/>
  <c r="AF120" i="1"/>
  <c r="AG119" i="1"/>
  <c r="AF119" i="1"/>
  <c r="AG118" i="1"/>
  <c r="AF118" i="1"/>
  <c r="AG116" i="1"/>
  <c r="AF116" i="1"/>
  <c r="AG115" i="1"/>
  <c r="AF115" i="1"/>
  <c r="AG114" i="1"/>
  <c r="AF114" i="1"/>
  <c r="AG113" i="1"/>
  <c r="AF113" i="1"/>
  <c r="AG112" i="1"/>
  <c r="AF112" i="1"/>
  <c r="AG111" i="1"/>
  <c r="AF111" i="1"/>
  <c r="AG109" i="1"/>
  <c r="AF109" i="1"/>
  <c r="AG108" i="1"/>
  <c r="AF108" i="1"/>
  <c r="AG107" i="1"/>
  <c r="AG106" i="1"/>
  <c r="AF107" i="1"/>
  <c r="AF106" i="1"/>
  <c r="AG102" i="1"/>
  <c r="AF102" i="1"/>
  <c r="AG101" i="1"/>
  <c r="AF101" i="1"/>
  <c r="AG100" i="1"/>
  <c r="AF100" i="1"/>
  <c r="AG99" i="1"/>
  <c r="AF99" i="1"/>
  <c r="AG98" i="1"/>
  <c r="AF98" i="1"/>
  <c r="AG97" i="1"/>
  <c r="AF97" i="1"/>
  <c r="AG96" i="1"/>
  <c r="AF96" i="1"/>
  <c r="AG95" i="1"/>
  <c r="AF95" i="1"/>
  <c r="AG94" i="1"/>
  <c r="AF94" i="1"/>
  <c r="AG92" i="1"/>
  <c r="AF92" i="1"/>
  <c r="AF86" i="1"/>
  <c r="AG91" i="1"/>
  <c r="AF91" i="1"/>
  <c r="AG90" i="1"/>
  <c r="AF90" i="1"/>
  <c r="AG89" i="1"/>
  <c r="AF89" i="1"/>
  <c r="AG88" i="1"/>
  <c r="AF88" i="1"/>
  <c r="AG87" i="1"/>
  <c r="AF87" i="1"/>
  <c r="AG84" i="1"/>
  <c r="AF84" i="1"/>
  <c r="AG83" i="1"/>
  <c r="AF83" i="1"/>
  <c r="AG82" i="1"/>
  <c r="AF82" i="1"/>
  <c r="AG80" i="1"/>
  <c r="AF80" i="1"/>
  <c r="AG79" i="1"/>
  <c r="AF79" i="1"/>
  <c r="AG78" i="1"/>
  <c r="AF78" i="1"/>
  <c r="AG77" i="1"/>
  <c r="AG75" i="1"/>
  <c r="AF75" i="1"/>
  <c r="AG74" i="1"/>
  <c r="AF74" i="1"/>
  <c r="AG73" i="1"/>
  <c r="AF73" i="1"/>
  <c r="AG70" i="1"/>
  <c r="AF70" i="1"/>
  <c r="AG69" i="1"/>
  <c r="AF69" i="1"/>
  <c r="AG68" i="1"/>
  <c r="AG67" i="1"/>
  <c r="AF68" i="1"/>
  <c r="AF67" i="1"/>
  <c r="AG65" i="1"/>
  <c r="AF65" i="1"/>
  <c r="AG64" i="1"/>
  <c r="AG63" i="1"/>
  <c r="AF64" i="1"/>
  <c r="AF63" i="1"/>
  <c r="AG61" i="1"/>
  <c r="AF61" i="1"/>
  <c r="AG59" i="1"/>
  <c r="AF59" i="1"/>
  <c r="AG58" i="1"/>
  <c r="AG52" i="1"/>
  <c r="AF58" i="1"/>
  <c r="AG57" i="1"/>
  <c r="AF57" i="1"/>
  <c r="AG56" i="1"/>
  <c r="AF56" i="1"/>
  <c r="AG55" i="1"/>
  <c r="AF55" i="1"/>
  <c r="AG54" i="1"/>
  <c r="AF54" i="1"/>
  <c r="AG53" i="1"/>
  <c r="AF53" i="1"/>
  <c r="AF52" i="1"/>
  <c r="AG50" i="1"/>
  <c r="AF50" i="1"/>
  <c r="AG49" i="1"/>
  <c r="AF49" i="1"/>
  <c r="AG48" i="1"/>
  <c r="AF48" i="1"/>
  <c r="AG47" i="1"/>
  <c r="AG46" i="1"/>
  <c r="AF47" i="1"/>
  <c r="AF46" i="1"/>
  <c r="AG42" i="1"/>
  <c r="AF42" i="1"/>
  <c r="AG41" i="1"/>
  <c r="AF41" i="1"/>
  <c r="AG36" i="1"/>
  <c r="AF36" i="1"/>
  <c r="AG34" i="1"/>
  <c r="AF34" i="1"/>
  <c r="AG33" i="1"/>
  <c r="AF33" i="1"/>
  <c r="AG32" i="1"/>
  <c r="AF32" i="1"/>
  <c r="AG31" i="1"/>
  <c r="AG30" i="1"/>
  <c r="AF31" i="1"/>
  <c r="AF30" i="1"/>
  <c r="AG28" i="1"/>
  <c r="AF28" i="1"/>
  <c r="AG26" i="1"/>
  <c r="AF26" i="1"/>
  <c r="AG24" i="1"/>
  <c r="AF24" i="1"/>
  <c r="AG23" i="1"/>
  <c r="AF23" i="1"/>
  <c r="AG22" i="1"/>
  <c r="AG21" i="1"/>
  <c r="AF22" i="1"/>
  <c r="AF21" i="1"/>
  <c r="AG19" i="1"/>
  <c r="AF19" i="1"/>
  <c r="AG18" i="1"/>
  <c r="AF18" i="1"/>
  <c r="AG17" i="1"/>
  <c r="AG16" i="1"/>
  <c r="AG14" i="1"/>
  <c r="AF17" i="1"/>
  <c r="AF16" i="1"/>
  <c r="AF14" i="1"/>
  <c r="AI863" i="1"/>
  <c r="AH863" i="1"/>
  <c r="AI860" i="1"/>
  <c r="AH860" i="1"/>
  <c r="AI856" i="1"/>
  <c r="AH856" i="1"/>
  <c r="AI845" i="1"/>
  <c r="AH845" i="1"/>
  <c r="AI842" i="1"/>
  <c r="AH842" i="1"/>
  <c r="AI827" i="1"/>
  <c r="AH827" i="1"/>
  <c r="AI790" i="1"/>
  <c r="AH790" i="1"/>
  <c r="AI783" i="1"/>
  <c r="AH783" i="1"/>
  <c r="AI768" i="1"/>
  <c r="AH768" i="1"/>
  <c r="AI742" i="1"/>
  <c r="AH742" i="1"/>
  <c r="AI738" i="1"/>
  <c r="AH738" i="1"/>
  <c r="AI728" i="1"/>
  <c r="AH728" i="1"/>
  <c r="AI725" i="1"/>
  <c r="AH725" i="1"/>
  <c r="AI718" i="1"/>
  <c r="AH718" i="1"/>
  <c r="AI711" i="1"/>
  <c r="AI691" i="1"/>
  <c r="AH711" i="1"/>
  <c r="AH691" i="1"/>
  <c r="AI705" i="1"/>
  <c r="AH705" i="1"/>
  <c r="AI702" i="1"/>
  <c r="AH702" i="1"/>
  <c r="AI699" i="1"/>
  <c r="AH699" i="1"/>
  <c r="AI696" i="1"/>
  <c r="AH696" i="1"/>
  <c r="AI693" i="1"/>
  <c r="AH693" i="1"/>
  <c r="AI685" i="1"/>
  <c r="AH685" i="1"/>
  <c r="AI681" i="1"/>
  <c r="AH681" i="1"/>
  <c r="AI669" i="1"/>
  <c r="AI664" i="1"/>
  <c r="AI662" i="1"/>
  <c r="AH669" i="1"/>
  <c r="AH664" i="1"/>
  <c r="AH662" i="1"/>
  <c r="AI666" i="1"/>
  <c r="AH666" i="1"/>
  <c r="AI655" i="1"/>
  <c r="AH655" i="1"/>
  <c r="AI645" i="1"/>
  <c r="AH645" i="1"/>
  <c r="AI637" i="1"/>
  <c r="AH637" i="1"/>
  <c r="AI634" i="1"/>
  <c r="AI632" i="1"/>
  <c r="AI630" i="1"/>
  <c r="AI628" i="1"/>
  <c r="AH634" i="1"/>
  <c r="AH632" i="1"/>
  <c r="AH630" i="1"/>
  <c r="AH628" i="1"/>
  <c r="AI625" i="1"/>
  <c r="AH625" i="1"/>
  <c r="AI621" i="1"/>
  <c r="AH621" i="1"/>
  <c r="AI619" i="1"/>
  <c r="AH619" i="1"/>
  <c r="AI616" i="1"/>
  <c r="AH616" i="1"/>
  <c r="AI613" i="1"/>
  <c r="AH613" i="1"/>
  <c r="AI606" i="1"/>
  <c r="AH606" i="1"/>
  <c r="AI600" i="1"/>
  <c r="AH600" i="1"/>
  <c r="AI592" i="1"/>
  <c r="AH592" i="1"/>
  <c r="AI585" i="1"/>
  <c r="AH585" i="1"/>
  <c r="AI581" i="1"/>
  <c r="AH581" i="1"/>
  <c r="AI579" i="1"/>
  <c r="AH579" i="1"/>
  <c r="AI571" i="1"/>
  <c r="AH571" i="1"/>
  <c r="AI569" i="1"/>
  <c r="AI567" i="1"/>
  <c r="AH569" i="1"/>
  <c r="AH567" i="1"/>
  <c r="AI563" i="1"/>
  <c r="AH563" i="1"/>
  <c r="AI558" i="1"/>
  <c r="AH558" i="1"/>
  <c r="AI555" i="1"/>
  <c r="AH555" i="1"/>
  <c r="AI549" i="1"/>
  <c r="AH549" i="1"/>
  <c r="AI543" i="1"/>
  <c r="AH543" i="1"/>
  <c r="AI535" i="1"/>
  <c r="AH535" i="1"/>
  <c r="AI532" i="1"/>
  <c r="AH532" i="1"/>
  <c r="AI526" i="1"/>
  <c r="AH526" i="1"/>
  <c r="AI507" i="1"/>
  <c r="AI505" i="1"/>
  <c r="AH507" i="1"/>
  <c r="AH505" i="1"/>
  <c r="AI500" i="1"/>
  <c r="AH500" i="1"/>
  <c r="AI488" i="1"/>
  <c r="AH488" i="1"/>
  <c r="AI482" i="1"/>
  <c r="AH482" i="1"/>
  <c r="AI472" i="1"/>
  <c r="AH472" i="1"/>
  <c r="AI464" i="1"/>
  <c r="AH464" i="1"/>
  <c r="AI458" i="1"/>
  <c r="AH458" i="1"/>
  <c r="AI451" i="1"/>
  <c r="AH451" i="1"/>
  <c r="AI444" i="1"/>
  <c r="AH444" i="1"/>
  <c r="AI439" i="1"/>
  <c r="AH439" i="1"/>
  <c r="AI427" i="1"/>
  <c r="AH427" i="1"/>
  <c r="AI419" i="1"/>
  <c r="AH419" i="1"/>
  <c r="AI416" i="1"/>
  <c r="AH416" i="1"/>
  <c r="AI411" i="1"/>
  <c r="AH411" i="1"/>
  <c r="AI406" i="1"/>
  <c r="AH406" i="1"/>
  <c r="AI401" i="1"/>
  <c r="AH401" i="1"/>
  <c r="AI397" i="1"/>
  <c r="AH397" i="1"/>
  <c r="AI386" i="1"/>
  <c r="AH386" i="1"/>
  <c r="AI380" i="1"/>
  <c r="AH380" i="1"/>
  <c r="AI375" i="1"/>
  <c r="AH375" i="1"/>
  <c r="AI368" i="1"/>
  <c r="AH368" i="1"/>
  <c r="AI366" i="1"/>
  <c r="AH366" i="1"/>
  <c r="AI361" i="1"/>
  <c r="AH361" i="1"/>
  <c r="AI358" i="1"/>
  <c r="AH358" i="1"/>
  <c r="AI354" i="1"/>
  <c r="AH354" i="1"/>
  <c r="AI349" i="1"/>
  <c r="AH349" i="1"/>
  <c r="AI347" i="1"/>
  <c r="AH347" i="1"/>
  <c r="AI329" i="1"/>
  <c r="AH329" i="1"/>
  <c r="AI326" i="1"/>
  <c r="AH326" i="1"/>
  <c r="AI322" i="1"/>
  <c r="AH322" i="1"/>
  <c r="AI319" i="1"/>
  <c r="AH319" i="1"/>
  <c r="AI316" i="1"/>
  <c r="AH316" i="1"/>
  <c r="AI313" i="1"/>
  <c r="AH313" i="1"/>
  <c r="AI310" i="1"/>
  <c r="AH310" i="1"/>
  <c r="AH308" i="1"/>
  <c r="AI305" i="1"/>
  <c r="AH305" i="1"/>
  <c r="AI302" i="1"/>
  <c r="AH302" i="1"/>
  <c r="AI298" i="1"/>
  <c r="AH298" i="1"/>
  <c r="AI293" i="1"/>
  <c r="AH293" i="1"/>
  <c r="AH273" i="1"/>
  <c r="AI288" i="1"/>
  <c r="AH288" i="1"/>
  <c r="AI279" i="1"/>
  <c r="AH279" i="1"/>
  <c r="AI275" i="1"/>
  <c r="AH275" i="1"/>
  <c r="AI267" i="1"/>
  <c r="AH267" i="1"/>
  <c r="AI259" i="1"/>
  <c r="AH259" i="1"/>
  <c r="AI251" i="1"/>
  <c r="AH251" i="1"/>
  <c r="AI246" i="1"/>
  <c r="AI244" i="1"/>
  <c r="AH246" i="1"/>
  <c r="AH244" i="1"/>
  <c r="AI238" i="1"/>
  <c r="AH238" i="1"/>
  <c r="AI237" i="1"/>
  <c r="AI236" i="1"/>
  <c r="AH237" i="1"/>
  <c r="AH236" i="1"/>
  <c r="AI234" i="1"/>
  <c r="AH234" i="1"/>
  <c r="AI233" i="1"/>
  <c r="AH233" i="1"/>
  <c r="AI231" i="1"/>
  <c r="AH231" i="1"/>
  <c r="AI230" i="1"/>
  <c r="AH230" i="1"/>
  <c r="AI228" i="1"/>
  <c r="AI227" i="1"/>
  <c r="AH228" i="1"/>
  <c r="AH227" i="1"/>
  <c r="AI225" i="1"/>
  <c r="AH225" i="1"/>
  <c r="AI224" i="1"/>
  <c r="AH224" i="1"/>
  <c r="AI222" i="1"/>
  <c r="AH222" i="1"/>
  <c r="AI221" i="1"/>
  <c r="AH221" i="1"/>
  <c r="AI220" i="1"/>
  <c r="AH220" i="1"/>
  <c r="AI219" i="1"/>
  <c r="AH219" i="1"/>
  <c r="AH218" i="1"/>
  <c r="AI216" i="1"/>
  <c r="AH216" i="1"/>
  <c r="AI215" i="1"/>
  <c r="AH215" i="1"/>
  <c r="AI214" i="1"/>
  <c r="AH214" i="1"/>
  <c r="AI213" i="1"/>
  <c r="AI212" i="1"/>
  <c r="AH213" i="1"/>
  <c r="AH212" i="1"/>
  <c r="AI205" i="1"/>
  <c r="AI204" i="1"/>
  <c r="AH205" i="1"/>
  <c r="AH204" i="1"/>
  <c r="AI202" i="1"/>
  <c r="AI201" i="1"/>
  <c r="AH202" i="1"/>
  <c r="AH201" i="1"/>
  <c r="AI197" i="1"/>
  <c r="AH197" i="1"/>
  <c r="AI196" i="1"/>
  <c r="AI195" i="1"/>
  <c r="AH196" i="1"/>
  <c r="AH195" i="1"/>
  <c r="AI193" i="1"/>
  <c r="AH193" i="1"/>
  <c r="AI191" i="1"/>
  <c r="AH191" i="1"/>
  <c r="AI189" i="1"/>
  <c r="AH189" i="1"/>
  <c r="AI187" i="1"/>
  <c r="AH187" i="1"/>
  <c r="AI185" i="1"/>
  <c r="AI184" i="1"/>
  <c r="AH185" i="1"/>
  <c r="AH184" i="1"/>
  <c r="AI182" i="1"/>
  <c r="AH182" i="1"/>
  <c r="AI180" i="1"/>
  <c r="AH180" i="1"/>
  <c r="AI179" i="1"/>
  <c r="AH179" i="1"/>
  <c r="AI177" i="1"/>
  <c r="AH177" i="1"/>
  <c r="AI176" i="1"/>
  <c r="AH176" i="1"/>
  <c r="AI175" i="1"/>
  <c r="AH175" i="1"/>
  <c r="AI174" i="1"/>
  <c r="AH174" i="1"/>
  <c r="AI170" i="1"/>
  <c r="AH170" i="1"/>
  <c r="AI169" i="1"/>
  <c r="AH169" i="1"/>
  <c r="AI168" i="1"/>
  <c r="AI167" i="1"/>
  <c r="AH168" i="1"/>
  <c r="AH167" i="1"/>
  <c r="AI165" i="1"/>
  <c r="AH165" i="1"/>
  <c r="AI163" i="1"/>
  <c r="AH163" i="1"/>
  <c r="AI162" i="1"/>
  <c r="AH162" i="1"/>
  <c r="AI161" i="1"/>
  <c r="AH161" i="1"/>
  <c r="AI160" i="1"/>
  <c r="AH160" i="1"/>
  <c r="AI159" i="1"/>
  <c r="AH159" i="1"/>
  <c r="AI158" i="1"/>
  <c r="AH158" i="1"/>
  <c r="AI157" i="1"/>
  <c r="AH157" i="1"/>
  <c r="AI156" i="1"/>
  <c r="AH156" i="1"/>
  <c r="AI153" i="1"/>
  <c r="AH153" i="1"/>
  <c r="AI152" i="1"/>
  <c r="AH152" i="1"/>
  <c r="AI151" i="1"/>
  <c r="AH151" i="1"/>
  <c r="AI150" i="1"/>
  <c r="AH150" i="1"/>
  <c r="AI149" i="1"/>
  <c r="AH149" i="1"/>
  <c r="AI147" i="1"/>
  <c r="AH147" i="1"/>
  <c r="AI146" i="1"/>
  <c r="AH146" i="1"/>
  <c r="AI145" i="1"/>
  <c r="AH145" i="1"/>
  <c r="AI144" i="1"/>
  <c r="AH144" i="1"/>
  <c r="AI143" i="1"/>
  <c r="AH143" i="1"/>
  <c r="AI142" i="1"/>
  <c r="AH142" i="1"/>
  <c r="AI141" i="1"/>
  <c r="AH141" i="1"/>
  <c r="AI140" i="1"/>
  <c r="AI139" i="1"/>
  <c r="AH140" i="1"/>
  <c r="AH139" i="1"/>
  <c r="AI137" i="1"/>
  <c r="AH137" i="1"/>
  <c r="AI134" i="1"/>
  <c r="AH134" i="1"/>
  <c r="AI133" i="1"/>
  <c r="AH133" i="1"/>
  <c r="AI132" i="1"/>
  <c r="AI131" i="1"/>
  <c r="AH132" i="1"/>
  <c r="AH131" i="1"/>
  <c r="AI129" i="1"/>
  <c r="AH129" i="1"/>
  <c r="AI128" i="1"/>
  <c r="AH128" i="1"/>
  <c r="AI127" i="1"/>
  <c r="AH127" i="1"/>
  <c r="AI126" i="1"/>
  <c r="AI125" i="1"/>
  <c r="AH126" i="1"/>
  <c r="AH125" i="1"/>
  <c r="AI123" i="1"/>
  <c r="AH123" i="1"/>
  <c r="AI122" i="1"/>
  <c r="AH122" i="1"/>
  <c r="AI121" i="1"/>
  <c r="AH121" i="1"/>
  <c r="AI120" i="1"/>
  <c r="AH120" i="1"/>
  <c r="AI119" i="1"/>
  <c r="AI118" i="1"/>
  <c r="AH119" i="1"/>
  <c r="AH118" i="1"/>
  <c r="AI116" i="1"/>
  <c r="AH116" i="1"/>
  <c r="AI115" i="1"/>
  <c r="AH115" i="1"/>
  <c r="AI114" i="1"/>
  <c r="AH114" i="1"/>
  <c r="AI113" i="1"/>
  <c r="AH113" i="1"/>
  <c r="AI112" i="1"/>
  <c r="AH112" i="1"/>
  <c r="AH111" i="1"/>
  <c r="AI109" i="1"/>
  <c r="AH109" i="1"/>
  <c r="AI108" i="1"/>
  <c r="AH108" i="1"/>
  <c r="AI107" i="1"/>
  <c r="AI106" i="1"/>
  <c r="AH107" i="1"/>
  <c r="AH106" i="1"/>
  <c r="AI102" i="1"/>
  <c r="AH102" i="1"/>
  <c r="AI101" i="1"/>
  <c r="AH101" i="1"/>
  <c r="AI100" i="1"/>
  <c r="AH100" i="1"/>
  <c r="AI99" i="1"/>
  <c r="AH99" i="1"/>
  <c r="AI98" i="1"/>
  <c r="AH98" i="1"/>
  <c r="AI97" i="1"/>
  <c r="AH97" i="1"/>
  <c r="AI96" i="1"/>
  <c r="AH96" i="1"/>
  <c r="AI95" i="1"/>
  <c r="AI94" i="1"/>
  <c r="AH95" i="1"/>
  <c r="AH94" i="1"/>
  <c r="AI92" i="1"/>
  <c r="AH92" i="1"/>
  <c r="AI91" i="1"/>
  <c r="AH91" i="1"/>
  <c r="AI90" i="1"/>
  <c r="AH90" i="1"/>
  <c r="AI89" i="1"/>
  <c r="AH89" i="1"/>
  <c r="AI88" i="1"/>
  <c r="AH88" i="1"/>
  <c r="AI87" i="1"/>
  <c r="AH87" i="1"/>
  <c r="AI86" i="1"/>
  <c r="AH86" i="1"/>
  <c r="AI84" i="1"/>
  <c r="AH84" i="1"/>
  <c r="AI83" i="1"/>
  <c r="AI82" i="1"/>
  <c r="AH83" i="1"/>
  <c r="AH82" i="1"/>
  <c r="AI80" i="1"/>
  <c r="AH80" i="1"/>
  <c r="AH77" i="1"/>
  <c r="AI79" i="1"/>
  <c r="AH79" i="1"/>
  <c r="AI78" i="1"/>
  <c r="AH78" i="1"/>
  <c r="AI75" i="1"/>
  <c r="AH75" i="1"/>
  <c r="AI74" i="1"/>
  <c r="AH74" i="1"/>
  <c r="AI73" i="1"/>
  <c r="AH73" i="1"/>
  <c r="AI70" i="1"/>
  <c r="AH70" i="1"/>
  <c r="AI69" i="1"/>
  <c r="AH69" i="1"/>
  <c r="AI68" i="1"/>
  <c r="AI67" i="1"/>
  <c r="AH68" i="1"/>
  <c r="AI65" i="1"/>
  <c r="AH65" i="1"/>
  <c r="AI64" i="1"/>
  <c r="AH64" i="1"/>
  <c r="AH63" i="1"/>
  <c r="AI63" i="1"/>
  <c r="AI61" i="1"/>
  <c r="AH61" i="1"/>
  <c r="AI59" i="1"/>
  <c r="AH59" i="1"/>
  <c r="AI58" i="1"/>
  <c r="AH58" i="1"/>
  <c r="AI57" i="1"/>
  <c r="AH57" i="1"/>
  <c r="AI56" i="1"/>
  <c r="AH56" i="1"/>
  <c r="AI55" i="1"/>
  <c r="AH55" i="1"/>
  <c r="AI54" i="1"/>
  <c r="AH54" i="1"/>
  <c r="AI53" i="1"/>
  <c r="AH53" i="1"/>
  <c r="AI50" i="1"/>
  <c r="AH50" i="1"/>
  <c r="AI49" i="1"/>
  <c r="AH49" i="1"/>
  <c r="AI48" i="1"/>
  <c r="AH48" i="1"/>
  <c r="AI47" i="1"/>
  <c r="AH47" i="1"/>
  <c r="AI46" i="1"/>
  <c r="AH46" i="1"/>
  <c r="AI42" i="1"/>
  <c r="AH42" i="1"/>
  <c r="AI41" i="1"/>
  <c r="AH41" i="1"/>
  <c r="AI38" i="1"/>
  <c r="AI36" i="1"/>
  <c r="AH36" i="1"/>
  <c r="AI34" i="1"/>
  <c r="AH34" i="1"/>
  <c r="AI33" i="1"/>
  <c r="AH33" i="1"/>
  <c r="AI32" i="1"/>
  <c r="AH32" i="1"/>
  <c r="AI31" i="1"/>
  <c r="AH31" i="1"/>
  <c r="AI30" i="1"/>
  <c r="AH30" i="1"/>
  <c r="AI28" i="1"/>
  <c r="AH28" i="1"/>
  <c r="AI26" i="1"/>
  <c r="AH26" i="1"/>
  <c r="AI24" i="1"/>
  <c r="AH24" i="1"/>
  <c r="AI23" i="1"/>
  <c r="AH23" i="1"/>
  <c r="AI22" i="1"/>
  <c r="AH22" i="1"/>
  <c r="AI21" i="1"/>
  <c r="AH21" i="1"/>
  <c r="AI19" i="1"/>
  <c r="AH19" i="1"/>
  <c r="AI18" i="1"/>
  <c r="AH18" i="1"/>
  <c r="AI17" i="1"/>
  <c r="AI16" i="1"/>
  <c r="AI14" i="1"/>
  <c r="AH17" i="1"/>
  <c r="AH16" i="1"/>
  <c r="AH14" i="1"/>
  <c r="AK863" i="1"/>
  <c r="AJ863" i="1"/>
  <c r="AK860" i="1"/>
  <c r="AJ860" i="1"/>
  <c r="AK856" i="1"/>
  <c r="AJ856" i="1"/>
  <c r="AK845" i="1"/>
  <c r="AJ845" i="1"/>
  <c r="AK842" i="1"/>
  <c r="AJ842" i="1"/>
  <c r="AK827" i="1"/>
  <c r="AJ827" i="1"/>
  <c r="AK790" i="1"/>
  <c r="AJ790" i="1"/>
  <c r="AK783" i="1"/>
  <c r="AJ783" i="1"/>
  <c r="AK768" i="1"/>
  <c r="AJ768" i="1"/>
  <c r="AK742" i="1"/>
  <c r="AJ742" i="1"/>
  <c r="AK738" i="1"/>
  <c r="AJ738" i="1"/>
  <c r="AK728" i="1"/>
  <c r="AJ728" i="1"/>
  <c r="AK725" i="1"/>
  <c r="AJ725" i="1"/>
  <c r="AJ723" i="1"/>
  <c r="AJ721" i="1"/>
  <c r="AK718" i="1"/>
  <c r="AJ718" i="1"/>
  <c r="AK711" i="1"/>
  <c r="AK691" i="1"/>
  <c r="AJ711" i="1"/>
  <c r="AJ691" i="1"/>
  <c r="AK705" i="1"/>
  <c r="AJ705" i="1"/>
  <c r="AK702" i="1"/>
  <c r="AJ702" i="1"/>
  <c r="AK699" i="1"/>
  <c r="AJ699" i="1"/>
  <c r="AK696" i="1"/>
  <c r="AJ696" i="1"/>
  <c r="AK693" i="1"/>
  <c r="AJ693" i="1"/>
  <c r="AK685" i="1"/>
  <c r="AJ685" i="1"/>
  <c r="AK681" i="1"/>
  <c r="AJ681" i="1"/>
  <c r="AK669" i="1"/>
  <c r="AK664" i="1"/>
  <c r="AK662" i="1"/>
  <c r="AJ669" i="1"/>
  <c r="AJ664" i="1"/>
  <c r="AJ662" i="1"/>
  <c r="AK666" i="1"/>
  <c r="AJ666" i="1"/>
  <c r="AK655" i="1"/>
  <c r="AJ655" i="1"/>
  <c r="AK645" i="1"/>
  <c r="AJ645" i="1"/>
  <c r="AK637" i="1"/>
  <c r="AJ637" i="1"/>
  <c r="AK634" i="1"/>
  <c r="AJ634" i="1"/>
  <c r="AK632" i="1"/>
  <c r="AK630" i="1"/>
  <c r="AK628" i="1"/>
  <c r="AJ632" i="1"/>
  <c r="AJ630" i="1"/>
  <c r="AJ628" i="1"/>
  <c r="AK625" i="1"/>
  <c r="AJ625" i="1"/>
  <c r="AK621" i="1"/>
  <c r="AK619" i="1"/>
  <c r="AJ621" i="1"/>
  <c r="AJ619" i="1"/>
  <c r="AK616" i="1"/>
  <c r="AJ616" i="1"/>
  <c r="AK613" i="1"/>
  <c r="AJ613" i="1"/>
  <c r="AK611" i="1"/>
  <c r="AK609" i="1"/>
  <c r="AJ611" i="1"/>
  <c r="AK606" i="1"/>
  <c r="AJ606" i="1"/>
  <c r="AK600" i="1"/>
  <c r="AJ600" i="1"/>
  <c r="AK592" i="1"/>
  <c r="AJ592" i="1"/>
  <c r="AK585" i="1"/>
  <c r="AJ585" i="1"/>
  <c r="AK581" i="1"/>
  <c r="AK579" i="1"/>
  <c r="AK577" i="1"/>
  <c r="AJ581" i="1"/>
  <c r="AJ579" i="1"/>
  <c r="AJ577" i="1"/>
  <c r="AK571" i="1"/>
  <c r="AK569" i="1"/>
  <c r="AK567" i="1"/>
  <c r="AJ571" i="1"/>
  <c r="AJ569" i="1"/>
  <c r="AJ567" i="1"/>
  <c r="AK563" i="1"/>
  <c r="AJ563" i="1"/>
  <c r="AK558" i="1"/>
  <c r="AJ558" i="1"/>
  <c r="AK555" i="1"/>
  <c r="AJ555" i="1"/>
  <c r="AK549" i="1"/>
  <c r="AJ549" i="1"/>
  <c r="AK543" i="1"/>
  <c r="AJ543" i="1"/>
  <c r="AK541" i="1"/>
  <c r="AJ541" i="1"/>
  <c r="AK535" i="1"/>
  <c r="AJ535" i="1"/>
  <c r="AK532" i="1"/>
  <c r="AJ532" i="1"/>
  <c r="AK526" i="1"/>
  <c r="AJ526" i="1"/>
  <c r="AK507" i="1"/>
  <c r="AJ507" i="1"/>
  <c r="AK505" i="1"/>
  <c r="AJ505" i="1"/>
  <c r="AK500" i="1"/>
  <c r="AJ500" i="1"/>
  <c r="AK488" i="1"/>
  <c r="AJ488" i="1"/>
  <c r="AK482" i="1"/>
  <c r="AJ482" i="1"/>
  <c r="AK472" i="1"/>
  <c r="AJ472" i="1"/>
  <c r="AK464" i="1"/>
  <c r="AJ464" i="1"/>
  <c r="AK458" i="1"/>
  <c r="AJ458" i="1"/>
  <c r="AK451" i="1"/>
  <c r="AJ451" i="1"/>
  <c r="AK444" i="1"/>
  <c r="AJ444" i="1"/>
  <c r="AK439" i="1"/>
  <c r="AJ439" i="1"/>
  <c r="AK437" i="1"/>
  <c r="AJ437" i="1"/>
  <c r="AK427" i="1"/>
  <c r="AJ427" i="1"/>
  <c r="AK419" i="1"/>
  <c r="AJ419" i="1"/>
  <c r="AK416" i="1"/>
  <c r="AJ416" i="1"/>
  <c r="AK411" i="1"/>
  <c r="AJ411" i="1"/>
  <c r="AK406" i="1"/>
  <c r="AJ406" i="1"/>
  <c r="AK401" i="1"/>
  <c r="AJ401" i="1"/>
  <c r="AK397" i="1"/>
  <c r="AJ397" i="1"/>
  <c r="AK386" i="1"/>
  <c r="AJ386" i="1"/>
  <c r="AK380" i="1"/>
  <c r="AJ380" i="1"/>
  <c r="AK378" i="1"/>
  <c r="AK364" i="1"/>
  <c r="AJ378" i="1"/>
  <c r="AK375" i="1"/>
  <c r="AJ375" i="1"/>
  <c r="AK368" i="1"/>
  <c r="AK366" i="1"/>
  <c r="AJ368" i="1"/>
  <c r="AJ366" i="1"/>
  <c r="AK361" i="1"/>
  <c r="AJ361" i="1"/>
  <c r="AK358" i="1"/>
  <c r="AJ358" i="1"/>
  <c r="AK354" i="1"/>
  <c r="AJ354" i="1"/>
  <c r="AK349" i="1"/>
  <c r="AJ349" i="1"/>
  <c r="AJ347" i="1"/>
  <c r="AK329" i="1"/>
  <c r="AJ329" i="1"/>
  <c r="AK326" i="1"/>
  <c r="AJ326" i="1"/>
  <c r="AK322" i="1"/>
  <c r="AJ322" i="1"/>
  <c r="AK319" i="1"/>
  <c r="AJ319" i="1"/>
  <c r="AK316" i="1"/>
  <c r="AJ316" i="1"/>
  <c r="AK313" i="1"/>
  <c r="AJ313" i="1"/>
  <c r="AK310" i="1"/>
  <c r="AK308" i="1"/>
  <c r="AJ310" i="1"/>
  <c r="AJ308" i="1"/>
  <c r="AK305" i="1"/>
  <c r="AJ305" i="1"/>
  <c r="AK302" i="1"/>
  <c r="AJ302" i="1"/>
  <c r="AK298" i="1"/>
  <c r="AJ298" i="1"/>
  <c r="AK293" i="1"/>
  <c r="AJ293" i="1"/>
  <c r="AK288" i="1"/>
  <c r="AJ288" i="1"/>
  <c r="AK279" i="1"/>
  <c r="AJ279" i="1"/>
  <c r="AK275" i="1"/>
  <c r="AJ275" i="1"/>
  <c r="AK267" i="1"/>
  <c r="AJ267" i="1"/>
  <c r="AK259" i="1"/>
  <c r="AJ259" i="1"/>
  <c r="AK251" i="1"/>
  <c r="AJ251" i="1"/>
  <c r="AK246" i="1"/>
  <c r="AJ246" i="1"/>
  <c r="AK244" i="1"/>
  <c r="AJ244" i="1"/>
  <c r="AK238" i="1"/>
  <c r="AJ238" i="1"/>
  <c r="AK237" i="1"/>
  <c r="AK236" i="1"/>
  <c r="AJ237" i="1"/>
  <c r="AJ236" i="1"/>
  <c r="AK234" i="1"/>
  <c r="AJ234" i="1"/>
  <c r="AK233" i="1"/>
  <c r="AJ233" i="1"/>
  <c r="AK231" i="1"/>
  <c r="AK230" i="1"/>
  <c r="AJ231" i="1"/>
  <c r="AJ230" i="1"/>
  <c r="AK228" i="1"/>
  <c r="AK227" i="1"/>
  <c r="AJ228" i="1"/>
  <c r="AJ227" i="1"/>
  <c r="AK225" i="1"/>
  <c r="AK224" i="1"/>
  <c r="AJ225" i="1"/>
  <c r="AJ224" i="1"/>
  <c r="AK222" i="1"/>
  <c r="AJ222" i="1"/>
  <c r="AK221" i="1"/>
  <c r="AJ221" i="1"/>
  <c r="AK220" i="1"/>
  <c r="AK218" i="1"/>
  <c r="AJ220" i="1"/>
  <c r="AK219" i="1"/>
  <c r="AJ219" i="1"/>
  <c r="AJ218" i="1"/>
  <c r="AK216" i="1"/>
  <c r="AJ216" i="1"/>
  <c r="AK215" i="1"/>
  <c r="AJ215" i="1"/>
  <c r="AK214" i="1"/>
  <c r="AJ214" i="1"/>
  <c r="AK213" i="1"/>
  <c r="AK212" i="1"/>
  <c r="AJ213" i="1"/>
  <c r="AJ212" i="1"/>
  <c r="AK205" i="1"/>
  <c r="AJ205" i="1"/>
  <c r="AK204" i="1"/>
  <c r="AJ204" i="1"/>
  <c r="AK202" i="1"/>
  <c r="AK201" i="1"/>
  <c r="AK199" i="1"/>
  <c r="AJ202" i="1"/>
  <c r="AJ201" i="1"/>
  <c r="AJ199" i="1"/>
  <c r="AK197" i="1"/>
  <c r="AJ197" i="1"/>
  <c r="AK196" i="1"/>
  <c r="AJ196" i="1"/>
  <c r="AK195" i="1"/>
  <c r="AJ195" i="1"/>
  <c r="AK193" i="1"/>
  <c r="AJ193" i="1"/>
  <c r="AK191" i="1"/>
  <c r="AJ191" i="1"/>
  <c r="AK189" i="1"/>
  <c r="AJ189" i="1"/>
  <c r="AK187" i="1"/>
  <c r="AJ187" i="1"/>
  <c r="AK185" i="1"/>
  <c r="AJ185" i="1"/>
  <c r="AK184" i="1"/>
  <c r="AJ184" i="1"/>
  <c r="AK182" i="1"/>
  <c r="AJ182" i="1"/>
  <c r="AK180" i="1"/>
  <c r="AK179" i="1"/>
  <c r="AJ180" i="1"/>
  <c r="AJ179" i="1"/>
  <c r="AK177" i="1"/>
  <c r="AJ177" i="1"/>
  <c r="AK176" i="1"/>
  <c r="AJ176" i="1"/>
  <c r="AK175" i="1"/>
  <c r="AK174" i="1"/>
  <c r="AJ175" i="1"/>
  <c r="AJ174" i="1"/>
  <c r="AK170" i="1"/>
  <c r="AJ170" i="1"/>
  <c r="AK169" i="1"/>
  <c r="AJ169" i="1"/>
  <c r="AK168" i="1"/>
  <c r="AK167" i="1"/>
  <c r="AJ168" i="1"/>
  <c r="AJ167" i="1"/>
  <c r="AK165" i="1"/>
  <c r="AJ165" i="1"/>
  <c r="AK163" i="1"/>
  <c r="AJ163" i="1"/>
  <c r="AK162" i="1"/>
  <c r="AJ162" i="1"/>
  <c r="AK161" i="1"/>
  <c r="AJ161" i="1"/>
  <c r="AK160" i="1"/>
  <c r="AK155" i="1"/>
  <c r="AJ160" i="1"/>
  <c r="AK159" i="1"/>
  <c r="AJ159" i="1"/>
  <c r="AK158" i="1"/>
  <c r="AJ158" i="1"/>
  <c r="AK157" i="1"/>
  <c r="AJ157" i="1"/>
  <c r="AK156" i="1"/>
  <c r="AJ156" i="1"/>
  <c r="AK153" i="1"/>
  <c r="AK149" i="1"/>
  <c r="AJ153" i="1"/>
  <c r="AK152" i="1"/>
  <c r="AJ152" i="1"/>
  <c r="AK151" i="1"/>
  <c r="AJ151" i="1"/>
  <c r="AK150" i="1"/>
  <c r="AJ150" i="1"/>
  <c r="AJ149" i="1"/>
  <c r="AK147" i="1"/>
  <c r="AJ147" i="1"/>
  <c r="AK146" i="1"/>
  <c r="AJ146" i="1"/>
  <c r="AK145" i="1"/>
  <c r="AJ145" i="1"/>
  <c r="AK144" i="1"/>
  <c r="AJ144" i="1"/>
  <c r="AK143" i="1"/>
  <c r="AJ143" i="1"/>
  <c r="AK142" i="1"/>
  <c r="AJ142" i="1"/>
  <c r="AK141" i="1"/>
  <c r="AJ141" i="1"/>
  <c r="AK140" i="1"/>
  <c r="AJ140" i="1"/>
  <c r="AK139" i="1"/>
  <c r="AJ139" i="1"/>
  <c r="AK137" i="1"/>
  <c r="AJ137" i="1"/>
  <c r="AK134" i="1"/>
  <c r="AJ134" i="1"/>
  <c r="AK133" i="1"/>
  <c r="AJ133" i="1"/>
  <c r="AK132" i="1"/>
  <c r="AK131" i="1"/>
  <c r="AJ132" i="1"/>
  <c r="AJ131" i="1"/>
  <c r="AK129" i="1"/>
  <c r="AJ129" i="1"/>
  <c r="AK128" i="1"/>
  <c r="AJ128" i="1"/>
  <c r="AK127" i="1"/>
  <c r="AJ127" i="1"/>
  <c r="AK126" i="1"/>
  <c r="AJ126" i="1"/>
  <c r="AK125" i="1"/>
  <c r="AJ125" i="1"/>
  <c r="AK123" i="1"/>
  <c r="AJ123" i="1"/>
  <c r="AK122" i="1"/>
  <c r="AJ122" i="1"/>
  <c r="AK121" i="1"/>
  <c r="AJ121" i="1"/>
  <c r="AK120" i="1"/>
  <c r="AJ120" i="1"/>
  <c r="AK119" i="1"/>
  <c r="AJ119" i="1"/>
  <c r="AK118" i="1"/>
  <c r="AJ118" i="1"/>
  <c r="AK116" i="1"/>
  <c r="AJ116" i="1"/>
  <c r="AK115" i="1"/>
  <c r="AJ115" i="1"/>
  <c r="AK114" i="1"/>
  <c r="AJ114" i="1"/>
  <c r="AK113" i="1"/>
  <c r="AJ113" i="1"/>
  <c r="AK112" i="1"/>
  <c r="AJ112" i="1"/>
  <c r="AK111" i="1"/>
  <c r="AJ111" i="1"/>
  <c r="AK109" i="1"/>
  <c r="AJ109" i="1"/>
  <c r="AK108" i="1"/>
  <c r="AJ108" i="1"/>
  <c r="AK107" i="1"/>
  <c r="AK106" i="1"/>
  <c r="AJ107" i="1"/>
  <c r="AJ106" i="1"/>
  <c r="AK102" i="1"/>
  <c r="AJ102" i="1"/>
  <c r="AK101" i="1"/>
  <c r="AJ101" i="1"/>
  <c r="AK100" i="1"/>
  <c r="AJ100" i="1"/>
  <c r="AK99" i="1"/>
  <c r="AJ99" i="1"/>
  <c r="AK98" i="1"/>
  <c r="AJ98" i="1"/>
  <c r="AK97" i="1"/>
  <c r="AJ97" i="1"/>
  <c r="AK96" i="1"/>
  <c r="AJ96" i="1"/>
  <c r="AK95" i="1"/>
  <c r="AJ95" i="1"/>
  <c r="AK94" i="1"/>
  <c r="AJ94" i="1"/>
  <c r="AK92" i="1"/>
  <c r="AK86" i="1"/>
  <c r="AJ92" i="1"/>
  <c r="AJ86" i="1"/>
  <c r="AK91" i="1"/>
  <c r="AJ91" i="1"/>
  <c r="AK90" i="1"/>
  <c r="AJ90" i="1"/>
  <c r="AK89" i="1"/>
  <c r="AJ89" i="1"/>
  <c r="AK88" i="1"/>
  <c r="AJ88" i="1"/>
  <c r="AK87" i="1"/>
  <c r="AJ87" i="1"/>
  <c r="AK84" i="1"/>
  <c r="AJ84" i="1"/>
  <c r="AK83" i="1"/>
  <c r="AJ83" i="1"/>
  <c r="AK82" i="1"/>
  <c r="AJ82" i="1"/>
  <c r="AK80" i="1"/>
  <c r="AJ80" i="1"/>
  <c r="AK79" i="1"/>
  <c r="AJ79" i="1"/>
  <c r="AK78" i="1"/>
  <c r="AJ78" i="1"/>
  <c r="AK75" i="1"/>
  <c r="AJ75" i="1"/>
  <c r="AK74" i="1"/>
  <c r="AJ74" i="1"/>
  <c r="AK73" i="1"/>
  <c r="AK72" i="1"/>
  <c r="AJ73" i="1"/>
  <c r="AK70" i="1"/>
  <c r="AJ70" i="1"/>
  <c r="AK69" i="1"/>
  <c r="AJ69" i="1"/>
  <c r="AK68" i="1"/>
  <c r="AJ68" i="1"/>
  <c r="AK65" i="1"/>
  <c r="AJ65" i="1"/>
  <c r="AK64" i="1"/>
  <c r="AK63" i="1"/>
  <c r="AJ64" i="1"/>
  <c r="AJ63" i="1"/>
  <c r="AK61" i="1"/>
  <c r="AJ61" i="1"/>
  <c r="AK59" i="1"/>
  <c r="AJ59" i="1"/>
  <c r="AK58" i="1"/>
  <c r="AJ58" i="1"/>
  <c r="AK57" i="1"/>
  <c r="AJ57" i="1"/>
  <c r="AK56" i="1"/>
  <c r="AJ56" i="1"/>
  <c r="AK55" i="1"/>
  <c r="AJ55" i="1"/>
  <c r="AK54" i="1"/>
  <c r="AJ54" i="1"/>
  <c r="AK53" i="1"/>
  <c r="AK52" i="1"/>
  <c r="AJ53" i="1"/>
  <c r="AK50" i="1"/>
  <c r="AJ50" i="1"/>
  <c r="AK49" i="1"/>
  <c r="AJ49" i="1"/>
  <c r="AK48" i="1"/>
  <c r="AJ48" i="1"/>
  <c r="AK47" i="1"/>
  <c r="AK46" i="1"/>
  <c r="AJ47" i="1"/>
  <c r="AJ46" i="1"/>
  <c r="AK42" i="1"/>
  <c r="AJ42" i="1"/>
  <c r="AK41" i="1"/>
  <c r="AJ41" i="1"/>
  <c r="AK36" i="1"/>
  <c r="AK34" i="1"/>
  <c r="AJ34" i="1"/>
  <c r="AK33" i="1"/>
  <c r="AJ33" i="1"/>
  <c r="AK32" i="1"/>
  <c r="AJ32" i="1"/>
  <c r="AK31" i="1"/>
  <c r="AK30" i="1"/>
  <c r="AJ31" i="1"/>
  <c r="AJ30" i="1"/>
  <c r="AK28" i="1"/>
  <c r="AJ28" i="1"/>
  <c r="AK26" i="1"/>
  <c r="AJ26" i="1"/>
  <c r="AK24" i="1"/>
  <c r="AJ24" i="1"/>
  <c r="AK23" i="1"/>
  <c r="AJ23" i="1"/>
  <c r="AK22" i="1"/>
  <c r="AK21" i="1"/>
  <c r="AJ22" i="1"/>
  <c r="AJ21" i="1"/>
  <c r="AK19" i="1"/>
  <c r="AJ19" i="1"/>
  <c r="AK18" i="1"/>
  <c r="AJ18" i="1"/>
  <c r="AK17" i="1"/>
  <c r="AK16" i="1"/>
  <c r="AK14" i="1"/>
  <c r="AJ17" i="1"/>
  <c r="AJ16" i="1"/>
  <c r="AJ14" i="1"/>
  <c r="AM863" i="1"/>
  <c r="AL863" i="1"/>
  <c r="AM860" i="1"/>
  <c r="AL860" i="1"/>
  <c r="AM856" i="1"/>
  <c r="AL856" i="1"/>
  <c r="AM845" i="1"/>
  <c r="AL845" i="1"/>
  <c r="AM842" i="1"/>
  <c r="AL842" i="1"/>
  <c r="AM827" i="1"/>
  <c r="AL827" i="1"/>
  <c r="AM790" i="1"/>
  <c r="AL790" i="1"/>
  <c r="AM783" i="1"/>
  <c r="AL783" i="1"/>
  <c r="AM768" i="1"/>
  <c r="AL768" i="1"/>
  <c r="AM742" i="1"/>
  <c r="AL742" i="1"/>
  <c r="AM738" i="1"/>
  <c r="AL738" i="1"/>
  <c r="AM728" i="1"/>
  <c r="AL728" i="1"/>
  <c r="AM725" i="1"/>
  <c r="AL725" i="1"/>
  <c r="AL723" i="1"/>
  <c r="AL721" i="1"/>
  <c r="AM718" i="1"/>
  <c r="AL718" i="1"/>
  <c r="AM711" i="1"/>
  <c r="AM691" i="1"/>
  <c r="AL711" i="1"/>
  <c r="AL691" i="1"/>
  <c r="AM705" i="1"/>
  <c r="AL705" i="1"/>
  <c r="AM702" i="1"/>
  <c r="AL702" i="1"/>
  <c r="AM699" i="1"/>
  <c r="AL699" i="1"/>
  <c r="AM696" i="1"/>
  <c r="AL696" i="1"/>
  <c r="AM693" i="1"/>
  <c r="AL693" i="1"/>
  <c r="AM685" i="1"/>
  <c r="AL685" i="1"/>
  <c r="AM681" i="1"/>
  <c r="AL681" i="1"/>
  <c r="AM669" i="1"/>
  <c r="AM664" i="1"/>
  <c r="AM662" i="1"/>
  <c r="AL669" i="1"/>
  <c r="AL664" i="1"/>
  <c r="AL662" i="1"/>
  <c r="AM666" i="1"/>
  <c r="AL666" i="1"/>
  <c r="AM655" i="1"/>
  <c r="AL655" i="1"/>
  <c r="AM645" i="1"/>
  <c r="AL645" i="1"/>
  <c r="AM637" i="1"/>
  <c r="AL637" i="1"/>
  <c r="AM634" i="1"/>
  <c r="AL634" i="1"/>
  <c r="AM632" i="1"/>
  <c r="AM630" i="1"/>
  <c r="AM628" i="1"/>
  <c r="AL632" i="1"/>
  <c r="AL630" i="1"/>
  <c r="AL628" i="1"/>
  <c r="AM625" i="1"/>
  <c r="AL625" i="1"/>
  <c r="AM621" i="1"/>
  <c r="AM619" i="1"/>
  <c r="AL621" i="1"/>
  <c r="AM616" i="1"/>
  <c r="AL616" i="1"/>
  <c r="AM613" i="1"/>
  <c r="AL613" i="1"/>
  <c r="AM611" i="1"/>
  <c r="AL611" i="1"/>
  <c r="AM606" i="1"/>
  <c r="AL606" i="1"/>
  <c r="AM600" i="1"/>
  <c r="AL600" i="1"/>
  <c r="AM592" i="1"/>
  <c r="AL592" i="1"/>
  <c r="AM585" i="1"/>
  <c r="AL585" i="1"/>
  <c r="AM581" i="1"/>
  <c r="AM579" i="1"/>
  <c r="AM577" i="1"/>
  <c r="AL581" i="1"/>
  <c r="AL579" i="1"/>
  <c r="AL577" i="1"/>
  <c r="AM571" i="1"/>
  <c r="AM569" i="1"/>
  <c r="AM567" i="1"/>
  <c r="AL571" i="1"/>
  <c r="AL569" i="1"/>
  <c r="AL567" i="1"/>
  <c r="AM563" i="1"/>
  <c r="AL563" i="1"/>
  <c r="AM558" i="1"/>
  <c r="AL558" i="1"/>
  <c r="AM555" i="1"/>
  <c r="AL555" i="1"/>
  <c r="AM549" i="1"/>
  <c r="AL549" i="1"/>
  <c r="AM543" i="1"/>
  <c r="AL543" i="1"/>
  <c r="AM541" i="1"/>
  <c r="AL541" i="1"/>
  <c r="AM535" i="1"/>
  <c r="AL535" i="1"/>
  <c r="AM532" i="1"/>
  <c r="AL532" i="1"/>
  <c r="AM526" i="1"/>
  <c r="AL526" i="1"/>
  <c r="AM507" i="1"/>
  <c r="AL507" i="1"/>
  <c r="AM505" i="1"/>
  <c r="AL505" i="1"/>
  <c r="AM500" i="1"/>
  <c r="AL500" i="1"/>
  <c r="AM488" i="1"/>
  <c r="AL488" i="1"/>
  <c r="AM482" i="1"/>
  <c r="AL482" i="1"/>
  <c r="AM472" i="1"/>
  <c r="AL472" i="1"/>
  <c r="AM464" i="1"/>
  <c r="AL464" i="1"/>
  <c r="AM458" i="1"/>
  <c r="AL458" i="1"/>
  <c r="AM451" i="1"/>
  <c r="AL451" i="1"/>
  <c r="AM444" i="1"/>
  <c r="AL444" i="1"/>
  <c r="AM439" i="1"/>
  <c r="AL439" i="1"/>
  <c r="AM437" i="1"/>
  <c r="AL437" i="1"/>
  <c r="AM427" i="1"/>
  <c r="AL427" i="1"/>
  <c r="AM419" i="1"/>
  <c r="AL419" i="1"/>
  <c r="AM416" i="1"/>
  <c r="AL416" i="1"/>
  <c r="AM411" i="1"/>
  <c r="AL411" i="1"/>
  <c r="AM406" i="1"/>
  <c r="AL406" i="1"/>
  <c r="AM401" i="1"/>
  <c r="AL401" i="1"/>
  <c r="AM397" i="1"/>
  <c r="AL397" i="1"/>
  <c r="AM386" i="1"/>
  <c r="AL386" i="1"/>
  <c r="AM380" i="1"/>
  <c r="AL380" i="1"/>
  <c r="AM378" i="1"/>
  <c r="AM364" i="1"/>
  <c r="AL378" i="1"/>
  <c r="AM375" i="1"/>
  <c r="AL375" i="1"/>
  <c r="AM368" i="1"/>
  <c r="AM366" i="1"/>
  <c r="AL368" i="1"/>
  <c r="AL366" i="1"/>
  <c r="AM361" i="1"/>
  <c r="AL361" i="1"/>
  <c r="AM358" i="1"/>
  <c r="AL358" i="1"/>
  <c r="AM354" i="1"/>
  <c r="AL354" i="1"/>
  <c r="AM349" i="1"/>
  <c r="AM347" i="1"/>
  <c r="AL349" i="1"/>
  <c r="AL347" i="1"/>
  <c r="AM329" i="1"/>
  <c r="AL329" i="1"/>
  <c r="AM326" i="1"/>
  <c r="AL326" i="1"/>
  <c r="AM322" i="1"/>
  <c r="AL322" i="1"/>
  <c r="AM319" i="1"/>
  <c r="AL319" i="1"/>
  <c r="AM316" i="1"/>
  <c r="AL316" i="1"/>
  <c r="AM313" i="1"/>
  <c r="AL313" i="1"/>
  <c r="AM310" i="1"/>
  <c r="AL310" i="1"/>
  <c r="AM305" i="1"/>
  <c r="AL305" i="1"/>
  <c r="AM302" i="1"/>
  <c r="AL302" i="1"/>
  <c r="AM298" i="1"/>
  <c r="AL298" i="1"/>
  <c r="AM293" i="1"/>
  <c r="AL293" i="1"/>
  <c r="AM288" i="1"/>
  <c r="AL288" i="1"/>
  <c r="AM279" i="1"/>
  <c r="AL279" i="1"/>
  <c r="AM275" i="1"/>
  <c r="AL275" i="1"/>
  <c r="AM267" i="1"/>
  <c r="AL267" i="1"/>
  <c r="AM259" i="1"/>
  <c r="AL259" i="1"/>
  <c r="AM251" i="1"/>
  <c r="AL251" i="1"/>
  <c r="AM246" i="1"/>
  <c r="AM244" i="1"/>
  <c r="AL246" i="1"/>
  <c r="AL244" i="1"/>
  <c r="AM238" i="1"/>
  <c r="AL238" i="1"/>
  <c r="AM237" i="1"/>
  <c r="AM236" i="1"/>
  <c r="AL237" i="1"/>
  <c r="AM234" i="1"/>
  <c r="AL234" i="1"/>
  <c r="AM233" i="1"/>
  <c r="AL233" i="1"/>
  <c r="AM231" i="1"/>
  <c r="AM230" i="1"/>
  <c r="AL231" i="1"/>
  <c r="AL230" i="1"/>
  <c r="AM228" i="1"/>
  <c r="AM227" i="1"/>
  <c r="AL228" i="1"/>
  <c r="AL227" i="1"/>
  <c r="AM225" i="1"/>
  <c r="AM224" i="1"/>
  <c r="AL225" i="1"/>
  <c r="AL224" i="1"/>
  <c r="AM222" i="1"/>
  <c r="AL222" i="1"/>
  <c r="AM221" i="1"/>
  <c r="AL221" i="1"/>
  <c r="AL220" i="1"/>
  <c r="AL218" i="1"/>
  <c r="AM220" i="1"/>
  <c r="AM219" i="1"/>
  <c r="AL219" i="1"/>
  <c r="AM218" i="1"/>
  <c r="AM216" i="1"/>
  <c r="AL216" i="1"/>
  <c r="AM215" i="1"/>
  <c r="AL215" i="1"/>
  <c r="AM214" i="1"/>
  <c r="AL214" i="1"/>
  <c r="AM213" i="1"/>
  <c r="AM212" i="1"/>
  <c r="AL213" i="1"/>
  <c r="AL212" i="1"/>
  <c r="AM205" i="1"/>
  <c r="AL205" i="1"/>
  <c r="AM204" i="1"/>
  <c r="AL204" i="1"/>
  <c r="AM202" i="1"/>
  <c r="AL202" i="1"/>
  <c r="AM201" i="1"/>
  <c r="AM199" i="1"/>
  <c r="AL201" i="1"/>
  <c r="AL199" i="1"/>
  <c r="AM197" i="1"/>
  <c r="AL197" i="1"/>
  <c r="AM196" i="1"/>
  <c r="AL196" i="1"/>
  <c r="AM195" i="1"/>
  <c r="AM172" i="1"/>
  <c r="AL195" i="1"/>
  <c r="AM193" i="1"/>
  <c r="AL193" i="1"/>
  <c r="AM191" i="1"/>
  <c r="AL191" i="1"/>
  <c r="AM189" i="1"/>
  <c r="AL189" i="1"/>
  <c r="AM187" i="1"/>
  <c r="AL187" i="1"/>
  <c r="AM185" i="1"/>
  <c r="AL185" i="1"/>
  <c r="AM184" i="1"/>
  <c r="AL184" i="1"/>
  <c r="AM182" i="1"/>
  <c r="AL182" i="1"/>
  <c r="AM180" i="1"/>
  <c r="AM179" i="1"/>
  <c r="AL180" i="1"/>
  <c r="AL179" i="1"/>
  <c r="AM177" i="1"/>
  <c r="AL177" i="1"/>
  <c r="AM176" i="1"/>
  <c r="AL176" i="1"/>
  <c r="AM175" i="1"/>
  <c r="AM174" i="1"/>
  <c r="AL175" i="1"/>
  <c r="AL174" i="1"/>
  <c r="AM170" i="1"/>
  <c r="AM168" i="1"/>
  <c r="AM169" i="1"/>
  <c r="AL170" i="1"/>
  <c r="AL168" i="1"/>
  <c r="AL169" i="1"/>
  <c r="AL167" i="1"/>
  <c r="AM165" i="1"/>
  <c r="AL165" i="1"/>
  <c r="AM163" i="1"/>
  <c r="AL163" i="1"/>
  <c r="AM162" i="1"/>
  <c r="AL162" i="1"/>
  <c r="AM161" i="1"/>
  <c r="AL161" i="1"/>
  <c r="AM160" i="1"/>
  <c r="AL160" i="1"/>
  <c r="AL155" i="1"/>
  <c r="AM159" i="1"/>
  <c r="AL159" i="1"/>
  <c r="AM158" i="1"/>
  <c r="AL158" i="1"/>
  <c r="AM157" i="1"/>
  <c r="AL157" i="1"/>
  <c r="AM156" i="1"/>
  <c r="AL156" i="1"/>
  <c r="AM153" i="1"/>
  <c r="AM149" i="1"/>
  <c r="AL153" i="1"/>
  <c r="AL149" i="1"/>
  <c r="AM152" i="1"/>
  <c r="AL152" i="1"/>
  <c r="AM151" i="1"/>
  <c r="AL151" i="1"/>
  <c r="AM150" i="1"/>
  <c r="AL150" i="1"/>
  <c r="AM147" i="1"/>
  <c r="AL147" i="1"/>
  <c r="AM146" i="1"/>
  <c r="AL146" i="1"/>
  <c r="AM145" i="1"/>
  <c r="AL145" i="1"/>
  <c r="AM144" i="1"/>
  <c r="AL144" i="1"/>
  <c r="AM143" i="1"/>
  <c r="AL143" i="1"/>
  <c r="AM142" i="1"/>
  <c r="AL142" i="1"/>
  <c r="AM141" i="1"/>
  <c r="AM140" i="1"/>
  <c r="AM139" i="1"/>
  <c r="AL141" i="1"/>
  <c r="AL140" i="1"/>
  <c r="AM137" i="1"/>
  <c r="AL137" i="1"/>
  <c r="AM134" i="1"/>
  <c r="AL134" i="1"/>
  <c r="AM133" i="1"/>
  <c r="AL133" i="1"/>
  <c r="AM132" i="1"/>
  <c r="AM131" i="1"/>
  <c r="AL132" i="1"/>
  <c r="AL131" i="1"/>
  <c r="AM129" i="1"/>
  <c r="AL129" i="1"/>
  <c r="AM128" i="1"/>
  <c r="AL128" i="1"/>
  <c r="AM127" i="1"/>
  <c r="AL127" i="1"/>
  <c r="AM126" i="1"/>
  <c r="AL126" i="1"/>
  <c r="AM125" i="1"/>
  <c r="AL125" i="1"/>
  <c r="AM123" i="1"/>
  <c r="AL123" i="1"/>
  <c r="AM122" i="1"/>
  <c r="AL122" i="1"/>
  <c r="AM121" i="1"/>
  <c r="AL121" i="1"/>
  <c r="AM120" i="1"/>
  <c r="AL120" i="1"/>
  <c r="AM119" i="1"/>
  <c r="AL119" i="1"/>
  <c r="AM118" i="1"/>
  <c r="AL118" i="1"/>
  <c r="AM116" i="1"/>
  <c r="AL116" i="1"/>
  <c r="AM115" i="1"/>
  <c r="AL115" i="1"/>
  <c r="AM114" i="1"/>
  <c r="AL114" i="1"/>
  <c r="AM113" i="1"/>
  <c r="AL113" i="1"/>
  <c r="AM112" i="1"/>
  <c r="AL112" i="1"/>
  <c r="AM111" i="1"/>
  <c r="AL111" i="1"/>
  <c r="AM109" i="1"/>
  <c r="AL109" i="1"/>
  <c r="AM108" i="1"/>
  <c r="AL108" i="1"/>
  <c r="AM107" i="1"/>
  <c r="AM106" i="1"/>
  <c r="AL107" i="1"/>
  <c r="AL106" i="1"/>
  <c r="AM102" i="1"/>
  <c r="AL102" i="1"/>
  <c r="AM101" i="1"/>
  <c r="AL101" i="1"/>
  <c r="AM100" i="1"/>
  <c r="AL100" i="1"/>
  <c r="AM99" i="1"/>
  <c r="AL99" i="1"/>
  <c r="AM98" i="1"/>
  <c r="AL98" i="1"/>
  <c r="AM97" i="1"/>
  <c r="AL97" i="1"/>
  <c r="AM96" i="1"/>
  <c r="AM95" i="1"/>
  <c r="AM94" i="1"/>
  <c r="AL96" i="1"/>
  <c r="AL95" i="1"/>
  <c r="AM92" i="1"/>
  <c r="AL92" i="1"/>
  <c r="AM91" i="1"/>
  <c r="AL91" i="1"/>
  <c r="AM90" i="1"/>
  <c r="AL90" i="1"/>
  <c r="AM89" i="1"/>
  <c r="AL89" i="1"/>
  <c r="AM88" i="1"/>
  <c r="AL88" i="1"/>
  <c r="AM87" i="1"/>
  <c r="AM86" i="1"/>
  <c r="AL87" i="1"/>
  <c r="AL86" i="1"/>
  <c r="AM84" i="1"/>
  <c r="AL84" i="1"/>
  <c r="AM83" i="1"/>
  <c r="AL83" i="1"/>
  <c r="AM82" i="1"/>
  <c r="AL82" i="1"/>
  <c r="AM80" i="1"/>
  <c r="AL80" i="1"/>
  <c r="AL77" i="1"/>
  <c r="AM79" i="1"/>
  <c r="AL79" i="1"/>
  <c r="AM78" i="1"/>
  <c r="AL78" i="1"/>
  <c r="AM77" i="1"/>
  <c r="AM75" i="1"/>
  <c r="AM72" i="1"/>
  <c r="AM58" i="1"/>
  <c r="AM59" i="1"/>
  <c r="AM52" i="1"/>
  <c r="AM44" i="1"/>
  <c r="AL75" i="1"/>
  <c r="AL72" i="1"/>
  <c r="AM74" i="1"/>
  <c r="AL74" i="1"/>
  <c r="AM73" i="1"/>
  <c r="AL73" i="1"/>
  <c r="AM70" i="1"/>
  <c r="AL70" i="1"/>
  <c r="AM69" i="1"/>
  <c r="AL69" i="1"/>
  <c r="AM68" i="1"/>
  <c r="AL68" i="1"/>
  <c r="AM67" i="1"/>
  <c r="AL67" i="1"/>
  <c r="AM65" i="1"/>
  <c r="AL65" i="1"/>
  <c r="AM64" i="1"/>
  <c r="AM63" i="1"/>
  <c r="AL64" i="1"/>
  <c r="AL63" i="1"/>
  <c r="AM61" i="1"/>
  <c r="AL61" i="1"/>
  <c r="AL59" i="1"/>
  <c r="AL58" i="1"/>
  <c r="AM57" i="1"/>
  <c r="AL57" i="1"/>
  <c r="AM56" i="1"/>
  <c r="AL56" i="1"/>
  <c r="AM55" i="1"/>
  <c r="AL55" i="1"/>
  <c r="AM54" i="1"/>
  <c r="AL54" i="1"/>
  <c r="AL52" i="1"/>
  <c r="AM53" i="1"/>
  <c r="AL53" i="1"/>
  <c r="AM50" i="1"/>
  <c r="AL50" i="1"/>
  <c r="AM49" i="1"/>
  <c r="AL49" i="1"/>
  <c r="AM48" i="1"/>
  <c r="AL48" i="1"/>
  <c r="AM47" i="1"/>
  <c r="AM46" i="1"/>
  <c r="AL47" i="1"/>
  <c r="AL46" i="1"/>
  <c r="AM42" i="1"/>
  <c r="AL42" i="1"/>
  <c r="AM41" i="1"/>
  <c r="AL41" i="1"/>
  <c r="AL38" i="1"/>
  <c r="AM36" i="1"/>
  <c r="AL36" i="1"/>
  <c r="AM34" i="1"/>
  <c r="AL34" i="1"/>
  <c r="AM33" i="1"/>
  <c r="AL33" i="1"/>
  <c r="AM32" i="1"/>
  <c r="AL32" i="1"/>
  <c r="AM31" i="1"/>
  <c r="AM30" i="1"/>
  <c r="AL31" i="1"/>
  <c r="AL30" i="1"/>
  <c r="AM28" i="1"/>
  <c r="AL28" i="1"/>
  <c r="AM26" i="1"/>
  <c r="AL26" i="1"/>
  <c r="AM24" i="1"/>
  <c r="AL24" i="1"/>
  <c r="AM23" i="1"/>
  <c r="AL23" i="1"/>
  <c r="AM22" i="1"/>
  <c r="AM21" i="1"/>
  <c r="AL22" i="1"/>
  <c r="AL21" i="1"/>
  <c r="AM19" i="1"/>
  <c r="AL19" i="1"/>
  <c r="AM18" i="1"/>
  <c r="AL18" i="1"/>
  <c r="AM17" i="1"/>
  <c r="AM16" i="1"/>
  <c r="AM14" i="1"/>
  <c r="AL17" i="1"/>
  <c r="AL16" i="1"/>
  <c r="AL14" i="1"/>
  <c r="AO863" i="1"/>
  <c r="AN863" i="1"/>
  <c r="AO860" i="1"/>
  <c r="AN860" i="1"/>
  <c r="AO856" i="1"/>
  <c r="AN856" i="1"/>
  <c r="AO845" i="1"/>
  <c r="AN845" i="1"/>
  <c r="AO842" i="1"/>
  <c r="AN842" i="1"/>
  <c r="AO827" i="1"/>
  <c r="AN827" i="1"/>
  <c r="AO790" i="1"/>
  <c r="AN790" i="1"/>
  <c r="AO783" i="1"/>
  <c r="AN783" i="1"/>
  <c r="AO768" i="1"/>
  <c r="AN768" i="1"/>
  <c r="AO742" i="1"/>
  <c r="AN742" i="1"/>
  <c r="AO738" i="1"/>
  <c r="AN738" i="1"/>
  <c r="AO728" i="1"/>
  <c r="AN728" i="1"/>
  <c r="AO725" i="1"/>
  <c r="AN725" i="1"/>
  <c r="AO723" i="1"/>
  <c r="AO721" i="1"/>
  <c r="AN723" i="1"/>
  <c r="AN721" i="1"/>
  <c r="AO718" i="1"/>
  <c r="AN718" i="1"/>
  <c r="AO711" i="1"/>
  <c r="AO691" i="1"/>
  <c r="AN711" i="1"/>
  <c r="AN691" i="1"/>
  <c r="AO705" i="1"/>
  <c r="AN705" i="1"/>
  <c r="AO702" i="1"/>
  <c r="AN702" i="1"/>
  <c r="AO699" i="1"/>
  <c r="AN699" i="1"/>
  <c r="AO696" i="1"/>
  <c r="AN696" i="1"/>
  <c r="AO693" i="1"/>
  <c r="AN693" i="1"/>
  <c r="AO685" i="1"/>
  <c r="AN685" i="1"/>
  <c r="AO681" i="1"/>
  <c r="AN681" i="1"/>
  <c r="AO669" i="1"/>
  <c r="AO664" i="1"/>
  <c r="AO662" i="1"/>
  <c r="AN669" i="1"/>
  <c r="AN664" i="1"/>
  <c r="AN662" i="1"/>
  <c r="AO666" i="1"/>
  <c r="AN666" i="1"/>
  <c r="AO655" i="1"/>
  <c r="AN655" i="1"/>
  <c r="AO645" i="1"/>
  <c r="AN645" i="1"/>
  <c r="AO637" i="1"/>
  <c r="AN637" i="1"/>
  <c r="AO634" i="1"/>
  <c r="AN634" i="1"/>
  <c r="AO632" i="1"/>
  <c r="AO630" i="1"/>
  <c r="AO628" i="1"/>
  <c r="AN632" i="1"/>
  <c r="AN630" i="1"/>
  <c r="AN628" i="1"/>
  <c r="AO625" i="1"/>
  <c r="AO619" i="1"/>
  <c r="AO609" i="1"/>
  <c r="AO575" i="1"/>
  <c r="AN625" i="1"/>
  <c r="AO621" i="1"/>
  <c r="AN621" i="1"/>
  <c r="AO616" i="1"/>
  <c r="AN616" i="1"/>
  <c r="AO613" i="1"/>
  <c r="AN613" i="1"/>
  <c r="AO611" i="1"/>
  <c r="AN611" i="1"/>
  <c r="AO606" i="1"/>
  <c r="AN606" i="1"/>
  <c r="AO600" i="1"/>
  <c r="AN600" i="1"/>
  <c r="AO592" i="1"/>
  <c r="AN592" i="1"/>
  <c r="AO585" i="1"/>
  <c r="AN585" i="1"/>
  <c r="AO581" i="1"/>
  <c r="AO579" i="1"/>
  <c r="AO577" i="1"/>
  <c r="AN581" i="1"/>
  <c r="AO571" i="1"/>
  <c r="AO569" i="1"/>
  <c r="AO567" i="1"/>
  <c r="AN571" i="1"/>
  <c r="AN569" i="1"/>
  <c r="AN567" i="1"/>
  <c r="AO563" i="1"/>
  <c r="AN563" i="1"/>
  <c r="AO558" i="1"/>
  <c r="AN558" i="1"/>
  <c r="AO555" i="1"/>
  <c r="AN555" i="1"/>
  <c r="AO549" i="1"/>
  <c r="AN549" i="1"/>
  <c r="AO543" i="1"/>
  <c r="AN543" i="1"/>
  <c r="AO541" i="1"/>
  <c r="AN541" i="1"/>
  <c r="AO535" i="1"/>
  <c r="AN535" i="1"/>
  <c r="AO532" i="1"/>
  <c r="AN532" i="1"/>
  <c r="AO526" i="1"/>
  <c r="AN526" i="1"/>
  <c r="AO507" i="1"/>
  <c r="AN507" i="1"/>
  <c r="AO505" i="1"/>
  <c r="AN505" i="1"/>
  <c r="AO500" i="1"/>
  <c r="AN500" i="1"/>
  <c r="AO488" i="1"/>
  <c r="AN488" i="1"/>
  <c r="AO482" i="1"/>
  <c r="AN482" i="1"/>
  <c r="AO472" i="1"/>
  <c r="AN472" i="1"/>
  <c r="AO464" i="1"/>
  <c r="AN464" i="1"/>
  <c r="AO458" i="1"/>
  <c r="AN458" i="1"/>
  <c r="AO451" i="1"/>
  <c r="AN451" i="1"/>
  <c r="AO444" i="1"/>
  <c r="AN444" i="1"/>
  <c r="AO439" i="1"/>
  <c r="AN439" i="1"/>
  <c r="AO437" i="1"/>
  <c r="AN437" i="1"/>
  <c r="AO427" i="1"/>
  <c r="AN427" i="1"/>
  <c r="AO419" i="1"/>
  <c r="AN419" i="1"/>
  <c r="AO416" i="1"/>
  <c r="AN416" i="1"/>
  <c r="AO411" i="1"/>
  <c r="AN411" i="1"/>
  <c r="AO406" i="1"/>
  <c r="AN406" i="1"/>
  <c r="AO401" i="1"/>
  <c r="AN401" i="1"/>
  <c r="AO397" i="1"/>
  <c r="AN397" i="1"/>
  <c r="AO386" i="1"/>
  <c r="AN386" i="1"/>
  <c r="AO380" i="1"/>
  <c r="AN380" i="1"/>
  <c r="AO378" i="1"/>
  <c r="AO364" i="1"/>
  <c r="AN378" i="1"/>
  <c r="AO375" i="1"/>
  <c r="AN375" i="1"/>
  <c r="AO368" i="1"/>
  <c r="AO366" i="1"/>
  <c r="AN368" i="1"/>
  <c r="AN366" i="1"/>
  <c r="AN364" i="1"/>
  <c r="AO361" i="1"/>
  <c r="AN361" i="1"/>
  <c r="AO358" i="1"/>
  <c r="AN358" i="1"/>
  <c r="AO354" i="1"/>
  <c r="AN354" i="1"/>
  <c r="AO349" i="1"/>
  <c r="AO347" i="1"/>
  <c r="AN349" i="1"/>
  <c r="AO329" i="1"/>
  <c r="AN329" i="1"/>
  <c r="AO326" i="1"/>
  <c r="AN326" i="1"/>
  <c r="AO322" i="1"/>
  <c r="AN322" i="1"/>
  <c r="AO319" i="1"/>
  <c r="AN319" i="1"/>
  <c r="AO316" i="1"/>
  <c r="AN316" i="1"/>
  <c r="AO313" i="1"/>
  <c r="AN313" i="1"/>
  <c r="AO310" i="1"/>
  <c r="AN310" i="1"/>
  <c r="AO305" i="1"/>
  <c r="AN305" i="1"/>
  <c r="AO302" i="1"/>
  <c r="AN302" i="1"/>
  <c r="AO298" i="1"/>
  <c r="AN298" i="1"/>
  <c r="AO293" i="1"/>
  <c r="AN293" i="1"/>
  <c r="AO288" i="1"/>
  <c r="AN288" i="1"/>
  <c r="AO279" i="1"/>
  <c r="AN279" i="1"/>
  <c r="AO275" i="1"/>
  <c r="AN275" i="1"/>
  <c r="AO267" i="1"/>
  <c r="AN267" i="1"/>
  <c r="AO259" i="1"/>
  <c r="AN259" i="1"/>
  <c r="AO251" i="1"/>
  <c r="AN251" i="1"/>
  <c r="AO246" i="1"/>
  <c r="AN246" i="1"/>
  <c r="AO244" i="1"/>
  <c r="AN244" i="1"/>
  <c r="AO238" i="1"/>
  <c r="AN238" i="1"/>
  <c r="AO237" i="1"/>
  <c r="AN237" i="1"/>
  <c r="AO234" i="1"/>
  <c r="AN234" i="1"/>
  <c r="AO233" i="1"/>
  <c r="AN233" i="1"/>
  <c r="AO231" i="1"/>
  <c r="AO230" i="1"/>
  <c r="AN231" i="1"/>
  <c r="AN230" i="1"/>
  <c r="AO228" i="1"/>
  <c r="AO227" i="1"/>
  <c r="AN228" i="1"/>
  <c r="AN227" i="1"/>
  <c r="AO225" i="1"/>
  <c r="AO224" i="1"/>
  <c r="AN225" i="1"/>
  <c r="AN224" i="1"/>
  <c r="AO222" i="1"/>
  <c r="AN222" i="1"/>
  <c r="AO221" i="1"/>
  <c r="AN221" i="1"/>
  <c r="AO220" i="1"/>
  <c r="AN220" i="1"/>
  <c r="AN218" i="1"/>
  <c r="AO219" i="1"/>
  <c r="AN219" i="1"/>
  <c r="AO218" i="1"/>
  <c r="AO216" i="1"/>
  <c r="AN216" i="1"/>
  <c r="AO215" i="1"/>
  <c r="AN215" i="1"/>
  <c r="AO214" i="1"/>
  <c r="AN214" i="1"/>
  <c r="AO213" i="1"/>
  <c r="AO212" i="1"/>
  <c r="AN213" i="1"/>
  <c r="AN212" i="1"/>
  <c r="AO205" i="1"/>
  <c r="AN205" i="1"/>
  <c r="AO204" i="1"/>
  <c r="AN204" i="1"/>
  <c r="AO202" i="1"/>
  <c r="AN202" i="1"/>
  <c r="AN201" i="1"/>
  <c r="AN199" i="1"/>
  <c r="AO201" i="1"/>
  <c r="AO199" i="1"/>
  <c r="AO197" i="1"/>
  <c r="AN197" i="1"/>
  <c r="AO196" i="1"/>
  <c r="AO195" i="1"/>
  <c r="AO172" i="1"/>
  <c r="AN196" i="1"/>
  <c r="AO193" i="1"/>
  <c r="AN193" i="1"/>
  <c r="AO191" i="1"/>
  <c r="AN191" i="1"/>
  <c r="AO189" i="1"/>
  <c r="AN189" i="1"/>
  <c r="AO187" i="1"/>
  <c r="AN187" i="1"/>
  <c r="AO185" i="1"/>
  <c r="AN185" i="1"/>
  <c r="AO184" i="1"/>
  <c r="AN184" i="1"/>
  <c r="AO182" i="1"/>
  <c r="AN182" i="1"/>
  <c r="AO180" i="1"/>
  <c r="AO179" i="1"/>
  <c r="AN180" i="1"/>
  <c r="AN179" i="1"/>
  <c r="AO177" i="1"/>
  <c r="AN177" i="1"/>
  <c r="AO176" i="1"/>
  <c r="AN176" i="1"/>
  <c r="AO175" i="1"/>
  <c r="AO174" i="1"/>
  <c r="AN175" i="1"/>
  <c r="AN174" i="1"/>
  <c r="AO170" i="1"/>
  <c r="AN170" i="1"/>
  <c r="AN168" i="1"/>
  <c r="AN169" i="1"/>
  <c r="AO169" i="1"/>
  <c r="AO168" i="1"/>
  <c r="AO165" i="1"/>
  <c r="AN165" i="1"/>
  <c r="AO163" i="1"/>
  <c r="AN163" i="1"/>
  <c r="AO162" i="1"/>
  <c r="AN162" i="1"/>
  <c r="AO161" i="1"/>
  <c r="AN161" i="1"/>
  <c r="AO160" i="1"/>
  <c r="AN160" i="1"/>
  <c r="AN155" i="1"/>
  <c r="AO159" i="1"/>
  <c r="AN159" i="1"/>
  <c r="AO158" i="1"/>
  <c r="AN158" i="1"/>
  <c r="AO157" i="1"/>
  <c r="AN157" i="1"/>
  <c r="AO156" i="1"/>
  <c r="AN156" i="1"/>
  <c r="AO155" i="1"/>
  <c r="AO153" i="1"/>
  <c r="AO149" i="1"/>
  <c r="AN153" i="1"/>
  <c r="AO152" i="1"/>
  <c r="AN152" i="1"/>
  <c r="AO151" i="1"/>
  <c r="AN151" i="1"/>
  <c r="AO150" i="1"/>
  <c r="AN150" i="1"/>
  <c r="AN149" i="1"/>
  <c r="AO147" i="1"/>
  <c r="AN147" i="1"/>
  <c r="AO146" i="1"/>
  <c r="AN146" i="1"/>
  <c r="AO145" i="1"/>
  <c r="AN145" i="1"/>
  <c r="AO144" i="1"/>
  <c r="AN144" i="1"/>
  <c r="AO143" i="1"/>
  <c r="AN143" i="1"/>
  <c r="AO142" i="1"/>
  <c r="AN142" i="1"/>
  <c r="AO141" i="1"/>
  <c r="AN141" i="1"/>
  <c r="AO140" i="1"/>
  <c r="AN140" i="1"/>
  <c r="AN139" i="1"/>
  <c r="AO137" i="1"/>
  <c r="AN137" i="1"/>
  <c r="AO134" i="1"/>
  <c r="AN134" i="1"/>
  <c r="AO133" i="1"/>
  <c r="AN133" i="1"/>
  <c r="AO132" i="1"/>
  <c r="AO131" i="1"/>
  <c r="AN132" i="1"/>
  <c r="AN131" i="1"/>
  <c r="AO129" i="1"/>
  <c r="AN129" i="1"/>
  <c r="AO128" i="1"/>
  <c r="AN128" i="1"/>
  <c r="AO127" i="1"/>
  <c r="AN127" i="1"/>
  <c r="AO126" i="1"/>
  <c r="AN126" i="1"/>
  <c r="AO125" i="1"/>
  <c r="AN125" i="1"/>
  <c r="AO123" i="1"/>
  <c r="AN123" i="1"/>
  <c r="AO122" i="1"/>
  <c r="AN122" i="1"/>
  <c r="AO121" i="1"/>
  <c r="AN121" i="1"/>
  <c r="AO120" i="1"/>
  <c r="AN120" i="1"/>
  <c r="AO119" i="1"/>
  <c r="AN119" i="1"/>
  <c r="AO118" i="1"/>
  <c r="AN118" i="1"/>
  <c r="AO116" i="1"/>
  <c r="AN116" i="1"/>
  <c r="AO115" i="1"/>
  <c r="AN115" i="1"/>
  <c r="AO114" i="1"/>
  <c r="AN114" i="1"/>
  <c r="AO113" i="1"/>
  <c r="AN113" i="1"/>
  <c r="AO112" i="1"/>
  <c r="AN112" i="1"/>
  <c r="AN111" i="1"/>
  <c r="AO111" i="1"/>
  <c r="AO109" i="1"/>
  <c r="AN109" i="1"/>
  <c r="AO108" i="1"/>
  <c r="AN108" i="1"/>
  <c r="AO107" i="1"/>
  <c r="AO106" i="1"/>
  <c r="AN107" i="1"/>
  <c r="AN106" i="1"/>
  <c r="AO102" i="1"/>
  <c r="AN102" i="1"/>
  <c r="AO101" i="1"/>
  <c r="AN101" i="1"/>
  <c r="AO100" i="1"/>
  <c r="AN100" i="1"/>
  <c r="AO99" i="1"/>
  <c r="AN99" i="1"/>
  <c r="AO98" i="1"/>
  <c r="AN98" i="1"/>
  <c r="AO97" i="1"/>
  <c r="AN97" i="1"/>
  <c r="AO96" i="1"/>
  <c r="AN96" i="1"/>
  <c r="AN95" i="1"/>
  <c r="AN94" i="1"/>
  <c r="AO95" i="1"/>
  <c r="AO92" i="1"/>
  <c r="AN92" i="1"/>
  <c r="AO91" i="1"/>
  <c r="AN91" i="1"/>
  <c r="AO90" i="1"/>
  <c r="AN90" i="1"/>
  <c r="AO89" i="1"/>
  <c r="AN89" i="1"/>
  <c r="AO88" i="1"/>
  <c r="AN88" i="1"/>
  <c r="AO87" i="1"/>
  <c r="AO86" i="1"/>
  <c r="AN87" i="1"/>
  <c r="AN86" i="1"/>
  <c r="AO84" i="1"/>
  <c r="AN84" i="1"/>
  <c r="AO83" i="1"/>
  <c r="AN83" i="1"/>
  <c r="AO82" i="1"/>
  <c r="AN82" i="1"/>
  <c r="AO80" i="1"/>
  <c r="AN80" i="1"/>
  <c r="AN77" i="1"/>
  <c r="AO79" i="1"/>
  <c r="AN79" i="1"/>
  <c r="AO78" i="1"/>
  <c r="AN78" i="1"/>
  <c r="AO77" i="1"/>
  <c r="AO75" i="1"/>
  <c r="AN75" i="1"/>
  <c r="AO74" i="1"/>
  <c r="AN74" i="1"/>
  <c r="AO73" i="1"/>
  <c r="AN73" i="1"/>
  <c r="AO70" i="1"/>
  <c r="AN70" i="1"/>
  <c r="AO69" i="1"/>
  <c r="AN69" i="1"/>
  <c r="AO68" i="1"/>
  <c r="AO67" i="1"/>
  <c r="AN68" i="1"/>
  <c r="AO65" i="1"/>
  <c r="AN65" i="1"/>
  <c r="AO64" i="1"/>
  <c r="AO63" i="1"/>
  <c r="AN64" i="1"/>
  <c r="AN63" i="1"/>
  <c r="AO61" i="1"/>
  <c r="AN61" i="1"/>
  <c r="AO59" i="1"/>
  <c r="AN59" i="1"/>
  <c r="AO58" i="1"/>
  <c r="AN58" i="1"/>
  <c r="AO57" i="1"/>
  <c r="AN57" i="1"/>
  <c r="AO56" i="1"/>
  <c r="AN56" i="1"/>
  <c r="AO55" i="1"/>
  <c r="AN55" i="1"/>
  <c r="AO54" i="1"/>
  <c r="AN54" i="1"/>
  <c r="AO53" i="1"/>
  <c r="AO52" i="1"/>
  <c r="AN53" i="1"/>
  <c r="AN52" i="1"/>
  <c r="AO50" i="1"/>
  <c r="AN50" i="1"/>
  <c r="AO49" i="1"/>
  <c r="AN49" i="1"/>
  <c r="AO48" i="1"/>
  <c r="AN48" i="1"/>
  <c r="AO47" i="1"/>
  <c r="AN47" i="1"/>
  <c r="AN46" i="1"/>
  <c r="AO42" i="1"/>
  <c r="AN42" i="1"/>
  <c r="AO41" i="1"/>
  <c r="AN41" i="1"/>
  <c r="AO36" i="1"/>
  <c r="AN36" i="1"/>
  <c r="AO34" i="1"/>
  <c r="AN34" i="1"/>
  <c r="AO33" i="1"/>
  <c r="AN33" i="1"/>
  <c r="AO32" i="1"/>
  <c r="AN32" i="1"/>
  <c r="AO31" i="1"/>
  <c r="AO30" i="1"/>
  <c r="AN31" i="1"/>
  <c r="AN30" i="1"/>
  <c r="AO28" i="1"/>
  <c r="AN28" i="1"/>
  <c r="AO26" i="1"/>
  <c r="AN26" i="1"/>
  <c r="AO24" i="1"/>
  <c r="AN24" i="1"/>
  <c r="AO23" i="1"/>
  <c r="AN23" i="1"/>
  <c r="AO22" i="1"/>
  <c r="AO21" i="1"/>
  <c r="AN22" i="1"/>
  <c r="AN21" i="1"/>
  <c r="AO19" i="1"/>
  <c r="AN19" i="1"/>
  <c r="AO18" i="1"/>
  <c r="AN18" i="1"/>
  <c r="AO17" i="1"/>
  <c r="AO16" i="1"/>
  <c r="AO14" i="1"/>
  <c r="AN17" i="1"/>
  <c r="AN16" i="1"/>
  <c r="AN14" i="1"/>
  <c r="AQ863" i="1"/>
  <c r="AP863" i="1"/>
  <c r="AQ860" i="1"/>
  <c r="AP860" i="1"/>
  <c r="AQ856" i="1"/>
  <c r="AP856" i="1"/>
  <c r="AQ845" i="1"/>
  <c r="AP845" i="1"/>
  <c r="AQ842" i="1"/>
  <c r="AP842" i="1"/>
  <c r="AQ827" i="1"/>
  <c r="AP827" i="1"/>
  <c r="AQ790" i="1"/>
  <c r="AP790" i="1"/>
  <c r="AQ783" i="1"/>
  <c r="AP783" i="1"/>
  <c r="AQ768" i="1"/>
  <c r="AP768" i="1"/>
  <c r="AQ742" i="1"/>
  <c r="AP742" i="1"/>
  <c r="AQ738" i="1"/>
  <c r="AP738" i="1"/>
  <c r="AQ728" i="1"/>
  <c r="AP728" i="1"/>
  <c r="AQ725" i="1"/>
  <c r="AP725" i="1"/>
  <c r="AQ723" i="1"/>
  <c r="AQ721" i="1"/>
  <c r="AP723" i="1"/>
  <c r="AP721" i="1"/>
  <c r="AQ718" i="1"/>
  <c r="AP718" i="1"/>
  <c r="AQ711" i="1"/>
  <c r="AQ691" i="1"/>
  <c r="AP711" i="1"/>
  <c r="AP691" i="1"/>
  <c r="AQ705" i="1"/>
  <c r="AP705" i="1"/>
  <c r="AQ702" i="1"/>
  <c r="AP702" i="1"/>
  <c r="AQ699" i="1"/>
  <c r="AP699" i="1"/>
  <c r="AQ696" i="1"/>
  <c r="AP696" i="1"/>
  <c r="AQ693" i="1"/>
  <c r="AP693" i="1"/>
  <c r="AQ685" i="1"/>
  <c r="AP685" i="1"/>
  <c r="AQ681" i="1"/>
  <c r="AP681" i="1"/>
  <c r="AQ669" i="1"/>
  <c r="AQ664" i="1"/>
  <c r="AP669" i="1"/>
  <c r="AP664" i="1"/>
  <c r="AQ666" i="1"/>
  <c r="AP666" i="1"/>
  <c r="AQ655" i="1"/>
  <c r="AP655" i="1"/>
  <c r="AQ645" i="1"/>
  <c r="AP645" i="1"/>
  <c r="AQ637" i="1"/>
  <c r="AP637" i="1"/>
  <c r="AQ634" i="1"/>
  <c r="AP634" i="1"/>
  <c r="AQ632" i="1"/>
  <c r="AQ630" i="1"/>
  <c r="AQ628" i="1"/>
  <c r="AP632" i="1"/>
  <c r="AP630" i="1"/>
  <c r="AP628" i="1"/>
  <c r="AQ625" i="1"/>
  <c r="AP625" i="1"/>
  <c r="AQ621" i="1"/>
  <c r="AQ619" i="1"/>
  <c r="AP621" i="1"/>
  <c r="AP619" i="1"/>
  <c r="AQ616" i="1"/>
  <c r="AP616" i="1"/>
  <c r="AQ613" i="1"/>
  <c r="AP613" i="1"/>
  <c r="AQ611" i="1"/>
  <c r="AP611" i="1"/>
  <c r="AQ606" i="1"/>
  <c r="AP606" i="1"/>
  <c r="AQ600" i="1"/>
  <c r="AP600" i="1"/>
  <c r="AQ592" i="1"/>
  <c r="AP592" i="1"/>
  <c r="AQ585" i="1"/>
  <c r="AP585" i="1"/>
  <c r="AQ581" i="1"/>
  <c r="AQ579" i="1"/>
  <c r="AQ577" i="1"/>
  <c r="AP581" i="1"/>
  <c r="AP579" i="1"/>
  <c r="AP577" i="1"/>
  <c r="AQ571" i="1"/>
  <c r="AQ569" i="1"/>
  <c r="AQ567" i="1"/>
  <c r="AP571" i="1"/>
  <c r="AP569" i="1"/>
  <c r="AP567" i="1"/>
  <c r="AQ563" i="1"/>
  <c r="AP563" i="1"/>
  <c r="AQ558" i="1"/>
  <c r="AP558" i="1"/>
  <c r="AQ555" i="1"/>
  <c r="AP555" i="1"/>
  <c r="AQ549" i="1"/>
  <c r="AP549" i="1"/>
  <c r="AQ543" i="1"/>
  <c r="AP543" i="1"/>
  <c r="AQ541" i="1"/>
  <c r="AP541" i="1"/>
  <c r="AQ535" i="1"/>
  <c r="AP535" i="1"/>
  <c r="AQ532" i="1"/>
  <c r="AP532" i="1"/>
  <c r="AQ526" i="1"/>
  <c r="AP526" i="1"/>
  <c r="AQ507" i="1"/>
  <c r="AP507" i="1"/>
  <c r="AQ505" i="1"/>
  <c r="AP505" i="1"/>
  <c r="AQ500" i="1"/>
  <c r="AP500" i="1"/>
  <c r="AQ488" i="1"/>
  <c r="AP488" i="1"/>
  <c r="AQ482" i="1"/>
  <c r="AP482" i="1"/>
  <c r="AQ472" i="1"/>
  <c r="AP472" i="1"/>
  <c r="AQ464" i="1"/>
  <c r="AP464" i="1"/>
  <c r="AQ458" i="1"/>
  <c r="AP458" i="1"/>
  <c r="AQ451" i="1"/>
  <c r="AP451" i="1"/>
  <c r="AQ444" i="1"/>
  <c r="AP444" i="1"/>
  <c r="AQ439" i="1"/>
  <c r="AP439" i="1"/>
  <c r="AQ437" i="1"/>
  <c r="AP437" i="1"/>
  <c r="AQ427" i="1"/>
  <c r="AP427" i="1"/>
  <c r="AQ419" i="1"/>
  <c r="AP419" i="1"/>
  <c r="AQ416" i="1"/>
  <c r="AP416" i="1"/>
  <c r="AQ411" i="1"/>
  <c r="AP411" i="1"/>
  <c r="AQ406" i="1"/>
  <c r="AP406" i="1"/>
  <c r="AQ401" i="1"/>
  <c r="AP401" i="1"/>
  <c r="AQ397" i="1"/>
  <c r="AP397" i="1"/>
  <c r="AQ386" i="1"/>
  <c r="AP386" i="1"/>
  <c r="AQ380" i="1"/>
  <c r="AP380" i="1"/>
  <c r="AQ378" i="1"/>
  <c r="AQ364" i="1"/>
  <c r="AP378" i="1"/>
  <c r="AQ375" i="1"/>
  <c r="AP375" i="1"/>
  <c r="AQ368" i="1"/>
  <c r="AQ366" i="1"/>
  <c r="AP368" i="1"/>
  <c r="AP366" i="1"/>
  <c r="AP364" i="1"/>
  <c r="AQ361" i="1"/>
  <c r="AP361" i="1"/>
  <c r="AQ358" i="1"/>
  <c r="AP358" i="1"/>
  <c r="AQ354" i="1"/>
  <c r="AP354" i="1"/>
  <c r="AQ349" i="1"/>
  <c r="AQ347" i="1"/>
  <c r="AP349" i="1"/>
  <c r="AP347" i="1"/>
  <c r="AQ329" i="1"/>
  <c r="AP329" i="1"/>
  <c r="AQ326" i="1"/>
  <c r="AP326" i="1"/>
  <c r="AQ322" i="1"/>
  <c r="AP322" i="1"/>
  <c r="AQ319" i="1"/>
  <c r="AP319" i="1"/>
  <c r="AQ316" i="1"/>
  <c r="AP316" i="1"/>
  <c r="AQ313" i="1"/>
  <c r="AP313" i="1"/>
  <c r="AQ310" i="1"/>
  <c r="AP310" i="1"/>
  <c r="AQ305" i="1"/>
  <c r="AP305" i="1"/>
  <c r="AQ302" i="1"/>
  <c r="AP302" i="1"/>
  <c r="AQ298" i="1"/>
  <c r="AP298" i="1"/>
  <c r="AQ293" i="1"/>
  <c r="AP293" i="1"/>
  <c r="AQ288" i="1"/>
  <c r="AP288" i="1"/>
  <c r="AQ279" i="1"/>
  <c r="AP279" i="1"/>
  <c r="AQ275" i="1"/>
  <c r="AP275" i="1"/>
  <c r="AQ267" i="1"/>
  <c r="AP267" i="1"/>
  <c r="AQ259" i="1"/>
  <c r="AP259" i="1"/>
  <c r="AQ251" i="1"/>
  <c r="AP251" i="1"/>
  <c r="AQ246" i="1"/>
  <c r="AP246" i="1"/>
  <c r="AQ244" i="1"/>
  <c r="AP244" i="1"/>
  <c r="AQ238" i="1"/>
  <c r="AP238" i="1"/>
  <c r="AQ237" i="1"/>
  <c r="AQ236" i="1"/>
  <c r="AP237" i="1"/>
  <c r="AP236" i="1"/>
  <c r="AQ234" i="1"/>
  <c r="AP234" i="1"/>
  <c r="AQ233" i="1"/>
  <c r="AP233" i="1"/>
  <c r="AQ231" i="1"/>
  <c r="AQ230" i="1"/>
  <c r="AP231" i="1"/>
  <c r="AP230" i="1"/>
  <c r="AQ228" i="1"/>
  <c r="AQ227" i="1"/>
  <c r="AP228" i="1"/>
  <c r="AP227" i="1"/>
  <c r="AQ225" i="1"/>
  <c r="AQ224" i="1"/>
  <c r="AP225" i="1"/>
  <c r="AP224" i="1"/>
  <c r="AQ222" i="1"/>
  <c r="AP222" i="1"/>
  <c r="AQ221" i="1"/>
  <c r="AQ220" i="1"/>
  <c r="AQ218" i="1"/>
  <c r="AP221" i="1"/>
  <c r="AP220" i="1"/>
  <c r="AQ219" i="1"/>
  <c r="AP219" i="1"/>
  <c r="AP218" i="1"/>
  <c r="AQ216" i="1"/>
  <c r="AP216" i="1"/>
  <c r="AQ215" i="1"/>
  <c r="AP215" i="1"/>
  <c r="AQ214" i="1"/>
  <c r="AP214" i="1"/>
  <c r="AQ213" i="1"/>
  <c r="AQ212" i="1"/>
  <c r="AP213" i="1"/>
  <c r="AP212" i="1"/>
  <c r="AQ205" i="1"/>
  <c r="AP205" i="1"/>
  <c r="AQ204" i="1"/>
  <c r="AP204" i="1"/>
  <c r="AQ202" i="1"/>
  <c r="AP202" i="1"/>
  <c r="AP201" i="1"/>
  <c r="AP199" i="1"/>
  <c r="AQ201" i="1"/>
  <c r="AQ199" i="1"/>
  <c r="AQ197" i="1"/>
  <c r="AP197" i="1"/>
  <c r="AQ196" i="1"/>
  <c r="AP196" i="1"/>
  <c r="AQ195" i="1"/>
  <c r="AP195" i="1"/>
  <c r="AQ193" i="1"/>
  <c r="AP193" i="1"/>
  <c r="AQ191" i="1"/>
  <c r="AP191" i="1"/>
  <c r="AQ189" i="1"/>
  <c r="AP189" i="1"/>
  <c r="AQ187" i="1"/>
  <c r="AP187" i="1"/>
  <c r="AQ185" i="1"/>
  <c r="AP185" i="1"/>
  <c r="AQ184" i="1"/>
  <c r="AP184" i="1"/>
  <c r="AQ182" i="1"/>
  <c r="AP182" i="1"/>
  <c r="AQ180" i="1"/>
  <c r="AQ179" i="1"/>
  <c r="AP180" i="1"/>
  <c r="AP179" i="1"/>
  <c r="AQ177" i="1"/>
  <c r="AP177" i="1"/>
  <c r="AQ176" i="1"/>
  <c r="AP176" i="1"/>
  <c r="AQ175" i="1"/>
  <c r="AQ174" i="1"/>
  <c r="AQ172" i="1"/>
  <c r="AP175" i="1"/>
  <c r="AP174" i="1"/>
  <c r="AP172" i="1"/>
  <c r="AQ170" i="1"/>
  <c r="AQ168" i="1"/>
  <c r="AQ169" i="1"/>
  <c r="AP170" i="1"/>
  <c r="AP169" i="1"/>
  <c r="AP168" i="1"/>
  <c r="AQ165" i="1"/>
  <c r="AP165" i="1"/>
  <c r="AQ163" i="1"/>
  <c r="AP163" i="1"/>
  <c r="AQ162" i="1"/>
  <c r="AP162" i="1"/>
  <c r="AQ161" i="1"/>
  <c r="AP161" i="1"/>
  <c r="AQ160" i="1"/>
  <c r="AQ155" i="1"/>
  <c r="AP160" i="1"/>
  <c r="AQ159" i="1"/>
  <c r="AP159" i="1"/>
  <c r="AQ158" i="1"/>
  <c r="AP158" i="1"/>
  <c r="AQ157" i="1"/>
  <c r="AP157" i="1"/>
  <c r="AQ156" i="1"/>
  <c r="AP156" i="1"/>
  <c r="AP155" i="1"/>
  <c r="AQ153" i="1"/>
  <c r="AQ149" i="1"/>
  <c r="AP153" i="1"/>
  <c r="AQ152" i="1"/>
  <c r="AP152" i="1"/>
  <c r="AQ151" i="1"/>
  <c r="AP151" i="1"/>
  <c r="AQ150" i="1"/>
  <c r="AP150" i="1"/>
  <c r="AP149" i="1"/>
  <c r="AQ147" i="1"/>
  <c r="AP147" i="1"/>
  <c r="AQ146" i="1"/>
  <c r="AP146" i="1"/>
  <c r="AQ145" i="1"/>
  <c r="AP145" i="1"/>
  <c r="AQ144" i="1"/>
  <c r="AP144" i="1"/>
  <c r="AQ143" i="1"/>
  <c r="AP143" i="1"/>
  <c r="AQ142" i="1"/>
  <c r="AP142" i="1"/>
  <c r="AQ141" i="1"/>
  <c r="AP141" i="1"/>
  <c r="AQ140" i="1"/>
  <c r="AP140" i="1"/>
  <c r="AQ137" i="1"/>
  <c r="AP137" i="1"/>
  <c r="AQ134" i="1"/>
  <c r="AP134" i="1"/>
  <c r="AQ133" i="1"/>
  <c r="AP133" i="1"/>
  <c r="AQ132" i="1"/>
  <c r="AQ131" i="1"/>
  <c r="AP132" i="1"/>
  <c r="AP131" i="1"/>
  <c r="AQ129" i="1"/>
  <c r="AP129" i="1"/>
  <c r="AQ128" i="1"/>
  <c r="AP128" i="1"/>
  <c r="AQ127" i="1"/>
  <c r="AP127" i="1"/>
  <c r="AQ126" i="1"/>
  <c r="AP126" i="1"/>
  <c r="AQ125" i="1"/>
  <c r="AP125" i="1"/>
  <c r="AQ123" i="1"/>
  <c r="AP123" i="1"/>
  <c r="AQ122" i="1"/>
  <c r="AP122" i="1"/>
  <c r="AQ121" i="1"/>
  <c r="AP121" i="1"/>
  <c r="AQ120" i="1"/>
  <c r="AP120" i="1"/>
  <c r="AQ119" i="1"/>
  <c r="AP119" i="1"/>
  <c r="AQ118" i="1"/>
  <c r="AP118" i="1"/>
  <c r="AQ116" i="1"/>
  <c r="AP116" i="1"/>
  <c r="AQ115" i="1"/>
  <c r="AP115" i="1"/>
  <c r="AQ114" i="1"/>
  <c r="AP114" i="1"/>
  <c r="AQ113" i="1"/>
  <c r="AP113" i="1"/>
  <c r="AQ112" i="1"/>
  <c r="AQ111" i="1"/>
  <c r="AP112" i="1"/>
  <c r="AP111" i="1"/>
  <c r="AQ109" i="1"/>
  <c r="AP109" i="1"/>
  <c r="AQ108" i="1"/>
  <c r="AP108" i="1"/>
  <c r="AQ107" i="1"/>
  <c r="AQ106" i="1"/>
  <c r="AP107" i="1"/>
  <c r="AP106" i="1"/>
  <c r="AQ102" i="1"/>
  <c r="AP102" i="1"/>
  <c r="AQ101" i="1"/>
  <c r="AP101" i="1"/>
  <c r="AQ100" i="1"/>
  <c r="AP100" i="1"/>
  <c r="AQ99" i="1"/>
  <c r="AP99" i="1"/>
  <c r="AQ98" i="1"/>
  <c r="AP98" i="1"/>
  <c r="AQ97" i="1"/>
  <c r="AP97" i="1"/>
  <c r="AQ96" i="1"/>
  <c r="AQ95" i="1"/>
  <c r="AQ94" i="1"/>
  <c r="AP96" i="1"/>
  <c r="AP95" i="1"/>
  <c r="AQ92" i="1"/>
  <c r="AQ86" i="1"/>
  <c r="AP92" i="1"/>
  <c r="AQ91" i="1"/>
  <c r="AP91" i="1"/>
  <c r="AQ90" i="1"/>
  <c r="AP90" i="1"/>
  <c r="AQ89" i="1"/>
  <c r="AP89" i="1"/>
  <c r="AQ88" i="1"/>
  <c r="AP88" i="1"/>
  <c r="AQ87" i="1"/>
  <c r="AP87" i="1"/>
  <c r="AP86" i="1"/>
  <c r="AQ84" i="1"/>
  <c r="AP84" i="1"/>
  <c r="AQ83" i="1"/>
  <c r="AP83" i="1"/>
  <c r="AQ82" i="1"/>
  <c r="AP82" i="1"/>
  <c r="AQ80" i="1"/>
  <c r="AP80" i="1"/>
  <c r="AP77" i="1"/>
  <c r="AQ79" i="1"/>
  <c r="AP79" i="1"/>
  <c r="AQ78" i="1"/>
  <c r="AP78" i="1"/>
  <c r="AQ77" i="1"/>
  <c r="AQ75" i="1"/>
  <c r="AP75" i="1"/>
  <c r="AQ74" i="1"/>
  <c r="AP74" i="1"/>
  <c r="AQ73" i="1"/>
  <c r="AP73" i="1"/>
  <c r="AQ70" i="1"/>
  <c r="AQ67" i="1"/>
  <c r="AP70" i="1"/>
  <c r="AQ69" i="1"/>
  <c r="AP69" i="1"/>
  <c r="AQ68" i="1"/>
  <c r="AP68" i="1"/>
  <c r="AP67" i="1"/>
  <c r="AQ65" i="1"/>
  <c r="AP65" i="1"/>
  <c r="AQ64" i="1"/>
  <c r="AQ63" i="1"/>
  <c r="AP64" i="1"/>
  <c r="AP63" i="1"/>
  <c r="AQ61" i="1"/>
  <c r="AP61" i="1"/>
  <c r="AQ59" i="1"/>
  <c r="AP59" i="1"/>
  <c r="AQ58" i="1"/>
  <c r="AP58" i="1"/>
  <c r="AQ57" i="1"/>
  <c r="AP57" i="1"/>
  <c r="AQ56" i="1"/>
  <c r="AP56" i="1"/>
  <c r="AQ55" i="1"/>
  <c r="AP55" i="1"/>
  <c r="AQ54" i="1"/>
  <c r="AP54" i="1"/>
  <c r="AQ53" i="1"/>
  <c r="AQ52" i="1"/>
  <c r="AP53" i="1"/>
  <c r="AP52" i="1"/>
  <c r="AQ50" i="1"/>
  <c r="AP50" i="1"/>
  <c r="AQ49" i="1"/>
  <c r="AP49" i="1"/>
  <c r="AQ48" i="1"/>
  <c r="AP48" i="1"/>
  <c r="AQ47" i="1"/>
  <c r="AQ46" i="1"/>
  <c r="AP47" i="1"/>
  <c r="AP46" i="1"/>
  <c r="AQ42" i="1"/>
  <c r="AP42" i="1"/>
  <c r="AQ41" i="1"/>
  <c r="AP41" i="1"/>
  <c r="AQ36" i="1"/>
  <c r="AP36" i="1"/>
  <c r="AQ34" i="1"/>
  <c r="AP34" i="1"/>
  <c r="AQ33" i="1"/>
  <c r="AP33" i="1"/>
  <c r="AQ32" i="1"/>
  <c r="AP32" i="1"/>
  <c r="AQ31" i="1"/>
  <c r="AQ30" i="1"/>
  <c r="AP31" i="1"/>
  <c r="AP30" i="1"/>
  <c r="AQ28" i="1"/>
  <c r="AP28" i="1"/>
  <c r="AQ26" i="1"/>
  <c r="AP26" i="1"/>
  <c r="AQ24" i="1"/>
  <c r="AP24" i="1"/>
  <c r="AQ23" i="1"/>
  <c r="AP23" i="1"/>
  <c r="AQ22" i="1"/>
  <c r="AQ21" i="1"/>
  <c r="AP22" i="1"/>
  <c r="AP21" i="1"/>
  <c r="AQ19" i="1"/>
  <c r="AP19" i="1"/>
  <c r="AQ18" i="1"/>
  <c r="AP18" i="1"/>
  <c r="AQ17" i="1"/>
  <c r="AQ16" i="1"/>
  <c r="AQ14" i="1"/>
  <c r="AP17" i="1"/>
  <c r="AP16" i="1"/>
  <c r="AP14" i="1"/>
  <c r="AS863" i="1"/>
  <c r="AR863" i="1"/>
  <c r="AS860" i="1"/>
  <c r="AR860" i="1"/>
  <c r="AS856" i="1"/>
  <c r="AR856" i="1"/>
  <c r="AS845" i="1"/>
  <c r="AR845" i="1"/>
  <c r="AS842" i="1"/>
  <c r="AR842" i="1"/>
  <c r="AS827" i="1"/>
  <c r="AR827" i="1"/>
  <c r="AS790" i="1"/>
  <c r="AR790" i="1"/>
  <c r="AS783" i="1"/>
  <c r="AR783" i="1"/>
  <c r="AS768" i="1"/>
  <c r="AR768" i="1"/>
  <c r="AS742" i="1"/>
  <c r="AS723" i="1"/>
  <c r="AS721" i="1"/>
  <c r="AR742" i="1"/>
  <c r="AS738" i="1"/>
  <c r="AR738" i="1"/>
  <c r="AR723" i="1"/>
  <c r="AR721" i="1"/>
  <c r="AS728" i="1"/>
  <c r="AR728" i="1"/>
  <c r="AS725" i="1"/>
  <c r="AR725" i="1"/>
  <c r="AS718" i="1"/>
  <c r="AR718" i="1"/>
  <c r="AS711" i="1"/>
  <c r="AS691" i="1"/>
  <c r="AR711" i="1"/>
  <c r="AR691" i="1"/>
  <c r="AS705" i="1"/>
  <c r="AR705" i="1"/>
  <c r="AS702" i="1"/>
  <c r="AR702" i="1"/>
  <c r="AS699" i="1"/>
  <c r="AR699" i="1"/>
  <c r="AS696" i="1"/>
  <c r="AR696" i="1"/>
  <c r="AS693" i="1"/>
  <c r="AR693" i="1"/>
  <c r="AS685" i="1"/>
  <c r="AR685" i="1"/>
  <c r="AS681" i="1"/>
  <c r="AR681" i="1"/>
  <c r="AS669" i="1"/>
  <c r="AS664" i="1"/>
  <c r="AS662" i="1"/>
  <c r="AR669" i="1"/>
  <c r="AR664" i="1"/>
  <c r="AR662" i="1"/>
  <c r="AS666" i="1"/>
  <c r="AR666" i="1"/>
  <c r="AS655" i="1"/>
  <c r="AR655" i="1"/>
  <c r="AS645" i="1"/>
  <c r="AR645" i="1"/>
  <c r="AS637" i="1"/>
  <c r="AR637" i="1"/>
  <c r="AS634" i="1"/>
  <c r="AR634" i="1"/>
  <c r="AS632" i="1"/>
  <c r="AS630" i="1"/>
  <c r="AS628" i="1"/>
  <c r="AR632" i="1"/>
  <c r="AR630" i="1"/>
  <c r="AR628" i="1"/>
  <c r="AS625" i="1"/>
  <c r="AR625" i="1"/>
  <c r="AS621" i="1"/>
  <c r="AR621" i="1"/>
  <c r="AS616" i="1"/>
  <c r="AR616" i="1"/>
  <c r="AS613" i="1"/>
  <c r="AR613" i="1"/>
  <c r="AS611" i="1"/>
  <c r="AR611" i="1"/>
  <c r="AS606" i="1"/>
  <c r="AR606" i="1"/>
  <c r="AS600" i="1"/>
  <c r="AR600" i="1"/>
  <c r="AS592" i="1"/>
  <c r="AR592" i="1"/>
  <c r="AS585" i="1"/>
  <c r="AR585" i="1"/>
  <c r="AS581" i="1"/>
  <c r="AS579" i="1"/>
  <c r="AS577" i="1"/>
  <c r="AR581" i="1"/>
  <c r="AS571" i="1"/>
  <c r="AS569" i="1"/>
  <c r="AS567" i="1"/>
  <c r="AR571" i="1"/>
  <c r="AR569" i="1"/>
  <c r="AR567" i="1"/>
  <c r="AS563" i="1"/>
  <c r="AR563" i="1"/>
  <c r="AS558" i="1"/>
  <c r="AR558" i="1"/>
  <c r="AS555" i="1"/>
  <c r="AR555" i="1"/>
  <c r="AS549" i="1"/>
  <c r="AR549" i="1"/>
  <c r="AS543" i="1"/>
  <c r="AR543" i="1"/>
  <c r="AS541" i="1"/>
  <c r="AR541" i="1"/>
  <c r="AS535" i="1"/>
  <c r="AR535" i="1"/>
  <c r="AS532" i="1"/>
  <c r="AR532" i="1"/>
  <c r="AS526" i="1"/>
  <c r="AR526" i="1"/>
  <c r="AS507" i="1"/>
  <c r="AR507" i="1"/>
  <c r="AS505" i="1"/>
  <c r="AR505" i="1"/>
  <c r="AS500" i="1"/>
  <c r="AR500" i="1"/>
  <c r="AS488" i="1"/>
  <c r="AR488" i="1"/>
  <c r="AS482" i="1"/>
  <c r="AR482" i="1"/>
  <c r="AS472" i="1"/>
  <c r="AR472" i="1"/>
  <c r="AS464" i="1"/>
  <c r="AR464" i="1"/>
  <c r="AS458" i="1"/>
  <c r="AR458" i="1"/>
  <c r="AS451" i="1"/>
  <c r="AR451" i="1"/>
  <c r="AS444" i="1"/>
  <c r="AR444" i="1"/>
  <c r="AS439" i="1"/>
  <c r="AR439" i="1"/>
  <c r="AS437" i="1"/>
  <c r="AR437" i="1"/>
  <c r="AS427" i="1"/>
  <c r="AR427" i="1"/>
  <c r="AS419" i="1"/>
  <c r="AR419" i="1"/>
  <c r="AS416" i="1"/>
  <c r="AR416" i="1"/>
  <c r="AS411" i="1"/>
  <c r="AR411" i="1"/>
  <c r="AS406" i="1"/>
  <c r="AR406" i="1"/>
  <c r="AS401" i="1"/>
  <c r="AR401" i="1"/>
  <c r="AS397" i="1"/>
  <c r="AR397" i="1"/>
  <c r="AS386" i="1"/>
  <c r="AR386" i="1"/>
  <c r="AS380" i="1"/>
  <c r="AR380" i="1"/>
  <c r="AS378" i="1"/>
  <c r="AR378" i="1"/>
  <c r="AS375" i="1"/>
  <c r="AR375" i="1"/>
  <c r="AS368" i="1"/>
  <c r="AS366" i="1"/>
  <c r="AR368" i="1"/>
  <c r="AR366" i="1"/>
  <c r="AR364" i="1"/>
  <c r="AS361" i="1"/>
  <c r="AR361" i="1"/>
  <c r="AS358" i="1"/>
  <c r="AR358" i="1"/>
  <c r="AS354" i="1"/>
  <c r="AR354" i="1"/>
  <c r="AS349" i="1"/>
  <c r="AS347" i="1"/>
  <c r="AR349" i="1"/>
  <c r="AS329" i="1"/>
  <c r="AR329" i="1"/>
  <c r="AS326" i="1"/>
  <c r="AR326" i="1"/>
  <c r="AS322" i="1"/>
  <c r="AR322" i="1"/>
  <c r="AS319" i="1"/>
  <c r="AR319" i="1"/>
  <c r="AS316" i="1"/>
  <c r="AR316" i="1"/>
  <c r="AS313" i="1"/>
  <c r="AR313" i="1"/>
  <c r="AS310" i="1"/>
  <c r="AS308" i="1"/>
  <c r="AR310" i="1"/>
  <c r="AS305" i="1"/>
  <c r="AR305" i="1"/>
  <c r="AS302" i="1"/>
  <c r="AR302" i="1"/>
  <c r="AS298" i="1"/>
  <c r="AR298" i="1"/>
  <c r="AS293" i="1"/>
  <c r="AR293" i="1"/>
  <c r="AS288" i="1"/>
  <c r="AR288" i="1"/>
  <c r="AS279" i="1"/>
  <c r="AR279" i="1"/>
  <c r="AS275" i="1"/>
  <c r="AR275" i="1"/>
  <c r="AS267" i="1"/>
  <c r="AR267" i="1"/>
  <c r="AS259" i="1"/>
  <c r="AR259" i="1"/>
  <c r="AS251" i="1"/>
  <c r="AR251" i="1"/>
  <c r="AS246" i="1"/>
  <c r="AS244" i="1"/>
  <c r="AR246" i="1"/>
  <c r="AR244" i="1"/>
  <c r="AS238" i="1"/>
  <c r="AR238" i="1"/>
  <c r="AS237" i="1"/>
  <c r="AR237" i="1"/>
  <c r="AR236" i="1"/>
  <c r="AR215" i="1"/>
  <c r="AR212" i="1"/>
  <c r="AR220" i="1"/>
  <c r="AR221" i="1"/>
  <c r="AR218" i="1"/>
  <c r="AR210" i="1"/>
  <c r="AS234" i="1"/>
  <c r="AR234" i="1"/>
  <c r="AS233" i="1"/>
  <c r="AR233" i="1"/>
  <c r="AS231" i="1"/>
  <c r="AS230" i="1"/>
  <c r="AR231" i="1"/>
  <c r="AR230" i="1"/>
  <c r="AS228" i="1"/>
  <c r="AS227" i="1"/>
  <c r="AR228" i="1"/>
  <c r="AR227" i="1"/>
  <c r="AS225" i="1"/>
  <c r="AS224" i="1"/>
  <c r="AR225" i="1"/>
  <c r="AR224" i="1"/>
  <c r="AS222" i="1"/>
  <c r="AR222" i="1"/>
  <c r="AS221" i="1"/>
  <c r="AS220" i="1"/>
  <c r="AS219" i="1"/>
  <c r="AR219" i="1"/>
  <c r="AS218" i="1"/>
  <c r="AS216" i="1"/>
  <c r="AR216" i="1"/>
  <c r="AS215" i="1"/>
  <c r="AS214" i="1"/>
  <c r="AR214" i="1"/>
  <c r="AS213" i="1"/>
  <c r="AS212" i="1"/>
  <c r="AR213" i="1"/>
  <c r="AS205" i="1"/>
  <c r="AR205" i="1"/>
  <c r="AS204" i="1"/>
  <c r="AR204" i="1"/>
  <c r="AS202" i="1"/>
  <c r="AR202" i="1"/>
  <c r="AR201" i="1"/>
  <c r="AR199" i="1"/>
  <c r="AS201" i="1"/>
  <c r="AS199" i="1"/>
  <c r="AS197" i="1"/>
  <c r="AR197" i="1"/>
  <c r="AR196" i="1"/>
  <c r="AS196" i="1"/>
  <c r="AS195" i="1"/>
  <c r="AS193" i="1"/>
  <c r="AR193" i="1"/>
  <c r="AS191" i="1"/>
  <c r="AR191" i="1"/>
  <c r="AS189" i="1"/>
  <c r="AR189" i="1"/>
  <c r="AS187" i="1"/>
  <c r="AR187" i="1"/>
  <c r="AS185" i="1"/>
  <c r="AR185" i="1"/>
  <c r="AS184" i="1"/>
  <c r="AR184" i="1"/>
  <c r="AS182" i="1"/>
  <c r="AR182" i="1"/>
  <c r="AS180" i="1"/>
  <c r="AS179" i="1"/>
  <c r="AR180" i="1"/>
  <c r="AR179" i="1"/>
  <c r="AS177" i="1"/>
  <c r="AR177" i="1"/>
  <c r="AS176" i="1"/>
  <c r="AR176" i="1"/>
  <c r="AS175" i="1"/>
  <c r="AS174" i="1"/>
  <c r="AR175" i="1"/>
  <c r="AR174" i="1"/>
  <c r="AS170" i="1"/>
  <c r="AR170" i="1"/>
  <c r="AS169" i="1"/>
  <c r="AR169" i="1"/>
  <c r="AR168" i="1"/>
  <c r="AS168" i="1"/>
  <c r="AS165" i="1"/>
  <c r="AR165" i="1"/>
  <c r="AS163" i="1"/>
  <c r="AR163" i="1"/>
  <c r="AS162" i="1"/>
  <c r="AR162" i="1"/>
  <c r="AS161" i="1"/>
  <c r="AR161" i="1"/>
  <c r="AS160" i="1"/>
  <c r="AS155" i="1"/>
  <c r="AR160" i="1"/>
  <c r="AS159" i="1"/>
  <c r="AR159" i="1"/>
  <c r="AS158" i="1"/>
  <c r="AR158" i="1"/>
  <c r="AS157" i="1"/>
  <c r="AR157" i="1"/>
  <c r="AS156" i="1"/>
  <c r="AR156" i="1"/>
  <c r="AR155" i="1"/>
  <c r="AS153" i="1"/>
  <c r="AR153" i="1"/>
  <c r="AS152" i="1"/>
  <c r="AR152" i="1"/>
  <c r="AS151" i="1"/>
  <c r="AR151" i="1"/>
  <c r="AS150" i="1"/>
  <c r="AS149" i="1"/>
  <c r="AR150" i="1"/>
  <c r="AR149" i="1"/>
  <c r="AS147" i="1"/>
  <c r="AR147" i="1"/>
  <c r="AS146" i="1"/>
  <c r="AR146" i="1"/>
  <c r="AS145" i="1"/>
  <c r="AR145" i="1"/>
  <c r="AS144" i="1"/>
  <c r="AR144" i="1"/>
  <c r="AS143" i="1"/>
  <c r="AR143" i="1"/>
  <c r="AS142" i="1"/>
  <c r="AR142" i="1"/>
  <c r="AS141" i="1"/>
  <c r="AR141" i="1"/>
  <c r="AS140" i="1"/>
  <c r="AR140" i="1"/>
  <c r="AS137" i="1"/>
  <c r="AR137" i="1"/>
  <c r="AS134" i="1"/>
  <c r="AR134" i="1"/>
  <c r="AS133" i="1"/>
  <c r="AR133" i="1"/>
  <c r="AS132" i="1"/>
  <c r="AS131" i="1"/>
  <c r="AR132" i="1"/>
  <c r="AR131" i="1"/>
  <c r="AS129" i="1"/>
  <c r="AR129" i="1"/>
  <c r="AS128" i="1"/>
  <c r="AR128" i="1"/>
  <c r="AS127" i="1"/>
  <c r="AR127" i="1"/>
  <c r="AS126" i="1"/>
  <c r="AR126" i="1"/>
  <c r="AS125" i="1"/>
  <c r="AR125" i="1"/>
  <c r="AS123" i="1"/>
  <c r="AR123" i="1"/>
  <c r="AS122" i="1"/>
  <c r="AR122" i="1"/>
  <c r="AS121" i="1"/>
  <c r="AR121" i="1"/>
  <c r="AS120" i="1"/>
  <c r="AR120" i="1"/>
  <c r="AS119" i="1"/>
  <c r="AR119" i="1"/>
  <c r="AS118" i="1"/>
  <c r="AR118" i="1"/>
  <c r="AS116" i="1"/>
  <c r="AR116" i="1"/>
  <c r="AS115" i="1"/>
  <c r="AR115" i="1"/>
  <c r="AS114" i="1"/>
  <c r="AR114" i="1"/>
  <c r="AS113" i="1"/>
  <c r="AR113" i="1"/>
  <c r="AS112" i="1"/>
  <c r="AR112" i="1"/>
  <c r="AS111" i="1"/>
  <c r="AR111" i="1"/>
  <c r="AS109" i="1"/>
  <c r="AR109" i="1"/>
  <c r="AS108" i="1"/>
  <c r="AR108" i="1"/>
  <c r="AS107" i="1"/>
  <c r="AS106" i="1"/>
  <c r="AR107" i="1"/>
  <c r="AR106" i="1"/>
  <c r="AS102" i="1"/>
  <c r="AR102" i="1"/>
  <c r="AS101" i="1"/>
  <c r="AR101" i="1"/>
  <c r="AS100" i="1"/>
  <c r="AR100" i="1"/>
  <c r="AS99" i="1"/>
  <c r="AR99" i="1"/>
  <c r="AS98" i="1"/>
  <c r="AR98" i="1"/>
  <c r="AS97" i="1"/>
  <c r="AR97" i="1"/>
  <c r="AS96" i="1"/>
  <c r="AR96" i="1"/>
  <c r="AS95" i="1"/>
  <c r="AR95" i="1"/>
  <c r="AS92" i="1"/>
  <c r="AR92" i="1"/>
  <c r="AS91" i="1"/>
  <c r="AR91" i="1"/>
  <c r="AS90" i="1"/>
  <c r="AR90" i="1"/>
  <c r="AS89" i="1"/>
  <c r="AR89" i="1"/>
  <c r="AS88" i="1"/>
  <c r="AR88" i="1"/>
  <c r="AS87" i="1"/>
  <c r="AS86" i="1"/>
  <c r="AR87" i="1"/>
  <c r="AR86" i="1"/>
  <c r="AS84" i="1"/>
  <c r="AR84" i="1"/>
  <c r="AS83" i="1"/>
  <c r="AR83" i="1"/>
  <c r="AS82" i="1"/>
  <c r="AR82" i="1"/>
  <c r="AS80" i="1"/>
  <c r="AR80" i="1"/>
  <c r="AS79" i="1"/>
  <c r="AR79" i="1"/>
  <c r="AS78" i="1"/>
  <c r="AR78" i="1"/>
  <c r="AS77" i="1"/>
  <c r="AR77" i="1"/>
  <c r="AS75" i="1"/>
  <c r="AR75" i="1"/>
  <c r="AS74" i="1"/>
  <c r="AR74" i="1"/>
  <c r="AS73" i="1"/>
  <c r="AR73" i="1"/>
  <c r="AS72" i="1"/>
  <c r="AS70" i="1"/>
  <c r="AR70" i="1"/>
  <c r="AS69" i="1"/>
  <c r="AR69" i="1"/>
  <c r="AS68" i="1"/>
  <c r="AR68" i="1"/>
  <c r="AS67" i="1"/>
  <c r="AS65" i="1"/>
  <c r="AR65" i="1"/>
  <c r="AS64" i="1"/>
  <c r="AS63" i="1"/>
  <c r="AR64" i="1"/>
  <c r="AR63" i="1"/>
  <c r="AS61" i="1"/>
  <c r="AR61" i="1"/>
  <c r="AS59" i="1"/>
  <c r="AR59" i="1"/>
  <c r="AS58" i="1"/>
  <c r="AR58" i="1"/>
  <c r="AS57" i="1"/>
  <c r="AR57" i="1"/>
  <c r="AS56" i="1"/>
  <c r="AR56" i="1"/>
  <c r="AS55" i="1"/>
  <c r="AR55" i="1"/>
  <c r="AS54" i="1"/>
  <c r="AR54" i="1"/>
  <c r="AS53" i="1"/>
  <c r="AR53" i="1"/>
  <c r="AS50" i="1"/>
  <c r="AR50" i="1"/>
  <c r="AS49" i="1"/>
  <c r="AR49" i="1"/>
  <c r="AS48" i="1"/>
  <c r="AR48" i="1"/>
  <c r="AS47" i="1"/>
  <c r="AS46" i="1"/>
  <c r="AR47" i="1"/>
  <c r="AS42" i="1"/>
  <c r="AR42" i="1"/>
  <c r="AS41" i="1"/>
  <c r="AR41" i="1"/>
  <c r="AS36" i="1"/>
  <c r="AR36" i="1"/>
  <c r="AS34" i="1"/>
  <c r="AR34" i="1"/>
  <c r="AS33" i="1"/>
  <c r="AR33" i="1"/>
  <c r="AS32" i="1"/>
  <c r="AR32" i="1"/>
  <c r="AS31" i="1"/>
  <c r="AS30" i="1"/>
  <c r="AR31" i="1"/>
  <c r="AR30" i="1"/>
  <c r="AS28" i="1"/>
  <c r="AR28" i="1"/>
  <c r="AS26" i="1"/>
  <c r="AR26" i="1"/>
  <c r="AS24" i="1"/>
  <c r="AR24" i="1"/>
  <c r="AS23" i="1"/>
  <c r="AR23" i="1"/>
  <c r="AS22" i="1"/>
  <c r="AS21" i="1"/>
  <c r="AR22" i="1"/>
  <c r="AR21" i="1"/>
  <c r="AS19" i="1"/>
  <c r="AR19" i="1"/>
  <c r="AS18" i="1"/>
  <c r="AR18" i="1"/>
  <c r="AS17" i="1"/>
  <c r="AS16" i="1"/>
  <c r="AS14" i="1"/>
  <c r="AR17" i="1"/>
  <c r="AR16" i="1"/>
  <c r="AR14" i="1"/>
  <c r="AU863" i="1"/>
  <c r="AT863" i="1"/>
  <c r="AU860" i="1"/>
  <c r="AT860" i="1"/>
  <c r="AU856" i="1"/>
  <c r="AT856" i="1"/>
  <c r="AU845" i="1"/>
  <c r="AT845" i="1"/>
  <c r="AU842" i="1"/>
  <c r="AT842" i="1"/>
  <c r="AU827" i="1"/>
  <c r="AT827" i="1"/>
  <c r="AU790" i="1"/>
  <c r="AT790" i="1"/>
  <c r="AU783" i="1"/>
  <c r="AT783" i="1"/>
  <c r="AU768" i="1"/>
  <c r="AT768" i="1"/>
  <c r="AU742" i="1"/>
  <c r="AT742" i="1"/>
  <c r="AU738" i="1"/>
  <c r="AT738" i="1"/>
  <c r="AU728" i="1"/>
  <c r="AT728" i="1"/>
  <c r="AU725" i="1"/>
  <c r="AT725" i="1"/>
  <c r="AU718" i="1"/>
  <c r="AT718" i="1"/>
  <c r="AU711" i="1"/>
  <c r="AU691" i="1"/>
  <c r="AT711" i="1"/>
  <c r="AT691" i="1"/>
  <c r="AU705" i="1"/>
  <c r="AT705" i="1"/>
  <c r="AU702" i="1"/>
  <c r="AT702" i="1"/>
  <c r="AU699" i="1"/>
  <c r="AT699" i="1"/>
  <c r="AU696" i="1"/>
  <c r="AT696" i="1"/>
  <c r="AU693" i="1"/>
  <c r="AT693" i="1"/>
  <c r="AU685" i="1"/>
  <c r="AT685" i="1"/>
  <c r="AU681" i="1"/>
  <c r="AT681" i="1"/>
  <c r="AU669" i="1"/>
  <c r="AU664" i="1"/>
  <c r="AU662" i="1"/>
  <c r="AT669" i="1"/>
  <c r="AT664" i="1"/>
  <c r="AT662" i="1"/>
  <c r="AU666" i="1"/>
  <c r="AT666" i="1"/>
  <c r="AU655" i="1"/>
  <c r="AT655" i="1"/>
  <c r="AU645" i="1"/>
  <c r="AT645" i="1"/>
  <c r="AU637" i="1"/>
  <c r="AT637" i="1"/>
  <c r="AU634" i="1"/>
  <c r="AU632" i="1"/>
  <c r="AU630" i="1"/>
  <c r="AU628" i="1"/>
  <c r="AT634" i="1"/>
  <c r="AT632" i="1"/>
  <c r="AT630" i="1"/>
  <c r="AT628" i="1"/>
  <c r="AU625" i="1"/>
  <c r="AT625" i="1"/>
  <c r="AU621" i="1"/>
  <c r="AT621" i="1"/>
  <c r="AU619" i="1"/>
  <c r="AT619" i="1"/>
  <c r="AU616" i="1"/>
  <c r="AT616" i="1"/>
  <c r="AU613" i="1"/>
  <c r="AT613" i="1"/>
  <c r="AU606" i="1"/>
  <c r="AT606" i="1"/>
  <c r="AU600" i="1"/>
  <c r="AT600" i="1"/>
  <c r="AU592" i="1"/>
  <c r="AT592" i="1"/>
  <c r="AU585" i="1"/>
  <c r="AT585" i="1"/>
  <c r="AU581" i="1"/>
  <c r="AT581" i="1"/>
  <c r="AU579" i="1"/>
  <c r="AU577" i="1"/>
  <c r="AT579" i="1"/>
  <c r="AT577" i="1"/>
  <c r="AU571" i="1"/>
  <c r="AT571" i="1"/>
  <c r="AU569" i="1"/>
  <c r="AU567" i="1"/>
  <c r="AT569" i="1"/>
  <c r="AT567" i="1"/>
  <c r="AU563" i="1"/>
  <c r="AT563" i="1"/>
  <c r="AU558" i="1"/>
  <c r="AT558" i="1"/>
  <c r="AU555" i="1"/>
  <c r="AT555" i="1"/>
  <c r="AU549" i="1"/>
  <c r="AT549" i="1"/>
  <c r="AU543" i="1"/>
  <c r="AT543" i="1"/>
  <c r="AU535" i="1"/>
  <c r="AT535" i="1"/>
  <c r="AU532" i="1"/>
  <c r="AT532" i="1"/>
  <c r="AU526" i="1"/>
  <c r="AT526" i="1"/>
  <c r="AU507" i="1"/>
  <c r="AU505" i="1"/>
  <c r="AT507" i="1"/>
  <c r="AT505" i="1"/>
  <c r="AU500" i="1"/>
  <c r="AT500" i="1"/>
  <c r="AU488" i="1"/>
  <c r="AT488" i="1"/>
  <c r="AU482" i="1"/>
  <c r="AT482" i="1"/>
  <c r="AU472" i="1"/>
  <c r="AT472" i="1"/>
  <c r="AU464" i="1"/>
  <c r="AT464" i="1"/>
  <c r="AU458" i="1"/>
  <c r="AT458" i="1"/>
  <c r="AU451" i="1"/>
  <c r="AT451" i="1"/>
  <c r="AU444" i="1"/>
  <c r="AT444" i="1"/>
  <c r="AU439" i="1"/>
  <c r="AU437" i="1"/>
  <c r="AT439" i="1"/>
  <c r="AT437" i="1"/>
  <c r="AU427" i="1"/>
  <c r="AT427" i="1"/>
  <c r="AU419" i="1"/>
  <c r="AT419" i="1"/>
  <c r="AU416" i="1"/>
  <c r="AT416" i="1"/>
  <c r="AU411" i="1"/>
  <c r="AT411" i="1"/>
  <c r="AU406" i="1"/>
  <c r="AT406" i="1"/>
  <c r="AU401" i="1"/>
  <c r="AT401" i="1"/>
  <c r="AU397" i="1"/>
  <c r="AT397" i="1"/>
  <c r="AU386" i="1"/>
  <c r="AT386" i="1"/>
  <c r="AU380" i="1"/>
  <c r="AT380" i="1"/>
  <c r="AU375" i="1"/>
  <c r="AT375" i="1"/>
  <c r="AU368" i="1"/>
  <c r="AT368" i="1"/>
  <c r="AU366" i="1"/>
  <c r="AT366" i="1"/>
  <c r="AU361" i="1"/>
  <c r="AT361" i="1"/>
  <c r="AU358" i="1"/>
  <c r="AT358" i="1"/>
  <c r="AU354" i="1"/>
  <c r="AT354" i="1"/>
  <c r="AU349" i="1"/>
  <c r="AU347" i="1"/>
  <c r="AT349" i="1"/>
  <c r="AU329" i="1"/>
  <c r="AT329" i="1"/>
  <c r="AU326" i="1"/>
  <c r="AT326" i="1"/>
  <c r="AU322" i="1"/>
  <c r="AT322" i="1"/>
  <c r="AU319" i="1"/>
  <c r="AT319" i="1"/>
  <c r="AU316" i="1"/>
  <c r="AT316" i="1"/>
  <c r="AU313" i="1"/>
  <c r="AT313" i="1"/>
  <c r="AU310" i="1"/>
  <c r="AU308" i="1"/>
  <c r="AT310" i="1"/>
  <c r="AT308" i="1"/>
  <c r="AU305" i="1"/>
  <c r="AT305" i="1"/>
  <c r="AU302" i="1"/>
  <c r="AT302" i="1"/>
  <c r="AU298" i="1"/>
  <c r="AT298" i="1"/>
  <c r="AU293" i="1"/>
  <c r="AT293" i="1"/>
  <c r="AU288" i="1"/>
  <c r="AT288" i="1"/>
  <c r="AU279" i="1"/>
  <c r="AT279" i="1"/>
  <c r="AU275" i="1"/>
  <c r="AT275" i="1"/>
  <c r="AU267" i="1"/>
  <c r="AT267" i="1"/>
  <c r="AU259" i="1"/>
  <c r="AT259" i="1"/>
  <c r="AU251" i="1"/>
  <c r="AT251" i="1"/>
  <c r="AU246" i="1"/>
  <c r="AT246" i="1"/>
  <c r="AT244" i="1"/>
  <c r="AU238" i="1"/>
  <c r="AT238" i="1"/>
  <c r="AU237" i="1"/>
  <c r="AT237" i="1"/>
  <c r="AU236" i="1"/>
  <c r="AT236" i="1"/>
  <c r="AU234" i="1"/>
  <c r="AT234" i="1"/>
  <c r="AT230" i="1"/>
  <c r="AU233" i="1"/>
  <c r="AT233" i="1"/>
  <c r="AU231" i="1"/>
  <c r="AT231" i="1"/>
  <c r="AU230" i="1"/>
  <c r="AU228" i="1"/>
  <c r="AT228" i="1"/>
  <c r="AU227" i="1"/>
  <c r="AT227" i="1"/>
  <c r="AU225" i="1"/>
  <c r="AU224" i="1"/>
  <c r="AT225" i="1"/>
  <c r="AT224" i="1"/>
  <c r="AU222" i="1"/>
  <c r="AT222" i="1"/>
  <c r="AU221" i="1"/>
  <c r="AT221" i="1"/>
  <c r="AU220" i="1"/>
  <c r="AT220" i="1"/>
  <c r="AU219" i="1"/>
  <c r="AT219" i="1"/>
  <c r="AU216" i="1"/>
  <c r="AT216" i="1"/>
  <c r="AU215" i="1"/>
  <c r="AT215" i="1"/>
  <c r="AU214" i="1"/>
  <c r="AT214" i="1"/>
  <c r="AU213" i="1"/>
  <c r="AU212" i="1"/>
  <c r="AT213" i="1"/>
  <c r="AT212" i="1"/>
  <c r="AU205" i="1"/>
  <c r="AU204" i="1"/>
  <c r="AT205" i="1"/>
  <c r="AT204" i="1"/>
  <c r="AU202" i="1"/>
  <c r="AU201" i="1"/>
  <c r="AT202" i="1"/>
  <c r="AT201" i="1"/>
  <c r="AU197" i="1"/>
  <c r="AT197" i="1"/>
  <c r="AU196" i="1"/>
  <c r="AU195" i="1"/>
  <c r="AT196" i="1"/>
  <c r="AT195" i="1"/>
  <c r="AU193" i="1"/>
  <c r="AT193" i="1"/>
  <c r="AU191" i="1"/>
  <c r="AT191" i="1"/>
  <c r="AU189" i="1"/>
  <c r="AT189" i="1"/>
  <c r="AU187" i="1"/>
  <c r="AT187" i="1"/>
  <c r="AU185" i="1"/>
  <c r="AU184" i="1"/>
  <c r="AT185" i="1"/>
  <c r="AT184" i="1"/>
  <c r="AU182" i="1"/>
  <c r="AT182" i="1"/>
  <c r="AU180" i="1"/>
  <c r="AT180" i="1"/>
  <c r="AU179" i="1"/>
  <c r="AT179" i="1"/>
  <c r="AU177" i="1"/>
  <c r="AT177" i="1"/>
  <c r="AU176" i="1"/>
  <c r="AT176" i="1"/>
  <c r="AU175" i="1"/>
  <c r="AT175" i="1"/>
  <c r="AU174" i="1"/>
  <c r="AT174" i="1"/>
  <c r="AU170" i="1"/>
  <c r="AT170" i="1"/>
  <c r="AU169" i="1"/>
  <c r="AT169" i="1"/>
  <c r="AU168" i="1"/>
  <c r="AU167" i="1"/>
  <c r="AT168" i="1"/>
  <c r="AT167" i="1"/>
  <c r="AU165" i="1"/>
  <c r="AT165" i="1"/>
  <c r="AU163" i="1"/>
  <c r="AT163" i="1"/>
  <c r="AT155" i="1"/>
  <c r="AU162" i="1"/>
  <c r="AT162" i="1"/>
  <c r="AU161" i="1"/>
  <c r="AT161" i="1"/>
  <c r="AU160" i="1"/>
  <c r="AT160" i="1"/>
  <c r="AU159" i="1"/>
  <c r="AT159" i="1"/>
  <c r="AU158" i="1"/>
  <c r="AT158" i="1"/>
  <c r="AU157" i="1"/>
  <c r="AT157" i="1"/>
  <c r="AU156" i="1"/>
  <c r="AT156" i="1"/>
  <c r="AU153" i="1"/>
  <c r="AT153" i="1"/>
  <c r="AU152" i="1"/>
  <c r="AT152" i="1"/>
  <c r="AU151" i="1"/>
  <c r="AT151" i="1"/>
  <c r="AU150" i="1"/>
  <c r="AT150" i="1"/>
  <c r="AU149" i="1"/>
  <c r="AT149" i="1"/>
  <c r="AU147" i="1"/>
  <c r="AT147" i="1"/>
  <c r="AU146" i="1"/>
  <c r="AT146" i="1"/>
  <c r="AU145" i="1"/>
  <c r="AT145" i="1"/>
  <c r="AU144" i="1"/>
  <c r="AT144" i="1"/>
  <c r="AU143" i="1"/>
  <c r="AT143" i="1"/>
  <c r="AU142" i="1"/>
  <c r="AT142" i="1"/>
  <c r="AU141" i="1"/>
  <c r="AT141" i="1"/>
  <c r="AU140" i="1"/>
  <c r="AU139" i="1"/>
  <c r="AT140" i="1"/>
  <c r="AT139" i="1"/>
  <c r="AU137" i="1"/>
  <c r="AT137" i="1"/>
  <c r="AU134" i="1"/>
  <c r="AT134" i="1"/>
  <c r="AU133" i="1"/>
  <c r="AT133" i="1"/>
  <c r="AU132" i="1"/>
  <c r="AT132" i="1"/>
  <c r="AU131" i="1"/>
  <c r="AT131" i="1"/>
  <c r="AU129" i="1"/>
  <c r="AT129" i="1"/>
  <c r="AU128" i="1"/>
  <c r="AT128" i="1"/>
  <c r="AU127" i="1"/>
  <c r="AT127" i="1"/>
  <c r="AU126" i="1"/>
  <c r="AU125" i="1"/>
  <c r="AT126" i="1"/>
  <c r="AT125" i="1"/>
  <c r="AU123" i="1"/>
  <c r="AT123" i="1"/>
  <c r="AU122" i="1"/>
  <c r="AT122" i="1"/>
  <c r="AU121" i="1"/>
  <c r="AT121" i="1"/>
  <c r="AU120" i="1"/>
  <c r="AT120" i="1"/>
  <c r="AU119" i="1"/>
  <c r="AU118" i="1"/>
  <c r="AT119" i="1"/>
  <c r="AT118" i="1"/>
  <c r="AU116" i="1"/>
  <c r="AT116" i="1"/>
  <c r="AU115" i="1"/>
  <c r="AT115" i="1"/>
  <c r="AU114" i="1"/>
  <c r="AT114" i="1"/>
  <c r="AU113" i="1"/>
  <c r="AT113" i="1"/>
  <c r="AU112" i="1"/>
  <c r="AT112" i="1"/>
  <c r="AT111" i="1"/>
  <c r="AU109" i="1"/>
  <c r="AT109" i="1"/>
  <c r="AU108" i="1"/>
  <c r="AT108" i="1"/>
  <c r="AU107" i="1"/>
  <c r="AU106" i="1"/>
  <c r="AT107" i="1"/>
  <c r="AT106" i="1"/>
  <c r="AU102" i="1"/>
  <c r="AT102" i="1"/>
  <c r="AU101" i="1"/>
  <c r="AT101" i="1"/>
  <c r="AU100" i="1"/>
  <c r="AT100" i="1"/>
  <c r="AU99" i="1"/>
  <c r="AT99" i="1"/>
  <c r="AU98" i="1"/>
  <c r="AT98" i="1"/>
  <c r="AU97" i="1"/>
  <c r="AT97" i="1"/>
  <c r="AU96" i="1"/>
  <c r="AT96" i="1"/>
  <c r="AU95" i="1"/>
  <c r="AU94" i="1"/>
  <c r="AT95" i="1"/>
  <c r="AT94" i="1"/>
  <c r="AU92" i="1"/>
  <c r="AT92" i="1"/>
  <c r="AU91" i="1"/>
  <c r="AT91" i="1"/>
  <c r="AU90" i="1"/>
  <c r="AT90" i="1"/>
  <c r="AU89" i="1"/>
  <c r="AT89" i="1"/>
  <c r="AU88" i="1"/>
  <c r="AT88" i="1"/>
  <c r="AU87" i="1"/>
  <c r="AT87" i="1"/>
  <c r="AU86" i="1"/>
  <c r="AT86" i="1"/>
  <c r="AU84" i="1"/>
  <c r="AT84" i="1"/>
  <c r="AU83" i="1"/>
  <c r="AU82" i="1"/>
  <c r="AT83" i="1"/>
  <c r="AT82" i="1"/>
  <c r="AU80" i="1"/>
  <c r="AU77" i="1"/>
  <c r="AT80" i="1"/>
  <c r="AT77" i="1"/>
  <c r="AU79" i="1"/>
  <c r="AT79" i="1"/>
  <c r="AU78" i="1"/>
  <c r="AT78" i="1"/>
  <c r="AU75" i="1"/>
  <c r="AT75" i="1"/>
  <c r="AU74" i="1"/>
  <c r="AT74" i="1"/>
  <c r="AU73" i="1"/>
  <c r="AT73" i="1"/>
  <c r="AU70" i="1"/>
  <c r="AT70" i="1"/>
  <c r="AU69" i="1"/>
  <c r="AT69" i="1"/>
  <c r="AU68" i="1"/>
  <c r="AU67" i="1"/>
  <c r="AT68" i="1"/>
  <c r="AU65" i="1"/>
  <c r="AT65" i="1"/>
  <c r="AU64" i="1"/>
  <c r="AU63" i="1"/>
  <c r="AT64" i="1"/>
  <c r="AT63" i="1"/>
  <c r="AU61" i="1"/>
  <c r="AT61" i="1"/>
  <c r="AU59" i="1"/>
  <c r="AT59" i="1"/>
  <c r="AU58" i="1"/>
  <c r="AT58" i="1"/>
  <c r="AU57" i="1"/>
  <c r="AT57" i="1"/>
  <c r="AU56" i="1"/>
  <c r="AT56" i="1"/>
  <c r="AU55" i="1"/>
  <c r="AT55" i="1"/>
  <c r="AU54" i="1"/>
  <c r="AT54" i="1"/>
  <c r="AU53" i="1"/>
  <c r="AU52" i="1"/>
  <c r="AT53" i="1"/>
  <c r="AT52" i="1"/>
  <c r="AU50" i="1"/>
  <c r="AT50" i="1"/>
  <c r="AU49" i="1"/>
  <c r="AT49" i="1"/>
  <c r="AU48" i="1"/>
  <c r="AT48" i="1"/>
  <c r="AU47" i="1"/>
  <c r="AT47" i="1"/>
  <c r="AU46" i="1"/>
  <c r="AT46" i="1"/>
  <c r="AU42" i="1"/>
  <c r="AT42" i="1"/>
  <c r="AU41" i="1"/>
  <c r="AT41" i="1"/>
  <c r="AU38" i="1"/>
  <c r="AT38" i="1"/>
  <c r="AU36" i="1"/>
  <c r="AT36" i="1"/>
  <c r="AU34" i="1"/>
  <c r="AT34" i="1"/>
  <c r="AU33" i="1"/>
  <c r="AT33" i="1"/>
  <c r="AU32" i="1"/>
  <c r="AT32" i="1"/>
  <c r="AU31" i="1"/>
  <c r="AT31" i="1"/>
  <c r="AU30" i="1"/>
  <c r="AT30" i="1"/>
  <c r="AU28" i="1"/>
  <c r="AT28" i="1"/>
  <c r="AU26" i="1"/>
  <c r="AT26" i="1"/>
  <c r="AU24" i="1"/>
  <c r="AT24" i="1"/>
  <c r="AU23" i="1"/>
  <c r="AT23" i="1"/>
  <c r="AU22" i="1"/>
  <c r="AT22" i="1"/>
  <c r="AU21" i="1"/>
  <c r="AT21" i="1"/>
  <c r="AU19" i="1"/>
  <c r="AT19" i="1"/>
  <c r="AU18" i="1"/>
  <c r="AT18" i="1"/>
  <c r="AU17" i="1"/>
  <c r="AU16" i="1"/>
  <c r="AU14" i="1"/>
  <c r="AT17" i="1"/>
  <c r="AT16" i="1"/>
  <c r="AT14" i="1"/>
  <c r="AW863" i="1"/>
  <c r="AV863" i="1"/>
  <c r="AW860" i="1"/>
  <c r="AV860" i="1"/>
  <c r="AW856" i="1"/>
  <c r="AV856" i="1"/>
  <c r="AW845" i="1"/>
  <c r="AV845" i="1"/>
  <c r="AW842" i="1"/>
  <c r="AV842" i="1"/>
  <c r="AW827" i="1"/>
  <c r="AV827" i="1"/>
  <c r="AW790" i="1"/>
  <c r="AV790" i="1"/>
  <c r="AW783" i="1"/>
  <c r="AV783" i="1"/>
  <c r="AW768" i="1"/>
  <c r="AV768" i="1"/>
  <c r="AW742" i="1"/>
  <c r="AV742" i="1"/>
  <c r="AW738" i="1"/>
  <c r="AV738" i="1"/>
  <c r="AW728" i="1"/>
  <c r="AV728" i="1"/>
  <c r="AW725" i="1"/>
  <c r="AV725" i="1"/>
  <c r="AW718" i="1"/>
  <c r="AV718" i="1"/>
  <c r="AW711" i="1"/>
  <c r="AW691" i="1"/>
  <c r="AV711" i="1"/>
  <c r="AV691" i="1"/>
  <c r="AW705" i="1"/>
  <c r="AV705" i="1"/>
  <c r="AW702" i="1"/>
  <c r="AV702" i="1"/>
  <c r="AW699" i="1"/>
  <c r="AV699" i="1"/>
  <c r="AW696" i="1"/>
  <c r="AV696" i="1"/>
  <c r="AW693" i="1"/>
  <c r="AV693" i="1"/>
  <c r="AW685" i="1"/>
  <c r="AV685" i="1"/>
  <c r="AW681" i="1"/>
  <c r="AV681" i="1"/>
  <c r="AW669" i="1"/>
  <c r="AW664" i="1"/>
  <c r="AW662" i="1"/>
  <c r="AV669" i="1"/>
  <c r="AV664" i="1"/>
  <c r="AV662" i="1"/>
  <c r="AW666" i="1"/>
  <c r="AV666" i="1"/>
  <c r="AW655" i="1"/>
  <c r="AV655" i="1"/>
  <c r="AW645" i="1"/>
  <c r="AV645" i="1"/>
  <c r="AW637" i="1"/>
  <c r="AV637" i="1"/>
  <c r="AW634" i="1"/>
  <c r="AW632" i="1"/>
  <c r="AW630" i="1"/>
  <c r="AW628" i="1"/>
  <c r="AV634" i="1"/>
  <c r="AV632" i="1"/>
  <c r="AV630" i="1"/>
  <c r="AV628" i="1"/>
  <c r="AW625" i="1"/>
  <c r="AV625" i="1"/>
  <c r="AW621" i="1"/>
  <c r="AV621" i="1"/>
  <c r="AW619" i="1"/>
  <c r="AV619" i="1"/>
  <c r="AW616" i="1"/>
  <c r="AV616" i="1"/>
  <c r="AW613" i="1"/>
  <c r="AW611" i="1"/>
  <c r="AW609" i="1"/>
  <c r="AV613" i="1"/>
  <c r="AV611" i="1"/>
  <c r="AV609" i="1"/>
  <c r="AW606" i="1"/>
  <c r="AV606" i="1"/>
  <c r="AW600" i="1"/>
  <c r="AV600" i="1"/>
  <c r="AW592" i="1"/>
  <c r="AV592" i="1"/>
  <c r="AW585" i="1"/>
  <c r="AV585" i="1"/>
  <c r="AW581" i="1"/>
  <c r="AV581" i="1"/>
  <c r="AW579" i="1"/>
  <c r="AV579" i="1"/>
  <c r="AW571" i="1"/>
  <c r="AV571" i="1"/>
  <c r="AW569" i="1"/>
  <c r="AW567" i="1"/>
  <c r="AV569" i="1"/>
  <c r="AV567" i="1"/>
  <c r="AW563" i="1"/>
  <c r="AV563" i="1"/>
  <c r="AW558" i="1"/>
  <c r="AV558" i="1"/>
  <c r="AW555" i="1"/>
  <c r="AV555" i="1"/>
  <c r="AW549" i="1"/>
  <c r="AV549" i="1"/>
  <c r="AW543" i="1"/>
  <c r="AV543" i="1"/>
  <c r="AW535" i="1"/>
  <c r="AV535" i="1"/>
  <c r="AW532" i="1"/>
  <c r="AV532" i="1"/>
  <c r="AW526" i="1"/>
  <c r="AV526" i="1"/>
  <c r="AW507" i="1"/>
  <c r="AW505" i="1"/>
  <c r="AV507" i="1"/>
  <c r="AV505" i="1"/>
  <c r="AW500" i="1"/>
  <c r="AV500" i="1"/>
  <c r="AW488" i="1"/>
  <c r="AV488" i="1"/>
  <c r="AW482" i="1"/>
  <c r="AV482" i="1"/>
  <c r="AW472" i="1"/>
  <c r="AV472" i="1"/>
  <c r="AW464" i="1"/>
  <c r="AV464" i="1"/>
  <c r="AW458" i="1"/>
  <c r="AV458" i="1"/>
  <c r="AW451" i="1"/>
  <c r="AV451" i="1"/>
  <c r="AW444" i="1"/>
  <c r="AV444" i="1"/>
  <c r="AW439" i="1"/>
  <c r="AV439" i="1"/>
  <c r="AW427" i="1"/>
  <c r="AV427" i="1"/>
  <c r="AW419" i="1"/>
  <c r="AV419" i="1"/>
  <c r="AW416" i="1"/>
  <c r="AV416" i="1"/>
  <c r="AW411" i="1"/>
  <c r="AV411" i="1"/>
  <c r="AW406" i="1"/>
  <c r="AV406" i="1"/>
  <c r="AW401" i="1"/>
  <c r="AV401" i="1"/>
  <c r="AW397" i="1"/>
  <c r="AV397" i="1"/>
  <c r="AW386" i="1"/>
  <c r="AV386" i="1"/>
  <c r="AW380" i="1"/>
  <c r="AV380" i="1"/>
  <c r="AW375" i="1"/>
  <c r="AV375" i="1"/>
  <c r="AW368" i="1"/>
  <c r="AV368" i="1"/>
  <c r="AW366" i="1"/>
  <c r="AV366" i="1"/>
  <c r="AW361" i="1"/>
  <c r="AV361" i="1"/>
  <c r="AW358" i="1"/>
  <c r="AV358" i="1"/>
  <c r="AW354" i="1"/>
  <c r="AV354" i="1"/>
  <c r="AW349" i="1"/>
  <c r="AV349" i="1"/>
  <c r="AV347" i="1"/>
  <c r="AW347" i="1"/>
  <c r="AW329" i="1"/>
  <c r="AV329" i="1"/>
  <c r="AW326" i="1"/>
  <c r="AV326" i="1"/>
  <c r="AW322" i="1"/>
  <c r="AV322" i="1"/>
  <c r="AW319" i="1"/>
  <c r="AV319" i="1"/>
  <c r="AW316" i="1"/>
  <c r="AV316" i="1"/>
  <c r="AW313" i="1"/>
  <c r="AV313" i="1"/>
  <c r="AW310" i="1"/>
  <c r="AW308" i="1"/>
  <c r="AV310" i="1"/>
  <c r="AV308" i="1"/>
  <c r="AW305" i="1"/>
  <c r="AV305" i="1"/>
  <c r="AW302" i="1"/>
  <c r="AV302" i="1"/>
  <c r="AW298" i="1"/>
  <c r="AV298" i="1"/>
  <c r="AW293" i="1"/>
  <c r="AV293" i="1"/>
  <c r="AW288" i="1"/>
  <c r="AV288" i="1"/>
  <c r="AW279" i="1"/>
  <c r="AV279" i="1"/>
  <c r="AW275" i="1"/>
  <c r="AV275" i="1"/>
  <c r="AW267" i="1"/>
  <c r="AV267" i="1"/>
  <c r="AW259" i="1"/>
  <c r="AV259" i="1"/>
  <c r="AW251" i="1"/>
  <c r="AV251" i="1"/>
  <c r="AW246" i="1"/>
  <c r="AV246" i="1"/>
  <c r="AW238" i="1"/>
  <c r="AV238" i="1"/>
  <c r="AW237" i="1"/>
  <c r="AV237" i="1"/>
  <c r="AW236" i="1"/>
  <c r="AV236" i="1"/>
  <c r="AW234" i="1"/>
  <c r="AV234" i="1"/>
  <c r="AW233" i="1"/>
  <c r="AV233" i="1"/>
  <c r="AW231" i="1"/>
  <c r="AV231" i="1"/>
  <c r="AW230" i="1"/>
  <c r="AV230" i="1"/>
  <c r="AW228" i="1"/>
  <c r="AV228" i="1"/>
  <c r="AW227" i="1"/>
  <c r="AV227" i="1"/>
  <c r="AW225" i="1"/>
  <c r="AW224" i="1"/>
  <c r="AV225" i="1"/>
  <c r="AV224" i="1"/>
  <c r="AW222" i="1"/>
  <c r="AV222" i="1"/>
  <c r="AW221" i="1"/>
  <c r="AV221" i="1"/>
  <c r="AW220" i="1"/>
  <c r="AV220" i="1"/>
  <c r="AW219" i="1"/>
  <c r="AW218" i="1"/>
  <c r="AV219" i="1"/>
  <c r="AV218" i="1"/>
  <c r="AW216" i="1"/>
  <c r="AV216" i="1"/>
  <c r="AW215" i="1"/>
  <c r="AV215" i="1"/>
  <c r="AW214" i="1"/>
  <c r="AV214" i="1"/>
  <c r="AW213" i="1"/>
  <c r="AW212" i="1"/>
  <c r="AV213" i="1"/>
  <c r="AV212" i="1"/>
  <c r="AW205" i="1"/>
  <c r="AW204" i="1"/>
  <c r="AV205" i="1"/>
  <c r="AV204" i="1"/>
  <c r="AW202" i="1"/>
  <c r="AW201" i="1"/>
  <c r="AV202" i="1"/>
  <c r="AV201" i="1"/>
  <c r="AW197" i="1"/>
  <c r="AV197" i="1"/>
  <c r="AW196" i="1"/>
  <c r="AW195" i="1"/>
  <c r="AV196" i="1"/>
  <c r="AV195" i="1"/>
  <c r="AW193" i="1"/>
  <c r="AV193" i="1"/>
  <c r="AW191" i="1"/>
  <c r="AV191" i="1"/>
  <c r="AW189" i="1"/>
  <c r="AV189" i="1"/>
  <c r="AW187" i="1"/>
  <c r="AV187" i="1"/>
  <c r="AW185" i="1"/>
  <c r="AW184" i="1"/>
  <c r="AV185" i="1"/>
  <c r="AV184" i="1"/>
  <c r="AW182" i="1"/>
  <c r="AV182" i="1"/>
  <c r="AW180" i="1"/>
  <c r="AV180" i="1"/>
  <c r="AW179" i="1"/>
  <c r="AV179" i="1"/>
  <c r="AW177" i="1"/>
  <c r="AV177" i="1"/>
  <c r="AW176" i="1"/>
  <c r="AV176" i="1"/>
  <c r="AW175" i="1"/>
  <c r="AV175" i="1"/>
  <c r="AW174" i="1"/>
  <c r="AV174" i="1"/>
  <c r="AW170" i="1"/>
  <c r="AV170" i="1"/>
  <c r="AW169" i="1"/>
  <c r="AV169" i="1"/>
  <c r="AW168" i="1"/>
  <c r="AW167" i="1"/>
  <c r="AV168" i="1"/>
  <c r="AV167" i="1"/>
  <c r="AW165" i="1"/>
  <c r="AV165" i="1"/>
  <c r="AW163" i="1"/>
  <c r="AV163" i="1"/>
  <c r="AW162" i="1"/>
  <c r="AV162" i="1"/>
  <c r="AW161" i="1"/>
  <c r="AV161" i="1"/>
  <c r="AW160" i="1"/>
  <c r="AV160" i="1"/>
  <c r="AW159" i="1"/>
  <c r="AV159" i="1"/>
  <c r="AW158" i="1"/>
  <c r="AV158" i="1"/>
  <c r="AW157" i="1"/>
  <c r="AV157" i="1"/>
  <c r="AW156" i="1"/>
  <c r="AW155" i="1"/>
  <c r="AV156" i="1"/>
  <c r="AW153" i="1"/>
  <c r="AV153" i="1"/>
  <c r="AW152" i="1"/>
  <c r="AV152" i="1"/>
  <c r="AW151" i="1"/>
  <c r="AV151" i="1"/>
  <c r="AW150" i="1"/>
  <c r="AV150" i="1"/>
  <c r="AW149" i="1"/>
  <c r="AV149" i="1"/>
  <c r="AW147" i="1"/>
  <c r="AW139" i="1"/>
  <c r="AV147" i="1"/>
  <c r="AW146" i="1"/>
  <c r="AV146" i="1"/>
  <c r="AW145" i="1"/>
  <c r="AV145" i="1"/>
  <c r="AW144" i="1"/>
  <c r="AV144" i="1"/>
  <c r="AW143" i="1"/>
  <c r="AV143" i="1"/>
  <c r="AW142" i="1"/>
  <c r="AV142" i="1"/>
  <c r="AW141" i="1"/>
  <c r="AV141" i="1"/>
  <c r="AW140" i="1"/>
  <c r="AV140" i="1"/>
  <c r="AV139" i="1"/>
  <c r="AW137" i="1"/>
  <c r="AV137" i="1"/>
  <c r="AW134" i="1"/>
  <c r="AV134" i="1"/>
  <c r="AW133" i="1"/>
  <c r="AV133" i="1"/>
  <c r="AW132" i="1"/>
  <c r="AW131" i="1"/>
  <c r="AV132" i="1"/>
  <c r="AV131" i="1"/>
  <c r="AW129" i="1"/>
  <c r="AW125" i="1"/>
  <c r="AV129" i="1"/>
  <c r="AW128" i="1"/>
  <c r="AV128" i="1"/>
  <c r="AW127" i="1"/>
  <c r="AV127" i="1"/>
  <c r="AW126" i="1"/>
  <c r="AV126" i="1"/>
  <c r="AV125" i="1"/>
  <c r="AW123" i="1"/>
  <c r="AV123" i="1"/>
  <c r="AW122" i="1"/>
  <c r="AV122" i="1"/>
  <c r="AW121" i="1"/>
  <c r="AV121" i="1"/>
  <c r="AW120" i="1"/>
  <c r="AV120" i="1"/>
  <c r="AW119" i="1"/>
  <c r="AW118" i="1"/>
  <c r="AV119" i="1"/>
  <c r="AV118" i="1"/>
  <c r="AW116" i="1"/>
  <c r="AV116" i="1"/>
  <c r="AW115" i="1"/>
  <c r="AV115" i="1"/>
  <c r="AW114" i="1"/>
  <c r="AV114" i="1"/>
  <c r="AW113" i="1"/>
  <c r="AV113" i="1"/>
  <c r="AW112" i="1"/>
  <c r="AV112" i="1"/>
  <c r="AV111" i="1"/>
  <c r="AW109" i="1"/>
  <c r="AV109" i="1"/>
  <c r="AW108" i="1"/>
  <c r="AV108" i="1"/>
  <c r="AW107" i="1"/>
  <c r="AW106" i="1"/>
  <c r="AV107" i="1"/>
  <c r="AV106" i="1"/>
  <c r="AW102" i="1"/>
  <c r="AV102" i="1"/>
  <c r="AW101" i="1"/>
  <c r="AV101" i="1"/>
  <c r="AW100" i="1"/>
  <c r="AV100" i="1"/>
  <c r="AW99" i="1"/>
  <c r="AV99" i="1"/>
  <c r="AW98" i="1"/>
  <c r="AV98" i="1"/>
  <c r="AW97" i="1"/>
  <c r="AV97" i="1"/>
  <c r="AW96" i="1"/>
  <c r="AV96" i="1"/>
  <c r="AW95" i="1"/>
  <c r="AW94" i="1"/>
  <c r="AV95" i="1"/>
  <c r="AV94" i="1"/>
  <c r="AW92" i="1"/>
  <c r="AV92" i="1"/>
  <c r="AW91" i="1"/>
  <c r="AV91" i="1"/>
  <c r="AW90" i="1"/>
  <c r="AV90" i="1"/>
  <c r="AW89" i="1"/>
  <c r="AV89" i="1"/>
  <c r="AW88" i="1"/>
  <c r="AV88" i="1"/>
  <c r="AW87" i="1"/>
  <c r="AV87" i="1"/>
  <c r="AW86" i="1"/>
  <c r="AV86" i="1"/>
  <c r="AW84" i="1"/>
  <c r="AV84" i="1"/>
  <c r="AW83" i="1"/>
  <c r="AW82" i="1"/>
  <c r="AV83" i="1"/>
  <c r="AV82" i="1"/>
  <c r="AW80" i="1"/>
  <c r="AV80" i="1"/>
  <c r="AW79" i="1"/>
  <c r="AV79" i="1"/>
  <c r="AW78" i="1"/>
  <c r="AV78" i="1"/>
  <c r="AW75" i="1"/>
  <c r="AV75" i="1"/>
  <c r="AW74" i="1"/>
  <c r="AV74" i="1"/>
  <c r="AW73" i="1"/>
  <c r="AV73" i="1"/>
  <c r="AW70" i="1"/>
  <c r="AV70" i="1"/>
  <c r="AW69" i="1"/>
  <c r="AV69" i="1"/>
  <c r="AW68" i="1"/>
  <c r="AV68" i="1"/>
  <c r="AW65" i="1"/>
  <c r="AV65" i="1"/>
  <c r="AW64" i="1"/>
  <c r="AW63" i="1"/>
  <c r="AV64" i="1"/>
  <c r="AV63" i="1"/>
  <c r="AW61" i="1"/>
  <c r="AV61" i="1"/>
  <c r="AW59" i="1"/>
  <c r="AV59" i="1"/>
  <c r="AW58" i="1"/>
  <c r="AV58" i="1"/>
  <c r="AW57" i="1"/>
  <c r="AV57" i="1"/>
  <c r="AW56" i="1"/>
  <c r="AV56" i="1"/>
  <c r="AW55" i="1"/>
  <c r="AV55" i="1"/>
  <c r="AW54" i="1"/>
  <c r="AV54" i="1"/>
  <c r="AW53" i="1"/>
  <c r="AV53" i="1"/>
  <c r="AW50" i="1"/>
  <c r="AV50" i="1"/>
  <c r="AW49" i="1"/>
  <c r="AV49" i="1"/>
  <c r="AW48" i="1"/>
  <c r="AV48" i="1"/>
  <c r="AW47" i="1"/>
  <c r="AV47" i="1"/>
  <c r="AW46" i="1"/>
  <c r="AV46" i="1"/>
  <c r="AW42" i="1"/>
  <c r="AV42" i="1"/>
  <c r="AW41" i="1"/>
  <c r="AV41" i="1"/>
  <c r="AW36" i="1"/>
  <c r="AV36" i="1"/>
  <c r="AW34" i="1"/>
  <c r="AV34" i="1"/>
  <c r="AW33" i="1"/>
  <c r="AV33" i="1"/>
  <c r="AW32" i="1"/>
  <c r="AV32" i="1"/>
  <c r="AW31" i="1"/>
  <c r="AV31" i="1"/>
  <c r="AW30" i="1"/>
  <c r="AV30" i="1"/>
  <c r="AW28" i="1"/>
  <c r="AV28" i="1"/>
  <c r="AW26" i="1"/>
  <c r="AV26" i="1"/>
  <c r="AW24" i="1"/>
  <c r="AV24" i="1"/>
  <c r="AW23" i="1"/>
  <c r="AV23" i="1"/>
  <c r="AW22" i="1"/>
  <c r="AV22" i="1"/>
  <c r="AW21" i="1"/>
  <c r="AV21" i="1"/>
  <c r="AW19" i="1"/>
  <c r="AV19" i="1"/>
  <c r="AW18" i="1"/>
  <c r="AV18" i="1"/>
  <c r="AW17" i="1"/>
  <c r="AW16" i="1"/>
  <c r="AW14" i="1"/>
  <c r="AV17" i="1"/>
  <c r="AV16" i="1"/>
  <c r="AV14" i="1"/>
  <c r="AY863" i="1"/>
  <c r="AX863" i="1"/>
  <c r="AY860" i="1"/>
  <c r="AX860" i="1"/>
  <c r="AY856" i="1"/>
  <c r="AX856" i="1"/>
  <c r="AY845" i="1"/>
  <c r="AX845" i="1"/>
  <c r="AY842" i="1"/>
  <c r="AX842" i="1"/>
  <c r="AY827" i="1"/>
  <c r="AX827" i="1"/>
  <c r="AY790" i="1"/>
  <c r="AX790" i="1"/>
  <c r="AY783" i="1"/>
  <c r="AX783" i="1"/>
  <c r="AY768" i="1"/>
  <c r="AX768" i="1"/>
  <c r="AY742" i="1"/>
  <c r="AX742" i="1"/>
  <c r="AY738" i="1"/>
  <c r="AX738" i="1"/>
  <c r="AY728" i="1"/>
  <c r="AX728" i="1"/>
  <c r="AY725" i="1"/>
  <c r="AX725" i="1"/>
  <c r="AY723" i="1"/>
  <c r="AY721" i="1"/>
  <c r="AX723" i="1"/>
  <c r="AX721" i="1"/>
  <c r="AY718" i="1"/>
  <c r="AX718" i="1"/>
  <c r="AY711" i="1"/>
  <c r="AY691" i="1"/>
  <c r="AX711" i="1"/>
  <c r="AX691" i="1"/>
  <c r="AY705" i="1"/>
  <c r="AX705" i="1"/>
  <c r="AY702" i="1"/>
  <c r="AX702" i="1"/>
  <c r="AY699" i="1"/>
  <c r="AX699" i="1"/>
  <c r="AY696" i="1"/>
  <c r="AX696" i="1"/>
  <c r="AY693" i="1"/>
  <c r="AX693" i="1"/>
  <c r="AY685" i="1"/>
  <c r="AX685" i="1"/>
  <c r="AY681" i="1"/>
  <c r="AX681" i="1"/>
  <c r="AY669" i="1"/>
  <c r="AY664" i="1"/>
  <c r="AY662" i="1"/>
  <c r="AX669" i="1"/>
  <c r="AX664" i="1"/>
  <c r="AX662" i="1"/>
  <c r="AY666" i="1"/>
  <c r="AX666" i="1"/>
  <c r="AY655" i="1"/>
  <c r="AX655" i="1"/>
  <c r="AY645" i="1"/>
  <c r="AX645" i="1"/>
  <c r="AY637" i="1"/>
  <c r="AX637" i="1"/>
  <c r="AY634" i="1"/>
  <c r="AX634" i="1"/>
  <c r="AY632" i="1"/>
  <c r="AY630" i="1"/>
  <c r="AY628" i="1"/>
  <c r="AX632" i="1"/>
  <c r="AX630" i="1"/>
  <c r="AX628" i="1"/>
  <c r="AY625" i="1"/>
  <c r="AX625" i="1"/>
  <c r="AY621" i="1"/>
  <c r="AX621" i="1"/>
  <c r="AX619" i="1"/>
  <c r="AY616" i="1"/>
  <c r="AX616" i="1"/>
  <c r="AY613" i="1"/>
  <c r="AX613" i="1"/>
  <c r="AY611" i="1"/>
  <c r="AX611" i="1"/>
  <c r="AY606" i="1"/>
  <c r="AX606" i="1"/>
  <c r="AY600" i="1"/>
  <c r="AX600" i="1"/>
  <c r="AY592" i="1"/>
  <c r="AX592" i="1"/>
  <c r="AY585" i="1"/>
  <c r="AX585" i="1"/>
  <c r="AY581" i="1"/>
  <c r="AY579" i="1"/>
  <c r="AY577" i="1"/>
  <c r="AX581" i="1"/>
  <c r="AX579" i="1"/>
  <c r="AX577" i="1"/>
  <c r="AY571" i="1"/>
  <c r="AY569" i="1"/>
  <c r="AY567" i="1"/>
  <c r="AX571" i="1"/>
  <c r="AX569" i="1"/>
  <c r="AX567" i="1"/>
  <c r="AY563" i="1"/>
  <c r="AX563" i="1"/>
  <c r="AY558" i="1"/>
  <c r="AX558" i="1"/>
  <c r="AY555" i="1"/>
  <c r="AX555" i="1"/>
  <c r="AY549" i="1"/>
  <c r="AX549" i="1"/>
  <c r="AY543" i="1"/>
  <c r="AX543" i="1"/>
  <c r="AY541" i="1"/>
  <c r="AX541" i="1"/>
  <c r="AY535" i="1"/>
  <c r="AX535" i="1"/>
  <c r="AY532" i="1"/>
  <c r="AX532" i="1"/>
  <c r="AY526" i="1"/>
  <c r="AX526" i="1"/>
  <c r="AY507" i="1"/>
  <c r="AX507" i="1"/>
  <c r="AY505" i="1"/>
  <c r="AX505" i="1"/>
  <c r="AY500" i="1"/>
  <c r="AX500" i="1"/>
  <c r="AY488" i="1"/>
  <c r="AX488" i="1"/>
  <c r="AY482" i="1"/>
  <c r="AX482" i="1"/>
  <c r="AY472" i="1"/>
  <c r="AX472" i="1"/>
  <c r="AY464" i="1"/>
  <c r="AX464" i="1"/>
  <c r="AY458" i="1"/>
  <c r="AX458" i="1"/>
  <c r="AY451" i="1"/>
  <c r="AX451" i="1"/>
  <c r="AY444" i="1"/>
  <c r="AX444" i="1"/>
  <c r="AY439" i="1"/>
  <c r="AX439" i="1"/>
  <c r="AY437" i="1"/>
  <c r="AX437" i="1"/>
  <c r="AY427" i="1"/>
  <c r="AX427" i="1"/>
  <c r="AY419" i="1"/>
  <c r="AX419" i="1"/>
  <c r="AY416" i="1"/>
  <c r="AX416" i="1"/>
  <c r="AY411" i="1"/>
  <c r="AX411" i="1"/>
  <c r="AY406" i="1"/>
  <c r="AX406" i="1"/>
  <c r="AY401" i="1"/>
  <c r="AX401" i="1"/>
  <c r="AY397" i="1"/>
  <c r="AX397" i="1"/>
  <c r="AY386" i="1"/>
  <c r="AX386" i="1"/>
  <c r="AY380" i="1"/>
  <c r="AX380" i="1"/>
  <c r="AY378" i="1"/>
  <c r="AX378" i="1"/>
  <c r="AY375" i="1"/>
  <c r="AX375" i="1"/>
  <c r="AY368" i="1"/>
  <c r="AY366" i="1"/>
  <c r="AX368" i="1"/>
  <c r="AX366" i="1"/>
  <c r="AX364" i="1"/>
  <c r="AY361" i="1"/>
  <c r="AX361" i="1"/>
  <c r="AY358" i="1"/>
  <c r="AX358" i="1"/>
  <c r="AY354" i="1"/>
  <c r="AX354" i="1"/>
  <c r="AY349" i="1"/>
  <c r="AY347" i="1"/>
  <c r="AX349" i="1"/>
  <c r="AY329" i="1"/>
  <c r="AX329" i="1"/>
  <c r="AY326" i="1"/>
  <c r="AX326" i="1"/>
  <c r="AY322" i="1"/>
  <c r="AX322" i="1"/>
  <c r="AY319" i="1"/>
  <c r="AX319" i="1"/>
  <c r="AY316" i="1"/>
  <c r="AX316" i="1"/>
  <c r="AY313" i="1"/>
  <c r="AX313" i="1"/>
  <c r="AY310" i="1"/>
  <c r="AY308" i="1"/>
  <c r="AX310" i="1"/>
  <c r="AX308" i="1"/>
  <c r="AY305" i="1"/>
  <c r="AX305" i="1"/>
  <c r="AY302" i="1"/>
  <c r="AX302" i="1"/>
  <c r="AY298" i="1"/>
  <c r="AX298" i="1"/>
  <c r="AY293" i="1"/>
  <c r="AY273" i="1"/>
  <c r="AY242" i="1"/>
  <c r="AY364" i="1"/>
  <c r="AY240" i="1"/>
  <c r="AX293" i="1"/>
  <c r="AY288" i="1"/>
  <c r="AX288" i="1"/>
  <c r="AY279" i="1"/>
  <c r="AX279" i="1"/>
  <c r="AY275" i="1"/>
  <c r="AX275" i="1"/>
  <c r="AY267" i="1"/>
  <c r="AX267" i="1"/>
  <c r="AY259" i="1"/>
  <c r="AX259" i="1"/>
  <c r="AY251" i="1"/>
  <c r="AX251" i="1"/>
  <c r="AY246" i="1"/>
  <c r="AX246" i="1"/>
  <c r="AY244" i="1"/>
  <c r="AX244" i="1"/>
  <c r="AY238" i="1"/>
  <c r="AX238" i="1"/>
  <c r="AY237" i="1"/>
  <c r="AY236" i="1"/>
  <c r="AX237" i="1"/>
  <c r="AY234" i="1"/>
  <c r="AX234" i="1"/>
  <c r="AY233" i="1"/>
  <c r="AX233" i="1"/>
  <c r="AY231" i="1"/>
  <c r="AY230" i="1"/>
  <c r="AX231" i="1"/>
  <c r="AX230" i="1"/>
  <c r="AY228" i="1"/>
  <c r="AY227" i="1"/>
  <c r="AX228" i="1"/>
  <c r="AX227" i="1"/>
  <c r="AY225" i="1"/>
  <c r="AY224" i="1"/>
  <c r="AX225" i="1"/>
  <c r="AX224" i="1"/>
  <c r="AY222" i="1"/>
  <c r="AX222" i="1"/>
  <c r="AY221" i="1"/>
  <c r="AX221" i="1"/>
  <c r="AY220" i="1"/>
  <c r="AX220" i="1"/>
  <c r="AX218" i="1"/>
  <c r="AY219" i="1"/>
  <c r="AX219" i="1"/>
  <c r="AY218" i="1"/>
  <c r="AY216" i="1"/>
  <c r="AX216" i="1"/>
  <c r="AY215" i="1"/>
  <c r="AX215" i="1"/>
  <c r="AY214" i="1"/>
  <c r="AX214" i="1"/>
  <c r="AY213" i="1"/>
  <c r="AY212" i="1"/>
  <c r="AX213" i="1"/>
  <c r="AX212" i="1"/>
  <c r="AY205" i="1"/>
  <c r="AX205" i="1"/>
  <c r="AY204" i="1"/>
  <c r="AX204" i="1"/>
  <c r="AY202" i="1"/>
  <c r="AX202" i="1"/>
  <c r="AY201" i="1"/>
  <c r="AY199" i="1"/>
  <c r="AX201" i="1"/>
  <c r="AX199" i="1"/>
  <c r="AY197" i="1"/>
  <c r="AX197" i="1"/>
  <c r="AY196" i="1"/>
  <c r="AX196" i="1"/>
  <c r="AY195" i="1"/>
  <c r="AX195" i="1"/>
  <c r="AY193" i="1"/>
  <c r="AX193" i="1"/>
  <c r="AY191" i="1"/>
  <c r="AX191" i="1"/>
  <c r="AY189" i="1"/>
  <c r="AX189" i="1"/>
  <c r="AY187" i="1"/>
  <c r="AX187" i="1"/>
  <c r="AY185" i="1"/>
  <c r="AX185" i="1"/>
  <c r="AY184" i="1"/>
  <c r="AX184" i="1"/>
  <c r="AY182" i="1"/>
  <c r="AX182" i="1"/>
  <c r="AY180" i="1"/>
  <c r="AY179" i="1"/>
  <c r="AX180" i="1"/>
  <c r="AX179" i="1"/>
  <c r="AY177" i="1"/>
  <c r="AX177" i="1"/>
  <c r="AY176" i="1"/>
  <c r="AX176" i="1"/>
  <c r="AY175" i="1"/>
  <c r="AY174" i="1"/>
  <c r="AX175" i="1"/>
  <c r="AX174" i="1"/>
  <c r="AX172" i="1"/>
  <c r="AY170" i="1"/>
  <c r="AX170" i="1"/>
  <c r="AY169" i="1"/>
  <c r="AX169" i="1"/>
  <c r="AY168" i="1"/>
  <c r="AY167" i="1"/>
  <c r="AX168" i="1"/>
  <c r="AX167" i="1"/>
  <c r="AY165" i="1"/>
  <c r="AX165" i="1"/>
  <c r="AY163" i="1"/>
  <c r="AX163" i="1"/>
  <c r="AY162" i="1"/>
  <c r="AX162" i="1"/>
  <c r="AY161" i="1"/>
  <c r="AX161" i="1"/>
  <c r="AY160" i="1"/>
  <c r="AX160" i="1"/>
  <c r="AY159" i="1"/>
  <c r="AX159" i="1"/>
  <c r="AY158" i="1"/>
  <c r="AX158" i="1"/>
  <c r="AY157" i="1"/>
  <c r="AX157" i="1"/>
  <c r="AY156" i="1"/>
  <c r="AX156" i="1"/>
  <c r="AY153" i="1"/>
  <c r="AY149" i="1"/>
  <c r="AX153" i="1"/>
  <c r="AY152" i="1"/>
  <c r="AX152" i="1"/>
  <c r="AY151" i="1"/>
  <c r="AX151" i="1"/>
  <c r="AY150" i="1"/>
  <c r="AX150" i="1"/>
  <c r="AX149" i="1"/>
  <c r="AY147" i="1"/>
  <c r="AX147" i="1"/>
  <c r="AY146" i="1"/>
  <c r="AX146" i="1"/>
  <c r="AY145" i="1"/>
  <c r="AX145" i="1"/>
  <c r="AY144" i="1"/>
  <c r="AX144" i="1"/>
  <c r="AY143" i="1"/>
  <c r="AX143" i="1"/>
  <c r="AY142" i="1"/>
  <c r="AX142" i="1"/>
  <c r="AY141" i="1"/>
  <c r="AX141" i="1"/>
  <c r="AY140" i="1"/>
  <c r="AX140" i="1"/>
  <c r="AY139" i="1"/>
  <c r="AX139" i="1"/>
  <c r="AY137" i="1"/>
  <c r="AX137" i="1"/>
  <c r="AY134" i="1"/>
  <c r="AX134" i="1"/>
  <c r="AY133" i="1"/>
  <c r="AX133" i="1"/>
  <c r="AY132" i="1"/>
  <c r="AY131" i="1"/>
  <c r="AX132" i="1"/>
  <c r="AX131" i="1"/>
  <c r="AY129" i="1"/>
  <c r="AX129" i="1"/>
  <c r="AY128" i="1"/>
  <c r="AX128" i="1"/>
  <c r="AY127" i="1"/>
  <c r="AX127" i="1"/>
  <c r="AY126" i="1"/>
  <c r="AX126" i="1"/>
  <c r="AY125" i="1"/>
  <c r="AX125" i="1"/>
  <c r="AY123" i="1"/>
  <c r="AX123" i="1"/>
  <c r="AY122" i="1"/>
  <c r="AX122" i="1"/>
  <c r="AY121" i="1"/>
  <c r="AX121" i="1"/>
  <c r="AY120" i="1"/>
  <c r="AX120" i="1"/>
  <c r="AY119" i="1"/>
  <c r="AX119" i="1"/>
  <c r="AY118" i="1"/>
  <c r="AX118" i="1"/>
  <c r="AY116" i="1"/>
  <c r="AX116" i="1"/>
  <c r="AY115" i="1"/>
  <c r="AX115" i="1"/>
  <c r="AY114" i="1"/>
  <c r="AX114" i="1"/>
  <c r="AY113" i="1"/>
  <c r="AX113" i="1"/>
  <c r="AY112" i="1"/>
  <c r="AX112" i="1"/>
  <c r="AX111" i="1"/>
  <c r="AY111" i="1"/>
  <c r="AY109" i="1"/>
  <c r="AX109" i="1"/>
  <c r="AY108" i="1"/>
  <c r="AX108" i="1"/>
  <c r="AY107" i="1"/>
  <c r="AY106" i="1"/>
  <c r="AX107" i="1"/>
  <c r="AX106" i="1"/>
  <c r="AY102" i="1"/>
  <c r="AX102" i="1"/>
  <c r="AY101" i="1"/>
  <c r="AX101" i="1"/>
  <c r="AY100" i="1"/>
  <c r="AX100" i="1"/>
  <c r="AY99" i="1"/>
  <c r="AX99" i="1"/>
  <c r="AY98" i="1"/>
  <c r="AX98" i="1"/>
  <c r="AY97" i="1"/>
  <c r="AX97" i="1"/>
  <c r="AY96" i="1"/>
  <c r="AX96" i="1"/>
  <c r="AY95" i="1"/>
  <c r="AX95" i="1"/>
  <c r="AY94" i="1"/>
  <c r="AX94" i="1"/>
  <c r="AY92" i="1"/>
  <c r="AY86" i="1"/>
  <c r="AX92" i="1"/>
  <c r="AX86" i="1"/>
  <c r="AY91" i="1"/>
  <c r="AX91" i="1"/>
  <c r="AY90" i="1"/>
  <c r="AX90" i="1"/>
  <c r="AY89" i="1"/>
  <c r="AX89" i="1"/>
  <c r="AY88" i="1"/>
  <c r="AX88" i="1"/>
  <c r="AY87" i="1"/>
  <c r="AX87" i="1"/>
  <c r="AY84" i="1"/>
  <c r="AX84" i="1"/>
  <c r="AY83" i="1"/>
  <c r="AX83" i="1"/>
  <c r="AY82" i="1"/>
  <c r="AX82" i="1"/>
  <c r="AY80" i="1"/>
  <c r="AY77" i="1"/>
  <c r="AX80" i="1"/>
  <c r="AY79" i="1"/>
  <c r="AX79" i="1"/>
  <c r="AY78" i="1"/>
  <c r="AX78" i="1"/>
  <c r="AX77" i="1"/>
  <c r="AY75" i="1"/>
  <c r="AX75" i="1"/>
  <c r="AY74" i="1"/>
  <c r="AX74" i="1"/>
  <c r="AY73" i="1"/>
  <c r="AX73" i="1"/>
  <c r="AX72" i="1"/>
  <c r="AY70" i="1"/>
  <c r="AX70" i="1"/>
  <c r="AY69" i="1"/>
  <c r="AX69" i="1"/>
  <c r="AY68" i="1"/>
  <c r="AY67" i="1"/>
  <c r="AX68" i="1"/>
  <c r="AX67" i="1"/>
  <c r="AY65" i="1"/>
  <c r="AX65" i="1"/>
  <c r="AY64" i="1"/>
  <c r="AY63" i="1"/>
  <c r="AX64" i="1"/>
  <c r="AX63" i="1"/>
  <c r="AY61" i="1"/>
  <c r="AX61" i="1"/>
  <c r="AY59" i="1"/>
  <c r="AX59" i="1"/>
  <c r="AY58" i="1"/>
  <c r="AX58" i="1"/>
  <c r="AY57" i="1"/>
  <c r="AX57" i="1"/>
  <c r="AY56" i="1"/>
  <c r="AX56" i="1"/>
  <c r="AY55" i="1"/>
  <c r="AX55" i="1"/>
  <c r="AY54" i="1"/>
  <c r="AY52" i="1"/>
  <c r="AX54" i="1"/>
  <c r="AY53" i="1"/>
  <c r="AX53" i="1"/>
  <c r="AX52" i="1"/>
  <c r="AY50" i="1"/>
  <c r="AX50" i="1"/>
  <c r="AY49" i="1"/>
  <c r="AX49" i="1"/>
  <c r="AY48" i="1"/>
  <c r="AX48" i="1"/>
  <c r="AY47" i="1"/>
  <c r="AX47" i="1"/>
  <c r="AX46" i="1"/>
  <c r="AY42" i="1"/>
  <c r="AX42" i="1"/>
  <c r="AY41" i="1"/>
  <c r="AX41" i="1"/>
  <c r="AY36" i="1"/>
  <c r="AX36" i="1"/>
  <c r="AY34" i="1"/>
  <c r="AX34" i="1"/>
  <c r="AY33" i="1"/>
  <c r="AX33" i="1"/>
  <c r="AY32" i="1"/>
  <c r="AX32" i="1"/>
  <c r="AY31" i="1"/>
  <c r="AY30" i="1"/>
  <c r="AX31" i="1"/>
  <c r="AX30" i="1"/>
  <c r="AY28" i="1"/>
  <c r="AX28" i="1"/>
  <c r="AY26" i="1"/>
  <c r="AX26" i="1"/>
  <c r="AY24" i="1"/>
  <c r="AX24" i="1"/>
  <c r="AY23" i="1"/>
  <c r="AX23" i="1"/>
  <c r="AY22" i="1"/>
  <c r="AY21" i="1"/>
  <c r="AX22" i="1"/>
  <c r="AX21" i="1"/>
  <c r="AY19" i="1"/>
  <c r="AX19" i="1"/>
  <c r="AY18" i="1"/>
  <c r="AX18" i="1"/>
  <c r="AY17" i="1"/>
  <c r="AY16" i="1"/>
  <c r="AY14" i="1"/>
  <c r="AX17" i="1"/>
  <c r="AX16" i="1"/>
  <c r="AX14" i="1"/>
  <c r="AG86" i="1"/>
  <c r="W149" i="1"/>
  <c r="W364" i="1"/>
  <c r="V46" i="1"/>
  <c r="V364" i="1"/>
  <c r="U691" i="1"/>
  <c r="HJ364" i="1"/>
  <c r="AR46" i="1"/>
  <c r="AO46" i="1"/>
  <c r="AQ139" i="1"/>
  <c r="Y167" i="1"/>
  <c r="Q195" i="1"/>
  <c r="Q172" i="1"/>
  <c r="O94" i="1"/>
  <c r="L167" i="1"/>
  <c r="K139" i="1"/>
  <c r="H94" i="1"/>
  <c r="I139" i="1"/>
  <c r="H167" i="1"/>
  <c r="D167" i="1"/>
  <c r="E139" i="1"/>
  <c r="E167" i="1"/>
  <c r="AR94" i="1"/>
  <c r="Z195" i="1"/>
  <c r="V139" i="1"/>
  <c r="S94" i="1"/>
  <c r="S167" i="1"/>
  <c r="P139" i="1"/>
  <c r="N167" i="1"/>
  <c r="IM378" i="1"/>
  <c r="AO139" i="1"/>
  <c r="T139" i="1"/>
  <c r="U167" i="1"/>
  <c r="O167" i="1"/>
  <c r="M167" i="1"/>
  <c r="J94" i="1"/>
  <c r="IJ378" i="1"/>
  <c r="Q199" i="1"/>
  <c r="J691" i="1"/>
  <c r="AV38" i="1"/>
  <c r="AM38" i="1"/>
  <c r="AF38" i="1"/>
  <c r="W38" i="1"/>
  <c r="AY38" i="1"/>
  <c r="AP38" i="1"/>
  <c r="AJ38" i="1"/>
  <c r="Z38" i="1"/>
  <c r="AK38" i="1"/>
  <c r="AA38" i="1"/>
  <c r="H579" i="1"/>
  <c r="H577" i="1"/>
  <c r="HH378" i="1"/>
  <c r="HI378" i="1"/>
  <c r="G364" i="1"/>
  <c r="F378" i="1"/>
  <c r="F364" i="1"/>
  <c r="IU364" i="1"/>
  <c r="F46" i="1"/>
  <c r="HH575" i="1"/>
  <c r="HH530" i="1"/>
  <c r="AS38" i="1"/>
  <c r="AN38" i="1"/>
  <c r="AH38" i="1"/>
  <c r="V38" i="1"/>
  <c r="R38" i="1"/>
  <c r="P38" i="1"/>
  <c r="AX38" i="1"/>
  <c r="AO38" i="1"/>
  <c r="S38" i="1"/>
  <c r="Q38" i="1"/>
  <c r="N38" i="1"/>
  <c r="I38" i="1"/>
  <c r="AW38" i="1"/>
  <c r="AG38" i="1"/>
  <c r="AC38" i="1"/>
  <c r="T38" i="1"/>
  <c r="L38" i="1"/>
  <c r="D38" i="1"/>
  <c r="AR38" i="1"/>
  <c r="M38" i="1"/>
  <c r="E38" i="1"/>
  <c r="D46" i="1"/>
  <c r="E46" i="1"/>
  <c r="AX347" i="1"/>
  <c r="AT347" i="1"/>
  <c r="AN347" i="1"/>
  <c r="AK347" i="1"/>
  <c r="AI218" i="1"/>
  <c r="Z347" i="1"/>
  <c r="X347" i="1"/>
  <c r="U347" i="1"/>
  <c r="Q347" i="1"/>
  <c r="O347" i="1"/>
  <c r="J347" i="1"/>
  <c r="D347" i="1"/>
  <c r="IA347" i="1"/>
  <c r="HH347" i="1"/>
  <c r="S218" i="1"/>
  <c r="AU218" i="1"/>
  <c r="JS834" i="1"/>
  <c r="V723" i="1"/>
  <c r="V721" i="1"/>
  <c r="I723" i="1"/>
  <c r="I721" i="1"/>
  <c r="Z723" i="1"/>
  <c r="Z721" i="1"/>
  <c r="Q723" i="1"/>
  <c r="Q721" i="1"/>
  <c r="D723" i="1"/>
  <c r="D721" i="1"/>
  <c r="AW723" i="1"/>
  <c r="AW721" i="1"/>
  <c r="AU723" i="1"/>
  <c r="AU721" i="1"/>
  <c r="AH723" i="1"/>
  <c r="AH721" i="1"/>
  <c r="Y723" i="1"/>
  <c r="Y721" i="1"/>
  <c r="R723" i="1"/>
  <c r="R721" i="1"/>
  <c r="M723" i="1"/>
  <c r="M721" i="1"/>
  <c r="E723" i="1"/>
  <c r="E721" i="1"/>
  <c r="HQ721" i="1"/>
  <c r="AM723" i="1"/>
  <c r="AM721" i="1"/>
  <c r="AK723" i="1"/>
  <c r="AK721" i="1"/>
  <c r="AI723" i="1"/>
  <c r="AI721" i="1"/>
  <c r="W723" i="1"/>
  <c r="W721" i="1"/>
  <c r="S723" i="1"/>
  <c r="S721" i="1"/>
  <c r="J723" i="1"/>
  <c r="J721" i="1"/>
  <c r="HU721" i="1"/>
  <c r="HS721" i="1"/>
  <c r="AA723" i="1"/>
  <c r="AA721" i="1"/>
  <c r="K723" i="1"/>
  <c r="K721" i="1"/>
  <c r="IA721" i="1"/>
  <c r="HJ721" i="1"/>
  <c r="HI721" i="1"/>
  <c r="AV723" i="1"/>
  <c r="AV721" i="1"/>
  <c r="AT723" i="1"/>
  <c r="AT721" i="1"/>
  <c r="HK721" i="1"/>
  <c r="HG708" i="1"/>
  <c r="JS709" i="1"/>
  <c r="JS708" i="1"/>
  <c r="KB709" i="1"/>
  <c r="KC709" i="1"/>
  <c r="F139" i="1"/>
  <c r="JK579" i="1"/>
  <c r="JK577" i="1"/>
  <c r="JK575" i="1"/>
  <c r="M94" i="1"/>
  <c r="K94" i="1"/>
  <c r="G139" i="1"/>
  <c r="IS579" i="1"/>
  <c r="IS577" i="1"/>
  <c r="Z139" i="1"/>
  <c r="IP632" i="1"/>
  <c r="IP630" i="1"/>
  <c r="IP628" i="1"/>
  <c r="AC94" i="1"/>
  <c r="V94" i="1"/>
  <c r="V236" i="1"/>
  <c r="U195" i="1"/>
  <c r="U172" i="1"/>
  <c r="S195" i="1"/>
  <c r="Q139" i="1"/>
  <c r="J167" i="1"/>
  <c r="Z172" i="1"/>
  <c r="JE579" i="1"/>
  <c r="JE577" i="1"/>
  <c r="JH579" i="1"/>
  <c r="JH577" i="1"/>
  <c r="IV541" i="1"/>
  <c r="IM541" i="1"/>
  <c r="IS632" i="1"/>
  <c r="IS630" i="1"/>
  <c r="IS628" i="1"/>
  <c r="Q94" i="1"/>
  <c r="IP579" i="1"/>
  <c r="IP577" i="1"/>
  <c r="JT689" i="1"/>
  <c r="JT688" i="1"/>
  <c r="GS688" i="1"/>
  <c r="HG688" i="1"/>
  <c r="JS688" i="1"/>
  <c r="KB689" i="1"/>
  <c r="KB688" i="1"/>
  <c r="AS172" i="1"/>
  <c r="AO94" i="1"/>
  <c r="AO236" i="1"/>
  <c r="AL139" i="1"/>
  <c r="AL172" i="1"/>
  <c r="AL236" i="1"/>
  <c r="AL210" i="1"/>
  <c r="AC139" i="1"/>
  <c r="AC172" i="1"/>
  <c r="AA236" i="1"/>
  <c r="X139" i="1"/>
  <c r="X104" i="1"/>
  <c r="X236" i="1"/>
  <c r="R167" i="1"/>
  <c r="N139" i="1"/>
  <c r="O236" i="1"/>
  <c r="IJ244" i="1"/>
  <c r="IS437" i="1"/>
  <c r="T172" i="1"/>
  <c r="IT308" i="1"/>
  <c r="U94" i="1"/>
  <c r="IP437" i="1"/>
  <c r="AL94" i="1"/>
  <c r="AB94" i="1"/>
  <c r="JN244" i="1"/>
  <c r="D30" i="1"/>
  <c r="Z619" i="1"/>
  <c r="Y619" i="1"/>
  <c r="Y609" i="1"/>
  <c r="HU619" i="1"/>
  <c r="IV609" i="1"/>
  <c r="AY619" i="1"/>
  <c r="AY609" i="1"/>
  <c r="AY575" i="1"/>
  <c r="AN619" i="1"/>
  <c r="HM619" i="1"/>
  <c r="AR619" i="1"/>
  <c r="AR609" i="1"/>
  <c r="AL619" i="1"/>
  <c r="AD619" i="1"/>
  <c r="AD609" i="1"/>
  <c r="N619" i="1"/>
  <c r="I619" i="1"/>
  <c r="HU609" i="1"/>
  <c r="AS619" i="1"/>
  <c r="AN609" i="1"/>
  <c r="AE619" i="1"/>
  <c r="AE609" i="1"/>
  <c r="X619" i="1"/>
  <c r="X609" i="1"/>
  <c r="X575" i="1"/>
  <c r="O619" i="1"/>
  <c r="M619" i="1"/>
  <c r="M609" i="1"/>
  <c r="M575" i="1"/>
  <c r="IB619" i="1"/>
  <c r="HT619" i="1"/>
  <c r="HT609" i="1"/>
  <c r="HT575" i="1"/>
  <c r="HM609" i="1"/>
  <c r="HM575" i="1"/>
  <c r="JE609" i="1"/>
  <c r="AU611" i="1"/>
  <c r="AU609" i="1"/>
  <c r="AU575" i="1"/>
  <c r="S611" i="1"/>
  <c r="S609" i="1"/>
  <c r="Q575" i="1"/>
  <c r="AH611" i="1"/>
  <c r="AH609" i="1"/>
  <c r="AT611" i="1"/>
  <c r="AT609" i="1"/>
  <c r="AT575" i="1"/>
  <c r="AI611" i="1"/>
  <c r="AI609" i="1"/>
  <c r="AN579" i="1"/>
  <c r="AN577" i="1"/>
  <c r="AI577" i="1"/>
  <c r="R577" i="1"/>
  <c r="AR579" i="1"/>
  <c r="AR577" i="1"/>
  <c r="AR575" i="1"/>
  <c r="AD579" i="1"/>
  <c r="AD577" i="1"/>
  <c r="S577" i="1"/>
  <c r="AV577" i="1"/>
  <c r="AE579" i="1"/>
  <c r="AE577" i="1"/>
  <c r="V579" i="1"/>
  <c r="V577" i="1"/>
  <c r="AW577" i="1"/>
  <c r="AQ38" i="1"/>
  <c r="AH577" i="1"/>
  <c r="Y579" i="1"/>
  <c r="Y577" i="1"/>
  <c r="AX236" i="1"/>
  <c r="U236" i="1"/>
  <c r="U210" i="1"/>
  <c r="AW541" i="1"/>
  <c r="AU541" i="1"/>
  <c r="AI541" i="1"/>
  <c r="AF364" i="1"/>
  <c r="S541" i="1"/>
  <c r="N364" i="1"/>
  <c r="AG364" i="1"/>
  <c r="P364" i="1"/>
  <c r="O364" i="1"/>
  <c r="H364" i="1"/>
  <c r="X364" i="1"/>
  <c r="Q364" i="1"/>
  <c r="I364" i="1"/>
  <c r="AV541" i="1"/>
  <c r="AT541" i="1"/>
  <c r="AH541" i="1"/>
  <c r="Y364" i="1"/>
  <c r="R541" i="1"/>
  <c r="HM364" i="1"/>
  <c r="IB364" i="1"/>
  <c r="IC364" i="1"/>
  <c r="HL364" i="1"/>
  <c r="IY437" i="1"/>
  <c r="IV437" i="1"/>
  <c r="R437" i="1"/>
  <c r="AW437" i="1"/>
  <c r="S437" i="1"/>
  <c r="AI437" i="1"/>
  <c r="JJ240" i="1"/>
  <c r="IM437" i="1"/>
  <c r="IM364" i="1"/>
  <c r="AU111" i="1"/>
  <c r="AI111" i="1"/>
  <c r="U111" i="1"/>
  <c r="AW111" i="1"/>
  <c r="AV437" i="1"/>
  <c r="AH437" i="1"/>
  <c r="HI364" i="1"/>
  <c r="AU378" i="1"/>
  <c r="AU364" i="1"/>
  <c r="S378" i="1"/>
  <c r="AT378" i="1"/>
  <c r="AH378" i="1"/>
  <c r="AS52" i="1"/>
  <c r="AJ52" i="1"/>
  <c r="AI52" i="1"/>
  <c r="AI378" i="1"/>
  <c r="AI364" i="1"/>
  <c r="T52" i="1"/>
  <c r="AS364" i="1"/>
  <c r="AJ364" i="1"/>
  <c r="AW52" i="1"/>
  <c r="AW378" i="1"/>
  <c r="AW364" i="1"/>
  <c r="S364" i="1"/>
  <c r="S52" i="1"/>
  <c r="R378" i="1"/>
  <c r="R364" i="1"/>
  <c r="AL364" i="1"/>
  <c r="AV378" i="1"/>
  <c r="AV364" i="1"/>
  <c r="AR52" i="1"/>
  <c r="AH52" i="1"/>
  <c r="AA52" i="1"/>
  <c r="T210" i="1"/>
  <c r="K347" i="1"/>
  <c r="AT218" i="1"/>
  <c r="AR347" i="1"/>
  <c r="AO273" i="1"/>
  <c r="AJ273" i="1"/>
  <c r="Z273" i="1"/>
  <c r="K273" i="1"/>
  <c r="I273" i="1"/>
  <c r="D273" i="1"/>
  <c r="HY273" i="1"/>
  <c r="HY242" i="1"/>
  <c r="HU273" i="1"/>
  <c r="HR273" i="1"/>
  <c r="HJ273" i="1"/>
  <c r="AP273" i="1"/>
  <c r="AK273" i="1"/>
  <c r="AK242" i="1"/>
  <c r="AF273" i="1"/>
  <c r="X273" i="1"/>
  <c r="R273" i="1"/>
  <c r="R242" i="1"/>
  <c r="P273" i="1"/>
  <c r="E273" i="1"/>
  <c r="IC273" i="1"/>
  <c r="HV273" i="1"/>
  <c r="HS273" i="1"/>
  <c r="HO273" i="1"/>
  <c r="HK273" i="1"/>
  <c r="AW273" i="1"/>
  <c r="AL273" i="1"/>
  <c r="AI273" i="1"/>
  <c r="Y273" i="1"/>
  <c r="W273" i="1"/>
  <c r="T273" i="1"/>
  <c r="L273" i="1"/>
  <c r="F273" i="1"/>
  <c r="HW273" i="1"/>
  <c r="HP273" i="1"/>
  <c r="HL273" i="1"/>
  <c r="AX273" i="1"/>
  <c r="AU273" i="1"/>
  <c r="AS273" i="1"/>
  <c r="AM273" i="1"/>
  <c r="AD273" i="1"/>
  <c r="U273" i="1"/>
  <c r="N273" i="1"/>
  <c r="M273" i="1"/>
  <c r="J273" i="1"/>
  <c r="H273" i="1"/>
  <c r="G273" i="1"/>
  <c r="IA273" i="1"/>
  <c r="HX273" i="1"/>
  <c r="HT273" i="1"/>
  <c r="HQ273" i="1"/>
  <c r="HM273" i="1"/>
  <c r="HW244" i="1"/>
  <c r="IA244" i="1"/>
  <c r="HL244" i="1"/>
  <c r="HJ244" i="1"/>
  <c r="AV244" i="1"/>
  <c r="HP244" i="1"/>
  <c r="HP242" i="1"/>
  <c r="HP240" i="1"/>
  <c r="HM244" i="1"/>
  <c r="AY46" i="1"/>
  <c r="AW244" i="1"/>
  <c r="AU244" i="1"/>
  <c r="HT244" i="1"/>
  <c r="HQ244" i="1"/>
  <c r="HH364" i="1"/>
  <c r="HJ609" i="1"/>
  <c r="HK609" i="1"/>
  <c r="HK575" i="1"/>
  <c r="HJ575" i="1"/>
  <c r="HL609" i="1"/>
  <c r="HL575" i="1"/>
  <c r="HN609" i="1"/>
  <c r="HN575" i="1"/>
  <c r="HO609" i="1"/>
  <c r="HO575" i="1"/>
  <c r="HP609" i="1"/>
  <c r="HP575" i="1"/>
  <c r="HQ609" i="1"/>
  <c r="HQ575" i="1"/>
  <c r="HU364" i="1"/>
  <c r="HW609" i="1"/>
  <c r="HZ609" i="1"/>
  <c r="HZ575" i="1"/>
  <c r="IB609" i="1"/>
  <c r="IB575" i="1"/>
  <c r="IC609" i="1"/>
  <c r="IC575" i="1"/>
  <c r="E172" i="1"/>
  <c r="E210" i="1"/>
  <c r="D609" i="1"/>
  <c r="D575" i="1"/>
  <c r="D662" i="1"/>
  <c r="D210" i="1"/>
  <c r="F609" i="1"/>
  <c r="F662" i="1"/>
  <c r="G242" i="1"/>
  <c r="G240" i="1"/>
  <c r="G609" i="1"/>
  <c r="G575" i="1"/>
  <c r="G662" i="1"/>
  <c r="F210" i="1"/>
  <c r="F575" i="1"/>
  <c r="G210" i="1"/>
  <c r="I609" i="1"/>
  <c r="I575" i="1"/>
  <c r="H172" i="1"/>
  <c r="H210" i="1"/>
  <c r="I172" i="1"/>
  <c r="I210" i="1"/>
  <c r="H662" i="1"/>
  <c r="J172" i="1"/>
  <c r="J210" i="1"/>
  <c r="J575" i="1"/>
  <c r="K172" i="1"/>
  <c r="K210" i="1"/>
  <c r="K575" i="1"/>
  <c r="M172" i="1"/>
  <c r="M210" i="1"/>
  <c r="L609" i="1"/>
  <c r="L575" i="1"/>
  <c r="L662" i="1"/>
  <c r="L210" i="1"/>
  <c r="O609" i="1"/>
  <c r="O575" i="1"/>
  <c r="N210" i="1"/>
  <c r="O210" i="1"/>
  <c r="N609" i="1"/>
  <c r="N575" i="1"/>
  <c r="N662" i="1"/>
  <c r="R172" i="1"/>
  <c r="R199" i="1"/>
  <c r="S172" i="1"/>
  <c r="S199" i="1"/>
  <c r="T609" i="1"/>
  <c r="T575" i="1"/>
  <c r="U609" i="1"/>
  <c r="U575" i="1"/>
  <c r="U662" i="1"/>
  <c r="W210" i="1"/>
  <c r="W609" i="1"/>
  <c r="W575" i="1"/>
  <c r="V172" i="1"/>
  <c r="V210" i="1"/>
  <c r="V575" i="1"/>
  <c r="X172" i="1"/>
  <c r="X210" i="1"/>
  <c r="Y172" i="1"/>
  <c r="Y210" i="1"/>
  <c r="X662" i="1"/>
  <c r="AA172" i="1"/>
  <c r="AA210" i="1"/>
  <c r="Z609" i="1"/>
  <c r="Z662" i="1"/>
  <c r="Z210" i="1"/>
  <c r="Z575" i="1"/>
  <c r="AC609" i="1"/>
  <c r="AC575" i="1"/>
  <c r="AC662" i="1"/>
  <c r="AB210" i="1"/>
  <c r="AC210" i="1"/>
  <c r="AB609" i="1"/>
  <c r="AB575" i="1"/>
  <c r="AB662" i="1"/>
  <c r="AD172" i="1"/>
  <c r="AD210" i="1"/>
  <c r="AE172" i="1"/>
  <c r="AE210" i="1"/>
  <c r="AF609" i="1"/>
  <c r="AF662" i="1"/>
  <c r="AG609" i="1"/>
  <c r="AG575" i="1"/>
  <c r="AG662" i="1"/>
  <c r="AF210" i="1"/>
  <c r="AF575" i="1"/>
  <c r="AG210" i="1"/>
  <c r="AH172" i="1"/>
  <c r="AH199" i="1"/>
  <c r="AH575" i="1"/>
  <c r="AI172" i="1"/>
  <c r="AI199" i="1"/>
  <c r="AI575" i="1"/>
  <c r="AH210" i="1"/>
  <c r="AI210" i="1"/>
  <c r="AK104" i="1"/>
  <c r="AK172" i="1"/>
  <c r="AK210" i="1"/>
  <c r="AK575" i="1"/>
  <c r="AJ242" i="1"/>
  <c r="AJ240" i="1"/>
  <c r="AJ609" i="1"/>
  <c r="AJ575" i="1"/>
  <c r="AJ172" i="1"/>
  <c r="AJ210" i="1"/>
  <c r="AL609" i="1"/>
  <c r="AL575" i="1"/>
  <c r="AM609" i="1"/>
  <c r="AM575" i="1"/>
  <c r="AM210" i="1"/>
  <c r="AO210" i="1"/>
  <c r="AP609" i="1"/>
  <c r="AP575" i="1"/>
  <c r="AP662" i="1"/>
  <c r="AQ609" i="1"/>
  <c r="AQ575" i="1"/>
  <c r="AQ662" i="1"/>
  <c r="AP210" i="1"/>
  <c r="AQ210" i="1"/>
  <c r="AS609" i="1"/>
  <c r="AS575" i="1"/>
  <c r="AT172" i="1"/>
  <c r="AT199" i="1"/>
  <c r="AT210" i="1"/>
  <c r="AU172" i="1"/>
  <c r="AU199" i="1"/>
  <c r="AU210" i="1"/>
  <c r="AW210" i="1"/>
  <c r="AV172" i="1"/>
  <c r="AV199" i="1"/>
  <c r="AV575" i="1"/>
  <c r="AW172" i="1"/>
  <c r="AW199" i="1"/>
  <c r="AW575" i="1"/>
  <c r="AV210" i="1"/>
  <c r="AX242" i="1"/>
  <c r="AX240" i="1"/>
  <c r="AX609" i="1"/>
  <c r="AX575" i="1"/>
  <c r="AX210" i="1"/>
  <c r="AY172" i="1"/>
  <c r="AY210" i="1"/>
  <c r="BA863" i="1"/>
  <c r="AZ863" i="1"/>
  <c r="BA860" i="1"/>
  <c r="AZ860" i="1"/>
  <c r="BA856" i="1"/>
  <c r="AZ856" i="1"/>
  <c r="BA845" i="1"/>
  <c r="AZ845" i="1"/>
  <c r="BA842" i="1"/>
  <c r="AZ842" i="1"/>
  <c r="BA827" i="1"/>
  <c r="AZ827" i="1"/>
  <c r="BA790" i="1"/>
  <c r="AZ790" i="1"/>
  <c r="BA783" i="1"/>
  <c r="AZ783" i="1"/>
  <c r="BA768" i="1"/>
  <c r="AZ768" i="1"/>
  <c r="BA742" i="1"/>
  <c r="AZ742" i="1"/>
  <c r="BA738" i="1"/>
  <c r="AZ738" i="1"/>
  <c r="BA728" i="1"/>
  <c r="AZ728" i="1"/>
  <c r="BA725" i="1"/>
  <c r="AZ725" i="1"/>
  <c r="BA718" i="1"/>
  <c r="AZ718" i="1"/>
  <c r="BA711" i="1"/>
  <c r="BA691" i="1"/>
  <c r="AZ711" i="1"/>
  <c r="AZ691" i="1"/>
  <c r="BA705" i="1"/>
  <c r="AZ705" i="1"/>
  <c r="BA702" i="1"/>
  <c r="AZ702" i="1"/>
  <c r="BA699" i="1"/>
  <c r="AZ699" i="1"/>
  <c r="BA696" i="1"/>
  <c r="AZ696" i="1"/>
  <c r="BA693" i="1"/>
  <c r="AZ693" i="1"/>
  <c r="BA685" i="1"/>
  <c r="AZ685" i="1"/>
  <c r="BA681" i="1"/>
  <c r="AZ681" i="1"/>
  <c r="BA669" i="1"/>
  <c r="BA664" i="1"/>
  <c r="AZ669" i="1"/>
  <c r="AZ664" i="1"/>
  <c r="BA666" i="1"/>
  <c r="AZ666" i="1"/>
  <c r="BA655" i="1"/>
  <c r="AZ655" i="1"/>
  <c r="BA645" i="1"/>
  <c r="AZ645" i="1"/>
  <c r="BA637" i="1"/>
  <c r="AZ637" i="1"/>
  <c r="BA634" i="1"/>
  <c r="BA632" i="1"/>
  <c r="BA630" i="1"/>
  <c r="BA628" i="1"/>
  <c r="AZ634" i="1"/>
  <c r="AZ632" i="1"/>
  <c r="AZ630" i="1"/>
  <c r="AZ628" i="1"/>
  <c r="BA625" i="1"/>
  <c r="AZ625" i="1"/>
  <c r="BA621" i="1"/>
  <c r="AZ621" i="1"/>
  <c r="BA619" i="1"/>
  <c r="AZ619" i="1"/>
  <c r="BA616" i="1"/>
  <c r="AZ616" i="1"/>
  <c r="BA613" i="1"/>
  <c r="AZ613" i="1"/>
  <c r="BA606" i="1"/>
  <c r="AZ606" i="1"/>
  <c r="BA600" i="1"/>
  <c r="AZ600" i="1"/>
  <c r="BA592" i="1"/>
  <c r="AZ592" i="1"/>
  <c r="BA585" i="1"/>
  <c r="AZ585" i="1"/>
  <c r="BA581" i="1"/>
  <c r="AZ581" i="1"/>
  <c r="BA579" i="1"/>
  <c r="AZ579" i="1"/>
  <c r="BA571" i="1"/>
  <c r="AZ571" i="1"/>
  <c r="BA569" i="1"/>
  <c r="BA567" i="1"/>
  <c r="AZ569" i="1"/>
  <c r="AZ567" i="1"/>
  <c r="BA563" i="1"/>
  <c r="AZ563" i="1"/>
  <c r="BA558" i="1"/>
  <c r="AZ558" i="1"/>
  <c r="BA555" i="1"/>
  <c r="AZ555" i="1"/>
  <c r="BA549" i="1"/>
  <c r="AZ549" i="1"/>
  <c r="BA543" i="1"/>
  <c r="AZ543" i="1"/>
  <c r="BA535" i="1"/>
  <c r="AZ535" i="1"/>
  <c r="BA532" i="1"/>
  <c r="AZ532" i="1"/>
  <c r="BA526" i="1"/>
  <c r="AZ526" i="1"/>
  <c r="BA507" i="1"/>
  <c r="BA505" i="1"/>
  <c r="AZ507" i="1"/>
  <c r="AZ505" i="1"/>
  <c r="BA500" i="1"/>
  <c r="AZ500" i="1"/>
  <c r="BA488" i="1"/>
  <c r="AZ488" i="1"/>
  <c r="BA482" i="1"/>
  <c r="AZ482" i="1"/>
  <c r="BA472" i="1"/>
  <c r="AZ472" i="1"/>
  <c r="BA464" i="1"/>
  <c r="AZ464" i="1"/>
  <c r="BA458" i="1"/>
  <c r="AZ458" i="1"/>
  <c r="BA451" i="1"/>
  <c r="AZ451" i="1"/>
  <c r="BA444" i="1"/>
  <c r="AZ444" i="1"/>
  <c r="BA439" i="1"/>
  <c r="AZ439" i="1"/>
  <c r="BA427" i="1"/>
  <c r="AZ427" i="1"/>
  <c r="BA419" i="1"/>
  <c r="AZ419" i="1"/>
  <c r="BA416" i="1"/>
  <c r="AZ416" i="1"/>
  <c r="BA411" i="1"/>
  <c r="AZ411" i="1"/>
  <c r="BA406" i="1"/>
  <c r="AZ406" i="1"/>
  <c r="BA401" i="1"/>
  <c r="AZ401" i="1"/>
  <c r="BA397" i="1"/>
  <c r="AZ397" i="1"/>
  <c r="BA386" i="1"/>
  <c r="AZ386" i="1"/>
  <c r="BA380" i="1"/>
  <c r="AZ380" i="1"/>
  <c r="BA375" i="1"/>
  <c r="AZ375" i="1"/>
  <c r="BA368" i="1"/>
  <c r="AZ368" i="1"/>
  <c r="BA366" i="1"/>
  <c r="AZ366" i="1"/>
  <c r="BA361" i="1"/>
  <c r="AZ361" i="1"/>
  <c r="BA358" i="1"/>
  <c r="AZ358" i="1"/>
  <c r="BA354" i="1"/>
  <c r="AZ354" i="1"/>
  <c r="BA349" i="1"/>
  <c r="BA347" i="1"/>
  <c r="AZ349" i="1"/>
  <c r="AZ347" i="1"/>
  <c r="BA329" i="1"/>
  <c r="AZ329" i="1"/>
  <c r="BA326" i="1"/>
  <c r="AZ326" i="1"/>
  <c r="BA322" i="1"/>
  <c r="AZ322" i="1"/>
  <c r="BA319" i="1"/>
  <c r="AZ319" i="1"/>
  <c r="BA316" i="1"/>
  <c r="AZ316" i="1"/>
  <c r="BA313" i="1"/>
  <c r="AZ313" i="1"/>
  <c r="BA310" i="1"/>
  <c r="AZ310" i="1"/>
  <c r="AZ308" i="1"/>
  <c r="BA305" i="1"/>
  <c r="AZ305" i="1"/>
  <c r="BA302" i="1"/>
  <c r="AZ302" i="1"/>
  <c r="BA298" i="1"/>
  <c r="AZ298" i="1"/>
  <c r="BA293" i="1"/>
  <c r="AZ293" i="1"/>
  <c r="BA288" i="1"/>
  <c r="AZ288" i="1"/>
  <c r="BA279" i="1"/>
  <c r="AZ279" i="1"/>
  <c r="BA275" i="1"/>
  <c r="AZ275" i="1"/>
  <c r="BA267" i="1"/>
  <c r="AZ267" i="1"/>
  <c r="BA259" i="1"/>
  <c r="AZ259" i="1"/>
  <c r="BA251" i="1"/>
  <c r="AZ251" i="1"/>
  <c r="BA246" i="1"/>
  <c r="AZ246" i="1"/>
  <c r="BA238" i="1"/>
  <c r="AZ238" i="1"/>
  <c r="BA237" i="1"/>
  <c r="AZ237" i="1"/>
  <c r="BA236" i="1"/>
  <c r="AZ236" i="1"/>
  <c r="BA234" i="1"/>
  <c r="AZ234" i="1"/>
  <c r="BA233" i="1"/>
  <c r="AZ233" i="1"/>
  <c r="BA231" i="1"/>
  <c r="AZ231" i="1"/>
  <c r="BA230" i="1"/>
  <c r="AZ230" i="1"/>
  <c r="BA228" i="1"/>
  <c r="BA227" i="1"/>
  <c r="AZ228" i="1"/>
  <c r="AZ227" i="1"/>
  <c r="BA225" i="1"/>
  <c r="AZ225" i="1"/>
  <c r="AZ224" i="1"/>
  <c r="BA224" i="1"/>
  <c r="BA222" i="1"/>
  <c r="AZ222" i="1"/>
  <c r="BA221" i="1"/>
  <c r="AZ221" i="1"/>
  <c r="BA220" i="1"/>
  <c r="AZ220" i="1"/>
  <c r="BA219" i="1"/>
  <c r="BA218" i="1"/>
  <c r="AZ219" i="1"/>
  <c r="AZ218" i="1"/>
  <c r="BA216" i="1"/>
  <c r="AZ216" i="1"/>
  <c r="BA215" i="1"/>
  <c r="AZ215" i="1"/>
  <c r="BA214" i="1"/>
  <c r="AZ214" i="1"/>
  <c r="BA213" i="1"/>
  <c r="BA212" i="1"/>
  <c r="AZ213" i="1"/>
  <c r="AZ212" i="1"/>
  <c r="BA205" i="1"/>
  <c r="BA204" i="1"/>
  <c r="AZ205" i="1"/>
  <c r="AZ204" i="1"/>
  <c r="BA202" i="1"/>
  <c r="BA201" i="1"/>
  <c r="AZ202" i="1"/>
  <c r="AZ201" i="1"/>
  <c r="BA197" i="1"/>
  <c r="AZ197" i="1"/>
  <c r="BA196" i="1"/>
  <c r="BA195" i="1"/>
  <c r="AZ196" i="1"/>
  <c r="AZ195" i="1"/>
  <c r="BA193" i="1"/>
  <c r="AZ193" i="1"/>
  <c r="BA191" i="1"/>
  <c r="AZ191" i="1"/>
  <c r="BA189" i="1"/>
  <c r="AZ189" i="1"/>
  <c r="BA187" i="1"/>
  <c r="AZ187" i="1"/>
  <c r="BA185" i="1"/>
  <c r="BA184" i="1"/>
  <c r="AZ185" i="1"/>
  <c r="AZ184" i="1"/>
  <c r="BA182" i="1"/>
  <c r="AZ182" i="1"/>
  <c r="BA180" i="1"/>
  <c r="AZ180" i="1"/>
  <c r="AZ179" i="1"/>
  <c r="BA179" i="1"/>
  <c r="BA177" i="1"/>
  <c r="AZ177" i="1"/>
  <c r="BA176" i="1"/>
  <c r="AZ176" i="1"/>
  <c r="BA175" i="1"/>
  <c r="AZ175" i="1"/>
  <c r="BA174" i="1"/>
  <c r="AZ174" i="1"/>
  <c r="BA170" i="1"/>
  <c r="AZ170" i="1"/>
  <c r="BA169" i="1"/>
  <c r="AZ169" i="1"/>
  <c r="BA168" i="1"/>
  <c r="BA167" i="1"/>
  <c r="AZ168" i="1"/>
  <c r="AZ167" i="1"/>
  <c r="BA165" i="1"/>
  <c r="AZ165" i="1"/>
  <c r="BA163" i="1"/>
  <c r="AZ163" i="1"/>
  <c r="BA162" i="1"/>
  <c r="AZ162" i="1"/>
  <c r="BA161" i="1"/>
  <c r="AZ161" i="1"/>
  <c r="BA160" i="1"/>
  <c r="AZ160" i="1"/>
  <c r="BA159" i="1"/>
  <c r="AZ159" i="1"/>
  <c r="BA158" i="1"/>
  <c r="AZ158" i="1"/>
  <c r="BA157" i="1"/>
  <c r="AZ157" i="1"/>
  <c r="BA156" i="1"/>
  <c r="AZ156" i="1"/>
  <c r="BA153" i="1"/>
  <c r="AZ153" i="1"/>
  <c r="BA152" i="1"/>
  <c r="AZ152" i="1"/>
  <c r="BA151" i="1"/>
  <c r="AZ151" i="1"/>
  <c r="BA150" i="1"/>
  <c r="AZ150" i="1"/>
  <c r="BA149" i="1"/>
  <c r="AZ149" i="1"/>
  <c r="BA147" i="1"/>
  <c r="BA139" i="1"/>
  <c r="AZ147" i="1"/>
  <c r="AZ139" i="1"/>
  <c r="BA146" i="1"/>
  <c r="AZ146" i="1"/>
  <c r="BA145" i="1"/>
  <c r="AZ145" i="1"/>
  <c r="BA144" i="1"/>
  <c r="AZ144" i="1"/>
  <c r="BA143" i="1"/>
  <c r="AZ143" i="1"/>
  <c r="BA142" i="1"/>
  <c r="AZ142" i="1"/>
  <c r="BA141" i="1"/>
  <c r="AZ141" i="1"/>
  <c r="BA140" i="1"/>
  <c r="AZ140" i="1"/>
  <c r="BA137" i="1"/>
  <c r="AZ137" i="1"/>
  <c r="BA134" i="1"/>
  <c r="AZ134" i="1"/>
  <c r="BA133" i="1"/>
  <c r="AZ133" i="1"/>
  <c r="BA132" i="1"/>
  <c r="BA131" i="1"/>
  <c r="AZ132" i="1"/>
  <c r="AZ131" i="1"/>
  <c r="BA129" i="1"/>
  <c r="BA125" i="1"/>
  <c r="AZ129" i="1"/>
  <c r="BA128" i="1"/>
  <c r="AZ128" i="1"/>
  <c r="BA127" i="1"/>
  <c r="AZ127" i="1"/>
  <c r="BA126" i="1"/>
  <c r="AZ126" i="1"/>
  <c r="AZ125" i="1"/>
  <c r="BA123" i="1"/>
  <c r="AZ123" i="1"/>
  <c r="BA122" i="1"/>
  <c r="AZ122" i="1"/>
  <c r="BA121" i="1"/>
  <c r="AZ121" i="1"/>
  <c r="BA120" i="1"/>
  <c r="AZ120" i="1"/>
  <c r="BA119" i="1"/>
  <c r="BA118" i="1"/>
  <c r="AZ119" i="1"/>
  <c r="AZ118" i="1"/>
  <c r="BA116" i="1"/>
  <c r="AZ116" i="1"/>
  <c r="BA115" i="1"/>
  <c r="AZ115" i="1"/>
  <c r="BA114" i="1"/>
  <c r="AZ114" i="1"/>
  <c r="BA113" i="1"/>
  <c r="AZ113" i="1"/>
  <c r="BA112" i="1"/>
  <c r="BA111" i="1"/>
  <c r="AZ112" i="1"/>
  <c r="AZ111" i="1"/>
  <c r="BA109" i="1"/>
  <c r="AZ109" i="1"/>
  <c r="BA108" i="1"/>
  <c r="AZ108" i="1"/>
  <c r="BA107" i="1"/>
  <c r="BA106" i="1"/>
  <c r="AZ107" i="1"/>
  <c r="AZ106" i="1"/>
  <c r="BA102" i="1"/>
  <c r="AZ102" i="1"/>
  <c r="BA101" i="1"/>
  <c r="AZ101" i="1"/>
  <c r="BA100" i="1"/>
  <c r="AZ100" i="1"/>
  <c r="BA99" i="1"/>
  <c r="AZ99" i="1"/>
  <c r="BA98" i="1"/>
  <c r="AZ98" i="1"/>
  <c r="BA97" i="1"/>
  <c r="AZ97" i="1"/>
  <c r="BA96" i="1"/>
  <c r="AZ96" i="1"/>
  <c r="BA95" i="1"/>
  <c r="BA94" i="1"/>
  <c r="AZ95" i="1"/>
  <c r="AZ94" i="1"/>
  <c r="BA92" i="1"/>
  <c r="AZ92" i="1"/>
  <c r="BA91" i="1"/>
  <c r="AZ91" i="1"/>
  <c r="BA90" i="1"/>
  <c r="AZ90" i="1"/>
  <c r="BA89" i="1"/>
  <c r="AZ89" i="1"/>
  <c r="BA88" i="1"/>
  <c r="AZ88" i="1"/>
  <c r="BA87" i="1"/>
  <c r="AZ87" i="1"/>
  <c r="BA86" i="1"/>
  <c r="AZ86" i="1"/>
  <c r="BA84" i="1"/>
  <c r="AZ84" i="1"/>
  <c r="BA83" i="1"/>
  <c r="BA82" i="1"/>
  <c r="AZ83" i="1"/>
  <c r="AZ82" i="1"/>
  <c r="BA80" i="1"/>
  <c r="AZ80" i="1"/>
  <c r="BA79" i="1"/>
  <c r="AZ79" i="1"/>
  <c r="BA78" i="1"/>
  <c r="BA77" i="1"/>
  <c r="AZ78" i="1"/>
  <c r="BA75" i="1"/>
  <c r="AZ75" i="1"/>
  <c r="BA74" i="1"/>
  <c r="AZ74" i="1"/>
  <c r="BA73" i="1"/>
  <c r="AZ73" i="1"/>
  <c r="BA70" i="1"/>
  <c r="AZ70" i="1"/>
  <c r="AZ67" i="1"/>
  <c r="BA69" i="1"/>
  <c r="AZ69" i="1"/>
  <c r="BA68" i="1"/>
  <c r="AZ68" i="1"/>
  <c r="BA65" i="1"/>
  <c r="AZ65" i="1"/>
  <c r="BA64" i="1"/>
  <c r="BA63" i="1"/>
  <c r="AZ64" i="1"/>
  <c r="AZ63" i="1"/>
  <c r="BA61" i="1"/>
  <c r="AZ61" i="1"/>
  <c r="BA59" i="1"/>
  <c r="AZ59" i="1"/>
  <c r="BA58" i="1"/>
  <c r="AZ58" i="1"/>
  <c r="BA57" i="1"/>
  <c r="AZ57" i="1"/>
  <c r="BA56" i="1"/>
  <c r="AZ56" i="1"/>
  <c r="BA55" i="1"/>
  <c r="AZ55" i="1"/>
  <c r="BA54" i="1"/>
  <c r="AZ54" i="1"/>
  <c r="BA53" i="1"/>
  <c r="BA52" i="1"/>
  <c r="AZ53" i="1"/>
  <c r="BA50" i="1"/>
  <c r="AZ50" i="1"/>
  <c r="BA49" i="1"/>
  <c r="AZ49" i="1"/>
  <c r="BA48" i="1"/>
  <c r="AZ48" i="1"/>
  <c r="BA47" i="1"/>
  <c r="AZ47" i="1"/>
  <c r="BA46" i="1"/>
  <c r="AZ46" i="1"/>
  <c r="BA42" i="1"/>
  <c r="AZ42" i="1"/>
  <c r="BA41" i="1"/>
  <c r="AZ41" i="1"/>
  <c r="BA36" i="1"/>
  <c r="AZ36" i="1"/>
  <c r="BA34" i="1"/>
  <c r="AZ34" i="1"/>
  <c r="BA33" i="1"/>
  <c r="AZ33" i="1"/>
  <c r="BA32" i="1"/>
  <c r="AZ32" i="1"/>
  <c r="BA31" i="1"/>
  <c r="AZ31" i="1"/>
  <c r="BA30" i="1"/>
  <c r="AZ30" i="1"/>
  <c r="BA28" i="1"/>
  <c r="AZ28" i="1"/>
  <c r="BA26" i="1"/>
  <c r="AZ26" i="1"/>
  <c r="BA24" i="1"/>
  <c r="AZ24" i="1"/>
  <c r="BA23" i="1"/>
  <c r="AZ23" i="1"/>
  <c r="BA22" i="1"/>
  <c r="AZ22" i="1"/>
  <c r="BA21" i="1"/>
  <c r="AZ21" i="1"/>
  <c r="BA19" i="1"/>
  <c r="AZ19" i="1"/>
  <c r="BA18" i="1"/>
  <c r="AZ18" i="1"/>
  <c r="BA17" i="1"/>
  <c r="BA16" i="1"/>
  <c r="BA14" i="1"/>
  <c r="AZ17" i="1"/>
  <c r="AZ16" i="1"/>
  <c r="AZ14" i="1"/>
  <c r="BC863" i="1"/>
  <c r="BB863" i="1"/>
  <c r="BC860" i="1"/>
  <c r="BB860" i="1"/>
  <c r="BC856" i="1"/>
  <c r="BB856" i="1"/>
  <c r="BC845" i="1"/>
  <c r="BB845" i="1"/>
  <c r="BC842" i="1"/>
  <c r="BB842" i="1"/>
  <c r="BC827" i="1"/>
  <c r="BB827" i="1"/>
  <c r="BC790" i="1"/>
  <c r="BB790" i="1"/>
  <c r="BC783" i="1"/>
  <c r="BB783" i="1"/>
  <c r="BC768" i="1"/>
  <c r="BB768" i="1"/>
  <c r="BC742" i="1"/>
  <c r="BB742" i="1"/>
  <c r="BC738" i="1"/>
  <c r="BB738" i="1"/>
  <c r="BC728" i="1"/>
  <c r="BB728" i="1"/>
  <c r="BC725" i="1"/>
  <c r="BB725" i="1"/>
  <c r="BC718" i="1"/>
  <c r="BB718" i="1"/>
  <c r="BC711" i="1"/>
  <c r="BC691" i="1"/>
  <c r="BB711" i="1"/>
  <c r="BB691" i="1"/>
  <c r="BC705" i="1"/>
  <c r="BB705" i="1"/>
  <c r="BC702" i="1"/>
  <c r="BB702" i="1"/>
  <c r="BC699" i="1"/>
  <c r="BB699" i="1"/>
  <c r="BC696" i="1"/>
  <c r="BB696" i="1"/>
  <c r="BC693" i="1"/>
  <c r="BB693" i="1"/>
  <c r="BC685" i="1"/>
  <c r="BB685" i="1"/>
  <c r="BC681" i="1"/>
  <c r="BB681" i="1"/>
  <c r="BC669" i="1"/>
  <c r="BC664" i="1"/>
  <c r="BB669" i="1"/>
  <c r="BB664" i="1"/>
  <c r="BC666" i="1"/>
  <c r="BB666" i="1"/>
  <c r="BC655" i="1"/>
  <c r="BB655" i="1"/>
  <c r="BC645" i="1"/>
  <c r="BB645" i="1"/>
  <c r="BC637" i="1"/>
  <c r="BB637" i="1"/>
  <c r="BC634" i="1"/>
  <c r="BC632" i="1"/>
  <c r="BC630" i="1"/>
  <c r="BC628" i="1"/>
  <c r="BB634" i="1"/>
  <c r="BB632" i="1"/>
  <c r="BB630" i="1"/>
  <c r="BB628" i="1"/>
  <c r="BC625" i="1"/>
  <c r="BB625" i="1"/>
  <c r="BC621" i="1"/>
  <c r="BB621" i="1"/>
  <c r="BC619" i="1"/>
  <c r="BC609" i="1"/>
  <c r="BC575" i="1"/>
  <c r="BB619" i="1"/>
  <c r="BC616" i="1"/>
  <c r="BB616" i="1"/>
  <c r="BC613" i="1"/>
  <c r="BC611" i="1"/>
  <c r="BB613" i="1"/>
  <c r="BC606" i="1"/>
  <c r="BB606" i="1"/>
  <c r="BC600" i="1"/>
  <c r="BB600" i="1"/>
  <c r="BC592" i="1"/>
  <c r="BB592" i="1"/>
  <c r="BC585" i="1"/>
  <c r="BB585" i="1"/>
  <c r="BC581" i="1"/>
  <c r="BB581" i="1"/>
  <c r="BC579" i="1"/>
  <c r="BB579" i="1"/>
  <c r="BC571" i="1"/>
  <c r="BB571" i="1"/>
  <c r="BC569" i="1"/>
  <c r="BC567" i="1"/>
  <c r="BB569" i="1"/>
  <c r="BB567" i="1"/>
  <c r="BC563" i="1"/>
  <c r="BB563" i="1"/>
  <c r="BC558" i="1"/>
  <c r="BB558" i="1"/>
  <c r="BC555" i="1"/>
  <c r="BB555" i="1"/>
  <c r="BC549" i="1"/>
  <c r="BB549" i="1"/>
  <c r="BC543" i="1"/>
  <c r="BB543" i="1"/>
  <c r="BC535" i="1"/>
  <c r="BB535" i="1"/>
  <c r="BC532" i="1"/>
  <c r="BB532" i="1"/>
  <c r="BC526" i="1"/>
  <c r="BB526" i="1"/>
  <c r="BC507" i="1"/>
  <c r="BC505" i="1"/>
  <c r="BB507" i="1"/>
  <c r="BB505" i="1"/>
  <c r="BC500" i="1"/>
  <c r="BB500" i="1"/>
  <c r="BC488" i="1"/>
  <c r="BB488" i="1"/>
  <c r="BC482" i="1"/>
  <c r="BB482" i="1"/>
  <c r="BC472" i="1"/>
  <c r="BB472" i="1"/>
  <c r="BC464" i="1"/>
  <c r="BB464" i="1"/>
  <c r="BC458" i="1"/>
  <c r="BB458" i="1"/>
  <c r="BC451" i="1"/>
  <c r="BB451" i="1"/>
  <c r="BC444" i="1"/>
  <c r="BB444" i="1"/>
  <c r="BC439" i="1"/>
  <c r="BB439" i="1"/>
  <c r="BC427" i="1"/>
  <c r="BB427" i="1"/>
  <c r="BC419" i="1"/>
  <c r="BB419" i="1"/>
  <c r="BC416" i="1"/>
  <c r="BB416" i="1"/>
  <c r="BC411" i="1"/>
  <c r="BB411" i="1"/>
  <c r="BC406" i="1"/>
  <c r="BB406" i="1"/>
  <c r="BC401" i="1"/>
  <c r="BB401" i="1"/>
  <c r="BC397" i="1"/>
  <c r="BB397" i="1"/>
  <c r="BC386" i="1"/>
  <c r="BB386" i="1"/>
  <c r="BC380" i="1"/>
  <c r="BB380" i="1"/>
  <c r="BC375" i="1"/>
  <c r="BB375" i="1"/>
  <c r="BC368" i="1"/>
  <c r="BB368" i="1"/>
  <c r="BC366" i="1"/>
  <c r="BB366" i="1"/>
  <c r="BC361" i="1"/>
  <c r="BB361" i="1"/>
  <c r="BC358" i="1"/>
  <c r="BB358" i="1"/>
  <c r="BC354" i="1"/>
  <c r="BB354" i="1"/>
  <c r="BC349" i="1"/>
  <c r="BC347" i="1"/>
  <c r="BB349" i="1"/>
  <c r="BB347" i="1"/>
  <c r="BC329" i="1"/>
  <c r="BB329" i="1"/>
  <c r="BC326" i="1"/>
  <c r="BB326" i="1"/>
  <c r="BC322" i="1"/>
  <c r="BB322" i="1"/>
  <c r="BC319" i="1"/>
  <c r="BB319" i="1"/>
  <c r="BC316" i="1"/>
  <c r="BB316" i="1"/>
  <c r="BC313" i="1"/>
  <c r="BB313" i="1"/>
  <c r="BC310" i="1"/>
  <c r="BC308" i="1"/>
  <c r="BB310" i="1"/>
  <c r="BC305" i="1"/>
  <c r="BB305" i="1"/>
  <c r="BC302" i="1"/>
  <c r="BB302" i="1"/>
  <c r="BC298" i="1"/>
  <c r="BB298" i="1"/>
  <c r="BC293" i="1"/>
  <c r="BB293" i="1"/>
  <c r="BC288" i="1"/>
  <c r="BB288" i="1"/>
  <c r="BC279" i="1"/>
  <c r="BC273" i="1"/>
  <c r="BB279" i="1"/>
  <c r="BC275" i="1"/>
  <c r="BB275" i="1"/>
  <c r="BC267" i="1"/>
  <c r="BB267" i="1"/>
  <c r="BC259" i="1"/>
  <c r="BB259" i="1"/>
  <c r="BC251" i="1"/>
  <c r="BB251" i="1"/>
  <c r="BC246" i="1"/>
  <c r="BC244" i="1"/>
  <c r="BB246" i="1"/>
  <c r="BB244" i="1"/>
  <c r="BC238" i="1"/>
  <c r="BB238" i="1"/>
  <c r="BC237" i="1"/>
  <c r="BB237" i="1"/>
  <c r="BC236" i="1"/>
  <c r="BB236" i="1"/>
  <c r="BC234" i="1"/>
  <c r="BC230" i="1"/>
  <c r="BB234" i="1"/>
  <c r="BB230" i="1"/>
  <c r="BC233" i="1"/>
  <c r="BB233" i="1"/>
  <c r="BC231" i="1"/>
  <c r="BB231" i="1"/>
  <c r="BC228" i="1"/>
  <c r="BB228" i="1"/>
  <c r="BC227" i="1"/>
  <c r="BB227" i="1"/>
  <c r="BC225" i="1"/>
  <c r="BC224" i="1"/>
  <c r="BB225" i="1"/>
  <c r="BB224" i="1"/>
  <c r="BC222" i="1"/>
  <c r="BB222" i="1"/>
  <c r="BC221" i="1"/>
  <c r="BB221" i="1"/>
  <c r="BC220" i="1"/>
  <c r="BB220" i="1"/>
  <c r="BC219" i="1"/>
  <c r="BB219" i="1"/>
  <c r="BC216" i="1"/>
  <c r="BB216" i="1"/>
  <c r="BC215" i="1"/>
  <c r="BB215" i="1"/>
  <c r="BC214" i="1"/>
  <c r="BB214" i="1"/>
  <c r="BC213" i="1"/>
  <c r="BC212" i="1"/>
  <c r="BB213" i="1"/>
  <c r="BB212" i="1"/>
  <c r="BC205" i="1"/>
  <c r="BC204" i="1"/>
  <c r="BB205" i="1"/>
  <c r="BB204" i="1"/>
  <c r="BC202" i="1"/>
  <c r="BC201" i="1"/>
  <c r="BB202" i="1"/>
  <c r="BB201" i="1"/>
  <c r="BC197" i="1"/>
  <c r="BB197" i="1"/>
  <c r="BC196" i="1"/>
  <c r="BC195" i="1"/>
  <c r="BB196" i="1"/>
  <c r="BB195" i="1"/>
  <c r="BC193" i="1"/>
  <c r="BB193" i="1"/>
  <c r="BC191" i="1"/>
  <c r="BB191" i="1"/>
  <c r="BC189" i="1"/>
  <c r="BB189" i="1"/>
  <c r="BC187" i="1"/>
  <c r="BB187" i="1"/>
  <c r="BC185" i="1"/>
  <c r="BC184" i="1"/>
  <c r="BB185" i="1"/>
  <c r="BB184" i="1"/>
  <c r="BC182" i="1"/>
  <c r="BB182" i="1"/>
  <c r="BC180" i="1"/>
  <c r="BB180" i="1"/>
  <c r="BC179" i="1"/>
  <c r="BB179" i="1"/>
  <c r="BC177" i="1"/>
  <c r="BB177" i="1"/>
  <c r="BC176" i="1"/>
  <c r="BB176" i="1"/>
  <c r="BC175" i="1"/>
  <c r="BB175" i="1"/>
  <c r="BC174" i="1"/>
  <c r="BB174" i="1"/>
  <c r="BC170" i="1"/>
  <c r="BB170" i="1"/>
  <c r="BC169" i="1"/>
  <c r="BB169" i="1"/>
  <c r="BC168" i="1"/>
  <c r="BC167" i="1"/>
  <c r="BB168" i="1"/>
  <c r="BB167" i="1"/>
  <c r="BC165" i="1"/>
  <c r="BB165" i="1"/>
  <c r="BC163" i="1"/>
  <c r="BB163" i="1"/>
  <c r="BC162" i="1"/>
  <c r="BB162" i="1"/>
  <c r="BC161" i="1"/>
  <c r="BB161" i="1"/>
  <c r="BC160" i="1"/>
  <c r="BC155" i="1"/>
  <c r="BB160" i="1"/>
  <c r="BB155" i="1"/>
  <c r="BC159" i="1"/>
  <c r="BB159" i="1"/>
  <c r="BC158" i="1"/>
  <c r="BB158" i="1"/>
  <c r="BC157" i="1"/>
  <c r="BB157" i="1"/>
  <c r="BC156" i="1"/>
  <c r="BB156" i="1"/>
  <c r="BC153" i="1"/>
  <c r="BB153" i="1"/>
  <c r="BC152" i="1"/>
  <c r="BB152" i="1"/>
  <c r="BC151" i="1"/>
  <c r="BB151" i="1"/>
  <c r="BC150" i="1"/>
  <c r="BB150" i="1"/>
  <c r="BC149" i="1"/>
  <c r="BB149" i="1"/>
  <c r="BC147" i="1"/>
  <c r="BC139" i="1"/>
  <c r="BB147" i="1"/>
  <c r="BC146" i="1"/>
  <c r="BB146" i="1"/>
  <c r="BC145" i="1"/>
  <c r="BB145" i="1"/>
  <c r="BC144" i="1"/>
  <c r="BB144" i="1"/>
  <c r="BC143" i="1"/>
  <c r="BB143" i="1"/>
  <c r="BC142" i="1"/>
  <c r="BB142" i="1"/>
  <c r="BC141" i="1"/>
  <c r="BB141" i="1"/>
  <c r="BC140" i="1"/>
  <c r="BB140" i="1"/>
  <c r="BB139" i="1"/>
  <c r="BC137" i="1"/>
  <c r="BB137" i="1"/>
  <c r="BC134" i="1"/>
  <c r="BB134" i="1"/>
  <c r="BC133" i="1"/>
  <c r="BB133" i="1"/>
  <c r="BC132" i="1"/>
  <c r="BB132" i="1"/>
  <c r="BB131" i="1"/>
  <c r="BC131" i="1"/>
  <c r="BC129" i="1"/>
  <c r="BC125" i="1"/>
  <c r="BB129" i="1"/>
  <c r="BB125" i="1"/>
  <c r="BC128" i="1"/>
  <c r="BB128" i="1"/>
  <c r="BC127" i="1"/>
  <c r="BB127" i="1"/>
  <c r="BC126" i="1"/>
  <c r="BB126" i="1"/>
  <c r="BC123" i="1"/>
  <c r="BB123" i="1"/>
  <c r="BC122" i="1"/>
  <c r="BB122" i="1"/>
  <c r="BC121" i="1"/>
  <c r="BB121" i="1"/>
  <c r="BC120" i="1"/>
  <c r="BB120" i="1"/>
  <c r="BC119" i="1"/>
  <c r="BC118" i="1"/>
  <c r="BB119" i="1"/>
  <c r="BB118" i="1"/>
  <c r="BC116" i="1"/>
  <c r="BB116" i="1"/>
  <c r="BC115" i="1"/>
  <c r="BB115" i="1"/>
  <c r="BC114" i="1"/>
  <c r="BB114" i="1"/>
  <c r="BC113" i="1"/>
  <c r="BB113" i="1"/>
  <c r="BC112" i="1"/>
  <c r="BC111" i="1"/>
  <c r="BB112" i="1"/>
  <c r="BB111" i="1"/>
  <c r="BC109" i="1"/>
  <c r="BB109" i="1"/>
  <c r="BC108" i="1"/>
  <c r="BB108" i="1"/>
  <c r="BC107" i="1"/>
  <c r="BC106" i="1"/>
  <c r="BB107" i="1"/>
  <c r="BB106" i="1"/>
  <c r="BC102" i="1"/>
  <c r="BB102" i="1"/>
  <c r="BC101" i="1"/>
  <c r="BB101" i="1"/>
  <c r="BC100" i="1"/>
  <c r="BB100" i="1"/>
  <c r="BC99" i="1"/>
  <c r="BB99" i="1"/>
  <c r="BC98" i="1"/>
  <c r="BB98" i="1"/>
  <c r="BC97" i="1"/>
  <c r="BB97" i="1"/>
  <c r="BC96" i="1"/>
  <c r="BB96" i="1"/>
  <c r="BC95" i="1"/>
  <c r="BC94" i="1"/>
  <c r="BB95" i="1"/>
  <c r="BB94" i="1"/>
  <c r="BC92" i="1"/>
  <c r="BB92" i="1"/>
  <c r="BC91" i="1"/>
  <c r="BB91" i="1"/>
  <c r="BC90" i="1"/>
  <c r="BB90" i="1"/>
  <c r="BC89" i="1"/>
  <c r="BB89" i="1"/>
  <c r="BC88" i="1"/>
  <c r="BB88" i="1"/>
  <c r="BC87" i="1"/>
  <c r="BB87" i="1"/>
  <c r="BC86" i="1"/>
  <c r="BB86" i="1"/>
  <c r="BC84" i="1"/>
  <c r="BB84" i="1"/>
  <c r="BC83" i="1"/>
  <c r="BC82" i="1"/>
  <c r="BB83" i="1"/>
  <c r="BB82" i="1"/>
  <c r="BC80" i="1"/>
  <c r="BB80" i="1"/>
  <c r="BB77" i="1"/>
  <c r="BC79" i="1"/>
  <c r="BB79" i="1"/>
  <c r="BC78" i="1"/>
  <c r="BB78" i="1"/>
  <c r="BC75" i="1"/>
  <c r="BB75" i="1"/>
  <c r="BC74" i="1"/>
  <c r="BB74" i="1"/>
  <c r="BC73" i="1"/>
  <c r="BB73" i="1"/>
  <c r="BB72" i="1"/>
  <c r="BC70" i="1"/>
  <c r="BB70" i="1"/>
  <c r="BC69" i="1"/>
  <c r="BB69" i="1"/>
  <c r="BC68" i="1"/>
  <c r="BC67" i="1"/>
  <c r="BB68" i="1"/>
  <c r="BC65" i="1"/>
  <c r="BB65" i="1"/>
  <c r="BC64" i="1"/>
  <c r="BC63" i="1"/>
  <c r="BB64" i="1"/>
  <c r="BB63" i="1"/>
  <c r="BC61" i="1"/>
  <c r="BB61" i="1"/>
  <c r="BC59" i="1"/>
  <c r="BC58" i="1"/>
  <c r="BC52" i="1"/>
  <c r="BB59" i="1"/>
  <c r="BB58" i="1"/>
  <c r="BC57" i="1"/>
  <c r="BB57" i="1"/>
  <c r="BC56" i="1"/>
  <c r="BB56" i="1"/>
  <c r="BC55" i="1"/>
  <c r="BB55" i="1"/>
  <c r="BC54" i="1"/>
  <c r="BB54" i="1"/>
  <c r="BC53" i="1"/>
  <c r="BB53" i="1"/>
  <c r="BB52" i="1"/>
  <c r="BC50" i="1"/>
  <c r="BB50" i="1"/>
  <c r="BC49" i="1"/>
  <c r="BB49" i="1"/>
  <c r="BC48" i="1"/>
  <c r="BB48" i="1"/>
  <c r="BC47" i="1"/>
  <c r="BB47" i="1"/>
  <c r="BC46" i="1"/>
  <c r="BB46" i="1"/>
  <c r="BC42" i="1"/>
  <c r="BB42" i="1"/>
  <c r="BC41" i="1"/>
  <c r="BB41" i="1"/>
  <c r="BC36" i="1"/>
  <c r="BB36" i="1"/>
  <c r="BC34" i="1"/>
  <c r="BB34" i="1"/>
  <c r="BC33" i="1"/>
  <c r="BB33" i="1"/>
  <c r="BC32" i="1"/>
  <c r="BB32" i="1"/>
  <c r="BC31" i="1"/>
  <c r="BB31" i="1"/>
  <c r="BC30" i="1"/>
  <c r="BB30" i="1"/>
  <c r="BC28" i="1"/>
  <c r="BB28" i="1"/>
  <c r="BC26" i="1"/>
  <c r="BB26" i="1"/>
  <c r="BC24" i="1"/>
  <c r="BB24" i="1"/>
  <c r="BC23" i="1"/>
  <c r="BB23" i="1"/>
  <c r="BC22" i="1"/>
  <c r="BB22" i="1"/>
  <c r="BC21" i="1"/>
  <c r="BB21" i="1"/>
  <c r="BC19" i="1"/>
  <c r="BB19" i="1"/>
  <c r="BC18" i="1"/>
  <c r="BB18" i="1"/>
  <c r="BC17" i="1"/>
  <c r="BC16" i="1"/>
  <c r="BC14" i="1"/>
  <c r="BB17" i="1"/>
  <c r="BB16" i="1"/>
  <c r="BB14" i="1"/>
  <c r="BE863" i="1"/>
  <c r="BD863" i="1"/>
  <c r="BE860" i="1"/>
  <c r="BD860" i="1"/>
  <c r="BE856" i="1"/>
  <c r="BD856" i="1"/>
  <c r="BE845" i="1"/>
  <c r="BD845" i="1"/>
  <c r="BE842" i="1"/>
  <c r="BD842" i="1"/>
  <c r="BE827" i="1"/>
  <c r="BD827" i="1"/>
  <c r="BE790" i="1"/>
  <c r="BD790" i="1"/>
  <c r="BE783" i="1"/>
  <c r="BD783" i="1"/>
  <c r="BE768" i="1"/>
  <c r="BD768" i="1"/>
  <c r="BE742" i="1"/>
  <c r="BD742" i="1"/>
  <c r="BE738" i="1"/>
  <c r="BD738" i="1"/>
  <c r="BE728" i="1"/>
  <c r="BD728" i="1"/>
  <c r="BE725" i="1"/>
  <c r="BD725" i="1"/>
  <c r="BE718" i="1"/>
  <c r="BD718" i="1"/>
  <c r="BE711" i="1"/>
  <c r="BE691" i="1"/>
  <c r="BD711" i="1"/>
  <c r="BD691" i="1"/>
  <c r="BE705" i="1"/>
  <c r="BD705" i="1"/>
  <c r="BE702" i="1"/>
  <c r="BD702" i="1"/>
  <c r="BE699" i="1"/>
  <c r="BD699" i="1"/>
  <c r="BE696" i="1"/>
  <c r="BD696" i="1"/>
  <c r="BE693" i="1"/>
  <c r="BD693" i="1"/>
  <c r="BE685" i="1"/>
  <c r="BD685" i="1"/>
  <c r="BE681" i="1"/>
  <c r="BD681" i="1"/>
  <c r="BE669" i="1"/>
  <c r="BE664" i="1"/>
  <c r="BD669" i="1"/>
  <c r="BD664" i="1"/>
  <c r="BE666" i="1"/>
  <c r="BD666" i="1"/>
  <c r="BE655" i="1"/>
  <c r="BD655" i="1"/>
  <c r="BE645" i="1"/>
  <c r="BD645" i="1"/>
  <c r="BE637" i="1"/>
  <c r="BD637" i="1"/>
  <c r="BE634" i="1"/>
  <c r="BE632" i="1"/>
  <c r="BE630" i="1"/>
  <c r="BE628" i="1"/>
  <c r="BD634" i="1"/>
  <c r="BD632" i="1"/>
  <c r="BD630" i="1"/>
  <c r="BD628" i="1"/>
  <c r="BE625" i="1"/>
  <c r="BD625" i="1"/>
  <c r="BE621" i="1"/>
  <c r="BD621" i="1"/>
  <c r="BE619" i="1"/>
  <c r="BE609" i="1"/>
  <c r="BE575" i="1"/>
  <c r="BD619" i="1"/>
  <c r="BE616" i="1"/>
  <c r="BD616" i="1"/>
  <c r="BE613" i="1"/>
  <c r="BE611" i="1"/>
  <c r="BD613" i="1"/>
  <c r="BD611" i="1"/>
  <c r="BD609" i="1"/>
  <c r="BE606" i="1"/>
  <c r="BD606" i="1"/>
  <c r="BE600" i="1"/>
  <c r="BD600" i="1"/>
  <c r="BE592" i="1"/>
  <c r="BD592" i="1"/>
  <c r="BE585" i="1"/>
  <c r="BD585" i="1"/>
  <c r="BE581" i="1"/>
  <c r="BD581" i="1"/>
  <c r="BE579" i="1"/>
  <c r="BD579" i="1"/>
  <c r="BE571" i="1"/>
  <c r="BD571" i="1"/>
  <c r="BE569" i="1"/>
  <c r="BE567" i="1"/>
  <c r="BD569" i="1"/>
  <c r="BD567" i="1"/>
  <c r="BE563" i="1"/>
  <c r="BD563" i="1"/>
  <c r="BE558" i="1"/>
  <c r="BD558" i="1"/>
  <c r="BE555" i="1"/>
  <c r="BD555" i="1"/>
  <c r="BE549" i="1"/>
  <c r="BD549" i="1"/>
  <c r="BE543" i="1"/>
  <c r="BD543" i="1"/>
  <c r="BE535" i="1"/>
  <c r="BD535" i="1"/>
  <c r="BE532" i="1"/>
  <c r="BD532" i="1"/>
  <c r="BE526" i="1"/>
  <c r="BD526" i="1"/>
  <c r="BE507" i="1"/>
  <c r="BE505" i="1"/>
  <c r="BD507" i="1"/>
  <c r="BD505" i="1"/>
  <c r="BE500" i="1"/>
  <c r="BD500" i="1"/>
  <c r="BE488" i="1"/>
  <c r="BD488" i="1"/>
  <c r="BE482" i="1"/>
  <c r="BD482" i="1"/>
  <c r="BE472" i="1"/>
  <c r="BD472" i="1"/>
  <c r="BE464" i="1"/>
  <c r="BD464" i="1"/>
  <c r="BE458" i="1"/>
  <c r="BD458" i="1"/>
  <c r="BE451" i="1"/>
  <c r="BD451" i="1"/>
  <c r="BE444" i="1"/>
  <c r="BD444" i="1"/>
  <c r="BE439" i="1"/>
  <c r="BD439" i="1"/>
  <c r="BE427" i="1"/>
  <c r="BD427" i="1"/>
  <c r="BE419" i="1"/>
  <c r="BD419" i="1"/>
  <c r="BE416" i="1"/>
  <c r="BD416" i="1"/>
  <c r="BE411" i="1"/>
  <c r="BD411" i="1"/>
  <c r="BE406" i="1"/>
  <c r="BD406" i="1"/>
  <c r="BE401" i="1"/>
  <c r="BD401" i="1"/>
  <c r="BE397" i="1"/>
  <c r="BD397" i="1"/>
  <c r="BE386" i="1"/>
  <c r="BD386" i="1"/>
  <c r="BE380" i="1"/>
  <c r="BD380" i="1"/>
  <c r="BE375" i="1"/>
  <c r="BD375" i="1"/>
  <c r="BE368" i="1"/>
  <c r="BD368" i="1"/>
  <c r="BE366" i="1"/>
  <c r="BD366" i="1"/>
  <c r="BE361" i="1"/>
  <c r="BD361" i="1"/>
  <c r="BE358" i="1"/>
  <c r="BD358" i="1"/>
  <c r="BE354" i="1"/>
  <c r="BD354" i="1"/>
  <c r="BE349" i="1"/>
  <c r="BE347" i="1"/>
  <c r="BD349" i="1"/>
  <c r="BD347" i="1"/>
  <c r="BE329" i="1"/>
  <c r="BD329" i="1"/>
  <c r="BE326" i="1"/>
  <c r="BD326" i="1"/>
  <c r="BE322" i="1"/>
  <c r="BE308" i="1"/>
  <c r="BD322" i="1"/>
  <c r="BE319" i="1"/>
  <c r="BD319" i="1"/>
  <c r="BE316" i="1"/>
  <c r="BD316" i="1"/>
  <c r="BE313" i="1"/>
  <c r="BD313" i="1"/>
  <c r="BE310" i="1"/>
  <c r="BD310" i="1"/>
  <c r="BE305" i="1"/>
  <c r="BD305" i="1"/>
  <c r="BE302" i="1"/>
  <c r="BD302" i="1"/>
  <c r="BE298" i="1"/>
  <c r="BD298" i="1"/>
  <c r="BE293" i="1"/>
  <c r="BD293" i="1"/>
  <c r="BE288" i="1"/>
  <c r="BD288" i="1"/>
  <c r="BE279" i="1"/>
  <c r="BD279" i="1"/>
  <c r="BE275" i="1"/>
  <c r="BD275" i="1"/>
  <c r="BE267" i="1"/>
  <c r="BD267" i="1"/>
  <c r="BE259" i="1"/>
  <c r="BD259" i="1"/>
  <c r="BE251" i="1"/>
  <c r="BD251" i="1"/>
  <c r="BE246" i="1"/>
  <c r="BD246" i="1"/>
  <c r="BD244" i="1"/>
  <c r="BE238" i="1"/>
  <c r="BD238" i="1"/>
  <c r="BE237" i="1"/>
  <c r="BD237" i="1"/>
  <c r="BE236" i="1"/>
  <c r="BD236" i="1"/>
  <c r="BE234" i="1"/>
  <c r="BD234" i="1"/>
  <c r="BE233" i="1"/>
  <c r="BD233" i="1"/>
  <c r="BE231" i="1"/>
  <c r="BD231" i="1"/>
  <c r="BE230" i="1"/>
  <c r="BD230" i="1"/>
  <c r="BE228" i="1"/>
  <c r="BD228" i="1"/>
  <c r="BE227" i="1"/>
  <c r="BD227" i="1"/>
  <c r="BE225" i="1"/>
  <c r="BE224" i="1"/>
  <c r="BD225" i="1"/>
  <c r="BD224" i="1"/>
  <c r="BE222" i="1"/>
  <c r="BD222" i="1"/>
  <c r="BE221" i="1"/>
  <c r="BD221" i="1"/>
  <c r="BE220" i="1"/>
  <c r="BD220" i="1"/>
  <c r="BE219" i="1"/>
  <c r="BE218" i="1"/>
  <c r="BD219" i="1"/>
  <c r="BD218" i="1"/>
  <c r="BE216" i="1"/>
  <c r="BD216" i="1"/>
  <c r="BE215" i="1"/>
  <c r="BD215" i="1"/>
  <c r="BE214" i="1"/>
  <c r="BD214" i="1"/>
  <c r="BE213" i="1"/>
  <c r="BE212" i="1"/>
  <c r="BD213" i="1"/>
  <c r="BD212" i="1"/>
  <c r="BE205" i="1"/>
  <c r="BE204" i="1"/>
  <c r="BD205" i="1"/>
  <c r="BD204" i="1"/>
  <c r="BE202" i="1"/>
  <c r="BE201" i="1"/>
  <c r="BE199" i="1"/>
  <c r="BD202" i="1"/>
  <c r="BD201" i="1"/>
  <c r="BD199" i="1"/>
  <c r="BE197" i="1"/>
  <c r="BD197" i="1"/>
  <c r="BE196" i="1"/>
  <c r="BE195" i="1"/>
  <c r="BD196" i="1"/>
  <c r="BD195" i="1"/>
  <c r="BE193" i="1"/>
  <c r="BD193" i="1"/>
  <c r="BE191" i="1"/>
  <c r="BD191" i="1"/>
  <c r="BE189" i="1"/>
  <c r="BD189" i="1"/>
  <c r="BE187" i="1"/>
  <c r="BD187" i="1"/>
  <c r="BE185" i="1"/>
  <c r="BE184" i="1"/>
  <c r="BD185" i="1"/>
  <c r="BD184" i="1"/>
  <c r="BE182" i="1"/>
  <c r="BD182" i="1"/>
  <c r="BE180" i="1"/>
  <c r="BD180" i="1"/>
  <c r="BE179" i="1"/>
  <c r="BD179" i="1"/>
  <c r="BE177" i="1"/>
  <c r="BD177" i="1"/>
  <c r="BE176" i="1"/>
  <c r="BD176" i="1"/>
  <c r="BE175" i="1"/>
  <c r="BD175" i="1"/>
  <c r="BE174" i="1"/>
  <c r="BD174" i="1"/>
  <c r="BE170" i="1"/>
  <c r="BD170" i="1"/>
  <c r="BE169" i="1"/>
  <c r="BD169" i="1"/>
  <c r="BE168" i="1"/>
  <c r="BE167" i="1"/>
  <c r="BD168" i="1"/>
  <c r="BD167" i="1"/>
  <c r="BE165" i="1"/>
  <c r="BD165" i="1"/>
  <c r="BE163" i="1"/>
  <c r="BD163" i="1"/>
  <c r="BE162" i="1"/>
  <c r="BD162" i="1"/>
  <c r="BE161" i="1"/>
  <c r="BD161" i="1"/>
  <c r="BE160" i="1"/>
  <c r="BE155" i="1"/>
  <c r="BE104" i="1"/>
  <c r="BD160" i="1"/>
  <c r="BE159" i="1"/>
  <c r="BD159" i="1"/>
  <c r="BE158" i="1"/>
  <c r="BD158" i="1"/>
  <c r="BE157" i="1"/>
  <c r="BD157" i="1"/>
  <c r="BE156" i="1"/>
  <c r="BD156" i="1"/>
  <c r="BE153" i="1"/>
  <c r="BD153" i="1"/>
  <c r="BE152" i="1"/>
  <c r="BD152" i="1"/>
  <c r="BE151" i="1"/>
  <c r="BD151" i="1"/>
  <c r="BE150" i="1"/>
  <c r="BD150" i="1"/>
  <c r="BE149" i="1"/>
  <c r="BD149" i="1"/>
  <c r="BE147" i="1"/>
  <c r="BD147" i="1"/>
  <c r="BE146" i="1"/>
  <c r="BD146" i="1"/>
  <c r="BE145" i="1"/>
  <c r="BD145" i="1"/>
  <c r="BE144" i="1"/>
  <c r="BD144" i="1"/>
  <c r="BE143" i="1"/>
  <c r="BD143" i="1"/>
  <c r="BE142" i="1"/>
  <c r="BD142" i="1"/>
  <c r="BE141" i="1"/>
  <c r="BD141" i="1"/>
  <c r="BE140" i="1"/>
  <c r="BD140" i="1"/>
  <c r="BE137" i="1"/>
  <c r="BD137" i="1"/>
  <c r="BE134" i="1"/>
  <c r="BD134" i="1"/>
  <c r="BE133" i="1"/>
  <c r="BD133" i="1"/>
  <c r="BE132" i="1"/>
  <c r="BD132" i="1"/>
  <c r="BE131" i="1"/>
  <c r="BD131" i="1"/>
  <c r="BE129" i="1"/>
  <c r="BE125" i="1"/>
  <c r="BD129" i="1"/>
  <c r="BD125" i="1"/>
  <c r="BE128" i="1"/>
  <c r="BD128" i="1"/>
  <c r="BE127" i="1"/>
  <c r="BD127" i="1"/>
  <c r="BE126" i="1"/>
  <c r="BD126" i="1"/>
  <c r="BE123" i="1"/>
  <c r="BD123" i="1"/>
  <c r="BE122" i="1"/>
  <c r="BD122" i="1"/>
  <c r="BE121" i="1"/>
  <c r="BD121" i="1"/>
  <c r="BE120" i="1"/>
  <c r="BD120" i="1"/>
  <c r="BE119" i="1"/>
  <c r="BE118" i="1"/>
  <c r="BD119" i="1"/>
  <c r="BD118" i="1"/>
  <c r="BE116" i="1"/>
  <c r="BD116" i="1"/>
  <c r="BE115" i="1"/>
  <c r="BD115" i="1"/>
  <c r="BE114" i="1"/>
  <c r="BD114" i="1"/>
  <c r="BE113" i="1"/>
  <c r="BD113" i="1"/>
  <c r="BE112" i="1"/>
  <c r="BE111" i="1"/>
  <c r="BD112" i="1"/>
  <c r="BD111" i="1"/>
  <c r="BE109" i="1"/>
  <c r="BD109" i="1"/>
  <c r="BE108" i="1"/>
  <c r="BD108" i="1"/>
  <c r="BE107" i="1"/>
  <c r="BE106" i="1"/>
  <c r="BD107" i="1"/>
  <c r="BD106" i="1"/>
  <c r="BE102" i="1"/>
  <c r="BD102" i="1"/>
  <c r="BE101" i="1"/>
  <c r="BD101" i="1"/>
  <c r="BE100" i="1"/>
  <c r="BD100" i="1"/>
  <c r="BE99" i="1"/>
  <c r="BD99" i="1"/>
  <c r="BE98" i="1"/>
  <c r="BD98" i="1"/>
  <c r="BE97" i="1"/>
  <c r="BD97" i="1"/>
  <c r="BE96" i="1"/>
  <c r="BD96" i="1"/>
  <c r="BE95" i="1"/>
  <c r="BE94" i="1"/>
  <c r="BD95" i="1"/>
  <c r="BD94" i="1"/>
  <c r="BE92" i="1"/>
  <c r="BD92" i="1"/>
  <c r="BE91" i="1"/>
  <c r="BD91" i="1"/>
  <c r="BE90" i="1"/>
  <c r="BD90" i="1"/>
  <c r="BE89" i="1"/>
  <c r="BD89" i="1"/>
  <c r="BE88" i="1"/>
  <c r="BD88" i="1"/>
  <c r="BE87" i="1"/>
  <c r="BD87" i="1"/>
  <c r="BE86" i="1"/>
  <c r="BD86" i="1"/>
  <c r="BE84" i="1"/>
  <c r="BD84" i="1"/>
  <c r="BE83" i="1"/>
  <c r="BE82" i="1"/>
  <c r="BD83" i="1"/>
  <c r="BD82" i="1"/>
  <c r="BE80" i="1"/>
  <c r="BD80" i="1"/>
  <c r="BD77" i="1"/>
  <c r="BE79" i="1"/>
  <c r="BD79" i="1"/>
  <c r="BE78" i="1"/>
  <c r="BD78" i="1"/>
  <c r="BE75" i="1"/>
  <c r="BD75" i="1"/>
  <c r="BE74" i="1"/>
  <c r="BD74" i="1"/>
  <c r="BE73" i="1"/>
  <c r="BD73" i="1"/>
  <c r="BE70" i="1"/>
  <c r="BD70" i="1"/>
  <c r="BE69" i="1"/>
  <c r="BD69" i="1"/>
  <c r="BE68" i="1"/>
  <c r="BE67" i="1"/>
  <c r="BD68" i="1"/>
  <c r="BE65" i="1"/>
  <c r="BD65" i="1"/>
  <c r="BE64" i="1"/>
  <c r="BE63" i="1"/>
  <c r="BD64" i="1"/>
  <c r="BD63" i="1"/>
  <c r="BE61" i="1"/>
  <c r="BD61" i="1"/>
  <c r="BE59" i="1"/>
  <c r="BD59" i="1"/>
  <c r="BD58" i="1"/>
  <c r="BD52" i="1"/>
  <c r="BE58" i="1"/>
  <c r="BE57" i="1"/>
  <c r="BD57" i="1"/>
  <c r="BE56" i="1"/>
  <c r="BD56" i="1"/>
  <c r="BE55" i="1"/>
  <c r="BD55" i="1"/>
  <c r="BE54" i="1"/>
  <c r="BD54" i="1"/>
  <c r="BE53" i="1"/>
  <c r="BE52" i="1"/>
  <c r="BD53" i="1"/>
  <c r="BE50" i="1"/>
  <c r="BD50" i="1"/>
  <c r="BE49" i="1"/>
  <c r="BD49" i="1"/>
  <c r="BE48" i="1"/>
  <c r="BD48" i="1"/>
  <c r="BE47" i="1"/>
  <c r="BD47" i="1"/>
  <c r="BE46" i="1"/>
  <c r="BD46" i="1"/>
  <c r="BE42" i="1"/>
  <c r="BD42" i="1"/>
  <c r="BE41" i="1"/>
  <c r="BD41" i="1"/>
  <c r="BE40" i="1"/>
  <c r="BD40" i="1"/>
  <c r="BE38" i="1"/>
  <c r="BD38" i="1"/>
  <c r="BE36" i="1"/>
  <c r="BD36" i="1"/>
  <c r="BE34" i="1"/>
  <c r="BD34" i="1"/>
  <c r="BE33" i="1"/>
  <c r="BD33" i="1"/>
  <c r="BE32" i="1"/>
  <c r="BD32" i="1"/>
  <c r="BE31" i="1"/>
  <c r="BD31" i="1"/>
  <c r="BE30" i="1"/>
  <c r="BD30" i="1"/>
  <c r="BE28" i="1"/>
  <c r="BD28" i="1"/>
  <c r="BE26" i="1"/>
  <c r="BD26" i="1"/>
  <c r="BE24" i="1"/>
  <c r="BD24" i="1"/>
  <c r="BE23" i="1"/>
  <c r="BD23" i="1"/>
  <c r="BE22" i="1"/>
  <c r="BD22" i="1"/>
  <c r="BE21" i="1"/>
  <c r="BD21" i="1"/>
  <c r="BE19" i="1"/>
  <c r="BD19" i="1"/>
  <c r="BE18" i="1"/>
  <c r="BD18" i="1"/>
  <c r="BE17" i="1"/>
  <c r="BE16" i="1"/>
  <c r="BD17" i="1"/>
  <c r="BD16" i="1"/>
  <c r="BD14" i="1"/>
  <c r="BG863" i="1"/>
  <c r="BF863" i="1"/>
  <c r="BG860" i="1"/>
  <c r="BF860" i="1"/>
  <c r="BG856" i="1"/>
  <c r="BF856" i="1"/>
  <c r="BG845" i="1"/>
  <c r="BF845" i="1"/>
  <c r="BG842" i="1"/>
  <c r="BF842" i="1"/>
  <c r="BG827" i="1"/>
  <c r="BF827" i="1"/>
  <c r="BG790" i="1"/>
  <c r="BF790" i="1"/>
  <c r="BG783" i="1"/>
  <c r="BF783" i="1"/>
  <c r="BG768" i="1"/>
  <c r="BF768" i="1"/>
  <c r="BG742" i="1"/>
  <c r="BF742" i="1"/>
  <c r="BG738" i="1"/>
  <c r="BF738" i="1"/>
  <c r="BG728" i="1"/>
  <c r="BF728" i="1"/>
  <c r="BG725" i="1"/>
  <c r="BF725" i="1"/>
  <c r="BG718" i="1"/>
  <c r="BF718" i="1"/>
  <c r="BG711" i="1"/>
  <c r="BG691" i="1"/>
  <c r="BF711" i="1"/>
  <c r="BF691" i="1"/>
  <c r="BG705" i="1"/>
  <c r="BF705" i="1"/>
  <c r="BG702" i="1"/>
  <c r="BF702" i="1"/>
  <c r="BG699" i="1"/>
  <c r="BF699" i="1"/>
  <c r="BG696" i="1"/>
  <c r="BF696" i="1"/>
  <c r="BG693" i="1"/>
  <c r="BF693" i="1"/>
  <c r="BG685" i="1"/>
  <c r="BF685" i="1"/>
  <c r="BG681" i="1"/>
  <c r="BF681" i="1"/>
  <c r="BG669" i="1"/>
  <c r="BG664" i="1"/>
  <c r="BF669" i="1"/>
  <c r="BF664" i="1"/>
  <c r="BG666" i="1"/>
  <c r="BF666" i="1"/>
  <c r="BG655" i="1"/>
  <c r="BF655" i="1"/>
  <c r="BG645" i="1"/>
  <c r="BF645" i="1"/>
  <c r="BG637" i="1"/>
  <c r="BF637" i="1"/>
  <c r="BG634" i="1"/>
  <c r="BG632" i="1"/>
  <c r="BG630" i="1"/>
  <c r="BG628" i="1"/>
  <c r="BF634" i="1"/>
  <c r="BF632" i="1"/>
  <c r="BF630" i="1"/>
  <c r="BF628" i="1"/>
  <c r="BG625" i="1"/>
  <c r="BF625" i="1"/>
  <c r="BG621" i="1"/>
  <c r="BF621" i="1"/>
  <c r="BG619" i="1"/>
  <c r="BF619" i="1"/>
  <c r="BG616" i="1"/>
  <c r="BF616" i="1"/>
  <c r="BG613" i="1"/>
  <c r="BG611" i="1"/>
  <c r="BG609" i="1"/>
  <c r="BF613" i="1"/>
  <c r="BF611" i="1"/>
  <c r="BF609" i="1"/>
  <c r="BG606" i="1"/>
  <c r="BF606" i="1"/>
  <c r="BG600" i="1"/>
  <c r="BF600" i="1"/>
  <c r="BG592" i="1"/>
  <c r="BF592" i="1"/>
  <c r="BG585" i="1"/>
  <c r="BF585" i="1"/>
  <c r="BG581" i="1"/>
  <c r="BF581" i="1"/>
  <c r="BG579" i="1"/>
  <c r="BG577" i="1"/>
  <c r="BG575" i="1"/>
  <c r="BF579" i="1"/>
  <c r="BF577" i="1"/>
  <c r="BF575" i="1"/>
  <c r="BG571" i="1"/>
  <c r="BF571" i="1"/>
  <c r="BG569" i="1"/>
  <c r="BG567" i="1"/>
  <c r="BF569" i="1"/>
  <c r="BF567" i="1"/>
  <c r="BG563" i="1"/>
  <c r="BF563" i="1"/>
  <c r="BG558" i="1"/>
  <c r="BF558" i="1"/>
  <c r="BG555" i="1"/>
  <c r="BF555" i="1"/>
  <c r="BG549" i="1"/>
  <c r="BF549" i="1"/>
  <c r="BG543" i="1"/>
  <c r="BF543" i="1"/>
  <c r="BG535" i="1"/>
  <c r="BF535" i="1"/>
  <c r="BG532" i="1"/>
  <c r="BF532" i="1"/>
  <c r="BG526" i="1"/>
  <c r="BF526" i="1"/>
  <c r="BG507" i="1"/>
  <c r="BG505" i="1"/>
  <c r="BF507" i="1"/>
  <c r="BF505" i="1"/>
  <c r="BG500" i="1"/>
  <c r="BF500" i="1"/>
  <c r="BG488" i="1"/>
  <c r="BF488" i="1"/>
  <c r="BG482" i="1"/>
  <c r="BF482" i="1"/>
  <c r="BG472" i="1"/>
  <c r="BF472" i="1"/>
  <c r="BG464" i="1"/>
  <c r="BF464" i="1"/>
  <c r="BG458" i="1"/>
  <c r="BF458" i="1"/>
  <c r="BG451" i="1"/>
  <c r="BF451" i="1"/>
  <c r="BG444" i="1"/>
  <c r="BF444" i="1"/>
  <c r="BG439" i="1"/>
  <c r="BG437" i="1"/>
  <c r="BF439" i="1"/>
  <c r="BF437" i="1"/>
  <c r="BG427" i="1"/>
  <c r="BF427" i="1"/>
  <c r="BG419" i="1"/>
  <c r="BF419" i="1"/>
  <c r="BG416" i="1"/>
  <c r="BF416" i="1"/>
  <c r="BG411" i="1"/>
  <c r="BF411" i="1"/>
  <c r="BG406" i="1"/>
  <c r="BF406" i="1"/>
  <c r="BG401" i="1"/>
  <c r="BF401" i="1"/>
  <c r="BG397" i="1"/>
  <c r="BG386" i="1"/>
  <c r="BG378" i="1"/>
  <c r="BF397" i="1"/>
  <c r="BF386" i="1"/>
  <c r="BG380" i="1"/>
  <c r="BF380" i="1"/>
  <c r="BF378" i="1"/>
  <c r="BG375" i="1"/>
  <c r="BF375" i="1"/>
  <c r="BG368" i="1"/>
  <c r="BG366" i="1"/>
  <c r="BF368" i="1"/>
  <c r="BF366" i="1"/>
  <c r="BG361" i="1"/>
  <c r="BF361" i="1"/>
  <c r="BG358" i="1"/>
  <c r="BF358" i="1"/>
  <c r="BG354" i="1"/>
  <c r="BF354" i="1"/>
  <c r="BG349" i="1"/>
  <c r="BG347" i="1"/>
  <c r="BF349" i="1"/>
  <c r="BF347" i="1"/>
  <c r="BG329" i="1"/>
  <c r="BF329" i="1"/>
  <c r="BG326" i="1"/>
  <c r="BF326" i="1"/>
  <c r="BG322" i="1"/>
  <c r="BF322" i="1"/>
  <c r="BG319" i="1"/>
  <c r="BF319" i="1"/>
  <c r="BG316" i="1"/>
  <c r="BF316" i="1"/>
  <c r="BG313" i="1"/>
  <c r="BF313" i="1"/>
  <c r="BG310" i="1"/>
  <c r="BG308" i="1"/>
  <c r="BF310" i="1"/>
  <c r="BG305" i="1"/>
  <c r="BF305" i="1"/>
  <c r="BG302" i="1"/>
  <c r="BF302" i="1"/>
  <c r="BG298" i="1"/>
  <c r="BF298" i="1"/>
  <c r="BG293" i="1"/>
  <c r="BF293" i="1"/>
  <c r="BG288" i="1"/>
  <c r="BF288" i="1"/>
  <c r="BG279" i="1"/>
  <c r="BF279" i="1"/>
  <c r="BG275" i="1"/>
  <c r="BF275" i="1"/>
  <c r="BG267" i="1"/>
  <c r="BF267" i="1"/>
  <c r="BG259" i="1"/>
  <c r="BF259" i="1"/>
  <c r="BG251" i="1"/>
  <c r="BF251" i="1"/>
  <c r="BG246" i="1"/>
  <c r="BF246" i="1"/>
  <c r="BG244" i="1"/>
  <c r="BF244" i="1"/>
  <c r="BG238" i="1"/>
  <c r="BF238" i="1"/>
  <c r="BG237" i="1"/>
  <c r="BG236" i="1"/>
  <c r="BF237" i="1"/>
  <c r="BF236" i="1"/>
  <c r="BG234" i="1"/>
  <c r="BF234" i="1"/>
  <c r="BG233" i="1"/>
  <c r="BF233" i="1"/>
  <c r="BG231" i="1"/>
  <c r="BG230" i="1"/>
  <c r="BF231" i="1"/>
  <c r="BF230" i="1"/>
  <c r="BG228" i="1"/>
  <c r="BG227" i="1"/>
  <c r="BF228" i="1"/>
  <c r="BF227" i="1"/>
  <c r="BG225" i="1"/>
  <c r="BG224" i="1"/>
  <c r="BF225" i="1"/>
  <c r="BF224" i="1"/>
  <c r="BG222" i="1"/>
  <c r="BF222" i="1"/>
  <c r="BG221" i="1"/>
  <c r="BF221" i="1"/>
  <c r="BG220" i="1"/>
  <c r="BF220" i="1"/>
  <c r="BG219" i="1"/>
  <c r="BF219" i="1"/>
  <c r="BG218" i="1"/>
  <c r="BF218" i="1"/>
  <c r="BG216" i="1"/>
  <c r="BF216" i="1"/>
  <c r="BG215" i="1"/>
  <c r="BF215" i="1"/>
  <c r="BG214" i="1"/>
  <c r="BF214" i="1"/>
  <c r="BG213" i="1"/>
  <c r="BG212" i="1"/>
  <c r="BF213" i="1"/>
  <c r="BF212" i="1"/>
  <c r="BG205" i="1"/>
  <c r="BF205" i="1"/>
  <c r="BG204" i="1"/>
  <c r="BF204" i="1"/>
  <c r="BG202" i="1"/>
  <c r="BG201" i="1"/>
  <c r="BG199" i="1"/>
  <c r="BF202" i="1"/>
  <c r="BF201" i="1"/>
  <c r="BF199" i="1"/>
  <c r="BG197" i="1"/>
  <c r="BF197" i="1"/>
  <c r="BG196" i="1"/>
  <c r="BF196" i="1"/>
  <c r="BG195" i="1"/>
  <c r="BF195" i="1"/>
  <c r="BG193" i="1"/>
  <c r="BF193" i="1"/>
  <c r="BG191" i="1"/>
  <c r="BF191" i="1"/>
  <c r="BG189" i="1"/>
  <c r="BF189" i="1"/>
  <c r="BG187" i="1"/>
  <c r="BF187" i="1"/>
  <c r="BG185" i="1"/>
  <c r="BF185" i="1"/>
  <c r="BG184" i="1"/>
  <c r="BF184" i="1"/>
  <c r="BG182" i="1"/>
  <c r="BF182" i="1"/>
  <c r="BG180" i="1"/>
  <c r="BG179" i="1"/>
  <c r="BF180" i="1"/>
  <c r="BF179" i="1"/>
  <c r="BG177" i="1"/>
  <c r="BF177" i="1"/>
  <c r="BG176" i="1"/>
  <c r="BF176" i="1"/>
  <c r="BG175" i="1"/>
  <c r="BG174" i="1"/>
  <c r="BF175" i="1"/>
  <c r="BF174" i="1"/>
  <c r="BG170" i="1"/>
  <c r="BF170" i="1"/>
  <c r="BG169" i="1"/>
  <c r="BF169" i="1"/>
  <c r="BG168" i="1"/>
  <c r="BG167" i="1"/>
  <c r="BF168" i="1"/>
  <c r="BF167" i="1"/>
  <c r="BG165" i="1"/>
  <c r="BF165" i="1"/>
  <c r="BG163" i="1"/>
  <c r="BF163" i="1"/>
  <c r="BG162" i="1"/>
  <c r="BF162" i="1"/>
  <c r="BG161" i="1"/>
  <c r="BF161" i="1"/>
  <c r="BG160" i="1"/>
  <c r="BF160" i="1"/>
  <c r="BF155" i="1"/>
  <c r="BG159" i="1"/>
  <c r="BF159" i="1"/>
  <c r="BG158" i="1"/>
  <c r="BF158" i="1"/>
  <c r="BG157" i="1"/>
  <c r="BF157" i="1"/>
  <c r="BG156" i="1"/>
  <c r="BF156" i="1"/>
  <c r="BG155" i="1"/>
  <c r="BG153" i="1"/>
  <c r="BG149" i="1"/>
  <c r="BF153" i="1"/>
  <c r="BG152" i="1"/>
  <c r="BF152" i="1"/>
  <c r="BG151" i="1"/>
  <c r="BF151" i="1"/>
  <c r="BG150" i="1"/>
  <c r="BF150" i="1"/>
  <c r="BF149" i="1"/>
  <c r="BG147" i="1"/>
  <c r="BF147" i="1"/>
  <c r="BG146" i="1"/>
  <c r="BF146" i="1"/>
  <c r="BG145" i="1"/>
  <c r="BF145" i="1"/>
  <c r="BG144" i="1"/>
  <c r="BF144" i="1"/>
  <c r="BG143" i="1"/>
  <c r="BF143" i="1"/>
  <c r="BG142" i="1"/>
  <c r="BF142" i="1"/>
  <c r="BG141" i="1"/>
  <c r="BF141" i="1"/>
  <c r="BG140" i="1"/>
  <c r="BF140" i="1"/>
  <c r="BG139" i="1"/>
  <c r="BF139" i="1"/>
  <c r="BG137" i="1"/>
  <c r="BF137" i="1"/>
  <c r="BG134" i="1"/>
  <c r="BF134" i="1"/>
  <c r="BG133" i="1"/>
  <c r="BF133" i="1"/>
  <c r="BG132" i="1"/>
  <c r="BG131" i="1"/>
  <c r="BF132" i="1"/>
  <c r="BF131" i="1"/>
  <c r="BG129" i="1"/>
  <c r="BF129" i="1"/>
  <c r="BG128" i="1"/>
  <c r="BF128" i="1"/>
  <c r="BG127" i="1"/>
  <c r="BF127" i="1"/>
  <c r="BG126" i="1"/>
  <c r="BF126" i="1"/>
  <c r="BG125" i="1"/>
  <c r="BF125" i="1"/>
  <c r="BG123" i="1"/>
  <c r="BF123" i="1"/>
  <c r="BG122" i="1"/>
  <c r="BF122" i="1"/>
  <c r="BG121" i="1"/>
  <c r="BF121" i="1"/>
  <c r="BG120" i="1"/>
  <c r="BF120" i="1"/>
  <c r="BG119" i="1"/>
  <c r="BF119" i="1"/>
  <c r="BG118" i="1"/>
  <c r="BF118" i="1"/>
  <c r="BG116" i="1"/>
  <c r="BF116" i="1"/>
  <c r="BG115" i="1"/>
  <c r="BF115" i="1"/>
  <c r="BG114" i="1"/>
  <c r="BF114" i="1"/>
  <c r="BG113" i="1"/>
  <c r="BF113" i="1"/>
  <c r="BG112" i="1"/>
  <c r="BF112" i="1"/>
  <c r="BG111" i="1"/>
  <c r="BF111" i="1"/>
  <c r="BG109" i="1"/>
  <c r="BF109" i="1"/>
  <c r="BG108" i="1"/>
  <c r="BF108" i="1"/>
  <c r="BG107" i="1"/>
  <c r="BG106" i="1"/>
  <c r="BG104" i="1"/>
  <c r="BF107" i="1"/>
  <c r="BF106" i="1"/>
  <c r="BG102" i="1"/>
  <c r="BF102" i="1"/>
  <c r="BG101" i="1"/>
  <c r="BG95" i="1"/>
  <c r="BG96" i="1"/>
  <c r="BG97" i="1"/>
  <c r="BG98" i="1"/>
  <c r="BG99" i="1"/>
  <c r="BG100" i="1"/>
  <c r="BG94" i="1"/>
  <c r="BF101" i="1"/>
  <c r="BF100" i="1"/>
  <c r="BF99" i="1"/>
  <c r="BF98" i="1"/>
  <c r="BF97" i="1"/>
  <c r="BF96" i="1"/>
  <c r="BF95" i="1"/>
  <c r="BF94" i="1"/>
  <c r="BG92" i="1"/>
  <c r="BG86" i="1"/>
  <c r="BF92" i="1"/>
  <c r="BF86" i="1"/>
  <c r="BG91" i="1"/>
  <c r="BF91" i="1"/>
  <c r="BG90" i="1"/>
  <c r="BF90" i="1"/>
  <c r="BG89" i="1"/>
  <c r="BF89" i="1"/>
  <c r="BG88" i="1"/>
  <c r="BF88" i="1"/>
  <c r="BG87" i="1"/>
  <c r="BF87" i="1"/>
  <c r="BG84" i="1"/>
  <c r="BF84" i="1"/>
  <c r="BG83" i="1"/>
  <c r="BF83" i="1"/>
  <c r="BG82" i="1"/>
  <c r="BF82" i="1"/>
  <c r="BG80" i="1"/>
  <c r="BF80" i="1"/>
  <c r="BG79" i="1"/>
  <c r="BF79" i="1"/>
  <c r="BG78" i="1"/>
  <c r="BF78" i="1"/>
  <c r="BG75" i="1"/>
  <c r="BF75" i="1"/>
  <c r="BG74" i="1"/>
  <c r="BF74" i="1"/>
  <c r="BG73" i="1"/>
  <c r="BF73" i="1"/>
  <c r="BG70" i="1"/>
  <c r="BF70" i="1"/>
  <c r="BG69" i="1"/>
  <c r="BF69" i="1"/>
  <c r="BG68" i="1"/>
  <c r="BF68" i="1"/>
  <c r="BF67" i="1"/>
  <c r="BG65" i="1"/>
  <c r="BF65" i="1"/>
  <c r="BG64" i="1"/>
  <c r="BG63" i="1"/>
  <c r="BF64" i="1"/>
  <c r="BF63" i="1"/>
  <c r="BG61" i="1"/>
  <c r="BF61" i="1"/>
  <c r="BG59" i="1"/>
  <c r="BF59" i="1"/>
  <c r="BG58" i="1"/>
  <c r="BF58" i="1"/>
  <c r="BG57" i="1"/>
  <c r="BF57" i="1"/>
  <c r="BG56" i="1"/>
  <c r="BF56" i="1"/>
  <c r="BG55" i="1"/>
  <c r="BF55" i="1"/>
  <c r="BG54" i="1"/>
  <c r="BF54" i="1"/>
  <c r="BG53" i="1"/>
  <c r="BG52" i="1"/>
  <c r="BF53" i="1"/>
  <c r="BF52" i="1"/>
  <c r="BG50" i="1"/>
  <c r="BF50" i="1"/>
  <c r="BG49" i="1"/>
  <c r="BF49" i="1"/>
  <c r="BG48" i="1"/>
  <c r="BF48" i="1"/>
  <c r="BG47" i="1"/>
  <c r="BG46" i="1"/>
  <c r="BF47" i="1"/>
  <c r="BF46" i="1"/>
  <c r="BG42" i="1"/>
  <c r="BF42" i="1"/>
  <c r="BG41" i="1"/>
  <c r="BF41" i="1"/>
  <c r="BG40" i="1"/>
  <c r="BF40" i="1"/>
  <c r="BG36" i="1"/>
  <c r="BF36" i="1"/>
  <c r="BG34" i="1"/>
  <c r="BF34" i="1"/>
  <c r="BG33" i="1"/>
  <c r="BF33" i="1"/>
  <c r="BG32" i="1"/>
  <c r="BF32" i="1"/>
  <c r="BG31" i="1"/>
  <c r="BG30" i="1"/>
  <c r="BF31" i="1"/>
  <c r="BF30" i="1"/>
  <c r="BG28" i="1"/>
  <c r="BF28" i="1"/>
  <c r="BG26" i="1"/>
  <c r="BF26" i="1"/>
  <c r="BG24" i="1"/>
  <c r="BF24" i="1"/>
  <c r="BG23" i="1"/>
  <c r="BF23" i="1"/>
  <c r="BG22" i="1"/>
  <c r="BG21" i="1"/>
  <c r="BF22" i="1"/>
  <c r="BF21" i="1"/>
  <c r="BG19" i="1"/>
  <c r="BF19" i="1"/>
  <c r="BG18" i="1"/>
  <c r="BF18" i="1"/>
  <c r="BG17" i="1"/>
  <c r="BG16" i="1"/>
  <c r="BF17" i="1"/>
  <c r="BF16" i="1"/>
  <c r="BI863" i="1"/>
  <c r="BH863" i="1"/>
  <c r="BI860" i="1"/>
  <c r="BH860" i="1"/>
  <c r="BI856" i="1"/>
  <c r="BH856" i="1"/>
  <c r="BI845" i="1"/>
  <c r="BH845" i="1"/>
  <c r="BI842" i="1"/>
  <c r="BH842" i="1"/>
  <c r="BI827" i="1"/>
  <c r="BH827" i="1"/>
  <c r="BI790" i="1"/>
  <c r="BI783" i="1"/>
  <c r="BH783" i="1"/>
  <c r="BI768" i="1"/>
  <c r="BH768" i="1"/>
  <c r="BI742" i="1"/>
  <c r="BH742" i="1"/>
  <c r="BI738" i="1"/>
  <c r="BH738" i="1"/>
  <c r="BI728" i="1"/>
  <c r="BH728" i="1"/>
  <c r="BI725" i="1"/>
  <c r="BH725" i="1"/>
  <c r="BI718" i="1"/>
  <c r="BH718" i="1"/>
  <c r="BI711" i="1"/>
  <c r="BI691" i="1"/>
  <c r="BH711" i="1"/>
  <c r="BH691" i="1"/>
  <c r="BI705" i="1"/>
  <c r="BH705" i="1"/>
  <c r="BI702" i="1"/>
  <c r="BH702" i="1"/>
  <c r="BI699" i="1"/>
  <c r="BH699" i="1"/>
  <c r="BI696" i="1"/>
  <c r="BH696" i="1"/>
  <c r="BI693" i="1"/>
  <c r="BH693" i="1"/>
  <c r="BI685" i="1"/>
  <c r="BH685" i="1"/>
  <c r="BI681" i="1"/>
  <c r="BH681" i="1"/>
  <c r="BI669" i="1"/>
  <c r="BI664" i="1"/>
  <c r="BH669" i="1"/>
  <c r="BH664" i="1"/>
  <c r="BI666" i="1"/>
  <c r="BH666" i="1"/>
  <c r="BI655" i="1"/>
  <c r="BH655" i="1"/>
  <c r="BI645" i="1"/>
  <c r="BH645" i="1"/>
  <c r="BI637" i="1"/>
  <c r="BH637" i="1"/>
  <c r="BI634" i="1"/>
  <c r="BI632" i="1"/>
  <c r="BI630" i="1"/>
  <c r="BI628" i="1"/>
  <c r="BH634" i="1"/>
  <c r="BH632" i="1"/>
  <c r="BH630" i="1"/>
  <c r="BH628" i="1"/>
  <c r="BI625" i="1"/>
  <c r="BH625" i="1"/>
  <c r="BI621" i="1"/>
  <c r="BH621" i="1"/>
  <c r="BI619" i="1"/>
  <c r="BH619" i="1"/>
  <c r="BI616" i="1"/>
  <c r="BH616" i="1"/>
  <c r="BI613" i="1"/>
  <c r="BH613" i="1"/>
  <c r="BI606" i="1"/>
  <c r="BH606" i="1"/>
  <c r="BI600" i="1"/>
  <c r="BH600" i="1"/>
  <c r="BI592" i="1"/>
  <c r="BH592" i="1"/>
  <c r="BI585" i="1"/>
  <c r="BH585" i="1"/>
  <c r="BI581" i="1"/>
  <c r="BH581" i="1"/>
  <c r="BI579" i="1"/>
  <c r="BI577" i="1"/>
  <c r="BH579" i="1"/>
  <c r="BH577" i="1"/>
  <c r="BI571" i="1"/>
  <c r="BH571" i="1"/>
  <c r="BI569" i="1"/>
  <c r="BI567" i="1"/>
  <c r="BH569" i="1"/>
  <c r="BH567" i="1"/>
  <c r="BI563" i="1"/>
  <c r="BH563" i="1"/>
  <c r="BI558" i="1"/>
  <c r="BH558" i="1"/>
  <c r="BI555" i="1"/>
  <c r="BH555" i="1"/>
  <c r="BI549" i="1"/>
  <c r="BH549" i="1"/>
  <c r="BI543" i="1"/>
  <c r="BH543" i="1"/>
  <c r="BI535" i="1"/>
  <c r="BH535" i="1"/>
  <c r="BI532" i="1"/>
  <c r="BH532" i="1"/>
  <c r="BI526" i="1"/>
  <c r="BH526" i="1"/>
  <c r="BI507" i="1"/>
  <c r="BI505" i="1"/>
  <c r="BH507" i="1"/>
  <c r="BH505" i="1"/>
  <c r="BI500" i="1"/>
  <c r="BH500" i="1"/>
  <c r="BI488" i="1"/>
  <c r="BH488" i="1"/>
  <c r="BI482" i="1"/>
  <c r="BH482" i="1"/>
  <c r="BI472" i="1"/>
  <c r="BH472" i="1"/>
  <c r="BI464" i="1"/>
  <c r="BH464" i="1"/>
  <c r="BI458" i="1"/>
  <c r="BH458" i="1"/>
  <c r="BI451" i="1"/>
  <c r="BH451" i="1"/>
  <c r="BI444" i="1"/>
  <c r="BH444" i="1"/>
  <c r="BI439" i="1"/>
  <c r="BH439" i="1"/>
  <c r="BI427" i="1"/>
  <c r="BH427" i="1"/>
  <c r="BI419" i="1"/>
  <c r="BH419" i="1"/>
  <c r="BI416" i="1"/>
  <c r="BH416" i="1"/>
  <c r="BI411" i="1"/>
  <c r="BH411" i="1"/>
  <c r="BI406" i="1"/>
  <c r="BH406" i="1"/>
  <c r="BI401" i="1"/>
  <c r="BH401" i="1"/>
  <c r="BI397" i="1"/>
  <c r="BH397" i="1"/>
  <c r="BI386" i="1"/>
  <c r="BH386" i="1"/>
  <c r="BI380" i="1"/>
  <c r="BH380" i="1"/>
  <c r="BI375" i="1"/>
  <c r="BH375" i="1"/>
  <c r="BI368" i="1"/>
  <c r="BH368" i="1"/>
  <c r="BI366" i="1"/>
  <c r="BH366" i="1"/>
  <c r="BI361" i="1"/>
  <c r="BH361" i="1"/>
  <c r="BI358" i="1"/>
  <c r="BH358" i="1"/>
  <c r="BI354" i="1"/>
  <c r="BH354" i="1"/>
  <c r="BI349" i="1"/>
  <c r="BI347" i="1"/>
  <c r="BH349" i="1"/>
  <c r="BH347" i="1"/>
  <c r="BI329" i="1"/>
  <c r="BH329" i="1"/>
  <c r="BI326" i="1"/>
  <c r="BH326" i="1"/>
  <c r="BI322" i="1"/>
  <c r="BH322" i="1"/>
  <c r="BI319" i="1"/>
  <c r="BH319" i="1"/>
  <c r="BI316" i="1"/>
  <c r="BH316" i="1"/>
  <c r="BI313" i="1"/>
  <c r="BH313" i="1"/>
  <c r="BI310" i="1"/>
  <c r="BH310" i="1"/>
  <c r="BH308" i="1"/>
  <c r="BI305" i="1"/>
  <c r="BH305" i="1"/>
  <c r="BI302" i="1"/>
  <c r="BH302" i="1"/>
  <c r="BI298" i="1"/>
  <c r="BH298" i="1"/>
  <c r="BI293" i="1"/>
  <c r="BH293" i="1"/>
  <c r="BI288" i="1"/>
  <c r="BH288" i="1"/>
  <c r="BI279" i="1"/>
  <c r="BH279" i="1"/>
  <c r="BI275" i="1"/>
  <c r="BH275" i="1"/>
  <c r="BI267" i="1"/>
  <c r="BH267" i="1"/>
  <c r="BI259" i="1"/>
  <c r="BH259" i="1"/>
  <c r="BI251" i="1"/>
  <c r="BH251" i="1"/>
  <c r="BI246" i="1"/>
  <c r="BH246" i="1"/>
  <c r="BI238" i="1"/>
  <c r="BH238" i="1"/>
  <c r="BI237" i="1"/>
  <c r="BH237" i="1"/>
  <c r="BI236" i="1"/>
  <c r="BH236" i="1"/>
  <c r="BI234" i="1"/>
  <c r="BH234" i="1"/>
  <c r="BI233" i="1"/>
  <c r="BH233" i="1"/>
  <c r="BI231" i="1"/>
  <c r="BH231" i="1"/>
  <c r="BI230" i="1"/>
  <c r="BH230" i="1"/>
  <c r="BI228" i="1"/>
  <c r="BH228" i="1"/>
  <c r="BH227" i="1"/>
  <c r="BI227" i="1"/>
  <c r="BI225" i="1"/>
  <c r="BI224" i="1"/>
  <c r="BH225" i="1"/>
  <c r="BH224" i="1"/>
  <c r="BI222" i="1"/>
  <c r="BH222" i="1"/>
  <c r="BI221" i="1"/>
  <c r="BH221" i="1"/>
  <c r="BI220" i="1"/>
  <c r="BH220" i="1"/>
  <c r="BI219" i="1"/>
  <c r="BI218" i="1"/>
  <c r="BH219" i="1"/>
  <c r="BH218" i="1"/>
  <c r="BI216" i="1"/>
  <c r="BH216" i="1"/>
  <c r="BI215" i="1"/>
  <c r="BH215" i="1"/>
  <c r="BI214" i="1"/>
  <c r="BH214" i="1"/>
  <c r="BI213" i="1"/>
  <c r="BI212" i="1"/>
  <c r="BH213" i="1"/>
  <c r="BH212" i="1"/>
  <c r="BI205" i="1"/>
  <c r="BI204" i="1"/>
  <c r="BH205" i="1"/>
  <c r="BH204" i="1"/>
  <c r="BI202" i="1"/>
  <c r="BI201" i="1"/>
  <c r="BH202" i="1"/>
  <c r="BH201" i="1"/>
  <c r="BI197" i="1"/>
  <c r="BH197" i="1"/>
  <c r="BI196" i="1"/>
  <c r="BI195" i="1"/>
  <c r="BH196" i="1"/>
  <c r="BH195" i="1"/>
  <c r="BI193" i="1"/>
  <c r="BH193" i="1"/>
  <c r="BI191" i="1"/>
  <c r="BH191" i="1"/>
  <c r="BI189" i="1"/>
  <c r="BH189" i="1"/>
  <c r="BI187" i="1"/>
  <c r="BH187" i="1"/>
  <c r="BI185" i="1"/>
  <c r="BI184" i="1"/>
  <c r="BH185" i="1"/>
  <c r="BH184" i="1"/>
  <c r="BI182" i="1"/>
  <c r="BH182" i="1"/>
  <c r="BI180" i="1"/>
  <c r="BH180" i="1"/>
  <c r="BI179" i="1"/>
  <c r="BH179" i="1"/>
  <c r="BI177" i="1"/>
  <c r="BH177" i="1"/>
  <c r="BI176" i="1"/>
  <c r="BH176" i="1"/>
  <c r="BI175" i="1"/>
  <c r="BH175" i="1"/>
  <c r="BI174" i="1"/>
  <c r="BH174" i="1"/>
  <c r="BI170" i="1"/>
  <c r="BH170" i="1"/>
  <c r="BI169" i="1"/>
  <c r="BH169" i="1"/>
  <c r="BI168" i="1"/>
  <c r="BI167" i="1"/>
  <c r="BH168" i="1"/>
  <c r="BH167" i="1"/>
  <c r="BI165" i="1"/>
  <c r="BH165" i="1"/>
  <c r="BI163" i="1"/>
  <c r="BH163" i="1"/>
  <c r="BI162" i="1"/>
  <c r="BH162" i="1"/>
  <c r="BI161" i="1"/>
  <c r="BH161" i="1"/>
  <c r="BI160" i="1"/>
  <c r="BH160" i="1"/>
  <c r="BH155" i="1"/>
  <c r="BI159" i="1"/>
  <c r="BH159" i="1"/>
  <c r="BI158" i="1"/>
  <c r="BH158" i="1"/>
  <c r="BI157" i="1"/>
  <c r="BH157" i="1"/>
  <c r="BI156" i="1"/>
  <c r="BI155" i="1"/>
  <c r="BH156" i="1"/>
  <c r="BI153" i="1"/>
  <c r="BH153" i="1"/>
  <c r="BI152" i="1"/>
  <c r="BH152" i="1"/>
  <c r="BI151" i="1"/>
  <c r="BH151" i="1"/>
  <c r="BI150" i="1"/>
  <c r="BH150" i="1"/>
  <c r="BI149" i="1"/>
  <c r="BH149" i="1"/>
  <c r="BI147" i="1"/>
  <c r="BH147" i="1"/>
  <c r="BI146" i="1"/>
  <c r="BH146" i="1"/>
  <c r="BI145" i="1"/>
  <c r="BH145" i="1"/>
  <c r="BI144" i="1"/>
  <c r="BH144" i="1"/>
  <c r="BI143" i="1"/>
  <c r="BH143" i="1"/>
  <c r="BI142" i="1"/>
  <c r="BH142" i="1"/>
  <c r="BI141" i="1"/>
  <c r="BH141" i="1"/>
  <c r="BI140" i="1"/>
  <c r="BI139" i="1"/>
  <c r="BH140" i="1"/>
  <c r="BH139" i="1"/>
  <c r="BI137" i="1"/>
  <c r="BH137" i="1"/>
  <c r="BI134" i="1"/>
  <c r="BH134" i="1"/>
  <c r="BI133" i="1"/>
  <c r="BH133" i="1"/>
  <c r="BI132" i="1"/>
  <c r="BI131" i="1"/>
  <c r="BH132" i="1"/>
  <c r="BH131" i="1"/>
  <c r="BI129" i="1"/>
  <c r="BH129" i="1"/>
  <c r="BI128" i="1"/>
  <c r="BH128" i="1"/>
  <c r="BI127" i="1"/>
  <c r="BH127" i="1"/>
  <c r="BI126" i="1"/>
  <c r="BI125" i="1"/>
  <c r="BH126" i="1"/>
  <c r="BH125" i="1"/>
  <c r="BI123" i="1"/>
  <c r="BH123" i="1"/>
  <c r="BI122" i="1"/>
  <c r="BH122" i="1"/>
  <c r="BI121" i="1"/>
  <c r="BH121" i="1"/>
  <c r="BI120" i="1"/>
  <c r="BH120" i="1"/>
  <c r="BI119" i="1"/>
  <c r="BI118" i="1"/>
  <c r="BH119" i="1"/>
  <c r="BH118" i="1"/>
  <c r="BI116" i="1"/>
  <c r="BH116" i="1"/>
  <c r="BI115" i="1"/>
  <c r="BH115" i="1"/>
  <c r="BI114" i="1"/>
  <c r="BH114" i="1"/>
  <c r="BI113" i="1"/>
  <c r="BH113" i="1"/>
  <c r="BI112" i="1"/>
  <c r="BI111" i="1"/>
  <c r="BH112" i="1"/>
  <c r="BH111" i="1"/>
  <c r="BI109" i="1"/>
  <c r="BH109" i="1"/>
  <c r="BI108" i="1"/>
  <c r="BH108" i="1"/>
  <c r="BI107" i="1"/>
  <c r="BI106" i="1"/>
  <c r="BH107" i="1"/>
  <c r="BH106" i="1"/>
  <c r="BI102" i="1"/>
  <c r="BH102" i="1"/>
  <c r="BI101" i="1"/>
  <c r="BH101" i="1"/>
  <c r="BI100" i="1"/>
  <c r="BH100" i="1"/>
  <c r="BI99" i="1"/>
  <c r="BH99" i="1"/>
  <c r="BI98" i="1"/>
  <c r="BH98" i="1"/>
  <c r="BI97" i="1"/>
  <c r="BH97" i="1"/>
  <c r="BI96" i="1"/>
  <c r="BH96" i="1"/>
  <c r="BI95" i="1"/>
  <c r="BI94" i="1"/>
  <c r="BH95" i="1"/>
  <c r="BH94" i="1"/>
  <c r="BI92" i="1"/>
  <c r="BH92" i="1"/>
  <c r="BI91" i="1"/>
  <c r="BH91" i="1"/>
  <c r="BI90" i="1"/>
  <c r="BH90" i="1"/>
  <c r="BI89" i="1"/>
  <c r="BH89" i="1"/>
  <c r="BI88" i="1"/>
  <c r="BH88" i="1"/>
  <c r="BI87" i="1"/>
  <c r="BH87" i="1"/>
  <c r="BI86" i="1"/>
  <c r="BH86" i="1"/>
  <c r="BI84" i="1"/>
  <c r="BH84" i="1"/>
  <c r="BI83" i="1"/>
  <c r="BI82" i="1"/>
  <c r="BH83" i="1"/>
  <c r="BH82" i="1"/>
  <c r="BI80" i="1"/>
  <c r="BH80" i="1"/>
  <c r="BH77" i="1"/>
  <c r="BI79" i="1"/>
  <c r="BH79" i="1"/>
  <c r="BI78" i="1"/>
  <c r="BI77" i="1"/>
  <c r="BH78" i="1"/>
  <c r="BI75" i="1"/>
  <c r="BH75" i="1"/>
  <c r="BI74" i="1"/>
  <c r="BH74" i="1"/>
  <c r="BI73" i="1"/>
  <c r="BH73" i="1"/>
  <c r="BH72" i="1"/>
  <c r="BI70" i="1"/>
  <c r="BH70" i="1"/>
  <c r="BI69" i="1"/>
  <c r="BH69" i="1"/>
  <c r="BI68" i="1"/>
  <c r="BH68" i="1"/>
  <c r="BI65" i="1"/>
  <c r="BH65" i="1"/>
  <c r="BI64" i="1"/>
  <c r="BI63" i="1"/>
  <c r="BH64" i="1"/>
  <c r="BH63" i="1"/>
  <c r="BI61" i="1"/>
  <c r="BH61" i="1"/>
  <c r="BI59" i="1"/>
  <c r="BH59" i="1"/>
  <c r="BH58" i="1"/>
  <c r="BH52" i="1"/>
  <c r="BI58" i="1"/>
  <c r="BI57" i="1"/>
  <c r="BH57" i="1"/>
  <c r="BI56" i="1"/>
  <c r="BH56" i="1"/>
  <c r="BI55" i="1"/>
  <c r="BH55" i="1"/>
  <c r="BI54" i="1"/>
  <c r="BH54" i="1"/>
  <c r="BI53" i="1"/>
  <c r="BI52" i="1"/>
  <c r="BH53" i="1"/>
  <c r="BI50" i="1"/>
  <c r="BH50" i="1"/>
  <c r="BI49" i="1"/>
  <c r="BH49" i="1"/>
  <c r="BI48" i="1"/>
  <c r="BH48" i="1"/>
  <c r="BI47" i="1"/>
  <c r="BH47" i="1"/>
  <c r="BI46" i="1"/>
  <c r="BH46" i="1"/>
  <c r="BI42" i="1"/>
  <c r="BH42" i="1"/>
  <c r="BI41" i="1"/>
  <c r="BH41" i="1"/>
  <c r="BI40" i="1"/>
  <c r="BH40" i="1"/>
  <c r="BI36" i="1"/>
  <c r="BH36" i="1"/>
  <c r="BI34" i="1"/>
  <c r="BH34" i="1"/>
  <c r="BI33" i="1"/>
  <c r="BH33" i="1"/>
  <c r="BI32" i="1"/>
  <c r="BH32" i="1"/>
  <c r="BI31" i="1"/>
  <c r="BH31" i="1"/>
  <c r="BI30" i="1"/>
  <c r="BH30" i="1"/>
  <c r="BI28" i="1"/>
  <c r="BH28" i="1"/>
  <c r="BI26" i="1"/>
  <c r="BH26" i="1"/>
  <c r="BI24" i="1"/>
  <c r="BH24" i="1"/>
  <c r="BI23" i="1"/>
  <c r="BH23" i="1"/>
  <c r="BI22" i="1"/>
  <c r="BH22" i="1"/>
  <c r="BI21" i="1"/>
  <c r="BH21" i="1"/>
  <c r="BI19" i="1"/>
  <c r="BH19" i="1"/>
  <c r="BI18" i="1"/>
  <c r="BH18" i="1"/>
  <c r="BI17" i="1"/>
  <c r="BI16" i="1"/>
  <c r="BH17" i="1"/>
  <c r="BH16" i="1"/>
  <c r="BH14" i="1"/>
  <c r="BK863" i="1"/>
  <c r="BJ863" i="1"/>
  <c r="BK860" i="1"/>
  <c r="BJ860" i="1"/>
  <c r="BK856" i="1"/>
  <c r="BJ856" i="1"/>
  <c r="BK845" i="1"/>
  <c r="BJ845" i="1"/>
  <c r="BK842" i="1"/>
  <c r="BJ842" i="1"/>
  <c r="BK827" i="1"/>
  <c r="BJ827" i="1"/>
  <c r="BK790" i="1"/>
  <c r="BJ790" i="1"/>
  <c r="BK783" i="1"/>
  <c r="BJ783" i="1"/>
  <c r="BK768" i="1"/>
  <c r="BJ768" i="1"/>
  <c r="BK742" i="1"/>
  <c r="BJ742" i="1"/>
  <c r="BK738" i="1"/>
  <c r="BJ738" i="1"/>
  <c r="BK728" i="1"/>
  <c r="BJ728" i="1"/>
  <c r="BK725" i="1"/>
  <c r="BJ725" i="1"/>
  <c r="BK718" i="1"/>
  <c r="BJ718" i="1"/>
  <c r="BK711" i="1"/>
  <c r="BK691" i="1"/>
  <c r="BJ711" i="1"/>
  <c r="BJ691" i="1"/>
  <c r="BK705" i="1"/>
  <c r="BJ705" i="1"/>
  <c r="BK702" i="1"/>
  <c r="BJ702" i="1"/>
  <c r="BK699" i="1"/>
  <c r="BJ699" i="1"/>
  <c r="BK696" i="1"/>
  <c r="BJ696" i="1"/>
  <c r="BK693" i="1"/>
  <c r="BJ693" i="1"/>
  <c r="BK685" i="1"/>
  <c r="BJ685" i="1"/>
  <c r="BK681" i="1"/>
  <c r="BJ681" i="1"/>
  <c r="BK669" i="1"/>
  <c r="BK664" i="1"/>
  <c r="BJ669" i="1"/>
  <c r="BJ664" i="1"/>
  <c r="BK666" i="1"/>
  <c r="BJ666" i="1"/>
  <c r="BK655" i="1"/>
  <c r="BJ655" i="1"/>
  <c r="BK645" i="1"/>
  <c r="BJ645" i="1"/>
  <c r="BK637" i="1"/>
  <c r="BJ637" i="1"/>
  <c r="BK634" i="1"/>
  <c r="BK632" i="1"/>
  <c r="BK630" i="1"/>
  <c r="BK628" i="1"/>
  <c r="BJ634" i="1"/>
  <c r="BJ632" i="1"/>
  <c r="BJ630" i="1"/>
  <c r="BJ628" i="1"/>
  <c r="BK625" i="1"/>
  <c r="BJ625" i="1"/>
  <c r="BK621" i="1"/>
  <c r="BJ621" i="1"/>
  <c r="BK619" i="1"/>
  <c r="BJ619" i="1"/>
  <c r="BJ609" i="1"/>
  <c r="BK616" i="1"/>
  <c r="BJ616" i="1"/>
  <c r="BK613" i="1"/>
  <c r="BJ613" i="1"/>
  <c r="BJ611" i="1"/>
  <c r="BK606" i="1"/>
  <c r="BJ606" i="1"/>
  <c r="BK600" i="1"/>
  <c r="BJ600" i="1"/>
  <c r="BK592" i="1"/>
  <c r="BJ592" i="1"/>
  <c r="BK585" i="1"/>
  <c r="BJ585" i="1"/>
  <c r="BK581" i="1"/>
  <c r="BJ581" i="1"/>
  <c r="BK579" i="1"/>
  <c r="BJ579" i="1"/>
  <c r="BK571" i="1"/>
  <c r="BJ571" i="1"/>
  <c r="BK569" i="1"/>
  <c r="BK567" i="1"/>
  <c r="BJ569" i="1"/>
  <c r="BJ567" i="1"/>
  <c r="BK563" i="1"/>
  <c r="BJ563" i="1"/>
  <c r="BK558" i="1"/>
  <c r="BJ558" i="1"/>
  <c r="BK555" i="1"/>
  <c r="BJ555" i="1"/>
  <c r="BK549" i="1"/>
  <c r="BJ549" i="1"/>
  <c r="BK543" i="1"/>
  <c r="BJ543" i="1"/>
  <c r="BK535" i="1"/>
  <c r="BJ535" i="1"/>
  <c r="BK532" i="1"/>
  <c r="BJ532" i="1"/>
  <c r="BK526" i="1"/>
  <c r="BJ526" i="1"/>
  <c r="BK507" i="1"/>
  <c r="BK505" i="1"/>
  <c r="BJ507" i="1"/>
  <c r="BJ505" i="1"/>
  <c r="BK500" i="1"/>
  <c r="BJ500" i="1"/>
  <c r="BK488" i="1"/>
  <c r="BJ488" i="1"/>
  <c r="BK482" i="1"/>
  <c r="BJ482" i="1"/>
  <c r="BK472" i="1"/>
  <c r="BJ472" i="1"/>
  <c r="BK464" i="1"/>
  <c r="BJ464" i="1"/>
  <c r="BK458" i="1"/>
  <c r="BJ458" i="1"/>
  <c r="BK451" i="1"/>
  <c r="BJ451" i="1"/>
  <c r="BK444" i="1"/>
  <c r="BJ444" i="1"/>
  <c r="BK439" i="1"/>
  <c r="BJ439" i="1"/>
  <c r="BK427" i="1"/>
  <c r="BJ427" i="1"/>
  <c r="BK419" i="1"/>
  <c r="BJ419" i="1"/>
  <c r="BK416" i="1"/>
  <c r="BJ416" i="1"/>
  <c r="BK411" i="1"/>
  <c r="BJ411" i="1"/>
  <c r="BK406" i="1"/>
  <c r="BJ406" i="1"/>
  <c r="BK401" i="1"/>
  <c r="BJ401" i="1"/>
  <c r="BK397" i="1"/>
  <c r="BJ397" i="1"/>
  <c r="BK386" i="1"/>
  <c r="BJ386" i="1"/>
  <c r="BK380" i="1"/>
  <c r="BJ380" i="1"/>
  <c r="BK375" i="1"/>
  <c r="BJ375" i="1"/>
  <c r="BK368" i="1"/>
  <c r="BJ368" i="1"/>
  <c r="BK366" i="1"/>
  <c r="BJ366" i="1"/>
  <c r="BK361" i="1"/>
  <c r="BJ361" i="1"/>
  <c r="BK358" i="1"/>
  <c r="BJ358" i="1"/>
  <c r="BK354" i="1"/>
  <c r="BJ354" i="1"/>
  <c r="BK349" i="1"/>
  <c r="BK347" i="1"/>
  <c r="BJ349" i="1"/>
  <c r="BJ347" i="1"/>
  <c r="BK329" i="1"/>
  <c r="BJ329" i="1"/>
  <c r="BK326" i="1"/>
  <c r="BJ326" i="1"/>
  <c r="BK322" i="1"/>
  <c r="BJ322" i="1"/>
  <c r="BK319" i="1"/>
  <c r="BJ319" i="1"/>
  <c r="BK316" i="1"/>
  <c r="BJ316" i="1"/>
  <c r="BK313" i="1"/>
  <c r="BJ313" i="1"/>
  <c r="BK310" i="1"/>
  <c r="BK308" i="1"/>
  <c r="BJ310" i="1"/>
  <c r="BJ308" i="1"/>
  <c r="BK305" i="1"/>
  <c r="BJ305" i="1"/>
  <c r="BK302" i="1"/>
  <c r="BJ302" i="1"/>
  <c r="BK298" i="1"/>
  <c r="BJ298" i="1"/>
  <c r="BK293" i="1"/>
  <c r="BJ293" i="1"/>
  <c r="BK288" i="1"/>
  <c r="BJ288" i="1"/>
  <c r="BK279" i="1"/>
  <c r="BJ279" i="1"/>
  <c r="BK275" i="1"/>
  <c r="BJ275" i="1"/>
  <c r="BK267" i="1"/>
  <c r="BJ267" i="1"/>
  <c r="BK259" i="1"/>
  <c r="BJ259" i="1"/>
  <c r="BK251" i="1"/>
  <c r="BJ251" i="1"/>
  <c r="BK246" i="1"/>
  <c r="BK244" i="1"/>
  <c r="BJ246" i="1"/>
  <c r="BJ244" i="1"/>
  <c r="BK238" i="1"/>
  <c r="BJ238" i="1"/>
  <c r="BK237" i="1"/>
  <c r="BJ237" i="1"/>
  <c r="BJ236" i="1"/>
  <c r="BK236" i="1"/>
  <c r="BK234" i="1"/>
  <c r="BJ234" i="1"/>
  <c r="BJ230" i="1"/>
  <c r="BK233" i="1"/>
  <c r="BJ233" i="1"/>
  <c r="BK231" i="1"/>
  <c r="BJ231" i="1"/>
  <c r="BK230" i="1"/>
  <c r="BK228" i="1"/>
  <c r="BK227" i="1"/>
  <c r="BJ228" i="1"/>
  <c r="BJ227" i="1"/>
  <c r="BK225" i="1"/>
  <c r="BK224" i="1"/>
  <c r="BJ225" i="1"/>
  <c r="BJ224" i="1"/>
  <c r="BK222" i="1"/>
  <c r="BJ222" i="1"/>
  <c r="BK221" i="1"/>
  <c r="BJ221" i="1"/>
  <c r="BK220" i="1"/>
  <c r="BJ220" i="1"/>
  <c r="BK219" i="1"/>
  <c r="BK218" i="1"/>
  <c r="BJ219" i="1"/>
  <c r="BK216" i="1"/>
  <c r="BJ216" i="1"/>
  <c r="BK215" i="1"/>
  <c r="BJ215" i="1"/>
  <c r="BK214" i="1"/>
  <c r="BJ214" i="1"/>
  <c r="BK213" i="1"/>
  <c r="BK212" i="1"/>
  <c r="BJ213" i="1"/>
  <c r="BJ212" i="1"/>
  <c r="BK205" i="1"/>
  <c r="BK204" i="1"/>
  <c r="BJ205" i="1"/>
  <c r="BJ204" i="1"/>
  <c r="BK202" i="1"/>
  <c r="BK201" i="1"/>
  <c r="BJ202" i="1"/>
  <c r="BJ201" i="1"/>
  <c r="BK197" i="1"/>
  <c r="BJ197" i="1"/>
  <c r="BK196" i="1"/>
  <c r="BK195" i="1"/>
  <c r="BJ196" i="1"/>
  <c r="BJ195" i="1"/>
  <c r="BK193" i="1"/>
  <c r="BJ193" i="1"/>
  <c r="BK191" i="1"/>
  <c r="BJ191" i="1"/>
  <c r="BK189" i="1"/>
  <c r="BJ189" i="1"/>
  <c r="BK187" i="1"/>
  <c r="BJ187" i="1"/>
  <c r="BK185" i="1"/>
  <c r="BK184" i="1"/>
  <c r="BJ185" i="1"/>
  <c r="BJ184" i="1"/>
  <c r="BK182" i="1"/>
  <c r="BJ182" i="1"/>
  <c r="BK180" i="1"/>
  <c r="BJ180" i="1"/>
  <c r="BK179" i="1"/>
  <c r="BJ179" i="1"/>
  <c r="BK177" i="1"/>
  <c r="BJ177" i="1"/>
  <c r="BK176" i="1"/>
  <c r="BJ176" i="1"/>
  <c r="BK175" i="1"/>
  <c r="BJ175" i="1"/>
  <c r="BK174" i="1"/>
  <c r="BJ174" i="1"/>
  <c r="BK170" i="1"/>
  <c r="BJ170" i="1"/>
  <c r="BK169" i="1"/>
  <c r="BJ169" i="1"/>
  <c r="BK168" i="1"/>
  <c r="BK167" i="1"/>
  <c r="BJ168" i="1"/>
  <c r="BJ167" i="1"/>
  <c r="BK165" i="1"/>
  <c r="BJ165" i="1"/>
  <c r="BK163" i="1"/>
  <c r="BJ163" i="1"/>
  <c r="BK162" i="1"/>
  <c r="BJ162" i="1"/>
  <c r="BK161" i="1"/>
  <c r="BJ161" i="1"/>
  <c r="BK160" i="1"/>
  <c r="BK155" i="1"/>
  <c r="BJ160" i="1"/>
  <c r="BK159" i="1"/>
  <c r="BJ159" i="1"/>
  <c r="BK158" i="1"/>
  <c r="BJ158" i="1"/>
  <c r="BK157" i="1"/>
  <c r="BJ157" i="1"/>
  <c r="BK156" i="1"/>
  <c r="BJ156" i="1"/>
  <c r="BJ155" i="1"/>
  <c r="BK153" i="1"/>
  <c r="BJ153" i="1"/>
  <c r="BK152" i="1"/>
  <c r="BJ152" i="1"/>
  <c r="BK151" i="1"/>
  <c r="BJ151" i="1"/>
  <c r="BK150" i="1"/>
  <c r="BJ150" i="1"/>
  <c r="BK149" i="1"/>
  <c r="BJ149" i="1"/>
  <c r="BK147" i="1"/>
  <c r="BK139" i="1"/>
  <c r="BJ147" i="1"/>
  <c r="BK146" i="1"/>
  <c r="BJ146" i="1"/>
  <c r="BK145" i="1"/>
  <c r="BJ145" i="1"/>
  <c r="BK144" i="1"/>
  <c r="BJ144" i="1"/>
  <c r="BK143" i="1"/>
  <c r="BJ143" i="1"/>
  <c r="BK142" i="1"/>
  <c r="BJ142" i="1"/>
  <c r="BK141" i="1"/>
  <c r="BJ141" i="1"/>
  <c r="BK140" i="1"/>
  <c r="BJ140" i="1"/>
  <c r="BJ139" i="1"/>
  <c r="BK137" i="1"/>
  <c r="BJ137" i="1"/>
  <c r="BK134" i="1"/>
  <c r="BJ134" i="1"/>
  <c r="BK133" i="1"/>
  <c r="BJ133" i="1"/>
  <c r="BK132" i="1"/>
  <c r="BJ132" i="1"/>
  <c r="BJ131" i="1"/>
  <c r="BK131" i="1"/>
  <c r="BK129" i="1"/>
  <c r="BK125" i="1"/>
  <c r="BJ129" i="1"/>
  <c r="BK128" i="1"/>
  <c r="BJ128" i="1"/>
  <c r="BK127" i="1"/>
  <c r="BJ127" i="1"/>
  <c r="BK126" i="1"/>
  <c r="BJ126" i="1"/>
  <c r="BJ125" i="1"/>
  <c r="BK123" i="1"/>
  <c r="BJ123" i="1"/>
  <c r="BK122" i="1"/>
  <c r="BJ122" i="1"/>
  <c r="BK121" i="1"/>
  <c r="BJ121" i="1"/>
  <c r="BK120" i="1"/>
  <c r="BJ120" i="1"/>
  <c r="BK119" i="1"/>
  <c r="BK118" i="1"/>
  <c r="BJ119" i="1"/>
  <c r="BJ118" i="1"/>
  <c r="BK116" i="1"/>
  <c r="BJ116" i="1"/>
  <c r="BK115" i="1"/>
  <c r="BJ115" i="1"/>
  <c r="BK114" i="1"/>
  <c r="BJ114" i="1"/>
  <c r="BK113" i="1"/>
  <c r="BJ113" i="1"/>
  <c r="BK112" i="1"/>
  <c r="BK111" i="1"/>
  <c r="BJ112" i="1"/>
  <c r="BJ111" i="1"/>
  <c r="BK109" i="1"/>
  <c r="BJ109" i="1"/>
  <c r="BK108" i="1"/>
  <c r="BJ108" i="1"/>
  <c r="BK107" i="1"/>
  <c r="BK106" i="1"/>
  <c r="BJ107" i="1"/>
  <c r="BJ106" i="1"/>
  <c r="BK102" i="1"/>
  <c r="BJ102" i="1"/>
  <c r="BK101" i="1"/>
  <c r="BJ101" i="1"/>
  <c r="BK100" i="1"/>
  <c r="BJ100" i="1"/>
  <c r="BK99" i="1"/>
  <c r="BJ99" i="1"/>
  <c r="BK98" i="1"/>
  <c r="BJ98" i="1"/>
  <c r="BK97" i="1"/>
  <c r="BJ97" i="1"/>
  <c r="BK96" i="1"/>
  <c r="BJ96" i="1"/>
  <c r="BK95" i="1"/>
  <c r="BK94" i="1"/>
  <c r="BJ95" i="1"/>
  <c r="BJ94" i="1"/>
  <c r="BK92" i="1"/>
  <c r="BJ92" i="1"/>
  <c r="BK91" i="1"/>
  <c r="BJ91" i="1"/>
  <c r="BK90" i="1"/>
  <c r="BJ90" i="1"/>
  <c r="BK89" i="1"/>
  <c r="BJ89" i="1"/>
  <c r="BK88" i="1"/>
  <c r="BJ88" i="1"/>
  <c r="BK87" i="1"/>
  <c r="BJ87" i="1"/>
  <c r="BK86" i="1"/>
  <c r="BJ86" i="1"/>
  <c r="BK84" i="1"/>
  <c r="BJ84" i="1"/>
  <c r="BK83" i="1"/>
  <c r="BK82" i="1"/>
  <c r="BJ83" i="1"/>
  <c r="BJ82" i="1"/>
  <c r="BK80" i="1"/>
  <c r="BJ80" i="1"/>
  <c r="BJ77" i="1"/>
  <c r="BK79" i="1"/>
  <c r="BJ79" i="1"/>
  <c r="BK78" i="1"/>
  <c r="BJ78" i="1"/>
  <c r="BK75" i="1"/>
  <c r="BJ75" i="1"/>
  <c r="BK74" i="1"/>
  <c r="BJ74" i="1"/>
  <c r="BK73" i="1"/>
  <c r="BJ73" i="1"/>
  <c r="BK70" i="1"/>
  <c r="BJ70" i="1"/>
  <c r="BK69" i="1"/>
  <c r="BJ69" i="1"/>
  <c r="BK68" i="1"/>
  <c r="BK67" i="1"/>
  <c r="BJ68" i="1"/>
  <c r="BJ67" i="1"/>
  <c r="BK65" i="1"/>
  <c r="BJ65" i="1"/>
  <c r="BK64" i="1"/>
  <c r="BJ64" i="1"/>
  <c r="BJ63" i="1"/>
  <c r="BK63" i="1"/>
  <c r="BK61" i="1"/>
  <c r="BJ61" i="1"/>
  <c r="BK59" i="1"/>
  <c r="BJ59" i="1"/>
  <c r="BK58" i="1"/>
  <c r="BJ58" i="1"/>
  <c r="BK57" i="1"/>
  <c r="BJ57" i="1"/>
  <c r="BK56" i="1"/>
  <c r="BJ56" i="1"/>
  <c r="BK55" i="1"/>
  <c r="BJ55" i="1"/>
  <c r="BK54" i="1"/>
  <c r="BJ54" i="1"/>
  <c r="BK53" i="1"/>
  <c r="BK52" i="1"/>
  <c r="BJ53" i="1"/>
  <c r="BJ52" i="1"/>
  <c r="BK50" i="1"/>
  <c r="BJ50" i="1"/>
  <c r="BK49" i="1"/>
  <c r="BJ49" i="1"/>
  <c r="BK48" i="1"/>
  <c r="BJ48" i="1"/>
  <c r="BK47" i="1"/>
  <c r="BJ47" i="1"/>
  <c r="BK46" i="1"/>
  <c r="BJ46" i="1"/>
  <c r="BK42" i="1"/>
  <c r="BJ42" i="1"/>
  <c r="BK41" i="1"/>
  <c r="BJ41" i="1"/>
  <c r="BK38" i="1"/>
  <c r="BJ38" i="1"/>
  <c r="BK36" i="1"/>
  <c r="BJ36" i="1"/>
  <c r="BK34" i="1"/>
  <c r="BJ34" i="1"/>
  <c r="BK33" i="1"/>
  <c r="BJ33" i="1"/>
  <c r="BK32" i="1"/>
  <c r="BJ32" i="1"/>
  <c r="BK31" i="1"/>
  <c r="BJ31" i="1"/>
  <c r="BK30" i="1"/>
  <c r="BJ30" i="1"/>
  <c r="BK28" i="1"/>
  <c r="BJ28" i="1"/>
  <c r="BK26" i="1"/>
  <c r="BJ26" i="1"/>
  <c r="BK24" i="1"/>
  <c r="BJ24" i="1"/>
  <c r="BK23" i="1"/>
  <c r="BJ23" i="1"/>
  <c r="BK22" i="1"/>
  <c r="BJ22" i="1"/>
  <c r="BK21" i="1"/>
  <c r="BJ21" i="1"/>
  <c r="BK19" i="1"/>
  <c r="BJ19" i="1"/>
  <c r="BK18" i="1"/>
  <c r="BJ18" i="1"/>
  <c r="BK17" i="1"/>
  <c r="BK16" i="1"/>
  <c r="BJ17" i="1"/>
  <c r="BJ16" i="1"/>
  <c r="BJ14" i="1"/>
  <c r="BM863" i="1"/>
  <c r="BL863" i="1"/>
  <c r="BM860" i="1"/>
  <c r="BL860" i="1"/>
  <c r="BM856" i="1"/>
  <c r="BL856" i="1"/>
  <c r="BM845" i="1"/>
  <c r="BL845" i="1"/>
  <c r="BM842" i="1"/>
  <c r="BL842" i="1"/>
  <c r="BM827" i="1"/>
  <c r="BL827" i="1"/>
  <c r="BM790" i="1"/>
  <c r="BL790" i="1"/>
  <c r="BM783" i="1"/>
  <c r="BL783" i="1"/>
  <c r="BM768" i="1"/>
  <c r="BL768" i="1"/>
  <c r="BM742" i="1"/>
  <c r="BL742" i="1"/>
  <c r="BM738" i="1"/>
  <c r="BL738" i="1"/>
  <c r="BM728" i="1"/>
  <c r="BL728" i="1"/>
  <c r="BM725" i="1"/>
  <c r="BL725" i="1"/>
  <c r="BM718" i="1"/>
  <c r="BL718" i="1"/>
  <c r="BM711" i="1"/>
  <c r="BM691" i="1"/>
  <c r="BL711" i="1"/>
  <c r="BL691" i="1"/>
  <c r="BM705" i="1"/>
  <c r="BL705" i="1"/>
  <c r="BM702" i="1"/>
  <c r="BL702" i="1"/>
  <c r="BM699" i="1"/>
  <c r="BL699" i="1"/>
  <c r="BM696" i="1"/>
  <c r="BL696" i="1"/>
  <c r="BM693" i="1"/>
  <c r="BL693" i="1"/>
  <c r="BM685" i="1"/>
  <c r="BL685" i="1"/>
  <c r="BM681" i="1"/>
  <c r="BL681" i="1"/>
  <c r="BM669" i="1"/>
  <c r="BM664" i="1"/>
  <c r="BL669" i="1"/>
  <c r="BL664" i="1"/>
  <c r="BM666" i="1"/>
  <c r="BL666" i="1"/>
  <c r="BM655" i="1"/>
  <c r="BL655" i="1"/>
  <c r="BM645" i="1"/>
  <c r="BL645" i="1"/>
  <c r="BM637" i="1"/>
  <c r="BL637" i="1"/>
  <c r="BM634" i="1"/>
  <c r="BM632" i="1"/>
  <c r="BM630" i="1"/>
  <c r="BM628" i="1"/>
  <c r="BL634" i="1"/>
  <c r="BL632" i="1"/>
  <c r="BL630" i="1"/>
  <c r="BL628" i="1"/>
  <c r="BM625" i="1"/>
  <c r="BL625" i="1"/>
  <c r="BM621" i="1"/>
  <c r="BL621" i="1"/>
  <c r="BM619" i="1"/>
  <c r="BL619" i="1"/>
  <c r="BM616" i="1"/>
  <c r="BL616" i="1"/>
  <c r="BM613" i="1"/>
  <c r="BM611" i="1"/>
  <c r="BM609" i="1"/>
  <c r="BL613" i="1"/>
  <c r="BL611" i="1"/>
  <c r="BL609" i="1"/>
  <c r="BM606" i="1"/>
  <c r="BL606" i="1"/>
  <c r="BM600" i="1"/>
  <c r="BL600" i="1"/>
  <c r="BM592" i="1"/>
  <c r="BL592" i="1"/>
  <c r="BM585" i="1"/>
  <c r="BL585" i="1"/>
  <c r="BM581" i="1"/>
  <c r="BL581" i="1"/>
  <c r="BM579" i="1"/>
  <c r="BL579" i="1"/>
  <c r="BM571" i="1"/>
  <c r="BL571" i="1"/>
  <c r="BM569" i="1"/>
  <c r="BM567" i="1"/>
  <c r="BL569" i="1"/>
  <c r="BL567" i="1"/>
  <c r="BM563" i="1"/>
  <c r="BL563" i="1"/>
  <c r="BM558" i="1"/>
  <c r="BL558" i="1"/>
  <c r="BM555" i="1"/>
  <c r="BL555" i="1"/>
  <c r="BM549" i="1"/>
  <c r="BL549" i="1"/>
  <c r="BM543" i="1"/>
  <c r="BL543" i="1"/>
  <c r="BM535" i="1"/>
  <c r="BL535" i="1"/>
  <c r="BM532" i="1"/>
  <c r="BL532" i="1"/>
  <c r="BM526" i="1"/>
  <c r="BL526" i="1"/>
  <c r="BM507" i="1"/>
  <c r="BM505" i="1"/>
  <c r="BL507" i="1"/>
  <c r="BL505" i="1"/>
  <c r="BM500" i="1"/>
  <c r="BL500" i="1"/>
  <c r="BM488" i="1"/>
  <c r="BL488" i="1"/>
  <c r="BM482" i="1"/>
  <c r="BL482" i="1"/>
  <c r="BM472" i="1"/>
  <c r="BL472" i="1"/>
  <c r="BM464" i="1"/>
  <c r="BL464" i="1"/>
  <c r="BM458" i="1"/>
  <c r="BL458" i="1"/>
  <c r="BM451" i="1"/>
  <c r="BL451" i="1"/>
  <c r="BM444" i="1"/>
  <c r="BL444" i="1"/>
  <c r="BM439" i="1"/>
  <c r="BL439" i="1"/>
  <c r="BM427" i="1"/>
  <c r="BL427" i="1"/>
  <c r="BM419" i="1"/>
  <c r="BL419" i="1"/>
  <c r="BM416" i="1"/>
  <c r="BL416" i="1"/>
  <c r="BM411" i="1"/>
  <c r="BL411" i="1"/>
  <c r="BM406" i="1"/>
  <c r="BL406" i="1"/>
  <c r="BM401" i="1"/>
  <c r="BL401" i="1"/>
  <c r="BM397" i="1"/>
  <c r="BL397" i="1"/>
  <c r="BM386" i="1"/>
  <c r="BL386" i="1"/>
  <c r="BM380" i="1"/>
  <c r="BL380" i="1"/>
  <c r="BM375" i="1"/>
  <c r="BL375" i="1"/>
  <c r="BM368" i="1"/>
  <c r="BL368" i="1"/>
  <c r="BM366" i="1"/>
  <c r="BL366" i="1"/>
  <c r="BM361" i="1"/>
  <c r="BL361" i="1"/>
  <c r="BM358" i="1"/>
  <c r="BL358" i="1"/>
  <c r="BM354" i="1"/>
  <c r="BL354" i="1"/>
  <c r="BM349" i="1"/>
  <c r="BM347" i="1"/>
  <c r="BL349" i="1"/>
  <c r="BL347" i="1"/>
  <c r="BM329" i="1"/>
  <c r="BL329" i="1"/>
  <c r="BM326" i="1"/>
  <c r="BL326" i="1"/>
  <c r="BM322" i="1"/>
  <c r="BL322" i="1"/>
  <c r="BM319" i="1"/>
  <c r="BL319" i="1"/>
  <c r="BM316" i="1"/>
  <c r="BL316" i="1"/>
  <c r="BM313" i="1"/>
  <c r="BL313" i="1"/>
  <c r="BM310" i="1"/>
  <c r="BL310" i="1"/>
  <c r="BL308" i="1"/>
  <c r="BM308" i="1"/>
  <c r="BM305" i="1"/>
  <c r="BL305" i="1"/>
  <c r="BM302" i="1"/>
  <c r="BL302" i="1"/>
  <c r="BM298" i="1"/>
  <c r="BL298" i="1"/>
  <c r="BM293" i="1"/>
  <c r="BL293" i="1"/>
  <c r="BM288" i="1"/>
  <c r="BL288" i="1"/>
  <c r="BM279" i="1"/>
  <c r="BM273" i="1"/>
  <c r="BL279" i="1"/>
  <c r="BM275" i="1"/>
  <c r="BL275" i="1"/>
  <c r="BM267" i="1"/>
  <c r="BL267" i="1"/>
  <c r="BM259" i="1"/>
  <c r="BL259" i="1"/>
  <c r="BM251" i="1"/>
  <c r="BL251" i="1"/>
  <c r="BM246" i="1"/>
  <c r="BM244" i="1"/>
  <c r="BL246" i="1"/>
  <c r="BM238" i="1"/>
  <c r="BL238" i="1"/>
  <c r="BM237" i="1"/>
  <c r="BL237" i="1"/>
  <c r="BM236" i="1"/>
  <c r="BL236" i="1"/>
  <c r="BM234" i="1"/>
  <c r="BL234" i="1"/>
  <c r="BM233" i="1"/>
  <c r="BL233" i="1"/>
  <c r="BM231" i="1"/>
  <c r="BL231" i="1"/>
  <c r="BM230" i="1"/>
  <c r="BL230" i="1"/>
  <c r="BM228" i="1"/>
  <c r="BL228" i="1"/>
  <c r="BM227" i="1"/>
  <c r="BL227" i="1"/>
  <c r="BM225" i="1"/>
  <c r="BM224" i="1"/>
  <c r="BL225" i="1"/>
  <c r="BL224" i="1"/>
  <c r="BM222" i="1"/>
  <c r="BL222" i="1"/>
  <c r="BM221" i="1"/>
  <c r="BL221" i="1"/>
  <c r="BM220" i="1"/>
  <c r="BL220" i="1"/>
  <c r="BM219" i="1"/>
  <c r="BM218" i="1"/>
  <c r="BL219" i="1"/>
  <c r="BL218" i="1"/>
  <c r="BM216" i="1"/>
  <c r="BL216" i="1"/>
  <c r="BM215" i="1"/>
  <c r="BL215" i="1"/>
  <c r="BM214" i="1"/>
  <c r="BL214" i="1"/>
  <c r="BM213" i="1"/>
  <c r="BM212" i="1"/>
  <c r="BL213" i="1"/>
  <c r="BL212" i="1"/>
  <c r="BM205" i="1"/>
  <c r="BM204" i="1"/>
  <c r="BL205" i="1"/>
  <c r="BL204" i="1"/>
  <c r="BM202" i="1"/>
  <c r="BM201" i="1"/>
  <c r="BL202" i="1"/>
  <c r="BL201" i="1"/>
  <c r="BM197" i="1"/>
  <c r="BL197" i="1"/>
  <c r="BM196" i="1"/>
  <c r="BM195" i="1"/>
  <c r="BL196" i="1"/>
  <c r="BL195" i="1"/>
  <c r="BM193" i="1"/>
  <c r="BL193" i="1"/>
  <c r="BM191" i="1"/>
  <c r="BL191" i="1"/>
  <c r="BM189" i="1"/>
  <c r="BL189" i="1"/>
  <c r="BM187" i="1"/>
  <c r="BL187" i="1"/>
  <c r="BM185" i="1"/>
  <c r="BM184" i="1"/>
  <c r="BL185" i="1"/>
  <c r="BL184" i="1"/>
  <c r="BM182" i="1"/>
  <c r="BL182" i="1"/>
  <c r="BM180" i="1"/>
  <c r="BL180" i="1"/>
  <c r="BM179" i="1"/>
  <c r="BL179" i="1"/>
  <c r="BM177" i="1"/>
  <c r="BL177" i="1"/>
  <c r="BM176" i="1"/>
  <c r="BL176" i="1"/>
  <c r="BM175" i="1"/>
  <c r="BL175" i="1"/>
  <c r="BM174" i="1"/>
  <c r="BL174" i="1"/>
  <c r="BM170" i="1"/>
  <c r="BL170" i="1"/>
  <c r="BM169" i="1"/>
  <c r="BL169" i="1"/>
  <c r="BM168" i="1"/>
  <c r="BM167" i="1"/>
  <c r="BL168" i="1"/>
  <c r="BL167" i="1"/>
  <c r="BM165" i="1"/>
  <c r="BL165" i="1"/>
  <c r="BM163" i="1"/>
  <c r="BL163" i="1"/>
  <c r="BM162" i="1"/>
  <c r="BL162" i="1"/>
  <c r="BM161" i="1"/>
  <c r="BL161" i="1"/>
  <c r="BM160" i="1"/>
  <c r="BL160" i="1"/>
  <c r="BL155" i="1"/>
  <c r="BL104" i="1"/>
  <c r="BM159" i="1"/>
  <c r="BL159" i="1"/>
  <c r="BM158" i="1"/>
  <c r="BL158" i="1"/>
  <c r="BM157" i="1"/>
  <c r="BL157" i="1"/>
  <c r="BM156" i="1"/>
  <c r="BM155" i="1"/>
  <c r="BL156" i="1"/>
  <c r="BM153" i="1"/>
  <c r="BL153" i="1"/>
  <c r="BM152" i="1"/>
  <c r="BL152" i="1"/>
  <c r="BM151" i="1"/>
  <c r="BL151" i="1"/>
  <c r="BM150" i="1"/>
  <c r="BL150" i="1"/>
  <c r="BM149" i="1"/>
  <c r="BL149" i="1"/>
  <c r="BM147" i="1"/>
  <c r="BL147" i="1"/>
  <c r="BM146" i="1"/>
  <c r="BL146" i="1"/>
  <c r="BM145" i="1"/>
  <c r="BL145" i="1"/>
  <c r="BM144" i="1"/>
  <c r="BL144" i="1"/>
  <c r="BM143" i="1"/>
  <c r="BL143" i="1"/>
  <c r="BM142" i="1"/>
  <c r="BL142" i="1"/>
  <c r="BM141" i="1"/>
  <c r="BL141" i="1"/>
  <c r="BM140" i="1"/>
  <c r="BM139" i="1"/>
  <c r="BL140" i="1"/>
  <c r="BM137" i="1"/>
  <c r="BL137" i="1"/>
  <c r="BM134" i="1"/>
  <c r="BL134" i="1"/>
  <c r="BM133" i="1"/>
  <c r="BL133" i="1"/>
  <c r="BM132" i="1"/>
  <c r="BL132" i="1"/>
  <c r="BM131" i="1"/>
  <c r="BL131" i="1"/>
  <c r="BM129" i="1"/>
  <c r="BM125" i="1"/>
  <c r="BL129" i="1"/>
  <c r="BM128" i="1"/>
  <c r="BL128" i="1"/>
  <c r="BM127" i="1"/>
  <c r="BL127" i="1"/>
  <c r="BM126" i="1"/>
  <c r="BL126" i="1"/>
  <c r="BL125" i="1"/>
  <c r="BM123" i="1"/>
  <c r="BL123" i="1"/>
  <c r="BM122" i="1"/>
  <c r="BL122" i="1"/>
  <c r="BM121" i="1"/>
  <c r="BL121" i="1"/>
  <c r="BM120" i="1"/>
  <c r="BL120" i="1"/>
  <c r="BM119" i="1"/>
  <c r="BM118" i="1"/>
  <c r="BL119" i="1"/>
  <c r="BL118" i="1"/>
  <c r="BM116" i="1"/>
  <c r="BL116" i="1"/>
  <c r="BM115" i="1"/>
  <c r="BL115" i="1"/>
  <c r="BM114" i="1"/>
  <c r="BL114" i="1"/>
  <c r="BM113" i="1"/>
  <c r="BL113" i="1"/>
  <c r="BM112" i="1"/>
  <c r="BM111" i="1"/>
  <c r="BL112" i="1"/>
  <c r="BL111" i="1"/>
  <c r="BM109" i="1"/>
  <c r="BL109" i="1"/>
  <c r="BM108" i="1"/>
  <c r="BL108" i="1"/>
  <c r="BM107" i="1"/>
  <c r="BM106" i="1"/>
  <c r="BL107" i="1"/>
  <c r="BL106" i="1"/>
  <c r="BM102" i="1"/>
  <c r="BL102" i="1"/>
  <c r="BM101" i="1"/>
  <c r="BL101" i="1"/>
  <c r="BM100" i="1"/>
  <c r="BL100" i="1"/>
  <c r="BM99" i="1"/>
  <c r="BL99" i="1"/>
  <c r="BM98" i="1"/>
  <c r="BL98" i="1"/>
  <c r="BM97" i="1"/>
  <c r="BL97" i="1"/>
  <c r="BM96" i="1"/>
  <c r="BL96" i="1"/>
  <c r="BM95" i="1"/>
  <c r="BM94" i="1"/>
  <c r="BL95" i="1"/>
  <c r="BM92" i="1"/>
  <c r="BL92" i="1"/>
  <c r="BM91" i="1"/>
  <c r="BL91" i="1"/>
  <c r="BM90" i="1"/>
  <c r="BL90" i="1"/>
  <c r="BM89" i="1"/>
  <c r="BL89" i="1"/>
  <c r="BM88" i="1"/>
  <c r="BL88" i="1"/>
  <c r="BM87" i="1"/>
  <c r="BL87" i="1"/>
  <c r="BM86" i="1"/>
  <c r="BL86" i="1"/>
  <c r="BM84" i="1"/>
  <c r="BL84" i="1"/>
  <c r="BM83" i="1"/>
  <c r="BM82" i="1"/>
  <c r="BL83" i="1"/>
  <c r="BL82" i="1"/>
  <c r="BM80" i="1"/>
  <c r="BL80" i="1"/>
  <c r="BL77" i="1"/>
  <c r="BM79" i="1"/>
  <c r="BL79" i="1"/>
  <c r="BM78" i="1"/>
  <c r="BL78" i="1"/>
  <c r="BM75" i="1"/>
  <c r="BL75" i="1"/>
  <c r="BM74" i="1"/>
  <c r="BL74" i="1"/>
  <c r="BM73" i="1"/>
  <c r="BL73" i="1"/>
  <c r="BM70" i="1"/>
  <c r="BL70" i="1"/>
  <c r="BM69" i="1"/>
  <c r="BL69" i="1"/>
  <c r="BM68" i="1"/>
  <c r="BL68" i="1"/>
  <c r="BM65" i="1"/>
  <c r="BL65" i="1"/>
  <c r="BM64" i="1"/>
  <c r="BM63" i="1"/>
  <c r="BL64" i="1"/>
  <c r="BL63" i="1"/>
  <c r="BM61" i="1"/>
  <c r="BL61" i="1"/>
  <c r="BM59" i="1"/>
  <c r="BL59" i="1"/>
  <c r="BL58" i="1"/>
  <c r="BL52" i="1"/>
  <c r="BM58" i="1"/>
  <c r="BM57" i="1"/>
  <c r="BL57" i="1"/>
  <c r="BM56" i="1"/>
  <c r="BL56" i="1"/>
  <c r="BM55" i="1"/>
  <c r="BL55" i="1"/>
  <c r="BM54" i="1"/>
  <c r="BL54" i="1"/>
  <c r="BM53" i="1"/>
  <c r="BM52" i="1"/>
  <c r="BL53" i="1"/>
  <c r="BM50" i="1"/>
  <c r="BL50" i="1"/>
  <c r="BM49" i="1"/>
  <c r="BL49" i="1"/>
  <c r="BM48" i="1"/>
  <c r="BL48" i="1"/>
  <c r="BM47" i="1"/>
  <c r="BL47" i="1"/>
  <c r="BM46" i="1"/>
  <c r="BL46" i="1"/>
  <c r="BM42" i="1"/>
  <c r="BL42" i="1"/>
  <c r="BM41" i="1"/>
  <c r="BL41" i="1"/>
  <c r="BM36" i="1"/>
  <c r="BL36" i="1"/>
  <c r="BM34" i="1"/>
  <c r="BL34" i="1"/>
  <c r="BM33" i="1"/>
  <c r="BL33" i="1"/>
  <c r="BM32" i="1"/>
  <c r="BL32" i="1"/>
  <c r="BM31" i="1"/>
  <c r="BL31" i="1"/>
  <c r="BM30" i="1"/>
  <c r="BL30" i="1"/>
  <c r="BM28" i="1"/>
  <c r="BL28" i="1"/>
  <c r="BM26" i="1"/>
  <c r="BL26" i="1"/>
  <c r="BM24" i="1"/>
  <c r="BL24" i="1"/>
  <c r="BM23" i="1"/>
  <c r="BL23" i="1"/>
  <c r="BM22" i="1"/>
  <c r="BL22" i="1"/>
  <c r="BM21" i="1"/>
  <c r="BL21" i="1"/>
  <c r="BM19" i="1"/>
  <c r="BL19" i="1"/>
  <c r="BM18" i="1"/>
  <c r="BL18" i="1"/>
  <c r="BM17" i="1"/>
  <c r="BM16" i="1"/>
  <c r="BM14" i="1"/>
  <c r="BL17" i="1"/>
  <c r="BL16" i="1"/>
  <c r="BL14" i="1"/>
  <c r="BO863" i="1"/>
  <c r="BN863" i="1"/>
  <c r="BO860" i="1"/>
  <c r="BN860" i="1"/>
  <c r="BO856" i="1"/>
  <c r="BN856" i="1"/>
  <c r="BO845" i="1"/>
  <c r="BN845" i="1"/>
  <c r="BO842" i="1"/>
  <c r="BN842" i="1"/>
  <c r="BO827" i="1"/>
  <c r="BN827" i="1"/>
  <c r="BO790" i="1"/>
  <c r="BN790" i="1"/>
  <c r="BO783" i="1"/>
  <c r="BN783" i="1"/>
  <c r="BO768" i="1"/>
  <c r="BN768" i="1"/>
  <c r="BO742" i="1"/>
  <c r="BN742" i="1"/>
  <c r="BO738" i="1"/>
  <c r="BN738" i="1"/>
  <c r="BO728" i="1"/>
  <c r="BN728" i="1"/>
  <c r="BO725" i="1"/>
  <c r="BN725" i="1"/>
  <c r="BO718" i="1"/>
  <c r="BN718" i="1"/>
  <c r="BO711" i="1"/>
  <c r="BO691" i="1"/>
  <c r="BN711" i="1"/>
  <c r="BN691" i="1"/>
  <c r="BO705" i="1"/>
  <c r="BN705" i="1"/>
  <c r="BO702" i="1"/>
  <c r="BN702" i="1"/>
  <c r="BO699" i="1"/>
  <c r="BN699" i="1"/>
  <c r="BO696" i="1"/>
  <c r="BN696" i="1"/>
  <c r="BO693" i="1"/>
  <c r="BN693" i="1"/>
  <c r="BO685" i="1"/>
  <c r="BN685" i="1"/>
  <c r="BO681" i="1"/>
  <c r="BN681" i="1"/>
  <c r="BO669" i="1"/>
  <c r="BO664" i="1"/>
  <c r="BN669" i="1"/>
  <c r="BN664" i="1"/>
  <c r="BO666" i="1"/>
  <c r="BN666" i="1"/>
  <c r="BO655" i="1"/>
  <c r="BN655" i="1"/>
  <c r="BO645" i="1"/>
  <c r="BN645" i="1"/>
  <c r="BO637" i="1"/>
  <c r="BN637" i="1"/>
  <c r="BO634" i="1"/>
  <c r="BO632" i="1"/>
  <c r="BO630" i="1"/>
  <c r="BO628" i="1"/>
  <c r="BN634" i="1"/>
  <c r="BN632" i="1"/>
  <c r="BN630" i="1"/>
  <c r="BN628" i="1"/>
  <c r="BO625" i="1"/>
  <c r="BN625" i="1"/>
  <c r="BO621" i="1"/>
  <c r="BN621" i="1"/>
  <c r="BO619" i="1"/>
  <c r="BN619" i="1"/>
  <c r="BN609" i="1"/>
  <c r="BO616" i="1"/>
  <c r="BN616" i="1"/>
  <c r="BO613" i="1"/>
  <c r="BN613" i="1"/>
  <c r="BN611" i="1"/>
  <c r="BO606" i="1"/>
  <c r="BN606" i="1"/>
  <c r="BO600" i="1"/>
  <c r="BN600" i="1"/>
  <c r="BO592" i="1"/>
  <c r="BN592" i="1"/>
  <c r="BO585" i="1"/>
  <c r="BN585" i="1"/>
  <c r="BO581" i="1"/>
  <c r="BN581" i="1"/>
  <c r="BO579" i="1"/>
  <c r="BN579" i="1"/>
  <c r="BO571" i="1"/>
  <c r="BN571" i="1"/>
  <c r="BO569" i="1"/>
  <c r="BO567" i="1"/>
  <c r="BN569" i="1"/>
  <c r="BN567" i="1"/>
  <c r="BO563" i="1"/>
  <c r="BN563" i="1"/>
  <c r="BO558" i="1"/>
  <c r="BN558" i="1"/>
  <c r="BO555" i="1"/>
  <c r="BN555" i="1"/>
  <c r="BO549" i="1"/>
  <c r="BN549" i="1"/>
  <c r="BO543" i="1"/>
  <c r="BN543" i="1"/>
  <c r="BO535" i="1"/>
  <c r="BN535" i="1"/>
  <c r="BO532" i="1"/>
  <c r="BN532" i="1"/>
  <c r="BO526" i="1"/>
  <c r="BN526" i="1"/>
  <c r="BO507" i="1"/>
  <c r="BO505" i="1"/>
  <c r="BN507" i="1"/>
  <c r="BN505" i="1"/>
  <c r="BO500" i="1"/>
  <c r="BN500" i="1"/>
  <c r="BO488" i="1"/>
  <c r="BN488" i="1"/>
  <c r="BO482" i="1"/>
  <c r="BN482" i="1"/>
  <c r="BO472" i="1"/>
  <c r="BN472" i="1"/>
  <c r="BO464" i="1"/>
  <c r="BN464" i="1"/>
  <c r="BO458" i="1"/>
  <c r="BN458" i="1"/>
  <c r="BO451" i="1"/>
  <c r="BN451" i="1"/>
  <c r="BO444" i="1"/>
  <c r="BN444" i="1"/>
  <c r="BO439" i="1"/>
  <c r="BN439" i="1"/>
  <c r="BO427" i="1"/>
  <c r="BN427" i="1"/>
  <c r="BO419" i="1"/>
  <c r="BN419" i="1"/>
  <c r="BO416" i="1"/>
  <c r="BN416" i="1"/>
  <c r="BO411" i="1"/>
  <c r="BN411" i="1"/>
  <c r="BO406" i="1"/>
  <c r="BN406" i="1"/>
  <c r="BO401" i="1"/>
  <c r="BN401" i="1"/>
  <c r="BO397" i="1"/>
  <c r="BN397" i="1"/>
  <c r="BO386" i="1"/>
  <c r="BN386" i="1"/>
  <c r="BO380" i="1"/>
  <c r="BN380" i="1"/>
  <c r="BO375" i="1"/>
  <c r="BN375" i="1"/>
  <c r="BO368" i="1"/>
  <c r="BN368" i="1"/>
  <c r="BO366" i="1"/>
  <c r="BN366" i="1"/>
  <c r="BO361" i="1"/>
  <c r="BN361" i="1"/>
  <c r="BO358" i="1"/>
  <c r="BN358" i="1"/>
  <c r="BO354" i="1"/>
  <c r="BN354" i="1"/>
  <c r="BO349" i="1"/>
  <c r="BN349" i="1"/>
  <c r="BO347" i="1"/>
  <c r="BN347" i="1"/>
  <c r="BO329" i="1"/>
  <c r="BN329" i="1"/>
  <c r="BO326" i="1"/>
  <c r="BN326" i="1"/>
  <c r="BO322" i="1"/>
  <c r="BN322" i="1"/>
  <c r="BO319" i="1"/>
  <c r="BN319" i="1"/>
  <c r="BO316" i="1"/>
  <c r="BN316" i="1"/>
  <c r="BO313" i="1"/>
  <c r="BN313" i="1"/>
  <c r="BO310" i="1"/>
  <c r="BN310" i="1"/>
  <c r="BO308" i="1"/>
  <c r="BO242" i="1"/>
  <c r="BN308" i="1"/>
  <c r="BO305" i="1"/>
  <c r="BN305" i="1"/>
  <c r="BO302" i="1"/>
  <c r="BN302" i="1"/>
  <c r="BO298" i="1"/>
  <c r="BN298" i="1"/>
  <c r="BO293" i="1"/>
  <c r="BN293" i="1"/>
  <c r="BO288" i="1"/>
  <c r="BN288" i="1"/>
  <c r="BO279" i="1"/>
  <c r="BN279" i="1"/>
  <c r="BO275" i="1"/>
  <c r="BN275" i="1"/>
  <c r="BO267" i="1"/>
  <c r="BN267" i="1"/>
  <c r="BO259" i="1"/>
  <c r="BN259" i="1"/>
  <c r="BO251" i="1"/>
  <c r="BN251" i="1"/>
  <c r="BO246" i="1"/>
  <c r="BO244" i="1"/>
  <c r="BN246" i="1"/>
  <c r="BN244" i="1"/>
  <c r="BO238" i="1"/>
  <c r="BN238" i="1"/>
  <c r="BO237" i="1"/>
  <c r="BN237" i="1"/>
  <c r="BO236" i="1"/>
  <c r="BN236" i="1"/>
  <c r="BO234" i="1"/>
  <c r="BN234" i="1"/>
  <c r="BO233" i="1"/>
  <c r="BN233" i="1"/>
  <c r="BO231" i="1"/>
  <c r="BN231" i="1"/>
  <c r="BO230" i="1"/>
  <c r="BN230" i="1"/>
  <c r="BO228" i="1"/>
  <c r="BO227" i="1"/>
  <c r="BN228" i="1"/>
  <c r="BN227" i="1"/>
  <c r="BO225" i="1"/>
  <c r="BO224" i="1"/>
  <c r="BN225" i="1"/>
  <c r="BN224" i="1"/>
  <c r="BO222" i="1"/>
  <c r="BN222" i="1"/>
  <c r="BO221" i="1"/>
  <c r="BN221" i="1"/>
  <c r="BO220" i="1"/>
  <c r="BN220" i="1"/>
  <c r="BO219" i="1"/>
  <c r="BO218" i="1"/>
  <c r="BN219" i="1"/>
  <c r="BN218" i="1"/>
  <c r="BO216" i="1"/>
  <c r="BN216" i="1"/>
  <c r="BO215" i="1"/>
  <c r="BN215" i="1"/>
  <c r="BO214" i="1"/>
  <c r="BN214" i="1"/>
  <c r="BO213" i="1"/>
  <c r="BO212" i="1"/>
  <c r="BN213" i="1"/>
  <c r="BN212" i="1"/>
  <c r="BO205" i="1"/>
  <c r="BO204" i="1"/>
  <c r="BN205" i="1"/>
  <c r="BN204" i="1"/>
  <c r="BO202" i="1"/>
  <c r="BO201" i="1"/>
  <c r="BN202" i="1"/>
  <c r="BN201" i="1"/>
  <c r="BO197" i="1"/>
  <c r="BN197" i="1"/>
  <c r="BO196" i="1"/>
  <c r="BO195" i="1"/>
  <c r="BN196" i="1"/>
  <c r="BN195" i="1"/>
  <c r="BO193" i="1"/>
  <c r="BN193" i="1"/>
  <c r="BO191" i="1"/>
  <c r="BN191" i="1"/>
  <c r="BO189" i="1"/>
  <c r="BN189" i="1"/>
  <c r="BO187" i="1"/>
  <c r="BN187" i="1"/>
  <c r="BO185" i="1"/>
  <c r="BO184" i="1"/>
  <c r="BN185" i="1"/>
  <c r="BN184" i="1"/>
  <c r="BO182" i="1"/>
  <c r="BN182" i="1"/>
  <c r="BO180" i="1"/>
  <c r="BN180" i="1"/>
  <c r="BO179" i="1"/>
  <c r="BN179" i="1"/>
  <c r="BO177" i="1"/>
  <c r="BN177" i="1"/>
  <c r="BO176" i="1"/>
  <c r="BN176" i="1"/>
  <c r="BO175" i="1"/>
  <c r="BN175" i="1"/>
  <c r="BO174" i="1"/>
  <c r="BN174" i="1"/>
  <c r="BO170" i="1"/>
  <c r="BN170" i="1"/>
  <c r="BO169" i="1"/>
  <c r="BN169" i="1"/>
  <c r="BO168" i="1"/>
  <c r="BO167" i="1"/>
  <c r="BN168" i="1"/>
  <c r="BN167" i="1"/>
  <c r="BO165" i="1"/>
  <c r="BN165" i="1"/>
  <c r="BO163" i="1"/>
  <c r="BN163" i="1"/>
  <c r="BO162" i="1"/>
  <c r="BN162" i="1"/>
  <c r="BO161" i="1"/>
  <c r="BN161" i="1"/>
  <c r="BO160" i="1"/>
  <c r="BN160" i="1"/>
  <c r="BO159" i="1"/>
  <c r="BN159" i="1"/>
  <c r="BO158" i="1"/>
  <c r="BN158" i="1"/>
  <c r="BO157" i="1"/>
  <c r="BN157" i="1"/>
  <c r="BO156" i="1"/>
  <c r="BO155" i="1"/>
  <c r="BN156" i="1"/>
  <c r="BN155" i="1"/>
  <c r="BO153" i="1"/>
  <c r="BN153" i="1"/>
  <c r="BO152" i="1"/>
  <c r="BN152" i="1"/>
  <c r="BO151" i="1"/>
  <c r="BN151" i="1"/>
  <c r="BO150" i="1"/>
  <c r="BN150" i="1"/>
  <c r="BO149" i="1"/>
  <c r="BN149" i="1"/>
  <c r="BO147" i="1"/>
  <c r="BN147" i="1"/>
  <c r="BO146" i="1"/>
  <c r="BN146" i="1"/>
  <c r="BO145" i="1"/>
  <c r="BN145" i="1"/>
  <c r="BO144" i="1"/>
  <c r="BN144" i="1"/>
  <c r="BO143" i="1"/>
  <c r="BN143" i="1"/>
  <c r="BO142" i="1"/>
  <c r="BN142" i="1"/>
  <c r="BO141" i="1"/>
  <c r="BN141" i="1"/>
  <c r="BO140" i="1"/>
  <c r="BO139" i="1"/>
  <c r="BN140" i="1"/>
  <c r="BN139" i="1"/>
  <c r="BO137" i="1"/>
  <c r="BN137" i="1"/>
  <c r="BO134" i="1"/>
  <c r="BN134" i="1"/>
  <c r="BO133" i="1"/>
  <c r="BN133" i="1"/>
  <c r="BO132" i="1"/>
  <c r="BO131" i="1"/>
  <c r="BN132" i="1"/>
  <c r="BN131" i="1"/>
  <c r="BO129" i="1"/>
  <c r="BN129" i="1"/>
  <c r="BO128" i="1"/>
  <c r="BN128" i="1"/>
  <c r="BO127" i="1"/>
  <c r="BN127" i="1"/>
  <c r="BO126" i="1"/>
  <c r="BO125" i="1"/>
  <c r="BN126" i="1"/>
  <c r="BN125" i="1"/>
  <c r="BO123" i="1"/>
  <c r="BN123" i="1"/>
  <c r="BO122" i="1"/>
  <c r="BN122" i="1"/>
  <c r="BO121" i="1"/>
  <c r="BN121" i="1"/>
  <c r="BO120" i="1"/>
  <c r="BN120" i="1"/>
  <c r="BO119" i="1"/>
  <c r="BO118" i="1"/>
  <c r="BN119" i="1"/>
  <c r="BN118" i="1"/>
  <c r="BO116" i="1"/>
  <c r="BN116" i="1"/>
  <c r="BO115" i="1"/>
  <c r="BN115" i="1"/>
  <c r="BO114" i="1"/>
  <c r="BN114" i="1"/>
  <c r="BO113" i="1"/>
  <c r="BN113" i="1"/>
  <c r="BO112" i="1"/>
  <c r="BO111" i="1"/>
  <c r="BN112" i="1"/>
  <c r="BN111" i="1"/>
  <c r="BO109" i="1"/>
  <c r="BN109" i="1"/>
  <c r="BO108" i="1"/>
  <c r="BN108" i="1"/>
  <c r="BO107" i="1"/>
  <c r="BO106" i="1"/>
  <c r="BN107" i="1"/>
  <c r="BN106" i="1"/>
  <c r="BO102" i="1"/>
  <c r="BN102" i="1"/>
  <c r="BO101" i="1"/>
  <c r="BN101" i="1"/>
  <c r="BO100" i="1"/>
  <c r="BN100" i="1"/>
  <c r="BO99" i="1"/>
  <c r="BN99" i="1"/>
  <c r="BO98" i="1"/>
  <c r="BN98" i="1"/>
  <c r="BO97" i="1"/>
  <c r="BN97" i="1"/>
  <c r="BO96" i="1"/>
  <c r="BN96" i="1"/>
  <c r="BO95" i="1"/>
  <c r="BO94" i="1"/>
  <c r="BN95" i="1"/>
  <c r="BN94" i="1"/>
  <c r="BO92" i="1"/>
  <c r="BN92" i="1"/>
  <c r="BO91" i="1"/>
  <c r="BN91" i="1"/>
  <c r="BO90" i="1"/>
  <c r="BN90" i="1"/>
  <c r="BO89" i="1"/>
  <c r="BN89" i="1"/>
  <c r="BO88" i="1"/>
  <c r="BN88" i="1"/>
  <c r="BO87" i="1"/>
  <c r="BN87" i="1"/>
  <c r="BO86" i="1"/>
  <c r="BN86" i="1"/>
  <c r="BO84" i="1"/>
  <c r="BN84" i="1"/>
  <c r="BO83" i="1"/>
  <c r="BO82" i="1"/>
  <c r="BN83" i="1"/>
  <c r="BN82" i="1"/>
  <c r="BO80" i="1"/>
  <c r="BN80" i="1"/>
  <c r="BO79" i="1"/>
  <c r="BN79" i="1"/>
  <c r="BO78" i="1"/>
  <c r="BO77" i="1"/>
  <c r="BN78" i="1"/>
  <c r="BO75" i="1"/>
  <c r="BN75" i="1"/>
  <c r="BO74" i="1"/>
  <c r="BN74" i="1"/>
  <c r="BO73" i="1"/>
  <c r="BO72" i="1"/>
  <c r="BN73" i="1"/>
  <c r="BN72" i="1"/>
  <c r="BO70" i="1"/>
  <c r="BN70" i="1"/>
  <c r="BO69" i="1"/>
  <c r="BN69" i="1"/>
  <c r="BO68" i="1"/>
  <c r="BN68" i="1"/>
  <c r="BO65" i="1"/>
  <c r="BN65" i="1"/>
  <c r="BO64" i="1"/>
  <c r="BO63" i="1"/>
  <c r="BN64" i="1"/>
  <c r="BN63" i="1"/>
  <c r="BO61" i="1"/>
  <c r="BN61" i="1"/>
  <c r="BO59" i="1"/>
  <c r="BN59" i="1"/>
  <c r="BN58" i="1"/>
  <c r="BN52" i="1"/>
  <c r="BO58" i="1"/>
  <c r="BO57" i="1"/>
  <c r="BN57" i="1"/>
  <c r="BO56" i="1"/>
  <c r="BN56" i="1"/>
  <c r="BO55" i="1"/>
  <c r="BN55" i="1"/>
  <c r="BO54" i="1"/>
  <c r="BN54" i="1"/>
  <c r="BO53" i="1"/>
  <c r="BO52" i="1"/>
  <c r="BN53" i="1"/>
  <c r="BO50" i="1"/>
  <c r="BN50" i="1"/>
  <c r="BO49" i="1"/>
  <c r="BN49" i="1"/>
  <c r="BO48" i="1"/>
  <c r="BN48" i="1"/>
  <c r="BO47" i="1"/>
  <c r="BN47" i="1"/>
  <c r="BO46" i="1"/>
  <c r="BN46" i="1"/>
  <c r="BO42" i="1"/>
  <c r="BN42" i="1"/>
  <c r="BO41" i="1"/>
  <c r="BN41" i="1"/>
  <c r="BO36" i="1"/>
  <c r="BN36" i="1"/>
  <c r="BO34" i="1"/>
  <c r="BN34" i="1"/>
  <c r="BO33" i="1"/>
  <c r="BN33" i="1"/>
  <c r="BO32" i="1"/>
  <c r="BN32" i="1"/>
  <c r="BO31" i="1"/>
  <c r="BN31" i="1"/>
  <c r="BO30" i="1"/>
  <c r="BN30" i="1"/>
  <c r="BO28" i="1"/>
  <c r="BN28" i="1"/>
  <c r="BO26" i="1"/>
  <c r="BN26" i="1"/>
  <c r="BO24" i="1"/>
  <c r="BN24" i="1"/>
  <c r="BO23" i="1"/>
  <c r="BN23" i="1"/>
  <c r="BO22" i="1"/>
  <c r="BN22" i="1"/>
  <c r="BO21" i="1"/>
  <c r="BN21" i="1"/>
  <c r="BO19" i="1"/>
  <c r="BN19" i="1"/>
  <c r="BO18" i="1"/>
  <c r="BN18" i="1"/>
  <c r="BO17" i="1"/>
  <c r="BO16" i="1"/>
  <c r="BN17" i="1"/>
  <c r="BN16" i="1"/>
  <c r="BN14" i="1"/>
  <c r="BQ863" i="1"/>
  <c r="BP863" i="1"/>
  <c r="BQ860" i="1"/>
  <c r="BP860" i="1"/>
  <c r="BQ856" i="1"/>
  <c r="BP856" i="1"/>
  <c r="BQ845" i="1"/>
  <c r="BP845" i="1"/>
  <c r="BQ842" i="1"/>
  <c r="BP842" i="1"/>
  <c r="BQ827" i="1"/>
  <c r="BP827" i="1"/>
  <c r="BQ790" i="1"/>
  <c r="BP790" i="1"/>
  <c r="BQ783" i="1"/>
  <c r="BP783" i="1"/>
  <c r="BQ768" i="1"/>
  <c r="BP768" i="1"/>
  <c r="BQ742" i="1"/>
  <c r="BP742" i="1"/>
  <c r="BQ738" i="1"/>
  <c r="BP738" i="1"/>
  <c r="BQ728" i="1"/>
  <c r="BP728" i="1"/>
  <c r="BQ725" i="1"/>
  <c r="BP725" i="1"/>
  <c r="BP723" i="1"/>
  <c r="BP721" i="1"/>
  <c r="BQ718" i="1"/>
  <c r="BP718" i="1"/>
  <c r="BQ711" i="1"/>
  <c r="BQ691" i="1"/>
  <c r="BP711" i="1"/>
  <c r="BP691" i="1"/>
  <c r="BQ705" i="1"/>
  <c r="BP705" i="1"/>
  <c r="BQ702" i="1"/>
  <c r="BP702" i="1"/>
  <c r="BQ699" i="1"/>
  <c r="BP699" i="1"/>
  <c r="BQ696" i="1"/>
  <c r="BP696" i="1"/>
  <c r="BQ693" i="1"/>
  <c r="BP693" i="1"/>
  <c r="BQ685" i="1"/>
  <c r="BP685" i="1"/>
  <c r="BQ681" i="1"/>
  <c r="BP681" i="1"/>
  <c r="BQ669" i="1"/>
  <c r="BQ664" i="1"/>
  <c r="BP669" i="1"/>
  <c r="BP664" i="1"/>
  <c r="BQ666" i="1"/>
  <c r="BP666" i="1"/>
  <c r="BQ655" i="1"/>
  <c r="BP655" i="1"/>
  <c r="BQ645" i="1"/>
  <c r="BP645" i="1"/>
  <c r="BQ637" i="1"/>
  <c r="BP637" i="1"/>
  <c r="BQ634" i="1"/>
  <c r="BP634" i="1"/>
  <c r="BQ632" i="1"/>
  <c r="BQ630" i="1"/>
  <c r="BQ628" i="1"/>
  <c r="BP632" i="1"/>
  <c r="BP630" i="1"/>
  <c r="BP628" i="1"/>
  <c r="BQ625" i="1"/>
  <c r="BP625" i="1"/>
  <c r="BQ621" i="1"/>
  <c r="BP621" i="1"/>
  <c r="BP619" i="1"/>
  <c r="BQ616" i="1"/>
  <c r="BP616" i="1"/>
  <c r="BQ613" i="1"/>
  <c r="BP613" i="1"/>
  <c r="BQ611" i="1"/>
  <c r="BP611" i="1"/>
  <c r="BQ606" i="1"/>
  <c r="BP606" i="1"/>
  <c r="BQ600" i="1"/>
  <c r="BP600" i="1"/>
  <c r="BQ592" i="1"/>
  <c r="BP592" i="1"/>
  <c r="BQ585" i="1"/>
  <c r="BP585" i="1"/>
  <c r="BQ581" i="1"/>
  <c r="BQ579" i="1"/>
  <c r="BP581" i="1"/>
  <c r="BP579" i="1"/>
  <c r="BP577" i="1"/>
  <c r="BQ571" i="1"/>
  <c r="BQ569" i="1"/>
  <c r="BQ567" i="1"/>
  <c r="BP571" i="1"/>
  <c r="BP569" i="1"/>
  <c r="BP567" i="1"/>
  <c r="BQ563" i="1"/>
  <c r="BP563" i="1"/>
  <c r="BQ558" i="1"/>
  <c r="BP558" i="1"/>
  <c r="BQ555" i="1"/>
  <c r="BP555" i="1"/>
  <c r="BQ549" i="1"/>
  <c r="BP549" i="1"/>
  <c r="BQ543" i="1"/>
  <c r="BP543" i="1"/>
  <c r="BQ541" i="1"/>
  <c r="BP541" i="1"/>
  <c r="BQ535" i="1"/>
  <c r="BP535" i="1"/>
  <c r="BQ532" i="1"/>
  <c r="BP532" i="1"/>
  <c r="BQ526" i="1"/>
  <c r="BP526" i="1"/>
  <c r="BQ507" i="1"/>
  <c r="BP507" i="1"/>
  <c r="BQ505" i="1"/>
  <c r="BP505" i="1"/>
  <c r="BQ500" i="1"/>
  <c r="BP500" i="1"/>
  <c r="BQ488" i="1"/>
  <c r="BP488" i="1"/>
  <c r="BQ482" i="1"/>
  <c r="BP482" i="1"/>
  <c r="BQ472" i="1"/>
  <c r="BP472" i="1"/>
  <c r="BQ464" i="1"/>
  <c r="BP464" i="1"/>
  <c r="BQ458" i="1"/>
  <c r="BP458" i="1"/>
  <c r="BQ451" i="1"/>
  <c r="BP451" i="1"/>
  <c r="BQ444" i="1"/>
  <c r="BP444" i="1"/>
  <c r="BQ439" i="1"/>
  <c r="BP439" i="1"/>
  <c r="BQ437" i="1"/>
  <c r="BP437" i="1"/>
  <c r="BQ427" i="1"/>
  <c r="BP427" i="1"/>
  <c r="BQ419" i="1"/>
  <c r="BP419" i="1"/>
  <c r="BQ416" i="1"/>
  <c r="BP416" i="1"/>
  <c r="BQ411" i="1"/>
  <c r="BP411" i="1"/>
  <c r="BQ406" i="1"/>
  <c r="BP406" i="1"/>
  <c r="BQ401" i="1"/>
  <c r="BP401" i="1"/>
  <c r="BQ397" i="1"/>
  <c r="BP397" i="1"/>
  <c r="BQ386" i="1"/>
  <c r="BP386" i="1"/>
  <c r="BQ380" i="1"/>
  <c r="BP380" i="1"/>
  <c r="BQ378" i="1"/>
  <c r="BQ364" i="1"/>
  <c r="BP378" i="1"/>
  <c r="BQ375" i="1"/>
  <c r="BP375" i="1"/>
  <c r="BQ368" i="1"/>
  <c r="BQ366" i="1"/>
  <c r="BP368" i="1"/>
  <c r="BP366" i="1"/>
  <c r="BP364" i="1"/>
  <c r="BQ361" i="1"/>
  <c r="BP361" i="1"/>
  <c r="BQ358" i="1"/>
  <c r="BP358" i="1"/>
  <c r="BQ354" i="1"/>
  <c r="BP354" i="1"/>
  <c r="BQ349" i="1"/>
  <c r="BQ347" i="1"/>
  <c r="BP349" i="1"/>
  <c r="BP347" i="1"/>
  <c r="BQ329" i="1"/>
  <c r="BP329" i="1"/>
  <c r="BQ326" i="1"/>
  <c r="BP326" i="1"/>
  <c r="BQ322" i="1"/>
  <c r="BP322" i="1"/>
  <c r="BQ319" i="1"/>
  <c r="BP319" i="1"/>
  <c r="BQ316" i="1"/>
  <c r="BP316" i="1"/>
  <c r="BQ313" i="1"/>
  <c r="BP313" i="1"/>
  <c r="BQ310" i="1"/>
  <c r="BQ308" i="1"/>
  <c r="BP310" i="1"/>
  <c r="BQ305" i="1"/>
  <c r="BP305" i="1"/>
  <c r="BQ302" i="1"/>
  <c r="BP302" i="1"/>
  <c r="BQ298" i="1"/>
  <c r="BP298" i="1"/>
  <c r="BQ293" i="1"/>
  <c r="BP293" i="1"/>
  <c r="BQ288" i="1"/>
  <c r="BP288" i="1"/>
  <c r="BQ279" i="1"/>
  <c r="BP279" i="1"/>
  <c r="BQ275" i="1"/>
  <c r="BP275" i="1"/>
  <c r="BQ267" i="1"/>
  <c r="BP267" i="1"/>
  <c r="BQ259" i="1"/>
  <c r="BP259" i="1"/>
  <c r="BQ251" i="1"/>
  <c r="BP251" i="1"/>
  <c r="BQ246" i="1"/>
  <c r="BP246" i="1"/>
  <c r="BQ244" i="1"/>
  <c r="BP244" i="1"/>
  <c r="BQ238" i="1"/>
  <c r="BP238" i="1"/>
  <c r="BQ237" i="1"/>
  <c r="BP237" i="1"/>
  <c r="BP236" i="1"/>
  <c r="BQ234" i="1"/>
  <c r="BP234" i="1"/>
  <c r="BQ233" i="1"/>
  <c r="BP233" i="1"/>
  <c r="BQ231" i="1"/>
  <c r="BQ230" i="1"/>
  <c r="BP231" i="1"/>
  <c r="BP230" i="1"/>
  <c r="BQ228" i="1"/>
  <c r="BQ227" i="1"/>
  <c r="BP228" i="1"/>
  <c r="BP227" i="1"/>
  <c r="BQ225" i="1"/>
  <c r="BQ224" i="1"/>
  <c r="BP225" i="1"/>
  <c r="BP224" i="1"/>
  <c r="BQ222" i="1"/>
  <c r="BP222" i="1"/>
  <c r="BQ221" i="1"/>
  <c r="BP221" i="1"/>
  <c r="BQ220" i="1"/>
  <c r="BP220" i="1"/>
  <c r="BQ219" i="1"/>
  <c r="BP219" i="1"/>
  <c r="BQ218" i="1"/>
  <c r="BP218" i="1"/>
  <c r="BQ216" i="1"/>
  <c r="BP216" i="1"/>
  <c r="BQ215" i="1"/>
  <c r="BP215" i="1"/>
  <c r="BQ214" i="1"/>
  <c r="BP214" i="1"/>
  <c r="BQ213" i="1"/>
  <c r="BQ212" i="1"/>
  <c r="BP213" i="1"/>
  <c r="BP212" i="1"/>
  <c r="BQ205" i="1"/>
  <c r="BP205" i="1"/>
  <c r="BQ204" i="1"/>
  <c r="BP204" i="1"/>
  <c r="BQ202" i="1"/>
  <c r="BQ201" i="1"/>
  <c r="BQ199" i="1"/>
  <c r="BP202" i="1"/>
  <c r="BP201" i="1"/>
  <c r="BP199" i="1"/>
  <c r="BQ197" i="1"/>
  <c r="BP197" i="1"/>
  <c r="BQ196" i="1"/>
  <c r="BP196" i="1"/>
  <c r="BQ195" i="1"/>
  <c r="BP195" i="1"/>
  <c r="BQ193" i="1"/>
  <c r="BP193" i="1"/>
  <c r="BQ191" i="1"/>
  <c r="BP191" i="1"/>
  <c r="BQ189" i="1"/>
  <c r="BP189" i="1"/>
  <c r="BQ187" i="1"/>
  <c r="BP187" i="1"/>
  <c r="BQ185" i="1"/>
  <c r="BP185" i="1"/>
  <c r="BQ184" i="1"/>
  <c r="BP184" i="1"/>
  <c r="BQ182" i="1"/>
  <c r="BP182" i="1"/>
  <c r="BQ180" i="1"/>
  <c r="BQ179" i="1"/>
  <c r="BP180" i="1"/>
  <c r="BP179" i="1"/>
  <c r="BQ177" i="1"/>
  <c r="BP177" i="1"/>
  <c r="BQ176" i="1"/>
  <c r="BP176" i="1"/>
  <c r="BQ175" i="1"/>
  <c r="BQ174" i="1"/>
  <c r="BQ172" i="1"/>
  <c r="BP175" i="1"/>
  <c r="BP174" i="1"/>
  <c r="BP172" i="1"/>
  <c r="BQ170" i="1"/>
  <c r="BP170" i="1"/>
  <c r="BQ169" i="1"/>
  <c r="BP169" i="1"/>
  <c r="BQ168" i="1"/>
  <c r="BQ167" i="1"/>
  <c r="BP168" i="1"/>
  <c r="BP167" i="1"/>
  <c r="BQ165" i="1"/>
  <c r="BP165" i="1"/>
  <c r="BQ163" i="1"/>
  <c r="BP163" i="1"/>
  <c r="BQ162" i="1"/>
  <c r="BP162" i="1"/>
  <c r="BQ161" i="1"/>
  <c r="BP161" i="1"/>
  <c r="BQ160" i="1"/>
  <c r="BP160" i="1"/>
  <c r="BP155" i="1"/>
  <c r="BP104" i="1"/>
  <c r="BQ159" i="1"/>
  <c r="BP159" i="1"/>
  <c r="BQ158" i="1"/>
  <c r="BP158" i="1"/>
  <c r="BQ157" i="1"/>
  <c r="BP157" i="1"/>
  <c r="BQ156" i="1"/>
  <c r="BP156" i="1"/>
  <c r="BQ155" i="1"/>
  <c r="BQ153" i="1"/>
  <c r="BQ149" i="1"/>
  <c r="BP153" i="1"/>
  <c r="BQ152" i="1"/>
  <c r="BP152" i="1"/>
  <c r="BQ151" i="1"/>
  <c r="BP151" i="1"/>
  <c r="BQ150" i="1"/>
  <c r="BP150" i="1"/>
  <c r="BP149" i="1"/>
  <c r="BQ147" i="1"/>
  <c r="BP147" i="1"/>
  <c r="BQ146" i="1"/>
  <c r="BP146" i="1"/>
  <c r="BQ145" i="1"/>
  <c r="BP145" i="1"/>
  <c r="BQ144" i="1"/>
  <c r="BP144" i="1"/>
  <c r="BQ143" i="1"/>
  <c r="BP143" i="1"/>
  <c r="BQ142" i="1"/>
  <c r="BP142" i="1"/>
  <c r="BQ141" i="1"/>
  <c r="BP141" i="1"/>
  <c r="BQ140" i="1"/>
  <c r="BP140" i="1"/>
  <c r="BQ139" i="1"/>
  <c r="BP139" i="1"/>
  <c r="BQ137" i="1"/>
  <c r="BP137" i="1"/>
  <c r="BQ134" i="1"/>
  <c r="BP134" i="1"/>
  <c r="BQ133" i="1"/>
  <c r="BP133" i="1"/>
  <c r="BQ132" i="1"/>
  <c r="BQ131" i="1"/>
  <c r="BP132" i="1"/>
  <c r="BP131" i="1"/>
  <c r="BQ129" i="1"/>
  <c r="BP129" i="1"/>
  <c r="BQ128" i="1"/>
  <c r="BP128" i="1"/>
  <c r="BQ127" i="1"/>
  <c r="BP127" i="1"/>
  <c r="BQ126" i="1"/>
  <c r="BP126" i="1"/>
  <c r="BQ125" i="1"/>
  <c r="BP125" i="1"/>
  <c r="BQ123" i="1"/>
  <c r="BP123" i="1"/>
  <c r="BQ122" i="1"/>
  <c r="BP122" i="1"/>
  <c r="BQ121" i="1"/>
  <c r="BP121" i="1"/>
  <c r="BQ120" i="1"/>
  <c r="BP120" i="1"/>
  <c r="BQ119" i="1"/>
  <c r="BP119" i="1"/>
  <c r="BQ118" i="1"/>
  <c r="BP118" i="1"/>
  <c r="BQ116" i="1"/>
  <c r="BP116" i="1"/>
  <c r="BQ115" i="1"/>
  <c r="BP115" i="1"/>
  <c r="BQ114" i="1"/>
  <c r="BP114" i="1"/>
  <c r="BQ113" i="1"/>
  <c r="BP113" i="1"/>
  <c r="BQ112" i="1"/>
  <c r="BP112" i="1"/>
  <c r="BQ111" i="1"/>
  <c r="BP111" i="1"/>
  <c r="BQ109" i="1"/>
  <c r="BP109" i="1"/>
  <c r="BQ108" i="1"/>
  <c r="BP108" i="1"/>
  <c r="BQ107" i="1"/>
  <c r="BQ106" i="1"/>
  <c r="BP107" i="1"/>
  <c r="BP106" i="1"/>
  <c r="BQ102" i="1"/>
  <c r="BP102" i="1"/>
  <c r="BQ101" i="1"/>
  <c r="BQ95" i="1"/>
  <c r="BQ96" i="1"/>
  <c r="BQ97" i="1"/>
  <c r="BQ98" i="1"/>
  <c r="BQ99" i="1"/>
  <c r="BQ100" i="1"/>
  <c r="BQ94" i="1"/>
  <c r="BP101" i="1"/>
  <c r="BP100" i="1"/>
  <c r="BP99" i="1"/>
  <c r="BP98" i="1"/>
  <c r="BP97" i="1"/>
  <c r="BP96" i="1"/>
  <c r="BP95" i="1"/>
  <c r="BP94" i="1"/>
  <c r="BQ92" i="1"/>
  <c r="BQ86" i="1"/>
  <c r="BP92" i="1"/>
  <c r="BQ91" i="1"/>
  <c r="BP91" i="1"/>
  <c r="BQ90" i="1"/>
  <c r="BP90" i="1"/>
  <c r="BQ89" i="1"/>
  <c r="BP89" i="1"/>
  <c r="BQ88" i="1"/>
  <c r="BP88" i="1"/>
  <c r="BQ87" i="1"/>
  <c r="BP87" i="1"/>
  <c r="BP86" i="1"/>
  <c r="BQ84" i="1"/>
  <c r="BP84" i="1"/>
  <c r="BQ83" i="1"/>
  <c r="BP83" i="1"/>
  <c r="BQ82" i="1"/>
  <c r="BP82" i="1"/>
  <c r="BQ80" i="1"/>
  <c r="BP80" i="1"/>
  <c r="BP77" i="1"/>
  <c r="BQ79" i="1"/>
  <c r="BP79" i="1"/>
  <c r="BQ78" i="1"/>
  <c r="BP78" i="1"/>
  <c r="BQ77" i="1"/>
  <c r="BQ75" i="1"/>
  <c r="BP75" i="1"/>
  <c r="BQ74" i="1"/>
  <c r="BP74" i="1"/>
  <c r="BQ73" i="1"/>
  <c r="BP73" i="1"/>
  <c r="BQ70" i="1"/>
  <c r="BP70" i="1"/>
  <c r="BQ69" i="1"/>
  <c r="BP69" i="1"/>
  <c r="BQ68" i="1"/>
  <c r="BQ67" i="1"/>
  <c r="BP68" i="1"/>
  <c r="BP67" i="1"/>
  <c r="BQ65" i="1"/>
  <c r="BP65" i="1"/>
  <c r="BQ64" i="1"/>
  <c r="BQ63" i="1"/>
  <c r="BP64" i="1"/>
  <c r="BP63" i="1"/>
  <c r="BQ61" i="1"/>
  <c r="BP61" i="1"/>
  <c r="BQ59" i="1"/>
  <c r="BP59" i="1"/>
  <c r="BQ58" i="1"/>
  <c r="BP58" i="1"/>
  <c r="BQ57" i="1"/>
  <c r="BP57" i="1"/>
  <c r="BQ56" i="1"/>
  <c r="BP56" i="1"/>
  <c r="BQ55" i="1"/>
  <c r="BP55" i="1"/>
  <c r="BQ54" i="1"/>
  <c r="BP54" i="1"/>
  <c r="BQ53" i="1"/>
  <c r="BQ52" i="1"/>
  <c r="BP53" i="1"/>
  <c r="BP52" i="1"/>
  <c r="BQ50" i="1"/>
  <c r="BP50" i="1"/>
  <c r="BQ49" i="1"/>
  <c r="BP49" i="1"/>
  <c r="BQ48" i="1"/>
  <c r="BP48" i="1"/>
  <c r="BQ47" i="1"/>
  <c r="BQ46" i="1"/>
  <c r="BP47" i="1"/>
  <c r="BP46" i="1"/>
  <c r="BQ42" i="1"/>
  <c r="BP42" i="1"/>
  <c r="BQ41" i="1"/>
  <c r="BP41" i="1"/>
  <c r="BP38" i="1"/>
  <c r="BQ36" i="1"/>
  <c r="BP36" i="1"/>
  <c r="BQ34" i="1"/>
  <c r="BP34" i="1"/>
  <c r="BQ33" i="1"/>
  <c r="BP33" i="1"/>
  <c r="BQ32" i="1"/>
  <c r="BP32" i="1"/>
  <c r="BQ31" i="1"/>
  <c r="BQ30" i="1"/>
  <c r="BP31" i="1"/>
  <c r="BP30" i="1"/>
  <c r="BQ28" i="1"/>
  <c r="BP28" i="1"/>
  <c r="BQ26" i="1"/>
  <c r="BP26" i="1"/>
  <c r="BQ24" i="1"/>
  <c r="BP24" i="1"/>
  <c r="BQ23" i="1"/>
  <c r="BP23" i="1"/>
  <c r="BQ22" i="1"/>
  <c r="BQ21" i="1"/>
  <c r="BP22" i="1"/>
  <c r="BP21" i="1"/>
  <c r="BQ19" i="1"/>
  <c r="BP19" i="1"/>
  <c r="BQ18" i="1"/>
  <c r="BP18" i="1"/>
  <c r="BQ17" i="1"/>
  <c r="BQ16" i="1"/>
  <c r="BP17" i="1"/>
  <c r="BP16" i="1"/>
  <c r="BS863" i="1"/>
  <c r="BR863" i="1"/>
  <c r="BS860" i="1"/>
  <c r="BR860" i="1"/>
  <c r="BS856" i="1"/>
  <c r="BR856" i="1"/>
  <c r="BS845" i="1"/>
  <c r="BR845" i="1"/>
  <c r="BS842" i="1"/>
  <c r="BR842" i="1"/>
  <c r="BS827" i="1"/>
  <c r="BR827" i="1"/>
  <c r="BS790" i="1"/>
  <c r="BR790" i="1"/>
  <c r="BS783" i="1"/>
  <c r="BR783" i="1"/>
  <c r="BS768" i="1"/>
  <c r="BR768" i="1"/>
  <c r="BS742" i="1"/>
  <c r="BR742" i="1"/>
  <c r="BS738" i="1"/>
  <c r="BR738" i="1"/>
  <c r="BS728" i="1"/>
  <c r="BR728" i="1"/>
  <c r="BS725" i="1"/>
  <c r="BS723" i="1"/>
  <c r="BS721" i="1"/>
  <c r="BR725" i="1"/>
  <c r="BS718" i="1"/>
  <c r="BR718" i="1"/>
  <c r="BS711" i="1"/>
  <c r="BS691" i="1"/>
  <c r="BR711" i="1"/>
  <c r="BR691" i="1"/>
  <c r="BS705" i="1"/>
  <c r="BR705" i="1"/>
  <c r="BS702" i="1"/>
  <c r="BR702" i="1"/>
  <c r="BS699" i="1"/>
  <c r="BR699" i="1"/>
  <c r="BS696" i="1"/>
  <c r="BR696" i="1"/>
  <c r="BS693" i="1"/>
  <c r="BR693" i="1"/>
  <c r="BS685" i="1"/>
  <c r="BR685" i="1"/>
  <c r="BS681" i="1"/>
  <c r="BR681" i="1"/>
  <c r="BS669" i="1"/>
  <c r="BS664" i="1"/>
  <c r="BS662" i="1"/>
  <c r="BR669" i="1"/>
  <c r="BR664" i="1"/>
  <c r="BR662" i="1"/>
  <c r="BS666" i="1"/>
  <c r="BR666" i="1"/>
  <c r="BS655" i="1"/>
  <c r="BR655" i="1"/>
  <c r="BS645" i="1"/>
  <c r="BR645" i="1"/>
  <c r="BS637" i="1"/>
  <c r="BR637" i="1"/>
  <c r="BS634" i="1"/>
  <c r="BS632" i="1"/>
  <c r="BS630" i="1"/>
  <c r="BS628" i="1"/>
  <c r="BR634" i="1"/>
  <c r="BR632" i="1"/>
  <c r="BR630" i="1"/>
  <c r="BR628" i="1"/>
  <c r="BS625" i="1"/>
  <c r="BR625" i="1"/>
  <c r="BS621" i="1"/>
  <c r="BR621" i="1"/>
  <c r="BS619" i="1"/>
  <c r="BR619" i="1"/>
  <c r="BS616" i="1"/>
  <c r="BR616" i="1"/>
  <c r="BS613" i="1"/>
  <c r="BR613" i="1"/>
  <c r="BR611" i="1"/>
  <c r="BR609" i="1"/>
  <c r="BS606" i="1"/>
  <c r="BR606" i="1"/>
  <c r="BS600" i="1"/>
  <c r="BR600" i="1"/>
  <c r="BS592" i="1"/>
  <c r="BR592" i="1"/>
  <c r="BS585" i="1"/>
  <c r="BR585" i="1"/>
  <c r="BS581" i="1"/>
  <c r="BR581" i="1"/>
  <c r="BS579" i="1"/>
  <c r="BR579" i="1"/>
  <c r="BS571" i="1"/>
  <c r="BR571" i="1"/>
  <c r="BS569" i="1"/>
  <c r="BS567" i="1"/>
  <c r="BR569" i="1"/>
  <c r="BR567" i="1"/>
  <c r="BS563" i="1"/>
  <c r="BR563" i="1"/>
  <c r="BS558" i="1"/>
  <c r="BR558" i="1"/>
  <c r="BS555" i="1"/>
  <c r="BR555" i="1"/>
  <c r="BS549" i="1"/>
  <c r="BR549" i="1"/>
  <c r="BS543" i="1"/>
  <c r="BR543" i="1"/>
  <c r="BS535" i="1"/>
  <c r="BR535" i="1"/>
  <c r="BS532" i="1"/>
  <c r="BR532" i="1"/>
  <c r="BS526" i="1"/>
  <c r="BR526" i="1"/>
  <c r="BS507" i="1"/>
  <c r="BS505" i="1"/>
  <c r="BR507" i="1"/>
  <c r="BR505" i="1"/>
  <c r="BS500" i="1"/>
  <c r="BR500" i="1"/>
  <c r="BS488" i="1"/>
  <c r="BR488" i="1"/>
  <c r="BS482" i="1"/>
  <c r="BR482" i="1"/>
  <c r="BS472" i="1"/>
  <c r="BR472" i="1"/>
  <c r="BS464" i="1"/>
  <c r="BR464" i="1"/>
  <c r="BS458" i="1"/>
  <c r="BR458" i="1"/>
  <c r="BS451" i="1"/>
  <c r="BR451" i="1"/>
  <c r="BS444" i="1"/>
  <c r="BR444" i="1"/>
  <c r="BS439" i="1"/>
  <c r="BR439" i="1"/>
  <c r="BS427" i="1"/>
  <c r="BR427" i="1"/>
  <c r="BS419" i="1"/>
  <c r="BR419" i="1"/>
  <c r="BS416" i="1"/>
  <c r="BR416" i="1"/>
  <c r="BS411" i="1"/>
  <c r="BR411" i="1"/>
  <c r="BS406" i="1"/>
  <c r="BR406" i="1"/>
  <c r="BS401" i="1"/>
  <c r="BR401" i="1"/>
  <c r="BS397" i="1"/>
  <c r="BR397" i="1"/>
  <c r="BS386" i="1"/>
  <c r="BR386" i="1"/>
  <c r="BS380" i="1"/>
  <c r="BR380" i="1"/>
  <c r="BS375" i="1"/>
  <c r="BR375" i="1"/>
  <c r="BS368" i="1"/>
  <c r="BR368" i="1"/>
  <c r="BS366" i="1"/>
  <c r="BR366" i="1"/>
  <c r="BS361" i="1"/>
  <c r="BR361" i="1"/>
  <c r="BS358" i="1"/>
  <c r="BR358" i="1"/>
  <c r="BS354" i="1"/>
  <c r="BR354" i="1"/>
  <c r="BS349" i="1"/>
  <c r="BS347" i="1"/>
  <c r="BR349" i="1"/>
  <c r="BR347" i="1"/>
  <c r="BS329" i="1"/>
  <c r="BR329" i="1"/>
  <c r="BS326" i="1"/>
  <c r="BR326" i="1"/>
  <c r="BS322" i="1"/>
  <c r="BS308" i="1"/>
  <c r="BS242" i="1"/>
  <c r="BR322" i="1"/>
  <c r="BS319" i="1"/>
  <c r="BR319" i="1"/>
  <c r="BS316" i="1"/>
  <c r="BR316" i="1"/>
  <c r="BS313" i="1"/>
  <c r="BR313" i="1"/>
  <c r="BS310" i="1"/>
  <c r="BR310" i="1"/>
  <c r="BR308" i="1"/>
  <c r="BS305" i="1"/>
  <c r="BR305" i="1"/>
  <c r="BS302" i="1"/>
  <c r="BR302" i="1"/>
  <c r="BS298" i="1"/>
  <c r="BR298" i="1"/>
  <c r="BS293" i="1"/>
  <c r="BR293" i="1"/>
  <c r="BS288" i="1"/>
  <c r="BR288" i="1"/>
  <c r="BS279" i="1"/>
  <c r="BR279" i="1"/>
  <c r="BS275" i="1"/>
  <c r="BR275" i="1"/>
  <c r="BS273" i="1"/>
  <c r="BR273" i="1"/>
  <c r="BS267" i="1"/>
  <c r="BR267" i="1"/>
  <c r="BS259" i="1"/>
  <c r="BR259" i="1"/>
  <c r="BS251" i="1"/>
  <c r="BR251" i="1"/>
  <c r="BS246" i="1"/>
  <c r="BS244" i="1"/>
  <c r="BR246" i="1"/>
  <c r="BR244" i="1"/>
  <c r="BS238" i="1"/>
  <c r="BR238" i="1"/>
  <c r="BS237" i="1"/>
  <c r="BR237" i="1"/>
  <c r="BS236" i="1"/>
  <c r="BR236" i="1"/>
  <c r="BS234" i="1"/>
  <c r="BS230" i="1"/>
  <c r="BR234" i="1"/>
  <c r="BR230" i="1"/>
  <c r="BS233" i="1"/>
  <c r="BR233" i="1"/>
  <c r="BS231" i="1"/>
  <c r="BR231" i="1"/>
  <c r="BS228" i="1"/>
  <c r="BR228" i="1"/>
  <c r="BS227" i="1"/>
  <c r="BR227" i="1"/>
  <c r="BS225" i="1"/>
  <c r="BS224" i="1"/>
  <c r="BR225" i="1"/>
  <c r="BR224" i="1"/>
  <c r="BS222" i="1"/>
  <c r="BR222" i="1"/>
  <c r="BS221" i="1"/>
  <c r="BR221" i="1"/>
  <c r="BS220" i="1"/>
  <c r="BR220" i="1"/>
  <c r="BS219" i="1"/>
  <c r="BR219" i="1"/>
  <c r="BS216" i="1"/>
  <c r="BR216" i="1"/>
  <c r="BS215" i="1"/>
  <c r="BR215" i="1"/>
  <c r="BS214" i="1"/>
  <c r="BR214" i="1"/>
  <c r="BS213" i="1"/>
  <c r="BS212" i="1"/>
  <c r="BR213" i="1"/>
  <c r="BR212" i="1"/>
  <c r="BS205" i="1"/>
  <c r="BS204" i="1"/>
  <c r="BR205" i="1"/>
  <c r="BR204" i="1"/>
  <c r="BS202" i="1"/>
  <c r="BS201" i="1"/>
  <c r="BR202" i="1"/>
  <c r="BR201" i="1"/>
  <c r="BS197" i="1"/>
  <c r="BR197" i="1"/>
  <c r="BS196" i="1"/>
  <c r="BS195" i="1"/>
  <c r="BR196" i="1"/>
  <c r="BR195" i="1"/>
  <c r="BS193" i="1"/>
  <c r="BR193" i="1"/>
  <c r="BS191" i="1"/>
  <c r="BR191" i="1"/>
  <c r="BS189" i="1"/>
  <c r="BR189" i="1"/>
  <c r="BS187" i="1"/>
  <c r="BR187" i="1"/>
  <c r="BS185" i="1"/>
  <c r="BS184" i="1"/>
  <c r="BR185" i="1"/>
  <c r="BR184" i="1"/>
  <c r="BS182" i="1"/>
  <c r="BR182" i="1"/>
  <c r="BS180" i="1"/>
  <c r="BR180" i="1"/>
  <c r="BS179" i="1"/>
  <c r="BR179" i="1"/>
  <c r="BS177" i="1"/>
  <c r="BR177" i="1"/>
  <c r="BS176" i="1"/>
  <c r="BR176" i="1"/>
  <c r="BS175" i="1"/>
  <c r="BR175" i="1"/>
  <c r="BS174" i="1"/>
  <c r="BR174" i="1"/>
  <c r="BS170" i="1"/>
  <c r="BR170" i="1"/>
  <c r="BS169" i="1"/>
  <c r="BR169" i="1"/>
  <c r="BS168" i="1"/>
  <c r="BS167" i="1"/>
  <c r="BR168" i="1"/>
  <c r="BR167" i="1"/>
  <c r="BS165" i="1"/>
  <c r="BR165" i="1"/>
  <c r="BS163" i="1"/>
  <c r="BR163" i="1"/>
  <c r="BS162" i="1"/>
  <c r="BR162" i="1"/>
  <c r="BS161" i="1"/>
  <c r="BR161" i="1"/>
  <c r="BS160" i="1"/>
  <c r="BS155" i="1"/>
  <c r="BS104" i="1"/>
  <c r="BR160" i="1"/>
  <c r="BS159" i="1"/>
  <c r="BR159" i="1"/>
  <c r="BS158" i="1"/>
  <c r="BR158" i="1"/>
  <c r="BS157" i="1"/>
  <c r="BR157" i="1"/>
  <c r="BS156" i="1"/>
  <c r="BR156" i="1"/>
  <c r="BR155" i="1"/>
  <c r="BS153" i="1"/>
  <c r="BR153" i="1"/>
  <c r="BS152" i="1"/>
  <c r="BR152" i="1"/>
  <c r="BS151" i="1"/>
  <c r="BR151" i="1"/>
  <c r="BS150" i="1"/>
  <c r="BR150" i="1"/>
  <c r="BS149" i="1"/>
  <c r="BR149" i="1"/>
  <c r="BS147" i="1"/>
  <c r="BS139" i="1"/>
  <c r="BR147" i="1"/>
  <c r="BS146" i="1"/>
  <c r="BR146" i="1"/>
  <c r="BS145" i="1"/>
  <c r="BR145" i="1"/>
  <c r="BS144" i="1"/>
  <c r="BR144" i="1"/>
  <c r="BS143" i="1"/>
  <c r="BR143" i="1"/>
  <c r="BS142" i="1"/>
  <c r="BR142" i="1"/>
  <c r="BS141" i="1"/>
  <c r="BR141" i="1"/>
  <c r="BS140" i="1"/>
  <c r="BR140" i="1"/>
  <c r="BR139" i="1"/>
  <c r="BS137" i="1"/>
  <c r="BR137" i="1"/>
  <c r="BS134" i="1"/>
  <c r="BR134" i="1"/>
  <c r="BS133" i="1"/>
  <c r="BR133" i="1"/>
  <c r="BS132" i="1"/>
  <c r="BR132" i="1"/>
  <c r="BR131" i="1"/>
  <c r="BS131" i="1"/>
  <c r="BS129" i="1"/>
  <c r="BS125" i="1"/>
  <c r="BR129" i="1"/>
  <c r="BS128" i="1"/>
  <c r="BR128" i="1"/>
  <c r="BS127" i="1"/>
  <c r="BR127" i="1"/>
  <c r="BS126" i="1"/>
  <c r="BR126" i="1"/>
  <c r="BR125" i="1"/>
  <c r="BS123" i="1"/>
  <c r="BR123" i="1"/>
  <c r="BS122" i="1"/>
  <c r="BR122" i="1"/>
  <c r="BS121" i="1"/>
  <c r="BR121" i="1"/>
  <c r="BS120" i="1"/>
  <c r="BR120" i="1"/>
  <c r="BS119" i="1"/>
  <c r="BS118" i="1"/>
  <c r="BR119" i="1"/>
  <c r="BR118" i="1"/>
  <c r="BS116" i="1"/>
  <c r="BR116" i="1"/>
  <c r="BS115" i="1"/>
  <c r="BR115" i="1"/>
  <c r="BS114" i="1"/>
  <c r="BR114" i="1"/>
  <c r="BS113" i="1"/>
  <c r="BR113" i="1"/>
  <c r="BS112" i="1"/>
  <c r="BS111" i="1"/>
  <c r="BR112" i="1"/>
  <c r="BR111" i="1"/>
  <c r="BS109" i="1"/>
  <c r="BR109" i="1"/>
  <c r="BS108" i="1"/>
  <c r="BR108" i="1"/>
  <c r="BS107" i="1"/>
  <c r="BS106" i="1"/>
  <c r="BR107" i="1"/>
  <c r="BR106" i="1"/>
  <c r="BS102" i="1"/>
  <c r="BR102" i="1"/>
  <c r="BS101" i="1"/>
  <c r="BR101" i="1"/>
  <c r="BS100" i="1"/>
  <c r="BR100" i="1"/>
  <c r="BS99" i="1"/>
  <c r="BR99" i="1"/>
  <c r="BS98" i="1"/>
  <c r="BR98" i="1"/>
  <c r="BS97" i="1"/>
  <c r="BR97" i="1"/>
  <c r="BS96" i="1"/>
  <c r="BR96" i="1"/>
  <c r="BS95" i="1"/>
  <c r="BS94" i="1"/>
  <c r="BR95" i="1"/>
  <c r="BR94" i="1"/>
  <c r="BS92" i="1"/>
  <c r="BR92" i="1"/>
  <c r="BS91" i="1"/>
  <c r="BR91" i="1"/>
  <c r="BS90" i="1"/>
  <c r="BR90" i="1"/>
  <c r="BS89" i="1"/>
  <c r="BR89" i="1"/>
  <c r="BS88" i="1"/>
  <c r="BR88" i="1"/>
  <c r="BS87" i="1"/>
  <c r="BR87" i="1"/>
  <c r="BS86" i="1"/>
  <c r="BR86" i="1"/>
  <c r="BS84" i="1"/>
  <c r="BR84" i="1"/>
  <c r="BS83" i="1"/>
  <c r="BS82" i="1"/>
  <c r="BR83" i="1"/>
  <c r="BR82" i="1"/>
  <c r="BS80" i="1"/>
  <c r="BR80" i="1"/>
  <c r="BR77" i="1"/>
  <c r="BS79" i="1"/>
  <c r="BR79" i="1"/>
  <c r="BS78" i="1"/>
  <c r="BR78" i="1"/>
  <c r="BS75" i="1"/>
  <c r="BR75" i="1"/>
  <c r="BS74" i="1"/>
  <c r="BR74" i="1"/>
  <c r="BS73" i="1"/>
  <c r="BR73" i="1"/>
  <c r="BS70" i="1"/>
  <c r="BR70" i="1"/>
  <c r="BS69" i="1"/>
  <c r="BR69" i="1"/>
  <c r="BS68" i="1"/>
  <c r="BR68" i="1"/>
  <c r="BR67" i="1"/>
  <c r="BS65" i="1"/>
  <c r="BR65" i="1"/>
  <c r="BS64" i="1"/>
  <c r="BR64" i="1"/>
  <c r="BR63" i="1"/>
  <c r="BS63" i="1"/>
  <c r="BS61" i="1"/>
  <c r="BR61" i="1"/>
  <c r="BS59" i="1"/>
  <c r="BR59" i="1"/>
  <c r="BS58" i="1"/>
  <c r="BR58" i="1"/>
  <c r="BS57" i="1"/>
  <c r="BR57" i="1"/>
  <c r="BS56" i="1"/>
  <c r="BR56" i="1"/>
  <c r="BS55" i="1"/>
  <c r="BR55" i="1"/>
  <c r="BS54" i="1"/>
  <c r="BR54" i="1"/>
  <c r="BS53" i="1"/>
  <c r="BS52" i="1"/>
  <c r="BR53" i="1"/>
  <c r="BR52" i="1"/>
  <c r="BS50" i="1"/>
  <c r="BR50" i="1"/>
  <c r="BS49" i="1"/>
  <c r="BR49" i="1"/>
  <c r="BS48" i="1"/>
  <c r="BR48" i="1"/>
  <c r="BS47" i="1"/>
  <c r="BR47" i="1"/>
  <c r="BS46" i="1"/>
  <c r="BR46" i="1"/>
  <c r="BS42" i="1"/>
  <c r="BR42" i="1"/>
  <c r="BS41" i="1"/>
  <c r="BR41" i="1"/>
  <c r="BS36" i="1"/>
  <c r="BR36" i="1"/>
  <c r="BS34" i="1"/>
  <c r="BR34" i="1"/>
  <c r="BS33" i="1"/>
  <c r="BR33" i="1"/>
  <c r="BS32" i="1"/>
  <c r="BR32" i="1"/>
  <c r="BS31" i="1"/>
  <c r="BR31" i="1"/>
  <c r="BS30" i="1"/>
  <c r="BR30" i="1"/>
  <c r="BS28" i="1"/>
  <c r="BR28" i="1"/>
  <c r="BS26" i="1"/>
  <c r="BR26" i="1"/>
  <c r="BS24" i="1"/>
  <c r="BR24" i="1"/>
  <c r="BS23" i="1"/>
  <c r="BR23" i="1"/>
  <c r="BS22" i="1"/>
  <c r="BR22" i="1"/>
  <c r="BS21" i="1"/>
  <c r="BR21" i="1"/>
  <c r="BS19" i="1"/>
  <c r="BR19" i="1"/>
  <c r="BS18" i="1"/>
  <c r="BR18" i="1"/>
  <c r="BS17" i="1"/>
  <c r="BS16" i="1"/>
  <c r="BR17" i="1"/>
  <c r="BR16" i="1"/>
  <c r="BU863" i="1"/>
  <c r="BT863" i="1"/>
  <c r="BU860" i="1"/>
  <c r="BT860" i="1"/>
  <c r="BU856" i="1"/>
  <c r="BT856" i="1"/>
  <c r="BU845" i="1"/>
  <c r="BT845" i="1"/>
  <c r="BU842" i="1"/>
  <c r="BT842" i="1"/>
  <c r="BU827" i="1"/>
  <c r="BT827" i="1"/>
  <c r="BU790" i="1"/>
  <c r="BT790" i="1"/>
  <c r="BU783" i="1"/>
  <c r="BT783" i="1"/>
  <c r="BU768" i="1"/>
  <c r="BT768" i="1"/>
  <c r="BU742" i="1"/>
  <c r="BT742" i="1"/>
  <c r="BU738" i="1"/>
  <c r="BT738" i="1"/>
  <c r="BT723" i="1"/>
  <c r="BT721" i="1"/>
  <c r="BU728" i="1"/>
  <c r="BT728" i="1"/>
  <c r="BU725" i="1"/>
  <c r="BT725" i="1"/>
  <c r="BU718" i="1"/>
  <c r="BT718" i="1"/>
  <c r="BU711" i="1"/>
  <c r="BU691" i="1"/>
  <c r="BT711" i="1"/>
  <c r="BT691" i="1"/>
  <c r="BU705" i="1"/>
  <c r="BT705" i="1"/>
  <c r="BU702" i="1"/>
  <c r="BT702" i="1"/>
  <c r="BU699" i="1"/>
  <c r="BT699" i="1"/>
  <c r="BU696" i="1"/>
  <c r="BT696" i="1"/>
  <c r="BU693" i="1"/>
  <c r="BT693" i="1"/>
  <c r="BU685" i="1"/>
  <c r="BT685" i="1"/>
  <c r="BU681" i="1"/>
  <c r="BT681" i="1"/>
  <c r="BU669" i="1"/>
  <c r="BT669" i="1"/>
  <c r="BT664" i="1"/>
  <c r="BU666" i="1"/>
  <c r="BT666" i="1"/>
  <c r="BU655" i="1"/>
  <c r="BT655" i="1"/>
  <c r="BU645" i="1"/>
  <c r="BT645" i="1"/>
  <c r="BU637" i="1"/>
  <c r="BT637" i="1"/>
  <c r="BU634" i="1"/>
  <c r="BT634" i="1"/>
  <c r="BU632" i="1"/>
  <c r="BU630" i="1"/>
  <c r="BU628" i="1"/>
  <c r="BT632" i="1"/>
  <c r="BT630" i="1"/>
  <c r="BT628" i="1"/>
  <c r="BU625" i="1"/>
  <c r="BT625" i="1"/>
  <c r="BU621" i="1"/>
  <c r="BU619" i="1"/>
  <c r="BT621" i="1"/>
  <c r="BU616" i="1"/>
  <c r="BT616" i="1"/>
  <c r="BU613" i="1"/>
  <c r="BT613" i="1"/>
  <c r="BU611" i="1"/>
  <c r="BU609" i="1"/>
  <c r="BT611" i="1"/>
  <c r="BU606" i="1"/>
  <c r="BT606" i="1"/>
  <c r="BU600" i="1"/>
  <c r="BT600" i="1"/>
  <c r="BU592" i="1"/>
  <c r="BT592" i="1"/>
  <c r="BU585" i="1"/>
  <c r="BT585" i="1"/>
  <c r="BU581" i="1"/>
  <c r="BU579" i="1"/>
  <c r="BU577" i="1"/>
  <c r="BT581" i="1"/>
  <c r="BT579" i="1"/>
  <c r="BU571" i="1"/>
  <c r="BU569" i="1"/>
  <c r="BU567" i="1"/>
  <c r="BT571" i="1"/>
  <c r="BT569" i="1"/>
  <c r="BT567" i="1"/>
  <c r="BU563" i="1"/>
  <c r="BT563" i="1"/>
  <c r="BU558" i="1"/>
  <c r="BT558" i="1"/>
  <c r="BU555" i="1"/>
  <c r="BT555" i="1"/>
  <c r="BU549" i="1"/>
  <c r="BT549" i="1"/>
  <c r="BU543" i="1"/>
  <c r="BT543" i="1"/>
  <c r="BU541" i="1"/>
  <c r="BT541" i="1"/>
  <c r="BU535" i="1"/>
  <c r="BT535" i="1"/>
  <c r="BU532" i="1"/>
  <c r="BT532" i="1"/>
  <c r="BU526" i="1"/>
  <c r="BT526" i="1"/>
  <c r="BU507" i="1"/>
  <c r="BT507" i="1"/>
  <c r="BU505" i="1"/>
  <c r="BT505" i="1"/>
  <c r="BU500" i="1"/>
  <c r="BT500" i="1"/>
  <c r="BU488" i="1"/>
  <c r="BT488" i="1"/>
  <c r="BU482" i="1"/>
  <c r="BT482" i="1"/>
  <c r="BU472" i="1"/>
  <c r="BT472" i="1"/>
  <c r="BU464" i="1"/>
  <c r="BT464" i="1"/>
  <c r="BU458" i="1"/>
  <c r="BT458" i="1"/>
  <c r="BU451" i="1"/>
  <c r="BT451" i="1"/>
  <c r="BU444" i="1"/>
  <c r="BT444" i="1"/>
  <c r="BU439" i="1"/>
  <c r="BT439" i="1"/>
  <c r="BU437" i="1"/>
  <c r="BT437" i="1"/>
  <c r="BU427" i="1"/>
  <c r="BT427" i="1"/>
  <c r="BU419" i="1"/>
  <c r="BT419" i="1"/>
  <c r="BU416" i="1"/>
  <c r="BT416" i="1"/>
  <c r="BU411" i="1"/>
  <c r="BT411" i="1"/>
  <c r="BU406" i="1"/>
  <c r="BT406" i="1"/>
  <c r="BU401" i="1"/>
  <c r="BT401" i="1"/>
  <c r="BU397" i="1"/>
  <c r="BT397" i="1"/>
  <c r="BT386" i="1"/>
  <c r="BT378" i="1"/>
  <c r="BU386" i="1"/>
  <c r="BU380" i="1"/>
  <c r="BT380" i="1"/>
  <c r="BU378" i="1"/>
  <c r="BU375" i="1"/>
  <c r="BT375" i="1"/>
  <c r="BU368" i="1"/>
  <c r="BU366" i="1"/>
  <c r="BT368" i="1"/>
  <c r="BT366" i="1"/>
  <c r="BU361" i="1"/>
  <c r="BT361" i="1"/>
  <c r="BU358" i="1"/>
  <c r="BT358" i="1"/>
  <c r="BU354" i="1"/>
  <c r="BT354" i="1"/>
  <c r="BU349" i="1"/>
  <c r="BU347" i="1"/>
  <c r="BT349" i="1"/>
  <c r="BT347" i="1"/>
  <c r="BU329" i="1"/>
  <c r="BT329" i="1"/>
  <c r="BU326" i="1"/>
  <c r="BT326" i="1"/>
  <c r="BU322" i="1"/>
  <c r="BT322" i="1"/>
  <c r="BU319" i="1"/>
  <c r="BT319" i="1"/>
  <c r="BU316" i="1"/>
  <c r="BT316" i="1"/>
  <c r="BU313" i="1"/>
  <c r="BT313" i="1"/>
  <c r="BU310" i="1"/>
  <c r="BT310" i="1"/>
  <c r="BU305" i="1"/>
  <c r="BT305" i="1"/>
  <c r="BU302" i="1"/>
  <c r="BT302" i="1"/>
  <c r="BU298" i="1"/>
  <c r="BT298" i="1"/>
  <c r="BU293" i="1"/>
  <c r="BT293" i="1"/>
  <c r="BU288" i="1"/>
  <c r="BT288" i="1"/>
  <c r="BU279" i="1"/>
  <c r="BT279" i="1"/>
  <c r="BU275" i="1"/>
  <c r="BT275" i="1"/>
  <c r="BU267" i="1"/>
  <c r="BT267" i="1"/>
  <c r="BU259" i="1"/>
  <c r="BT259" i="1"/>
  <c r="BU251" i="1"/>
  <c r="BT251" i="1"/>
  <c r="BU246" i="1"/>
  <c r="BU244" i="1"/>
  <c r="BT246" i="1"/>
  <c r="BT244" i="1"/>
  <c r="BU238" i="1"/>
  <c r="BT238" i="1"/>
  <c r="BU237" i="1"/>
  <c r="BU236" i="1"/>
  <c r="BU215" i="1"/>
  <c r="BU212" i="1"/>
  <c r="BU220" i="1"/>
  <c r="BU221" i="1"/>
  <c r="BU218" i="1"/>
  <c r="BU210" i="1"/>
  <c r="BT237" i="1"/>
  <c r="BT236" i="1"/>
  <c r="BT215" i="1"/>
  <c r="BT212" i="1"/>
  <c r="BT220" i="1"/>
  <c r="BT221" i="1"/>
  <c r="BT218" i="1"/>
  <c r="BT210" i="1"/>
  <c r="BU234" i="1"/>
  <c r="BT234" i="1"/>
  <c r="BU233" i="1"/>
  <c r="BT233" i="1"/>
  <c r="BU231" i="1"/>
  <c r="BU230" i="1"/>
  <c r="BT231" i="1"/>
  <c r="BT230" i="1"/>
  <c r="BU228" i="1"/>
  <c r="BU227" i="1"/>
  <c r="BT228" i="1"/>
  <c r="BT227" i="1"/>
  <c r="BU225" i="1"/>
  <c r="BU224" i="1"/>
  <c r="BT225" i="1"/>
  <c r="BT224" i="1"/>
  <c r="BU222" i="1"/>
  <c r="BT222" i="1"/>
  <c r="BU219" i="1"/>
  <c r="BT219" i="1"/>
  <c r="BU216" i="1"/>
  <c r="BT216" i="1"/>
  <c r="BU214" i="1"/>
  <c r="BT214" i="1"/>
  <c r="BU213" i="1"/>
  <c r="BT213" i="1"/>
  <c r="BU205" i="1"/>
  <c r="BT205" i="1"/>
  <c r="BU204" i="1"/>
  <c r="BT204" i="1"/>
  <c r="BU202" i="1"/>
  <c r="BT202" i="1"/>
  <c r="BU201" i="1"/>
  <c r="BU199" i="1"/>
  <c r="BT201" i="1"/>
  <c r="BT199" i="1"/>
  <c r="BU197" i="1"/>
  <c r="BT197" i="1"/>
  <c r="BU196" i="1"/>
  <c r="BT196" i="1"/>
  <c r="BU195" i="1"/>
  <c r="BT195" i="1"/>
  <c r="BU193" i="1"/>
  <c r="BT193" i="1"/>
  <c r="BU191" i="1"/>
  <c r="BT191" i="1"/>
  <c r="BU189" i="1"/>
  <c r="BT189" i="1"/>
  <c r="BU187" i="1"/>
  <c r="BT187" i="1"/>
  <c r="BU185" i="1"/>
  <c r="BT185" i="1"/>
  <c r="BU184" i="1"/>
  <c r="BT184" i="1"/>
  <c r="BU182" i="1"/>
  <c r="BT182" i="1"/>
  <c r="BU180" i="1"/>
  <c r="BU179" i="1"/>
  <c r="BT180" i="1"/>
  <c r="BT179" i="1"/>
  <c r="BU177" i="1"/>
  <c r="BT177" i="1"/>
  <c r="BU176" i="1"/>
  <c r="BT176" i="1"/>
  <c r="BU175" i="1"/>
  <c r="BU174" i="1"/>
  <c r="BT175" i="1"/>
  <c r="BT174" i="1"/>
  <c r="BT172" i="1"/>
  <c r="BU170" i="1"/>
  <c r="BT170" i="1"/>
  <c r="BU169" i="1"/>
  <c r="BT169" i="1"/>
  <c r="BU168" i="1"/>
  <c r="BU167" i="1"/>
  <c r="BT168" i="1"/>
  <c r="BU165" i="1"/>
  <c r="BT165" i="1"/>
  <c r="BU163" i="1"/>
  <c r="BT163" i="1"/>
  <c r="BU162" i="1"/>
  <c r="BT162" i="1"/>
  <c r="BU161" i="1"/>
  <c r="BT161" i="1"/>
  <c r="BU160" i="1"/>
  <c r="BU156" i="1"/>
  <c r="BU157" i="1"/>
  <c r="BU158" i="1"/>
  <c r="BU159" i="1"/>
  <c r="BU155" i="1"/>
  <c r="BT160" i="1"/>
  <c r="BT159" i="1"/>
  <c r="BT158" i="1"/>
  <c r="BT157" i="1"/>
  <c r="BT156" i="1"/>
  <c r="BT155" i="1"/>
  <c r="BU153" i="1"/>
  <c r="BT153" i="1"/>
  <c r="BU152" i="1"/>
  <c r="BT152" i="1"/>
  <c r="BU151" i="1"/>
  <c r="BT151" i="1"/>
  <c r="BU150" i="1"/>
  <c r="BU149" i="1"/>
  <c r="BT150" i="1"/>
  <c r="BT149" i="1"/>
  <c r="BU147" i="1"/>
  <c r="BT147" i="1"/>
  <c r="BU146" i="1"/>
  <c r="BT146" i="1"/>
  <c r="BU145" i="1"/>
  <c r="BT145" i="1"/>
  <c r="BU144" i="1"/>
  <c r="BT144" i="1"/>
  <c r="BU143" i="1"/>
  <c r="BT143" i="1"/>
  <c r="BU142" i="1"/>
  <c r="BT142" i="1"/>
  <c r="BU141" i="1"/>
  <c r="BT141" i="1"/>
  <c r="BU140" i="1"/>
  <c r="BT140" i="1"/>
  <c r="BU137" i="1"/>
  <c r="BT137" i="1"/>
  <c r="BU134" i="1"/>
  <c r="BT134" i="1"/>
  <c r="BU133" i="1"/>
  <c r="BT133" i="1"/>
  <c r="BU132" i="1"/>
  <c r="BT132" i="1"/>
  <c r="BU129" i="1"/>
  <c r="BT129" i="1"/>
  <c r="BU128" i="1"/>
  <c r="BT128" i="1"/>
  <c r="BU127" i="1"/>
  <c r="BT127" i="1"/>
  <c r="BU126" i="1"/>
  <c r="BT126" i="1"/>
  <c r="BU125" i="1"/>
  <c r="BT125" i="1"/>
  <c r="BU123" i="1"/>
  <c r="BT123" i="1"/>
  <c r="BU122" i="1"/>
  <c r="BT122" i="1"/>
  <c r="BU121" i="1"/>
  <c r="BT121" i="1"/>
  <c r="BU120" i="1"/>
  <c r="BT120" i="1"/>
  <c r="BU119" i="1"/>
  <c r="BT119" i="1"/>
  <c r="BU118" i="1"/>
  <c r="BT118" i="1"/>
  <c r="BU116" i="1"/>
  <c r="BT116" i="1"/>
  <c r="BU115" i="1"/>
  <c r="BT115" i="1"/>
  <c r="BU114" i="1"/>
  <c r="BT114" i="1"/>
  <c r="BU113" i="1"/>
  <c r="BT113" i="1"/>
  <c r="BU112" i="1"/>
  <c r="BT112" i="1"/>
  <c r="BU109" i="1"/>
  <c r="BT109" i="1"/>
  <c r="BU108" i="1"/>
  <c r="BT108" i="1"/>
  <c r="BU107" i="1"/>
  <c r="BU106" i="1"/>
  <c r="BT107" i="1"/>
  <c r="BT106" i="1"/>
  <c r="BU102" i="1"/>
  <c r="BT102" i="1"/>
  <c r="BU101" i="1"/>
  <c r="BT101" i="1"/>
  <c r="BU100" i="1"/>
  <c r="BT100" i="1"/>
  <c r="BU99" i="1"/>
  <c r="BT99" i="1"/>
  <c r="BU98" i="1"/>
  <c r="BT98" i="1"/>
  <c r="BU97" i="1"/>
  <c r="BT97" i="1"/>
  <c r="BU96" i="1"/>
  <c r="BT96" i="1"/>
  <c r="BU95" i="1"/>
  <c r="BT95" i="1"/>
  <c r="BT94" i="1"/>
  <c r="BU92" i="1"/>
  <c r="BT92" i="1"/>
  <c r="BU91" i="1"/>
  <c r="BT91" i="1"/>
  <c r="BU90" i="1"/>
  <c r="BT90" i="1"/>
  <c r="BU89" i="1"/>
  <c r="BT89" i="1"/>
  <c r="BU88" i="1"/>
  <c r="BT88" i="1"/>
  <c r="BU87" i="1"/>
  <c r="BU86" i="1"/>
  <c r="BT87" i="1"/>
  <c r="BT86" i="1"/>
  <c r="BU84" i="1"/>
  <c r="BT84" i="1"/>
  <c r="BU83" i="1"/>
  <c r="BT83" i="1"/>
  <c r="BU82" i="1"/>
  <c r="BT82" i="1"/>
  <c r="BU80" i="1"/>
  <c r="BT80" i="1"/>
  <c r="BU79" i="1"/>
  <c r="BT79" i="1"/>
  <c r="BU78" i="1"/>
  <c r="BT78" i="1"/>
  <c r="BU77" i="1"/>
  <c r="BU75" i="1"/>
  <c r="BT75" i="1"/>
  <c r="BU74" i="1"/>
  <c r="BT74" i="1"/>
  <c r="BU73" i="1"/>
  <c r="BT73" i="1"/>
  <c r="BT72" i="1"/>
  <c r="BU72" i="1"/>
  <c r="BU70" i="1"/>
  <c r="BT70" i="1"/>
  <c r="BU69" i="1"/>
  <c r="BT69" i="1"/>
  <c r="BU68" i="1"/>
  <c r="BT68" i="1"/>
  <c r="BU67" i="1"/>
  <c r="BU65" i="1"/>
  <c r="BT65" i="1"/>
  <c r="BU64" i="1"/>
  <c r="BU63" i="1"/>
  <c r="BT64" i="1"/>
  <c r="BT63" i="1"/>
  <c r="BU61" i="1"/>
  <c r="BT61" i="1"/>
  <c r="BU59" i="1"/>
  <c r="BT59" i="1"/>
  <c r="BU58" i="1"/>
  <c r="BT58" i="1"/>
  <c r="BU57" i="1"/>
  <c r="BT57" i="1"/>
  <c r="BU56" i="1"/>
  <c r="BT56" i="1"/>
  <c r="BU55" i="1"/>
  <c r="BT55" i="1"/>
  <c r="BU54" i="1"/>
  <c r="BT54" i="1"/>
  <c r="BU53" i="1"/>
  <c r="BU52" i="1"/>
  <c r="BT53" i="1"/>
  <c r="BT52" i="1"/>
  <c r="BU50" i="1"/>
  <c r="BT50" i="1"/>
  <c r="BU49" i="1"/>
  <c r="BT49" i="1"/>
  <c r="BU48" i="1"/>
  <c r="BT48" i="1"/>
  <c r="BU47" i="1"/>
  <c r="BT47" i="1"/>
  <c r="BU42" i="1"/>
  <c r="BT42" i="1"/>
  <c r="BU41" i="1"/>
  <c r="BT41" i="1"/>
  <c r="BU38" i="1"/>
  <c r="BT38" i="1"/>
  <c r="BU36" i="1"/>
  <c r="BT36" i="1"/>
  <c r="BU34" i="1"/>
  <c r="BT34" i="1"/>
  <c r="BU33" i="1"/>
  <c r="BT33" i="1"/>
  <c r="BU32" i="1"/>
  <c r="BT32" i="1"/>
  <c r="BU31" i="1"/>
  <c r="BU30" i="1"/>
  <c r="BT31" i="1"/>
  <c r="BT30" i="1"/>
  <c r="BU28" i="1"/>
  <c r="BT28" i="1"/>
  <c r="BU26" i="1"/>
  <c r="BT26" i="1"/>
  <c r="BU24" i="1"/>
  <c r="BT24" i="1"/>
  <c r="BU23" i="1"/>
  <c r="BT23" i="1"/>
  <c r="BU22" i="1"/>
  <c r="BU21" i="1"/>
  <c r="BT22" i="1"/>
  <c r="BT21" i="1"/>
  <c r="BU19" i="1"/>
  <c r="BT19" i="1"/>
  <c r="BU18" i="1"/>
  <c r="BT18" i="1"/>
  <c r="BU17" i="1"/>
  <c r="BU16" i="1"/>
  <c r="BT17" i="1"/>
  <c r="BT16" i="1"/>
  <c r="BW863" i="1"/>
  <c r="BV863" i="1"/>
  <c r="BW860" i="1"/>
  <c r="BV860" i="1"/>
  <c r="BW856" i="1"/>
  <c r="BV856" i="1"/>
  <c r="BW845" i="1"/>
  <c r="BV845" i="1"/>
  <c r="BW842" i="1"/>
  <c r="BV842" i="1"/>
  <c r="BW827" i="1"/>
  <c r="BV827" i="1"/>
  <c r="BW790" i="1"/>
  <c r="BV790" i="1"/>
  <c r="BW783" i="1"/>
  <c r="BV783" i="1"/>
  <c r="BW768" i="1"/>
  <c r="BV768" i="1"/>
  <c r="BW742" i="1"/>
  <c r="BV742" i="1"/>
  <c r="BW738" i="1"/>
  <c r="BV738" i="1"/>
  <c r="BW728" i="1"/>
  <c r="BV728" i="1"/>
  <c r="BW725" i="1"/>
  <c r="BV725" i="1"/>
  <c r="BW718" i="1"/>
  <c r="BV718" i="1"/>
  <c r="BW711" i="1"/>
  <c r="BW691" i="1"/>
  <c r="BV711" i="1"/>
  <c r="BV691" i="1"/>
  <c r="BW705" i="1"/>
  <c r="BV705" i="1"/>
  <c r="BW702" i="1"/>
  <c r="BV702" i="1"/>
  <c r="BW699" i="1"/>
  <c r="BV699" i="1"/>
  <c r="BW696" i="1"/>
  <c r="BV696" i="1"/>
  <c r="BW693" i="1"/>
  <c r="BV693" i="1"/>
  <c r="BW685" i="1"/>
  <c r="BV685" i="1"/>
  <c r="BW681" i="1"/>
  <c r="BV681" i="1"/>
  <c r="BW669" i="1"/>
  <c r="BW664" i="1"/>
  <c r="BV669" i="1"/>
  <c r="BV664" i="1"/>
  <c r="BV662" i="1"/>
  <c r="BW666" i="1"/>
  <c r="BV666" i="1"/>
  <c r="BW655" i="1"/>
  <c r="BV655" i="1"/>
  <c r="BW645" i="1"/>
  <c r="BV645" i="1"/>
  <c r="BW637" i="1"/>
  <c r="BV637" i="1"/>
  <c r="BW634" i="1"/>
  <c r="BW632" i="1"/>
  <c r="BW630" i="1"/>
  <c r="BW628" i="1"/>
  <c r="BV634" i="1"/>
  <c r="BV632" i="1"/>
  <c r="BV630" i="1"/>
  <c r="BV628" i="1"/>
  <c r="BW625" i="1"/>
  <c r="BV625" i="1"/>
  <c r="BW621" i="1"/>
  <c r="BV621" i="1"/>
  <c r="BW619" i="1"/>
  <c r="BV619" i="1"/>
  <c r="BW616" i="1"/>
  <c r="BV616" i="1"/>
  <c r="BW613" i="1"/>
  <c r="BV613" i="1"/>
  <c r="BV611" i="1"/>
  <c r="BV609" i="1"/>
  <c r="BW606" i="1"/>
  <c r="BV606" i="1"/>
  <c r="BW600" i="1"/>
  <c r="BV600" i="1"/>
  <c r="BW592" i="1"/>
  <c r="BV592" i="1"/>
  <c r="BW585" i="1"/>
  <c r="BV585" i="1"/>
  <c r="BW581" i="1"/>
  <c r="BV581" i="1"/>
  <c r="BW579" i="1"/>
  <c r="BW577" i="1"/>
  <c r="BV579" i="1"/>
  <c r="BV577" i="1"/>
  <c r="BV575" i="1"/>
  <c r="BW571" i="1"/>
  <c r="BV571" i="1"/>
  <c r="BW569" i="1"/>
  <c r="BW567" i="1"/>
  <c r="BV569" i="1"/>
  <c r="BV567" i="1"/>
  <c r="BW563" i="1"/>
  <c r="BV563" i="1"/>
  <c r="BW558" i="1"/>
  <c r="BV558" i="1"/>
  <c r="BW555" i="1"/>
  <c r="BV555" i="1"/>
  <c r="BW549" i="1"/>
  <c r="BV549" i="1"/>
  <c r="BW543" i="1"/>
  <c r="BV543" i="1"/>
  <c r="BW535" i="1"/>
  <c r="BV535" i="1"/>
  <c r="BW532" i="1"/>
  <c r="BV532" i="1"/>
  <c r="BW526" i="1"/>
  <c r="BV526" i="1"/>
  <c r="BW507" i="1"/>
  <c r="BW505" i="1"/>
  <c r="BV507" i="1"/>
  <c r="BV505" i="1"/>
  <c r="BW500" i="1"/>
  <c r="BV500" i="1"/>
  <c r="BW488" i="1"/>
  <c r="BV488" i="1"/>
  <c r="BW482" i="1"/>
  <c r="BV482" i="1"/>
  <c r="BW472" i="1"/>
  <c r="BV472" i="1"/>
  <c r="BW464" i="1"/>
  <c r="BV464" i="1"/>
  <c r="BW458" i="1"/>
  <c r="BV458" i="1"/>
  <c r="BW451" i="1"/>
  <c r="BV451" i="1"/>
  <c r="BW444" i="1"/>
  <c r="BV444" i="1"/>
  <c r="BW439" i="1"/>
  <c r="BV439" i="1"/>
  <c r="BW427" i="1"/>
  <c r="BV427" i="1"/>
  <c r="BW419" i="1"/>
  <c r="BV419" i="1"/>
  <c r="BW416" i="1"/>
  <c r="BV416" i="1"/>
  <c r="BW411" i="1"/>
  <c r="BV411" i="1"/>
  <c r="BW406" i="1"/>
  <c r="BV406" i="1"/>
  <c r="BW401" i="1"/>
  <c r="BV401" i="1"/>
  <c r="BW397" i="1"/>
  <c r="BV397" i="1"/>
  <c r="BW386" i="1"/>
  <c r="BV386" i="1"/>
  <c r="BW380" i="1"/>
  <c r="BV380" i="1"/>
  <c r="BW375" i="1"/>
  <c r="BV375" i="1"/>
  <c r="BW368" i="1"/>
  <c r="BV368" i="1"/>
  <c r="BW366" i="1"/>
  <c r="BV366" i="1"/>
  <c r="BW361" i="1"/>
  <c r="BV361" i="1"/>
  <c r="BW358" i="1"/>
  <c r="BV358" i="1"/>
  <c r="BW354" i="1"/>
  <c r="BV354" i="1"/>
  <c r="BW349" i="1"/>
  <c r="BW347" i="1"/>
  <c r="BV349" i="1"/>
  <c r="BV347" i="1"/>
  <c r="BW329" i="1"/>
  <c r="BV329" i="1"/>
  <c r="BW326" i="1"/>
  <c r="BV326" i="1"/>
  <c r="BW322" i="1"/>
  <c r="BV322" i="1"/>
  <c r="BW319" i="1"/>
  <c r="BV319" i="1"/>
  <c r="BW316" i="1"/>
  <c r="BV316" i="1"/>
  <c r="BW313" i="1"/>
  <c r="BV313" i="1"/>
  <c r="BW310" i="1"/>
  <c r="BW308" i="1"/>
  <c r="BV310" i="1"/>
  <c r="BV308" i="1"/>
  <c r="BW305" i="1"/>
  <c r="BV305" i="1"/>
  <c r="BW302" i="1"/>
  <c r="BV302" i="1"/>
  <c r="BW298" i="1"/>
  <c r="BV298" i="1"/>
  <c r="BW293" i="1"/>
  <c r="BV293" i="1"/>
  <c r="BW288" i="1"/>
  <c r="BV288" i="1"/>
  <c r="BW279" i="1"/>
  <c r="BV279" i="1"/>
  <c r="BW275" i="1"/>
  <c r="BV275" i="1"/>
  <c r="BW267" i="1"/>
  <c r="BV267" i="1"/>
  <c r="BW259" i="1"/>
  <c r="BV259" i="1"/>
  <c r="BW251" i="1"/>
  <c r="BV251" i="1"/>
  <c r="BW246" i="1"/>
  <c r="BW244" i="1"/>
  <c r="BV246" i="1"/>
  <c r="BV244" i="1"/>
  <c r="BW238" i="1"/>
  <c r="BV238" i="1"/>
  <c r="BW237" i="1"/>
  <c r="BV237" i="1"/>
  <c r="BV236" i="1"/>
  <c r="BW236" i="1"/>
  <c r="BW234" i="1"/>
  <c r="BV234" i="1"/>
  <c r="BW233" i="1"/>
  <c r="BV233" i="1"/>
  <c r="BW231" i="1"/>
  <c r="BV231" i="1"/>
  <c r="BW230" i="1"/>
  <c r="BV230" i="1"/>
  <c r="BW228" i="1"/>
  <c r="BW227" i="1"/>
  <c r="BV228" i="1"/>
  <c r="BV227" i="1"/>
  <c r="BW225" i="1"/>
  <c r="BW224" i="1"/>
  <c r="BV225" i="1"/>
  <c r="BV224" i="1"/>
  <c r="BW222" i="1"/>
  <c r="BV222" i="1"/>
  <c r="BW221" i="1"/>
  <c r="BV221" i="1"/>
  <c r="BW220" i="1"/>
  <c r="BV220" i="1"/>
  <c r="BW219" i="1"/>
  <c r="BW218" i="1"/>
  <c r="BV219" i="1"/>
  <c r="BV218" i="1"/>
  <c r="BW216" i="1"/>
  <c r="BV216" i="1"/>
  <c r="BW215" i="1"/>
  <c r="BV215" i="1"/>
  <c r="BV212" i="1"/>
  <c r="BV210" i="1"/>
  <c r="BW214" i="1"/>
  <c r="BV214" i="1"/>
  <c r="BW213" i="1"/>
  <c r="BW212" i="1"/>
  <c r="BV213" i="1"/>
  <c r="BW205" i="1"/>
  <c r="BW204" i="1"/>
  <c r="BV205" i="1"/>
  <c r="BV204" i="1"/>
  <c r="BW202" i="1"/>
  <c r="BW201" i="1"/>
  <c r="BV202" i="1"/>
  <c r="BV201" i="1"/>
  <c r="BV199" i="1"/>
  <c r="BW197" i="1"/>
  <c r="BV197" i="1"/>
  <c r="BV196" i="1"/>
  <c r="BV195" i="1"/>
  <c r="BV172" i="1"/>
  <c r="BW196" i="1"/>
  <c r="BW195" i="1"/>
  <c r="BW172" i="1"/>
  <c r="BW193" i="1"/>
  <c r="BV193" i="1"/>
  <c r="BW191" i="1"/>
  <c r="BV191" i="1"/>
  <c r="BW189" i="1"/>
  <c r="BV189" i="1"/>
  <c r="BW187" i="1"/>
  <c r="BV187" i="1"/>
  <c r="BW185" i="1"/>
  <c r="BW184" i="1"/>
  <c r="BV185" i="1"/>
  <c r="BV184" i="1"/>
  <c r="BW182" i="1"/>
  <c r="BV182" i="1"/>
  <c r="BW180" i="1"/>
  <c r="BV180" i="1"/>
  <c r="BW179" i="1"/>
  <c r="BV179" i="1"/>
  <c r="BW177" i="1"/>
  <c r="BV177" i="1"/>
  <c r="BW176" i="1"/>
  <c r="BV176" i="1"/>
  <c r="BW175" i="1"/>
  <c r="BV175" i="1"/>
  <c r="BW174" i="1"/>
  <c r="BV174" i="1"/>
  <c r="BW170" i="1"/>
  <c r="BV170" i="1"/>
  <c r="BW169" i="1"/>
  <c r="BV169" i="1"/>
  <c r="BW168" i="1"/>
  <c r="BW167" i="1"/>
  <c r="BV168" i="1"/>
  <c r="BW165" i="1"/>
  <c r="BV165" i="1"/>
  <c r="BW163" i="1"/>
  <c r="BV163" i="1"/>
  <c r="BW162" i="1"/>
  <c r="BV162" i="1"/>
  <c r="BW161" i="1"/>
  <c r="BV161" i="1"/>
  <c r="BW160" i="1"/>
  <c r="BV160" i="1"/>
  <c r="BW159" i="1"/>
  <c r="BV159" i="1"/>
  <c r="BW158" i="1"/>
  <c r="BV158" i="1"/>
  <c r="BW157" i="1"/>
  <c r="BV157" i="1"/>
  <c r="BW156" i="1"/>
  <c r="BV156" i="1"/>
  <c r="BW153" i="1"/>
  <c r="BV153" i="1"/>
  <c r="BW152" i="1"/>
  <c r="BV152" i="1"/>
  <c r="BW151" i="1"/>
  <c r="BV151" i="1"/>
  <c r="BW150" i="1"/>
  <c r="BV150" i="1"/>
  <c r="BW149" i="1"/>
  <c r="BV149" i="1"/>
  <c r="BW147" i="1"/>
  <c r="BV147" i="1"/>
  <c r="BW146" i="1"/>
  <c r="BV146" i="1"/>
  <c r="BW145" i="1"/>
  <c r="BV145" i="1"/>
  <c r="BW144" i="1"/>
  <c r="BV144" i="1"/>
  <c r="BW143" i="1"/>
  <c r="BV143" i="1"/>
  <c r="BW142" i="1"/>
  <c r="BV142" i="1"/>
  <c r="BW141" i="1"/>
  <c r="BV141" i="1"/>
  <c r="BW140" i="1"/>
  <c r="BV140" i="1"/>
  <c r="BW137" i="1"/>
  <c r="BV137" i="1"/>
  <c r="BW134" i="1"/>
  <c r="BV134" i="1"/>
  <c r="BW133" i="1"/>
  <c r="BV133" i="1"/>
  <c r="BW132" i="1"/>
  <c r="BV132" i="1"/>
  <c r="BW129" i="1"/>
  <c r="BW125" i="1"/>
  <c r="BV129" i="1"/>
  <c r="BW128" i="1"/>
  <c r="BV128" i="1"/>
  <c r="BW127" i="1"/>
  <c r="BV127" i="1"/>
  <c r="BW126" i="1"/>
  <c r="BV126" i="1"/>
  <c r="BV125" i="1"/>
  <c r="BW123" i="1"/>
  <c r="BV123" i="1"/>
  <c r="BW122" i="1"/>
  <c r="BV122" i="1"/>
  <c r="BW121" i="1"/>
  <c r="BV121" i="1"/>
  <c r="BW120" i="1"/>
  <c r="BV120" i="1"/>
  <c r="BW119" i="1"/>
  <c r="BW118" i="1"/>
  <c r="BV119" i="1"/>
  <c r="BV118" i="1"/>
  <c r="BW116" i="1"/>
  <c r="BV116" i="1"/>
  <c r="BW115" i="1"/>
  <c r="BV115" i="1"/>
  <c r="BW114" i="1"/>
  <c r="BV114" i="1"/>
  <c r="BW113" i="1"/>
  <c r="BV113" i="1"/>
  <c r="BW112" i="1"/>
  <c r="BV112" i="1"/>
  <c r="BW109" i="1"/>
  <c r="BV109" i="1"/>
  <c r="BW108" i="1"/>
  <c r="BV108" i="1"/>
  <c r="BW107" i="1"/>
  <c r="BW106" i="1"/>
  <c r="BV107" i="1"/>
  <c r="BV106" i="1"/>
  <c r="BW102" i="1"/>
  <c r="BV102" i="1"/>
  <c r="BW101" i="1"/>
  <c r="BV101" i="1"/>
  <c r="BW100" i="1"/>
  <c r="BV100" i="1"/>
  <c r="BW99" i="1"/>
  <c r="BV99" i="1"/>
  <c r="BW98" i="1"/>
  <c r="BV98" i="1"/>
  <c r="BW97" i="1"/>
  <c r="BV97" i="1"/>
  <c r="BW96" i="1"/>
  <c r="BV96" i="1"/>
  <c r="BW95" i="1"/>
  <c r="BV95" i="1"/>
  <c r="BV94" i="1"/>
  <c r="BW92" i="1"/>
  <c r="BV92" i="1"/>
  <c r="BW91" i="1"/>
  <c r="BV91" i="1"/>
  <c r="BW90" i="1"/>
  <c r="BV90" i="1"/>
  <c r="BW89" i="1"/>
  <c r="BV89" i="1"/>
  <c r="BW88" i="1"/>
  <c r="BV88" i="1"/>
  <c r="BW87" i="1"/>
  <c r="BV87" i="1"/>
  <c r="BW86" i="1"/>
  <c r="BV86" i="1"/>
  <c r="BW84" i="1"/>
  <c r="BV84" i="1"/>
  <c r="BW83" i="1"/>
  <c r="BW82" i="1"/>
  <c r="BV83" i="1"/>
  <c r="BV82" i="1"/>
  <c r="BW80" i="1"/>
  <c r="BV80" i="1"/>
  <c r="BV77" i="1"/>
  <c r="BW79" i="1"/>
  <c r="BW77" i="1"/>
  <c r="BV79" i="1"/>
  <c r="BW78" i="1"/>
  <c r="BV78" i="1"/>
  <c r="BW75" i="1"/>
  <c r="BV75" i="1"/>
  <c r="BW74" i="1"/>
  <c r="BV74" i="1"/>
  <c r="BW73" i="1"/>
  <c r="BV73" i="1"/>
  <c r="BW70" i="1"/>
  <c r="BV70" i="1"/>
  <c r="BW69" i="1"/>
  <c r="BV69" i="1"/>
  <c r="BW68" i="1"/>
  <c r="BW67" i="1"/>
  <c r="BV68" i="1"/>
  <c r="BW65" i="1"/>
  <c r="BV65" i="1"/>
  <c r="BW64" i="1"/>
  <c r="BV64" i="1"/>
  <c r="BV63" i="1"/>
  <c r="BW63" i="1"/>
  <c r="BW61" i="1"/>
  <c r="BV61" i="1"/>
  <c r="BW59" i="1"/>
  <c r="BV59" i="1"/>
  <c r="BW58" i="1"/>
  <c r="BV58" i="1"/>
  <c r="BW57" i="1"/>
  <c r="BV57" i="1"/>
  <c r="BW56" i="1"/>
  <c r="BV56" i="1"/>
  <c r="BW55" i="1"/>
  <c r="BV55" i="1"/>
  <c r="BW54" i="1"/>
  <c r="BV54" i="1"/>
  <c r="BW53" i="1"/>
  <c r="BW52" i="1"/>
  <c r="BV53" i="1"/>
  <c r="BV52" i="1"/>
  <c r="BW50" i="1"/>
  <c r="BV50" i="1"/>
  <c r="BW49" i="1"/>
  <c r="BV49" i="1"/>
  <c r="BW48" i="1"/>
  <c r="BV48" i="1"/>
  <c r="BW47" i="1"/>
  <c r="BV47" i="1"/>
  <c r="BW46" i="1"/>
  <c r="BW42" i="1"/>
  <c r="BV42" i="1"/>
  <c r="BW41" i="1"/>
  <c r="BV41" i="1"/>
  <c r="BW36" i="1"/>
  <c r="BV36" i="1"/>
  <c r="BW34" i="1"/>
  <c r="BV34" i="1"/>
  <c r="BW33" i="1"/>
  <c r="BV33" i="1"/>
  <c r="BW32" i="1"/>
  <c r="BV32" i="1"/>
  <c r="BW31" i="1"/>
  <c r="BV31" i="1"/>
  <c r="BW30" i="1"/>
  <c r="BV30" i="1"/>
  <c r="BW28" i="1"/>
  <c r="BV28" i="1"/>
  <c r="BW26" i="1"/>
  <c r="BV26" i="1"/>
  <c r="BW24" i="1"/>
  <c r="BV24" i="1"/>
  <c r="BW23" i="1"/>
  <c r="BV23" i="1"/>
  <c r="BW22" i="1"/>
  <c r="BW21" i="1"/>
  <c r="BV22" i="1"/>
  <c r="BV21" i="1"/>
  <c r="BW19" i="1"/>
  <c r="BV19" i="1"/>
  <c r="BW18" i="1"/>
  <c r="BV18" i="1"/>
  <c r="BW17" i="1"/>
  <c r="BW16" i="1"/>
  <c r="BV17" i="1"/>
  <c r="BV16" i="1"/>
  <c r="BV14" i="1"/>
  <c r="BY863" i="1"/>
  <c r="BX863" i="1"/>
  <c r="BY860" i="1"/>
  <c r="BX860" i="1"/>
  <c r="BY856" i="1"/>
  <c r="BX856" i="1"/>
  <c r="BY845" i="1"/>
  <c r="BX845" i="1"/>
  <c r="BY842" i="1"/>
  <c r="BX842" i="1"/>
  <c r="BY827" i="1"/>
  <c r="BX827" i="1"/>
  <c r="BY790" i="1"/>
  <c r="BX790" i="1"/>
  <c r="BY783" i="1"/>
  <c r="BX783" i="1"/>
  <c r="BY768" i="1"/>
  <c r="BX768" i="1"/>
  <c r="BY742" i="1"/>
  <c r="BX742" i="1"/>
  <c r="BY738" i="1"/>
  <c r="BX738" i="1"/>
  <c r="BY728" i="1"/>
  <c r="BX728" i="1"/>
  <c r="BY725" i="1"/>
  <c r="BX725" i="1"/>
  <c r="BY718" i="1"/>
  <c r="BX718" i="1"/>
  <c r="BY711" i="1"/>
  <c r="BY691" i="1"/>
  <c r="BX711" i="1"/>
  <c r="BX691" i="1"/>
  <c r="BY705" i="1"/>
  <c r="BX705" i="1"/>
  <c r="BY702" i="1"/>
  <c r="BX702" i="1"/>
  <c r="BY699" i="1"/>
  <c r="BX699" i="1"/>
  <c r="BY696" i="1"/>
  <c r="BX696" i="1"/>
  <c r="BY693" i="1"/>
  <c r="BX693" i="1"/>
  <c r="BY685" i="1"/>
  <c r="BX685" i="1"/>
  <c r="BY681" i="1"/>
  <c r="BX681" i="1"/>
  <c r="BY669" i="1"/>
  <c r="BY664" i="1"/>
  <c r="BX669" i="1"/>
  <c r="BX664" i="1"/>
  <c r="BX662" i="1"/>
  <c r="BY666" i="1"/>
  <c r="BX666" i="1"/>
  <c r="BY655" i="1"/>
  <c r="BX655" i="1"/>
  <c r="BY645" i="1"/>
  <c r="BX645" i="1"/>
  <c r="BY637" i="1"/>
  <c r="BX637" i="1"/>
  <c r="BY634" i="1"/>
  <c r="BY632" i="1"/>
  <c r="BY630" i="1"/>
  <c r="BY628" i="1"/>
  <c r="BX634" i="1"/>
  <c r="BX632" i="1"/>
  <c r="BX630" i="1"/>
  <c r="BX628" i="1"/>
  <c r="BY625" i="1"/>
  <c r="BX625" i="1"/>
  <c r="BY621" i="1"/>
  <c r="BX621" i="1"/>
  <c r="BY619" i="1"/>
  <c r="BX619" i="1"/>
  <c r="BY616" i="1"/>
  <c r="BX616" i="1"/>
  <c r="BY613" i="1"/>
  <c r="BX613" i="1"/>
  <c r="BX611" i="1"/>
  <c r="BX609" i="1"/>
  <c r="BY606" i="1"/>
  <c r="BX606" i="1"/>
  <c r="BY600" i="1"/>
  <c r="BX600" i="1"/>
  <c r="BY592" i="1"/>
  <c r="BX592" i="1"/>
  <c r="BY585" i="1"/>
  <c r="BX585" i="1"/>
  <c r="BY581" i="1"/>
  <c r="BX581" i="1"/>
  <c r="BY579" i="1"/>
  <c r="BX579" i="1"/>
  <c r="BY571" i="1"/>
  <c r="BX571" i="1"/>
  <c r="BY569" i="1"/>
  <c r="BY567" i="1"/>
  <c r="BX569" i="1"/>
  <c r="BX567" i="1"/>
  <c r="BY563" i="1"/>
  <c r="BX563" i="1"/>
  <c r="BY558" i="1"/>
  <c r="BX558" i="1"/>
  <c r="BY555" i="1"/>
  <c r="BX555" i="1"/>
  <c r="BY549" i="1"/>
  <c r="BX549" i="1"/>
  <c r="BY543" i="1"/>
  <c r="BX543" i="1"/>
  <c r="BY535" i="1"/>
  <c r="BX535" i="1"/>
  <c r="BY532" i="1"/>
  <c r="BX532" i="1"/>
  <c r="BY526" i="1"/>
  <c r="BX526" i="1"/>
  <c r="BY507" i="1"/>
  <c r="BY505" i="1"/>
  <c r="BX507" i="1"/>
  <c r="BX505" i="1"/>
  <c r="BY500" i="1"/>
  <c r="BX500" i="1"/>
  <c r="BY488" i="1"/>
  <c r="BX488" i="1"/>
  <c r="BY482" i="1"/>
  <c r="BX482" i="1"/>
  <c r="BY472" i="1"/>
  <c r="BX472" i="1"/>
  <c r="BY464" i="1"/>
  <c r="BX464" i="1"/>
  <c r="BY458" i="1"/>
  <c r="BX458" i="1"/>
  <c r="BY451" i="1"/>
  <c r="BX451" i="1"/>
  <c r="BY444" i="1"/>
  <c r="BX444" i="1"/>
  <c r="BY439" i="1"/>
  <c r="BX439" i="1"/>
  <c r="BY427" i="1"/>
  <c r="BX427" i="1"/>
  <c r="BY419" i="1"/>
  <c r="BX419" i="1"/>
  <c r="BY416" i="1"/>
  <c r="BX416" i="1"/>
  <c r="BY411" i="1"/>
  <c r="BX411" i="1"/>
  <c r="BY406" i="1"/>
  <c r="BX406" i="1"/>
  <c r="BY401" i="1"/>
  <c r="BX401" i="1"/>
  <c r="BY397" i="1"/>
  <c r="BX397" i="1"/>
  <c r="BY386" i="1"/>
  <c r="BX386" i="1"/>
  <c r="BY380" i="1"/>
  <c r="BX380" i="1"/>
  <c r="BY375" i="1"/>
  <c r="BX375" i="1"/>
  <c r="BY368" i="1"/>
  <c r="BX368" i="1"/>
  <c r="BY366" i="1"/>
  <c r="BX366" i="1"/>
  <c r="BY361" i="1"/>
  <c r="BX361" i="1"/>
  <c r="BY358" i="1"/>
  <c r="BX358" i="1"/>
  <c r="BY354" i="1"/>
  <c r="BX354" i="1"/>
  <c r="BY349" i="1"/>
  <c r="BX349" i="1"/>
  <c r="BX347" i="1"/>
  <c r="BY347" i="1"/>
  <c r="BY329" i="1"/>
  <c r="BX329" i="1"/>
  <c r="BY326" i="1"/>
  <c r="BX326" i="1"/>
  <c r="BY322" i="1"/>
  <c r="BX322" i="1"/>
  <c r="BY319" i="1"/>
  <c r="BX319" i="1"/>
  <c r="BY316" i="1"/>
  <c r="BX316" i="1"/>
  <c r="BY313" i="1"/>
  <c r="BX313" i="1"/>
  <c r="BY310" i="1"/>
  <c r="BY308" i="1"/>
  <c r="BX310" i="1"/>
  <c r="BY305" i="1"/>
  <c r="BX305" i="1"/>
  <c r="BY302" i="1"/>
  <c r="BX302" i="1"/>
  <c r="BY298" i="1"/>
  <c r="BX298" i="1"/>
  <c r="BY293" i="1"/>
  <c r="BX293" i="1"/>
  <c r="BY288" i="1"/>
  <c r="BX288" i="1"/>
  <c r="BY279" i="1"/>
  <c r="BX279" i="1"/>
  <c r="BY275" i="1"/>
  <c r="BX275" i="1"/>
  <c r="BY267" i="1"/>
  <c r="BX267" i="1"/>
  <c r="BY259" i="1"/>
  <c r="BX259" i="1"/>
  <c r="BY251" i="1"/>
  <c r="BX251" i="1"/>
  <c r="BY246" i="1"/>
  <c r="BX246" i="1"/>
  <c r="BY238" i="1"/>
  <c r="BX238" i="1"/>
  <c r="BY237" i="1"/>
  <c r="BX237" i="1"/>
  <c r="BY236" i="1"/>
  <c r="BX236" i="1"/>
  <c r="BY234" i="1"/>
  <c r="BX234" i="1"/>
  <c r="BY233" i="1"/>
  <c r="BX233" i="1"/>
  <c r="BY231" i="1"/>
  <c r="BX231" i="1"/>
  <c r="BY230" i="1"/>
  <c r="BX230" i="1"/>
  <c r="BY228" i="1"/>
  <c r="BY227" i="1"/>
  <c r="BX228" i="1"/>
  <c r="BX227" i="1"/>
  <c r="BY225" i="1"/>
  <c r="BY224" i="1"/>
  <c r="BX225" i="1"/>
  <c r="BX224" i="1"/>
  <c r="BY222" i="1"/>
  <c r="BX222" i="1"/>
  <c r="BY221" i="1"/>
  <c r="BX221" i="1"/>
  <c r="BY220" i="1"/>
  <c r="BX220" i="1"/>
  <c r="BY219" i="1"/>
  <c r="BY218" i="1"/>
  <c r="BX219" i="1"/>
  <c r="BX218" i="1"/>
  <c r="BY216" i="1"/>
  <c r="BX216" i="1"/>
  <c r="BY215" i="1"/>
  <c r="BX215" i="1"/>
  <c r="BY214" i="1"/>
  <c r="BX214" i="1"/>
  <c r="BY213" i="1"/>
  <c r="BY212" i="1"/>
  <c r="BX213" i="1"/>
  <c r="BX212" i="1"/>
  <c r="BY205" i="1"/>
  <c r="BY204" i="1"/>
  <c r="BX205" i="1"/>
  <c r="BX204" i="1"/>
  <c r="BY202" i="1"/>
  <c r="BY201" i="1"/>
  <c r="BX202" i="1"/>
  <c r="BX201" i="1"/>
  <c r="BY197" i="1"/>
  <c r="BX197" i="1"/>
  <c r="BY196" i="1"/>
  <c r="BY195" i="1"/>
  <c r="BX196" i="1"/>
  <c r="BX195" i="1"/>
  <c r="BY193" i="1"/>
  <c r="BX193" i="1"/>
  <c r="BY191" i="1"/>
  <c r="BX191" i="1"/>
  <c r="BY189" i="1"/>
  <c r="BX189" i="1"/>
  <c r="BY187" i="1"/>
  <c r="BX187" i="1"/>
  <c r="BY185" i="1"/>
  <c r="BY184" i="1"/>
  <c r="BX185" i="1"/>
  <c r="BX184" i="1"/>
  <c r="BY182" i="1"/>
  <c r="BX182" i="1"/>
  <c r="BY180" i="1"/>
  <c r="BX180" i="1"/>
  <c r="BY179" i="1"/>
  <c r="BX179" i="1"/>
  <c r="BY177" i="1"/>
  <c r="BX177" i="1"/>
  <c r="BY176" i="1"/>
  <c r="BX176" i="1"/>
  <c r="BY175" i="1"/>
  <c r="BX175" i="1"/>
  <c r="BY174" i="1"/>
  <c r="BX174" i="1"/>
  <c r="BY170" i="1"/>
  <c r="BX170" i="1"/>
  <c r="BY169" i="1"/>
  <c r="BX169" i="1"/>
  <c r="BY168" i="1"/>
  <c r="BY167" i="1"/>
  <c r="BX168" i="1"/>
  <c r="BX167" i="1"/>
  <c r="BY165" i="1"/>
  <c r="BX165" i="1"/>
  <c r="BY163" i="1"/>
  <c r="BX163" i="1"/>
  <c r="BY162" i="1"/>
  <c r="BX162" i="1"/>
  <c r="BY161" i="1"/>
  <c r="BX161" i="1"/>
  <c r="BY160" i="1"/>
  <c r="BX160" i="1"/>
  <c r="BY159" i="1"/>
  <c r="BX159" i="1"/>
  <c r="BY158" i="1"/>
  <c r="BX158" i="1"/>
  <c r="BY157" i="1"/>
  <c r="BX157" i="1"/>
  <c r="BY156" i="1"/>
  <c r="BY155" i="1"/>
  <c r="BX156" i="1"/>
  <c r="BX155" i="1"/>
  <c r="BX104" i="1"/>
  <c r="BY153" i="1"/>
  <c r="BX153" i="1"/>
  <c r="BY152" i="1"/>
  <c r="BX152" i="1"/>
  <c r="BY151" i="1"/>
  <c r="BX151" i="1"/>
  <c r="BY150" i="1"/>
  <c r="BX150" i="1"/>
  <c r="BY149" i="1"/>
  <c r="BX149" i="1"/>
  <c r="BY147" i="1"/>
  <c r="BX147" i="1"/>
  <c r="BY146" i="1"/>
  <c r="BX146" i="1"/>
  <c r="BY145" i="1"/>
  <c r="BX145" i="1"/>
  <c r="BY144" i="1"/>
  <c r="BX144" i="1"/>
  <c r="BY143" i="1"/>
  <c r="BX143" i="1"/>
  <c r="BY142" i="1"/>
  <c r="BX142" i="1"/>
  <c r="BY141" i="1"/>
  <c r="BX141" i="1"/>
  <c r="BY140" i="1"/>
  <c r="BY139" i="1"/>
  <c r="BX140" i="1"/>
  <c r="BX139" i="1"/>
  <c r="BY137" i="1"/>
  <c r="BX137" i="1"/>
  <c r="BY134" i="1"/>
  <c r="BX134" i="1"/>
  <c r="BY133" i="1"/>
  <c r="BX133" i="1"/>
  <c r="BY132" i="1"/>
  <c r="BY131" i="1"/>
  <c r="BX132" i="1"/>
  <c r="BX131" i="1"/>
  <c r="BY129" i="1"/>
  <c r="BX129" i="1"/>
  <c r="BY128" i="1"/>
  <c r="BX128" i="1"/>
  <c r="BY127" i="1"/>
  <c r="BX127" i="1"/>
  <c r="BY126" i="1"/>
  <c r="BY125" i="1"/>
  <c r="BX126" i="1"/>
  <c r="BX125" i="1"/>
  <c r="BY123" i="1"/>
  <c r="BX123" i="1"/>
  <c r="BY122" i="1"/>
  <c r="BX122" i="1"/>
  <c r="BY121" i="1"/>
  <c r="BX121" i="1"/>
  <c r="BY120" i="1"/>
  <c r="BX120" i="1"/>
  <c r="BY119" i="1"/>
  <c r="BY118" i="1"/>
  <c r="BX119" i="1"/>
  <c r="BX118" i="1"/>
  <c r="BY116" i="1"/>
  <c r="BX116" i="1"/>
  <c r="BY115" i="1"/>
  <c r="BX115" i="1"/>
  <c r="BY114" i="1"/>
  <c r="BX114" i="1"/>
  <c r="BY113" i="1"/>
  <c r="BX113" i="1"/>
  <c r="BY112" i="1"/>
  <c r="BY111" i="1"/>
  <c r="BX112" i="1"/>
  <c r="BX111" i="1"/>
  <c r="BY109" i="1"/>
  <c r="BX109" i="1"/>
  <c r="BY108" i="1"/>
  <c r="BX108" i="1"/>
  <c r="BY107" i="1"/>
  <c r="BY106" i="1"/>
  <c r="BX107" i="1"/>
  <c r="BX106" i="1"/>
  <c r="BY102" i="1"/>
  <c r="BX102" i="1"/>
  <c r="BY101" i="1"/>
  <c r="BX101" i="1"/>
  <c r="BY100" i="1"/>
  <c r="BX100" i="1"/>
  <c r="BY99" i="1"/>
  <c r="BX99" i="1"/>
  <c r="BY98" i="1"/>
  <c r="BX98" i="1"/>
  <c r="BY97" i="1"/>
  <c r="BX97" i="1"/>
  <c r="BY96" i="1"/>
  <c r="BX96" i="1"/>
  <c r="BY95" i="1"/>
  <c r="BY94" i="1"/>
  <c r="BX95" i="1"/>
  <c r="BX94" i="1"/>
  <c r="BY92" i="1"/>
  <c r="BX92" i="1"/>
  <c r="BY91" i="1"/>
  <c r="BX91" i="1"/>
  <c r="BY90" i="1"/>
  <c r="BX90" i="1"/>
  <c r="BY89" i="1"/>
  <c r="BX89" i="1"/>
  <c r="BY88" i="1"/>
  <c r="BX88" i="1"/>
  <c r="BY87" i="1"/>
  <c r="BX87" i="1"/>
  <c r="BY86" i="1"/>
  <c r="BX86" i="1"/>
  <c r="BY84" i="1"/>
  <c r="BX84" i="1"/>
  <c r="BY83" i="1"/>
  <c r="BY82" i="1"/>
  <c r="BX83" i="1"/>
  <c r="BX82" i="1"/>
  <c r="BY80" i="1"/>
  <c r="BX80" i="1"/>
  <c r="BX77" i="1"/>
  <c r="BY79" i="1"/>
  <c r="BX79" i="1"/>
  <c r="BY78" i="1"/>
  <c r="BY77" i="1"/>
  <c r="BX78" i="1"/>
  <c r="BY75" i="1"/>
  <c r="BX75" i="1"/>
  <c r="BY74" i="1"/>
  <c r="BX74" i="1"/>
  <c r="BY73" i="1"/>
  <c r="BY72" i="1"/>
  <c r="BX73" i="1"/>
  <c r="BY70" i="1"/>
  <c r="BX70" i="1"/>
  <c r="BY69" i="1"/>
  <c r="BX69" i="1"/>
  <c r="BY68" i="1"/>
  <c r="BY67" i="1"/>
  <c r="BX68" i="1"/>
  <c r="BX67" i="1"/>
  <c r="BY65" i="1"/>
  <c r="BX65" i="1"/>
  <c r="BY64" i="1"/>
  <c r="BY63" i="1"/>
  <c r="BX64" i="1"/>
  <c r="BX63" i="1"/>
  <c r="BY61" i="1"/>
  <c r="BX61" i="1"/>
  <c r="BY59" i="1"/>
  <c r="BX59" i="1"/>
  <c r="BY58" i="1"/>
  <c r="BX58" i="1"/>
  <c r="BY57" i="1"/>
  <c r="BX57" i="1"/>
  <c r="BY56" i="1"/>
  <c r="BX56" i="1"/>
  <c r="BY55" i="1"/>
  <c r="BX55" i="1"/>
  <c r="BY54" i="1"/>
  <c r="BX54" i="1"/>
  <c r="BY53" i="1"/>
  <c r="BY52" i="1"/>
  <c r="BX53" i="1"/>
  <c r="BX52" i="1"/>
  <c r="BY50" i="1"/>
  <c r="BX50" i="1"/>
  <c r="BY49" i="1"/>
  <c r="BX49" i="1"/>
  <c r="BY48" i="1"/>
  <c r="BX48" i="1"/>
  <c r="BY47" i="1"/>
  <c r="BX47" i="1"/>
  <c r="BY46" i="1"/>
  <c r="BX46" i="1"/>
  <c r="BY42" i="1"/>
  <c r="BX42" i="1"/>
  <c r="BY41" i="1"/>
  <c r="BX41" i="1"/>
  <c r="BY36" i="1"/>
  <c r="BX36" i="1"/>
  <c r="BY34" i="1"/>
  <c r="BX34" i="1"/>
  <c r="BY33" i="1"/>
  <c r="BX33" i="1"/>
  <c r="BY32" i="1"/>
  <c r="BX32" i="1"/>
  <c r="BY31" i="1"/>
  <c r="BX31" i="1"/>
  <c r="BY30" i="1"/>
  <c r="BX30" i="1"/>
  <c r="BY28" i="1"/>
  <c r="BX28" i="1"/>
  <c r="BY26" i="1"/>
  <c r="BX26" i="1"/>
  <c r="BY24" i="1"/>
  <c r="BX24" i="1"/>
  <c r="BY23" i="1"/>
  <c r="BX23" i="1"/>
  <c r="BY22" i="1"/>
  <c r="BX22" i="1"/>
  <c r="BY21" i="1"/>
  <c r="BX21" i="1"/>
  <c r="BY19" i="1"/>
  <c r="BX19" i="1"/>
  <c r="BY18" i="1"/>
  <c r="BX18" i="1"/>
  <c r="BY17" i="1"/>
  <c r="BY16" i="1"/>
  <c r="BX17" i="1"/>
  <c r="BX16" i="1"/>
  <c r="CA863" i="1"/>
  <c r="BZ863" i="1"/>
  <c r="CA860" i="1"/>
  <c r="BZ860" i="1"/>
  <c r="CA856" i="1"/>
  <c r="BZ856" i="1"/>
  <c r="CA845" i="1"/>
  <c r="BZ845" i="1"/>
  <c r="CA842" i="1"/>
  <c r="BZ842" i="1"/>
  <c r="CA827" i="1"/>
  <c r="BZ827" i="1"/>
  <c r="CA790" i="1"/>
  <c r="BZ790" i="1"/>
  <c r="CA783" i="1"/>
  <c r="BZ783" i="1"/>
  <c r="CA768" i="1"/>
  <c r="BZ768" i="1"/>
  <c r="CA742" i="1"/>
  <c r="BZ742" i="1"/>
  <c r="CA738" i="1"/>
  <c r="BZ738" i="1"/>
  <c r="CA728" i="1"/>
  <c r="BZ728" i="1"/>
  <c r="CA725" i="1"/>
  <c r="BZ725" i="1"/>
  <c r="CA718" i="1"/>
  <c r="BZ718" i="1"/>
  <c r="CA711" i="1"/>
  <c r="CA691" i="1"/>
  <c r="BZ711" i="1"/>
  <c r="BZ691" i="1"/>
  <c r="CA705" i="1"/>
  <c r="BZ705" i="1"/>
  <c r="CA702" i="1"/>
  <c r="BZ702" i="1"/>
  <c r="CA699" i="1"/>
  <c r="BZ699" i="1"/>
  <c r="CA696" i="1"/>
  <c r="BZ696" i="1"/>
  <c r="CA693" i="1"/>
  <c r="BZ693" i="1"/>
  <c r="CA685" i="1"/>
  <c r="BZ685" i="1"/>
  <c r="CA681" i="1"/>
  <c r="BZ681" i="1"/>
  <c r="CA669" i="1"/>
  <c r="CA664" i="1"/>
  <c r="BZ669" i="1"/>
  <c r="BZ664" i="1"/>
  <c r="CA666" i="1"/>
  <c r="BZ666" i="1"/>
  <c r="CA655" i="1"/>
  <c r="BZ655" i="1"/>
  <c r="CA645" i="1"/>
  <c r="BZ645" i="1"/>
  <c r="CA637" i="1"/>
  <c r="BZ637" i="1"/>
  <c r="CA634" i="1"/>
  <c r="CA632" i="1"/>
  <c r="CA630" i="1"/>
  <c r="CA628" i="1"/>
  <c r="BZ634" i="1"/>
  <c r="BZ632" i="1"/>
  <c r="BZ630" i="1"/>
  <c r="BZ628" i="1"/>
  <c r="CA625" i="1"/>
  <c r="BZ625" i="1"/>
  <c r="CA621" i="1"/>
  <c r="BZ621" i="1"/>
  <c r="CA619" i="1"/>
  <c r="BZ619" i="1"/>
  <c r="CA616" i="1"/>
  <c r="BZ616" i="1"/>
  <c r="CA613" i="1"/>
  <c r="BZ613" i="1"/>
  <c r="CA606" i="1"/>
  <c r="BZ606" i="1"/>
  <c r="CA600" i="1"/>
  <c r="BZ600" i="1"/>
  <c r="CA592" i="1"/>
  <c r="BZ592" i="1"/>
  <c r="CA585" i="1"/>
  <c r="BZ585" i="1"/>
  <c r="CA581" i="1"/>
  <c r="BZ581" i="1"/>
  <c r="CA579" i="1"/>
  <c r="CA577" i="1"/>
  <c r="BZ579" i="1"/>
  <c r="BZ577" i="1"/>
  <c r="CA571" i="1"/>
  <c r="BZ571" i="1"/>
  <c r="CA569" i="1"/>
  <c r="CA567" i="1"/>
  <c r="BZ569" i="1"/>
  <c r="BZ567" i="1"/>
  <c r="CA563" i="1"/>
  <c r="BZ563" i="1"/>
  <c r="CA558" i="1"/>
  <c r="BZ558" i="1"/>
  <c r="CA555" i="1"/>
  <c r="BZ555" i="1"/>
  <c r="CA549" i="1"/>
  <c r="BZ549" i="1"/>
  <c r="CA543" i="1"/>
  <c r="BZ543" i="1"/>
  <c r="CA535" i="1"/>
  <c r="BZ535" i="1"/>
  <c r="CA532" i="1"/>
  <c r="BZ532" i="1"/>
  <c r="CA526" i="1"/>
  <c r="BZ526" i="1"/>
  <c r="CA507" i="1"/>
  <c r="CA505" i="1"/>
  <c r="BZ507" i="1"/>
  <c r="BZ505" i="1"/>
  <c r="CA500" i="1"/>
  <c r="BZ500" i="1"/>
  <c r="CA488" i="1"/>
  <c r="BZ488" i="1"/>
  <c r="CA482" i="1"/>
  <c r="BZ482" i="1"/>
  <c r="CA472" i="1"/>
  <c r="BZ472" i="1"/>
  <c r="CA464" i="1"/>
  <c r="BZ464" i="1"/>
  <c r="CA458" i="1"/>
  <c r="BZ458" i="1"/>
  <c r="CA451" i="1"/>
  <c r="BZ451" i="1"/>
  <c r="CA444" i="1"/>
  <c r="BZ444" i="1"/>
  <c r="CA439" i="1"/>
  <c r="CA437" i="1"/>
  <c r="BZ439" i="1"/>
  <c r="BZ437" i="1"/>
  <c r="CA427" i="1"/>
  <c r="CA386" i="1"/>
  <c r="CA378" i="1"/>
  <c r="CA364" i="1"/>
  <c r="BZ427" i="1"/>
  <c r="CA419" i="1"/>
  <c r="BZ419" i="1"/>
  <c r="CA416" i="1"/>
  <c r="BZ416" i="1"/>
  <c r="CA411" i="1"/>
  <c r="BZ411" i="1"/>
  <c r="CA406" i="1"/>
  <c r="BZ406" i="1"/>
  <c r="CA401" i="1"/>
  <c r="BZ401" i="1"/>
  <c r="CA397" i="1"/>
  <c r="BZ397" i="1"/>
  <c r="BZ386" i="1"/>
  <c r="CA380" i="1"/>
  <c r="BZ380" i="1"/>
  <c r="BZ378" i="1"/>
  <c r="CA375" i="1"/>
  <c r="BZ375" i="1"/>
  <c r="CA368" i="1"/>
  <c r="CA366" i="1"/>
  <c r="BZ368" i="1"/>
  <c r="BZ366" i="1"/>
  <c r="CA361" i="1"/>
  <c r="BZ361" i="1"/>
  <c r="CA358" i="1"/>
  <c r="BZ358" i="1"/>
  <c r="CA354" i="1"/>
  <c r="BZ354" i="1"/>
  <c r="CA349" i="1"/>
  <c r="CA347" i="1"/>
  <c r="BZ349" i="1"/>
  <c r="BZ347" i="1"/>
  <c r="CA329" i="1"/>
  <c r="BZ329" i="1"/>
  <c r="CA326" i="1"/>
  <c r="BZ326" i="1"/>
  <c r="CA322" i="1"/>
  <c r="BZ322" i="1"/>
  <c r="CA319" i="1"/>
  <c r="BZ319" i="1"/>
  <c r="CA316" i="1"/>
  <c r="BZ316" i="1"/>
  <c r="CA313" i="1"/>
  <c r="BZ313" i="1"/>
  <c r="CA310" i="1"/>
  <c r="CA308" i="1"/>
  <c r="BZ310" i="1"/>
  <c r="BZ308" i="1"/>
  <c r="CA305" i="1"/>
  <c r="BZ305" i="1"/>
  <c r="CA302" i="1"/>
  <c r="BZ302" i="1"/>
  <c r="CA298" i="1"/>
  <c r="BZ298" i="1"/>
  <c r="CA293" i="1"/>
  <c r="BZ293" i="1"/>
  <c r="CA288" i="1"/>
  <c r="BZ288" i="1"/>
  <c r="CA279" i="1"/>
  <c r="BZ279" i="1"/>
  <c r="CA275" i="1"/>
  <c r="BZ275" i="1"/>
  <c r="CA267" i="1"/>
  <c r="BZ267" i="1"/>
  <c r="CA259" i="1"/>
  <c r="BZ259" i="1"/>
  <c r="CA251" i="1"/>
  <c r="BZ251" i="1"/>
  <c r="CA246" i="1"/>
  <c r="BZ246" i="1"/>
  <c r="CA244" i="1"/>
  <c r="BZ244" i="1"/>
  <c r="CA238" i="1"/>
  <c r="BZ238" i="1"/>
  <c r="CA237" i="1"/>
  <c r="CA236" i="1"/>
  <c r="BZ237" i="1"/>
  <c r="BZ236" i="1"/>
  <c r="CA234" i="1"/>
  <c r="BZ234" i="1"/>
  <c r="CA233" i="1"/>
  <c r="BZ233" i="1"/>
  <c r="CA231" i="1"/>
  <c r="CA230" i="1"/>
  <c r="BZ231" i="1"/>
  <c r="BZ230" i="1"/>
  <c r="CA228" i="1"/>
  <c r="CA227" i="1"/>
  <c r="BZ228" i="1"/>
  <c r="BZ227" i="1"/>
  <c r="CA225" i="1"/>
  <c r="CA224" i="1"/>
  <c r="BZ225" i="1"/>
  <c r="BZ224" i="1"/>
  <c r="CA222" i="1"/>
  <c r="BZ222" i="1"/>
  <c r="CA221" i="1"/>
  <c r="BZ221" i="1"/>
  <c r="CA220" i="1"/>
  <c r="BZ220" i="1"/>
  <c r="CA219" i="1"/>
  <c r="BZ219" i="1"/>
  <c r="CA218" i="1"/>
  <c r="BZ218" i="1"/>
  <c r="CA216" i="1"/>
  <c r="BZ216" i="1"/>
  <c r="CA215" i="1"/>
  <c r="BZ215" i="1"/>
  <c r="CA214" i="1"/>
  <c r="BZ214" i="1"/>
  <c r="CA213" i="1"/>
  <c r="CA212" i="1"/>
  <c r="BZ213" i="1"/>
  <c r="BZ212" i="1"/>
  <c r="CA205" i="1"/>
  <c r="BZ205" i="1"/>
  <c r="CA204" i="1"/>
  <c r="BZ204" i="1"/>
  <c r="CA202" i="1"/>
  <c r="CA201" i="1"/>
  <c r="CA199" i="1"/>
  <c r="BZ202" i="1"/>
  <c r="BZ201" i="1"/>
  <c r="BZ199" i="1"/>
  <c r="CA197" i="1"/>
  <c r="BZ197" i="1"/>
  <c r="CA196" i="1"/>
  <c r="BZ196" i="1"/>
  <c r="CA195" i="1"/>
  <c r="BZ195" i="1"/>
  <c r="CA193" i="1"/>
  <c r="BZ193" i="1"/>
  <c r="CA191" i="1"/>
  <c r="BZ191" i="1"/>
  <c r="CA189" i="1"/>
  <c r="BZ189" i="1"/>
  <c r="CA187" i="1"/>
  <c r="BZ187" i="1"/>
  <c r="CA185" i="1"/>
  <c r="BZ185" i="1"/>
  <c r="CA184" i="1"/>
  <c r="BZ184" i="1"/>
  <c r="CA182" i="1"/>
  <c r="BZ182" i="1"/>
  <c r="CA180" i="1"/>
  <c r="CA179" i="1"/>
  <c r="BZ180" i="1"/>
  <c r="BZ179" i="1"/>
  <c r="CA177" i="1"/>
  <c r="BZ177" i="1"/>
  <c r="CA176" i="1"/>
  <c r="BZ176" i="1"/>
  <c r="CA175" i="1"/>
  <c r="CA174" i="1"/>
  <c r="BZ175" i="1"/>
  <c r="BZ174" i="1"/>
  <c r="CA170" i="1"/>
  <c r="BZ170" i="1"/>
  <c r="CA169" i="1"/>
  <c r="BZ169" i="1"/>
  <c r="CA168" i="1"/>
  <c r="CA167" i="1"/>
  <c r="BZ168" i="1"/>
  <c r="BZ167" i="1"/>
  <c r="CA165" i="1"/>
  <c r="BZ165" i="1"/>
  <c r="CA163" i="1"/>
  <c r="BZ163" i="1"/>
  <c r="CA162" i="1"/>
  <c r="BZ162" i="1"/>
  <c r="CA161" i="1"/>
  <c r="BZ161" i="1"/>
  <c r="CA160" i="1"/>
  <c r="BZ160" i="1"/>
  <c r="BZ155" i="1"/>
  <c r="CA159" i="1"/>
  <c r="BZ159" i="1"/>
  <c r="CA158" i="1"/>
  <c r="BZ158" i="1"/>
  <c r="CA157" i="1"/>
  <c r="BZ157" i="1"/>
  <c r="CA156" i="1"/>
  <c r="BZ156" i="1"/>
  <c r="CA155" i="1"/>
  <c r="CA104" i="1"/>
  <c r="CA153" i="1"/>
  <c r="CA149" i="1"/>
  <c r="BZ153" i="1"/>
  <c r="BZ149" i="1"/>
  <c r="CA152" i="1"/>
  <c r="BZ152" i="1"/>
  <c r="CA151" i="1"/>
  <c r="BZ151" i="1"/>
  <c r="CA150" i="1"/>
  <c r="BZ150" i="1"/>
  <c r="CA147" i="1"/>
  <c r="BZ147" i="1"/>
  <c r="CA146" i="1"/>
  <c r="BZ146" i="1"/>
  <c r="CA145" i="1"/>
  <c r="BZ145" i="1"/>
  <c r="CA144" i="1"/>
  <c r="BZ144" i="1"/>
  <c r="CA143" i="1"/>
  <c r="BZ143" i="1"/>
  <c r="CA142" i="1"/>
  <c r="BZ142" i="1"/>
  <c r="CA141" i="1"/>
  <c r="BZ141" i="1"/>
  <c r="CA140" i="1"/>
  <c r="BZ140" i="1"/>
  <c r="CA139" i="1"/>
  <c r="BZ139" i="1"/>
  <c r="CA137" i="1"/>
  <c r="BZ137" i="1"/>
  <c r="CA134" i="1"/>
  <c r="BZ134" i="1"/>
  <c r="CA133" i="1"/>
  <c r="BZ133" i="1"/>
  <c r="CA132" i="1"/>
  <c r="CA131" i="1"/>
  <c r="BZ132" i="1"/>
  <c r="BZ131" i="1"/>
  <c r="CA129" i="1"/>
  <c r="BZ129" i="1"/>
  <c r="CA128" i="1"/>
  <c r="BZ128" i="1"/>
  <c r="CA127" i="1"/>
  <c r="BZ127" i="1"/>
  <c r="CA126" i="1"/>
  <c r="BZ126" i="1"/>
  <c r="CA125" i="1"/>
  <c r="BZ125" i="1"/>
  <c r="CA123" i="1"/>
  <c r="BZ123" i="1"/>
  <c r="CA122" i="1"/>
  <c r="BZ122" i="1"/>
  <c r="CA121" i="1"/>
  <c r="BZ121" i="1"/>
  <c r="CA120" i="1"/>
  <c r="BZ120" i="1"/>
  <c r="CA119" i="1"/>
  <c r="BZ119" i="1"/>
  <c r="CA118" i="1"/>
  <c r="BZ118" i="1"/>
  <c r="CA116" i="1"/>
  <c r="BZ116" i="1"/>
  <c r="CA115" i="1"/>
  <c r="BZ115" i="1"/>
  <c r="CA114" i="1"/>
  <c r="BZ114" i="1"/>
  <c r="CA113" i="1"/>
  <c r="BZ113" i="1"/>
  <c r="CA112" i="1"/>
  <c r="BZ112" i="1"/>
  <c r="CA111" i="1"/>
  <c r="BZ111" i="1"/>
  <c r="CA109" i="1"/>
  <c r="BZ109" i="1"/>
  <c r="CA108" i="1"/>
  <c r="BZ108" i="1"/>
  <c r="CA107" i="1"/>
  <c r="CA106" i="1"/>
  <c r="BZ107" i="1"/>
  <c r="BZ106" i="1"/>
  <c r="CA102" i="1"/>
  <c r="BZ102" i="1"/>
  <c r="CA101" i="1"/>
  <c r="BZ101" i="1"/>
  <c r="CA100" i="1"/>
  <c r="BZ100" i="1"/>
  <c r="CA99" i="1"/>
  <c r="BZ99" i="1"/>
  <c r="CA98" i="1"/>
  <c r="BZ98" i="1"/>
  <c r="CA97" i="1"/>
  <c r="BZ97" i="1"/>
  <c r="CA96" i="1"/>
  <c r="BZ96" i="1"/>
  <c r="CA95" i="1"/>
  <c r="BZ95" i="1"/>
  <c r="CA94" i="1"/>
  <c r="BZ94" i="1"/>
  <c r="CA92" i="1"/>
  <c r="CA86" i="1"/>
  <c r="BZ92" i="1"/>
  <c r="CA91" i="1"/>
  <c r="BZ91" i="1"/>
  <c r="CA90" i="1"/>
  <c r="BZ90" i="1"/>
  <c r="CA89" i="1"/>
  <c r="BZ89" i="1"/>
  <c r="CA88" i="1"/>
  <c r="BZ88" i="1"/>
  <c r="CA87" i="1"/>
  <c r="BZ87" i="1"/>
  <c r="BZ86" i="1"/>
  <c r="CA84" i="1"/>
  <c r="BZ84" i="1"/>
  <c r="CA83" i="1"/>
  <c r="BZ83" i="1"/>
  <c r="CA82" i="1"/>
  <c r="BZ82" i="1"/>
  <c r="CA80" i="1"/>
  <c r="BZ80" i="1"/>
  <c r="BZ77" i="1"/>
  <c r="CA79" i="1"/>
  <c r="BZ79" i="1"/>
  <c r="CA78" i="1"/>
  <c r="BZ78" i="1"/>
  <c r="CA77" i="1"/>
  <c r="CA75" i="1"/>
  <c r="BZ75" i="1"/>
  <c r="BZ72" i="1"/>
  <c r="CA74" i="1"/>
  <c r="BZ74" i="1"/>
  <c r="CA73" i="1"/>
  <c r="BZ73" i="1"/>
  <c r="CA70" i="1"/>
  <c r="BZ70" i="1"/>
  <c r="CA69" i="1"/>
  <c r="BZ69" i="1"/>
  <c r="CA68" i="1"/>
  <c r="CA67" i="1"/>
  <c r="BZ68" i="1"/>
  <c r="BZ67" i="1"/>
  <c r="CA65" i="1"/>
  <c r="BZ65" i="1"/>
  <c r="CA64" i="1"/>
  <c r="CA63" i="1"/>
  <c r="BZ64" i="1"/>
  <c r="BZ63" i="1"/>
  <c r="CA61" i="1"/>
  <c r="BZ61" i="1"/>
  <c r="CA59" i="1"/>
  <c r="BZ59" i="1"/>
  <c r="CA58" i="1"/>
  <c r="BZ58" i="1"/>
  <c r="CA57" i="1"/>
  <c r="BZ57" i="1"/>
  <c r="CA56" i="1"/>
  <c r="BZ56" i="1"/>
  <c r="CA55" i="1"/>
  <c r="BZ55" i="1"/>
  <c r="CA54" i="1"/>
  <c r="BZ54" i="1"/>
  <c r="CA53" i="1"/>
  <c r="CA52" i="1"/>
  <c r="BZ53" i="1"/>
  <c r="CA50" i="1"/>
  <c r="BZ50" i="1"/>
  <c r="CA49" i="1"/>
  <c r="BZ49" i="1"/>
  <c r="CA48" i="1"/>
  <c r="BZ48" i="1"/>
  <c r="CA47" i="1"/>
  <c r="CA46" i="1"/>
  <c r="BZ47" i="1"/>
  <c r="CA42" i="1"/>
  <c r="BZ42" i="1"/>
  <c r="CA41" i="1"/>
  <c r="BZ41" i="1"/>
  <c r="CA38" i="1"/>
  <c r="BZ38" i="1"/>
  <c r="CA36" i="1"/>
  <c r="BZ36" i="1"/>
  <c r="CA34" i="1"/>
  <c r="BZ34" i="1"/>
  <c r="CA33" i="1"/>
  <c r="BZ33" i="1"/>
  <c r="CA32" i="1"/>
  <c r="BZ32" i="1"/>
  <c r="CA31" i="1"/>
  <c r="CA30" i="1"/>
  <c r="BZ31" i="1"/>
  <c r="BZ30" i="1"/>
  <c r="CA28" i="1"/>
  <c r="BZ28" i="1"/>
  <c r="CA26" i="1"/>
  <c r="BZ26" i="1"/>
  <c r="CA24" i="1"/>
  <c r="BZ24" i="1"/>
  <c r="CA23" i="1"/>
  <c r="BZ23" i="1"/>
  <c r="CA22" i="1"/>
  <c r="CA21" i="1"/>
  <c r="BZ22" i="1"/>
  <c r="BZ21" i="1"/>
  <c r="CA19" i="1"/>
  <c r="BZ19" i="1"/>
  <c r="CA18" i="1"/>
  <c r="BZ18" i="1"/>
  <c r="CA17" i="1"/>
  <c r="CA16" i="1"/>
  <c r="BZ17" i="1"/>
  <c r="BZ16" i="1"/>
  <c r="CC863" i="1"/>
  <c r="CB863" i="1"/>
  <c r="CC860" i="1"/>
  <c r="CB860" i="1"/>
  <c r="CC856" i="1"/>
  <c r="CB856" i="1"/>
  <c r="CC845" i="1"/>
  <c r="CB845" i="1"/>
  <c r="CC842" i="1"/>
  <c r="CB842" i="1"/>
  <c r="CC827" i="1"/>
  <c r="CB827" i="1"/>
  <c r="CC790" i="1"/>
  <c r="CB790" i="1"/>
  <c r="CC783" i="1"/>
  <c r="CB783" i="1"/>
  <c r="CC768" i="1"/>
  <c r="CB768" i="1"/>
  <c r="CC742" i="1"/>
  <c r="CB742" i="1"/>
  <c r="CC738" i="1"/>
  <c r="CB738" i="1"/>
  <c r="CC728" i="1"/>
  <c r="CB728" i="1"/>
  <c r="CC725" i="1"/>
  <c r="CB725" i="1"/>
  <c r="CC723" i="1"/>
  <c r="CC721" i="1"/>
  <c r="CB723" i="1"/>
  <c r="CB721" i="1"/>
  <c r="CC718" i="1"/>
  <c r="CB718" i="1"/>
  <c r="CC711" i="1"/>
  <c r="CC691" i="1"/>
  <c r="CB711" i="1"/>
  <c r="CB691" i="1"/>
  <c r="CC705" i="1"/>
  <c r="CB705" i="1"/>
  <c r="CC702" i="1"/>
  <c r="CB702" i="1"/>
  <c r="CC699" i="1"/>
  <c r="CB699" i="1"/>
  <c r="CC696" i="1"/>
  <c r="CB696" i="1"/>
  <c r="CC693" i="1"/>
  <c r="CB693" i="1"/>
  <c r="CC685" i="1"/>
  <c r="CB685" i="1"/>
  <c r="CC681" i="1"/>
  <c r="CB681" i="1"/>
  <c r="CC669" i="1"/>
  <c r="CC664" i="1"/>
  <c r="CC662" i="1"/>
  <c r="CB669" i="1"/>
  <c r="CB664" i="1"/>
  <c r="CB662" i="1"/>
  <c r="CC666" i="1"/>
  <c r="CB666" i="1"/>
  <c r="CC655" i="1"/>
  <c r="CB655" i="1"/>
  <c r="CC645" i="1"/>
  <c r="CB645" i="1"/>
  <c r="CC637" i="1"/>
  <c r="CB637" i="1"/>
  <c r="CC634" i="1"/>
  <c r="CB634" i="1"/>
  <c r="CC632" i="1"/>
  <c r="CC630" i="1"/>
  <c r="CC628" i="1"/>
  <c r="CB632" i="1"/>
  <c r="CB630" i="1"/>
  <c r="CB628" i="1"/>
  <c r="CC625" i="1"/>
  <c r="CB625" i="1"/>
  <c r="CC621" i="1"/>
  <c r="CC619" i="1"/>
  <c r="CB621" i="1"/>
  <c r="CB619" i="1"/>
  <c r="CC616" i="1"/>
  <c r="CB616" i="1"/>
  <c r="CC613" i="1"/>
  <c r="CB613" i="1"/>
  <c r="CC611" i="1"/>
  <c r="CC609" i="1"/>
  <c r="CB611" i="1"/>
  <c r="CC606" i="1"/>
  <c r="CB606" i="1"/>
  <c r="CC600" i="1"/>
  <c r="CB600" i="1"/>
  <c r="CC592" i="1"/>
  <c r="CB592" i="1"/>
  <c r="CC585" i="1"/>
  <c r="CB585" i="1"/>
  <c r="CC581" i="1"/>
  <c r="CC579" i="1"/>
  <c r="CC577" i="1"/>
  <c r="CB581" i="1"/>
  <c r="CB579" i="1"/>
  <c r="CB577" i="1"/>
  <c r="CC571" i="1"/>
  <c r="CC569" i="1"/>
  <c r="CC567" i="1"/>
  <c r="CB571" i="1"/>
  <c r="CB569" i="1"/>
  <c r="CB567" i="1"/>
  <c r="CC563" i="1"/>
  <c r="CB563" i="1"/>
  <c r="CC558" i="1"/>
  <c r="CB558" i="1"/>
  <c r="CC555" i="1"/>
  <c r="CB555" i="1"/>
  <c r="CC549" i="1"/>
  <c r="CB549" i="1"/>
  <c r="CC543" i="1"/>
  <c r="CB543" i="1"/>
  <c r="CC541" i="1"/>
  <c r="CB541" i="1"/>
  <c r="CC535" i="1"/>
  <c r="CB535" i="1"/>
  <c r="CC532" i="1"/>
  <c r="CB532" i="1"/>
  <c r="CC526" i="1"/>
  <c r="CB526" i="1"/>
  <c r="CC507" i="1"/>
  <c r="CB507" i="1"/>
  <c r="CC505" i="1"/>
  <c r="CB505" i="1"/>
  <c r="CC500" i="1"/>
  <c r="CB500" i="1"/>
  <c r="CC488" i="1"/>
  <c r="CB488" i="1"/>
  <c r="CC482" i="1"/>
  <c r="CB482" i="1"/>
  <c r="CC472" i="1"/>
  <c r="CB472" i="1"/>
  <c r="CC464" i="1"/>
  <c r="CB464" i="1"/>
  <c r="CC458" i="1"/>
  <c r="CB458" i="1"/>
  <c r="CC451" i="1"/>
  <c r="CB451" i="1"/>
  <c r="CC444" i="1"/>
  <c r="CB444" i="1"/>
  <c r="CC439" i="1"/>
  <c r="CB439" i="1"/>
  <c r="CC437" i="1"/>
  <c r="CB437" i="1"/>
  <c r="CC427" i="1"/>
  <c r="CB427" i="1"/>
  <c r="CC419" i="1"/>
  <c r="CB419" i="1"/>
  <c r="CC416" i="1"/>
  <c r="CB416" i="1"/>
  <c r="CC411" i="1"/>
  <c r="CB411" i="1"/>
  <c r="CC406" i="1"/>
  <c r="CB406" i="1"/>
  <c r="CC401" i="1"/>
  <c r="CB401" i="1"/>
  <c r="CB386" i="1"/>
  <c r="CB378" i="1"/>
  <c r="CB364" i="1"/>
  <c r="CC397" i="1"/>
  <c r="CB397" i="1"/>
  <c r="CC386" i="1"/>
  <c r="CC380" i="1"/>
  <c r="CB380" i="1"/>
  <c r="CC375" i="1"/>
  <c r="CB375" i="1"/>
  <c r="CC368" i="1"/>
  <c r="CB368" i="1"/>
  <c r="CB366" i="1"/>
  <c r="CC366" i="1"/>
  <c r="CC361" i="1"/>
  <c r="CB361" i="1"/>
  <c r="CC358" i="1"/>
  <c r="CB358" i="1"/>
  <c r="CC354" i="1"/>
  <c r="CB354" i="1"/>
  <c r="CC349" i="1"/>
  <c r="CC347" i="1"/>
  <c r="CB349" i="1"/>
  <c r="CB347" i="1"/>
  <c r="CC329" i="1"/>
  <c r="CB329" i="1"/>
  <c r="CC326" i="1"/>
  <c r="CB326" i="1"/>
  <c r="CC322" i="1"/>
  <c r="CB322" i="1"/>
  <c r="CC319" i="1"/>
  <c r="CB319" i="1"/>
  <c r="CC316" i="1"/>
  <c r="CB316" i="1"/>
  <c r="CC313" i="1"/>
  <c r="CB313" i="1"/>
  <c r="CC310" i="1"/>
  <c r="CB310" i="1"/>
  <c r="CB308" i="1"/>
  <c r="CC305" i="1"/>
  <c r="CB305" i="1"/>
  <c r="CC302" i="1"/>
  <c r="CB302" i="1"/>
  <c r="CC298" i="1"/>
  <c r="CB298" i="1"/>
  <c r="CC293" i="1"/>
  <c r="CB293" i="1"/>
  <c r="CC288" i="1"/>
  <c r="CB288" i="1"/>
  <c r="CC279" i="1"/>
  <c r="CB279" i="1"/>
  <c r="CC275" i="1"/>
  <c r="CB275" i="1"/>
  <c r="CC273" i="1"/>
  <c r="CC267" i="1"/>
  <c r="CB267" i="1"/>
  <c r="CC259" i="1"/>
  <c r="CB259" i="1"/>
  <c r="CC251" i="1"/>
  <c r="CB251" i="1"/>
  <c r="CC246" i="1"/>
  <c r="CC244" i="1"/>
  <c r="CB246" i="1"/>
  <c r="CB244" i="1"/>
  <c r="CC238" i="1"/>
  <c r="CB238" i="1"/>
  <c r="CC237" i="1"/>
  <c r="CB237" i="1"/>
  <c r="CB236" i="1"/>
  <c r="CC236" i="1"/>
  <c r="CC234" i="1"/>
  <c r="CB234" i="1"/>
  <c r="CC233" i="1"/>
  <c r="CB233" i="1"/>
  <c r="CC231" i="1"/>
  <c r="CB231" i="1"/>
  <c r="CB230" i="1"/>
  <c r="CC230" i="1"/>
  <c r="CC228" i="1"/>
  <c r="CC227" i="1"/>
  <c r="CB228" i="1"/>
  <c r="CB227" i="1"/>
  <c r="CC225" i="1"/>
  <c r="CC224" i="1"/>
  <c r="CB225" i="1"/>
  <c r="CB224" i="1"/>
  <c r="CC222" i="1"/>
  <c r="CB222" i="1"/>
  <c r="CC221" i="1"/>
  <c r="CB221" i="1"/>
  <c r="CC220" i="1"/>
  <c r="CB220" i="1"/>
  <c r="CC219" i="1"/>
  <c r="CB219" i="1"/>
  <c r="CB218" i="1"/>
  <c r="CC216" i="1"/>
  <c r="CB216" i="1"/>
  <c r="CC215" i="1"/>
  <c r="CB215" i="1"/>
  <c r="CC214" i="1"/>
  <c r="CB214" i="1"/>
  <c r="CC213" i="1"/>
  <c r="CC212" i="1"/>
  <c r="CB213" i="1"/>
  <c r="CB212" i="1"/>
  <c r="CC205" i="1"/>
  <c r="CC204" i="1"/>
  <c r="CB205" i="1"/>
  <c r="CB204" i="1"/>
  <c r="CC202" i="1"/>
  <c r="CC201" i="1"/>
  <c r="CC199" i="1"/>
  <c r="CB202" i="1"/>
  <c r="CB201" i="1"/>
  <c r="CB199" i="1"/>
  <c r="CC197" i="1"/>
  <c r="CB197" i="1"/>
  <c r="CC196" i="1"/>
  <c r="CC195" i="1"/>
  <c r="CB196" i="1"/>
  <c r="CB195" i="1"/>
  <c r="CC193" i="1"/>
  <c r="CB193" i="1"/>
  <c r="CC191" i="1"/>
  <c r="CB191" i="1"/>
  <c r="CC189" i="1"/>
  <c r="CB189" i="1"/>
  <c r="CC187" i="1"/>
  <c r="CB187" i="1"/>
  <c r="CC185" i="1"/>
  <c r="CC184" i="1"/>
  <c r="CB185" i="1"/>
  <c r="CB184" i="1"/>
  <c r="CC182" i="1"/>
  <c r="CB182" i="1"/>
  <c r="CC180" i="1"/>
  <c r="CC179" i="1"/>
  <c r="CB180" i="1"/>
  <c r="CB179" i="1"/>
  <c r="CC177" i="1"/>
  <c r="CB177" i="1"/>
  <c r="CC176" i="1"/>
  <c r="CB176" i="1"/>
  <c r="CC175" i="1"/>
  <c r="CB175" i="1"/>
  <c r="CB174" i="1"/>
  <c r="CB172" i="1"/>
  <c r="CC174" i="1"/>
  <c r="CC170" i="1"/>
  <c r="CB170" i="1"/>
  <c r="CC169" i="1"/>
  <c r="CB169" i="1"/>
  <c r="CC168" i="1"/>
  <c r="CC167" i="1"/>
  <c r="CB168" i="1"/>
  <c r="CB167" i="1"/>
  <c r="CC165" i="1"/>
  <c r="CB165" i="1"/>
  <c r="CC163" i="1"/>
  <c r="CB163" i="1"/>
  <c r="CC162" i="1"/>
  <c r="CB162" i="1"/>
  <c r="CC161" i="1"/>
  <c r="CB161" i="1"/>
  <c r="CC160" i="1"/>
  <c r="CC155" i="1"/>
  <c r="CB160" i="1"/>
  <c r="CC159" i="1"/>
  <c r="CB159" i="1"/>
  <c r="CC158" i="1"/>
  <c r="CB158" i="1"/>
  <c r="CC157" i="1"/>
  <c r="CB157" i="1"/>
  <c r="CC156" i="1"/>
  <c r="CB156" i="1"/>
  <c r="CB155" i="1"/>
  <c r="CC153" i="1"/>
  <c r="CB153" i="1"/>
  <c r="CB149" i="1"/>
  <c r="CC152" i="1"/>
  <c r="CB152" i="1"/>
  <c r="CC151" i="1"/>
  <c r="CB151" i="1"/>
  <c r="CC150" i="1"/>
  <c r="CB150" i="1"/>
  <c r="CC149" i="1"/>
  <c r="CC147" i="1"/>
  <c r="CC139" i="1"/>
  <c r="CB147" i="1"/>
  <c r="CB139" i="1"/>
  <c r="CC146" i="1"/>
  <c r="CB146" i="1"/>
  <c r="CC145" i="1"/>
  <c r="CB145" i="1"/>
  <c r="CC144" i="1"/>
  <c r="CB144" i="1"/>
  <c r="CC143" i="1"/>
  <c r="CB143" i="1"/>
  <c r="CC142" i="1"/>
  <c r="CB142" i="1"/>
  <c r="CC141" i="1"/>
  <c r="CB141" i="1"/>
  <c r="CC140" i="1"/>
  <c r="CB140" i="1"/>
  <c r="CC137" i="1"/>
  <c r="CB137" i="1"/>
  <c r="CC134" i="1"/>
  <c r="CB134" i="1"/>
  <c r="CC133" i="1"/>
  <c r="CB133" i="1"/>
  <c r="CC132" i="1"/>
  <c r="CC131" i="1"/>
  <c r="CB132" i="1"/>
  <c r="CB131" i="1"/>
  <c r="CC129" i="1"/>
  <c r="CC125" i="1"/>
  <c r="CB129" i="1"/>
  <c r="CB125" i="1"/>
  <c r="CC128" i="1"/>
  <c r="CB128" i="1"/>
  <c r="CC127" i="1"/>
  <c r="CB127" i="1"/>
  <c r="CC126" i="1"/>
  <c r="CB126" i="1"/>
  <c r="CC123" i="1"/>
  <c r="CB123" i="1"/>
  <c r="CC122" i="1"/>
  <c r="CB122" i="1"/>
  <c r="CC121" i="1"/>
  <c r="CB121" i="1"/>
  <c r="CC120" i="1"/>
  <c r="CB120" i="1"/>
  <c r="CC119" i="1"/>
  <c r="CC118" i="1"/>
  <c r="CB119" i="1"/>
  <c r="CB118" i="1"/>
  <c r="CC116" i="1"/>
  <c r="CB116" i="1"/>
  <c r="CC115" i="1"/>
  <c r="CB115" i="1"/>
  <c r="CC114" i="1"/>
  <c r="CB114" i="1"/>
  <c r="CC113" i="1"/>
  <c r="CB113" i="1"/>
  <c r="CC112" i="1"/>
  <c r="CC111" i="1"/>
  <c r="CB112" i="1"/>
  <c r="CB111" i="1"/>
  <c r="CC109" i="1"/>
  <c r="CB109" i="1"/>
  <c r="CC108" i="1"/>
  <c r="CB108" i="1"/>
  <c r="CC107" i="1"/>
  <c r="CC106" i="1"/>
  <c r="CB107" i="1"/>
  <c r="CB106" i="1"/>
  <c r="CC102" i="1"/>
  <c r="CB102" i="1"/>
  <c r="CC101" i="1"/>
  <c r="CB101" i="1"/>
  <c r="CC100" i="1"/>
  <c r="CB100" i="1"/>
  <c r="CC99" i="1"/>
  <c r="CB99" i="1"/>
  <c r="CC98" i="1"/>
  <c r="CB98" i="1"/>
  <c r="CC97" i="1"/>
  <c r="CB97" i="1"/>
  <c r="CC96" i="1"/>
  <c r="CB96" i="1"/>
  <c r="CC95" i="1"/>
  <c r="CC94" i="1"/>
  <c r="CB95" i="1"/>
  <c r="CB94" i="1"/>
  <c r="CC92" i="1"/>
  <c r="CC86" i="1"/>
  <c r="CB92" i="1"/>
  <c r="CC91" i="1"/>
  <c r="CB91" i="1"/>
  <c r="CC90" i="1"/>
  <c r="CB90" i="1"/>
  <c r="CC89" i="1"/>
  <c r="CB89" i="1"/>
  <c r="CC88" i="1"/>
  <c r="CB88" i="1"/>
  <c r="CC87" i="1"/>
  <c r="CB87" i="1"/>
  <c r="CB86" i="1"/>
  <c r="CC84" i="1"/>
  <c r="CB84" i="1"/>
  <c r="CC83" i="1"/>
  <c r="CC82" i="1"/>
  <c r="CB83" i="1"/>
  <c r="CB82" i="1"/>
  <c r="CC80" i="1"/>
  <c r="CB80" i="1"/>
  <c r="CB77" i="1"/>
  <c r="CC79" i="1"/>
  <c r="CC77" i="1"/>
  <c r="CB79" i="1"/>
  <c r="CC78" i="1"/>
  <c r="CB78" i="1"/>
  <c r="CC75" i="1"/>
  <c r="CB75" i="1"/>
  <c r="CC74" i="1"/>
  <c r="CB74" i="1"/>
  <c r="CC73" i="1"/>
  <c r="CB73" i="1"/>
  <c r="CC70" i="1"/>
  <c r="CB70" i="1"/>
  <c r="CC69" i="1"/>
  <c r="CB69" i="1"/>
  <c r="CC68" i="1"/>
  <c r="CC67" i="1"/>
  <c r="CB68" i="1"/>
  <c r="CC65" i="1"/>
  <c r="CB65" i="1"/>
  <c r="CC64" i="1"/>
  <c r="CB64" i="1"/>
  <c r="CB63" i="1"/>
  <c r="CC63" i="1"/>
  <c r="CC61" i="1"/>
  <c r="CB61" i="1"/>
  <c r="CC59" i="1"/>
  <c r="CB59" i="1"/>
  <c r="CC58" i="1"/>
  <c r="CB58" i="1"/>
  <c r="CC57" i="1"/>
  <c r="CB57" i="1"/>
  <c r="CC56" i="1"/>
  <c r="CB56" i="1"/>
  <c r="CC55" i="1"/>
  <c r="CB55" i="1"/>
  <c r="CC54" i="1"/>
  <c r="CB54" i="1"/>
  <c r="CC53" i="1"/>
  <c r="CC52" i="1"/>
  <c r="CB53" i="1"/>
  <c r="CB52" i="1"/>
  <c r="CC50" i="1"/>
  <c r="CB50" i="1"/>
  <c r="CC49" i="1"/>
  <c r="CB49" i="1"/>
  <c r="CC48" i="1"/>
  <c r="CB48" i="1"/>
  <c r="CC47" i="1"/>
  <c r="CB47" i="1"/>
  <c r="CB46" i="1"/>
  <c r="CC46" i="1"/>
  <c r="CC42" i="1"/>
  <c r="CB42" i="1"/>
  <c r="CC41" i="1"/>
  <c r="CB41" i="1"/>
  <c r="CC36" i="1"/>
  <c r="CB36" i="1"/>
  <c r="CC34" i="1"/>
  <c r="CB34" i="1"/>
  <c r="CC33" i="1"/>
  <c r="CB33" i="1"/>
  <c r="CC32" i="1"/>
  <c r="CB32" i="1"/>
  <c r="CC31" i="1"/>
  <c r="CB31" i="1"/>
  <c r="CB30" i="1"/>
  <c r="CC30" i="1"/>
  <c r="CC28" i="1"/>
  <c r="CB28" i="1"/>
  <c r="CC26" i="1"/>
  <c r="CB26" i="1"/>
  <c r="CC24" i="1"/>
  <c r="CB24" i="1"/>
  <c r="CC23" i="1"/>
  <c r="CB23" i="1"/>
  <c r="CC22" i="1"/>
  <c r="CB22" i="1"/>
  <c r="CB21" i="1"/>
  <c r="CC21" i="1"/>
  <c r="CC19" i="1"/>
  <c r="CB19" i="1"/>
  <c r="CC18" i="1"/>
  <c r="CB18" i="1"/>
  <c r="CC17" i="1"/>
  <c r="CC16" i="1"/>
  <c r="CC14" i="1"/>
  <c r="CB17" i="1"/>
  <c r="CB16" i="1"/>
  <c r="CE863" i="1"/>
  <c r="CD863" i="1"/>
  <c r="CE860" i="1"/>
  <c r="CD860" i="1"/>
  <c r="CE856" i="1"/>
  <c r="CD856" i="1"/>
  <c r="CE845" i="1"/>
  <c r="CD845" i="1"/>
  <c r="CE842" i="1"/>
  <c r="CD842" i="1"/>
  <c r="CE827" i="1"/>
  <c r="CD827" i="1"/>
  <c r="CE790" i="1"/>
  <c r="CD790" i="1"/>
  <c r="CE783" i="1"/>
  <c r="CD783" i="1"/>
  <c r="CE768" i="1"/>
  <c r="CD768" i="1"/>
  <c r="CE742" i="1"/>
  <c r="CD742" i="1"/>
  <c r="CE738" i="1"/>
  <c r="CD738" i="1"/>
  <c r="CE728" i="1"/>
  <c r="CD728" i="1"/>
  <c r="CE725" i="1"/>
  <c r="CD725" i="1"/>
  <c r="CE718" i="1"/>
  <c r="CD718" i="1"/>
  <c r="CE711" i="1"/>
  <c r="CE691" i="1"/>
  <c r="CD711" i="1"/>
  <c r="CD691" i="1"/>
  <c r="CE705" i="1"/>
  <c r="CD705" i="1"/>
  <c r="CE702" i="1"/>
  <c r="CD702" i="1"/>
  <c r="CE699" i="1"/>
  <c r="CD699" i="1"/>
  <c r="CE696" i="1"/>
  <c r="CD696" i="1"/>
  <c r="CE693" i="1"/>
  <c r="CD693" i="1"/>
  <c r="CE685" i="1"/>
  <c r="CD685" i="1"/>
  <c r="CE681" i="1"/>
  <c r="CD681" i="1"/>
  <c r="CE669" i="1"/>
  <c r="CE664" i="1"/>
  <c r="CD669" i="1"/>
  <c r="CD664" i="1"/>
  <c r="CE666" i="1"/>
  <c r="CD666" i="1"/>
  <c r="CE655" i="1"/>
  <c r="CD655" i="1"/>
  <c r="CE645" i="1"/>
  <c r="CD645" i="1"/>
  <c r="CE637" i="1"/>
  <c r="CD637" i="1"/>
  <c r="CE634" i="1"/>
  <c r="CE632" i="1"/>
  <c r="CE630" i="1"/>
  <c r="CE628" i="1"/>
  <c r="CD634" i="1"/>
  <c r="CD632" i="1"/>
  <c r="CD630" i="1"/>
  <c r="CD628" i="1"/>
  <c r="CE625" i="1"/>
  <c r="CD625" i="1"/>
  <c r="CE621" i="1"/>
  <c r="CD621" i="1"/>
  <c r="CD619" i="1"/>
  <c r="CE619" i="1"/>
  <c r="CE616" i="1"/>
  <c r="CD616" i="1"/>
  <c r="CE613" i="1"/>
  <c r="CE611" i="1"/>
  <c r="CE609" i="1"/>
  <c r="CD613" i="1"/>
  <c r="CD611" i="1"/>
  <c r="CE606" i="1"/>
  <c r="CD606" i="1"/>
  <c r="CE600" i="1"/>
  <c r="CD600" i="1"/>
  <c r="CE592" i="1"/>
  <c r="CD592" i="1"/>
  <c r="CE585" i="1"/>
  <c r="CD585" i="1"/>
  <c r="CE581" i="1"/>
  <c r="CD581" i="1"/>
  <c r="CD579" i="1"/>
  <c r="CD577" i="1"/>
  <c r="CD575" i="1"/>
  <c r="CE579" i="1"/>
  <c r="CE571" i="1"/>
  <c r="CD571" i="1"/>
  <c r="CE569" i="1"/>
  <c r="CE567" i="1"/>
  <c r="CD569" i="1"/>
  <c r="CD567" i="1"/>
  <c r="CE563" i="1"/>
  <c r="CD563" i="1"/>
  <c r="CE558" i="1"/>
  <c r="CD558" i="1"/>
  <c r="CE555" i="1"/>
  <c r="CD555" i="1"/>
  <c r="CE549" i="1"/>
  <c r="CD549" i="1"/>
  <c r="CE543" i="1"/>
  <c r="CD543" i="1"/>
  <c r="CD541" i="1"/>
  <c r="CE535" i="1"/>
  <c r="CD535" i="1"/>
  <c r="CE532" i="1"/>
  <c r="CD532" i="1"/>
  <c r="CE526" i="1"/>
  <c r="CD526" i="1"/>
  <c r="CE507" i="1"/>
  <c r="CE505" i="1"/>
  <c r="CD507" i="1"/>
  <c r="CD505" i="1"/>
  <c r="CE500" i="1"/>
  <c r="CD500" i="1"/>
  <c r="CE488" i="1"/>
  <c r="CD488" i="1"/>
  <c r="CE482" i="1"/>
  <c r="CD482" i="1"/>
  <c r="CE472" i="1"/>
  <c r="CD472" i="1"/>
  <c r="CE464" i="1"/>
  <c r="CD464" i="1"/>
  <c r="CE458" i="1"/>
  <c r="CD458" i="1"/>
  <c r="CE451" i="1"/>
  <c r="CD451" i="1"/>
  <c r="CE444" i="1"/>
  <c r="CD444" i="1"/>
  <c r="CE439" i="1"/>
  <c r="CD439" i="1"/>
  <c r="CE437" i="1"/>
  <c r="CD437" i="1"/>
  <c r="CE427" i="1"/>
  <c r="CD427" i="1"/>
  <c r="CE419" i="1"/>
  <c r="CD419" i="1"/>
  <c r="CE416" i="1"/>
  <c r="CD416" i="1"/>
  <c r="CE411" i="1"/>
  <c r="CD411" i="1"/>
  <c r="CE406" i="1"/>
  <c r="CD406" i="1"/>
  <c r="CE401" i="1"/>
  <c r="CD401" i="1"/>
  <c r="CE397" i="1"/>
  <c r="CD397" i="1"/>
  <c r="CE386" i="1"/>
  <c r="CD386" i="1"/>
  <c r="CE380" i="1"/>
  <c r="CD380" i="1"/>
  <c r="CE378" i="1"/>
  <c r="CD378" i="1"/>
  <c r="CE375" i="1"/>
  <c r="CD375" i="1"/>
  <c r="CE368" i="1"/>
  <c r="CE366" i="1"/>
  <c r="CD368" i="1"/>
  <c r="CD366" i="1"/>
  <c r="CD364" i="1"/>
  <c r="CE361" i="1"/>
  <c r="CD361" i="1"/>
  <c r="CE358" i="1"/>
  <c r="CD358" i="1"/>
  <c r="CE354" i="1"/>
  <c r="CD354" i="1"/>
  <c r="CE349" i="1"/>
  <c r="CE347" i="1"/>
  <c r="CD349" i="1"/>
  <c r="CD347" i="1"/>
  <c r="CE329" i="1"/>
  <c r="CD329" i="1"/>
  <c r="CE326" i="1"/>
  <c r="CD326" i="1"/>
  <c r="CE322" i="1"/>
  <c r="CD322" i="1"/>
  <c r="CE319" i="1"/>
  <c r="CD319" i="1"/>
  <c r="CE316" i="1"/>
  <c r="CD316" i="1"/>
  <c r="CE313" i="1"/>
  <c r="CD313" i="1"/>
  <c r="CE310" i="1"/>
  <c r="CD310" i="1"/>
  <c r="CD308" i="1"/>
  <c r="CE305" i="1"/>
  <c r="CD305" i="1"/>
  <c r="CE302" i="1"/>
  <c r="CD302" i="1"/>
  <c r="CE298" i="1"/>
  <c r="CD298" i="1"/>
  <c r="CE293" i="1"/>
  <c r="CD293" i="1"/>
  <c r="CE288" i="1"/>
  <c r="CD288" i="1"/>
  <c r="CE279" i="1"/>
  <c r="CD279" i="1"/>
  <c r="CE275" i="1"/>
  <c r="CD275" i="1"/>
  <c r="CE267" i="1"/>
  <c r="CD267" i="1"/>
  <c r="CE259" i="1"/>
  <c r="CD259" i="1"/>
  <c r="CE251" i="1"/>
  <c r="CD251" i="1"/>
  <c r="CE246" i="1"/>
  <c r="CD246" i="1"/>
  <c r="CE244" i="1"/>
  <c r="CD244" i="1"/>
  <c r="CE238" i="1"/>
  <c r="CD238" i="1"/>
  <c r="CE237" i="1"/>
  <c r="CE236" i="1"/>
  <c r="CD237" i="1"/>
  <c r="CE234" i="1"/>
  <c r="CD234" i="1"/>
  <c r="CE233" i="1"/>
  <c r="CD233" i="1"/>
  <c r="CE231" i="1"/>
  <c r="CE230" i="1"/>
  <c r="CD231" i="1"/>
  <c r="CD230" i="1"/>
  <c r="CE228" i="1"/>
  <c r="CE227" i="1"/>
  <c r="CD228" i="1"/>
  <c r="CD227" i="1"/>
  <c r="CE225" i="1"/>
  <c r="CE224" i="1"/>
  <c r="CD225" i="1"/>
  <c r="CD224" i="1"/>
  <c r="CE222" i="1"/>
  <c r="CD222" i="1"/>
  <c r="CE221" i="1"/>
  <c r="CD221" i="1"/>
  <c r="CE220" i="1"/>
  <c r="CD220" i="1"/>
  <c r="CE219" i="1"/>
  <c r="CD219" i="1"/>
  <c r="CE218" i="1"/>
  <c r="CD218" i="1"/>
  <c r="CE216" i="1"/>
  <c r="CD216" i="1"/>
  <c r="CE215" i="1"/>
  <c r="CD215" i="1"/>
  <c r="CE214" i="1"/>
  <c r="CD214" i="1"/>
  <c r="CE213" i="1"/>
  <c r="CE212" i="1"/>
  <c r="CD213" i="1"/>
  <c r="CD212" i="1"/>
  <c r="CE205" i="1"/>
  <c r="CD205" i="1"/>
  <c r="CE204" i="1"/>
  <c r="CD204" i="1"/>
  <c r="CE202" i="1"/>
  <c r="CE201" i="1"/>
  <c r="CE199" i="1"/>
  <c r="CD202" i="1"/>
  <c r="CD201" i="1"/>
  <c r="CD199" i="1"/>
  <c r="CE197" i="1"/>
  <c r="CD197" i="1"/>
  <c r="CE196" i="1"/>
  <c r="CD196" i="1"/>
  <c r="CE195" i="1"/>
  <c r="CD195" i="1"/>
  <c r="CE193" i="1"/>
  <c r="CD193" i="1"/>
  <c r="CE191" i="1"/>
  <c r="CD191" i="1"/>
  <c r="CE189" i="1"/>
  <c r="CD189" i="1"/>
  <c r="CE187" i="1"/>
  <c r="CD187" i="1"/>
  <c r="CE185" i="1"/>
  <c r="CD185" i="1"/>
  <c r="CE184" i="1"/>
  <c r="CD184" i="1"/>
  <c r="CE182" i="1"/>
  <c r="CD182" i="1"/>
  <c r="CE180" i="1"/>
  <c r="CE179" i="1"/>
  <c r="CD180" i="1"/>
  <c r="CD179" i="1"/>
  <c r="CE177" i="1"/>
  <c r="CD177" i="1"/>
  <c r="CE176" i="1"/>
  <c r="CD176" i="1"/>
  <c r="CE175" i="1"/>
  <c r="CE174" i="1"/>
  <c r="CD175" i="1"/>
  <c r="CD174" i="1"/>
  <c r="CE170" i="1"/>
  <c r="CD170" i="1"/>
  <c r="CE169" i="1"/>
  <c r="CD169" i="1"/>
  <c r="CE168" i="1"/>
  <c r="CE167" i="1"/>
  <c r="CD168" i="1"/>
  <c r="CD167" i="1"/>
  <c r="CE165" i="1"/>
  <c r="CD165" i="1"/>
  <c r="CE163" i="1"/>
  <c r="CD163" i="1"/>
  <c r="CE162" i="1"/>
  <c r="CD162" i="1"/>
  <c r="CE161" i="1"/>
  <c r="CD161" i="1"/>
  <c r="CE160" i="1"/>
  <c r="CD160" i="1"/>
  <c r="CE159" i="1"/>
  <c r="CD159" i="1"/>
  <c r="CE158" i="1"/>
  <c r="CD158" i="1"/>
  <c r="CE157" i="1"/>
  <c r="CD157" i="1"/>
  <c r="CE156" i="1"/>
  <c r="CD156" i="1"/>
  <c r="CE155" i="1"/>
  <c r="CD155" i="1"/>
  <c r="CE153" i="1"/>
  <c r="CD153" i="1"/>
  <c r="CE152" i="1"/>
  <c r="CD152" i="1"/>
  <c r="CE151" i="1"/>
  <c r="CD151" i="1"/>
  <c r="CE150" i="1"/>
  <c r="CE149" i="1"/>
  <c r="CD150" i="1"/>
  <c r="CD149" i="1"/>
  <c r="CE147" i="1"/>
  <c r="CD147" i="1"/>
  <c r="CE146" i="1"/>
  <c r="CD146" i="1"/>
  <c r="CE145" i="1"/>
  <c r="CD145" i="1"/>
  <c r="CE144" i="1"/>
  <c r="CD144" i="1"/>
  <c r="CE143" i="1"/>
  <c r="CD143" i="1"/>
  <c r="CE142" i="1"/>
  <c r="CD142" i="1"/>
  <c r="CE141" i="1"/>
  <c r="CD141" i="1"/>
  <c r="CE140" i="1"/>
  <c r="CD140" i="1"/>
  <c r="CE139" i="1"/>
  <c r="CD139" i="1"/>
  <c r="CE137" i="1"/>
  <c r="CD137" i="1"/>
  <c r="CE134" i="1"/>
  <c r="CD134" i="1"/>
  <c r="CE133" i="1"/>
  <c r="CD133" i="1"/>
  <c r="CE132" i="1"/>
  <c r="CE131" i="1"/>
  <c r="CD132" i="1"/>
  <c r="CD131" i="1"/>
  <c r="CE129" i="1"/>
  <c r="CD129" i="1"/>
  <c r="CE128" i="1"/>
  <c r="CD128" i="1"/>
  <c r="CE127" i="1"/>
  <c r="CD127" i="1"/>
  <c r="CE126" i="1"/>
  <c r="CD126" i="1"/>
  <c r="CE125" i="1"/>
  <c r="CD125" i="1"/>
  <c r="CE123" i="1"/>
  <c r="CD123" i="1"/>
  <c r="CE122" i="1"/>
  <c r="CD122" i="1"/>
  <c r="CE121" i="1"/>
  <c r="CD121" i="1"/>
  <c r="CE120" i="1"/>
  <c r="CD120" i="1"/>
  <c r="CE119" i="1"/>
  <c r="CD119" i="1"/>
  <c r="CE118" i="1"/>
  <c r="CD118" i="1"/>
  <c r="CE116" i="1"/>
  <c r="CD116" i="1"/>
  <c r="CE115" i="1"/>
  <c r="CD115" i="1"/>
  <c r="CE114" i="1"/>
  <c r="CD114" i="1"/>
  <c r="CE113" i="1"/>
  <c r="CD113" i="1"/>
  <c r="CE112" i="1"/>
  <c r="CD112" i="1"/>
  <c r="CE111" i="1"/>
  <c r="CD111" i="1"/>
  <c r="CE109" i="1"/>
  <c r="CD109" i="1"/>
  <c r="CE108" i="1"/>
  <c r="CD108" i="1"/>
  <c r="CE107" i="1"/>
  <c r="CE106" i="1"/>
  <c r="CD107" i="1"/>
  <c r="CD106" i="1"/>
  <c r="CE102" i="1"/>
  <c r="CD102" i="1"/>
  <c r="CE101" i="1"/>
  <c r="CD101" i="1"/>
  <c r="CD95" i="1"/>
  <c r="CD96" i="1"/>
  <c r="CD97" i="1"/>
  <c r="CD98" i="1"/>
  <c r="CD99" i="1"/>
  <c r="CD100" i="1"/>
  <c r="CD94" i="1"/>
  <c r="CE100" i="1"/>
  <c r="CE99" i="1"/>
  <c r="CE98" i="1"/>
  <c r="CE97" i="1"/>
  <c r="CE96" i="1"/>
  <c r="CE95" i="1"/>
  <c r="CE94" i="1"/>
  <c r="CE92" i="1"/>
  <c r="CE86" i="1"/>
  <c r="CD92" i="1"/>
  <c r="CD86" i="1"/>
  <c r="CE91" i="1"/>
  <c r="CD91" i="1"/>
  <c r="CE90" i="1"/>
  <c r="CD90" i="1"/>
  <c r="CE89" i="1"/>
  <c r="CD89" i="1"/>
  <c r="CE88" i="1"/>
  <c r="CD88" i="1"/>
  <c r="CE87" i="1"/>
  <c r="CD87" i="1"/>
  <c r="CE84" i="1"/>
  <c r="CD84" i="1"/>
  <c r="CE83" i="1"/>
  <c r="CD83" i="1"/>
  <c r="CE82" i="1"/>
  <c r="CD82" i="1"/>
  <c r="CE80" i="1"/>
  <c r="CD80" i="1"/>
  <c r="CD77" i="1"/>
  <c r="CE79" i="1"/>
  <c r="CD79" i="1"/>
  <c r="CE78" i="1"/>
  <c r="CD78" i="1"/>
  <c r="CE75" i="1"/>
  <c r="CE72" i="1"/>
  <c r="CD75" i="1"/>
  <c r="CE74" i="1"/>
  <c r="CD74" i="1"/>
  <c r="CE73" i="1"/>
  <c r="CD73" i="1"/>
  <c r="CD72" i="1"/>
  <c r="CE70" i="1"/>
  <c r="CD70" i="1"/>
  <c r="CE69" i="1"/>
  <c r="CD69" i="1"/>
  <c r="CE68" i="1"/>
  <c r="CD68" i="1"/>
  <c r="CE67" i="1"/>
  <c r="CE65" i="1"/>
  <c r="CD65" i="1"/>
  <c r="CE64" i="1"/>
  <c r="CE63" i="1"/>
  <c r="CD64" i="1"/>
  <c r="CD63" i="1"/>
  <c r="CE61" i="1"/>
  <c r="CD61" i="1"/>
  <c r="CE59" i="1"/>
  <c r="CD59" i="1"/>
  <c r="CE58" i="1"/>
  <c r="CD58" i="1"/>
  <c r="CE57" i="1"/>
  <c r="CD57" i="1"/>
  <c r="CE56" i="1"/>
  <c r="CD56" i="1"/>
  <c r="CE55" i="1"/>
  <c r="CD55" i="1"/>
  <c r="CD52" i="1"/>
  <c r="CE54" i="1"/>
  <c r="CD54" i="1"/>
  <c r="CE53" i="1"/>
  <c r="CE52" i="1"/>
  <c r="CD53" i="1"/>
  <c r="CE50" i="1"/>
  <c r="CD50" i="1"/>
  <c r="CE49" i="1"/>
  <c r="CD49" i="1"/>
  <c r="CE48" i="1"/>
  <c r="CD48" i="1"/>
  <c r="CE47" i="1"/>
  <c r="CE46" i="1"/>
  <c r="CD47" i="1"/>
  <c r="CE42" i="1"/>
  <c r="CD42" i="1"/>
  <c r="CE41" i="1"/>
  <c r="CD41" i="1"/>
  <c r="CE38" i="1"/>
  <c r="CE36" i="1"/>
  <c r="CD36" i="1"/>
  <c r="CE34" i="1"/>
  <c r="CD34" i="1"/>
  <c r="CE33" i="1"/>
  <c r="CD33" i="1"/>
  <c r="CE32" i="1"/>
  <c r="CD32" i="1"/>
  <c r="CE31" i="1"/>
  <c r="CE30" i="1"/>
  <c r="CD31" i="1"/>
  <c r="CD30" i="1"/>
  <c r="CE28" i="1"/>
  <c r="CD28" i="1"/>
  <c r="CE26" i="1"/>
  <c r="CD26" i="1"/>
  <c r="CE24" i="1"/>
  <c r="CD24" i="1"/>
  <c r="CE23" i="1"/>
  <c r="CD23" i="1"/>
  <c r="CE22" i="1"/>
  <c r="CE21" i="1"/>
  <c r="CD22" i="1"/>
  <c r="CD21" i="1"/>
  <c r="CE19" i="1"/>
  <c r="CD19" i="1"/>
  <c r="CE18" i="1"/>
  <c r="CD18" i="1"/>
  <c r="CE17" i="1"/>
  <c r="CE16" i="1"/>
  <c r="CE14" i="1"/>
  <c r="CD17" i="1"/>
  <c r="CD16" i="1"/>
  <c r="CG863" i="1"/>
  <c r="CF863" i="1"/>
  <c r="CG860" i="1"/>
  <c r="CF860" i="1"/>
  <c r="CG856" i="1"/>
  <c r="CF856" i="1"/>
  <c r="CG845" i="1"/>
  <c r="CF845" i="1"/>
  <c r="CG842" i="1"/>
  <c r="CF842" i="1"/>
  <c r="CG827" i="1"/>
  <c r="CF827" i="1"/>
  <c r="CG790" i="1"/>
  <c r="CF790" i="1"/>
  <c r="CG783" i="1"/>
  <c r="CF783" i="1"/>
  <c r="CG768" i="1"/>
  <c r="CF768" i="1"/>
  <c r="CG742" i="1"/>
  <c r="CF742" i="1"/>
  <c r="CG738" i="1"/>
  <c r="CF738" i="1"/>
  <c r="CG728" i="1"/>
  <c r="CF728" i="1"/>
  <c r="CG725" i="1"/>
  <c r="CF725" i="1"/>
  <c r="CG718" i="1"/>
  <c r="CF718" i="1"/>
  <c r="CG711" i="1"/>
  <c r="CG691" i="1"/>
  <c r="CF711" i="1"/>
  <c r="CF691" i="1"/>
  <c r="CG705" i="1"/>
  <c r="CF705" i="1"/>
  <c r="CG702" i="1"/>
  <c r="CF702" i="1"/>
  <c r="CG699" i="1"/>
  <c r="CF699" i="1"/>
  <c r="CG696" i="1"/>
  <c r="CF696" i="1"/>
  <c r="CG693" i="1"/>
  <c r="CF693" i="1"/>
  <c r="CG685" i="1"/>
  <c r="CF685" i="1"/>
  <c r="CG681" i="1"/>
  <c r="CF681" i="1"/>
  <c r="CG669" i="1"/>
  <c r="CG664" i="1"/>
  <c r="CF669" i="1"/>
  <c r="CF664" i="1"/>
  <c r="CG666" i="1"/>
  <c r="CF666" i="1"/>
  <c r="CG655" i="1"/>
  <c r="CF655" i="1"/>
  <c r="CG645" i="1"/>
  <c r="CF645" i="1"/>
  <c r="CG637" i="1"/>
  <c r="CF637" i="1"/>
  <c r="CG634" i="1"/>
  <c r="CG632" i="1"/>
  <c r="CG630" i="1"/>
  <c r="CG628" i="1"/>
  <c r="CF634" i="1"/>
  <c r="CF632" i="1"/>
  <c r="CF630" i="1"/>
  <c r="CF628" i="1"/>
  <c r="CG625" i="1"/>
  <c r="CF625" i="1"/>
  <c r="CG621" i="1"/>
  <c r="CF621" i="1"/>
  <c r="CG619" i="1"/>
  <c r="CF619" i="1"/>
  <c r="CG616" i="1"/>
  <c r="CF616" i="1"/>
  <c r="CG613" i="1"/>
  <c r="CG611" i="1"/>
  <c r="CG609" i="1"/>
  <c r="CF613" i="1"/>
  <c r="CF611" i="1"/>
  <c r="CF609" i="1"/>
  <c r="CG606" i="1"/>
  <c r="CF606" i="1"/>
  <c r="CG600" i="1"/>
  <c r="CF600" i="1"/>
  <c r="CG592" i="1"/>
  <c r="CF592" i="1"/>
  <c r="CG585" i="1"/>
  <c r="CF585" i="1"/>
  <c r="CG581" i="1"/>
  <c r="CF581" i="1"/>
  <c r="CG579" i="1"/>
  <c r="CF579" i="1"/>
  <c r="CG571" i="1"/>
  <c r="CF571" i="1"/>
  <c r="CG569" i="1"/>
  <c r="CG567" i="1"/>
  <c r="CF569" i="1"/>
  <c r="CF567" i="1"/>
  <c r="CG563" i="1"/>
  <c r="CF563" i="1"/>
  <c r="CG558" i="1"/>
  <c r="CF558" i="1"/>
  <c r="CG555" i="1"/>
  <c r="CF555" i="1"/>
  <c r="CG549" i="1"/>
  <c r="CF549" i="1"/>
  <c r="CG543" i="1"/>
  <c r="CF543" i="1"/>
  <c r="CG535" i="1"/>
  <c r="CF535" i="1"/>
  <c r="CG532" i="1"/>
  <c r="CF532" i="1"/>
  <c r="CG526" i="1"/>
  <c r="CF526" i="1"/>
  <c r="CG507" i="1"/>
  <c r="CG505" i="1"/>
  <c r="CF507" i="1"/>
  <c r="CF505" i="1"/>
  <c r="CG500" i="1"/>
  <c r="CF500" i="1"/>
  <c r="CG488" i="1"/>
  <c r="CF488" i="1"/>
  <c r="CG482" i="1"/>
  <c r="CF482" i="1"/>
  <c r="CG472" i="1"/>
  <c r="CF472" i="1"/>
  <c r="CG464" i="1"/>
  <c r="CF464" i="1"/>
  <c r="CG458" i="1"/>
  <c r="CF458" i="1"/>
  <c r="CG451" i="1"/>
  <c r="CF451" i="1"/>
  <c r="CG444" i="1"/>
  <c r="CF444" i="1"/>
  <c r="CG439" i="1"/>
  <c r="CF439" i="1"/>
  <c r="CG427" i="1"/>
  <c r="CF427" i="1"/>
  <c r="CG419" i="1"/>
  <c r="CF419" i="1"/>
  <c r="CG416" i="1"/>
  <c r="CF416" i="1"/>
  <c r="CG411" i="1"/>
  <c r="CF411" i="1"/>
  <c r="CG406" i="1"/>
  <c r="CF406" i="1"/>
  <c r="CG401" i="1"/>
  <c r="CF401" i="1"/>
  <c r="CG397" i="1"/>
  <c r="CF397" i="1"/>
  <c r="CG386" i="1"/>
  <c r="CF386" i="1"/>
  <c r="CG380" i="1"/>
  <c r="CF380" i="1"/>
  <c r="CG375" i="1"/>
  <c r="CF375" i="1"/>
  <c r="CG368" i="1"/>
  <c r="CF368" i="1"/>
  <c r="CG366" i="1"/>
  <c r="CF366" i="1"/>
  <c r="CG361" i="1"/>
  <c r="CF361" i="1"/>
  <c r="CG358" i="1"/>
  <c r="CF358" i="1"/>
  <c r="CG354" i="1"/>
  <c r="CF354" i="1"/>
  <c r="CG349" i="1"/>
  <c r="CG347" i="1"/>
  <c r="CF349" i="1"/>
  <c r="CF347" i="1"/>
  <c r="CG329" i="1"/>
  <c r="CF329" i="1"/>
  <c r="CG326" i="1"/>
  <c r="CF326" i="1"/>
  <c r="CG322" i="1"/>
  <c r="CF322" i="1"/>
  <c r="CG319" i="1"/>
  <c r="CF319" i="1"/>
  <c r="CG316" i="1"/>
  <c r="CF316" i="1"/>
  <c r="CG313" i="1"/>
  <c r="CF313" i="1"/>
  <c r="CG310" i="1"/>
  <c r="CF310" i="1"/>
  <c r="CF308" i="1"/>
  <c r="CG308" i="1"/>
  <c r="CG305" i="1"/>
  <c r="CF305" i="1"/>
  <c r="CG302" i="1"/>
  <c r="CF302" i="1"/>
  <c r="CG298" i="1"/>
  <c r="CF298" i="1"/>
  <c r="CG293" i="1"/>
  <c r="CF293" i="1"/>
  <c r="CG288" i="1"/>
  <c r="CF288" i="1"/>
  <c r="CG279" i="1"/>
  <c r="CF279" i="1"/>
  <c r="CG275" i="1"/>
  <c r="CF275" i="1"/>
  <c r="CG267" i="1"/>
  <c r="CF267" i="1"/>
  <c r="CG259" i="1"/>
  <c r="CF259" i="1"/>
  <c r="CG251" i="1"/>
  <c r="CF251" i="1"/>
  <c r="CG246" i="1"/>
  <c r="CF246" i="1"/>
  <c r="CG238" i="1"/>
  <c r="CF238" i="1"/>
  <c r="CG237" i="1"/>
  <c r="CF237" i="1"/>
  <c r="CG236" i="1"/>
  <c r="CF236" i="1"/>
  <c r="CG234" i="1"/>
  <c r="CF234" i="1"/>
  <c r="CG233" i="1"/>
  <c r="CF233" i="1"/>
  <c r="CG231" i="1"/>
  <c r="CF231" i="1"/>
  <c r="CG230" i="1"/>
  <c r="CF230" i="1"/>
  <c r="CG228" i="1"/>
  <c r="CF228" i="1"/>
  <c r="CF227" i="1"/>
  <c r="CG227" i="1"/>
  <c r="CG225" i="1"/>
  <c r="CG224" i="1"/>
  <c r="CF225" i="1"/>
  <c r="CF224" i="1"/>
  <c r="CG222" i="1"/>
  <c r="CF222" i="1"/>
  <c r="CG221" i="1"/>
  <c r="CF221" i="1"/>
  <c r="CG220" i="1"/>
  <c r="CF220" i="1"/>
  <c r="CG219" i="1"/>
  <c r="CG218" i="1"/>
  <c r="CF219" i="1"/>
  <c r="CF218" i="1"/>
  <c r="CG216" i="1"/>
  <c r="CF216" i="1"/>
  <c r="CG215" i="1"/>
  <c r="CF215" i="1"/>
  <c r="CG214" i="1"/>
  <c r="CF214" i="1"/>
  <c r="CG213" i="1"/>
  <c r="CG212" i="1"/>
  <c r="CF213" i="1"/>
  <c r="CF212" i="1"/>
  <c r="CG205" i="1"/>
  <c r="CG204" i="1"/>
  <c r="CF205" i="1"/>
  <c r="CF204" i="1"/>
  <c r="CG202" i="1"/>
  <c r="CG201" i="1"/>
  <c r="CF202" i="1"/>
  <c r="CF201" i="1"/>
  <c r="CG197" i="1"/>
  <c r="CF197" i="1"/>
  <c r="CG196" i="1"/>
  <c r="CG195" i="1"/>
  <c r="CF196" i="1"/>
  <c r="CF195" i="1"/>
  <c r="CG193" i="1"/>
  <c r="CF193" i="1"/>
  <c r="CG191" i="1"/>
  <c r="CF191" i="1"/>
  <c r="CG189" i="1"/>
  <c r="CF189" i="1"/>
  <c r="CG187" i="1"/>
  <c r="CF187" i="1"/>
  <c r="CG185" i="1"/>
  <c r="CG184" i="1"/>
  <c r="CF185" i="1"/>
  <c r="CF184" i="1"/>
  <c r="CG182" i="1"/>
  <c r="CF182" i="1"/>
  <c r="CG180" i="1"/>
  <c r="CF180" i="1"/>
  <c r="CG179" i="1"/>
  <c r="CF179" i="1"/>
  <c r="CG177" i="1"/>
  <c r="CF177" i="1"/>
  <c r="CG176" i="1"/>
  <c r="CF176" i="1"/>
  <c r="CG175" i="1"/>
  <c r="CF175" i="1"/>
  <c r="CG174" i="1"/>
  <c r="CF174" i="1"/>
  <c r="CG170" i="1"/>
  <c r="CF170" i="1"/>
  <c r="CG169" i="1"/>
  <c r="CF169" i="1"/>
  <c r="CG168" i="1"/>
  <c r="CF168" i="1"/>
  <c r="CG165" i="1"/>
  <c r="CF165" i="1"/>
  <c r="CG163" i="1"/>
  <c r="CF163" i="1"/>
  <c r="CG162" i="1"/>
  <c r="CF162" i="1"/>
  <c r="CG161" i="1"/>
  <c r="CF161" i="1"/>
  <c r="CG160" i="1"/>
  <c r="CF160" i="1"/>
  <c r="CG159" i="1"/>
  <c r="CF159" i="1"/>
  <c r="CG158" i="1"/>
  <c r="CF158" i="1"/>
  <c r="CG157" i="1"/>
  <c r="CG156" i="1"/>
  <c r="CG155" i="1"/>
  <c r="CF157" i="1"/>
  <c r="CF156" i="1"/>
  <c r="CF155" i="1"/>
  <c r="CG153" i="1"/>
  <c r="CF153" i="1"/>
  <c r="CG152" i="1"/>
  <c r="CF152" i="1"/>
  <c r="CG151" i="1"/>
  <c r="CF151" i="1"/>
  <c r="CG150" i="1"/>
  <c r="CF150" i="1"/>
  <c r="CG149" i="1"/>
  <c r="CF149" i="1"/>
  <c r="CG147" i="1"/>
  <c r="CF147" i="1"/>
  <c r="CG146" i="1"/>
  <c r="CF146" i="1"/>
  <c r="CG145" i="1"/>
  <c r="CF145" i="1"/>
  <c r="CG144" i="1"/>
  <c r="CF144" i="1"/>
  <c r="CG143" i="1"/>
  <c r="CF143" i="1"/>
  <c r="CG142" i="1"/>
  <c r="CF142" i="1"/>
  <c r="CG141" i="1"/>
  <c r="CF141" i="1"/>
  <c r="CG140" i="1"/>
  <c r="CF140" i="1"/>
  <c r="CG137" i="1"/>
  <c r="CF137" i="1"/>
  <c r="CG134" i="1"/>
  <c r="CF134" i="1"/>
  <c r="CG133" i="1"/>
  <c r="CF133" i="1"/>
  <c r="CG132" i="1"/>
  <c r="CF132" i="1"/>
  <c r="CG129" i="1"/>
  <c r="CF129" i="1"/>
  <c r="CG128" i="1"/>
  <c r="CF128" i="1"/>
  <c r="CG127" i="1"/>
  <c r="CF127" i="1"/>
  <c r="CG126" i="1"/>
  <c r="CG125" i="1"/>
  <c r="CF126" i="1"/>
  <c r="CF125" i="1"/>
  <c r="CG123" i="1"/>
  <c r="CF123" i="1"/>
  <c r="CG122" i="1"/>
  <c r="CF122" i="1"/>
  <c r="CG121" i="1"/>
  <c r="CF121" i="1"/>
  <c r="CG120" i="1"/>
  <c r="CF120" i="1"/>
  <c r="CG119" i="1"/>
  <c r="CG118" i="1"/>
  <c r="CF119" i="1"/>
  <c r="CF118" i="1"/>
  <c r="CG116" i="1"/>
  <c r="CF116" i="1"/>
  <c r="CG115" i="1"/>
  <c r="CF115" i="1"/>
  <c r="CG114" i="1"/>
  <c r="CF114" i="1"/>
  <c r="CG113" i="1"/>
  <c r="CF113" i="1"/>
  <c r="CG112" i="1"/>
  <c r="CG111" i="1"/>
  <c r="CF112" i="1"/>
  <c r="CF111" i="1"/>
  <c r="CG109" i="1"/>
  <c r="CF109" i="1"/>
  <c r="CG108" i="1"/>
  <c r="CF108" i="1"/>
  <c r="CG107" i="1"/>
  <c r="CG106" i="1"/>
  <c r="CF107" i="1"/>
  <c r="CF106" i="1"/>
  <c r="CG102" i="1"/>
  <c r="CF102" i="1"/>
  <c r="CG101" i="1"/>
  <c r="CF101" i="1"/>
  <c r="CG100" i="1"/>
  <c r="CF100" i="1"/>
  <c r="CG99" i="1"/>
  <c r="CF99" i="1"/>
  <c r="CG98" i="1"/>
  <c r="CF98" i="1"/>
  <c r="CG97" i="1"/>
  <c r="CF97" i="1"/>
  <c r="CG96" i="1"/>
  <c r="CG95" i="1"/>
  <c r="CG94" i="1"/>
  <c r="CF96" i="1"/>
  <c r="CF95" i="1"/>
  <c r="CF94" i="1"/>
  <c r="CG92" i="1"/>
  <c r="CF92" i="1"/>
  <c r="CG91" i="1"/>
  <c r="CF91" i="1"/>
  <c r="CG90" i="1"/>
  <c r="CF90" i="1"/>
  <c r="CG89" i="1"/>
  <c r="CF89" i="1"/>
  <c r="CG88" i="1"/>
  <c r="CF88" i="1"/>
  <c r="CG87" i="1"/>
  <c r="CF87" i="1"/>
  <c r="CG86" i="1"/>
  <c r="CF86" i="1"/>
  <c r="CG84" i="1"/>
  <c r="CF84" i="1"/>
  <c r="CG83" i="1"/>
  <c r="CG82" i="1"/>
  <c r="CF83" i="1"/>
  <c r="CF82" i="1"/>
  <c r="CG80" i="1"/>
  <c r="CG77" i="1"/>
  <c r="CF80" i="1"/>
  <c r="CG79" i="1"/>
  <c r="CF79" i="1"/>
  <c r="CF77" i="1"/>
  <c r="CG78" i="1"/>
  <c r="CF78" i="1"/>
  <c r="CG75" i="1"/>
  <c r="CF75" i="1"/>
  <c r="CG74" i="1"/>
  <c r="CF74" i="1"/>
  <c r="CG73" i="1"/>
  <c r="CF73" i="1"/>
  <c r="CF72" i="1"/>
  <c r="CG70" i="1"/>
  <c r="CF70" i="1"/>
  <c r="CG69" i="1"/>
  <c r="CF69" i="1"/>
  <c r="CG68" i="1"/>
  <c r="CG67" i="1"/>
  <c r="CF68" i="1"/>
  <c r="CF67" i="1"/>
  <c r="CG65" i="1"/>
  <c r="CF65" i="1"/>
  <c r="CG64" i="1"/>
  <c r="CF64" i="1"/>
  <c r="CF63" i="1"/>
  <c r="CG63" i="1"/>
  <c r="CG61" i="1"/>
  <c r="CF61" i="1"/>
  <c r="CG59" i="1"/>
  <c r="CG58" i="1"/>
  <c r="CG52" i="1"/>
  <c r="CF59" i="1"/>
  <c r="CF58" i="1"/>
  <c r="CG57" i="1"/>
  <c r="CF57" i="1"/>
  <c r="CG56" i="1"/>
  <c r="CF56" i="1"/>
  <c r="CG55" i="1"/>
  <c r="CF55" i="1"/>
  <c r="CG54" i="1"/>
  <c r="CF54" i="1"/>
  <c r="CG53" i="1"/>
  <c r="CF53" i="1"/>
  <c r="CF52" i="1"/>
  <c r="CG50" i="1"/>
  <c r="CF50" i="1"/>
  <c r="CG49" i="1"/>
  <c r="CF49" i="1"/>
  <c r="CG48" i="1"/>
  <c r="CF48" i="1"/>
  <c r="CG47" i="1"/>
  <c r="CF47" i="1"/>
  <c r="CG46" i="1"/>
  <c r="CF46" i="1"/>
  <c r="CG42" i="1"/>
  <c r="CF42" i="1"/>
  <c r="CG41" i="1"/>
  <c r="CF41" i="1"/>
  <c r="CG38" i="1"/>
  <c r="CF38" i="1"/>
  <c r="CG36" i="1"/>
  <c r="CF36" i="1"/>
  <c r="CG34" i="1"/>
  <c r="CF34" i="1"/>
  <c r="CG33" i="1"/>
  <c r="CF33" i="1"/>
  <c r="CG32" i="1"/>
  <c r="CF32" i="1"/>
  <c r="CG31" i="1"/>
  <c r="CF31" i="1"/>
  <c r="CG30" i="1"/>
  <c r="CF30" i="1"/>
  <c r="CG28" i="1"/>
  <c r="CF28" i="1"/>
  <c r="CG26" i="1"/>
  <c r="CF26" i="1"/>
  <c r="CG24" i="1"/>
  <c r="CF24" i="1"/>
  <c r="CG23" i="1"/>
  <c r="CF23" i="1"/>
  <c r="CG22" i="1"/>
  <c r="CF22" i="1"/>
  <c r="CG21" i="1"/>
  <c r="CF21" i="1"/>
  <c r="CG19" i="1"/>
  <c r="CF19" i="1"/>
  <c r="CG18" i="1"/>
  <c r="CF18" i="1"/>
  <c r="CG17" i="1"/>
  <c r="CG16" i="1"/>
  <c r="CF17" i="1"/>
  <c r="CF16" i="1"/>
  <c r="CI863" i="1"/>
  <c r="CH863" i="1"/>
  <c r="CI860" i="1"/>
  <c r="CH860" i="1"/>
  <c r="CI856" i="1"/>
  <c r="CH856" i="1"/>
  <c r="CI845" i="1"/>
  <c r="CH845" i="1"/>
  <c r="CI842" i="1"/>
  <c r="CH842" i="1"/>
  <c r="CI827" i="1"/>
  <c r="CH827" i="1"/>
  <c r="CI790" i="1"/>
  <c r="CH790" i="1"/>
  <c r="CI783" i="1"/>
  <c r="CH783" i="1"/>
  <c r="CI768" i="1"/>
  <c r="CH768" i="1"/>
  <c r="CI742" i="1"/>
  <c r="CH742" i="1"/>
  <c r="CI738" i="1"/>
  <c r="CH738" i="1"/>
  <c r="CI728" i="1"/>
  <c r="CH728" i="1"/>
  <c r="CI725" i="1"/>
  <c r="CH725" i="1"/>
  <c r="CH723" i="1"/>
  <c r="CH721" i="1"/>
  <c r="CI718" i="1"/>
  <c r="CH718" i="1"/>
  <c r="CI711" i="1"/>
  <c r="CI691" i="1"/>
  <c r="CH711" i="1"/>
  <c r="CH691" i="1"/>
  <c r="CI705" i="1"/>
  <c r="CH705" i="1"/>
  <c r="CI702" i="1"/>
  <c r="CH702" i="1"/>
  <c r="CI699" i="1"/>
  <c r="CH699" i="1"/>
  <c r="CI696" i="1"/>
  <c r="CH696" i="1"/>
  <c r="CI693" i="1"/>
  <c r="CH693" i="1"/>
  <c r="CI685" i="1"/>
  <c r="CH685" i="1"/>
  <c r="CI681" i="1"/>
  <c r="CH681" i="1"/>
  <c r="CI669" i="1"/>
  <c r="CI664" i="1"/>
  <c r="CH669" i="1"/>
  <c r="CH664" i="1"/>
  <c r="CH662" i="1"/>
  <c r="CI666" i="1"/>
  <c r="CH666" i="1"/>
  <c r="CI655" i="1"/>
  <c r="CH655" i="1"/>
  <c r="CI645" i="1"/>
  <c r="CH645" i="1"/>
  <c r="CI637" i="1"/>
  <c r="CH637" i="1"/>
  <c r="CI634" i="1"/>
  <c r="CH634" i="1"/>
  <c r="CI632" i="1"/>
  <c r="CI630" i="1"/>
  <c r="CI628" i="1"/>
  <c r="CH632" i="1"/>
  <c r="CH630" i="1"/>
  <c r="CH628" i="1"/>
  <c r="CI625" i="1"/>
  <c r="CH625" i="1"/>
  <c r="CI621" i="1"/>
  <c r="CH621" i="1"/>
  <c r="CI616" i="1"/>
  <c r="CH616" i="1"/>
  <c r="CI613" i="1"/>
  <c r="CH613" i="1"/>
  <c r="CI611" i="1"/>
  <c r="CH611" i="1"/>
  <c r="CI606" i="1"/>
  <c r="CH606" i="1"/>
  <c r="CI600" i="1"/>
  <c r="CH600" i="1"/>
  <c r="CI592" i="1"/>
  <c r="CH592" i="1"/>
  <c r="CI585" i="1"/>
  <c r="CH585" i="1"/>
  <c r="CI581" i="1"/>
  <c r="CI579" i="1"/>
  <c r="CH581" i="1"/>
  <c r="CH579" i="1"/>
  <c r="CH577" i="1"/>
  <c r="CI571" i="1"/>
  <c r="CI569" i="1"/>
  <c r="CI567" i="1"/>
  <c r="CH571" i="1"/>
  <c r="CH569" i="1"/>
  <c r="CH567" i="1"/>
  <c r="CI563" i="1"/>
  <c r="CH563" i="1"/>
  <c r="CI558" i="1"/>
  <c r="CH558" i="1"/>
  <c r="CI555" i="1"/>
  <c r="CH555" i="1"/>
  <c r="CI549" i="1"/>
  <c r="CH549" i="1"/>
  <c r="CI543" i="1"/>
  <c r="CH543" i="1"/>
  <c r="CI541" i="1"/>
  <c r="CH541" i="1"/>
  <c r="CI535" i="1"/>
  <c r="CH535" i="1"/>
  <c r="CI532" i="1"/>
  <c r="CH532" i="1"/>
  <c r="CI526" i="1"/>
  <c r="CH526" i="1"/>
  <c r="CI507" i="1"/>
  <c r="CH507" i="1"/>
  <c r="CI505" i="1"/>
  <c r="CH505" i="1"/>
  <c r="CI500" i="1"/>
  <c r="CH500" i="1"/>
  <c r="CI488" i="1"/>
  <c r="CH488" i="1"/>
  <c r="CI482" i="1"/>
  <c r="CH482" i="1"/>
  <c r="CI472" i="1"/>
  <c r="CH472" i="1"/>
  <c r="CI464" i="1"/>
  <c r="CH464" i="1"/>
  <c r="CI458" i="1"/>
  <c r="CH458" i="1"/>
  <c r="CI451" i="1"/>
  <c r="CH451" i="1"/>
  <c r="CI444" i="1"/>
  <c r="CH444" i="1"/>
  <c r="CI439" i="1"/>
  <c r="CI437" i="1"/>
  <c r="CH439" i="1"/>
  <c r="CH437" i="1"/>
  <c r="CI427" i="1"/>
  <c r="CH427" i="1"/>
  <c r="CI419" i="1"/>
  <c r="CH419" i="1"/>
  <c r="CI416" i="1"/>
  <c r="CH416" i="1"/>
  <c r="CI411" i="1"/>
  <c r="CH411" i="1"/>
  <c r="CI406" i="1"/>
  <c r="CH406" i="1"/>
  <c r="CI401" i="1"/>
  <c r="CH401" i="1"/>
  <c r="CI397" i="1"/>
  <c r="CH397" i="1"/>
  <c r="CI386" i="1"/>
  <c r="CH386" i="1"/>
  <c r="CI380" i="1"/>
  <c r="CH380" i="1"/>
  <c r="CI378" i="1"/>
  <c r="CI375" i="1"/>
  <c r="CH375" i="1"/>
  <c r="CI368" i="1"/>
  <c r="CI366" i="1"/>
  <c r="CH368" i="1"/>
  <c r="CH366" i="1"/>
  <c r="CI361" i="1"/>
  <c r="CH361" i="1"/>
  <c r="CI358" i="1"/>
  <c r="CH358" i="1"/>
  <c r="CI354" i="1"/>
  <c r="CH354" i="1"/>
  <c r="CI349" i="1"/>
  <c r="CI347" i="1"/>
  <c r="CH349" i="1"/>
  <c r="CH347" i="1"/>
  <c r="CI329" i="1"/>
  <c r="CH329" i="1"/>
  <c r="CI326" i="1"/>
  <c r="CH326" i="1"/>
  <c r="CI322" i="1"/>
  <c r="CH322" i="1"/>
  <c r="CI319" i="1"/>
  <c r="CH319" i="1"/>
  <c r="CI316" i="1"/>
  <c r="CH316" i="1"/>
  <c r="CI313" i="1"/>
  <c r="CH313" i="1"/>
  <c r="CI310" i="1"/>
  <c r="CH310" i="1"/>
  <c r="CH308" i="1"/>
  <c r="CI305" i="1"/>
  <c r="CH305" i="1"/>
  <c r="CI302" i="1"/>
  <c r="CH302" i="1"/>
  <c r="CI298" i="1"/>
  <c r="CH298" i="1"/>
  <c r="CI293" i="1"/>
  <c r="CH293" i="1"/>
  <c r="CI288" i="1"/>
  <c r="CH288" i="1"/>
  <c r="CI279" i="1"/>
  <c r="CH279" i="1"/>
  <c r="CI275" i="1"/>
  <c r="CH275" i="1"/>
  <c r="CH273" i="1"/>
  <c r="CI267" i="1"/>
  <c r="CH267" i="1"/>
  <c r="CI259" i="1"/>
  <c r="CH259" i="1"/>
  <c r="CI251" i="1"/>
  <c r="CH251" i="1"/>
  <c r="CI246" i="1"/>
  <c r="CH246" i="1"/>
  <c r="CI244" i="1"/>
  <c r="CH244" i="1"/>
  <c r="CI238" i="1"/>
  <c r="CH238" i="1"/>
  <c r="CI237" i="1"/>
  <c r="CI236" i="1"/>
  <c r="CH237" i="1"/>
  <c r="CH236" i="1"/>
  <c r="CI234" i="1"/>
  <c r="CH234" i="1"/>
  <c r="CI233" i="1"/>
  <c r="CH233" i="1"/>
  <c r="CI231" i="1"/>
  <c r="CI230" i="1"/>
  <c r="CH231" i="1"/>
  <c r="CH230" i="1"/>
  <c r="CI228" i="1"/>
  <c r="CI227" i="1"/>
  <c r="CH228" i="1"/>
  <c r="CH227" i="1"/>
  <c r="CI225" i="1"/>
  <c r="CI224" i="1"/>
  <c r="CH225" i="1"/>
  <c r="CH224" i="1"/>
  <c r="CI222" i="1"/>
  <c r="CH222" i="1"/>
  <c r="CI221" i="1"/>
  <c r="CH221" i="1"/>
  <c r="CI220" i="1"/>
  <c r="CH220" i="1"/>
  <c r="CI219" i="1"/>
  <c r="CH219" i="1"/>
  <c r="CI218" i="1"/>
  <c r="CH218" i="1"/>
  <c r="CI216" i="1"/>
  <c r="CH216" i="1"/>
  <c r="CI215" i="1"/>
  <c r="CH215" i="1"/>
  <c r="CI214" i="1"/>
  <c r="CH214" i="1"/>
  <c r="CI213" i="1"/>
  <c r="CI212" i="1"/>
  <c r="CH213" i="1"/>
  <c r="CH212" i="1"/>
  <c r="CI205" i="1"/>
  <c r="CH205" i="1"/>
  <c r="CI204" i="1"/>
  <c r="CH204" i="1"/>
  <c r="CI202" i="1"/>
  <c r="CH202" i="1"/>
  <c r="CI201" i="1"/>
  <c r="CI199" i="1"/>
  <c r="CH201" i="1"/>
  <c r="CH199" i="1"/>
  <c r="CI197" i="1"/>
  <c r="CH197" i="1"/>
  <c r="CI196" i="1"/>
  <c r="CH196" i="1"/>
  <c r="CI195" i="1"/>
  <c r="CH195" i="1"/>
  <c r="CI193" i="1"/>
  <c r="CH193" i="1"/>
  <c r="CI191" i="1"/>
  <c r="CH191" i="1"/>
  <c r="CI189" i="1"/>
  <c r="CH189" i="1"/>
  <c r="CI187" i="1"/>
  <c r="CH187" i="1"/>
  <c r="CI185" i="1"/>
  <c r="CH185" i="1"/>
  <c r="CI184" i="1"/>
  <c r="CH184" i="1"/>
  <c r="CI182" i="1"/>
  <c r="CH182" i="1"/>
  <c r="CI180" i="1"/>
  <c r="CI179" i="1"/>
  <c r="CH180" i="1"/>
  <c r="CH179" i="1"/>
  <c r="CI177" i="1"/>
  <c r="CH177" i="1"/>
  <c r="CI176" i="1"/>
  <c r="CH176" i="1"/>
  <c r="CI175" i="1"/>
  <c r="CI174" i="1"/>
  <c r="CI172" i="1"/>
  <c r="CH175" i="1"/>
  <c r="CH174" i="1"/>
  <c r="CI170" i="1"/>
  <c r="CH170" i="1"/>
  <c r="CI169" i="1"/>
  <c r="CH169" i="1"/>
  <c r="CI168" i="1"/>
  <c r="CH168" i="1"/>
  <c r="CH167" i="1"/>
  <c r="CI167" i="1"/>
  <c r="CI165" i="1"/>
  <c r="CH165" i="1"/>
  <c r="CI163" i="1"/>
  <c r="CH163" i="1"/>
  <c r="CI162" i="1"/>
  <c r="CH162" i="1"/>
  <c r="CI161" i="1"/>
  <c r="CH161" i="1"/>
  <c r="CI160" i="1"/>
  <c r="CI155" i="1"/>
  <c r="CH160" i="1"/>
  <c r="CI159" i="1"/>
  <c r="CH159" i="1"/>
  <c r="CI158" i="1"/>
  <c r="CH158" i="1"/>
  <c r="CI157" i="1"/>
  <c r="CH157" i="1"/>
  <c r="CI156" i="1"/>
  <c r="CH156" i="1"/>
  <c r="CH155" i="1"/>
  <c r="CI153" i="1"/>
  <c r="CI149" i="1"/>
  <c r="CH153" i="1"/>
  <c r="CH149" i="1"/>
  <c r="CI152" i="1"/>
  <c r="CH152" i="1"/>
  <c r="CI151" i="1"/>
  <c r="CH151" i="1"/>
  <c r="CI150" i="1"/>
  <c r="CH150" i="1"/>
  <c r="CI147" i="1"/>
  <c r="CH147" i="1"/>
  <c r="CI146" i="1"/>
  <c r="CH146" i="1"/>
  <c r="CI145" i="1"/>
  <c r="CH145" i="1"/>
  <c r="CI144" i="1"/>
  <c r="CH144" i="1"/>
  <c r="CI143" i="1"/>
  <c r="CH143" i="1"/>
  <c r="CI142" i="1"/>
  <c r="CH142" i="1"/>
  <c r="CI141" i="1"/>
  <c r="CH141" i="1"/>
  <c r="CI140" i="1"/>
  <c r="CH140" i="1"/>
  <c r="CI139" i="1"/>
  <c r="CH139" i="1"/>
  <c r="CI137" i="1"/>
  <c r="CH137" i="1"/>
  <c r="CI134" i="1"/>
  <c r="CH134" i="1"/>
  <c r="CI133" i="1"/>
  <c r="CH133" i="1"/>
  <c r="CI132" i="1"/>
  <c r="CI131" i="1"/>
  <c r="CH132" i="1"/>
  <c r="CH131" i="1"/>
  <c r="CI129" i="1"/>
  <c r="CH129" i="1"/>
  <c r="CI128" i="1"/>
  <c r="CH128" i="1"/>
  <c r="CI127" i="1"/>
  <c r="CH127" i="1"/>
  <c r="CI126" i="1"/>
  <c r="CH126" i="1"/>
  <c r="CI125" i="1"/>
  <c r="CH125" i="1"/>
  <c r="CI123" i="1"/>
  <c r="CH123" i="1"/>
  <c r="CI122" i="1"/>
  <c r="CH122" i="1"/>
  <c r="CI121" i="1"/>
  <c r="CH121" i="1"/>
  <c r="CI120" i="1"/>
  <c r="CH120" i="1"/>
  <c r="CI119" i="1"/>
  <c r="CH119" i="1"/>
  <c r="CI118" i="1"/>
  <c r="CH118" i="1"/>
  <c r="CI116" i="1"/>
  <c r="CH116" i="1"/>
  <c r="CI115" i="1"/>
  <c r="CH115" i="1"/>
  <c r="CI114" i="1"/>
  <c r="CH114" i="1"/>
  <c r="CI113" i="1"/>
  <c r="CH113" i="1"/>
  <c r="CI112" i="1"/>
  <c r="CH112" i="1"/>
  <c r="CH111" i="1"/>
  <c r="CI111" i="1"/>
  <c r="CI109" i="1"/>
  <c r="CH109" i="1"/>
  <c r="CI108" i="1"/>
  <c r="CH108" i="1"/>
  <c r="CI107" i="1"/>
  <c r="CI106" i="1"/>
  <c r="CH107" i="1"/>
  <c r="CH106" i="1"/>
  <c r="CI102" i="1"/>
  <c r="CH102" i="1"/>
  <c r="CI101" i="1"/>
  <c r="CI95" i="1"/>
  <c r="CI96" i="1"/>
  <c r="CI97" i="1"/>
  <c r="CI98" i="1"/>
  <c r="CI99" i="1"/>
  <c r="CI100" i="1"/>
  <c r="CI94" i="1"/>
  <c r="CH101" i="1"/>
  <c r="CH100" i="1"/>
  <c r="CH99" i="1"/>
  <c r="CH98" i="1"/>
  <c r="CH97" i="1"/>
  <c r="CH96" i="1"/>
  <c r="CH95" i="1"/>
  <c r="CH94" i="1"/>
  <c r="CI92" i="1"/>
  <c r="CH92" i="1"/>
  <c r="CI91" i="1"/>
  <c r="CH91" i="1"/>
  <c r="CI90" i="1"/>
  <c r="CH90" i="1"/>
  <c r="CI89" i="1"/>
  <c r="CH89" i="1"/>
  <c r="CI88" i="1"/>
  <c r="CH88" i="1"/>
  <c r="CI87" i="1"/>
  <c r="CI86" i="1"/>
  <c r="CH87" i="1"/>
  <c r="CH86" i="1"/>
  <c r="CI84" i="1"/>
  <c r="CH84" i="1"/>
  <c r="CI83" i="1"/>
  <c r="CH83" i="1"/>
  <c r="CI82" i="1"/>
  <c r="CH82" i="1"/>
  <c r="CI80" i="1"/>
  <c r="CH80" i="1"/>
  <c r="CI79" i="1"/>
  <c r="CH79" i="1"/>
  <c r="CI78" i="1"/>
  <c r="CH78" i="1"/>
  <c r="CI77" i="1"/>
  <c r="CH77" i="1"/>
  <c r="CI75" i="1"/>
  <c r="CH75" i="1"/>
  <c r="CI74" i="1"/>
  <c r="CH74" i="1"/>
  <c r="CI73" i="1"/>
  <c r="CH73" i="1"/>
  <c r="CI72" i="1"/>
  <c r="CI70" i="1"/>
  <c r="CH70" i="1"/>
  <c r="CI69" i="1"/>
  <c r="CH69" i="1"/>
  <c r="CI68" i="1"/>
  <c r="CH68" i="1"/>
  <c r="CI67" i="1"/>
  <c r="CI65" i="1"/>
  <c r="CH65" i="1"/>
  <c r="CI64" i="1"/>
  <c r="CI63" i="1"/>
  <c r="CH64" i="1"/>
  <c r="CH63" i="1"/>
  <c r="CI61" i="1"/>
  <c r="CH61" i="1"/>
  <c r="CI59" i="1"/>
  <c r="CH59" i="1"/>
  <c r="CI58" i="1"/>
  <c r="CH58" i="1"/>
  <c r="CI57" i="1"/>
  <c r="CH57" i="1"/>
  <c r="CI56" i="1"/>
  <c r="CH56" i="1"/>
  <c r="CI55" i="1"/>
  <c r="CI52" i="1"/>
  <c r="CH55" i="1"/>
  <c r="CH52" i="1"/>
  <c r="CI54" i="1"/>
  <c r="CH54" i="1"/>
  <c r="CI53" i="1"/>
  <c r="CH53" i="1"/>
  <c r="CI50" i="1"/>
  <c r="CH50" i="1"/>
  <c r="CI49" i="1"/>
  <c r="CH49" i="1"/>
  <c r="CI48" i="1"/>
  <c r="CH48" i="1"/>
  <c r="CI47" i="1"/>
  <c r="CI46" i="1"/>
  <c r="CH47" i="1"/>
  <c r="CH46" i="1"/>
  <c r="CI42" i="1"/>
  <c r="CH42" i="1"/>
  <c r="CI41" i="1"/>
  <c r="CH41" i="1"/>
  <c r="CH38" i="1"/>
  <c r="CI36" i="1"/>
  <c r="CH36" i="1"/>
  <c r="CI34" i="1"/>
  <c r="CH34" i="1"/>
  <c r="CI33" i="1"/>
  <c r="CH33" i="1"/>
  <c r="CI32" i="1"/>
  <c r="CH32" i="1"/>
  <c r="CI31" i="1"/>
  <c r="CI30" i="1"/>
  <c r="CH31" i="1"/>
  <c r="CH30" i="1"/>
  <c r="CI28" i="1"/>
  <c r="CH28" i="1"/>
  <c r="CI26" i="1"/>
  <c r="CH26" i="1"/>
  <c r="CI24" i="1"/>
  <c r="CH24" i="1"/>
  <c r="CI23" i="1"/>
  <c r="CH23" i="1"/>
  <c r="CI22" i="1"/>
  <c r="CI21" i="1"/>
  <c r="CH22" i="1"/>
  <c r="CH21" i="1"/>
  <c r="CI19" i="1"/>
  <c r="CH19" i="1"/>
  <c r="CI18" i="1"/>
  <c r="CH18" i="1"/>
  <c r="CI17" i="1"/>
  <c r="CI16" i="1"/>
  <c r="CH17" i="1"/>
  <c r="CH16" i="1"/>
  <c r="CK863" i="1"/>
  <c r="CJ863" i="1"/>
  <c r="CK860" i="1"/>
  <c r="CJ860" i="1"/>
  <c r="CK856" i="1"/>
  <c r="CJ856" i="1"/>
  <c r="CK845" i="1"/>
  <c r="CJ845" i="1"/>
  <c r="CK842" i="1"/>
  <c r="CJ842" i="1"/>
  <c r="CK827" i="1"/>
  <c r="CJ827" i="1"/>
  <c r="CK790" i="1"/>
  <c r="CJ790" i="1"/>
  <c r="CK783" i="1"/>
  <c r="CJ783" i="1"/>
  <c r="CK768" i="1"/>
  <c r="CJ768" i="1"/>
  <c r="CK742" i="1"/>
  <c r="CJ742" i="1"/>
  <c r="CK738" i="1"/>
  <c r="CJ738" i="1"/>
  <c r="CJ723" i="1"/>
  <c r="CJ721" i="1"/>
  <c r="CK728" i="1"/>
  <c r="CJ728" i="1"/>
  <c r="CK725" i="1"/>
  <c r="CJ725" i="1"/>
  <c r="CK718" i="1"/>
  <c r="CJ718" i="1"/>
  <c r="CK711" i="1"/>
  <c r="CK691" i="1"/>
  <c r="CJ711" i="1"/>
  <c r="CJ691" i="1"/>
  <c r="CK705" i="1"/>
  <c r="CJ705" i="1"/>
  <c r="CK702" i="1"/>
  <c r="CJ702" i="1"/>
  <c r="CK699" i="1"/>
  <c r="CJ699" i="1"/>
  <c r="CK696" i="1"/>
  <c r="CJ696" i="1"/>
  <c r="CK693" i="1"/>
  <c r="CJ693" i="1"/>
  <c r="CK685" i="1"/>
  <c r="CJ685" i="1"/>
  <c r="CK681" i="1"/>
  <c r="CJ681" i="1"/>
  <c r="CK669" i="1"/>
  <c r="CK664" i="1"/>
  <c r="CJ669" i="1"/>
  <c r="CJ664" i="1"/>
  <c r="CK666" i="1"/>
  <c r="CJ666" i="1"/>
  <c r="CK655" i="1"/>
  <c r="CJ655" i="1"/>
  <c r="CK645" i="1"/>
  <c r="CJ645" i="1"/>
  <c r="CK637" i="1"/>
  <c r="CJ637" i="1"/>
  <c r="CK634" i="1"/>
  <c r="CK632" i="1"/>
  <c r="CK630" i="1"/>
  <c r="CK628" i="1"/>
  <c r="CJ634" i="1"/>
  <c r="CJ632" i="1"/>
  <c r="CJ630" i="1"/>
  <c r="CJ628" i="1"/>
  <c r="CK625" i="1"/>
  <c r="CJ625" i="1"/>
  <c r="CK621" i="1"/>
  <c r="CK619" i="1"/>
  <c r="CJ621" i="1"/>
  <c r="CK616" i="1"/>
  <c r="CJ616" i="1"/>
  <c r="CK613" i="1"/>
  <c r="CJ613" i="1"/>
  <c r="CK611" i="1"/>
  <c r="CJ611" i="1"/>
  <c r="CK606" i="1"/>
  <c r="CJ606" i="1"/>
  <c r="CK600" i="1"/>
  <c r="CJ600" i="1"/>
  <c r="CK592" i="1"/>
  <c r="CJ592" i="1"/>
  <c r="CK585" i="1"/>
  <c r="CJ585" i="1"/>
  <c r="CK581" i="1"/>
  <c r="CK579" i="1"/>
  <c r="CK577" i="1"/>
  <c r="CJ581" i="1"/>
  <c r="CK571" i="1"/>
  <c r="CK569" i="1"/>
  <c r="CK567" i="1"/>
  <c r="CJ571" i="1"/>
  <c r="CJ569" i="1"/>
  <c r="CJ567" i="1"/>
  <c r="CK563" i="1"/>
  <c r="CJ563" i="1"/>
  <c r="CK558" i="1"/>
  <c r="CJ558" i="1"/>
  <c r="CK555" i="1"/>
  <c r="CJ555" i="1"/>
  <c r="CK549" i="1"/>
  <c r="CJ549" i="1"/>
  <c r="CK543" i="1"/>
  <c r="CJ543" i="1"/>
  <c r="CK541" i="1"/>
  <c r="CJ541" i="1"/>
  <c r="CK535" i="1"/>
  <c r="CK530" i="1"/>
  <c r="CJ535" i="1"/>
  <c r="CK532" i="1"/>
  <c r="CJ532" i="1"/>
  <c r="CK526" i="1"/>
  <c r="CJ526" i="1"/>
  <c r="CK507" i="1"/>
  <c r="CJ507" i="1"/>
  <c r="CK505" i="1"/>
  <c r="CJ505" i="1"/>
  <c r="CK500" i="1"/>
  <c r="CJ500" i="1"/>
  <c r="CK488" i="1"/>
  <c r="CJ488" i="1"/>
  <c r="CK482" i="1"/>
  <c r="CJ482" i="1"/>
  <c r="CK472" i="1"/>
  <c r="CJ472" i="1"/>
  <c r="CK464" i="1"/>
  <c r="CJ464" i="1"/>
  <c r="CK458" i="1"/>
  <c r="CJ458" i="1"/>
  <c r="CK451" i="1"/>
  <c r="CJ451" i="1"/>
  <c r="CK444" i="1"/>
  <c r="CJ444" i="1"/>
  <c r="CK439" i="1"/>
  <c r="CJ439" i="1"/>
  <c r="CK437" i="1"/>
  <c r="CJ437" i="1"/>
  <c r="CK427" i="1"/>
  <c r="CJ427" i="1"/>
  <c r="CK419" i="1"/>
  <c r="CJ419" i="1"/>
  <c r="CK416" i="1"/>
  <c r="CJ416" i="1"/>
  <c r="CK411" i="1"/>
  <c r="CJ411" i="1"/>
  <c r="CK406" i="1"/>
  <c r="CJ406" i="1"/>
  <c r="CK401" i="1"/>
  <c r="CJ401" i="1"/>
  <c r="CK397" i="1"/>
  <c r="CJ397" i="1"/>
  <c r="CJ386" i="1"/>
  <c r="CJ378" i="1"/>
  <c r="CK386" i="1"/>
  <c r="CK380" i="1"/>
  <c r="CJ380" i="1"/>
  <c r="CK378" i="1"/>
  <c r="CK375" i="1"/>
  <c r="CJ375" i="1"/>
  <c r="CK368" i="1"/>
  <c r="CK366" i="1"/>
  <c r="CJ368" i="1"/>
  <c r="CJ366" i="1"/>
  <c r="CK361" i="1"/>
  <c r="CJ361" i="1"/>
  <c r="CK358" i="1"/>
  <c r="CJ358" i="1"/>
  <c r="CK354" i="1"/>
  <c r="CJ354" i="1"/>
  <c r="CK349" i="1"/>
  <c r="CK347" i="1"/>
  <c r="CJ349" i="1"/>
  <c r="CJ347" i="1"/>
  <c r="CK329" i="1"/>
  <c r="CJ329" i="1"/>
  <c r="CK326" i="1"/>
  <c r="CJ326" i="1"/>
  <c r="CK322" i="1"/>
  <c r="CJ322" i="1"/>
  <c r="CK319" i="1"/>
  <c r="CJ319" i="1"/>
  <c r="CK316" i="1"/>
  <c r="CJ316" i="1"/>
  <c r="CK313" i="1"/>
  <c r="CJ313" i="1"/>
  <c r="CK310" i="1"/>
  <c r="CK308" i="1"/>
  <c r="CJ310" i="1"/>
  <c r="CJ308" i="1"/>
  <c r="CK305" i="1"/>
  <c r="CJ305" i="1"/>
  <c r="CK302" i="1"/>
  <c r="CJ302" i="1"/>
  <c r="CK298" i="1"/>
  <c r="CJ298" i="1"/>
  <c r="CK293" i="1"/>
  <c r="CJ293" i="1"/>
  <c r="CK288" i="1"/>
  <c r="CJ288" i="1"/>
  <c r="CK279" i="1"/>
  <c r="CJ279" i="1"/>
  <c r="CK275" i="1"/>
  <c r="CJ275" i="1"/>
  <c r="CK267" i="1"/>
  <c r="CJ267" i="1"/>
  <c r="CK259" i="1"/>
  <c r="CJ259" i="1"/>
  <c r="CK251" i="1"/>
  <c r="CJ251" i="1"/>
  <c r="CK246" i="1"/>
  <c r="CK244" i="1"/>
  <c r="CJ246" i="1"/>
  <c r="CJ244" i="1"/>
  <c r="CK238" i="1"/>
  <c r="CJ238" i="1"/>
  <c r="CK237" i="1"/>
  <c r="CK236" i="1"/>
  <c r="CJ237" i="1"/>
  <c r="CJ236" i="1"/>
  <c r="CK234" i="1"/>
  <c r="CJ234" i="1"/>
  <c r="CK233" i="1"/>
  <c r="CJ233" i="1"/>
  <c r="CK231" i="1"/>
  <c r="CK230" i="1"/>
  <c r="CJ231" i="1"/>
  <c r="CJ230" i="1"/>
  <c r="CK228" i="1"/>
  <c r="CK227" i="1"/>
  <c r="CJ228" i="1"/>
  <c r="CJ227" i="1"/>
  <c r="CK225" i="1"/>
  <c r="CK224" i="1"/>
  <c r="CJ225" i="1"/>
  <c r="CJ224" i="1"/>
  <c r="CK222" i="1"/>
  <c r="CJ222" i="1"/>
  <c r="CK221" i="1"/>
  <c r="CK220" i="1"/>
  <c r="CK218" i="1"/>
  <c r="CK215" i="1"/>
  <c r="CK212" i="1"/>
  <c r="CK210" i="1"/>
  <c r="CJ221" i="1"/>
  <c r="CJ220" i="1"/>
  <c r="CK219" i="1"/>
  <c r="CJ219" i="1"/>
  <c r="CJ218" i="1"/>
  <c r="CK216" i="1"/>
  <c r="CJ216" i="1"/>
  <c r="CJ215" i="1"/>
  <c r="CK214" i="1"/>
  <c r="CJ214" i="1"/>
  <c r="CK213" i="1"/>
  <c r="CJ213" i="1"/>
  <c r="CJ212" i="1"/>
  <c r="CK205" i="1"/>
  <c r="CJ205" i="1"/>
  <c r="CK204" i="1"/>
  <c r="CJ204" i="1"/>
  <c r="CK202" i="1"/>
  <c r="CK201" i="1"/>
  <c r="CK199" i="1"/>
  <c r="CJ202" i="1"/>
  <c r="CJ201" i="1"/>
  <c r="CJ199" i="1"/>
  <c r="CK197" i="1"/>
  <c r="CJ197" i="1"/>
  <c r="CK196" i="1"/>
  <c r="CJ196" i="1"/>
  <c r="CK195" i="1"/>
  <c r="CJ195" i="1"/>
  <c r="CK193" i="1"/>
  <c r="CJ193" i="1"/>
  <c r="CK191" i="1"/>
  <c r="CJ191" i="1"/>
  <c r="CK189" i="1"/>
  <c r="CJ189" i="1"/>
  <c r="CK187" i="1"/>
  <c r="CJ187" i="1"/>
  <c r="CK185" i="1"/>
  <c r="CJ185" i="1"/>
  <c r="CK184" i="1"/>
  <c r="CJ184" i="1"/>
  <c r="CK182" i="1"/>
  <c r="CJ182" i="1"/>
  <c r="CK180" i="1"/>
  <c r="CK179" i="1"/>
  <c r="CJ180" i="1"/>
  <c r="CJ179" i="1"/>
  <c r="CK177" i="1"/>
  <c r="CK174" i="1"/>
  <c r="CK172" i="1"/>
  <c r="CJ177" i="1"/>
  <c r="CK176" i="1"/>
  <c r="CJ176" i="1"/>
  <c r="CK175" i="1"/>
  <c r="CJ175" i="1"/>
  <c r="CJ174" i="1"/>
  <c r="CK170" i="1"/>
  <c r="CJ170" i="1"/>
  <c r="CK169" i="1"/>
  <c r="CJ169" i="1"/>
  <c r="CK168" i="1"/>
  <c r="CK167" i="1"/>
  <c r="CJ168" i="1"/>
  <c r="CJ167" i="1"/>
  <c r="CK165" i="1"/>
  <c r="CJ165" i="1"/>
  <c r="CK163" i="1"/>
  <c r="CJ163" i="1"/>
  <c r="CK162" i="1"/>
  <c r="CJ162" i="1"/>
  <c r="CK161" i="1"/>
  <c r="CJ161" i="1"/>
  <c r="CK160" i="1"/>
  <c r="CJ160" i="1"/>
  <c r="CK159" i="1"/>
  <c r="CJ159" i="1"/>
  <c r="CK158" i="1"/>
  <c r="CJ158" i="1"/>
  <c r="CK157" i="1"/>
  <c r="CJ157" i="1"/>
  <c r="CK156" i="1"/>
  <c r="CJ156" i="1"/>
  <c r="CK155" i="1"/>
  <c r="CJ155" i="1"/>
  <c r="CK153" i="1"/>
  <c r="CJ153" i="1"/>
  <c r="CJ149" i="1"/>
  <c r="CK152" i="1"/>
  <c r="CJ152" i="1"/>
  <c r="CK151" i="1"/>
  <c r="CJ151" i="1"/>
  <c r="CK150" i="1"/>
  <c r="CJ150" i="1"/>
  <c r="CK147" i="1"/>
  <c r="CJ147" i="1"/>
  <c r="CK146" i="1"/>
  <c r="CJ146" i="1"/>
  <c r="CK145" i="1"/>
  <c r="CJ145" i="1"/>
  <c r="CK144" i="1"/>
  <c r="CJ144" i="1"/>
  <c r="CK143" i="1"/>
  <c r="CJ143" i="1"/>
  <c r="CK142" i="1"/>
  <c r="CJ142" i="1"/>
  <c r="CK141" i="1"/>
  <c r="CJ141" i="1"/>
  <c r="CK140" i="1"/>
  <c r="CJ140" i="1"/>
  <c r="CK139" i="1"/>
  <c r="CJ139" i="1"/>
  <c r="CK137" i="1"/>
  <c r="CJ137" i="1"/>
  <c r="CK134" i="1"/>
  <c r="CJ134" i="1"/>
  <c r="CK133" i="1"/>
  <c r="CK131" i="1"/>
  <c r="CJ133" i="1"/>
  <c r="CK132" i="1"/>
  <c r="CJ132" i="1"/>
  <c r="CJ131" i="1"/>
  <c r="CK129" i="1"/>
  <c r="CJ129" i="1"/>
  <c r="CK128" i="1"/>
  <c r="CJ128" i="1"/>
  <c r="CK127" i="1"/>
  <c r="CJ127" i="1"/>
  <c r="CK126" i="1"/>
  <c r="CJ126" i="1"/>
  <c r="CK125" i="1"/>
  <c r="CJ125" i="1"/>
  <c r="CK123" i="1"/>
  <c r="CJ123" i="1"/>
  <c r="CK122" i="1"/>
  <c r="CJ122" i="1"/>
  <c r="CK121" i="1"/>
  <c r="CJ121" i="1"/>
  <c r="CK120" i="1"/>
  <c r="CJ120" i="1"/>
  <c r="CK119" i="1"/>
  <c r="CJ119" i="1"/>
  <c r="CK118" i="1"/>
  <c r="CJ118" i="1"/>
  <c r="CK116" i="1"/>
  <c r="CJ116" i="1"/>
  <c r="CK115" i="1"/>
  <c r="CJ115" i="1"/>
  <c r="CK114" i="1"/>
  <c r="CJ114" i="1"/>
  <c r="CK113" i="1"/>
  <c r="CJ113" i="1"/>
  <c r="CK112" i="1"/>
  <c r="CJ112" i="1"/>
  <c r="CK111" i="1"/>
  <c r="CJ111" i="1"/>
  <c r="CK109" i="1"/>
  <c r="CJ109" i="1"/>
  <c r="CK108" i="1"/>
  <c r="CJ108" i="1"/>
  <c r="CK107" i="1"/>
  <c r="CK106" i="1"/>
  <c r="CJ107" i="1"/>
  <c r="CJ106" i="1"/>
  <c r="CK102" i="1"/>
  <c r="CJ102" i="1"/>
  <c r="CK101" i="1"/>
  <c r="CJ101" i="1"/>
  <c r="CK100" i="1"/>
  <c r="CJ100" i="1"/>
  <c r="CK99" i="1"/>
  <c r="CJ99" i="1"/>
  <c r="CK98" i="1"/>
  <c r="CJ98" i="1"/>
  <c r="CK97" i="1"/>
  <c r="CJ97" i="1"/>
  <c r="CK96" i="1"/>
  <c r="CJ96" i="1"/>
  <c r="CK95" i="1"/>
  <c r="CJ95" i="1"/>
  <c r="CK94" i="1"/>
  <c r="CJ94" i="1"/>
  <c r="CK92" i="1"/>
  <c r="CJ92" i="1"/>
  <c r="CJ86" i="1"/>
  <c r="CK91" i="1"/>
  <c r="CJ91" i="1"/>
  <c r="CK90" i="1"/>
  <c r="CJ90" i="1"/>
  <c r="CK89" i="1"/>
  <c r="CJ89" i="1"/>
  <c r="CK88" i="1"/>
  <c r="CJ88" i="1"/>
  <c r="CK87" i="1"/>
  <c r="CJ87" i="1"/>
  <c r="CK84" i="1"/>
  <c r="CJ84" i="1"/>
  <c r="CK83" i="1"/>
  <c r="CJ83" i="1"/>
  <c r="CK82" i="1"/>
  <c r="CJ82" i="1"/>
  <c r="CK80" i="1"/>
  <c r="CJ80" i="1"/>
  <c r="CK79" i="1"/>
  <c r="CJ79" i="1"/>
  <c r="CK78" i="1"/>
  <c r="CJ78" i="1"/>
  <c r="CK77" i="1"/>
  <c r="CK75" i="1"/>
  <c r="CJ75" i="1"/>
  <c r="CK74" i="1"/>
  <c r="CJ74" i="1"/>
  <c r="CK73" i="1"/>
  <c r="CJ73" i="1"/>
  <c r="CK70" i="1"/>
  <c r="CJ70" i="1"/>
  <c r="CK69" i="1"/>
  <c r="CJ69" i="1"/>
  <c r="CK68" i="1"/>
  <c r="CK67" i="1"/>
  <c r="CJ68" i="1"/>
  <c r="CK65" i="1"/>
  <c r="CJ65" i="1"/>
  <c r="CK64" i="1"/>
  <c r="CK63" i="1"/>
  <c r="CJ64" i="1"/>
  <c r="CJ63" i="1"/>
  <c r="CK61" i="1"/>
  <c r="CJ61" i="1"/>
  <c r="CK59" i="1"/>
  <c r="CJ59" i="1"/>
  <c r="CK58" i="1"/>
  <c r="CJ58" i="1"/>
  <c r="CK57" i="1"/>
  <c r="CJ57" i="1"/>
  <c r="CK56" i="1"/>
  <c r="CJ56" i="1"/>
  <c r="CK55" i="1"/>
  <c r="CJ55" i="1"/>
  <c r="CK54" i="1"/>
  <c r="CJ54" i="1"/>
  <c r="CK53" i="1"/>
  <c r="CK52" i="1"/>
  <c r="CJ53" i="1"/>
  <c r="CJ52" i="1"/>
  <c r="CK50" i="1"/>
  <c r="CJ50" i="1"/>
  <c r="CK49" i="1"/>
  <c r="CJ49" i="1"/>
  <c r="CK48" i="1"/>
  <c r="CJ48" i="1"/>
  <c r="CK47" i="1"/>
  <c r="CK46" i="1"/>
  <c r="CJ47" i="1"/>
  <c r="CJ46" i="1"/>
  <c r="CK42" i="1"/>
  <c r="CJ42" i="1"/>
  <c r="CK41" i="1"/>
  <c r="CJ41" i="1"/>
  <c r="CK38" i="1"/>
  <c r="CJ38" i="1"/>
  <c r="CK36" i="1"/>
  <c r="CJ36" i="1"/>
  <c r="CK34" i="1"/>
  <c r="CJ34" i="1"/>
  <c r="CK33" i="1"/>
  <c r="CJ33" i="1"/>
  <c r="CK32" i="1"/>
  <c r="CJ32" i="1"/>
  <c r="CK31" i="1"/>
  <c r="CK30" i="1"/>
  <c r="CJ31" i="1"/>
  <c r="CJ30" i="1"/>
  <c r="CK28" i="1"/>
  <c r="CJ28" i="1"/>
  <c r="CK26" i="1"/>
  <c r="CJ26" i="1"/>
  <c r="CK24" i="1"/>
  <c r="CJ24" i="1"/>
  <c r="CK23" i="1"/>
  <c r="CJ23" i="1"/>
  <c r="CK22" i="1"/>
  <c r="CK21" i="1"/>
  <c r="CJ22" i="1"/>
  <c r="CJ21" i="1"/>
  <c r="CK19" i="1"/>
  <c r="CJ19" i="1"/>
  <c r="CK18" i="1"/>
  <c r="CJ18" i="1"/>
  <c r="CK17" i="1"/>
  <c r="CK16" i="1"/>
  <c r="CJ17" i="1"/>
  <c r="CJ16" i="1"/>
  <c r="CM863" i="1"/>
  <c r="CL863" i="1"/>
  <c r="CM860" i="1"/>
  <c r="CL860" i="1"/>
  <c r="CM856" i="1"/>
  <c r="CL856" i="1"/>
  <c r="CM845" i="1"/>
  <c r="CL845" i="1"/>
  <c r="CM842" i="1"/>
  <c r="CL842" i="1"/>
  <c r="CM827" i="1"/>
  <c r="CL827" i="1"/>
  <c r="CM790" i="1"/>
  <c r="CL790" i="1"/>
  <c r="CM783" i="1"/>
  <c r="CL783" i="1"/>
  <c r="CM768" i="1"/>
  <c r="CL768" i="1"/>
  <c r="CM742" i="1"/>
  <c r="CL742" i="1"/>
  <c r="CM738" i="1"/>
  <c r="CL738" i="1"/>
  <c r="CM728" i="1"/>
  <c r="CL728" i="1"/>
  <c r="CM725" i="1"/>
  <c r="CL725" i="1"/>
  <c r="CM723" i="1"/>
  <c r="CM721" i="1"/>
  <c r="CL723" i="1"/>
  <c r="CL721" i="1"/>
  <c r="CM718" i="1"/>
  <c r="CL718" i="1"/>
  <c r="CM711" i="1"/>
  <c r="CM691" i="1"/>
  <c r="CL711" i="1"/>
  <c r="CL691" i="1"/>
  <c r="CM705" i="1"/>
  <c r="CL705" i="1"/>
  <c r="CM702" i="1"/>
  <c r="CL702" i="1"/>
  <c r="CM699" i="1"/>
  <c r="CL699" i="1"/>
  <c r="CM696" i="1"/>
  <c r="CL696" i="1"/>
  <c r="CM693" i="1"/>
  <c r="CL693" i="1"/>
  <c r="CM685" i="1"/>
  <c r="CL685" i="1"/>
  <c r="CM681" i="1"/>
  <c r="CL681" i="1"/>
  <c r="CM669" i="1"/>
  <c r="CM664" i="1"/>
  <c r="CL669" i="1"/>
  <c r="CL664" i="1"/>
  <c r="CM666" i="1"/>
  <c r="CL666" i="1"/>
  <c r="CM655" i="1"/>
  <c r="CL655" i="1"/>
  <c r="CM645" i="1"/>
  <c r="CL645" i="1"/>
  <c r="CM637" i="1"/>
  <c r="CL637" i="1"/>
  <c r="CM634" i="1"/>
  <c r="CL634" i="1"/>
  <c r="CM632" i="1"/>
  <c r="CM630" i="1"/>
  <c r="CM628" i="1"/>
  <c r="CL632" i="1"/>
  <c r="CL630" i="1"/>
  <c r="CL628" i="1"/>
  <c r="CM625" i="1"/>
  <c r="CL625" i="1"/>
  <c r="CM621" i="1"/>
  <c r="CM619" i="1"/>
  <c r="CL621" i="1"/>
  <c r="CM616" i="1"/>
  <c r="CL616" i="1"/>
  <c r="CM613" i="1"/>
  <c r="CL613" i="1"/>
  <c r="CM611" i="1"/>
  <c r="CM609" i="1"/>
  <c r="CL611" i="1"/>
  <c r="CM606" i="1"/>
  <c r="CL606" i="1"/>
  <c r="CM600" i="1"/>
  <c r="CL600" i="1"/>
  <c r="CM592" i="1"/>
  <c r="CL592" i="1"/>
  <c r="CM585" i="1"/>
  <c r="CL585" i="1"/>
  <c r="CM581" i="1"/>
  <c r="CM579" i="1"/>
  <c r="CM577" i="1"/>
  <c r="CL581" i="1"/>
  <c r="CL579" i="1"/>
  <c r="CM571" i="1"/>
  <c r="CM569" i="1"/>
  <c r="CM567" i="1"/>
  <c r="CL571" i="1"/>
  <c r="CL569" i="1"/>
  <c r="CL567" i="1"/>
  <c r="CM563" i="1"/>
  <c r="CL563" i="1"/>
  <c r="CM558" i="1"/>
  <c r="CL558" i="1"/>
  <c r="CM555" i="1"/>
  <c r="CM541" i="1"/>
  <c r="CL555" i="1"/>
  <c r="CM549" i="1"/>
  <c r="CL549" i="1"/>
  <c r="CM543" i="1"/>
  <c r="CL543" i="1"/>
  <c r="CL541" i="1"/>
  <c r="CM535" i="1"/>
  <c r="CL535" i="1"/>
  <c r="CM532" i="1"/>
  <c r="CL532" i="1"/>
  <c r="CM526" i="1"/>
  <c r="CL526" i="1"/>
  <c r="CM507" i="1"/>
  <c r="CL507" i="1"/>
  <c r="CM505" i="1"/>
  <c r="CL505" i="1"/>
  <c r="CM500" i="1"/>
  <c r="CL500" i="1"/>
  <c r="CM488" i="1"/>
  <c r="CL488" i="1"/>
  <c r="CM482" i="1"/>
  <c r="CL482" i="1"/>
  <c r="CM472" i="1"/>
  <c r="CL472" i="1"/>
  <c r="CM464" i="1"/>
  <c r="CL464" i="1"/>
  <c r="CM458" i="1"/>
  <c r="CL458" i="1"/>
  <c r="CM451" i="1"/>
  <c r="CL451" i="1"/>
  <c r="CM444" i="1"/>
  <c r="CL444" i="1"/>
  <c r="CM439" i="1"/>
  <c r="CL439" i="1"/>
  <c r="CM437" i="1"/>
  <c r="CL437" i="1"/>
  <c r="CM427" i="1"/>
  <c r="CL427" i="1"/>
  <c r="CM419" i="1"/>
  <c r="CL419" i="1"/>
  <c r="CM416" i="1"/>
  <c r="CL416" i="1"/>
  <c r="CM411" i="1"/>
  <c r="CL411" i="1"/>
  <c r="CM406" i="1"/>
  <c r="CL406" i="1"/>
  <c r="CM401" i="1"/>
  <c r="CL401" i="1"/>
  <c r="CM397" i="1"/>
  <c r="CL397" i="1"/>
  <c r="CM386" i="1"/>
  <c r="CL386" i="1"/>
  <c r="CM380" i="1"/>
  <c r="CL380" i="1"/>
  <c r="CM378" i="1"/>
  <c r="CM375" i="1"/>
  <c r="CL375" i="1"/>
  <c r="CM368" i="1"/>
  <c r="CM366" i="1"/>
  <c r="CL368" i="1"/>
  <c r="CL366" i="1"/>
  <c r="CM361" i="1"/>
  <c r="CL361" i="1"/>
  <c r="CM358" i="1"/>
  <c r="CL358" i="1"/>
  <c r="CM354" i="1"/>
  <c r="CL354" i="1"/>
  <c r="CM349" i="1"/>
  <c r="CM347" i="1"/>
  <c r="CL349" i="1"/>
  <c r="CL347" i="1"/>
  <c r="CM329" i="1"/>
  <c r="CL329" i="1"/>
  <c r="CM326" i="1"/>
  <c r="CL326" i="1"/>
  <c r="CM322" i="1"/>
  <c r="CL322" i="1"/>
  <c r="CM319" i="1"/>
  <c r="CL319" i="1"/>
  <c r="CM316" i="1"/>
  <c r="CL316" i="1"/>
  <c r="CM313" i="1"/>
  <c r="CL313" i="1"/>
  <c r="CM310" i="1"/>
  <c r="CM308" i="1"/>
  <c r="CL310" i="1"/>
  <c r="CM305" i="1"/>
  <c r="CL305" i="1"/>
  <c r="CM302" i="1"/>
  <c r="CL302" i="1"/>
  <c r="CM298" i="1"/>
  <c r="CL298" i="1"/>
  <c r="CM293" i="1"/>
  <c r="CL293" i="1"/>
  <c r="CM288" i="1"/>
  <c r="CL288" i="1"/>
  <c r="CM279" i="1"/>
  <c r="CL279" i="1"/>
  <c r="CM275" i="1"/>
  <c r="CL275" i="1"/>
  <c r="CM267" i="1"/>
  <c r="CL267" i="1"/>
  <c r="CM259" i="1"/>
  <c r="CL259" i="1"/>
  <c r="CM251" i="1"/>
  <c r="CL251" i="1"/>
  <c r="CM246" i="1"/>
  <c r="CL246" i="1"/>
  <c r="CM244" i="1"/>
  <c r="CL244" i="1"/>
  <c r="CM238" i="1"/>
  <c r="CL238" i="1"/>
  <c r="CM237" i="1"/>
  <c r="CM236" i="1"/>
  <c r="CL237" i="1"/>
  <c r="CL236" i="1"/>
  <c r="CM234" i="1"/>
  <c r="CL234" i="1"/>
  <c r="CM233" i="1"/>
  <c r="CL233" i="1"/>
  <c r="CM231" i="1"/>
  <c r="CM230" i="1"/>
  <c r="CL231" i="1"/>
  <c r="CL230" i="1"/>
  <c r="CM228" i="1"/>
  <c r="CM227" i="1"/>
  <c r="CL228" i="1"/>
  <c r="CL227" i="1"/>
  <c r="CM225" i="1"/>
  <c r="CM224" i="1"/>
  <c r="CL225" i="1"/>
  <c r="CL224" i="1"/>
  <c r="CM222" i="1"/>
  <c r="CL222" i="1"/>
  <c r="CM221" i="1"/>
  <c r="CL221" i="1"/>
  <c r="CM220" i="1"/>
  <c r="CL220" i="1"/>
  <c r="CM219" i="1"/>
  <c r="CL219" i="1"/>
  <c r="CM218" i="1"/>
  <c r="CL218" i="1"/>
  <c r="CM216" i="1"/>
  <c r="CL216" i="1"/>
  <c r="CM215" i="1"/>
  <c r="CL215" i="1"/>
  <c r="CM214" i="1"/>
  <c r="CL214" i="1"/>
  <c r="CM213" i="1"/>
  <c r="CM212" i="1"/>
  <c r="CL213" i="1"/>
  <c r="CL212" i="1"/>
  <c r="CM205" i="1"/>
  <c r="CL205" i="1"/>
  <c r="CM204" i="1"/>
  <c r="CL204" i="1"/>
  <c r="CM202" i="1"/>
  <c r="CL202" i="1"/>
  <c r="CL201" i="1"/>
  <c r="CL199" i="1"/>
  <c r="CM201" i="1"/>
  <c r="CM199" i="1"/>
  <c r="CM197" i="1"/>
  <c r="CL197" i="1"/>
  <c r="CM196" i="1"/>
  <c r="CL196" i="1"/>
  <c r="CM195" i="1"/>
  <c r="CL195" i="1"/>
  <c r="CM193" i="1"/>
  <c r="CL193" i="1"/>
  <c r="CM191" i="1"/>
  <c r="CL191" i="1"/>
  <c r="CM189" i="1"/>
  <c r="CL189" i="1"/>
  <c r="CM187" i="1"/>
  <c r="CL187" i="1"/>
  <c r="CM185" i="1"/>
  <c r="CL185" i="1"/>
  <c r="CM184" i="1"/>
  <c r="CL184" i="1"/>
  <c r="CM182" i="1"/>
  <c r="CL182" i="1"/>
  <c r="CM180" i="1"/>
  <c r="CM179" i="1"/>
  <c r="CL180" i="1"/>
  <c r="CL179" i="1"/>
  <c r="CM177" i="1"/>
  <c r="CL177" i="1"/>
  <c r="CM176" i="1"/>
  <c r="CL176" i="1"/>
  <c r="CM175" i="1"/>
  <c r="CM174" i="1"/>
  <c r="CL175" i="1"/>
  <c r="CL174" i="1"/>
  <c r="CM170" i="1"/>
  <c r="CL170" i="1"/>
  <c r="CM169" i="1"/>
  <c r="CL169" i="1"/>
  <c r="CM168" i="1"/>
  <c r="CM167" i="1"/>
  <c r="CL168" i="1"/>
  <c r="CL167" i="1"/>
  <c r="CM165" i="1"/>
  <c r="CL165" i="1"/>
  <c r="CM163" i="1"/>
  <c r="CL163" i="1"/>
  <c r="CM162" i="1"/>
  <c r="CL162" i="1"/>
  <c r="CM161" i="1"/>
  <c r="CL161" i="1"/>
  <c r="CM160" i="1"/>
  <c r="CM155" i="1"/>
  <c r="CM104" i="1"/>
  <c r="CL160" i="1"/>
  <c r="CM159" i="1"/>
  <c r="CL159" i="1"/>
  <c r="CM158" i="1"/>
  <c r="CL158" i="1"/>
  <c r="CM157" i="1"/>
  <c r="CL157" i="1"/>
  <c r="CM156" i="1"/>
  <c r="CL156" i="1"/>
  <c r="CL155" i="1"/>
  <c r="CM153" i="1"/>
  <c r="CL153" i="1"/>
  <c r="CM152" i="1"/>
  <c r="CL152" i="1"/>
  <c r="CM151" i="1"/>
  <c r="CL151" i="1"/>
  <c r="CM150" i="1"/>
  <c r="CM149" i="1"/>
  <c r="CL150" i="1"/>
  <c r="CL149" i="1"/>
  <c r="CM147" i="1"/>
  <c r="CL147" i="1"/>
  <c r="CM146" i="1"/>
  <c r="CL146" i="1"/>
  <c r="CM145" i="1"/>
  <c r="CL145" i="1"/>
  <c r="CM144" i="1"/>
  <c r="CL144" i="1"/>
  <c r="CM143" i="1"/>
  <c r="CL143" i="1"/>
  <c r="CM142" i="1"/>
  <c r="CL142" i="1"/>
  <c r="CM141" i="1"/>
  <c r="CL141" i="1"/>
  <c r="CM140" i="1"/>
  <c r="CL140" i="1"/>
  <c r="CM139" i="1"/>
  <c r="CL139" i="1"/>
  <c r="CM137" i="1"/>
  <c r="CL137" i="1"/>
  <c r="CM134" i="1"/>
  <c r="CL134" i="1"/>
  <c r="CM133" i="1"/>
  <c r="CL133" i="1"/>
  <c r="CM132" i="1"/>
  <c r="CM131" i="1"/>
  <c r="CL132" i="1"/>
  <c r="CL131" i="1"/>
  <c r="CM129" i="1"/>
  <c r="CL129" i="1"/>
  <c r="CM128" i="1"/>
  <c r="CL128" i="1"/>
  <c r="CM127" i="1"/>
  <c r="CL127" i="1"/>
  <c r="CM126" i="1"/>
  <c r="CL126" i="1"/>
  <c r="CM125" i="1"/>
  <c r="CL125" i="1"/>
  <c r="CM123" i="1"/>
  <c r="CL123" i="1"/>
  <c r="CM122" i="1"/>
  <c r="CL122" i="1"/>
  <c r="CM121" i="1"/>
  <c r="CL121" i="1"/>
  <c r="CM120" i="1"/>
  <c r="CL120" i="1"/>
  <c r="CM119" i="1"/>
  <c r="CL119" i="1"/>
  <c r="CM118" i="1"/>
  <c r="CL118" i="1"/>
  <c r="CM116" i="1"/>
  <c r="CL116" i="1"/>
  <c r="CM115" i="1"/>
  <c r="CL115" i="1"/>
  <c r="CM114" i="1"/>
  <c r="CL114" i="1"/>
  <c r="CM113" i="1"/>
  <c r="CL113" i="1"/>
  <c r="CM112" i="1"/>
  <c r="CL112" i="1"/>
  <c r="CM111" i="1"/>
  <c r="CL111" i="1"/>
  <c r="CM109" i="1"/>
  <c r="CL109" i="1"/>
  <c r="CM108" i="1"/>
  <c r="CL108" i="1"/>
  <c r="CM107" i="1"/>
  <c r="CM106" i="1"/>
  <c r="CL107" i="1"/>
  <c r="CL106" i="1"/>
  <c r="CM102" i="1"/>
  <c r="CL102" i="1"/>
  <c r="CM101" i="1"/>
  <c r="CL101" i="1"/>
  <c r="CM100" i="1"/>
  <c r="CL100" i="1"/>
  <c r="CM99" i="1"/>
  <c r="CL99" i="1"/>
  <c r="CM98" i="1"/>
  <c r="CL98" i="1"/>
  <c r="CM97" i="1"/>
  <c r="CL97" i="1"/>
  <c r="CM96" i="1"/>
  <c r="CL96" i="1"/>
  <c r="CM95" i="1"/>
  <c r="CL95" i="1"/>
  <c r="CM94" i="1"/>
  <c r="CL94" i="1"/>
  <c r="CM92" i="1"/>
  <c r="CM86" i="1"/>
  <c r="CL92" i="1"/>
  <c r="CM91" i="1"/>
  <c r="CL91" i="1"/>
  <c r="CM90" i="1"/>
  <c r="CL90" i="1"/>
  <c r="CM89" i="1"/>
  <c r="CL89" i="1"/>
  <c r="CM88" i="1"/>
  <c r="CL88" i="1"/>
  <c r="CM87" i="1"/>
  <c r="CL87" i="1"/>
  <c r="CL86" i="1"/>
  <c r="CM84" i="1"/>
  <c r="CL84" i="1"/>
  <c r="CM83" i="1"/>
  <c r="CL83" i="1"/>
  <c r="CM82" i="1"/>
  <c r="CL82" i="1"/>
  <c r="CM80" i="1"/>
  <c r="CL80" i="1"/>
  <c r="CM79" i="1"/>
  <c r="CL79" i="1"/>
  <c r="CM78" i="1"/>
  <c r="CL78" i="1"/>
  <c r="CM77" i="1"/>
  <c r="CM75" i="1"/>
  <c r="CM72" i="1"/>
  <c r="CL75" i="1"/>
  <c r="CM74" i="1"/>
  <c r="CL74" i="1"/>
  <c r="CM73" i="1"/>
  <c r="CL73" i="1"/>
  <c r="CM70" i="1"/>
  <c r="CL70" i="1"/>
  <c r="CM69" i="1"/>
  <c r="CL69" i="1"/>
  <c r="CM68" i="1"/>
  <c r="CM67" i="1"/>
  <c r="CL68" i="1"/>
  <c r="CM65" i="1"/>
  <c r="CL65" i="1"/>
  <c r="CM64" i="1"/>
  <c r="CM63" i="1"/>
  <c r="CL64" i="1"/>
  <c r="CL63" i="1"/>
  <c r="CM61" i="1"/>
  <c r="CL61" i="1"/>
  <c r="CM59" i="1"/>
  <c r="CL59" i="1"/>
  <c r="CL58" i="1"/>
  <c r="CL52" i="1"/>
  <c r="CM58" i="1"/>
  <c r="CM57" i="1"/>
  <c r="CL57" i="1"/>
  <c r="CM56" i="1"/>
  <c r="CL56" i="1"/>
  <c r="CM55" i="1"/>
  <c r="CL55" i="1"/>
  <c r="CM54" i="1"/>
  <c r="CL54" i="1"/>
  <c r="CM53" i="1"/>
  <c r="CM52" i="1"/>
  <c r="CL53" i="1"/>
  <c r="CM50" i="1"/>
  <c r="CL50" i="1"/>
  <c r="CM49" i="1"/>
  <c r="CL49" i="1"/>
  <c r="CM48" i="1"/>
  <c r="CL48" i="1"/>
  <c r="CM47" i="1"/>
  <c r="CM46" i="1"/>
  <c r="CL47" i="1"/>
  <c r="CL46" i="1"/>
  <c r="CM42" i="1"/>
  <c r="CL42" i="1"/>
  <c r="CM41" i="1"/>
  <c r="CL41" i="1"/>
  <c r="CM36" i="1"/>
  <c r="CL36" i="1"/>
  <c r="CM34" i="1"/>
  <c r="CL34" i="1"/>
  <c r="CM33" i="1"/>
  <c r="CL33" i="1"/>
  <c r="CM32" i="1"/>
  <c r="CL32" i="1"/>
  <c r="CM31" i="1"/>
  <c r="CM30" i="1"/>
  <c r="CL31" i="1"/>
  <c r="CL30" i="1"/>
  <c r="CM28" i="1"/>
  <c r="CL28" i="1"/>
  <c r="CM26" i="1"/>
  <c r="CL26" i="1"/>
  <c r="CM24" i="1"/>
  <c r="CL24" i="1"/>
  <c r="CM23" i="1"/>
  <c r="CL23" i="1"/>
  <c r="CM22" i="1"/>
  <c r="CM21" i="1"/>
  <c r="CL22" i="1"/>
  <c r="CL21" i="1"/>
  <c r="CM19" i="1"/>
  <c r="CL19" i="1"/>
  <c r="CM18" i="1"/>
  <c r="CL18" i="1"/>
  <c r="CM17" i="1"/>
  <c r="CM16" i="1"/>
  <c r="CL17" i="1"/>
  <c r="CL16" i="1"/>
  <c r="CO863" i="1"/>
  <c r="CN863" i="1"/>
  <c r="CO860" i="1"/>
  <c r="CN860" i="1"/>
  <c r="CO856" i="1"/>
  <c r="CN856" i="1"/>
  <c r="CO845" i="1"/>
  <c r="CN845" i="1"/>
  <c r="CO842" i="1"/>
  <c r="CN842" i="1"/>
  <c r="CO827" i="1"/>
  <c r="CN827" i="1"/>
  <c r="CO790" i="1"/>
  <c r="CN790" i="1"/>
  <c r="CO783" i="1"/>
  <c r="CN783" i="1"/>
  <c r="CO768" i="1"/>
  <c r="CN768" i="1"/>
  <c r="CO742" i="1"/>
  <c r="CN742" i="1"/>
  <c r="CO738" i="1"/>
  <c r="CN738" i="1"/>
  <c r="CO728" i="1"/>
  <c r="CN728" i="1"/>
  <c r="CO725" i="1"/>
  <c r="CN725" i="1"/>
  <c r="CO723" i="1"/>
  <c r="CO721" i="1"/>
  <c r="CN723" i="1"/>
  <c r="CN721" i="1"/>
  <c r="CO718" i="1"/>
  <c r="CN718" i="1"/>
  <c r="CO711" i="1"/>
  <c r="CO691" i="1"/>
  <c r="CN711" i="1"/>
  <c r="CN691" i="1"/>
  <c r="CO705" i="1"/>
  <c r="CN705" i="1"/>
  <c r="CO702" i="1"/>
  <c r="CN702" i="1"/>
  <c r="CO699" i="1"/>
  <c r="CN699" i="1"/>
  <c r="CO696" i="1"/>
  <c r="CN696" i="1"/>
  <c r="CO693" i="1"/>
  <c r="CN693" i="1"/>
  <c r="CO685" i="1"/>
  <c r="CN685" i="1"/>
  <c r="CO681" i="1"/>
  <c r="CN681" i="1"/>
  <c r="CO669" i="1"/>
  <c r="CO664" i="1"/>
  <c r="CN669" i="1"/>
  <c r="CN664" i="1"/>
  <c r="CO666" i="1"/>
  <c r="CN666" i="1"/>
  <c r="CO655" i="1"/>
  <c r="CN655" i="1"/>
  <c r="CO645" i="1"/>
  <c r="CN645" i="1"/>
  <c r="CO637" i="1"/>
  <c r="CN637" i="1"/>
  <c r="CO634" i="1"/>
  <c r="CN634" i="1"/>
  <c r="CO632" i="1"/>
  <c r="CO630" i="1"/>
  <c r="CO628" i="1"/>
  <c r="CN632" i="1"/>
  <c r="CN630" i="1"/>
  <c r="CN628" i="1"/>
  <c r="CO625" i="1"/>
  <c r="CN625" i="1"/>
  <c r="CO621" i="1"/>
  <c r="CN621" i="1"/>
  <c r="CN619" i="1"/>
  <c r="CO616" i="1"/>
  <c r="CN616" i="1"/>
  <c r="CO613" i="1"/>
  <c r="CN613" i="1"/>
  <c r="CO611" i="1"/>
  <c r="CN611" i="1"/>
  <c r="CO606" i="1"/>
  <c r="CN606" i="1"/>
  <c r="CO600" i="1"/>
  <c r="CN600" i="1"/>
  <c r="CO592" i="1"/>
  <c r="CN592" i="1"/>
  <c r="CO585" i="1"/>
  <c r="CN585" i="1"/>
  <c r="CO581" i="1"/>
  <c r="CO579" i="1"/>
  <c r="CN581" i="1"/>
  <c r="CN579" i="1"/>
  <c r="CN577" i="1"/>
  <c r="CN575" i="1"/>
  <c r="CO571" i="1"/>
  <c r="CO569" i="1"/>
  <c r="CO567" i="1"/>
  <c r="CN571" i="1"/>
  <c r="CN569" i="1"/>
  <c r="CN567" i="1"/>
  <c r="CO563" i="1"/>
  <c r="CN563" i="1"/>
  <c r="CO558" i="1"/>
  <c r="CN558" i="1"/>
  <c r="CO555" i="1"/>
  <c r="CN555" i="1"/>
  <c r="CO549" i="1"/>
  <c r="CN549" i="1"/>
  <c r="CO543" i="1"/>
  <c r="CN543" i="1"/>
  <c r="CO541" i="1"/>
  <c r="CN541" i="1"/>
  <c r="CO535" i="1"/>
  <c r="CN535" i="1"/>
  <c r="CO532" i="1"/>
  <c r="CN532" i="1"/>
  <c r="CO526" i="1"/>
  <c r="CN526" i="1"/>
  <c r="CO507" i="1"/>
  <c r="CN507" i="1"/>
  <c r="CO505" i="1"/>
  <c r="CN505" i="1"/>
  <c r="CO500" i="1"/>
  <c r="CN500" i="1"/>
  <c r="CO488" i="1"/>
  <c r="CN488" i="1"/>
  <c r="CO482" i="1"/>
  <c r="CN482" i="1"/>
  <c r="CO472" i="1"/>
  <c r="CN472" i="1"/>
  <c r="CO464" i="1"/>
  <c r="CN464" i="1"/>
  <c r="CO458" i="1"/>
  <c r="CN458" i="1"/>
  <c r="CO451" i="1"/>
  <c r="CN451" i="1"/>
  <c r="CO444" i="1"/>
  <c r="CN444" i="1"/>
  <c r="CO439" i="1"/>
  <c r="CN439" i="1"/>
  <c r="CO437" i="1"/>
  <c r="CN437" i="1"/>
  <c r="CO427" i="1"/>
  <c r="CN427" i="1"/>
  <c r="CO419" i="1"/>
  <c r="CN419" i="1"/>
  <c r="CO416" i="1"/>
  <c r="CN416" i="1"/>
  <c r="CO411" i="1"/>
  <c r="CN411" i="1"/>
  <c r="CO406" i="1"/>
  <c r="CN406" i="1"/>
  <c r="CO401" i="1"/>
  <c r="CN401" i="1"/>
  <c r="CO397" i="1"/>
  <c r="CN397" i="1"/>
  <c r="CN386" i="1"/>
  <c r="CN378" i="1"/>
  <c r="CO386" i="1"/>
  <c r="CO380" i="1"/>
  <c r="CN380" i="1"/>
  <c r="CO378" i="1"/>
  <c r="CO364" i="1"/>
  <c r="CO375" i="1"/>
  <c r="CN375" i="1"/>
  <c r="CO368" i="1"/>
  <c r="CO366" i="1"/>
  <c r="CN368" i="1"/>
  <c r="CN366" i="1"/>
  <c r="CO361" i="1"/>
  <c r="CN361" i="1"/>
  <c r="CO358" i="1"/>
  <c r="CN358" i="1"/>
  <c r="CO354" i="1"/>
  <c r="CN354" i="1"/>
  <c r="CO349" i="1"/>
  <c r="CO347" i="1"/>
  <c r="CN349" i="1"/>
  <c r="CN347" i="1"/>
  <c r="CO329" i="1"/>
  <c r="CN329" i="1"/>
  <c r="CO326" i="1"/>
  <c r="CN326" i="1"/>
  <c r="CO322" i="1"/>
  <c r="CN322" i="1"/>
  <c r="CO319" i="1"/>
  <c r="CN319" i="1"/>
  <c r="CO316" i="1"/>
  <c r="CN316" i="1"/>
  <c r="CO313" i="1"/>
  <c r="CN313" i="1"/>
  <c r="CO310" i="1"/>
  <c r="CO308" i="1"/>
  <c r="CN310" i="1"/>
  <c r="CO305" i="1"/>
  <c r="CN305" i="1"/>
  <c r="CO302" i="1"/>
  <c r="CN302" i="1"/>
  <c r="CO298" i="1"/>
  <c r="CN298" i="1"/>
  <c r="CO293" i="1"/>
  <c r="CN293" i="1"/>
  <c r="CO288" i="1"/>
  <c r="CN288" i="1"/>
  <c r="CO279" i="1"/>
  <c r="CN279" i="1"/>
  <c r="CO275" i="1"/>
  <c r="CN275" i="1"/>
  <c r="CO267" i="1"/>
  <c r="CN267" i="1"/>
  <c r="CO259" i="1"/>
  <c r="CN259" i="1"/>
  <c r="CO251" i="1"/>
  <c r="CN251" i="1"/>
  <c r="CO246" i="1"/>
  <c r="CN246" i="1"/>
  <c r="CO244" i="1"/>
  <c r="CN244" i="1"/>
  <c r="CO238" i="1"/>
  <c r="CN238" i="1"/>
  <c r="CO237" i="1"/>
  <c r="CN237" i="1"/>
  <c r="CN236" i="1"/>
  <c r="CO234" i="1"/>
  <c r="CN234" i="1"/>
  <c r="CO233" i="1"/>
  <c r="CN233" i="1"/>
  <c r="CO231" i="1"/>
  <c r="CO230" i="1"/>
  <c r="CN231" i="1"/>
  <c r="CN230" i="1"/>
  <c r="CO228" i="1"/>
  <c r="CO227" i="1"/>
  <c r="CN228" i="1"/>
  <c r="CN227" i="1"/>
  <c r="CO225" i="1"/>
  <c r="CO224" i="1"/>
  <c r="CN225" i="1"/>
  <c r="CN224" i="1"/>
  <c r="CO222" i="1"/>
  <c r="CN222" i="1"/>
  <c r="CO221" i="1"/>
  <c r="CN221" i="1"/>
  <c r="CO220" i="1"/>
  <c r="CN220" i="1"/>
  <c r="CO219" i="1"/>
  <c r="CN219" i="1"/>
  <c r="CO218" i="1"/>
  <c r="CN218" i="1"/>
  <c r="CO216" i="1"/>
  <c r="CN216" i="1"/>
  <c r="CO215" i="1"/>
  <c r="CN215" i="1"/>
  <c r="CO214" i="1"/>
  <c r="CN214" i="1"/>
  <c r="CO213" i="1"/>
  <c r="CO212" i="1"/>
  <c r="CN213" i="1"/>
  <c r="CN212" i="1"/>
  <c r="CO205" i="1"/>
  <c r="CN205" i="1"/>
  <c r="CO204" i="1"/>
  <c r="CN204" i="1"/>
  <c r="CO202" i="1"/>
  <c r="CN202" i="1"/>
  <c r="CN201" i="1"/>
  <c r="CN199" i="1"/>
  <c r="CO201" i="1"/>
  <c r="CO199" i="1"/>
  <c r="CO197" i="1"/>
  <c r="CN197" i="1"/>
  <c r="CO196" i="1"/>
  <c r="CN196" i="1"/>
  <c r="CO195" i="1"/>
  <c r="CN195" i="1"/>
  <c r="CO193" i="1"/>
  <c r="CN193" i="1"/>
  <c r="CO191" i="1"/>
  <c r="CN191" i="1"/>
  <c r="CO189" i="1"/>
  <c r="CN189" i="1"/>
  <c r="CO187" i="1"/>
  <c r="CN187" i="1"/>
  <c r="CO185" i="1"/>
  <c r="CN185" i="1"/>
  <c r="CO184" i="1"/>
  <c r="CN184" i="1"/>
  <c r="CO182" i="1"/>
  <c r="CN182" i="1"/>
  <c r="CO180" i="1"/>
  <c r="CO179" i="1"/>
  <c r="CN180" i="1"/>
  <c r="CN179" i="1"/>
  <c r="CO177" i="1"/>
  <c r="CN177" i="1"/>
  <c r="CO176" i="1"/>
  <c r="CN176" i="1"/>
  <c r="CO175" i="1"/>
  <c r="CO174" i="1"/>
  <c r="CO172" i="1"/>
  <c r="CN175" i="1"/>
  <c r="CN174" i="1"/>
  <c r="CN172" i="1"/>
  <c r="CO170" i="1"/>
  <c r="CN170" i="1"/>
  <c r="CO169" i="1"/>
  <c r="CN169" i="1"/>
  <c r="CO168" i="1"/>
  <c r="CO167" i="1"/>
  <c r="CN168" i="1"/>
  <c r="CN167" i="1"/>
  <c r="CO165" i="1"/>
  <c r="CN165" i="1"/>
  <c r="CO163" i="1"/>
  <c r="CN163" i="1"/>
  <c r="CO162" i="1"/>
  <c r="CN162" i="1"/>
  <c r="CO161" i="1"/>
  <c r="CN161" i="1"/>
  <c r="CO160" i="1"/>
  <c r="CN160" i="1"/>
  <c r="CN155" i="1"/>
  <c r="CO159" i="1"/>
  <c r="CN159" i="1"/>
  <c r="CO158" i="1"/>
  <c r="CN158" i="1"/>
  <c r="CO157" i="1"/>
  <c r="CN157" i="1"/>
  <c r="CO156" i="1"/>
  <c r="CN156" i="1"/>
  <c r="CO155" i="1"/>
  <c r="CO153" i="1"/>
  <c r="CO149" i="1"/>
  <c r="CN153" i="1"/>
  <c r="CO152" i="1"/>
  <c r="CN152" i="1"/>
  <c r="CO151" i="1"/>
  <c r="CN151" i="1"/>
  <c r="CO150" i="1"/>
  <c r="CN150" i="1"/>
  <c r="CN149" i="1"/>
  <c r="CO147" i="1"/>
  <c r="CN147" i="1"/>
  <c r="CO146" i="1"/>
  <c r="CN146" i="1"/>
  <c r="CO145" i="1"/>
  <c r="CN145" i="1"/>
  <c r="CO144" i="1"/>
  <c r="CN144" i="1"/>
  <c r="CO143" i="1"/>
  <c r="CN143" i="1"/>
  <c r="CO142" i="1"/>
  <c r="CN142" i="1"/>
  <c r="CO141" i="1"/>
  <c r="CN141" i="1"/>
  <c r="CO140" i="1"/>
  <c r="CN140" i="1"/>
  <c r="CO139" i="1"/>
  <c r="CN139" i="1"/>
  <c r="CO137" i="1"/>
  <c r="CN137" i="1"/>
  <c r="CO134" i="1"/>
  <c r="CN134" i="1"/>
  <c r="CO133" i="1"/>
  <c r="CN133" i="1"/>
  <c r="CO132" i="1"/>
  <c r="CO131" i="1"/>
  <c r="CN132" i="1"/>
  <c r="CN131" i="1"/>
  <c r="CO129" i="1"/>
  <c r="CN129" i="1"/>
  <c r="CO128" i="1"/>
  <c r="CN128" i="1"/>
  <c r="CO127" i="1"/>
  <c r="CN127" i="1"/>
  <c r="CO126" i="1"/>
  <c r="CN126" i="1"/>
  <c r="CO125" i="1"/>
  <c r="CN125" i="1"/>
  <c r="CO123" i="1"/>
  <c r="CN123" i="1"/>
  <c r="CO122" i="1"/>
  <c r="CN122" i="1"/>
  <c r="CO121" i="1"/>
  <c r="CN121" i="1"/>
  <c r="CO120" i="1"/>
  <c r="CN120" i="1"/>
  <c r="CO119" i="1"/>
  <c r="CN119" i="1"/>
  <c r="CO118" i="1"/>
  <c r="CN118" i="1"/>
  <c r="CO116" i="1"/>
  <c r="CN116" i="1"/>
  <c r="CO115" i="1"/>
  <c r="CN115" i="1"/>
  <c r="CO114" i="1"/>
  <c r="CN114" i="1"/>
  <c r="CO113" i="1"/>
  <c r="CN113" i="1"/>
  <c r="CO112" i="1"/>
  <c r="CN112" i="1"/>
  <c r="CO111" i="1"/>
  <c r="CN111" i="1"/>
  <c r="CO109" i="1"/>
  <c r="CN109" i="1"/>
  <c r="CO108" i="1"/>
  <c r="CN108" i="1"/>
  <c r="CO107" i="1"/>
  <c r="CO106" i="1"/>
  <c r="CN107" i="1"/>
  <c r="CN106" i="1"/>
  <c r="CO102" i="1"/>
  <c r="CN102" i="1"/>
  <c r="CO101" i="1"/>
  <c r="CO95" i="1"/>
  <c r="CO96" i="1"/>
  <c r="CO97" i="1"/>
  <c r="CO98" i="1"/>
  <c r="CO99" i="1"/>
  <c r="CO100" i="1"/>
  <c r="CO94" i="1"/>
  <c r="CN101" i="1"/>
  <c r="CN100" i="1"/>
  <c r="CN99" i="1"/>
  <c r="CN98" i="1"/>
  <c r="CN97" i="1"/>
  <c r="CN96" i="1"/>
  <c r="CN95" i="1"/>
  <c r="CN94" i="1"/>
  <c r="CO92" i="1"/>
  <c r="CN92" i="1"/>
  <c r="CO91" i="1"/>
  <c r="CN91" i="1"/>
  <c r="CO90" i="1"/>
  <c r="CN90" i="1"/>
  <c r="CO89" i="1"/>
  <c r="CN89" i="1"/>
  <c r="CO88" i="1"/>
  <c r="CN88" i="1"/>
  <c r="CO87" i="1"/>
  <c r="CO86" i="1"/>
  <c r="CN87" i="1"/>
  <c r="CN86" i="1"/>
  <c r="CO84" i="1"/>
  <c r="CN84" i="1"/>
  <c r="CO83" i="1"/>
  <c r="CN83" i="1"/>
  <c r="CO82" i="1"/>
  <c r="CN82" i="1"/>
  <c r="CO80" i="1"/>
  <c r="CO77" i="1"/>
  <c r="CN80" i="1"/>
  <c r="CO79" i="1"/>
  <c r="CN79" i="1"/>
  <c r="CO78" i="1"/>
  <c r="CN78" i="1"/>
  <c r="CO75" i="1"/>
  <c r="CN75" i="1"/>
  <c r="CO74" i="1"/>
  <c r="CN74" i="1"/>
  <c r="CO73" i="1"/>
  <c r="CO72" i="1"/>
  <c r="CN73" i="1"/>
  <c r="CN72" i="1"/>
  <c r="CO70" i="1"/>
  <c r="CN70" i="1"/>
  <c r="CO69" i="1"/>
  <c r="CN69" i="1"/>
  <c r="CO68" i="1"/>
  <c r="CO67" i="1"/>
  <c r="CN68" i="1"/>
  <c r="CN67" i="1"/>
  <c r="CO65" i="1"/>
  <c r="CN65" i="1"/>
  <c r="CO64" i="1"/>
  <c r="CO63" i="1"/>
  <c r="CN64" i="1"/>
  <c r="CN63" i="1"/>
  <c r="CO61" i="1"/>
  <c r="CN61" i="1"/>
  <c r="CO59" i="1"/>
  <c r="CN59" i="1"/>
  <c r="CO58" i="1"/>
  <c r="CN58" i="1"/>
  <c r="CO57" i="1"/>
  <c r="CN57" i="1"/>
  <c r="CO56" i="1"/>
  <c r="CN56" i="1"/>
  <c r="CO55" i="1"/>
  <c r="CN55" i="1"/>
  <c r="CO54" i="1"/>
  <c r="CN54" i="1"/>
  <c r="CO53" i="1"/>
  <c r="CO52" i="1"/>
  <c r="CN53" i="1"/>
  <c r="CN52" i="1"/>
  <c r="CO50" i="1"/>
  <c r="CN50" i="1"/>
  <c r="CO49" i="1"/>
  <c r="CN49" i="1"/>
  <c r="CO48" i="1"/>
  <c r="CN48" i="1"/>
  <c r="CO47" i="1"/>
  <c r="CO46" i="1"/>
  <c r="CN47" i="1"/>
  <c r="CO42" i="1"/>
  <c r="CN42" i="1"/>
  <c r="CO41" i="1"/>
  <c r="CN41" i="1"/>
  <c r="CO38" i="1"/>
  <c r="CO36" i="1"/>
  <c r="CN36" i="1"/>
  <c r="CO34" i="1"/>
  <c r="CN34" i="1"/>
  <c r="CO33" i="1"/>
  <c r="CN33" i="1"/>
  <c r="CO32" i="1"/>
  <c r="CN32" i="1"/>
  <c r="CO31" i="1"/>
  <c r="CO30" i="1"/>
  <c r="CN31" i="1"/>
  <c r="CN30" i="1"/>
  <c r="CO28" i="1"/>
  <c r="CN28" i="1"/>
  <c r="CO26" i="1"/>
  <c r="CN26" i="1"/>
  <c r="CO24" i="1"/>
  <c r="CN24" i="1"/>
  <c r="CN21" i="1"/>
  <c r="CO23" i="1"/>
  <c r="CN23" i="1"/>
  <c r="CO22" i="1"/>
  <c r="CO21" i="1"/>
  <c r="CN22" i="1"/>
  <c r="CO19" i="1"/>
  <c r="CN19" i="1"/>
  <c r="CO18" i="1"/>
  <c r="CN18" i="1"/>
  <c r="CO17" i="1"/>
  <c r="CO16" i="1"/>
  <c r="CO14" i="1"/>
  <c r="CN17" i="1"/>
  <c r="CN16" i="1"/>
  <c r="CQ863" i="1"/>
  <c r="CP863" i="1"/>
  <c r="CQ860" i="1"/>
  <c r="CP860" i="1"/>
  <c r="CQ856" i="1"/>
  <c r="CP856" i="1"/>
  <c r="CQ845" i="1"/>
  <c r="CP845" i="1"/>
  <c r="CQ842" i="1"/>
  <c r="CP842" i="1"/>
  <c r="CQ827" i="1"/>
  <c r="CP827" i="1"/>
  <c r="CQ790" i="1"/>
  <c r="CP790" i="1"/>
  <c r="CQ783" i="1"/>
  <c r="CP783" i="1"/>
  <c r="CQ768" i="1"/>
  <c r="CP768" i="1"/>
  <c r="CQ742" i="1"/>
  <c r="CP742" i="1"/>
  <c r="CQ738" i="1"/>
  <c r="CP738" i="1"/>
  <c r="CQ728" i="1"/>
  <c r="CP728" i="1"/>
  <c r="CQ725" i="1"/>
  <c r="CP725" i="1"/>
  <c r="CQ718" i="1"/>
  <c r="CP718" i="1"/>
  <c r="CQ711" i="1"/>
  <c r="CQ691" i="1"/>
  <c r="CP711" i="1"/>
  <c r="CP691" i="1"/>
  <c r="CQ705" i="1"/>
  <c r="CP705" i="1"/>
  <c r="CQ702" i="1"/>
  <c r="CP702" i="1"/>
  <c r="CQ699" i="1"/>
  <c r="CP699" i="1"/>
  <c r="CQ696" i="1"/>
  <c r="CP696" i="1"/>
  <c r="CQ693" i="1"/>
  <c r="CP693" i="1"/>
  <c r="CQ685" i="1"/>
  <c r="CP685" i="1"/>
  <c r="CQ681" i="1"/>
  <c r="CP681" i="1"/>
  <c r="CQ669" i="1"/>
  <c r="CQ664" i="1"/>
  <c r="CP669" i="1"/>
  <c r="CP664" i="1"/>
  <c r="CP662" i="1"/>
  <c r="CQ666" i="1"/>
  <c r="CP666" i="1"/>
  <c r="CQ655" i="1"/>
  <c r="CP655" i="1"/>
  <c r="CQ645" i="1"/>
  <c r="CP645" i="1"/>
  <c r="CQ637" i="1"/>
  <c r="CP637" i="1"/>
  <c r="CQ634" i="1"/>
  <c r="CQ632" i="1"/>
  <c r="CQ630" i="1"/>
  <c r="CQ628" i="1"/>
  <c r="CP634" i="1"/>
  <c r="CP632" i="1"/>
  <c r="CP630" i="1"/>
  <c r="CP628" i="1"/>
  <c r="CQ625" i="1"/>
  <c r="CP625" i="1"/>
  <c r="CQ621" i="1"/>
  <c r="CP621" i="1"/>
  <c r="CQ619" i="1"/>
  <c r="CP619" i="1"/>
  <c r="CQ616" i="1"/>
  <c r="CP616" i="1"/>
  <c r="CQ613" i="1"/>
  <c r="CP613" i="1"/>
  <c r="CQ606" i="1"/>
  <c r="CP606" i="1"/>
  <c r="CQ600" i="1"/>
  <c r="CP600" i="1"/>
  <c r="CQ592" i="1"/>
  <c r="CP592" i="1"/>
  <c r="CQ585" i="1"/>
  <c r="CP585" i="1"/>
  <c r="CQ581" i="1"/>
  <c r="CP581" i="1"/>
  <c r="CQ579" i="1"/>
  <c r="CP579" i="1"/>
  <c r="CQ571" i="1"/>
  <c r="CP571" i="1"/>
  <c r="CQ569" i="1"/>
  <c r="CQ567" i="1"/>
  <c r="CP569" i="1"/>
  <c r="CP567" i="1"/>
  <c r="CQ563" i="1"/>
  <c r="CP563" i="1"/>
  <c r="CQ558" i="1"/>
  <c r="CP558" i="1"/>
  <c r="CQ555" i="1"/>
  <c r="CP555" i="1"/>
  <c r="CQ549" i="1"/>
  <c r="CP549" i="1"/>
  <c r="CQ543" i="1"/>
  <c r="CP543" i="1"/>
  <c r="CQ535" i="1"/>
  <c r="CP535" i="1"/>
  <c r="CQ532" i="1"/>
  <c r="CP532" i="1"/>
  <c r="CQ526" i="1"/>
  <c r="CP526" i="1"/>
  <c r="CQ507" i="1"/>
  <c r="CQ505" i="1"/>
  <c r="CP507" i="1"/>
  <c r="CP505" i="1"/>
  <c r="CQ500" i="1"/>
  <c r="CP500" i="1"/>
  <c r="CQ488" i="1"/>
  <c r="CP488" i="1"/>
  <c r="CQ482" i="1"/>
  <c r="CP482" i="1"/>
  <c r="CQ472" i="1"/>
  <c r="CP472" i="1"/>
  <c r="CQ464" i="1"/>
  <c r="CP464" i="1"/>
  <c r="CQ458" i="1"/>
  <c r="CP458" i="1"/>
  <c r="CQ451" i="1"/>
  <c r="CP451" i="1"/>
  <c r="CQ444" i="1"/>
  <c r="CP444" i="1"/>
  <c r="CQ439" i="1"/>
  <c r="CP439" i="1"/>
  <c r="CQ427" i="1"/>
  <c r="CP427" i="1"/>
  <c r="CQ419" i="1"/>
  <c r="CP419" i="1"/>
  <c r="CQ416" i="1"/>
  <c r="CP416" i="1"/>
  <c r="CQ411" i="1"/>
  <c r="CP411" i="1"/>
  <c r="CQ406" i="1"/>
  <c r="CP406" i="1"/>
  <c r="CQ401" i="1"/>
  <c r="CP401" i="1"/>
  <c r="CQ397" i="1"/>
  <c r="CP397" i="1"/>
  <c r="CQ386" i="1"/>
  <c r="CP386" i="1"/>
  <c r="CQ380" i="1"/>
  <c r="CP380" i="1"/>
  <c r="CQ375" i="1"/>
  <c r="CP375" i="1"/>
  <c r="CQ368" i="1"/>
  <c r="CP368" i="1"/>
  <c r="CQ366" i="1"/>
  <c r="CP366" i="1"/>
  <c r="CQ361" i="1"/>
  <c r="CP361" i="1"/>
  <c r="CQ358" i="1"/>
  <c r="CP358" i="1"/>
  <c r="CQ354" i="1"/>
  <c r="CP354" i="1"/>
  <c r="CQ349" i="1"/>
  <c r="CQ347" i="1"/>
  <c r="CP349" i="1"/>
  <c r="CP347" i="1"/>
  <c r="CQ329" i="1"/>
  <c r="CP329" i="1"/>
  <c r="CQ326" i="1"/>
  <c r="CP326" i="1"/>
  <c r="CQ322" i="1"/>
  <c r="CP322" i="1"/>
  <c r="CP308" i="1"/>
  <c r="CQ319" i="1"/>
  <c r="CP319" i="1"/>
  <c r="CQ316" i="1"/>
  <c r="CP316" i="1"/>
  <c r="CQ313" i="1"/>
  <c r="CP313" i="1"/>
  <c r="CQ310" i="1"/>
  <c r="CP310" i="1"/>
  <c r="CQ308" i="1"/>
  <c r="CQ305" i="1"/>
  <c r="CP305" i="1"/>
  <c r="CQ302" i="1"/>
  <c r="CP302" i="1"/>
  <c r="CQ298" i="1"/>
  <c r="CP298" i="1"/>
  <c r="CQ293" i="1"/>
  <c r="CP293" i="1"/>
  <c r="CQ288" i="1"/>
  <c r="CP288" i="1"/>
  <c r="CQ279" i="1"/>
  <c r="CP279" i="1"/>
  <c r="CQ275" i="1"/>
  <c r="CP275" i="1"/>
  <c r="CQ273" i="1"/>
  <c r="CP273" i="1"/>
  <c r="CQ267" i="1"/>
  <c r="CP267" i="1"/>
  <c r="CQ259" i="1"/>
  <c r="CP259" i="1"/>
  <c r="CQ251" i="1"/>
  <c r="CP251" i="1"/>
  <c r="CQ246" i="1"/>
  <c r="CQ244" i="1"/>
  <c r="CP246" i="1"/>
  <c r="CP244" i="1"/>
  <c r="CQ238" i="1"/>
  <c r="CP238" i="1"/>
  <c r="CQ237" i="1"/>
  <c r="CP237" i="1"/>
  <c r="CQ236" i="1"/>
  <c r="CP236" i="1"/>
  <c r="CQ234" i="1"/>
  <c r="CQ230" i="1"/>
  <c r="CP234" i="1"/>
  <c r="CP230" i="1"/>
  <c r="CQ233" i="1"/>
  <c r="CP233" i="1"/>
  <c r="CQ231" i="1"/>
  <c r="CP231" i="1"/>
  <c r="CQ228" i="1"/>
  <c r="CP228" i="1"/>
  <c r="CQ227" i="1"/>
  <c r="CP227" i="1"/>
  <c r="CQ225" i="1"/>
  <c r="CP225" i="1"/>
  <c r="CP224" i="1"/>
  <c r="CQ224" i="1"/>
  <c r="CQ222" i="1"/>
  <c r="CP222" i="1"/>
  <c r="CQ221" i="1"/>
  <c r="CP221" i="1"/>
  <c r="CQ220" i="1"/>
  <c r="CP220" i="1"/>
  <c r="CQ219" i="1"/>
  <c r="CP219" i="1"/>
  <c r="CQ216" i="1"/>
  <c r="CP216" i="1"/>
  <c r="CQ215" i="1"/>
  <c r="CP215" i="1"/>
  <c r="CQ214" i="1"/>
  <c r="CP214" i="1"/>
  <c r="CQ213" i="1"/>
  <c r="CQ212" i="1"/>
  <c r="CP213" i="1"/>
  <c r="CP212" i="1"/>
  <c r="CQ205" i="1"/>
  <c r="CQ204" i="1"/>
  <c r="CP205" i="1"/>
  <c r="CP204" i="1"/>
  <c r="CQ202" i="1"/>
  <c r="CQ201" i="1"/>
  <c r="CP202" i="1"/>
  <c r="CP201" i="1"/>
  <c r="CQ197" i="1"/>
  <c r="CP197" i="1"/>
  <c r="CQ196" i="1"/>
  <c r="CQ195" i="1"/>
  <c r="CP196" i="1"/>
  <c r="CP195" i="1"/>
  <c r="CQ193" i="1"/>
  <c r="CP193" i="1"/>
  <c r="CQ191" i="1"/>
  <c r="CP191" i="1"/>
  <c r="CQ189" i="1"/>
  <c r="CP189" i="1"/>
  <c r="CQ187" i="1"/>
  <c r="CP187" i="1"/>
  <c r="CQ185" i="1"/>
  <c r="CQ184" i="1"/>
  <c r="CP185" i="1"/>
  <c r="CP184" i="1"/>
  <c r="CQ182" i="1"/>
  <c r="CP182" i="1"/>
  <c r="CQ180" i="1"/>
  <c r="CP180" i="1"/>
  <c r="CQ179" i="1"/>
  <c r="CP179" i="1"/>
  <c r="CQ177" i="1"/>
  <c r="CP177" i="1"/>
  <c r="CQ176" i="1"/>
  <c r="CP176" i="1"/>
  <c r="CQ175" i="1"/>
  <c r="CP175" i="1"/>
  <c r="CQ174" i="1"/>
  <c r="CP174" i="1"/>
  <c r="CQ170" i="1"/>
  <c r="CP170" i="1"/>
  <c r="CQ169" i="1"/>
  <c r="CP169" i="1"/>
  <c r="CQ168" i="1"/>
  <c r="CQ167" i="1"/>
  <c r="CP168" i="1"/>
  <c r="CP167" i="1"/>
  <c r="CQ165" i="1"/>
  <c r="CP165" i="1"/>
  <c r="CQ163" i="1"/>
  <c r="CP163" i="1"/>
  <c r="CQ162" i="1"/>
  <c r="CP162" i="1"/>
  <c r="CQ161" i="1"/>
  <c r="CP161" i="1"/>
  <c r="CQ160" i="1"/>
  <c r="CP160" i="1"/>
  <c r="CP155" i="1"/>
  <c r="CP104" i="1"/>
  <c r="CQ159" i="1"/>
  <c r="CP159" i="1"/>
  <c r="CQ158" i="1"/>
  <c r="CP158" i="1"/>
  <c r="CQ157" i="1"/>
  <c r="CP157" i="1"/>
  <c r="CQ156" i="1"/>
  <c r="CP156" i="1"/>
  <c r="CQ153" i="1"/>
  <c r="CP153" i="1"/>
  <c r="CQ152" i="1"/>
  <c r="CP152" i="1"/>
  <c r="CQ151" i="1"/>
  <c r="CP151" i="1"/>
  <c r="CQ150" i="1"/>
  <c r="CP150" i="1"/>
  <c r="CQ149" i="1"/>
  <c r="CP149" i="1"/>
  <c r="CQ147" i="1"/>
  <c r="CQ139" i="1"/>
  <c r="CP147" i="1"/>
  <c r="CP139" i="1"/>
  <c r="CQ146" i="1"/>
  <c r="CP146" i="1"/>
  <c r="CQ145" i="1"/>
  <c r="CP145" i="1"/>
  <c r="CQ144" i="1"/>
  <c r="CP144" i="1"/>
  <c r="CQ143" i="1"/>
  <c r="CP143" i="1"/>
  <c r="CQ142" i="1"/>
  <c r="CP142" i="1"/>
  <c r="CQ141" i="1"/>
  <c r="CP141" i="1"/>
  <c r="CQ140" i="1"/>
  <c r="CP140" i="1"/>
  <c r="CQ137" i="1"/>
  <c r="CP137" i="1"/>
  <c r="CQ134" i="1"/>
  <c r="CP134" i="1"/>
  <c r="CQ133" i="1"/>
  <c r="CP133" i="1"/>
  <c r="CQ132" i="1"/>
  <c r="CP132" i="1"/>
  <c r="CP131" i="1"/>
  <c r="CQ131" i="1"/>
  <c r="CQ129" i="1"/>
  <c r="CQ125" i="1"/>
  <c r="CP129" i="1"/>
  <c r="CQ128" i="1"/>
  <c r="CP128" i="1"/>
  <c r="CQ127" i="1"/>
  <c r="CP127" i="1"/>
  <c r="CQ126" i="1"/>
  <c r="CP126" i="1"/>
  <c r="CP125" i="1"/>
  <c r="CQ123" i="1"/>
  <c r="CP123" i="1"/>
  <c r="CQ122" i="1"/>
  <c r="CP122" i="1"/>
  <c r="CQ121" i="1"/>
  <c r="CP121" i="1"/>
  <c r="CQ120" i="1"/>
  <c r="CP120" i="1"/>
  <c r="CQ119" i="1"/>
  <c r="CQ118" i="1"/>
  <c r="CP119" i="1"/>
  <c r="CP118" i="1"/>
  <c r="CQ116" i="1"/>
  <c r="CP116" i="1"/>
  <c r="CQ115" i="1"/>
  <c r="CP115" i="1"/>
  <c r="CQ114" i="1"/>
  <c r="CP114" i="1"/>
  <c r="CQ113" i="1"/>
  <c r="CP113" i="1"/>
  <c r="CQ112" i="1"/>
  <c r="CQ111" i="1"/>
  <c r="CP112" i="1"/>
  <c r="CP111" i="1"/>
  <c r="CQ109" i="1"/>
  <c r="CP109" i="1"/>
  <c r="CQ108" i="1"/>
  <c r="CP108" i="1"/>
  <c r="CQ107" i="1"/>
  <c r="CQ106" i="1"/>
  <c r="CP107" i="1"/>
  <c r="CP106" i="1"/>
  <c r="CQ102" i="1"/>
  <c r="CP102" i="1"/>
  <c r="CQ101" i="1"/>
  <c r="CP101" i="1"/>
  <c r="CQ100" i="1"/>
  <c r="CP100" i="1"/>
  <c r="CQ99" i="1"/>
  <c r="CP99" i="1"/>
  <c r="CQ98" i="1"/>
  <c r="CP98" i="1"/>
  <c r="CQ97" i="1"/>
  <c r="CP97" i="1"/>
  <c r="CQ96" i="1"/>
  <c r="CP96" i="1"/>
  <c r="CQ95" i="1"/>
  <c r="CP95" i="1"/>
  <c r="CP94" i="1"/>
  <c r="CQ92" i="1"/>
  <c r="CP92" i="1"/>
  <c r="CQ91" i="1"/>
  <c r="CP91" i="1"/>
  <c r="CQ90" i="1"/>
  <c r="CP90" i="1"/>
  <c r="CQ89" i="1"/>
  <c r="CP89" i="1"/>
  <c r="CQ88" i="1"/>
  <c r="CP88" i="1"/>
  <c r="CQ87" i="1"/>
  <c r="CP87" i="1"/>
  <c r="CQ86" i="1"/>
  <c r="CP86" i="1"/>
  <c r="CQ84" i="1"/>
  <c r="CP84" i="1"/>
  <c r="CQ83" i="1"/>
  <c r="CQ82" i="1"/>
  <c r="CP83" i="1"/>
  <c r="CP82" i="1"/>
  <c r="CQ80" i="1"/>
  <c r="CP80" i="1"/>
  <c r="CP77" i="1"/>
  <c r="CQ79" i="1"/>
  <c r="CP79" i="1"/>
  <c r="CQ78" i="1"/>
  <c r="CP78" i="1"/>
  <c r="CQ75" i="1"/>
  <c r="CP75" i="1"/>
  <c r="CQ74" i="1"/>
  <c r="CP74" i="1"/>
  <c r="CQ73" i="1"/>
  <c r="CP73" i="1"/>
  <c r="CQ70" i="1"/>
  <c r="CP70" i="1"/>
  <c r="CQ69" i="1"/>
  <c r="CP69" i="1"/>
  <c r="CQ68" i="1"/>
  <c r="CQ67" i="1"/>
  <c r="CP68" i="1"/>
  <c r="CQ65" i="1"/>
  <c r="CP65" i="1"/>
  <c r="CQ64" i="1"/>
  <c r="CP64" i="1"/>
  <c r="CP63" i="1"/>
  <c r="CQ63" i="1"/>
  <c r="CQ61" i="1"/>
  <c r="CP61" i="1"/>
  <c r="CQ59" i="1"/>
  <c r="CP59" i="1"/>
  <c r="CP58" i="1"/>
  <c r="CP52" i="1"/>
  <c r="CQ58" i="1"/>
  <c r="CQ57" i="1"/>
  <c r="CP57" i="1"/>
  <c r="CQ56" i="1"/>
  <c r="CP56" i="1"/>
  <c r="CQ55" i="1"/>
  <c r="CP55" i="1"/>
  <c r="CQ54" i="1"/>
  <c r="CP54" i="1"/>
  <c r="CQ53" i="1"/>
  <c r="CQ52" i="1"/>
  <c r="CP53" i="1"/>
  <c r="CQ50" i="1"/>
  <c r="CP50" i="1"/>
  <c r="CQ49" i="1"/>
  <c r="CP49" i="1"/>
  <c r="CQ48" i="1"/>
  <c r="CP48" i="1"/>
  <c r="CQ47" i="1"/>
  <c r="CP47" i="1"/>
  <c r="CQ46" i="1"/>
  <c r="CP46" i="1"/>
  <c r="CQ42" i="1"/>
  <c r="CP42" i="1"/>
  <c r="CQ41" i="1"/>
  <c r="CP41" i="1"/>
  <c r="CP38" i="1"/>
  <c r="CQ36" i="1"/>
  <c r="CP36" i="1"/>
  <c r="CQ34" i="1"/>
  <c r="CP34" i="1"/>
  <c r="CQ33" i="1"/>
  <c r="CP33" i="1"/>
  <c r="CQ32" i="1"/>
  <c r="CP32" i="1"/>
  <c r="CQ31" i="1"/>
  <c r="CP31" i="1"/>
  <c r="CQ30" i="1"/>
  <c r="CP30" i="1"/>
  <c r="CQ28" i="1"/>
  <c r="CP28" i="1"/>
  <c r="CQ26" i="1"/>
  <c r="CP26" i="1"/>
  <c r="CQ24" i="1"/>
  <c r="CP24" i="1"/>
  <c r="CQ23" i="1"/>
  <c r="CP23" i="1"/>
  <c r="CQ22" i="1"/>
  <c r="CP22" i="1"/>
  <c r="CQ21" i="1"/>
  <c r="CP21" i="1"/>
  <c r="CQ19" i="1"/>
  <c r="CP19" i="1"/>
  <c r="CQ18" i="1"/>
  <c r="CP18" i="1"/>
  <c r="CQ17" i="1"/>
  <c r="CQ16" i="1"/>
  <c r="CP17" i="1"/>
  <c r="CP16" i="1"/>
  <c r="CP14" i="1"/>
  <c r="CS863" i="1"/>
  <c r="CR863" i="1"/>
  <c r="CS860" i="1"/>
  <c r="CR860" i="1"/>
  <c r="CS856" i="1"/>
  <c r="CR856" i="1"/>
  <c r="CS845" i="1"/>
  <c r="CR845" i="1"/>
  <c r="CS842" i="1"/>
  <c r="CR842" i="1"/>
  <c r="CS827" i="1"/>
  <c r="CR827" i="1"/>
  <c r="CS790" i="1"/>
  <c r="CR790" i="1"/>
  <c r="CS783" i="1"/>
  <c r="CR783" i="1"/>
  <c r="CS768" i="1"/>
  <c r="CR768" i="1"/>
  <c r="CS742" i="1"/>
  <c r="CR742" i="1"/>
  <c r="CS738" i="1"/>
  <c r="CR738" i="1"/>
  <c r="CS728" i="1"/>
  <c r="CR728" i="1"/>
  <c r="CS725" i="1"/>
  <c r="CR725" i="1"/>
  <c r="CS718" i="1"/>
  <c r="CR718" i="1"/>
  <c r="CS711" i="1"/>
  <c r="CR711" i="1"/>
  <c r="CR691" i="1"/>
  <c r="CS705" i="1"/>
  <c r="CS691" i="1"/>
  <c r="CR705" i="1"/>
  <c r="CS702" i="1"/>
  <c r="CR702" i="1"/>
  <c r="CS699" i="1"/>
  <c r="CR699" i="1"/>
  <c r="CS696" i="1"/>
  <c r="CR696" i="1"/>
  <c r="CS693" i="1"/>
  <c r="CR693" i="1"/>
  <c r="CS685" i="1"/>
  <c r="CR685" i="1"/>
  <c r="CS681" i="1"/>
  <c r="CR681" i="1"/>
  <c r="CS669" i="1"/>
  <c r="CR669" i="1"/>
  <c r="CR664" i="1"/>
  <c r="CS666" i="1"/>
  <c r="CR666" i="1"/>
  <c r="CS655" i="1"/>
  <c r="CR655" i="1"/>
  <c r="CS645" i="1"/>
  <c r="CR645" i="1"/>
  <c r="CS637" i="1"/>
  <c r="CR637" i="1"/>
  <c r="CS634" i="1"/>
  <c r="CR634" i="1"/>
  <c r="CS632" i="1"/>
  <c r="CS630" i="1"/>
  <c r="CS628" i="1"/>
  <c r="CR632" i="1"/>
  <c r="CR630" i="1"/>
  <c r="CR628" i="1"/>
  <c r="CS625" i="1"/>
  <c r="CR625" i="1"/>
  <c r="CS621" i="1"/>
  <c r="CS619" i="1"/>
  <c r="CR621" i="1"/>
  <c r="CR619" i="1"/>
  <c r="CS616" i="1"/>
  <c r="CR616" i="1"/>
  <c r="CS613" i="1"/>
  <c r="CR613" i="1"/>
  <c r="CS611" i="1"/>
  <c r="CR611" i="1"/>
  <c r="CR609" i="1"/>
  <c r="CS606" i="1"/>
  <c r="CR606" i="1"/>
  <c r="CS600" i="1"/>
  <c r="CR600" i="1"/>
  <c r="CS592" i="1"/>
  <c r="CR592" i="1"/>
  <c r="CS585" i="1"/>
  <c r="CR585" i="1"/>
  <c r="CS581" i="1"/>
  <c r="CS579" i="1"/>
  <c r="CS577" i="1"/>
  <c r="CR581" i="1"/>
  <c r="CR579" i="1"/>
  <c r="CR577" i="1"/>
  <c r="CS571" i="1"/>
  <c r="CS569" i="1"/>
  <c r="CS567" i="1"/>
  <c r="CR571" i="1"/>
  <c r="CR569" i="1"/>
  <c r="CR567" i="1"/>
  <c r="CS563" i="1"/>
  <c r="CR563" i="1"/>
  <c r="CS558" i="1"/>
  <c r="CR558" i="1"/>
  <c r="CS555" i="1"/>
  <c r="CS541" i="1"/>
  <c r="CR555" i="1"/>
  <c r="CR541" i="1"/>
  <c r="CS549" i="1"/>
  <c r="CR549" i="1"/>
  <c r="CS543" i="1"/>
  <c r="CR543" i="1"/>
  <c r="CS535" i="1"/>
  <c r="CR535" i="1"/>
  <c r="CS532" i="1"/>
  <c r="CR532" i="1"/>
  <c r="CS526" i="1"/>
  <c r="CR526" i="1"/>
  <c r="CS507" i="1"/>
  <c r="CR507" i="1"/>
  <c r="CS505" i="1"/>
  <c r="CR505" i="1"/>
  <c r="CS500" i="1"/>
  <c r="CR500" i="1"/>
  <c r="CS488" i="1"/>
  <c r="CR488" i="1"/>
  <c r="CS482" i="1"/>
  <c r="CR482" i="1"/>
  <c r="CS472" i="1"/>
  <c r="CR472" i="1"/>
  <c r="CS464" i="1"/>
  <c r="CR464" i="1"/>
  <c r="CS458" i="1"/>
  <c r="CR458" i="1"/>
  <c r="CS451" i="1"/>
  <c r="CR451" i="1"/>
  <c r="CS444" i="1"/>
  <c r="CR444" i="1"/>
  <c r="CS439" i="1"/>
  <c r="CS437" i="1"/>
  <c r="CR439" i="1"/>
  <c r="CR437" i="1"/>
  <c r="CS427" i="1"/>
  <c r="CR427" i="1"/>
  <c r="CS419" i="1"/>
  <c r="CR419" i="1"/>
  <c r="CS416" i="1"/>
  <c r="CR416" i="1"/>
  <c r="CS411" i="1"/>
  <c r="CR411" i="1"/>
  <c r="CS406" i="1"/>
  <c r="CR406" i="1"/>
  <c r="CS401" i="1"/>
  <c r="CR401" i="1"/>
  <c r="CS397" i="1"/>
  <c r="CR397" i="1"/>
  <c r="CS386" i="1"/>
  <c r="CR386" i="1"/>
  <c r="CS380" i="1"/>
  <c r="CR380" i="1"/>
  <c r="CR378" i="1"/>
  <c r="CS375" i="1"/>
  <c r="CR375" i="1"/>
  <c r="CS368" i="1"/>
  <c r="CR368" i="1"/>
  <c r="CR366" i="1"/>
  <c r="CS366" i="1"/>
  <c r="CS361" i="1"/>
  <c r="CR361" i="1"/>
  <c r="CS358" i="1"/>
  <c r="CR358" i="1"/>
  <c r="CS354" i="1"/>
  <c r="CR354" i="1"/>
  <c r="CS349" i="1"/>
  <c r="CR349" i="1"/>
  <c r="CR347" i="1"/>
  <c r="CS347" i="1"/>
  <c r="CS329" i="1"/>
  <c r="CR329" i="1"/>
  <c r="CS326" i="1"/>
  <c r="CR326" i="1"/>
  <c r="CS322" i="1"/>
  <c r="CR322" i="1"/>
  <c r="CS319" i="1"/>
  <c r="CR319" i="1"/>
  <c r="CS316" i="1"/>
  <c r="CR316" i="1"/>
  <c r="CS313" i="1"/>
  <c r="CR313" i="1"/>
  <c r="CS310" i="1"/>
  <c r="CS308" i="1"/>
  <c r="CR310" i="1"/>
  <c r="CR308" i="1"/>
  <c r="CS305" i="1"/>
  <c r="CR305" i="1"/>
  <c r="CS302" i="1"/>
  <c r="CR302" i="1"/>
  <c r="CS298" i="1"/>
  <c r="CR298" i="1"/>
  <c r="CS293" i="1"/>
  <c r="CR293" i="1"/>
  <c r="CS288" i="1"/>
  <c r="CR288" i="1"/>
  <c r="CS279" i="1"/>
  <c r="CR279" i="1"/>
  <c r="CS275" i="1"/>
  <c r="CR275" i="1"/>
  <c r="CS267" i="1"/>
  <c r="CR267" i="1"/>
  <c r="CS259" i="1"/>
  <c r="CR259" i="1"/>
  <c r="CS251" i="1"/>
  <c r="CR251" i="1"/>
  <c r="CS246" i="1"/>
  <c r="CS244" i="1"/>
  <c r="CR246" i="1"/>
  <c r="CR244" i="1"/>
  <c r="CS238" i="1"/>
  <c r="CR238" i="1"/>
  <c r="CS237" i="1"/>
  <c r="CR237" i="1"/>
  <c r="CS236" i="1"/>
  <c r="CS234" i="1"/>
  <c r="CR234" i="1"/>
  <c r="CS233" i="1"/>
  <c r="CR233" i="1"/>
  <c r="CS231" i="1"/>
  <c r="CR231" i="1"/>
  <c r="CR230" i="1"/>
  <c r="CS230" i="1"/>
  <c r="CS228" i="1"/>
  <c r="CR228" i="1"/>
  <c r="CR227" i="1"/>
  <c r="CS227" i="1"/>
  <c r="CS225" i="1"/>
  <c r="CS224" i="1"/>
  <c r="CR225" i="1"/>
  <c r="CR224" i="1"/>
  <c r="CS222" i="1"/>
  <c r="CR222" i="1"/>
  <c r="CS221" i="1"/>
  <c r="CR221" i="1"/>
  <c r="CS220" i="1"/>
  <c r="CR220" i="1"/>
  <c r="CS219" i="1"/>
  <c r="CR219" i="1"/>
  <c r="CR218" i="1"/>
  <c r="CS216" i="1"/>
  <c r="CR216" i="1"/>
  <c r="CS215" i="1"/>
  <c r="CR215" i="1"/>
  <c r="CS214" i="1"/>
  <c r="CR214" i="1"/>
  <c r="CS213" i="1"/>
  <c r="CS212" i="1"/>
  <c r="CR213" i="1"/>
  <c r="CR212" i="1"/>
  <c r="CS205" i="1"/>
  <c r="CS204" i="1"/>
  <c r="CR205" i="1"/>
  <c r="CR204" i="1"/>
  <c r="CS202" i="1"/>
  <c r="CS201" i="1"/>
  <c r="CR202" i="1"/>
  <c r="CR201" i="1"/>
  <c r="CR199" i="1"/>
  <c r="CS197" i="1"/>
  <c r="CR197" i="1"/>
  <c r="CR196" i="1"/>
  <c r="CR195" i="1"/>
  <c r="CR172" i="1"/>
  <c r="CS196" i="1"/>
  <c r="CS193" i="1"/>
  <c r="CR193" i="1"/>
  <c r="CS191" i="1"/>
  <c r="CR191" i="1"/>
  <c r="CS189" i="1"/>
  <c r="CR189" i="1"/>
  <c r="CS187" i="1"/>
  <c r="CR187" i="1"/>
  <c r="CS185" i="1"/>
  <c r="CS184" i="1"/>
  <c r="CR185" i="1"/>
  <c r="CR184" i="1"/>
  <c r="CS182" i="1"/>
  <c r="CR182" i="1"/>
  <c r="CS180" i="1"/>
  <c r="CS179" i="1"/>
  <c r="CR180" i="1"/>
  <c r="CR179" i="1"/>
  <c r="CS177" i="1"/>
  <c r="CR177" i="1"/>
  <c r="CS176" i="1"/>
  <c r="CR176" i="1"/>
  <c r="CS175" i="1"/>
  <c r="CR175" i="1"/>
  <c r="CR174" i="1"/>
  <c r="CS174" i="1"/>
  <c r="CS170" i="1"/>
  <c r="CR170" i="1"/>
  <c r="CS169" i="1"/>
  <c r="CR169" i="1"/>
  <c r="CS168" i="1"/>
  <c r="CR168" i="1"/>
  <c r="CR167" i="1"/>
  <c r="CS165" i="1"/>
  <c r="CR165" i="1"/>
  <c r="CS163" i="1"/>
  <c r="CR163" i="1"/>
  <c r="CS162" i="1"/>
  <c r="CR162" i="1"/>
  <c r="CS161" i="1"/>
  <c r="CR161" i="1"/>
  <c r="CS160" i="1"/>
  <c r="CS156" i="1"/>
  <c r="CS157" i="1"/>
  <c r="CS158" i="1"/>
  <c r="CS159" i="1"/>
  <c r="CS155" i="1"/>
  <c r="CR160" i="1"/>
  <c r="CR159" i="1"/>
  <c r="CR158" i="1"/>
  <c r="CR157" i="1"/>
  <c r="CR156" i="1"/>
  <c r="CS153" i="1"/>
  <c r="CR153" i="1"/>
  <c r="CS152" i="1"/>
  <c r="CR152" i="1"/>
  <c r="CS151" i="1"/>
  <c r="CR151" i="1"/>
  <c r="CS150" i="1"/>
  <c r="CR150" i="1"/>
  <c r="CS149" i="1"/>
  <c r="CR149" i="1"/>
  <c r="CS147" i="1"/>
  <c r="CS139" i="1"/>
  <c r="CR147" i="1"/>
  <c r="CR139" i="1"/>
  <c r="CS146" i="1"/>
  <c r="CR146" i="1"/>
  <c r="CS145" i="1"/>
  <c r="CR145" i="1"/>
  <c r="CS144" i="1"/>
  <c r="CR144" i="1"/>
  <c r="CS143" i="1"/>
  <c r="CR143" i="1"/>
  <c r="CS142" i="1"/>
  <c r="CR142" i="1"/>
  <c r="CS141" i="1"/>
  <c r="CR141" i="1"/>
  <c r="CS140" i="1"/>
  <c r="CR140" i="1"/>
  <c r="CS137" i="1"/>
  <c r="CR137" i="1"/>
  <c r="CS134" i="1"/>
  <c r="CR134" i="1"/>
  <c r="CR132" i="1"/>
  <c r="CR133" i="1"/>
  <c r="CR131" i="1"/>
  <c r="CS133" i="1"/>
  <c r="CS132" i="1"/>
  <c r="CS131" i="1"/>
  <c r="CS129" i="1"/>
  <c r="CS125" i="1"/>
  <c r="CR129" i="1"/>
  <c r="CR125" i="1"/>
  <c r="CS128" i="1"/>
  <c r="CR128" i="1"/>
  <c r="CS127" i="1"/>
  <c r="CR127" i="1"/>
  <c r="CS126" i="1"/>
  <c r="CR126" i="1"/>
  <c r="CS123" i="1"/>
  <c r="CR123" i="1"/>
  <c r="CS122" i="1"/>
  <c r="CR122" i="1"/>
  <c r="CS121" i="1"/>
  <c r="CR121" i="1"/>
  <c r="CS120" i="1"/>
  <c r="CR120" i="1"/>
  <c r="CS119" i="1"/>
  <c r="CS118" i="1"/>
  <c r="CR119" i="1"/>
  <c r="CS116" i="1"/>
  <c r="CR116" i="1"/>
  <c r="CS115" i="1"/>
  <c r="CS114" i="1"/>
  <c r="CS111" i="1"/>
  <c r="CR115" i="1"/>
  <c r="CR114" i="1"/>
  <c r="CR111" i="1"/>
  <c r="CS113" i="1"/>
  <c r="CR113" i="1"/>
  <c r="CS112" i="1"/>
  <c r="CR112" i="1"/>
  <c r="CS109" i="1"/>
  <c r="CR109" i="1"/>
  <c r="CS108" i="1"/>
  <c r="CR108" i="1"/>
  <c r="CS107" i="1"/>
  <c r="CS106" i="1"/>
  <c r="CR107" i="1"/>
  <c r="CR106" i="1"/>
  <c r="CS102" i="1"/>
  <c r="CR102" i="1"/>
  <c r="CS101" i="1"/>
  <c r="CR101" i="1"/>
  <c r="CS100" i="1"/>
  <c r="CR100" i="1"/>
  <c r="CS99" i="1"/>
  <c r="CR99" i="1"/>
  <c r="CS98" i="1"/>
  <c r="CR98" i="1"/>
  <c r="CS97" i="1"/>
  <c r="CR97" i="1"/>
  <c r="CS96" i="1"/>
  <c r="CR96" i="1"/>
  <c r="CS95" i="1"/>
  <c r="CR95" i="1"/>
  <c r="CS92" i="1"/>
  <c r="CR92" i="1"/>
  <c r="CS91" i="1"/>
  <c r="CR91" i="1"/>
  <c r="CS90" i="1"/>
  <c r="CR90" i="1"/>
  <c r="CS89" i="1"/>
  <c r="CR89" i="1"/>
  <c r="CS88" i="1"/>
  <c r="CR88" i="1"/>
  <c r="CS87" i="1"/>
  <c r="CR87" i="1"/>
  <c r="CS86" i="1"/>
  <c r="CR86" i="1"/>
  <c r="CS84" i="1"/>
  <c r="CR84" i="1"/>
  <c r="CS83" i="1"/>
  <c r="CS82" i="1"/>
  <c r="CR83" i="1"/>
  <c r="CR82" i="1"/>
  <c r="CS80" i="1"/>
  <c r="CR80" i="1"/>
  <c r="CS79" i="1"/>
  <c r="CR79" i="1"/>
  <c r="CS78" i="1"/>
  <c r="CR78" i="1"/>
  <c r="CR77" i="1"/>
  <c r="CS75" i="1"/>
  <c r="CR75" i="1"/>
  <c r="CS74" i="1"/>
  <c r="CR74" i="1"/>
  <c r="CS73" i="1"/>
  <c r="CS72" i="1"/>
  <c r="CR73" i="1"/>
  <c r="CS70" i="1"/>
  <c r="CR70" i="1"/>
  <c r="CS69" i="1"/>
  <c r="CR69" i="1"/>
  <c r="CS68" i="1"/>
  <c r="CR68" i="1"/>
  <c r="CR67" i="1"/>
  <c r="CS65" i="1"/>
  <c r="CR65" i="1"/>
  <c r="CS64" i="1"/>
  <c r="CS63" i="1"/>
  <c r="CR64" i="1"/>
  <c r="CR63" i="1"/>
  <c r="CS61" i="1"/>
  <c r="CR61" i="1"/>
  <c r="CS59" i="1"/>
  <c r="CR59" i="1"/>
  <c r="CS58" i="1"/>
  <c r="CS52" i="1"/>
  <c r="CR58" i="1"/>
  <c r="CS57" i="1"/>
  <c r="CR57" i="1"/>
  <c r="CS56" i="1"/>
  <c r="CR56" i="1"/>
  <c r="CS55" i="1"/>
  <c r="CR55" i="1"/>
  <c r="CS54" i="1"/>
  <c r="CR54" i="1"/>
  <c r="CS53" i="1"/>
  <c r="CR53" i="1"/>
  <c r="CR52" i="1"/>
  <c r="CS50" i="1"/>
  <c r="CR50" i="1"/>
  <c r="CS49" i="1"/>
  <c r="CR49" i="1"/>
  <c r="CS48" i="1"/>
  <c r="CS47" i="1"/>
  <c r="CS46" i="1"/>
  <c r="CR48" i="1"/>
  <c r="CR47" i="1"/>
  <c r="CS42" i="1"/>
  <c r="CR42" i="1"/>
  <c r="CS41" i="1"/>
  <c r="CR41" i="1"/>
  <c r="CS36" i="1"/>
  <c r="CR36" i="1"/>
  <c r="CS34" i="1"/>
  <c r="CR34" i="1"/>
  <c r="CS33" i="1"/>
  <c r="CR33" i="1"/>
  <c r="CS32" i="1"/>
  <c r="CR32" i="1"/>
  <c r="CS31" i="1"/>
  <c r="CR31" i="1"/>
  <c r="CS30" i="1"/>
  <c r="CR30" i="1"/>
  <c r="CS28" i="1"/>
  <c r="CR28" i="1"/>
  <c r="CS26" i="1"/>
  <c r="CR26" i="1"/>
  <c r="CS24" i="1"/>
  <c r="CR24" i="1"/>
  <c r="CS23" i="1"/>
  <c r="CS21" i="1"/>
  <c r="CR23" i="1"/>
  <c r="CS22" i="1"/>
  <c r="CR22" i="1"/>
  <c r="CR21" i="1"/>
  <c r="CS19" i="1"/>
  <c r="CR19" i="1"/>
  <c r="CS18" i="1"/>
  <c r="CR18" i="1"/>
  <c r="CS17" i="1"/>
  <c r="CS16" i="1"/>
  <c r="CR17" i="1"/>
  <c r="CR16" i="1"/>
  <c r="CU863" i="1"/>
  <c r="CT863" i="1"/>
  <c r="CU860" i="1"/>
  <c r="CT860" i="1"/>
  <c r="CU856" i="1"/>
  <c r="CT856" i="1"/>
  <c r="CU845" i="1"/>
  <c r="CT845" i="1"/>
  <c r="CU842" i="1"/>
  <c r="CT842" i="1"/>
  <c r="CU827" i="1"/>
  <c r="CT827" i="1"/>
  <c r="CU790" i="1"/>
  <c r="CT790" i="1"/>
  <c r="CU783" i="1"/>
  <c r="CT783" i="1"/>
  <c r="CU768" i="1"/>
  <c r="CT768" i="1"/>
  <c r="CU742" i="1"/>
  <c r="CT742" i="1"/>
  <c r="CU738" i="1"/>
  <c r="CT738" i="1"/>
  <c r="CU728" i="1"/>
  <c r="CT728" i="1"/>
  <c r="CU725" i="1"/>
  <c r="CT725" i="1"/>
  <c r="CU721" i="1"/>
  <c r="CT721" i="1"/>
  <c r="CU718" i="1"/>
  <c r="CT718" i="1"/>
  <c r="CU711" i="1"/>
  <c r="CU691" i="1"/>
  <c r="CT711" i="1"/>
  <c r="CT691" i="1"/>
  <c r="CU705" i="1"/>
  <c r="CT705" i="1"/>
  <c r="CU702" i="1"/>
  <c r="CT702" i="1"/>
  <c r="CU699" i="1"/>
  <c r="CT699" i="1"/>
  <c r="CU696" i="1"/>
  <c r="CT696" i="1"/>
  <c r="CU693" i="1"/>
  <c r="CT693" i="1"/>
  <c r="CU685" i="1"/>
  <c r="CT685" i="1"/>
  <c r="CU681" i="1"/>
  <c r="CT681" i="1"/>
  <c r="CU669" i="1"/>
  <c r="CU664" i="1"/>
  <c r="CT669" i="1"/>
  <c r="CT664" i="1"/>
  <c r="CU666" i="1"/>
  <c r="CT666" i="1"/>
  <c r="CU655" i="1"/>
  <c r="CT655" i="1"/>
  <c r="CU645" i="1"/>
  <c r="CT645" i="1"/>
  <c r="CU637" i="1"/>
  <c r="CT637" i="1"/>
  <c r="CU634" i="1"/>
  <c r="CT634" i="1"/>
  <c r="CU632" i="1"/>
  <c r="CU630" i="1"/>
  <c r="CU628" i="1"/>
  <c r="CT632" i="1"/>
  <c r="CT630" i="1"/>
  <c r="CT628" i="1"/>
  <c r="CU625" i="1"/>
  <c r="CT625" i="1"/>
  <c r="CU621" i="1"/>
  <c r="CU619" i="1"/>
  <c r="CT621" i="1"/>
  <c r="CU616" i="1"/>
  <c r="CT616" i="1"/>
  <c r="CU613" i="1"/>
  <c r="CT613" i="1"/>
  <c r="CU611" i="1"/>
  <c r="CT611" i="1"/>
  <c r="CU606" i="1"/>
  <c r="CT606" i="1"/>
  <c r="CU600" i="1"/>
  <c r="CT600" i="1"/>
  <c r="CU592" i="1"/>
  <c r="CT592" i="1"/>
  <c r="CU585" i="1"/>
  <c r="CT585" i="1"/>
  <c r="CU581" i="1"/>
  <c r="CU579" i="1"/>
  <c r="CU577" i="1"/>
  <c r="CT581" i="1"/>
  <c r="CT579" i="1"/>
  <c r="CU571" i="1"/>
  <c r="CU569" i="1"/>
  <c r="CU567" i="1"/>
  <c r="CT571" i="1"/>
  <c r="CT569" i="1"/>
  <c r="CT567" i="1"/>
  <c r="CU563" i="1"/>
  <c r="CT563" i="1"/>
  <c r="CU558" i="1"/>
  <c r="CT558" i="1"/>
  <c r="CU555" i="1"/>
  <c r="CT555" i="1"/>
  <c r="CU549" i="1"/>
  <c r="CT549" i="1"/>
  <c r="CU543" i="1"/>
  <c r="CT543" i="1"/>
  <c r="CU541" i="1"/>
  <c r="CT541" i="1"/>
  <c r="CU535" i="1"/>
  <c r="CT535" i="1"/>
  <c r="CU532" i="1"/>
  <c r="CT532" i="1"/>
  <c r="CU526" i="1"/>
  <c r="CT526" i="1"/>
  <c r="CU507" i="1"/>
  <c r="CT507" i="1"/>
  <c r="CU505" i="1"/>
  <c r="CT505" i="1"/>
  <c r="CU500" i="1"/>
  <c r="CT500" i="1"/>
  <c r="CU488" i="1"/>
  <c r="CT488" i="1"/>
  <c r="CU482" i="1"/>
  <c r="CT482" i="1"/>
  <c r="CU472" i="1"/>
  <c r="CT472" i="1"/>
  <c r="CU464" i="1"/>
  <c r="CT464" i="1"/>
  <c r="CU458" i="1"/>
  <c r="CT458" i="1"/>
  <c r="CU451" i="1"/>
  <c r="CT451" i="1"/>
  <c r="CU444" i="1"/>
  <c r="CT444" i="1"/>
  <c r="CU439" i="1"/>
  <c r="CT439" i="1"/>
  <c r="CU437" i="1"/>
  <c r="CT437" i="1"/>
  <c r="CU427" i="1"/>
  <c r="CT427" i="1"/>
  <c r="CU419" i="1"/>
  <c r="CT419" i="1"/>
  <c r="CU416" i="1"/>
  <c r="CT416" i="1"/>
  <c r="CU411" i="1"/>
  <c r="CT411" i="1"/>
  <c r="CU406" i="1"/>
  <c r="CT406" i="1"/>
  <c r="CU401" i="1"/>
  <c r="CT401" i="1"/>
  <c r="CU397" i="1"/>
  <c r="CT397" i="1"/>
  <c r="CU386" i="1"/>
  <c r="CT386" i="1"/>
  <c r="CU380" i="1"/>
  <c r="CT380" i="1"/>
  <c r="CT378" i="1"/>
  <c r="CT364" i="1"/>
  <c r="CU375" i="1"/>
  <c r="CT375" i="1"/>
  <c r="CU368" i="1"/>
  <c r="CU366" i="1"/>
  <c r="CT368" i="1"/>
  <c r="CT366" i="1"/>
  <c r="CU361" i="1"/>
  <c r="CT361" i="1"/>
  <c r="CU358" i="1"/>
  <c r="CT358" i="1"/>
  <c r="CU354" i="1"/>
  <c r="CT354" i="1"/>
  <c r="CU349" i="1"/>
  <c r="CU347" i="1"/>
  <c r="CT349" i="1"/>
  <c r="CT347" i="1"/>
  <c r="CU329" i="1"/>
  <c r="CT329" i="1"/>
  <c r="CU326" i="1"/>
  <c r="CT326" i="1"/>
  <c r="CU322" i="1"/>
  <c r="CT322" i="1"/>
  <c r="CU319" i="1"/>
  <c r="CT319" i="1"/>
  <c r="CU316" i="1"/>
  <c r="CT316" i="1"/>
  <c r="CU313" i="1"/>
  <c r="CT313" i="1"/>
  <c r="CU310" i="1"/>
  <c r="CU308" i="1"/>
  <c r="CT310" i="1"/>
  <c r="CT308" i="1"/>
  <c r="CU305" i="1"/>
  <c r="CT305" i="1"/>
  <c r="CU302" i="1"/>
  <c r="CT302" i="1"/>
  <c r="CU298" i="1"/>
  <c r="CT298" i="1"/>
  <c r="CU293" i="1"/>
  <c r="CT293" i="1"/>
  <c r="CU288" i="1"/>
  <c r="CT288" i="1"/>
  <c r="CU279" i="1"/>
  <c r="CT279" i="1"/>
  <c r="CU275" i="1"/>
  <c r="CT275" i="1"/>
  <c r="CU267" i="1"/>
  <c r="CT267" i="1"/>
  <c r="CU259" i="1"/>
  <c r="CT259" i="1"/>
  <c r="CU251" i="1"/>
  <c r="CT251" i="1"/>
  <c r="CU246" i="1"/>
  <c r="CT246" i="1"/>
  <c r="CU244" i="1"/>
  <c r="CT244" i="1"/>
  <c r="CU238" i="1"/>
  <c r="CT238" i="1"/>
  <c r="CU237" i="1"/>
  <c r="CT237" i="1"/>
  <c r="CU234" i="1"/>
  <c r="CT234" i="1"/>
  <c r="CU233" i="1"/>
  <c r="CT233" i="1"/>
  <c r="CU231" i="1"/>
  <c r="CU230" i="1"/>
  <c r="CT231" i="1"/>
  <c r="CT230" i="1"/>
  <c r="CU228" i="1"/>
  <c r="CU227" i="1"/>
  <c r="CT228" i="1"/>
  <c r="CT227" i="1"/>
  <c r="CU225" i="1"/>
  <c r="CU224" i="1"/>
  <c r="CT225" i="1"/>
  <c r="CT224" i="1"/>
  <c r="CU222" i="1"/>
  <c r="CT222" i="1"/>
  <c r="CU221" i="1"/>
  <c r="CT221" i="1"/>
  <c r="CU220" i="1"/>
  <c r="CT220" i="1"/>
  <c r="CU219" i="1"/>
  <c r="CT219" i="1"/>
  <c r="CU218" i="1"/>
  <c r="CT218" i="1"/>
  <c r="CU216" i="1"/>
  <c r="CT216" i="1"/>
  <c r="CU215" i="1"/>
  <c r="CT215" i="1"/>
  <c r="CU214" i="1"/>
  <c r="CT214" i="1"/>
  <c r="CU213" i="1"/>
  <c r="CU212" i="1"/>
  <c r="CT213" i="1"/>
  <c r="CT212" i="1"/>
  <c r="CU205" i="1"/>
  <c r="CT205" i="1"/>
  <c r="CU204" i="1"/>
  <c r="CT204" i="1"/>
  <c r="CU202" i="1"/>
  <c r="CU201" i="1"/>
  <c r="CU199" i="1"/>
  <c r="CT202" i="1"/>
  <c r="CT201" i="1"/>
  <c r="CT199" i="1"/>
  <c r="CU197" i="1"/>
  <c r="CT197" i="1"/>
  <c r="CU196" i="1"/>
  <c r="CU195" i="1"/>
  <c r="CU172" i="1"/>
  <c r="CT196" i="1"/>
  <c r="CT195" i="1"/>
  <c r="CT172" i="1"/>
  <c r="CU193" i="1"/>
  <c r="CT193" i="1"/>
  <c r="CU191" i="1"/>
  <c r="CT191" i="1"/>
  <c r="CU189" i="1"/>
  <c r="CT189" i="1"/>
  <c r="CU187" i="1"/>
  <c r="CT187" i="1"/>
  <c r="CU185" i="1"/>
  <c r="CT185" i="1"/>
  <c r="CU184" i="1"/>
  <c r="CT184" i="1"/>
  <c r="CU182" i="1"/>
  <c r="CT182" i="1"/>
  <c r="CU180" i="1"/>
  <c r="CU179" i="1"/>
  <c r="CT180" i="1"/>
  <c r="CT179" i="1"/>
  <c r="CU177" i="1"/>
  <c r="CT177" i="1"/>
  <c r="CU176" i="1"/>
  <c r="CT176" i="1"/>
  <c r="CU175" i="1"/>
  <c r="CU174" i="1"/>
  <c r="CT175" i="1"/>
  <c r="CT174" i="1"/>
  <c r="CU170" i="1"/>
  <c r="CT170" i="1"/>
  <c r="CT168" i="1"/>
  <c r="CT169" i="1"/>
  <c r="CU169" i="1"/>
  <c r="CU168" i="1"/>
  <c r="CU165" i="1"/>
  <c r="CT165" i="1"/>
  <c r="CU163" i="1"/>
  <c r="CT163" i="1"/>
  <c r="CU162" i="1"/>
  <c r="CT162" i="1"/>
  <c r="CU161" i="1"/>
  <c r="CT161" i="1"/>
  <c r="CU160" i="1"/>
  <c r="CT160" i="1"/>
  <c r="CU159" i="1"/>
  <c r="CT159" i="1"/>
  <c r="CU158" i="1"/>
  <c r="CT158" i="1"/>
  <c r="CU157" i="1"/>
  <c r="CT157" i="1"/>
  <c r="CU156" i="1"/>
  <c r="CT156" i="1"/>
  <c r="CU153" i="1"/>
  <c r="CU149" i="1"/>
  <c r="CT153" i="1"/>
  <c r="CT149" i="1"/>
  <c r="CU152" i="1"/>
  <c r="CT152" i="1"/>
  <c r="CU151" i="1"/>
  <c r="CT151" i="1"/>
  <c r="CU150" i="1"/>
  <c r="CT150" i="1"/>
  <c r="CU147" i="1"/>
  <c r="CT147" i="1"/>
  <c r="CU146" i="1"/>
  <c r="CT146" i="1"/>
  <c r="CU145" i="1"/>
  <c r="CT145" i="1"/>
  <c r="CU144" i="1"/>
  <c r="CT144" i="1"/>
  <c r="CU143" i="1"/>
  <c r="CT143" i="1"/>
  <c r="CU142" i="1"/>
  <c r="CT142" i="1"/>
  <c r="CU141" i="1"/>
  <c r="CT141" i="1"/>
  <c r="CU140" i="1"/>
  <c r="CT140" i="1"/>
  <c r="CU139" i="1"/>
  <c r="CT139" i="1"/>
  <c r="CU137" i="1"/>
  <c r="CT137" i="1"/>
  <c r="CU134" i="1"/>
  <c r="CT134" i="1"/>
  <c r="CU133" i="1"/>
  <c r="CT133" i="1"/>
  <c r="CU132" i="1"/>
  <c r="CT132" i="1"/>
  <c r="CU129" i="1"/>
  <c r="CT129" i="1"/>
  <c r="CU128" i="1"/>
  <c r="CT128" i="1"/>
  <c r="CU127" i="1"/>
  <c r="CT127" i="1"/>
  <c r="CU126" i="1"/>
  <c r="CT126" i="1"/>
  <c r="CU125" i="1"/>
  <c r="CT125" i="1"/>
  <c r="CU123" i="1"/>
  <c r="CT123" i="1"/>
  <c r="CU122" i="1"/>
  <c r="CT122" i="1"/>
  <c r="CU121" i="1"/>
  <c r="CT121" i="1"/>
  <c r="CU120" i="1"/>
  <c r="CT120" i="1"/>
  <c r="CU119" i="1"/>
  <c r="CT119" i="1"/>
  <c r="CU116" i="1"/>
  <c r="CT116" i="1"/>
  <c r="CU115" i="1"/>
  <c r="CT115" i="1"/>
  <c r="CU114" i="1"/>
  <c r="CT114" i="1"/>
  <c r="CU113" i="1"/>
  <c r="CT113" i="1"/>
  <c r="CU112" i="1"/>
  <c r="CT112" i="1"/>
  <c r="CU109" i="1"/>
  <c r="CT109" i="1"/>
  <c r="CU108" i="1"/>
  <c r="CT108" i="1"/>
  <c r="CU107" i="1"/>
  <c r="CU106" i="1"/>
  <c r="CT107" i="1"/>
  <c r="CT106" i="1"/>
  <c r="CU102" i="1"/>
  <c r="CT102" i="1"/>
  <c r="CU101" i="1"/>
  <c r="CT101" i="1"/>
  <c r="CU100" i="1"/>
  <c r="CT100" i="1"/>
  <c r="CU99" i="1"/>
  <c r="CT99" i="1"/>
  <c r="CU98" i="1"/>
  <c r="CT98" i="1"/>
  <c r="CU97" i="1"/>
  <c r="CT97" i="1"/>
  <c r="CU96" i="1"/>
  <c r="CT96" i="1"/>
  <c r="CU95" i="1"/>
  <c r="CT95" i="1"/>
  <c r="CU92" i="1"/>
  <c r="CU86" i="1"/>
  <c r="CT92" i="1"/>
  <c r="CU91" i="1"/>
  <c r="CT91" i="1"/>
  <c r="CU90" i="1"/>
  <c r="CT90" i="1"/>
  <c r="CU89" i="1"/>
  <c r="CT89" i="1"/>
  <c r="CU88" i="1"/>
  <c r="CT88" i="1"/>
  <c r="CU87" i="1"/>
  <c r="CT87" i="1"/>
  <c r="CT86" i="1"/>
  <c r="CU84" i="1"/>
  <c r="CT84" i="1"/>
  <c r="CU83" i="1"/>
  <c r="CT83" i="1"/>
  <c r="CU82" i="1"/>
  <c r="CT82" i="1"/>
  <c r="CU80" i="1"/>
  <c r="CU77" i="1"/>
  <c r="CT80" i="1"/>
  <c r="CT77" i="1"/>
  <c r="CU79" i="1"/>
  <c r="CT79" i="1"/>
  <c r="CU78" i="1"/>
  <c r="CT78" i="1"/>
  <c r="CU75" i="1"/>
  <c r="CU72" i="1"/>
  <c r="CT75" i="1"/>
  <c r="CU74" i="1"/>
  <c r="CT74" i="1"/>
  <c r="CU73" i="1"/>
  <c r="CT73" i="1"/>
  <c r="CT72" i="1"/>
  <c r="CU70" i="1"/>
  <c r="CT70" i="1"/>
  <c r="CU69" i="1"/>
  <c r="CT69" i="1"/>
  <c r="CU68" i="1"/>
  <c r="CT68" i="1"/>
  <c r="CT67" i="1"/>
  <c r="CU67" i="1"/>
  <c r="CU65" i="1"/>
  <c r="CT65" i="1"/>
  <c r="CU64" i="1"/>
  <c r="CU63" i="1"/>
  <c r="CT64" i="1"/>
  <c r="CT63" i="1"/>
  <c r="CU61" i="1"/>
  <c r="CT61" i="1"/>
  <c r="CU59" i="1"/>
  <c r="CT59" i="1"/>
  <c r="CU58" i="1"/>
  <c r="CT58" i="1"/>
  <c r="CU57" i="1"/>
  <c r="CT57" i="1"/>
  <c r="CU56" i="1"/>
  <c r="CT56" i="1"/>
  <c r="CU55" i="1"/>
  <c r="CT55" i="1"/>
  <c r="CU54" i="1"/>
  <c r="CT54" i="1"/>
  <c r="CU53" i="1"/>
  <c r="CU52" i="1"/>
  <c r="CT53" i="1"/>
  <c r="CT52" i="1"/>
  <c r="CU50" i="1"/>
  <c r="CT50" i="1"/>
  <c r="CU49" i="1"/>
  <c r="CT49" i="1"/>
  <c r="CU48" i="1"/>
  <c r="CT48" i="1"/>
  <c r="CU47" i="1"/>
  <c r="CT47" i="1"/>
  <c r="CU42" i="1"/>
  <c r="CT42" i="1"/>
  <c r="CU41" i="1"/>
  <c r="CT41" i="1"/>
  <c r="CU36" i="1"/>
  <c r="CT36" i="1"/>
  <c r="CU34" i="1"/>
  <c r="CT34" i="1"/>
  <c r="CU33" i="1"/>
  <c r="CT33" i="1"/>
  <c r="CU32" i="1"/>
  <c r="CT32" i="1"/>
  <c r="CU31" i="1"/>
  <c r="CU30" i="1"/>
  <c r="CT31" i="1"/>
  <c r="CT30" i="1"/>
  <c r="CU28" i="1"/>
  <c r="CT28" i="1"/>
  <c r="CU26" i="1"/>
  <c r="CT26" i="1"/>
  <c r="CU24" i="1"/>
  <c r="CT24" i="1"/>
  <c r="CU23" i="1"/>
  <c r="CT23" i="1"/>
  <c r="CU22" i="1"/>
  <c r="CU21" i="1"/>
  <c r="CT22" i="1"/>
  <c r="CT21" i="1"/>
  <c r="CU19" i="1"/>
  <c r="CT19" i="1"/>
  <c r="CU18" i="1"/>
  <c r="CT18" i="1"/>
  <c r="CU17" i="1"/>
  <c r="CU16" i="1"/>
  <c r="CT17" i="1"/>
  <c r="CT16" i="1"/>
  <c r="CW863" i="1"/>
  <c r="CV863" i="1"/>
  <c r="CW860" i="1"/>
  <c r="CV860" i="1"/>
  <c r="CW856" i="1"/>
  <c r="CV856" i="1"/>
  <c r="CW845" i="1"/>
  <c r="CV845" i="1"/>
  <c r="CW842" i="1"/>
  <c r="CV842" i="1"/>
  <c r="CW827" i="1"/>
  <c r="CV827" i="1"/>
  <c r="CW790" i="1"/>
  <c r="CV790" i="1"/>
  <c r="CW783" i="1"/>
  <c r="CV783" i="1"/>
  <c r="CW768" i="1"/>
  <c r="CV768" i="1"/>
  <c r="CW742" i="1"/>
  <c r="CV742" i="1"/>
  <c r="CW738" i="1"/>
  <c r="CV738" i="1"/>
  <c r="CW728" i="1"/>
  <c r="CV728" i="1"/>
  <c r="CW725" i="1"/>
  <c r="CV725" i="1"/>
  <c r="CV721" i="1"/>
  <c r="CW718" i="1"/>
  <c r="CV718" i="1"/>
  <c r="CW711" i="1"/>
  <c r="CW691" i="1"/>
  <c r="CV711" i="1"/>
  <c r="CV691" i="1"/>
  <c r="CW705" i="1"/>
  <c r="CV705" i="1"/>
  <c r="CW702" i="1"/>
  <c r="CV702" i="1"/>
  <c r="CW699" i="1"/>
  <c r="CV699" i="1"/>
  <c r="CW696" i="1"/>
  <c r="CV696" i="1"/>
  <c r="CW693" i="1"/>
  <c r="CV693" i="1"/>
  <c r="CW685" i="1"/>
  <c r="CV685" i="1"/>
  <c r="CW681" i="1"/>
  <c r="CV681" i="1"/>
  <c r="CW669" i="1"/>
  <c r="CW664" i="1"/>
  <c r="CV669" i="1"/>
  <c r="CV664" i="1"/>
  <c r="CW666" i="1"/>
  <c r="CV666" i="1"/>
  <c r="CW655" i="1"/>
  <c r="CV655" i="1"/>
  <c r="CW645" i="1"/>
  <c r="CV645" i="1"/>
  <c r="CW637" i="1"/>
  <c r="CV637" i="1"/>
  <c r="CW634" i="1"/>
  <c r="CV634" i="1"/>
  <c r="CW632" i="1"/>
  <c r="CW630" i="1"/>
  <c r="CW628" i="1"/>
  <c r="CV632" i="1"/>
  <c r="CV630" i="1"/>
  <c r="CV628" i="1"/>
  <c r="CW625" i="1"/>
  <c r="CV625" i="1"/>
  <c r="CW621" i="1"/>
  <c r="CV621" i="1"/>
  <c r="CW616" i="1"/>
  <c r="CV616" i="1"/>
  <c r="CW613" i="1"/>
  <c r="CV613" i="1"/>
  <c r="CW611" i="1"/>
  <c r="CV611" i="1"/>
  <c r="CW606" i="1"/>
  <c r="CV606" i="1"/>
  <c r="CW600" i="1"/>
  <c r="CV600" i="1"/>
  <c r="CW592" i="1"/>
  <c r="CV592" i="1"/>
  <c r="CW585" i="1"/>
  <c r="CV585" i="1"/>
  <c r="CW581" i="1"/>
  <c r="CV581" i="1"/>
  <c r="CV579" i="1"/>
  <c r="CW571" i="1"/>
  <c r="CW569" i="1"/>
  <c r="CW567" i="1"/>
  <c r="CV571" i="1"/>
  <c r="CV569" i="1"/>
  <c r="CV567" i="1"/>
  <c r="CW563" i="1"/>
  <c r="CV563" i="1"/>
  <c r="CW558" i="1"/>
  <c r="CV558" i="1"/>
  <c r="CW555" i="1"/>
  <c r="CV555" i="1"/>
  <c r="CW549" i="1"/>
  <c r="CV549" i="1"/>
  <c r="CW543" i="1"/>
  <c r="CV543" i="1"/>
  <c r="CW541" i="1"/>
  <c r="CV541" i="1"/>
  <c r="CW535" i="1"/>
  <c r="CV535" i="1"/>
  <c r="CW532" i="1"/>
  <c r="CV532" i="1"/>
  <c r="CW526" i="1"/>
  <c r="CV526" i="1"/>
  <c r="CW507" i="1"/>
  <c r="CV507" i="1"/>
  <c r="CW505" i="1"/>
  <c r="CV505" i="1"/>
  <c r="CW500" i="1"/>
  <c r="CV500" i="1"/>
  <c r="CW488" i="1"/>
  <c r="CV488" i="1"/>
  <c r="CW482" i="1"/>
  <c r="CV482" i="1"/>
  <c r="CW472" i="1"/>
  <c r="CV472" i="1"/>
  <c r="CW464" i="1"/>
  <c r="CV464" i="1"/>
  <c r="CW458" i="1"/>
  <c r="CV458" i="1"/>
  <c r="CW451" i="1"/>
  <c r="CV451" i="1"/>
  <c r="CW444" i="1"/>
  <c r="CV444" i="1"/>
  <c r="CW439" i="1"/>
  <c r="CV439" i="1"/>
  <c r="CW437" i="1"/>
  <c r="CV437" i="1"/>
  <c r="CW427" i="1"/>
  <c r="CV427" i="1"/>
  <c r="CW419" i="1"/>
  <c r="CV419" i="1"/>
  <c r="CW416" i="1"/>
  <c r="CV416" i="1"/>
  <c r="CW411" i="1"/>
  <c r="CV411" i="1"/>
  <c r="CW406" i="1"/>
  <c r="CV406" i="1"/>
  <c r="CW401" i="1"/>
  <c r="CV401" i="1"/>
  <c r="CW397" i="1"/>
  <c r="CV397" i="1"/>
  <c r="CV386" i="1"/>
  <c r="CV378" i="1"/>
  <c r="CW386" i="1"/>
  <c r="CW380" i="1"/>
  <c r="CV380" i="1"/>
  <c r="CW378" i="1"/>
  <c r="CW375" i="1"/>
  <c r="CV375" i="1"/>
  <c r="CW368" i="1"/>
  <c r="CW366" i="1"/>
  <c r="CV368" i="1"/>
  <c r="CV366" i="1"/>
  <c r="CW361" i="1"/>
  <c r="CV361" i="1"/>
  <c r="CW358" i="1"/>
  <c r="CV358" i="1"/>
  <c r="CW354" i="1"/>
  <c r="CV354" i="1"/>
  <c r="CW349" i="1"/>
  <c r="CW347" i="1"/>
  <c r="CV349" i="1"/>
  <c r="CV347" i="1"/>
  <c r="CW329" i="1"/>
  <c r="CV329" i="1"/>
  <c r="CW326" i="1"/>
  <c r="CV326" i="1"/>
  <c r="CW322" i="1"/>
  <c r="CV322" i="1"/>
  <c r="CW319" i="1"/>
  <c r="CV319" i="1"/>
  <c r="CW316" i="1"/>
  <c r="CV316" i="1"/>
  <c r="CW313" i="1"/>
  <c r="CV313" i="1"/>
  <c r="CW310" i="1"/>
  <c r="CV310" i="1"/>
  <c r="CV308" i="1"/>
  <c r="CW305" i="1"/>
  <c r="CV305" i="1"/>
  <c r="CW302" i="1"/>
  <c r="CV302" i="1"/>
  <c r="CW298" i="1"/>
  <c r="CV298" i="1"/>
  <c r="CW293" i="1"/>
  <c r="CV293" i="1"/>
  <c r="CW288" i="1"/>
  <c r="CV288" i="1"/>
  <c r="CW279" i="1"/>
  <c r="CV279" i="1"/>
  <c r="CW275" i="1"/>
  <c r="CV275" i="1"/>
  <c r="CW267" i="1"/>
  <c r="CV267" i="1"/>
  <c r="CW259" i="1"/>
  <c r="CV259" i="1"/>
  <c r="CW251" i="1"/>
  <c r="CV251" i="1"/>
  <c r="CW246" i="1"/>
  <c r="CV246" i="1"/>
  <c r="CW244" i="1"/>
  <c r="CV244" i="1"/>
  <c r="CW238" i="1"/>
  <c r="CV238" i="1"/>
  <c r="CW237" i="1"/>
  <c r="CW236" i="1"/>
  <c r="CW215" i="1"/>
  <c r="CW212" i="1"/>
  <c r="CW220" i="1"/>
  <c r="CW221" i="1"/>
  <c r="CW218" i="1"/>
  <c r="CW210" i="1"/>
  <c r="CV237" i="1"/>
  <c r="CV236" i="1"/>
  <c r="CV215" i="1"/>
  <c r="CV212" i="1"/>
  <c r="CV220" i="1"/>
  <c r="CV221" i="1"/>
  <c r="CV218" i="1"/>
  <c r="CV210" i="1"/>
  <c r="CW234" i="1"/>
  <c r="CV234" i="1"/>
  <c r="CW233" i="1"/>
  <c r="CV233" i="1"/>
  <c r="CW231" i="1"/>
  <c r="CW230" i="1"/>
  <c r="CV231" i="1"/>
  <c r="CV230" i="1"/>
  <c r="CW228" i="1"/>
  <c r="CW227" i="1"/>
  <c r="CV228" i="1"/>
  <c r="CV227" i="1"/>
  <c r="CW225" i="1"/>
  <c r="CW224" i="1"/>
  <c r="CV225" i="1"/>
  <c r="CV224" i="1"/>
  <c r="CW222" i="1"/>
  <c r="CV222" i="1"/>
  <c r="CW219" i="1"/>
  <c r="CV219" i="1"/>
  <c r="CW216" i="1"/>
  <c r="CV216" i="1"/>
  <c r="CW214" i="1"/>
  <c r="CV214" i="1"/>
  <c r="CW213" i="1"/>
  <c r="CV213" i="1"/>
  <c r="CW205" i="1"/>
  <c r="CV205" i="1"/>
  <c r="CW204" i="1"/>
  <c r="CV204" i="1"/>
  <c r="CW202" i="1"/>
  <c r="CW201" i="1"/>
  <c r="CW199" i="1"/>
  <c r="CV202" i="1"/>
  <c r="CV201" i="1"/>
  <c r="CV199" i="1"/>
  <c r="CW197" i="1"/>
  <c r="CV197" i="1"/>
  <c r="CW196" i="1"/>
  <c r="CV196" i="1"/>
  <c r="CW195" i="1"/>
  <c r="CV195" i="1"/>
  <c r="CW193" i="1"/>
  <c r="CV193" i="1"/>
  <c r="CW191" i="1"/>
  <c r="CV191" i="1"/>
  <c r="CW189" i="1"/>
  <c r="CV189" i="1"/>
  <c r="CW187" i="1"/>
  <c r="CV187" i="1"/>
  <c r="CW185" i="1"/>
  <c r="CV185" i="1"/>
  <c r="CW184" i="1"/>
  <c r="CV184" i="1"/>
  <c r="CW182" i="1"/>
  <c r="CV182" i="1"/>
  <c r="CW180" i="1"/>
  <c r="CW179" i="1"/>
  <c r="CV180" i="1"/>
  <c r="CV179" i="1"/>
  <c r="CW177" i="1"/>
  <c r="CV177" i="1"/>
  <c r="CW176" i="1"/>
  <c r="CV176" i="1"/>
  <c r="CW175" i="1"/>
  <c r="CW174" i="1"/>
  <c r="CV175" i="1"/>
  <c r="CV174" i="1"/>
  <c r="CV172" i="1"/>
  <c r="CW170" i="1"/>
  <c r="CV170" i="1"/>
  <c r="CW169" i="1"/>
  <c r="CV169" i="1"/>
  <c r="CW168" i="1"/>
  <c r="CV168" i="1"/>
  <c r="CW165" i="1"/>
  <c r="CV165" i="1"/>
  <c r="CW163" i="1"/>
  <c r="CV163" i="1"/>
  <c r="CW162" i="1"/>
  <c r="CV162" i="1"/>
  <c r="CW161" i="1"/>
  <c r="CV161" i="1"/>
  <c r="CW160" i="1"/>
  <c r="CV160" i="1"/>
  <c r="CW159" i="1"/>
  <c r="CV159" i="1"/>
  <c r="CW158" i="1"/>
  <c r="CV158" i="1"/>
  <c r="CW157" i="1"/>
  <c r="CV157" i="1"/>
  <c r="CW156" i="1"/>
  <c r="CV156" i="1"/>
  <c r="CW153" i="1"/>
  <c r="CV153" i="1"/>
  <c r="CW152" i="1"/>
  <c r="CV152" i="1"/>
  <c r="CW151" i="1"/>
  <c r="CV151" i="1"/>
  <c r="CW150" i="1"/>
  <c r="CW149" i="1"/>
  <c r="CV150" i="1"/>
  <c r="CV149" i="1"/>
  <c r="CW147" i="1"/>
  <c r="CV147" i="1"/>
  <c r="CW146" i="1"/>
  <c r="CV146" i="1"/>
  <c r="CW145" i="1"/>
  <c r="CV145" i="1"/>
  <c r="CW144" i="1"/>
  <c r="CV144" i="1"/>
  <c r="CW143" i="1"/>
  <c r="CV143" i="1"/>
  <c r="CW142" i="1"/>
  <c r="CV142" i="1"/>
  <c r="CW141" i="1"/>
  <c r="CV141" i="1"/>
  <c r="CW140" i="1"/>
  <c r="CV140" i="1"/>
  <c r="CW139" i="1"/>
  <c r="CV139" i="1"/>
  <c r="CW137" i="1"/>
  <c r="CV137" i="1"/>
  <c r="CW134" i="1"/>
  <c r="CV134" i="1"/>
  <c r="CW133" i="1"/>
  <c r="CV133" i="1"/>
  <c r="CW132" i="1"/>
  <c r="CV132" i="1"/>
  <c r="CW129" i="1"/>
  <c r="CV129" i="1"/>
  <c r="CW128" i="1"/>
  <c r="CV128" i="1"/>
  <c r="CW127" i="1"/>
  <c r="CV127" i="1"/>
  <c r="CW126" i="1"/>
  <c r="CV126" i="1"/>
  <c r="CW125" i="1"/>
  <c r="CV125" i="1"/>
  <c r="CW123" i="1"/>
  <c r="CV123" i="1"/>
  <c r="CW122" i="1"/>
  <c r="CV122" i="1"/>
  <c r="CW121" i="1"/>
  <c r="CV121" i="1"/>
  <c r="CW120" i="1"/>
  <c r="CV120" i="1"/>
  <c r="CW119" i="1"/>
  <c r="CV119" i="1"/>
  <c r="CW116" i="1"/>
  <c r="CV116" i="1"/>
  <c r="CW115" i="1"/>
  <c r="CV115" i="1"/>
  <c r="CW114" i="1"/>
  <c r="CW111" i="1"/>
  <c r="CV114" i="1"/>
  <c r="CW113" i="1"/>
  <c r="CV113" i="1"/>
  <c r="CW112" i="1"/>
  <c r="CV112" i="1"/>
  <c r="CW109" i="1"/>
  <c r="CV109" i="1"/>
  <c r="CW108" i="1"/>
  <c r="CV108" i="1"/>
  <c r="CW107" i="1"/>
  <c r="CW106" i="1"/>
  <c r="CV107" i="1"/>
  <c r="CV106" i="1"/>
  <c r="CW102" i="1"/>
  <c r="CV102" i="1"/>
  <c r="CW101" i="1"/>
  <c r="CV101" i="1"/>
  <c r="CW100" i="1"/>
  <c r="CV100" i="1"/>
  <c r="CW99" i="1"/>
  <c r="CV99" i="1"/>
  <c r="CW98" i="1"/>
  <c r="CV98" i="1"/>
  <c r="CW97" i="1"/>
  <c r="CV97" i="1"/>
  <c r="CW96" i="1"/>
  <c r="CV96" i="1"/>
  <c r="CW95" i="1"/>
  <c r="CV95" i="1"/>
  <c r="CW92" i="1"/>
  <c r="CV92" i="1"/>
  <c r="CW91" i="1"/>
  <c r="CV91" i="1"/>
  <c r="CW90" i="1"/>
  <c r="CV90" i="1"/>
  <c r="CW89" i="1"/>
  <c r="CV89" i="1"/>
  <c r="CW88" i="1"/>
  <c r="CV88" i="1"/>
  <c r="CW87" i="1"/>
  <c r="CW86" i="1"/>
  <c r="CV87" i="1"/>
  <c r="CV86" i="1"/>
  <c r="CW84" i="1"/>
  <c r="CV84" i="1"/>
  <c r="CW83" i="1"/>
  <c r="CV83" i="1"/>
  <c r="CW82" i="1"/>
  <c r="CV82" i="1"/>
  <c r="CW80" i="1"/>
  <c r="CV80" i="1"/>
  <c r="CV77" i="1"/>
  <c r="CW79" i="1"/>
  <c r="CV79" i="1"/>
  <c r="CW78" i="1"/>
  <c r="CV78" i="1"/>
  <c r="CW77" i="1"/>
  <c r="CW75" i="1"/>
  <c r="CW72" i="1"/>
  <c r="CV75" i="1"/>
  <c r="CV72" i="1"/>
  <c r="CW74" i="1"/>
  <c r="CV74" i="1"/>
  <c r="CW73" i="1"/>
  <c r="CV73" i="1"/>
  <c r="CW70" i="1"/>
  <c r="CV70" i="1"/>
  <c r="CV67" i="1"/>
  <c r="CW69" i="1"/>
  <c r="CV69" i="1"/>
  <c r="CW68" i="1"/>
  <c r="CW67" i="1"/>
  <c r="CV68" i="1"/>
  <c r="CW65" i="1"/>
  <c r="CV65" i="1"/>
  <c r="CW64" i="1"/>
  <c r="CW63" i="1"/>
  <c r="CV64" i="1"/>
  <c r="CV63" i="1"/>
  <c r="CW61" i="1"/>
  <c r="CV61" i="1"/>
  <c r="CW59" i="1"/>
  <c r="CV59" i="1"/>
  <c r="CW58" i="1"/>
  <c r="CV58" i="1"/>
  <c r="CW57" i="1"/>
  <c r="CV57" i="1"/>
  <c r="CW56" i="1"/>
  <c r="CV56" i="1"/>
  <c r="CW55" i="1"/>
  <c r="CV55" i="1"/>
  <c r="CW54" i="1"/>
  <c r="CV54" i="1"/>
  <c r="CW53" i="1"/>
  <c r="CW52" i="1"/>
  <c r="CV53" i="1"/>
  <c r="CV52" i="1"/>
  <c r="CW50" i="1"/>
  <c r="CV50" i="1"/>
  <c r="CW49" i="1"/>
  <c r="CV49" i="1"/>
  <c r="CW48" i="1"/>
  <c r="CV48" i="1"/>
  <c r="CW47" i="1"/>
  <c r="CV47" i="1"/>
  <c r="CV46" i="1"/>
  <c r="CW42" i="1"/>
  <c r="CV42" i="1"/>
  <c r="CW41" i="1"/>
  <c r="CV41" i="1"/>
  <c r="CW38" i="1"/>
  <c r="CW36" i="1"/>
  <c r="CV36" i="1"/>
  <c r="CW34" i="1"/>
  <c r="CV34" i="1"/>
  <c r="CW33" i="1"/>
  <c r="CV33" i="1"/>
  <c r="CW32" i="1"/>
  <c r="CV32" i="1"/>
  <c r="CW31" i="1"/>
  <c r="CW30" i="1"/>
  <c r="CV31" i="1"/>
  <c r="CV30" i="1"/>
  <c r="CW28" i="1"/>
  <c r="CV28" i="1"/>
  <c r="CW26" i="1"/>
  <c r="CV26" i="1"/>
  <c r="CW24" i="1"/>
  <c r="CV24" i="1"/>
  <c r="CW23" i="1"/>
  <c r="CV23" i="1"/>
  <c r="CW22" i="1"/>
  <c r="CW21" i="1"/>
  <c r="CV22" i="1"/>
  <c r="CV21" i="1"/>
  <c r="CW19" i="1"/>
  <c r="CV19" i="1"/>
  <c r="CW18" i="1"/>
  <c r="CV18" i="1"/>
  <c r="CW17" i="1"/>
  <c r="CW16" i="1"/>
  <c r="CW14" i="1"/>
  <c r="CV17" i="1"/>
  <c r="CV16" i="1"/>
  <c r="CY863" i="1"/>
  <c r="CX863" i="1"/>
  <c r="CY860" i="1"/>
  <c r="CX860" i="1"/>
  <c r="CY856" i="1"/>
  <c r="CX856" i="1"/>
  <c r="CY845" i="1"/>
  <c r="CX845" i="1"/>
  <c r="CY842" i="1"/>
  <c r="CX842" i="1"/>
  <c r="CY827" i="1"/>
  <c r="CX827" i="1"/>
  <c r="CY790" i="1"/>
  <c r="CX790" i="1"/>
  <c r="CY783" i="1"/>
  <c r="CX783" i="1"/>
  <c r="CY768" i="1"/>
  <c r="CX768" i="1"/>
  <c r="CY742" i="1"/>
  <c r="CX742" i="1"/>
  <c r="CY738" i="1"/>
  <c r="CX738" i="1"/>
  <c r="CY728" i="1"/>
  <c r="CX728" i="1"/>
  <c r="CY725" i="1"/>
  <c r="CX725" i="1"/>
  <c r="CY718" i="1"/>
  <c r="CX718" i="1"/>
  <c r="CY711" i="1"/>
  <c r="CX711" i="1"/>
  <c r="CY705" i="1"/>
  <c r="CX705" i="1"/>
  <c r="CY702" i="1"/>
  <c r="CX702" i="1"/>
  <c r="CY699" i="1"/>
  <c r="CX699" i="1"/>
  <c r="CY696" i="1"/>
  <c r="CX696" i="1"/>
  <c r="CY693" i="1"/>
  <c r="CX693" i="1"/>
  <c r="CY685" i="1"/>
  <c r="CX685" i="1"/>
  <c r="CY681" i="1"/>
  <c r="CX681" i="1"/>
  <c r="CY669" i="1"/>
  <c r="CY664" i="1"/>
  <c r="CX669" i="1"/>
  <c r="CX664" i="1"/>
  <c r="CY666" i="1"/>
  <c r="CX666" i="1"/>
  <c r="CY655" i="1"/>
  <c r="CX655" i="1"/>
  <c r="CY645" i="1"/>
  <c r="CX645" i="1"/>
  <c r="CY637" i="1"/>
  <c r="CX637" i="1"/>
  <c r="CY634" i="1"/>
  <c r="CY632" i="1"/>
  <c r="CY630" i="1"/>
  <c r="CY628" i="1"/>
  <c r="CX634" i="1"/>
  <c r="CX632" i="1"/>
  <c r="CX630" i="1"/>
  <c r="CX628" i="1"/>
  <c r="CY625" i="1"/>
  <c r="CX625" i="1"/>
  <c r="CY621" i="1"/>
  <c r="CX621" i="1"/>
  <c r="CY619" i="1"/>
  <c r="CX619" i="1"/>
  <c r="CY616" i="1"/>
  <c r="CX616" i="1"/>
  <c r="CY613" i="1"/>
  <c r="CX613" i="1"/>
  <c r="CX611" i="1"/>
  <c r="CX609" i="1"/>
  <c r="CY606" i="1"/>
  <c r="CX606" i="1"/>
  <c r="CY600" i="1"/>
  <c r="CX600" i="1"/>
  <c r="CY592" i="1"/>
  <c r="CX592" i="1"/>
  <c r="CY585" i="1"/>
  <c r="CX585" i="1"/>
  <c r="CY581" i="1"/>
  <c r="CX581" i="1"/>
  <c r="CY579" i="1"/>
  <c r="CX579" i="1"/>
  <c r="CY571" i="1"/>
  <c r="CX571" i="1"/>
  <c r="CY569" i="1"/>
  <c r="CY567" i="1"/>
  <c r="CX569" i="1"/>
  <c r="CX567" i="1"/>
  <c r="CY563" i="1"/>
  <c r="CX563" i="1"/>
  <c r="CY558" i="1"/>
  <c r="CX558" i="1"/>
  <c r="CY555" i="1"/>
  <c r="CX555" i="1"/>
  <c r="CY549" i="1"/>
  <c r="CX549" i="1"/>
  <c r="CY543" i="1"/>
  <c r="CX543" i="1"/>
  <c r="CY535" i="1"/>
  <c r="CX535" i="1"/>
  <c r="CY532" i="1"/>
  <c r="CX532" i="1"/>
  <c r="CY526" i="1"/>
  <c r="CX526" i="1"/>
  <c r="CY507" i="1"/>
  <c r="CY505" i="1"/>
  <c r="CX507" i="1"/>
  <c r="CX505" i="1"/>
  <c r="CY500" i="1"/>
  <c r="CX500" i="1"/>
  <c r="CY488" i="1"/>
  <c r="CX488" i="1"/>
  <c r="CY482" i="1"/>
  <c r="CX482" i="1"/>
  <c r="CY472" i="1"/>
  <c r="CX472" i="1"/>
  <c r="CY464" i="1"/>
  <c r="CX464" i="1"/>
  <c r="CY458" i="1"/>
  <c r="CX458" i="1"/>
  <c r="CY451" i="1"/>
  <c r="CX451" i="1"/>
  <c r="CY444" i="1"/>
  <c r="CX444" i="1"/>
  <c r="CY439" i="1"/>
  <c r="CX439" i="1"/>
  <c r="CY427" i="1"/>
  <c r="CX427" i="1"/>
  <c r="CY419" i="1"/>
  <c r="CX419" i="1"/>
  <c r="CY416" i="1"/>
  <c r="CX416" i="1"/>
  <c r="CY411" i="1"/>
  <c r="CX411" i="1"/>
  <c r="CY406" i="1"/>
  <c r="CX406" i="1"/>
  <c r="CY401" i="1"/>
  <c r="CX401" i="1"/>
  <c r="CY397" i="1"/>
  <c r="CX397" i="1"/>
  <c r="CY386" i="1"/>
  <c r="CX386" i="1"/>
  <c r="CY380" i="1"/>
  <c r="CX380" i="1"/>
  <c r="CY375" i="1"/>
  <c r="CX375" i="1"/>
  <c r="CY368" i="1"/>
  <c r="CX368" i="1"/>
  <c r="CY366" i="1"/>
  <c r="CX366" i="1"/>
  <c r="CY361" i="1"/>
  <c r="CX361" i="1"/>
  <c r="CY358" i="1"/>
  <c r="CX358" i="1"/>
  <c r="CY354" i="1"/>
  <c r="CX354" i="1"/>
  <c r="CY349" i="1"/>
  <c r="CX349" i="1"/>
  <c r="CY347" i="1"/>
  <c r="CX347" i="1"/>
  <c r="CY329" i="1"/>
  <c r="CX329" i="1"/>
  <c r="CY326" i="1"/>
  <c r="CX326" i="1"/>
  <c r="CY322" i="1"/>
  <c r="CY308" i="1"/>
  <c r="CX322" i="1"/>
  <c r="CY319" i="1"/>
  <c r="CX319" i="1"/>
  <c r="CY316" i="1"/>
  <c r="CX316" i="1"/>
  <c r="CY313" i="1"/>
  <c r="CX313" i="1"/>
  <c r="CY310" i="1"/>
  <c r="CX310" i="1"/>
  <c r="CX308" i="1"/>
  <c r="CY305" i="1"/>
  <c r="CX305" i="1"/>
  <c r="CY302" i="1"/>
  <c r="CX302" i="1"/>
  <c r="CY298" i="1"/>
  <c r="CX298" i="1"/>
  <c r="CY293" i="1"/>
  <c r="CX293" i="1"/>
  <c r="CY288" i="1"/>
  <c r="CX288" i="1"/>
  <c r="CY279" i="1"/>
  <c r="CX279" i="1"/>
  <c r="CY275" i="1"/>
  <c r="CX275" i="1"/>
  <c r="CY273" i="1"/>
  <c r="CX273" i="1"/>
  <c r="CY267" i="1"/>
  <c r="CX267" i="1"/>
  <c r="CY259" i="1"/>
  <c r="CX259" i="1"/>
  <c r="CY251" i="1"/>
  <c r="CX251" i="1"/>
  <c r="CY246" i="1"/>
  <c r="CY244" i="1"/>
  <c r="CX246" i="1"/>
  <c r="CX244" i="1"/>
  <c r="CY238" i="1"/>
  <c r="CX238" i="1"/>
  <c r="CY237" i="1"/>
  <c r="CX237" i="1"/>
  <c r="CX236" i="1"/>
  <c r="CX215" i="1"/>
  <c r="CX212" i="1"/>
  <c r="CX220" i="1"/>
  <c r="CX221" i="1"/>
  <c r="CX218" i="1"/>
  <c r="CX210" i="1"/>
  <c r="CY236" i="1"/>
  <c r="CY234" i="1"/>
  <c r="CY230" i="1"/>
  <c r="CX234" i="1"/>
  <c r="CX230" i="1"/>
  <c r="CY233" i="1"/>
  <c r="CX233" i="1"/>
  <c r="CY231" i="1"/>
  <c r="CX231" i="1"/>
  <c r="CY228" i="1"/>
  <c r="CY227" i="1"/>
  <c r="CX228" i="1"/>
  <c r="CX227" i="1"/>
  <c r="CY225" i="1"/>
  <c r="CY224" i="1"/>
  <c r="CX225" i="1"/>
  <c r="CX224" i="1"/>
  <c r="CY222" i="1"/>
  <c r="CX222" i="1"/>
  <c r="CY221" i="1"/>
  <c r="CY220" i="1"/>
  <c r="CY219" i="1"/>
  <c r="CX219" i="1"/>
  <c r="CY216" i="1"/>
  <c r="CX216" i="1"/>
  <c r="CY215" i="1"/>
  <c r="CY214" i="1"/>
  <c r="CX214" i="1"/>
  <c r="CY213" i="1"/>
  <c r="CY212" i="1"/>
  <c r="CX213" i="1"/>
  <c r="CY205" i="1"/>
  <c r="CY204" i="1"/>
  <c r="CX205" i="1"/>
  <c r="CX204" i="1"/>
  <c r="CY202" i="1"/>
  <c r="CY201" i="1"/>
  <c r="CX202" i="1"/>
  <c r="CX201" i="1"/>
  <c r="CY197" i="1"/>
  <c r="CX197" i="1"/>
  <c r="CY196" i="1"/>
  <c r="CX196" i="1"/>
  <c r="CX195" i="1"/>
  <c r="CX172" i="1"/>
  <c r="CY193" i="1"/>
  <c r="CX193" i="1"/>
  <c r="CY191" i="1"/>
  <c r="CX191" i="1"/>
  <c r="CY189" i="1"/>
  <c r="CX189" i="1"/>
  <c r="CY187" i="1"/>
  <c r="CX187" i="1"/>
  <c r="CY185" i="1"/>
  <c r="CY184" i="1"/>
  <c r="CX185" i="1"/>
  <c r="CX184" i="1"/>
  <c r="CY182" i="1"/>
  <c r="CX182" i="1"/>
  <c r="CY180" i="1"/>
  <c r="CX180" i="1"/>
  <c r="CY179" i="1"/>
  <c r="CX179" i="1"/>
  <c r="CY177" i="1"/>
  <c r="CX177" i="1"/>
  <c r="CY176" i="1"/>
  <c r="CX176" i="1"/>
  <c r="CY175" i="1"/>
  <c r="CX175" i="1"/>
  <c r="CY174" i="1"/>
  <c r="CX174" i="1"/>
  <c r="CY170" i="1"/>
  <c r="CX170" i="1"/>
  <c r="CY169" i="1"/>
  <c r="CX169" i="1"/>
  <c r="CY168" i="1"/>
  <c r="CX168" i="1"/>
  <c r="CY165" i="1"/>
  <c r="CX165" i="1"/>
  <c r="CY163" i="1"/>
  <c r="CX163" i="1"/>
  <c r="CY162" i="1"/>
  <c r="CX162" i="1"/>
  <c r="CY161" i="1"/>
  <c r="CX161" i="1"/>
  <c r="CY160" i="1"/>
  <c r="CX160" i="1"/>
  <c r="CX156" i="1"/>
  <c r="CX157" i="1"/>
  <c r="CX158" i="1"/>
  <c r="CX159" i="1"/>
  <c r="CX155" i="1"/>
  <c r="CY159" i="1"/>
  <c r="CY158" i="1"/>
  <c r="CY157" i="1"/>
  <c r="CY156" i="1"/>
  <c r="CY153" i="1"/>
  <c r="CX153" i="1"/>
  <c r="CY152" i="1"/>
  <c r="CX152" i="1"/>
  <c r="CY151" i="1"/>
  <c r="CX151" i="1"/>
  <c r="CY150" i="1"/>
  <c r="CX150" i="1"/>
  <c r="CY149" i="1"/>
  <c r="CX149" i="1"/>
  <c r="CY147" i="1"/>
  <c r="CX147" i="1"/>
  <c r="CY146" i="1"/>
  <c r="CX146" i="1"/>
  <c r="CY145" i="1"/>
  <c r="CX145" i="1"/>
  <c r="CY144" i="1"/>
  <c r="CX144" i="1"/>
  <c r="CY143" i="1"/>
  <c r="CX143" i="1"/>
  <c r="CY142" i="1"/>
  <c r="CX142" i="1"/>
  <c r="CY141" i="1"/>
  <c r="CX141" i="1"/>
  <c r="CY140" i="1"/>
  <c r="CY139" i="1"/>
  <c r="CX140" i="1"/>
  <c r="CX139" i="1"/>
  <c r="CY137" i="1"/>
  <c r="CX137" i="1"/>
  <c r="CY134" i="1"/>
  <c r="CX134" i="1"/>
  <c r="CY133" i="1"/>
  <c r="CX133" i="1"/>
  <c r="CY132" i="1"/>
  <c r="CX132" i="1"/>
  <c r="CY129" i="1"/>
  <c r="CX129" i="1"/>
  <c r="CY128" i="1"/>
  <c r="CX128" i="1"/>
  <c r="CY127" i="1"/>
  <c r="CX127" i="1"/>
  <c r="CY126" i="1"/>
  <c r="CY125" i="1"/>
  <c r="CX126" i="1"/>
  <c r="CX125" i="1"/>
  <c r="CY123" i="1"/>
  <c r="CX123" i="1"/>
  <c r="CY122" i="1"/>
  <c r="CX122" i="1"/>
  <c r="CY121" i="1"/>
  <c r="CX121" i="1"/>
  <c r="CY120" i="1"/>
  <c r="CX120" i="1"/>
  <c r="CY119" i="1"/>
  <c r="CX119" i="1"/>
  <c r="CY116" i="1"/>
  <c r="CX116" i="1"/>
  <c r="CY115" i="1"/>
  <c r="CX115" i="1"/>
  <c r="CY114" i="1"/>
  <c r="CX114" i="1"/>
  <c r="CY113" i="1"/>
  <c r="CX113" i="1"/>
  <c r="CY112" i="1"/>
  <c r="CX112" i="1"/>
  <c r="CY109" i="1"/>
  <c r="CX109" i="1"/>
  <c r="CY108" i="1"/>
  <c r="CX108" i="1"/>
  <c r="CY107" i="1"/>
  <c r="CY106" i="1"/>
  <c r="CX107" i="1"/>
  <c r="CX106" i="1"/>
  <c r="CY102" i="1"/>
  <c r="CX102" i="1"/>
  <c r="CY101" i="1"/>
  <c r="CX101" i="1"/>
  <c r="CY100" i="1"/>
  <c r="CX100" i="1"/>
  <c r="CY99" i="1"/>
  <c r="CX99" i="1"/>
  <c r="CY98" i="1"/>
  <c r="CX98" i="1"/>
  <c r="CY97" i="1"/>
  <c r="CX97" i="1"/>
  <c r="CY96" i="1"/>
  <c r="CX96" i="1"/>
  <c r="CY95" i="1"/>
  <c r="CX95" i="1"/>
  <c r="CX94" i="1"/>
  <c r="CY92" i="1"/>
  <c r="CX92" i="1"/>
  <c r="CY91" i="1"/>
  <c r="CX91" i="1"/>
  <c r="CY90" i="1"/>
  <c r="CX90" i="1"/>
  <c r="CY89" i="1"/>
  <c r="CX89" i="1"/>
  <c r="CY88" i="1"/>
  <c r="CX88" i="1"/>
  <c r="CY87" i="1"/>
  <c r="CX87" i="1"/>
  <c r="CY86" i="1"/>
  <c r="CX86" i="1"/>
  <c r="CY84" i="1"/>
  <c r="CX84" i="1"/>
  <c r="CY83" i="1"/>
  <c r="CY82" i="1"/>
  <c r="CX83" i="1"/>
  <c r="CX82" i="1"/>
  <c r="CY80" i="1"/>
  <c r="CX80" i="1"/>
  <c r="CX77" i="1"/>
  <c r="CY79" i="1"/>
  <c r="CX79" i="1"/>
  <c r="CY78" i="1"/>
  <c r="CY77" i="1"/>
  <c r="CX78" i="1"/>
  <c r="CY75" i="1"/>
  <c r="CX75" i="1"/>
  <c r="CY74" i="1"/>
  <c r="CX74" i="1"/>
  <c r="CY73" i="1"/>
  <c r="CY72" i="1"/>
  <c r="CX73" i="1"/>
  <c r="CX72" i="1"/>
  <c r="CY70" i="1"/>
  <c r="CX70" i="1"/>
  <c r="CY69" i="1"/>
  <c r="CY67" i="1"/>
  <c r="CX69" i="1"/>
  <c r="CY68" i="1"/>
  <c r="CX68" i="1"/>
  <c r="CY65" i="1"/>
  <c r="CX65" i="1"/>
  <c r="CY64" i="1"/>
  <c r="CY63" i="1"/>
  <c r="CX64" i="1"/>
  <c r="CX63" i="1"/>
  <c r="CY61" i="1"/>
  <c r="CX61" i="1"/>
  <c r="CY59" i="1"/>
  <c r="CY58" i="1"/>
  <c r="CY52" i="1"/>
  <c r="CX59" i="1"/>
  <c r="CX58" i="1"/>
  <c r="CY57" i="1"/>
  <c r="CX57" i="1"/>
  <c r="CY56" i="1"/>
  <c r="CX56" i="1"/>
  <c r="CY55" i="1"/>
  <c r="CX55" i="1"/>
  <c r="CY54" i="1"/>
  <c r="CX54" i="1"/>
  <c r="CY53" i="1"/>
  <c r="CX53" i="1"/>
  <c r="CX52" i="1"/>
  <c r="CY50" i="1"/>
  <c r="CX50" i="1"/>
  <c r="CY49" i="1"/>
  <c r="CX49" i="1"/>
  <c r="CY48" i="1"/>
  <c r="CX48" i="1"/>
  <c r="CY47" i="1"/>
  <c r="CY46" i="1"/>
  <c r="CX47" i="1"/>
  <c r="CX46" i="1"/>
  <c r="CY42" i="1"/>
  <c r="CX42" i="1"/>
  <c r="CY41" i="1"/>
  <c r="CX41" i="1"/>
  <c r="CY38" i="1"/>
  <c r="CY36" i="1"/>
  <c r="CX36" i="1"/>
  <c r="CY34" i="1"/>
  <c r="CX34" i="1"/>
  <c r="CY33" i="1"/>
  <c r="CX33" i="1"/>
  <c r="CY32" i="1"/>
  <c r="CX32" i="1"/>
  <c r="CY31" i="1"/>
  <c r="CX31" i="1"/>
  <c r="CY30" i="1"/>
  <c r="CX30" i="1"/>
  <c r="CY28" i="1"/>
  <c r="CX28" i="1"/>
  <c r="CY26" i="1"/>
  <c r="CX26" i="1"/>
  <c r="CY24" i="1"/>
  <c r="CX24" i="1"/>
  <c r="CY23" i="1"/>
  <c r="CX23" i="1"/>
  <c r="CY22" i="1"/>
  <c r="CX22" i="1"/>
  <c r="CY21" i="1"/>
  <c r="CX21" i="1"/>
  <c r="CY19" i="1"/>
  <c r="CX19" i="1"/>
  <c r="CY18" i="1"/>
  <c r="CX18" i="1"/>
  <c r="CY17" i="1"/>
  <c r="CY16" i="1"/>
  <c r="CY14" i="1"/>
  <c r="CX17" i="1"/>
  <c r="CX16" i="1"/>
  <c r="DA863" i="1"/>
  <c r="CZ863" i="1"/>
  <c r="DA860" i="1"/>
  <c r="CZ860" i="1"/>
  <c r="DA856" i="1"/>
  <c r="CZ856" i="1"/>
  <c r="DA845" i="1"/>
  <c r="CZ845" i="1"/>
  <c r="DA842" i="1"/>
  <c r="CZ842" i="1"/>
  <c r="DA827" i="1"/>
  <c r="CZ827" i="1"/>
  <c r="DA790" i="1"/>
  <c r="CZ790" i="1"/>
  <c r="DA783" i="1"/>
  <c r="CZ783" i="1"/>
  <c r="DA768" i="1"/>
  <c r="CZ768" i="1"/>
  <c r="DA742" i="1"/>
  <c r="CZ742" i="1"/>
  <c r="DA738" i="1"/>
  <c r="CZ738" i="1"/>
  <c r="DA728" i="1"/>
  <c r="CZ728" i="1"/>
  <c r="DA725" i="1"/>
  <c r="CZ725" i="1"/>
  <c r="DA718" i="1"/>
  <c r="CZ718" i="1"/>
  <c r="DA711" i="1"/>
  <c r="CZ711" i="1"/>
  <c r="DA705" i="1"/>
  <c r="CZ705" i="1"/>
  <c r="DA702" i="1"/>
  <c r="CZ702" i="1"/>
  <c r="DA699" i="1"/>
  <c r="CZ699" i="1"/>
  <c r="DA696" i="1"/>
  <c r="CZ696" i="1"/>
  <c r="DA693" i="1"/>
  <c r="CZ693" i="1"/>
  <c r="DA685" i="1"/>
  <c r="CZ685" i="1"/>
  <c r="DA681" i="1"/>
  <c r="CZ681" i="1"/>
  <c r="DA669" i="1"/>
  <c r="DA664" i="1"/>
  <c r="CZ669" i="1"/>
  <c r="CZ664" i="1"/>
  <c r="DA666" i="1"/>
  <c r="CZ666" i="1"/>
  <c r="DA655" i="1"/>
  <c r="CZ655" i="1"/>
  <c r="DA645" i="1"/>
  <c r="CZ645" i="1"/>
  <c r="DA637" i="1"/>
  <c r="CZ637" i="1"/>
  <c r="DA634" i="1"/>
  <c r="DA632" i="1"/>
  <c r="DA630" i="1"/>
  <c r="DA628" i="1"/>
  <c r="CZ634" i="1"/>
  <c r="CZ632" i="1"/>
  <c r="CZ630" i="1"/>
  <c r="CZ628" i="1"/>
  <c r="DA625" i="1"/>
  <c r="CZ625" i="1"/>
  <c r="DA621" i="1"/>
  <c r="CZ621" i="1"/>
  <c r="DA619" i="1"/>
  <c r="DA609" i="1"/>
  <c r="DA575" i="1"/>
  <c r="CZ619" i="1"/>
  <c r="DA616" i="1"/>
  <c r="CZ616" i="1"/>
  <c r="DA613" i="1"/>
  <c r="DA611" i="1"/>
  <c r="CZ613" i="1"/>
  <c r="CZ611" i="1"/>
  <c r="CZ609" i="1"/>
  <c r="DA606" i="1"/>
  <c r="CZ606" i="1"/>
  <c r="DA600" i="1"/>
  <c r="CZ600" i="1"/>
  <c r="DA592" i="1"/>
  <c r="CZ592" i="1"/>
  <c r="DA585" i="1"/>
  <c r="CZ585" i="1"/>
  <c r="DA581" i="1"/>
  <c r="CZ581" i="1"/>
  <c r="DA579" i="1"/>
  <c r="CZ579" i="1"/>
  <c r="DA571" i="1"/>
  <c r="CZ571" i="1"/>
  <c r="DA569" i="1"/>
  <c r="DA567" i="1"/>
  <c r="CZ569" i="1"/>
  <c r="CZ567" i="1"/>
  <c r="DA563" i="1"/>
  <c r="CZ563" i="1"/>
  <c r="DA558" i="1"/>
  <c r="CZ558" i="1"/>
  <c r="DA555" i="1"/>
  <c r="CZ555" i="1"/>
  <c r="DA549" i="1"/>
  <c r="CZ549" i="1"/>
  <c r="DA543" i="1"/>
  <c r="CZ543" i="1"/>
  <c r="DA535" i="1"/>
  <c r="DA530" i="1"/>
  <c r="CZ535" i="1"/>
  <c r="DA532" i="1"/>
  <c r="CZ532" i="1"/>
  <c r="DA526" i="1"/>
  <c r="CZ526" i="1"/>
  <c r="DA507" i="1"/>
  <c r="DA505" i="1"/>
  <c r="CZ507" i="1"/>
  <c r="CZ505" i="1"/>
  <c r="DA500" i="1"/>
  <c r="CZ500" i="1"/>
  <c r="DA488" i="1"/>
  <c r="CZ488" i="1"/>
  <c r="DA482" i="1"/>
  <c r="CZ482" i="1"/>
  <c r="DA472" i="1"/>
  <c r="CZ472" i="1"/>
  <c r="DA464" i="1"/>
  <c r="CZ464" i="1"/>
  <c r="DA458" i="1"/>
  <c r="CZ458" i="1"/>
  <c r="DA451" i="1"/>
  <c r="CZ451" i="1"/>
  <c r="DA444" i="1"/>
  <c r="CZ444" i="1"/>
  <c r="DA439" i="1"/>
  <c r="CZ439" i="1"/>
  <c r="DA427" i="1"/>
  <c r="CZ427" i="1"/>
  <c r="DA419" i="1"/>
  <c r="CZ419" i="1"/>
  <c r="DA416" i="1"/>
  <c r="CZ416" i="1"/>
  <c r="DA411" i="1"/>
  <c r="CZ411" i="1"/>
  <c r="DA406" i="1"/>
  <c r="CZ406" i="1"/>
  <c r="DA401" i="1"/>
  <c r="CZ401" i="1"/>
  <c r="DA397" i="1"/>
  <c r="CZ397" i="1"/>
  <c r="DA386" i="1"/>
  <c r="CZ386" i="1"/>
  <c r="DA380" i="1"/>
  <c r="CZ380" i="1"/>
  <c r="DA375" i="1"/>
  <c r="CZ375" i="1"/>
  <c r="DA368" i="1"/>
  <c r="CZ368" i="1"/>
  <c r="DA366" i="1"/>
  <c r="CZ366" i="1"/>
  <c r="DA361" i="1"/>
  <c r="CZ361" i="1"/>
  <c r="DA358" i="1"/>
  <c r="CZ358" i="1"/>
  <c r="DA354" i="1"/>
  <c r="CZ354" i="1"/>
  <c r="DA349" i="1"/>
  <c r="CZ349" i="1"/>
  <c r="DA347" i="1"/>
  <c r="CZ347" i="1"/>
  <c r="DA329" i="1"/>
  <c r="CZ329" i="1"/>
  <c r="DA326" i="1"/>
  <c r="CZ326" i="1"/>
  <c r="DA322" i="1"/>
  <c r="CZ322" i="1"/>
  <c r="CZ308" i="1"/>
  <c r="CZ242" i="1"/>
  <c r="DA319" i="1"/>
  <c r="CZ319" i="1"/>
  <c r="DA316" i="1"/>
  <c r="CZ316" i="1"/>
  <c r="DA313" i="1"/>
  <c r="CZ313" i="1"/>
  <c r="DA310" i="1"/>
  <c r="CZ310" i="1"/>
  <c r="DA308" i="1"/>
  <c r="DA305" i="1"/>
  <c r="CZ305" i="1"/>
  <c r="DA302" i="1"/>
  <c r="CZ302" i="1"/>
  <c r="DA298" i="1"/>
  <c r="CZ298" i="1"/>
  <c r="DA293" i="1"/>
  <c r="CZ293" i="1"/>
  <c r="DA288" i="1"/>
  <c r="CZ288" i="1"/>
  <c r="DA279" i="1"/>
  <c r="CZ279" i="1"/>
  <c r="DA275" i="1"/>
  <c r="CZ275" i="1"/>
  <c r="DA267" i="1"/>
  <c r="CZ267" i="1"/>
  <c r="DA259" i="1"/>
  <c r="CZ259" i="1"/>
  <c r="DA251" i="1"/>
  <c r="CZ251" i="1"/>
  <c r="DA246" i="1"/>
  <c r="CZ246" i="1"/>
  <c r="DA238" i="1"/>
  <c r="CZ238" i="1"/>
  <c r="DA237" i="1"/>
  <c r="CZ237" i="1"/>
  <c r="DA236" i="1"/>
  <c r="CZ236" i="1"/>
  <c r="DA234" i="1"/>
  <c r="CZ234" i="1"/>
  <c r="DA233" i="1"/>
  <c r="CZ233" i="1"/>
  <c r="DA231" i="1"/>
  <c r="CZ231" i="1"/>
  <c r="DA230" i="1"/>
  <c r="CZ230" i="1"/>
  <c r="DA228" i="1"/>
  <c r="CZ228" i="1"/>
  <c r="CZ227" i="1"/>
  <c r="DA227" i="1"/>
  <c r="DA225" i="1"/>
  <c r="CZ225" i="1"/>
  <c r="DA224" i="1"/>
  <c r="CZ224" i="1"/>
  <c r="DA222" i="1"/>
  <c r="CZ222" i="1"/>
  <c r="DA221" i="1"/>
  <c r="CZ221" i="1"/>
  <c r="DA220" i="1"/>
  <c r="CZ220" i="1"/>
  <c r="DA219" i="1"/>
  <c r="DA218" i="1"/>
  <c r="CZ219" i="1"/>
  <c r="CZ218" i="1"/>
  <c r="DA216" i="1"/>
  <c r="CZ216" i="1"/>
  <c r="DA215" i="1"/>
  <c r="CZ215" i="1"/>
  <c r="DA214" i="1"/>
  <c r="CZ214" i="1"/>
  <c r="DA213" i="1"/>
  <c r="DA212" i="1"/>
  <c r="CZ213" i="1"/>
  <c r="CZ212" i="1"/>
  <c r="DA205" i="1"/>
  <c r="DA204" i="1"/>
  <c r="CZ205" i="1"/>
  <c r="CZ204" i="1"/>
  <c r="DA202" i="1"/>
  <c r="DA201" i="1"/>
  <c r="CZ202" i="1"/>
  <c r="CZ201" i="1"/>
  <c r="DA197" i="1"/>
  <c r="CZ197" i="1"/>
  <c r="DA196" i="1"/>
  <c r="DA195" i="1"/>
  <c r="DA172" i="1"/>
  <c r="CZ196" i="1"/>
  <c r="CZ195" i="1"/>
  <c r="CZ172" i="1"/>
  <c r="DA193" i="1"/>
  <c r="CZ193" i="1"/>
  <c r="DA191" i="1"/>
  <c r="CZ191" i="1"/>
  <c r="DA189" i="1"/>
  <c r="CZ189" i="1"/>
  <c r="DA187" i="1"/>
  <c r="CZ187" i="1"/>
  <c r="DA185" i="1"/>
  <c r="DA184" i="1"/>
  <c r="CZ185" i="1"/>
  <c r="CZ184" i="1"/>
  <c r="DA182" i="1"/>
  <c r="CZ182" i="1"/>
  <c r="DA180" i="1"/>
  <c r="CZ180" i="1"/>
  <c r="DA179" i="1"/>
  <c r="CZ179" i="1"/>
  <c r="DA177" i="1"/>
  <c r="CZ177" i="1"/>
  <c r="DA176" i="1"/>
  <c r="CZ176" i="1"/>
  <c r="DA175" i="1"/>
  <c r="CZ175" i="1"/>
  <c r="DA174" i="1"/>
  <c r="CZ174" i="1"/>
  <c r="DA170" i="1"/>
  <c r="CZ170" i="1"/>
  <c r="DA169" i="1"/>
  <c r="CZ169" i="1"/>
  <c r="DA168" i="1"/>
  <c r="CZ168" i="1"/>
  <c r="DA165" i="1"/>
  <c r="CZ165" i="1"/>
  <c r="DA163" i="1"/>
  <c r="CZ163" i="1"/>
  <c r="DA162" i="1"/>
  <c r="CZ162" i="1"/>
  <c r="DA161" i="1"/>
  <c r="CZ161" i="1"/>
  <c r="DA160" i="1"/>
  <c r="CZ160" i="1"/>
  <c r="DA159" i="1"/>
  <c r="CZ159" i="1"/>
  <c r="DA158" i="1"/>
  <c r="CZ158" i="1"/>
  <c r="DA157" i="1"/>
  <c r="CZ157" i="1"/>
  <c r="DA156" i="1"/>
  <c r="CZ156" i="1"/>
  <c r="DA153" i="1"/>
  <c r="CZ153" i="1"/>
  <c r="DA152" i="1"/>
  <c r="CZ152" i="1"/>
  <c r="DA151" i="1"/>
  <c r="CZ151" i="1"/>
  <c r="DA150" i="1"/>
  <c r="CZ150" i="1"/>
  <c r="DA149" i="1"/>
  <c r="CZ149" i="1"/>
  <c r="DA147" i="1"/>
  <c r="CZ147" i="1"/>
  <c r="DA146" i="1"/>
  <c r="CZ146" i="1"/>
  <c r="DA145" i="1"/>
  <c r="CZ145" i="1"/>
  <c r="DA144" i="1"/>
  <c r="CZ144" i="1"/>
  <c r="DA143" i="1"/>
  <c r="CZ143" i="1"/>
  <c r="DA142" i="1"/>
  <c r="CZ142" i="1"/>
  <c r="DA141" i="1"/>
  <c r="CZ141" i="1"/>
  <c r="DA140" i="1"/>
  <c r="DA139" i="1"/>
  <c r="CZ140" i="1"/>
  <c r="DA137" i="1"/>
  <c r="CZ137" i="1"/>
  <c r="DA134" i="1"/>
  <c r="CZ134" i="1"/>
  <c r="DA133" i="1"/>
  <c r="CZ133" i="1"/>
  <c r="DA132" i="1"/>
  <c r="DA131" i="1"/>
  <c r="CZ132" i="1"/>
  <c r="DA129" i="1"/>
  <c r="CZ129" i="1"/>
  <c r="CZ125" i="1"/>
  <c r="DA128" i="1"/>
  <c r="CZ128" i="1"/>
  <c r="DA127" i="1"/>
  <c r="DA125" i="1"/>
  <c r="CZ127" i="1"/>
  <c r="DA126" i="1"/>
  <c r="CZ126" i="1"/>
  <c r="DA123" i="1"/>
  <c r="CZ123" i="1"/>
  <c r="DA122" i="1"/>
  <c r="CZ122" i="1"/>
  <c r="DA121" i="1"/>
  <c r="CZ121" i="1"/>
  <c r="DA120" i="1"/>
  <c r="CZ120" i="1"/>
  <c r="DA119" i="1"/>
  <c r="DA118" i="1"/>
  <c r="CZ119" i="1"/>
  <c r="CZ118" i="1"/>
  <c r="DA116" i="1"/>
  <c r="CZ116" i="1"/>
  <c r="DA115" i="1"/>
  <c r="CZ115" i="1"/>
  <c r="DA114" i="1"/>
  <c r="CZ114" i="1"/>
  <c r="DA113" i="1"/>
  <c r="CZ113" i="1"/>
  <c r="DA112" i="1"/>
  <c r="CZ112" i="1"/>
  <c r="DA109" i="1"/>
  <c r="CZ109" i="1"/>
  <c r="DA108" i="1"/>
  <c r="CZ108" i="1"/>
  <c r="DA107" i="1"/>
  <c r="CZ107" i="1"/>
  <c r="CZ106" i="1"/>
  <c r="DA102" i="1"/>
  <c r="CZ102" i="1"/>
  <c r="DA101" i="1"/>
  <c r="CZ101" i="1"/>
  <c r="DA100" i="1"/>
  <c r="CZ100" i="1"/>
  <c r="DA99" i="1"/>
  <c r="CZ99" i="1"/>
  <c r="DA98" i="1"/>
  <c r="CZ98" i="1"/>
  <c r="DA97" i="1"/>
  <c r="CZ97" i="1"/>
  <c r="DA96" i="1"/>
  <c r="CZ96" i="1"/>
  <c r="DA95" i="1"/>
  <c r="CZ95" i="1"/>
  <c r="DA92" i="1"/>
  <c r="CZ92" i="1"/>
  <c r="DA91" i="1"/>
  <c r="CZ91" i="1"/>
  <c r="DA90" i="1"/>
  <c r="CZ90" i="1"/>
  <c r="DA89" i="1"/>
  <c r="CZ89" i="1"/>
  <c r="DA88" i="1"/>
  <c r="CZ88" i="1"/>
  <c r="DA87" i="1"/>
  <c r="CZ87" i="1"/>
  <c r="DA86" i="1"/>
  <c r="CZ86" i="1"/>
  <c r="DA84" i="1"/>
  <c r="CZ84" i="1"/>
  <c r="DA83" i="1"/>
  <c r="DA82" i="1"/>
  <c r="CZ83" i="1"/>
  <c r="CZ82" i="1"/>
  <c r="DA80" i="1"/>
  <c r="CZ80" i="1"/>
  <c r="CZ77" i="1"/>
  <c r="DA79" i="1"/>
  <c r="DA77" i="1"/>
  <c r="CZ79" i="1"/>
  <c r="DA78" i="1"/>
  <c r="CZ78" i="1"/>
  <c r="DA75" i="1"/>
  <c r="CZ75" i="1"/>
  <c r="DA74" i="1"/>
  <c r="CZ74" i="1"/>
  <c r="DA73" i="1"/>
  <c r="CZ73" i="1"/>
  <c r="DA70" i="1"/>
  <c r="CZ70" i="1"/>
  <c r="DA69" i="1"/>
  <c r="CZ69" i="1"/>
  <c r="DA68" i="1"/>
  <c r="CZ68" i="1"/>
  <c r="DA65" i="1"/>
  <c r="CZ65" i="1"/>
  <c r="DA64" i="1"/>
  <c r="DA63" i="1"/>
  <c r="CZ64" i="1"/>
  <c r="CZ63" i="1"/>
  <c r="DA61" i="1"/>
  <c r="CZ61" i="1"/>
  <c r="DA59" i="1"/>
  <c r="CZ59" i="1"/>
  <c r="DA58" i="1"/>
  <c r="CZ58" i="1"/>
  <c r="DA57" i="1"/>
  <c r="CZ57" i="1"/>
  <c r="DA56" i="1"/>
  <c r="CZ56" i="1"/>
  <c r="DA55" i="1"/>
  <c r="CZ55" i="1"/>
  <c r="DA54" i="1"/>
  <c r="CZ54" i="1"/>
  <c r="DA53" i="1"/>
  <c r="DA52" i="1"/>
  <c r="CZ53" i="1"/>
  <c r="CZ52" i="1"/>
  <c r="DA50" i="1"/>
  <c r="CZ50" i="1"/>
  <c r="DA49" i="1"/>
  <c r="CZ49" i="1"/>
  <c r="DA48" i="1"/>
  <c r="CZ48" i="1"/>
  <c r="DA47" i="1"/>
  <c r="DA46" i="1"/>
  <c r="CZ47" i="1"/>
  <c r="DA42" i="1"/>
  <c r="CZ42" i="1"/>
  <c r="DA41" i="1"/>
  <c r="CZ41" i="1"/>
  <c r="CZ38" i="1"/>
  <c r="DA36" i="1"/>
  <c r="CZ36" i="1"/>
  <c r="DA34" i="1"/>
  <c r="CZ34" i="1"/>
  <c r="DA33" i="1"/>
  <c r="CZ33" i="1"/>
  <c r="DA32" i="1"/>
  <c r="CZ32" i="1"/>
  <c r="DA31" i="1"/>
  <c r="CZ31" i="1"/>
  <c r="DA30" i="1"/>
  <c r="CZ30" i="1"/>
  <c r="DA28" i="1"/>
  <c r="CZ28" i="1"/>
  <c r="DA26" i="1"/>
  <c r="CZ26" i="1"/>
  <c r="DA24" i="1"/>
  <c r="CZ24" i="1"/>
  <c r="DA23" i="1"/>
  <c r="CZ23" i="1"/>
  <c r="DA22" i="1"/>
  <c r="CZ22" i="1"/>
  <c r="DA21" i="1"/>
  <c r="CZ21" i="1"/>
  <c r="DA19" i="1"/>
  <c r="CZ19" i="1"/>
  <c r="DA18" i="1"/>
  <c r="CZ18" i="1"/>
  <c r="DA17" i="1"/>
  <c r="DA16" i="1"/>
  <c r="DA14" i="1"/>
  <c r="CZ17" i="1"/>
  <c r="CZ16" i="1"/>
  <c r="DC863" i="1"/>
  <c r="DB863" i="1"/>
  <c r="DC860" i="1"/>
  <c r="DB860" i="1"/>
  <c r="DC856" i="1"/>
  <c r="DB856" i="1"/>
  <c r="DC845" i="1"/>
  <c r="DB845" i="1"/>
  <c r="DC842" i="1"/>
  <c r="DB842" i="1"/>
  <c r="DC827" i="1"/>
  <c r="DB827" i="1"/>
  <c r="DC790" i="1"/>
  <c r="DB790" i="1"/>
  <c r="DC783" i="1"/>
  <c r="DB783" i="1"/>
  <c r="DC768" i="1"/>
  <c r="DB768" i="1"/>
  <c r="DC742" i="1"/>
  <c r="DB742" i="1"/>
  <c r="DC738" i="1"/>
  <c r="DB738" i="1"/>
  <c r="DC728" i="1"/>
  <c r="DB728" i="1"/>
  <c r="DC725" i="1"/>
  <c r="DB725" i="1"/>
  <c r="DB721" i="1"/>
  <c r="DC718" i="1"/>
  <c r="DB718" i="1"/>
  <c r="DC711" i="1"/>
  <c r="DB711" i="1"/>
  <c r="DC705" i="1"/>
  <c r="DB705" i="1"/>
  <c r="DC702" i="1"/>
  <c r="DB702" i="1"/>
  <c r="DC699" i="1"/>
  <c r="DB699" i="1"/>
  <c r="DC696" i="1"/>
  <c r="DB696" i="1"/>
  <c r="DC693" i="1"/>
  <c r="DB693" i="1"/>
  <c r="DC685" i="1"/>
  <c r="DB685" i="1"/>
  <c r="DC681" i="1"/>
  <c r="DB681" i="1"/>
  <c r="DC669" i="1"/>
  <c r="DC664" i="1"/>
  <c r="DB669" i="1"/>
  <c r="DB664" i="1"/>
  <c r="DC666" i="1"/>
  <c r="DB666" i="1"/>
  <c r="DC655" i="1"/>
  <c r="DB655" i="1"/>
  <c r="DC645" i="1"/>
  <c r="DB645" i="1"/>
  <c r="DC637" i="1"/>
  <c r="DB637" i="1"/>
  <c r="DC634" i="1"/>
  <c r="DB634" i="1"/>
  <c r="DC632" i="1"/>
  <c r="DC630" i="1"/>
  <c r="DC628" i="1"/>
  <c r="DB632" i="1"/>
  <c r="DB630" i="1"/>
  <c r="DB628" i="1"/>
  <c r="DC625" i="1"/>
  <c r="DB625" i="1"/>
  <c r="DC621" i="1"/>
  <c r="DB621" i="1"/>
  <c r="DB619" i="1"/>
  <c r="DC616" i="1"/>
  <c r="DB616" i="1"/>
  <c r="DC613" i="1"/>
  <c r="DB613" i="1"/>
  <c r="DC611" i="1"/>
  <c r="DB611" i="1"/>
  <c r="DC606" i="1"/>
  <c r="DB606" i="1"/>
  <c r="DC600" i="1"/>
  <c r="DB600" i="1"/>
  <c r="DC592" i="1"/>
  <c r="DB592" i="1"/>
  <c r="DC585" i="1"/>
  <c r="DB585" i="1"/>
  <c r="DC581" i="1"/>
  <c r="DC579" i="1"/>
  <c r="DC577" i="1"/>
  <c r="DB581" i="1"/>
  <c r="DB579" i="1"/>
  <c r="DB577" i="1"/>
  <c r="DC571" i="1"/>
  <c r="DC569" i="1"/>
  <c r="DC567" i="1"/>
  <c r="DB571" i="1"/>
  <c r="DB569" i="1"/>
  <c r="DB567" i="1"/>
  <c r="DC563" i="1"/>
  <c r="DB563" i="1"/>
  <c r="DC558" i="1"/>
  <c r="DB558" i="1"/>
  <c r="DC555" i="1"/>
  <c r="DB555" i="1"/>
  <c r="DC549" i="1"/>
  <c r="DB549" i="1"/>
  <c r="DC543" i="1"/>
  <c r="DB543" i="1"/>
  <c r="DC541" i="1"/>
  <c r="DB541" i="1"/>
  <c r="DC535" i="1"/>
  <c r="DB535" i="1"/>
  <c r="DC532" i="1"/>
  <c r="DB532" i="1"/>
  <c r="DC526" i="1"/>
  <c r="DB526" i="1"/>
  <c r="DC507" i="1"/>
  <c r="DB507" i="1"/>
  <c r="DC505" i="1"/>
  <c r="DB505" i="1"/>
  <c r="DC500" i="1"/>
  <c r="DB500" i="1"/>
  <c r="DC488" i="1"/>
  <c r="DB488" i="1"/>
  <c r="DC482" i="1"/>
  <c r="DB482" i="1"/>
  <c r="DC472" i="1"/>
  <c r="DB472" i="1"/>
  <c r="DC464" i="1"/>
  <c r="DB464" i="1"/>
  <c r="DC458" i="1"/>
  <c r="DB458" i="1"/>
  <c r="DC451" i="1"/>
  <c r="DB451" i="1"/>
  <c r="DC444" i="1"/>
  <c r="DB444" i="1"/>
  <c r="DC439" i="1"/>
  <c r="DB439" i="1"/>
  <c r="DC437" i="1"/>
  <c r="DB437" i="1"/>
  <c r="DC427" i="1"/>
  <c r="DB427" i="1"/>
  <c r="DC419" i="1"/>
  <c r="DB419" i="1"/>
  <c r="DC416" i="1"/>
  <c r="DB416" i="1"/>
  <c r="DC411" i="1"/>
  <c r="DB411" i="1"/>
  <c r="DC406" i="1"/>
  <c r="DB406" i="1"/>
  <c r="DC401" i="1"/>
  <c r="DB401" i="1"/>
  <c r="DC397" i="1"/>
  <c r="DB397" i="1"/>
  <c r="DC386" i="1"/>
  <c r="DB386" i="1"/>
  <c r="DC380" i="1"/>
  <c r="DB380" i="1"/>
  <c r="DC378" i="1"/>
  <c r="DC364" i="1"/>
  <c r="DB378" i="1"/>
  <c r="DC375" i="1"/>
  <c r="DB375" i="1"/>
  <c r="DC368" i="1"/>
  <c r="DC366" i="1"/>
  <c r="DB368" i="1"/>
  <c r="DB366" i="1"/>
  <c r="DB364" i="1"/>
  <c r="DC361" i="1"/>
  <c r="DB361" i="1"/>
  <c r="DC358" i="1"/>
  <c r="DB358" i="1"/>
  <c r="DC354" i="1"/>
  <c r="DB354" i="1"/>
  <c r="DC349" i="1"/>
  <c r="DC347" i="1"/>
  <c r="DB349" i="1"/>
  <c r="DB347" i="1"/>
  <c r="DC329" i="1"/>
  <c r="DB329" i="1"/>
  <c r="DC326" i="1"/>
  <c r="DB326" i="1"/>
  <c r="DC322" i="1"/>
  <c r="DB322" i="1"/>
  <c r="DC319" i="1"/>
  <c r="DB319" i="1"/>
  <c r="DC316" i="1"/>
  <c r="DB316" i="1"/>
  <c r="DC313" i="1"/>
  <c r="DB313" i="1"/>
  <c r="DC310" i="1"/>
  <c r="DC308" i="1"/>
  <c r="DC242" i="1"/>
  <c r="DB310" i="1"/>
  <c r="DC305" i="1"/>
  <c r="DB305" i="1"/>
  <c r="DC302" i="1"/>
  <c r="DB302" i="1"/>
  <c r="DC298" i="1"/>
  <c r="DB298" i="1"/>
  <c r="DC293" i="1"/>
  <c r="DB293" i="1"/>
  <c r="DC288" i="1"/>
  <c r="DB288" i="1"/>
  <c r="DC279" i="1"/>
  <c r="DB279" i="1"/>
  <c r="DC275" i="1"/>
  <c r="DB275" i="1"/>
  <c r="DC267" i="1"/>
  <c r="DB267" i="1"/>
  <c r="DC259" i="1"/>
  <c r="DB259" i="1"/>
  <c r="DC251" i="1"/>
  <c r="DB251" i="1"/>
  <c r="DC246" i="1"/>
  <c r="DB246" i="1"/>
  <c r="DC244" i="1"/>
  <c r="DB244" i="1"/>
  <c r="DC238" i="1"/>
  <c r="DB238" i="1"/>
  <c r="DC237" i="1"/>
  <c r="DB237" i="1"/>
  <c r="DC234" i="1"/>
  <c r="DB234" i="1"/>
  <c r="DC233" i="1"/>
  <c r="DB233" i="1"/>
  <c r="DC231" i="1"/>
  <c r="DC230" i="1"/>
  <c r="DB231" i="1"/>
  <c r="DB230" i="1"/>
  <c r="DC228" i="1"/>
  <c r="DC227" i="1"/>
  <c r="DB228" i="1"/>
  <c r="DB227" i="1"/>
  <c r="DC225" i="1"/>
  <c r="DC224" i="1"/>
  <c r="DB225" i="1"/>
  <c r="DB224" i="1"/>
  <c r="DC222" i="1"/>
  <c r="DB222" i="1"/>
  <c r="DC221" i="1"/>
  <c r="DB221" i="1"/>
  <c r="DC220" i="1"/>
  <c r="DB220" i="1"/>
  <c r="DC219" i="1"/>
  <c r="DB219" i="1"/>
  <c r="DC218" i="1"/>
  <c r="DB218" i="1"/>
  <c r="DC216" i="1"/>
  <c r="DB216" i="1"/>
  <c r="DC215" i="1"/>
  <c r="DB215" i="1"/>
  <c r="DC214" i="1"/>
  <c r="DB214" i="1"/>
  <c r="DC213" i="1"/>
  <c r="DC212" i="1"/>
  <c r="DB213" i="1"/>
  <c r="DB212" i="1"/>
  <c r="DC205" i="1"/>
  <c r="DB205" i="1"/>
  <c r="DC204" i="1"/>
  <c r="DB204" i="1"/>
  <c r="DC202" i="1"/>
  <c r="DB202" i="1"/>
  <c r="DB201" i="1"/>
  <c r="DB199" i="1"/>
  <c r="DC201" i="1"/>
  <c r="DC199" i="1"/>
  <c r="DC197" i="1"/>
  <c r="DB197" i="1"/>
  <c r="DC196" i="1"/>
  <c r="DC195" i="1"/>
  <c r="DC172" i="1"/>
  <c r="DB196" i="1"/>
  <c r="DB195" i="1"/>
  <c r="DB172" i="1"/>
  <c r="DC193" i="1"/>
  <c r="DB193" i="1"/>
  <c r="DC191" i="1"/>
  <c r="DB191" i="1"/>
  <c r="DC189" i="1"/>
  <c r="DB189" i="1"/>
  <c r="DC187" i="1"/>
  <c r="DB187" i="1"/>
  <c r="DC185" i="1"/>
  <c r="DB185" i="1"/>
  <c r="DC184" i="1"/>
  <c r="DB184" i="1"/>
  <c r="DC182" i="1"/>
  <c r="DB182" i="1"/>
  <c r="DC180" i="1"/>
  <c r="DC179" i="1"/>
  <c r="DB180" i="1"/>
  <c r="DB179" i="1"/>
  <c r="DC177" i="1"/>
  <c r="DB177" i="1"/>
  <c r="DC176" i="1"/>
  <c r="DB176" i="1"/>
  <c r="DC175" i="1"/>
  <c r="DC174" i="1"/>
  <c r="DB175" i="1"/>
  <c r="DB174" i="1"/>
  <c r="DC170" i="1"/>
  <c r="DB170" i="1"/>
  <c r="DC169" i="1"/>
  <c r="DB169" i="1"/>
  <c r="DC168" i="1"/>
  <c r="DB168" i="1"/>
  <c r="DC165" i="1"/>
  <c r="DB165" i="1"/>
  <c r="DC163" i="1"/>
  <c r="DB163" i="1"/>
  <c r="DC162" i="1"/>
  <c r="DB162" i="1"/>
  <c r="DC161" i="1"/>
  <c r="DB161" i="1"/>
  <c r="DC160" i="1"/>
  <c r="DB160" i="1"/>
  <c r="DC159" i="1"/>
  <c r="DB159" i="1"/>
  <c r="DC158" i="1"/>
  <c r="DB158" i="1"/>
  <c r="DC157" i="1"/>
  <c r="DB157" i="1"/>
  <c r="DC156" i="1"/>
  <c r="DB156" i="1"/>
  <c r="DC153" i="1"/>
  <c r="DB153" i="1"/>
  <c r="DC152" i="1"/>
  <c r="DB152" i="1"/>
  <c r="DC151" i="1"/>
  <c r="DB151" i="1"/>
  <c r="DC150" i="1"/>
  <c r="DC149" i="1"/>
  <c r="DB150" i="1"/>
  <c r="DB149" i="1"/>
  <c r="DC147" i="1"/>
  <c r="DB147" i="1"/>
  <c r="DC146" i="1"/>
  <c r="DB146" i="1"/>
  <c r="DC145" i="1"/>
  <c r="DB145" i="1"/>
  <c r="DC144" i="1"/>
  <c r="DB144" i="1"/>
  <c r="DC143" i="1"/>
  <c r="DB143" i="1"/>
  <c r="DC142" i="1"/>
  <c r="DB142" i="1"/>
  <c r="DC141" i="1"/>
  <c r="DB141" i="1"/>
  <c r="DC140" i="1"/>
  <c r="DB140" i="1"/>
  <c r="DC139" i="1"/>
  <c r="DB139" i="1"/>
  <c r="DC137" i="1"/>
  <c r="DB137" i="1"/>
  <c r="DC134" i="1"/>
  <c r="DB134" i="1"/>
  <c r="DC133" i="1"/>
  <c r="DB133" i="1"/>
  <c r="DC132" i="1"/>
  <c r="DB132" i="1"/>
  <c r="DC129" i="1"/>
  <c r="DB129" i="1"/>
  <c r="DC128" i="1"/>
  <c r="DB128" i="1"/>
  <c r="DC127" i="1"/>
  <c r="DB127" i="1"/>
  <c r="DC126" i="1"/>
  <c r="DB126" i="1"/>
  <c r="DC125" i="1"/>
  <c r="DB125" i="1"/>
  <c r="DC123" i="1"/>
  <c r="DB123" i="1"/>
  <c r="DC122" i="1"/>
  <c r="DB122" i="1"/>
  <c r="DC121" i="1"/>
  <c r="DB121" i="1"/>
  <c r="DC120" i="1"/>
  <c r="DB120" i="1"/>
  <c r="DC119" i="1"/>
  <c r="DB119" i="1"/>
  <c r="DC116" i="1"/>
  <c r="DB116" i="1"/>
  <c r="DC115" i="1"/>
  <c r="DB115" i="1"/>
  <c r="DC114" i="1"/>
  <c r="DB114" i="1"/>
  <c r="DB111" i="1"/>
  <c r="DC113" i="1"/>
  <c r="DB113" i="1"/>
  <c r="DC112" i="1"/>
  <c r="DB112" i="1"/>
  <c r="DC109" i="1"/>
  <c r="DB109" i="1"/>
  <c r="DC108" i="1"/>
  <c r="DB108" i="1"/>
  <c r="DC107" i="1"/>
  <c r="DC106" i="1"/>
  <c r="DB107" i="1"/>
  <c r="DB106" i="1"/>
  <c r="DC102" i="1"/>
  <c r="DB102" i="1"/>
  <c r="DC101" i="1"/>
  <c r="DB101" i="1"/>
  <c r="DC100" i="1"/>
  <c r="DB100" i="1"/>
  <c r="DC99" i="1"/>
  <c r="DB99" i="1"/>
  <c r="DC98" i="1"/>
  <c r="DB98" i="1"/>
  <c r="DC97" i="1"/>
  <c r="DB97" i="1"/>
  <c r="DC96" i="1"/>
  <c r="DB96" i="1"/>
  <c r="DC95" i="1"/>
  <c r="DB95" i="1"/>
  <c r="DC92" i="1"/>
  <c r="DC86" i="1"/>
  <c r="DB92" i="1"/>
  <c r="DC91" i="1"/>
  <c r="DB91" i="1"/>
  <c r="DC90" i="1"/>
  <c r="DB90" i="1"/>
  <c r="DC89" i="1"/>
  <c r="DB89" i="1"/>
  <c r="DC88" i="1"/>
  <c r="DB88" i="1"/>
  <c r="DC87" i="1"/>
  <c r="DB87" i="1"/>
  <c r="DB86" i="1"/>
  <c r="DC84" i="1"/>
  <c r="DB84" i="1"/>
  <c r="DC83" i="1"/>
  <c r="DB83" i="1"/>
  <c r="DC82" i="1"/>
  <c r="DB82" i="1"/>
  <c r="DC80" i="1"/>
  <c r="DC77" i="1"/>
  <c r="DB80" i="1"/>
  <c r="DB77" i="1"/>
  <c r="DC79" i="1"/>
  <c r="DB79" i="1"/>
  <c r="DC78" i="1"/>
  <c r="DB78" i="1"/>
  <c r="DC75" i="1"/>
  <c r="DC72" i="1"/>
  <c r="DB75" i="1"/>
  <c r="DC74" i="1"/>
  <c r="DB74" i="1"/>
  <c r="DC73" i="1"/>
  <c r="DB73" i="1"/>
  <c r="DB72" i="1"/>
  <c r="DC70" i="1"/>
  <c r="DB70" i="1"/>
  <c r="DC69" i="1"/>
  <c r="DB69" i="1"/>
  <c r="DC68" i="1"/>
  <c r="DB68" i="1"/>
  <c r="DC67" i="1"/>
  <c r="DB67" i="1"/>
  <c r="DC65" i="1"/>
  <c r="DB65" i="1"/>
  <c r="DC64" i="1"/>
  <c r="DC63" i="1"/>
  <c r="DB64" i="1"/>
  <c r="DB63" i="1"/>
  <c r="DC61" i="1"/>
  <c r="DB61" i="1"/>
  <c r="DC59" i="1"/>
  <c r="DB59" i="1"/>
  <c r="DC58" i="1"/>
  <c r="DB58" i="1"/>
  <c r="DC57" i="1"/>
  <c r="DB57" i="1"/>
  <c r="DC56" i="1"/>
  <c r="DB56" i="1"/>
  <c r="DC55" i="1"/>
  <c r="DC52" i="1"/>
  <c r="DB55" i="1"/>
  <c r="DC54" i="1"/>
  <c r="DB54" i="1"/>
  <c r="DC53" i="1"/>
  <c r="DB53" i="1"/>
  <c r="DB52" i="1"/>
  <c r="DC50" i="1"/>
  <c r="DB50" i="1"/>
  <c r="DC49" i="1"/>
  <c r="DB49" i="1"/>
  <c r="DC48" i="1"/>
  <c r="DB48" i="1"/>
  <c r="DC47" i="1"/>
  <c r="DB47" i="1"/>
  <c r="DB46" i="1"/>
  <c r="DC42" i="1"/>
  <c r="DB42" i="1"/>
  <c r="DC41" i="1"/>
  <c r="DB41" i="1"/>
  <c r="DC36" i="1"/>
  <c r="DB36" i="1"/>
  <c r="DC34" i="1"/>
  <c r="DB34" i="1"/>
  <c r="DC33" i="1"/>
  <c r="DB33" i="1"/>
  <c r="DC32" i="1"/>
  <c r="DB32" i="1"/>
  <c r="DC31" i="1"/>
  <c r="DC30" i="1"/>
  <c r="DB31" i="1"/>
  <c r="DB30" i="1"/>
  <c r="DC28" i="1"/>
  <c r="DB28" i="1"/>
  <c r="DC26" i="1"/>
  <c r="DB26" i="1"/>
  <c r="DC24" i="1"/>
  <c r="DB24" i="1"/>
  <c r="DC23" i="1"/>
  <c r="DB23" i="1"/>
  <c r="DC22" i="1"/>
  <c r="DC21" i="1"/>
  <c r="DB22" i="1"/>
  <c r="DB21" i="1"/>
  <c r="DC19" i="1"/>
  <c r="DB19" i="1"/>
  <c r="DC18" i="1"/>
  <c r="DB18" i="1"/>
  <c r="DC17" i="1"/>
  <c r="DC16" i="1"/>
  <c r="DB17" i="1"/>
  <c r="DB16" i="1"/>
  <c r="DE863" i="1"/>
  <c r="DD863" i="1"/>
  <c r="DE860" i="1"/>
  <c r="DD860" i="1"/>
  <c r="DE856" i="1"/>
  <c r="DD856" i="1"/>
  <c r="DE845" i="1"/>
  <c r="DD845" i="1"/>
  <c r="DE842" i="1"/>
  <c r="DD842" i="1"/>
  <c r="DE827" i="1"/>
  <c r="DD827" i="1"/>
  <c r="DE790" i="1"/>
  <c r="DD790" i="1"/>
  <c r="DE783" i="1"/>
  <c r="DD783" i="1"/>
  <c r="DE768" i="1"/>
  <c r="DD768" i="1"/>
  <c r="DE742" i="1"/>
  <c r="DD742" i="1"/>
  <c r="DE738" i="1"/>
  <c r="DD738" i="1"/>
  <c r="DE728" i="1"/>
  <c r="DD728" i="1"/>
  <c r="DE725" i="1"/>
  <c r="DD725" i="1"/>
  <c r="DE718" i="1"/>
  <c r="DD718" i="1"/>
  <c r="DE711" i="1"/>
  <c r="DD711" i="1"/>
  <c r="DE705" i="1"/>
  <c r="DD705" i="1"/>
  <c r="DE702" i="1"/>
  <c r="DD702" i="1"/>
  <c r="DE699" i="1"/>
  <c r="DD699" i="1"/>
  <c r="DE696" i="1"/>
  <c r="DD696" i="1"/>
  <c r="DE693" i="1"/>
  <c r="DD693" i="1"/>
  <c r="DE685" i="1"/>
  <c r="DD685" i="1"/>
  <c r="DE681" i="1"/>
  <c r="DD681" i="1"/>
  <c r="DE669" i="1"/>
  <c r="DE664" i="1"/>
  <c r="DD669" i="1"/>
  <c r="DD664" i="1"/>
  <c r="DE666" i="1"/>
  <c r="DD666" i="1"/>
  <c r="DE655" i="1"/>
  <c r="DD655" i="1"/>
  <c r="DE645" i="1"/>
  <c r="DD645" i="1"/>
  <c r="DE637" i="1"/>
  <c r="DD637" i="1"/>
  <c r="DE634" i="1"/>
  <c r="DD634" i="1"/>
  <c r="DE632" i="1"/>
  <c r="DE630" i="1"/>
  <c r="DE628" i="1"/>
  <c r="DD632" i="1"/>
  <c r="DD630" i="1"/>
  <c r="DD628" i="1"/>
  <c r="DE625" i="1"/>
  <c r="DD625" i="1"/>
  <c r="DE621" i="1"/>
  <c r="DD621" i="1"/>
  <c r="DE616" i="1"/>
  <c r="DD616" i="1"/>
  <c r="DE613" i="1"/>
  <c r="DD613" i="1"/>
  <c r="DE611" i="1"/>
  <c r="DD611" i="1"/>
  <c r="DE606" i="1"/>
  <c r="DD606" i="1"/>
  <c r="DE600" i="1"/>
  <c r="DD600" i="1"/>
  <c r="DE592" i="1"/>
  <c r="DD592" i="1"/>
  <c r="DE585" i="1"/>
  <c r="DD585" i="1"/>
  <c r="DE581" i="1"/>
  <c r="DE579" i="1"/>
  <c r="DE577" i="1"/>
  <c r="DD581" i="1"/>
  <c r="DD579" i="1"/>
  <c r="DE571" i="1"/>
  <c r="DE569" i="1"/>
  <c r="DE567" i="1"/>
  <c r="DD571" i="1"/>
  <c r="DD569" i="1"/>
  <c r="DD567" i="1"/>
  <c r="DE563" i="1"/>
  <c r="DD563" i="1"/>
  <c r="DE558" i="1"/>
  <c r="DD558" i="1"/>
  <c r="DE555" i="1"/>
  <c r="DD555" i="1"/>
  <c r="DE549" i="1"/>
  <c r="DD549" i="1"/>
  <c r="DE543" i="1"/>
  <c r="DD543" i="1"/>
  <c r="DE541" i="1"/>
  <c r="DD541" i="1"/>
  <c r="DE535" i="1"/>
  <c r="DD535" i="1"/>
  <c r="DE532" i="1"/>
  <c r="DD532" i="1"/>
  <c r="DE526" i="1"/>
  <c r="DD526" i="1"/>
  <c r="DE507" i="1"/>
  <c r="DD507" i="1"/>
  <c r="DE505" i="1"/>
  <c r="DD505" i="1"/>
  <c r="DE500" i="1"/>
  <c r="DD500" i="1"/>
  <c r="DE488" i="1"/>
  <c r="DD488" i="1"/>
  <c r="DE482" i="1"/>
  <c r="DD482" i="1"/>
  <c r="DE472" i="1"/>
  <c r="DD472" i="1"/>
  <c r="DE464" i="1"/>
  <c r="DD464" i="1"/>
  <c r="DE458" i="1"/>
  <c r="DD458" i="1"/>
  <c r="DE451" i="1"/>
  <c r="DD451" i="1"/>
  <c r="DE444" i="1"/>
  <c r="DD444" i="1"/>
  <c r="DE439" i="1"/>
  <c r="DD439" i="1"/>
  <c r="DE437" i="1"/>
  <c r="DD437" i="1"/>
  <c r="DE427" i="1"/>
  <c r="DD427" i="1"/>
  <c r="DE419" i="1"/>
  <c r="DD419" i="1"/>
  <c r="DE416" i="1"/>
  <c r="DD416" i="1"/>
  <c r="DE411" i="1"/>
  <c r="DD411" i="1"/>
  <c r="DE406" i="1"/>
  <c r="DD406" i="1"/>
  <c r="DE401" i="1"/>
  <c r="DD401" i="1"/>
  <c r="DE397" i="1"/>
  <c r="DD397" i="1"/>
  <c r="DE386" i="1"/>
  <c r="DD386" i="1"/>
  <c r="DE380" i="1"/>
  <c r="DD380" i="1"/>
  <c r="DE378" i="1"/>
  <c r="DE364" i="1"/>
  <c r="DD378" i="1"/>
  <c r="DE375" i="1"/>
  <c r="DD375" i="1"/>
  <c r="DE368" i="1"/>
  <c r="DE366" i="1"/>
  <c r="DD368" i="1"/>
  <c r="DD366" i="1"/>
  <c r="DD364" i="1"/>
  <c r="DE361" i="1"/>
  <c r="DD361" i="1"/>
  <c r="DE358" i="1"/>
  <c r="DD358" i="1"/>
  <c r="DE354" i="1"/>
  <c r="DD354" i="1"/>
  <c r="DE349" i="1"/>
  <c r="DE347" i="1"/>
  <c r="DD349" i="1"/>
  <c r="DD347" i="1"/>
  <c r="DE329" i="1"/>
  <c r="DD329" i="1"/>
  <c r="DE326" i="1"/>
  <c r="DD326" i="1"/>
  <c r="DE322" i="1"/>
  <c r="DD322" i="1"/>
  <c r="DE319" i="1"/>
  <c r="DD319" i="1"/>
  <c r="DE316" i="1"/>
  <c r="DD316" i="1"/>
  <c r="DE313" i="1"/>
  <c r="DD313" i="1"/>
  <c r="DE310" i="1"/>
  <c r="DE308" i="1"/>
  <c r="DD310" i="1"/>
  <c r="DD308" i="1"/>
  <c r="DD242" i="1"/>
  <c r="DD240" i="1"/>
  <c r="DE305" i="1"/>
  <c r="DD305" i="1"/>
  <c r="DE302" i="1"/>
  <c r="DD302" i="1"/>
  <c r="DE298" i="1"/>
  <c r="DD298" i="1"/>
  <c r="DE293" i="1"/>
  <c r="DD293" i="1"/>
  <c r="DE288" i="1"/>
  <c r="DD288" i="1"/>
  <c r="DE279" i="1"/>
  <c r="DD279" i="1"/>
  <c r="DE275" i="1"/>
  <c r="DD275" i="1"/>
  <c r="DE267" i="1"/>
  <c r="DD267" i="1"/>
  <c r="DE259" i="1"/>
  <c r="DD259" i="1"/>
  <c r="DE251" i="1"/>
  <c r="DD251" i="1"/>
  <c r="DE246" i="1"/>
  <c r="DD246" i="1"/>
  <c r="DE244" i="1"/>
  <c r="DD244" i="1"/>
  <c r="DE238" i="1"/>
  <c r="DD238" i="1"/>
  <c r="DE237" i="1"/>
  <c r="DE236" i="1"/>
  <c r="DD237" i="1"/>
  <c r="DD236" i="1"/>
  <c r="DE234" i="1"/>
  <c r="DD234" i="1"/>
  <c r="DE233" i="1"/>
  <c r="DD233" i="1"/>
  <c r="DE231" i="1"/>
  <c r="DE230" i="1"/>
  <c r="DD231" i="1"/>
  <c r="DD230" i="1"/>
  <c r="DE228" i="1"/>
  <c r="DE227" i="1"/>
  <c r="DD228" i="1"/>
  <c r="DD227" i="1"/>
  <c r="DE225" i="1"/>
  <c r="DE224" i="1"/>
  <c r="DD225" i="1"/>
  <c r="DD224" i="1"/>
  <c r="DE222" i="1"/>
  <c r="DD222" i="1"/>
  <c r="DE221" i="1"/>
  <c r="DD221" i="1"/>
  <c r="DE220" i="1"/>
  <c r="DD220" i="1"/>
  <c r="DE219" i="1"/>
  <c r="DD219" i="1"/>
  <c r="DE218" i="1"/>
  <c r="DD218" i="1"/>
  <c r="DE216" i="1"/>
  <c r="DD216" i="1"/>
  <c r="DE215" i="1"/>
  <c r="DD215" i="1"/>
  <c r="DE214" i="1"/>
  <c r="DD214" i="1"/>
  <c r="DE213" i="1"/>
  <c r="DE212" i="1"/>
  <c r="DD213" i="1"/>
  <c r="DD212" i="1"/>
  <c r="DE205" i="1"/>
  <c r="DD205" i="1"/>
  <c r="DE204" i="1"/>
  <c r="DD204" i="1"/>
  <c r="DE202" i="1"/>
  <c r="DE201" i="1"/>
  <c r="DE199" i="1"/>
  <c r="DD202" i="1"/>
  <c r="DD201" i="1"/>
  <c r="DD199" i="1"/>
  <c r="DE197" i="1"/>
  <c r="DD197" i="1"/>
  <c r="DE196" i="1"/>
  <c r="DD196" i="1"/>
  <c r="DE195" i="1"/>
  <c r="DD195" i="1"/>
  <c r="DE193" i="1"/>
  <c r="DD193" i="1"/>
  <c r="DE191" i="1"/>
  <c r="DD191" i="1"/>
  <c r="DE189" i="1"/>
  <c r="DD189" i="1"/>
  <c r="DE187" i="1"/>
  <c r="DD187" i="1"/>
  <c r="DE185" i="1"/>
  <c r="DD185" i="1"/>
  <c r="DE184" i="1"/>
  <c r="DD184" i="1"/>
  <c r="DE182" i="1"/>
  <c r="DD182" i="1"/>
  <c r="DE180" i="1"/>
  <c r="DE179" i="1"/>
  <c r="DD180" i="1"/>
  <c r="DD179" i="1"/>
  <c r="DE177" i="1"/>
  <c r="DD177" i="1"/>
  <c r="DE176" i="1"/>
  <c r="DD176" i="1"/>
  <c r="DE175" i="1"/>
  <c r="DE174" i="1"/>
  <c r="DD175" i="1"/>
  <c r="DD174" i="1"/>
  <c r="DE170" i="1"/>
  <c r="DD170" i="1"/>
  <c r="DE169" i="1"/>
  <c r="DD169" i="1"/>
  <c r="DE168" i="1"/>
  <c r="DD168" i="1"/>
  <c r="DD167" i="1"/>
  <c r="DE167" i="1"/>
  <c r="DE165" i="1"/>
  <c r="DD165" i="1"/>
  <c r="DE163" i="1"/>
  <c r="DD163" i="1"/>
  <c r="DE162" i="1"/>
  <c r="DD162" i="1"/>
  <c r="DE161" i="1"/>
  <c r="DD161" i="1"/>
  <c r="DE160" i="1"/>
  <c r="DD160" i="1"/>
  <c r="DD156" i="1"/>
  <c r="DD157" i="1"/>
  <c r="DD158" i="1"/>
  <c r="DD159" i="1"/>
  <c r="DD155" i="1"/>
  <c r="DE159" i="1"/>
  <c r="DE158" i="1"/>
  <c r="DE157" i="1"/>
  <c r="DE156" i="1"/>
  <c r="DE153" i="1"/>
  <c r="DD153" i="1"/>
  <c r="DE152" i="1"/>
  <c r="DD152" i="1"/>
  <c r="DE151" i="1"/>
  <c r="DD151" i="1"/>
  <c r="DE150" i="1"/>
  <c r="DE149" i="1"/>
  <c r="DD150" i="1"/>
  <c r="DD149" i="1"/>
  <c r="DE147" i="1"/>
  <c r="DD147" i="1"/>
  <c r="DE146" i="1"/>
  <c r="DD146" i="1"/>
  <c r="DE145" i="1"/>
  <c r="DD145" i="1"/>
  <c r="DE144" i="1"/>
  <c r="DD144" i="1"/>
  <c r="DE143" i="1"/>
  <c r="DD143" i="1"/>
  <c r="DE142" i="1"/>
  <c r="DD142" i="1"/>
  <c r="DE141" i="1"/>
  <c r="DD141" i="1"/>
  <c r="DE140" i="1"/>
  <c r="DD140" i="1"/>
  <c r="DE139" i="1"/>
  <c r="DD139" i="1"/>
  <c r="DE137" i="1"/>
  <c r="DD137" i="1"/>
  <c r="DE134" i="1"/>
  <c r="DD134" i="1"/>
  <c r="DE133" i="1"/>
  <c r="DD133" i="1"/>
  <c r="DE132" i="1"/>
  <c r="DD132" i="1"/>
  <c r="DD131" i="1"/>
  <c r="DE129" i="1"/>
  <c r="DD129" i="1"/>
  <c r="DE128" i="1"/>
  <c r="DD128" i="1"/>
  <c r="DE127" i="1"/>
  <c r="DD127" i="1"/>
  <c r="DE126" i="1"/>
  <c r="DD126" i="1"/>
  <c r="DE125" i="1"/>
  <c r="DD125" i="1"/>
  <c r="DE123" i="1"/>
  <c r="DD123" i="1"/>
  <c r="DE122" i="1"/>
  <c r="DD122" i="1"/>
  <c r="DE121" i="1"/>
  <c r="DD121" i="1"/>
  <c r="DE120" i="1"/>
  <c r="DD120" i="1"/>
  <c r="DE119" i="1"/>
  <c r="DE118" i="1"/>
  <c r="DD119" i="1"/>
  <c r="DD118" i="1"/>
  <c r="DE116" i="1"/>
  <c r="DD116" i="1"/>
  <c r="DE115" i="1"/>
  <c r="DD115" i="1"/>
  <c r="DE114" i="1"/>
  <c r="DD114" i="1"/>
  <c r="DE113" i="1"/>
  <c r="DD113" i="1"/>
  <c r="DE112" i="1"/>
  <c r="DD112" i="1"/>
  <c r="DE111" i="1"/>
  <c r="DD111" i="1"/>
  <c r="DE109" i="1"/>
  <c r="DD109" i="1"/>
  <c r="DE108" i="1"/>
  <c r="DD108" i="1"/>
  <c r="DE107" i="1"/>
  <c r="DE106" i="1"/>
  <c r="DD107" i="1"/>
  <c r="DD106" i="1"/>
  <c r="DE102" i="1"/>
  <c r="DD102" i="1"/>
  <c r="DE101" i="1"/>
  <c r="DD101" i="1"/>
  <c r="DE100" i="1"/>
  <c r="DD100" i="1"/>
  <c r="DE99" i="1"/>
  <c r="DD99" i="1"/>
  <c r="DE98" i="1"/>
  <c r="DD98" i="1"/>
  <c r="DE97" i="1"/>
  <c r="DD97" i="1"/>
  <c r="DE96" i="1"/>
  <c r="DD96" i="1"/>
  <c r="DD95" i="1"/>
  <c r="DD94" i="1"/>
  <c r="DE95" i="1"/>
  <c r="DE92" i="1"/>
  <c r="DD92" i="1"/>
  <c r="DE91" i="1"/>
  <c r="DD91" i="1"/>
  <c r="DE90" i="1"/>
  <c r="DD90" i="1"/>
  <c r="DE89" i="1"/>
  <c r="DD89" i="1"/>
  <c r="DE88" i="1"/>
  <c r="DD88" i="1"/>
  <c r="DE87" i="1"/>
  <c r="DE86" i="1"/>
  <c r="DD87" i="1"/>
  <c r="DD86" i="1"/>
  <c r="DE84" i="1"/>
  <c r="DD84" i="1"/>
  <c r="DE83" i="1"/>
  <c r="DD83" i="1"/>
  <c r="DE82" i="1"/>
  <c r="DD82" i="1"/>
  <c r="DE80" i="1"/>
  <c r="DD80" i="1"/>
  <c r="DE79" i="1"/>
  <c r="DD79" i="1"/>
  <c r="DE78" i="1"/>
  <c r="DD78" i="1"/>
  <c r="DE77" i="1"/>
  <c r="DD77" i="1"/>
  <c r="DE75" i="1"/>
  <c r="DD75" i="1"/>
  <c r="DE74" i="1"/>
  <c r="DD74" i="1"/>
  <c r="DE73" i="1"/>
  <c r="DD73" i="1"/>
  <c r="DE72" i="1"/>
  <c r="DD72" i="1"/>
  <c r="DE70" i="1"/>
  <c r="DE67" i="1"/>
  <c r="DD70" i="1"/>
  <c r="DE69" i="1"/>
  <c r="DD69" i="1"/>
  <c r="DE68" i="1"/>
  <c r="DD68" i="1"/>
  <c r="DD67" i="1"/>
  <c r="DE65" i="1"/>
  <c r="DD65" i="1"/>
  <c r="DE64" i="1"/>
  <c r="DE63" i="1"/>
  <c r="DD64" i="1"/>
  <c r="DD63" i="1"/>
  <c r="DE61" i="1"/>
  <c r="DD61" i="1"/>
  <c r="DE59" i="1"/>
  <c r="DD59" i="1"/>
  <c r="DE58" i="1"/>
  <c r="DD58" i="1"/>
  <c r="DE57" i="1"/>
  <c r="DD57" i="1"/>
  <c r="DE56" i="1"/>
  <c r="DD56" i="1"/>
  <c r="DE55" i="1"/>
  <c r="DD55" i="1"/>
  <c r="DE54" i="1"/>
  <c r="DD54" i="1"/>
  <c r="DE53" i="1"/>
  <c r="DE52" i="1"/>
  <c r="DD53" i="1"/>
  <c r="DD52" i="1"/>
  <c r="DE50" i="1"/>
  <c r="DD50" i="1"/>
  <c r="DE49" i="1"/>
  <c r="DD49" i="1"/>
  <c r="DE48" i="1"/>
  <c r="DD48" i="1"/>
  <c r="DE47" i="1"/>
  <c r="DD47" i="1"/>
  <c r="DE42" i="1"/>
  <c r="DD42" i="1"/>
  <c r="DE41" i="1"/>
  <c r="DD41" i="1"/>
  <c r="DE38" i="1"/>
  <c r="DE36" i="1"/>
  <c r="DD36" i="1"/>
  <c r="DE34" i="1"/>
  <c r="DD34" i="1"/>
  <c r="DE33" i="1"/>
  <c r="DD33" i="1"/>
  <c r="DE32" i="1"/>
  <c r="DD32" i="1"/>
  <c r="DE31" i="1"/>
  <c r="DE30" i="1"/>
  <c r="DD31" i="1"/>
  <c r="DD30" i="1"/>
  <c r="DE28" i="1"/>
  <c r="DD28" i="1"/>
  <c r="DE26" i="1"/>
  <c r="DD26" i="1"/>
  <c r="DE24" i="1"/>
  <c r="DD24" i="1"/>
  <c r="DE23" i="1"/>
  <c r="DD23" i="1"/>
  <c r="DE22" i="1"/>
  <c r="DE21" i="1"/>
  <c r="DD22" i="1"/>
  <c r="DD21" i="1"/>
  <c r="DE19" i="1"/>
  <c r="DD19" i="1"/>
  <c r="DE18" i="1"/>
  <c r="DD18" i="1"/>
  <c r="DE17" i="1"/>
  <c r="DE16" i="1"/>
  <c r="DD17" i="1"/>
  <c r="DD16" i="1"/>
  <c r="DG863" i="1"/>
  <c r="DF863" i="1"/>
  <c r="DG860" i="1"/>
  <c r="DF860" i="1"/>
  <c r="DG856" i="1"/>
  <c r="DF856" i="1"/>
  <c r="DG845" i="1"/>
  <c r="DF845" i="1"/>
  <c r="DG842" i="1"/>
  <c r="DF842" i="1"/>
  <c r="DG827" i="1"/>
  <c r="DF827" i="1"/>
  <c r="DG790" i="1"/>
  <c r="DF790" i="1"/>
  <c r="DG783" i="1"/>
  <c r="DF783" i="1"/>
  <c r="DG768" i="1"/>
  <c r="DF768" i="1"/>
  <c r="DG742" i="1"/>
  <c r="DF742" i="1"/>
  <c r="DG738" i="1"/>
  <c r="DF738" i="1"/>
  <c r="DG728" i="1"/>
  <c r="DF728" i="1"/>
  <c r="DG725" i="1"/>
  <c r="DF725" i="1"/>
  <c r="DG718" i="1"/>
  <c r="DF718" i="1"/>
  <c r="DG711" i="1"/>
  <c r="DF711" i="1"/>
  <c r="DG705" i="1"/>
  <c r="DF705" i="1"/>
  <c r="DG702" i="1"/>
  <c r="DF702" i="1"/>
  <c r="DG699" i="1"/>
  <c r="DF699" i="1"/>
  <c r="DG696" i="1"/>
  <c r="DF696" i="1"/>
  <c r="DG693" i="1"/>
  <c r="DF693" i="1"/>
  <c r="DG685" i="1"/>
  <c r="DF685" i="1"/>
  <c r="DG681" i="1"/>
  <c r="DF681" i="1"/>
  <c r="DG669" i="1"/>
  <c r="DG664" i="1"/>
  <c r="DF669" i="1"/>
  <c r="DF664" i="1"/>
  <c r="DG666" i="1"/>
  <c r="DF666" i="1"/>
  <c r="DG655" i="1"/>
  <c r="DF655" i="1"/>
  <c r="DG645" i="1"/>
  <c r="DF645" i="1"/>
  <c r="DG637" i="1"/>
  <c r="DF637" i="1"/>
  <c r="DG634" i="1"/>
  <c r="DG632" i="1"/>
  <c r="DG630" i="1"/>
  <c r="DG628" i="1"/>
  <c r="DF634" i="1"/>
  <c r="DF632" i="1"/>
  <c r="DF630" i="1"/>
  <c r="DF628" i="1"/>
  <c r="DG625" i="1"/>
  <c r="DF625" i="1"/>
  <c r="DG621" i="1"/>
  <c r="DF621" i="1"/>
  <c r="DG619" i="1"/>
  <c r="DF619" i="1"/>
  <c r="DG616" i="1"/>
  <c r="DF616" i="1"/>
  <c r="DG613" i="1"/>
  <c r="DF613" i="1"/>
  <c r="DG606" i="1"/>
  <c r="DF606" i="1"/>
  <c r="DG600" i="1"/>
  <c r="DF600" i="1"/>
  <c r="DG592" i="1"/>
  <c r="DF592" i="1"/>
  <c r="DG585" i="1"/>
  <c r="DF585" i="1"/>
  <c r="DG581" i="1"/>
  <c r="DF581" i="1"/>
  <c r="DG579" i="1"/>
  <c r="DG577" i="1"/>
  <c r="DF579" i="1"/>
  <c r="DF577" i="1"/>
  <c r="DG571" i="1"/>
  <c r="DF571" i="1"/>
  <c r="DG569" i="1"/>
  <c r="DG567" i="1"/>
  <c r="DF569" i="1"/>
  <c r="DF567" i="1"/>
  <c r="DG563" i="1"/>
  <c r="DF563" i="1"/>
  <c r="DG558" i="1"/>
  <c r="DF558" i="1"/>
  <c r="DG555" i="1"/>
  <c r="DF555" i="1"/>
  <c r="DG549" i="1"/>
  <c r="DF549" i="1"/>
  <c r="DG543" i="1"/>
  <c r="DF543" i="1"/>
  <c r="DG535" i="1"/>
  <c r="DF535" i="1"/>
  <c r="DG532" i="1"/>
  <c r="DF532" i="1"/>
  <c r="DG526" i="1"/>
  <c r="DF526" i="1"/>
  <c r="DG507" i="1"/>
  <c r="DG505" i="1"/>
  <c r="DF507" i="1"/>
  <c r="DF505" i="1"/>
  <c r="DG500" i="1"/>
  <c r="DF500" i="1"/>
  <c r="DG488" i="1"/>
  <c r="DF488" i="1"/>
  <c r="DG482" i="1"/>
  <c r="DF482" i="1"/>
  <c r="DG472" i="1"/>
  <c r="DF472" i="1"/>
  <c r="DG464" i="1"/>
  <c r="DF464" i="1"/>
  <c r="DG458" i="1"/>
  <c r="DF458" i="1"/>
  <c r="DG451" i="1"/>
  <c r="DF451" i="1"/>
  <c r="DG444" i="1"/>
  <c r="DF444" i="1"/>
  <c r="DG439" i="1"/>
  <c r="DG437" i="1"/>
  <c r="DF439" i="1"/>
  <c r="DF437" i="1"/>
  <c r="DG427" i="1"/>
  <c r="DF427" i="1"/>
  <c r="DG419" i="1"/>
  <c r="DF419" i="1"/>
  <c r="DG416" i="1"/>
  <c r="DF416" i="1"/>
  <c r="DG411" i="1"/>
  <c r="DF411" i="1"/>
  <c r="DG406" i="1"/>
  <c r="DF406" i="1"/>
  <c r="DG401" i="1"/>
  <c r="DF401" i="1"/>
  <c r="DG397" i="1"/>
  <c r="DF397" i="1"/>
  <c r="DG386" i="1"/>
  <c r="DF386" i="1"/>
  <c r="DG380" i="1"/>
  <c r="DG378" i="1"/>
  <c r="DF380" i="1"/>
  <c r="DG375" i="1"/>
  <c r="DF375" i="1"/>
  <c r="DG368" i="1"/>
  <c r="DF368" i="1"/>
  <c r="DG366" i="1"/>
  <c r="DF366" i="1"/>
  <c r="DG361" i="1"/>
  <c r="DF361" i="1"/>
  <c r="DG358" i="1"/>
  <c r="DF358" i="1"/>
  <c r="DG354" i="1"/>
  <c r="DF354" i="1"/>
  <c r="DG349" i="1"/>
  <c r="DF349" i="1"/>
  <c r="DG347" i="1"/>
  <c r="DF347" i="1"/>
  <c r="DG329" i="1"/>
  <c r="DF329" i="1"/>
  <c r="DG326" i="1"/>
  <c r="DF326" i="1"/>
  <c r="DG322" i="1"/>
  <c r="DF322" i="1"/>
  <c r="DG319" i="1"/>
  <c r="DF319" i="1"/>
  <c r="DG316" i="1"/>
  <c r="DF316" i="1"/>
  <c r="DG313" i="1"/>
  <c r="DF313" i="1"/>
  <c r="DG310" i="1"/>
  <c r="DF310" i="1"/>
  <c r="DF308" i="1"/>
  <c r="DG305" i="1"/>
  <c r="DF305" i="1"/>
  <c r="DG302" i="1"/>
  <c r="DF302" i="1"/>
  <c r="DG298" i="1"/>
  <c r="DF298" i="1"/>
  <c r="DG293" i="1"/>
  <c r="DF293" i="1"/>
  <c r="DG288" i="1"/>
  <c r="DF288" i="1"/>
  <c r="DG279" i="1"/>
  <c r="DF279" i="1"/>
  <c r="DF273" i="1"/>
  <c r="DG275" i="1"/>
  <c r="DF275" i="1"/>
  <c r="DG273" i="1"/>
  <c r="DG267" i="1"/>
  <c r="DF267" i="1"/>
  <c r="DG259" i="1"/>
  <c r="DF259" i="1"/>
  <c r="DG251" i="1"/>
  <c r="DF251" i="1"/>
  <c r="DG246" i="1"/>
  <c r="DG244" i="1"/>
  <c r="DF246" i="1"/>
  <c r="DF244" i="1"/>
  <c r="DG238" i="1"/>
  <c r="DF238" i="1"/>
  <c r="DG237" i="1"/>
  <c r="DG236" i="1"/>
  <c r="DG215" i="1"/>
  <c r="DG212" i="1"/>
  <c r="DG220" i="1"/>
  <c r="DG221" i="1"/>
  <c r="DG218" i="1"/>
  <c r="DG210" i="1"/>
  <c r="DF237" i="1"/>
  <c r="DG234" i="1"/>
  <c r="DG230" i="1"/>
  <c r="DF234" i="1"/>
  <c r="DG233" i="1"/>
  <c r="DF233" i="1"/>
  <c r="DG231" i="1"/>
  <c r="DF231" i="1"/>
  <c r="DF230" i="1"/>
  <c r="DG228" i="1"/>
  <c r="DF228" i="1"/>
  <c r="DF227" i="1"/>
  <c r="DG227" i="1"/>
  <c r="DG225" i="1"/>
  <c r="DG224" i="1"/>
  <c r="DF225" i="1"/>
  <c r="DF224" i="1"/>
  <c r="DG222" i="1"/>
  <c r="DF222" i="1"/>
  <c r="DF221" i="1"/>
  <c r="DF220" i="1"/>
  <c r="DG219" i="1"/>
  <c r="DF219" i="1"/>
  <c r="DG216" i="1"/>
  <c r="DF216" i="1"/>
  <c r="DF215" i="1"/>
  <c r="DG214" i="1"/>
  <c r="DF214" i="1"/>
  <c r="DG213" i="1"/>
  <c r="DF213" i="1"/>
  <c r="DF212" i="1"/>
  <c r="DG205" i="1"/>
  <c r="DF205" i="1"/>
  <c r="DG204" i="1"/>
  <c r="DF204" i="1"/>
  <c r="DG202" i="1"/>
  <c r="DG201" i="1"/>
  <c r="DG199" i="1"/>
  <c r="DF202" i="1"/>
  <c r="DF201" i="1"/>
  <c r="DF199" i="1"/>
  <c r="DG197" i="1"/>
  <c r="DF197" i="1"/>
  <c r="DG196" i="1"/>
  <c r="DG195" i="1"/>
  <c r="DG172" i="1"/>
  <c r="DF196" i="1"/>
  <c r="DF195" i="1"/>
  <c r="DF172" i="1"/>
  <c r="DG193" i="1"/>
  <c r="DF193" i="1"/>
  <c r="DG191" i="1"/>
  <c r="DF191" i="1"/>
  <c r="DG189" i="1"/>
  <c r="DF189" i="1"/>
  <c r="DG187" i="1"/>
  <c r="DF187" i="1"/>
  <c r="DG185" i="1"/>
  <c r="DF185" i="1"/>
  <c r="DG184" i="1"/>
  <c r="DF184" i="1"/>
  <c r="DG182" i="1"/>
  <c r="DF182" i="1"/>
  <c r="DG180" i="1"/>
  <c r="DG179" i="1"/>
  <c r="DF180" i="1"/>
  <c r="DF179" i="1"/>
  <c r="DG177" i="1"/>
  <c r="DF177" i="1"/>
  <c r="DG176" i="1"/>
  <c r="DF176" i="1"/>
  <c r="DG175" i="1"/>
  <c r="DG174" i="1"/>
  <c r="DF175" i="1"/>
  <c r="DF174" i="1"/>
  <c r="DG170" i="1"/>
  <c r="DF170" i="1"/>
  <c r="DG169" i="1"/>
  <c r="DF169" i="1"/>
  <c r="DG168" i="1"/>
  <c r="DF168" i="1"/>
  <c r="DG165" i="1"/>
  <c r="DF165" i="1"/>
  <c r="DG163" i="1"/>
  <c r="DF163" i="1"/>
  <c r="DG162" i="1"/>
  <c r="DF162" i="1"/>
  <c r="DG161" i="1"/>
  <c r="DF161" i="1"/>
  <c r="DG160" i="1"/>
  <c r="DF160" i="1"/>
  <c r="DG159" i="1"/>
  <c r="DF159" i="1"/>
  <c r="DG158" i="1"/>
  <c r="DF158" i="1"/>
  <c r="DG157" i="1"/>
  <c r="DF157" i="1"/>
  <c r="DG156" i="1"/>
  <c r="DF156" i="1"/>
  <c r="DG153" i="1"/>
  <c r="DG149" i="1"/>
  <c r="DF153" i="1"/>
  <c r="DG152" i="1"/>
  <c r="DF152" i="1"/>
  <c r="DG151" i="1"/>
  <c r="DF151" i="1"/>
  <c r="DG150" i="1"/>
  <c r="DF150" i="1"/>
  <c r="DF149" i="1"/>
  <c r="DG147" i="1"/>
  <c r="DF147" i="1"/>
  <c r="DG146" i="1"/>
  <c r="DF146" i="1"/>
  <c r="DG145" i="1"/>
  <c r="DF145" i="1"/>
  <c r="DG144" i="1"/>
  <c r="DF144" i="1"/>
  <c r="DG143" i="1"/>
  <c r="DF143" i="1"/>
  <c r="DG142" i="1"/>
  <c r="DF142" i="1"/>
  <c r="DG141" i="1"/>
  <c r="DF141" i="1"/>
  <c r="DG140" i="1"/>
  <c r="DF140" i="1"/>
  <c r="DG139" i="1"/>
  <c r="DF139" i="1"/>
  <c r="DG137" i="1"/>
  <c r="DF137" i="1"/>
  <c r="DG134" i="1"/>
  <c r="DF134" i="1"/>
  <c r="DG133" i="1"/>
  <c r="DF133" i="1"/>
  <c r="DG132" i="1"/>
  <c r="DF132" i="1"/>
  <c r="DG129" i="1"/>
  <c r="DF129" i="1"/>
  <c r="DG128" i="1"/>
  <c r="DF128" i="1"/>
  <c r="DG127" i="1"/>
  <c r="DF127" i="1"/>
  <c r="DG126" i="1"/>
  <c r="DF126" i="1"/>
  <c r="DG125" i="1"/>
  <c r="DF125" i="1"/>
  <c r="DG123" i="1"/>
  <c r="DF123" i="1"/>
  <c r="DG122" i="1"/>
  <c r="DF122" i="1"/>
  <c r="DG121" i="1"/>
  <c r="DF121" i="1"/>
  <c r="DG120" i="1"/>
  <c r="DF120" i="1"/>
  <c r="DG119" i="1"/>
  <c r="DG118" i="1"/>
  <c r="DF119" i="1"/>
  <c r="DF118" i="1"/>
  <c r="DG116" i="1"/>
  <c r="DF116" i="1"/>
  <c r="DG115" i="1"/>
  <c r="DF115" i="1"/>
  <c r="DG114" i="1"/>
  <c r="DF114" i="1"/>
  <c r="DF111" i="1"/>
  <c r="DG113" i="1"/>
  <c r="DF113" i="1"/>
  <c r="DG112" i="1"/>
  <c r="DF112" i="1"/>
  <c r="DG111" i="1"/>
  <c r="DG109" i="1"/>
  <c r="DF109" i="1"/>
  <c r="DG108" i="1"/>
  <c r="DF108" i="1"/>
  <c r="DG107" i="1"/>
  <c r="DG106" i="1"/>
  <c r="DF107" i="1"/>
  <c r="DF106" i="1"/>
  <c r="DG102" i="1"/>
  <c r="DF102" i="1"/>
  <c r="DG101" i="1"/>
  <c r="DF101" i="1"/>
  <c r="DG100" i="1"/>
  <c r="DF100" i="1"/>
  <c r="DG99" i="1"/>
  <c r="DF99" i="1"/>
  <c r="DG98" i="1"/>
  <c r="DF98" i="1"/>
  <c r="DG97" i="1"/>
  <c r="DF97" i="1"/>
  <c r="DG96" i="1"/>
  <c r="DF96" i="1"/>
  <c r="DG95" i="1"/>
  <c r="DF95" i="1"/>
  <c r="DG92" i="1"/>
  <c r="DG86" i="1"/>
  <c r="DF92" i="1"/>
  <c r="DG91" i="1"/>
  <c r="DF91" i="1"/>
  <c r="DG90" i="1"/>
  <c r="DF90" i="1"/>
  <c r="DG89" i="1"/>
  <c r="DF89" i="1"/>
  <c r="DG88" i="1"/>
  <c r="DF88" i="1"/>
  <c r="DG87" i="1"/>
  <c r="DF87" i="1"/>
  <c r="DF86" i="1"/>
  <c r="DG84" i="1"/>
  <c r="DF84" i="1"/>
  <c r="DG83" i="1"/>
  <c r="DF83" i="1"/>
  <c r="DG82" i="1"/>
  <c r="DF82" i="1"/>
  <c r="DG80" i="1"/>
  <c r="DF80" i="1"/>
  <c r="DF77" i="1"/>
  <c r="DG79" i="1"/>
  <c r="DF79" i="1"/>
  <c r="DG78" i="1"/>
  <c r="DF78" i="1"/>
  <c r="DG77" i="1"/>
  <c r="DG75" i="1"/>
  <c r="DF75" i="1"/>
  <c r="DG74" i="1"/>
  <c r="DF74" i="1"/>
  <c r="DG73" i="1"/>
  <c r="DF73" i="1"/>
  <c r="DG70" i="1"/>
  <c r="DG67" i="1"/>
  <c r="DF70" i="1"/>
  <c r="DG69" i="1"/>
  <c r="DF69" i="1"/>
  <c r="DG68" i="1"/>
  <c r="DF68" i="1"/>
  <c r="DF67" i="1"/>
  <c r="DG65" i="1"/>
  <c r="DF65" i="1"/>
  <c r="DG64" i="1"/>
  <c r="DG63" i="1"/>
  <c r="DF64" i="1"/>
  <c r="DF63" i="1"/>
  <c r="DG61" i="1"/>
  <c r="DF61" i="1"/>
  <c r="DG59" i="1"/>
  <c r="DF59" i="1"/>
  <c r="DF58" i="1"/>
  <c r="DF52" i="1"/>
  <c r="DG58" i="1"/>
  <c r="DG57" i="1"/>
  <c r="DF57" i="1"/>
  <c r="DG56" i="1"/>
  <c r="DG52" i="1"/>
  <c r="DF56" i="1"/>
  <c r="DG55" i="1"/>
  <c r="DF55" i="1"/>
  <c r="DG54" i="1"/>
  <c r="DF54" i="1"/>
  <c r="DG53" i="1"/>
  <c r="DF53" i="1"/>
  <c r="DG50" i="1"/>
  <c r="DF50" i="1"/>
  <c r="DG49" i="1"/>
  <c r="DF49" i="1"/>
  <c r="DG48" i="1"/>
  <c r="DF48" i="1"/>
  <c r="DF47" i="1"/>
  <c r="DF46" i="1"/>
  <c r="DG47" i="1"/>
  <c r="DG42" i="1"/>
  <c r="DF42" i="1"/>
  <c r="DG41" i="1"/>
  <c r="DF41" i="1"/>
  <c r="DG38" i="1"/>
  <c r="DF38" i="1"/>
  <c r="DG36" i="1"/>
  <c r="DF36" i="1"/>
  <c r="DG34" i="1"/>
  <c r="DF34" i="1"/>
  <c r="DG33" i="1"/>
  <c r="DF33" i="1"/>
  <c r="DG32" i="1"/>
  <c r="DF32" i="1"/>
  <c r="DG31" i="1"/>
  <c r="DG30" i="1"/>
  <c r="DF31" i="1"/>
  <c r="DF30" i="1"/>
  <c r="DG28" i="1"/>
  <c r="DF28" i="1"/>
  <c r="DG26" i="1"/>
  <c r="DF26" i="1"/>
  <c r="DG24" i="1"/>
  <c r="DF24" i="1"/>
  <c r="DG23" i="1"/>
  <c r="DF23" i="1"/>
  <c r="DG22" i="1"/>
  <c r="DG21" i="1"/>
  <c r="DF22" i="1"/>
  <c r="DF21" i="1"/>
  <c r="DG19" i="1"/>
  <c r="DF19" i="1"/>
  <c r="DG18" i="1"/>
  <c r="DF18" i="1"/>
  <c r="DG17" i="1"/>
  <c r="DG16" i="1"/>
  <c r="DF17" i="1"/>
  <c r="DI863" i="1"/>
  <c r="DH863" i="1"/>
  <c r="DI860" i="1"/>
  <c r="DH860" i="1"/>
  <c r="DI856" i="1"/>
  <c r="DH856" i="1"/>
  <c r="DI845" i="1"/>
  <c r="DH845" i="1"/>
  <c r="DI842" i="1"/>
  <c r="DH842" i="1"/>
  <c r="DI827" i="1"/>
  <c r="DH827" i="1"/>
  <c r="DI790" i="1"/>
  <c r="DH790" i="1"/>
  <c r="DI783" i="1"/>
  <c r="DH783" i="1"/>
  <c r="DI768" i="1"/>
  <c r="DH768" i="1"/>
  <c r="DI742" i="1"/>
  <c r="DH742" i="1"/>
  <c r="DI738" i="1"/>
  <c r="DH738" i="1"/>
  <c r="DI728" i="1"/>
  <c r="DH728" i="1"/>
  <c r="DI725" i="1"/>
  <c r="DH725" i="1"/>
  <c r="DI718" i="1"/>
  <c r="DH718" i="1"/>
  <c r="DI711" i="1"/>
  <c r="DH711" i="1"/>
  <c r="DI705" i="1"/>
  <c r="DH705" i="1"/>
  <c r="DI702" i="1"/>
  <c r="DH702" i="1"/>
  <c r="DI699" i="1"/>
  <c r="DH699" i="1"/>
  <c r="DI696" i="1"/>
  <c r="DH696" i="1"/>
  <c r="DI693" i="1"/>
  <c r="DH693" i="1"/>
  <c r="DI685" i="1"/>
  <c r="DH685" i="1"/>
  <c r="DI681" i="1"/>
  <c r="DH681" i="1"/>
  <c r="DI669" i="1"/>
  <c r="DI664" i="1"/>
  <c r="DH669" i="1"/>
  <c r="DH664" i="1"/>
  <c r="DI666" i="1"/>
  <c r="DH666" i="1"/>
  <c r="DI655" i="1"/>
  <c r="DH655" i="1"/>
  <c r="DI645" i="1"/>
  <c r="DH645" i="1"/>
  <c r="DI637" i="1"/>
  <c r="DH637" i="1"/>
  <c r="DI634" i="1"/>
  <c r="DI632" i="1"/>
  <c r="DI630" i="1"/>
  <c r="DI628" i="1"/>
  <c r="DH634" i="1"/>
  <c r="DH632" i="1"/>
  <c r="DH630" i="1"/>
  <c r="DH628" i="1"/>
  <c r="DI625" i="1"/>
  <c r="DH625" i="1"/>
  <c r="DI621" i="1"/>
  <c r="DH621" i="1"/>
  <c r="DI619" i="1"/>
  <c r="DH619" i="1"/>
  <c r="DI616" i="1"/>
  <c r="DH616" i="1"/>
  <c r="DI613" i="1"/>
  <c r="DI611" i="1"/>
  <c r="DI609" i="1"/>
  <c r="DH613" i="1"/>
  <c r="DH611" i="1"/>
  <c r="DH609" i="1"/>
  <c r="DI606" i="1"/>
  <c r="DH606" i="1"/>
  <c r="DI600" i="1"/>
  <c r="DH600" i="1"/>
  <c r="DI592" i="1"/>
  <c r="DH592" i="1"/>
  <c r="DI585" i="1"/>
  <c r="DH585" i="1"/>
  <c r="DI581" i="1"/>
  <c r="DH581" i="1"/>
  <c r="DI579" i="1"/>
  <c r="DH579" i="1"/>
  <c r="DI571" i="1"/>
  <c r="DH571" i="1"/>
  <c r="DI569" i="1"/>
  <c r="DI567" i="1"/>
  <c r="DH569" i="1"/>
  <c r="DH567" i="1"/>
  <c r="DI563" i="1"/>
  <c r="DH563" i="1"/>
  <c r="DI558" i="1"/>
  <c r="DH558" i="1"/>
  <c r="DI555" i="1"/>
  <c r="DH555" i="1"/>
  <c r="DI549" i="1"/>
  <c r="DH549" i="1"/>
  <c r="DI543" i="1"/>
  <c r="DH543" i="1"/>
  <c r="DI535" i="1"/>
  <c r="DH535" i="1"/>
  <c r="DI532" i="1"/>
  <c r="DH532" i="1"/>
  <c r="DI526" i="1"/>
  <c r="DH526" i="1"/>
  <c r="DI507" i="1"/>
  <c r="DI505" i="1"/>
  <c r="DH507" i="1"/>
  <c r="DH505" i="1"/>
  <c r="DI500" i="1"/>
  <c r="DH500" i="1"/>
  <c r="DI488" i="1"/>
  <c r="DH488" i="1"/>
  <c r="DI482" i="1"/>
  <c r="DH482" i="1"/>
  <c r="DI472" i="1"/>
  <c r="DH472" i="1"/>
  <c r="DI464" i="1"/>
  <c r="DH464" i="1"/>
  <c r="DI458" i="1"/>
  <c r="DH458" i="1"/>
  <c r="DI451" i="1"/>
  <c r="DH451" i="1"/>
  <c r="DI444" i="1"/>
  <c r="DH444" i="1"/>
  <c r="DI439" i="1"/>
  <c r="DH439" i="1"/>
  <c r="DI427" i="1"/>
  <c r="DH427" i="1"/>
  <c r="DI419" i="1"/>
  <c r="DH419" i="1"/>
  <c r="DI416" i="1"/>
  <c r="DH416" i="1"/>
  <c r="DI411" i="1"/>
  <c r="DH411" i="1"/>
  <c r="DI406" i="1"/>
  <c r="DH406" i="1"/>
  <c r="DI401" i="1"/>
  <c r="DH401" i="1"/>
  <c r="DI397" i="1"/>
  <c r="DH397" i="1"/>
  <c r="DI386" i="1"/>
  <c r="DH386" i="1"/>
  <c r="DI380" i="1"/>
  <c r="DH380" i="1"/>
  <c r="DI375" i="1"/>
  <c r="DH375" i="1"/>
  <c r="DI368" i="1"/>
  <c r="DH368" i="1"/>
  <c r="DI366" i="1"/>
  <c r="DH366" i="1"/>
  <c r="DI361" i="1"/>
  <c r="DH361" i="1"/>
  <c r="DI358" i="1"/>
  <c r="DH358" i="1"/>
  <c r="DI354" i="1"/>
  <c r="DH354" i="1"/>
  <c r="DI349" i="1"/>
  <c r="DH349" i="1"/>
  <c r="DI347" i="1"/>
  <c r="DH347" i="1"/>
  <c r="DI329" i="1"/>
  <c r="DH329" i="1"/>
  <c r="DI326" i="1"/>
  <c r="DH326" i="1"/>
  <c r="DI322" i="1"/>
  <c r="DI308" i="1"/>
  <c r="DH322" i="1"/>
  <c r="DI319" i="1"/>
  <c r="DH319" i="1"/>
  <c r="DI316" i="1"/>
  <c r="DH316" i="1"/>
  <c r="DI313" i="1"/>
  <c r="DH313" i="1"/>
  <c r="DI310" i="1"/>
  <c r="DH310" i="1"/>
  <c r="DH308" i="1"/>
  <c r="DH242" i="1"/>
  <c r="DI305" i="1"/>
  <c r="DH305" i="1"/>
  <c r="DI302" i="1"/>
  <c r="DH302" i="1"/>
  <c r="DI298" i="1"/>
  <c r="DH298" i="1"/>
  <c r="DI293" i="1"/>
  <c r="DH293" i="1"/>
  <c r="DI288" i="1"/>
  <c r="DH288" i="1"/>
  <c r="DI279" i="1"/>
  <c r="DH279" i="1"/>
  <c r="DI275" i="1"/>
  <c r="DH275" i="1"/>
  <c r="DI267" i="1"/>
  <c r="DH267" i="1"/>
  <c r="DI259" i="1"/>
  <c r="DH259" i="1"/>
  <c r="DI251" i="1"/>
  <c r="DH251" i="1"/>
  <c r="DI246" i="1"/>
  <c r="DH246" i="1"/>
  <c r="DI238" i="1"/>
  <c r="DH238" i="1"/>
  <c r="DI237" i="1"/>
  <c r="DH237" i="1"/>
  <c r="DI236" i="1"/>
  <c r="DH236" i="1"/>
  <c r="DH215" i="1"/>
  <c r="DH212" i="1"/>
  <c r="DH220" i="1"/>
  <c r="DH221" i="1"/>
  <c r="DH218" i="1"/>
  <c r="DH210" i="1"/>
  <c r="DI234" i="1"/>
  <c r="DH234" i="1"/>
  <c r="DI233" i="1"/>
  <c r="DH233" i="1"/>
  <c r="DI231" i="1"/>
  <c r="DH231" i="1"/>
  <c r="DI230" i="1"/>
  <c r="DH230" i="1"/>
  <c r="DI228" i="1"/>
  <c r="DH228" i="1"/>
  <c r="DI227" i="1"/>
  <c r="DH227" i="1"/>
  <c r="DI225" i="1"/>
  <c r="DI224" i="1"/>
  <c r="DH225" i="1"/>
  <c r="DH224" i="1"/>
  <c r="DI222" i="1"/>
  <c r="DH222" i="1"/>
  <c r="DI221" i="1"/>
  <c r="DI220" i="1"/>
  <c r="DI219" i="1"/>
  <c r="DI218" i="1"/>
  <c r="DH219" i="1"/>
  <c r="DI216" i="1"/>
  <c r="DH216" i="1"/>
  <c r="DI215" i="1"/>
  <c r="DI214" i="1"/>
  <c r="DH214" i="1"/>
  <c r="DI213" i="1"/>
  <c r="DI212" i="1"/>
  <c r="DH213" i="1"/>
  <c r="DI205" i="1"/>
  <c r="DI204" i="1"/>
  <c r="DH205" i="1"/>
  <c r="DH204" i="1"/>
  <c r="DI202" i="1"/>
  <c r="DI201" i="1"/>
  <c r="DH202" i="1"/>
  <c r="DH201" i="1"/>
  <c r="DI197" i="1"/>
  <c r="DH197" i="1"/>
  <c r="DI196" i="1"/>
  <c r="DI195" i="1"/>
  <c r="DI172" i="1"/>
  <c r="DH196" i="1"/>
  <c r="DH195" i="1"/>
  <c r="DH172" i="1"/>
  <c r="DI193" i="1"/>
  <c r="DH193" i="1"/>
  <c r="DI191" i="1"/>
  <c r="DH191" i="1"/>
  <c r="DI189" i="1"/>
  <c r="DH189" i="1"/>
  <c r="DI187" i="1"/>
  <c r="DH187" i="1"/>
  <c r="DI185" i="1"/>
  <c r="DI184" i="1"/>
  <c r="DH185" i="1"/>
  <c r="DH184" i="1"/>
  <c r="DI182" i="1"/>
  <c r="DH182" i="1"/>
  <c r="DI180" i="1"/>
  <c r="DH180" i="1"/>
  <c r="DI179" i="1"/>
  <c r="DH179" i="1"/>
  <c r="DI177" i="1"/>
  <c r="DH177" i="1"/>
  <c r="DI176" i="1"/>
  <c r="DH176" i="1"/>
  <c r="DI175" i="1"/>
  <c r="DH175" i="1"/>
  <c r="DI174" i="1"/>
  <c r="DH174" i="1"/>
  <c r="DI170" i="1"/>
  <c r="DH170" i="1"/>
  <c r="DI169" i="1"/>
  <c r="DH169" i="1"/>
  <c r="DI168" i="1"/>
  <c r="DI167" i="1"/>
  <c r="DH168" i="1"/>
  <c r="DI165" i="1"/>
  <c r="DH165" i="1"/>
  <c r="DI163" i="1"/>
  <c r="DH163" i="1"/>
  <c r="DI162" i="1"/>
  <c r="DH162" i="1"/>
  <c r="DI161" i="1"/>
  <c r="DH161" i="1"/>
  <c r="DI160" i="1"/>
  <c r="DH160" i="1"/>
  <c r="DI159" i="1"/>
  <c r="DH159" i="1"/>
  <c r="DI158" i="1"/>
  <c r="DH158" i="1"/>
  <c r="DI157" i="1"/>
  <c r="DH157" i="1"/>
  <c r="DH156" i="1"/>
  <c r="DH155" i="1"/>
  <c r="DI156" i="1"/>
  <c r="DI153" i="1"/>
  <c r="DH153" i="1"/>
  <c r="DI152" i="1"/>
  <c r="DH152" i="1"/>
  <c r="DI151" i="1"/>
  <c r="DH151" i="1"/>
  <c r="DI150" i="1"/>
  <c r="DH150" i="1"/>
  <c r="DI149" i="1"/>
  <c r="DH149" i="1"/>
  <c r="DI147" i="1"/>
  <c r="DH147" i="1"/>
  <c r="DI146" i="1"/>
  <c r="DH146" i="1"/>
  <c r="DI145" i="1"/>
  <c r="DH145" i="1"/>
  <c r="DI144" i="1"/>
  <c r="DH144" i="1"/>
  <c r="DI143" i="1"/>
  <c r="DH143" i="1"/>
  <c r="DI142" i="1"/>
  <c r="DH142" i="1"/>
  <c r="DI141" i="1"/>
  <c r="DH141" i="1"/>
  <c r="DI140" i="1"/>
  <c r="DI139" i="1"/>
  <c r="DH140" i="1"/>
  <c r="DH139" i="1"/>
  <c r="DI137" i="1"/>
  <c r="DH137" i="1"/>
  <c r="DI134" i="1"/>
  <c r="DH134" i="1"/>
  <c r="DI133" i="1"/>
  <c r="DH133" i="1"/>
  <c r="DI132" i="1"/>
  <c r="DH132" i="1"/>
  <c r="DI129" i="1"/>
  <c r="DH129" i="1"/>
  <c r="DI128" i="1"/>
  <c r="DH128" i="1"/>
  <c r="DI127" i="1"/>
  <c r="DH127" i="1"/>
  <c r="DI126" i="1"/>
  <c r="DI125" i="1"/>
  <c r="DH126" i="1"/>
  <c r="DH125" i="1"/>
  <c r="DI123" i="1"/>
  <c r="DH123" i="1"/>
  <c r="DI122" i="1"/>
  <c r="DH122" i="1"/>
  <c r="DI121" i="1"/>
  <c r="DH121" i="1"/>
  <c r="DI120" i="1"/>
  <c r="DH120" i="1"/>
  <c r="DI119" i="1"/>
  <c r="DH119" i="1"/>
  <c r="DH118" i="1"/>
  <c r="DI116" i="1"/>
  <c r="DH116" i="1"/>
  <c r="DI115" i="1"/>
  <c r="DH115" i="1"/>
  <c r="DI114" i="1"/>
  <c r="DH114" i="1"/>
  <c r="DI113" i="1"/>
  <c r="DH113" i="1"/>
  <c r="DI112" i="1"/>
  <c r="DH112" i="1"/>
  <c r="DI109" i="1"/>
  <c r="DH109" i="1"/>
  <c r="DI108" i="1"/>
  <c r="DH108" i="1"/>
  <c r="DI107" i="1"/>
  <c r="DI106" i="1"/>
  <c r="DH107" i="1"/>
  <c r="DH106" i="1"/>
  <c r="DI102" i="1"/>
  <c r="DH102" i="1"/>
  <c r="DI101" i="1"/>
  <c r="DH101" i="1"/>
  <c r="DI100" i="1"/>
  <c r="DH100" i="1"/>
  <c r="DI99" i="1"/>
  <c r="DH99" i="1"/>
  <c r="DI98" i="1"/>
  <c r="DH98" i="1"/>
  <c r="DI97" i="1"/>
  <c r="DH97" i="1"/>
  <c r="DI96" i="1"/>
  <c r="DH96" i="1"/>
  <c r="DH95" i="1"/>
  <c r="DH94" i="1"/>
  <c r="DI95" i="1"/>
  <c r="DI92" i="1"/>
  <c r="DH92" i="1"/>
  <c r="DI91" i="1"/>
  <c r="DH91" i="1"/>
  <c r="DI90" i="1"/>
  <c r="DH90" i="1"/>
  <c r="DI89" i="1"/>
  <c r="DH89" i="1"/>
  <c r="DI88" i="1"/>
  <c r="DH88" i="1"/>
  <c r="DI87" i="1"/>
  <c r="DH87" i="1"/>
  <c r="DH86" i="1"/>
  <c r="DI84" i="1"/>
  <c r="DH84" i="1"/>
  <c r="DI83" i="1"/>
  <c r="DI82" i="1"/>
  <c r="DH83" i="1"/>
  <c r="DH82" i="1"/>
  <c r="DI80" i="1"/>
  <c r="DH80" i="1"/>
  <c r="DI79" i="1"/>
  <c r="DI77" i="1"/>
  <c r="DH79" i="1"/>
  <c r="DI78" i="1"/>
  <c r="DH78" i="1"/>
  <c r="DI75" i="1"/>
  <c r="DH75" i="1"/>
  <c r="DI74" i="1"/>
  <c r="DH74" i="1"/>
  <c r="DI73" i="1"/>
  <c r="DI72" i="1"/>
  <c r="DH73" i="1"/>
  <c r="DI70" i="1"/>
  <c r="DH70" i="1"/>
  <c r="DI69" i="1"/>
  <c r="DH69" i="1"/>
  <c r="DI68" i="1"/>
  <c r="DH68" i="1"/>
  <c r="DH67" i="1"/>
  <c r="DI65" i="1"/>
  <c r="DH65" i="1"/>
  <c r="DI64" i="1"/>
  <c r="DH64" i="1"/>
  <c r="DH63" i="1"/>
  <c r="DI63" i="1"/>
  <c r="DI61" i="1"/>
  <c r="DH61" i="1"/>
  <c r="DI59" i="1"/>
  <c r="DH59" i="1"/>
  <c r="DI58" i="1"/>
  <c r="DH58" i="1"/>
  <c r="DI57" i="1"/>
  <c r="DH57" i="1"/>
  <c r="DI56" i="1"/>
  <c r="DH56" i="1"/>
  <c r="DI55" i="1"/>
  <c r="DH55" i="1"/>
  <c r="DI54" i="1"/>
  <c r="DH54" i="1"/>
  <c r="DI53" i="1"/>
  <c r="DI52" i="1"/>
  <c r="DH53" i="1"/>
  <c r="DH52" i="1"/>
  <c r="DI50" i="1"/>
  <c r="DH50" i="1"/>
  <c r="DI49" i="1"/>
  <c r="DH49" i="1"/>
  <c r="DI48" i="1"/>
  <c r="DH48" i="1"/>
  <c r="DI47" i="1"/>
  <c r="DH47" i="1"/>
  <c r="DH46" i="1"/>
  <c r="DI42" i="1"/>
  <c r="DH42" i="1"/>
  <c r="DI41" i="1"/>
  <c r="DH41" i="1"/>
  <c r="DH38" i="1"/>
  <c r="DI36" i="1"/>
  <c r="DH36" i="1"/>
  <c r="DI34" i="1"/>
  <c r="DH34" i="1"/>
  <c r="DI33" i="1"/>
  <c r="DH33" i="1"/>
  <c r="DI32" i="1"/>
  <c r="DH32" i="1"/>
  <c r="DI31" i="1"/>
  <c r="DH31" i="1"/>
  <c r="DI30" i="1"/>
  <c r="DH30" i="1"/>
  <c r="DI28" i="1"/>
  <c r="DH28" i="1"/>
  <c r="DI26" i="1"/>
  <c r="DH26" i="1"/>
  <c r="DI24" i="1"/>
  <c r="DH24" i="1"/>
  <c r="DI23" i="1"/>
  <c r="DH23" i="1"/>
  <c r="DI22" i="1"/>
  <c r="DH22" i="1"/>
  <c r="DI21" i="1"/>
  <c r="DH21" i="1"/>
  <c r="DI19" i="1"/>
  <c r="DH19" i="1"/>
  <c r="DI18" i="1"/>
  <c r="DH18" i="1"/>
  <c r="DI17" i="1"/>
  <c r="DI16" i="1"/>
  <c r="DH17" i="1"/>
  <c r="DK863" i="1"/>
  <c r="DJ863" i="1"/>
  <c r="DK860" i="1"/>
  <c r="DJ860" i="1"/>
  <c r="DK856" i="1"/>
  <c r="DJ856" i="1"/>
  <c r="DK845" i="1"/>
  <c r="DJ845" i="1"/>
  <c r="DK842" i="1"/>
  <c r="DJ842" i="1"/>
  <c r="DK827" i="1"/>
  <c r="DJ827" i="1"/>
  <c r="DK790" i="1"/>
  <c r="DJ790" i="1"/>
  <c r="DK783" i="1"/>
  <c r="DJ783" i="1"/>
  <c r="DK768" i="1"/>
  <c r="DJ768" i="1"/>
  <c r="DK742" i="1"/>
  <c r="DJ742" i="1"/>
  <c r="DK738" i="1"/>
  <c r="DJ738" i="1"/>
  <c r="DK728" i="1"/>
  <c r="DJ728" i="1"/>
  <c r="DK725" i="1"/>
  <c r="DJ725" i="1"/>
  <c r="DK718" i="1"/>
  <c r="DJ718" i="1"/>
  <c r="DK711" i="1"/>
  <c r="DJ711" i="1"/>
  <c r="DK705" i="1"/>
  <c r="DJ705" i="1"/>
  <c r="DK702" i="1"/>
  <c r="DJ702" i="1"/>
  <c r="DK699" i="1"/>
  <c r="DJ699" i="1"/>
  <c r="DK696" i="1"/>
  <c r="DJ696" i="1"/>
  <c r="DK693" i="1"/>
  <c r="DJ693" i="1"/>
  <c r="DK685" i="1"/>
  <c r="DJ685" i="1"/>
  <c r="DK681" i="1"/>
  <c r="DJ681" i="1"/>
  <c r="DK669" i="1"/>
  <c r="DK664" i="1"/>
  <c r="DJ669" i="1"/>
  <c r="DJ664" i="1"/>
  <c r="DK666" i="1"/>
  <c r="DJ666" i="1"/>
  <c r="DK655" i="1"/>
  <c r="DJ655" i="1"/>
  <c r="DK645" i="1"/>
  <c r="DJ645" i="1"/>
  <c r="DK637" i="1"/>
  <c r="DJ637" i="1"/>
  <c r="DK634" i="1"/>
  <c r="DK632" i="1"/>
  <c r="DK630" i="1"/>
  <c r="DK628" i="1"/>
  <c r="DJ634" i="1"/>
  <c r="DJ632" i="1"/>
  <c r="DJ630" i="1"/>
  <c r="DJ628" i="1"/>
  <c r="DK625" i="1"/>
  <c r="DJ625" i="1"/>
  <c r="DK621" i="1"/>
  <c r="DJ621" i="1"/>
  <c r="DK619" i="1"/>
  <c r="DJ619" i="1"/>
  <c r="DK616" i="1"/>
  <c r="DJ616" i="1"/>
  <c r="DK613" i="1"/>
  <c r="DJ613" i="1"/>
  <c r="DK606" i="1"/>
  <c r="DJ606" i="1"/>
  <c r="DK600" i="1"/>
  <c r="DJ600" i="1"/>
  <c r="DK592" i="1"/>
  <c r="DJ592" i="1"/>
  <c r="DK585" i="1"/>
  <c r="DJ585" i="1"/>
  <c r="DK581" i="1"/>
  <c r="DJ581" i="1"/>
  <c r="DK579" i="1"/>
  <c r="DJ579" i="1"/>
  <c r="DK571" i="1"/>
  <c r="DJ571" i="1"/>
  <c r="DK569" i="1"/>
  <c r="DK567" i="1"/>
  <c r="DJ569" i="1"/>
  <c r="DJ567" i="1"/>
  <c r="DK563" i="1"/>
  <c r="DJ563" i="1"/>
  <c r="DK558" i="1"/>
  <c r="DJ558" i="1"/>
  <c r="DK555" i="1"/>
  <c r="DJ555" i="1"/>
  <c r="DK549" i="1"/>
  <c r="DJ549" i="1"/>
  <c r="DK543" i="1"/>
  <c r="DJ543" i="1"/>
  <c r="DK535" i="1"/>
  <c r="DJ535" i="1"/>
  <c r="DK532" i="1"/>
  <c r="DJ532" i="1"/>
  <c r="DK526" i="1"/>
  <c r="DJ526" i="1"/>
  <c r="DK507" i="1"/>
  <c r="DK505" i="1"/>
  <c r="DJ507" i="1"/>
  <c r="DJ505" i="1"/>
  <c r="DK500" i="1"/>
  <c r="DJ500" i="1"/>
  <c r="DK488" i="1"/>
  <c r="DJ488" i="1"/>
  <c r="DK482" i="1"/>
  <c r="DJ482" i="1"/>
  <c r="DK472" i="1"/>
  <c r="DJ472" i="1"/>
  <c r="DK464" i="1"/>
  <c r="DJ464" i="1"/>
  <c r="DK458" i="1"/>
  <c r="DJ458" i="1"/>
  <c r="DK451" i="1"/>
  <c r="DJ451" i="1"/>
  <c r="DK444" i="1"/>
  <c r="DJ444" i="1"/>
  <c r="DK439" i="1"/>
  <c r="DJ439" i="1"/>
  <c r="DK427" i="1"/>
  <c r="DJ427" i="1"/>
  <c r="DK419" i="1"/>
  <c r="DJ419" i="1"/>
  <c r="DK416" i="1"/>
  <c r="DJ416" i="1"/>
  <c r="DK411" i="1"/>
  <c r="DJ411" i="1"/>
  <c r="DK406" i="1"/>
  <c r="DJ406" i="1"/>
  <c r="DK401" i="1"/>
  <c r="DJ401" i="1"/>
  <c r="DK397" i="1"/>
  <c r="DJ397" i="1"/>
  <c r="DK386" i="1"/>
  <c r="DJ386" i="1"/>
  <c r="DK380" i="1"/>
  <c r="DJ380" i="1"/>
  <c r="DK375" i="1"/>
  <c r="DJ375" i="1"/>
  <c r="DK368" i="1"/>
  <c r="DJ368" i="1"/>
  <c r="DK366" i="1"/>
  <c r="DJ366" i="1"/>
  <c r="DK361" i="1"/>
  <c r="DJ361" i="1"/>
  <c r="DK358" i="1"/>
  <c r="DJ358" i="1"/>
  <c r="DK354" i="1"/>
  <c r="DJ354" i="1"/>
  <c r="DK349" i="1"/>
  <c r="DJ349" i="1"/>
  <c r="DK347" i="1"/>
  <c r="DJ347" i="1"/>
  <c r="DK329" i="1"/>
  <c r="DJ329" i="1"/>
  <c r="DK326" i="1"/>
  <c r="DJ326" i="1"/>
  <c r="DK322" i="1"/>
  <c r="DJ322" i="1"/>
  <c r="DJ308" i="1"/>
  <c r="DJ242" i="1"/>
  <c r="DK319" i="1"/>
  <c r="DJ319" i="1"/>
  <c r="DK316" i="1"/>
  <c r="DJ316" i="1"/>
  <c r="DK313" i="1"/>
  <c r="DJ313" i="1"/>
  <c r="DK310" i="1"/>
  <c r="DK308" i="1"/>
  <c r="DJ310" i="1"/>
  <c r="DK305" i="1"/>
  <c r="DJ305" i="1"/>
  <c r="DK302" i="1"/>
  <c r="DJ302" i="1"/>
  <c r="DK298" i="1"/>
  <c r="DJ298" i="1"/>
  <c r="DK293" i="1"/>
  <c r="DJ293" i="1"/>
  <c r="DK288" i="1"/>
  <c r="DJ288" i="1"/>
  <c r="DK279" i="1"/>
  <c r="DJ279" i="1"/>
  <c r="DK275" i="1"/>
  <c r="DJ275" i="1"/>
  <c r="DK267" i="1"/>
  <c r="DJ267" i="1"/>
  <c r="DK259" i="1"/>
  <c r="DJ259" i="1"/>
  <c r="DK251" i="1"/>
  <c r="DJ251" i="1"/>
  <c r="DK246" i="1"/>
  <c r="DJ246" i="1"/>
  <c r="DK238" i="1"/>
  <c r="DJ238" i="1"/>
  <c r="DK237" i="1"/>
  <c r="DK236" i="1"/>
  <c r="DK215" i="1"/>
  <c r="DK212" i="1"/>
  <c r="DK220" i="1"/>
  <c r="DK221" i="1"/>
  <c r="DK218" i="1"/>
  <c r="DK210" i="1"/>
  <c r="DJ237" i="1"/>
  <c r="DK234" i="1"/>
  <c r="DJ234" i="1"/>
  <c r="DK233" i="1"/>
  <c r="DJ233" i="1"/>
  <c r="DK231" i="1"/>
  <c r="DJ231" i="1"/>
  <c r="DK230" i="1"/>
  <c r="DJ230" i="1"/>
  <c r="DK228" i="1"/>
  <c r="DJ228" i="1"/>
  <c r="DJ227" i="1"/>
  <c r="DK227" i="1"/>
  <c r="DK225" i="1"/>
  <c r="DJ225" i="1"/>
  <c r="DK224" i="1"/>
  <c r="DJ224" i="1"/>
  <c r="DK222" i="1"/>
  <c r="DJ222" i="1"/>
  <c r="DJ221" i="1"/>
  <c r="DJ220" i="1"/>
  <c r="DK219" i="1"/>
  <c r="DJ219" i="1"/>
  <c r="DJ218" i="1"/>
  <c r="DK216" i="1"/>
  <c r="DJ216" i="1"/>
  <c r="DJ215" i="1"/>
  <c r="DK214" i="1"/>
  <c r="DJ214" i="1"/>
  <c r="DK213" i="1"/>
  <c r="DJ213" i="1"/>
  <c r="DJ212" i="1"/>
  <c r="DK205" i="1"/>
  <c r="DK204" i="1"/>
  <c r="DJ205" i="1"/>
  <c r="DJ204" i="1"/>
  <c r="DK202" i="1"/>
  <c r="DK201" i="1"/>
  <c r="DJ202" i="1"/>
  <c r="DJ201" i="1"/>
  <c r="DK197" i="1"/>
  <c r="DJ197" i="1"/>
  <c r="DK196" i="1"/>
  <c r="DK195" i="1"/>
  <c r="DK172" i="1"/>
  <c r="DJ196" i="1"/>
  <c r="DK193" i="1"/>
  <c r="DJ193" i="1"/>
  <c r="DK191" i="1"/>
  <c r="DJ191" i="1"/>
  <c r="DK189" i="1"/>
  <c r="DJ189" i="1"/>
  <c r="DK187" i="1"/>
  <c r="DJ187" i="1"/>
  <c r="DK185" i="1"/>
  <c r="DK184" i="1"/>
  <c r="DJ185" i="1"/>
  <c r="DJ184" i="1"/>
  <c r="DK182" i="1"/>
  <c r="DJ182" i="1"/>
  <c r="DK180" i="1"/>
  <c r="DJ180" i="1"/>
  <c r="DK179" i="1"/>
  <c r="DJ179" i="1"/>
  <c r="DK177" i="1"/>
  <c r="DJ177" i="1"/>
  <c r="DK176" i="1"/>
  <c r="DJ176" i="1"/>
  <c r="DK175" i="1"/>
  <c r="DJ175" i="1"/>
  <c r="DK174" i="1"/>
  <c r="DJ174" i="1"/>
  <c r="DK170" i="1"/>
  <c r="DJ170" i="1"/>
  <c r="DK169" i="1"/>
  <c r="DJ169" i="1"/>
  <c r="DK168" i="1"/>
  <c r="DJ168" i="1"/>
  <c r="DK165" i="1"/>
  <c r="DJ165" i="1"/>
  <c r="DK163" i="1"/>
  <c r="DJ163" i="1"/>
  <c r="DK162" i="1"/>
  <c r="DJ162" i="1"/>
  <c r="DK161" i="1"/>
  <c r="DJ161" i="1"/>
  <c r="DK160" i="1"/>
  <c r="DJ160" i="1"/>
  <c r="DK159" i="1"/>
  <c r="DJ159" i="1"/>
  <c r="DK158" i="1"/>
  <c r="DJ158" i="1"/>
  <c r="DK157" i="1"/>
  <c r="DJ157" i="1"/>
  <c r="DK156" i="1"/>
  <c r="DJ156" i="1"/>
  <c r="DJ155" i="1"/>
  <c r="DK153" i="1"/>
  <c r="DJ153" i="1"/>
  <c r="DK152" i="1"/>
  <c r="DJ152" i="1"/>
  <c r="DK151" i="1"/>
  <c r="DJ151" i="1"/>
  <c r="DK150" i="1"/>
  <c r="DJ150" i="1"/>
  <c r="DK149" i="1"/>
  <c r="DJ149" i="1"/>
  <c r="DK147" i="1"/>
  <c r="DJ147" i="1"/>
  <c r="DK146" i="1"/>
  <c r="DJ146" i="1"/>
  <c r="DK145" i="1"/>
  <c r="DJ145" i="1"/>
  <c r="DK144" i="1"/>
  <c r="DJ144" i="1"/>
  <c r="DK143" i="1"/>
  <c r="DJ143" i="1"/>
  <c r="DK142" i="1"/>
  <c r="DJ142" i="1"/>
  <c r="DK141" i="1"/>
  <c r="DJ141" i="1"/>
  <c r="DJ140" i="1"/>
  <c r="DJ139" i="1"/>
  <c r="DK140" i="1"/>
  <c r="DK137" i="1"/>
  <c r="DJ137" i="1"/>
  <c r="DK134" i="1"/>
  <c r="DJ134" i="1"/>
  <c r="DK133" i="1"/>
  <c r="DJ133" i="1"/>
  <c r="DK132" i="1"/>
  <c r="DJ132" i="1"/>
  <c r="DK129" i="1"/>
  <c r="DJ129" i="1"/>
  <c r="DK128" i="1"/>
  <c r="DJ128" i="1"/>
  <c r="DK127" i="1"/>
  <c r="DJ127" i="1"/>
  <c r="DK126" i="1"/>
  <c r="DK125" i="1"/>
  <c r="DJ126" i="1"/>
  <c r="DJ125" i="1"/>
  <c r="DK123" i="1"/>
  <c r="DJ123" i="1"/>
  <c r="DK122" i="1"/>
  <c r="DJ122" i="1"/>
  <c r="DK121" i="1"/>
  <c r="DJ121" i="1"/>
  <c r="DK120" i="1"/>
  <c r="DJ120" i="1"/>
  <c r="DK119" i="1"/>
  <c r="DJ119" i="1"/>
  <c r="DK116" i="1"/>
  <c r="DJ116" i="1"/>
  <c r="DK115" i="1"/>
  <c r="DJ115" i="1"/>
  <c r="DK114" i="1"/>
  <c r="DJ114" i="1"/>
  <c r="DJ111" i="1"/>
  <c r="DK113" i="1"/>
  <c r="DJ113" i="1"/>
  <c r="DK112" i="1"/>
  <c r="DJ112" i="1"/>
  <c r="DK109" i="1"/>
  <c r="DJ109" i="1"/>
  <c r="DK108" i="1"/>
  <c r="DJ108" i="1"/>
  <c r="DK107" i="1"/>
  <c r="DK106" i="1"/>
  <c r="DJ107" i="1"/>
  <c r="DJ106" i="1"/>
  <c r="DK102" i="1"/>
  <c r="DJ102" i="1"/>
  <c r="DK101" i="1"/>
  <c r="DJ101" i="1"/>
  <c r="DK100" i="1"/>
  <c r="DJ100" i="1"/>
  <c r="DK99" i="1"/>
  <c r="DJ99" i="1"/>
  <c r="DK98" i="1"/>
  <c r="DJ98" i="1"/>
  <c r="DK97" i="1"/>
  <c r="DJ97" i="1"/>
  <c r="DK96" i="1"/>
  <c r="DJ96" i="1"/>
  <c r="DK95" i="1"/>
  <c r="DJ95" i="1"/>
  <c r="DK92" i="1"/>
  <c r="DJ92" i="1"/>
  <c r="DK91" i="1"/>
  <c r="DJ91" i="1"/>
  <c r="DK90" i="1"/>
  <c r="DJ90" i="1"/>
  <c r="DK89" i="1"/>
  <c r="DJ89" i="1"/>
  <c r="DK88" i="1"/>
  <c r="DJ88" i="1"/>
  <c r="DK87" i="1"/>
  <c r="DJ87" i="1"/>
  <c r="DK86" i="1"/>
  <c r="DJ86" i="1"/>
  <c r="DK84" i="1"/>
  <c r="DJ84" i="1"/>
  <c r="DK83" i="1"/>
  <c r="DK82" i="1"/>
  <c r="DJ83" i="1"/>
  <c r="DJ82" i="1"/>
  <c r="DK80" i="1"/>
  <c r="DJ80" i="1"/>
  <c r="DK79" i="1"/>
  <c r="DJ79" i="1"/>
  <c r="DK78" i="1"/>
  <c r="DJ78" i="1"/>
  <c r="DJ77" i="1"/>
  <c r="DK75" i="1"/>
  <c r="DJ75" i="1"/>
  <c r="DK74" i="1"/>
  <c r="DJ74" i="1"/>
  <c r="DK73" i="1"/>
  <c r="DJ73" i="1"/>
  <c r="DK70" i="1"/>
  <c r="DJ70" i="1"/>
  <c r="DK69" i="1"/>
  <c r="DJ69" i="1"/>
  <c r="DK68" i="1"/>
  <c r="DJ68" i="1"/>
  <c r="DK65" i="1"/>
  <c r="DJ65" i="1"/>
  <c r="DK64" i="1"/>
  <c r="DK63" i="1"/>
  <c r="DJ64" i="1"/>
  <c r="DJ63" i="1"/>
  <c r="DK61" i="1"/>
  <c r="DJ61" i="1"/>
  <c r="DK59" i="1"/>
  <c r="DJ59" i="1"/>
  <c r="DK58" i="1"/>
  <c r="DJ58" i="1"/>
  <c r="DK57" i="1"/>
  <c r="DJ57" i="1"/>
  <c r="DK56" i="1"/>
  <c r="DJ56" i="1"/>
  <c r="DK55" i="1"/>
  <c r="DJ55" i="1"/>
  <c r="DK54" i="1"/>
  <c r="DJ54" i="1"/>
  <c r="DK53" i="1"/>
  <c r="DJ53" i="1"/>
  <c r="DJ52" i="1"/>
  <c r="DK50" i="1"/>
  <c r="DJ50" i="1"/>
  <c r="DK49" i="1"/>
  <c r="DJ49" i="1"/>
  <c r="DK48" i="1"/>
  <c r="DJ48" i="1"/>
  <c r="DK47" i="1"/>
  <c r="DJ47" i="1"/>
  <c r="DJ46" i="1"/>
  <c r="DK42" i="1"/>
  <c r="DJ42" i="1"/>
  <c r="DK41" i="1"/>
  <c r="DJ41" i="1"/>
  <c r="DK38" i="1"/>
  <c r="DJ38" i="1"/>
  <c r="DK36" i="1"/>
  <c r="DJ36" i="1"/>
  <c r="DK34" i="1"/>
  <c r="DJ34" i="1"/>
  <c r="DK33" i="1"/>
  <c r="DJ33" i="1"/>
  <c r="DK32" i="1"/>
  <c r="DJ32" i="1"/>
  <c r="DK31" i="1"/>
  <c r="DJ31" i="1"/>
  <c r="DK30" i="1"/>
  <c r="DJ30" i="1"/>
  <c r="DK28" i="1"/>
  <c r="DJ28" i="1"/>
  <c r="DK26" i="1"/>
  <c r="DJ26" i="1"/>
  <c r="DK24" i="1"/>
  <c r="DJ24" i="1"/>
  <c r="DK23" i="1"/>
  <c r="DJ23" i="1"/>
  <c r="DK22" i="1"/>
  <c r="DJ22" i="1"/>
  <c r="DK21" i="1"/>
  <c r="DJ21" i="1"/>
  <c r="DK19" i="1"/>
  <c r="DJ19" i="1"/>
  <c r="DK18" i="1"/>
  <c r="DJ18" i="1"/>
  <c r="DK17" i="1"/>
  <c r="DK16" i="1"/>
  <c r="DK14" i="1"/>
  <c r="DJ17" i="1"/>
  <c r="DJ16" i="1"/>
  <c r="DJ14" i="1"/>
  <c r="DM863" i="1"/>
  <c r="DL863" i="1"/>
  <c r="DM860" i="1"/>
  <c r="DL860" i="1"/>
  <c r="DM856" i="1"/>
  <c r="DL856" i="1"/>
  <c r="DM845" i="1"/>
  <c r="DL845" i="1"/>
  <c r="DM842" i="1"/>
  <c r="DL842" i="1"/>
  <c r="DM827" i="1"/>
  <c r="DL827" i="1"/>
  <c r="DM790" i="1"/>
  <c r="DL790" i="1"/>
  <c r="DM783" i="1"/>
  <c r="DL783" i="1"/>
  <c r="DM768" i="1"/>
  <c r="DL768" i="1"/>
  <c r="DM742" i="1"/>
  <c r="DL742" i="1"/>
  <c r="DM738" i="1"/>
  <c r="DL738" i="1"/>
  <c r="DM728" i="1"/>
  <c r="DL728" i="1"/>
  <c r="DM725" i="1"/>
  <c r="DL725" i="1"/>
  <c r="DM721" i="1"/>
  <c r="DL721" i="1"/>
  <c r="DM718" i="1"/>
  <c r="DL718" i="1"/>
  <c r="DM711" i="1"/>
  <c r="DL711" i="1"/>
  <c r="DM705" i="1"/>
  <c r="DL705" i="1"/>
  <c r="DM702" i="1"/>
  <c r="DL702" i="1"/>
  <c r="DM699" i="1"/>
  <c r="DL699" i="1"/>
  <c r="DM696" i="1"/>
  <c r="DL696" i="1"/>
  <c r="DM693" i="1"/>
  <c r="DL693" i="1"/>
  <c r="DM685" i="1"/>
  <c r="DL685" i="1"/>
  <c r="DM681" i="1"/>
  <c r="DL681" i="1"/>
  <c r="DM669" i="1"/>
  <c r="DM664" i="1"/>
  <c r="DL669" i="1"/>
  <c r="DL664" i="1"/>
  <c r="DM666" i="1"/>
  <c r="DL666" i="1"/>
  <c r="DM655" i="1"/>
  <c r="DL655" i="1"/>
  <c r="DM645" i="1"/>
  <c r="DL645" i="1"/>
  <c r="DM637" i="1"/>
  <c r="DL637" i="1"/>
  <c r="DM634" i="1"/>
  <c r="DL634" i="1"/>
  <c r="DM632" i="1"/>
  <c r="DM630" i="1"/>
  <c r="DM628" i="1"/>
  <c r="DL632" i="1"/>
  <c r="DL630" i="1"/>
  <c r="DL628" i="1"/>
  <c r="DM625" i="1"/>
  <c r="DL625" i="1"/>
  <c r="DM621" i="1"/>
  <c r="DL621" i="1"/>
  <c r="DL619" i="1"/>
  <c r="DM616" i="1"/>
  <c r="DL616" i="1"/>
  <c r="DM613" i="1"/>
  <c r="DL613" i="1"/>
  <c r="DM611" i="1"/>
  <c r="DL611" i="1"/>
  <c r="DM606" i="1"/>
  <c r="DL606" i="1"/>
  <c r="DM600" i="1"/>
  <c r="DL600" i="1"/>
  <c r="DM592" i="1"/>
  <c r="DL592" i="1"/>
  <c r="DM585" i="1"/>
  <c r="DL585" i="1"/>
  <c r="DM581" i="1"/>
  <c r="DM579" i="1"/>
  <c r="DL581" i="1"/>
  <c r="DL579" i="1"/>
  <c r="DL577" i="1"/>
  <c r="DM571" i="1"/>
  <c r="DM569" i="1"/>
  <c r="DM567" i="1"/>
  <c r="DL571" i="1"/>
  <c r="DL569" i="1"/>
  <c r="DL567" i="1"/>
  <c r="DM563" i="1"/>
  <c r="DL563" i="1"/>
  <c r="DM558" i="1"/>
  <c r="DL558" i="1"/>
  <c r="DM555" i="1"/>
  <c r="DL555" i="1"/>
  <c r="DM549" i="1"/>
  <c r="DL549" i="1"/>
  <c r="DM543" i="1"/>
  <c r="DL543" i="1"/>
  <c r="DM541" i="1"/>
  <c r="DL541" i="1"/>
  <c r="DM535" i="1"/>
  <c r="DL535" i="1"/>
  <c r="DM532" i="1"/>
  <c r="DL532" i="1"/>
  <c r="DM526" i="1"/>
  <c r="DL526" i="1"/>
  <c r="DM507" i="1"/>
  <c r="DL507" i="1"/>
  <c r="DM505" i="1"/>
  <c r="DL505" i="1"/>
  <c r="DM500" i="1"/>
  <c r="DL500" i="1"/>
  <c r="DM488" i="1"/>
  <c r="DL488" i="1"/>
  <c r="DM482" i="1"/>
  <c r="DL482" i="1"/>
  <c r="DM472" i="1"/>
  <c r="DL472" i="1"/>
  <c r="DM464" i="1"/>
  <c r="DL464" i="1"/>
  <c r="DL437" i="1"/>
  <c r="DM458" i="1"/>
  <c r="DL458" i="1"/>
  <c r="DM451" i="1"/>
  <c r="DL451" i="1"/>
  <c r="DM444" i="1"/>
  <c r="DL444" i="1"/>
  <c r="DM439" i="1"/>
  <c r="DL439" i="1"/>
  <c r="DM437" i="1"/>
  <c r="DM427" i="1"/>
  <c r="DL427" i="1"/>
  <c r="DM419" i="1"/>
  <c r="DL419" i="1"/>
  <c r="DM416" i="1"/>
  <c r="DL416" i="1"/>
  <c r="DM411" i="1"/>
  <c r="DL411" i="1"/>
  <c r="DM406" i="1"/>
  <c r="DL406" i="1"/>
  <c r="DM401" i="1"/>
  <c r="DL401" i="1"/>
  <c r="DM397" i="1"/>
  <c r="DL397" i="1"/>
  <c r="DL386" i="1"/>
  <c r="DL378" i="1"/>
  <c r="DM386" i="1"/>
  <c r="DM380" i="1"/>
  <c r="DL380" i="1"/>
  <c r="DM378" i="1"/>
  <c r="DM375" i="1"/>
  <c r="DL375" i="1"/>
  <c r="DM368" i="1"/>
  <c r="DM366" i="1"/>
  <c r="DL368" i="1"/>
  <c r="DL366" i="1"/>
  <c r="DM361" i="1"/>
  <c r="DL361" i="1"/>
  <c r="DM358" i="1"/>
  <c r="DL358" i="1"/>
  <c r="DM354" i="1"/>
  <c r="DL354" i="1"/>
  <c r="DM349" i="1"/>
  <c r="DM347" i="1"/>
  <c r="DL349" i="1"/>
  <c r="DL347" i="1"/>
  <c r="DM329" i="1"/>
  <c r="DL329" i="1"/>
  <c r="DM326" i="1"/>
  <c r="DL326" i="1"/>
  <c r="DM322" i="1"/>
  <c r="DL322" i="1"/>
  <c r="DM319" i="1"/>
  <c r="DL319" i="1"/>
  <c r="DM316" i="1"/>
  <c r="DL316" i="1"/>
  <c r="DM313" i="1"/>
  <c r="DL313" i="1"/>
  <c r="DM310" i="1"/>
  <c r="DM308" i="1"/>
  <c r="DL310" i="1"/>
  <c r="DL308" i="1"/>
  <c r="DM305" i="1"/>
  <c r="DL305" i="1"/>
  <c r="DM302" i="1"/>
  <c r="DL302" i="1"/>
  <c r="DM298" i="1"/>
  <c r="DL298" i="1"/>
  <c r="DM293" i="1"/>
  <c r="DL293" i="1"/>
  <c r="DM288" i="1"/>
  <c r="DL288" i="1"/>
  <c r="DM279" i="1"/>
  <c r="DL279" i="1"/>
  <c r="DM275" i="1"/>
  <c r="DL275" i="1"/>
  <c r="DM267" i="1"/>
  <c r="DL267" i="1"/>
  <c r="DM259" i="1"/>
  <c r="DL259" i="1"/>
  <c r="DM251" i="1"/>
  <c r="DL251" i="1"/>
  <c r="DM246" i="1"/>
  <c r="DL246" i="1"/>
  <c r="DM244" i="1"/>
  <c r="DL244" i="1"/>
  <c r="DM238" i="1"/>
  <c r="DL238" i="1"/>
  <c r="DM237" i="1"/>
  <c r="DL237" i="1"/>
  <c r="DL236" i="1"/>
  <c r="DL215" i="1"/>
  <c r="DL212" i="1"/>
  <c r="DL220" i="1"/>
  <c r="DL221" i="1"/>
  <c r="DL218" i="1"/>
  <c r="DL210" i="1"/>
  <c r="DM234" i="1"/>
  <c r="DL234" i="1"/>
  <c r="DM233" i="1"/>
  <c r="DL233" i="1"/>
  <c r="DM231" i="1"/>
  <c r="DM230" i="1"/>
  <c r="DL231" i="1"/>
  <c r="DL230" i="1"/>
  <c r="DM228" i="1"/>
  <c r="DM227" i="1"/>
  <c r="DL228" i="1"/>
  <c r="DL227" i="1"/>
  <c r="DM225" i="1"/>
  <c r="DM224" i="1"/>
  <c r="DL225" i="1"/>
  <c r="DL224" i="1"/>
  <c r="DM222" i="1"/>
  <c r="DL222" i="1"/>
  <c r="DM221" i="1"/>
  <c r="DM220" i="1"/>
  <c r="DM219" i="1"/>
  <c r="DL219" i="1"/>
  <c r="DM218" i="1"/>
  <c r="DM216" i="1"/>
  <c r="DL216" i="1"/>
  <c r="DM215" i="1"/>
  <c r="DM214" i="1"/>
  <c r="DL214" i="1"/>
  <c r="DM213" i="1"/>
  <c r="DM212" i="1"/>
  <c r="DL213" i="1"/>
  <c r="DM205" i="1"/>
  <c r="DL205" i="1"/>
  <c r="DM204" i="1"/>
  <c r="DL204" i="1"/>
  <c r="DM202" i="1"/>
  <c r="DM201" i="1"/>
  <c r="DM199" i="1"/>
  <c r="DL202" i="1"/>
  <c r="DL201" i="1"/>
  <c r="DL199" i="1"/>
  <c r="DM197" i="1"/>
  <c r="DL197" i="1"/>
  <c r="DM196" i="1"/>
  <c r="DL196" i="1"/>
  <c r="DM193" i="1"/>
  <c r="DL193" i="1"/>
  <c r="DM191" i="1"/>
  <c r="DL191" i="1"/>
  <c r="DM189" i="1"/>
  <c r="DL189" i="1"/>
  <c r="DM187" i="1"/>
  <c r="DL187" i="1"/>
  <c r="DM185" i="1"/>
  <c r="DL185" i="1"/>
  <c r="DM184" i="1"/>
  <c r="DL184" i="1"/>
  <c r="DM182" i="1"/>
  <c r="DL182" i="1"/>
  <c r="DM180" i="1"/>
  <c r="DM179" i="1"/>
  <c r="DL180" i="1"/>
  <c r="DL179" i="1"/>
  <c r="DM177" i="1"/>
  <c r="DL177" i="1"/>
  <c r="DM176" i="1"/>
  <c r="DL176" i="1"/>
  <c r="DM175" i="1"/>
  <c r="DM174" i="1"/>
  <c r="DL175" i="1"/>
  <c r="DL174" i="1"/>
  <c r="DM170" i="1"/>
  <c r="DL170" i="1"/>
  <c r="DM169" i="1"/>
  <c r="DL169" i="1"/>
  <c r="DM168" i="1"/>
  <c r="DL168" i="1"/>
  <c r="DM165" i="1"/>
  <c r="DL165" i="1"/>
  <c r="DM163" i="1"/>
  <c r="DL163" i="1"/>
  <c r="DM162" i="1"/>
  <c r="DL162" i="1"/>
  <c r="DM161" i="1"/>
  <c r="DL161" i="1"/>
  <c r="DM160" i="1"/>
  <c r="DL160" i="1"/>
  <c r="DM159" i="1"/>
  <c r="DL159" i="1"/>
  <c r="DM158" i="1"/>
  <c r="DL158" i="1"/>
  <c r="DM157" i="1"/>
  <c r="DL157" i="1"/>
  <c r="DM156" i="1"/>
  <c r="DL156" i="1"/>
  <c r="DM153" i="1"/>
  <c r="DM149" i="1"/>
  <c r="DL153" i="1"/>
  <c r="DM152" i="1"/>
  <c r="DL152" i="1"/>
  <c r="DM151" i="1"/>
  <c r="DL151" i="1"/>
  <c r="DM150" i="1"/>
  <c r="DL150" i="1"/>
  <c r="DL149" i="1"/>
  <c r="DM147" i="1"/>
  <c r="DL147" i="1"/>
  <c r="DM146" i="1"/>
  <c r="DL146" i="1"/>
  <c r="DM145" i="1"/>
  <c r="DL145" i="1"/>
  <c r="DM144" i="1"/>
  <c r="DL144" i="1"/>
  <c r="DM143" i="1"/>
  <c r="DL143" i="1"/>
  <c r="DM142" i="1"/>
  <c r="DL142" i="1"/>
  <c r="DM141" i="1"/>
  <c r="DL141" i="1"/>
  <c r="DM140" i="1"/>
  <c r="DL140" i="1"/>
  <c r="DM137" i="1"/>
  <c r="DL137" i="1"/>
  <c r="DM134" i="1"/>
  <c r="DL134" i="1"/>
  <c r="DM133" i="1"/>
  <c r="DL133" i="1"/>
  <c r="DM132" i="1"/>
  <c r="DM131" i="1"/>
  <c r="DL132" i="1"/>
  <c r="DM129" i="1"/>
  <c r="DL129" i="1"/>
  <c r="DM128" i="1"/>
  <c r="DL128" i="1"/>
  <c r="DM127" i="1"/>
  <c r="DL127" i="1"/>
  <c r="DM126" i="1"/>
  <c r="DL126" i="1"/>
  <c r="DM125" i="1"/>
  <c r="DL125" i="1"/>
  <c r="DM123" i="1"/>
  <c r="DL123" i="1"/>
  <c r="DM122" i="1"/>
  <c r="DL122" i="1"/>
  <c r="DM121" i="1"/>
  <c r="DL121" i="1"/>
  <c r="DM120" i="1"/>
  <c r="DL120" i="1"/>
  <c r="DM119" i="1"/>
  <c r="DL119" i="1"/>
  <c r="DM116" i="1"/>
  <c r="DL116" i="1"/>
  <c r="DM115" i="1"/>
  <c r="DM114" i="1"/>
  <c r="DM111" i="1"/>
  <c r="DL115" i="1"/>
  <c r="DL114" i="1"/>
  <c r="DM113" i="1"/>
  <c r="DL113" i="1"/>
  <c r="DM112" i="1"/>
  <c r="DL112" i="1"/>
  <c r="DM109" i="1"/>
  <c r="DL109" i="1"/>
  <c r="DM108" i="1"/>
  <c r="DL108" i="1"/>
  <c r="DM107" i="1"/>
  <c r="DM106" i="1"/>
  <c r="DL107" i="1"/>
  <c r="DL106" i="1"/>
  <c r="DM102" i="1"/>
  <c r="DL102" i="1"/>
  <c r="DM101" i="1"/>
  <c r="DL101" i="1"/>
  <c r="DM100" i="1"/>
  <c r="DL100" i="1"/>
  <c r="DM99" i="1"/>
  <c r="DL99" i="1"/>
  <c r="DM98" i="1"/>
  <c r="DL98" i="1"/>
  <c r="DM97" i="1"/>
  <c r="DL97" i="1"/>
  <c r="DM96" i="1"/>
  <c r="DL96" i="1"/>
  <c r="DM95" i="1"/>
  <c r="DM94" i="1"/>
  <c r="DL95" i="1"/>
  <c r="DM92" i="1"/>
  <c r="DL92" i="1"/>
  <c r="DM91" i="1"/>
  <c r="DL91" i="1"/>
  <c r="DM90" i="1"/>
  <c r="DL90" i="1"/>
  <c r="DM89" i="1"/>
  <c r="DL89" i="1"/>
  <c r="DM88" i="1"/>
  <c r="DL88" i="1"/>
  <c r="DM87" i="1"/>
  <c r="DM86" i="1"/>
  <c r="DL87" i="1"/>
  <c r="DL86" i="1"/>
  <c r="DM84" i="1"/>
  <c r="DL84" i="1"/>
  <c r="DM83" i="1"/>
  <c r="DL83" i="1"/>
  <c r="DM82" i="1"/>
  <c r="DL82" i="1"/>
  <c r="DM80" i="1"/>
  <c r="DL80" i="1"/>
  <c r="DM79" i="1"/>
  <c r="DL79" i="1"/>
  <c r="DM78" i="1"/>
  <c r="DL78" i="1"/>
  <c r="DM77" i="1"/>
  <c r="DL77" i="1"/>
  <c r="DM75" i="1"/>
  <c r="DM72" i="1"/>
  <c r="DL75" i="1"/>
  <c r="DM74" i="1"/>
  <c r="DL74" i="1"/>
  <c r="DM73" i="1"/>
  <c r="DL73" i="1"/>
  <c r="DM70" i="1"/>
  <c r="DM67" i="1"/>
  <c r="DL70" i="1"/>
  <c r="DM69" i="1"/>
  <c r="DL69" i="1"/>
  <c r="DM68" i="1"/>
  <c r="DL68" i="1"/>
  <c r="DL67" i="1"/>
  <c r="DM65" i="1"/>
  <c r="DL65" i="1"/>
  <c r="DM64" i="1"/>
  <c r="DM63" i="1"/>
  <c r="DL64" i="1"/>
  <c r="DL63" i="1"/>
  <c r="DM61" i="1"/>
  <c r="DL61" i="1"/>
  <c r="DM59" i="1"/>
  <c r="DL59" i="1"/>
  <c r="DM58" i="1"/>
  <c r="DM52" i="1"/>
  <c r="DL58" i="1"/>
  <c r="DM57" i="1"/>
  <c r="DL57" i="1"/>
  <c r="DM56" i="1"/>
  <c r="DL56" i="1"/>
  <c r="DM55" i="1"/>
  <c r="DL55" i="1"/>
  <c r="DM54" i="1"/>
  <c r="DL54" i="1"/>
  <c r="DM53" i="1"/>
  <c r="DL53" i="1"/>
  <c r="DL52" i="1"/>
  <c r="DM50" i="1"/>
  <c r="DL50" i="1"/>
  <c r="DM49" i="1"/>
  <c r="DL49" i="1"/>
  <c r="DM48" i="1"/>
  <c r="DL48" i="1"/>
  <c r="DM47" i="1"/>
  <c r="DM46" i="1"/>
  <c r="DL47" i="1"/>
  <c r="DL46" i="1"/>
  <c r="DM42" i="1"/>
  <c r="DL42" i="1"/>
  <c r="DM41" i="1"/>
  <c r="DL41" i="1"/>
  <c r="DM38" i="1"/>
  <c r="DL38" i="1"/>
  <c r="DM36" i="1"/>
  <c r="DL36" i="1"/>
  <c r="DM34" i="1"/>
  <c r="DL34" i="1"/>
  <c r="DM33" i="1"/>
  <c r="DL33" i="1"/>
  <c r="DM32" i="1"/>
  <c r="DL32" i="1"/>
  <c r="DM31" i="1"/>
  <c r="DM30" i="1"/>
  <c r="DL31" i="1"/>
  <c r="DL30" i="1"/>
  <c r="DM28" i="1"/>
  <c r="DL28" i="1"/>
  <c r="DM26" i="1"/>
  <c r="DL26" i="1"/>
  <c r="DM24" i="1"/>
  <c r="DL24" i="1"/>
  <c r="DM23" i="1"/>
  <c r="DL23" i="1"/>
  <c r="DM22" i="1"/>
  <c r="DM21" i="1"/>
  <c r="DL22" i="1"/>
  <c r="DL21" i="1"/>
  <c r="DM19" i="1"/>
  <c r="DL19" i="1"/>
  <c r="DM18" i="1"/>
  <c r="DL18" i="1"/>
  <c r="DM17" i="1"/>
  <c r="DM16" i="1"/>
  <c r="DL17" i="1"/>
  <c r="DL16" i="1"/>
  <c r="DL14" i="1"/>
  <c r="DO863" i="1"/>
  <c r="DN863" i="1"/>
  <c r="DO860" i="1"/>
  <c r="DN860" i="1"/>
  <c r="DO856" i="1"/>
  <c r="DN856" i="1"/>
  <c r="DO845" i="1"/>
  <c r="DN845" i="1"/>
  <c r="DO842" i="1"/>
  <c r="DN842" i="1"/>
  <c r="DO827" i="1"/>
  <c r="DN827" i="1"/>
  <c r="DO790" i="1"/>
  <c r="DN790" i="1"/>
  <c r="DO783" i="1"/>
  <c r="DN783" i="1"/>
  <c r="DO768" i="1"/>
  <c r="DN768" i="1"/>
  <c r="DO742" i="1"/>
  <c r="DN742" i="1"/>
  <c r="DO738" i="1"/>
  <c r="DN738" i="1"/>
  <c r="DO728" i="1"/>
  <c r="DN728" i="1"/>
  <c r="DO725" i="1"/>
  <c r="DN725" i="1"/>
  <c r="DO718" i="1"/>
  <c r="DN718" i="1"/>
  <c r="DO711" i="1"/>
  <c r="DN711" i="1"/>
  <c r="DO705" i="1"/>
  <c r="DN705" i="1"/>
  <c r="DO702" i="1"/>
  <c r="DN702" i="1"/>
  <c r="DN691" i="1"/>
  <c r="DO699" i="1"/>
  <c r="DN699" i="1"/>
  <c r="DO696" i="1"/>
  <c r="DN696" i="1"/>
  <c r="DO693" i="1"/>
  <c r="DN693" i="1"/>
  <c r="DO685" i="1"/>
  <c r="DN685" i="1"/>
  <c r="DO681" i="1"/>
  <c r="DN681" i="1"/>
  <c r="DO669" i="1"/>
  <c r="DO664" i="1"/>
  <c r="DN669" i="1"/>
  <c r="DN664" i="1"/>
  <c r="DO666" i="1"/>
  <c r="DN666" i="1"/>
  <c r="DO655" i="1"/>
  <c r="DN655" i="1"/>
  <c r="DO645" i="1"/>
  <c r="DN645" i="1"/>
  <c r="DO637" i="1"/>
  <c r="DN637" i="1"/>
  <c r="DO634" i="1"/>
  <c r="DN634" i="1"/>
  <c r="DO632" i="1"/>
  <c r="DO630" i="1"/>
  <c r="DO628" i="1"/>
  <c r="DN632" i="1"/>
  <c r="DN630" i="1"/>
  <c r="DN628" i="1"/>
  <c r="DO625" i="1"/>
  <c r="DN625" i="1"/>
  <c r="DO621" i="1"/>
  <c r="DO619" i="1"/>
  <c r="DN621" i="1"/>
  <c r="DN619" i="1"/>
  <c r="DO616" i="1"/>
  <c r="DN616" i="1"/>
  <c r="DO613" i="1"/>
  <c r="DN613" i="1"/>
  <c r="DO611" i="1"/>
  <c r="DO609" i="1"/>
  <c r="DN611" i="1"/>
  <c r="DO606" i="1"/>
  <c r="DN606" i="1"/>
  <c r="DO600" i="1"/>
  <c r="DN600" i="1"/>
  <c r="DO592" i="1"/>
  <c r="DN592" i="1"/>
  <c r="DO585" i="1"/>
  <c r="DN585" i="1"/>
  <c r="DO581" i="1"/>
  <c r="DN581" i="1"/>
  <c r="DO579" i="1"/>
  <c r="DO577" i="1"/>
  <c r="DO575" i="1"/>
  <c r="DN579" i="1"/>
  <c r="DN577" i="1"/>
  <c r="DO571" i="1"/>
  <c r="DN571" i="1"/>
  <c r="DO569" i="1"/>
  <c r="DO567" i="1"/>
  <c r="DN569" i="1"/>
  <c r="DN567" i="1"/>
  <c r="DO563" i="1"/>
  <c r="DN563" i="1"/>
  <c r="DO558" i="1"/>
  <c r="DN558" i="1"/>
  <c r="DO555" i="1"/>
  <c r="DO541" i="1"/>
  <c r="DN555" i="1"/>
  <c r="DN541" i="1"/>
  <c r="DO549" i="1"/>
  <c r="DN549" i="1"/>
  <c r="DO543" i="1"/>
  <c r="DN543" i="1"/>
  <c r="DO535" i="1"/>
  <c r="DN535" i="1"/>
  <c r="DO532" i="1"/>
  <c r="DN532" i="1"/>
  <c r="DO526" i="1"/>
  <c r="DN526" i="1"/>
  <c r="DO507" i="1"/>
  <c r="DN507" i="1"/>
  <c r="DO505" i="1"/>
  <c r="DN505" i="1"/>
  <c r="DO500" i="1"/>
  <c r="DN500" i="1"/>
  <c r="DO488" i="1"/>
  <c r="DN488" i="1"/>
  <c r="DO482" i="1"/>
  <c r="DN482" i="1"/>
  <c r="DO472" i="1"/>
  <c r="DN472" i="1"/>
  <c r="DO464" i="1"/>
  <c r="DN464" i="1"/>
  <c r="DO458" i="1"/>
  <c r="DN458" i="1"/>
  <c r="DO451" i="1"/>
  <c r="DN451" i="1"/>
  <c r="DO444" i="1"/>
  <c r="DN444" i="1"/>
  <c r="DO439" i="1"/>
  <c r="DN439" i="1"/>
  <c r="DO437" i="1"/>
  <c r="DN437" i="1"/>
  <c r="DO427" i="1"/>
  <c r="DN427" i="1"/>
  <c r="DO419" i="1"/>
  <c r="DN419" i="1"/>
  <c r="DO416" i="1"/>
  <c r="DN416" i="1"/>
  <c r="DO411" i="1"/>
  <c r="DN411" i="1"/>
  <c r="DO406" i="1"/>
  <c r="DN406" i="1"/>
  <c r="DO401" i="1"/>
  <c r="DN401" i="1"/>
  <c r="DO397" i="1"/>
  <c r="DN397" i="1"/>
  <c r="DO386" i="1"/>
  <c r="DN386" i="1"/>
  <c r="DO380" i="1"/>
  <c r="DN380" i="1"/>
  <c r="DO378" i="1"/>
  <c r="DO375" i="1"/>
  <c r="DN375" i="1"/>
  <c r="DO368" i="1"/>
  <c r="DO366" i="1"/>
  <c r="DN368" i="1"/>
  <c r="DN366" i="1"/>
  <c r="DO361" i="1"/>
  <c r="DN361" i="1"/>
  <c r="DO358" i="1"/>
  <c r="DN358" i="1"/>
  <c r="DO354" i="1"/>
  <c r="DN354" i="1"/>
  <c r="DO349" i="1"/>
  <c r="DO347" i="1"/>
  <c r="DN349" i="1"/>
  <c r="DN347" i="1"/>
  <c r="DO329" i="1"/>
  <c r="DN329" i="1"/>
  <c r="DO326" i="1"/>
  <c r="DN326" i="1"/>
  <c r="DO322" i="1"/>
  <c r="DN322" i="1"/>
  <c r="DO319" i="1"/>
  <c r="DN319" i="1"/>
  <c r="DO316" i="1"/>
  <c r="DN316" i="1"/>
  <c r="DO313" i="1"/>
  <c r="DN313" i="1"/>
  <c r="DO310" i="1"/>
  <c r="DO308" i="1"/>
  <c r="DN310" i="1"/>
  <c r="DN308" i="1"/>
  <c r="DO305" i="1"/>
  <c r="DN305" i="1"/>
  <c r="DO302" i="1"/>
  <c r="DN302" i="1"/>
  <c r="DO298" i="1"/>
  <c r="DN298" i="1"/>
  <c r="DO293" i="1"/>
  <c r="DN293" i="1"/>
  <c r="DO288" i="1"/>
  <c r="DN288" i="1"/>
  <c r="DO279" i="1"/>
  <c r="DN279" i="1"/>
  <c r="DO275" i="1"/>
  <c r="DN275" i="1"/>
  <c r="DO267" i="1"/>
  <c r="DN267" i="1"/>
  <c r="DO259" i="1"/>
  <c r="DN259" i="1"/>
  <c r="DO251" i="1"/>
  <c r="DN251" i="1"/>
  <c r="DO246" i="1"/>
  <c r="DN246" i="1"/>
  <c r="DO244" i="1"/>
  <c r="DN244" i="1"/>
  <c r="DO238" i="1"/>
  <c r="DN238" i="1"/>
  <c r="DO237" i="1"/>
  <c r="DN237" i="1"/>
  <c r="DO234" i="1"/>
  <c r="DN234" i="1"/>
  <c r="DO233" i="1"/>
  <c r="DN233" i="1"/>
  <c r="DO231" i="1"/>
  <c r="DO230" i="1"/>
  <c r="DN231" i="1"/>
  <c r="DN230" i="1"/>
  <c r="DO228" i="1"/>
  <c r="DO227" i="1"/>
  <c r="DN228" i="1"/>
  <c r="DN227" i="1"/>
  <c r="DO225" i="1"/>
  <c r="DO224" i="1"/>
  <c r="DN225" i="1"/>
  <c r="DN224" i="1"/>
  <c r="DO222" i="1"/>
  <c r="DN222" i="1"/>
  <c r="DO221" i="1"/>
  <c r="DN221" i="1"/>
  <c r="DO220" i="1"/>
  <c r="DN220" i="1"/>
  <c r="DO219" i="1"/>
  <c r="DN219" i="1"/>
  <c r="DO218" i="1"/>
  <c r="DN218" i="1"/>
  <c r="DO216" i="1"/>
  <c r="DN216" i="1"/>
  <c r="DO215" i="1"/>
  <c r="DN215" i="1"/>
  <c r="DO214" i="1"/>
  <c r="DN214" i="1"/>
  <c r="DO213" i="1"/>
  <c r="DO212" i="1"/>
  <c r="DN213" i="1"/>
  <c r="DN212" i="1"/>
  <c r="DO205" i="1"/>
  <c r="DN205" i="1"/>
  <c r="DO204" i="1"/>
  <c r="DN204" i="1"/>
  <c r="DO202" i="1"/>
  <c r="DN202" i="1"/>
  <c r="DN201" i="1"/>
  <c r="DN199" i="1"/>
  <c r="DO201" i="1"/>
  <c r="DO199" i="1"/>
  <c r="DO197" i="1"/>
  <c r="DN197" i="1"/>
  <c r="DO196" i="1"/>
  <c r="DO195" i="1"/>
  <c r="DO172" i="1"/>
  <c r="DN196" i="1"/>
  <c r="DN195" i="1"/>
  <c r="DO193" i="1"/>
  <c r="DN193" i="1"/>
  <c r="DO191" i="1"/>
  <c r="DN191" i="1"/>
  <c r="DO189" i="1"/>
  <c r="DN189" i="1"/>
  <c r="DO187" i="1"/>
  <c r="DN187" i="1"/>
  <c r="DO185" i="1"/>
  <c r="DN185" i="1"/>
  <c r="DO184" i="1"/>
  <c r="DN184" i="1"/>
  <c r="DO182" i="1"/>
  <c r="DN182" i="1"/>
  <c r="DO180" i="1"/>
  <c r="DO179" i="1"/>
  <c r="DN180" i="1"/>
  <c r="DN179" i="1"/>
  <c r="DO177" i="1"/>
  <c r="DN177" i="1"/>
  <c r="DO176" i="1"/>
  <c r="DN176" i="1"/>
  <c r="DO175" i="1"/>
  <c r="DO174" i="1"/>
  <c r="DN175" i="1"/>
  <c r="DN174" i="1"/>
  <c r="DN172" i="1"/>
  <c r="DO170" i="1"/>
  <c r="DN170" i="1"/>
  <c r="DO169" i="1"/>
  <c r="DN169" i="1"/>
  <c r="DO168" i="1"/>
  <c r="DN168" i="1"/>
  <c r="DO165" i="1"/>
  <c r="DN165" i="1"/>
  <c r="DO163" i="1"/>
  <c r="DN163" i="1"/>
  <c r="DO162" i="1"/>
  <c r="DN162" i="1"/>
  <c r="DO161" i="1"/>
  <c r="DN161" i="1"/>
  <c r="DO160" i="1"/>
  <c r="DN160" i="1"/>
  <c r="DO159" i="1"/>
  <c r="DN159" i="1"/>
  <c r="DO158" i="1"/>
  <c r="DN158" i="1"/>
  <c r="DO157" i="1"/>
  <c r="DN157" i="1"/>
  <c r="DO156" i="1"/>
  <c r="DN156" i="1"/>
  <c r="DN155" i="1"/>
  <c r="DO153" i="1"/>
  <c r="DN153" i="1"/>
  <c r="DO152" i="1"/>
  <c r="DN152" i="1"/>
  <c r="DO151" i="1"/>
  <c r="DN151" i="1"/>
  <c r="DO150" i="1"/>
  <c r="DO149" i="1"/>
  <c r="DN150" i="1"/>
  <c r="DN149" i="1"/>
  <c r="DO147" i="1"/>
  <c r="DN147" i="1"/>
  <c r="DO146" i="1"/>
  <c r="DN146" i="1"/>
  <c r="DO145" i="1"/>
  <c r="DN145" i="1"/>
  <c r="DO144" i="1"/>
  <c r="DN144" i="1"/>
  <c r="DO143" i="1"/>
  <c r="DN143" i="1"/>
  <c r="DO142" i="1"/>
  <c r="DN142" i="1"/>
  <c r="DO141" i="1"/>
  <c r="DN141" i="1"/>
  <c r="DO140" i="1"/>
  <c r="DN140" i="1"/>
  <c r="DO137" i="1"/>
  <c r="DN137" i="1"/>
  <c r="DO134" i="1"/>
  <c r="DN134" i="1"/>
  <c r="DO133" i="1"/>
  <c r="DN133" i="1"/>
  <c r="DO132" i="1"/>
  <c r="DN132" i="1"/>
  <c r="DO129" i="1"/>
  <c r="DN129" i="1"/>
  <c r="DO128" i="1"/>
  <c r="DN128" i="1"/>
  <c r="DO127" i="1"/>
  <c r="DN127" i="1"/>
  <c r="DO126" i="1"/>
  <c r="DN126" i="1"/>
  <c r="DO125" i="1"/>
  <c r="DN125" i="1"/>
  <c r="DO123" i="1"/>
  <c r="DN123" i="1"/>
  <c r="DO122" i="1"/>
  <c r="DN122" i="1"/>
  <c r="DO121" i="1"/>
  <c r="DN121" i="1"/>
  <c r="DO120" i="1"/>
  <c r="DN120" i="1"/>
  <c r="DO119" i="1"/>
  <c r="DO118" i="1"/>
  <c r="DN119" i="1"/>
  <c r="DO116" i="1"/>
  <c r="DN116" i="1"/>
  <c r="DO115" i="1"/>
  <c r="DO114" i="1"/>
  <c r="DO111" i="1"/>
  <c r="DN115" i="1"/>
  <c r="DN114" i="1"/>
  <c r="DO113" i="1"/>
  <c r="DN113" i="1"/>
  <c r="DO112" i="1"/>
  <c r="DN112" i="1"/>
  <c r="DO109" i="1"/>
  <c r="DN109" i="1"/>
  <c r="DO108" i="1"/>
  <c r="DN108" i="1"/>
  <c r="DO107" i="1"/>
  <c r="DO106" i="1"/>
  <c r="DN107" i="1"/>
  <c r="DN106" i="1"/>
  <c r="DO102" i="1"/>
  <c r="DN102" i="1"/>
  <c r="DO101" i="1"/>
  <c r="DN101" i="1"/>
  <c r="DO100" i="1"/>
  <c r="DN100" i="1"/>
  <c r="DO99" i="1"/>
  <c r="DN99" i="1"/>
  <c r="DO98" i="1"/>
  <c r="DN98" i="1"/>
  <c r="DO97" i="1"/>
  <c r="DN97" i="1"/>
  <c r="DO96" i="1"/>
  <c r="DN96" i="1"/>
  <c r="DO95" i="1"/>
  <c r="DO94" i="1"/>
  <c r="DN95" i="1"/>
  <c r="DO92" i="1"/>
  <c r="DN92" i="1"/>
  <c r="DO91" i="1"/>
  <c r="DN91" i="1"/>
  <c r="DO90" i="1"/>
  <c r="DN90" i="1"/>
  <c r="DO89" i="1"/>
  <c r="DN89" i="1"/>
  <c r="DO88" i="1"/>
  <c r="DN88" i="1"/>
  <c r="DO87" i="1"/>
  <c r="DO86" i="1"/>
  <c r="DN87" i="1"/>
  <c r="DN86" i="1"/>
  <c r="DO84" i="1"/>
  <c r="DN84" i="1"/>
  <c r="DO83" i="1"/>
  <c r="DN83" i="1"/>
  <c r="DO82" i="1"/>
  <c r="DN82" i="1"/>
  <c r="DO80" i="1"/>
  <c r="DN80" i="1"/>
  <c r="DO79" i="1"/>
  <c r="DN79" i="1"/>
  <c r="DO78" i="1"/>
  <c r="DN78" i="1"/>
  <c r="DO77" i="1"/>
  <c r="DN77" i="1"/>
  <c r="DO75" i="1"/>
  <c r="DN75" i="1"/>
  <c r="DO74" i="1"/>
  <c r="DN74" i="1"/>
  <c r="DO73" i="1"/>
  <c r="DO72" i="1"/>
  <c r="DN73" i="1"/>
  <c r="DO70" i="1"/>
  <c r="DN70" i="1"/>
  <c r="DN67" i="1"/>
  <c r="DO69" i="1"/>
  <c r="DN69" i="1"/>
  <c r="DO68" i="1"/>
  <c r="DO67" i="1"/>
  <c r="DN68" i="1"/>
  <c r="DO65" i="1"/>
  <c r="DN65" i="1"/>
  <c r="DO64" i="1"/>
  <c r="DO63" i="1"/>
  <c r="DN64" i="1"/>
  <c r="DN63" i="1"/>
  <c r="DO61" i="1"/>
  <c r="DN61" i="1"/>
  <c r="DO59" i="1"/>
  <c r="DN59" i="1"/>
  <c r="DO58" i="1"/>
  <c r="DN58" i="1"/>
  <c r="DO57" i="1"/>
  <c r="DN57" i="1"/>
  <c r="DO56" i="1"/>
  <c r="DN56" i="1"/>
  <c r="DO55" i="1"/>
  <c r="DO52" i="1"/>
  <c r="DN55" i="1"/>
  <c r="DO54" i="1"/>
  <c r="DN54" i="1"/>
  <c r="DO53" i="1"/>
  <c r="DN53" i="1"/>
  <c r="DO50" i="1"/>
  <c r="DN50" i="1"/>
  <c r="DO49" i="1"/>
  <c r="DN49" i="1"/>
  <c r="DO48" i="1"/>
  <c r="DN48" i="1"/>
  <c r="DO47" i="1"/>
  <c r="DO46" i="1"/>
  <c r="DN47" i="1"/>
  <c r="DO42" i="1"/>
  <c r="DN42" i="1"/>
  <c r="DO41" i="1"/>
  <c r="DN41" i="1"/>
  <c r="DO36" i="1"/>
  <c r="DN36" i="1"/>
  <c r="DO34" i="1"/>
  <c r="DN34" i="1"/>
  <c r="DO33" i="1"/>
  <c r="DN33" i="1"/>
  <c r="DO32" i="1"/>
  <c r="DN32" i="1"/>
  <c r="DO31" i="1"/>
  <c r="DO30" i="1"/>
  <c r="DN31" i="1"/>
  <c r="DN30" i="1"/>
  <c r="DO28" i="1"/>
  <c r="DN28" i="1"/>
  <c r="DO26" i="1"/>
  <c r="DN26" i="1"/>
  <c r="DO24" i="1"/>
  <c r="DN24" i="1"/>
  <c r="DO23" i="1"/>
  <c r="DN23" i="1"/>
  <c r="DO22" i="1"/>
  <c r="DO21" i="1"/>
  <c r="DN22" i="1"/>
  <c r="DN21" i="1"/>
  <c r="DO19" i="1"/>
  <c r="DN19" i="1"/>
  <c r="DO18" i="1"/>
  <c r="DN18" i="1"/>
  <c r="DO17" i="1"/>
  <c r="DO16" i="1"/>
  <c r="DN17" i="1"/>
  <c r="DQ863" i="1"/>
  <c r="DP863" i="1"/>
  <c r="DQ860" i="1"/>
  <c r="DP860" i="1"/>
  <c r="DQ856" i="1"/>
  <c r="DP856" i="1"/>
  <c r="DQ845" i="1"/>
  <c r="DP845" i="1"/>
  <c r="DQ842" i="1"/>
  <c r="DP842" i="1"/>
  <c r="DQ827" i="1"/>
  <c r="DP827" i="1"/>
  <c r="DQ790" i="1"/>
  <c r="DP790" i="1"/>
  <c r="DQ783" i="1"/>
  <c r="DP783" i="1"/>
  <c r="DQ768" i="1"/>
  <c r="DP768" i="1"/>
  <c r="DQ742" i="1"/>
  <c r="DP742" i="1"/>
  <c r="DQ738" i="1"/>
  <c r="DP738" i="1"/>
  <c r="DQ728" i="1"/>
  <c r="DP728" i="1"/>
  <c r="DQ725" i="1"/>
  <c r="DP725" i="1"/>
  <c r="DQ721" i="1"/>
  <c r="DP721" i="1"/>
  <c r="DQ718" i="1"/>
  <c r="DP718" i="1"/>
  <c r="DQ711" i="1"/>
  <c r="DP711" i="1"/>
  <c r="DQ705" i="1"/>
  <c r="DP705" i="1"/>
  <c r="DQ702" i="1"/>
  <c r="DP702" i="1"/>
  <c r="DQ699" i="1"/>
  <c r="DP699" i="1"/>
  <c r="DQ696" i="1"/>
  <c r="DP696" i="1"/>
  <c r="DQ693" i="1"/>
  <c r="DP693" i="1"/>
  <c r="DQ685" i="1"/>
  <c r="DP685" i="1"/>
  <c r="DQ681" i="1"/>
  <c r="DP681" i="1"/>
  <c r="DQ669" i="1"/>
  <c r="DQ664" i="1"/>
  <c r="DP669" i="1"/>
  <c r="DP664" i="1"/>
  <c r="DQ666" i="1"/>
  <c r="DP666" i="1"/>
  <c r="DQ655" i="1"/>
  <c r="DP655" i="1"/>
  <c r="DQ645" i="1"/>
  <c r="DP645" i="1"/>
  <c r="DQ637" i="1"/>
  <c r="DP637" i="1"/>
  <c r="DQ634" i="1"/>
  <c r="DP634" i="1"/>
  <c r="DQ632" i="1"/>
  <c r="DQ630" i="1"/>
  <c r="DQ628" i="1"/>
  <c r="DP632" i="1"/>
  <c r="DP630" i="1"/>
  <c r="DP628" i="1"/>
  <c r="DQ625" i="1"/>
  <c r="DQ619" i="1"/>
  <c r="DQ609" i="1"/>
  <c r="DQ575" i="1"/>
  <c r="DP625" i="1"/>
  <c r="DQ621" i="1"/>
  <c r="DP621" i="1"/>
  <c r="DP619" i="1"/>
  <c r="DQ616" i="1"/>
  <c r="DP616" i="1"/>
  <c r="DQ613" i="1"/>
  <c r="DP613" i="1"/>
  <c r="DP611" i="1"/>
  <c r="DP609" i="1"/>
  <c r="DP575" i="1"/>
  <c r="DQ611" i="1"/>
  <c r="DQ606" i="1"/>
  <c r="DP606" i="1"/>
  <c r="DQ600" i="1"/>
  <c r="DP600" i="1"/>
  <c r="DQ592" i="1"/>
  <c r="DP592" i="1"/>
  <c r="DQ585" i="1"/>
  <c r="DP585" i="1"/>
  <c r="DQ581" i="1"/>
  <c r="DQ579" i="1"/>
  <c r="DQ577" i="1"/>
  <c r="DP581" i="1"/>
  <c r="DP579" i="1"/>
  <c r="DP577" i="1"/>
  <c r="DQ571" i="1"/>
  <c r="DQ569" i="1"/>
  <c r="DQ567" i="1"/>
  <c r="DP571" i="1"/>
  <c r="DP569" i="1"/>
  <c r="DP567" i="1"/>
  <c r="DQ563" i="1"/>
  <c r="DP563" i="1"/>
  <c r="DQ558" i="1"/>
  <c r="DP558" i="1"/>
  <c r="DQ555" i="1"/>
  <c r="DP555" i="1"/>
  <c r="DQ549" i="1"/>
  <c r="DP549" i="1"/>
  <c r="DQ543" i="1"/>
  <c r="DP543" i="1"/>
  <c r="DQ541" i="1"/>
  <c r="DP541" i="1"/>
  <c r="DQ535" i="1"/>
  <c r="DQ530" i="1"/>
  <c r="DP535" i="1"/>
  <c r="DQ532" i="1"/>
  <c r="DP532" i="1"/>
  <c r="DQ526" i="1"/>
  <c r="DP526" i="1"/>
  <c r="DQ507" i="1"/>
  <c r="DP507" i="1"/>
  <c r="DQ505" i="1"/>
  <c r="DP505" i="1"/>
  <c r="DQ500" i="1"/>
  <c r="DP500" i="1"/>
  <c r="DQ488" i="1"/>
  <c r="DP488" i="1"/>
  <c r="DQ482" i="1"/>
  <c r="DP482" i="1"/>
  <c r="DQ472" i="1"/>
  <c r="DP472" i="1"/>
  <c r="DQ464" i="1"/>
  <c r="DP464" i="1"/>
  <c r="DQ458" i="1"/>
  <c r="DP458" i="1"/>
  <c r="DQ451" i="1"/>
  <c r="DP451" i="1"/>
  <c r="DQ444" i="1"/>
  <c r="DP444" i="1"/>
  <c r="DQ439" i="1"/>
  <c r="DP439" i="1"/>
  <c r="DQ437" i="1"/>
  <c r="DP437" i="1"/>
  <c r="DQ427" i="1"/>
  <c r="DP427" i="1"/>
  <c r="DQ419" i="1"/>
  <c r="DP419" i="1"/>
  <c r="DQ416" i="1"/>
  <c r="DP416" i="1"/>
  <c r="DQ411" i="1"/>
  <c r="DP411" i="1"/>
  <c r="DQ406" i="1"/>
  <c r="DP406" i="1"/>
  <c r="DQ401" i="1"/>
  <c r="DP401" i="1"/>
  <c r="DQ397" i="1"/>
  <c r="DP397" i="1"/>
  <c r="DQ386" i="1"/>
  <c r="DP386" i="1"/>
  <c r="DQ380" i="1"/>
  <c r="DP380" i="1"/>
  <c r="DP378" i="1"/>
  <c r="DQ375" i="1"/>
  <c r="DP375" i="1"/>
  <c r="DQ368" i="1"/>
  <c r="DQ366" i="1"/>
  <c r="DP368" i="1"/>
  <c r="DP366" i="1"/>
  <c r="DQ361" i="1"/>
  <c r="DP361" i="1"/>
  <c r="DQ358" i="1"/>
  <c r="DP358" i="1"/>
  <c r="DQ354" i="1"/>
  <c r="DP354" i="1"/>
  <c r="DQ349" i="1"/>
  <c r="DP349" i="1"/>
  <c r="DP347" i="1"/>
  <c r="DQ329" i="1"/>
  <c r="DP329" i="1"/>
  <c r="DQ326" i="1"/>
  <c r="DP326" i="1"/>
  <c r="DQ322" i="1"/>
  <c r="DP322" i="1"/>
  <c r="DQ319" i="1"/>
  <c r="DP319" i="1"/>
  <c r="DQ316" i="1"/>
  <c r="DP316" i="1"/>
  <c r="DQ313" i="1"/>
  <c r="DP313" i="1"/>
  <c r="DQ310" i="1"/>
  <c r="DQ308" i="1"/>
  <c r="DP310" i="1"/>
  <c r="DP308" i="1"/>
  <c r="DQ305" i="1"/>
  <c r="DP305" i="1"/>
  <c r="DQ302" i="1"/>
  <c r="DP302" i="1"/>
  <c r="DQ298" i="1"/>
  <c r="DP298" i="1"/>
  <c r="DQ293" i="1"/>
  <c r="DP293" i="1"/>
  <c r="DQ288" i="1"/>
  <c r="DP288" i="1"/>
  <c r="DQ279" i="1"/>
  <c r="DP279" i="1"/>
  <c r="DQ275" i="1"/>
  <c r="DP275" i="1"/>
  <c r="DQ267" i="1"/>
  <c r="DP267" i="1"/>
  <c r="DQ259" i="1"/>
  <c r="DP259" i="1"/>
  <c r="DQ251" i="1"/>
  <c r="DP251" i="1"/>
  <c r="DQ246" i="1"/>
  <c r="DQ244" i="1"/>
  <c r="DP246" i="1"/>
  <c r="DP244" i="1"/>
  <c r="DQ238" i="1"/>
  <c r="DP238" i="1"/>
  <c r="DQ237" i="1"/>
  <c r="DQ236" i="1"/>
  <c r="DP237" i="1"/>
  <c r="DP236" i="1"/>
  <c r="DQ234" i="1"/>
  <c r="DP234" i="1"/>
  <c r="DQ233" i="1"/>
  <c r="DP233" i="1"/>
  <c r="DQ231" i="1"/>
  <c r="DQ230" i="1"/>
  <c r="DP231" i="1"/>
  <c r="DP230" i="1"/>
  <c r="DQ228" i="1"/>
  <c r="DQ227" i="1"/>
  <c r="DP228" i="1"/>
  <c r="DP227" i="1"/>
  <c r="DQ225" i="1"/>
  <c r="DQ224" i="1"/>
  <c r="DP225" i="1"/>
  <c r="DP224" i="1"/>
  <c r="DQ222" i="1"/>
  <c r="DP222" i="1"/>
  <c r="DQ221" i="1"/>
  <c r="DQ220" i="1"/>
  <c r="DQ218" i="1"/>
  <c r="DP221" i="1"/>
  <c r="DP220" i="1"/>
  <c r="DQ219" i="1"/>
  <c r="DP219" i="1"/>
  <c r="DP218" i="1"/>
  <c r="DQ216" i="1"/>
  <c r="DQ215" i="1"/>
  <c r="DQ212" i="1"/>
  <c r="DP216" i="1"/>
  <c r="DP215" i="1"/>
  <c r="DQ214" i="1"/>
  <c r="DP214" i="1"/>
  <c r="DQ213" i="1"/>
  <c r="DP213" i="1"/>
  <c r="DP212" i="1"/>
  <c r="DQ205" i="1"/>
  <c r="DP205" i="1"/>
  <c r="DQ204" i="1"/>
  <c r="DP204" i="1"/>
  <c r="DQ202" i="1"/>
  <c r="DQ201" i="1"/>
  <c r="DQ199" i="1"/>
  <c r="DP202" i="1"/>
  <c r="DP201" i="1"/>
  <c r="DP199" i="1"/>
  <c r="DQ197" i="1"/>
  <c r="DP197" i="1"/>
  <c r="DQ196" i="1"/>
  <c r="DP196" i="1"/>
  <c r="DQ195" i="1"/>
  <c r="DP195" i="1"/>
  <c r="DQ193" i="1"/>
  <c r="DP193" i="1"/>
  <c r="DQ191" i="1"/>
  <c r="DP191" i="1"/>
  <c r="DQ189" i="1"/>
  <c r="DP189" i="1"/>
  <c r="DQ187" i="1"/>
  <c r="DP187" i="1"/>
  <c r="DQ185" i="1"/>
  <c r="DP185" i="1"/>
  <c r="DQ184" i="1"/>
  <c r="DP184" i="1"/>
  <c r="DQ182" i="1"/>
  <c r="DP182" i="1"/>
  <c r="DQ180" i="1"/>
  <c r="DQ179" i="1"/>
  <c r="DP180" i="1"/>
  <c r="DP179" i="1"/>
  <c r="DQ177" i="1"/>
  <c r="DP177" i="1"/>
  <c r="DQ176" i="1"/>
  <c r="DP176" i="1"/>
  <c r="DQ175" i="1"/>
  <c r="DQ174" i="1"/>
  <c r="DQ172" i="1"/>
  <c r="DP175" i="1"/>
  <c r="DP174" i="1"/>
  <c r="DP172" i="1"/>
  <c r="DQ170" i="1"/>
  <c r="DP170" i="1"/>
  <c r="DQ169" i="1"/>
  <c r="DP169" i="1"/>
  <c r="DQ168" i="1"/>
  <c r="DQ167" i="1"/>
  <c r="DP168" i="1"/>
  <c r="DP167" i="1"/>
  <c r="DQ165" i="1"/>
  <c r="DP165" i="1"/>
  <c r="DQ163" i="1"/>
  <c r="DP163" i="1"/>
  <c r="DQ162" i="1"/>
  <c r="DP162" i="1"/>
  <c r="DQ161" i="1"/>
  <c r="DP161" i="1"/>
  <c r="DQ160" i="1"/>
  <c r="DP160" i="1"/>
  <c r="DQ159" i="1"/>
  <c r="DP159" i="1"/>
  <c r="DQ158" i="1"/>
  <c r="DP158" i="1"/>
  <c r="DQ157" i="1"/>
  <c r="DP157" i="1"/>
  <c r="DQ156" i="1"/>
  <c r="DP156" i="1"/>
  <c r="DQ155" i="1"/>
  <c r="DP155" i="1"/>
  <c r="DQ153" i="1"/>
  <c r="DQ149" i="1"/>
  <c r="DP153" i="1"/>
  <c r="DQ152" i="1"/>
  <c r="DP152" i="1"/>
  <c r="DQ151" i="1"/>
  <c r="DP151" i="1"/>
  <c r="DQ150" i="1"/>
  <c r="DP150" i="1"/>
  <c r="DP149" i="1"/>
  <c r="DQ147" i="1"/>
  <c r="DP147" i="1"/>
  <c r="DQ146" i="1"/>
  <c r="DP146" i="1"/>
  <c r="DQ145" i="1"/>
  <c r="DP145" i="1"/>
  <c r="DQ144" i="1"/>
  <c r="DP144" i="1"/>
  <c r="DQ143" i="1"/>
  <c r="DP143" i="1"/>
  <c r="DQ142" i="1"/>
  <c r="DP142" i="1"/>
  <c r="DQ141" i="1"/>
  <c r="DP141" i="1"/>
  <c r="DQ140" i="1"/>
  <c r="DP140" i="1"/>
  <c r="DQ139" i="1"/>
  <c r="DP139" i="1"/>
  <c r="DQ137" i="1"/>
  <c r="DP137" i="1"/>
  <c r="DQ134" i="1"/>
  <c r="DP134" i="1"/>
  <c r="DQ133" i="1"/>
  <c r="DP133" i="1"/>
  <c r="DQ132" i="1"/>
  <c r="DP132" i="1"/>
  <c r="DP131" i="1"/>
  <c r="DQ129" i="1"/>
  <c r="DP129" i="1"/>
  <c r="DQ128" i="1"/>
  <c r="DP128" i="1"/>
  <c r="DQ127" i="1"/>
  <c r="DP127" i="1"/>
  <c r="DQ126" i="1"/>
  <c r="DP126" i="1"/>
  <c r="DQ125" i="1"/>
  <c r="DP125" i="1"/>
  <c r="DQ123" i="1"/>
  <c r="DP123" i="1"/>
  <c r="DQ122" i="1"/>
  <c r="DP122" i="1"/>
  <c r="DQ121" i="1"/>
  <c r="DP121" i="1"/>
  <c r="DQ120" i="1"/>
  <c r="DP120" i="1"/>
  <c r="DQ119" i="1"/>
  <c r="DP119" i="1"/>
  <c r="DQ118" i="1"/>
  <c r="DP118" i="1"/>
  <c r="DQ116" i="1"/>
  <c r="DP116" i="1"/>
  <c r="DQ115" i="1"/>
  <c r="DP115" i="1"/>
  <c r="DQ114" i="1"/>
  <c r="DP114" i="1"/>
  <c r="DQ113" i="1"/>
  <c r="DP113" i="1"/>
  <c r="DQ112" i="1"/>
  <c r="DP112" i="1"/>
  <c r="DQ111" i="1"/>
  <c r="DP111" i="1"/>
  <c r="DQ109" i="1"/>
  <c r="DP109" i="1"/>
  <c r="DQ108" i="1"/>
  <c r="DP108" i="1"/>
  <c r="DQ107" i="1"/>
  <c r="DQ106" i="1"/>
  <c r="DP107" i="1"/>
  <c r="DP106" i="1"/>
  <c r="DQ102" i="1"/>
  <c r="DP102" i="1"/>
  <c r="DQ101" i="1"/>
  <c r="DP101" i="1"/>
  <c r="DQ100" i="1"/>
  <c r="DP100" i="1"/>
  <c r="DQ99" i="1"/>
  <c r="DP99" i="1"/>
  <c r="DQ98" i="1"/>
  <c r="DP98" i="1"/>
  <c r="DQ97" i="1"/>
  <c r="DP97" i="1"/>
  <c r="DQ96" i="1"/>
  <c r="DP96" i="1"/>
  <c r="DQ95" i="1"/>
  <c r="DP95" i="1"/>
  <c r="DQ94" i="1"/>
  <c r="DP94" i="1"/>
  <c r="DQ92" i="1"/>
  <c r="DQ86" i="1"/>
  <c r="DP92" i="1"/>
  <c r="DQ91" i="1"/>
  <c r="DP91" i="1"/>
  <c r="DQ90" i="1"/>
  <c r="DP90" i="1"/>
  <c r="DQ89" i="1"/>
  <c r="DP89" i="1"/>
  <c r="DQ88" i="1"/>
  <c r="DP88" i="1"/>
  <c r="DQ87" i="1"/>
  <c r="DP87" i="1"/>
  <c r="DP86" i="1"/>
  <c r="DQ84" i="1"/>
  <c r="DP84" i="1"/>
  <c r="DQ83" i="1"/>
  <c r="DP83" i="1"/>
  <c r="DQ82" i="1"/>
  <c r="DP82" i="1"/>
  <c r="DQ80" i="1"/>
  <c r="DQ77" i="1"/>
  <c r="DP80" i="1"/>
  <c r="DQ79" i="1"/>
  <c r="DP79" i="1"/>
  <c r="DQ78" i="1"/>
  <c r="DP78" i="1"/>
  <c r="DQ75" i="1"/>
  <c r="DP75" i="1"/>
  <c r="DQ74" i="1"/>
  <c r="DP74" i="1"/>
  <c r="DQ73" i="1"/>
  <c r="DP73" i="1"/>
  <c r="DP72" i="1"/>
  <c r="DQ70" i="1"/>
  <c r="DP70" i="1"/>
  <c r="DQ69" i="1"/>
  <c r="DP69" i="1"/>
  <c r="DQ68" i="1"/>
  <c r="DP68" i="1"/>
  <c r="DQ65" i="1"/>
  <c r="DP65" i="1"/>
  <c r="DQ64" i="1"/>
  <c r="DQ63" i="1"/>
  <c r="DP64" i="1"/>
  <c r="DP63" i="1"/>
  <c r="DQ61" i="1"/>
  <c r="DP61" i="1"/>
  <c r="DQ59" i="1"/>
  <c r="DP59" i="1"/>
  <c r="DQ58" i="1"/>
  <c r="DP58" i="1"/>
  <c r="DQ57" i="1"/>
  <c r="DP57" i="1"/>
  <c r="DQ56" i="1"/>
  <c r="DP56" i="1"/>
  <c r="DQ55" i="1"/>
  <c r="DP55" i="1"/>
  <c r="DQ54" i="1"/>
  <c r="DP54" i="1"/>
  <c r="DQ53" i="1"/>
  <c r="DQ52" i="1"/>
  <c r="DP53" i="1"/>
  <c r="DQ50" i="1"/>
  <c r="DP50" i="1"/>
  <c r="DQ49" i="1"/>
  <c r="DP49" i="1"/>
  <c r="DQ48" i="1"/>
  <c r="DP48" i="1"/>
  <c r="DQ47" i="1"/>
  <c r="DP47" i="1"/>
  <c r="DP46" i="1"/>
  <c r="DQ42" i="1"/>
  <c r="DP42" i="1"/>
  <c r="DQ41" i="1"/>
  <c r="DP41" i="1"/>
  <c r="DQ36" i="1"/>
  <c r="DP36" i="1"/>
  <c r="DQ34" i="1"/>
  <c r="DP34" i="1"/>
  <c r="DQ33" i="1"/>
  <c r="DP33" i="1"/>
  <c r="DQ32" i="1"/>
  <c r="DP32" i="1"/>
  <c r="DQ31" i="1"/>
  <c r="DQ30" i="1"/>
  <c r="DP31" i="1"/>
  <c r="DP30" i="1"/>
  <c r="DQ28" i="1"/>
  <c r="DP28" i="1"/>
  <c r="DQ26" i="1"/>
  <c r="DP26" i="1"/>
  <c r="DQ24" i="1"/>
  <c r="DP24" i="1"/>
  <c r="DQ23" i="1"/>
  <c r="DP23" i="1"/>
  <c r="DQ22" i="1"/>
  <c r="DQ21" i="1"/>
  <c r="DP22" i="1"/>
  <c r="DP21" i="1"/>
  <c r="DQ19" i="1"/>
  <c r="DP19" i="1"/>
  <c r="DQ18" i="1"/>
  <c r="DP18" i="1"/>
  <c r="DQ17" i="1"/>
  <c r="DQ16" i="1"/>
  <c r="DP17" i="1"/>
  <c r="DP16" i="1"/>
  <c r="DS863" i="1"/>
  <c r="DR863" i="1"/>
  <c r="DS860" i="1"/>
  <c r="DR860" i="1"/>
  <c r="DS856" i="1"/>
  <c r="DR856" i="1"/>
  <c r="DS845" i="1"/>
  <c r="DR845" i="1"/>
  <c r="DS842" i="1"/>
  <c r="DR842" i="1"/>
  <c r="DS827" i="1"/>
  <c r="DR827" i="1"/>
  <c r="DS790" i="1"/>
  <c r="DR790" i="1"/>
  <c r="DS783" i="1"/>
  <c r="DR783" i="1"/>
  <c r="DS768" i="1"/>
  <c r="DR768" i="1"/>
  <c r="DS742" i="1"/>
  <c r="DR742" i="1"/>
  <c r="DS738" i="1"/>
  <c r="DR738" i="1"/>
  <c r="DS728" i="1"/>
  <c r="DR728" i="1"/>
  <c r="DS725" i="1"/>
  <c r="DR725" i="1"/>
  <c r="DS721" i="1"/>
  <c r="DS718" i="1"/>
  <c r="DR718" i="1"/>
  <c r="DS711" i="1"/>
  <c r="DR711" i="1"/>
  <c r="DS705" i="1"/>
  <c r="DR705" i="1"/>
  <c r="DS702" i="1"/>
  <c r="DR702" i="1"/>
  <c r="DS699" i="1"/>
  <c r="DR699" i="1"/>
  <c r="DS696" i="1"/>
  <c r="DR696" i="1"/>
  <c r="DS693" i="1"/>
  <c r="DR693" i="1"/>
  <c r="DS685" i="1"/>
  <c r="DR685" i="1"/>
  <c r="DS681" i="1"/>
  <c r="DR681" i="1"/>
  <c r="DS669" i="1"/>
  <c r="DS664" i="1"/>
  <c r="DR669" i="1"/>
  <c r="DR664" i="1"/>
  <c r="DS666" i="1"/>
  <c r="DR666" i="1"/>
  <c r="DS655" i="1"/>
  <c r="DR655" i="1"/>
  <c r="DS645" i="1"/>
  <c r="DR645" i="1"/>
  <c r="DS637" i="1"/>
  <c r="DR637" i="1"/>
  <c r="DS634" i="1"/>
  <c r="DR634" i="1"/>
  <c r="DS632" i="1"/>
  <c r="DS630" i="1"/>
  <c r="DS628" i="1"/>
  <c r="DR632" i="1"/>
  <c r="DR630" i="1"/>
  <c r="DR628" i="1"/>
  <c r="DS625" i="1"/>
  <c r="DR625" i="1"/>
  <c r="DS621" i="1"/>
  <c r="DS619" i="1"/>
  <c r="DR621" i="1"/>
  <c r="DS616" i="1"/>
  <c r="DR616" i="1"/>
  <c r="DS613" i="1"/>
  <c r="DR613" i="1"/>
  <c r="DS611" i="1"/>
  <c r="DS609" i="1"/>
  <c r="DR611" i="1"/>
  <c r="DS606" i="1"/>
  <c r="DR606" i="1"/>
  <c r="DS600" i="1"/>
  <c r="DR600" i="1"/>
  <c r="DS592" i="1"/>
  <c r="DR592" i="1"/>
  <c r="DS585" i="1"/>
  <c r="DR585" i="1"/>
  <c r="DS581" i="1"/>
  <c r="DS579" i="1"/>
  <c r="DS577" i="1"/>
  <c r="DR581" i="1"/>
  <c r="DR579" i="1"/>
  <c r="DS571" i="1"/>
  <c r="DS569" i="1"/>
  <c r="DS567" i="1"/>
  <c r="DR571" i="1"/>
  <c r="DR569" i="1"/>
  <c r="DR567" i="1"/>
  <c r="DS563" i="1"/>
  <c r="DR563" i="1"/>
  <c r="DS558" i="1"/>
  <c r="DR558" i="1"/>
  <c r="DS555" i="1"/>
  <c r="DR555" i="1"/>
  <c r="DS549" i="1"/>
  <c r="DR549" i="1"/>
  <c r="DS543" i="1"/>
  <c r="DR543" i="1"/>
  <c r="DS541" i="1"/>
  <c r="DR541" i="1"/>
  <c r="DS535" i="1"/>
  <c r="DR535" i="1"/>
  <c r="DS532" i="1"/>
  <c r="DR532" i="1"/>
  <c r="DS526" i="1"/>
  <c r="DR526" i="1"/>
  <c r="DS507" i="1"/>
  <c r="DR507" i="1"/>
  <c r="DS505" i="1"/>
  <c r="DR505" i="1"/>
  <c r="DS500" i="1"/>
  <c r="DR500" i="1"/>
  <c r="DS488" i="1"/>
  <c r="DR488" i="1"/>
  <c r="DS482" i="1"/>
  <c r="DR482" i="1"/>
  <c r="DS472" i="1"/>
  <c r="DR472" i="1"/>
  <c r="DS464" i="1"/>
  <c r="DS437" i="1"/>
  <c r="DR464" i="1"/>
  <c r="DS458" i="1"/>
  <c r="DR458" i="1"/>
  <c r="DS451" i="1"/>
  <c r="DR451" i="1"/>
  <c r="DS444" i="1"/>
  <c r="DR444" i="1"/>
  <c r="DS439" i="1"/>
  <c r="DR439" i="1"/>
  <c r="DR437" i="1"/>
  <c r="DS427" i="1"/>
  <c r="DR427" i="1"/>
  <c r="DS419" i="1"/>
  <c r="DR419" i="1"/>
  <c r="DS416" i="1"/>
  <c r="DR416" i="1"/>
  <c r="DS411" i="1"/>
  <c r="DR411" i="1"/>
  <c r="DS406" i="1"/>
  <c r="DR406" i="1"/>
  <c r="DS401" i="1"/>
  <c r="DR401" i="1"/>
  <c r="DS397" i="1"/>
  <c r="DR397" i="1"/>
  <c r="DS386" i="1"/>
  <c r="DR386" i="1"/>
  <c r="DS380" i="1"/>
  <c r="DR380" i="1"/>
  <c r="DR378" i="1"/>
  <c r="DR364" i="1"/>
  <c r="DS375" i="1"/>
  <c r="DR375" i="1"/>
  <c r="DS368" i="1"/>
  <c r="DS366" i="1"/>
  <c r="DR368" i="1"/>
  <c r="DR366" i="1"/>
  <c r="DS361" i="1"/>
  <c r="DR361" i="1"/>
  <c r="DS358" i="1"/>
  <c r="DR358" i="1"/>
  <c r="DS354" i="1"/>
  <c r="DR354" i="1"/>
  <c r="DS349" i="1"/>
  <c r="DS347" i="1"/>
  <c r="DR349" i="1"/>
  <c r="DR347" i="1"/>
  <c r="DS329" i="1"/>
  <c r="DR329" i="1"/>
  <c r="DS326" i="1"/>
  <c r="DR326" i="1"/>
  <c r="DS322" i="1"/>
  <c r="DR322" i="1"/>
  <c r="DS319" i="1"/>
  <c r="DR319" i="1"/>
  <c r="DS316" i="1"/>
  <c r="DR316" i="1"/>
  <c r="DS313" i="1"/>
  <c r="DR313" i="1"/>
  <c r="DS310" i="1"/>
  <c r="DS308" i="1"/>
  <c r="DR310" i="1"/>
  <c r="DR308" i="1"/>
  <c r="DS305" i="1"/>
  <c r="DR305" i="1"/>
  <c r="DS302" i="1"/>
  <c r="DR302" i="1"/>
  <c r="DS298" i="1"/>
  <c r="DR298" i="1"/>
  <c r="DS293" i="1"/>
  <c r="DR293" i="1"/>
  <c r="DS288" i="1"/>
  <c r="DR288" i="1"/>
  <c r="DS279" i="1"/>
  <c r="DR279" i="1"/>
  <c r="DS275" i="1"/>
  <c r="DR275" i="1"/>
  <c r="DS267" i="1"/>
  <c r="DR267" i="1"/>
  <c r="DS259" i="1"/>
  <c r="DR259" i="1"/>
  <c r="DS251" i="1"/>
  <c r="DR251" i="1"/>
  <c r="DS246" i="1"/>
  <c r="DR246" i="1"/>
  <c r="DS244" i="1"/>
  <c r="DR244" i="1"/>
  <c r="DS238" i="1"/>
  <c r="DR238" i="1"/>
  <c r="DS237" i="1"/>
  <c r="DS236" i="1"/>
  <c r="DR237" i="1"/>
  <c r="DR236" i="1"/>
  <c r="DS234" i="1"/>
  <c r="DR234" i="1"/>
  <c r="DS233" i="1"/>
  <c r="DR233" i="1"/>
  <c r="DS231" i="1"/>
  <c r="DR231" i="1"/>
  <c r="DR230" i="1"/>
  <c r="DS230" i="1"/>
  <c r="DS228" i="1"/>
  <c r="DS227" i="1"/>
  <c r="DR228" i="1"/>
  <c r="DR227" i="1"/>
  <c r="DS225" i="1"/>
  <c r="DS224" i="1"/>
  <c r="DR225" i="1"/>
  <c r="DR224" i="1"/>
  <c r="DS222" i="1"/>
  <c r="DR222" i="1"/>
  <c r="DS221" i="1"/>
  <c r="DR221" i="1"/>
  <c r="DS220" i="1"/>
  <c r="DR220" i="1"/>
  <c r="DS219" i="1"/>
  <c r="DS218" i="1"/>
  <c r="DR219" i="1"/>
  <c r="DR218" i="1"/>
  <c r="DS216" i="1"/>
  <c r="DR216" i="1"/>
  <c r="DS215" i="1"/>
  <c r="DR215" i="1"/>
  <c r="DS214" i="1"/>
  <c r="DR214" i="1"/>
  <c r="DS213" i="1"/>
  <c r="DS212" i="1"/>
  <c r="DR213" i="1"/>
  <c r="DR212" i="1"/>
  <c r="DS205" i="1"/>
  <c r="DS204" i="1"/>
  <c r="DR205" i="1"/>
  <c r="DR204" i="1"/>
  <c r="DS202" i="1"/>
  <c r="DS201" i="1"/>
  <c r="DS199" i="1"/>
  <c r="DR202" i="1"/>
  <c r="DR201" i="1"/>
  <c r="DR199" i="1"/>
  <c r="DS197" i="1"/>
  <c r="DR197" i="1"/>
  <c r="DS196" i="1"/>
  <c r="DS195" i="1"/>
  <c r="DR196" i="1"/>
  <c r="DR195" i="1"/>
  <c r="DS193" i="1"/>
  <c r="DR193" i="1"/>
  <c r="DS191" i="1"/>
  <c r="DR191" i="1"/>
  <c r="DS189" i="1"/>
  <c r="DR189" i="1"/>
  <c r="DS187" i="1"/>
  <c r="DR187" i="1"/>
  <c r="DS185" i="1"/>
  <c r="DS184" i="1"/>
  <c r="DR185" i="1"/>
  <c r="DR184" i="1"/>
  <c r="DS182" i="1"/>
  <c r="DR182" i="1"/>
  <c r="DS180" i="1"/>
  <c r="DR180" i="1"/>
  <c r="DR179" i="1"/>
  <c r="DS179" i="1"/>
  <c r="DS177" i="1"/>
  <c r="DR177" i="1"/>
  <c r="DS176" i="1"/>
  <c r="DR176" i="1"/>
  <c r="DS175" i="1"/>
  <c r="DS174" i="1"/>
  <c r="DR175" i="1"/>
  <c r="DR174" i="1"/>
  <c r="DS170" i="1"/>
  <c r="DR170" i="1"/>
  <c r="DS169" i="1"/>
  <c r="DR169" i="1"/>
  <c r="DS168" i="1"/>
  <c r="DS167" i="1"/>
  <c r="DR168" i="1"/>
  <c r="DR167" i="1"/>
  <c r="DS165" i="1"/>
  <c r="DR165" i="1"/>
  <c r="DS163" i="1"/>
  <c r="DR163" i="1"/>
  <c r="DS162" i="1"/>
  <c r="DR162" i="1"/>
  <c r="DS161" i="1"/>
  <c r="DR161" i="1"/>
  <c r="DS160" i="1"/>
  <c r="DR160" i="1"/>
  <c r="DS159" i="1"/>
  <c r="DR159" i="1"/>
  <c r="DS158" i="1"/>
  <c r="DR158" i="1"/>
  <c r="DS157" i="1"/>
  <c r="DR157" i="1"/>
  <c r="DS156" i="1"/>
  <c r="DR156" i="1"/>
  <c r="DS155" i="1"/>
  <c r="DS104" i="1"/>
  <c r="DR155" i="1"/>
  <c r="DS153" i="1"/>
  <c r="DR153" i="1"/>
  <c r="DS152" i="1"/>
  <c r="DR152" i="1"/>
  <c r="DS151" i="1"/>
  <c r="DR151" i="1"/>
  <c r="DS150" i="1"/>
  <c r="DS149" i="1"/>
  <c r="DR150" i="1"/>
  <c r="DR149" i="1"/>
  <c r="DS147" i="1"/>
  <c r="DR147" i="1"/>
  <c r="DS146" i="1"/>
  <c r="DR146" i="1"/>
  <c r="DS145" i="1"/>
  <c r="DR145" i="1"/>
  <c r="DS144" i="1"/>
  <c r="DR144" i="1"/>
  <c r="DS143" i="1"/>
  <c r="DR143" i="1"/>
  <c r="DS142" i="1"/>
  <c r="DR142" i="1"/>
  <c r="DS141" i="1"/>
  <c r="DR141" i="1"/>
  <c r="DS140" i="1"/>
  <c r="DR140" i="1"/>
  <c r="DS139" i="1"/>
  <c r="DR139" i="1"/>
  <c r="DS137" i="1"/>
  <c r="DR137" i="1"/>
  <c r="DS134" i="1"/>
  <c r="DR134" i="1"/>
  <c r="DS133" i="1"/>
  <c r="DR133" i="1"/>
  <c r="DS132" i="1"/>
  <c r="DS131" i="1"/>
  <c r="DR132" i="1"/>
  <c r="DR131" i="1"/>
  <c r="DS129" i="1"/>
  <c r="DR129" i="1"/>
  <c r="DS128" i="1"/>
  <c r="DR128" i="1"/>
  <c r="DS127" i="1"/>
  <c r="DR127" i="1"/>
  <c r="DS126" i="1"/>
  <c r="DR126" i="1"/>
  <c r="DS125" i="1"/>
  <c r="DR125" i="1"/>
  <c r="DS123" i="1"/>
  <c r="DR123" i="1"/>
  <c r="DS122" i="1"/>
  <c r="DR122" i="1"/>
  <c r="DS121" i="1"/>
  <c r="DR121" i="1"/>
  <c r="DS120" i="1"/>
  <c r="DR120" i="1"/>
  <c r="DS119" i="1"/>
  <c r="DR119" i="1"/>
  <c r="DS118" i="1"/>
  <c r="DR118" i="1"/>
  <c r="DS116" i="1"/>
  <c r="DR116" i="1"/>
  <c r="DS115" i="1"/>
  <c r="DR115" i="1"/>
  <c r="DS114" i="1"/>
  <c r="DR114" i="1"/>
  <c r="DS113" i="1"/>
  <c r="DR113" i="1"/>
  <c r="DS112" i="1"/>
  <c r="DR112" i="1"/>
  <c r="DS111" i="1"/>
  <c r="DR111" i="1"/>
  <c r="DS109" i="1"/>
  <c r="DR109" i="1"/>
  <c r="DS108" i="1"/>
  <c r="DR108" i="1"/>
  <c r="DS107" i="1"/>
  <c r="DS106" i="1"/>
  <c r="DR107" i="1"/>
  <c r="DR106" i="1"/>
  <c r="DS102" i="1"/>
  <c r="DR102" i="1"/>
  <c r="DS101" i="1"/>
  <c r="DS95" i="1"/>
  <c r="DS96" i="1"/>
  <c r="DS97" i="1"/>
  <c r="DS98" i="1"/>
  <c r="DS99" i="1"/>
  <c r="DS100" i="1"/>
  <c r="DS94" i="1"/>
  <c r="DR101" i="1"/>
  <c r="DR100" i="1"/>
  <c r="DR99" i="1"/>
  <c r="DR98" i="1"/>
  <c r="DR97" i="1"/>
  <c r="DR96" i="1"/>
  <c r="DR95" i="1"/>
  <c r="DR94" i="1"/>
  <c r="DS92" i="1"/>
  <c r="DS86" i="1"/>
  <c r="DR92" i="1"/>
  <c r="DS91" i="1"/>
  <c r="DR91" i="1"/>
  <c r="DS90" i="1"/>
  <c r="DR90" i="1"/>
  <c r="DS89" i="1"/>
  <c r="DR89" i="1"/>
  <c r="DS88" i="1"/>
  <c r="DR88" i="1"/>
  <c r="DS87" i="1"/>
  <c r="DR87" i="1"/>
  <c r="DR86" i="1"/>
  <c r="DS84" i="1"/>
  <c r="DR84" i="1"/>
  <c r="DS83" i="1"/>
  <c r="DR83" i="1"/>
  <c r="DS82" i="1"/>
  <c r="DR82" i="1"/>
  <c r="DS80" i="1"/>
  <c r="DS77" i="1"/>
  <c r="DR80" i="1"/>
  <c r="DR77" i="1"/>
  <c r="DS79" i="1"/>
  <c r="DR79" i="1"/>
  <c r="DS78" i="1"/>
  <c r="DR78" i="1"/>
  <c r="DS75" i="1"/>
  <c r="DR75" i="1"/>
  <c r="DS74" i="1"/>
  <c r="DR74" i="1"/>
  <c r="DS73" i="1"/>
  <c r="DS72" i="1"/>
  <c r="DR73" i="1"/>
  <c r="DS70" i="1"/>
  <c r="DR70" i="1"/>
  <c r="DS69" i="1"/>
  <c r="DR69" i="1"/>
  <c r="DS68" i="1"/>
  <c r="DS67" i="1"/>
  <c r="DR68" i="1"/>
  <c r="DR67" i="1"/>
  <c r="DS65" i="1"/>
  <c r="DR65" i="1"/>
  <c r="DS64" i="1"/>
  <c r="DS63" i="1"/>
  <c r="DR64" i="1"/>
  <c r="DR63" i="1"/>
  <c r="DS61" i="1"/>
  <c r="DR61" i="1"/>
  <c r="DS59" i="1"/>
  <c r="DR59" i="1"/>
  <c r="DS58" i="1"/>
  <c r="DR58" i="1"/>
  <c r="DS57" i="1"/>
  <c r="DR57" i="1"/>
  <c r="DS56" i="1"/>
  <c r="DR56" i="1"/>
  <c r="DS55" i="1"/>
  <c r="DR55" i="1"/>
  <c r="DS54" i="1"/>
  <c r="DR54" i="1"/>
  <c r="DS53" i="1"/>
  <c r="DS52" i="1"/>
  <c r="DR53" i="1"/>
  <c r="DR52" i="1"/>
  <c r="DS50" i="1"/>
  <c r="DR50" i="1"/>
  <c r="DS49" i="1"/>
  <c r="DR49" i="1"/>
  <c r="DS48" i="1"/>
  <c r="DR48" i="1"/>
  <c r="DS47" i="1"/>
  <c r="DS46" i="1"/>
  <c r="DR47" i="1"/>
  <c r="DR46" i="1"/>
  <c r="DS42" i="1"/>
  <c r="DR42" i="1"/>
  <c r="DS41" i="1"/>
  <c r="DR41" i="1"/>
  <c r="DS36" i="1"/>
  <c r="DR36" i="1"/>
  <c r="DS34" i="1"/>
  <c r="DR34" i="1"/>
  <c r="DS33" i="1"/>
  <c r="DR33" i="1"/>
  <c r="DS32" i="1"/>
  <c r="DR32" i="1"/>
  <c r="DS31" i="1"/>
  <c r="DS30" i="1"/>
  <c r="DR31" i="1"/>
  <c r="DR30" i="1"/>
  <c r="DS28" i="1"/>
  <c r="DR28" i="1"/>
  <c r="DS26" i="1"/>
  <c r="DR26" i="1"/>
  <c r="DS24" i="1"/>
  <c r="DR24" i="1"/>
  <c r="DS23" i="1"/>
  <c r="DR23" i="1"/>
  <c r="DS22" i="1"/>
  <c r="DS21" i="1"/>
  <c r="DR22" i="1"/>
  <c r="DR21" i="1"/>
  <c r="DS19" i="1"/>
  <c r="DR19" i="1"/>
  <c r="DS18" i="1"/>
  <c r="DR18" i="1"/>
  <c r="DS17" i="1"/>
  <c r="DR17" i="1"/>
  <c r="DR16" i="1"/>
  <c r="DR14" i="1"/>
  <c r="DU863" i="1"/>
  <c r="DT863" i="1"/>
  <c r="DU860" i="1"/>
  <c r="DT860" i="1"/>
  <c r="DU856" i="1"/>
  <c r="DT856" i="1"/>
  <c r="DU845" i="1"/>
  <c r="DT845" i="1"/>
  <c r="DU842" i="1"/>
  <c r="DT842" i="1"/>
  <c r="DU827" i="1"/>
  <c r="DT827" i="1"/>
  <c r="DU790" i="1"/>
  <c r="DT790" i="1"/>
  <c r="DU783" i="1"/>
  <c r="DT783" i="1"/>
  <c r="DU768" i="1"/>
  <c r="DT768" i="1"/>
  <c r="DU742" i="1"/>
  <c r="DT742" i="1"/>
  <c r="DU738" i="1"/>
  <c r="DT738" i="1"/>
  <c r="DU728" i="1"/>
  <c r="DT728" i="1"/>
  <c r="DU725" i="1"/>
  <c r="DT725" i="1"/>
  <c r="DU718" i="1"/>
  <c r="DT718" i="1"/>
  <c r="DU711" i="1"/>
  <c r="DT711" i="1"/>
  <c r="DU705" i="1"/>
  <c r="DT705" i="1"/>
  <c r="DU702" i="1"/>
  <c r="DT702" i="1"/>
  <c r="DU699" i="1"/>
  <c r="DT699" i="1"/>
  <c r="DU696" i="1"/>
  <c r="DT696" i="1"/>
  <c r="DU693" i="1"/>
  <c r="DT693" i="1"/>
  <c r="DU685" i="1"/>
  <c r="DT685" i="1"/>
  <c r="DU681" i="1"/>
  <c r="DT681" i="1"/>
  <c r="DU669" i="1"/>
  <c r="DU664" i="1"/>
  <c r="DT669" i="1"/>
  <c r="DT664" i="1"/>
  <c r="DU666" i="1"/>
  <c r="DT666" i="1"/>
  <c r="DU655" i="1"/>
  <c r="DT655" i="1"/>
  <c r="DU645" i="1"/>
  <c r="DT645" i="1"/>
  <c r="DU637" i="1"/>
  <c r="DT637" i="1"/>
  <c r="DU634" i="1"/>
  <c r="DU632" i="1"/>
  <c r="DU630" i="1"/>
  <c r="DU628" i="1"/>
  <c r="DT634" i="1"/>
  <c r="DT632" i="1"/>
  <c r="DT630" i="1"/>
  <c r="DT628" i="1"/>
  <c r="DU625" i="1"/>
  <c r="DT625" i="1"/>
  <c r="DU621" i="1"/>
  <c r="DT621" i="1"/>
  <c r="DU619" i="1"/>
  <c r="DT619" i="1"/>
  <c r="DU616" i="1"/>
  <c r="DT616" i="1"/>
  <c r="DU613" i="1"/>
  <c r="DU611" i="1"/>
  <c r="DU609" i="1"/>
  <c r="DT613" i="1"/>
  <c r="DT611" i="1"/>
  <c r="DT609" i="1"/>
  <c r="DU606" i="1"/>
  <c r="DT606" i="1"/>
  <c r="DU600" i="1"/>
  <c r="DT600" i="1"/>
  <c r="DU592" i="1"/>
  <c r="DT592" i="1"/>
  <c r="DU585" i="1"/>
  <c r="DT585" i="1"/>
  <c r="DU581" i="1"/>
  <c r="DT581" i="1"/>
  <c r="DU579" i="1"/>
  <c r="DT579" i="1"/>
  <c r="DU571" i="1"/>
  <c r="DT571" i="1"/>
  <c r="DU569" i="1"/>
  <c r="DU567" i="1"/>
  <c r="DT569" i="1"/>
  <c r="DT567" i="1"/>
  <c r="DU563" i="1"/>
  <c r="DT563" i="1"/>
  <c r="DU558" i="1"/>
  <c r="DT558" i="1"/>
  <c r="DU555" i="1"/>
  <c r="DT555" i="1"/>
  <c r="DU549" i="1"/>
  <c r="DT549" i="1"/>
  <c r="DU543" i="1"/>
  <c r="DT543" i="1"/>
  <c r="DU535" i="1"/>
  <c r="DT535" i="1"/>
  <c r="DU532" i="1"/>
  <c r="DT532" i="1"/>
  <c r="DU526" i="1"/>
  <c r="DT526" i="1"/>
  <c r="DU507" i="1"/>
  <c r="DU505" i="1"/>
  <c r="DT507" i="1"/>
  <c r="DT505" i="1"/>
  <c r="DU500" i="1"/>
  <c r="DT500" i="1"/>
  <c r="DU488" i="1"/>
  <c r="DT488" i="1"/>
  <c r="DU482" i="1"/>
  <c r="DT482" i="1"/>
  <c r="DU472" i="1"/>
  <c r="DT472" i="1"/>
  <c r="DU464" i="1"/>
  <c r="DT464" i="1"/>
  <c r="DU458" i="1"/>
  <c r="DT458" i="1"/>
  <c r="DU451" i="1"/>
  <c r="DT451" i="1"/>
  <c r="DU444" i="1"/>
  <c r="DT444" i="1"/>
  <c r="DU439" i="1"/>
  <c r="DT439" i="1"/>
  <c r="DU427" i="1"/>
  <c r="DT427" i="1"/>
  <c r="DU419" i="1"/>
  <c r="DT419" i="1"/>
  <c r="DU416" i="1"/>
  <c r="DT416" i="1"/>
  <c r="DU411" i="1"/>
  <c r="DT411" i="1"/>
  <c r="DU406" i="1"/>
  <c r="DT406" i="1"/>
  <c r="DU401" i="1"/>
  <c r="DT401" i="1"/>
  <c r="DU397" i="1"/>
  <c r="DT397" i="1"/>
  <c r="DU386" i="1"/>
  <c r="DT386" i="1"/>
  <c r="DU380" i="1"/>
  <c r="DT380" i="1"/>
  <c r="DU375" i="1"/>
  <c r="DT375" i="1"/>
  <c r="DU368" i="1"/>
  <c r="DT368" i="1"/>
  <c r="DU366" i="1"/>
  <c r="DT366" i="1"/>
  <c r="DU361" i="1"/>
  <c r="DT361" i="1"/>
  <c r="DU358" i="1"/>
  <c r="DT358" i="1"/>
  <c r="DU354" i="1"/>
  <c r="DT354" i="1"/>
  <c r="DU349" i="1"/>
  <c r="DU347" i="1"/>
  <c r="DT349" i="1"/>
  <c r="DT347" i="1"/>
  <c r="DU329" i="1"/>
  <c r="DT329" i="1"/>
  <c r="DU326" i="1"/>
  <c r="DT326" i="1"/>
  <c r="DU322" i="1"/>
  <c r="DU308" i="1"/>
  <c r="DT322" i="1"/>
  <c r="DU319" i="1"/>
  <c r="DT319" i="1"/>
  <c r="DU316" i="1"/>
  <c r="DT316" i="1"/>
  <c r="DU313" i="1"/>
  <c r="DT313" i="1"/>
  <c r="DU310" i="1"/>
  <c r="DT310" i="1"/>
  <c r="DT308" i="1"/>
  <c r="DU305" i="1"/>
  <c r="DT305" i="1"/>
  <c r="DU302" i="1"/>
  <c r="DT302" i="1"/>
  <c r="DU298" i="1"/>
  <c r="DT298" i="1"/>
  <c r="DU293" i="1"/>
  <c r="DT293" i="1"/>
  <c r="DU288" i="1"/>
  <c r="DT288" i="1"/>
  <c r="DU279" i="1"/>
  <c r="DT279" i="1"/>
  <c r="DU275" i="1"/>
  <c r="DT275" i="1"/>
  <c r="DU267" i="1"/>
  <c r="DT267" i="1"/>
  <c r="DU259" i="1"/>
  <c r="DT259" i="1"/>
  <c r="DU251" i="1"/>
  <c r="DT251" i="1"/>
  <c r="DU246" i="1"/>
  <c r="DU244" i="1"/>
  <c r="DT246" i="1"/>
  <c r="DT244" i="1"/>
  <c r="DU238" i="1"/>
  <c r="DT238" i="1"/>
  <c r="DU237" i="1"/>
  <c r="DT237" i="1"/>
  <c r="DU236" i="1"/>
  <c r="DT236" i="1"/>
  <c r="DU234" i="1"/>
  <c r="DT234" i="1"/>
  <c r="DU233" i="1"/>
  <c r="DT233" i="1"/>
  <c r="DU231" i="1"/>
  <c r="DT231" i="1"/>
  <c r="DU230" i="1"/>
  <c r="DT230" i="1"/>
  <c r="DU228" i="1"/>
  <c r="DU227" i="1"/>
  <c r="DT228" i="1"/>
  <c r="DT227" i="1"/>
  <c r="DU225" i="1"/>
  <c r="DT225" i="1"/>
  <c r="DT224" i="1"/>
  <c r="DU224" i="1"/>
  <c r="DU222" i="1"/>
  <c r="DT222" i="1"/>
  <c r="DU221" i="1"/>
  <c r="DT221" i="1"/>
  <c r="DU220" i="1"/>
  <c r="DT220" i="1"/>
  <c r="DU219" i="1"/>
  <c r="DU218" i="1"/>
  <c r="DT219" i="1"/>
  <c r="DT218" i="1"/>
  <c r="DU216" i="1"/>
  <c r="DT216" i="1"/>
  <c r="DU215" i="1"/>
  <c r="DT215" i="1"/>
  <c r="DU214" i="1"/>
  <c r="DT214" i="1"/>
  <c r="DU213" i="1"/>
  <c r="DU212" i="1"/>
  <c r="DT213" i="1"/>
  <c r="DT212" i="1"/>
  <c r="DU205" i="1"/>
  <c r="DU204" i="1"/>
  <c r="DT205" i="1"/>
  <c r="DT204" i="1"/>
  <c r="DU202" i="1"/>
  <c r="DU201" i="1"/>
  <c r="DT202" i="1"/>
  <c r="DT201" i="1"/>
  <c r="DT199" i="1"/>
  <c r="DU197" i="1"/>
  <c r="DT197" i="1"/>
  <c r="DU196" i="1"/>
  <c r="DU195" i="1"/>
  <c r="DT196" i="1"/>
  <c r="DT195" i="1"/>
  <c r="DU193" i="1"/>
  <c r="DT193" i="1"/>
  <c r="DU191" i="1"/>
  <c r="DT191" i="1"/>
  <c r="DU189" i="1"/>
  <c r="DT189" i="1"/>
  <c r="DU187" i="1"/>
  <c r="DT187" i="1"/>
  <c r="DU185" i="1"/>
  <c r="DU184" i="1"/>
  <c r="DT185" i="1"/>
  <c r="DT184" i="1"/>
  <c r="DU182" i="1"/>
  <c r="DT182" i="1"/>
  <c r="DU180" i="1"/>
  <c r="DT180" i="1"/>
  <c r="DU179" i="1"/>
  <c r="DT179" i="1"/>
  <c r="DU177" i="1"/>
  <c r="DT177" i="1"/>
  <c r="DU176" i="1"/>
  <c r="DT176" i="1"/>
  <c r="DU175" i="1"/>
  <c r="DT175" i="1"/>
  <c r="DU174" i="1"/>
  <c r="DT174" i="1"/>
  <c r="DU170" i="1"/>
  <c r="DT170" i="1"/>
  <c r="DU169" i="1"/>
  <c r="DT169" i="1"/>
  <c r="DU168" i="1"/>
  <c r="DU167" i="1"/>
  <c r="DT168" i="1"/>
  <c r="DT167" i="1"/>
  <c r="DU165" i="1"/>
  <c r="DT165" i="1"/>
  <c r="DU163" i="1"/>
  <c r="DT163" i="1"/>
  <c r="DU162" i="1"/>
  <c r="DT162" i="1"/>
  <c r="DU161" i="1"/>
  <c r="DT161" i="1"/>
  <c r="DU160" i="1"/>
  <c r="DT160" i="1"/>
  <c r="DU159" i="1"/>
  <c r="DT159" i="1"/>
  <c r="DU158" i="1"/>
  <c r="DT158" i="1"/>
  <c r="DU157" i="1"/>
  <c r="DT157" i="1"/>
  <c r="DU156" i="1"/>
  <c r="DT156" i="1"/>
  <c r="DT155" i="1"/>
  <c r="DU153" i="1"/>
  <c r="DT153" i="1"/>
  <c r="DU152" i="1"/>
  <c r="DT152" i="1"/>
  <c r="DU151" i="1"/>
  <c r="DT151" i="1"/>
  <c r="DU150" i="1"/>
  <c r="DT150" i="1"/>
  <c r="DU149" i="1"/>
  <c r="DT149" i="1"/>
  <c r="DU147" i="1"/>
  <c r="DT147" i="1"/>
  <c r="DU146" i="1"/>
  <c r="DT146" i="1"/>
  <c r="DU145" i="1"/>
  <c r="DT145" i="1"/>
  <c r="DU144" i="1"/>
  <c r="DT144" i="1"/>
  <c r="DU143" i="1"/>
  <c r="DT143" i="1"/>
  <c r="DU142" i="1"/>
  <c r="DT142" i="1"/>
  <c r="DU141" i="1"/>
  <c r="DT141" i="1"/>
  <c r="DU140" i="1"/>
  <c r="DU139" i="1"/>
  <c r="DT140" i="1"/>
  <c r="DT139" i="1"/>
  <c r="DU137" i="1"/>
  <c r="DT137" i="1"/>
  <c r="DU134" i="1"/>
  <c r="DT134" i="1"/>
  <c r="DU133" i="1"/>
  <c r="DU131" i="1"/>
  <c r="DT133" i="1"/>
  <c r="DU132" i="1"/>
  <c r="DT132" i="1"/>
  <c r="DT131" i="1"/>
  <c r="DU129" i="1"/>
  <c r="DT129" i="1"/>
  <c r="DU128" i="1"/>
  <c r="DT128" i="1"/>
  <c r="DU127" i="1"/>
  <c r="DT127" i="1"/>
  <c r="DU126" i="1"/>
  <c r="DU125" i="1"/>
  <c r="DT126" i="1"/>
  <c r="DT125" i="1"/>
  <c r="DU123" i="1"/>
  <c r="DT123" i="1"/>
  <c r="DU122" i="1"/>
  <c r="DT122" i="1"/>
  <c r="DU121" i="1"/>
  <c r="DT121" i="1"/>
  <c r="DU120" i="1"/>
  <c r="DT120" i="1"/>
  <c r="DU119" i="1"/>
  <c r="DU118" i="1"/>
  <c r="DT119" i="1"/>
  <c r="DT118" i="1"/>
  <c r="DU116" i="1"/>
  <c r="DT116" i="1"/>
  <c r="DU115" i="1"/>
  <c r="DT115" i="1"/>
  <c r="DU114" i="1"/>
  <c r="DT114" i="1"/>
  <c r="DU113" i="1"/>
  <c r="DT113" i="1"/>
  <c r="DU112" i="1"/>
  <c r="DU111" i="1"/>
  <c r="DT112" i="1"/>
  <c r="DT111" i="1"/>
  <c r="DU109" i="1"/>
  <c r="DT109" i="1"/>
  <c r="DU108" i="1"/>
  <c r="DT108" i="1"/>
  <c r="DU107" i="1"/>
  <c r="DU106" i="1"/>
  <c r="DT107" i="1"/>
  <c r="DT106" i="1"/>
  <c r="DU102" i="1"/>
  <c r="DT102" i="1"/>
  <c r="DU101" i="1"/>
  <c r="DT101" i="1"/>
  <c r="DU100" i="1"/>
  <c r="DT100" i="1"/>
  <c r="DU99" i="1"/>
  <c r="DT99" i="1"/>
  <c r="DU98" i="1"/>
  <c r="DT98" i="1"/>
  <c r="DU97" i="1"/>
  <c r="DT97" i="1"/>
  <c r="DU96" i="1"/>
  <c r="DT96" i="1"/>
  <c r="DU95" i="1"/>
  <c r="DU94" i="1"/>
  <c r="DT95" i="1"/>
  <c r="DT94" i="1"/>
  <c r="DU92" i="1"/>
  <c r="DT92" i="1"/>
  <c r="DU91" i="1"/>
  <c r="DT91" i="1"/>
  <c r="DU90" i="1"/>
  <c r="DT90" i="1"/>
  <c r="DU89" i="1"/>
  <c r="DT89" i="1"/>
  <c r="DU88" i="1"/>
  <c r="DT88" i="1"/>
  <c r="DU87" i="1"/>
  <c r="DT87" i="1"/>
  <c r="DU86" i="1"/>
  <c r="DT86" i="1"/>
  <c r="DU84" i="1"/>
  <c r="DT84" i="1"/>
  <c r="DU83" i="1"/>
  <c r="DU82" i="1"/>
  <c r="DT83" i="1"/>
  <c r="DT82" i="1"/>
  <c r="DU80" i="1"/>
  <c r="DT80" i="1"/>
  <c r="DT77" i="1"/>
  <c r="DU79" i="1"/>
  <c r="DT79" i="1"/>
  <c r="DU78" i="1"/>
  <c r="DU77" i="1"/>
  <c r="DT78" i="1"/>
  <c r="DU75" i="1"/>
  <c r="DT75" i="1"/>
  <c r="DU74" i="1"/>
  <c r="DT74" i="1"/>
  <c r="DU73" i="1"/>
  <c r="DT73" i="1"/>
  <c r="DT72" i="1"/>
  <c r="DU70" i="1"/>
  <c r="DT70" i="1"/>
  <c r="DU69" i="1"/>
  <c r="DT69" i="1"/>
  <c r="DU68" i="1"/>
  <c r="DU67" i="1"/>
  <c r="DT68" i="1"/>
  <c r="DT67" i="1"/>
  <c r="DU65" i="1"/>
  <c r="DT65" i="1"/>
  <c r="DU64" i="1"/>
  <c r="DU63" i="1"/>
  <c r="DT64" i="1"/>
  <c r="DT63" i="1"/>
  <c r="DU61" i="1"/>
  <c r="DT61" i="1"/>
  <c r="DU59" i="1"/>
  <c r="DT59" i="1"/>
  <c r="DU58" i="1"/>
  <c r="DT58" i="1"/>
  <c r="DU57" i="1"/>
  <c r="DT57" i="1"/>
  <c r="DU56" i="1"/>
  <c r="DT56" i="1"/>
  <c r="DU55" i="1"/>
  <c r="DT55" i="1"/>
  <c r="DU54" i="1"/>
  <c r="DT54" i="1"/>
  <c r="DU53" i="1"/>
  <c r="DT53" i="1"/>
  <c r="DU50" i="1"/>
  <c r="DT50" i="1"/>
  <c r="DU49" i="1"/>
  <c r="DT49" i="1"/>
  <c r="DU48" i="1"/>
  <c r="DT48" i="1"/>
  <c r="DU47" i="1"/>
  <c r="DT47" i="1"/>
  <c r="DU46" i="1"/>
  <c r="DT46" i="1"/>
  <c r="DU42" i="1"/>
  <c r="DT42" i="1"/>
  <c r="DU41" i="1"/>
  <c r="DT41" i="1"/>
  <c r="DU38" i="1"/>
  <c r="DU36" i="1"/>
  <c r="DT36" i="1"/>
  <c r="DU34" i="1"/>
  <c r="DT34" i="1"/>
  <c r="DU33" i="1"/>
  <c r="DT33" i="1"/>
  <c r="DU32" i="1"/>
  <c r="DT32" i="1"/>
  <c r="DU31" i="1"/>
  <c r="DT31" i="1"/>
  <c r="DU30" i="1"/>
  <c r="DT30" i="1"/>
  <c r="DU28" i="1"/>
  <c r="DT28" i="1"/>
  <c r="DU26" i="1"/>
  <c r="DT26" i="1"/>
  <c r="DU24" i="1"/>
  <c r="DT24" i="1"/>
  <c r="DU23" i="1"/>
  <c r="DT23" i="1"/>
  <c r="DU22" i="1"/>
  <c r="DT22" i="1"/>
  <c r="DU21" i="1"/>
  <c r="DT21" i="1"/>
  <c r="DU19" i="1"/>
  <c r="DT19" i="1"/>
  <c r="DU17" i="1"/>
  <c r="DU16" i="1"/>
  <c r="DT17" i="1"/>
  <c r="DT16" i="1"/>
  <c r="DT14" i="1"/>
  <c r="DW863" i="1"/>
  <c r="DV863" i="1"/>
  <c r="DW860" i="1"/>
  <c r="DV860" i="1"/>
  <c r="DW856" i="1"/>
  <c r="DV856" i="1"/>
  <c r="DW845" i="1"/>
  <c r="DV845" i="1"/>
  <c r="DW842" i="1"/>
  <c r="DV842" i="1"/>
  <c r="DW827" i="1"/>
  <c r="DV827" i="1"/>
  <c r="DW790" i="1"/>
  <c r="DV790" i="1"/>
  <c r="DW783" i="1"/>
  <c r="DV783" i="1"/>
  <c r="DW768" i="1"/>
  <c r="DV768" i="1"/>
  <c r="DW742" i="1"/>
  <c r="DV742" i="1"/>
  <c r="DW738" i="1"/>
  <c r="DV738" i="1"/>
  <c r="DW728" i="1"/>
  <c r="DV728" i="1"/>
  <c r="DW725" i="1"/>
  <c r="DV725" i="1"/>
  <c r="DV721" i="1"/>
  <c r="DW718" i="1"/>
  <c r="DV718" i="1"/>
  <c r="DW711" i="1"/>
  <c r="DV711" i="1"/>
  <c r="DW705" i="1"/>
  <c r="DV705" i="1"/>
  <c r="DW702" i="1"/>
  <c r="DV702" i="1"/>
  <c r="DW699" i="1"/>
  <c r="DV699" i="1"/>
  <c r="DW696" i="1"/>
  <c r="DV696" i="1"/>
  <c r="DW693" i="1"/>
  <c r="DV693" i="1"/>
  <c r="DW685" i="1"/>
  <c r="DV685" i="1"/>
  <c r="DW681" i="1"/>
  <c r="DV681" i="1"/>
  <c r="DW669" i="1"/>
  <c r="DW664" i="1"/>
  <c r="DV669" i="1"/>
  <c r="DV664" i="1"/>
  <c r="DW666" i="1"/>
  <c r="DV666" i="1"/>
  <c r="DW655" i="1"/>
  <c r="DV655" i="1"/>
  <c r="DW645" i="1"/>
  <c r="DV645" i="1"/>
  <c r="DW637" i="1"/>
  <c r="DV637" i="1"/>
  <c r="DW634" i="1"/>
  <c r="DV634" i="1"/>
  <c r="DW632" i="1"/>
  <c r="DW630" i="1"/>
  <c r="DW628" i="1"/>
  <c r="DV632" i="1"/>
  <c r="DV630" i="1"/>
  <c r="DV628" i="1"/>
  <c r="DW625" i="1"/>
  <c r="DV625" i="1"/>
  <c r="DW621" i="1"/>
  <c r="DW619" i="1"/>
  <c r="DV621" i="1"/>
  <c r="DV619" i="1"/>
  <c r="DW616" i="1"/>
  <c r="DV616" i="1"/>
  <c r="DW613" i="1"/>
  <c r="DV613" i="1"/>
  <c r="DW611" i="1"/>
  <c r="DV611" i="1"/>
  <c r="DW606" i="1"/>
  <c r="DV606" i="1"/>
  <c r="DW600" i="1"/>
  <c r="DV600" i="1"/>
  <c r="DW592" i="1"/>
  <c r="DV592" i="1"/>
  <c r="DW585" i="1"/>
  <c r="DV585" i="1"/>
  <c r="DW581" i="1"/>
  <c r="DW579" i="1"/>
  <c r="DW577" i="1"/>
  <c r="DV581" i="1"/>
  <c r="DV579" i="1"/>
  <c r="DV577" i="1"/>
  <c r="DW571" i="1"/>
  <c r="DW569" i="1"/>
  <c r="DW567" i="1"/>
  <c r="DV571" i="1"/>
  <c r="DV569" i="1"/>
  <c r="DV567" i="1"/>
  <c r="DW563" i="1"/>
  <c r="DV563" i="1"/>
  <c r="DW558" i="1"/>
  <c r="DV558" i="1"/>
  <c r="DW555" i="1"/>
  <c r="DV555" i="1"/>
  <c r="DW549" i="1"/>
  <c r="DV549" i="1"/>
  <c r="DW543" i="1"/>
  <c r="DV543" i="1"/>
  <c r="DW541" i="1"/>
  <c r="DV541" i="1"/>
  <c r="DW535" i="1"/>
  <c r="DV535" i="1"/>
  <c r="DW532" i="1"/>
  <c r="DV532" i="1"/>
  <c r="DW526" i="1"/>
  <c r="DV526" i="1"/>
  <c r="DW507" i="1"/>
  <c r="DV507" i="1"/>
  <c r="DW505" i="1"/>
  <c r="DV505" i="1"/>
  <c r="DW500" i="1"/>
  <c r="DV500" i="1"/>
  <c r="DW488" i="1"/>
  <c r="DV488" i="1"/>
  <c r="DW482" i="1"/>
  <c r="DV482" i="1"/>
  <c r="DW472" i="1"/>
  <c r="DV472" i="1"/>
  <c r="DW464" i="1"/>
  <c r="DV464" i="1"/>
  <c r="DW458" i="1"/>
  <c r="DV458" i="1"/>
  <c r="DW451" i="1"/>
  <c r="DV451" i="1"/>
  <c r="DW444" i="1"/>
  <c r="DV444" i="1"/>
  <c r="DW439" i="1"/>
  <c r="DV439" i="1"/>
  <c r="DW437" i="1"/>
  <c r="DV437" i="1"/>
  <c r="DW427" i="1"/>
  <c r="DV427" i="1"/>
  <c r="DW419" i="1"/>
  <c r="DV419" i="1"/>
  <c r="DW416" i="1"/>
  <c r="DV416" i="1"/>
  <c r="DW411" i="1"/>
  <c r="DV411" i="1"/>
  <c r="DW406" i="1"/>
  <c r="DV406" i="1"/>
  <c r="DW401" i="1"/>
  <c r="DV401" i="1"/>
  <c r="DW397" i="1"/>
  <c r="DV397" i="1"/>
  <c r="DW386" i="1"/>
  <c r="DV386" i="1"/>
  <c r="DW380" i="1"/>
  <c r="DV380" i="1"/>
  <c r="DV378" i="1"/>
  <c r="DW375" i="1"/>
  <c r="DV375" i="1"/>
  <c r="DW368" i="1"/>
  <c r="DW366" i="1"/>
  <c r="DV368" i="1"/>
  <c r="DV366" i="1"/>
  <c r="DW361" i="1"/>
  <c r="DV361" i="1"/>
  <c r="DW358" i="1"/>
  <c r="DV358" i="1"/>
  <c r="DW354" i="1"/>
  <c r="DV354" i="1"/>
  <c r="DW349" i="1"/>
  <c r="DW347" i="1"/>
  <c r="DV349" i="1"/>
  <c r="DV347" i="1"/>
  <c r="DW329" i="1"/>
  <c r="DV329" i="1"/>
  <c r="DW326" i="1"/>
  <c r="DV326" i="1"/>
  <c r="DW322" i="1"/>
  <c r="DV322" i="1"/>
  <c r="DW319" i="1"/>
  <c r="DV319" i="1"/>
  <c r="DW316" i="1"/>
  <c r="DV316" i="1"/>
  <c r="DW313" i="1"/>
  <c r="DV313" i="1"/>
  <c r="DW310" i="1"/>
  <c r="DV310" i="1"/>
  <c r="DV308" i="1"/>
  <c r="DV242" i="1"/>
  <c r="DV364" i="1"/>
  <c r="DV240" i="1"/>
  <c r="DW305" i="1"/>
  <c r="DV305" i="1"/>
  <c r="DW302" i="1"/>
  <c r="DV302" i="1"/>
  <c r="DW298" i="1"/>
  <c r="DV298" i="1"/>
  <c r="DW293" i="1"/>
  <c r="DV293" i="1"/>
  <c r="DW288" i="1"/>
  <c r="DV288" i="1"/>
  <c r="DW279" i="1"/>
  <c r="DV279" i="1"/>
  <c r="DW275" i="1"/>
  <c r="DV275" i="1"/>
  <c r="DW267" i="1"/>
  <c r="DV267" i="1"/>
  <c r="DW259" i="1"/>
  <c r="DV259" i="1"/>
  <c r="DW251" i="1"/>
  <c r="DV251" i="1"/>
  <c r="DW246" i="1"/>
  <c r="DV246" i="1"/>
  <c r="DW244" i="1"/>
  <c r="DV244" i="1"/>
  <c r="DW238" i="1"/>
  <c r="DV238" i="1"/>
  <c r="DW237" i="1"/>
  <c r="DW236" i="1"/>
  <c r="DV237" i="1"/>
  <c r="DV236" i="1"/>
  <c r="DW234" i="1"/>
  <c r="DV234" i="1"/>
  <c r="DW233" i="1"/>
  <c r="DV233" i="1"/>
  <c r="DW231" i="1"/>
  <c r="DW230" i="1"/>
  <c r="DV231" i="1"/>
  <c r="DV230" i="1"/>
  <c r="DW228" i="1"/>
  <c r="DW227" i="1"/>
  <c r="DV228" i="1"/>
  <c r="DV227" i="1"/>
  <c r="DW225" i="1"/>
  <c r="DW224" i="1"/>
  <c r="DV225" i="1"/>
  <c r="DV224" i="1"/>
  <c r="DW222" i="1"/>
  <c r="DV222" i="1"/>
  <c r="DW221" i="1"/>
  <c r="DV221" i="1"/>
  <c r="DW220" i="1"/>
  <c r="DV220" i="1"/>
  <c r="DW219" i="1"/>
  <c r="DV219" i="1"/>
  <c r="DW218" i="1"/>
  <c r="DV218" i="1"/>
  <c r="DW216" i="1"/>
  <c r="DV216" i="1"/>
  <c r="DW215" i="1"/>
  <c r="DV215" i="1"/>
  <c r="DW214" i="1"/>
  <c r="DV214" i="1"/>
  <c r="DW213" i="1"/>
  <c r="DW212" i="1"/>
  <c r="DV213" i="1"/>
  <c r="DV212" i="1"/>
  <c r="DW205" i="1"/>
  <c r="DV205" i="1"/>
  <c r="DW204" i="1"/>
  <c r="DV204" i="1"/>
  <c r="DW202" i="1"/>
  <c r="DW201" i="1"/>
  <c r="DW199" i="1"/>
  <c r="DV202" i="1"/>
  <c r="DV201" i="1"/>
  <c r="DV199" i="1"/>
  <c r="DW197" i="1"/>
  <c r="DV197" i="1"/>
  <c r="DW196" i="1"/>
  <c r="DV196" i="1"/>
  <c r="DW195" i="1"/>
  <c r="DV195" i="1"/>
  <c r="DW193" i="1"/>
  <c r="DV193" i="1"/>
  <c r="DW191" i="1"/>
  <c r="DV191" i="1"/>
  <c r="DW189" i="1"/>
  <c r="DV189" i="1"/>
  <c r="DW187" i="1"/>
  <c r="DV187" i="1"/>
  <c r="DW185" i="1"/>
  <c r="DV185" i="1"/>
  <c r="DW184" i="1"/>
  <c r="DV184" i="1"/>
  <c r="DW182" i="1"/>
  <c r="DV182" i="1"/>
  <c r="DW180" i="1"/>
  <c r="DW179" i="1"/>
  <c r="DV180" i="1"/>
  <c r="DV179" i="1"/>
  <c r="DW177" i="1"/>
  <c r="DV177" i="1"/>
  <c r="DW176" i="1"/>
  <c r="DV176" i="1"/>
  <c r="DW175" i="1"/>
  <c r="DW174" i="1"/>
  <c r="DV175" i="1"/>
  <c r="DV174" i="1"/>
  <c r="DW170" i="1"/>
  <c r="DV170" i="1"/>
  <c r="DW169" i="1"/>
  <c r="DV169" i="1"/>
  <c r="DW168" i="1"/>
  <c r="DW167" i="1"/>
  <c r="DV168" i="1"/>
  <c r="DW165" i="1"/>
  <c r="DV165" i="1"/>
  <c r="DW163" i="1"/>
  <c r="DV163" i="1"/>
  <c r="DW162" i="1"/>
  <c r="DV162" i="1"/>
  <c r="DW161" i="1"/>
  <c r="DV161" i="1"/>
  <c r="DW160" i="1"/>
  <c r="DV160" i="1"/>
  <c r="DW159" i="1"/>
  <c r="DV159" i="1"/>
  <c r="DW158" i="1"/>
  <c r="DV158" i="1"/>
  <c r="DW157" i="1"/>
  <c r="DV157" i="1"/>
  <c r="DW156" i="1"/>
  <c r="DV156" i="1"/>
  <c r="DV155" i="1"/>
  <c r="DW155" i="1"/>
  <c r="DW153" i="1"/>
  <c r="DV153" i="1"/>
  <c r="DW152" i="1"/>
  <c r="DV152" i="1"/>
  <c r="DW151" i="1"/>
  <c r="DV151" i="1"/>
  <c r="DW150" i="1"/>
  <c r="DW149" i="1"/>
  <c r="DV150" i="1"/>
  <c r="DV149" i="1"/>
  <c r="DW147" i="1"/>
  <c r="DV147" i="1"/>
  <c r="DW146" i="1"/>
  <c r="DV146" i="1"/>
  <c r="DW145" i="1"/>
  <c r="DV145" i="1"/>
  <c r="DW144" i="1"/>
  <c r="DV144" i="1"/>
  <c r="DW143" i="1"/>
  <c r="DV143" i="1"/>
  <c r="DW142" i="1"/>
  <c r="DV142" i="1"/>
  <c r="DW141" i="1"/>
  <c r="DV141" i="1"/>
  <c r="DW140" i="1"/>
  <c r="DV140" i="1"/>
  <c r="DW137" i="1"/>
  <c r="DV137" i="1"/>
  <c r="DW134" i="1"/>
  <c r="DV134" i="1"/>
  <c r="DW133" i="1"/>
  <c r="DV133" i="1"/>
  <c r="DW132" i="1"/>
  <c r="DV132" i="1"/>
  <c r="DV131" i="1"/>
  <c r="DW129" i="1"/>
  <c r="DV129" i="1"/>
  <c r="DW128" i="1"/>
  <c r="DV128" i="1"/>
  <c r="DW127" i="1"/>
  <c r="DV127" i="1"/>
  <c r="DW126" i="1"/>
  <c r="DV126" i="1"/>
  <c r="DW125" i="1"/>
  <c r="DV125" i="1"/>
  <c r="DW123" i="1"/>
  <c r="DV123" i="1"/>
  <c r="DW122" i="1"/>
  <c r="DV122" i="1"/>
  <c r="DW121" i="1"/>
  <c r="DV121" i="1"/>
  <c r="DW120" i="1"/>
  <c r="DV120" i="1"/>
  <c r="DW119" i="1"/>
  <c r="DW118" i="1"/>
  <c r="DV119" i="1"/>
  <c r="DV118" i="1"/>
  <c r="DW116" i="1"/>
  <c r="DV116" i="1"/>
  <c r="DW115" i="1"/>
  <c r="DV115" i="1"/>
  <c r="DW114" i="1"/>
  <c r="DV114" i="1"/>
  <c r="DW113" i="1"/>
  <c r="DV113" i="1"/>
  <c r="DW112" i="1"/>
  <c r="DV112" i="1"/>
  <c r="DW111" i="1"/>
  <c r="DV111" i="1"/>
  <c r="DW109" i="1"/>
  <c r="DV109" i="1"/>
  <c r="DW108" i="1"/>
  <c r="DV108" i="1"/>
  <c r="DW107" i="1"/>
  <c r="DW106" i="1"/>
  <c r="DV107" i="1"/>
  <c r="DV106" i="1"/>
  <c r="DW102" i="1"/>
  <c r="DV102" i="1"/>
  <c r="DW101" i="1"/>
  <c r="DV101" i="1"/>
  <c r="DW100" i="1"/>
  <c r="DV100" i="1"/>
  <c r="DW99" i="1"/>
  <c r="DV99" i="1"/>
  <c r="DW98" i="1"/>
  <c r="DV98" i="1"/>
  <c r="DW97" i="1"/>
  <c r="DV97" i="1"/>
  <c r="DW96" i="1"/>
  <c r="DW95" i="1"/>
  <c r="DW94" i="1"/>
  <c r="DV96" i="1"/>
  <c r="DV95" i="1"/>
  <c r="DW92" i="1"/>
  <c r="DV92" i="1"/>
  <c r="DW91" i="1"/>
  <c r="DV91" i="1"/>
  <c r="DW90" i="1"/>
  <c r="DV90" i="1"/>
  <c r="DW89" i="1"/>
  <c r="DV89" i="1"/>
  <c r="DW88" i="1"/>
  <c r="DV88" i="1"/>
  <c r="DW87" i="1"/>
  <c r="DV87" i="1"/>
  <c r="DW84" i="1"/>
  <c r="DV84" i="1"/>
  <c r="DW83" i="1"/>
  <c r="DV83" i="1"/>
  <c r="DW82" i="1"/>
  <c r="DV82" i="1"/>
  <c r="DW80" i="1"/>
  <c r="DW77" i="1"/>
  <c r="DV80" i="1"/>
  <c r="DV77" i="1"/>
  <c r="DW79" i="1"/>
  <c r="DV79" i="1"/>
  <c r="DW78" i="1"/>
  <c r="DV78" i="1"/>
  <c r="DW75" i="1"/>
  <c r="DV75" i="1"/>
  <c r="DW74" i="1"/>
  <c r="DV74" i="1"/>
  <c r="DW73" i="1"/>
  <c r="DV73" i="1"/>
  <c r="DW72" i="1"/>
  <c r="DW70" i="1"/>
  <c r="DV70" i="1"/>
  <c r="DW69" i="1"/>
  <c r="DV69" i="1"/>
  <c r="DW68" i="1"/>
  <c r="DV68" i="1"/>
  <c r="DW67" i="1"/>
  <c r="DV67" i="1"/>
  <c r="DW65" i="1"/>
  <c r="DV65" i="1"/>
  <c r="DW64" i="1"/>
  <c r="DW63" i="1"/>
  <c r="DV64" i="1"/>
  <c r="DV63" i="1"/>
  <c r="DW61" i="1"/>
  <c r="DV61" i="1"/>
  <c r="DW59" i="1"/>
  <c r="DV59" i="1"/>
  <c r="DW58" i="1"/>
  <c r="DV58" i="1"/>
  <c r="DW57" i="1"/>
  <c r="DV57" i="1"/>
  <c r="DW56" i="1"/>
  <c r="DV56" i="1"/>
  <c r="DW55" i="1"/>
  <c r="DV55" i="1"/>
  <c r="DW54" i="1"/>
  <c r="DV54" i="1"/>
  <c r="DW53" i="1"/>
  <c r="DW52" i="1"/>
  <c r="DV53" i="1"/>
  <c r="DW50" i="1"/>
  <c r="DV50" i="1"/>
  <c r="DW49" i="1"/>
  <c r="DV49" i="1"/>
  <c r="DW48" i="1"/>
  <c r="DV48" i="1"/>
  <c r="DW47" i="1"/>
  <c r="DV47" i="1"/>
  <c r="DW42" i="1"/>
  <c r="DV42" i="1"/>
  <c r="DW41" i="1"/>
  <c r="DV41" i="1"/>
  <c r="DW38" i="1"/>
  <c r="DV38" i="1"/>
  <c r="DW36" i="1"/>
  <c r="DV36" i="1"/>
  <c r="DW34" i="1"/>
  <c r="DV34" i="1"/>
  <c r="DW33" i="1"/>
  <c r="DV33" i="1"/>
  <c r="DW32" i="1"/>
  <c r="DV32" i="1"/>
  <c r="DW31" i="1"/>
  <c r="DW30" i="1"/>
  <c r="DV31" i="1"/>
  <c r="DV30" i="1"/>
  <c r="DW28" i="1"/>
  <c r="DV28" i="1"/>
  <c r="DW26" i="1"/>
  <c r="DV26" i="1"/>
  <c r="DW24" i="1"/>
  <c r="DV24" i="1"/>
  <c r="DW23" i="1"/>
  <c r="DV23" i="1"/>
  <c r="DW22" i="1"/>
  <c r="DW21" i="1"/>
  <c r="DV22" i="1"/>
  <c r="DV21" i="1"/>
  <c r="DW19" i="1"/>
  <c r="DV19" i="1"/>
  <c r="DY860" i="1"/>
  <c r="DX860" i="1"/>
  <c r="DY856" i="1"/>
  <c r="DX856" i="1"/>
  <c r="DY845" i="1"/>
  <c r="DX845" i="1"/>
  <c r="DY842" i="1"/>
  <c r="DX842" i="1"/>
  <c r="DY827" i="1"/>
  <c r="DX827" i="1"/>
  <c r="DY790" i="1"/>
  <c r="DX790" i="1"/>
  <c r="DY783" i="1"/>
  <c r="DX783" i="1"/>
  <c r="DY768" i="1"/>
  <c r="DX768" i="1"/>
  <c r="DY742" i="1"/>
  <c r="DX742" i="1"/>
  <c r="DX721" i="1"/>
  <c r="DY738" i="1"/>
  <c r="DX738" i="1"/>
  <c r="DY728" i="1"/>
  <c r="DX728" i="1"/>
  <c r="DY725" i="1"/>
  <c r="DX725" i="1"/>
  <c r="DY718" i="1"/>
  <c r="DX718" i="1"/>
  <c r="DY711" i="1"/>
  <c r="DY691" i="1"/>
  <c r="DX711" i="1"/>
  <c r="DY705" i="1"/>
  <c r="DX705" i="1"/>
  <c r="DY702" i="1"/>
  <c r="DX702" i="1"/>
  <c r="DY699" i="1"/>
  <c r="DX699" i="1"/>
  <c r="DY696" i="1"/>
  <c r="DX696" i="1"/>
  <c r="DY693" i="1"/>
  <c r="DX693" i="1"/>
  <c r="DY685" i="1"/>
  <c r="DX685" i="1"/>
  <c r="DY681" i="1"/>
  <c r="DX681" i="1"/>
  <c r="DY669" i="1"/>
  <c r="DY664" i="1"/>
  <c r="DX669" i="1"/>
  <c r="DX664" i="1"/>
  <c r="DY666" i="1"/>
  <c r="DX666" i="1"/>
  <c r="DY655" i="1"/>
  <c r="DX655" i="1"/>
  <c r="DY645" i="1"/>
  <c r="DX645" i="1"/>
  <c r="DY637" i="1"/>
  <c r="DX637" i="1"/>
  <c r="DY634" i="1"/>
  <c r="DY632" i="1"/>
  <c r="DY630" i="1"/>
  <c r="DY628" i="1"/>
  <c r="DX634" i="1"/>
  <c r="DX632" i="1"/>
  <c r="DX630" i="1"/>
  <c r="DX628" i="1"/>
  <c r="DY625" i="1"/>
  <c r="DX625" i="1"/>
  <c r="DY621" i="1"/>
  <c r="DX621" i="1"/>
  <c r="DY619" i="1"/>
  <c r="DX619" i="1"/>
  <c r="DY616" i="1"/>
  <c r="DX616" i="1"/>
  <c r="DY613" i="1"/>
  <c r="DX613" i="1"/>
  <c r="DY606" i="1"/>
  <c r="DX606" i="1"/>
  <c r="DY600" i="1"/>
  <c r="DX600" i="1"/>
  <c r="DY592" i="1"/>
  <c r="DX592" i="1"/>
  <c r="DY585" i="1"/>
  <c r="DX585" i="1"/>
  <c r="DY581" i="1"/>
  <c r="DX581" i="1"/>
  <c r="DY579" i="1"/>
  <c r="DX579" i="1"/>
  <c r="DX577" i="1"/>
  <c r="DY571" i="1"/>
  <c r="DX571" i="1"/>
  <c r="DY569" i="1"/>
  <c r="DY567" i="1"/>
  <c r="DX569" i="1"/>
  <c r="DX567" i="1"/>
  <c r="DY563" i="1"/>
  <c r="DX563" i="1"/>
  <c r="DY558" i="1"/>
  <c r="DX558" i="1"/>
  <c r="DY555" i="1"/>
  <c r="DX555" i="1"/>
  <c r="DY549" i="1"/>
  <c r="DX549" i="1"/>
  <c r="DY543" i="1"/>
  <c r="DX543" i="1"/>
  <c r="DY535" i="1"/>
  <c r="DX535" i="1"/>
  <c r="DY532" i="1"/>
  <c r="DX532" i="1"/>
  <c r="DY526" i="1"/>
  <c r="DX526" i="1"/>
  <c r="DY507" i="1"/>
  <c r="DY505" i="1"/>
  <c r="DX507" i="1"/>
  <c r="DX505" i="1"/>
  <c r="DY500" i="1"/>
  <c r="DX500" i="1"/>
  <c r="DY488" i="1"/>
  <c r="DX488" i="1"/>
  <c r="DY482" i="1"/>
  <c r="DX482" i="1"/>
  <c r="DY472" i="1"/>
  <c r="DX472" i="1"/>
  <c r="DY464" i="1"/>
  <c r="DY437" i="1"/>
  <c r="DX464" i="1"/>
  <c r="DY458" i="1"/>
  <c r="DX458" i="1"/>
  <c r="DY451" i="1"/>
  <c r="DX451" i="1"/>
  <c r="DY444" i="1"/>
  <c r="DX444" i="1"/>
  <c r="DY439" i="1"/>
  <c r="DX439" i="1"/>
  <c r="DX437" i="1"/>
  <c r="DY427" i="1"/>
  <c r="DX427" i="1"/>
  <c r="DY419" i="1"/>
  <c r="DX419" i="1"/>
  <c r="DY416" i="1"/>
  <c r="DX416" i="1"/>
  <c r="DY411" i="1"/>
  <c r="DX411" i="1"/>
  <c r="DY406" i="1"/>
  <c r="DX406" i="1"/>
  <c r="DY401" i="1"/>
  <c r="DX401" i="1"/>
  <c r="DY397" i="1"/>
  <c r="DX397" i="1"/>
  <c r="DY386" i="1"/>
  <c r="DX386" i="1"/>
  <c r="DY380" i="1"/>
  <c r="DX380" i="1"/>
  <c r="DY378" i="1"/>
  <c r="DX378" i="1"/>
  <c r="DY375" i="1"/>
  <c r="DX375" i="1"/>
  <c r="DY368" i="1"/>
  <c r="DY366" i="1"/>
  <c r="DX368" i="1"/>
  <c r="DX366" i="1"/>
  <c r="DY361" i="1"/>
  <c r="DX361" i="1"/>
  <c r="DY358" i="1"/>
  <c r="DX358" i="1"/>
  <c r="DY354" i="1"/>
  <c r="DX354" i="1"/>
  <c r="DY349" i="1"/>
  <c r="DY347" i="1"/>
  <c r="DX349" i="1"/>
  <c r="DX347" i="1"/>
  <c r="DY329" i="1"/>
  <c r="DX329" i="1"/>
  <c r="DY326" i="1"/>
  <c r="DX326" i="1"/>
  <c r="DY322" i="1"/>
  <c r="DX322" i="1"/>
  <c r="DY319" i="1"/>
  <c r="DX319" i="1"/>
  <c r="DY316" i="1"/>
  <c r="DX316" i="1"/>
  <c r="DY313" i="1"/>
  <c r="DX313" i="1"/>
  <c r="DY310" i="1"/>
  <c r="DY308" i="1"/>
  <c r="DX310" i="1"/>
  <c r="DX308" i="1"/>
  <c r="DY305" i="1"/>
  <c r="DX305" i="1"/>
  <c r="DY302" i="1"/>
  <c r="DX302" i="1"/>
  <c r="DY298" i="1"/>
  <c r="DX298" i="1"/>
  <c r="DY293" i="1"/>
  <c r="DX293" i="1"/>
  <c r="DY288" i="1"/>
  <c r="DX288" i="1"/>
  <c r="DY279" i="1"/>
  <c r="DX279" i="1"/>
  <c r="DY275" i="1"/>
  <c r="DX275" i="1"/>
  <c r="DY267" i="1"/>
  <c r="DX267" i="1"/>
  <c r="DY259" i="1"/>
  <c r="DX259" i="1"/>
  <c r="DY251" i="1"/>
  <c r="DX251" i="1"/>
  <c r="DY246" i="1"/>
  <c r="DY244" i="1"/>
  <c r="DX246" i="1"/>
  <c r="DX244" i="1"/>
  <c r="DY238" i="1"/>
  <c r="DX238" i="1"/>
  <c r="DY237" i="1"/>
  <c r="DY236" i="1"/>
  <c r="DX237" i="1"/>
  <c r="DX236" i="1"/>
  <c r="DY234" i="1"/>
  <c r="DX234" i="1"/>
  <c r="DY233" i="1"/>
  <c r="DX233" i="1"/>
  <c r="DY231" i="1"/>
  <c r="DY230" i="1"/>
  <c r="DX231" i="1"/>
  <c r="DX230" i="1"/>
  <c r="DY228" i="1"/>
  <c r="DY227" i="1"/>
  <c r="DX228" i="1"/>
  <c r="DX227" i="1"/>
  <c r="DY225" i="1"/>
  <c r="DY224" i="1"/>
  <c r="DX225" i="1"/>
  <c r="DX224" i="1"/>
  <c r="DY222" i="1"/>
  <c r="DX222" i="1"/>
  <c r="DY221" i="1"/>
  <c r="DX221" i="1"/>
  <c r="DY220" i="1"/>
  <c r="DX220" i="1"/>
  <c r="DY219" i="1"/>
  <c r="DX219" i="1"/>
  <c r="DY218" i="1"/>
  <c r="DX218" i="1"/>
  <c r="DY216" i="1"/>
  <c r="DX216" i="1"/>
  <c r="DY215" i="1"/>
  <c r="DX215" i="1"/>
  <c r="DY214" i="1"/>
  <c r="DX214" i="1"/>
  <c r="DY213" i="1"/>
  <c r="DY212" i="1"/>
  <c r="DX213" i="1"/>
  <c r="DX212" i="1"/>
  <c r="DY205" i="1"/>
  <c r="DX205" i="1"/>
  <c r="DY204" i="1"/>
  <c r="DX204" i="1"/>
  <c r="DY202" i="1"/>
  <c r="DX202" i="1"/>
  <c r="DX201" i="1"/>
  <c r="DX199" i="1"/>
  <c r="DY201" i="1"/>
  <c r="DY199" i="1"/>
  <c r="DY197" i="1"/>
  <c r="DX197" i="1"/>
  <c r="DY196" i="1"/>
  <c r="DX196" i="1"/>
  <c r="DY195" i="1"/>
  <c r="DX195" i="1"/>
  <c r="DY193" i="1"/>
  <c r="DX193" i="1"/>
  <c r="DY191" i="1"/>
  <c r="DX191" i="1"/>
  <c r="DY189" i="1"/>
  <c r="DX189" i="1"/>
  <c r="DY187" i="1"/>
  <c r="DX187" i="1"/>
  <c r="DY185" i="1"/>
  <c r="DX185" i="1"/>
  <c r="DY184" i="1"/>
  <c r="DX184" i="1"/>
  <c r="DY182" i="1"/>
  <c r="DX182" i="1"/>
  <c r="DY180" i="1"/>
  <c r="DY179" i="1"/>
  <c r="DX180" i="1"/>
  <c r="DX179" i="1"/>
  <c r="DY177" i="1"/>
  <c r="DX177" i="1"/>
  <c r="DY176" i="1"/>
  <c r="DX176" i="1"/>
  <c r="DY175" i="1"/>
  <c r="DY174" i="1"/>
  <c r="DY172" i="1"/>
  <c r="DX175" i="1"/>
  <c r="DX174" i="1"/>
  <c r="DY170" i="1"/>
  <c r="DX170" i="1"/>
  <c r="DY169" i="1"/>
  <c r="DX169" i="1"/>
  <c r="DY168" i="1"/>
  <c r="DY167" i="1"/>
  <c r="DX168" i="1"/>
  <c r="DY165" i="1"/>
  <c r="DX165" i="1"/>
  <c r="DY163" i="1"/>
  <c r="DX163" i="1"/>
  <c r="DY162" i="1"/>
  <c r="DX162" i="1"/>
  <c r="DY161" i="1"/>
  <c r="DX161" i="1"/>
  <c r="DY160" i="1"/>
  <c r="DX160" i="1"/>
  <c r="DY159" i="1"/>
  <c r="DX159" i="1"/>
  <c r="DY158" i="1"/>
  <c r="DX158" i="1"/>
  <c r="DY157" i="1"/>
  <c r="DX157" i="1"/>
  <c r="DY156" i="1"/>
  <c r="DX156" i="1"/>
  <c r="DX155" i="1"/>
  <c r="DY153" i="1"/>
  <c r="DX153" i="1"/>
  <c r="DY152" i="1"/>
  <c r="DX152" i="1"/>
  <c r="DY151" i="1"/>
  <c r="DX151" i="1"/>
  <c r="DY150" i="1"/>
  <c r="DY149" i="1"/>
  <c r="DX150" i="1"/>
  <c r="DX149" i="1"/>
  <c r="DY147" i="1"/>
  <c r="DX147" i="1"/>
  <c r="DY146" i="1"/>
  <c r="DX146" i="1"/>
  <c r="DY145" i="1"/>
  <c r="DX145" i="1"/>
  <c r="DY144" i="1"/>
  <c r="DX144" i="1"/>
  <c r="DY143" i="1"/>
  <c r="DX143" i="1"/>
  <c r="DY142" i="1"/>
  <c r="DY141" i="1"/>
  <c r="DY139" i="1"/>
  <c r="DX142" i="1"/>
  <c r="DX141" i="1"/>
  <c r="DX139" i="1"/>
  <c r="DY140" i="1"/>
  <c r="DX140" i="1"/>
  <c r="DY137" i="1"/>
  <c r="DX137" i="1"/>
  <c r="DY134" i="1"/>
  <c r="DX134" i="1"/>
  <c r="DY133" i="1"/>
  <c r="DX133" i="1"/>
  <c r="DX131" i="1"/>
  <c r="DY132" i="1"/>
  <c r="DX132" i="1"/>
  <c r="DY129" i="1"/>
  <c r="DX129" i="1"/>
  <c r="DY128" i="1"/>
  <c r="DY127" i="1"/>
  <c r="DY125" i="1"/>
  <c r="DX128" i="1"/>
  <c r="DX127" i="1"/>
  <c r="DY126" i="1"/>
  <c r="DX126" i="1"/>
  <c r="DY123" i="1"/>
  <c r="DX123" i="1"/>
  <c r="DY122" i="1"/>
  <c r="DX122" i="1"/>
  <c r="DY121" i="1"/>
  <c r="DX121" i="1"/>
  <c r="DX120" i="1"/>
  <c r="DX118" i="1"/>
  <c r="DY120" i="1"/>
  <c r="DY119" i="1"/>
  <c r="DX119" i="1"/>
  <c r="DY116" i="1"/>
  <c r="DX116" i="1"/>
  <c r="DY115" i="1"/>
  <c r="DX115" i="1"/>
  <c r="DY114" i="1"/>
  <c r="DX114" i="1"/>
  <c r="DY113" i="1"/>
  <c r="DX113" i="1"/>
  <c r="DY112" i="1"/>
  <c r="DX112" i="1"/>
  <c r="DY111" i="1"/>
  <c r="DX111" i="1"/>
  <c r="DY109" i="1"/>
  <c r="DX109" i="1"/>
  <c r="DY108" i="1"/>
  <c r="DX108" i="1"/>
  <c r="DY107" i="1"/>
  <c r="DY106" i="1"/>
  <c r="DX107" i="1"/>
  <c r="DX106" i="1"/>
  <c r="DY102" i="1"/>
  <c r="DX102" i="1"/>
  <c r="DY101" i="1"/>
  <c r="DX101" i="1"/>
  <c r="DY100" i="1"/>
  <c r="DX100" i="1"/>
  <c r="DY99" i="1"/>
  <c r="DX99" i="1"/>
  <c r="DY98" i="1"/>
  <c r="DX98" i="1"/>
  <c r="DY97" i="1"/>
  <c r="DY96" i="1"/>
  <c r="DY95" i="1"/>
  <c r="DX97" i="1"/>
  <c r="DX96" i="1"/>
  <c r="DX95" i="1"/>
  <c r="DY92" i="1"/>
  <c r="DX92" i="1"/>
  <c r="DY91" i="1"/>
  <c r="DX91" i="1"/>
  <c r="DY90" i="1"/>
  <c r="DX90" i="1"/>
  <c r="DY89" i="1"/>
  <c r="DX89" i="1"/>
  <c r="DY88" i="1"/>
  <c r="DY86" i="1"/>
  <c r="DX88" i="1"/>
  <c r="DY87" i="1"/>
  <c r="DX87" i="1"/>
  <c r="DY84" i="1"/>
  <c r="DX84" i="1"/>
  <c r="DY83" i="1"/>
  <c r="DX83" i="1"/>
  <c r="DY82" i="1"/>
  <c r="DX82" i="1"/>
  <c r="DY80" i="1"/>
  <c r="DX80" i="1"/>
  <c r="DY79" i="1"/>
  <c r="DX79" i="1"/>
  <c r="DY78" i="1"/>
  <c r="DX78" i="1"/>
  <c r="DY77" i="1"/>
  <c r="DX77" i="1"/>
  <c r="DY75" i="1"/>
  <c r="DX75" i="1"/>
  <c r="DY74" i="1"/>
  <c r="DX74" i="1"/>
  <c r="DY73" i="1"/>
  <c r="DX73" i="1"/>
  <c r="DY72" i="1"/>
  <c r="DY70" i="1"/>
  <c r="DX70" i="1"/>
  <c r="DY69" i="1"/>
  <c r="DX69" i="1"/>
  <c r="DY68" i="1"/>
  <c r="DX68" i="1"/>
  <c r="DX67" i="1"/>
  <c r="DY67" i="1"/>
  <c r="DY65" i="1"/>
  <c r="DX65" i="1"/>
  <c r="DY64" i="1"/>
  <c r="DY63" i="1"/>
  <c r="DX64" i="1"/>
  <c r="DX63" i="1"/>
  <c r="DY61" i="1"/>
  <c r="DX61" i="1"/>
  <c r="DY59" i="1"/>
  <c r="DX59" i="1"/>
  <c r="DY58" i="1"/>
  <c r="DX58" i="1"/>
  <c r="DY57" i="1"/>
  <c r="DX57" i="1"/>
  <c r="DY56" i="1"/>
  <c r="DX56" i="1"/>
  <c r="DY55" i="1"/>
  <c r="DX55" i="1"/>
  <c r="DY54" i="1"/>
  <c r="DX54" i="1"/>
  <c r="DY53" i="1"/>
  <c r="DX53" i="1"/>
  <c r="DX52" i="1"/>
  <c r="DY50" i="1"/>
  <c r="DX50" i="1"/>
  <c r="DY49" i="1"/>
  <c r="DX49" i="1"/>
  <c r="DY48" i="1"/>
  <c r="DX48" i="1"/>
  <c r="DY47" i="1"/>
  <c r="DX47" i="1"/>
  <c r="DX46" i="1"/>
  <c r="DY42" i="1"/>
  <c r="DX42" i="1"/>
  <c r="DY41" i="1"/>
  <c r="DX41" i="1"/>
  <c r="DY36" i="1"/>
  <c r="DX36" i="1"/>
  <c r="DY34" i="1"/>
  <c r="DX34" i="1"/>
  <c r="DY33" i="1"/>
  <c r="DX33" i="1"/>
  <c r="DY32" i="1"/>
  <c r="DX32" i="1"/>
  <c r="DY31" i="1"/>
  <c r="DY30" i="1"/>
  <c r="DX31" i="1"/>
  <c r="DX30" i="1"/>
  <c r="DY28" i="1"/>
  <c r="DX28" i="1"/>
  <c r="DY26" i="1"/>
  <c r="DX26" i="1"/>
  <c r="DY24" i="1"/>
  <c r="DX24" i="1"/>
  <c r="DY23" i="1"/>
  <c r="DX23" i="1"/>
  <c r="DY22" i="1"/>
  <c r="DY21" i="1"/>
  <c r="DX22" i="1"/>
  <c r="DX21" i="1"/>
  <c r="DY19" i="1"/>
  <c r="DX19" i="1"/>
  <c r="EA860" i="1"/>
  <c r="DZ860" i="1"/>
  <c r="EA856" i="1"/>
  <c r="DZ856" i="1"/>
  <c r="EA845" i="1"/>
  <c r="DZ845" i="1"/>
  <c r="EA842" i="1"/>
  <c r="DZ842" i="1"/>
  <c r="EA827" i="1"/>
  <c r="DZ827" i="1"/>
  <c r="EA790" i="1"/>
  <c r="DZ790" i="1"/>
  <c r="EA783" i="1"/>
  <c r="DZ783" i="1"/>
  <c r="EA768" i="1"/>
  <c r="DZ768" i="1"/>
  <c r="EA742" i="1"/>
  <c r="DZ742" i="1"/>
  <c r="EA738" i="1"/>
  <c r="DZ738" i="1"/>
  <c r="EA728" i="1"/>
  <c r="DZ728" i="1"/>
  <c r="EA725" i="1"/>
  <c r="DZ725" i="1"/>
  <c r="DZ721" i="1"/>
  <c r="EA718" i="1"/>
  <c r="DZ718" i="1"/>
  <c r="EA711" i="1"/>
  <c r="DZ711" i="1"/>
  <c r="EA705" i="1"/>
  <c r="DZ705" i="1"/>
  <c r="EA702" i="1"/>
  <c r="DZ702" i="1"/>
  <c r="EA699" i="1"/>
  <c r="DZ699" i="1"/>
  <c r="EA696" i="1"/>
  <c r="DZ696" i="1"/>
  <c r="EA693" i="1"/>
  <c r="DZ693" i="1"/>
  <c r="EA685" i="1"/>
  <c r="DZ685" i="1"/>
  <c r="EA681" i="1"/>
  <c r="DZ681" i="1"/>
  <c r="EA669" i="1"/>
  <c r="EA664" i="1"/>
  <c r="DZ669" i="1"/>
  <c r="DZ664" i="1"/>
  <c r="DZ662" i="1"/>
  <c r="EA666" i="1"/>
  <c r="DZ666" i="1"/>
  <c r="EA655" i="1"/>
  <c r="DZ655" i="1"/>
  <c r="EA645" i="1"/>
  <c r="DZ645" i="1"/>
  <c r="EA637" i="1"/>
  <c r="DZ637" i="1"/>
  <c r="EA634" i="1"/>
  <c r="DZ634" i="1"/>
  <c r="EA632" i="1"/>
  <c r="EA630" i="1"/>
  <c r="EA628" i="1"/>
  <c r="DZ632" i="1"/>
  <c r="DZ630" i="1"/>
  <c r="DZ628" i="1"/>
  <c r="EA625" i="1"/>
  <c r="EA619" i="1"/>
  <c r="EA609" i="1"/>
  <c r="EA575" i="1"/>
  <c r="DZ625" i="1"/>
  <c r="EA621" i="1"/>
  <c r="DZ621" i="1"/>
  <c r="DZ619" i="1"/>
  <c r="EA616" i="1"/>
  <c r="DZ616" i="1"/>
  <c r="EA613" i="1"/>
  <c r="DZ613" i="1"/>
  <c r="EA611" i="1"/>
  <c r="DZ611" i="1"/>
  <c r="EA606" i="1"/>
  <c r="DZ606" i="1"/>
  <c r="EA600" i="1"/>
  <c r="DZ600" i="1"/>
  <c r="EA592" i="1"/>
  <c r="DZ592" i="1"/>
  <c r="EA585" i="1"/>
  <c r="DZ585" i="1"/>
  <c r="EA581" i="1"/>
  <c r="EA579" i="1"/>
  <c r="EA577" i="1"/>
  <c r="DZ581" i="1"/>
  <c r="DZ579" i="1"/>
  <c r="DZ577" i="1"/>
  <c r="EA571" i="1"/>
  <c r="EA569" i="1"/>
  <c r="EA567" i="1"/>
  <c r="DZ571" i="1"/>
  <c r="DZ569" i="1"/>
  <c r="DZ567" i="1"/>
  <c r="EA563" i="1"/>
  <c r="DZ563" i="1"/>
  <c r="EA558" i="1"/>
  <c r="DZ558" i="1"/>
  <c r="EA555" i="1"/>
  <c r="DZ555" i="1"/>
  <c r="EA549" i="1"/>
  <c r="DZ549" i="1"/>
  <c r="EA543" i="1"/>
  <c r="DZ543" i="1"/>
  <c r="EA541" i="1"/>
  <c r="DZ541" i="1"/>
  <c r="EA535" i="1"/>
  <c r="DZ535" i="1"/>
  <c r="EA532" i="1"/>
  <c r="DZ532" i="1"/>
  <c r="EA526" i="1"/>
  <c r="DZ526" i="1"/>
  <c r="EA507" i="1"/>
  <c r="DZ507" i="1"/>
  <c r="EA505" i="1"/>
  <c r="DZ505" i="1"/>
  <c r="EA500" i="1"/>
  <c r="DZ500" i="1"/>
  <c r="EA488" i="1"/>
  <c r="DZ488" i="1"/>
  <c r="EA482" i="1"/>
  <c r="DZ482" i="1"/>
  <c r="EA472" i="1"/>
  <c r="DZ472" i="1"/>
  <c r="EA464" i="1"/>
  <c r="EA437" i="1"/>
  <c r="DZ464" i="1"/>
  <c r="EA458" i="1"/>
  <c r="DZ458" i="1"/>
  <c r="EA451" i="1"/>
  <c r="DZ451" i="1"/>
  <c r="EA444" i="1"/>
  <c r="DZ444" i="1"/>
  <c r="EA439" i="1"/>
  <c r="DZ439" i="1"/>
  <c r="DZ437" i="1"/>
  <c r="EA427" i="1"/>
  <c r="DZ427" i="1"/>
  <c r="EA419" i="1"/>
  <c r="DZ419" i="1"/>
  <c r="EA416" i="1"/>
  <c r="DZ416" i="1"/>
  <c r="EA411" i="1"/>
  <c r="DZ411" i="1"/>
  <c r="EA406" i="1"/>
  <c r="DZ406" i="1"/>
  <c r="EA401" i="1"/>
  <c r="DZ401" i="1"/>
  <c r="EA397" i="1"/>
  <c r="DZ397" i="1"/>
  <c r="EA386" i="1"/>
  <c r="DZ386" i="1"/>
  <c r="EA380" i="1"/>
  <c r="DZ380" i="1"/>
  <c r="EA378" i="1"/>
  <c r="DZ378" i="1"/>
  <c r="EA375" i="1"/>
  <c r="DZ375" i="1"/>
  <c r="EA368" i="1"/>
  <c r="EA366" i="1"/>
  <c r="DZ368" i="1"/>
  <c r="DZ366" i="1"/>
  <c r="DZ364" i="1"/>
  <c r="EA361" i="1"/>
  <c r="DZ361" i="1"/>
  <c r="EA358" i="1"/>
  <c r="DZ358" i="1"/>
  <c r="EA354" i="1"/>
  <c r="DZ354" i="1"/>
  <c r="EA349" i="1"/>
  <c r="EA347" i="1"/>
  <c r="DZ349" i="1"/>
  <c r="DZ347" i="1"/>
  <c r="EA329" i="1"/>
  <c r="DZ329" i="1"/>
  <c r="EA326" i="1"/>
  <c r="DZ326" i="1"/>
  <c r="EA322" i="1"/>
  <c r="DZ322" i="1"/>
  <c r="EA319" i="1"/>
  <c r="DZ319" i="1"/>
  <c r="EA316" i="1"/>
  <c r="DZ316" i="1"/>
  <c r="EA313" i="1"/>
  <c r="DZ313" i="1"/>
  <c r="EA310" i="1"/>
  <c r="DZ310" i="1"/>
  <c r="EA305" i="1"/>
  <c r="DZ305" i="1"/>
  <c r="EA302" i="1"/>
  <c r="DZ302" i="1"/>
  <c r="EA298" i="1"/>
  <c r="DZ298" i="1"/>
  <c r="EA293" i="1"/>
  <c r="DZ293" i="1"/>
  <c r="EA288" i="1"/>
  <c r="DZ288" i="1"/>
  <c r="EA279" i="1"/>
  <c r="DZ279" i="1"/>
  <c r="EA275" i="1"/>
  <c r="DZ275" i="1"/>
  <c r="EA267" i="1"/>
  <c r="DZ267" i="1"/>
  <c r="EA259" i="1"/>
  <c r="DZ259" i="1"/>
  <c r="EA251" i="1"/>
  <c r="DZ251" i="1"/>
  <c r="EA246" i="1"/>
  <c r="DZ246" i="1"/>
  <c r="EA244" i="1"/>
  <c r="DZ244" i="1"/>
  <c r="EA238" i="1"/>
  <c r="DZ238" i="1"/>
  <c r="EA237" i="1"/>
  <c r="EA236" i="1"/>
  <c r="DZ237" i="1"/>
  <c r="EA234" i="1"/>
  <c r="DZ234" i="1"/>
  <c r="EA233" i="1"/>
  <c r="DZ233" i="1"/>
  <c r="EA231" i="1"/>
  <c r="EA230" i="1"/>
  <c r="DZ231" i="1"/>
  <c r="DZ230" i="1"/>
  <c r="EA228" i="1"/>
  <c r="EA227" i="1"/>
  <c r="DZ228" i="1"/>
  <c r="DZ227" i="1"/>
  <c r="EA225" i="1"/>
  <c r="EA224" i="1"/>
  <c r="DZ225" i="1"/>
  <c r="DZ224" i="1"/>
  <c r="EA222" i="1"/>
  <c r="DZ222" i="1"/>
  <c r="EA221" i="1"/>
  <c r="DZ221" i="1"/>
  <c r="EA220" i="1"/>
  <c r="DZ220" i="1"/>
  <c r="EA219" i="1"/>
  <c r="DZ219" i="1"/>
  <c r="EA218" i="1"/>
  <c r="DZ218" i="1"/>
  <c r="EA216" i="1"/>
  <c r="DZ216" i="1"/>
  <c r="EA215" i="1"/>
  <c r="DZ215" i="1"/>
  <c r="EA214" i="1"/>
  <c r="DZ214" i="1"/>
  <c r="EA213" i="1"/>
  <c r="EA212" i="1"/>
  <c r="DZ213" i="1"/>
  <c r="DZ212" i="1"/>
  <c r="EA205" i="1"/>
  <c r="DZ205" i="1"/>
  <c r="EA204" i="1"/>
  <c r="DZ204" i="1"/>
  <c r="EA202" i="1"/>
  <c r="EA201" i="1"/>
  <c r="EA199" i="1"/>
  <c r="DZ202" i="1"/>
  <c r="DZ201" i="1"/>
  <c r="DZ199" i="1"/>
  <c r="EA197" i="1"/>
  <c r="DZ197" i="1"/>
  <c r="EA196" i="1"/>
  <c r="DZ196" i="1"/>
  <c r="EA195" i="1"/>
  <c r="DZ195" i="1"/>
  <c r="EA193" i="1"/>
  <c r="DZ193" i="1"/>
  <c r="EA191" i="1"/>
  <c r="DZ191" i="1"/>
  <c r="EA189" i="1"/>
  <c r="DZ189" i="1"/>
  <c r="EA187" i="1"/>
  <c r="DZ187" i="1"/>
  <c r="EA185" i="1"/>
  <c r="DZ185" i="1"/>
  <c r="EA184" i="1"/>
  <c r="DZ184" i="1"/>
  <c r="EA182" i="1"/>
  <c r="DZ182" i="1"/>
  <c r="EA180" i="1"/>
  <c r="EA179" i="1"/>
  <c r="DZ180" i="1"/>
  <c r="DZ179" i="1"/>
  <c r="EA177" i="1"/>
  <c r="DZ177" i="1"/>
  <c r="EA176" i="1"/>
  <c r="DZ176" i="1"/>
  <c r="EA175" i="1"/>
  <c r="EA174" i="1"/>
  <c r="EA172" i="1"/>
  <c r="DZ175" i="1"/>
  <c r="DZ174" i="1"/>
  <c r="DZ172" i="1"/>
  <c r="EA170" i="1"/>
  <c r="DZ170" i="1"/>
  <c r="EA169" i="1"/>
  <c r="DZ169" i="1"/>
  <c r="EA168" i="1"/>
  <c r="EA167" i="1"/>
  <c r="DZ168" i="1"/>
  <c r="DZ167" i="1"/>
  <c r="EA165" i="1"/>
  <c r="DZ165" i="1"/>
  <c r="EA163" i="1"/>
  <c r="DZ163" i="1"/>
  <c r="EA162" i="1"/>
  <c r="DZ162" i="1"/>
  <c r="EA161" i="1"/>
  <c r="DZ161" i="1"/>
  <c r="EA160" i="1"/>
  <c r="EA157" i="1"/>
  <c r="EA158" i="1"/>
  <c r="EA159" i="1"/>
  <c r="EA155" i="1"/>
  <c r="DZ160" i="1"/>
  <c r="DZ159" i="1"/>
  <c r="DZ158" i="1"/>
  <c r="DZ157" i="1"/>
  <c r="EA156" i="1"/>
  <c r="DZ156" i="1"/>
  <c r="DZ155" i="1"/>
  <c r="EA153" i="1"/>
  <c r="DZ153" i="1"/>
  <c r="EA152" i="1"/>
  <c r="DZ152" i="1"/>
  <c r="EA151" i="1"/>
  <c r="DZ151" i="1"/>
  <c r="EA150" i="1"/>
  <c r="EA149" i="1"/>
  <c r="DZ150" i="1"/>
  <c r="DZ149" i="1"/>
  <c r="EA147" i="1"/>
  <c r="DZ147" i="1"/>
  <c r="EA146" i="1"/>
  <c r="DZ146" i="1"/>
  <c r="EA145" i="1"/>
  <c r="DZ145" i="1"/>
  <c r="EA144" i="1"/>
  <c r="DZ144" i="1"/>
  <c r="EA143" i="1"/>
  <c r="DZ143" i="1"/>
  <c r="EA142" i="1"/>
  <c r="EA141" i="1"/>
  <c r="EA139" i="1"/>
  <c r="DZ142" i="1"/>
  <c r="DZ141" i="1"/>
  <c r="EA140" i="1"/>
  <c r="DZ140" i="1"/>
  <c r="EA137" i="1"/>
  <c r="DZ137" i="1"/>
  <c r="EA134" i="1"/>
  <c r="DZ134" i="1"/>
  <c r="EA133" i="1"/>
  <c r="EA131" i="1"/>
  <c r="DZ133" i="1"/>
  <c r="EA132" i="1"/>
  <c r="DZ132" i="1"/>
  <c r="EA129" i="1"/>
  <c r="DZ129" i="1"/>
  <c r="EA128" i="1"/>
  <c r="EA127" i="1"/>
  <c r="DZ128" i="1"/>
  <c r="DZ127" i="1"/>
  <c r="EA126" i="1"/>
  <c r="DZ126" i="1"/>
  <c r="EA123" i="1"/>
  <c r="DZ123" i="1"/>
  <c r="EA122" i="1"/>
  <c r="DZ122" i="1"/>
  <c r="EA121" i="1"/>
  <c r="EA120" i="1"/>
  <c r="EA118" i="1"/>
  <c r="DZ121" i="1"/>
  <c r="DZ120" i="1"/>
  <c r="EA119" i="1"/>
  <c r="DZ119" i="1"/>
  <c r="EA116" i="1"/>
  <c r="DZ116" i="1"/>
  <c r="EA115" i="1"/>
  <c r="DZ115" i="1"/>
  <c r="EA114" i="1"/>
  <c r="DZ114" i="1"/>
  <c r="EA113" i="1"/>
  <c r="DZ113" i="1"/>
  <c r="EA112" i="1"/>
  <c r="DZ112" i="1"/>
  <c r="EA111" i="1"/>
  <c r="DZ111" i="1"/>
  <c r="EA109" i="1"/>
  <c r="DZ109" i="1"/>
  <c r="EA108" i="1"/>
  <c r="DZ108" i="1"/>
  <c r="EA107" i="1"/>
  <c r="EA106" i="1"/>
  <c r="DZ107" i="1"/>
  <c r="DZ106" i="1"/>
  <c r="EA102" i="1"/>
  <c r="DZ102" i="1"/>
  <c r="EA101" i="1"/>
  <c r="DZ101" i="1"/>
  <c r="EA100" i="1"/>
  <c r="DZ100" i="1"/>
  <c r="EA99" i="1"/>
  <c r="DZ99" i="1"/>
  <c r="EA98" i="1"/>
  <c r="DZ98" i="1"/>
  <c r="EA97" i="1"/>
  <c r="DZ97" i="1"/>
  <c r="EA96" i="1"/>
  <c r="EA94" i="1"/>
  <c r="DZ96" i="1"/>
  <c r="EA95" i="1"/>
  <c r="DZ95" i="1"/>
  <c r="EA92" i="1"/>
  <c r="DZ92" i="1"/>
  <c r="EA91" i="1"/>
  <c r="DZ91" i="1"/>
  <c r="EA90" i="1"/>
  <c r="DZ90" i="1"/>
  <c r="EA89" i="1"/>
  <c r="DZ89" i="1"/>
  <c r="EA88" i="1"/>
  <c r="DZ88" i="1"/>
  <c r="EA87" i="1"/>
  <c r="DZ87" i="1"/>
  <c r="EA84" i="1"/>
  <c r="DZ84" i="1"/>
  <c r="EA83" i="1"/>
  <c r="DZ83" i="1"/>
  <c r="EA82" i="1"/>
  <c r="DZ82" i="1"/>
  <c r="EA80" i="1"/>
  <c r="DZ80" i="1"/>
  <c r="EA79" i="1"/>
  <c r="DZ79" i="1"/>
  <c r="EA78" i="1"/>
  <c r="DZ78" i="1"/>
  <c r="EA77" i="1"/>
  <c r="DZ77" i="1"/>
  <c r="EA75" i="1"/>
  <c r="EA72" i="1"/>
  <c r="DZ75" i="1"/>
  <c r="EA74" i="1"/>
  <c r="DZ74" i="1"/>
  <c r="EA73" i="1"/>
  <c r="DZ73" i="1"/>
  <c r="EA70" i="1"/>
  <c r="DZ70" i="1"/>
  <c r="EA69" i="1"/>
  <c r="DZ69" i="1"/>
  <c r="EA68" i="1"/>
  <c r="DZ68" i="1"/>
  <c r="EA67" i="1"/>
  <c r="DZ67" i="1"/>
  <c r="EA65" i="1"/>
  <c r="DZ65" i="1"/>
  <c r="EA64" i="1"/>
  <c r="EA63" i="1"/>
  <c r="DZ64" i="1"/>
  <c r="DZ63" i="1"/>
  <c r="EA61" i="1"/>
  <c r="DZ61" i="1"/>
  <c r="EA59" i="1"/>
  <c r="DZ59" i="1"/>
  <c r="EA58" i="1"/>
  <c r="DZ58" i="1"/>
  <c r="EA57" i="1"/>
  <c r="DZ57" i="1"/>
  <c r="EA56" i="1"/>
  <c r="DZ56" i="1"/>
  <c r="EA55" i="1"/>
  <c r="DZ55" i="1"/>
  <c r="EA54" i="1"/>
  <c r="DZ54" i="1"/>
  <c r="EA53" i="1"/>
  <c r="DZ53" i="1"/>
  <c r="DZ52" i="1"/>
  <c r="EA50" i="1"/>
  <c r="DZ50" i="1"/>
  <c r="EA49" i="1"/>
  <c r="DZ49" i="1"/>
  <c r="EA48" i="1"/>
  <c r="DZ48" i="1"/>
  <c r="EA47" i="1"/>
  <c r="EA46" i="1"/>
  <c r="DZ47" i="1"/>
  <c r="EA42" i="1"/>
  <c r="DZ42" i="1"/>
  <c r="EA41" i="1"/>
  <c r="DZ41" i="1"/>
  <c r="EA36" i="1"/>
  <c r="DZ36" i="1"/>
  <c r="EA34" i="1"/>
  <c r="DZ34" i="1"/>
  <c r="EA33" i="1"/>
  <c r="DZ33" i="1"/>
  <c r="EA32" i="1"/>
  <c r="DZ32" i="1"/>
  <c r="EA31" i="1"/>
  <c r="EA30" i="1"/>
  <c r="DZ31" i="1"/>
  <c r="DZ30" i="1"/>
  <c r="EA28" i="1"/>
  <c r="DZ28" i="1"/>
  <c r="EA26" i="1"/>
  <c r="DZ26" i="1"/>
  <c r="EA24" i="1"/>
  <c r="DZ24" i="1"/>
  <c r="EA23" i="1"/>
  <c r="DZ23" i="1"/>
  <c r="EA22" i="1"/>
  <c r="EA21" i="1"/>
  <c r="DZ22" i="1"/>
  <c r="DZ21" i="1"/>
  <c r="EA19" i="1"/>
  <c r="DZ19" i="1"/>
  <c r="EC860" i="1"/>
  <c r="EB860" i="1"/>
  <c r="EC856" i="1"/>
  <c r="EB856" i="1"/>
  <c r="EC845" i="1"/>
  <c r="EB845" i="1"/>
  <c r="EC842" i="1"/>
  <c r="EB842" i="1"/>
  <c r="EC827" i="1"/>
  <c r="EB827" i="1"/>
  <c r="EC790" i="1"/>
  <c r="EB790" i="1"/>
  <c r="EC783" i="1"/>
  <c r="EB783" i="1"/>
  <c r="EC768" i="1"/>
  <c r="EB768" i="1"/>
  <c r="EC742" i="1"/>
  <c r="EB742" i="1"/>
  <c r="EC738" i="1"/>
  <c r="EB738" i="1"/>
  <c r="EC728" i="1"/>
  <c r="EB728" i="1"/>
  <c r="EC725" i="1"/>
  <c r="EB725" i="1"/>
  <c r="EC718" i="1"/>
  <c r="EB718" i="1"/>
  <c r="EC711" i="1"/>
  <c r="EB711" i="1"/>
  <c r="EC705" i="1"/>
  <c r="EB705" i="1"/>
  <c r="EC702" i="1"/>
  <c r="EB702" i="1"/>
  <c r="EC699" i="1"/>
  <c r="EB699" i="1"/>
  <c r="EC696" i="1"/>
  <c r="EB696" i="1"/>
  <c r="EC693" i="1"/>
  <c r="EB693" i="1"/>
  <c r="EC685" i="1"/>
  <c r="EB685" i="1"/>
  <c r="EC681" i="1"/>
  <c r="EB681" i="1"/>
  <c r="EC669" i="1"/>
  <c r="EC664" i="1"/>
  <c r="EB669" i="1"/>
  <c r="EB664" i="1"/>
  <c r="EC666" i="1"/>
  <c r="EB666" i="1"/>
  <c r="EC655" i="1"/>
  <c r="EB655" i="1"/>
  <c r="EC645" i="1"/>
  <c r="EB645" i="1"/>
  <c r="EC637" i="1"/>
  <c r="EB637" i="1"/>
  <c r="EC634" i="1"/>
  <c r="EB634" i="1"/>
  <c r="EC632" i="1"/>
  <c r="EC630" i="1"/>
  <c r="EC628" i="1"/>
  <c r="EB632" i="1"/>
  <c r="EB630" i="1"/>
  <c r="EB628" i="1"/>
  <c r="EC625" i="1"/>
  <c r="EC619" i="1"/>
  <c r="EC609" i="1"/>
  <c r="EC575" i="1"/>
  <c r="EB625" i="1"/>
  <c r="EC621" i="1"/>
  <c r="EB621" i="1"/>
  <c r="EC616" i="1"/>
  <c r="EB616" i="1"/>
  <c r="EC613" i="1"/>
  <c r="EB613" i="1"/>
  <c r="EC611" i="1"/>
  <c r="EB611" i="1"/>
  <c r="EC606" i="1"/>
  <c r="EB606" i="1"/>
  <c r="EC600" i="1"/>
  <c r="EB600" i="1"/>
  <c r="EC592" i="1"/>
  <c r="EB592" i="1"/>
  <c r="EC585" i="1"/>
  <c r="EB585" i="1"/>
  <c r="EC581" i="1"/>
  <c r="EC579" i="1"/>
  <c r="EC577" i="1"/>
  <c r="EB581" i="1"/>
  <c r="EB579" i="1"/>
  <c r="EB577" i="1"/>
  <c r="EC571" i="1"/>
  <c r="EC569" i="1"/>
  <c r="EC567" i="1"/>
  <c r="EB571" i="1"/>
  <c r="EB569" i="1"/>
  <c r="EB567" i="1"/>
  <c r="EC563" i="1"/>
  <c r="EB563" i="1"/>
  <c r="EC558" i="1"/>
  <c r="EB558" i="1"/>
  <c r="EC555" i="1"/>
  <c r="EB555" i="1"/>
  <c r="EC549" i="1"/>
  <c r="EB549" i="1"/>
  <c r="EC543" i="1"/>
  <c r="EB543" i="1"/>
  <c r="EC541" i="1"/>
  <c r="EB541" i="1"/>
  <c r="EC535" i="1"/>
  <c r="EB535" i="1"/>
  <c r="EC532" i="1"/>
  <c r="EB532" i="1"/>
  <c r="EC526" i="1"/>
  <c r="EB526" i="1"/>
  <c r="EC507" i="1"/>
  <c r="EB507" i="1"/>
  <c r="EC505" i="1"/>
  <c r="EB505" i="1"/>
  <c r="EC500" i="1"/>
  <c r="EB500" i="1"/>
  <c r="EC488" i="1"/>
  <c r="EB488" i="1"/>
  <c r="EC482" i="1"/>
  <c r="EB482" i="1"/>
  <c r="EC472" i="1"/>
  <c r="EB472" i="1"/>
  <c r="EC464" i="1"/>
  <c r="EB464" i="1"/>
  <c r="EB437" i="1"/>
  <c r="EC458" i="1"/>
  <c r="EB458" i="1"/>
  <c r="EC451" i="1"/>
  <c r="EB451" i="1"/>
  <c r="EC444" i="1"/>
  <c r="EB444" i="1"/>
  <c r="EC439" i="1"/>
  <c r="EB439" i="1"/>
  <c r="EC437" i="1"/>
  <c r="EC427" i="1"/>
  <c r="EB427" i="1"/>
  <c r="EC419" i="1"/>
  <c r="EB419" i="1"/>
  <c r="EC416" i="1"/>
  <c r="EB416" i="1"/>
  <c r="EC411" i="1"/>
  <c r="EB411" i="1"/>
  <c r="EC406" i="1"/>
  <c r="EB406" i="1"/>
  <c r="EC401" i="1"/>
  <c r="EB401" i="1"/>
  <c r="EC397" i="1"/>
  <c r="EC386" i="1"/>
  <c r="EC378" i="1"/>
  <c r="EB397" i="1"/>
  <c r="EB386" i="1"/>
  <c r="EC380" i="1"/>
  <c r="EB380" i="1"/>
  <c r="EB378" i="1"/>
  <c r="EC375" i="1"/>
  <c r="EB375" i="1"/>
  <c r="EC368" i="1"/>
  <c r="EC366" i="1"/>
  <c r="EB368" i="1"/>
  <c r="EB366" i="1"/>
  <c r="EC361" i="1"/>
  <c r="EB361" i="1"/>
  <c r="EC358" i="1"/>
  <c r="EB358" i="1"/>
  <c r="EC354" i="1"/>
  <c r="EB354" i="1"/>
  <c r="EC349" i="1"/>
  <c r="EC347" i="1"/>
  <c r="EB349" i="1"/>
  <c r="EB347" i="1"/>
  <c r="EC329" i="1"/>
  <c r="EB329" i="1"/>
  <c r="EC326" i="1"/>
  <c r="EB326" i="1"/>
  <c r="EC322" i="1"/>
  <c r="EB322" i="1"/>
  <c r="EC319" i="1"/>
  <c r="EB319" i="1"/>
  <c r="EC316" i="1"/>
  <c r="EB316" i="1"/>
  <c r="EC313" i="1"/>
  <c r="EB313" i="1"/>
  <c r="EC310" i="1"/>
  <c r="EC308" i="1"/>
  <c r="EB310" i="1"/>
  <c r="EB308" i="1"/>
  <c r="EC305" i="1"/>
  <c r="EB305" i="1"/>
  <c r="EC302" i="1"/>
  <c r="EB302" i="1"/>
  <c r="EC298" i="1"/>
  <c r="EB298" i="1"/>
  <c r="EC293" i="1"/>
  <c r="EB293" i="1"/>
  <c r="EC288" i="1"/>
  <c r="EB288" i="1"/>
  <c r="EC279" i="1"/>
  <c r="EB279" i="1"/>
  <c r="EC275" i="1"/>
  <c r="EB275" i="1"/>
  <c r="EC267" i="1"/>
  <c r="EB267" i="1"/>
  <c r="EC259" i="1"/>
  <c r="EB259" i="1"/>
  <c r="EC251" i="1"/>
  <c r="EB251" i="1"/>
  <c r="EC246" i="1"/>
  <c r="EC244" i="1"/>
  <c r="EB246" i="1"/>
  <c r="EB244" i="1"/>
  <c r="EC238" i="1"/>
  <c r="EB238" i="1"/>
  <c r="EC237" i="1"/>
  <c r="EC236" i="1"/>
  <c r="EB237" i="1"/>
  <c r="EB236" i="1"/>
  <c r="EC234" i="1"/>
  <c r="EB234" i="1"/>
  <c r="EC233" i="1"/>
  <c r="EB233" i="1"/>
  <c r="EC231" i="1"/>
  <c r="EC230" i="1"/>
  <c r="EB231" i="1"/>
  <c r="EB230" i="1"/>
  <c r="EC228" i="1"/>
  <c r="EC227" i="1"/>
  <c r="EB228" i="1"/>
  <c r="EB227" i="1"/>
  <c r="EC225" i="1"/>
  <c r="EC224" i="1"/>
  <c r="EB225" i="1"/>
  <c r="EB224" i="1"/>
  <c r="EC222" i="1"/>
  <c r="EB222" i="1"/>
  <c r="EC221" i="1"/>
  <c r="EB221" i="1"/>
  <c r="EC220" i="1"/>
  <c r="EB220" i="1"/>
  <c r="EC219" i="1"/>
  <c r="EB219" i="1"/>
  <c r="EC218" i="1"/>
  <c r="EB218" i="1"/>
  <c r="EC216" i="1"/>
  <c r="EB216" i="1"/>
  <c r="EC215" i="1"/>
  <c r="EB215" i="1"/>
  <c r="EC214" i="1"/>
  <c r="EB214" i="1"/>
  <c r="EC213" i="1"/>
  <c r="EC212" i="1"/>
  <c r="EB213" i="1"/>
  <c r="EB212" i="1"/>
  <c r="EC205" i="1"/>
  <c r="EB205" i="1"/>
  <c r="EC204" i="1"/>
  <c r="EB204" i="1"/>
  <c r="EC202" i="1"/>
  <c r="EC201" i="1"/>
  <c r="EC199" i="1"/>
  <c r="EB202" i="1"/>
  <c r="EB201" i="1"/>
  <c r="EB199" i="1"/>
  <c r="EC197" i="1"/>
  <c r="EB197" i="1"/>
  <c r="EC196" i="1"/>
  <c r="EB196" i="1"/>
  <c r="EC195" i="1"/>
  <c r="EB195" i="1"/>
  <c r="EC193" i="1"/>
  <c r="EB193" i="1"/>
  <c r="EC191" i="1"/>
  <c r="EB191" i="1"/>
  <c r="EC189" i="1"/>
  <c r="EB189" i="1"/>
  <c r="EC187" i="1"/>
  <c r="EB187" i="1"/>
  <c r="EC185" i="1"/>
  <c r="EB185" i="1"/>
  <c r="EC184" i="1"/>
  <c r="EB184" i="1"/>
  <c r="EC182" i="1"/>
  <c r="EB182" i="1"/>
  <c r="EC180" i="1"/>
  <c r="EC179" i="1"/>
  <c r="EB180" i="1"/>
  <c r="EB179" i="1"/>
  <c r="EC177" i="1"/>
  <c r="EB177" i="1"/>
  <c r="EC176" i="1"/>
  <c r="EB176" i="1"/>
  <c r="EC175" i="1"/>
  <c r="EC174" i="1"/>
  <c r="EB175" i="1"/>
  <c r="EB174" i="1"/>
  <c r="EC170" i="1"/>
  <c r="EB170" i="1"/>
  <c r="EC169" i="1"/>
  <c r="EB169" i="1"/>
  <c r="EC168" i="1"/>
  <c r="EC167" i="1"/>
  <c r="EB168" i="1"/>
  <c r="EB167" i="1"/>
  <c r="EC165" i="1"/>
  <c r="EB165" i="1"/>
  <c r="EC163" i="1"/>
  <c r="EB163" i="1"/>
  <c r="EC162" i="1"/>
  <c r="EB162" i="1"/>
  <c r="EC161" i="1"/>
  <c r="EB161" i="1"/>
  <c r="EC160" i="1"/>
  <c r="EC155" i="1"/>
  <c r="EC104" i="1"/>
  <c r="EB160" i="1"/>
  <c r="EC159" i="1"/>
  <c r="EB159" i="1"/>
  <c r="EC158" i="1"/>
  <c r="EB158" i="1"/>
  <c r="EC157" i="1"/>
  <c r="EB157" i="1"/>
  <c r="EC156" i="1"/>
  <c r="EB156" i="1"/>
  <c r="EB155" i="1"/>
  <c r="EC153" i="1"/>
  <c r="EB153" i="1"/>
  <c r="EC152" i="1"/>
  <c r="EB152" i="1"/>
  <c r="EC151" i="1"/>
  <c r="EB151" i="1"/>
  <c r="EC150" i="1"/>
  <c r="EC149" i="1"/>
  <c r="EB150" i="1"/>
  <c r="EB149" i="1"/>
  <c r="EC147" i="1"/>
  <c r="EB147" i="1"/>
  <c r="EC146" i="1"/>
  <c r="EB146" i="1"/>
  <c r="EC145" i="1"/>
  <c r="EB145" i="1"/>
  <c r="EC144" i="1"/>
  <c r="EB144" i="1"/>
  <c r="EC143" i="1"/>
  <c r="EB143" i="1"/>
  <c r="EC142" i="1"/>
  <c r="EB142" i="1"/>
  <c r="EC141" i="1"/>
  <c r="EB141" i="1"/>
  <c r="EC140" i="1"/>
  <c r="EB140" i="1"/>
  <c r="EC139" i="1"/>
  <c r="EB139" i="1"/>
  <c r="EC137" i="1"/>
  <c r="EB137" i="1"/>
  <c r="EC134" i="1"/>
  <c r="EB134" i="1"/>
  <c r="EC133" i="1"/>
  <c r="EB133" i="1"/>
  <c r="EC132" i="1"/>
  <c r="EC131" i="1"/>
  <c r="EB132" i="1"/>
  <c r="EB131" i="1"/>
  <c r="EC129" i="1"/>
  <c r="EB129" i="1"/>
  <c r="EC128" i="1"/>
  <c r="EB128" i="1"/>
  <c r="EC127" i="1"/>
  <c r="EB127" i="1"/>
  <c r="EC126" i="1"/>
  <c r="EB126" i="1"/>
  <c r="EC125" i="1"/>
  <c r="EB125" i="1"/>
  <c r="EC123" i="1"/>
  <c r="EB123" i="1"/>
  <c r="EC122" i="1"/>
  <c r="EB122" i="1"/>
  <c r="EC121" i="1"/>
  <c r="EB121" i="1"/>
  <c r="EC120" i="1"/>
  <c r="EB120" i="1"/>
  <c r="EC119" i="1"/>
  <c r="EB119" i="1"/>
  <c r="EC118" i="1"/>
  <c r="EB118" i="1"/>
  <c r="EC116" i="1"/>
  <c r="EB116" i="1"/>
  <c r="EC115" i="1"/>
  <c r="EB115" i="1"/>
  <c r="EC114" i="1"/>
  <c r="EB114" i="1"/>
  <c r="EC113" i="1"/>
  <c r="EB113" i="1"/>
  <c r="EC112" i="1"/>
  <c r="EB112" i="1"/>
  <c r="EC111" i="1"/>
  <c r="EB111" i="1"/>
  <c r="EC109" i="1"/>
  <c r="EB109" i="1"/>
  <c r="EC108" i="1"/>
  <c r="EB108" i="1"/>
  <c r="EC107" i="1"/>
  <c r="EC106" i="1"/>
  <c r="EB107" i="1"/>
  <c r="EB106" i="1"/>
  <c r="EC102" i="1"/>
  <c r="EB102" i="1"/>
  <c r="EC101" i="1"/>
  <c r="EC95" i="1"/>
  <c r="EC96" i="1"/>
  <c r="EC97" i="1"/>
  <c r="EC98" i="1"/>
  <c r="EC99" i="1"/>
  <c r="EC100" i="1"/>
  <c r="EC94" i="1"/>
  <c r="EB101" i="1"/>
  <c r="EB100" i="1"/>
  <c r="EB99" i="1"/>
  <c r="EB98" i="1"/>
  <c r="EB97" i="1"/>
  <c r="EB96" i="1"/>
  <c r="EB95" i="1"/>
  <c r="EB94" i="1"/>
  <c r="EC92" i="1"/>
  <c r="EC86" i="1"/>
  <c r="EB92" i="1"/>
  <c r="EC91" i="1"/>
  <c r="EB91" i="1"/>
  <c r="EC90" i="1"/>
  <c r="EB90" i="1"/>
  <c r="EC89" i="1"/>
  <c r="EB89" i="1"/>
  <c r="EC88" i="1"/>
  <c r="EB88" i="1"/>
  <c r="EC87" i="1"/>
  <c r="EB87" i="1"/>
  <c r="EB86" i="1"/>
  <c r="EC84" i="1"/>
  <c r="EB84" i="1"/>
  <c r="EC83" i="1"/>
  <c r="EB83" i="1"/>
  <c r="EC82" i="1"/>
  <c r="EB82" i="1"/>
  <c r="EC80" i="1"/>
  <c r="EB80" i="1"/>
  <c r="EB77" i="1"/>
  <c r="EC79" i="1"/>
  <c r="EB79" i="1"/>
  <c r="EC78" i="1"/>
  <c r="EB78" i="1"/>
  <c r="EC77" i="1"/>
  <c r="EC75" i="1"/>
  <c r="EB75" i="1"/>
  <c r="EC74" i="1"/>
  <c r="EB74" i="1"/>
  <c r="EC73" i="1"/>
  <c r="EB73" i="1"/>
  <c r="EB72" i="1"/>
  <c r="EC70" i="1"/>
  <c r="EB70" i="1"/>
  <c r="EC69" i="1"/>
  <c r="EB69" i="1"/>
  <c r="EC68" i="1"/>
  <c r="EC67" i="1"/>
  <c r="EB68" i="1"/>
  <c r="EB67" i="1"/>
  <c r="EC65" i="1"/>
  <c r="EB65" i="1"/>
  <c r="EC64" i="1"/>
  <c r="EC63" i="1"/>
  <c r="EB64" i="1"/>
  <c r="EB63" i="1"/>
  <c r="EC61" i="1"/>
  <c r="EB61" i="1"/>
  <c r="EC59" i="1"/>
  <c r="EB59" i="1"/>
  <c r="EC58" i="1"/>
  <c r="EB58" i="1"/>
  <c r="EC57" i="1"/>
  <c r="EB57" i="1"/>
  <c r="EC56" i="1"/>
  <c r="EB56" i="1"/>
  <c r="EC55" i="1"/>
  <c r="EB55" i="1"/>
  <c r="EC54" i="1"/>
  <c r="EB54" i="1"/>
  <c r="EC53" i="1"/>
  <c r="EC52" i="1"/>
  <c r="EB53" i="1"/>
  <c r="EC50" i="1"/>
  <c r="EB50" i="1"/>
  <c r="EC49" i="1"/>
  <c r="EB49" i="1"/>
  <c r="EC48" i="1"/>
  <c r="EB48" i="1"/>
  <c r="EC47" i="1"/>
  <c r="EC46" i="1"/>
  <c r="EB47" i="1"/>
  <c r="EB46" i="1"/>
  <c r="EC42" i="1"/>
  <c r="EB42" i="1"/>
  <c r="EC41" i="1"/>
  <c r="EB41" i="1"/>
  <c r="EB38" i="1"/>
  <c r="EC36" i="1"/>
  <c r="EB36" i="1"/>
  <c r="EC34" i="1"/>
  <c r="EB34" i="1"/>
  <c r="EC33" i="1"/>
  <c r="EB33" i="1"/>
  <c r="EC32" i="1"/>
  <c r="EB32" i="1"/>
  <c r="EC31" i="1"/>
  <c r="EC30" i="1"/>
  <c r="EB31" i="1"/>
  <c r="EB30" i="1"/>
  <c r="EC28" i="1"/>
  <c r="EC14" i="1"/>
  <c r="EB28" i="1"/>
  <c r="EC26" i="1"/>
  <c r="EB26" i="1"/>
  <c r="EC24" i="1"/>
  <c r="EB24" i="1"/>
  <c r="EC23" i="1"/>
  <c r="EB23" i="1"/>
  <c r="EC22" i="1"/>
  <c r="EC21" i="1"/>
  <c r="EB22" i="1"/>
  <c r="EB21" i="1"/>
  <c r="EC19" i="1"/>
  <c r="EB19" i="1"/>
  <c r="EE860" i="1"/>
  <c r="ED860" i="1"/>
  <c r="EE856" i="1"/>
  <c r="ED856" i="1"/>
  <c r="EE845" i="1"/>
  <c r="ED845" i="1"/>
  <c r="EE842" i="1"/>
  <c r="ED842" i="1"/>
  <c r="EE827" i="1"/>
  <c r="ED827" i="1"/>
  <c r="EE790" i="1"/>
  <c r="ED790" i="1"/>
  <c r="EE783" i="1"/>
  <c r="ED783" i="1"/>
  <c r="EE768" i="1"/>
  <c r="ED768" i="1"/>
  <c r="EE742" i="1"/>
  <c r="ED742" i="1"/>
  <c r="EE738" i="1"/>
  <c r="ED738" i="1"/>
  <c r="EE728" i="1"/>
  <c r="ED728" i="1"/>
  <c r="EE725" i="1"/>
  <c r="ED725" i="1"/>
  <c r="EE718" i="1"/>
  <c r="ED718" i="1"/>
  <c r="EE711" i="1"/>
  <c r="ED711" i="1"/>
  <c r="EE705" i="1"/>
  <c r="ED705" i="1"/>
  <c r="EE702" i="1"/>
  <c r="ED702" i="1"/>
  <c r="EE699" i="1"/>
  <c r="ED699" i="1"/>
  <c r="EE696" i="1"/>
  <c r="ED696" i="1"/>
  <c r="EE693" i="1"/>
  <c r="ED693" i="1"/>
  <c r="EE685" i="1"/>
  <c r="ED685" i="1"/>
  <c r="EE681" i="1"/>
  <c r="ED681" i="1"/>
  <c r="EE669" i="1"/>
  <c r="EE664" i="1"/>
  <c r="ED669" i="1"/>
  <c r="ED664" i="1"/>
  <c r="EE666" i="1"/>
  <c r="ED666" i="1"/>
  <c r="EE655" i="1"/>
  <c r="ED655" i="1"/>
  <c r="EE645" i="1"/>
  <c r="ED645" i="1"/>
  <c r="EE637" i="1"/>
  <c r="ED637" i="1"/>
  <c r="EE634" i="1"/>
  <c r="EE632" i="1"/>
  <c r="EE630" i="1"/>
  <c r="EE628" i="1"/>
  <c r="ED634" i="1"/>
  <c r="ED632" i="1"/>
  <c r="ED630" i="1"/>
  <c r="ED628" i="1"/>
  <c r="EE625" i="1"/>
  <c r="ED625" i="1"/>
  <c r="EE621" i="1"/>
  <c r="ED621" i="1"/>
  <c r="EE619" i="1"/>
  <c r="ED619" i="1"/>
  <c r="EE616" i="1"/>
  <c r="ED616" i="1"/>
  <c r="EE613" i="1"/>
  <c r="ED613" i="1"/>
  <c r="EE606" i="1"/>
  <c r="ED606" i="1"/>
  <c r="EE600" i="1"/>
  <c r="ED600" i="1"/>
  <c r="EE592" i="1"/>
  <c r="ED592" i="1"/>
  <c r="EE585" i="1"/>
  <c r="ED585" i="1"/>
  <c r="EE581" i="1"/>
  <c r="ED581" i="1"/>
  <c r="EE579" i="1"/>
  <c r="EE577" i="1"/>
  <c r="EE575" i="1"/>
  <c r="ED579" i="1"/>
  <c r="ED577" i="1"/>
  <c r="EE571" i="1"/>
  <c r="ED571" i="1"/>
  <c r="EE569" i="1"/>
  <c r="EE567" i="1"/>
  <c r="ED569" i="1"/>
  <c r="ED567" i="1"/>
  <c r="EE563" i="1"/>
  <c r="ED563" i="1"/>
  <c r="EE558" i="1"/>
  <c r="ED558" i="1"/>
  <c r="EE555" i="1"/>
  <c r="ED555" i="1"/>
  <c r="EE549" i="1"/>
  <c r="ED549" i="1"/>
  <c r="EE543" i="1"/>
  <c r="ED543" i="1"/>
  <c r="EE535" i="1"/>
  <c r="ED535" i="1"/>
  <c r="EE532" i="1"/>
  <c r="ED532" i="1"/>
  <c r="EE526" i="1"/>
  <c r="ED526" i="1"/>
  <c r="EE507" i="1"/>
  <c r="EE505" i="1"/>
  <c r="ED507" i="1"/>
  <c r="ED505" i="1"/>
  <c r="EE500" i="1"/>
  <c r="ED500" i="1"/>
  <c r="EE488" i="1"/>
  <c r="ED488" i="1"/>
  <c r="EE482" i="1"/>
  <c r="ED482" i="1"/>
  <c r="EE472" i="1"/>
  <c r="ED472" i="1"/>
  <c r="EE464" i="1"/>
  <c r="ED464" i="1"/>
  <c r="EE458" i="1"/>
  <c r="ED458" i="1"/>
  <c r="EE451" i="1"/>
  <c r="ED451" i="1"/>
  <c r="EE444" i="1"/>
  <c r="ED444" i="1"/>
  <c r="EE439" i="1"/>
  <c r="EE437" i="1"/>
  <c r="ED439" i="1"/>
  <c r="ED437" i="1"/>
  <c r="EE427" i="1"/>
  <c r="ED427" i="1"/>
  <c r="EE419" i="1"/>
  <c r="ED419" i="1"/>
  <c r="EE416" i="1"/>
  <c r="ED416" i="1"/>
  <c r="EE411" i="1"/>
  <c r="ED411" i="1"/>
  <c r="EE406" i="1"/>
  <c r="ED406" i="1"/>
  <c r="EE401" i="1"/>
  <c r="ED401" i="1"/>
  <c r="EE397" i="1"/>
  <c r="ED397" i="1"/>
  <c r="EE386" i="1"/>
  <c r="ED386" i="1"/>
  <c r="EE380" i="1"/>
  <c r="ED380" i="1"/>
  <c r="EE378" i="1"/>
  <c r="ED378" i="1"/>
  <c r="EE375" i="1"/>
  <c r="ED375" i="1"/>
  <c r="EE368" i="1"/>
  <c r="EE366" i="1"/>
  <c r="ED368" i="1"/>
  <c r="ED366" i="1"/>
  <c r="EE361" i="1"/>
  <c r="ED361" i="1"/>
  <c r="EE358" i="1"/>
  <c r="ED358" i="1"/>
  <c r="EE354" i="1"/>
  <c r="ED354" i="1"/>
  <c r="EE349" i="1"/>
  <c r="EE347" i="1"/>
  <c r="ED349" i="1"/>
  <c r="ED347" i="1"/>
  <c r="EE329" i="1"/>
  <c r="ED329" i="1"/>
  <c r="EE326" i="1"/>
  <c r="ED326" i="1"/>
  <c r="EE322" i="1"/>
  <c r="ED322" i="1"/>
  <c r="EE319" i="1"/>
  <c r="ED319" i="1"/>
  <c r="EE316" i="1"/>
  <c r="ED316" i="1"/>
  <c r="EE313" i="1"/>
  <c r="ED313" i="1"/>
  <c r="EE310" i="1"/>
  <c r="EE308" i="1"/>
  <c r="EE242" i="1"/>
  <c r="EE364" i="1"/>
  <c r="EE240" i="1"/>
  <c r="ED310" i="1"/>
  <c r="ED308" i="1"/>
  <c r="EE305" i="1"/>
  <c r="ED305" i="1"/>
  <c r="EE302" i="1"/>
  <c r="ED302" i="1"/>
  <c r="EE298" i="1"/>
  <c r="ED298" i="1"/>
  <c r="EE293" i="1"/>
  <c r="ED293" i="1"/>
  <c r="EE288" i="1"/>
  <c r="ED288" i="1"/>
  <c r="EE279" i="1"/>
  <c r="ED279" i="1"/>
  <c r="EE275" i="1"/>
  <c r="ED275" i="1"/>
  <c r="EE267" i="1"/>
  <c r="ED267" i="1"/>
  <c r="EE259" i="1"/>
  <c r="ED259" i="1"/>
  <c r="EE251" i="1"/>
  <c r="ED251" i="1"/>
  <c r="EE246" i="1"/>
  <c r="ED246" i="1"/>
  <c r="EE244" i="1"/>
  <c r="ED244" i="1"/>
  <c r="EE238" i="1"/>
  <c r="ED238" i="1"/>
  <c r="EE237" i="1"/>
  <c r="EE236" i="1"/>
  <c r="ED237" i="1"/>
  <c r="ED236" i="1"/>
  <c r="EE234" i="1"/>
  <c r="ED234" i="1"/>
  <c r="EE233" i="1"/>
  <c r="ED233" i="1"/>
  <c r="EE231" i="1"/>
  <c r="EE230" i="1"/>
  <c r="ED231" i="1"/>
  <c r="ED230" i="1"/>
  <c r="EE228" i="1"/>
  <c r="EE227" i="1"/>
  <c r="ED228" i="1"/>
  <c r="ED227" i="1"/>
  <c r="EE225" i="1"/>
  <c r="EE224" i="1"/>
  <c r="ED225" i="1"/>
  <c r="ED224" i="1"/>
  <c r="EE222" i="1"/>
  <c r="ED222" i="1"/>
  <c r="EE221" i="1"/>
  <c r="ED221" i="1"/>
  <c r="EE220" i="1"/>
  <c r="ED220" i="1"/>
  <c r="EE219" i="1"/>
  <c r="ED219" i="1"/>
  <c r="EE218" i="1"/>
  <c r="ED218" i="1"/>
  <c r="EE216" i="1"/>
  <c r="ED216" i="1"/>
  <c r="EE215" i="1"/>
  <c r="ED215" i="1"/>
  <c r="EE214" i="1"/>
  <c r="ED214" i="1"/>
  <c r="EE213" i="1"/>
  <c r="EE212" i="1"/>
  <c r="ED213" i="1"/>
  <c r="ED212" i="1"/>
  <c r="EE205" i="1"/>
  <c r="ED205" i="1"/>
  <c r="EE204" i="1"/>
  <c r="ED204" i="1"/>
  <c r="EE202" i="1"/>
  <c r="EE201" i="1"/>
  <c r="EE199" i="1"/>
  <c r="ED202" i="1"/>
  <c r="ED201" i="1"/>
  <c r="ED199" i="1"/>
  <c r="EE197" i="1"/>
  <c r="ED197" i="1"/>
  <c r="EE196" i="1"/>
  <c r="ED196" i="1"/>
  <c r="EE195" i="1"/>
  <c r="ED195" i="1"/>
  <c r="EE193" i="1"/>
  <c r="ED193" i="1"/>
  <c r="EE191" i="1"/>
  <c r="ED191" i="1"/>
  <c r="EE189" i="1"/>
  <c r="ED189" i="1"/>
  <c r="EE187" i="1"/>
  <c r="ED187" i="1"/>
  <c r="EE185" i="1"/>
  <c r="ED185" i="1"/>
  <c r="EE184" i="1"/>
  <c r="ED184" i="1"/>
  <c r="EE182" i="1"/>
  <c r="ED182" i="1"/>
  <c r="EE180" i="1"/>
  <c r="EE179" i="1"/>
  <c r="ED180" i="1"/>
  <c r="ED179" i="1"/>
  <c r="EE177" i="1"/>
  <c r="ED177" i="1"/>
  <c r="EE176" i="1"/>
  <c r="ED176" i="1"/>
  <c r="EE175" i="1"/>
  <c r="EE174" i="1"/>
  <c r="ED175" i="1"/>
  <c r="ED174" i="1"/>
  <c r="EE170" i="1"/>
  <c r="ED170" i="1"/>
  <c r="EE169" i="1"/>
  <c r="ED169" i="1"/>
  <c r="EE168" i="1"/>
  <c r="EE167" i="1"/>
  <c r="ED168" i="1"/>
  <c r="ED167" i="1"/>
  <c r="EE165" i="1"/>
  <c r="ED165" i="1"/>
  <c r="EE163" i="1"/>
  <c r="ED163" i="1"/>
  <c r="EE162" i="1"/>
  <c r="ED162" i="1"/>
  <c r="EE161" i="1"/>
  <c r="ED161" i="1"/>
  <c r="EE160" i="1"/>
  <c r="EE155" i="1"/>
  <c r="EE104" i="1"/>
  <c r="ED160" i="1"/>
  <c r="EE159" i="1"/>
  <c r="ED159" i="1"/>
  <c r="EE158" i="1"/>
  <c r="ED158" i="1"/>
  <c r="EE157" i="1"/>
  <c r="ED157" i="1"/>
  <c r="EE156" i="1"/>
  <c r="ED156" i="1"/>
  <c r="ED155" i="1"/>
  <c r="EE153" i="1"/>
  <c r="EE149" i="1"/>
  <c r="ED153" i="1"/>
  <c r="EE152" i="1"/>
  <c r="ED152" i="1"/>
  <c r="EE151" i="1"/>
  <c r="ED151" i="1"/>
  <c r="EE150" i="1"/>
  <c r="ED150" i="1"/>
  <c r="ED149" i="1"/>
  <c r="EE147" i="1"/>
  <c r="ED147" i="1"/>
  <c r="EE146" i="1"/>
  <c r="ED146" i="1"/>
  <c r="EE145" i="1"/>
  <c r="ED145" i="1"/>
  <c r="EE144" i="1"/>
  <c r="ED144" i="1"/>
  <c r="EE143" i="1"/>
  <c r="ED143" i="1"/>
  <c r="EE142" i="1"/>
  <c r="ED142" i="1"/>
  <c r="EE141" i="1"/>
  <c r="ED141" i="1"/>
  <c r="EE140" i="1"/>
  <c r="ED140" i="1"/>
  <c r="EE139" i="1"/>
  <c r="ED139" i="1"/>
  <c r="EE137" i="1"/>
  <c r="ED137" i="1"/>
  <c r="EE134" i="1"/>
  <c r="ED134" i="1"/>
  <c r="EE133" i="1"/>
  <c r="ED133" i="1"/>
  <c r="EE132" i="1"/>
  <c r="ED132" i="1"/>
  <c r="ED131" i="1"/>
  <c r="EE129" i="1"/>
  <c r="ED129" i="1"/>
  <c r="EE128" i="1"/>
  <c r="ED128" i="1"/>
  <c r="EE127" i="1"/>
  <c r="ED127" i="1"/>
  <c r="EE126" i="1"/>
  <c r="ED126" i="1"/>
  <c r="EE125" i="1"/>
  <c r="ED125" i="1"/>
  <c r="EE123" i="1"/>
  <c r="ED123" i="1"/>
  <c r="EE122" i="1"/>
  <c r="ED122" i="1"/>
  <c r="EE121" i="1"/>
  <c r="ED121" i="1"/>
  <c r="EE120" i="1"/>
  <c r="ED120" i="1"/>
  <c r="EE119" i="1"/>
  <c r="ED119" i="1"/>
  <c r="EE118" i="1"/>
  <c r="ED118" i="1"/>
  <c r="EE116" i="1"/>
  <c r="ED116" i="1"/>
  <c r="EE115" i="1"/>
  <c r="ED115" i="1"/>
  <c r="EE114" i="1"/>
  <c r="ED114" i="1"/>
  <c r="EE113" i="1"/>
  <c r="ED113" i="1"/>
  <c r="EE112" i="1"/>
  <c r="ED112" i="1"/>
  <c r="EE111" i="1"/>
  <c r="ED111" i="1"/>
  <c r="EE109" i="1"/>
  <c r="ED109" i="1"/>
  <c r="EE108" i="1"/>
  <c r="ED108" i="1"/>
  <c r="EE107" i="1"/>
  <c r="EE106" i="1"/>
  <c r="ED107" i="1"/>
  <c r="ED106" i="1"/>
  <c r="EE102" i="1"/>
  <c r="ED102" i="1"/>
  <c r="EE101" i="1"/>
  <c r="EE95" i="1"/>
  <c r="EE96" i="1"/>
  <c r="EE97" i="1"/>
  <c r="EE98" i="1"/>
  <c r="EE99" i="1"/>
  <c r="EE100" i="1"/>
  <c r="EE94" i="1"/>
  <c r="ED101" i="1"/>
  <c r="ED100" i="1"/>
  <c r="ED99" i="1"/>
  <c r="ED98" i="1"/>
  <c r="ED97" i="1"/>
  <c r="ED96" i="1"/>
  <c r="ED95" i="1"/>
  <c r="ED94" i="1"/>
  <c r="EE92" i="1"/>
  <c r="ED92" i="1"/>
  <c r="EE91" i="1"/>
  <c r="ED91" i="1"/>
  <c r="EE90" i="1"/>
  <c r="ED90" i="1"/>
  <c r="EE89" i="1"/>
  <c r="ED89" i="1"/>
  <c r="EE88" i="1"/>
  <c r="ED88" i="1"/>
  <c r="EE87" i="1"/>
  <c r="EE86" i="1"/>
  <c r="ED87" i="1"/>
  <c r="ED86" i="1"/>
  <c r="EE84" i="1"/>
  <c r="ED84" i="1"/>
  <c r="EE83" i="1"/>
  <c r="ED83" i="1"/>
  <c r="EE82" i="1"/>
  <c r="ED82" i="1"/>
  <c r="EE80" i="1"/>
  <c r="ED80" i="1"/>
  <c r="EE79" i="1"/>
  <c r="ED79" i="1"/>
  <c r="EE78" i="1"/>
  <c r="ED78" i="1"/>
  <c r="EE77" i="1"/>
  <c r="ED77" i="1"/>
  <c r="EE75" i="1"/>
  <c r="ED75" i="1"/>
  <c r="EE74" i="1"/>
  <c r="ED74" i="1"/>
  <c r="EE73" i="1"/>
  <c r="ED73" i="1"/>
  <c r="EE70" i="1"/>
  <c r="ED70" i="1"/>
  <c r="EE69" i="1"/>
  <c r="ED69" i="1"/>
  <c r="EE68" i="1"/>
  <c r="EE67" i="1"/>
  <c r="ED68" i="1"/>
  <c r="EE65" i="1"/>
  <c r="ED65" i="1"/>
  <c r="EE64" i="1"/>
  <c r="EE63" i="1"/>
  <c r="ED64" i="1"/>
  <c r="ED63" i="1"/>
  <c r="EE61" i="1"/>
  <c r="ED61" i="1"/>
  <c r="EE59" i="1"/>
  <c r="ED59" i="1"/>
  <c r="EE58" i="1"/>
  <c r="ED58" i="1"/>
  <c r="EE57" i="1"/>
  <c r="ED57" i="1"/>
  <c r="EE56" i="1"/>
  <c r="ED56" i="1"/>
  <c r="EE55" i="1"/>
  <c r="ED55" i="1"/>
  <c r="EE54" i="1"/>
  <c r="ED54" i="1"/>
  <c r="EE53" i="1"/>
  <c r="EE52" i="1"/>
  <c r="ED53" i="1"/>
  <c r="ED52" i="1"/>
  <c r="EE50" i="1"/>
  <c r="ED50" i="1"/>
  <c r="EE49" i="1"/>
  <c r="ED49" i="1"/>
  <c r="EE48" i="1"/>
  <c r="ED48" i="1"/>
  <c r="EE47" i="1"/>
  <c r="EE46" i="1"/>
  <c r="ED47" i="1"/>
  <c r="ED46" i="1"/>
  <c r="EE42" i="1"/>
  <c r="ED42" i="1"/>
  <c r="EE41" i="1"/>
  <c r="ED41" i="1"/>
  <c r="EE36" i="1"/>
  <c r="ED36" i="1"/>
  <c r="EE34" i="1"/>
  <c r="ED34" i="1"/>
  <c r="EE33" i="1"/>
  <c r="ED33" i="1"/>
  <c r="EE32" i="1"/>
  <c r="ED32" i="1"/>
  <c r="EE31" i="1"/>
  <c r="EE30" i="1"/>
  <c r="ED31" i="1"/>
  <c r="ED30" i="1"/>
  <c r="EE28" i="1"/>
  <c r="EE14" i="1"/>
  <c r="ED28" i="1"/>
  <c r="EE26" i="1"/>
  <c r="ED26" i="1"/>
  <c r="EE24" i="1"/>
  <c r="ED24" i="1"/>
  <c r="EE23" i="1"/>
  <c r="ED23" i="1"/>
  <c r="EE22" i="1"/>
  <c r="EE21" i="1"/>
  <c r="ED22" i="1"/>
  <c r="ED21" i="1"/>
  <c r="EE19" i="1"/>
  <c r="ED19" i="1"/>
  <c r="EG860" i="1"/>
  <c r="EF860" i="1"/>
  <c r="EG856" i="1"/>
  <c r="EF856" i="1"/>
  <c r="EG845" i="1"/>
  <c r="EF845" i="1"/>
  <c r="EG842" i="1"/>
  <c r="EF842" i="1"/>
  <c r="EG827" i="1"/>
  <c r="EF827" i="1"/>
  <c r="EG790" i="1"/>
  <c r="EF790" i="1"/>
  <c r="EG783" i="1"/>
  <c r="EF783" i="1"/>
  <c r="EG768" i="1"/>
  <c r="EF768" i="1"/>
  <c r="EG742" i="1"/>
  <c r="EF742" i="1"/>
  <c r="EG738" i="1"/>
  <c r="EF738" i="1"/>
  <c r="EG728" i="1"/>
  <c r="EF728" i="1"/>
  <c r="EG725" i="1"/>
  <c r="EF725" i="1"/>
  <c r="EF721" i="1"/>
  <c r="EG718" i="1"/>
  <c r="EF718" i="1"/>
  <c r="EG711" i="1"/>
  <c r="EF711" i="1"/>
  <c r="EG705" i="1"/>
  <c r="EF705" i="1"/>
  <c r="EG702" i="1"/>
  <c r="EF702" i="1"/>
  <c r="EG699" i="1"/>
  <c r="EF699" i="1"/>
  <c r="EG696" i="1"/>
  <c r="EF696" i="1"/>
  <c r="EG693" i="1"/>
  <c r="EF693" i="1"/>
  <c r="EG685" i="1"/>
  <c r="EF685" i="1"/>
  <c r="EG681" i="1"/>
  <c r="EF681" i="1"/>
  <c r="EG669" i="1"/>
  <c r="EG664" i="1"/>
  <c r="EF669" i="1"/>
  <c r="EF664" i="1"/>
  <c r="EF662" i="1"/>
  <c r="EG666" i="1"/>
  <c r="EF666" i="1"/>
  <c r="EG655" i="1"/>
  <c r="EF655" i="1"/>
  <c r="EG645" i="1"/>
  <c r="EF645" i="1"/>
  <c r="EG637" i="1"/>
  <c r="EF637" i="1"/>
  <c r="EG634" i="1"/>
  <c r="EF634" i="1"/>
  <c r="EG632" i="1"/>
  <c r="EG630" i="1"/>
  <c r="EG628" i="1"/>
  <c r="EF632" i="1"/>
  <c r="EF630" i="1"/>
  <c r="EF628" i="1"/>
  <c r="EG625" i="1"/>
  <c r="EF625" i="1"/>
  <c r="EG621" i="1"/>
  <c r="EG619" i="1"/>
  <c r="EF621" i="1"/>
  <c r="EF619" i="1"/>
  <c r="EG616" i="1"/>
  <c r="EF616" i="1"/>
  <c r="EG613" i="1"/>
  <c r="EF613" i="1"/>
  <c r="EG611" i="1"/>
  <c r="EF611" i="1"/>
  <c r="EG606" i="1"/>
  <c r="EF606" i="1"/>
  <c r="EG600" i="1"/>
  <c r="EF600" i="1"/>
  <c r="EF579" i="1"/>
  <c r="EF577" i="1"/>
  <c r="EF575" i="1"/>
  <c r="EG592" i="1"/>
  <c r="EF592" i="1"/>
  <c r="EG585" i="1"/>
  <c r="EF585" i="1"/>
  <c r="EG581" i="1"/>
  <c r="EG579" i="1"/>
  <c r="EG577" i="1"/>
  <c r="EF581" i="1"/>
  <c r="EG571" i="1"/>
  <c r="EG569" i="1"/>
  <c r="EG567" i="1"/>
  <c r="EF571" i="1"/>
  <c r="EF569" i="1"/>
  <c r="EF567" i="1"/>
  <c r="EG563" i="1"/>
  <c r="EF563" i="1"/>
  <c r="EG558" i="1"/>
  <c r="EF558" i="1"/>
  <c r="EG555" i="1"/>
  <c r="EF555" i="1"/>
  <c r="EG549" i="1"/>
  <c r="EF549" i="1"/>
  <c r="EG543" i="1"/>
  <c r="EF543" i="1"/>
  <c r="EG541" i="1"/>
  <c r="EF541" i="1"/>
  <c r="EG535" i="1"/>
  <c r="EF535" i="1"/>
  <c r="EG532" i="1"/>
  <c r="EF532" i="1"/>
  <c r="EG526" i="1"/>
  <c r="EF526" i="1"/>
  <c r="EG507" i="1"/>
  <c r="EF507" i="1"/>
  <c r="EG505" i="1"/>
  <c r="EF505" i="1"/>
  <c r="EG500" i="1"/>
  <c r="EF500" i="1"/>
  <c r="EG488" i="1"/>
  <c r="EF488" i="1"/>
  <c r="EG482" i="1"/>
  <c r="EF482" i="1"/>
  <c r="EG472" i="1"/>
  <c r="EF472" i="1"/>
  <c r="EG464" i="1"/>
  <c r="EG437" i="1"/>
  <c r="EF464" i="1"/>
  <c r="EG458" i="1"/>
  <c r="EF458" i="1"/>
  <c r="EG451" i="1"/>
  <c r="EF451" i="1"/>
  <c r="EG444" i="1"/>
  <c r="EF444" i="1"/>
  <c r="EG439" i="1"/>
  <c r="EF439" i="1"/>
  <c r="EF437" i="1"/>
  <c r="EG427" i="1"/>
  <c r="EF427" i="1"/>
  <c r="EG419" i="1"/>
  <c r="EF419" i="1"/>
  <c r="EG416" i="1"/>
  <c r="EF416" i="1"/>
  <c r="EG411" i="1"/>
  <c r="EF411" i="1"/>
  <c r="EG406" i="1"/>
  <c r="EF406" i="1"/>
  <c r="EG401" i="1"/>
  <c r="EF401" i="1"/>
  <c r="EG397" i="1"/>
  <c r="EF397" i="1"/>
  <c r="EG386" i="1"/>
  <c r="EF386" i="1"/>
  <c r="EG380" i="1"/>
  <c r="EF380" i="1"/>
  <c r="EG378" i="1"/>
  <c r="EF378" i="1"/>
  <c r="EG375" i="1"/>
  <c r="EF375" i="1"/>
  <c r="EG368" i="1"/>
  <c r="EG366" i="1"/>
  <c r="EF368" i="1"/>
  <c r="EF366" i="1"/>
  <c r="EF364" i="1"/>
  <c r="EG361" i="1"/>
  <c r="EF361" i="1"/>
  <c r="EG358" i="1"/>
  <c r="EF358" i="1"/>
  <c r="EG354" i="1"/>
  <c r="EF354" i="1"/>
  <c r="EG349" i="1"/>
  <c r="EF349" i="1"/>
  <c r="EF347" i="1"/>
  <c r="EG329" i="1"/>
  <c r="EF329" i="1"/>
  <c r="EG326" i="1"/>
  <c r="EF326" i="1"/>
  <c r="EG322" i="1"/>
  <c r="EF322" i="1"/>
  <c r="EG319" i="1"/>
  <c r="EF319" i="1"/>
  <c r="EG316" i="1"/>
  <c r="EF316" i="1"/>
  <c r="EG313" i="1"/>
  <c r="EF313" i="1"/>
  <c r="EG310" i="1"/>
  <c r="EG308" i="1"/>
  <c r="EF310" i="1"/>
  <c r="EF308" i="1"/>
  <c r="EG305" i="1"/>
  <c r="EF305" i="1"/>
  <c r="EG302" i="1"/>
  <c r="EF302" i="1"/>
  <c r="EG298" i="1"/>
  <c r="EF298" i="1"/>
  <c r="EG293" i="1"/>
  <c r="EF293" i="1"/>
  <c r="EG288" i="1"/>
  <c r="EF288" i="1"/>
  <c r="EG279" i="1"/>
  <c r="EF279" i="1"/>
  <c r="EG275" i="1"/>
  <c r="EF275" i="1"/>
  <c r="EG267" i="1"/>
  <c r="EF267" i="1"/>
  <c r="EF244" i="1"/>
  <c r="EG259" i="1"/>
  <c r="EF259" i="1"/>
  <c r="EG251" i="1"/>
  <c r="EF251" i="1"/>
  <c r="EG246" i="1"/>
  <c r="EG244" i="1"/>
  <c r="EF246" i="1"/>
  <c r="EG238" i="1"/>
  <c r="EF238" i="1"/>
  <c r="EG237" i="1"/>
  <c r="EG236" i="1"/>
  <c r="EF237" i="1"/>
  <c r="EG234" i="1"/>
  <c r="EF234" i="1"/>
  <c r="EG233" i="1"/>
  <c r="EF233" i="1"/>
  <c r="EG231" i="1"/>
  <c r="EG230" i="1"/>
  <c r="EF231" i="1"/>
  <c r="EF230" i="1"/>
  <c r="EG228" i="1"/>
  <c r="EG227" i="1"/>
  <c r="EF228" i="1"/>
  <c r="EF227" i="1"/>
  <c r="EG225" i="1"/>
  <c r="EG224" i="1"/>
  <c r="EF225" i="1"/>
  <c r="EF224" i="1"/>
  <c r="EG222" i="1"/>
  <c r="EF222" i="1"/>
  <c r="EG221" i="1"/>
  <c r="EF221" i="1"/>
  <c r="EG220" i="1"/>
  <c r="EF220" i="1"/>
  <c r="EG219" i="1"/>
  <c r="EF219" i="1"/>
  <c r="EG218" i="1"/>
  <c r="EF218" i="1"/>
  <c r="EG216" i="1"/>
  <c r="EF216" i="1"/>
  <c r="EG215" i="1"/>
  <c r="EF215" i="1"/>
  <c r="EF212" i="1"/>
  <c r="EF210" i="1"/>
  <c r="EG214" i="1"/>
  <c r="EF214" i="1"/>
  <c r="EG213" i="1"/>
  <c r="EG212" i="1"/>
  <c r="EF213" i="1"/>
  <c r="EG205" i="1"/>
  <c r="EF205" i="1"/>
  <c r="EG204" i="1"/>
  <c r="EF204" i="1"/>
  <c r="EG202" i="1"/>
  <c r="EG201" i="1"/>
  <c r="EG199" i="1"/>
  <c r="EF202" i="1"/>
  <c r="EF201" i="1"/>
  <c r="EF199" i="1"/>
  <c r="EG197" i="1"/>
  <c r="EF197" i="1"/>
  <c r="EG196" i="1"/>
  <c r="EF196" i="1"/>
  <c r="EG195" i="1"/>
  <c r="EF195" i="1"/>
  <c r="EG193" i="1"/>
  <c r="EF193" i="1"/>
  <c r="EG191" i="1"/>
  <c r="EF191" i="1"/>
  <c r="EG189" i="1"/>
  <c r="EF189" i="1"/>
  <c r="EG187" i="1"/>
  <c r="EF187" i="1"/>
  <c r="EG185" i="1"/>
  <c r="EF185" i="1"/>
  <c r="EG184" i="1"/>
  <c r="EF184" i="1"/>
  <c r="EG182" i="1"/>
  <c r="EF182" i="1"/>
  <c r="EG180" i="1"/>
  <c r="EG179" i="1"/>
  <c r="EF180" i="1"/>
  <c r="EF179" i="1"/>
  <c r="EG177" i="1"/>
  <c r="EF177" i="1"/>
  <c r="EG176" i="1"/>
  <c r="EF176" i="1"/>
  <c r="EG175" i="1"/>
  <c r="EG174" i="1"/>
  <c r="EG172" i="1"/>
  <c r="EF175" i="1"/>
  <c r="EF174" i="1"/>
  <c r="EF172" i="1"/>
  <c r="EG170" i="1"/>
  <c r="EF170" i="1"/>
  <c r="EG169" i="1"/>
  <c r="EF169" i="1"/>
  <c r="EG168" i="1"/>
  <c r="EG167" i="1"/>
  <c r="EF168" i="1"/>
  <c r="EF167" i="1"/>
  <c r="EG165" i="1"/>
  <c r="EF165" i="1"/>
  <c r="EG163" i="1"/>
  <c r="EF163" i="1"/>
  <c r="EG162" i="1"/>
  <c r="EF162" i="1"/>
  <c r="EG161" i="1"/>
  <c r="EF161" i="1"/>
  <c r="EG160" i="1"/>
  <c r="EF160" i="1"/>
  <c r="EF155" i="1"/>
  <c r="EG159" i="1"/>
  <c r="EF159" i="1"/>
  <c r="EG158" i="1"/>
  <c r="EF158" i="1"/>
  <c r="EG157" i="1"/>
  <c r="EF157" i="1"/>
  <c r="EG156" i="1"/>
  <c r="EF156" i="1"/>
  <c r="EG155" i="1"/>
  <c r="EG153" i="1"/>
  <c r="EG149" i="1"/>
  <c r="EF153" i="1"/>
  <c r="EG152" i="1"/>
  <c r="EF152" i="1"/>
  <c r="EG151" i="1"/>
  <c r="EF151" i="1"/>
  <c r="EG150" i="1"/>
  <c r="EF150" i="1"/>
  <c r="EF149" i="1"/>
  <c r="EG147" i="1"/>
  <c r="EF147" i="1"/>
  <c r="EG146" i="1"/>
  <c r="EF146" i="1"/>
  <c r="EG145" i="1"/>
  <c r="EF145" i="1"/>
  <c r="EG144" i="1"/>
  <c r="EF144" i="1"/>
  <c r="EG143" i="1"/>
  <c r="EF143" i="1"/>
  <c r="EG142" i="1"/>
  <c r="EF142" i="1"/>
  <c r="EG141" i="1"/>
  <c r="EF141" i="1"/>
  <c r="EG140" i="1"/>
  <c r="EF140" i="1"/>
  <c r="EG139" i="1"/>
  <c r="EF139" i="1"/>
  <c r="EG137" i="1"/>
  <c r="EF137" i="1"/>
  <c r="EG134" i="1"/>
  <c r="EF134" i="1"/>
  <c r="EG133" i="1"/>
  <c r="EF133" i="1"/>
  <c r="EG132" i="1"/>
  <c r="EF132" i="1"/>
  <c r="EF131" i="1"/>
  <c r="EG129" i="1"/>
  <c r="EF129" i="1"/>
  <c r="EG128" i="1"/>
  <c r="EF128" i="1"/>
  <c r="EG127" i="1"/>
  <c r="EF127" i="1"/>
  <c r="EG126" i="1"/>
  <c r="EF126" i="1"/>
  <c r="EG125" i="1"/>
  <c r="EF125" i="1"/>
  <c r="EG123" i="1"/>
  <c r="EF123" i="1"/>
  <c r="EG122" i="1"/>
  <c r="EF122" i="1"/>
  <c r="EG121" i="1"/>
  <c r="EF121" i="1"/>
  <c r="EG120" i="1"/>
  <c r="EF120" i="1"/>
  <c r="EG119" i="1"/>
  <c r="EF119" i="1"/>
  <c r="EG118" i="1"/>
  <c r="EF118" i="1"/>
  <c r="EG116" i="1"/>
  <c r="EF116" i="1"/>
  <c r="EG115" i="1"/>
  <c r="EF115" i="1"/>
  <c r="EG114" i="1"/>
  <c r="EF114" i="1"/>
  <c r="EG113" i="1"/>
  <c r="EF113" i="1"/>
  <c r="EG112" i="1"/>
  <c r="EF112" i="1"/>
  <c r="EG111" i="1"/>
  <c r="EF111" i="1"/>
  <c r="EG109" i="1"/>
  <c r="EF109" i="1"/>
  <c r="EG108" i="1"/>
  <c r="EF108" i="1"/>
  <c r="EG107" i="1"/>
  <c r="EG106" i="1"/>
  <c r="EF107" i="1"/>
  <c r="EF106" i="1"/>
  <c r="EG102" i="1"/>
  <c r="EF102" i="1"/>
  <c r="EG101" i="1"/>
  <c r="EF101" i="1"/>
  <c r="EG100" i="1"/>
  <c r="EF100" i="1"/>
  <c r="EG99" i="1"/>
  <c r="EF99" i="1"/>
  <c r="EG98" i="1"/>
  <c r="EF98" i="1"/>
  <c r="EG97" i="1"/>
  <c r="EF97" i="1"/>
  <c r="EG96" i="1"/>
  <c r="EF96" i="1"/>
  <c r="EG95" i="1"/>
  <c r="EF95" i="1"/>
  <c r="EF94" i="1"/>
  <c r="EG94" i="1"/>
  <c r="EG92" i="1"/>
  <c r="EG86" i="1"/>
  <c r="EF92" i="1"/>
  <c r="EG91" i="1"/>
  <c r="EF91" i="1"/>
  <c r="EG90" i="1"/>
  <c r="EF90" i="1"/>
  <c r="EG89" i="1"/>
  <c r="EF89" i="1"/>
  <c r="EG88" i="1"/>
  <c r="EF88" i="1"/>
  <c r="EG87" i="1"/>
  <c r="EF87" i="1"/>
  <c r="EF86" i="1"/>
  <c r="EG84" i="1"/>
  <c r="EF84" i="1"/>
  <c r="EG83" i="1"/>
  <c r="EF83" i="1"/>
  <c r="EG82" i="1"/>
  <c r="EF82" i="1"/>
  <c r="EG80" i="1"/>
  <c r="EG77" i="1"/>
  <c r="EF80" i="1"/>
  <c r="EF77" i="1"/>
  <c r="EG79" i="1"/>
  <c r="EF79" i="1"/>
  <c r="EG78" i="1"/>
  <c r="EF78" i="1"/>
  <c r="EG75" i="1"/>
  <c r="EF75" i="1"/>
  <c r="EG74" i="1"/>
  <c r="EF74" i="1"/>
  <c r="EG73" i="1"/>
  <c r="EF73" i="1"/>
  <c r="EG70" i="1"/>
  <c r="EF70" i="1"/>
  <c r="EG69" i="1"/>
  <c r="EF69" i="1"/>
  <c r="EG68" i="1"/>
  <c r="EG67" i="1"/>
  <c r="EF68" i="1"/>
  <c r="EF67" i="1"/>
  <c r="EG65" i="1"/>
  <c r="EF65" i="1"/>
  <c r="EG64" i="1"/>
  <c r="EG63" i="1"/>
  <c r="EF64" i="1"/>
  <c r="EF63" i="1"/>
  <c r="EG61" i="1"/>
  <c r="EF61" i="1"/>
  <c r="EG59" i="1"/>
  <c r="EF59" i="1"/>
  <c r="EG58" i="1"/>
  <c r="EF58" i="1"/>
  <c r="EG57" i="1"/>
  <c r="EF57" i="1"/>
  <c r="EG56" i="1"/>
  <c r="EF56" i="1"/>
  <c r="EG55" i="1"/>
  <c r="EF55" i="1"/>
  <c r="EG54" i="1"/>
  <c r="EF54" i="1"/>
  <c r="EG53" i="1"/>
  <c r="EG52" i="1"/>
  <c r="EF53" i="1"/>
  <c r="EF52" i="1"/>
  <c r="EG50" i="1"/>
  <c r="EF50" i="1"/>
  <c r="EG49" i="1"/>
  <c r="EF49" i="1"/>
  <c r="EG48" i="1"/>
  <c r="EF48" i="1"/>
  <c r="EG47" i="1"/>
  <c r="EF47" i="1"/>
  <c r="EG42" i="1"/>
  <c r="EF42" i="1"/>
  <c r="EG41" i="1"/>
  <c r="EF41" i="1"/>
  <c r="EF38" i="1"/>
  <c r="EG36" i="1"/>
  <c r="EF36" i="1"/>
  <c r="EG34" i="1"/>
  <c r="EF34" i="1"/>
  <c r="EG33" i="1"/>
  <c r="EF33" i="1"/>
  <c r="EG32" i="1"/>
  <c r="EF32" i="1"/>
  <c r="EG31" i="1"/>
  <c r="EG30" i="1"/>
  <c r="EF31" i="1"/>
  <c r="EF30" i="1"/>
  <c r="EG28" i="1"/>
  <c r="EF28" i="1"/>
  <c r="EG26" i="1"/>
  <c r="EF26" i="1"/>
  <c r="EG24" i="1"/>
  <c r="EF24" i="1"/>
  <c r="EG23" i="1"/>
  <c r="EF23" i="1"/>
  <c r="EG22" i="1"/>
  <c r="EF22" i="1"/>
  <c r="EF21" i="1"/>
  <c r="EG19" i="1"/>
  <c r="EF19" i="1"/>
  <c r="EI860" i="1"/>
  <c r="EH860" i="1"/>
  <c r="EI856" i="1"/>
  <c r="EH856" i="1"/>
  <c r="EI845" i="1"/>
  <c r="EH845" i="1"/>
  <c r="EI842" i="1"/>
  <c r="EH842" i="1"/>
  <c r="EI827" i="1"/>
  <c r="EH827" i="1"/>
  <c r="EI790" i="1"/>
  <c r="EH790" i="1"/>
  <c r="EI783" i="1"/>
  <c r="EH783" i="1"/>
  <c r="EI768" i="1"/>
  <c r="EH768" i="1"/>
  <c r="EI742" i="1"/>
  <c r="EH742" i="1"/>
  <c r="EI738" i="1"/>
  <c r="EH738" i="1"/>
  <c r="EI728" i="1"/>
  <c r="EH728" i="1"/>
  <c r="EI725" i="1"/>
  <c r="EH725" i="1"/>
  <c r="EI718" i="1"/>
  <c r="EH718" i="1"/>
  <c r="EI711" i="1"/>
  <c r="EH711" i="1"/>
  <c r="EI705" i="1"/>
  <c r="EH705" i="1"/>
  <c r="EI702" i="1"/>
  <c r="EH702" i="1"/>
  <c r="EI699" i="1"/>
  <c r="EH699" i="1"/>
  <c r="EI696" i="1"/>
  <c r="EH696" i="1"/>
  <c r="EI693" i="1"/>
  <c r="EH693" i="1"/>
  <c r="EI685" i="1"/>
  <c r="EH685" i="1"/>
  <c r="EI681" i="1"/>
  <c r="EH681" i="1"/>
  <c r="EI669" i="1"/>
  <c r="EI664" i="1"/>
  <c r="EH669" i="1"/>
  <c r="EH664" i="1"/>
  <c r="EI666" i="1"/>
  <c r="EH666" i="1"/>
  <c r="EI655" i="1"/>
  <c r="EH655" i="1"/>
  <c r="EI645" i="1"/>
  <c r="EH645" i="1"/>
  <c r="EI637" i="1"/>
  <c r="EH637" i="1"/>
  <c r="EI634" i="1"/>
  <c r="EI632" i="1"/>
  <c r="EI630" i="1"/>
  <c r="EI628" i="1"/>
  <c r="EH634" i="1"/>
  <c r="EH632" i="1"/>
  <c r="EH630" i="1"/>
  <c r="EH628" i="1"/>
  <c r="EI625" i="1"/>
  <c r="EH625" i="1"/>
  <c r="EI621" i="1"/>
  <c r="EH621" i="1"/>
  <c r="EI619" i="1"/>
  <c r="EH619" i="1"/>
  <c r="EI616" i="1"/>
  <c r="EH616" i="1"/>
  <c r="EI613" i="1"/>
  <c r="EH613" i="1"/>
  <c r="EI606" i="1"/>
  <c r="EH606" i="1"/>
  <c r="EI600" i="1"/>
  <c r="EH600" i="1"/>
  <c r="EI592" i="1"/>
  <c r="EH592" i="1"/>
  <c r="EI585" i="1"/>
  <c r="EH585" i="1"/>
  <c r="EI581" i="1"/>
  <c r="EH581" i="1"/>
  <c r="EI579" i="1"/>
  <c r="EH579" i="1"/>
  <c r="EI571" i="1"/>
  <c r="EH571" i="1"/>
  <c r="EI569" i="1"/>
  <c r="EI567" i="1"/>
  <c r="EH569" i="1"/>
  <c r="EH567" i="1"/>
  <c r="EI563" i="1"/>
  <c r="EH563" i="1"/>
  <c r="EI558" i="1"/>
  <c r="EH558" i="1"/>
  <c r="EI555" i="1"/>
  <c r="EH555" i="1"/>
  <c r="EI549" i="1"/>
  <c r="EH549" i="1"/>
  <c r="EI543" i="1"/>
  <c r="EH543" i="1"/>
  <c r="EI535" i="1"/>
  <c r="EH535" i="1"/>
  <c r="EI532" i="1"/>
  <c r="EH532" i="1"/>
  <c r="EI526" i="1"/>
  <c r="EH526" i="1"/>
  <c r="EI507" i="1"/>
  <c r="EI505" i="1"/>
  <c r="EH507" i="1"/>
  <c r="EH505" i="1"/>
  <c r="EI500" i="1"/>
  <c r="EH500" i="1"/>
  <c r="EI488" i="1"/>
  <c r="EH488" i="1"/>
  <c r="EI482" i="1"/>
  <c r="EH482" i="1"/>
  <c r="EI472" i="1"/>
  <c r="EH472" i="1"/>
  <c r="EI464" i="1"/>
  <c r="EH464" i="1"/>
  <c r="EI458" i="1"/>
  <c r="EH458" i="1"/>
  <c r="EI451" i="1"/>
  <c r="EH451" i="1"/>
  <c r="EI444" i="1"/>
  <c r="EH444" i="1"/>
  <c r="EI439" i="1"/>
  <c r="EH439" i="1"/>
  <c r="EI427" i="1"/>
  <c r="EH427" i="1"/>
  <c r="EI419" i="1"/>
  <c r="EH419" i="1"/>
  <c r="EI416" i="1"/>
  <c r="EH416" i="1"/>
  <c r="EI411" i="1"/>
  <c r="EH411" i="1"/>
  <c r="EI406" i="1"/>
  <c r="EH406" i="1"/>
  <c r="EI401" i="1"/>
  <c r="EH401" i="1"/>
  <c r="EI397" i="1"/>
  <c r="EH397" i="1"/>
  <c r="EI386" i="1"/>
  <c r="EH386" i="1"/>
  <c r="EI380" i="1"/>
  <c r="EH380" i="1"/>
  <c r="EI375" i="1"/>
  <c r="EH375" i="1"/>
  <c r="EI368" i="1"/>
  <c r="EH368" i="1"/>
  <c r="EI366" i="1"/>
  <c r="EH366" i="1"/>
  <c r="EI361" i="1"/>
  <c r="EH361" i="1"/>
  <c r="EI358" i="1"/>
  <c r="EH358" i="1"/>
  <c r="EI354" i="1"/>
  <c r="EH354" i="1"/>
  <c r="EI349" i="1"/>
  <c r="EH349" i="1"/>
  <c r="EI347" i="1"/>
  <c r="EH347" i="1"/>
  <c r="EI329" i="1"/>
  <c r="EH329" i="1"/>
  <c r="EI326" i="1"/>
  <c r="EH326" i="1"/>
  <c r="EI322" i="1"/>
  <c r="EI308" i="1"/>
  <c r="EH322" i="1"/>
  <c r="EH308" i="1"/>
  <c r="EH242" i="1"/>
  <c r="EI319" i="1"/>
  <c r="EH319" i="1"/>
  <c r="EI316" i="1"/>
  <c r="EH316" i="1"/>
  <c r="EI313" i="1"/>
  <c r="EH313" i="1"/>
  <c r="EI310" i="1"/>
  <c r="EH310" i="1"/>
  <c r="EI305" i="1"/>
  <c r="EH305" i="1"/>
  <c r="EI302" i="1"/>
  <c r="EH302" i="1"/>
  <c r="EI298" i="1"/>
  <c r="EH298" i="1"/>
  <c r="EI293" i="1"/>
  <c r="EH293" i="1"/>
  <c r="EI288" i="1"/>
  <c r="EH288" i="1"/>
  <c r="EI279" i="1"/>
  <c r="EH279" i="1"/>
  <c r="EI275" i="1"/>
  <c r="EH275" i="1"/>
  <c r="EI267" i="1"/>
  <c r="EH267" i="1"/>
  <c r="EI259" i="1"/>
  <c r="EH259" i="1"/>
  <c r="EI251" i="1"/>
  <c r="EH251" i="1"/>
  <c r="EI246" i="1"/>
  <c r="EH246" i="1"/>
  <c r="EH244" i="1"/>
  <c r="EI238" i="1"/>
  <c r="EH238" i="1"/>
  <c r="EI237" i="1"/>
  <c r="EH237" i="1"/>
  <c r="EI236" i="1"/>
  <c r="EH236" i="1"/>
  <c r="EI234" i="1"/>
  <c r="EH234" i="1"/>
  <c r="EI233" i="1"/>
  <c r="EH233" i="1"/>
  <c r="EI231" i="1"/>
  <c r="EH231" i="1"/>
  <c r="EI230" i="1"/>
  <c r="EH230" i="1"/>
  <c r="EI228" i="1"/>
  <c r="EI227" i="1"/>
  <c r="EH228" i="1"/>
  <c r="EH227" i="1"/>
  <c r="EI225" i="1"/>
  <c r="EH225" i="1"/>
  <c r="EI224" i="1"/>
  <c r="EH224" i="1"/>
  <c r="EI222" i="1"/>
  <c r="EH222" i="1"/>
  <c r="EI221" i="1"/>
  <c r="EH221" i="1"/>
  <c r="EI220" i="1"/>
  <c r="EH220" i="1"/>
  <c r="EI219" i="1"/>
  <c r="EI218" i="1"/>
  <c r="EH219" i="1"/>
  <c r="EH218" i="1"/>
  <c r="EI216" i="1"/>
  <c r="EH216" i="1"/>
  <c r="EI215" i="1"/>
  <c r="EH215" i="1"/>
  <c r="EI214" i="1"/>
  <c r="EH214" i="1"/>
  <c r="EI213" i="1"/>
  <c r="EI212" i="1"/>
  <c r="EH213" i="1"/>
  <c r="EH212" i="1"/>
  <c r="EI205" i="1"/>
  <c r="EI204" i="1"/>
  <c r="EH205" i="1"/>
  <c r="EH204" i="1"/>
  <c r="EI202" i="1"/>
  <c r="EI201" i="1"/>
  <c r="EH202" i="1"/>
  <c r="EH201" i="1"/>
  <c r="EI197" i="1"/>
  <c r="EH197" i="1"/>
  <c r="EI196" i="1"/>
  <c r="EI195" i="1"/>
  <c r="EH196" i="1"/>
  <c r="EH195" i="1"/>
  <c r="EI193" i="1"/>
  <c r="EH193" i="1"/>
  <c r="EI191" i="1"/>
  <c r="EH191" i="1"/>
  <c r="EI189" i="1"/>
  <c r="EH189" i="1"/>
  <c r="EI187" i="1"/>
  <c r="EH187" i="1"/>
  <c r="EI185" i="1"/>
  <c r="EI184" i="1"/>
  <c r="EH185" i="1"/>
  <c r="EH184" i="1"/>
  <c r="EI182" i="1"/>
  <c r="EH182" i="1"/>
  <c r="EI180" i="1"/>
  <c r="EH180" i="1"/>
  <c r="EI179" i="1"/>
  <c r="EH179" i="1"/>
  <c r="EI177" i="1"/>
  <c r="EH177" i="1"/>
  <c r="EI176" i="1"/>
  <c r="EH176" i="1"/>
  <c r="EI175" i="1"/>
  <c r="EH175" i="1"/>
  <c r="EI174" i="1"/>
  <c r="EH174" i="1"/>
  <c r="EI170" i="1"/>
  <c r="EH170" i="1"/>
  <c r="EI169" i="1"/>
  <c r="EH169" i="1"/>
  <c r="EI168" i="1"/>
  <c r="EI167" i="1"/>
  <c r="EH168" i="1"/>
  <c r="EH167" i="1"/>
  <c r="EI165" i="1"/>
  <c r="EH165" i="1"/>
  <c r="EI163" i="1"/>
  <c r="EH163" i="1"/>
  <c r="EI162" i="1"/>
  <c r="EH162" i="1"/>
  <c r="EI161" i="1"/>
  <c r="EH161" i="1"/>
  <c r="EI160" i="1"/>
  <c r="EH160" i="1"/>
  <c r="EH155" i="1"/>
  <c r="EH104" i="1"/>
  <c r="EI159" i="1"/>
  <c r="EH159" i="1"/>
  <c r="EI158" i="1"/>
  <c r="EH158" i="1"/>
  <c r="EI157" i="1"/>
  <c r="EH157" i="1"/>
  <c r="EI156" i="1"/>
  <c r="EI155" i="1"/>
  <c r="EI104" i="1"/>
  <c r="EH156" i="1"/>
  <c r="EI153" i="1"/>
  <c r="EH153" i="1"/>
  <c r="EI152" i="1"/>
  <c r="EH152" i="1"/>
  <c r="EI151" i="1"/>
  <c r="EH151" i="1"/>
  <c r="EI150" i="1"/>
  <c r="EH150" i="1"/>
  <c r="EI149" i="1"/>
  <c r="EH149" i="1"/>
  <c r="EI147" i="1"/>
  <c r="EH147" i="1"/>
  <c r="EI146" i="1"/>
  <c r="EH146" i="1"/>
  <c r="EI145" i="1"/>
  <c r="EH145" i="1"/>
  <c r="EI144" i="1"/>
  <c r="EH144" i="1"/>
  <c r="EI143" i="1"/>
  <c r="EH143" i="1"/>
  <c r="EI142" i="1"/>
  <c r="EH142" i="1"/>
  <c r="EI141" i="1"/>
  <c r="EH141" i="1"/>
  <c r="EI140" i="1"/>
  <c r="EI139" i="1"/>
  <c r="EH140" i="1"/>
  <c r="EH139" i="1"/>
  <c r="EI137" i="1"/>
  <c r="EH137" i="1"/>
  <c r="EI134" i="1"/>
  <c r="EH134" i="1"/>
  <c r="EI133" i="1"/>
  <c r="EH133" i="1"/>
  <c r="EI132" i="1"/>
  <c r="EH132" i="1"/>
  <c r="EH131" i="1"/>
  <c r="EI131" i="1"/>
  <c r="EI129" i="1"/>
  <c r="EH129" i="1"/>
  <c r="EI128" i="1"/>
  <c r="EH128" i="1"/>
  <c r="EI127" i="1"/>
  <c r="EH127" i="1"/>
  <c r="EI126" i="1"/>
  <c r="EI125" i="1"/>
  <c r="EH126" i="1"/>
  <c r="EH125" i="1"/>
  <c r="EI123" i="1"/>
  <c r="EH123" i="1"/>
  <c r="EI122" i="1"/>
  <c r="EH122" i="1"/>
  <c r="EI121" i="1"/>
  <c r="EH121" i="1"/>
  <c r="EI120" i="1"/>
  <c r="EH120" i="1"/>
  <c r="EI119" i="1"/>
  <c r="EI118" i="1"/>
  <c r="EH119" i="1"/>
  <c r="EH118" i="1"/>
  <c r="EI116" i="1"/>
  <c r="EH116" i="1"/>
  <c r="EI115" i="1"/>
  <c r="EH115" i="1"/>
  <c r="EI114" i="1"/>
  <c r="EH114" i="1"/>
  <c r="EI113" i="1"/>
  <c r="EH113" i="1"/>
  <c r="EI112" i="1"/>
  <c r="EI111" i="1"/>
  <c r="EH112" i="1"/>
  <c r="EH111" i="1"/>
  <c r="EI109" i="1"/>
  <c r="EH109" i="1"/>
  <c r="EI108" i="1"/>
  <c r="EH108" i="1"/>
  <c r="EI107" i="1"/>
  <c r="EI106" i="1"/>
  <c r="EH107" i="1"/>
  <c r="EH106" i="1"/>
  <c r="EI102" i="1"/>
  <c r="EH102" i="1"/>
  <c r="EI101" i="1"/>
  <c r="EH101" i="1"/>
  <c r="EI100" i="1"/>
  <c r="EH100" i="1"/>
  <c r="EI99" i="1"/>
  <c r="EH99" i="1"/>
  <c r="EI98" i="1"/>
  <c r="EH98" i="1"/>
  <c r="EI97" i="1"/>
  <c r="EH97" i="1"/>
  <c r="EI96" i="1"/>
  <c r="EH96" i="1"/>
  <c r="EI95" i="1"/>
  <c r="EI94" i="1"/>
  <c r="EH95" i="1"/>
  <c r="EH94" i="1"/>
  <c r="EI92" i="1"/>
  <c r="EH92" i="1"/>
  <c r="EI91" i="1"/>
  <c r="EH91" i="1"/>
  <c r="EI90" i="1"/>
  <c r="EH90" i="1"/>
  <c r="EI89" i="1"/>
  <c r="EH89" i="1"/>
  <c r="EI88" i="1"/>
  <c r="EH88" i="1"/>
  <c r="EI87" i="1"/>
  <c r="EH87" i="1"/>
  <c r="EI86" i="1"/>
  <c r="EH86" i="1"/>
  <c r="EI84" i="1"/>
  <c r="EH84" i="1"/>
  <c r="EI83" i="1"/>
  <c r="EI82" i="1"/>
  <c r="EH83" i="1"/>
  <c r="EH82" i="1"/>
  <c r="EI80" i="1"/>
  <c r="EH80" i="1"/>
  <c r="EH77" i="1"/>
  <c r="EI79" i="1"/>
  <c r="EH79" i="1"/>
  <c r="EI78" i="1"/>
  <c r="EI77" i="1"/>
  <c r="EH78" i="1"/>
  <c r="EI75" i="1"/>
  <c r="EH75" i="1"/>
  <c r="EI74" i="1"/>
  <c r="EH74" i="1"/>
  <c r="EI73" i="1"/>
  <c r="EH73" i="1"/>
  <c r="EH72" i="1"/>
  <c r="EI70" i="1"/>
  <c r="EH70" i="1"/>
  <c r="EI69" i="1"/>
  <c r="EH69" i="1"/>
  <c r="EI68" i="1"/>
  <c r="EH68" i="1"/>
  <c r="EI65" i="1"/>
  <c r="EH65" i="1"/>
  <c r="EI64" i="1"/>
  <c r="EH64" i="1"/>
  <c r="EH63" i="1"/>
  <c r="EI63" i="1"/>
  <c r="EI61" i="1"/>
  <c r="EH61" i="1"/>
  <c r="EI59" i="1"/>
  <c r="EH59" i="1"/>
  <c r="EH58" i="1"/>
  <c r="EH52" i="1"/>
  <c r="EI58" i="1"/>
  <c r="EI57" i="1"/>
  <c r="EH57" i="1"/>
  <c r="EI56" i="1"/>
  <c r="EH56" i="1"/>
  <c r="EI55" i="1"/>
  <c r="EH55" i="1"/>
  <c r="EI54" i="1"/>
  <c r="EH54" i="1"/>
  <c r="EI53" i="1"/>
  <c r="EI52" i="1"/>
  <c r="EH53" i="1"/>
  <c r="EI50" i="1"/>
  <c r="EH50" i="1"/>
  <c r="EI49" i="1"/>
  <c r="EH49" i="1"/>
  <c r="EI48" i="1"/>
  <c r="EH48" i="1"/>
  <c r="EI47" i="1"/>
  <c r="EH47" i="1"/>
  <c r="EI46" i="1"/>
  <c r="EH46" i="1"/>
  <c r="EI42" i="1"/>
  <c r="EH42" i="1"/>
  <c r="EI41" i="1"/>
  <c r="EH41" i="1"/>
  <c r="EI36" i="1"/>
  <c r="EH36" i="1"/>
  <c r="EI34" i="1"/>
  <c r="EH34" i="1"/>
  <c r="EI33" i="1"/>
  <c r="EH33" i="1"/>
  <c r="EI32" i="1"/>
  <c r="EH32" i="1"/>
  <c r="EI31" i="1"/>
  <c r="EH31" i="1"/>
  <c r="EI30" i="1"/>
  <c r="EH30" i="1"/>
  <c r="EI28" i="1"/>
  <c r="EH28" i="1"/>
  <c r="EI26" i="1"/>
  <c r="EH26" i="1"/>
  <c r="EI24" i="1"/>
  <c r="EH24" i="1"/>
  <c r="EI23" i="1"/>
  <c r="EH23" i="1"/>
  <c r="EI22" i="1"/>
  <c r="EH22" i="1"/>
  <c r="EI21" i="1"/>
  <c r="EH21" i="1"/>
  <c r="EI19" i="1"/>
  <c r="EH19" i="1"/>
  <c r="EI14" i="1"/>
  <c r="EH14" i="1"/>
  <c r="EK860" i="1"/>
  <c r="EJ860" i="1"/>
  <c r="EK856" i="1"/>
  <c r="EJ856" i="1"/>
  <c r="EK845" i="1"/>
  <c r="EJ845" i="1"/>
  <c r="EK842" i="1"/>
  <c r="EJ842" i="1"/>
  <c r="EK827" i="1"/>
  <c r="EJ827" i="1"/>
  <c r="EK790" i="1"/>
  <c r="EJ790" i="1"/>
  <c r="EK783" i="1"/>
  <c r="EJ783" i="1"/>
  <c r="EK768" i="1"/>
  <c r="EJ768" i="1"/>
  <c r="EK742" i="1"/>
  <c r="EJ742" i="1"/>
  <c r="EK738" i="1"/>
  <c r="EJ738" i="1"/>
  <c r="EK728" i="1"/>
  <c r="EJ728" i="1"/>
  <c r="EK725" i="1"/>
  <c r="EJ725" i="1"/>
  <c r="EJ721" i="1"/>
  <c r="EK718" i="1"/>
  <c r="EJ718" i="1"/>
  <c r="EK711" i="1"/>
  <c r="EJ711" i="1"/>
  <c r="EK705" i="1"/>
  <c r="EJ705" i="1"/>
  <c r="EK702" i="1"/>
  <c r="EJ702" i="1"/>
  <c r="EK699" i="1"/>
  <c r="EJ699" i="1"/>
  <c r="EK696" i="1"/>
  <c r="EJ696" i="1"/>
  <c r="EK693" i="1"/>
  <c r="EJ693" i="1"/>
  <c r="EK685" i="1"/>
  <c r="EJ685" i="1"/>
  <c r="EK681" i="1"/>
  <c r="EJ681" i="1"/>
  <c r="EK669" i="1"/>
  <c r="EK664" i="1"/>
  <c r="EJ669" i="1"/>
  <c r="EJ664" i="1"/>
  <c r="EK666" i="1"/>
  <c r="EJ666" i="1"/>
  <c r="EK655" i="1"/>
  <c r="EJ655" i="1"/>
  <c r="EK645" i="1"/>
  <c r="EJ645" i="1"/>
  <c r="EK637" i="1"/>
  <c r="EJ637" i="1"/>
  <c r="EK634" i="1"/>
  <c r="EJ634" i="1"/>
  <c r="EK632" i="1"/>
  <c r="EK630" i="1"/>
  <c r="EK628" i="1"/>
  <c r="EJ632" i="1"/>
  <c r="EJ630" i="1"/>
  <c r="EJ628" i="1"/>
  <c r="EK625" i="1"/>
  <c r="EJ625" i="1"/>
  <c r="EK621" i="1"/>
  <c r="EK619" i="1"/>
  <c r="EJ621" i="1"/>
  <c r="EK616" i="1"/>
  <c r="EJ616" i="1"/>
  <c r="EK613" i="1"/>
  <c r="EJ613" i="1"/>
  <c r="EK611" i="1"/>
  <c r="EK609" i="1"/>
  <c r="EJ611" i="1"/>
  <c r="EK606" i="1"/>
  <c r="EJ606" i="1"/>
  <c r="EK600" i="1"/>
  <c r="EJ600" i="1"/>
  <c r="EK592" i="1"/>
  <c r="EJ592" i="1"/>
  <c r="EK585" i="1"/>
  <c r="EJ585" i="1"/>
  <c r="EK581" i="1"/>
  <c r="EK579" i="1"/>
  <c r="EK577" i="1"/>
  <c r="EJ581" i="1"/>
  <c r="EJ579" i="1"/>
  <c r="EK571" i="1"/>
  <c r="EK569" i="1"/>
  <c r="EK567" i="1"/>
  <c r="EJ571" i="1"/>
  <c r="EJ569" i="1"/>
  <c r="EJ567" i="1"/>
  <c r="EK563" i="1"/>
  <c r="EJ563" i="1"/>
  <c r="EK558" i="1"/>
  <c r="EJ558" i="1"/>
  <c r="EK555" i="1"/>
  <c r="EJ555" i="1"/>
  <c r="EK549" i="1"/>
  <c r="EJ549" i="1"/>
  <c r="EK543" i="1"/>
  <c r="EJ543" i="1"/>
  <c r="EK541" i="1"/>
  <c r="EJ541" i="1"/>
  <c r="EK535" i="1"/>
  <c r="EJ535" i="1"/>
  <c r="EK532" i="1"/>
  <c r="EJ532" i="1"/>
  <c r="EK526" i="1"/>
  <c r="EJ526" i="1"/>
  <c r="EK507" i="1"/>
  <c r="EJ507" i="1"/>
  <c r="EK505" i="1"/>
  <c r="EJ505" i="1"/>
  <c r="EK500" i="1"/>
  <c r="EJ500" i="1"/>
  <c r="EK488" i="1"/>
  <c r="EJ488" i="1"/>
  <c r="EK482" i="1"/>
  <c r="EJ482" i="1"/>
  <c r="EK472" i="1"/>
  <c r="EJ472" i="1"/>
  <c r="EK464" i="1"/>
  <c r="EK437" i="1"/>
  <c r="EJ464" i="1"/>
  <c r="EK458" i="1"/>
  <c r="EJ458" i="1"/>
  <c r="EK451" i="1"/>
  <c r="EJ451" i="1"/>
  <c r="EK444" i="1"/>
  <c r="EJ444" i="1"/>
  <c r="EK439" i="1"/>
  <c r="EJ439" i="1"/>
  <c r="EJ437" i="1"/>
  <c r="EK427" i="1"/>
  <c r="EJ427" i="1"/>
  <c r="EK419" i="1"/>
  <c r="EJ419" i="1"/>
  <c r="EK416" i="1"/>
  <c r="EJ416" i="1"/>
  <c r="EK411" i="1"/>
  <c r="EJ411" i="1"/>
  <c r="EK406" i="1"/>
  <c r="EJ406" i="1"/>
  <c r="EK401" i="1"/>
  <c r="EJ401" i="1"/>
  <c r="EK397" i="1"/>
  <c r="EK386" i="1"/>
  <c r="EK378" i="1"/>
  <c r="EJ397" i="1"/>
  <c r="EJ386" i="1"/>
  <c r="EK380" i="1"/>
  <c r="EJ380" i="1"/>
  <c r="EJ378" i="1"/>
  <c r="EK375" i="1"/>
  <c r="EJ375" i="1"/>
  <c r="EK368" i="1"/>
  <c r="EK366" i="1"/>
  <c r="EJ368" i="1"/>
  <c r="EJ366" i="1"/>
  <c r="EK361" i="1"/>
  <c r="EJ361" i="1"/>
  <c r="EK358" i="1"/>
  <c r="EJ358" i="1"/>
  <c r="EK354" i="1"/>
  <c r="EJ354" i="1"/>
  <c r="EK349" i="1"/>
  <c r="EK347" i="1"/>
  <c r="EJ349" i="1"/>
  <c r="EJ347" i="1"/>
  <c r="EK329" i="1"/>
  <c r="EJ329" i="1"/>
  <c r="EK326" i="1"/>
  <c r="EJ326" i="1"/>
  <c r="EK322" i="1"/>
  <c r="EJ322" i="1"/>
  <c r="EK319" i="1"/>
  <c r="EJ319" i="1"/>
  <c r="EK316" i="1"/>
  <c r="EJ316" i="1"/>
  <c r="EK313" i="1"/>
  <c r="EJ313" i="1"/>
  <c r="EK310" i="1"/>
  <c r="EK308" i="1"/>
  <c r="EJ310" i="1"/>
  <c r="EK305" i="1"/>
  <c r="EJ305" i="1"/>
  <c r="EK302" i="1"/>
  <c r="EJ302" i="1"/>
  <c r="EK298" i="1"/>
  <c r="EJ298" i="1"/>
  <c r="EK293" i="1"/>
  <c r="EJ293" i="1"/>
  <c r="EK288" i="1"/>
  <c r="EJ288" i="1"/>
  <c r="EK279" i="1"/>
  <c r="EJ279" i="1"/>
  <c r="EK275" i="1"/>
  <c r="EJ275" i="1"/>
  <c r="EK267" i="1"/>
  <c r="EJ267" i="1"/>
  <c r="EK259" i="1"/>
  <c r="EJ259" i="1"/>
  <c r="EK251" i="1"/>
  <c r="EJ251" i="1"/>
  <c r="EK246" i="1"/>
  <c r="EK244" i="1"/>
  <c r="EJ246" i="1"/>
  <c r="EJ244" i="1"/>
  <c r="EK238" i="1"/>
  <c r="EJ238" i="1"/>
  <c r="EK237" i="1"/>
  <c r="EK236" i="1"/>
  <c r="EJ237" i="1"/>
  <c r="EK234" i="1"/>
  <c r="EJ234" i="1"/>
  <c r="EK233" i="1"/>
  <c r="EJ233" i="1"/>
  <c r="EK231" i="1"/>
  <c r="EK230" i="1"/>
  <c r="EJ231" i="1"/>
  <c r="EJ230" i="1"/>
  <c r="EK228" i="1"/>
  <c r="EK227" i="1"/>
  <c r="EJ228" i="1"/>
  <c r="EJ227" i="1"/>
  <c r="EK225" i="1"/>
  <c r="EK224" i="1"/>
  <c r="EJ225" i="1"/>
  <c r="EJ224" i="1"/>
  <c r="EK222" i="1"/>
  <c r="EJ222" i="1"/>
  <c r="EK221" i="1"/>
  <c r="EJ221" i="1"/>
  <c r="EJ220" i="1"/>
  <c r="EJ218" i="1"/>
  <c r="EJ215" i="1"/>
  <c r="EJ212" i="1"/>
  <c r="EJ210" i="1"/>
  <c r="EK220" i="1"/>
  <c r="EK219" i="1"/>
  <c r="EJ219" i="1"/>
  <c r="EK218" i="1"/>
  <c r="EK216" i="1"/>
  <c r="EJ216" i="1"/>
  <c r="EK215" i="1"/>
  <c r="EK214" i="1"/>
  <c r="EJ214" i="1"/>
  <c r="EK213" i="1"/>
  <c r="EK212" i="1"/>
  <c r="EJ213" i="1"/>
  <c r="EK205" i="1"/>
  <c r="EJ205" i="1"/>
  <c r="EK204" i="1"/>
  <c r="EJ204" i="1"/>
  <c r="EK202" i="1"/>
  <c r="EK201" i="1"/>
  <c r="EK199" i="1"/>
  <c r="EJ202" i="1"/>
  <c r="EJ201" i="1"/>
  <c r="EJ199" i="1"/>
  <c r="EK197" i="1"/>
  <c r="EJ197" i="1"/>
  <c r="EK196" i="1"/>
  <c r="EJ196" i="1"/>
  <c r="EK195" i="1"/>
  <c r="EJ195" i="1"/>
  <c r="EK193" i="1"/>
  <c r="EJ193" i="1"/>
  <c r="EK191" i="1"/>
  <c r="EJ191" i="1"/>
  <c r="EK189" i="1"/>
  <c r="EJ189" i="1"/>
  <c r="EK187" i="1"/>
  <c r="EJ187" i="1"/>
  <c r="EK185" i="1"/>
  <c r="EJ185" i="1"/>
  <c r="EK184" i="1"/>
  <c r="EJ184" i="1"/>
  <c r="EK182" i="1"/>
  <c r="EJ182" i="1"/>
  <c r="EK180" i="1"/>
  <c r="EK179" i="1"/>
  <c r="EJ180" i="1"/>
  <c r="EJ179" i="1"/>
  <c r="EK177" i="1"/>
  <c r="EJ177" i="1"/>
  <c r="EK176" i="1"/>
  <c r="EJ176" i="1"/>
  <c r="EK175" i="1"/>
  <c r="EK174" i="1"/>
  <c r="EJ175" i="1"/>
  <c r="EJ174" i="1"/>
  <c r="EJ172" i="1"/>
  <c r="EK170" i="1"/>
  <c r="EJ170" i="1"/>
  <c r="EK169" i="1"/>
  <c r="EJ169" i="1"/>
  <c r="EK168" i="1"/>
  <c r="EK167" i="1"/>
  <c r="EJ168" i="1"/>
  <c r="EJ167" i="1"/>
  <c r="EK165" i="1"/>
  <c r="EJ165" i="1"/>
  <c r="EK163" i="1"/>
  <c r="EJ163" i="1"/>
  <c r="EK162" i="1"/>
  <c r="EJ162" i="1"/>
  <c r="EK161" i="1"/>
  <c r="EJ161" i="1"/>
  <c r="EK160" i="1"/>
  <c r="EJ160" i="1"/>
  <c r="EJ155" i="1"/>
  <c r="EK159" i="1"/>
  <c r="EJ159" i="1"/>
  <c r="EK158" i="1"/>
  <c r="EJ158" i="1"/>
  <c r="EK157" i="1"/>
  <c r="EJ157" i="1"/>
  <c r="EK156" i="1"/>
  <c r="EJ156" i="1"/>
  <c r="EK155" i="1"/>
  <c r="EK153" i="1"/>
  <c r="EJ153" i="1"/>
  <c r="EK152" i="1"/>
  <c r="EJ152" i="1"/>
  <c r="EK151" i="1"/>
  <c r="EJ151" i="1"/>
  <c r="EK150" i="1"/>
  <c r="EK149" i="1"/>
  <c r="EJ150" i="1"/>
  <c r="EJ149" i="1"/>
  <c r="EK147" i="1"/>
  <c r="EJ147" i="1"/>
  <c r="EK146" i="1"/>
  <c r="EJ146" i="1"/>
  <c r="EK145" i="1"/>
  <c r="EJ145" i="1"/>
  <c r="EK144" i="1"/>
  <c r="EJ144" i="1"/>
  <c r="EK143" i="1"/>
  <c r="EJ143" i="1"/>
  <c r="EK142" i="1"/>
  <c r="EJ142" i="1"/>
  <c r="EK141" i="1"/>
  <c r="EJ141" i="1"/>
  <c r="EK140" i="1"/>
  <c r="EJ140" i="1"/>
  <c r="EK139" i="1"/>
  <c r="EJ139" i="1"/>
  <c r="EK137" i="1"/>
  <c r="EJ137" i="1"/>
  <c r="EK134" i="1"/>
  <c r="EJ134" i="1"/>
  <c r="EK133" i="1"/>
  <c r="EJ133" i="1"/>
  <c r="EK132" i="1"/>
  <c r="EK131" i="1"/>
  <c r="EJ132" i="1"/>
  <c r="EK129" i="1"/>
  <c r="EJ129" i="1"/>
  <c r="EK128" i="1"/>
  <c r="EJ128" i="1"/>
  <c r="EK127" i="1"/>
  <c r="EJ127" i="1"/>
  <c r="EK126" i="1"/>
  <c r="EJ126" i="1"/>
  <c r="EK125" i="1"/>
  <c r="EJ125" i="1"/>
  <c r="EK123" i="1"/>
  <c r="EJ123" i="1"/>
  <c r="EK122" i="1"/>
  <c r="EJ122" i="1"/>
  <c r="EK121" i="1"/>
  <c r="EJ121" i="1"/>
  <c r="EK120" i="1"/>
  <c r="EJ120" i="1"/>
  <c r="EK119" i="1"/>
  <c r="EJ119" i="1"/>
  <c r="EK118" i="1"/>
  <c r="EJ118" i="1"/>
  <c r="EK116" i="1"/>
  <c r="EJ116" i="1"/>
  <c r="EK115" i="1"/>
  <c r="EJ115" i="1"/>
  <c r="EK114" i="1"/>
  <c r="EJ114" i="1"/>
  <c r="EK113" i="1"/>
  <c r="EJ113" i="1"/>
  <c r="EK112" i="1"/>
  <c r="EJ112" i="1"/>
  <c r="EK111" i="1"/>
  <c r="EJ111" i="1"/>
  <c r="EK109" i="1"/>
  <c r="EJ109" i="1"/>
  <c r="EK108" i="1"/>
  <c r="EJ108" i="1"/>
  <c r="EK107" i="1"/>
  <c r="EK106" i="1"/>
  <c r="EJ107" i="1"/>
  <c r="EJ106" i="1"/>
  <c r="EK102" i="1"/>
  <c r="EJ102" i="1"/>
  <c r="EK101" i="1"/>
  <c r="EJ101" i="1"/>
  <c r="EK100" i="1"/>
  <c r="EJ100" i="1"/>
  <c r="EK99" i="1"/>
  <c r="EJ99" i="1"/>
  <c r="EK98" i="1"/>
  <c r="EJ98" i="1"/>
  <c r="EK97" i="1"/>
  <c r="EJ97" i="1"/>
  <c r="EK96" i="1"/>
  <c r="EJ96" i="1"/>
  <c r="EK95" i="1"/>
  <c r="EK94" i="1"/>
  <c r="EJ95" i="1"/>
  <c r="EJ94" i="1"/>
  <c r="EK92" i="1"/>
  <c r="EK86" i="1"/>
  <c r="EJ92" i="1"/>
  <c r="EK91" i="1"/>
  <c r="EJ91" i="1"/>
  <c r="EK90" i="1"/>
  <c r="EJ90" i="1"/>
  <c r="EK89" i="1"/>
  <c r="EJ89" i="1"/>
  <c r="EK88" i="1"/>
  <c r="EJ88" i="1"/>
  <c r="EK87" i="1"/>
  <c r="EJ87" i="1"/>
  <c r="EJ86" i="1"/>
  <c r="EK84" i="1"/>
  <c r="EJ84" i="1"/>
  <c r="EK83" i="1"/>
  <c r="EJ83" i="1"/>
  <c r="EK82" i="1"/>
  <c r="EJ82" i="1"/>
  <c r="EK80" i="1"/>
  <c r="EK77" i="1"/>
  <c r="EJ80" i="1"/>
  <c r="EJ77" i="1"/>
  <c r="EJ58" i="1"/>
  <c r="EJ59" i="1"/>
  <c r="EJ52" i="1"/>
  <c r="EJ44" i="1"/>
  <c r="EK79" i="1"/>
  <c r="EJ79" i="1"/>
  <c r="EK78" i="1"/>
  <c r="EJ78" i="1"/>
  <c r="EK75" i="1"/>
  <c r="EJ75" i="1"/>
  <c r="EK74" i="1"/>
  <c r="EJ74" i="1"/>
  <c r="EK73" i="1"/>
  <c r="EJ73" i="1"/>
  <c r="EJ72" i="1"/>
  <c r="EK72" i="1"/>
  <c r="EK70" i="1"/>
  <c r="EJ70" i="1"/>
  <c r="EK69" i="1"/>
  <c r="EJ69" i="1"/>
  <c r="EK68" i="1"/>
  <c r="EJ68" i="1"/>
  <c r="EJ67" i="1"/>
  <c r="EK67" i="1"/>
  <c r="EK65" i="1"/>
  <c r="EJ65" i="1"/>
  <c r="EK64" i="1"/>
  <c r="EK63" i="1"/>
  <c r="EJ64" i="1"/>
  <c r="EJ63" i="1"/>
  <c r="EK61" i="1"/>
  <c r="EJ61" i="1"/>
  <c r="EK59" i="1"/>
  <c r="EK58" i="1"/>
  <c r="EK57" i="1"/>
  <c r="EJ57" i="1"/>
  <c r="EK56" i="1"/>
  <c r="EJ56" i="1"/>
  <c r="EK55" i="1"/>
  <c r="EJ55" i="1"/>
  <c r="EK54" i="1"/>
  <c r="EJ54" i="1"/>
  <c r="EK53" i="1"/>
  <c r="EK52" i="1"/>
  <c r="EJ53" i="1"/>
  <c r="EK50" i="1"/>
  <c r="EJ50" i="1"/>
  <c r="EK49" i="1"/>
  <c r="EJ49" i="1"/>
  <c r="EK48" i="1"/>
  <c r="EJ48" i="1"/>
  <c r="EK47" i="1"/>
  <c r="EK46" i="1"/>
  <c r="EJ47" i="1"/>
  <c r="EJ46" i="1"/>
  <c r="EK42" i="1"/>
  <c r="EJ42" i="1"/>
  <c r="EK41" i="1"/>
  <c r="EJ41" i="1"/>
  <c r="EK36" i="1"/>
  <c r="EJ36" i="1"/>
  <c r="EK34" i="1"/>
  <c r="EJ34" i="1"/>
  <c r="EK33" i="1"/>
  <c r="EJ33" i="1"/>
  <c r="EK32" i="1"/>
  <c r="EJ32" i="1"/>
  <c r="EK31" i="1"/>
  <c r="EK30" i="1"/>
  <c r="EJ31" i="1"/>
  <c r="EJ30" i="1"/>
  <c r="EK28" i="1"/>
  <c r="EJ28" i="1"/>
  <c r="EK26" i="1"/>
  <c r="EJ26" i="1"/>
  <c r="EK24" i="1"/>
  <c r="EJ24" i="1"/>
  <c r="EK23" i="1"/>
  <c r="EJ23" i="1"/>
  <c r="EK22" i="1"/>
  <c r="EK21" i="1"/>
  <c r="EJ22" i="1"/>
  <c r="EJ21" i="1"/>
  <c r="EK19" i="1"/>
  <c r="EJ19" i="1"/>
  <c r="EM860" i="1"/>
  <c r="EL860" i="1"/>
  <c r="EM856" i="1"/>
  <c r="EL856" i="1"/>
  <c r="EM845" i="1"/>
  <c r="EL845" i="1"/>
  <c r="EM842" i="1"/>
  <c r="EL842" i="1"/>
  <c r="EM827" i="1"/>
  <c r="EL827" i="1"/>
  <c r="EM790" i="1"/>
  <c r="EL790" i="1"/>
  <c r="EM783" i="1"/>
  <c r="EL783" i="1"/>
  <c r="EM768" i="1"/>
  <c r="EL768" i="1"/>
  <c r="EM742" i="1"/>
  <c r="EL742" i="1"/>
  <c r="EM738" i="1"/>
  <c r="EL738" i="1"/>
  <c r="EM728" i="1"/>
  <c r="EL728" i="1"/>
  <c r="EM725" i="1"/>
  <c r="EL725" i="1"/>
  <c r="EM721" i="1"/>
  <c r="EL721" i="1"/>
  <c r="EM718" i="1"/>
  <c r="EL718" i="1"/>
  <c r="EM711" i="1"/>
  <c r="EL711" i="1"/>
  <c r="EM705" i="1"/>
  <c r="EL705" i="1"/>
  <c r="EM702" i="1"/>
  <c r="EL702" i="1"/>
  <c r="EM699" i="1"/>
  <c r="EL699" i="1"/>
  <c r="EM696" i="1"/>
  <c r="EL696" i="1"/>
  <c r="EM693" i="1"/>
  <c r="EL693" i="1"/>
  <c r="EM685" i="1"/>
  <c r="EL685" i="1"/>
  <c r="EM681" i="1"/>
  <c r="EL681" i="1"/>
  <c r="EM669" i="1"/>
  <c r="EM664" i="1"/>
  <c r="EL669" i="1"/>
  <c r="EL664" i="1"/>
  <c r="EM666" i="1"/>
  <c r="EL666" i="1"/>
  <c r="EM655" i="1"/>
  <c r="EL655" i="1"/>
  <c r="EM645" i="1"/>
  <c r="EL645" i="1"/>
  <c r="EM637" i="1"/>
  <c r="EL637" i="1"/>
  <c r="EM634" i="1"/>
  <c r="EL634" i="1"/>
  <c r="EM632" i="1"/>
  <c r="EM630" i="1"/>
  <c r="EM628" i="1"/>
  <c r="EL632" i="1"/>
  <c r="EL630" i="1"/>
  <c r="EL628" i="1"/>
  <c r="EM625" i="1"/>
  <c r="EL625" i="1"/>
  <c r="EM621" i="1"/>
  <c r="EM619" i="1"/>
  <c r="EL621" i="1"/>
  <c r="EL619" i="1"/>
  <c r="EM616" i="1"/>
  <c r="EL616" i="1"/>
  <c r="EM613" i="1"/>
  <c r="EL613" i="1"/>
  <c r="EM611" i="1"/>
  <c r="EM609" i="1"/>
  <c r="EL611" i="1"/>
  <c r="EM606" i="1"/>
  <c r="EL606" i="1"/>
  <c r="EM600" i="1"/>
  <c r="EL600" i="1"/>
  <c r="EM592" i="1"/>
  <c r="EL592" i="1"/>
  <c r="EM585" i="1"/>
  <c r="EL585" i="1"/>
  <c r="EM581" i="1"/>
  <c r="EL581" i="1"/>
  <c r="EM571" i="1"/>
  <c r="EM569" i="1"/>
  <c r="EM567" i="1"/>
  <c r="EL571" i="1"/>
  <c r="EL569" i="1"/>
  <c r="EL567" i="1"/>
  <c r="EM563" i="1"/>
  <c r="EL563" i="1"/>
  <c r="EM558" i="1"/>
  <c r="EL558" i="1"/>
  <c r="EM555" i="1"/>
  <c r="EL555" i="1"/>
  <c r="EM549" i="1"/>
  <c r="EL549" i="1"/>
  <c r="EM543" i="1"/>
  <c r="EL543" i="1"/>
  <c r="EM541" i="1"/>
  <c r="EL541" i="1"/>
  <c r="EM535" i="1"/>
  <c r="EL535" i="1"/>
  <c r="EM532" i="1"/>
  <c r="EL532" i="1"/>
  <c r="EM526" i="1"/>
  <c r="EL526" i="1"/>
  <c r="EM507" i="1"/>
  <c r="EL507" i="1"/>
  <c r="EM505" i="1"/>
  <c r="EL505" i="1"/>
  <c r="EM500" i="1"/>
  <c r="EL500" i="1"/>
  <c r="EM488" i="1"/>
  <c r="EL488" i="1"/>
  <c r="EM482" i="1"/>
  <c r="EL482" i="1"/>
  <c r="EM472" i="1"/>
  <c r="EL472" i="1"/>
  <c r="EM464" i="1"/>
  <c r="EL464" i="1"/>
  <c r="EM458" i="1"/>
  <c r="EL458" i="1"/>
  <c r="EM451" i="1"/>
  <c r="EL451" i="1"/>
  <c r="EM444" i="1"/>
  <c r="EL444" i="1"/>
  <c r="EM439" i="1"/>
  <c r="EL439" i="1"/>
  <c r="EM437" i="1"/>
  <c r="EL437" i="1"/>
  <c r="EM427" i="1"/>
  <c r="EL427" i="1"/>
  <c r="EM419" i="1"/>
  <c r="EL419" i="1"/>
  <c r="EM416" i="1"/>
  <c r="EL416" i="1"/>
  <c r="EM411" i="1"/>
  <c r="EL411" i="1"/>
  <c r="EM406" i="1"/>
  <c r="EL406" i="1"/>
  <c r="EM401" i="1"/>
  <c r="EL401" i="1"/>
  <c r="EM397" i="1"/>
  <c r="EL397" i="1"/>
  <c r="EM386" i="1"/>
  <c r="EL386" i="1"/>
  <c r="EM380" i="1"/>
  <c r="EL380" i="1"/>
  <c r="EL378" i="1"/>
  <c r="EM375" i="1"/>
  <c r="EL375" i="1"/>
  <c r="EM368" i="1"/>
  <c r="EM366" i="1"/>
  <c r="EL368" i="1"/>
  <c r="EL366" i="1"/>
  <c r="EM361" i="1"/>
  <c r="EL361" i="1"/>
  <c r="EM358" i="1"/>
  <c r="EL358" i="1"/>
  <c r="EM354" i="1"/>
  <c r="EL354" i="1"/>
  <c r="EM349" i="1"/>
  <c r="EM347" i="1"/>
  <c r="EL349" i="1"/>
  <c r="EL347" i="1"/>
  <c r="EM329" i="1"/>
  <c r="EL329" i="1"/>
  <c r="EM326" i="1"/>
  <c r="EL326" i="1"/>
  <c r="EM322" i="1"/>
  <c r="EL322" i="1"/>
  <c r="EM319" i="1"/>
  <c r="EL319" i="1"/>
  <c r="EM316" i="1"/>
  <c r="EL316" i="1"/>
  <c r="EM313" i="1"/>
  <c r="EL313" i="1"/>
  <c r="EM310" i="1"/>
  <c r="EM308" i="1"/>
  <c r="EL310" i="1"/>
  <c r="EL308" i="1"/>
  <c r="EM305" i="1"/>
  <c r="EL305" i="1"/>
  <c r="EM302" i="1"/>
  <c r="EL302" i="1"/>
  <c r="EM298" i="1"/>
  <c r="EL298" i="1"/>
  <c r="EM293" i="1"/>
  <c r="EL293" i="1"/>
  <c r="EM288" i="1"/>
  <c r="EL288" i="1"/>
  <c r="EM279" i="1"/>
  <c r="EL279" i="1"/>
  <c r="EM275" i="1"/>
  <c r="EL275" i="1"/>
  <c r="EM267" i="1"/>
  <c r="EL267" i="1"/>
  <c r="EM259" i="1"/>
  <c r="EL259" i="1"/>
  <c r="EM251" i="1"/>
  <c r="EL251" i="1"/>
  <c r="EM246" i="1"/>
  <c r="EL246" i="1"/>
  <c r="EM244" i="1"/>
  <c r="EL244" i="1"/>
  <c r="EM238" i="1"/>
  <c r="EL238" i="1"/>
  <c r="EM237" i="1"/>
  <c r="EM236" i="1"/>
  <c r="EL237" i="1"/>
  <c r="EL236" i="1"/>
  <c r="EM234" i="1"/>
  <c r="EL234" i="1"/>
  <c r="EM233" i="1"/>
  <c r="EL233" i="1"/>
  <c r="EM231" i="1"/>
  <c r="EM230" i="1"/>
  <c r="EL231" i="1"/>
  <c r="EL230" i="1"/>
  <c r="EM228" i="1"/>
  <c r="EM227" i="1"/>
  <c r="EL228" i="1"/>
  <c r="EL227" i="1"/>
  <c r="EM225" i="1"/>
  <c r="EM224" i="1"/>
  <c r="EL225" i="1"/>
  <c r="EL224" i="1"/>
  <c r="EM222" i="1"/>
  <c r="EL222" i="1"/>
  <c r="EM221" i="1"/>
  <c r="EL221" i="1"/>
  <c r="EM220" i="1"/>
  <c r="EL220" i="1"/>
  <c r="EM219" i="1"/>
  <c r="EL219" i="1"/>
  <c r="EM218" i="1"/>
  <c r="EL218" i="1"/>
  <c r="EM216" i="1"/>
  <c r="EL216" i="1"/>
  <c r="EM215" i="1"/>
  <c r="EL215" i="1"/>
  <c r="EM214" i="1"/>
  <c r="EL214" i="1"/>
  <c r="EM213" i="1"/>
  <c r="EM212" i="1"/>
  <c r="EL213" i="1"/>
  <c r="EL212" i="1"/>
  <c r="EL210" i="1"/>
  <c r="EM205" i="1"/>
  <c r="EL205" i="1"/>
  <c r="EM204" i="1"/>
  <c r="EL204" i="1"/>
  <c r="EM202" i="1"/>
  <c r="EL202" i="1"/>
  <c r="EM201" i="1"/>
  <c r="EM199" i="1"/>
  <c r="EL201" i="1"/>
  <c r="EL199" i="1"/>
  <c r="EM197" i="1"/>
  <c r="EL197" i="1"/>
  <c r="EM196" i="1"/>
  <c r="EL196" i="1"/>
  <c r="EM195" i="1"/>
  <c r="EL195" i="1"/>
  <c r="EM193" i="1"/>
  <c r="EL193" i="1"/>
  <c r="EM191" i="1"/>
  <c r="EL191" i="1"/>
  <c r="EM189" i="1"/>
  <c r="EL189" i="1"/>
  <c r="EM187" i="1"/>
  <c r="EL187" i="1"/>
  <c r="EM185" i="1"/>
  <c r="EL185" i="1"/>
  <c r="EM184" i="1"/>
  <c r="EL184" i="1"/>
  <c r="EM182" i="1"/>
  <c r="EL182" i="1"/>
  <c r="EM180" i="1"/>
  <c r="EM179" i="1"/>
  <c r="EL180" i="1"/>
  <c r="EL179" i="1"/>
  <c r="EM177" i="1"/>
  <c r="EL177" i="1"/>
  <c r="EM176" i="1"/>
  <c r="EL176" i="1"/>
  <c r="EM175" i="1"/>
  <c r="EM174" i="1"/>
  <c r="EL175" i="1"/>
  <c r="EL174" i="1"/>
  <c r="EM170" i="1"/>
  <c r="EL170" i="1"/>
  <c r="EM169" i="1"/>
  <c r="EL169" i="1"/>
  <c r="EM168" i="1"/>
  <c r="EM167" i="1"/>
  <c r="EL168" i="1"/>
  <c r="EL167" i="1"/>
  <c r="EM165" i="1"/>
  <c r="EL165" i="1"/>
  <c r="EM163" i="1"/>
  <c r="EL163" i="1"/>
  <c r="EM162" i="1"/>
  <c r="EL162" i="1"/>
  <c r="EM161" i="1"/>
  <c r="EL161" i="1"/>
  <c r="EM160" i="1"/>
  <c r="EM155" i="1"/>
  <c r="EL160" i="1"/>
  <c r="EL155" i="1"/>
  <c r="EM159" i="1"/>
  <c r="EL159" i="1"/>
  <c r="EM158" i="1"/>
  <c r="EL158" i="1"/>
  <c r="EM157" i="1"/>
  <c r="EL157" i="1"/>
  <c r="EM156" i="1"/>
  <c r="EL156" i="1"/>
  <c r="EM153" i="1"/>
  <c r="EL153" i="1"/>
  <c r="EM152" i="1"/>
  <c r="EL152" i="1"/>
  <c r="EM151" i="1"/>
  <c r="EL151" i="1"/>
  <c r="EM150" i="1"/>
  <c r="EM149" i="1"/>
  <c r="EL150" i="1"/>
  <c r="EL149" i="1"/>
  <c r="EM147" i="1"/>
  <c r="EL147" i="1"/>
  <c r="EM146" i="1"/>
  <c r="EL146" i="1"/>
  <c r="EM145" i="1"/>
  <c r="EL145" i="1"/>
  <c r="EM144" i="1"/>
  <c r="EL144" i="1"/>
  <c r="EM143" i="1"/>
  <c r="EL143" i="1"/>
  <c r="EM142" i="1"/>
  <c r="EL142" i="1"/>
  <c r="EM141" i="1"/>
  <c r="EL141" i="1"/>
  <c r="EM140" i="1"/>
  <c r="EL140" i="1"/>
  <c r="EM139" i="1"/>
  <c r="EL139" i="1"/>
  <c r="EM137" i="1"/>
  <c r="EL137" i="1"/>
  <c r="EM134" i="1"/>
  <c r="EL134" i="1"/>
  <c r="EM133" i="1"/>
  <c r="EL133" i="1"/>
  <c r="EM132" i="1"/>
  <c r="EL132" i="1"/>
  <c r="EL131" i="1"/>
  <c r="EM129" i="1"/>
  <c r="EL129" i="1"/>
  <c r="EM128" i="1"/>
  <c r="EL128" i="1"/>
  <c r="EM127" i="1"/>
  <c r="EL127" i="1"/>
  <c r="EM126" i="1"/>
  <c r="EL126" i="1"/>
  <c r="EM125" i="1"/>
  <c r="EL125" i="1"/>
  <c r="EM123" i="1"/>
  <c r="EL123" i="1"/>
  <c r="EM122" i="1"/>
  <c r="EL122" i="1"/>
  <c r="EM121" i="1"/>
  <c r="EL121" i="1"/>
  <c r="EM120" i="1"/>
  <c r="EL120" i="1"/>
  <c r="EM119" i="1"/>
  <c r="EL119" i="1"/>
  <c r="EM118" i="1"/>
  <c r="EL118" i="1"/>
  <c r="EM116" i="1"/>
  <c r="EL116" i="1"/>
  <c r="EM115" i="1"/>
  <c r="EL115" i="1"/>
  <c r="EM114" i="1"/>
  <c r="EL114" i="1"/>
  <c r="EM113" i="1"/>
  <c r="EL113" i="1"/>
  <c r="EM112" i="1"/>
  <c r="EL112" i="1"/>
  <c r="EM111" i="1"/>
  <c r="EL111" i="1"/>
  <c r="EM109" i="1"/>
  <c r="EL109" i="1"/>
  <c r="EM108" i="1"/>
  <c r="EL108" i="1"/>
  <c r="EM107" i="1"/>
  <c r="EM106" i="1"/>
  <c r="EL107" i="1"/>
  <c r="EL106" i="1"/>
  <c r="EM102" i="1"/>
  <c r="EL102" i="1"/>
  <c r="EM101" i="1"/>
  <c r="EL101" i="1"/>
  <c r="EM100" i="1"/>
  <c r="EL100" i="1"/>
  <c r="EM99" i="1"/>
  <c r="EL99" i="1"/>
  <c r="EM98" i="1"/>
  <c r="EL98" i="1"/>
  <c r="EM97" i="1"/>
  <c r="EL97" i="1"/>
  <c r="EM96" i="1"/>
  <c r="EL96" i="1"/>
  <c r="EM95" i="1"/>
  <c r="EL95" i="1"/>
  <c r="EL94" i="1"/>
  <c r="EM94" i="1"/>
  <c r="EM92" i="1"/>
  <c r="EM86" i="1"/>
  <c r="EL92" i="1"/>
  <c r="EM91" i="1"/>
  <c r="EL91" i="1"/>
  <c r="EM90" i="1"/>
  <c r="EL90" i="1"/>
  <c r="EM89" i="1"/>
  <c r="EL89" i="1"/>
  <c r="EM88" i="1"/>
  <c r="EL88" i="1"/>
  <c r="EM87" i="1"/>
  <c r="EL87" i="1"/>
  <c r="EL86" i="1"/>
  <c r="EM84" i="1"/>
  <c r="EL84" i="1"/>
  <c r="EM83" i="1"/>
  <c r="EL83" i="1"/>
  <c r="EM82" i="1"/>
  <c r="EL82" i="1"/>
  <c r="EM80" i="1"/>
  <c r="EL80" i="1"/>
  <c r="EM79" i="1"/>
  <c r="EL79" i="1"/>
  <c r="EM78" i="1"/>
  <c r="EL78" i="1"/>
  <c r="EM75" i="1"/>
  <c r="EL75" i="1"/>
  <c r="EM74" i="1"/>
  <c r="EL74" i="1"/>
  <c r="EM73" i="1"/>
  <c r="EL73" i="1"/>
  <c r="EM70" i="1"/>
  <c r="EL70" i="1"/>
  <c r="EM69" i="1"/>
  <c r="EL69" i="1"/>
  <c r="EM68" i="1"/>
  <c r="EL68" i="1"/>
  <c r="EL67" i="1"/>
  <c r="EM65" i="1"/>
  <c r="EL65" i="1"/>
  <c r="EM64" i="1"/>
  <c r="EM63" i="1"/>
  <c r="EL64" i="1"/>
  <c r="EL63" i="1"/>
  <c r="EM61" i="1"/>
  <c r="EL61" i="1"/>
  <c r="EM59" i="1"/>
  <c r="EL59" i="1"/>
  <c r="EM58" i="1"/>
  <c r="EL58" i="1"/>
  <c r="EM57" i="1"/>
  <c r="EL57" i="1"/>
  <c r="EM56" i="1"/>
  <c r="EL56" i="1"/>
  <c r="EM55" i="1"/>
  <c r="EL55" i="1"/>
  <c r="EM54" i="1"/>
  <c r="EL54" i="1"/>
  <c r="EM53" i="1"/>
  <c r="EM52" i="1"/>
  <c r="EL53" i="1"/>
  <c r="EL52" i="1"/>
  <c r="EM50" i="1"/>
  <c r="EL50" i="1"/>
  <c r="EM49" i="1"/>
  <c r="EL49" i="1"/>
  <c r="EM48" i="1"/>
  <c r="EL48" i="1"/>
  <c r="EM47" i="1"/>
  <c r="EL47" i="1"/>
  <c r="EM42" i="1"/>
  <c r="EL42" i="1"/>
  <c r="EM41" i="1"/>
  <c r="EL41" i="1"/>
  <c r="EM36" i="1"/>
  <c r="EL36" i="1"/>
  <c r="EM34" i="1"/>
  <c r="EL34" i="1"/>
  <c r="EM33" i="1"/>
  <c r="EL33" i="1"/>
  <c r="EM32" i="1"/>
  <c r="EL32" i="1"/>
  <c r="EM31" i="1"/>
  <c r="EM30" i="1"/>
  <c r="EL31" i="1"/>
  <c r="EL30" i="1"/>
  <c r="EM28" i="1"/>
  <c r="EL28" i="1"/>
  <c r="EM26" i="1"/>
  <c r="EL26" i="1"/>
  <c r="EM24" i="1"/>
  <c r="EL24" i="1"/>
  <c r="EM23" i="1"/>
  <c r="EL23" i="1"/>
  <c r="EM22" i="1"/>
  <c r="EM21" i="1"/>
  <c r="EL22" i="1"/>
  <c r="EL21" i="1"/>
  <c r="EM19" i="1"/>
  <c r="EL19" i="1"/>
  <c r="EO860" i="1"/>
  <c r="EN860" i="1"/>
  <c r="EO856" i="1"/>
  <c r="EN856" i="1"/>
  <c r="EO845" i="1"/>
  <c r="EN845" i="1"/>
  <c r="EO842" i="1"/>
  <c r="EN842" i="1"/>
  <c r="EO827" i="1"/>
  <c r="EN827" i="1"/>
  <c r="EO790" i="1"/>
  <c r="EN790" i="1"/>
  <c r="EO783" i="1"/>
  <c r="EN783" i="1"/>
  <c r="EO768" i="1"/>
  <c r="EN768" i="1"/>
  <c r="EO742" i="1"/>
  <c r="EN742" i="1"/>
  <c r="EO738" i="1"/>
  <c r="EN738" i="1"/>
  <c r="EO728" i="1"/>
  <c r="EN728" i="1"/>
  <c r="EO725" i="1"/>
  <c r="EN725" i="1"/>
  <c r="EN721" i="1"/>
  <c r="EO718" i="1"/>
  <c r="EN718" i="1"/>
  <c r="EO711" i="1"/>
  <c r="EN711" i="1"/>
  <c r="EO705" i="1"/>
  <c r="EN705" i="1"/>
  <c r="EO702" i="1"/>
  <c r="EN702" i="1"/>
  <c r="EO699" i="1"/>
  <c r="EN699" i="1"/>
  <c r="EO696" i="1"/>
  <c r="EN696" i="1"/>
  <c r="EO693" i="1"/>
  <c r="EN693" i="1"/>
  <c r="EO685" i="1"/>
  <c r="EN685" i="1"/>
  <c r="EO681" i="1"/>
  <c r="EN681" i="1"/>
  <c r="EO669" i="1"/>
  <c r="EO664" i="1"/>
  <c r="EO662" i="1"/>
  <c r="EN669" i="1"/>
  <c r="EN664" i="1"/>
  <c r="EN662" i="1"/>
  <c r="EO666" i="1"/>
  <c r="EN666" i="1"/>
  <c r="EO655" i="1"/>
  <c r="EN655" i="1"/>
  <c r="EO645" i="1"/>
  <c r="EN645" i="1"/>
  <c r="EO637" i="1"/>
  <c r="EN637" i="1"/>
  <c r="EO634" i="1"/>
  <c r="EN634" i="1"/>
  <c r="EO632" i="1"/>
  <c r="EO630" i="1"/>
  <c r="EO628" i="1"/>
  <c r="EN632" i="1"/>
  <c r="EN630" i="1"/>
  <c r="EN628" i="1"/>
  <c r="EO625" i="1"/>
  <c r="EN625" i="1"/>
  <c r="EO621" i="1"/>
  <c r="EO619" i="1"/>
  <c r="EN621" i="1"/>
  <c r="EN619" i="1"/>
  <c r="EO616" i="1"/>
  <c r="EN616" i="1"/>
  <c r="EO613" i="1"/>
  <c r="EN613" i="1"/>
  <c r="EO611" i="1"/>
  <c r="EN611" i="1"/>
  <c r="EN609" i="1"/>
  <c r="EO606" i="1"/>
  <c r="EN606" i="1"/>
  <c r="EO600" i="1"/>
  <c r="EN600" i="1"/>
  <c r="EO592" i="1"/>
  <c r="EN592" i="1"/>
  <c r="EO585" i="1"/>
  <c r="EN585" i="1"/>
  <c r="EO581" i="1"/>
  <c r="EO579" i="1"/>
  <c r="EO577" i="1"/>
  <c r="EN581" i="1"/>
  <c r="EN579" i="1"/>
  <c r="EN577" i="1"/>
  <c r="EO571" i="1"/>
  <c r="EO569" i="1"/>
  <c r="EO567" i="1"/>
  <c r="EN571" i="1"/>
  <c r="EN569" i="1"/>
  <c r="EN567" i="1"/>
  <c r="EO563" i="1"/>
  <c r="EN563" i="1"/>
  <c r="EO558" i="1"/>
  <c r="EN558" i="1"/>
  <c r="EO555" i="1"/>
  <c r="EO541" i="1"/>
  <c r="EN555" i="1"/>
  <c r="EO549" i="1"/>
  <c r="EN549" i="1"/>
  <c r="EO543" i="1"/>
  <c r="EN543" i="1"/>
  <c r="EN541" i="1"/>
  <c r="EO535" i="1"/>
  <c r="EN535" i="1"/>
  <c r="EO532" i="1"/>
  <c r="EN532" i="1"/>
  <c r="EO526" i="1"/>
  <c r="EN526" i="1"/>
  <c r="EO507" i="1"/>
  <c r="EN507" i="1"/>
  <c r="EO505" i="1"/>
  <c r="EN505" i="1"/>
  <c r="EO500" i="1"/>
  <c r="EN500" i="1"/>
  <c r="EO488" i="1"/>
  <c r="EN488" i="1"/>
  <c r="EO482" i="1"/>
  <c r="EN482" i="1"/>
  <c r="EO472" i="1"/>
  <c r="EN472" i="1"/>
  <c r="EO464" i="1"/>
  <c r="EN464" i="1"/>
  <c r="EO458" i="1"/>
  <c r="EN458" i="1"/>
  <c r="EO451" i="1"/>
  <c r="EN451" i="1"/>
  <c r="EO444" i="1"/>
  <c r="EN444" i="1"/>
  <c r="EO439" i="1"/>
  <c r="EN439" i="1"/>
  <c r="EO437" i="1"/>
  <c r="EN437" i="1"/>
  <c r="EO427" i="1"/>
  <c r="EN427" i="1"/>
  <c r="EO419" i="1"/>
  <c r="EN419" i="1"/>
  <c r="EO416" i="1"/>
  <c r="EN416" i="1"/>
  <c r="EO411" i="1"/>
  <c r="EN411" i="1"/>
  <c r="EO406" i="1"/>
  <c r="EN406" i="1"/>
  <c r="EO401" i="1"/>
  <c r="EN401" i="1"/>
  <c r="EO397" i="1"/>
  <c r="EN397" i="1"/>
  <c r="EO386" i="1"/>
  <c r="EN386" i="1"/>
  <c r="EO380" i="1"/>
  <c r="EN380" i="1"/>
  <c r="EO378" i="1"/>
  <c r="EO375" i="1"/>
  <c r="EN375" i="1"/>
  <c r="EO368" i="1"/>
  <c r="EO366" i="1"/>
  <c r="EN368" i="1"/>
  <c r="EN366" i="1"/>
  <c r="EO361" i="1"/>
  <c r="EN361" i="1"/>
  <c r="EO358" i="1"/>
  <c r="EN358" i="1"/>
  <c r="EO354" i="1"/>
  <c r="EN354" i="1"/>
  <c r="EO349" i="1"/>
  <c r="EO347" i="1"/>
  <c r="EN349" i="1"/>
  <c r="EN347" i="1"/>
  <c r="EO329" i="1"/>
  <c r="EN329" i="1"/>
  <c r="EO326" i="1"/>
  <c r="EN326" i="1"/>
  <c r="EO322" i="1"/>
  <c r="EN322" i="1"/>
  <c r="EO319" i="1"/>
  <c r="EN319" i="1"/>
  <c r="EO316" i="1"/>
  <c r="EN316" i="1"/>
  <c r="EO313" i="1"/>
  <c r="EN313" i="1"/>
  <c r="EO310" i="1"/>
  <c r="EO308" i="1"/>
  <c r="EO242" i="1"/>
  <c r="EO364" i="1"/>
  <c r="EO240" i="1"/>
  <c r="EN310" i="1"/>
  <c r="EN308" i="1"/>
  <c r="EO305" i="1"/>
  <c r="EN305" i="1"/>
  <c r="EO302" i="1"/>
  <c r="EN302" i="1"/>
  <c r="EO298" i="1"/>
  <c r="EN298" i="1"/>
  <c r="EO293" i="1"/>
  <c r="EN293" i="1"/>
  <c r="EO288" i="1"/>
  <c r="EN288" i="1"/>
  <c r="EO279" i="1"/>
  <c r="EN279" i="1"/>
  <c r="EO275" i="1"/>
  <c r="EN275" i="1"/>
  <c r="EO267" i="1"/>
  <c r="EN267" i="1"/>
  <c r="EO259" i="1"/>
  <c r="EN259" i="1"/>
  <c r="EO251" i="1"/>
  <c r="EN251" i="1"/>
  <c r="EO246" i="1"/>
  <c r="EN246" i="1"/>
  <c r="EO244" i="1"/>
  <c r="EN244" i="1"/>
  <c r="EO238" i="1"/>
  <c r="EN238" i="1"/>
  <c r="EO237" i="1"/>
  <c r="EO236" i="1"/>
  <c r="EN237" i="1"/>
  <c r="EN236" i="1"/>
  <c r="EO234" i="1"/>
  <c r="EN234" i="1"/>
  <c r="EO233" i="1"/>
  <c r="EN233" i="1"/>
  <c r="EO231" i="1"/>
  <c r="EO230" i="1"/>
  <c r="EN231" i="1"/>
  <c r="EN230" i="1"/>
  <c r="EO228" i="1"/>
  <c r="EO227" i="1"/>
  <c r="EN228" i="1"/>
  <c r="EN227" i="1"/>
  <c r="EO225" i="1"/>
  <c r="EO224" i="1"/>
  <c r="EN225" i="1"/>
  <c r="EN224" i="1"/>
  <c r="EO222" i="1"/>
  <c r="EN222" i="1"/>
  <c r="EO221" i="1"/>
  <c r="EN221" i="1"/>
  <c r="EO220" i="1"/>
  <c r="EN220" i="1"/>
  <c r="EO219" i="1"/>
  <c r="EN219" i="1"/>
  <c r="EO218" i="1"/>
  <c r="EN218" i="1"/>
  <c r="EO216" i="1"/>
  <c r="EN216" i="1"/>
  <c r="EO215" i="1"/>
  <c r="EN215" i="1"/>
  <c r="EO214" i="1"/>
  <c r="EN214" i="1"/>
  <c r="EO213" i="1"/>
  <c r="EO212" i="1"/>
  <c r="EN213" i="1"/>
  <c r="EN212" i="1"/>
  <c r="EO205" i="1"/>
  <c r="EN205" i="1"/>
  <c r="EO204" i="1"/>
  <c r="EN204" i="1"/>
  <c r="EO202" i="1"/>
  <c r="EN202" i="1"/>
  <c r="EN201" i="1"/>
  <c r="EN199" i="1"/>
  <c r="EO201" i="1"/>
  <c r="EO199" i="1"/>
  <c r="EO197" i="1"/>
  <c r="EN197" i="1"/>
  <c r="EO196" i="1"/>
  <c r="EN196" i="1"/>
  <c r="EO195" i="1"/>
  <c r="EN195" i="1"/>
  <c r="EO193" i="1"/>
  <c r="EN193" i="1"/>
  <c r="EO191" i="1"/>
  <c r="EN191" i="1"/>
  <c r="EO189" i="1"/>
  <c r="EN189" i="1"/>
  <c r="EO187" i="1"/>
  <c r="EN187" i="1"/>
  <c r="EO185" i="1"/>
  <c r="EN185" i="1"/>
  <c r="EO184" i="1"/>
  <c r="EN184" i="1"/>
  <c r="EO182" i="1"/>
  <c r="EN182" i="1"/>
  <c r="EO180" i="1"/>
  <c r="EO179" i="1"/>
  <c r="EN180" i="1"/>
  <c r="EN179" i="1"/>
  <c r="EO177" i="1"/>
  <c r="EN177" i="1"/>
  <c r="EO176" i="1"/>
  <c r="EN176" i="1"/>
  <c r="EO175" i="1"/>
  <c r="EO174" i="1"/>
  <c r="EN175" i="1"/>
  <c r="EN174" i="1"/>
  <c r="EO170" i="1"/>
  <c r="EN170" i="1"/>
  <c r="EO169" i="1"/>
  <c r="EN169" i="1"/>
  <c r="EO168" i="1"/>
  <c r="EN168" i="1"/>
  <c r="EO165" i="1"/>
  <c r="EN165" i="1"/>
  <c r="EO163" i="1"/>
  <c r="EN163" i="1"/>
  <c r="EO162" i="1"/>
  <c r="EN162" i="1"/>
  <c r="EO161" i="1"/>
  <c r="EN161" i="1"/>
  <c r="EO160" i="1"/>
  <c r="EN160" i="1"/>
  <c r="EN156" i="1"/>
  <c r="EN157" i="1"/>
  <c r="EN158" i="1"/>
  <c r="EN159" i="1"/>
  <c r="EN155" i="1"/>
  <c r="EO159" i="1"/>
  <c r="EO158" i="1"/>
  <c r="EO157" i="1"/>
  <c r="EO156" i="1"/>
  <c r="EO153" i="1"/>
  <c r="EN153" i="1"/>
  <c r="EO152" i="1"/>
  <c r="EN152" i="1"/>
  <c r="EO151" i="1"/>
  <c r="EN151" i="1"/>
  <c r="EO150" i="1"/>
  <c r="EO149" i="1"/>
  <c r="EN150" i="1"/>
  <c r="EN149" i="1"/>
  <c r="EO147" i="1"/>
  <c r="EN147" i="1"/>
  <c r="EO146" i="1"/>
  <c r="EN146" i="1"/>
  <c r="EO145" i="1"/>
  <c r="EN145" i="1"/>
  <c r="EO144" i="1"/>
  <c r="EN144" i="1"/>
  <c r="EO143" i="1"/>
  <c r="EN143" i="1"/>
  <c r="EO142" i="1"/>
  <c r="EN142" i="1"/>
  <c r="EO141" i="1"/>
  <c r="EN141" i="1"/>
  <c r="EO140" i="1"/>
  <c r="EO139" i="1"/>
  <c r="EN140" i="1"/>
  <c r="EO137" i="1"/>
  <c r="EN137" i="1"/>
  <c r="EO134" i="1"/>
  <c r="EN134" i="1"/>
  <c r="EO133" i="1"/>
  <c r="EN133" i="1"/>
  <c r="EO132" i="1"/>
  <c r="EN132" i="1"/>
  <c r="EO129" i="1"/>
  <c r="EN129" i="1"/>
  <c r="EO128" i="1"/>
  <c r="EN128" i="1"/>
  <c r="EO127" i="1"/>
  <c r="EN127" i="1"/>
  <c r="EO126" i="1"/>
  <c r="EN126" i="1"/>
  <c r="EO125" i="1"/>
  <c r="EN125" i="1"/>
  <c r="EO123" i="1"/>
  <c r="EN123" i="1"/>
  <c r="EO122" i="1"/>
  <c r="EN122" i="1"/>
  <c r="EO121" i="1"/>
  <c r="EN121" i="1"/>
  <c r="EO120" i="1"/>
  <c r="EN120" i="1"/>
  <c r="EO119" i="1"/>
  <c r="EN119" i="1"/>
  <c r="EO116" i="1"/>
  <c r="EN116" i="1"/>
  <c r="EO115" i="1"/>
  <c r="EN115" i="1"/>
  <c r="EO114" i="1"/>
  <c r="EN114" i="1"/>
  <c r="EO113" i="1"/>
  <c r="EN113" i="1"/>
  <c r="EO112" i="1"/>
  <c r="EN112" i="1"/>
  <c r="EO111" i="1"/>
  <c r="EN111" i="1"/>
  <c r="EO109" i="1"/>
  <c r="EN109" i="1"/>
  <c r="EO108" i="1"/>
  <c r="EN108" i="1"/>
  <c r="EO107" i="1"/>
  <c r="EO106" i="1"/>
  <c r="EN107" i="1"/>
  <c r="EN106" i="1"/>
  <c r="EO102" i="1"/>
  <c r="EN102" i="1"/>
  <c r="EO101" i="1"/>
  <c r="EN101" i="1"/>
  <c r="EO100" i="1"/>
  <c r="EN100" i="1"/>
  <c r="EO99" i="1"/>
  <c r="EN99" i="1"/>
  <c r="EO98" i="1"/>
  <c r="EN98" i="1"/>
  <c r="EO97" i="1"/>
  <c r="EN97" i="1"/>
  <c r="EO96" i="1"/>
  <c r="EN96" i="1"/>
  <c r="EO95" i="1"/>
  <c r="EN95" i="1"/>
  <c r="EO92" i="1"/>
  <c r="EN92" i="1"/>
  <c r="EO91" i="1"/>
  <c r="EN91" i="1"/>
  <c r="EO90" i="1"/>
  <c r="EN90" i="1"/>
  <c r="EO89" i="1"/>
  <c r="EN89" i="1"/>
  <c r="EO88" i="1"/>
  <c r="EN88" i="1"/>
  <c r="EO87" i="1"/>
  <c r="EN87" i="1"/>
  <c r="EN86" i="1"/>
  <c r="EO84" i="1"/>
  <c r="EN84" i="1"/>
  <c r="EO83" i="1"/>
  <c r="EN83" i="1"/>
  <c r="EO82" i="1"/>
  <c r="EN82" i="1"/>
  <c r="EO80" i="1"/>
  <c r="EO77" i="1"/>
  <c r="EN80" i="1"/>
  <c r="EN77" i="1"/>
  <c r="EO79" i="1"/>
  <c r="EN79" i="1"/>
  <c r="EO78" i="1"/>
  <c r="EN78" i="1"/>
  <c r="EO75" i="1"/>
  <c r="EN75" i="1"/>
  <c r="EO74" i="1"/>
  <c r="EN74" i="1"/>
  <c r="EO73" i="1"/>
  <c r="EN73" i="1"/>
  <c r="EO70" i="1"/>
  <c r="EN70" i="1"/>
  <c r="EO69" i="1"/>
  <c r="EN69" i="1"/>
  <c r="EO68" i="1"/>
  <c r="EO67" i="1"/>
  <c r="EN68" i="1"/>
  <c r="EO65" i="1"/>
  <c r="EN65" i="1"/>
  <c r="EO64" i="1"/>
  <c r="EO63" i="1"/>
  <c r="EN64" i="1"/>
  <c r="EN63" i="1"/>
  <c r="EO61" i="1"/>
  <c r="EN61" i="1"/>
  <c r="EO59" i="1"/>
  <c r="EN59" i="1"/>
  <c r="EO58" i="1"/>
  <c r="EN58" i="1"/>
  <c r="EO57" i="1"/>
  <c r="EN57" i="1"/>
  <c r="EO56" i="1"/>
  <c r="EN56" i="1"/>
  <c r="EO55" i="1"/>
  <c r="EN55" i="1"/>
  <c r="EO54" i="1"/>
  <c r="EN54" i="1"/>
  <c r="EO53" i="1"/>
  <c r="EO52" i="1"/>
  <c r="EN53" i="1"/>
  <c r="EN52" i="1"/>
  <c r="EO50" i="1"/>
  <c r="EN50" i="1"/>
  <c r="EO49" i="1"/>
  <c r="EN49" i="1"/>
  <c r="EO48" i="1"/>
  <c r="EN48" i="1"/>
  <c r="EO47" i="1"/>
  <c r="EO46" i="1"/>
  <c r="EN47" i="1"/>
  <c r="EO42" i="1"/>
  <c r="EN42" i="1"/>
  <c r="EO41" i="1"/>
  <c r="EN41" i="1"/>
  <c r="EN38" i="1"/>
  <c r="EO36" i="1"/>
  <c r="EN36" i="1"/>
  <c r="EO34" i="1"/>
  <c r="EN34" i="1"/>
  <c r="EO33" i="1"/>
  <c r="EN33" i="1"/>
  <c r="EO32" i="1"/>
  <c r="EN32" i="1"/>
  <c r="EO31" i="1"/>
  <c r="EO30" i="1"/>
  <c r="EN31" i="1"/>
  <c r="EN30" i="1"/>
  <c r="EO28" i="1"/>
  <c r="EN28" i="1"/>
  <c r="EO26" i="1"/>
  <c r="EN26" i="1"/>
  <c r="EO24" i="1"/>
  <c r="EN24" i="1"/>
  <c r="EO23" i="1"/>
  <c r="EN23" i="1"/>
  <c r="EO22" i="1"/>
  <c r="EO21" i="1"/>
  <c r="EN22" i="1"/>
  <c r="EN21" i="1"/>
  <c r="EO19" i="1"/>
  <c r="EN19" i="1"/>
  <c r="EQ860" i="1"/>
  <c r="EP860" i="1"/>
  <c r="EQ856" i="1"/>
  <c r="EP856" i="1"/>
  <c r="EQ845" i="1"/>
  <c r="EP845" i="1"/>
  <c r="EQ842" i="1"/>
  <c r="EP842" i="1"/>
  <c r="EQ827" i="1"/>
  <c r="EP827" i="1"/>
  <c r="EQ790" i="1"/>
  <c r="EP790" i="1"/>
  <c r="EQ783" i="1"/>
  <c r="EP783" i="1"/>
  <c r="EQ768" i="1"/>
  <c r="EP768" i="1"/>
  <c r="EQ742" i="1"/>
  <c r="EP742" i="1"/>
  <c r="EQ738" i="1"/>
  <c r="EP738" i="1"/>
  <c r="EQ728" i="1"/>
  <c r="EP728" i="1"/>
  <c r="EQ725" i="1"/>
  <c r="EP725" i="1"/>
  <c r="EQ718" i="1"/>
  <c r="EP718" i="1"/>
  <c r="EQ711" i="1"/>
  <c r="EP711" i="1"/>
  <c r="EQ705" i="1"/>
  <c r="EP705" i="1"/>
  <c r="EQ702" i="1"/>
  <c r="EP702" i="1"/>
  <c r="EQ699" i="1"/>
  <c r="EP699" i="1"/>
  <c r="EQ696" i="1"/>
  <c r="EP696" i="1"/>
  <c r="EQ693" i="1"/>
  <c r="EP693" i="1"/>
  <c r="EQ685" i="1"/>
  <c r="EP685" i="1"/>
  <c r="EQ681" i="1"/>
  <c r="EP681" i="1"/>
  <c r="EQ669" i="1"/>
  <c r="EQ664" i="1"/>
  <c r="EP669" i="1"/>
  <c r="EP664" i="1"/>
  <c r="EQ666" i="1"/>
  <c r="EP666" i="1"/>
  <c r="EQ655" i="1"/>
  <c r="EP655" i="1"/>
  <c r="EQ645" i="1"/>
  <c r="EP645" i="1"/>
  <c r="EQ637" i="1"/>
  <c r="EP637" i="1"/>
  <c r="EQ634" i="1"/>
  <c r="EQ632" i="1"/>
  <c r="EQ630" i="1"/>
  <c r="EQ628" i="1"/>
  <c r="EP634" i="1"/>
  <c r="EP632" i="1"/>
  <c r="EP630" i="1"/>
  <c r="EP628" i="1"/>
  <c r="EQ625" i="1"/>
  <c r="EP625" i="1"/>
  <c r="EQ621" i="1"/>
  <c r="EP621" i="1"/>
  <c r="EQ619" i="1"/>
  <c r="EP619" i="1"/>
  <c r="EQ616" i="1"/>
  <c r="EP616" i="1"/>
  <c r="EQ613" i="1"/>
  <c r="EP613" i="1"/>
  <c r="EP611" i="1"/>
  <c r="EP609" i="1"/>
  <c r="EQ606" i="1"/>
  <c r="EP606" i="1"/>
  <c r="EQ600" i="1"/>
  <c r="EP600" i="1"/>
  <c r="EQ592" i="1"/>
  <c r="EP592" i="1"/>
  <c r="EQ585" i="1"/>
  <c r="EP585" i="1"/>
  <c r="EQ581" i="1"/>
  <c r="EP581" i="1"/>
  <c r="EQ579" i="1"/>
  <c r="EP579" i="1"/>
  <c r="EQ571" i="1"/>
  <c r="EP571" i="1"/>
  <c r="EQ569" i="1"/>
  <c r="EQ567" i="1"/>
  <c r="EP569" i="1"/>
  <c r="EP567" i="1"/>
  <c r="EQ563" i="1"/>
  <c r="EP563" i="1"/>
  <c r="EQ558" i="1"/>
  <c r="EP558" i="1"/>
  <c r="EQ555" i="1"/>
  <c r="EP555" i="1"/>
  <c r="EQ549" i="1"/>
  <c r="EP549" i="1"/>
  <c r="EQ543" i="1"/>
  <c r="EP543" i="1"/>
  <c r="EQ535" i="1"/>
  <c r="EP535" i="1"/>
  <c r="EQ532" i="1"/>
  <c r="EP532" i="1"/>
  <c r="EQ526" i="1"/>
  <c r="EP526" i="1"/>
  <c r="EQ507" i="1"/>
  <c r="EQ505" i="1"/>
  <c r="EP507" i="1"/>
  <c r="EP505" i="1"/>
  <c r="EQ500" i="1"/>
  <c r="EP500" i="1"/>
  <c r="EQ488" i="1"/>
  <c r="EP488" i="1"/>
  <c r="EQ482" i="1"/>
  <c r="EP482" i="1"/>
  <c r="EQ472" i="1"/>
  <c r="EP472" i="1"/>
  <c r="EQ464" i="1"/>
  <c r="EP464" i="1"/>
  <c r="EQ458" i="1"/>
  <c r="EP458" i="1"/>
  <c r="EQ451" i="1"/>
  <c r="EP451" i="1"/>
  <c r="EQ444" i="1"/>
  <c r="EP444" i="1"/>
  <c r="EQ439" i="1"/>
  <c r="EP439" i="1"/>
  <c r="EQ427" i="1"/>
  <c r="EP427" i="1"/>
  <c r="EQ419" i="1"/>
  <c r="EP419" i="1"/>
  <c r="EQ416" i="1"/>
  <c r="EP416" i="1"/>
  <c r="EQ411" i="1"/>
  <c r="EP411" i="1"/>
  <c r="EQ406" i="1"/>
  <c r="EP406" i="1"/>
  <c r="EQ401" i="1"/>
  <c r="EP401" i="1"/>
  <c r="EQ397" i="1"/>
  <c r="EP397" i="1"/>
  <c r="EQ386" i="1"/>
  <c r="EP386" i="1"/>
  <c r="EQ380" i="1"/>
  <c r="EP380" i="1"/>
  <c r="EQ375" i="1"/>
  <c r="EP375" i="1"/>
  <c r="EQ368" i="1"/>
  <c r="EP368" i="1"/>
  <c r="EQ366" i="1"/>
  <c r="EP366" i="1"/>
  <c r="EQ361" i="1"/>
  <c r="EP361" i="1"/>
  <c r="EQ358" i="1"/>
  <c r="EP358" i="1"/>
  <c r="EQ354" i="1"/>
  <c r="EP354" i="1"/>
  <c r="EQ349" i="1"/>
  <c r="EP349" i="1"/>
  <c r="EQ347" i="1"/>
  <c r="EP347" i="1"/>
  <c r="EQ329" i="1"/>
  <c r="EP329" i="1"/>
  <c r="EQ326" i="1"/>
  <c r="EP326" i="1"/>
  <c r="EQ322" i="1"/>
  <c r="EQ308" i="1"/>
  <c r="EP322" i="1"/>
  <c r="EP308" i="1"/>
  <c r="EP244" i="1"/>
  <c r="EP242" i="1"/>
  <c r="EP378" i="1"/>
  <c r="EP364" i="1"/>
  <c r="EP240" i="1"/>
  <c r="EQ319" i="1"/>
  <c r="EP319" i="1"/>
  <c r="EQ316" i="1"/>
  <c r="EP316" i="1"/>
  <c r="EQ313" i="1"/>
  <c r="EP313" i="1"/>
  <c r="EQ310" i="1"/>
  <c r="EP310" i="1"/>
  <c r="EQ305" i="1"/>
  <c r="EP305" i="1"/>
  <c r="EQ302" i="1"/>
  <c r="EP302" i="1"/>
  <c r="EQ298" i="1"/>
  <c r="EP298" i="1"/>
  <c r="EQ293" i="1"/>
  <c r="EP293" i="1"/>
  <c r="EQ288" i="1"/>
  <c r="EP288" i="1"/>
  <c r="EQ279" i="1"/>
  <c r="EP279" i="1"/>
  <c r="EQ275" i="1"/>
  <c r="EP275" i="1"/>
  <c r="EQ267" i="1"/>
  <c r="EP267" i="1"/>
  <c r="EQ259" i="1"/>
  <c r="EP259" i="1"/>
  <c r="EQ251" i="1"/>
  <c r="EP251" i="1"/>
  <c r="EQ246" i="1"/>
  <c r="EQ244" i="1"/>
  <c r="EP246" i="1"/>
  <c r="EQ238" i="1"/>
  <c r="EP238" i="1"/>
  <c r="EQ237" i="1"/>
  <c r="EP237" i="1"/>
  <c r="EQ236" i="1"/>
  <c r="EP236" i="1"/>
  <c r="EQ234" i="1"/>
  <c r="EP234" i="1"/>
  <c r="EQ233" i="1"/>
  <c r="EP233" i="1"/>
  <c r="EQ231" i="1"/>
  <c r="EP231" i="1"/>
  <c r="EQ230" i="1"/>
  <c r="EP230" i="1"/>
  <c r="EQ228" i="1"/>
  <c r="EP228" i="1"/>
  <c r="EP227" i="1"/>
  <c r="EQ227" i="1"/>
  <c r="EQ225" i="1"/>
  <c r="EP225" i="1"/>
  <c r="EP224" i="1"/>
  <c r="EQ224" i="1"/>
  <c r="EQ222" i="1"/>
  <c r="EP222" i="1"/>
  <c r="EQ221" i="1"/>
  <c r="EP221" i="1"/>
  <c r="EQ220" i="1"/>
  <c r="EP220" i="1"/>
  <c r="EQ219" i="1"/>
  <c r="EQ218" i="1"/>
  <c r="EP219" i="1"/>
  <c r="EP218" i="1"/>
  <c r="EQ216" i="1"/>
  <c r="EP216" i="1"/>
  <c r="EQ215" i="1"/>
  <c r="EP215" i="1"/>
  <c r="EQ214" i="1"/>
  <c r="EP214" i="1"/>
  <c r="EQ213" i="1"/>
  <c r="EQ212" i="1"/>
  <c r="EP213" i="1"/>
  <c r="EP212" i="1"/>
  <c r="EQ205" i="1"/>
  <c r="EQ204" i="1"/>
  <c r="EP205" i="1"/>
  <c r="EP204" i="1"/>
  <c r="EQ202" i="1"/>
  <c r="EQ201" i="1"/>
  <c r="EP202" i="1"/>
  <c r="EP201" i="1"/>
  <c r="EQ197" i="1"/>
  <c r="EP197" i="1"/>
  <c r="EQ196" i="1"/>
  <c r="EQ195" i="1"/>
  <c r="EP196" i="1"/>
  <c r="EP195" i="1"/>
  <c r="EQ193" i="1"/>
  <c r="EP193" i="1"/>
  <c r="EQ191" i="1"/>
  <c r="EP191" i="1"/>
  <c r="EQ189" i="1"/>
  <c r="EP189" i="1"/>
  <c r="EQ187" i="1"/>
  <c r="EP187" i="1"/>
  <c r="EQ185" i="1"/>
  <c r="EQ184" i="1"/>
  <c r="EP185" i="1"/>
  <c r="EP184" i="1"/>
  <c r="EQ182" i="1"/>
  <c r="EP182" i="1"/>
  <c r="EQ180" i="1"/>
  <c r="EP180" i="1"/>
  <c r="EQ179" i="1"/>
  <c r="EP179" i="1"/>
  <c r="EQ177" i="1"/>
  <c r="EP177" i="1"/>
  <c r="EQ176" i="1"/>
  <c r="EP176" i="1"/>
  <c r="EQ175" i="1"/>
  <c r="EP175" i="1"/>
  <c r="EQ174" i="1"/>
  <c r="EP174" i="1"/>
  <c r="EQ170" i="1"/>
  <c r="EP170" i="1"/>
  <c r="EQ169" i="1"/>
  <c r="EP169" i="1"/>
  <c r="EQ168" i="1"/>
  <c r="EQ167" i="1"/>
  <c r="EP168" i="1"/>
  <c r="EP167" i="1"/>
  <c r="EQ165" i="1"/>
  <c r="EP165" i="1"/>
  <c r="EQ163" i="1"/>
  <c r="EP163" i="1"/>
  <c r="EQ162" i="1"/>
  <c r="EP162" i="1"/>
  <c r="EQ161" i="1"/>
  <c r="EP161" i="1"/>
  <c r="EQ160" i="1"/>
  <c r="EP160" i="1"/>
  <c r="EP155" i="1"/>
  <c r="EQ159" i="1"/>
  <c r="EP159" i="1"/>
  <c r="EQ158" i="1"/>
  <c r="EP158" i="1"/>
  <c r="EQ157" i="1"/>
  <c r="EP157" i="1"/>
  <c r="EQ156" i="1"/>
  <c r="EP156" i="1"/>
  <c r="EQ153" i="1"/>
  <c r="EP153" i="1"/>
  <c r="EQ152" i="1"/>
  <c r="EP152" i="1"/>
  <c r="EQ151" i="1"/>
  <c r="EP151" i="1"/>
  <c r="EQ150" i="1"/>
  <c r="EP150" i="1"/>
  <c r="EQ149" i="1"/>
  <c r="EP149" i="1"/>
  <c r="EQ147" i="1"/>
  <c r="EP147" i="1"/>
  <c r="EP139" i="1"/>
  <c r="EQ146" i="1"/>
  <c r="EP146" i="1"/>
  <c r="EQ145" i="1"/>
  <c r="EP145" i="1"/>
  <c r="EQ144" i="1"/>
  <c r="EP144" i="1"/>
  <c r="EQ143" i="1"/>
  <c r="EP143" i="1"/>
  <c r="EQ142" i="1"/>
  <c r="EP142" i="1"/>
  <c r="EQ141" i="1"/>
  <c r="EP141" i="1"/>
  <c r="EQ140" i="1"/>
  <c r="EP140" i="1"/>
  <c r="EQ137" i="1"/>
  <c r="EP137" i="1"/>
  <c r="EQ134" i="1"/>
  <c r="EP134" i="1"/>
  <c r="EQ133" i="1"/>
  <c r="EP133" i="1"/>
  <c r="EQ132" i="1"/>
  <c r="EP132" i="1"/>
  <c r="EQ131" i="1"/>
  <c r="EP131" i="1"/>
  <c r="EQ129" i="1"/>
  <c r="EP129" i="1"/>
  <c r="EQ128" i="1"/>
  <c r="EP128" i="1"/>
  <c r="EQ127" i="1"/>
  <c r="EP127" i="1"/>
  <c r="EQ126" i="1"/>
  <c r="EQ125" i="1"/>
  <c r="EP126" i="1"/>
  <c r="EP125" i="1"/>
  <c r="EQ123" i="1"/>
  <c r="EP123" i="1"/>
  <c r="EQ122" i="1"/>
  <c r="EP122" i="1"/>
  <c r="EQ121" i="1"/>
  <c r="EP121" i="1"/>
  <c r="EQ120" i="1"/>
  <c r="EP120" i="1"/>
  <c r="EQ119" i="1"/>
  <c r="EQ118" i="1"/>
  <c r="EP119" i="1"/>
  <c r="EP118" i="1"/>
  <c r="EQ116" i="1"/>
  <c r="EP116" i="1"/>
  <c r="EQ115" i="1"/>
  <c r="EP115" i="1"/>
  <c r="EQ114" i="1"/>
  <c r="EP114" i="1"/>
  <c r="EQ113" i="1"/>
  <c r="EP113" i="1"/>
  <c r="EQ112" i="1"/>
  <c r="EQ111" i="1"/>
  <c r="EP112" i="1"/>
  <c r="EP111" i="1"/>
  <c r="EQ109" i="1"/>
  <c r="EP109" i="1"/>
  <c r="EQ108" i="1"/>
  <c r="EP108" i="1"/>
  <c r="EQ107" i="1"/>
  <c r="EQ106" i="1"/>
  <c r="EP107" i="1"/>
  <c r="EP106" i="1"/>
  <c r="EQ102" i="1"/>
  <c r="EP102" i="1"/>
  <c r="EQ101" i="1"/>
  <c r="EP101" i="1"/>
  <c r="EQ100" i="1"/>
  <c r="EP100" i="1"/>
  <c r="EQ99" i="1"/>
  <c r="EP99" i="1"/>
  <c r="EQ98" i="1"/>
  <c r="EP98" i="1"/>
  <c r="EQ97" i="1"/>
  <c r="EP97" i="1"/>
  <c r="EQ96" i="1"/>
  <c r="EP96" i="1"/>
  <c r="EQ95" i="1"/>
  <c r="EQ94" i="1"/>
  <c r="EP95" i="1"/>
  <c r="EP94" i="1"/>
  <c r="EQ92" i="1"/>
  <c r="EP92" i="1"/>
  <c r="EQ91" i="1"/>
  <c r="EP91" i="1"/>
  <c r="EQ90" i="1"/>
  <c r="EP90" i="1"/>
  <c r="EQ89" i="1"/>
  <c r="EP89" i="1"/>
  <c r="EQ88" i="1"/>
  <c r="EP88" i="1"/>
  <c r="EQ87" i="1"/>
  <c r="EP87" i="1"/>
  <c r="EQ86" i="1"/>
  <c r="EP86" i="1"/>
  <c r="EQ84" i="1"/>
  <c r="EP84" i="1"/>
  <c r="EQ83" i="1"/>
  <c r="EQ82" i="1"/>
  <c r="EP83" i="1"/>
  <c r="EP82" i="1"/>
  <c r="EQ80" i="1"/>
  <c r="EP80" i="1"/>
  <c r="EP77" i="1"/>
  <c r="EQ79" i="1"/>
  <c r="EP79" i="1"/>
  <c r="EQ78" i="1"/>
  <c r="EQ77" i="1"/>
  <c r="EP78" i="1"/>
  <c r="EQ75" i="1"/>
  <c r="EP75" i="1"/>
  <c r="EQ74" i="1"/>
  <c r="EP74" i="1"/>
  <c r="EQ73" i="1"/>
  <c r="EP73" i="1"/>
  <c r="EP72" i="1"/>
  <c r="EQ70" i="1"/>
  <c r="EP70" i="1"/>
  <c r="EQ69" i="1"/>
  <c r="EP69" i="1"/>
  <c r="EQ68" i="1"/>
  <c r="EP68" i="1"/>
  <c r="EQ65" i="1"/>
  <c r="EP65" i="1"/>
  <c r="EQ64" i="1"/>
  <c r="EP64" i="1"/>
  <c r="EP63" i="1"/>
  <c r="EQ63" i="1"/>
  <c r="EQ61" i="1"/>
  <c r="EP61" i="1"/>
  <c r="EQ59" i="1"/>
  <c r="EP59" i="1"/>
  <c r="EP58" i="1"/>
  <c r="EP52" i="1"/>
  <c r="EQ58" i="1"/>
  <c r="EQ57" i="1"/>
  <c r="EP57" i="1"/>
  <c r="EQ56" i="1"/>
  <c r="EP56" i="1"/>
  <c r="EQ55" i="1"/>
  <c r="EP55" i="1"/>
  <c r="EQ54" i="1"/>
  <c r="EP54" i="1"/>
  <c r="EQ53" i="1"/>
  <c r="EQ52" i="1"/>
  <c r="EP53" i="1"/>
  <c r="EQ50" i="1"/>
  <c r="EP50" i="1"/>
  <c r="EQ49" i="1"/>
  <c r="EP49" i="1"/>
  <c r="EQ48" i="1"/>
  <c r="EP48" i="1"/>
  <c r="EQ47" i="1"/>
  <c r="EP47" i="1"/>
  <c r="EQ46" i="1"/>
  <c r="EP46" i="1"/>
  <c r="EQ42" i="1"/>
  <c r="EP42" i="1"/>
  <c r="EQ41" i="1"/>
  <c r="EP41" i="1"/>
  <c r="EQ38" i="1"/>
  <c r="EQ36" i="1"/>
  <c r="EP36" i="1"/>
  <c r="EQ34" i="1"/>
  <c r="EP34" i="1"/>
  <c r="EQ33" i="1"/>
  <c r="EP33" i="1"/>
  <c r="EQ32" i="1"/>
  <c r="EP32" i="1"/>
  <c r="EQ31" i="1"/>
  <c r="EP31" i="1"/>
  <c r="EQ30" i="1"/>
  <c r="EP30" i="1"/>
  <c r="EQ28" i="1"/>
  <c r="EP28" i="1"/>
  <c r="EQ26" i="1"/>
  <c r="EP26" i="1"/>
  <c r="EQ24" i="1"/>
  <c r="EP24" i="1"/>
  <c r="EQ23" i="1"/>
  <c r="EP23" i="1"/>
  <c r="EQ22" i="1"/>
  <c r="EP22" i="1"/>
  <c r="EQ21" i="1"/>
  <c r="EP21" i="1"/>
  <c r="EQ19" i="1"/>
  <c r="EP19" i="1"/>
  <c r="EP14" i="1"/>
  <c r="ES860" i="1"/>
  <c r="ER860" i="1"/>
  <c r="ES856" i="1"/>
  <c r="ER856" i="1"/>
  <c r="ES845" i="1"/>
  <c r="ER845" i="1"/>
  <c r="ES842" i="1"/>
  <c r="ER842" i="1"/>
  <c r="ES827" i="1"/>
  <c r="ER827" i="1"/>
  <c r="ES790" i="1"/>
  <c r="ER790" i="1"/>
  <c r="ES783" i="1"/>
  <c r="ER783" i="1"/>
  <c r="ES768" i="1"/>
  <c r="ER768" i="1"/>
  <c r="ES742" i="1"/>
  <c r="ER742" i="1"/>
  <c r="ES738" i="1"/>
  <c r="ER738" i="1"/>
  <c r="ES728" i="1"/>
  <c r="ER728" i="1"/>
  <c r="ES725" i="1"/>
  <c r="ER725" i="1"/>
  <c r="ES718" i="1"/>
  <c r="ER718" i="1"/>
  <c r="ES711" i="1"/>
  <c r="ER711" i="1"/>
  <c r="ES705" i="1"/>
  <c r="ER705" i="1"/>
  <c r="ES702" i="1"/>
  <c r="ER702" i="1"/>
  <c r="ES699" i="1"/>
  <c r="ER699" i="1"/>
  <c r="ES696" i="1"/>
  <c r="ER696" i="1"/>
  <c r="ES693" i="1"/>
  <c r="ER693" i="1"/>
  <c r="ES685" i="1"/>
  <c r="ER685" i="1"/>
  <c r="ES681" i="1"/>
  <c r="ER681" i="1"/>
  <c r="ES669" i="1"/>
  <c r="ES664" i="1"/>
  <c r="ER669" i="1"/>
  <c r="ER664" i="1"/>
  <c r="ES666" i="1"/>
  <c r="ER666" i="1"/>
  <c r="ES655" i="1"/>
  <c r="ER655" i="1"/>
  <c r="ES645" i="1"/>
  <c r="ER645" i="1"/>
  <c r="ES637" i="1"/>
  <c r="ER637" i="1"/>
  <c r="ES634" i="1"/>
  <c r="ES632" i="1"/>
  <c r="ES630" i="1"/>
  <c r="ES628" i="1"/>
  <c r="ER634" i="1"/>
  <c r="ER632" i="1"/>
  <c r="ER630" i="1"/>
  <c r="ER628" i="1"/>
  <c r="ES625" i="1"/>
  <c r="ER625" i="1"/>
  <c r="ES621" i="1"/>
  <c r="ER621" i="1"/>
  <c r="ES619" i="1"/>
  <c r="ER619" i="1"/>
  <c r="ES616" i="1"/>
  <c r="ER616" i="1"/>
  <c r="ES613" i="1"/>
  <c r="ER613" i="1"/>
  <c r="ER611" i="1"/>
  <c r="ER609" i="1"/>
  <c r="ES606" i="1"/>
  <c r="ER606" i="1"/>
  <c r="ES600" i="1"/>
  <c r="ER600" i="1"/>
  <c r="ES592" i="1"/>
  <c r="ER592" i="1"/>
  <c r="ES585" i="1"/>
  <c r="ER585" i="1"/>
  <c r="ES581" i="1"/>
  <c r="ER581" i="1"/>
  <c r="ES579" i="1"/>
  <c r="ER579" i="1"/>
  <c r="ES571" i="1"/>
  <c r="ER571" i="1"/>
  <c r="ES569" i="1"/>
  <c r="ES567" i="1"/>
  <c r="ER569" i="1"/>
  <c r="ER567" i="1"/>
  <c r="ES563" i="1"/>
  <c r="ER563" i="1"/>
  <c r="ES558" i="1"/>
  <c r="ER558" i="1"/>
  <c r="ES555" i="1"/>
  <c r="ER555" i="1"/>
  <c r="ES549" i="1"/>
  <c r="ER549" i="1"/>
  <c r="ES543" i="1"/>
  <c r="ER543" i="1"/>
  <c r="ES535" i="1"/>
  <c r="ER535" i="1"/>
  <c r="ES532" i="1"/>
  <c r="ER532" i="1"/>
  <c r="ES526" i="1"/>
  <c r="ER526" i="1"/>
  <c r="ES507" i="1"/>
  <c r="ES505" i="1"/>
  <c r="ER507" i="1"/>
  <c r="ER505" i="1"/>
  <c r="ES500" i="1"/>
  <c r="ER500" i="1"/>
  <c r="ES488" i="1"/>
  <c r="ER488" i="1"/>
  <c r="ES482" i="1"/>
  <c r="ER482" i="1"/>
  <c r="ES472" i="1"/>
  <c r="ER472" i="1"/>
  <c r="ES464" i="1"/>
  <c r="ER464" i="1"/>
  <c r="ES458" i="1"/>
  <c r="ER458" i="1"/>
  <c r="ES451" i="1"/>
  <c r="ER451" i="1"/>
  <c r="ES444" i="1"/>
  <c r="ER444" i="1"/>
  <c r="ES439" i="1"/>
  <c r="ER439" i="1"/>
  <c r="ES427" i="1"/>
  <c r="ER427" i="1"/>
  <c r="ES419" i="1"/>
  <c r="ER419" i="1"/>
  <c r="ES416" i="1"/>
  <c r="ER416" i="1"/>
  <c r="ES411" i="1"/>
  <c r="ER411" i="1"/>
  <c r="ES406" i="1"/>
  <c r="ER406" i="1"/>
  <c r="ES401" i="1"/>
  <c r="ER401" i="1"/>
  <c r="ES397" i="1"/>
  <c r="ER397" i="1"/>
  <c r="ES386" i="1"/>
  <c r="ER386" i="1"/>
  <c r="ES380" i="1"/>
  <c r="ER380" i="1"/>
  <c r="ES375" i="1"/>
  <c r="ER375" i="1"/>
  <c r="ES368" i="1"/>
  <c r="ER368" i="1"/>
  <c r="ES366" i="1"/>
  <c r="ER366" i="1"/>
  <c r="ES361" i="1"/>
  <c r="ER361" i="1"/>
  <c r="ES358" i="1"/>
  <c r="ER358" i="1"/>
  <c r="ES354" i="1"/>
  <c r="ER354" i="1"/>
  <c r="ES349" i="1"/>
  <c r="ES347" i="1"/>
  <c r="ER349" i="1"/>
  <c r="ER347" i="1"/>
  <c r="ES329" i="1"/>
  <c r="ER329" i="1"/>
  <c r="ES326" i="1"/>
  <c r="ER326" i="1"/>
  <c r="ES322" i="1"/>
  <c r="ER322" i="1"/>
  <c r="ER308" i="1"/>
  <c r="ER242" i="1"/>
  <c r="ES319" i="1"/>
  <c r="ER319" i="1"/>
  <c r="ES316" i="1"/>
  <c r="ER316" i="1"/>
  <c r="ES313" i="1"/>
  <c r="ER313" i="1"/>
  <c r="ES310" i="1"/>
  <c r="ER310" i="1"/>
  <c r="ES308" i="1"/>
  <c r="ES305" i="1"/>
  <c r="ER305" i="1"/>
  <c r="ES302" i="1"/>
  <c r="ER302" i="1"/>
  <c r="ES298" i="1"/>
  <c r="ER298" i="1"/>
  <c r="ES293" i="1"/>
  <c r="ER293" i="1"/>
  <c r="ES288" i="1"/>
  <c r="ER288" i="1"/>
  <c r="ES279" i="1"/>
  <c r="ER279" i="1"/>
  <c r="ES275" i="1"/>
  <c r="ER275" i="1"/>
  <c r="ES267" i="1"/>
  <c r="ER267" i="1"/>
  <c r="ES259" i="1"/>
  <c r="ER259" i="1"/>
  <c r="ES251" i="1"/>
  <c r="ER251" i="1"/>
  <c r="ES246" i="1"/>
  <c r="ER246" i="1"/>
  <c r="ES238" i="1"/>
  <c r="ER238" i="1"/>
  <c r="ES237" i="1"/>
  <c r="ER237" i="1"/>
  <c r="ES236" i="1"/>
  <c r="ER236" i="1"/>
  <c r="ES234" i="1"/>
  <c r="ER234" i="1"/>
  <c r="ES233" i="1"/>
  <c r="ER233" i="1"/>
  <c r="ES231" i="1"/>
  <c r="ER231" i="1"/>
  <c r="ES230" i="1"/>
  <c r="ER230" i="1"/>
  <c r="ES228" i="1"/>
  <c r="ES227" i="1"/>
  <c r="ER228" i="1"/>
  <c r="ER227" i="1"/>
  <c r="ES225" i="1"/>
  <c r="ES224" i="1"/>
  <c r="ER225" i="1"/>
  <c r="ER224" i="1"/>
  <c r="ES222" i="1"/>
  <c r="ER222" i="1"/>
  <c r="ES221" i="1"/>
  <c r="ER221" i="1"/>
  <c r="ES220" i="1"/>
  <c r="ER220" i="1"/>
  <c r="ES219" i="1"/>
  <c r="ES218" i="1"/>
  <c r="ER219" i="1"/>
  <c r="ER218" i="1"/>
  <c r="ES216" i="1"/>
  <c r="ER216" i="1"/>
  <c r="ES215" i="1"/>
  <c r="ER215" i="1"/>
  <c r="ES214" i="1"/>
  <c r="ER214" i="1"/>
  <c r="ES213" i="1"/>
  <c r="ES212" i="1"/>
  <c r="ER213" i="1"/>
  <c r="ER212" i="1"/>
  <c r="ES205" i="1"/>
  <c r="ES204" i="1"/>
  <c r="ER205" i="1"/>
  <c r="ER204" i="1"/>
  <c r="ES202" i="1"/>
  <c r="ES201" i="1"/>
  <c r="ER202" i="1"/>
  <c r="ER201" i="1"/>
  <c r="ES197" i="1"/>
  <c r="ER197" i="1"/>
  <c r="ES196" i="1"/>
  <c r="ES195" i="1"/>
  <c r="ER196" i="1"/>
  <c r="ER195" i="1"/>
  <c r="ES193" i="1"/>
  <c r="ER193" i="1"/>
  <c r="ES191" i="1"/>
  <c r="ER191" i="1"/>
  <c r="ES189" i="1"/>
  <c r="ER189" i="1"/>
  <c r="ES187" i="1"/>
  <c r="ER187" i="1"/>
  <c r="ES185" i="1"/>
  <c r="ES184" i="1"/>
  <c r="ER185" i="1"/>
  <c r="ER184" i="1"/>
  <c r="ES182" i="1"/>
  <c r="ER182" i="1"/>
  <c r="ES180" i="1"/>
  <c r="ER180" i="1"/>
  <c r="ES179" i="1"/>
  <c r="ER179" i="1"/>
  <c r="ES177" i="1"/>
  <c r="ER177" i="1"/>
  <c r="ES176" i="1"/>
  <c r="ER176" i="1"/>
  <c r="ES175" i="1"/>
  <c r="ER175" i="1"/>
  <c r="ES174" i="1"/>
  <c r="ER174" i="1"/>
  <c r="ES170" i="1"/>
  <c r="ER170" i="1"/>
  <c r="ES169" i="1"/>
  <c r="ER169" i="1"/>
  <c r="ES168" i="1"/>
  <c r="ES167" i="1"/>
  <c r="ER168" i="1"/>
  <c r="ER167" i="1"/>
  <c r="ES165" i="1"/>
  <c r="ER165" i="1"/>
  <c r="ES163" i="1"/>
  <c r="ER163" i="1"/>
  <c r="ES162" i="1"/>
  <c r="ER162" i="1"/>
  <c r="ES161" i="1"/>
  <c r="ER161" i="1"/>
  <c r="ES160" i="1"/>
  <c r="ES155" i="1"/>
  <c r="ER160" i="1"/>
  <c r="ES159" i="1"/>
  <c r="ER159" i="1"/>
  <c r="ES158" i="1"/>
  <c r="ER158" i="1"/>
  <c r="ES157" i="1"/>
  <c r="ER157" i="1"/>
  <c r="ES156" i="1"/>
  <c r="ER156" i="1"/>
  <c r="ER155" i="1"/>
  <c r="ER104" i="1"/>
  <c r="ES153" i="1"/>
  <c r="ER153" i="1"/>
  <c r="ES152" i="1"/>
  <c r="ER152" i="1"/>
  <c r="ES151" i="1"/>
  <c r="ER151" i="1"/>
  <c r="ES150" i="1"/>
  <c r="ER150" i="1"/>
  <c r="ES149" i="1"/>
  <c r="ER149" i="1"/>
  <c r="ES147" i="1"/>
  <c r="ER147" i="1"/>
  <c r="ES146" i="1"/>
  <c r="ER146" i="1"/>
  <c r="ES145" i="1"/>
  <c r="ER145" i="1"/>
  <c r="ES144" i="1"/>
  <c r="ER144" i="1"/>
  <c r="ES143" i="1"/>
  <c r="ER143" i="1"/>
  <c r="ES142" i="1"/>
  <c r="ER142" i="1"/>
  <c r="ES141" i="1"/>
  <c r="ER141" i="1"/>
  <c r="ES140" i="1"/>
  <c r="ES139" i="1"/>
  <c r="ER140" i="1"/>
  <c r="ES137" i="1"/>
  <c r="ER137" i="1"/>
  <c r="ES134" i="1"/>
  <c r="ER134" i="1"/>
  <c r="ES133" i="1"/>
  <c r="ER133" i="1"/>
  <c r="ES132" i="1"/>
  <c r="ER132" i="1"/>
  <c r="ER131" i="1"/>
  <c r="ES131" i="1"/>
  <c r="ES129" i="1"/>
  <c r="ES125" i="1"/>
  <c r="ER129" i="1"/>
  <c r="ES128" i="1"/>
  <c r="ER128" i="1"/>
  <c r="ES127" i="1"/>
  <c r="ER127" i="1"/>
  <c r="ES126" i="1"/>
  <c r="ER126" i="1"/>
  <c r="ER125" i="1"/>
  <c r="ES123" i="1"/>
  <c r="ER123" i="1"/>
  <c r="ES122" i="1"/>
  <c r="ER122" i="1"/>
  <c r="ES121" i="1"/>
  <c r="ER121" i="1"/>
  <c r="ES120" i="1"/>
  <c r="ER120" i="1"/>
  <c r="ES119" i="1"/>
  <c r="ES118" i="1"/>
  <c r="ER119" i="1"/>
  <c r="ER118" i="1"/>
  <c r="ES116" i="1"/>
  <c r="ER116" i="1"/>
  <c r="ES115" i="1"/>
  <c r="ER115" i="1"/>
  <c r="ES114" i="1"/>
  <c r="ER114" i="1"/>
  <c r="ES113" i="1"/>
  <c r="ER113" i="1"/>
  <c r="ES112" i="1"/>
  <c r="ES111" i="1"/>
  <c r="ER112" i="1"/>
  <c r="ER111" i="1"/>
  <c r="ES109" i="1"/>
  <c r="ER109" i="1"/>
  <c r="ES108" i="1"/>
  <c r="ER108" i="1"/>
  <c r="ES107" i="1"/>
  <c r="ES106" i="1"/>
  <c r="ER107" i="1"/>
  <c r="ER106" i="1"/>
  <c r="ES102" i="1"/>
  <c r="ER102" i="1"/>
  <c r="ES101" i="1"/>
  <c r="ER101" i="1"/>
  <c r="ES100" i="1"/>
  <c r="ER100" i="1"/>
  <c r="ES99" i="1"/>
  <c r="ER99" i="1"/>
  <c r="ES98" i="1"/>
  <c r="ER98" i="1"/>
  <c r="ES97" i="1"/>
  <c r="ER97" i="1"/>
  <c r="ES96" i="1"/>
  <c r="ER96" i="1"/>
  <c r="ES95" i="1"/>
  <c r="ES94" i="1"/>
  <c r="ER95" i="1"/>
  <c r="ER94" i="1"/>
  <c r="ES92" i="1"/>
  <c r="ER92" i="1"/>
  <c r="ES91" i="1"/>
  <c r="ER91" i="1"/>
  <c r="ES90" i="1"/>
  <c r="ER90" i="1"/>
  <c r="ES89" i="1"/>
  <c r="ER89" i="1"/>
  <c r="ES88" i="1"/>
  <c r="ER88" i="1"/>
  <c r="ES87" i="1"/>
  <c r="ER87" i="1"/>
  <c r="ES86" i="1"/>
  <c r="ER86" i="1"/>
  <c r="ES84" i="1"/>
  <c r="ER84" i="1"/>
  <c r="ES83" i="1"/>
  <c r="ES82" i="1"/>
  <c r="ER83" i="1"/>
  <c r="ER82" i="1"/>
  <c r="ES80" i="1"/>
  <c r="ER80" i="1"/>
  <c r="ER77" i="1"/>
  <c r="ES79" i="1"/>
  <c r="ER79" i="1"/>
  <c r="ES78" i="1"/>
  <c r="ES77" i="1"/>
  <c r="ER78" i="1"/>
  <c r="ES75" i="1"/>
  <c r="ER75" i="1"/>
  <c r="ES74" i="1"/>
  <c r="ER74" i="1"/>
  <c r="ES73" i="1"/>
  <c r="ER73" i="1"/>
  <c r="ER72" i="1"/>
  <c r="ES70" i="1"/>
  <c r="ER70" i="1"/>
  <c r="ES69" i="1"/>
  <c r="ER69" i="1"/>
  <c r="ES68" i="1"/>
  <c r="ER68" i="1"/>
  <c r="ES65" i="1"/>
  <c r="ER65" i="1"/>
  <c r="ES64" i="1"/>
  <c r="ES63" i="1"/>
  <c r="ER64" i="1"/>
  <c r="ER63" i="1"/>
  <c r="ES61" i="1"/>
  <c r="ER61" i="1"/>
  <c r="ES59" i="1"/>
  <c r="ER59" i="1"/>
  <c r="ES58" i="1"/>
  <c r="ER58" i="1"/>
  <c r="ES57" i="1"/>
  <c r="ER57" i="1"/>
  <c r="ES56" i="1"/>
  <c r="ER56" i="1"/>
  <c r="ES55" i="1"/>
  <c r="ER55" i="1"/>
  <c r="ES54" i="1"/>
  <c r="ER54" i="1"/>
  <c r="ES53" i="1"/>
  <c r="ES52" i="1"/>
  <c r="ER53" i="1"/>
  <c r="ER52" i="1"/>
  <c r="ES50" i="1"/>
  <c r="ER50" i="1"/>
  <c r="ES49" i="1"/>
  <c r="ER49" i="1"/>
  <c r="ES48" i="1"/>
  <c r="ER48" i="1"/>
  <c r="ES47" i="1"/>
  <c r="ER47" i="1"/>
  <c r="ES46" i="1"/>
  <c r="ER46" i="1"/>
  <c r="ES42" i="1"/>
  <c r="ER42" i="1"/>
  <c r="ES41" i="1"/>
  <c r="ER41" i="1"/>
  <c r="ER38" i="1"/>
  <c r="ES36" i="1"/>
  <c r="ER36" i="1"/>
  <c r="ES34" i="1"/>
  <c r="ER34" i="1"/>
  <c r="ES33" i="1"/>
  <c r="ER33" i="1"/>
  <c r="ES32" i="1"/>
  <c r="ER32" i="1"/>
  <c r="ES31" i="1"/>
  <c r="ER31" i="1"/>
  <c r="ES30" i="1"/>
  <c r="ER30" i="1"/>
  <c r="ES28" i="1"/>
  <c r="ER28" i="1"/>
  <c r="ES26" i="1"/>
  <c r="ER26" i="1"/>
  <c r="ES24" i="1"/>
  <c r="ER24" i="1"/>
  <c r="ES23" i="1"/>
  <c r="ER23" i="1"/>
  <c r="ES22" i="1"/>
  <c r="ER22" i="1"/>
  <c r="ES21" i="1"/>
  <c r="ER21" i="1"/>
  <c r="ES19" i="1"/>
  <c r="ER19" i="1"/>
  <c r="EU860" i="1"/>
  <c r="ET860" i="1"/>
  <c r="EU856" i="1"/>
  <c r="ET856" i="1"/>
  <c r="EU845" i="1"/>
  <c r="ET845" i="1"/>
  <c r="EU842" i="1"/>
  <c r="ET842" i="1"/>
  <c r="EU827" i="1"/>
  <c r="ET827" i="1"/>
  <c r="EU790" i="1"/>
  <c r="ET790" i="1"/>
  <c r="EU783" i="1"/>
  <c r="ET783" i="1"/>
  <c r="EU768" i="1"/>
  <c r="ET768" i="1"/>
  <c r="EU742" i="1"/>
  <c r="ET742" i="1"/>
  <c r="EU738" i="1"/>
  <c r="ET738" i="1"/>
  <c r="EU728" i="1"/>
  <c r="ET728" i="1"/>
  <c r="EU725" i="1"/>
  <c r="EU721" i="1"/>
  <c r="ET725" i="1"/>
  <c r="ET721" i="1"/>
  <c r="EU718" i="1"/>
  <c r="ET718" i="1"/>
  <c r="EU711" i="1"/>
  <c r="ET711" i="1"/>
  <c r="EU705" i="1"/>
  <c r="ET705" i="1"/>
  <c r="EU702" i="1"/>
  <c r="ET702" i="1"/>
  <c r="EU699" i="1"/>
  <c r="ET699" i="1"/>
  <c r="EU696" i="1"/>
  <c r="ET696" i="1"/>
  <c r="EU693" i="1"/>
  <c r="ET693" i="1"/>
  <c r="EU685" i="1"/>
  <c r="ET685" i="1"/>
  <c r="EU681" i="1"/>
  <c r="ET681" i="1"/>
  <c r="EU669" i="1"/>
  <c r="EU664" i="1"/>
  <c r="EU662" i="1"/>
  <c r="ET669" i="1"/>
  <c r="ET664" i="1"/>
  <c r="EU666" i="1"/>
  <c r="ET666" i="1"/>
  <c r="EU655" i="1"/>
  <c r="ET655" i="1"/>
  <c r="EU645" i="1"/>
  <c r="ET645" i="1"/>
  <c r="EU637" i="1"/>
  <c r="ET637" i="1"/>
  <c r="EU634" i="1"/>
  <c r="ET634" i="1"/>
  <c r="EU632" i="1"/>
  <c r="EU630" i="1"/>
  <c r="EU628" i="1"/>
  <c r="ET632" i="1"/>
  <c r="ET630" i="1"/>
  <c r="ET628" i="1"/>
  <c r="EU625" i="1"/>
  <c r="ET625" i="1"/>
  <c r="EU621" i="1"/>
  <c r="ET621" i="1"/>
  <c r="EU616" i="1"/>
  <c r="ET616" i="1"/>
  <c r="EU613" i="1"/>
  <c r="ET613" i="1"/>
  <c r="EU611" i="1"/>
  <c r="ET611" i="1"/>
  <c r="EU606" i="1"/>
  <c r="ET606" i="1"/>
  <c r="EU600" i="1"/>
  <c r="ET600" i="1"/>
  <c r="EU592" i="1"/>
  <c r="ET592" i="1"/>
  <c r="EU585" i="1"/>
  <c r="ET585" i="1"/>
  <c r="EU581" i="1"/>
  <c r="ET581" i="1"/>
  <c r="ET579" i="1"/>
  <c r="ET577" i="1"/>
  <c r="EU579" i="1"/>
  <c r="EU577" i="1"/>
  <c r="EU571" i="1"/>
  <c r="ET571" i="1"/>
  <c r="ET569" i="1"/>
  <c r="ET567" i="1"/>
  <c r="EU569" i="1"/>
  <c r="EU567" i="1"/>
  <c r="EU563" i="1"/>
  <c r="ET563" i="1"/>
  <c r="EU558" i="1"/>
  <c r="ET558" i="1"/>
  <c r="EU555" i="1"/>
  <c r="EU541" i="1"/>
  <c r="ET555" i="1"/>
  <c r="ET541" i="1"/>
  <c r="EU549" i="1"/>
  <c r="ET549" i="1"/>
  <c r="EU543" i="1"/>
  <c r="ET543" i="1"/>
  <c r="EU535" i="1"/>
  <c r="ET535" i="1"/>
  <c r="EU532" i="1"/>
  <c r="ET532" i="1"/>
  <c r="EU526" i="1"/>
  <c r="ET526" i="1"/>
  <c r="EU507" i="1"/>
  <c r="ET507" i="1"/>
  <c r="EU505" i="1"/>
  <c r="ET505" i="1"/>
  <c r="EU500" i="1"/>
  <c r="ET500" i="1"/>
  <c r="EU488" i="1"/>
  <c r="ET488" i="1"/>
  <c r="EU482" i="1"/>
  <c r="ET482" i="1"/>
  <c r="EU472" i="1"/>
  <c r="ET472" i="1"/>
  <c r="EU464" i="1"/>
  <c r="ET464" i="1"/>
  <c r="EU458" i="1"/>
  <c r="ET458" i="1"/>
  <c r="EU451" i="1"/>
  <c r="ET451" i="1"/>
  <c r="EU444" i="1"/>
  <c r="ET444" i="1"/>
  <c r="EU439" i="1"/>
  <c r="EU437" i="1"/>
  <c r="ET439" i="1"/>
  <c r="ET437" i="1"/>
  <c r="EU427" i="1"/>
  <c r="ET427" i="1"/>
  <c r="ET386" i="1"/>
  <c r="ET378" i="1"/>
  <c r="ET364" i="1"/>
  <c r="EU419" i="1"/>
  <c r="ET419" i="1"/>
  <c r="EU416" i="1"/>
  <c r="ET416" i="1"/>
  <c r="EU411" i="1"/>
  <c r="ET411" i="1"/>
  <c r="EU406" i="1"/>
  <c r="ET406" i="1"/>
  <c r="EU401" i="1"/>
  <c r="ET401" i="1"/>
  <c r="EU397" i="1"/>
  <c r="ET397" i="1"/>
  <c r="EU386" i="1"/>
  <c r="EU380" i="1"/>
  <c r="ET380" i="1"/>
  <c r="EU375" i="1"/>
  <c r="ET375" i="1"/>
  <c r="EU368" i="1"/>
  <c r="EU366" i="1"/>
  <c r="ET368" i="1"/>
  <c r="ET366" i="1"/>
  <c r="EU361" i="1"/>
  <c r="ET361" i="1"/>
  <c r="EU358" i="1"/>
  <c r="ET358" i="1"/>
  <c r="EU354" i="1"/>
  <c r="ET354" i="1"/>
  <c r="EU349" i="1"/>
  <c r="EU347" i="1"/>
  <c r="ET349" i="1"/>
  <c r="ET347" i="1"/>
  <c r="EU329" i="1"/>
  <c r="ET329" i="1"/>
  <c r="EU326" i="1"/>
  <c r="ET326" i="1"/>
  <c r="EU322" i="1"/>
  <c r="ET322" i="1"/>
  <c r="EU319" i="1"/>
  <c r="ET319" i="1"/>
  <c r="EU316" i="1"/>
  <c r="ET316" i="1"/>
  <c r="EU313" i="1"/>
  <c r="ET313" i="1"/>
  <c r="EU310" i="1"/>
  <c r="EU308" i="1"/>
  <c r="ET310" i="1"/>
  <c r="ET308" i="1"/>
  <c r="EU305" i="1"/>
  <c r="ET305" i="1"/>
  <c r="EU302" i="1"/>
  <c r="ET302" i="1"/>
  <c r="EU298" i="1"/>
  <c r="ET298" i="1"/>
  <c r="EU293" i="1"/>
  <c r="ET293" i="1"/>
  <c r="EU288" i="1"/>
  <c r="ET288" i="1"/>
  <c r="EU279" i="1"/>
  <c r="ET279" i="1"/>
  <c r="EU275" i="1"/>
  <c r="ET275" i="1"/>
  <c r="EU267" i="1"/>
  <c r="ET267" i="1"/>
  <c r="EU259" i="1"/>
  <c r="ET259" i="1"/>
  <c r="EU251" i="1"/>
  <c r="ET251" i="1"/>
  <c r="EU246" i="1"/>
  <c r="ET246" i="1"/>
  <c r="EU244" i="1"/>
  <c r="ET244" i="1"/>
  <c r="EU238" i="1"/>
  <c r="ET238" i="1"/>
  <c r="EU237" i="1"/>
  <c r="EU236" i="1"/>
  <c r="ET237" i="1"/>
  <c r="ET236" i="1"/>
  <c r="EU234" i="1"/>
  <c r="ET234" i="1"/>
  <c r="EU233" i="1"/>
  <c r="ET233" i="1"/>
  <c r="EU231" i="1"/>
  <c r="EU230" i="1"/>
  <c r="ET231" i="1"/>
  <c r="ET230" i="1"/>
  <c r="EU228" i="1"/>
  <c r="EU227" i="1"/>
  <c r="ET228" i="1"/>
  <c r="ET227" i="1"/>
  <c r="EU225" i="1"/>
  <c r="EU224" i="1"/>
  <c r="ET225" i="1"/>
  <c r="ET224" i="1"/>
  <c r="EU222" i="1"/>
  <c r="ET222" i="1"/>
  <c r="EU221" i="1"/>
  <c r="ET221" i="1"/>
  <c r="EU220" i="1"/>
  <c r="ET220" i="1"/>
  <c r="EU219" i="1"/>
  <c r="ET219" i="1"/>
  <c r="EU218" i="1"/>
  <c r="ET218" i="1"/>
  <c r="EU216" i="1"/>
  <c r="ET216" i="1"/>
  <c r="EU215" i="1"/>
  <c r="ET215" i="1"/>
  <c r="EU214" i="1"/>
  <c r="ET214" i="1"/>
  <c r="EU213" i="1"/>
  <c r="EU212" i="1"/>
  <c r="ET213" i="1"/>
  <c r="ET212" i="1"/>
  <c r="EU205" i="1"/>
  <c r="ET205" i="1"/>
  <c r="EU204" i="1"/>
  <c r="ET204" i="1"/>
  <c r="EU202" i="1"/>
  <c r="EU201" i="1"/>
  <c r="EU199" i="1"/>
  <c r="ET202" i="1"/>
  <c r="ET201" i="1"/>
  <c r="ET199" i="1"/>
  <c r="EU197" i="1"/>
  <c r="ET197" i="1"/>
  <c r="EU196" i="1"/>
  <c r="ET196" i="1"/>
  <c r="EU195" i="1"/>
  <c r="ET195" i="1"/>
  <c r="EU193" i="1"/>
  <c r="ET193" i="1"/>
  <c r="EU191" i="1"/>
  <c r="ET191" i="1"/>
  <c r="EU189" i="1"/>
  <c r="ET189" i="1"/>
  <c r="EU187" i="1"/>
  <c r="ET187" i="1"/>
  <c r="EU185" i="1"/>
  <c r="ET185" i="1"/>
  <c r="EU184" i="1"/>
  <c r="ET184" i="1"/>
  <c r="EU182" i="1"/>
  <c r="ET182" i="1"/>
  <c r="EU180" i="1"/>
  <c r="EU179" i="1"/>
  <c r="ET180" i="1"/>
  <c r="ET179" i="1"/>
  <c r="EU177" i="1"/>
  <c r="ET177" i="1"/>
  <c r="EU176" i="1"/>
  <c r="ET176" i="1"/>
  <c r="EU175" i="1"/>
  <c r="EU174" i="1"/>
  <c r="EU172" i="1"/>
  <c r="ET175" i="1"/>
  <c r="ET174" i="1"/>
  <c r="EU170" i="1"/>
  <c r="ET170" i="1"/>
  <c r="EU169" i="1"/>
  <c r="ET169" i="1"/>
  <c r="EU168" i="1"/>
  <c r="EU167" i="1"/>
  <c r="ET168" i="1"/>
  <c r="ET167" i="1"/>
  <c r="EU165" i="1"/>
  <c r="ET165" i="1"/>
  <c r="EU163" i="1"/>
  <c r="ET163" i="1"/>
  <c r="EU162" i="1"/>
  <c r="ET162" i="1"/>
  <c r="EU161" i="1"/>
  <c r="ET161" i="1"/>
  <c r="EU160" i="1"/>
  <c r="ET160" i="1"/>
  <c r="ET155" i="1"/>
  <c r="ET104" i="1"/>
  <c r="EU159" i="1"/>
  <c r="ET159" i="1"/>
  <c r="EU158" i="1"/>
  <c r="ET158" i="1"/>
  <c r="EU157" i="1"/>
  <c r="ET157" i="1"/>
  <c r="EU156" i="1"/>
  <c r="ET156" i="1"/>
  <c r="EU155" i="1"/>
  <c r="EU153" i="1"/>
  <c r="ET153" i="1"/>
  <c r="EU152" i="1"/>
  <c r="ET152" i="1"/>
  <c r="EU151" i="1"/>
  <c r="ET151" i="1"/>
  <c r="EU150" i="1"/>
  <c r="EU149" i="1"/>
  <c r="ET150" i="1"/>
  <c r="ET149" i="1"/>
  <c r="EU147" i="1"/>
  <c r="ET147" i="1"/>
  <c r="EU146" i="1"/>
  <c r="ET146" i="1"/>
  <c r="EU145" i="1"/>
  <c r="ET145" i="1"/>
  <c r="EU144" i="1"/>
  <c r="ET144" i="1"/>
  <c r="EU143" i="1"/>
  <c r="ET143" i="1"/>
  <c r="EU142" i="1"/>
  <c r="ET142" i="1"/>
  <c r="EU141" i="1"/>
  <c r="ET141" i="1"/>
  <c r="EU140" i="1"/>
  <c r="ET140" i="1"/>
  <c r="EU139" i="1"/>
  <c r="ET139" i="1"/>
  <c r="EU137" i="1"/>
  <c r="ET137" i="1"/>
  <c r="EU134" i="1"/>
  <c r="ET134" i="1"/>
  <c r="EU133" i="1"/>
  <c r="ET133" i="1"/>
  <c r="EU132" i="1"/>
  <c r="EU131" i="1"/>
  <c r="ET132" i="1"/>
  <c r="EU129" i="1"/>
  <c r="ET129" i="1"/>
  <c r="EU128" i="1"/>
  <c r="ET128" i="1"/>
  <c r="EU127" i="1"/>
  <c r="ET127" i="1"/>
  <c r="EU126" i="1"/>
  <c r="ET126" i="1"/>
  <c r="EU125" i="1"/>
  <c r="ET125" i="1"/>
  <c r="EU123" i="1"/>
  <c r="ET123" i="1"/>
  <c r="EU122" i="1"/>
  <c r="ET122" i="1"/>
  <c r="EU121" i="1"/>
  <c r="ET121" i="1"/>
  <c r="EU120" i="1"/>
  <c r="ET120" i="1"/>
  <c r="EU119" i="1"/>
  <c r="ET119" i="1"/>
  <c r="EU118" i="1"/>
  <c r="ET118" i="1"/>
  <c r="EU116" i="1"/>
  <c r="ET116" i="1"/>
  <c r="EU115" i="1"/>
  <c r="ET115" i="1"/>
  <c r="EU114" i="1"/>
  <c r="ET114" i="1"/>
  <c r="EU113" i="1"/>
  <c r="ET113" i="1"/>
  <c r="EU112" i="1"/>
  <c r="ET112" i="1"/>
  <c r="EU111" i="1"/>
  <c r="ET111" i="1"/>
  <c r="EU109" i="1"/>
  <c r="ET109" i="1"/>
  <c r="EU108" i="1"/>
  <c r="ET108" i="1"/>
  <c r="EU107" i="1"/>
  <c r="ET107" i="1"/>
  <c r="ET106" i="1"/>
  <c r="EU102" i="1"/>
  <c r="ET102" i="1"/>
  <c r="EU101" i="1"/>
  <c r="ET101" i="1"/>
  <c r="ET95" i="1"/>
  <c r="ET96" i="1"/>
  <c r="ET97" i="1"/>
  <c r="ET98" i="1"/>
  <c r="ET99" i="1"/>
  <c r="ET100" i="1"/>
  <c r="ET94" i="1"/>
  <c r="EU100" i="1"/>
  <c r="EU99" i="1"/>
  <c r="EU98" i="1"/>
  <c r="EU97" i="1"/>
  <c r="EU96" i="1"/>
  <c r="EU95" i="1"/>
  <c r="EU94" i="1"/>
  <c r="EU92" i="1"/>
  <c r="ET92" i="1"/>
  <c r="EU91" i="1"/>
  <c r="ET91" i="1"/>
  <c r="EU90" i="1"/>
  <c r="ET90" i="1"/>
  <c r="EU89" i="1"/>
  <c r="ET89" i="1"/>
  <c r="EU88" i="1"/>
  <c r="ET88" i="1"/>
  <c r="EU87" i="1"/>
  <c r="EU86" i="1"/>
  <c r="ET87" i="1"/>
  <c r="ET86" i="1"/>
  <c r="EU84" i="1"/>
  <c r="ET84" i="1"/>
  <c r="EU83" i="1"/>
  <c r="ET83" i="1"/>
  <c r="EU82" i="1"/>
  <c r="ET82" i="1"/>
  <c r="EU80" i="1"/>
  <c r="ET80" i="1"/>
  <c r="EU79" i="1"/>
  <c r="ET79" i="1"/>
  <c r="EU78" i="1"/>
  <c r="ET78" i="1"/>
  <c r="EU77" i="1"/>
  <c r="ET77" i="1"/>
  <c r="EU75" i="1"/>
  <c r="ET75" i="1"/>
  <c r="EU74" i="1"/>
  <c r="ET74" i="1"/>
  <c r="EU73" i="1"/>
  <c r="EU72" i="1"/>
  <c r="ET73" i="1"/>
  <c r="EU70" i="1"/>
  <c r="ET70" i="1"/>
  <c r="EU69" i="1"/>
  <c r="ET69" i="1"/>
  <c r="EU68" i="1"/>
  <c r="EU67" i="1"/>
  <c r="EU58" i="1"/>
  <c r="EU59" i="1"/>
  <c r="EU52" i="1"/>
  <c r="EU44" i="1"/>
  <c r="ET68" i="1"/>
  <c r="ET67" i="1"/>
  <c r="EU65" i="1"/>
  <c r="ET65" i="1"/>
  <c r="EU64" i="1"/>
  <c r="EU63" i="1"/>
  <c r="ET64" i="1"/>
  <c r="ET63" i="1"/>
  <c r="EU61" i="1"/>
  <c r="ET61" i="1"/>
  <c r="ET59" i="1"/>
  <c r="ET58" i="1"/>
  <c r="EU57" i="1"/>
  <c r="ET57" i="1"/>
  <c r="EU56" i="1"/>
  <c r="ET56" i="1"/>
  <c r="EU55" i="1"/>
  <c r="ET55" i="1"/>
  <c r="EU54" i="1"/>
  <c r="ET54" i="1"/>
  <c r="EU53" i="1"/>
  <c r="ET53" i="1"/>
  <c r="ET52" i="1"/>
  <c r="EU50" i="1"/>
  <c r="ET50" i="1"/>
  <c r="EU49" i="1"/>
  <c r="ET49" i="1"/>
  <c r="EU48" i="1"/>
  <c r="ET48" i="1"/>
  <c r="EU47" i="1"/>
  <c r="EU46" i="1"/>
  <c r="ET47" i="1"/>
  <c r="ET46" i="1"/>
  <c r="EU42" i="1"/>
  <c r="ET42" i="1"/>
  <c r="EU41" i="1"/>
  <c r="ET41" i="1"/>
  <c r="EU36" i="1"/>
  <c r="ET36" i="1"/>
  <c r="EU34" i="1"/>
  <c r="ET34" i="1"/>
  <c r="EU33" i="1"/>
  <c r="ET33" i="1"/>
  <c r="EU32" i="1"/>
  <c r="ET32" i="1"/>
  <c r="EU31" i="1"/>
  <c r="EU30" i="1"/>
  <c r="ET31" i="1"/>
  <c r="ET30" i="1"/>
  <c r="EU28" i="1"/>
  <c r="ET28" i="1"/>
  <c r="EU26" i="1"/>
  <c r="ET26" i="1"/>
  <c r="EU24" i="1"/>
  <c r="ET24" i="1"/>
  <c r="EU23" i="1"/>
  <c r="ET23" i="1"/>
  <c r="EU22" i="1"/>
  <c r="EU21" i="1"/>
  <c r="ET22" i="1"/>
  <c r="ET21" i="1"/>
  <c r="EU19" i="1"/>
  <c r="ET19" i="1"/>
  <c r="EW860" i="1"/>
  <c r="EV860" i="1"/>
  <c r="EW856" i="1"/>
  <c r="EV856" i="1"/>
  <c r="EW845" i="1"/>
  <c r="EV845" i="1"/>
  <c r="EW842" i="1"/>
  <c r="EV842" i="1"/>
  <c r="EW827" i="1"/>
  <c r="EV827" i="1"/>
  <c r="EW790" i="1"/>
  <c r="EV790" i="1"/>
  <c r="EW783" i="1"/>
  <c r="EV783" i="1"/>
  <c r="EW768" i="1"/>
  <c r="EV768" i="1"/>
  <c r="EW742" i="1"/>
  <c r="EV742" i="1"/>
  <c r="EW738" i="1"/>
  <c r="EV738" i="1"/>
  <c r="EW728" i="1"/>
  <c r="EV728" i="1"/>
  <c r="EW725" i="1"/>
  <c r="EV725" i="1"/>
  <c r="EW718" i="1"/>
  <c r="EV718" i="1"/>
  <c r="EW711" i="1"/>
  <c r="EV711" i="1"/>
  <c r="EW705" i="1"/>
  <c r="EV705" i="1"/>
  <c r="EW702" i="1"/>
  <c r="EV702" i="1"/>
  <c r="EW699" i="1"/>
  <c r="EV699" i="1"/>
  <c r="EW696" i="1"/>
  <c r="EV696" i="1"/>
  <c r="EW693" i="1"/>
  <c r="EV693" i="1"/>
  <c r="EW685" i="1"/>
  <c r="EV685" i="1"/>
  <c r="EW681" i="1"/>
  <c r="EV681" i="1"/>
  <c r="EW669" i="1"/>
  <c r="EW664" i="1"/>
  <c r="EV669" i="1"/>
  <c r="EV664" i="1"/>
  <c r="EW666" i="1"/>
  <c r="EV666" i="1"/>
  <c r="EW655" i="1"/>
  <c r="EV655" i="1"/>
  <c r="EW645" i="1"/>
  <c r="EV645" i="1"/>
  <c r="EW637" i="1"/>
  <c r="EV637" i="1"/>
  <c r="EW634" i="1"/>
  <c r="EV634" i="1"/>
  <c r="EW632" i="1"/>
  <c r="EW630" i="1"/>
  <c r="EW628" i="1"/>
  <c r="EV632" i="1"/>
  <c r="EV630" i="1"/>
  <c r="EV628" i="1"/>
  <c r="EW625" i="1"/>
  <c r="EV625" i="1"/>
  <c r="EW621" i="1"/>
  <c r="EW619" i="1"/>
  <c r="EV621" i="1"/>
  <c r="EW616" i="1"/>
  <c r="EV616" i="1"/>
  <c r="EW613" i="1"/>
  <c r="EV613" i="1"/>
  <c r="EW611" i="1"/>
  <c r="EW609" i="1"/>
  <c r="EV611" i="1"/>
  <c r="EW606" i="1"/>
  <c r="EV606" i="1"/>
  <c r="EW600" i="1"/>
  <c r="EV600" i="1"/>
  <c r="EW592" i="1"/>
  <c r="EV592" i="1"/>
  <c r="EW585" i="1"/>
  <c r="EV585" i="1"/>
  <c r="EW581" i="1"/>
  <c r="EW579" i="1"/>
  <c r="EW577" i="1"/>
  <c r="EV581" i="1"/>
  <c r="EV579" i="1"/>
  <c r="EW571" i="1"/>
  <c r="EW569" i="1"/>
  <c r="EW567" i="1"/>
  <c r="EV571" i="1"/>
  <c r="EV569" i="1"/>
  <c r="EV567" i="1"/>
  <c r="EW563" i="1"/>
  <c r="EV563" i="1"/>
  <c r="EW558" i="1"/>
  <c r="EV558" i="1"/>
  <c r="EW555" i="1"/>
  <c r="EV555" i="1"/>
  <c r="EW549" i="1"/>
  <c r="EV549" i="1"/>
  <c r="EW543" i="1"/>
  <c r="EV543" i="1"/>
  <c r="EW541" i="1"/>
  <c r="EV541" i="1"/>
  <c r="EW535" i="1"/>
  <c r="EV535" i="1"/>
  <c r="EW532" i="1"/>
  <c r="EV532" i="1"/>
  <c r="EW526" i="1"/>
  <c r="EV526" i="1"/>
  <c r="EW507" i="1"/>
  <c r="EV507" i="1"/>
  <c r="EW505" i="1"/>
  <c r="EV505" i="1"/>
  <c r="EW500" i="1"/>
  <c r="EV500" i="1"/>
  <c r="EW488" i="1"/>
  <c r="EV488" i="1"/>
  <c r="EW482" i="1"/>
  <c r="EV482" i="1"/>
  <c r="EW472" i="1"/>
  <c r="EV472" i="1"/>
  <c r="EW464" i="1"/>
  <c r="EV464" i="1"/>
  <c r="EW458" i="1"/>
  <c r="EV458" i="1"/>
  <c r="EW451" i="1"/>
  <c r="EV451" i="1"/>
  <c r="EW444" i="1"/>
  <c r="EV444" i="1"/>
  <c r="EW439" i="1"/>
  <c r="EV439" i="1"/>
  <c r="EW437" i="1"/>
  <c r="EV437" i="1"/>
  <c r="EW427" i="1"/>
  <c r="EV427" i="1"/>
  <c r="EW419" i="1"/>
  <c r="EV419" i="1"/>
  <c r="EW416" i="1"/>
  <c r="EV416" i="1"/>
  <c r="EW411" i="1"/>
  <c r="EV411" i="1"/>
  <c r="EW406" i="1"/>
  <c r="EV406" i="1"/>
  <c r="EW401" i="1"/>
  <c r="EV401" i="1"/>
  <c r="EW397" i="1"/>
  <c r="EV397" i="1"/>
  <c r="EW386" i="1"/>
  <c r="EV386" i="1"/>
  <c r="EW380" i="1"/>
  <c r="EV380" i="1"/>
  <c r="EW378" i="1"/>
  <c r="EW364" i="1"/>
  <c r="EV378" i="1"/>
  <c r="EV364" i="1"/>
  <c r="EW375" i="1"/>
  <c r="EV375" i="1"/>
  <c r="EW368" i="1"/>
  <c r="EW366" i="1"/>
  <c r="EV368" i="1"/>
  <c r="EV366" i="1"/>
  <c r="EW361" i="1"/>
  <c r="EV361" i="1"/>
  <c r="EW358" i="1"/>
  <c r="EV358" i="1"/>
  <c r="EW354" i="1"/>
  <c r="EV354" i="1"/>
  <c r="EW349" i="1"/>
  <c r="EW347" i="1"/>
  <c r="EV349" i="1"/>
  <c r="EV347" i="1"/>
  <c r="EW329" i="1"/>
  <c r="EV329" i="1"/>
  <c r="EW326" i="1"/>
  <c r="EV326" i="1"/>
  <c r="EW322" i="1"/>
  <c r="EV322" i="1"/>
  <c r="EW319" i="1"/>
  <c r="EV319" i="1"/>
  <c r="EW316" i="1"/>
  <c r="EV316" i="1"/>
  <c r="EW313" i="1"/>
  <c r="EV313" i="1"/>
  <c r="EW310" i="1"/>
  <c r="EW308" i="1"/>
  <c r="EV310" i="1"/>
  <c r="EV308" i="1"/>
  <c r="EW305" i="1"/>
  <c r="EV305" i="1"/>
  <c r="EW302" i="1"/>
  <c r="EV302" i="1"/>
  <c r="EW298" i="1"/>
  <c r="EV298" i="1"/>
  <c r="EW293" i="1"/>
  <c r="EV293" i="1"/>
  <c r="EW288" i="1"/>
  <c r="EV288" i="1"/>
  <c r="EW279" i="1"/>
  <c r="EV279" i="1"/>
  <c r="EW275" i="1"/>
  <c r="EV275" i="1"/>
  <c r="EW267" i="1"/>
  <c r="EV267" i="1"/>
  <c r="EW259" i="1"/>
  <c r="EV259" i="1"/>
  <c r="EW251" i="1"/>
  <c r="EV251" i="1"/>
  <c r="EW246" i="1"/>
  <c r="EV246" i="1"/>
  <c r="EW244" i="1"/>
  <c r="EV244" i="1"/>
  <c r="EW238" i="1"/>
  <c r="EV238" i="1"/>
  <c r="EW237" i="1"/>
  <c r="EV237" i="1"/>
  <c r="EW234" i="1"/>
  <c r="EV234" i="1"/>
  <c r="EW233" i="1"/>
  <c r="EV233" i="1"/>
  <c r="EW231" i="1"/>
  <c r="EW230" i="1"/>
  <c r="EV231" i="1"/>
  <c r="EV230" i="1"/>
  <c r="EW228" i="1"/>
  <c r="EW227" i="1"/>
  <c r="EV228" i="1"/>
  <c r="EV227" i="1"/>
  <c r="EW225" i="1"/>
  <c r="EW224" i="1"/>
  <c r="EV225" i="1"/>
  <c r="EV224" i="1"/>
  <c r="EW222" i="1"/>
  <c r="EV222" i="1"/>
  <c r="EW221" i="1"/>
  <c r="EV221" i="1"/>
  <c r="EW220" i="1"/>
  <c r="EV220" i="1"/>
  <c r="EW219" i="1"/>
  <c r="EV219" i="1"/>
  <c r="EW218" i="1"/>
  <c r="EV218" i="1"/>
  <c r="EW216" i="1"/>
  <c r="EV216" i="1"/>
  <c r="EW215" i="1"/>
  <c r="EV215" i="1"/>
  <c r="EW214" i="1"/>
  <c r="EV214" i="1"/>
  <c r="EW213" i="1"/>
  <c r="EW212" i="1"/>
  <c r="EV213" i="1"/>
  <c r="EV212" i="1"/>
  <c r="EW205" i="1"/>
  <c r="EV205" i="1"/>
  <c r="EW204" i="1"/>
  <c r="EV204" i="1"/>
  <c r="EW202" i="1"/>
  <c r="EW201" i="1"/>
  <c r="EW199" i="1"/>
  <c r="EV202" i="1"/>
  <c r="EV201" i="1"/>
  <c r="EV199" i="1"/>
  <c r="EW197" i="1"/>
  <c r="EV197" i="1"/>
  <c r="EW196" i="1"/>
  <c r="EV196" i="1"/>
  <c r="EW195" i="1"/>
  <c r="EV195" i="1"/>
  <c r="EW193" i="1"/>
  <c r="EV193" i="1"/>
  <c r="EW191" i="1"/>
  <c r="EV191" i="1"/>
  <c r="EW189" i="1"/>
  <c r="EV189" i="1"/>
  <c r="EW187" i="1"/>
  <c r="EV187" i="1"/>
  <c r="EW185" i="1"/>
  <c r="EV185" i="1"/>
  <c r="EW184" i="1"/>
  <c r="EV184" i="1"/>
  <c r="EW182" i="1"/>
  <c r="EV182" i="1"/>
  <c r="EW180" i="1"/>
  <c r="EW179" i="1"/>
  <c r="EV180" i="1"/>
  <c r="EV179" i="1"/>
  <c r="EW177" i="1"/>
  <c r="EV177" i="1"/>
  <c r="EW176" i="1"/>
  <c r="EV176" i="1"/>
  <c r="EW175" i="1"/>
  <c r="EW174" i="1"/>
  <c r="EV175" i="1"/>
  <c r="EV174" i="1"/>
  <c r="EW170" i="1"/>
  <c r="EV170" i="1"/>
  <c r="EW169" i="1"/>
  <c r="EV169" i="1"/>
  <c r="EW168" i="1"/>
  <c r="EW167" i="1"/>
  <c r="EV168" i="1"/>
  <c r="EV167" i="1"/>
  <c r="EW165" i="1"/>
  <c r="EV165" i="1"/>
  <c r="EW163" i="1"/>
  <c r="EV163" i="1"/>
  <c r="EW162" i="1"/>
  <c r="EV162" i="1"/>
  <c r="EW161" i="1"/>
  <c r="EV161" i="1"/>
  <c r="EW160" i="1"/>
  <c r="EV160" i="1"/>
  <c r="EW159" i="1"/>
  <c r="EV159" i="1"/>
  <c r="EW158" i="1"/>
  <c r="EV158" i="1"/>
  <c r="EW157" i="1"/>
  <c r="EW155" i="1"/>
  <c r="EV157" i="1"/>
  <c r="EW156" i="1"/>
  <c r="EV156" i="1"/>
  <c r="EV155" i="1"/>
  <c r="EW153" i="1"/>
  <c r="EW149" i="1"/>
  <c r="EV153" i="1"/>
  <c r="EW152" i="1"/>
  <c r="EV152" i="1"/>
  <c r="EW151" i="1"/>
  <c r="EV151" i="1"/>
  <c r="EW150" i="1"/>
  <c r="EV150" i="1"/>
  <c r="EV149" i="1"/>
  <c r="EW147" i="1"/>
  <c r="EV147" i="1"/>
  <c r="EW146" i="1"/>
  <c r="EV146" i="1"/>
  <c r="EW145" i="1"/>
  <c r="EV145" i="1"/>
  <c r="EW144" i="1"/>
  <c r="EV144" i="1"/>
  <c r="EW143" i="1"/>
  <c r="EV143" i="1"/>
  <c r="EW142" i="1"/>
  <c r="EV142" i="1"/>
  <c r="EV141" i="1"/>
  <c r="EV139" i="1"/>
  <c r="EW141" i="1"/>
  <c r="EW140" i="1"/>
  <c r="EV140" i="1"/>
  <c r="EW137" i="1"/>
  <c r="EV137" i="1"/>
  <c r="EW134" i="1"/>
  <c r="EV134" i="1"/>
  <c r="EW133" i="1"/>
  <c r="EW131" i="1"/>
  <c r="EV133" i="1"/>
  <c r="EW132" i="1"/>
  <c r="EV132" i="1"/>
  <c r="EW129" i="1"/>
  <c r="EV129" i="1"/>
  <c r="EW128" i="1"/>
  <c r="EV128" i="1"/>
  <c r="EW127" i="1"/>
  <c r="EW125" i="1"/>
  <c r="EV127" i="1"/>
  <c r="EW126" i="1"/>
  <c r="EV126" i="1"/>
  <c r="EW123" i="1"/>
  <c r="EV123" i="1"/>
  <c r="EW122" i="1"/>
  <c r="EV122" i="1"/>
  <c r="EW121" i="1"/>
  <c r="EW120" i="1"/>
  <c r="EW118" i="1"/>
  <c r="EV121" i="1"/>
  <c r="EV120" i="1"/>
  <c r="EW119" i="1"/>
  <c r="EV119" i="1"/>
  <c r="EW116" i="1"/>
  <c r="EV116" i="1"/>
  <c r="EW115" i="1"/>
  <c r="EV115" i="1"/>
  <c r="EW114" i="1"/>
  <c r="EV114" i="1"/>
  <c r="EW113" i="1"/>
  <c r="EV113" i="1"/>
  <c r="EW112" i="1"/>
  <c r="EV112" i="1"/>
  <c r="EV111" i="1"/>
  <c r="EW109" i="1"/>
  <c r="EV109" i="1"/>
  <c r="EW108" i="1"/>
  <c r="EV108" i="1"/>
  <c r="EW107" i="1"/>
  <c r="EW106" i="1"/>
  <c r="EV107" i="1"/>
  <c r="EV106" i="1"/>
  <c r="EW102" i="1"/>
  <c r="EV102" i="1"/>
  <c r="EW101" i="1"/>
  <c r="EV101" i="1"/>
  <c r="EW100" i="1"/>
  <c r="EV100" i="1"/>
  <c r="EW99" i="1"/>
  <c r="EV99" i="1"/>
  <c r="EW98" i="1"/>
  <c r="EV98" i="1"/>
  <c r="EW97" i="1"/>
  <c r="EV97" i="1"/>
  <c r="EW96" i="1"/>
  <c r="EV96" i="1"/>
  <c r="EW95" i="1"/>
  <c r="EV95" i="1"/>
  <c r="EW92" i="1"/>
  <c r="EW86" i="1"/>
  <c r="EV92" i="1"/>
  <c r="EV86" i="1"/>
  <c r="EW91" i="1"/>
  <c r="EV91" i="1"/>
  <c r="EW90" i="1"/>
  <c r="EV90" i="1"/>
  <c r="EW89" i="1"/>
  <c r="EV89" i="1"/>
  <c r="EW88" i="1"/>
  <c r="EV88" i="1"/>
  <c r="EW87" i="1"/>
  <c r="EV87" i="1"/>
  <c r="EW84" i="1"/>
  <c r="EV84" i="1"/>
  <c r="EW83" i="1"/>
  <c r="EV83" i="1"/>
  <c r="EW82" i="1"/>
  <c r="EV82" i="1"/>
  <c r="EW80" i="1"/>
  <c r="EV80" i="1"/>
  <c r="EW79" i="1"/>
  <c r="EV79" i="1"/>
  <c r="EW78" i="1"/>
  <c r="EV78" i="1"/>
  <c r="EW75" i="1"/>
  <c r="EV75" i="1"/>
  <c r="EW74" i="1"/>
  <c r="EV74" i="1"/>
  <c r="EV72" i="1"/>
  <c r="EW73" i="1"/>
  <c r="EW72" i="1"/>
  <c r="EV73" i="1"/>
  <c r="EW70" i="1"/>
  <c r="EV70" i="1"/>
  <c r="EW69" i="1"/>
  <c r="EV69" i="1"/>
  <c r="EW68" i="1"/>
  <c r="EW67" i="1"/>
  <c r="EV68" i="1"/>
  <c r="EV67" i="1"/>
  <c r="EW65" i="1"/>
  <c r="EV65" i="1"/>
  <c r="EW64" i="1"/>
  <c r="EW63" i="1"/>
  <c r="EV64" i="1"/>
  <c r="EV63" i="1"/>
  <c r="EW61" i="1"/>
  <c r="EV61" i="1"/>
  <c r="EW59" i="1"/>
  <c r="EV59" i="1"/>
  <c r="EW58" i="1"/>
  <c r="EV58" i="1"/>
  <c r="EW57" i="1"/>
  <c r="EV57" i="1"/>
  <c r="EW56" i="1"/>
  <c r="EV56" i="1"/>
  <c r="EW55" i="1"/>
  <c r="EV55" i="1"/>
  <c r="EW54" i="1"/>
  <c r="EV54" i="1"/>
  <c r="EW53" i="1"/>
  <c r="EW52" i="1"/>
  <c r="EV53" i="1"/>
  <c r="EV52" i="1"/>
  <c r="EW50" i="1"/>
  <c r="EV50" i="1"/>
  <c r="EW49" i="1"/>
  <c r="EV49" i="1"/>
  <c r="EW48" i="1"/>
  <c r="EW46" i="1"/>
  <c r="EV48" i="1"/>
  <c r="EV46" i="1"/>
  <c r="EW47" i="1"/>
  <c r="EV47" i="1"/>
  <c r="EW42" i="1"/>
  <c r="EV42" i="1"/>
  <c r="EW41" i="1"/>
  <c r="EV41" i="1"/>
  <c r="EW38" i="1"/>
  <c r="EV38" i="1"/>
  <c r="EW36" i="1"/>
  <c r="EV36" i="1"/>
  <c r="EW34" i="1"/>
  <c r="EV34" i="1"/>
  <c r="EW33" i="1"/>
  <c r="EV33" i="1"/>
  <c r="EW32" i="1"/>
  <c r="EV32" i="1"/>
  <c r="EW31" i="1"/>
  <c r="EW30" i="1"/>
  <c r="EV31" i="1"/>
  <c r="EV30" i="1"/>
  <c r="EW28" i="1"/>
  <c r="EV28" i="1"/>
  <c r="EW26" i="1"/>
  <c r="EV26" i="1"/>
  <c r="EW24" i="1"/>
  <c r="EV24" i="1"/>
  <c r="EW23" i="1"/>
  <c r="EV23" i="1"/>
  <c r="EW22" i="1"/>
  <c r="EW21" i="1"/>
  <c r="EV22" i="1"/>
  <c r="EV21" i="1"/>
  <c r="EW19" i="1"/>
  <c r="EV19" i="1"/>
  <c r="EY860" i="1"/>
  <c r="EX860" i="1"/>
  <c r="EY856" i="1"/>
  <c r="EX856" i="1"/>
  <c r="EY845" i="1"/>
  <c r="EX845" i="1"/>
  <c r="EY842" i="1"/>
  <c r="EX842" i="1"/>
  <c r="EY827" i="1"/>
  <c r="EX827" i="1"/>
  <c r="EY790" i="1"/>
  <c r="EX790" i="1"/>
  <c r="EY783" i="1"/>
  <c r="EX783" i="1"/>
  <c r="EY768" i="1"/>
  <c r="EX768" i="1"/>
  <c r="EY742" i="1"/>
  <c r="EX742" i="1"/>
  <c r="EY738" i="1"/>
  <c r="EX738" i="1"/>
  <c r="EY728" i="1"/>
  <c r="EX728" i="1"/>
  <c r="EY725" i="1"/>
  <c r="EX725" i="1"/>
  <c r="EY718" i="1"/>
  <c r="EX718" i="1"/>
  <c r="EY711" i="1"/>
  <c r="EX711" i="1"/>
  <c r="EY705" i="1"/>
  <c r="EX705" i="1"/>
  <c r="EY702" i="1"/>
  <c r="EX702" i="1"/>
  <c r="EY699" i="1"/>
  <c r="EX699" i="1"/>
  <c r="EY696" i="1"/>
  <c r="EX696" i="1"/>
  <c r="EY693" i="1"/>
  <c r="EX693" i="1"/>
  <c r="EY685" i="1"/>
  <c r="EX685" i="1"/>
  <c r="EY681" i="1"/>
  <c r="EX681" i="1"/>
  <c r="EY669" i="1"/>
  <c r="EY664" i="1"/>
  <c r="EX669" i="1"/>
  <c r="EX664" i="1"/>
  <c r="EY666" i="1"/>
  <c r="EX666" i="1"/>
  <c r="EY655" i="1"/>
  <c r="EX655" i="1"/>
  <c r="EY645" i="1"/>
  <c r="EX645" i="1"/>
  <c r="EY637" i="1"/>
  <c r="EX637" i="1"/>
  <c r="EY634" i="1"/>
  <c r="EY632" i="1"/>
  <c r="EY630" i="1"/>
  <c r="EY628" i="1"/>
  <c r="EX634" i="1"/>
  <c r="EX632" i="1"/>
  <c r="EX630" i="1"/>
  <c r="EX628" i="1"/>
  <c r="EY625" i="1"/>
  <c r="EX625" i="1"/>
  <c r="EY621" i="1"/>
  <c r="EX621" i="1"/>
  <c r="EY619" i="1"/>
  <c r="EX619" i="1"/>
  <c r="EY616" i="1"/>
  <c r="EX616" i="1"/>
  <c r="EY613" i="1"/>
  <c r="EX613" i="1"/>
  <c r="EY606" i="1"/>
  <c r="EX606" i="1"/>
  <c r="EY600" i="1"/>
  <c r="EX600" i="1"/>
  <c r="EY592" i="1"/>
  <c r="EX592" i="1"/>
  <c r="EY585" i="1"/>
  <c r="EX585" i="1"/>
  <c r="EY581" i="1"/>
  <c r="EX581" i="1"/>
  <c r="EY579" i="1"/>
  <c r="EX579" i="1"/>
  <c r="EY571" i="1"/>
  <c r="EX571" i="1"/>
  <c r="EY569" i="1"/>
  <c r="EY567" i="1"/>
  <c r="EX569" i="1"/>
  <c r="EX567" i="1"/>
  <c r="EY563" i="1"/>
  <c r="EX563" i="1"/>
  <c r="EY558" i="1"/>
  <c r="EX558" i="1"/>
  <c r="EY555" i="1"/>
  <c r="EX555" i="1"/>
  <c r="EY549" i="1"/>
  <c r="EX549" i="1"/>
  <c r="EY543" i="1"/>
  <c r="EX543" i="1"/>
  <c r="EY535" i="1"/>
  <c r="EX535" i="1"/>
  <c r="EY532" i="1"/>
  <c r="EX532" i="1"/>
  <c r="EY526" i="1"/>
  <c r="EX526" i="1"/>
  <c r="EY507" i="1"/>
  <c r="EY505" i="1"/>
  <c r="EX507" i="1"/>
  <c r="EX505" i="1"/>
  <c r="EY500" i="1"/>
  <c r="EX500" i="1"/>
  <c r="EY488" i="1"/>
  <c r="EX488" i="1"/>
  <c r="EY482" i="1"/>
  <c r="EX482" i="1"/>
  <c r="EY472" i="1"/>
  <c r="EX472" i="1"/>
  <c r="EY464" i="1"/>
  <c r="EX464" i="1"/>
  <c r="EY458" i="1"/>
  <c r="EX458" i="1"/>
  <c r="EY451" i="1"/>
  <c r="EX451" i="1"/>
  <c r="EY444" i="1"/>
  <c r="EX444" i="1"/>
  <c r="EY439" i="1"/>
  <c r="EX439" i="1"/>
  <c r="EY427" i="1"/>
  <c r="EX427" i="1"/>
  <c r="EY419" i="1"/>
  <c r="EX419" i="1"/>
  <c r="EY416" i="1"/>
  <c r="EX416" i="1"/>
  <c r="EY411" i="1"/>
  <c r="EX411" i="1"/>
  <c r="EY406" i="1"/>
  <c r="EX406" i="1"/>
  <c r="EY401" i="1"/>
  <c r="EX401" i="1"/>
  <c r="EY397" i="1"/>
  <c r="EX397" i="1"/>
  <c r="EY386" i="1"/>
  <c r="EX386" i="1"/>
  <c r="EY380" i="1"/>
  <c r="EX380" i="1"/>
  <c r="EY375" i="1"/>
  <c r="EX375" i="1"/>
  <c r="EY368" i="1"/>
  <c r="EX368" i="1"/>
  <c r="EY366" i="1"/>
  <c r="EX366" i="1"/>
  <c r="EY361" i="1"/>
  <c r="EX361" i="1"/>
  <c r="EY358" i="1"/>
  <c r="EX358" i="1"/>
  <c r="EY354" i="1"/>
  <c r="EX354" i="1"/>
  <c r="EY349" i="1"/>
  <c r="EX349" i="1"/>
  <c r="EX347" i="1"/>
  <c r="EY347" i="1"/>
  <c r="EY329" i="1"/>
  <c r="EX329" i="1"/>
  <c r="EY326" i="1"/>
  <c r="EX326" i="1"/>
  <c r="EY322" i="1"/>
  <c r="EX322" i="1"/>
  <c r="EX308" i="1"/>
  <c r="EX242" i="1"/>
  <c r="EY319" i="1"/>
  <c r="EX319" i="1"/>
  <c r="EY316" i="1"/>
  <c r="EX316" i="1"/>
  <c r="EY313" i="1"/>
  <c r="EX313" i="1"/>
  <c r="EY310" i="1"/>
  <c r="EY308" i="1"/>
  <c r="EX310" i="1"/>
  <c r="EY305" i="1"/>
  <c r="EX305" i="1"/>
  <c r="EY302" i="1"/>
  <c r="EX302" i="1"/>
  <c r="EY298" i="1"/>
  <c r="EX298" i="1"/>
  <c r="EY293" i="1"/>
  <c r="EX293" i="1"/>
  <c r="EY288" i="1"/>
  <c r="EX288" i="1"/>
  <c r="EY279" i="1"/>
  <c r="EX279" i="1"/>
  <c r="EY275" i="1"/>
  <c r="EX275" i="1"/>
  <c r="EX273" i="1"/>
  <c r="EY267" i="1"/>
  <c r="EX267" i="1"/>
  <c r="EY259" i="1"/>
  <c r="EX259" i="1"/>
  <c r="EY251" i="1"/>
  <c r="EX251" i="1"/>
  <c r="EY246" i="1"/>
  <c r="EY244" i="1"/>
  <c r="EX246" i="1"/>
  <c r="EX244" i="1"/>
  <c r="EY238" i="1"/>
  <c r="EX238" i="1"/>
  <c r="EY237" i="1"/>
  <c r="EX237" i="1"/>
  <c r="EY236" i="1"/>
  <c r="EX236" i="1"/>
  <c r="EY234" i="1"/>
  <c r="EX234" i="1"/>
  <c r="EX230" i="1"/>
  <c r="EY233" i="1"/>
  <c r="EX233" i="1"/>
  <c r="EY231" i="1"/>
  <c r="EX231" i="1"/>
  <c r="EY230" i="1"/>
  <c r="EY228" i="1"/>
  <c r="EX228" i="1"/>
  <c r="EX227" i="1"/>
  <c r="EY227" i="1"/>
  <c r="EY225" i="1"/>
  <c r="EX225" i="1"/>
  <c r="EY224" i="1"/>
  <c r="EX224" i="1"/>
  <c r="EY222" i="1"/>
  <c r="EX222" i="1"/>
  <c r="EY221" i="1"/>
  <c r="EX221" i="1"/>
  <c r="EY220" i="1"/>
  <c r="EX220" i="1"/>
  <c r="EY219" i="1"/>
  <c r="EY218" i="1"/>
  <c r="EX219" i="1"/>
  <c r="EY216" i="1"/>
  <c r="EX216" i="1"/>
  <c r="EY215" i="1"/>
  <c r="EX215" i="1"/>
  <c r="EY214" i="1"/>
  <c r="EX214" i="1"/>
  <c r="EY213" i="1"/>
  <c r="EY212" i="1"/>
  <c r="EX213" i="1"/>
  <c r="EX212" i="1"/>
  <c r="EY205" i="1"/>
  <c r="EY204" i="1"/>
  <c r="EX205" i="1"/>
  <c r="EX204" i="1"/>
  <c r="EY202" i="1"/>
  <c r="EY201" i="1"/>
  <c r="EX202" i="1"/>
  <c r="EX201" i="1"/>
  <c r="EY197" i="1"/>
  <c r="EX197" i="1"/>
  <c r="EY196" i="1"/>
  <c r="EY195" i="1"/>
  <c r="EX196" i="1"/>
  <c r="EX195" i="1"/>
  <c r="EY193" i="1"/>
  <c r="EX193" i="1"/>
  <c r="EY191" i="1"/>
  <c r="EX191" i="1"/>
  <c r="EY189" i="1"/>
  <c r="EX189" i="1"/>
  <c r="EY187" i="1"/>
  <c r="EX187" i="1"/>
  <c r="EY185" i="1"/>
  <c r="EY184" i="1"/>
  <c r="EX185" i="1"/>
  <c r="EX184" i="1"/>
  <c r="EY182" i="1"/>
  <c r="EX182" i="1"/>
  <c r="EY180" i="1"/>
  <c r="EX180" i="1"/>
  <c r="EY179" i="1"/>
  <c r="EX179" i="1"/>
  <c r="EY177" i="1"/>
  <c r="EX177" i="1"/>
  <c r="EY176" i="1"/>
  <c r="EX176" i="1"/>
  <c r="EY175" i="1"/>
  <c r="EX175" i="1"/>
  <c r="EY174" i="1"/>
  <c r="EX174" i="1"/>
  <c r="EY170" i="1"/>
  <c r="EX170" i="1"/>
  <c r="EY169" i="1"/>
  <c r="EX169" i="1"/>
  <c r="EY168" i="1"/>
  <c r="EY167" i="1"/>
  <c r="EX168" i="1"/>
  <c r="EX167" i="1"/>
  <c r="EY165" i="1"/>
  <c r="EX165" i="1"/>
  <c r="EY163" i="1"/>
  <c r="EX163" i="1"/>
  <c r="EX155" i="1"/>
  <c r="EY162" i="1"/>
  <c r="EX162" i="1"/>
  <c r="EY161" i="1"/>
  <c r="EX161" i="1"/>
  <c r="EY160" i="1"/>
  <c r="EY155" i="1"/>
  <c r="EX160" i="1"/>
  <c r="EY159" i="1"/>
  <c r="EX159" i="1"/>
  <c r="EY158" i="1"/>
  <c r="EX158" i="1"/>
  <c r="EY157" i="1"/>
  <c r="EX157" i="1"/>
  <c r="EY156" i="1"/>
  <c r="EX156" i="1"/>
  <c r="EY153" i="1"/>
  <c r="EX153" i="1"/>
  <c r="EY152" i="1"/>
  <c r="EX152" i="1"/>
  <c r="EY151" i="1"/>
  <c r="EX151" i="1"/>
  <c r="EY150" i="1"/>
  <c r="EX150" i="1"/>
  <c r="EY149" i="1"/>
  <c r="EX149" i="1"/>
  <c r="EY147" i="1"/>
  <c r="EX147" i="1"/>
  <c r="EY146" i="1"/>
  <c r="EX146" i="1"/>
  <c r="EY145" i="1"/>
  <c r="EX145" i="1"/>
  <c r="EY144" i="1"/>
  <c r="EX144" i="1"/>
  <c r="EY143" i="1"/>
  <c r="EX143" i="1"/>
  <c r="EY142" i="1"/>
  <c r="EX142" i="1"/>
  <c r="EY141" i="1"/>
  <c r="EX141" i="1"/>
  <c r="EY140" i="1"/>
  <c r="EY139" i="1"/>
  <c r="EX140" i="1"/>
  <c r="EX139" i="1"/>
  <c r="EY137" i="1"/>
  <c r="EX137" i="1"/>
  <c r="EY134" i="1"/>
  <c r="EX134" i="1"/>
  <c r="EY133" i="1"/>
  <c r="EX133" i="1"/>
  <c r="EY132" i="1"/>
  <c r="EX132" i="1"/>
  <c r="EY131" i="1"/>
  <c r="EX131" i="1"/>
  <c r="EY129" i="1"/>
  <c r="EX129" i="1"/>
  <c r="EY128" i="1"/>
  <c r="EX128" i="1"/>
  <c r="EY127" i="1"/>
  <c r="EX127" i="1"/>
  <c r="EY126" i="1"/>
  <c r="EY125" i="1"/>
  <c r="EX126" i="1"/>
  <c r="EX125" i="1"/>
  <c r="EY123" i="1"/>
  <c r="EY122" i="1"/>
  <c r="EY118" i="1"/>
  <c r="EX123" i="1"/>
  <c r="EX122" i="1"/>
  <c r="EY121" i="1"/>
  <c r="EX121" i="1"/>
  <c r="EY120" i="1"/>
  <c r="EX120" i="1"/>
  <c r="EY119" i="1"/>
  <c r="EX119" i="1"/>
  <c r="EY116" i="1"/>
  <c r="EX116" i="1"/>
  <c r="EY115" i="1"/>
  <c r="EX115" i="1"/>
  <c r="EY114" i="1"/>
  <c r="EX114" i="1"/>
  <c r="EY113" i="1"/>
  <c r="EX113" i="1"/>
  <c r="EY112" i="1"/>
  <c r="EY111" i="1"/>
  <c r="EX112" i="1"/>
  <c r="EX111" i="1"/>
  <c r="EY109" i="1"/>
  <c r="EX109" i="1"/>
  <c r="EY108" i="1"/>
  <c r="EX108" i="1"/>
  <c r="EY107" i="1"/>
  <c r="EY106" i="1"/>
  <c r="EX107" i="1"/>
  <c r="EX106" i="1"/>
  <c r="EY102" i="1"/>
  <c r="EX102" i="1"/>
  <c r="EY101" i="1"/>
  <c r="EX101" i="1"/>
  <c r="EY100" i="1"/>
  <c r="EX100" i="1"/>
  <c r="EY99" i="1"/>
  <c r="EX99" i="1"/>
  <c r="EY98" i="1"/>
  <c r="EX98" i="1"/>
  <c r="EY97" i="1"/>
  <c r="EX97" i="1"/>
  <c r="EY96" i="1"/>
  <c r="EX96" i="1"/>
  <c r="EY95" i="1"/>
  <c r="EY94" i="1"/>
  <c r="EX95" i="1"/>
  <c r="EX94" i="1"/>
  <c r="EY92" i="1"/>
  <c r="EX92" i="1"/>
  <c r="EY91" i="1"/>
  <c r="EX91" i="1"/>
  <c r="EY90" i="1"/>
  <c r="EX90" i="1"/>
  <c r="EY89" i="1"/>
  <c r="EX89" i="1"/>
  <c r="EY88" i="1"/>
  <c r="EX88" i="1"/>
  <c r="EY87" i="1"/>
  <c r="EX87" i="1"/>
  <c r="EY86" i="1"/>
  <c r="EX86" i="1"/>
  <c r="EY84" i="1"/>
  <c r="EX84" i="1"/>
  <c r="EY83" i="1"/>
  <c r="EY82" i="1"/>
  <c r="EX83" i="1"/>
  <c r="EX82" i="1"/>
  <c r="EY80" i="1"/>
  <c r="EX80" i="1"/>
  <c r="EX77" i="1"/>
  <c r="EY79" i="1"/>
  <c r="EX79" i="1"/>
  <c r="EY78" i="1"/>
  <c r="EY77" i="1"/>
  <c r="EX78" i="1"/>
  <c r="EY75" i="1"/>
  <c r="EX75" i="1"/>
  <c r="EY74" i="1"/>
  <c r="EX74" i="1"/>
  <c r="EY73" i="1"/>
  <c r="EX73" i="1"/>
  <c r="EY70" i="1"/>
  <c r="EX70" i="1"/>
  <c r="EX67" i="1"/>
  <c r="EY69" i="1"/>
  <c r="EX69" i="1"/>
  <c r="EY68" i="1"/>
  <c r="EX68" i="1"/>
  <c r="EY65" i="1"/>
  <c r="EX65" i="1"/>
  <c r="EY64" i="1"/>
  <c r="EX64" i="1"/>
  <c r="EX63" i="1"/>
  <c r="EY63" i="1"/>
  <c r="EY61" i="1"/>
  <c r="EX61" i="1"/>
  <c r="EY59" i="1"/>
  <c r="EY58" i="1"/>
  <c r="EY52" i="1"/>
  <c r="EX59" i="1"/>
  <c r="EX58" i="1"/>
  <c r="EY57" i="1"/>
  <c r="EX57" i="1"/>
  <c r="EY56" i="1"/>
  <c r="EX56" i="1"/>
  <c r="EY55" i="1"/>
  <c r="EX55" i="1"/>
  <c r="EY54" i="1"/>
  <c r="EX54" i="1"/>
  <c r="EY53" i="1"/>
  <c r="EX53" i="1"/>
  <c r="EX52" i="1"/>
  <c r="EY50" i="1"/>
  <c r="EX50" i="1"/>
  <c r="EY49" i="1"/>
  <c r="EX49" i="1"/>
  <c r="EY48" i="1"/>
  <c r="EX48" i="1"/>
  <c r="EY47" i="1"/>
  <c r="EX47" i="1"/>
  <c r="EY46" i="1"/>
  <c r="EX46" i="1"/>
  <c r="EY42" i="1"/>
  <c r="EX42" i="1"/>
  <c r="EY41" i="1"/>
  <c r="EX41" i="1"/>
  <c r="EY36" i="1"/>
  <c r="EX36" i="1"/>
  <c r="EY34" i="1"/>
  <c r="EX34" i="1"/>
  <c r="EY33" i="1"/>
  <c r="EX33" i="1"/>
  <c r="EY32" i="1"/>
  <c r="EX32" i="1"/>
  <c r="EY31" i="1"/>
  <c r="EX31" i="1"/>
  <c r="EY30" i="1"/>
  <c r="EX30" i="1"/>
  <c r="EY28" i="1"/>
  <c r="EX28" i="1"/>
  <c r="EY26" i="1"/>
  <c r="EX26" i="1"/>
  <c r="EY24" i="1"/>
  <c r="EX24" i="1"/>
  <c r="EY23" i="1"/>
  <c r="EX23" i="1"/>
  <c r="EY22" i="1"/>
  <c r="EX22" i="1"/>
  <c r="EY21" i="1"/>
  <c r="EX21" i="1"/>
  <c r="EY19" i="1"/>
  <c r="EX19" i="1"/>
  <c r="FA860" i="1"/>
  <c r="EZ860" i="1"/>
  <c r="FA856" i="1"/>
  <c r="EZ856" i="1"/>
  <c r="FA845" i="1"/>
  <c r="EZ845" i="1"/>
  <c r="FA842" i="1"/>
  <c r="EZ842" i="1"/>
  <c r="FA827" i="1"/>
  <c r="EZ827" i="1"/>
  <c r="FA790" i="1"/>
  <c r="EZ790" i="1"/>
  <c r="FA783" i="1"/>
  <c r="EZ783" i="1"/>
  <c r="FA768" i="1"/>
  <c r="EZ768" i="1"/>
  <c r="FA742" i="1"/>
  <c r="EZ742" i="1"/>
  <c r="FA738" i="1"/>
  <c r="EZ738" i="1"/>
  <c r="FA728" i="1"/>
  <c r="EZ728" i="1"/>
  <c r="FA725" i="1"/>
  <c r="EZ725" i="1"/>
  <c r="FA718" i="1"/>
  <c r="EZ718" i="1"/>
  <c r="FA711" i="1"/>
  <c r="EZ711" i="1"/>
  <c r="FA705" i="1"/>
  <c r="EZ705" i="1"/>
  <c r="FA702" i="1"/>
  <c r="EZ702" i="1"/>
  <c r="FA699" i="1"/>
  <c r="EZ699" i="1"/>
  <c r="FA696" i="1"/>
  <c r="EZ696" i="1"/>
  <c r="FA693" i="1"/>
  <c r="EZ693" i="1"/>
  <c r="FA685" i="1"/>
  <c r="EZ685" i="1"/>
  <c r="FA681" i="1"/>
  <c r="EZ681" i="1"/>
  <c r="FA669" i="1"/>
  <c r="FA664" i="1"/>
  <c r="EZ669" i="1"/>
  <c r="EZ664" i="1"/>
  <c r="EZ662" i="1"/>
  <c r="FA666" i="1"/>
  <c r="EZ666" i="1"/>
  <c r="FA655" i="1"/>
  <c r="EZ655" i="1"/>
  <c r="FA645" i="1"/>
  <c r="EZ645" i="1"/>
  <c r="FA637" i="1"/>
  <c r="EZ637" i="1"/>
  <c r="FA634" i="1"/>
  <c r="FA632" i="1"/>
  <c r="FA630" i="1"/>
  <c r="FA628" i="1"/>
  <c r="EZ634" i="1"/>
  <c r="EZ632" i="1"/>
  <c r="EZ630" i="1"/>
  <c r="EZ628" i="1"/>
  <c r="FA625" i="1"/>
  <c r="EZ625" i="1"/>
  <c r="FA621" i="1"/>
  <c r="EZ621" i="1"/>
  <c r="FA619" i="1"/>
  <c r="EZ619" i="1"/>
  <c r="FA616" i="1"/>
  <c r="EZ616" i="1"/>
  <c r="FA613" i="1"/>
  <c r="FA611" i="1"/>
  <c r="FA609" i="1"/>
  <c r="EZ613" i="1"/>
  <c r="EZ611" i="1"/>
  <c r="EZ609" i="1"/>
  <c r="FA606" i="1"/>
  <c r="EZ606" i="1"/>
  <c r="FA600" i="1"/>
  <c r="EZ600" i="1"/>
  <c r="FA592" i="1"/>
  <c r="EZ592" i="1"/>
  <c r="FA585" i="1"/>
  <c r="EZ585" i="1"/>
  <c r="FA581" i="1"/>
  <c r="EZ581" i="1"/>
  <c r="FA579" i="1"/>
  <c r="EZ579" i="1"/>
  <c r="FA571" i="1"/>
  <c r="EZ571" i="1"/>
  <c r="FA569" i="1"/>
  <c r="FA567" i="1"/>
  <c r="EZ569" i="1"/>
  <c r="EZ567" i="1"/>
  <c r="FA563" i="1"/>
  <c r="EZ563" i="1"/>
  <c r="FA558" i="1"/>
  <c r="EZ558" i="1"/>
  <c r="FA555" i="1"/>
  <c r="EZ555" i="1"/>
  <c r="FA549" i="1"/>
  <c r="EZ549" i="1"/>
  <c r="FA543" i="1"/>
  <c r="EZ543" i="1"/>
  <c r="FA535" i="1"/>
  <c r="EZ535" i="1"/>
  <c r="FA532" i="1"/>
  <c r="EZ532" i="1"/>
  <c r="FA526" i="1"/>
  <c r="EZ526" i="1"/>
  <c r="FA507" i="1"/>
  <c r="FA505" i="1"/>
  <c r="EZ507" i="1"/>
  <c r="EZ505" i="1"/>
  <c r="FA500" i="1"/>
  <c r="EZ500" i="1"/>
  <c r="FA488" i="1"/>
  <c r="EZ488" i="1"/>
  <c r="FA482" i="1"/>
  <c r="EZ482" i="1"/>
  <c r="FA472" i="1"/>
  <c r="EZ472" i="1"/>
  <c r="FA464" i="1"/>
  <c r="EZ464" i="1"/>
  <c r="FA458" i="1"/>
  <c r="EZ458" i="1"/>
  <c r="FA451" i="1"/>
  <c r="EZ451" i="1"/>
  <c r="FA444" i="1"/>
  <c r="EZ444" i="1"/>
  <c r="FA439" i="1"/>
  <c r="EZ439" i="1"/>
  <c r="FA427" i="1"/>
  <c r="EZ427" i="1"/>
  <c r="FA419" i="1"/>
  <c r="EZ419" i="1"/>
  <c r="FA416" i="1"/>
  <c r="EZ416" i="1"/>
  <c r="FA411" i="1"/>
  <c r="EZ411" i="1"/>
  <c r="FA406" i="1"/>
  <c r="EZ406" i="1"/>
  <c r="FA401" i="1"/>
  <c r="EZ401" i="1"/>
  <c r="FA397" i="1"/>
  <c r="EZ397" i="1"/>
  <c r="FA386" i="1"/>
  <c r="EZ386" i="1"/>
  <c r="FA380" i="1"/>
  <c r="EZ380" i="1"/>
  <c r="FA375" i="1"/>
  <c r="EZ375" i="1"/>
  <c r="FA368" i="1"/>
  <c r="EZ368" i="1"/>
  <c r="FA366" i="1"/>
  <c r="EZ366" i="1"/>
  <c r="FA361" i="1"/>
  <c r="EZ361" i="1"/>
  <c r="FA358" i="1"/>
  <c r="EZ358" i="1"/>
  <c r="FA354" i="1"/>
  <c r="EZ354" i="1"/>
  <c r="FA349" i="1"/>
  <c r="FA347" i="1"/>
  <c r="EZ349" i="1"/>
  <c r="EZ347" i="1"/>
  <c r="FA329" i="1"/>
  <c r="EZ329" i="1"/>
  <c r="FA326" i="1"/>
  <c r="EZ326" i="1"/>
  <c r="FA322" i="1"/>
  <c r="EZ322" i="1"/>
  <c r="EZ308" i="1"/>
  <c r="FA319" i="1"/>
  <c r="EZ319" i="1"/>
  <c r="FA316" i="1"/>
  <c r="EZ316" i="1"/>
  <c r="FA313" i="1"/>
  <c r="EZ313" i="1"/>
  <c r="FA310" i="1"/>
  <c r="EZ310" i="1"/>
  <c r="FA308" i="1"/>
  <c r="FA305" i="1"/>
  <c r="EZ305" i="1"/>
  <c r="FA302" i="1"/>
  <c r="EZ302" i="1"/>
  <c r="FA298" i="1"/>
  <c r="EZ298" i="1"/>
  <c r="FA293" i="1"/>
  <c r="EZ293" i="1"/>
  <c r="FA288" i="1"/>
  <c r="EZ288" i="1"/>
  <c r="FA279" i="1"/>
  <c r="EZ279" i="1"/>
  <c r="FA275" i="1"/>
  <c r="EZ275" i="1"/>
  <c r="FA267" i="1"/>
  <c r="EZ267" i="1"/>
  <c r="FA259" i="1"/>
  <c r="EZ259" i="1"/>
  <c r="FA251" i="1"/>
  <c r="EZ251" i="1"/>
  <c r="FA246" i="1"/>
  <c r="EZ246" i="1"/>
  <c r="FA238" i="1"/>
  <c r="EZ238" i="1"/>
  <c r="FA237" i="1"/>
  <c r="EZ237" i="1"/>
  <c r="FA236" i="1"/>
  <c r="EZ236" i="1"/>
  <c r="FA234" i="1"/>
  <c r="EZ234" i="1"/>
  <c r="FA233" i="1"/>
  <c r="EZ233" i="1"/>
  <c r="FA231" i="1"/>
  <c r="EZ231" i="1"/>
  <c r="FA230" i="1"/>
  <c r="EZ230" i="1"/>
  <c r="FA228" i="1"/>
  <c r="EZ228" i="1"/>
  <c r="EZ227" i="1"/>
  <c r="FA227" i="1"/>
  <c r="FA225" i="1"/>
  <c r="EZ225" i="1"/>
  <c r="EZ224" i="1"/>
  <c r="FA224" i="1"/>
  <c r="FA222" i="1"/>
  <c r="EZ222" i="1"/>
  <c r="FA221" i="1"/>
  <c r="EZ221" i="1"/>
  <c r="FA220" i="1"/>
  <c r="EZ220" i="1"/>
  <c r="FA219" i="1"/>
  <c r="FA218" i="1"/>
  <c r="EZ219" i="1"/>
  <c r="EZ218" i="1"/>
  <c r="FA216" i="1"/>
  <c r="EZ216" i="1"/>
  <c r="FA215" i="1"/>
  <c r="EZ215" i="1"/>
  <c r="FA214" i="1"/>
  <c r="EZ214" i="1"/>
  <c r="FA213" i="1"/>
  <c r="FA212" i="1"/>
  <c r="EZ213" i="1"/>
  <c r="EZ212" i="1"/>
  <c r="FA205" i="1"/>
  <c r="FA204" i="1"/>
  <c r="EZ205" i="1"/>
  <c r="EZ204" i="1"/>
  <c r="FA202" i="1"/>
  <c r="FA201" i="1"/>
  <c r="EZ202" i="1"/>
  <c r="EZ201" i="1"/>
  <c r="FA197" i="1"/>
  <c r="EZ197" i="1"/>
  <c r="FA196" i="1"/>
  <c r="FA195" i="1"/>
  <c r="EZ196" i="1"/>
  <c r="EZ195" i="1"/>
  <c r="FA193" i="1"/>
  <c r="EZ193" i="1"/>
  <c r="FA191" i="1"/>
  <c r="EZ191" i="1"/>
  <c r="FA189" i="1"/>
  <c r="EZ189" i="1"/>
  <c r="FA187" i="1"/>
  <c r="EZ187" i="1"/>
  <c r="FA185" i="1"/>
  <c r="FA184" i="1"/>
  <c r="EZ185" i="1"/>
  <c r="EZ184" i="1"/>
  <c r="FA182" i="1"/>
  <c r="EZ182" i="1"/>
  <c r="FA180" i="1"/>
  <c r="EZ180" i="1"/>
  <c r="FA179" i="1"/>
  <c r="EZ179" i="1"/>
  <c r="FA177" i="1"/>
  <c r="EZ177" i="1"/>
  <c r="FA176" i="1"/>
  <c r="EZ176" i="1"/>
  <c r="FA175" i="1"/>
  <c r="EZ175" i="1"/>
  <c r="FA174" i="1"/>
  <c r="EZ174" i="1"/>
  <c r="FA170" i="1"/>
  <c r="EZ170" i="1"/>
  <c r="FA169" i="1"/>
  <c r="EZ169" i="1"/>
  <c r="FA168" i="1"/>
  <c r="FA167" i="1"/>
  <c r="EZ168" i="1"/>
  <c r="EZ167" i="1"/>
  <c r="FA165" i="1"/>
  <c r="EZ165" i="1"/>
  <c r="FA163" i="1"/>
  <c r="EZ163" i="1"/>
  <c r="FA162" i="1"/>
  <c r="EZ162" i="1"/>
  <c r="FA161" i="1"/>
  <c r="EZ161" i="1"/>
  <c r="FA160" i="1"/>
  <c r="EZ160" i="1"/>
  <c r="FA159" i="1"/>
  <c r="EZ159" i="1"/>
  <c r="FA158" i="1"/>
  <c r="EZ158" i="1"/>
  <c r="FA157" i="1"/>
  <c r="EZ157" i="1"/>
  <c r="FA156" i="1"/>
  <c r="FA155" i="1"/>
  <c r="EZ156" i="1"/>
  <c r="EZ155" i="1"/>
  <c r="FA153" i="1"/>
  <c r="EZ153" i="1"/>
  <c r="FA152" i="1"/>
  <c r="EZ152" i="1"/>
  <c r="FA151" i="1"/>
  <c r="EZ151" i="1"/>
  <c r="FA150" i="1"/>
  <c r="EZ150" i="1"/>
  <c r="FA149" i="1"/>
  <c r="EZ149" i="1"/>
  <c r="FA147" i="1"/>
  <c r="EZ147" i="1"/>
  <c r="FA146" i="1"/>
  <c r="EZ146" i="1"/>
  <c r="FA145" i="1"/>
  <c r="EZ145" i="1"/>
  <c r="FA144" i="1"/>
  <c r="EZ144" i="1"/>
  <c r="FA143" i="1"/>
  <c r="EZ143" i="1"/>
  <c r="FA142" i="1"/>
  <c r="EZ142" i="1"/>
  <c r="FA141" i="1"/>
  <c r="EZ141" i="1"/>
  <c r="FA140" i="1"/>
  <c r="FA139" i="1"/>
  <c r="EZ140" i="1"/>
  <c r="EZ139" i="1"/>
  <c r="FA137" i="1"/>
  <c r="EZ137" i="1"/>
  <c r="FA134" i="1"/>
  <c r="EZ134" i="1"/>
  <c r="FA133" i="1"/>
  <c r="EZ133" i="1"/>
  <c r="FA132" i="1"/>
  <c r="EZ132" i="1"/>
  <c r="EZ131" i="1"/>
  <c r="FA131" i="1"/>
  <c r="FA129" i="1"/>
  <c r="EZ129" i="1"/>
  <c r="FA128" i="1"/>
  <c r="EZ128" i="1"/>
  <c r="FA127" i="1"/>
  <c r="EZ127" i="1"/>
  <c r="FA126" i="1"/>
  <c r="FA125" i="1"/>
  <c r="EZ126" i="1"/>
  <c r="EZ125" i="1"/>
  <c r="FA123" i="1"/>
  <c r="FA122" i="1"/>
  <c r="FA118" i="1"/>
  <c r="EZ123" i="1"/>
  <c r="EZ122" i="1"/>
  <c r="FA121" i="1"/>
  <c r="EZ121" i="1"/>
  <c r="FA120" i="1"/>
  <c r="EZ120" i="1"/>
  <c r="FA119" i="1"/>
  <c r="EZ119" i="1"/>
  <c r="FA116" i="1"/>
  <c r="EZ116" i="1"/>
  <c r="FA115" i="1"/>
  <c r="EZ115" i="1"/>
  <c r="FA114" i="1"/>
  <c r="EZ114" i="1"/>
  <c r="FA113" i="1"/>
  <c r="EZ113" i="1"/>
  <c r="FA112" i="1"/>
  <c r="FA111" i="1"/>
  <c r="EZ112" i="1"/>
  <c r="EZ111" i="1"/>
  <c r="FA109" i="1"/>
  <c r="EZ109" i="1"/>
  <c r="FA108" i="1"/>
  <c r="EZ108" i="1"/>
  <c r="FA107" i="1"/>
  <c r="FA106" i="1"/>
  <c r="EZ107" i="1"/>
  <c r="EZ106" i="1"/>
  <c r="FA102" i="1"/>
  <c r="EZ102" i="1"/>
  <c r="FA101" i="1"/>
  <c r="EZ101" i="1"/>
  <c r="FA100" i="1"/>
  <c r="EZ100" i="1"/>
  <c r="FA99" i="1"/>
  <c r="EZ99" i="1"/>
  <c r="FA98" i="1"/>
  <c r="EZ98" i="1"/>
  <c r="FA97" i="1"/>
  <c r="EZ97" i="1"/>
  <c r="FA96" i="1"/>
  <c r="EZ96" i="1"/>
  <c r="FA95" i="1"/>
  <c r="FA94" i="1"/>
  <c r="EZ95" i="1"/>
  <c r="EZ94" i="1"/>
  <c r="FA92" i="1"/>
  <c r="EZ92" i="1"/>
  <c r="FA91" i="1"/>
  <c r="EZ91" i="1"/>
  <c r="FA90" i="1"/>
  <c r="EZ90" i="1"/>
  <c r="FA89" i="1"/>
  <c r="EZ89" i="1"/>
  <c r="FA88" i="1"/>
  <c r="EZ88" i="1"/>
  <c r="FA87" i="1"/>
  <c r="EZ87" i="1"/>
  <c r="FA86" i="1"/>
  <c r="EZ86" i="1"/>
  <c r="FA84" i="1"/>
  <c r="EZ84" i="1"/>
  <c r="FA83" i="1"/>
  <c r="FA82" i="1"/>
  <c r="EZ83" i="1"/>
  <c r="EZ82" i="1"/>
  <c r="FA80" i="1"/>
  <c r="EZ80" i="1"/>
  <c r="EZ77" i="1"/>
  <c r="FA79" i="1"/>
  <c r="EZ79" i="1"/>
  <c r="FA78" i="1"/>
  <c r="EZ78" i="1"/>
  <c r="FA75" i="1"/>
  <c r="EZ75" i="1"/>
  <c r="FA74" i="1"/>
  <c r="EZ74" i="1"/>
  <c r="FA73" i="1"/>
  <c r="EZ73" i="1"/>
  <c r="FA70" i="1"/>
  <c r="EZ70" i="1"/>
  <c r="FA69" i="1"/>
  <c r="EZ69" i="1"/>
  <c r="FA68" i="1"/>
  <c r="FA67" i="1"/>
  <c r="EZ68" i="1"/>
  <c r="FA65" i="1"/>
  <c r="EZ65" i="1"/>
  <c r="FA64" i="1"/>
  <c r="FA63" i="1"/>
  <c r="EZ64" i="1"/>
  <c r="EZ63" i="1"/>
  <c r="FA61" i="1"/>
  <c r="EZ61" i="1"/>
  <c r="FA59" i="1"/>
  <c r="EZ59" i="1"/>
  <c r="EZ58" i="1"/>
  <c r="EZ52" i="1"/>
  <c r="FA58" i="1"/>
  <c r="FA57" i="1"/>
  <c r="EZ57" i="1"/>
  <c r="FA56" i="1"/>
  <c r="EZ56" i="1"/>
  <c r="FA55" i="1"/>
  <c r="EZ55" i="1"/>
  <c r="FA54" i="1"/>
  <c r="EZ54" i="1"/>
  <c r="FA53" i="1"/>
  <c r="FA52" i="1"/>
  <c r="EZ53" i="1"/>
  <c r="FA50" i="1"/>
  <c r="EZ50" i="1"/>
  <c r="FA49" i="1"/>
  <c r="EZ49" i="1"/>
  <c r="FA48" i="1"/>
  <c r="EZ48" i="1"/>
  <c r="FA47" i="1"/>
  <c r="EZ47" i="1"/>
  <c r="FA46" i="1"/>
  <c r="EZ46" i="1"/>
  <c r="FA42" i="1"/>
  <c r="EZ42" i="1"/>
  <c r="FA41" i="1"/>
  <c r="EZ41" i="1"/>
  <c r="EZ38" i="1"/>
  <c r="FA36" i="1"/>
  <c r="EZ36" i="1"/>
  <c r="FA34" i="1"/>
  <c r="EZ34" i="1"/>
  <c r="FA33" i="1"/>
  <c r="EZ33" i="1"/>
  <c r="FA32" i="1"/>
  <c r="EZ32" i="1"/>
  <c r="FA31" i="1"/>
  <c r="EZ31" i="1"/>
  <c r="FA30" i="1"/>
  <c r="EZ30" i="1"/>
  <c r="FA28" i="1"/>
  <c r="EZ28" i="1"/>
  <c r="FA26" i="1"/>
  <c r="EZ26" i="1"/>
  <c r="FA24" i="1"/>
  <c r="EZ24" i="1"/>
  <c r="FA23" i="1"/>
  <c r="EZ23" i="1"/>
  <c r="FA22" i="1"/>
  <c r="EZ22" i="1"/>
  <c r="FA21" i="1"/>
  <c r="EZ21" i="1"/>
  <c r="FA19" i="1"/>
  <c r="EZ19" i="1"/>
  <c r="FC860" i="1"/>
  <c r="FB860" i="1"/>
  <c r="FC856" i="1"/>
  <c r="FB856" i="1"/>
  <c r="FC845" i="1"/>
  <c r="FB845" i="1"/>
  <c r="FC842" i="1"/>
  <c r="FB842" i="1"/>
  <c r="FC827" i="1"/>
  <c r="FB827" i="1"/>
  <c r="FC790" i="1"/>
  <c r="FB790" i="1"/>
  <c r="FC783" i="1"/>
  <c r="FB783" i="1"/>
  <c r="FC768" i="1"/>
  <c r="FB768" i="1"/>
  <c r="FC742" i="1"/>
  <c r="FB742" i="1"/>
  <c r="FC738" i="1"/>
  <c r="FB738" i="1"/>
  <c r="FC728" i="1"/>
  <c r="FB728" i="1"/>
  <c r="FC725" i="1"/>
  <c r="FB725" i="1"/>
  <c r="FC721" i="1"/>
  <c r="FB721" i="1"/>
  <c r="FC718" i="1"/>
  <c r="FB718" i="1"/>
  <c r="FC711" i="1"/>
  <c r="FB711" i="1"/>
  <c r="FC705" i="1"/>
  <c r="FB705" i="1"/>
  <c r="FB702" i="1"/>
  <c r="FC699" i="1"/>
  <c r="FB699" i="1"/>
  <c r="FC696" i="1"/>
  <c r="FB696" i="1"/>
  <c r="FC693" i="1"/>
  <c r="FB693" i="1"/>
  <c r="FC685" i="1"/>
  <c r="FB685" i="1"/>
  <c r="FC681" i="1"/>
  <c r="FB681" i="1"/>
  <c r="FC669" i="1"/>
  <c r="FC664" i="1"/>
  <c r="FC662" i="1"/>
  <c r="FB669" i="1"/>
  <c r="FB664" i="1"/>
  <c r="FB662" i="1"/>
  <c r="FC666" i="1"/>
  <c r="FB666" i="1"/>
  <c r="FC655" i="1"/>
  <c r="FB655" i="1"/>
  <c r="FC645" i="1"/>
  <c r="FB645" i="1"/>
  <c r="FC637" i="1"/>
  <c r="FB637" i="1"/>
  <c r="FC634" i="1"/>
  <c r="FB634" i="1"/>
  <c r="FC632" i="1"/>
  <c r="FC630" i="1"/>
  <c r="FC628" i="1"/>
  <c r="FB632" i="1"/>
  <c r="FB630" i="1"/>
  <c r="FB628" i="1"/>
  <c r="FC625" i="1"/>
  <c r="FB625" i="1"/>
  <c r="FC621" i="1"/>
  <c r="FB621" i="1"/>
  <c r="FB619" i="1"/>
  <c r="FC616" i="1"/>
  <c r="FB616" i="1"/>
  <c r="FC613" i="1"/>
  <c r="FB613" i="1"/>
  <c r="FC611" i="1"/>
  <c r="FB611" i="1"/>
  <c r="FC606" i="1"/>
  <c r="FB606" i="1"/>
  <c r="FC600" i="1"/>
  <c r="FB600" i="1"/>
  <c r="FC592" i="1"/>
  <c r="FB592" i="1"/>
  <c r="FC585" i="1"/>
  <c r="FB585" i="1"/>
  <c r="FC581" i="1"/>
  <c r="FC579" i="1"/>
  <c r="FB581" i="1"/>
  <c r="FB579" i="1"/>
  <c r="FB577" i="1"/>
  <c r="FC571" i="1"/>
  <c r="FC569" i="1"/>
  <c r="FC567" i="1"/>
  <c r="FB571" i="1"/>
  <c r="FB569" i="1"/>
  <c r="FB567" i="1"/>
  <c r="FC563" i="1"/>
  <c r="FB563" i="1"/>
  <c r="FC558" i="1"/>
  <c r="FB558" i="1"/>
  <c r="FC555" i="1"/>
  <c r="FB555" i="1"/>
  <c r="FC549" i="1"/>
  <c r="FB549" i="1"/>
  <c r="FC543" i="1"/>
  <c r="FB543" i="1"/>
  <c r="FC541" i="1"/>
  <c r="FB541" i="1"/>
  <c r="FC535" i="1"/>
  <c r="FB535" i="1"/>
  <c r="FC532" i="1"/>
  <c r="FB532" i="1"/>
  <c r="FC526" i="1"/>
  <c r="FB526" i="1"/>
  <c r="FC507" i="1"/>
  <c r="FB507" i="1"/>
  <c r="FC505" i="1"/>
  <c r="FB505" i="1"/>
  <c r="FC500" i="1"/>
  <c r="FB500" i="1"/>
  <c r="FC488" i="1"/>
  <c r="FB488" i="1"/>
  <c r="FC482" i="1"/>
  <c r="FB482" i="1"/>
  <c r="FC472" i="1"/>
  <c r="FB472" i="1"/>
  <c r="FC464" i="1"/>
  <c r="FB464" i="1"/>
  <c r="FC458" i="1"/>
  <c r="FB458" i="1"/>
  <c r="FC451" i="1"/>
  <c r="FB451" i="1"/>
  <c r="FC444" i="1"/>
  <c r="FB444" i="1"/>
  <c r="FC439" i="1"/>
  <c r="FB439" i="1"/>
  <c r="FC437" i="1"/>
  <c r="FB437" i="1"/>
  <c r="FC427" i="1"/>
  <c r="FB427" i="1"/>
  <c r="FC419" i="1"/>
  <c r="FB419" i="1"/>
  <c r="FC416" i="1"/>
  <c r="FB416" i="1"/>
  <c r="FC411" i="1"/>
  <c r="FB411" i="1"/>
  <c r="FC406" i="1"/>
  <c r="FB406" i="1"/>
  <c r="FC401" i="1"/>
  <c r="FB401" i="1"/>
  <c r="FC397" i="1"/>
  <c r="FB397" i="1"/>
  <c r="FC386" i="1"/>
  <c r="FB386" i="1"/>
  <c r="FC380" i="1"/>
  <c r="FB380" i="1"/>
  <c r="FC378" i="1"/>
  <c r="FB378" i="1"/>
  <c r="FC375" i="1"/>
  <c r="FB375" i="1"/>
  <c r="FC368" i="1"/>
  <c r="FC366" i="1"/>
  <c r="FB368" i="1"/>
  <c r="FB366" i="1"/>
  <c r="FB364" i="1"/>
  <c r="FC361" i="1"/>
  <c r="FB361" i="1"/>
  <c r="FC358" i="1"/>
  <c r="FB358" i="1"/>
  <c r="FC354" i="1"/>
  <c r="FB354" i="1"/>
  <c r="FC349" i="1"/>
  <c r="FC347" i="1"/>
  <c r="FB349" i="1"/>
  <c r="FB347" i="1"/>
  <c r="FC329" i="1"/>
  <c r="FB329" i="1"/>
  <c r="FC326" i="1"/>
  <c r="FB326" i="1"/>
  <c r="FC322" i="1"/>
  <c r="FB322" i="1"/>
  <c r="FC319" i="1"/>
  <c r="FB319" i="1"/>
  <c r="FC316" i="1"/>
  <c r="FB316" i="1"/>
  <c r="FC313" i="1"/>
  <c r="FB313" i="1"/>
  <c r="FC310" i="1"/>
  <c r="FC308" i="1"/>
  <c r="FB310" i="1"/>
  <c r="FB308" i="1"/>
  <c r="FC305" i="1"/>
  <c r="FB305" i="1"/>
  <c r="FC302" i="1"/>
  <c r="FB302" i="1"/>
  <c r="FC298" i="1"/>
  <c r="FB298" i="1"/>
  <c r="FC293" i="1"/>
  <c r="FB293" i="1"/>
  <c r="FC288" i="1"/>
  <c r="FB288" i="1"/>
  <c r="FC279" i="1"/>
  <c r="FB279" i="1"/>
  <c r="FC275" i="1"/>
  <c r="FB275" i="1"/>
  <c r="FC267" i="1"/>
  <c r="FB267" i="1"/>
  <c r="FC259" i="1"/>
  <c r="FB259" i="1"/>
  <c r="FC251" i="1"/>
  <c r="FB251" i="1"/>
  <c r="FC246" i="1"/>
  <c r="FC244" i="1"/>
  <c r="FB246" i="1"/>
  <c r="FB244" i="1"/>
  <c r="FC238" i="1"/>
  <c r="FB238" i="1"/>
  <c r="FC237" i="1"/>
  <c r="FB237" i="1"/>
  <c r="FC234" i="1"/>
  <c r="FB234" i="1"/>
  <c r="FC233" i="1"/>
  <c r="FB233" i="1"/>
  <c r="FC231" i="1"/>
  <c r="FC230" i="1"/>
  <c r="FB231" i="1"/>
  <c r="FB230" i="1"/>
  <c r="FC228" i="1"/>
  <c r="FC227" i="1"/>
  <c r="FB228" i="1"/>
  <c r="FB227" i="1"/>
  <c r="FC225" i="1"/>
  <c r="FC224" i="1"/>
  <c r="FB225" i="1"/>
  <c r="FB224" i="1"/>
  <c r="FC222" i="1"/>
  <c r="FB222" i="1"/>
  <c r="FC221" i="1"/>
  <c r="FB221" i="1"/>
  <c r="FC220" i="1"/>
  <c r="FB220" i="1"/>
  <c r="FC219" i="1"/>
  <c r="FB219" i="1"/>
  <c r="FC218" i="1"/>
  <c r="FB218" i="1"/>
  <c r="FC216" i="1"/>
  <c r="FB216" i="1"/>
  <c r="FC215" i="1"/>
  <c r="FB215" i="1"/>
  <c r="FC214" i="1"/>
  <c r="FB214" i="1"/>
  <c r="FC213" i="1"/>
  <c r="FC212" i="1"/>
  <c r="FB213" i="1"/>
  <c r="FB212" i="1"/>
  <c r="FC205" i="1"/>
  <c r="FB205" i="1"/>
  <c r="FC204" i="1"/>
  <c r="FB204" i="1"/>
  <c r="FC202" i="1"/>
  <c r="FB202" i="1"/>
  <c r="FC201" i="1"/>
  <c r="FC199" i="1"/>
  <c r="FB201" i="1"/>
  <c r="FB199" i="1"/>
  <c r="FC197" i="1"/>
  <c r="FB197" i="1"/>
  <c r="FC196" i="1"/>
  <c r="FB196" i="1"/>
  <c r="FB195" i="1"/>
  <c r="FB172" i="1"/>
  <c r="FC193" i="1"/>
  <c r="FB193" i="1"/>
  <c r="FC191" i="1"/>
  <c r="FB191" i="1"/>
  <c r="FC189" i="1"/>
  <c r="FB189" i="1"/>
  <c r="FC187" i="1"/>
  <c r="FB187" i="1"/>
  <c r="FC185" i="1"/>
  <c r="FB185" i="1"/>
  <c r="FC184" i="1"/>
  <c r="FB184" i="1"/>
  <c r="FC182" i="1"/>
  <c r="FB182" i="1"/>
  <c r="FC180" i="1"/>
  <c r="FC179" i="1"/>
  <c r="FB180" i="1"/>
  <c r="FB179" i="1"/>
  <c r="FC177" i="1"/>
  <c r="FB177" i="1"/>
  <c r="FC176" i="1"/>
  <c r="FB176" i="1"/>
  <c r="FC175" i="1"/>
  <c r="FC174" i="1"/>
  <c r="FB175" i="1"/>
  <c r="FB174" i="1"/>
  <c r="FC170" i="1"/>
  <c r="FB170" i="1"/>
  <c r="FC169" i="1"/>
  <c r="FB169" i="1"/>
  <c r="FC168" i="1"/>
  <c r="FB168" i="1"/>
  <c r="FC165" i="1"/>
  <c r="FB165" i="1"/>
  <c r="FC163" i="1"/>
  <c r="FB163" i="1"/>
  <c r="FC162" i="1"/>
  <c r="FB162" i="1"/>
  <c r="FC161" i="1"/>
  <c r="FB161" i="1"/>
  <c r="FC160" i="1"/>
  <c r="FB160" i="1"/>
  <c r="FC159" i="1"/>
  <c r="FB159" i="1"/>
  <c r="FC158" i="1"/>
  <c r="FC157" i="1"/>
  <c r="FC155" i="1"/>
  <c r="FB158" i="1"/>
  <c r="FB157" i="1"/>
  <c r="FC156" i="1"/>
  <c r="FB156" i="1"/>
  <c r="FC153" i="1"/>
  <c r="FC149" i="1"/>
  <c r="FB153" i="1"/>
  <c r="FC152" i="1"/>
  <c r="FB152" i="1"/>
  <c r="FC151" i="1"/>
  <c r="FB151" i="1"/>
  <c r="FC150" i="1"/>
  <c r="FB150" i="1"/>
  <c r="FB149" i="1"/>
  <c r="FC147" i="1"/>
  <c r="FB147" i="1"/>
  <c r="FC146" i="1"/>
  <c r="FB146" i="1"/>
  <c r="FC145" i="1"/>
  <c r="FB145" i="1"/>
  <c r="FC144" i="1"/>
  <c r="FB144" i="1"/>
  <c r="FC143" i="1"/>
  <c r="FB143" i="1"/>
  <c r="FC142" i="1"/>
  <c r="FC141" i="1"/>
  <c r="FB142" i="1"/>
  <c r="FB141" i="1"/>
  <c r="FC140" i="1"/>
  <c r="FB140" i="1"/>
  <c r="FC137" i="1"/>
  <c r="FB137" i="1"/>
  <c r="FC134" i="1"/>
  <c r="FB134" i="1"/>
  <c r="FC133" i="1"/>
  <c r="FB133" i="1"/>
  <c r="FC132" i="1"/>
  <c r="FB132" i="1"/>
  <c r="FC129" i="1"/>
  <c r="FB129" i="1"/>
  <c r="FC128" i="1"/>
  <c r="FB128" i="1"/>
  <c r="FC127" i="1"/>
  <c r="FB127" i="1"/>
  <c r="FC126" i="1"/>
  <c r="FB126" i="1"/>
  <c r="FC125" i="1"/>
  <c r="FB125" i="1"/>
  <c r="FC123" i="1"/>
  <c r="FB123" i="1"/>
  <c r="FC122" i="1"/>
  <c r="FB122" i="1"/>
  <c r="FC121" i="1"/>
  <c r="FC120" i="1"/>
  <c r="FB121" i="1"/>
  <c r="FB120" i="1"/>
  <c r="FC119" i="1"/>
  <c r="FB119" i="1"/>
  <c r="FC116" i="1"/>
  <c r="FB116" i="1"/>
  <c r="FC115" i="1"/>
  <c r="FB115" i="1"/>
  <c r="FB114" i="1"/>
  <c r="FB111" i="1"/>
  <c r="FC114" i="1"/>
  <c r="FC113" i="1"/>
  <c r="FB113" i="1"/>
  <c r="FC112" i="1"/>
  <c r="FB112" i="1"/>
  <c r="FC109" i="1"/>
  <c r="FB109" i="1"/>
  <c r="FC108" i="1"/>
  <c r="FB108" i="1"/>
  <c r="FC107" i="1"/>
  <c r="FC106" i="1"/>
  <c r="FB107" i="1"/>
  <c r="FB106" i="1"/>
  <c r="FC102" i="1"/>
  <c r="FB102" i="1"/>
  <c r="FC101" i="1"/>
  <c r="FB101" i="1"/>
  <c r="FC100" i="1"/>
  <c r="FB100" i="1"/>
  <c r="FC99" i="1"/>
  <c r="FB99" i="1"/>
  <c r="FC98" i="1"/>
  <c r="FB98" i="1"/>
  <c r="FC97" i="1"/>
  <c r="FB97" i="1"/>
  <c r="FB96" i="1"/>
  <c r="FB94" i="1"/>
  <c r="FC96" i="1"/>
  <c r="FC95" i="1"/>
  <c r="FB95" i="1"/>
  <c r="FC94" i="1"/>
  <c r="FC92" i="1"/>
  <c r="FB92" i="1"/>
  <c r="FC91" i="1"/>
  <c r="FB91" i="1"/>
  <c r="FC90" i="1"/>
  <c r="FB90" i="1"/>
  <c r="FC89" i="1"/>
  <c r="FC88" i="1"/>
  <c r="FC86" i="1"/>
  <c r="FB89" i="1"/>
  <c r="FB88" i="1"/>
  <c r="FC87" i="1"/>
  <c r="FB87" i="1"/>
  <c r="FC84" i="1"/>
  <c r="FB84" i="1"/>
  <c r="FB82" i="1"/>
  <c r="FC83" i="1"/>
  <c r="FB83" i="1"/>
  <c r="FC82" i="1"/>
  <c r="FC80" i="1"/>
  <c r="FC77" i="1"/>
  <c r="FB80" i="1"/>
  <c r="FC79" i="1"/>
  <c r="FB79" i="1"/>
  <c r="FB77" i="1"/>
  <c r="FC78" i="1"/>
  <c r="FB78" i="1"/>
  <c r="FC75" i="1"/>
  <c r="FB75" i="1"/>
  <c r="FC74" i="1"/>
  <c r="FB74" i="1"/>
  <c r="FB73" i="1"/>
  <c r="FC73" i="1"/>
  <c r="FC72" i="1"/>
  <c r="FC70" i="1"/>
  <c r="FB70" i="1"/>
  <c r="FC69" i="1"/>
  <c r="FB69" i="1"/>
  <c r="FB68" i="1"/>
  <c r="FC68" i="1"/>
  <c r="FC67" i="1"/>
  <c r="FC65" i="1"/>
  <c r="FB65" i="1"/>
  <c r="FC64" i="1"/>
  <c r="FC63" i="1"/>
  <c r="FB64" i="1"/>
  <c r="FB63" i="1"/>
  <c r="FC61" i="1"/>
  <c r="FB61" i="1"/>
  <c r="FC59" i="1"/>
  <c r="FC58" i="1"/>
  <c r="FC52" i="1"/>
  <c r="FB59" i="1"/>
  <c r="FB58" i="1"/>
  <c r="FC57" i="1"/>
  <c r="FB57" i="1"/>
  <c r="FC56" i="1"/>
  <c r="FB56" i="1"/>
  <c r="FC55" i="1"/>
  <c r="FB55" i="1"/>
  <c r="FC54" i="1"/>
  <c r="FB54" i="1"/>
  <c r="FC53" i="1"/>
  <c r="FB53" i="1"/>
  <c r="FB52" i="1"/>
  <c r="FC50" i="1"/>
  <c r="FB50" i="1"/>
  <c r="FC49" i="1"/>
  <c r="FB49" i="1"/>
  <c r="FB48" i="1"/>
  <c r="FB46" i="1"/>
  <c r="FC48" i="1"/>
  <c r="FC47" i="1"/>
  <c r="FB47" i="1"/>
  <c r="FC42" i="1"/>
  <c r="FB42" i="1"/>
  <c r="FC41" i="1"/>
  <c r="FB41" i="1"/>
  <c r="FC38" i="1"/>
  <c r="FC36" i="1"/>
  <c r="FB36" i="1"/>
  <c r="FC34" i="1"/>
  <c r="FB34" i="1"/>
  <c r="FC33" i="1"/>
  <c r="FB33" i="1"/>
  <c r="FC32" i="1"/>
  <c r="FB32" i="1"/>
  <c r="FC31" i="1"/>
  <c r="FC30" i="1"/>
  <c r="FB31" i="1"/>
  <c r="FB30" i="1"/>
  <c r="FC28" i="1"/>
  <c r="FB28" i="1"/>
  <c r="FC26" i="1"/>
  <c r="FB26" i="1"/>
  <c r="FC24" i="1"/>
  <c r="FB24" i="1"/>
  <c r="FC23" i="1"/>
  <c r="FB23" i="1"/>
  <c r="FC22" i="1"/>
  <c r="FC21" i="1"/>
  <c r="FB22" i="1"/>
  <c r="FB21" i="1"/>
  <c r="FC19" i="1"/>
  <c r="FB19" i="1"/>
  <c r="FE860" i="1"/>
  <c r="FD860" i="1"/>
  <c r="FE856" i="1"/>
  <c r="FD856" i="1"/>
  <c r="FE845" i="1"/>
  <c r="FD845" i="1"/>
  <c r="FE842" i="1"/>
  <c r="FD842" i="1"/>
  <c r="FE827" i="1"/>
  <c r="FD827" i="1"/>
  <c r="FE790" i="1"/>
  <c r="FD790" i="1"/>
  <c r="FE783" i="1"/>
  <c r="FD783" i="1"/>
  <c r="FE768" i="1"/>
  <c r="FD768" i="1"/>
  <c r="FE742" i="1"/>
  <c r="FD742" i="1"/>
  <c r="FE738" i="1"/>
  <c r="FD738" i="1"/>
  <c r="FE728" i="1"/>
  <c r="FD728" i="1"/>
  <c r="FE725" i="1"/>
  <c r="FD725" i="1"/>
  <c r="FE718" i="1"/>
  <c r="FD718" i="1"/>
  <c r="FE711" i="1"/>
  <c r="FD711" i="1"/>
  <c r="FE705" i="1"/>
  <c r="FD705" i="1"/>
  <c r="FE702" i="1"/>
  <c r="FD702" i="1"/>
  <c r="FE699" i="1"/>
  <c r="FD699" i="1"/>
  <c r="FE696" i="1"/>
  <c r="FD696" i="1"/>
  <c r="FE693" i="1"/>
  <c r="FD693" i="1"/>
  <c r="FE685" i="1"/>
  <c r="FD685" i="1"/>
  <c r="FE681" i="1"/>
  <c r="FD681" i="1"/>
  <c r="FE669" i="1"/>
  <c r="FE664" i="1"/>
  <c r="FE662" i="1"/>
  <c r="FD669" i="1"/>
  <c r="FD664" i="1"/>
  <c r="FD662" i="1"/>
  <c r="FE666" i="1"/>
  <c r="FD666" i="1"/>
  <c r="FE655" i="1"/>
  <c r="FD655" i="1"/>
  <c r="FE645" i="1"/>
  <c r="FD645" i="1"/>
  <c r="FE637" i="1"/>
  <c r="FD637" i="1"/>
  <c r="FE634" i="1"/>
  <c r="FE632" i="1"/>
  <c r="FE630" i="1"/>
  <c r="FE628" i="1"/>
  <c r="FD634" i="1"/>
  <c r="FD632" i="1"/>
  <c r="FD630" i="1"/>
  <c r="FD628" i="1"/>
  <c r="FE625" i="1"/>
  <c r="FD625" i="1"/>
  <c r="FE621" i="1"/>
  <c r="FD621" i="1"/>
  <c r="FE619" i="1"/>
  <c r="FD619" i="1"/>
  <c r="FD609" i="1"/>
  <c r="FD575" i="1"/>
  <c r="FE616" i="1"/>
  <c r="FD616" i="1"/>
  <c r="FE613" i="1"/>
  <c r="FD613" i="1"/>
  <c r="FD611" i="1"/>
  <c r="FE606" i="1"/>
  <c r="FD606" i="1"/>
  <c r="FE600" i="1"/>
  <c r="FD600" i="1"/>
  <c r="FE592" i="1"/>
  <c r="FD592" i="1"/>
  <c r="FE585" i="1"/>
  <c r="FD585" i="1"/>
  <c r="FE581" i="1"/>
  <c r="FD581" i="1"/>
  <c r="FE579" i="1"/>
  <c r="FD579" i="1"/>
  <c r="FE571" i="1"/>
  <c r="FD571" i="1"/>
  <c r="FE569" i="1"/>
  <c r="FE567" i="1"/>
  <c r="FD569" i="1"/>
  <c r="FD567" i="1"/>
  <c r="FE563" i="1"/>
  <c r="FD563" i="1"/>
  <c r="FE558" i="1"/>
  <c r="FD558" i="1"/>
  <c r="FE555" i="1"/>
  <c r="FD555" i="1"/>
  <c r="FE549" i="1"/>
  <c r="FD549" i="1"/>
  <c r="FE543" i="1"/>
  <c r="FD543" i="1"/>
  <c r="FE535" i="1"/>
  <c r="FD535" i="1"/>
  <c r="FE532" i="1"/>
  <c r="FD532" i="1"/>
  <c r="FE526" i="1"/>
  <c r="FD526" i="1"/>
  <c r="FE507" i="1"/>
  <c r="FE505" i="1"/>
  <c r="FD507" i="1"/>
  <c r="FD505" i="1"/>
  <c r="FE500" i="1"/>
  <c r="FD500" i="1"/>
  <c r="FE488" i="1"/>
  <c r="FD488" i="1"/>
  <c r="FE482" i="1"/>
  <c r="FD482" i="1"/>
  <c r="FE472" i="1"/>
  <c r="FD472" i="1"/>
  <c r="FE464" i="1"/>
  <c r="FD464" i="1"/>
  <c r="FE458" i="1"/>
  <c r="FD458" i="1"/>
  <c r="FE451" i="1"/>
  <c r="FD451" i="1"/>
  <c r="FE444" i="1"/>
  <c r="FD444" i="1"/>
  <c r="FE439" i="1"/>
  <c r="FD439" i="1"/>
  <c r="FE427" i="1"/>
  <c r="FD427" i="1"/>
  <c r="FE419" i="1"/>
  <c r="FD419" i="1"/>
  <c r="FE416" i="1"/>
  <c r="FD416" i="1"/>
  <c r="FE411" i="1"/>
  <c r="FD411" i="1"/>
  <c r="FE406" i="1"/>
  <c r="FD406" i="1"/>
  <c r="FE401" i="1"/>
  <c r="FD401" i="1"/>
  <c r="FE397" i="1"/>
  <c r="FD397" i="1"/>
  <c r="FE386" i="1"/>
  <c r="FD386" i="1"/>
  <c r="FE380" i="1"/>
  <c r="FD380" i="1"/>
  <c r="FE375" i="1"/>
  <c r="FD375" i="1"/>
  <c r="FE368" i="1"/>
  <c r="FD368" i="1"/>
  <c r="FE366" i="1"/>
  <c r="FD366" i="1"/>
  <c r="FE361" i="1"/>
  <c r="FD361" i="1"/>
  <c r="FE358" i="1"/>
  <c r="FD358" i="1"/>
  <c r="FE354" i="1"/>
  <c r="FD354" i="1"/>
  <c r="FE349" i="1"/>
  <c r="FD349" i="1"/>
  <c r="FE347" i="1"/>
  <c r="FD347" i="1"/>
  <c r="FE329" i="1"/>
  <c r="FD329" i="1"/>
  <c r="FE326" i="1"/>
  <c r="FD326" i="1"/>
  <c r="FE322" i="1"/>
  <c r="FD322" i="1"/>
  <c r="FE319" i="1"/>
  <c r="FD319" i="1"/>
  <c r="FE316" i="1"/>
  <c r="FD316" i="1"/>
  <c r="FE313" i="1"/>
  <c r="FD313" i="1"/>
  <c r="FE310" i="1"/>
  <c r="FE308" i="1"/>
  <c r="FD310" i="1"/>
  <c r="FD308" i="1"/>
  <c r="FE305" i="1"/>
  <c r="FD305" i="1"/>
  <c r="FE302" i="1"/>
  <c r="FD302" i="1"/>
  <c r="FE298" i="1"/>
  <c r="FD298" i="1"/>
  <c r="FE293" i="1"/>
  <c r="FD293" i="1"/>
  <c r="FE288" i="1"/>
  <c r="FD288" i="1"/>
  <c r="FE279" i="1"/>
  <c r="FD279" i="1"/>
  <c r="FE275" i="1"/>
  <c r="FD275" i="1"/>
  <c r="FE267" i="1"/>
  <c r="FD267" i="1"/>
  <c r="FE259" i="1"/>
  <c r="FD259" i="1"/>
  <c r="FE251" i="1"/>
  <c r="FD251" i="1"/>
  <c r="FE246" i="1"/>
  <c r="FD246" i="1"/>
  <c r="FE238" i="1"/>
  <c r="FD238" i="1"/>
  <c r="FE237" i="1"/>
  <c r="FE236" i="1"/>
  <c r="FE215" i="1"/>
  <c r="FE212" i="1"/>
  <c r="FE220" i="1"/>
  <c r="FE221" i="1"/>
  <c r="FE218" i="1"/>
  <c r="FE210" i="1"/>
  <c r="FD237" i="1"/>
  <c r="FD236" i="1"/>
  <c r="FD216" i="1"/>
  <c r="FD215" i="1"/>
  <c r="FD212" i="1"/>
  <c r="FD220" i="1"/>
  <c r="FD221" i="1"/>
  <c r="FD218" i="1"/>
  <c r="FD210" i="1"/>
  <c r="FE234" i="1"/>
  <c r="FD234" i="1"/>
  <c r="FE233" i="1"/>
  <c r="FD233" i="1"/>
  <c r="FE231" i="1"/>
  <c r="FD231" i="1"/>
  <c r="FE230" i="1"/>
  <c r="FD230" i="1"/>
  <c r="FE228" i="1"/>
  <c r="FE227" i="1"/>
  <c r="FD228" i="1"/>
  <c r="FD227" i="1"/>
  <c r="FE225" i="1"/>
  <c r="FE224" i="1"/>
  <c r="FD225" i="1"/>
  <c r="FD224" i="1"/>
  <c r="FE222" i="1"/>
  <c r="FD222" i="1"/>
  <c r="FE219" i="1"/>
  <c r="FD219" i="1"/>
  <c r="FE216" i="1"/>
  <c r="FE214" i="1"/>
  <c r="FD214" i="1"/>
  <c r="FE213" i="1"/>
  <c r="FD213" i="1"/>
  <c r="FE205" i="1"/>
  <c r="FE204" i="1"/>
  <c r="FD205" i="1"/>
  <c r="FD204" i="1"/>
  <c r="FE202" i="1"/>
  <c r="FE201" i="1"/>
  <c r="FD202" i="1"/>
  <c r="FD201" i="1"/>
  <c r="FE197" i="1"/>
  <c r="FD197" i="1"/>
  <c r="FE196" i="1"/>
  <c r="FD196" i="1"/>
  <c r="FD195" i="1"/>
  <c r="FD172" i="1"/>
  <c r="FE193" i="1"/>
  <c r="FD193" i="1"/>
  <c r="FE191" i="1"/>
  <c r="FD191" i="1"/>
  <c r="FE189" i="1"/>
  <c r="FD189" i="1"/>
  <c r="FE187" i="1"/>
  <c r="FD187" i="1"/>
  <c r="FE185" i="1"/>
  <c r="FE184" i="1"/>
  <c r="FD185" i="1"/>
  <c r="FD184" i="1"/>
  <c r="FE182" i="1"/>
  <c r="FD182" i="1"/>
  <c r="FE180" i="1"/>
  <c r="FD180" i="1"/>
  <c r="FE179" i="1"/>
  <c r="FD179" i="1"/>
  <c r="FE177" i="1"/>
  <c r="FD177" i="1"/>
  <c r="FE176" i="1"/>
  <c r="FD176" i="1"/>
  <c r="FE175" i="1"/>
  <c r="FD175" i="1"/>
  <c r="FE174" i="1"/>
  <c r="FD174" i="1"/>
  <c r="FE170" i="1"/>
  <c r="FD170" i="1"/>
  <c r="FE169" i="1"/>
  <c r="FD169" i="1"/>
  <c r="FE168" i="1"/>
  <c r="FD168" i="1"/>
  <c r="FE165" i="1"/>
  <c r="FD165" i="1"/>
  <c r="FE163" i="1"/>
  <c r="FD163" i="1"/>
  <c r="FE162" i="1"/>
  <c r="FD162" i="1"/>
  <c r="FE161" i="1"/>
  <c r="FD161" i="1"/>
  <c r="FE160" i="1"/>
  <c r="FD160" i="1"/>
  <c r="FE159" i="1"/>
  <c r="FD159" i="1"/>
  <c r="FE158" i="1"/>
  <c r="FD158" i="1"/>
  <c r="FE157" i="1"/>
  <c r="FD157" i="1"/>
  <c r="FE156" i="1"/>
  <c r="FD156" i="1"/>
  <c r="FE153" i="1"/>
  <c r="FD153" i="1"/>
  <c r="FE152" i="1"/>
  <c r="FD152" i="1"/>
  <c r="FE151" i="1"/>
  <c r="FD151" i="1"/>
  <c r="FE150" i="1"/>
  <c r="FD150" i="1"/>
  <c r="FE149" i="1"/>
  <c r="FD149" i="1"/>
  <c r="FE147" i="1"/>
  <c r="FD147" i="1"/>
  <c r="FE146" i="1"/>
  <c r="FD146" i="1"/>
  <c r="FE145" i="1"/>
  <c r="FD145" i="1"/>
  <c r="FE144" i="1"/>
  <c r="FD144" i="1"/>
  <c r="FE143" i="1"/>
  <c r="FD143" i="1"/>
  <c r="FE142" i="1"/>
  <c r="FD142" i="1"/>
  <c r="FD141" i="1"/>
  <c r="FD139" i="1"/>
  <c r="FE141" i="1"/>
  <c r="FE140" i="1"/>
  <c r="FD140" i="1"/>
  <c r="FE137" i="1"/>
  <c r="FD137" i="1"/>
  <c r="FE134" i="1"/>
  <c r="FD134" i="1"/>
  <c r="FD133" i="1"/>
  <c r="FE133" i="1"/>
  <c r="FE132" i="1"/>
  <c r="FD132" i="1"/>
  <c r="FE129" i="1"/>
  <c r="FD129" i="1"/>
  <c r="FE128" i="1"/>
  <c r="FD128" i="1"/>
  <c r="FE127" i="1"/>
  <c r="FD127" i="1"/>
  <c r="FE126" i="1"/>
  <c r="FE125" i="1"/>
  <c r="FD126" i="1"/>
  <c r="FD125" i="1"/>
  <c r="FE123" i="1"/>
  <c r="FD123" i="1"/>
  <c r="FE122" i="1"/>
  <c r="FD122" i="1"/>
  <c r="FE121" i="1"/>
  <c r="FD121" i="1"/>
  <c r="FE120" i="1"/>
  <c r="FD120" i="1"/>
  <c r="FE119" i="1"/>
  <c r="FD119" i="1"/>
  <c r="FE116" i="1"/>
  <c r="FD116" i="1"/>
  <c r="FE115" i="1"/>
  <c r="FE114" i="1"/>
  <c r="FE111" i="1"/>
  <c r="FD115" i="1"/>
  <c r="FD114" i="1"/>
  <c r="FE113" i="1"/>
  <c r="FD113" i="1"/>
  <c r="FE112" i="1"/>
  <c r="FD112" i="1"/>
  <c r="FE109" i="1"/>
  <c r="FD109" i="1"/>
  <c r="FE108" i="1"/>
  <c r="FD108" i="1"/>
  <c r="FE107" i="1"/>
  <c r="FE106" i="1"/>
  <c r="FD107" i="1"/>
  <c r="FD106" i="1"/>
  <c r="FE102" i="1"/>
  <c r="FD102" i="1"/>
  <c r="FE101" i="1"/>
  <c r="FD101" i="1"/>
  <c r="FE100" i="1"/>
  <c r="FD100" i="1"/>
  <c r="FE99" i="1"/>
  <c r="FD99" i="1"/>
  <c r="FE98" i="1"/>
  <c r="FD98" i="1"/>
  <c r="FE97" i="1"/>
  <c r="FD97" i="1"/>
  <c r="FE96" i="1"/>
  <c r="FD96" i="1"/>
  <c r="FE95" i="1"/>
  <c r="FD95" i="1"/>
  <c r="FE92" i="1"/>
  <c r="FD92" i="1"/>
  <c r="FE91" i="1"/>
  <c r="FD91" i="1"/>
  <c r="FE90" i="1"/>
  <c r="FD90" i="1"/>
  <c r="FE89" i="1"/>
  <c r="FE88" i="1"/>
  <c r="FE86" i="1"/>
  <c r="FD89" i="1"/>
  <c r="FD88" i="1"/>
  <c r="FE87" i="1"/>
  <c r="FD87" i="1"/>
  <c r="FE84" i="1"/>
  <c r="FD84" i="1"/>
  <c r="FE83" i="1"/>
  <c r="FE82" i="1"/>
  <c r="FD83" i="1"/>
  <c r="FD82" i="1"/>
  <c r="FE80" i="1"/>
  <c r="FE77" i="1"/>
  <c r="FD80" i="1"/>
  <c r="FE79" i="1"/>
  <c r="FD79" i="1"/>
  <c r="FE78" i="1"/>
  <c r="FD78" i="1"/>
  <c r="FD77" i="1"/>
  <c r="FE75" i="1"/>
  <c r="FD75" i="1"/>
  <c r="FE74" i="1"/>
  <c r="FD74" i="1"/>
  <c r="FE73" i="1"/>
  <c r="FE72" i="1"/>
  <c r="FD73" i="1"/>
  <c r="FD72" i="1"/>
  <c r="FE70" i="1"/>
  <c r="FD70" i="1"/>
  <c r="FE69" i="1"/>
  <c r="FD69" i="1"/>
  <c r="FE68" i="1"/>
  <c r="FD68" i="1"/>
  <c r="FE65" i="1"/>
  <c r="FD65" i="1"/>
  <c r="FE64" i="1"/>
  <c r="FE63" i="1"/>
  <c r="FD64" i="1"/>
  <c r="FD63" i="1"/>
  <c r="FE61" i="1"/>
  <c r="FD61" i="1"/>
  <c r="FE59" i="1"/>
  <c r="FD59" i="1"/>
  <c r="FE58" i="1"/>
  <c r="FD58" i="1"/>
  <c r="FE57" i="1"/>
  <c r="FD57" i="1"/>
  <c r="FE56" i="1"/>
  <c r="FD56" i="1"/>
  <c r="FE55" i="1"/>
  <c r="FD55" i="1"/>
  <c r="FE54" i="1"/>
  <c r="FD54" i="1"/>
  <c r="FE53" i="1"/>
  <c r="FE52" i="1"/>
  <c r="FD53" i="1"/>
  <c r="FD52" i="1"/>
  <c r="FE50" i="1"/>
  <c r="FD50" i="1"/>
  <c r="FE49" i="1"/>
  <c r="FD49" i="1"/>
  <c r="FD48" i="1"/>
  <c r="FE48" i="1"/>
  <c r="FE47" i="1"/>
  <c r="FD47" i="1"/>
  <c r="FE46" i="1"/>
  <c r="FE42" i="1"/>
  <c r="FD42" i="1"/>
  <c r="FE41" i="1"/>
  <c r="FD41" i="1"/>
  <c r="FE36" i="1"/>
  <c r="FD36" i="1"/>
  <c r="FE34" i="1"/>
  <c r="FD34" i="1"/>
  <c r="FE33" i="1"/>
  <c r="FD33" i="1"/>
  <c r="FE32" i="1"/>
  <c r="FD32" i="1"/>
  <c r="FE31" i="1"/>
  <c r="FD31" i="1"/>
  <c r="FE30" i="1"/>
  <c r="FD30" i="1"/>
  <c r="FE28" i="1"/>
  <c r="FD28" i="1"/>
  <c r="FE26" i="1"/>
  <c r="FD26" i="1"/>
  <c r="FE24" i="1"/>
  <c r="FD24" i="1"/>
  <c r="FE23" i="1"/>
  <c r="FD23" i="1"/>
  <c r="FE22" i="1"/>
  <c r="FD22" i="1"/>
  <c r="FE21" i="1"/>
  <c r="FD21" i="1"/>
  <c r="FE19" i="1"/>
  <c r="FD19" i="1"/>
  <c r="FD14" i="1"/>
  <c r="FG860" i="1"/>
  <c r="FF860" i="1"/>
  <c r="FG856" i="1"/>
  <c r="FF856" i="1"/>
  <c r="FG845" i="1"/>
  <c r="FF845" i="1"/>
  <c r="FG842" i="1"/>
  <c r="FF842" i="1"/>
  <c r="FG827" i="1"/>
  <c r="FF827" i="1"/>
  <c r="FG790" i="1"/>
  <c r="FF790" i="1"/>
  <c r="FG783" i="1"/>
  <c r="FF783" i="1"/>
  <c r="FG768" i="1"/>
  <c r="FF768" i="1"/>
  <c r="FG742" i="1"/>
  <c r="FF742" i="1"/>
  <c r="FG738" i="1"/>
  <c r="FF738" i="1"/>
  <c r="FG728" i="1"/>
  <c r="FF728" i="1"/>
  <c r="FG725" i="1"/>
  <c r="FF725" i="1"/>
  <c r="FF721" i="1"/>
  <c r="FG718" i="1"/>
  <c r="FF718" i="1"/>
  <c r="FG711" i="1"/>
  <c r="FF711" i="1"/>
  <c r="FG705" i="1"/>
  <c r="FF705" i="1"/>
  <c r="FG702" i="1"/>
  <c r="FF702" i="1"/>
  <c r="FG699" i="1"/>
  <c r="FF699" i="1"/>
  <c r="FG696" i="1"/>
  <c r="FF696" i="1"/>
  <c r="FG693" i="1"/>
  <c r="FF693" i="1"/>
  <c r="FG685" i="1"/>
  <c r="FF685" i="1"/>
  <c r="FG681" i="1"/>
  <c r="FF681" i="1"/>
  <c r="FG669" i="1"/>
  <c r="FG664" i="1"/>
  <c r="FF669" i="1"/>
  <c r="FF664" i="1"/>
  <c r="FF662" i="1"/>
  <c r="FG666" i="1"/>
  <c r="FF666" i="1"/>
  <c r="FG655" i="1"/>
  <c r="FF655" i="1"/>
  <c r="FG645" i="1"/>
  <c r="FF645" i="1"/>
  <c r="FG637" i="1"/>
  <c r="FF637" i="1"/>
  <c r="FG634" i="1"/>
  <c r="FF634" i="1"/>
  <c r="FG632" i="1"/>
  <c r="FG630" i="1"/>
  <c r="FG628" i="1"/>
  <c r="FF632" i="1"/>
  <c r="FF630" i="1"/>
  <c r="FF628" i="1"/>
  <c r="FG625" i="1"/>
  <c r="FF625" i="1"/>
  <c r="FG621" i="1"/>
  <c r="FG619" i="1"/>
  <c r="FF621" i="1"/>
  <c r="FF619" i="1"/>
  <c r="FG616" i="1"/>
  <c r="FF616" i="1"/>
  <c r="FG613" i="1"/>
  <c r="FF613" i="1"/>
  <c r="FG611" i="1"/>
  <c r="FG609" i="1"/>
  <c r="FF611" i="1"/>
  <c r="FG606" i="1"/>
  <c r="FF606" i="1"/>
  <c r="FG600" i="1"/>
  <c r="FF600" i="1"/>
  <c r="FG592" i="1"/>
  <c r="FF592" i="1"/>
  <c r="FG585" i="1"/>
  <c r="FF585" i="1"/>
  <c r="FG581" i="1"/>
  <c r="FF581" i="1"/>
  <c r="FG579" i="1"/>
  <c r="FG577" i="1"/>
  <c r="FG575" i="1"/>
  <c r="FF579" i="1"/>
  <c r="FF577" i="1"/>
  <c r="FG571" i="1"/>
  <c r="FF571" i="1"/>
  <c r="FG569" i="1"/>
  <c r="FG567" i="1"/>
  <c r="FF569" i="1"/>
  <c r="FF567" i="1"/>
  <c r="FG563" i="1"/>
  <c r="FF563" i="1"/>
  <c r="FG558" i="1"/>
  <c r="FF558" i="1"/>
  <c r="FG555" i="1"/>
  <c r="FF555" i="1"/>
  <c r="FG549" i="1"/>
  <c r="FF549" i="1"/>
  <c r="FG543" i="1"/>
  <c r="FG541" i="1"/>
  <c r="FF543" i="1"/>
  <c r="FF541" i="1"/>
  <c r="FG535" i="1"/>
  <c r="FF535" i="1"/>
  <c r="FG532" i="1"/>
  <c r="FF532" i="1"/>
  <c r="FG526" i="1"/>
  <c r="FF526" i="1"/>
  <c r="FG507" i="1"/>
  <c r="FF507" i="1"/>
  <c r="FG505" i="1"/>
  <c r="FF505" i="1"/>
  <c r="FG500" i="1"/>
  <c r="FF500" i="1"/>
  <c r="FG488" i="1"/>
  <c r="FF488" i="1"/>
  <c r="FG482" i="1"/>
  <c r="FF482" i="1"/>
  <c r="FG472" i="1"/>
  <c r="FF472" i="1"/>
  <c r="FG464" i="1"/>
  <c r="FG458" i="1"/>
  <c r="FG437" i="1"/>
  <c r="FF464" i="1"/>
  <c r="FF458" i="1"/>
  <c r="FG451" i="1"/>
  <c r="FF451" i="1"/>
  <c r="FG444" i="1"/>
  <c r="FF444" i="1"/>
  <c r="FG439" i="1"/>
  <c r="FF439" i="1"/>
  <c r="FF437" i="1"/>
  <c r="FG427" i="1"/>
  <c r="FF427" i="1"/>
  <c r="FG419" i="1"/>
  <c r="FF419" i="1"/>
  <c r="FG416" i="1"/>
  <c r="FF416" i="1"/>
  <c r="FG411" i="1"/>
  <c r="FF411" i="1"/>
  <c r="FG406" i="1"/>
  <c r="FF406" i="1"/>
  <c r="FG401" i="1"/>
  <c r="FF401" i="1"/>
  <c r="FG397" i="1"/>
  <c r="FF397" i="1"/>
  <c r="FG386" i="1"/>
  <c r="FF386" i="1"/>
  <c r="FG380" i="1"/>
  <c r="FF380" i="1"/>
  <c r="FF378" i="1"/>
  <c r="FF375" i="1"/>
  <c r="FF366" i="1"/>
  <c r="FF364" i="1"/>
  <c r="FG375" i="1"/>
  <c r="FG368" i="1"/>
  <c r="FG366" i="1"/>
  <c r="FF368" i="1"/>
  <c r="FG361" i="1"/>
  <c r="FF361" i="1"/>
  <c r="FG358" i="1"/>
  <c r="FF358" i="1"/>
  <c r="FG354" i="1"/>
  <c r="FF354" i="1"/>
  <c r="FG349" i="1"/>
  <c r="FG347" i="1"/>
  <c r="FF349" i="1"/>
  <c r="FF347" i="1"/>
  <c r="FG329" i="1"/>
  <c r="FF329" i="1"/>
  <c r="FG326" i="1"/>
  <c r="FF326" i="1"/>
  <c r="FG322" i="1"/>
  <c r="FF322" i="1"/>
  <c r="FG319" i="1"/>
  <c r="FF319" i="1"/>
  <c r="FG316" i="1"/>
  <c r="FF316" i="1"/>
  <c r="FG313" i="1"/>
  <c r="FF313" i="1"/>
  <c r="FG310" i="1"/>
  <c r="FG308" i="1"/>
  <c r="FF310" i="1"/>
  <c r="FF308" i="1"/>
  <c r="FG305" i="1"/>
  <c r="FF305" i="1"/>
  <c r="FG302" i="1"/>
  <c r="FF302" i="1"/>
  <c r="FG298" i="1"/>
  <c r="FF298" i="1"/>
  <c r="FG293" i="1"/>
  <c r="FF293" i="1"/>
  <c r="FG288" i="1"/>
  <c r="FF288" i="1"/>
  <c r="FG279" i="1"/>
  <c r="FF279" i="1"/>
  <c r="FG275" i="1"/>
  <c r="FF275" i="1"/>
  <c r="FG267" i="1"/>
  <c r="FF267" i="1"/>
  <c r="FG259" i="1"/>
  <c r="FF259" i="1"/>
  <c r="FG251" i="1"/>
  <c r="FF251" i="1"/>
  <c r="FG246" i="1"/>
  <c r="FF246" i="1"/>
  <c r="FG244" i="1"/>
  <c r="FF244" i="1"/>
  <c r="FG238" i="1"/>
  <c r="FF238" i="1"/>
  <c r="FG237" i="1"/>
  <c r="FG236" i="1"/>
  <c r="FF237" i="1"/>
  <c r="FG234" i="1"/>
  <c r="FF234" i="1"/>
  <c r="FG233" i="1"/>
  <c r="FF233" i="1"/>
  <c r="FG231" i="1"/>
  <c r="FG230" i="1"/>
  <c r="FF231" i="1"/>
  <c r="FF230" i="1"/>
  <c r="FG228" i="1"/>
  <c r="FG227" i="1"/>
  <c r="FF228" i="1"/>
  <c r="FF227" i="1"/>
  <c r="FG225" i="1"/>
  <c r="FG224" i="1"/>
  <c r="FF225" i="1"/>
  <c r="FF224" i="1"/>
  <c r="FG222" i="1"/>
  <c r="FF222" i="1"/>
  <c r="FG221" i="1"/>
  <c r="FF221" i="1"/>
  <c r="FG220" i="1"/>
  <c r="FF220" i="1"/>
  <c r="FG219" i="1"/>
  <c r="FF219" i="1"/>
  <c r="FG218" i="1"/>
  <c r="FF218" i="1"/>
  <c r="FG216" i="1"/>
  <c r="FF216" i="1"/>
  <c r="FG215" i="1"/>
  <c r="FF215" i="1"/>
  <c r="FG214" i="1"/>
  <c r="FF214" i="1"/>
  <c r="FG213" i="1"/>
  <c r="FG212" i="1"/>
  <c r="FF213" i="1"/>
  <c r="FF212" i="1"/>
  <c r="FG205" i="1"/>
  <c r="FF205" i="1"/>
  <c r="FG204" i="1"/>
  <c r="FF204" i="1"/>
  <c r="FG202" i="1"/>
  <c r="FG201" i="1"/>
  <c r="FG199" i="1"/>
  <c r="FF202" i="1"/>
  <c r="FF201" i="1"/>
  <c r="FF199" i="1"/>
  <c r="FG197" i="1"/>
  <c r="FF197" i="1"/>
  <c r="FG196" i="1"/>
  <c r="FF196" i="1"/>
  <c r="FG195" i="1"/>
  <c r="FF195" i="1"/>
  <c r="FG193" i="1"/>
  <c r="FF193" i="1"/>
  <c r="FG191" i="1"/>
  <c r="FF191" i="1"/>
  <c r="FG189" i="1"/>
  <c r="FF189" i="1"/>
  <c r="FG187" i="1"/>
  <c r="FF187" i="1"/>
  <c r="FG185" i="1"/>
  <c r="FF185" i="1"/>
  <c r="FG184" i="1"/>
  <c r="FF184" i="1"/>
  <c r="FG182" i="1"/>
  <c r="FF182" i="1"/>
  <c r="FG180" i="1"/>
  <c r="FG179" i="1"/>
  <c r="FF180" i="1"/>
  <c r="FF179" i="1"/>
  <c r="FG177" i="1"/>
  <c r="FF177" i="1"/>
  <c r="FG176" i="1"/>
  <c r="FF176" i="1"/>
  <c r="FG175" i="1"/>
  <c r="FG174" i="1"/>
  <c r="FG172" i="1"/>
  <c r="FF175" i="1"/>
  <c r="FF174" i="1"/>
  <c r="FG170" i="1"/>
  <c r="FF170" i="1"/>
  <c r="FG169" i="1"/>
  <c r="FF169" i="1"/>
  <c r="FG168" i="1"/>
  <c r="FG167" i="1"/>
  <c r="FF168" i="1"/>
  <c r="FF167" i="1"/>
  <c r="FG165" i="1"/>
  <c r="FF165" i="1"/>
  <c r="FG163" i="1"/>
  <c r="FF163" i="1"/>
  <c r="FG162" i="1"/>
  <c r="FF162" i="1"/>
  <c r="FG161" i="1"/>
  <c r="FF161" i="1"/>
  <c r="FG160" i="1"/>
  <c r="FF160" i="1"/>
  <c r="FG159" i="1"/>
  <c r="FF159" i="1"/>
  <c r="FG158" i="1"/>
  <c r="FF158" i="1"/>
  <c r="FG157" i="1"/>
  <c r="FF157" i="1"/>
  <c r="FG156" i="1"/>
  <c r="FF156" i="1"/>
  <c r="FG155" i="1"/>
  <c r="FF155" i="1"/>
  <c r="FG153" i="1"/>
  <c r="FF153" i="1"/>
  <c r="FG152" i="1"/>
  <c r="FF152" i="1"/>
  <c r="FG151" i="1"/>
  <c r="FF151" i="1"/>
  <c r="FG150" i="1"/>
  <c r="FG149" i="1"/>
  <c r="FF150" i="1"/>
  <c r="FF149" i="1"/>
  <c r="FG147" i="1"/>
  <c r="FF147" i="1"/>
  <c r="FG146" i="1"/>
  <c r="FF146" i="1"/>
  <c r="FG145" i="1"/>
  <c r="FF145" i="1"/>
  <c r="FG144" i="1"/>
  <c r="FF144" i="1"/>
  <c r="FG143" i="1"/>
  <c r="FF143" i="1"/>
  <c r="FG142" i="1"/>
  <c r="FF142" i="1"/>
  <c r="FG141" i="1"/>
  <c r="FF141" i="1"/>
  <c r="FG140" i="1"/>
  <c r="FF140" i="1"/>
  <c r="FG139" i="1"/>
  <c r="FF139" i="1"/>
  <c r="FG137" i="1"/>
  <c r="FF137" i="1"/>
  <c r="FG134" i="1"/>
  <c r="FF134" i="1"/>
  <c r="FG133" i="1"/>
  <c r="FF133" i="1"/>
  <c r="FG132" i="1"/>
  <c r="FG131" i="1"/>
  <c r="FF132" i="1"/>
  <c r="FG129" i="1"/>
  <c r="FF129" i="1"/>
  <c r="FG128" i="1"/>
  <c r="FF128" i="1"/>
  <c r="FG127" i="1"/>
  <c r="FF127" i="1"/>
  <c r="FG126" i="1"/>
  <c r="FF126" i="1"/>
  <c r="FG125" i="1"/>
  <c r="FF125" i="1"/>
  <c r="FG123" i="1"/>
  <c r="FF123" i="1"/>
  <c r="FG122" i="1"/>
  <c r="FF122" i="1"/>
  <c r="FG121" i="1"/>
  <c r="FF121" i="1"/>
  <c r="FG120" i="1"/>
  <c r="FF120" i="1"/>
  <c r="FG119" i="1"/>
  <c r="FF119" i="1"/>
  <c r="FG118" i="1"/>
  <c r="FF118" i="1"/>
  <c r="FG116" i="1"/>
  <c r="FF116" i="1"/>
  <c r="FG115" i="1"/>
  <c r="FF115" i="1"/>
  <c r="FG114" i="1"/>
  <c r="FF114" i="1"/>
  <c r="FG113" i="1"/>
  <c r="FF113" i="1"/>
  <c r="FG112" i="1"/>
  <c r="FF112" i="1"/>
  <c r="FG111" i="1"/>
  <c r="FF111" i="1"/>
  <c r="FG109" i="1"/>
  <c r="FF109" i="1"/>
  <c r="FG108" i="1"/>
  <c r="FF108" i="1"/>
  <c r="FG107" i="1"/>
  <c r="FG106" i="1"/>
  <c r="FF107" i="1"/>
  <c r="FF106" i="1"/>
  <c r="FG102" i="1"/>
  <c r="FF102" i="1"/>
  <c r="FG101" i="1"/>
  <c r="FF101" i="1"/>
  <c r="FG100" i="1"/>
  <c r="FF100" i="1"/>
  <c r="FG99" i="1"/>
  <c r="FF99" i="1"/>
  <c r="FG98" i="1"/>
  <c r="FF98" i="1"/>
  <c r="FG97" i="1"/>
  <c r="FF97" i="1"/>
  <c r="FG96" i="1"/>
  <c r="FF96" i="1"/>
  <c r="FG95" i="1"/>
  <c r="FF95" i="1"/>
  <c r="FG94" i="1"/>
  <c r="FF94" i="1"/>
  <c r="FG92" i="1"/>
  <c r="FG86" i="1"/>
  <c r="FF92" i="1"/>
  <c r="FG91" i="1"/>
  <c r="FF91" i="1"/>
  <c r="FG90" i="1"/>
  <c r="FF90" i="1"/>
  <c r="FG89" i="1"/>
  <c r="FF89" i="1"/>
  <c r="FG88" i="1"/>
  <c r="FF88" i="1"/>
  <c r="FG87" i="1"/>
  <c r="FF87" i="1"/>
  <c r="FF86" i="1"/>
  <c r="FG84" i="1"/>
  <c r="FF84" i="1"/>
  <c r="FG83" i="1"/>
  <c r="FF83" i="1"/>
  <c r="FG82" i="1"/>
  <c r="FF82" i="1"/>
  <c r="FG80" i="1"/>
  <c r="FG77" i="1"/>
  <c r="FF80" i="1"/>
  <c r="FF77" i="1"/>
  <c r="FG79" i="1"/>
  <c r="FF79" i="1"/>
  <c r="FG78" i="1"/>
  <c r="FF78" i="1"/>
  <c r="FG75" i="1"/>
  <c r="FF75" i="1"/>
  <c r="FF72" i="1"/>
  <c r="FG74" i="1"/>
  <c r="FF74" i="1"/>
  <c r="FG73" i="1"/>
  <c r="FF73" i="1"/>
  <c r="FG72" i="1"/>
  <c r="FG70" i="1"/>
  <c r="FF70" i="1"/>
  <c r="FF67" i="1"/>
  <c r="FG69" i="1"/>
  <c r="FF69" i="1"/>
  <c r="FG68" i="1"/>
  <c r="FF68" i="1"/>
  <c r="FG67" i="1"/>
  <c r="FG65" i="1"/>
  <c r="FF65" i="1"/>
  <c r="FG64" i="1"/>
  <c r="FG63" i="1"/>
  <c r="FF64" i="1"/>
  <c r="FF63" i="1"/>
  <c r="FG61" i="1"/>
  <c r="FF61" i="1"/>
  <c r="FG59" i="1"/>
  <c r="FF59" i="1"/>
  <c r="FG58" i="1"/>
  <c r="FF58" i="1"/>
  <c r="FG57" i="1"/>
  <c r="FF57" i="1"/>
  <c r="FG56" i="1"/>
  <c r="FF56" i="1"/>
  <c r="FG55" i="1"/>
  <c r="FG52" i="1"/>
  <c r="FF55" i="1"/>
  <c r="FF52" i="1"/>
  <c r="FG54" i="1"/>
  <c r="FF54" i="1"/>
  <c r="FG53" i="1"/>
  <c r="FF53" i="1"/>
  <c r="FG50" i="1"/>
  <c r="FF50" i="1"/>
  <c r="FG49" i="1"/>
  <c r="FF49" i="1"/>
  <c r="FG48" i="1"/>
  <c r="FF48" i="1"/>
  <c r="FG47" i="1"/>
  <c r="FG46" i="1"/>
  <c r="FF47" i="1"/>
  <c r="FF46" i="1"/>
  <c r="FG42" i="1"/>
  <c r="FF42" i="1"/>
  <c r="FG41" i="1"/>
  <c r="FF41" i="1"/>
  <c r="FG36" i="1"/>
  <c r="FF36" i="1"/>
  <c r="FG34" i="1"/>
  <c r="FF34" i="1"/>
  <c r="FG33" i="1"/>
  <c r="FF33" i="1"/>
  <c r="FG32" i="1"/>
  <c r="FF32" i="1"/>
  <c r="FG31" i="1"/>
  <c r="FG30" i="1"/>
  <c r="FF31" i="1"/>
  <c r="FF30" i="1"/>
  <c r="FG28" i="1"/>
  <c r="FF28" i="1"/>
  <c r="FG26" i="1"/>
  <c r="FF26" i="1"/>
  <c r="FG24" i="1"/>
  <c r="FF24" i="1"/>
  <c r="FG23" i="1"/>
  <c r="FF23" i="1"/>
  <c r="FG22" i="1"/>
  <c r="FG21" i="1"/>
  <c r="FF22" i="1"/>
  <c r="FF21" i="1"/>
  <c r="FG19" i="1"/>
  <c r="FF19" i="1"/>
  <c r="FI860" i="1"/>
  <c r="FH860" i="1"/>
  <c r="FI856" i="1"/>
  <c r="FH856" i="1"/>
  <c r="FI845" i="1"/>
  <c r="FH845" i="1"/>
  <c r="FI842" i="1"/>
  <c r="FH842" i="1"/>
  <c r="FI827" i="1"/>
  <c r="FH827" i="1"/>
  <c r="FI790" i="1"/>
  <c r="FH790" i="1"/>
  <c r="FI783" i="1"/>
  <c r="FH783" i="1"/>
  <c r="FI768" i="1"/>
  <c r="FH768" i="1"/>
  <c r="FI742" i="1"/>
  <c r="FH742" i="1"/>
  <c r="FI738" i="1"/>
  <c r="FH738" i="1"/>
  <c r="FI728" i="1"/>
  <c r="FH728" i="1"/>
  <c r="FI725" i="1"/>
  <c r="FH725" i="1"/>
  <c r="FI718" i="1"/>
  <c r="FH718" i="1"/>
  <c r="FI711" i="1"/>
  <c r="FH711" i="1"/>
  <c r="FI705" i="1"/>
  <c r="FH705" i="1"/>
  <c r="FI702" i="1"/>
  <c r="FH702" i="1"/>
  <c r="FI699" i="1"/>
  <c r="FH699" i="1"/>
  <c r="FI696" i="1"/>
  <c r="FH696" i="1"/>
  <c r="FI693" i="1"/>
  <c r="FH693" i="1"/>
  <c r="FI685" i="1"/>
  <c r="FH685" i="1"/>
  <c r="FI681" i="1"/>
  <c r="FH681" i="1"/>
  <c r="FI669" i="1"/>
  <c r="FI664" i="1"/>
  <c r="FI662" i="1"/>
  <c r="FH669" i="1"/>
  <c r="FH664" i="1"/>
  <c r="FH662" i="1"/>
  <c r="FI666" i="1"/>
  <c r="FH666" i="1"/>
  <c r="FI655" i="1"/>
  <c r="FH655" i="1"/>
  <c r="FI645" i="1"/>
  <c r="FH645" i="1"/>
  <c r="FI637" i="1"/>
  <c r="FH637" i="1"/>
  <c r="FI634" i="1"/>
  <c r="FI632" i="1"/>
  <c r="FI630" i="1"/>
  <c r="FI628" i="1"/>
  <c r="FH634" i="1"/>
  <c r="FH632" i="1"/>
  <c r="FH630" i="1"/>
  <c r="FH628" i="1"/>
  <c r="FI625" i="1"/>
  <c r="FH625" i="1"/>
  <c r="FI621" i="1"/>
  <c r="FH621" i="1"/>
  <c r="FI619" i="1"/>
  <c r="FH619" i="1"/>
  <c r="FI616" i="1"/>
  <c r="FH616" i="1"/>
  <c r="FI613" i="1"/>
  <c r="FH613" i="1"/>
  <c r="FI606" i="1"/>
  <c r="FH606" i="1"/>
  <c r="FI600" i="1"/>
  <c r="FH600" i="1"/>
  <c r="FI592" i="1"/>
  <c r="FH592" i="1"/>
  <c r="FI585" i="1"/>
  <c r="FH585" i="1"/>
  <c r="FI581" i="1"/>
  <c r="FH581" i="1"/>
  <c r="FI579" i="1"/>
  <c r="FH579" i="1"/>
  <c r="FI571" i="1"/>
  <c r="FH571" i="1"/>
  <c r="FI569" i="1"/>
  <c r="FI567" i="1"/>
  <c r="FH569" i="1"/>
  <c r="FH567" i="1"/>
  <c r="FI563" i="1"/>
  <c r="FH563" i="1"/>
  <c r="FI558" i="1"/>
  <c r="FH558" i="1"/>
  <c r="FI555" i="1"/>
  <c r="FH555" i="1"/>
  <c r="FI549" i="1"/>
  <c r="FH549" i="1"/>
  <c r="FI543" i="1"/>
  <c r="FH543" i="1"/>
  <c r="FI535" i="1"/>
  <c r="FH535" i="1"/>
  <c r="FI532" i="1"/>
  <c r="FH532" i="1"/>
  <c r="FI526" i="1"/>
  <c r="FH526" i="1"/>
  <c r="FI507" i="1"/>
  <c r="FI505" i="1"/>
  <c r="FH507" i="1"/>
  <c r="FH505" i="1"/>
  <c r="FI500" i="1"/>
  <c r="FH500" i="1"/>
  <c r="FI488" i="1"/>
  <c r="FH488" i="1"/>
  <c r="FI482" i="1"/>
  <c r="FH482" i="1"/>
  <c r="FI472" i="1"/>
  <c r="FH472" i="1"/>
  <c r="FI464" i="1"/>
  <c r="FH464" i="1"/>
  <c r="FI458" i="1"/>
  <c r="FH458" i="1"/>
  <c r="FI451" i="1"/>
  <c r="FH451" i="1"/>
  <c r="FI444" i="1"/>
  <c r="FH444" i="1"/>
  <c r="FI439" i="1"/>
  <c r="FH439" i="1"/>
  <c r="FI427" i="1"/>
  <c r="FH427" i="1"/>
  <c r="FI419" i="1"/>
  <c r="FH419" i="1"/>
  <c r="FI416" i="1"/>
  <c r="FH416" i="1"/>
  <c r="FI411" i="1"/>
  <c r="FH411" i="1"/>
  <c r="FI406" i="1"/>
  <c r="FH406" i="1"/>
  <c r="FI401" i="1"/>
  <c r="FH401" i="1"/>
  <c r="FI397" i="1"/>
  <c r="FH397" i="1"/>
  <c r="FI386" i="1"/>
  <c r="FH386" i="1"/>
  <c r="FI380" i="1"/>
  <c r="FH380" i="1"/>
  <c r="FI375" i="1"/>
  <c r="FH375" i="1"/>
  <c r="FI368" i="1"/>
  <c r="FH368" i="1"/>
  <c r="FI366" i="1"/>
  <c r="FH366" i="1"/>
  <c r="FI361" i="1"/>
  <c r="FH361" i="1"/>
  <c r="FI358" i="1"/>
  <c r="FH358" i="1"/>
  <c r="FI354" i="1"/>
  <c r="FH354" i="1"/>
  <c r="FI347" i="1"/>
  <c r="FH347" i="1"/>
  <c r="FI329" i="1"/>
  <c r="FH329" i="1"/>
  <c r="FI326" i="1"/>
  <c r="FH326" i="1"/>
  <c r="FI322" i="1"/>
  <c r="FH322" i="1"/>
  <c r="FH308" i="1"/>
  <c r="FI319" i="1"/>
  <c r="FH319" i="1"/>
  <c r="FI316" i="1"/>
  <c r="FH316" i="1"/>
  <c r="FI313" i="1"/>
  <c r="FH313" i="1"/>
  <c r="FI310" i="1"/>
  <c r="FH310" i="1"/>
  <c r="FI308" i="1"/>
  <c r="FI305" i="1"/>
  <c r="FH305" i="1"/>
  <c r="FI302" i="1"/>
  <c r="FH302" i="1"/>
  <c r="FI298" i="1"/>
  <c r="FH298" i="1"/>
  <c r="FI293" i="1"/>
  <c r="FH293" i="1"/>
  <c r="FI288" i="1"/>
  <c r="FH288" i="1"/>
  <c r="FI279" i="1"/>
  <c r="FH279" i="1"/>
  <c r="FI275" i="1"/>
  <c r="FH275" i="1"/>
  <c r="FI267" i="1"/>
  <c r="FH267" i="1"/>
  <c r="FI259" i="1"/>
  <c r="FH259" i="1"/>
  <c r="FI251" i="1"/>
  <c r="FH251" i="1"/>
  <c r="FI246" i="1"/>
  <c r="FH246" i="1"/>
  <c r="FI238" i="1"/>
  <c r="FH238" i="1"/>
  <c r="FI237" i="1"/>
  <c r="FH237" i="1"/>
  <c r="FI236" i="1"/>
  <c r="FH236" i="1"/>
  <c r="FI234" i="1"/>
  <c r="FH234" i="1"/>
  <c r="FI233" i="1"/>
  <c r="FH233" i="1"/>
  <c r="FI231" i="1"/>
  <c r="FH231" i="1"/>
  <c r="FI230" i="1"/>
  <c r="FH230" i="1"/>
  <c r="FI228" i="1"/>
  <c r="FI227" i="1"/>
  <c r="FH228" i="1"/>
  <c r="FH227" i="1"/>
  <c r="FI225" i="1"/>
  <c r="FI224" i="1"/>
  <c r="FH225" i="1"/>
  <c r="FH224" i="1"/>
  <c r="FI222" i="1"/>
  <c r="FH222" i="1"/>
  <c r="FI221" i="1"/>
  <c r="FH221" i="1"/>
  <c r="FI220" i="1"/>
  <c r="FH220" i="1"/>
  <c r="FI219" i="1"/>
  <c r="FI218" i="1"/>
  <c r="FH219" i="1"/>
  <c r="FH218" i="1"/>
  <c r="FI215" i="1"/>
  <c r="FH215" i="1"/>
  <c r="FI214" i="1"/>
  <c r="FH214" i="1"/>
  <c r="FI213" i="1"/>
  <c r="FI212" i="1"/>
  <c r="FH213" i="1"/>
  <c r="FH212" i="1"/>
  <c r="FI205" i="1"/>
  <c r="FI204" i="1"/>
  <c r="FH205" i="1"/>
  <c r="FH204" i="1"/>
  <c r="FI202" i="1"/>
  <c r="FI201" i="1"/>
  <c r="FH202" i="1"/>
  <c r="FH201" i="1"/>
  <c r="FI197" i="1"/>
  <c r="FH197" i="1"/>
  <c r="FI196" i="1"/>
  <c r="FI195" i="1"/>
  <c r="FH196" i="1"/>
  <c r="FH195" i="1"/>
  <c r="FI193" i="1"/>
  <c r="FH193" i="1"/>
  <c r="FI191" i="1"/>
  <c r="FH191" i="1"/>
  <c r="FI189" i="1"/>
  <c r="FH189" i="1"/>
  <c r="FI187" i="1"/>
  <c r="FH187" i="1"/>
  <c r="FI185" i="1"/>
  <c r="FI184" i="1"/>
  <c r="FH185" i="1"/>
  <c r="FH184" i="1"/>
  <c r="FI182" i="1"/>
  <c r="FH182" i="1"/>
  <c r="FI180" i="1"/>
  <c r="FH180" i="1"/>
  <c r="FI179" i="1"/>
  <c r="FH179" i="1"/>
  <c r="FI177" i="1"/>
  <c r="FH177" i="1"/>
  <c r="FI176" i="1"/>
  <c r="FH176" i="1"/>
  <c r="FI175" i="1"/>
  <c r="FH175" i="1"/>
  <c r="FI174" i="1"/>
  <c r="FH174" i="1"/>
  <c r="FI170" i="1"/>
  <c r="FH170" i="1"/>
  <c r="FI169" i="1"/>
  <c r="FH169" i="1"/>
  <c r="FI168" i="1"/>
  <c r="FI167" i="1"/>
  <c r="FH168" i="1"/>
  <c r="FH167" i="1"/>
  <c r="FI165" i="1"/>
  <c r="FH165" i="1"/>
  <c r="FI163" i="1"/>
  <c r="FH163" i="1"/>
  <c r="FI162" i="1"/>
  <c r="FH162" i="1"/>
  <c r="FI161" i="1"/>
  <c r="FH161" i="1"/>
  <c r="FI160" i="1"/>
  <c r="FH160" i="1"/>
  <c r="FI159" i="1"/>
  <c r="FH159" i="1"/>
  <c r="FI158" i="1"/>
  <c r="FH158" i="1"/>
  <c r="FI157" i="1"/>
  <c r="FH157" i="1"/>
  <c r="FI156" i="1"/>
  <c r="FH156" i="1"/>
  <c r="FH155" i="1"/>
  <c r="FI153" i="1"/>
  <c r="FH153" i="1"/>
  <c r="FI152" i="1"/>
  <c r="FH152" i="1"/>
  <c r="FI151" i="1"/>
  <c r="FH151" i="1"/>
  <c r="FI150" i="1"/>
  <c r="FH150" i="1"/>
  <c r="FI149" i="1"/>
  <c r="FH149" i="1"/>
  <c r="FI147" i="1"/>
  <c r="FH147" i="1"/>
  <c r="FI146" i="1"/>
  <c r="FH146" i="1"/>
  <c r="FI145" i="1"/>
  <c r="FH145" i="1"/>
  <c r="FI144" i="1"/>
  <c r="FH144" i="1"/>
  <c r="FI143" i="1"/>
  <c r="FH143" i="1"/>
  <c r="FI142" i="1"/>
  <c r="FH142" i="1"/>
  <c r="FI141" i="1"/>
  <c r="FH141" i="1"/>
  <c r="FI140" i="1"/>
  <c r="FI139" i="1"/>
  <c r="FH140" i="1"/>
  <c r="FH139" i="1"/>
  <c r="FI137" i="1"/>
  <c r="FH137" i="1"/>
  <c r="FI134" i="1"/>
  <c r="FH134" i="1"/>
  <c r="FI133" i="1"/>
  <c r="FH133" i="1"/>
  <c r="FI132" i="1"/>
  <c r="FI131" i="1"/>
  <c r="FH132" i="1"/>
  <c r="FH131" i="1"/>
  <c r="FI129" i="1"/>
  <c r="FH129" i="1"/>
  <c r="FI128" i="1"/>
  <c r="FH128" i="1"/>
  <c r="FI127" i="1"/>
  <c r="FH127" i="1"/>
  <c r="FI126" i="1"/>
  <c r="FI125" i="1"/>
  <c r="FH126" i="1"/>
  <c r="FH125" i="1"/>
  <c r="FI123" i="1"/>
  <c r="FH123" i="1"/>
  <c r="FI122" i="1"/>
  <c r="FH122" i="1"/>
  <c r="FI121" i="1"/>
  <c r="FH121" i="1"/>
  <c r="FI120" i="1"/>
  <c r="FH120" i="1"/>
  <c r="FI119" i="1"/>
  <c r="FI118" i="1"/>
  <c r="FH119" i="1"/>
  <c r="FH118" i="1"/>
  <c r="FI116" i="1"/>
  <c r="FH116" i="1"/>
  <c r="FI115" i="1"/>
  <c r="FH115" i="1"/>
  <c r="FI114" i="1"/>
  <c r="FH114" i="1"/>
  <c r="FI113" i="1"/>
  <c r="FH113" i="1"/>
  <c r="FI112" i="1"/>
  <c r="FI111" i="1"/>
  <c r="FH112" i="1"/>
  <c r="FH111" i="1"/>
  <c r="FI109" i="1"/>
  <c r="FH109" i="1"/>
  <c r="FI108" i="1"/>
  <c r="FH108" i="1"/>
  <c r="FI107" i="1"/>
  <c r="FI106" i="1"/>
  <c r="FH107" i="1"/>
  <c r="FH106" i="1"/>
  <c r="FI102" i="1"/>
  <c r="FH102" i="1"/>
  <c r="FI101" i="1"/>
  <c r="FH101" i="1"/>
  <c r="FI100" i="1"/>
  <c r="FH100" i="1"/>
  <c r="FI99" i="1"/>
  <c r="FH99" i="1"/>
  <c r="FI98" i="1"/>
  <c r="FH98" i="1"/>
  <c r="FI97" i="1"/>
  <c r="FH97" i="1"/>
  <c r="FI96" i="1"/>
  <c r="FH96" i="1"/>
  <c r="FI95" i="1"/>
  <c r="FI94" i="1"/>
  <c r="FH95" i="1"/>
  <c r="FH94" i="1"/>
  <c r="FI92" i="1"/>
  <c r="FH92" i="1"/>
  <c r="FI91" i="1"/>
  <c r="FH91" i="1"/>
  <c r="FI90" i="1"/>
  <c r="FH90" i="1"/>
  <c r="FI89" i="1"/>
  <c r="FH89" i="1"/>
  <c r="FI88" i="1"/>
  <c r="FH88" i="1"/>
  <c r="FI87" i="1"/>
  <c r="FH87" i="1"/>
  <c r="FI86" i="1"/>
  <c r="FH86" i="1"/>
  <c r="FI84" i="1"/>
  <c r="FH84" i="1"/>
  <c r="FI83" i="1"/>
  <c r="FI82" i="1"/>
  <c r="FH83" i="1"/>
  <c r="FH82" i="1"/>
  <c r="FI80" i="1"/>
  <c r="FH80" i="1"/>
  <c r="FH77" i="1"/>
  <c r="FI79" i="1"/>
  <c r="FH79" i="1"/>
  <c r="FI78" i="1"/>
  <c r="FI77" i="1"/>
  <c r="FH78" i="1"/>
  <c r="FI75" i="1"/>
  <c r="FH75" i="1"/>
  <c r="FI74" i="1"/>
  <c r="FH74" i="1"/>
  <c r="FI73" i="1"/>
  <c r="FH73" i="1"/>
  <c r="FH72" i="1"/>
  <c r="FI70" i="1"/>
  <c r="FH70" i="1"/>
  <c r="FI69" i="1"/>
  <c r="FH69" i="1"/>
  <c r="FI68" i="1"/>
  <c r="FH68" i="1"/>
  <c r="FI65" i="1"/>
  <c r="FH65" i="1"/>
  <c r="FI64" i="1"/>
  <c r="FH64" i="1"/>
  <c r="FI63" i="1"/>
  <c r="FH63" i="1"/>
  <c r="FI61" i="1"/>
  <c r="FH61" i="1"/>
  <c r="FI59" i="1"/>
  <c r="FH59" i="1"/>
  <c r="FI58" i="1"/>
  <c r="FH58" i="1"/>
  <c r="FI57" i="1"/>
  <c r="FH57" i="1"/>
  <c r="FI56" i="1"/>
  <c r="FH56" i="1"/>
  <c r="FI55" i="1"/>
  <c r="FH55" i="1"/>
  <c r="FI54" i="1"/>
  <c r="FH54" i="1"/>
  <c r="FI53" i="1"/>
  <c r="FI52" i="1"/>
  <c r="FH53" i="1"/>
  <c r="FH52" i="1"/>
  <c r="FI50" i="1"/>
  <c r="FH50" i="1"/>
  <c r="FI49" i="1"/>
  <c r="FH49" i="1"/>
  <c r="FI48" i="1"/>
  <c r="FH48" i="1"/>
  <c r="FI47" i="1"/>
  <c r="FH47" i="1"/>
  <c r="FI46" i="1"/>
  <c r="FH46" i="1"/>
  <c r="FI42" i="1"/>
  <c r="FH42" i="1"/>
  <c r="FI41" i="1"/>
  <c r="FH41" i="1"/>
  <c r="FH38" i="1"/>
  <c r="FI36" i="1"/>
  <c r="FH36" i="1"/>
  <c r="FI34" i="1"/>
  <c r="FH34" i="1"/>
  <c r="FI33" i="1"/>
  <c r="FH33" i="1"/>
  <c r="FI32" i="1"/>
  <c r="FH32" i="1"/>
  <c r="FI31" i="1"/>
  <c r="FH31" i="1"/>
  <c r="FI30" i="1"/>
  <c r="FH30" i="1"/>
  <c r="FI28" i="1"/>
  <c r="FH28" i="1"/>
  <c r="FI26" i="1"/>
  <c r="FH26" i="1"/>
  <c r="FI24" i="1"/>
  <c r="FH24" i="1"/>
  <c r="FI23" i="1"/>
  <c r="FH23" i="1"/>
  <c r="FI22" i="1"/>
  <c r="FH22" i="1"/>
  <c r="FI21" i="1"/>
  <c r="FH21" i="1"/>
  <c r="FI19" i="1"/>
  <c r="FH19" i="1"/>
  <c r="FK860" i="1"/>
  <c r="FJ860" i="1"/>
  <c r="FK856" i="1"/>
  <c r="FJ856" i="1"/>
  <c r="FK845" i="1"/>
  <c r="FJ845" i="1"/>
  <c r="FK842" i="1"/>
  <c r="FJ842" i="1"/>
  <c r="FK827" i="1"/>
  <c r="FJ827" i="1"/>
  <c r="FK790" i="1"/>
  <c r="FJ790" i="1"/>
  <c r="FK783" i="1"/>
  <c r="FJ783" i="1"/>
  <c r="FK768" i="1"/>
  <c r="FJ768" i="1"/>
  <c r="FK742" i="1"/>
  <c r="FJ742" i="1"/>
  <c r="FK738" i="1"/>
  <c r="FJ738" i="1"/>
  <c r="FK728" i="1"/>
  <c r="FJ728" i="1"/>
  <c r="FK725" i="1"/>
  <c r="FJ725" i="1"/>
  <c r="FK718" i="1"/>
  <c r="FJ718" i="1"/>
  <c r="FK711" i="1"/>
  <c r="FJ711" i="1"/>
  <c r="FK705" i="1"/>
  <c r="FJ705" i="1"/>
  <c r="FK702" i="1"/>
  <c r="FJ702" i="1"/>
  <c r="FK699" i="1"/>
  <c r="FJ699" i="1"/>
  <c r="FK696" i="1"/>
  <c r="FJ696" i="1"/>
  <c r="FK693" i="1"/>
  <c r="FJ693" i="1"/>
  <c r="FK685" i="1"/>
  <c r="FJ685" i="1"/>
  <c r="FK681" i="1"/>
  <c r="FJ681" i="1"/>
  <c r="FK669" i="1"/>
  <c r="FK664" i="1"/>
  <c r="FK662" i="1"/>
  <c r="FJ669" i="1"/>
  <c r="FJ664" i="1"/>
  <c r="FK666" i="1"/>
  <c r="FJ666" i="1"/>
  <c r="FK655" i="1"/>
  <c r="FJ655" i="1"/>
  <c r="FK645" i="1"/>
  <c r="FJ645" i="1"/>
  <c r="FK637" i="1"/>
  <c r="FJ637" i="1"/>
  <c r="FK634" i="1"/>
  <c r="FK632" i="1"/>
  <c r="FK630" i="1"/>
  <c r="FK628" i="1"/>
  <c r="FJ634" i="1"/>
  <c r="FJ632" i="1"/>
  <c r="FJ630" i="1"/>
  <c r="FJ628" i="1"/>
  <c r="FK625" i="1"/>
  <c r="FJ625" i="1"/>
  <c r="FK621" i="1"/>
  <c r="FJ621" i="1"/>
  <c r="FK619" i="1"/>
  <c r="FK609" i="1"/>
  <c r="FK575" i="1"/>
  <c r="FJ619" i="1"/>
  <c r="FK616" i="1"/>
  <c r="FJ616" i="1"/>
  <c r="FK613" i="1"/>
  <c r="FK611" i="1"/>
  <c r="FJ613" i="1"/>
  <c r="FJ611" i="1"/>
  <c r="FJ609" i="1"/>
  <c r="FK606" i="1"/>
  <c r="FJ606" i="1"/>
  <c r="FK600" i="1"/>
  <c r="FJ600" i="1"/>
  <c r="FK592" i="1"/>
  <c r="FJ592" i="1"/>
  <c r="FK585" i="1"/>
  <c r="FJ585" i="1"/>
  <c r="FK581" i="1"/>
  <c r="FJ581" i="1"/>
  <c r="FK579" i="1"/>
  <c r="FJ579" i="1"/>
  <c r="FK571" i="1"/>
  <c r="FJ571" i="1"/>
  <c r="FK569" i="1"/>
  <c r="FK567" i="1"/>
  <c r="FJ569" i="1"/>
  <c r="FJ567" i="1"/>
  <c r="FK563" i="1"/>
  <c r="FJ563" i="1"/>
  <c r="FK558" i="1"/>
  <c r="FJ558" i="1"/>
  <c r="FK555" i="1"/>
  <c r="FJ555" i="1"/>
  <c r="FK549" i="1"/>
  <c r="FJ549" i="1"/>
  <c r="FK543" i="1"/>
  <c r="FJ543" i="1"/>
  <c r="FK535" i="1"/>
  <c r="FJ535" i="1"/>
  <c r="FK532" i="1"/>
  <c r="FJ532" i="1"/>
  <c r="FK526" i="1"/>
  <c r="FJ526" i="1"/>
  <c r="FK507" i="1"/>
  <c r="FK505" i="1"/>
  <c r="FJ507" i="1"/>
  <c r="FJ505" i="1"/>
  <c r="FK500" i="1"/>
  <c r="FJ500" i="1"/>
  <c r="FJ437" i="1"/>
  <c r="FK488" i="1"/>
  <c r="FJ488" i="1"/>
  <c r="FK482" i="1"/>
  <c r="FJ482" i="1"/>
  <c r="FK472" i="1"/>
  <c r="FJ472" i="1"/>
  <c r="FK464" i="1"/>
  <c r="FJ464" i="1"/>
  <c r="FK458" i="1"/>
  <c r="FJ458" i="1"/>
  <c r="FK451" i="1"/>
  <c r="FJ451" i="1"/>
  <c r="FK444" i="1"/>
  <c r="FJ444" i="1"/>
  <c r="FK439" i="1"/>
  <c r="FJ439" i="1"/>
  <c r="FK427" i="1"/>
  <c r="FJ427" i="1"/>
  <c r="FK419" i="1"/>
  <c r="FJ419" i="1"/>
  <c r="FK416" i="1"/>
  <c r="FJ416" i="1"/>
  <c r="FK411" i="1"/>
  <c r="FJ411" i="1"/>
  <c r="FK406" i="1"/>
  <c r="FJ406" i="1"/>
  <c r="FK401" i="1"/>
  <c r="FJ401" i="1"/>
  <c r="FK397" i="1"/>
  <c r="FJ397" i="1"/>
  <c r="FK386" i="1"/>
  <c r="FJ386" i="1"/>
  <c r="FK380" i="1"/>
  <c r="FJ380" i="1"/>
  <c r="FK375" i="1"/>
  <c r="FJ375" i="1"/>
  <c r="FK368" i="1"/>
  <c r="FJ368" i="1"/>
  <c r="FK366" i="1"/>
  <c r="FJ366" i="1"/>
  <c r="FK361" i="1"/>
  <c r="FJ361" i="1"/>
  <c r="FK358" i="1"/>
  <c r="FJ358" i="1"/>
  <c r="FK354" i="1"/>
  <c r="FJ354" i="1"/>
  <c r="FK347" i="1"/>
  <c r="FJ347" i="1"/>
  <c r="FK329" i="1"/>
  <c r="FJ329" i="1"/>
  <c r="FK326" i="1"/>
  <c r="FJ326" i="1"/>
  <c r="FK322" i="1"/>
  <c r="FK308" i="1"/>
  <c r="FK242" i="1"/>
  <c r="FJ322" i="1"/>
  <c r="FK319" i="1"/>
  <c r="FJ319" i="1"/>
  <c r="FK316" i="1"/>
  <c r="FJ316" i="1"/>
  <c r="FK313" i="1"/>
  <c r="FJ313" i="1"/>
  <c r="FK310" i="1"/>
  <c r="FJ310" i="1"/>
  <c r="FJ308" i="1"/>
  <c r="FK305" i="1"/>
  <c r="FJ305" i="1"/>
  <c r="FK302" i="1"/>
  <c r="FJ302" i="1"/>
  <c r="FK298" i="1"/>
  <c r="FJ298" i="1"/>
  <c r="FK293" i="1"/>
  <c r="FJ293" i="1"/>
  <c r="FK288" i="1"/>
  <c r="FJ288" i="1"/>
  <c r="FK279" i="1"/>
  <c r="FJ279" i="1"/>
  <c r="FK275" i="1"/>
  <c r="FJ275" i="1"/>
  <c r="FK273" i="1"/>
  <c r="FK267" i="1"/>
  <c r="FJ267" i="1"/>
  <c r="FK259" i="1"/>
  <c r="FJ259" i="1"/>
  <c r="FK251" i="1"/>
  <c r="FJ251" i="1"/>
  <c r="FK246" i="1"/>
  <c r="FK244" i="1"/>
  <c r="FJ246" i="1"/>
  <c r="FK238" i="1"/>
  <c r="FJ238" i="1"/>
  <c r="FK237" i="1"/>
  <c r="FJ237" i="1"/>
  <c r="FK236" i="1"/>
  <c r="FJ236" i="1"/>
  <c r="FK234" i="1"/>
  <c r="FJ234" i="1"/>
  <c r="FK233" i="1"/>
  <c r="FJ233" i="1"/>
  <c r="FK231" i="1"/>
  <c r="FJ231" i="1"/>
  <c r="FK230" i="1"/>
  <c r="FJ230" i="1"/>
  <c r="FK228" i="1"/>
  <c r="FK227" i="1"/>
  <c r="FJ228" i="1"/>
  <c r="FJ227" i="1"/>
  <c r="FK225" i="1"/>
  <c r="FK224" i="1"/>
  <c r="FJ225" i="1"/>
  <c r="FJ224" i="1"/>
  <c r="FK222" i="1"/>
  <c r="FJ222" i="1"/>
  <c r="FK221" i="1"/>
  <c r="FJ221" i="1"/>
  <c r="FK220" i="1"/>
  <c r="FJ220" i="1"/>
  <c r="FK219" i="1"/>
  <c r="FK218" i="1"/>
  <c r="FJ219" i="1"/>
  <c r="FJ218" i="1"/>
  <c r="FK215" i="1"/>
  <c r="FJ215" i="1"/>
  <c r="FK214" i="1"/>
  <c r="FJ214" i="1"/>
  <c r="FK213" i="1"/>
  <c r="FK212" i="1"/>
  <c r="FJ213" i="1"/>
  <c r="FJ212" i="1"/>
  <c r="FK205" i="1"/>
  <c r="FK204" i="1"/>
  <c r="FJ205" i="1"/>
  <c r="FJ204" i="1"/>
  <c r="FK202" i="1"/>
  <c r="FK201" i="1"/>
  <c r="FJ202" i="1"/>
  <c r="FJ201" i="1"/>
  <c r="FK197" i="1"/>
  <c r="FJ197" i="1"/>
  <c r="FK196" i="1"/>
  <c r="FK195" i="1"/>
  <c r="FJ196" i="1"/>
  <c r="FJ195" i="1"/>
  <c r="FK193" i="1"/>
  <c r="FJ193" i="1"/>
  <c r="FK191" i="1"/>
  <c r="FJ191" i="1"/>
  <c r="FK189" i="1"/>
  <c r="FJ189" i="1"/>
  <c r="FK187" i="1"/>
  <c r="FJ187" i="1"/>
  <c r="FK185" i="1"/>
  <c r="FK184" i="1"/>
  <c r="FJ185" i="1"/>
  <c r="FJ184" i="1"/>
  <c r="FK182" i="1"/>
  <c r="FJ182" i="1"/>
  <c r="FK180" i="1"/>
  <c r="FJ180" i="1"/>
  <c r="FK179" i="1"/>
  <c r="FJ179" i="1"/>
  <c r="FK177" i="1"/>
  <c r="FJ177" i="1"/>
  <c r="FK176" i="1"/>
  <c r="FJ176" i="1"/>
  <c r="FK175" i="1"/>
  <c r="FJ175" i="1"/>
  <c r="FK174" i="1"/>
  <c r="FJ174" i="1"/>
  <c r="FK170" i="1"/>
  <c r="FJ170" i="1"/>
  <c r="FK169" i="1"/>
  <c r="FJ169" i="1"/>
  <c r="FK168" i="1"/>
  <c r="FK167" i="1"/>
  <c r="FJ168" i="1"/>
  <c r="FJ167" i="1"/>
  <c r="FK165" i="1"/>
  <c r="FJ165" i="1"/>
  <c r="FK163" i="1"/>
  <c r="FJ163" i="1"/>
  <c r="FK162" i="1"/>
  <c r="FJ162" i="1"/>
  <c r="FK161" i="1"/>
  <c r="FJ161" i="1"/>
  <c r="FK160" i="1"/>
  <c r="FJ160" i="1"/>
  <c r="FK159" i="1"/>
  <c r="FJ159" i="1"/>
  <c r="FK158" i="1"/>
  <c r="FJ158" i="1"/>
  <c r="FK157" i="1"/>
  <c r="FJ157" i="1"/>
  <c r="FK156" i="1"/>
  <c r="FK155" i="1"/>
  <c r="FJ156" i="1"/>
  <c r="FK153" i="1"/>
  <c r="FJ153" i="1"/>
  <c r="FK152" i="1"/>
  <c r="FJ152" i="1"/>
  <c r="FK151" i="1"/>
  <c r="FJ151" i="1"/>
  <c r="FK150" i="1"/>
  <c r="FJ150" i="1"/>
  <c r="FK149" i="1"/>
  <c r="FJ149" i="1"/>
  <c r="FK147" i="1"/>
  <c r="FJ147" i="1"/>
  <c r="FK146" i="1"/>
  <c r="FJ146" i="1"/>
  <c r="FK145" i="1"/>
  <c r="FJ145" i="1"/>
  <c r="FK144" i="1"/>
  <c r="FJ144" i="1"/>
  <c r="FK143" i="1"/>
  <c r="FJ143" i="1"/>
  <c r="FK142" i="1"/>
  <c r="FJ142" i="1"/>
  <c r="FK141" i="1"/>
  <c r="FJ141" i="1"/>
  <c r="FK140" i="1"/>
  <c r="FK139" i="1"/>
  <c r="FJ140" i="1"/>
  <c r="FJ139" i="1"/>
  <c r="FK137" i="1"/>
  <c r="FJ137" i="1"/>
  <c r="FK134" i="1"/>
  <c r="FJ134" i="1"/>
  <c r="FK133" i="1"/>
  <c r="FJ133" i="1"/>
  <c r="FK132" i="1"/>
  <c r="FK131" i="1"/>
  <c r="FJ132" i="1"/>
  <c r="FJ131" i="1"/>
  <c r="FK129" i="1"/>
  <c r="FJ129" i="1"/>
  <c r="FK128" i="1"/>
  <c r="FJ128" i="1"/>
  <c r="FK127" i="1"/>
  <c r="FJ127" i="1"/>
  <c r="FK126" i="1"/>
  <c r="FK125" i="1"/>
  <c r="FJ126" i="1"/>
  <c r="FJ125" i="1"/>
  <c r="FK123" i="1"/>
  <c r="FJ123" i="1"/>
  <c r="FK122" i="1"/>
  <c r="FJ122" i="1"/>
  <c r="FK121" i="1"/>
  <c r="FJ121" i="1"/>
  <c r="FK120" i="1"/>
  <c r="FJ120" i="1"/>
  <c r="FK119" i="1"/>
  <c r="FK118" i="1"/>
  <c r="FJ119" i="1"/>
  <c r="FJ118" i="1"/>
  <c r="FK116" i="1"/>
  <c r="FJ116" i="1"/>
  <c r="FK115" i="1"/>
  <c r="FJ115" i="1"/>
  <c r="FK114" i="1"/>
  <c r="FJ114" i="1"/>
  <c r="FK113" i="1"/>
  <c r="FJ113" i="1"/>
  <c r="FK112" i="1"/>
  <c r="FK111" i="1"/>
  <c r="FJ112" i="1"/>
  <c r="FJ111" i="1"/>
  <c r="FK109" i="1"/>
  <c r="FJ109" i="1"/>
  <c r="FK108" i="1"/>
  <c r="FJ108" i="1"/>
  <c r="FK107" i="1"/>
  <c r="FK106" i="1"/>
  <c r="FJ107" i="1"/>
  <c r="FJ106" i="1"/>
  <c r="FK102" i="1"/>
  <c r="FJ102" i="1"/>
  <c r="FK101" i="1"/>
  <c r="FJ101" i="1"/>
  <c r="FK100" i="1"/>
  <c r="FJ100" i="1"/>
  <c r="FK99" i="1"/>
  <c r="FJ99" i="1"/>
  <c r="FK98" i="1"/>
  <c r="FJ98" i="1"/>
  <c r="FK97" i="1"/>
  <c r="FJ97" i="1"/>
  <c r="FK96" i="1"/>
  <c r="FJ96" i="1"/>
  <c r="FK95" i="1"/>
  <c r="FK94" i="1"/>
  <c r="FJ95" i="1"/>
  <c r="FJ94" i="1"/>
  <c r="FK92" i="1"/>
  <c r="FJ92" i="1"/>
  <c r="FK91" i="1"/>
  <c r="FJ91" i="1"/>
  <c r="FK90" i="1"/>
  <c r="FJ90" i="1"/>
  <c r="FK89" i="1"/>
  <c r="FJ89" i="1"/>
  <c r="FK88" i="1"/>
  <c r="FJ88" i="1"/>
  <c r="FK87" i="1"/>
  <c r="FJ87" i="1"/>
  <c r="FK86" i="1"/>
  <c r="FJ86" i="1"/>
  <c r="FK84" i="1"/>
  <c r="FJ84" i="1"/>
  <c r="FK83" i="1"/>
  <c r="FK82" i="1"/>
  <c r="FJ83" i="1"/>
  <c r="FJ82" i="1"/>
  <c r="FK80" i="1"/>
  <c r="FJ80" i="1"/>
  <c r="FJ77" i="1"/>
  <c r="FK79" i="1"/>
  <c r="FJ79" i="1"/>
  <c r="FK78" i="1"/>
  <c r="FK77" i="1"/>
  <c r="FJ78" i="1"/>
  <c r="FK75" i="1"/>
  <c r="FJ75" i="1"/>
  <c r="FJ72" i="1"/>
  <c r="FK74" i="1"/>
  <c r="FJ74" i="1"/>
  <c r="FK73" i="1"/>
  <c r="FK72" i="1"/>
  <c r="FJ73" i="1"/>
  <c r="FK70" i="1"/>
  <c r="FJ70" i="1"/>
  <c r="FK69" i="1"/>
  <c r="FJ69" i="1"/>
  <c r="FK68" i="1"/>
  <c r="FK67" i="1"/>
  <c r="FJ68" i="1"/>
  <c r="FK65" i="1"/>
  <c r="FJ65" i="1"/>
  <c r="FK64" i="1"/>
  <c r="FK63" i="1"/>
  <c r="FJ64" i="1"/>
  <c r="FJ63" i="1"/>
  <c r="FK61" i="1"/>
  <c r="FJ61" i="1"/>
  <c r="FK59" i="1"/>
  <c r="FJ59" i="1"/>
  <c r="FK58" i="1"/>
  <c r="FJ58" i="1"/>
  <c r="FK57" i="1"/>
  <c r="FJ57" i="1"/>
  <c r="FK56" i="1"/>
  <c r="FJ56" i="1"/>
  <c r="FK55" i="1"/>
  <c r="FJ55" i="1"/>
  <c r="FK54" i="1"/>
  <c r="FJ54" i="1"/>
  <c r="FK53" i="1"/>
  <c r="FK52" i="1"/>
  <c r="FJ53" i="1"/>
  <c r="FJ52" i="1"/>
  <c r="FK50" i="1"/>
  <c r="FJ50" i="1"/>
  <c r="FK49" i="1"/>
  <c r="FJ49" i="1"/>
  <c r="FK48" i="1"/>
  <c r="FJ48" i="1"/>
  <c r="FK47" i="1"/>
  <c r="FJ47" i="1"/>
  <c r="FK46" i="1"/>
  <c r="FJ46" i="1"/>
  <c r="FK42" i="1"/>
  <c r="FJ42" i="1"/>
  <c r="FK41" i="1"/>
  <c r="FJ41" i="1"/>
  <c r="FK36" i="1"/>
  <c r="FJ36" i="1"/>
  <c r="FK34" i="1"/>
  <c r="FJ34" i="1"/>
  <c r="FK33" i="1"/>
  <c r="FJ33" i="1"/>
  <c r="FK32" i="1"/>
  <c r="FJ32" i="1"/>
  <c r="FK31" i="1"/>
  <c r="FJ31" i="1"/>
  <c r="FK30" i="1"/>
  <c r="FJ30" i="1"/>
  <c r="FK28" i="1"/>
  <c r="FJ28" i="1"/>
  <c r="FK26" i="1"/>
  <c r="FJ26" i="1"/>
  <c r="FK24" i="1"/>
  <c r="FJ24" i="1"/>
  <c r="FK23" i="1"/>
  <c r="FJ23" i="1"/>
  <c r="FK22" i="1"/>
  <c r="FJ22" i="1"/>
  <c r="FK21" i="1"/>
  <c r="FJ21" i="1"/>
  <c r="FK19" i="1"/>
  <c r="FJ19" i="1"/>
  <c r="FM860" i="1"/>
  <c r="FL860" i="1"/>
  <c r="FM856" i="1"/>
  <c r="FL856" i="1"/>
  <c r="FM845" i="1"/>
  <c r="FL845" i="1"/>
  <c r="FM842" i="1"/>
  <c r="FL842" i="1"/>
  <c r="FM827" i="1"/>
  <c r="FL827" i="1"/>
  <c r="FM790" i="1"/>
  <c r="FL790" i="1"/>
  <c r="FM783" i="1"/>
  <c r="FL783" i="1"/>
  <c r="FM768" i="1"/>
  <c r="FL768" i="1"/>
  <c r="FM742" i="1"/>
  <c r="FL742" i="1"/>
  <c r="FM738" i="1"/>
  <c r="FL738" i="1"/>
  <c r="FM728" i="1"/>
  <c r="FL728" i="1"/>
  <c r="FM725" i="1"/>
  <c r="FL725" i="1"/>
  <c r="FM718" i="1"/>
  <c r="FL718" i="1"/>
  <c r="FM711" i="1"/>
  <c r="FL711" i="1"/>
  <c r="FM705" i="1"/>
  <c r="FL705" i="1"/>
  <c r="FM702" i="1"/>
  <c r="FL702" i="1"/>
  <c r="FM699" i="1"/>
  <c r="FL699" i="1"/>
  <c r="FM696" i="1"/>
  <c r="FL696" i="1"/>
  <c r="FM693" i="1"/>
  <c r="FL693" i="1"/>
  <c r="FM685" i="1"/>
  <c r="FL685" i="1"/>
  <c r="FM681" i="1"/>
  <c r="FL681" i="1"/>
  <c r="FM669" i="1"/>
  <c r="FM664" i="1"/>
  <c r="FM662" i="1"/>
  <c r="FL669" i="1"/>
  <c r="FL664" i="1"/>
  <c r="FL662" i="1"/>
  <c r="FM666" i="1"/>
  <c r="FL666" i="1"/>
  <c r="FM655" i="1"/>
  <c r="FL655" i="1"/>
  <c r="FM645" i="1"/>
  <c r="FL645" i="1"/>
  <c r="FM637" i="1"/>
  <c r="FL637" i="1"/>
  <c r="FM634" i="1"/>
  <c r="FM632" i="1"/>
  <c r="FM630" i="1"/>
  <c r="FM628" i="1"/>
  <c r="FL634" i="1"/>
  <c r="FL632" i="1"/>
  <c r="FL630" i="1"/>
  <c r="FL628" i="1"/>
  <c r="FM625" i="1"/>
  <c r="FL625" i="1"/>
  <c r="FM621" i="1"/>
  <c r="FM619" i="1"/>
  <c r="FL621" i="1"/>
  <c r="FL619" i="1"/>
  <c r="FM616" i="1"/>
  <c r="FL616" i="1"/>
  <c r="FM613" i="1"/>
  <c r="FL613" i="1"/>
  <c r="FM611" i="1"/>
  <c r="FL611" i="1"/>
  <c r="FM606" i="1"/>
  <c r="FL606" i="1"/>
  <c r="FM600" i="1"/>
  <c r="FL600" i="1"/>
  <c r="FM592" i="1"/>
  <c r="FL592" i="1"/>
  <c r="FM585" i="1"/>
  <c r="FL585" i="1"/>
  <c r="FM581" i="1"/>
  <c r="FM579" i="1"/>
  <c r="FM577" i="1"/>
  <c r="FL581" i="1"/>
  <c r="FL579" i="1"/>
  <c r="FL577" i="1"/>
  <c r="FM571" i="1"/>
  <c r="FM569" i="1"/>
  <c r="FM567" i="1"/>
  <c r="FL571" i="1"/>
  <c r="FL569" i="1"/>
  <c r="FL567" i="1"/>
  <c r="FM563" i="1"/>
  <c r="FL563" i="1"/>
  <c r="FM558" i="1"/>
  <c r="FL558" i="1"/>
  <c r="FM555" i="1"/>
  <c r="FL555" i="1"/>
  <c r="FM549" i="1"/>
  <c r="FL549" i="1"/>
  <c r="FM543" i="1"/>
  <c r="FL543" i="1"/>
  <c r="FM541" i="1"/>
  <c r="FL541" i="1"/>
  <c r="FL535" i="1"/>
  <c r="FM532" i="1"/>
  <c r="FL532" i="1"/>
  <c r="FM526" i="1"/>
  <c r="FL526" i="1"/>
  <c r="FM507" i="1"/>
  <c r="FL507" i="1"/>
  <c r="FM505" i="1"/>
  <c r="FL505" i="1"/>
  <c r="FM500" i="1"/>
  <c r="FL500" i="1"/>
  <c r="FM488" i="1"/>
  <c r="FL488" i="1"/>
  <c r="FM482" i="1"/>
  <c r="FL482" i="1"/>
  <c r="FM472" i="1"/>
  <c r="FL472" i="1"/>
  <c r="FM464" i="1"/>
  <c r="FL464" i="1"/>
  <c r="FM458" i="1"/>
  <c r="FL458" i="1"/>
  <c r="FM451" i="1"/>
  <c r="FL451" i="1"/>
  <c r="FM444" i="1"/>
  <c r="FL444" i="1"/>
  <c r="FM439" i="1"/>
  <c r="FL439" i="1"/>
  <c r="FM437" i="1"/>
  <c r="FL437" i="1"/>
  <c r="FM427" i="1"/>
  <c r="FL427" i="1"/>
  <c r="FM419" i="1"/>
  <c r="FL419" i="1"/>
  <c r="FM416" i="1"/>
  <c r="FL416" i="1"/>
  <c r="FM411" i="1"/>
  <c r="FL411" i="1"/>
  <c r="FM406" i="1"/>
  <c r="FL406" i="1"/>
  <c r="FM401" i="1"/>
  <c r="FL401" i="1"/>
  <c r="FM397" i="1"/>
  <c r="FL397" i="1"/>
  <c r="FM386" i="1"/>
  <c r="FL386" i="1"/>
  <c r="FM380" i="1"/>
  <c r="FL380" i="1"/>
  <c r="FL378" i="1"/>
  <c r="FL364" i="1"/>
  <c r="FM375" i="1"/>
  <c r="FL375" i="1"/>
  <c r="FM368" i="1"/>
  <c r="FM366" i="1"/>
  <c r="FL368" i="1"/>
  <c r="FL366" i="1"/>
  <c r="FM361" i="1"/>
  <c r="FL361" i="1"/>
  <c r="FM358" i="1"/>
  <c r="FL358" i="1"/>
  <c r="FM354" i="1"/>
  <c r="FL354" i="1"/>
  <c r="FM347" i="1"/>
  <c r="FL347" i="1"/>
  <c r="FM329" i="1"/>
  <c r="FL329" i="1"/>
  <c r="FM326" i="1"/>
  <c r="FL326" i="1"/>
  <c r="FM322" i="1"/>
  <c r="FL322" i="1"/>
  <c r="FM319" i="1"/>
  <c r="FL319" i="1"/>
  <c r="FM316" i="1"/>
  <c r="FL316" i="1"/>
  <c r="FM313" i="1"/>
  <c r="FL313" i="1"/>
  <c r="FM310" i="1"/>
  <c r="FM308" i="1"/>
  <c r="FL310" i="1"/>
  <c r="FL308" i="1"/>
  <c r="FM305" i="1"/>
  <c r="FL305" i="1"/>
  <c r="FM302" i="1"/>
  <c r="FL302" i="1"/>
  <c r="FM298" i="1"/>
  <c r="FL298" i="1"/>
  <c r="FM293" i="1"/>
  <c r="FL293" i="1"/>
  <c r="FM288" i="1"/>
  <c r="FL288" i="1"/>
  <c r="FM279" i="1"/>
  <c r="FL279" i="1"/>
  <c r="FM275" i="1"/>
  <c r="FL275" i="1"/>
  <c r="FM267" i="1"/>
  <c r="FL267" i="1"/>
  <c r="FM259" i="1"/>
  <c r="FL259" i="1"/>
  <c r="FM251" i="1"/>
  <c r="FL251" i="1"/>
  <c r="FM246" i="1"/>
  <c r="FM244" i="1"/>
  <c r="FL246" i="1"/>
  <c r="FL244" i="1"/>
  <c r="FM238" i="1"/>
  <c r="FL238" i="1"/>
  <c r="FM237" i="1"/>
  <c r="FM236" i="1"/>
  <c r="FL237" i="1"/>
  <c r="FL236" i="1"/>
  <c r="FM234" i="1"/>
  <c r="FL234" i="1"/>
  <c r="FM233" i="1"/>
  <c r="FL233" i="1"/>
  <c r="FM231" i="1"/>
  <c r="FM230" i="1"/>
  <c r="FL231" i="1"/>
  <c r="FL230" i="1"/>
  <c r="FM228" i="1"/>
  <c r="FM227" i="1"/>
  <c r="FL228" i="1"/>
  <c r="FL227" i="1"/>
  <c r="FM225" i="1"/>
  <c r="FM224" i="1"/>
  <c r="FL225" i="1"/>
  <c r="FL224" i="1"/>
  <c r="FM222" i="1"/>
  <c r="FL222" i="1"/>
  <c r="FM221" i="1"/>
  <c r="FL221" i="1"/>
  <c r="FM220" i="1"/>
  <c r="FL220" i="1"/>
  <c r="FM219" i="1"/>
  <c r="FL219" i="1"/>
  <c r="FM218" i="1"/>
  <c r="FL218" i="1"/>
  <c r="FM215" i="1"/>
  <c r="FL215" i="1"/>
  <c r="FM214" i="1"/>
  <c r="FL214" i="1"/>
  <c r="FM213" i="1"/>
  <c r="FM212" i="1"/>
  <c r="FL213" i="1"/>
  <c r="FL212" i="1"/>
  <c r="FM205" i="1"/>
  <c r="FL205" i="1"/>
  <c r="FM204" i="1"/>
  <c r="FL204" i="1"/>
  <c r="FM202" i="1"/>
  <c r="FM201" i="1"/>
  <c r="FM199" i="1"/>
  <c r="FL202" i="1"/>
  <c r="FL201" i="1"/>
  <c r="FL199" i="1"/>
  <c r="FM197" i="1"/>
  <c r="FL197" i="1"/>
  <c r="FM196" i="1"/>
  <c r="FL196" i="1"/>
  <c r="FM195" i="1"/>
  <c r="FL195" i="1"/>
  <c r="FM193" i="1"/>
  <c r="FL193" i="1"/>
  <c r="FM191" i="1"/>
  <c r="FL191" i="1"/>
  <c r="FM189" i="1"/>
  <c r="FL189" i="1"/>
  <c r="FM187" i="1"/>
  <c r="FL187" i="1"/>
  <c r="FM185" i="1"/>
  <c r="FL185" i="1"/>
  <c r="FM184" i="1"/>
  <c r="FL184" i="1"/>
  <c r="FM182" i="1"/>
  <c r="FL182" i="1"/>
  <c r="FM180" i="1"/>
  <c r="FM179" i="1"/>
  <c r="FL180" i="1"/>
  <c r="FL179" i="1"/>
  <c r="FM177" i="1"/>
  <c r="FL177" i="1"/>
  <c r="FM176" i="1"/>
  <c r="FL176" i="1"/>
  <c r="FM175" i="1"/>
  <c r="FM174" i="1"/>
  <c r="FM172" i="1"/>
  <c r="FL175" i="1"/>
  <c r="FL174" i="1"/>
  <c r="FM170" i="1"/>
  <c r="FL170" i="1"/>
  <c r="FM169" i="1"/>
  <c r="FL169" i="1"/>
  <c r="FM168" i="1"/>
  <c r="FM167" i="1"/>
  <c r="FL168" i="1"/>
  <c r="FL167" i="1"/>
  <c r="FM165" i="1"/>
  <c r="FL165" i="1"/>
  <c r="FM163" i="1"/>
  <c r="FL163" i="1"/>
  <c r="FM162" i="1"/>
  <c r="FL162" i="1"/>
  <c r="FM161" i="1"/>
  <c r="FL161" i="1"/>
  <c r="FM160" i="1"/>
  <c r="FL160" i="1"/>
  <c r="FM159" i="1"/>
  <c r="FL159" i="1"/>
  <c r="FM158" i="1"/>
  <c r="FL158" i="1"/>
  <c r="FM157" i="1"/>
  <c r="FL157" i="1"/>
  <c r="FM156" i="1"/>
  <c r="FL156" i="1"/>
  <c r="FM155" i="1"/>
  <c r="FM153" i="1"/>
  <c r="FM149" i="1"/>
  <c r="FL153" i="1"/>
  <c r="FM152" i="1"/>
  <c r="FL152" i="1"/>
  <c r="FM151" i="1"/>
  <c r="FL151" i="1"/>
  <c r="FM150" i="1"/>
  <c r="FL150" i="1"/>
  <c r="FL149" i="1"/>
  <c r="FM147" i="1"/>
  <c r="FL147" i="1"/>
  <c r="FM146" i="1"/>
  <c r="FL146" i="1"/>
  <c r="FM145" i="1"/>
  <c r="FL145" i="1"/>
  <c r="FM144" i="1"/>
  <c r="FL144" i="1"/>
  <c r="FM143" i="1"/>
  <c r="FL143" i="1"/>
  <c r="FM142" i="1"/>
  <c r="FL142" i="1"/>
  <c r="FM141" i="1"/>
  <c r="FL141" i="1"/>
  <c r="FM140" i="1"/>
  <c r="FL140" i="1"/>
  <c r="FM139" i="1"/>
  <c r="FL139" i="1"/>
  <c r="FM137" i="1"/>
  <c r="FL137" i="1"/>
  <c r="FM134" i="1"/>
  <c r="FL134" i="1"/>
  <c r="FM133" i="1"/>
  <c r="FL133" i="1"/>
  <c r="FM132" i="1"/>
  <c r="FM131" i="1"/>
  <c r="FL132" i="1"/>
  <c r="FL131" i="1"/>
  <c r="FM129" i="1"/>
  <c r="FL129" i="1"/>
  <c r="FM128" i="1"/>
  <c r="FL128" i="1"/>
  <c r="FM127" i="1"/>
  <c r="FL127" i="1"/>
  <c r="FM126" i="1"/>
  <c r="FL126" i="1"/>
  <c r="FM125" i="1"/>
  <c r="FL125" i="1"/>
  <c r="FM123" i="1"/>
  <c r="FL123" i="1"/>
  <c r="FM122" i="1"/>
  <c r="FL122" i="1"/>
  <c r="FM121" i="1"/>
  <c r="FL121" i="1"/>
  <c r="FM120" i="1"/>
  <c r="FL120" i="1"/>
  <c r="FM119" i="1"/>
  <c r="FL119" i="1"/>
  <c r="FM118" i="1"/>
  <c r="FL118" i="1"/>
  <c r="FM116" i="1"/>
  <c r="FL116" i="1"/>
  <c r="FM115" i="1"/>
  <c r="FL115" i="1"/>
  <c r="FM114" i="1"/>
  <c r="FL114" i="1"/>
  <c r="FM113" i="1"/>
  <c r="FL113" i="1"/>
  <c r="FM112" i="1"/>
  <c r="FL112" i="1"/>
  <c r="FM111" i="1"/>
  <c r="FL111" i="1"/>
  <c r="FM109" i="1"/>
  <c r="FL109" i="1"/>
  <c r="FM108" i="1"/>
  <c r="FL108" i="1"/>
  <c r="FM107" i="1"/>
  <c r="FM106" i="1"/>
  <c r="FL107" i="1"/>
  <c r="FL106" i="1"/>
  <c r="FM102" i="1"/>
  <c r="FL102" i="1"/>
  <c r="FM101" i="1"/>
  <c r="FL101" i="1"/>
  <c r="FM100" i="1"/>
  <c r="FL100" i="1"/>
  <c r="FM99" i="1"/>
  <c r="FL99" i="1"/>
  <c r="FM98" i="1"/>
  <c r="FL98" i="1"/>
  <c r="FM97" i="1"/>
  <c r="FL97" i="1"/>
  <c r="FM96" i="1"/>
  <c r="FL96" i="1"/>
  <c r="FM95" i="1"/>
  <c r="FL95" i="1"/>
  <c r="FM94" i="1"/>
  <c r="FL94" i="1"/>
  <c r="FM92" i="1"/>
  <c r="FM86" i="1"/>
  <c r="FL92" i="1"/>
  <c r="FM91" i="1"/>
  <c r="FL91" i="1"/>
  <c r="FM90" i="1"/>
  <c r="FL90" i="1"/>
  <c r="FM89" i="1"/>
  <c r="FL89" i="1"/>
  <c r="FM88" i="1"/>
  <c r="FL88" i="1"/>
  <c r="FM87" i="1"/>
  <c r="FL87" i="1"/>
  <c r="FL86" i="1"/>
  <c r="FM84" i="1"/>
  <c r="FL84" i="1"/>
  <c r="FM83" i="1"/>
  <c r="FL83" i="1"/>
  <c r="FM82" i="1"/>
  <c r="FL82" i="1"/>
  <c r="FM80" i="1"/>
  <c r="FM79" i="1"/>
  <c r="FM77" i="1"/>
  <c r="FL80" i="1"/>
  <c r="FL79" i="1"/>
  <c r="FM78" i="1"/>
  <c r="FL78" i="1"/>
  <c r="FM75" i="1"/>
  <c r="FL75" i="1"/>
  <c r="FM74" i="1"/>
  <c r="FL74" i="1"/>
  <c r="FM73" i="1"/>
  <c r="FL73" i="1"/>
  <c r="FM70" i="1"/>
  <c r="FL70" i="1"/>
  <c r="FM69" i="1"/>
  <c r="FL69" i="1"/>
  <c r="FM68" i="1"/>
  <c r="FL68" i="1"/>
  <c r="FL67" i="1"/>
  <c r="FM65" i="1"/>
  <c r="FL65" i="1"/>
  <c r="FM64" i="1"/>
  <c r="FM63" i="1"/>
  <c r="FL64" i="1"/>
  <c r="FL63" i="1"/>
  <c r="FM61" i="1"/>
  <c r="FL61" i="1"/>
  <c r="FM59" i="1"/>
  <c r="FM58" i="1"/>
  <c r="FM52" i="1"/>
  <c r="FL59" i="1"/>
  <c r="FL58" i="1"/>
  <c r="FM57" i="1"/>
  <c r="FL57" i="1"/>
  <c r="FM56" i="1"/>
  <c r="FL56" i="1"/>
  <c r="FM55" i="1"/>
  <c r="FL55" i="1"/>
  <c r="FM54" i="1"/>
  <c r="FL54" i="1"/>
  <c r="FM53" i="1"/>
  <c r="FL53" i="1"/>
  <c r="FL52" i="1"/>
  <c r="FM50" i="1"/>
  <c r="FL50" i="1"/>
  <c r="FM49" i="1"/>
  <c r="FL49" i="1"/>
  <c r="FM48" i="1"/>
  <c r="FL48" i="1"/>
  <c r="FM47" i="1"/>
  <c r="FM46" i="1"/>
  <c r="FL47" i="1"/>
  <c r="FL46" i="1"/>
  <c r="FM42" i="1"/>
  <c r="FL42" i="1"/>
  <c r="FM41" i="1"/>
  <c r="FL41" i="1"/>
  <c r="FM38" i="1"/>
  <c r="FL38" i="1"/>
  <c r="FM36" i="1"/>
  <c r="FL36" i="1"/>
  <c r="FM34" i="1"/>
  <c r="FL34" i="1"/>
  <c r="FM33" i="1"/>
  <c r="FL33" i="1"/>
  <c r="FM32" i="1"/>
  <c r="FL32" i="1"/>
  <c r="FM31" i="1"/>
  <c r="FM30" i="1"/>
  <c r="FL31" i="1"/>
  <c r="FL30" i="1"/>
  <c r="FM28" i="1"/>
  <c r="FL28" i="1"/>
  <c r="FM26" i="1"/>
  <c r="FL26" i="1"/>
  <c r="FM24" i="1"/>
  <c r="FL24" i="1"/>
  <c r="FM23" i="1"/>
  <c r="FL23" i="1"/>
  <c r="FM22" i="1"/>
  <c r="FM21" i="1"/>
  <c r="FL22" i="1"/>
  <c r="FL21" i="1"/>
  <c r="FM19" i="1"/>
  <c r="FL19" i="1"/>
  <c r="FL14" i="1"/>
  <c r="FO860" i="1"/>
  <c r="FN860" i="1"/>
  <c r="FO856" i="1"/>
  <c r="FN856" i="1"/>
  <c r="FO845" i="1"/>
  <c r="FN845" i="1"/>
  <c r="FO842" i="1"/>
  <c r="FN842" i="1"/>
  <c r="FO827" i="1"/>
  <c r="FN827" i="1"/>
  <c r="FO790" i="1"/>
  <c r="FN790" i="1"/>
  <c r="FO783" i="1"/>
  <c r="FN783" i="1"/>
  <c r="FO768" i="1"/>
  <c r="FN768" i="1"/>
  <c r="FO742" i="1"/>
  <c r="FN742" i="1"/>
  <c r="FO738" i="1"/>
  <c r="FN738" i="1"/>
  <c r="FO728" i="1"/>
  <c r="FN728" i="1"/>
  <c r="FO725" i="1"/>
  <c r="FN725" i="1"/>
  <c r="FN721" i="1"/>
  <c r="FO718" i="1"/>
  <c r="FN718" i="1"/>
  <c r="FN711" i="1"/>
  <c r="FO705" i="1"/>
  <c r="FN705" i="1"/>
  <c r="FN702" i="1"/>
  <c r="FO699" i="1"/>
  <c r="FN699" i="1"/>
  <c r="FO696" i="1"/>
  <c r="FN696" i="1"/>
  <c r="FO693" i="1"/>
  <c r="FN693" i="1"/>
  <c r="FO685" i="1"/>
  <c r="FN685" i="1"/>
  <c r="FO681" i="1"/>
  <c r="FN681" i="1"/>
  <c r="FO669" i="1"/>
  <c r="FO664" i="1"/>
  <c r="FN669" i="1"/>
  <c r="FN664" i="1"/>
  <c r="FN662" i="1"/>
  <c r="FO666" i="1"/>
  <c r="FN666" i="1"/>
  <c r="FO655" i="1"/>
  <c r="FN655" i="1"/>
  <c r="FO645" i="1"/>
  <c r="FN645" i="1"/>
  <c r="FO637" i="1"/>
  <c r="FN637" i="1"/>
  <c r="FO634" i="1"/>
  <c r="FO632" i="1"/>
  <c r="FO630" i="1"/>
  <c r="FO628" i="1"/>
  <c r="FN634" i="1"/>
  <c r="FN632" i="1"/>
  <c r="FN630" i="1"/>
  <c r="FN628" i="1"/>
  <c r="FO625" i="1"/>
  <c r="FN625" i="1"/>
  <c r="FO621" i="1"/>
  <c r="FN621" i="1"/>
  <c r="FN619" i="1"/>
  <c r="FO619" i="1"/>
  <c r="FO616" i="1"/>
  <c r="FN616" i="1"/>
  <c r="FO613" i="1"/>
  <c r="FO611" i="1"/>
  <c r="FO609" i="1"/>
  <c r="FN613" i="1"/>
  <c r="FN611" i="1"/>
  <c r="FO606" i="1"/>
  <c r="FN606" i="1"/>
  <c r="FO600" i="1"/>
  <c r="FN600" i="1"/>
  <c r="FO592" i="1"/>
  <c r="FN592" i="1"/>
  <c r="FO585" i="1"/>
  <c r="FN585" i="1"/>
  <c r="FO581" i="1"/>
  <c r="FN581" i="1"/>
  <c r="FN579" i="1"/>
  <c r="FN577" i="1"/>
  <c r="FO579" i="1"/>
  <c r="FO577" i="1"/>
  <c r="FO571" i="1"/>
  <c r="FN571" i="1"/>
  <c r="FN569" i="1"/>
  <c r="FN567" i="1"/>
  <c r="FO569" i="1"/>
  <c r="FO567" i="1"/>
  <c r="FO563" i="1"/>
  <c r="FN563" i="1"/>
  <c r="FO558" i="1"/>
  <c r="FN558" i="1"/>
  <c r="FO555" i="1"/>
  <c r="FN555" i="1"/>
  <c r="FO549" i="1"/>
  <c r="FN549" i="1"/>
  <c r="FO543" i="1"/>
  <c r="FN543" i="1"/>
  <c r="FO541" i="1"/>
  <c r="FN541" i="1"/>
  <c r="FO535" i="1"/>
  <c r="FN535" i="1"/>
  <c r="FO532" i="1"/>
  <c r="FN532" i="1"/>
  <c r="FO526" i="1"/>
  <c r="FN526" i="1"/>
  <c r="FO507" i="1"/>
  <c r="FN507" i="1"/>
  <c r="FO505" i="1"/>
  <c r="FN505" i="1"/>
  <c r="FO500" i="1"/>
  <c r="FN500" i="1"/>
  <c r="FO488" i="1"/>
  <c r="FN488" i="1"/>
  <c r="FO482" i="1"/>
  <c r="FN482" i="1"/>
  <c r="FO472" i="1"/>
  <c r="FN472" i="1"/>
  <c r="FO464" i="1"/>
  <c r="FN464" i="1"/>
  <c r="FO458" i="1"/>
  <c r="FN458" i="1"/>
  <c r="FO451" i="1"/>
  <c r="FN451" i="1"/>
  <c r="FO444" i="1"/>
  <c r="FN444" i="1"/>
  <c r="FO439" i="1"/>
  <c r="FN439" i="1"/>
  <c r="FO437" i="1"/>
  <c r="FN437" i="1"/>
  <c r="FO427" i="1"/>
  <c r="FN427" i="1"/>
  <c r="FO419" i="1"/>
  <c r="FN419" i="1"/>
  <c r="FO416" i="1"/>
  <c r="FN416" i="1"/>
  <c r="FO411" i="1"/>
  <c r="FN411" i="1"/>
  <c r="FO406" i="1"/>
  <c r="FN406" i="1"/>
  <c r="FO401" i="1"/>
  <c r="FN401" i="1"/>
  <c r="FO397" i="1"/>
  <c r="FO386" i="1"/>
  <c r="FO378" i="1"/>
  <c r="FN397" i="1"/>
  <c r="FN386" i="1"/>
  <c r="FO380" i="1"/>
  <c r="FN380" i="1"/>
  <c r="FN378" i="1"/>
  <c r="FO375" i="1"/>
  <c r="FN375" i="1"/>
  <c r="FO368" i="1"/>
  <c r="FO366" i="1"/>
  <c r="FN368" i="1"/>
  <c r="FN366" i="1"/>
  <c r="FO361" i="1"/>
  <c r="FN361" i="1"/>
  <c r="FO358" i="1"/>
  <c r="FN358" i="1"/>
  <c r="FO354" i="1"/>
  <c r="FN354" i="1"/>
  <c r="FO347" i="1"/>
  <c r="FN347" i="1"/>
  <c r="FO329" i="1"/>
  <c r="FN329" i="1"/>
  <c r="FO326" i="1"/>
  <c r="FN326" i="1"/>
  <c r="FO322" i="1"/>
  <c r="FN322" i="1"/>
  <c r="FO319" i="1"/>
  <c r="FN319" i="1"/>
  <c r="FO316" i="1"/>
  <c r="FN316" i="1"/>
  <c r="FO313" i="1"/>
  <c r="FN313" i="1"/>
  <c r="FO310" i="1"/>
  <c r="FN310" i="1"/>
  <c r="FO305" i="1"/>
  <c r="FN305" i="1"/>
  <c r="FO302" i="1"/>
  <c r="FN302" i="1"/>
  <c r="FO298" i="1"/>
  <c r="FN298" i="1"/>
  <c r="FO293" i="1"/>
  <c r="FN293" i="1"/>
  <c r="FO288" i="1"/>
  <c r="FN288" i="1"/>
  <c r="FO279" i="1"/>
  <c r="FN279" i="1"/>
  <c r="FO275" i="1"/>
  <c r="FN275" i="1"/>
  <c r="FO267" i="1"/>
  <c r="FN267" i="1"/>
  <c r="FO259" i="1"/>
  <c r="FN259" i="1"/>
  <c r="FO251" i="1"/>
  <c r="FN251" i="1"/>
  <c r="FO246" i="1"/>
  <c r="FN246" i="1"/>
  <c r="FO244" i="1"/>
  <c r="FN244" i="1"/>
  <c r="FO238" i="1"/>
  <c r="FN238" i="1"/>
  <c r="FO237" i="1"/>
  <c r="FO236" i="1"/>
  <c r="FN237" i="1"/>
  <c r="FN236" i="1"/>
  <c r="FO234" i="1"/>
  <c r="FN234" i="1"/>
  <c r="FO233" i="1"/>
  <c r="FN233" i="1"/>
  <c r="FO231" i="1"/>
  <c r="FO230" i="1"/>
  <c r="FN231" i="1"/>
  <c r="FN230" i="1"/>
  <c r="FO228" i="1"/>
  <c r="FO227" i="1"/>
  <c r="FN228" i="1"/>
  <c r="FN227" i="1"/>
  <c r="FO225" i="1"/>
  <c r="FO224" i="1"/>
  <c r="FN225" i="1"/>
  <c r="FN224" i="1"/>
  <c r="FO222" i="1"/>
  <c r="FN222" i="1"/>
  <c r="FO221" i="1"/>
  <c r="FN221" i="1"/>
  <c r="FO220" i="1"/>
  <c r="FN220" i="1"/>
  <c r="FO219" i="1"/>
  <c r="FN219" i="1"/>
  <c r="FO218" i="1"/>
  <c r="FN218" i="1"/>
  <c r="FO215" i="1"/>
  <c r="FN215" i="1"/>
  <c r="FO214" i="1"/>
  <c r="FN214" i="1"/>
  <c r="FO213" i="1"/>
  <c r="FO212" i="1"/>
  <c r="FN213" i="1"/>
  <c r="FN212" i="1"/>
  <c r="FO205" i="1"/>
  <c r="FN205" i="1"/>
  <c r="FO204" i="1"/>
  <c r="FN204" i="1"/>
  <c r="FO202" i="1"/>
  <c r="FN202" i="1"/>
  <c r="FN201" i="1"/>
  <c r="FN199" i="1"/>
  <c r="FO201" i="1"/>
  <c r="FO199" i="1"/>
  <c r="FO197" i="1"/>
  <c r="FN197" i="1"/>
  <c r="FO196" i="1"/>
  <c r="FN196" i="1"/>
  <c r="FO195" i="1"/>
  <c r="FN195" i="1"/>
  <c r="FO193" i="1"/>
  <c r="FN193" i="1"/>
  <c r="FO191" i="1"/>
  <c r="FN191" i="1"/>
  <c r="FO189" i="1"/>
  <c r="FN189" i="1"/>
  <c r="FO187" i="1"/>
  <c r="FN187" i="1"/>
  <c r="FO185" i="1"/>
  <c r="FN185" i="1"/>
  <c r="FO184" i="1"/>
  <c r="FN184" i="1"/>
  <c r="FO182" i="1"/>
  <c r="FN182" i="1"/>
  <c r="FO180" i="1"/>
  <c r="FO179" i="1"/>
  <c r="FN180" i="1"/>
  <c r="FN179" i="1"/>
  <c r="FO177" i="1"/>
  <c r="FN177" i="1"/>
  <c r="FO176" i="1"/>
  <c r="FN176" i="1"/>
  <c r="FO175" i="1"/>
  <c r="FO174" i="1"/>
  <c r="FO172" i="1"/>
  <c r="FN175" i="1"/>
  <c r="FN174" i="1"/>
  <c r="FN172" i="1"/>
  <c r="FO170" i="1"/>
  <c r="FN170" i="1"/>
  <c r="FO169" i="1"/>
  <c r="FN169" i="1"/>
  <c r="FO168" i="1"/>
  <c r="FO167" i="1"/>
  <c r="FN168" i="1"/>
  <c r="FN167" i="1"/>
  <c r="FO165" i="1"/>
  <c r="FN165" i="1"/>
  <c r="FO163" i="1"/>
  <c r="FN163" i="1"/>
  <c r="FO162" i="1"/>
  <c r="FN162" i="1"/>
  <c r="FO161" i="1"/>
  <c r="FN161" i="1"/>
  <c r="FO160" i="1"/>
  <c r="FN160" i="1"/>
  <c r="FO159" i="1"/>
  <c r="FN159" i="1"/>
  <c r="FO158" i="1"/>
  <c r="FN158" i="1"/>
  <c r="FO157" i="1"/>
  <c r="FN157" i="1"/>
  <c r="FO156" i="1"/>
  <c r="FN156" i="1"/>
  <c r="FO155" i="1"/>
  <c r="FN155" i="1"/>
  <c r="FO153" i="1"/>
  <c r="FN153" i="1"/>
  <c r="FO152" i="1"/>
  <c r="FN152" i="1"/>
  <c r="FO151" i="1"/>
  <c r="FN151" i="1"/>
  <c r="FO150" i="1"/>
  <c r="FO149" i="1"/>
  <c r="FN150" i="1"/>
  <c r="FN149" i="1"/>
  <c r="FO147" i="1"/>
  <c r="FN147" i="1"/>
  <c r="FO146" i="1"/>
  <c r="FN146" i="1"/>
  <c r="FO145" i="1"/>
  <c r="FN145" i="1"/>
  <c r="FO144" i="1"/>
  <c r="FN144" i="1"/>
  <c r="FO143" i="1"/>
  <c r="FN143" i="1"/>
  <c r="FO142" i="1"/>
  <c r="FN142" i="1"/>
  <c r="FO141" i="1"/>
  <c r="FN141" i="1"/>
  <c r="FO140" i="1"/>
  <c r="FN140" i="1"/>
  <c r="FO139" i="1"/>
  <c r="FN139" i="1"/>
  <c r="FO137" i="1"/>
  <c r="FN137" i="1"/>
  <c r="FO134" i="1"/>
  <c r="FN134" i="1"/>
  <c r="FO133" i="1"/>
  <c r="FN133" i="1"/>
  <c r="FO132" i="1"/>
  <c r="FN132" i="1"/>
  <c r="FN131" i="1"/>
  <c r="FO129" i="1"/>
  <c r="FN129" i="1"/>
  <c r="FO128" i="1"/>
  <c r="FN128" i="1"/>
  <c r="FO127" i="1"/>
  <c r="FN127" i="1"/>
  <c r="FO126" i="1"/>
  <c r="FN126" i="1"/>
  <c r="FO125" i="1"/>
  <c r="FN125" i="1"/>
  <c r="FO123" i="1"/>
  <c r="FN123" i="1"/>
  <c r="FO122" i="1"/>
  <c r="FN122" i="1"/>
  <c r="FO121" i="1"/>
  <c r="FN121" i="1"/>
  <c r="FO120" i="1"/>
  <c r="FN120" i="1"/>
  <c r="FO119" i="1"/>
  <c r="FN119" i="1"/>
  <c r="FO118" i="1"/>
  <c r="FN118" i="1"/>
  <c r="FO116" i="1"/>
  <c r="FN116" i="1"/>
  <c r="FO115" i="1"/>
  <c r="FN115" i="1"/>
  <c r="FO114" i="1"/>
  <c r="FN114" i="1"/>
  <c r="FO113" i="1"/>
  <c r="FN113" i="1"/>
  <c r="FO112" i="1"/>
  <c r="FN112" i="1"/>
  <c r="FO111" i="1"/>
  <c r="FN111" i="1"/>
  <c r="FO109" i="1"/>
  <c r="FN109" i="1"/>
  <c r="FO108" i="1"/>
  <c r="FN108" i="1"/>
  <c r="FO107" i="1"/>
  <c r="FO106" i="1"/>
  <c r="FN107" i="1"/>
  <c r="FN106" i="1"/>
  <c r="FO102" i="1"/>
  <c r="FN102" i="1"/>
  <c r="FO101" i="1"/>
  <c r="FN101" i="1"/>
  <c r="FO100" i="1"/>
  <c r="FN100" i="1"/>
  <c r="FO99" i="1"/>
  <c r="FN99" i="1"/>
  <c r="FO98" i="1"/>
  <c r="FN98" i="1"/>
  <c r="FO97" i="1"/>
  <c r="FN97" i="1"/>
  <c r="FO96" i="1"/>
  <c r="FN96" i="1"/>
  <c r="FO95" i="1"/>
  <c r="FN95" i="1"/>
  <c r="FN94" i="1"/>
  <c r="FO94" i="1"/>
  <c r="FO92" i="1"/>
  <c r="FN92" i="1"/>
  <c r="FO91" i="1"/>
  <c r="FN91" i="1"/>
  <c r="FO90" i="1"/>
  <c r="FN90" i="1"/>
  <c r="FO89" i="1"/>
  <c r="FN89" i="1"/>
  <c r="FO88" i="1"/>
  <c r="FN88" i="1"/>
  <c r="FO87" i="1"/>
  <c r="FO86" i="1"/>
  <c r="FN87" i="1"/>
  <c r="FN86" i="1"/>
  <c r="FO84" i="1"/>
  <c r="FN84" i="1"/>
  <c r="FO83" i="1"/>
  <c r="FN83" i="1"/>
  <c r="FO82" i="1"/>
  <c r="FN82" i="1"/>
  <c r="FO80" i="1"/>
  <c r="FO77" i="1"/>
  <c r="FN80" i="1"/>
  <c r="FO79" i="1"/>
  <c r="FN79" i="1"/>
  <c r="FN77" i="1"/>
  <c r="FO78" i="1"/>
  <c r="FN78" i="1"/>
  <c r="FO75" i="1"/>
  <c r="FN75" i="1"/>
  <c r="FO74" i="1"/>
  <c r="FN74" i="1"/>
  <c r="FO73" i="1"/>
  <c r="FN73" i="1"/>
  <c r="FN72" i="1"/>
  <c r="FO70" i="1"/>
  <c r="FN70" i="1"/>
  <c r="FO69" i="1"/>
  <c r="FN69" i="1"/>
  <c r="FO68" i="1"/>
  <c r="FO67" i="1"/>
  <c r="FN68" i="1"/>
  <c r="FN67" i="1"/>
  <c r="FO65" i="1"/>
  <c r="FN65" i="1"/>
  <c r="FO64" i="1"/>
  <c r="FO63" i="1"/>
  <c r="FN64" i="1"/>
  <c r="FN63" i="1"/>
  <c r="FO61" i="1"/>
  <c r="FN61" i="1"/>
  <c r="FO59" i="1"/>
  <c r="FN59" i="1"/>
  <c r="FO58" i="1"/>
  <c r="FN58" i="1"/>
  <c r="FO57" i="1"/>
  <c r="FN57" i="1"/>
  <c r="FO56" i="1"/>
  <c r="FN56" i="1"/>
  <c r="FO55" i="1"/>
  <c r="FO52" i="1"/>
  <c r="FN55" i="1"/>
  <c r="FN52" i="1"/>
  <c r="FO54" i="1"/>
  <c r="FN54" i="1"/>
  <c r="FO53" i="1"/>
  <c r="FN53" i="1"/>
  <c r="FO50" i="1"/>
  <c r="FN50" i="1"/>
  <c r="FO49" i="1"/>
  <c r="FN49" i="1"/>
  <c r="FO48" i="1"/>
  <c r="FN48" i="1"/>
  <c r="FO47" i="1"/>
  <c r="FO46" i="1"/>
  <c r="FN47" i="1"/>
  <c r="FN46" i="1"/>
  <c r="FO42" i="1"/>
  <c r="FN42" i="1"/>
  <c r="FO41" i="1"/>
  <c r="FN41" i="1"/>
  <c r="FO36" i="1"/>
  <c r="FN36" i="1"/>
  <c r="FO34" i="1"/>
  <c r="FN34" i="1"/>
  <c r="FO33" i="1"/>
  <c r="FN33" i="1"/>
  <c r="FO32" i="1"/>
  <c r="FN32" i="1"/>
  <c r="FO31" i="1"/>
  <c r="FO30" i="1"/>
  <c r="FN31" i="1"/>
  <c r="FN30" i="1"/>
  <c r="FO28" i="1"/>
  <c r="FN28" i="1"/>
  <c r="FO26" i="1"/>
  <c r="FN26" i="1"/>
  <c r="FO24" i="1"/>
  <c r="FN24" i="1"/>
  <c r="FO23" i="1"/>
  <c r="FN23" i="1"/>
  <c r="FO22" i="1"/>
  <c r="FO21" i="1"/>
  <c r="FN22" i="1"/>
  <c r="FN21" i="1"/>
  <c r="FO19" i="1"/>
  <c r="FN19" i="1"/>
  <c r="FQ860" i="1"/>
  <c r="FP860" i="1"/>
  <c r="FQ856" i="1"/>
  <c r="FP856" i="1"/>
  <c r="FQ845" i="1"/>
  <c r="FP845" i="1"/>
  <c r="FQ842" i="1"/>
  <c r="FP842" i="1"/>
  <c r="FQ827" i="1"/>
  <c r="FP827" i="1"/>
  <c r="FQ790" i="1"/>
  <c r="FP790" i="1"/>
  <c r="FQ783" i="1"/>
  <c r="FP783" i="1"/>
  <c r="FQ768" i="1"/>
  <c r="FP768" i="1"/>
  <c r="FQ742" i="1"/>
  <c r="FP742" i="1"/>
  <c r="FQ738" i="1"/>
  <c r="FP738" i="1"/>
  <c r="FQ728" i="1"/>
  <c r="FP728" i="1"/>
  <c r="FQ725" i="1"/>
  <c r="FP725" i="1"/>
  <c r="FP721" i="1"/>
  <c r="FQ718" i="1"/>
  <c r="FP718" i="1"/>
  <c r="FQ711" i="1"/>
  <c r="FP711" i="1"/>
  <c r="FQ705" i="1"/>
  <c r="FP705" i="1"/>
  <c r="FQ702" i="1"/>
  <c r="FP702" i="1"/>
  <c r="FQ699" i="1"/>
  <c r="FP699" i="1"/>
  <c r="FQ696" i="1"/>
  <c r="FP696" i="1"/>
  <c r="FQ693" i="1"/>
  <c r="FP693" i="1"/>
  <c r="FQ685" i="1"/>
  <c r="FP685" i="1"/>
  <c r="FQ681" i="1"/>
  <c r="FP681" i="1"/>
  <c r="FQ669" i="1"/>
  <c r="FQ664" i="1"/>
  <c r="FP669" i="1"/>
  <c r="FP664" i="1"/>
  <c r="FQ666" i="1"/>
  <c r="FP666" i="1"/>
  <c r="FQ655" i="1"/>
  <c r="FP655" i="1"/>
  <c r="FQ645" i="1"/>
  <c r="FP645" i="1"/>
  <c r="FQ637" i="1"/>
  <c r="FP637" i="1"/>
  <c r="FQ634" i="1"/>
  <c r="FQ632" i="1"/>
  <c r="FQ630" i="1"/>
  <c r="FQ628" i="1"/>
  <c r="FP634" i="1"/>
  <c r="FP632" i="1"/>
  <c r="FP630" i="1"/>
  <c r="FP628" i="1"/>
  <c r="FQ625" i="1"/>
  <c r="FP625" i="1"/>
  <c r="FQ621" i="1"/>
  <c r="FP621" i="1"/>
  <c r="FP619" i="1"/>
  <c r="FQ619" i="1"/>
  <c r="FQ616" i="1"/>
  <c r="FP616" i="1"/>
  <c r="FQ613" i="1"/>
  <c r="FQ611" i="1"/>
  <c r="FP613" i="1"/>
  <c r="FP611" i="1"/>
  <c r="FP609" i="1"/>
  <c r="FQ606" i="1"/>
  <c r="FP606" i="1"/>
  <c r="FQ600" i="1"/>
  <c r="FP600" i="1"/>
  <c r="FQ592" i="1"/>
  <c r="FP592" i="1"/>
  <c r="FQ585" i="1"/>
  <c r="FP585" i="1"/>
  <c r="FQ581" i="1"/>
  <c r="FP581" i="1"/>
  <c r="FP579" i="1"/>
  <c r="FP577" i="1"/>
  <c r="FQ579" i="1"/>
  <c r="FQ577" i="1"/>
  <c r="FQ571" i="1"/>
  <c r="FP571" i="1"/>
  <c r="FP569" i="1"/>
  <c r="FP567" i="1"/>
  <c r="FQ569" i="1"/>
  <c r="FQ567" i="1"/>
  <c r="FQ563" i="1"/>
  <c r="FP563" i="1"/>
  <c r="FQ558" i="1"/>
  <c r="FP558" i="1"/>
  <c r="FQ555" i="1"/>
  <c r="FQ541" i="1"/>
  <c r="FP555" i="1"/>
  <c r="FQ549" i="1"/>
  <c r="FP549" i="1"/>
  <c r="FQ543" i="1"/>
  <c r="FP543" i="1"/>
  <c r="FP541" i="1"/>
  <c r="FQ535" i="1"/>
  <c r="FP535" i="1"/>
  <c r="FQ532" i="1"/>
  <c r="FP532" i="1"/>
  <c r="FQ526" i="1"/>
  <c r="FP526" i="1"/>
  <c r="FQ507" i="1"/>
  <c r="FP507" i="1"/>
  <c r="FQ505" i="1"/>
  <c r="FP505" i="1"/>
  <c r="FQ500" i="1"/>
  <c r="FP500" i="1"/>
  <c r="FQ488" i="1"/>
  <c r="FP488" i="1"/>
  <c r="FQ482" i="1"/>
  <c r="FP482" i="1"/>
  <c r="FQ472" i="1"/>
  <c r="FP472" i="1"/>
  <c r="FQ464" i="1"/>
  <c r="FP464" i="1"/>
  <c r="FQ458" i="1"/>
  <c r="FP458" i="1"/>
  <c r="FQ451" i="1"/>
  <c r="FP451" i="1"/>
  <c r="FQ444" i="1"/>
  <c r="FP444" i="1"/>
  <c r="FQ439" i="1"/>
  <c r="FP439" i="1"/>
  <c r="FQ437" i="1"/>
  <c r="FP437" i="1"/>
  <c r="FQ427" i="1"/>
  <c r="FP427" i="1"/>
  <c r="FQ419" i="1"/>
  <c r="FP419" i="1"/>
  <c r="FQ416" i="1"/>
  <c r="FP416" i="1"/>
  <c r="FQ411" i="1"/>
  <c r="FP411" i="1"/>
  <c r="FQ406" i="1"/>
  <c r="FP406" i="1"/>
  <c r="FQ401" i="1"/>
  <c r="FP401" i="1"/>
  <c r="FQ397" i="1"/>
  <c r="FP397" i="1"/>
  <c r="FQ386" i="1"/>
  <c r="FP386" i="1"/>
  <c r="FQ380" i="1"/>
  <c r="FP380" i="1"/>
  <c r="FQ378" i="1"/>
  <c r="FP378" i="1"/>
  <c r="FQ375" i="1"/>
  <c r="FP375" i="1"/>
  <c r="FQ368" i="1"/>
  <c r="FQ366" i="1"/>
  <c r="FP368" i="1"/>
  <c r="FP366" i="1"/>
  <c r="FQ361" i="1"/>
  <c r="FP361" i="1"/>
  <c r="FQ358" i="1"/>
  <c r="FP358" i="1"/>
  <c r="FQ354" i="1"/>
  <c r="FP354" i="1"/>
  <c r="FQ347" i="1"/>
  <c r="FP347" i="1"/>
  <c r="FQ329" i="1"/>
  <c r="FP329" i="1"/>
  <c r="FQ326" i="1"/>
  <c r="FP326" i="1"/>
  <c r="FQ322" i="1"/>
  <c r="FP322" i="1"/>
  <c r="FQ319" i="1"/>
  <c r="FP319" i="1"/>
  <c r="FQ316" i="1"/>
  <c r="FP316" i="1"/>
  <c r="FQ313" i="1"/>
  <c r="FP313" i="1"/>
  <c r="FQ310" i="1"/>
  <c r="FQ308" i="1"/>
  <c r="FP310" i="1"/>
  <c r="FP308" i="1"/>
  <c r="FQ305" i="1"/>
  <c r="FP305" i="1"/>
  <c r="FQ302" i="1"/>
  <c r="FP302" i="1"/>
  <c r="FQ298" i="1"/>
  <c r="FP298" i="1"/>
  <c r="FQ293" i="1"/>
  <c r="FP293" i="1"/>
  <c r="FQ288" i="1"/>
  <c r="FP288" i="1"/>
  <c r="FQ279" i="1"/>
  <c r="FP279" i="1"/>
  <c r="FQ275" i="1"/>
  <c r="FP275" i="1"/>
  <c r="FQ267" i="1"/>
  <c r="FP267" i="1"/>
  <c r="FQ259" i="1"/>
  <c r="FP259" i="1"/>
  <c r="FQ251" i="1"/>
  <c r="FP251" i="1"/>
  <c r="FQ246" i="1"/>
  <c r="FP246" i="1"/>
  <c r="FQ244" i="1"/>
  <c r="FP244" i="1"/>
  <c r="FQ238" i="1"/>
  <c r="FP238" i="1"/>
  <c r="FQ237" i="1"/>
  <c r="FQ236" i="1"/>
  <c r="FP237" i="1"/>
  <c r="FP236" i="1"/>
  <c r="FQ234" i="1"/>
  <c r="FP234" i="1"/>
  <c r="FQ233" i="1"/>
  <c r="FP233" i="1"/>
  <c r="FQ231" i="1"/>
  <c r="FQ230" i="1"/>
  <c r="FP231" i="1"/>
  <c r="FP230" i="1"/>
  <c r="FQ228" i="1"/>
  <c r="FQ227" i="1"/>
  <c r="FP228" i="1"/>
  <c r="FP227" i="1"/>
  <c r="FQ225" i="1"/>
  <c r="FQ224" i="1"/>
  <c r="FP225" i="1"/>
  <c r="FP224" i="1"/>
  <c r="FQ222" i="1"/>
  <c r="FP222" i="1"/>
  <c r="FQ221" i="1"/>
  <c r="FP221" i="1"/>
  <c r="FQ220" i="1"/>
  <c r="FP220" i="1"/>
  <c r="FQ219" i="1"/>
  <c r="FP219" i="1"/>
  <c r="FQ218" i="1"/>
  <c r="FP218" i="1"/>
  <c r="FQ215" i="1"/>
  <c r="FP215" i="1"/>
  <c r="FQ214" i="1"/>
  <c r="FP214" i="1"/>
  <c r="FQ213" i="1"/>
  <c r="FQ212" i="1"/>
  <c r="FP213" i="1"/>
  <c r="FP212" i="1"/>
  <c r="FQ205" i="1"/>
  <c r="FP205" i="1"/>
  <c r="FQ204" i="1"/>
  <c r="FP204" i="1"/>
  <c r="FQ202" i="1"/>
  <c r="FQ201" i="1"/>
  <c r="FQ199" i="1"/>
  <c r="FP202" i="1"/>
  <c r="FP201" i="1"/>
  <c r="FP199" i="1"/>
  <c r="FQ197" i="1"/>
  <c r="FP197" i="1"/>
  <c r="FQ196" i="1"/>
  <c r="FP196" i="1"/>
  <c r="FQ195" i="1"/>
  <c r="FP195" i="1"/>
  <c r="FQ193" i="1"/>
  <c r="FP193" i="1"/>
  <c r="FQ191" i="1"/>
  <c r="FP191" i="1"/>
  <c r="FQ189" i="1"/>
  <c r="FP189" i="1"/>
  <c r="FQ187" i="1"/>
  <c r="FP187" i="1"/>
  <c r="FQ185" i="1"/>
  <c r="FP185" i="1"/>
  <c r="FQ184" i="1"/>
  <c r="FP184" i="1"/>
  <c r="FQ182" i="1"/>
  <c r="FP182" i="1"/>
  <c r="FQ180" i="1"/>
  <c r="FQ179" i="1"/>
  <c r="FP180" i="1"/>
  <c r="FP179" i="1"/>
  <c r="FQ177" i="1"/>
  <c r="FP177" i="1"/>
  <c r="FQ176" i="1"/>
  <c r="FP176" i="1"/>
  <c r="FQ175" i="1"/>
  <c r="FQ174" i="1"/>
  <c r="FQ172" i="1"/>
  <c r="FP175" i="1"/>
  <c r="FP174" i="1"/>
  <c r="FP172" i="1"/>
  <c r="FQ170" i="1"/>
  <c r="FP170" i="1"/>
  <c r="FQ169" i="1"/>
  <c r="FP169" i="1"/>
  <c r="FQ168" i="1"/>
  <c r="FQ167" i="1"/>
  <c r="FP168" i="1"/>
  <c r="FP167" i="1"/>
  <c r="FQ165" i="1"/>
  <c r="FP165" i="1"/>
  <c r="FQ163" i="1"/>
  <c r="FP163" i="1"/>
  <c r="FQ162" i="1"/>
  <c r="FP162" i="1"/>
  <c r="FQ161" i="1"/>
  <c r="FP161" i="1"/>
  <c r="FQ160" i="1"/>
  <c r="FP160" i="1"/>
  <c r="FQ159" i="1"/>
  <c r="FP159" i="1"/>
  <c r="FQ158" i="1"/>
  <c r="FP158" i="1"/>
  <c r="FQ157" i="1"/>
  <c r="FP157" i="1"/>
  <c r="FQ156" i="1"/>
  <c r="FP156" i="1"/>
  <c r="FQ155" i="1"/>
  <c r="FP155" i="1"/>
  <c r="FQ153" i="1"/>
  <c r="FP153" i="1"/>
  <c r="FQ152" i="1"/>
  <c r="FP152" i="1"/>
  <c r="FQ151" i="1"/>
  <c r="FP151" i="1"/>
  <c r="FQ150" i="1"/>
  <c r="FQ149" i="1"/>
  <c r="FP150" i="1"/>
  <c r="FP149" i="1"/>
  <c r="FQ147" i="1"/>
  <c r="FP147" i="1"/>
  <c r="FQ146" i="1"/>
  <c r="FP146" i="1"/>
  <c r="FQ145" i="1"/>
  <c r="FP145" i="1"/>
  <c r="FQ144" i="1"/>
  <c r="FP144" i="1"/>
  <c r="FQ143" i="1"/>
  <c r="FP143" i="1"/>
  <c r="FQ142" i="1"/>
  <c r="FP142" i="1"/>
  <c r="FQ141" i="1"/>
  <c r="FP141" i="1"/>
  <c r="FQ140" i="1"/>
  <c r="FP140" i="1"/>
  <c r="FQ139" i="1"/>
  <c r="FP139" i="1"/>
  <c r="FQ137" i="1"/>
  <c r="FP137" i="1"/>
  <c r="FQ134" i="1"/>
  <c r="FP134" i="1"/>
  <c r="FQ133" i="1"/>
  <c r="FP133" i="1"/>
  <c r="FQ132" i="1"/>
  <c r="FQ131" i="1"/>
  <c r="FP132" i="1"/>
  <c r="FP131" i="1"/>
  <c r="FQ129" i="1"/>
  <c r="FP129" i="1"/>
  <c r="FQ128" i="1"/>
  <c r="FP128" i="1"/>
  <c r="FQ127" i="1"/>
  <c r="FP127" i="1"/>
  <c r="FQ126" i="1"/>
  <c r="FP126" i="1"/>
  <c r="FQ125" i="1"/>
  <c r="FP125" i="1"/>
  <c r="FQ123" i="1"/>
  <c r="FP123" i="1"/>
  <c r="FQ122" i="1"/>
  <c r="FP122" i="1"/>
  <c r="FQ121" i="1"/>
  <c r="FP121" i="1"/>
  <c r="FQ120" i="1"/>
  <c r="FP120" i="1"/>
  <c r="FQ119" i="1"/>
  <c r="FP119" i="1"/>
  <c r="FQ118" i="1"/>
  <c r="FP118" i="1"/>
  <c r="FQ116" i="1"/>
  <c r="FP116" i="1"/>
  <c r="FQ115" i="1"/>
  <c r="FP115" i="1"/>
  <c r="FQ114" i="1"/>
  <c r="FP114" i="1"/>
  <c r="FQ113" i="1"/>
  <c r="FP113" i="1"/>
  <c r="FQ112" i="1"/>
  <c r="FP112" i="1"/>
  <c r="FQ111" i="1"/>
  <c r="FP111" i="1"/>
  <c r="FQ109" i="1"/>
  <c r="FP109" i="1"/>
  <c r="FQ108" i="1"/>
  <c r="FP108" i="1"/>
  <c r="FQ107" i="1"/>
  <c r="FQ106" i="1"/>
  <c r="FP107" i="1"/>
  <c r="FP106" i="1"/>
  <c r="FQ102" i="1"/>
  <c r="FP102" i="1"/>
  <c r="FQ101" i="1"/>
  <c r="FP101" i="1"/>
  <c r="FQ100" i="1"/>
  <c r="FP100" i="1"/>
  <c r="FQ99" i="1"/>
  <c r="FP99" i="1"/>
  <c r="FQ98" i="1"/>
  <c r="FP98" i="1"/>
  <c r="FQ97" i="1"/>
  <c r="FP97" i="1"/>
  <c r="FQ96" i="1"/>
  <c r="FP96" i="1"/>
  <c r="FQ95" i="1"/>
  <c r="FP95" i="1"/>
  <c r="FQ94" i="1"/>
  <c r="FP94" i="1"/>
  <c r="FQ92" i="1"/>
  <c r="FQ86" i="1"/>
  <c r="FP92" i="1"/>
  <c r="FQ91" i="1"/>
  <c r="FP91" i="1"/>
  <c r="FQ90" i="1"/>
  <c r="FP90" i="1"/>
  <c r="FQ89" i="1"/>
  <c r="FP89" i="1"/>
  <c r="FQ88" i="1"/>
  <c r="FP88" i="1"/>
  <c r="FQ87" i="1"/>
  <c r="FP87" i="1"/>
  <c r="FP86" i="1"/>
  <c r="FQ84" i="1"/>
  <c r="FP84" i="1"/>
  <c r="FQ83" i="1"/>
  <c r="FP83" i="1"/>
  <c r="FQ82" i="1"/>
  <c r="FP82" i="1"/>
  <c r="FQ80" i="1"/>
  <c r="FP80" i="1"/>
  <c r="FP77" i="1"/>
  <c r="FQ79" i="1"/>
  <c r="FP79" i="1"/>
  <c r="FQ78" i="1"/>
  <c r="FP78" i="1"/>
  <c r="FQ77" i="1"/>
  <c r="FQ75" i="1"/>
  <c r="FP75" i="1"/>
  <c r="FP72" i="1"/>
  <c r="FQ74" i="1"/>
  <c r="FP74" i="1"/>
  <c r="FQ73" i="1"/>
  <c r="FP73" i="1"/>
  <c r="FQ72" i="1"/>
  <c r="FQ70" i="1"/>
  <c r="FQ67" i="1"/>
  <c r="FP70" i="1"/>
  <c r="FQ69" i="1"/>
  <c r="FP69" i="1"/>
  <c r="FQ68" i="1"/>
  <c r="FP68" i="1"/>
  <c r="FP67" i="1"/>
  <c r="FQ65" i="1"/>
  <c r="FP65" i="1"/>
  <c r="FQ64" i="1"/>
  <c r="FQ63" i="1"/>
  <c r="FP64" i="1"/>
  <c r="FP63" i="1"/>
  <c r="FQ61" i="1"/>
  <c r="FP61" i="1"/>
  <c r="FQ59" i="1"/>
  <c r="FP59" i="1"/>
  <c r="FQ58" i="1"/>
  <c r="FP58" i="1"/>
  <c r="FQ57" i="1"/>
  <c r="FP57" i="1"/>
  <c r="FQ56" i="1"/>
  <c r="FP56" i="1"/>
  <c r="FQ55" i="1"/>
  <c r="FP55" i="1"/>
  <c r="FQ54" i="1"/>
  <c r="FP54" i="1"/>
  <c r="FQ53" i="1"/>
  <c r="FQ52" i="1"/>
  <c r="FP53" i="1"/>
  <c r="FP52" i="1"/>
  <c r="FQ50" i="1"/>
  <c r="FP50" i="1"/>
  <c r="FQ49" i="1"/>
  <c r="FP49" i="1"/>
  <c r="FQ48" i="1"/>
  <c r="FP48" i="1"/>
  <c r="FQ47" i="1"/>
  <c r="FQ46" i="1"/>
  <c r="FP47" i="1"/>
  <c r="FP46" i="1"/>
  <c r="FQ42" i="1"/>
  <c r="FP42" i="1"/>
  <c r="FQ41" i="1"/>
  <c r="FP41" i="1"/>
  <c r="FQ38" i="1"/>
  <c r="FQ36" i="1"/>
  <c r="FP36" i="1"/>
  <c r="FQ34" i="1"/>
  <c r="FP34" i="1"/>
  <c r="FQ33" i="1"/>
  <c r="FP33" i="1"/>
  <c r="FQ32" i="1"/>
  <c r="FP32" i="1"/>
  <c r="FQ31" i="1"/>
  <c r="FQ30" i="1"/>
  <c r="FP31" i="1"/>
  <c r="FP30" i="1"/>
  <c r="FQ28" i="1"/>
  <c r="FP28" i="1"/>
  <c r="FQ26" i="1"/>
  <c r="FP26" i="1"/>
  <c r="FQ24" i="1"/>
  <c r="FP24" i="1"/>
  <c r="FQ23" i="1"/>
  <c r="FP23" i="1"/>
  <c r="FQ22" i="1"/>
  <c r="FQ21" i="1"/>
  <c r="FP22" i="1"/>
  <c r="FP21" i="1"/>
  <c r="FQ19" i="1"/>
  <c r="FP19" i="1"/>
  <c r="FS860" i="1"/>
  <c r="FR860" i="1"/>
  <c r="FS856" i="1"/>
  <c r="FR856" i="1"/>
  <c r="FS845" i="1"/>
  <c r="FR845" i="1"/>
  <c r="FS842" i="1"/>
  <c r="FR842" i="1"/>
  <c r="FS827" i="1"/>
  <c r="FR827" i="1"/>
  <c r="FS790" i="1"/>
  <c r="FR790" i="1"/>
  <c r="FS783" i="1"/>
  <c r="FR783" i="1"/>
  <c r="FS768" i="1"/>
  <c r="FR768" i="1"/>
  <c r="FS742" i="1"/>
  <c r="FR742" i="1"/>
  <c r="FS738" i="1"/>
  <c r="FR738" i="1"/>
  <c r="FS728" i="1"/>
  <c r="FR728" i="1"/>
  <c r="FS725" i="1"/>
  <c r="FR725" i="1"/>
  <c r="FS718" i="1"/>
  <c r="FR718" i="1"/>
  <c r="FS711" i="1"/>
  <c r="FR711" i="1"/>
  <c r="FS705" i="1"/>
  <c r="FR705" i="1"/>
  <c r="FS702" i="1"/>
  <c r="FR702" i="1"/>
  <c r="FS699" i="1"/>
  <c r="FR699" i="1"/>
  <c r="FS696" i="1"/>
  <c r="FR696" i="1"/>
  <c r="FS693" i="1"/>
  <c r="FR693" i="1"/>
  <c r="FS685" i="1"/>
  <c r="FR685" i="1"/>
  <c r="FS681" i="1"/>
  <c r="FR681" i="1"/>
  <c r="FS669" i="1"/>
  <c r="FS664" i="1"/>
  <c r="FR669" i="1"/>
  <c r="FR664" i="1"/>
  <c r="FR662" i="1"/>
  <c r="FS666" i="1"/>
  <c r="FR666" i="1"/>
  <c r="FS655" i="1"/>
  <c r="FR655" i="1"/>
  <c r="FS645" i="1"/>
  <c r="FR645" i="1"/>
  <c r="FS637" i="1"/>
  <c r="FR637" i="1"/>
  <c r="FS634" i="1"/>
  <c r="FR634" i="1"/>
  <c r="FS632" i="1"/>
  <c r="FS630" i="1"/>
  <c r="FS628" i="1"/>
  <c r="FR632" i="1"/>
  <c r="FR630" i="1"/>
  <c r="FR628" i="1"/>
  <c r="FS625" i="1"/>
  <c r="FR625" i="1"/>
  <c r="FS621" i="1"/>
  <c r="FS619" i="1"/>
  <c r="FR621" i="1"/>
  <c r="FR619" i="1"/>
  <c r="FS616" i="1"/>
  <c r="FR616" i="1"/>
  <c r="FS613" i="1"/>
  <c r="FR613" i="1"/>
  <c r="FS611" i="1"/>
  <c r="FS609" i="1"/>
  <c r="FR611" i="1"/>
  <c r="FS606" i="1"/>
  <c r="FR606" i="1"/>
  <c r="FS600" i="1"/>
  <c r="FR600" i="1"/>
  <c r="FS592" i="1"/>
  <c r="FR592" i="1"/>
  <c r="FS585" i="1"/>
  <c r="FR585" i="1"/>
  <c r="FS581" i="1"/>
  <c r="FS579" i="1"/>
  <c r="FS577" i="1"/>
  <c r="FR581" i="1"/>
  <c r="FR579" i="1"/>
  <c r="FR577" i="1"/>
  <c r="FS571" i="1"/>
  <c r="FS569" i="1"/>
  <c r="FS567" i="1"/>
  <c r="FR571" i="1"/>
  <c r="FR569" i="1"/>
  <c r="FR567" i="1"/>
  <c r="FS563" i="1"/>
  <c r="FR563" i="1"/>
  <c r="FS558" i="1"/>
  <c r="FR558" i="1"/>
  <c r="FS555" i="1"/>
  <c r="FR555" i="1"/>
  <c r="FS549" i="1"/>
  <c r="FR549" i="1"/>
  <c r="FS543" i="1"/>
  <c r="FR543" i="1"/>
  <c r="FS541" i="1"/>
  <c r="FR541" i="1"/>
  <c r="FR535" i="1"/>
  <c r="FS532" i="1"/>
  <c r="FR532" i="1"/>
  <c r="FS526" i="1"/>
  <c r="FR526" i="1"/>
  <c r="FS507" i="1"/>
  <c r="FR507" i="1"/>
  <c r="FS505" i="1"/>
  <c r="FR505" i="1"/>
  <c r="FS500" i="1"/>
  <c r="FR500" i="1"/>
  <c r="FS488" i="1"/>
  <c r="FR488" i="1"/>
  <c r="FS482" i="1"/>
  <c r="FR482" i="1"/>
  <c r="FS472" i="1"/>
  <c r="FR472" i="1"/>
  <c r="FS464" i="1"/>
  <c r="FR464" i="1"/>
  <c r="FR437" i="1"/>
  <c r="FS458" i="1"/>
  <c r="FR458" i="1"/>
  <c r="FS451" i="1"/>
  <c r="FR451" i="1"/>
  <c r="FS444" i="1"/>
  <c r="FR444" i="1"/>
  <c r="FS439" i="1"/>
  <c r="FR439" i="1"/>
  <c r="FS437" i="1"/>
  <c r="FS427" i="1"/>
  <c r="FR427" i="1"/>
  <c r="FS419" i="1"/>
  <c r="FR419" i="1"/>
  <c r="FS416" i="1"/>
  <c r="FR416" i="1"/>
  <c r="FS411" i="1"/>
  <c r="FR411" i="1"/>
  <c r="FS406" i="1"/>
  <c r="FR406" i="1"/>
  <c r="FS401" i="1"/>
  <c r="FR401" i="1"/>
  <c r="FS397" i="1"/>
  <c r="FR397" i="1"/>
  <c r="FS386" i="1"/>
  <c r="FR386" i="1"/>
  <c r="FS380" i="1"/>
  <c r="FR380" i="1"/>
  <c r="FR378" i="1"/>
  <c r="FS375" i="1"/>
  <c r="FR375" i="1"/>
  <c r="FS368" i="1"/>
  <c r="FS366" i="1"/>
  <c r="FR368" i="1"/>
  <c r="FR366" i="1"/>
  <c r="FS361" i="1"/>
  <c r="FR361" i="1"/>
  <c r="FS358" i="1"/>
  <c r="FR358" i="1"/>
  <c r="FS354" i="1"/>
  <c r="FR354" i="1"/>
  <c r="FS347" i="1"/>
  <c r="FR347" i="1"/>
  <c r="FS329" i="1"/>
  <c r="FR329" i="1"/>
  <c r="FS326" i="1"/>
  <c r="FR326" i="1"/>
  <c r="FS322" i="1"/>
  <c r="FR322" i="1"/>
  <c r="FS319" i="1"/>
  <c r="FR319" i="1"/>
  <c r="FS316" i="1"/>
  <c r="FR316" i="1"/>
  <c r="FS313" i="1"/>
  <c r="FR313" i="1"/>
  <c r="FS310" i="1"/>
  <c r="FS308" i="1"/>
  <c r="FR310" i="1"/>
  <c r="FR308" i="1"/>
  <c r="FS305" i="1"/>
  <c r="FR305" i="1"/>
  <c r="FS302" i="1"/>
  <c r="FR302" i="1"/>
  <c r="FS298" i="1"/>
  <c r="FR298" i="1"/>
  <c r="FS293" i="1"/>
  <c r="FR293" i="1"/>
  <c r="FS288" i="1"/>
  <c r="FR288" i="1"/>
  <c r="FS279" i="1"/>
  <c r="FR279" i="1"/>
  <c r="FS275" i="1"/>
  <c r="FR275" i="1"/>
  <c r="FS267" i="1"/>
  <c r="FR267" i="1"/>
  <c r="FS259" i="1"/>
  <c r="FR259" i="1"/>
  <c r="FS251" i="1"/>
  <c r="FR251" i="1"/>
  <c r="FS246" i="1"/>
  <c r="FS244" i="1"/>
  <c r="FR246" i="1"/>
  <c r="FR244" i="1"/>
  <c r="FS238" i="1"/>
  <c r="FR238" i="1"/>
  <c r="FS237" i="1"/>
  <c r="FS236" i="1"/>
  <c r="FR237" i="1"/>
  <c r="FR236" i="1"/>
  <c r="FS234" i="1"/>
  <c r="FR234" i="1"/>
  <c r="FS233" i="1"/>
  <c r="FR233" i="1"/>
  <c r="FS231" i="1"/>
  <c r="FS230" i="1"/>
  <c r="FR231" i="1"/>
  <c r="FR230" i="1"/>
  <c r="FS228" i="1"/>
  <c r="FS227" i="1"/>
  <c r="FR228" i="1"/>
  <c r="FR227" i="1"/>
  <c r="FS225" i="1"/>
  <c r="FS224" i="1"/>
  <c r="FR225" i="1"/>
  <c r="FR224" i="1"/>
  <c r="FS222" i="1"/>
  <c r="FR222" i="1"/>
  <c r="FS221" i="1"/>
  <c r="FR221" i="1"/>
  <c r="FS220" i="1"/>
  <c r="FR220" i="1"/>
  <c r="FS219" i="1"/>
  <c r="FR219" i="1"/>
  <c r="FS218" i="1"/>
  <c r="FR218" i="1"/>
  <c r="FS215" i="1"/>
  <c r="FR215" i="1"/>
  <c r="FS214" i="1"/>
  <c r="FR214" i="1"/>
  <c r="FS213" i="1"/>
  <c r="FS212" i="1"/>
  <c r="FR213" i="1"/>
  <c r="FR212" i="1"/>
  <c r="FS205" i="1"/>
  <c r="FR205" i="1"/>
  <c r="FS204" i="1"/>
  <c r="FR204" i="1"/>
  <c r="FS202" i="1"/>
  <c r="FR202" i="1"/>
  <c r="FR201" i="1"/>
  <c r="FR199" i="1"/>
  <c r="FS201" i="1"/>
  <c r="FS199" i="1"/>
  <c r="FS197" i="1"/>
  <c r="FR197" i="1"/>
  <c r="FS196" i="1"/>
  <c r="FR196" i="1"/>
  <c r="FS195" i="1"/>
  <c r="FR195" i="1"/>
  <c r="FS193" i="1"/>
  <c r="FR193" i="1"/>
  <c r="FS191" i="1"/>
  <c r="FR191" i="1"/>
  <c r="FS189" i="1"/>
  <c r="FR189" i="1"/>
  <c r="FS187" i="1"/>
  <c r="FR187" i="1"/>
  <c r="FS185" i="1"/>
  <c r="FR185" i="1"/>
  <c r="FS184" i="1"/>
  <c r="FR184" i="1"/>
  <c r="FS182" i="1"/>
  <c r="FR182" i="1"/>
  <c r="FS180" i="1"/>
  <c r="FS179" i="1"/>
  <c r="FR180" i="1"/>
  <c r="FR179" i="1"/>
  <c r="FS177" i="1"/>
  <c r="FR177" i="1"/>
  <c r="FS176" i="1"/>
  <c r="FR176" i="1"/>
  <c r="FS175" i="1"/>
  <c r="FS174" i="1"/>
  <c r="FR175" i="1"/>
  <c r="FR174" i="1"/>
  <c r="FS170" i="1"/>
  <c r="FR170" i="1"/>
  <c r="FS169" i="1"/>
  <c r="FR169" i="1"/>
  <c r="FS168" i="1"/>
  <c r="FS167" i="1"/>
  <c r="FR168" i="1"/>
  <c r="FR167" i="1"/>
  <c r="FS165" i="1"/>
  <c r="FR165" i="1"/>
  <c r="FS163" i="1"/>
  <c r="FR163" i="1"/>
  <c r="FS162" i="1"/>
  <c r="FR162" i="1"/>
  <c r="FS161" i="1"/>
  <c r="FR161" i="1"/>
  <c r="FS160" i="1"/>
  <c r="FR160" i="1"/>
  <c r="FS159" i="1"/>
  <c r="FR159" i="1"/>
  <c r="FS158" i="1"/>
  <c r="FR158" i="1"/>
  <c r="FS157" i="1"/>
  <c r="FR157" i="1"/>
  <c r="FS156" i="1"/>
  <c r="FR156" i="1"/>
  <c r="FS155" i="1"/>
  <c r="FR155" i="1"/>
  <c r="FS153" i="1"/>
  <c r="FR153" i="1"/>
  <c r="FS152" i="1"/>
  <c r="FR152" i="1"/>
  <c r="FS151" i="1"/>
  <c r="FR151" i="1"/>
  <c r="FS150" i="1"/>
  <c r="FS149" i="1"/>
  <c r="FR150" i="1"/>
  <c r="FR149" i="1"/>
  <c r="FS147" i="1"/>
  <c r="FR147" i="1"/>
  <c r="FS146" i="1"/>
  <c r="FR146" i="1"/>
  <c r="FS145" i="1"/>
  <c r="FR145" i="1"/>
  <c r="FS144" i="1"/>
  <c r="FR144" i="1"/>
  <c r="FS143" i="1"/>
  <c r="FR143" i="1"/>
  <c r="FS142" i="1"/>
  <c r="FR142" i="1"/>
  <c r="FS141" i="1"/>
  <c r="FR141" i="1"/>
  <c r="FS140" i="1"/>
  <c r="FR140" i="1"/>
  <c r="FS139" i="1"/>
  <c r="FR139" i="1"/>
  <c r="FS137" i="1"/>
  <c r="FR137" i="1"/>
  <c r="FS134" i="1"/>
  <c r="FR134" i="1"/>
  <c r="FS133" i="1"/>
  <c r="FR133" i="1"/>
  <c r="FS132" i="1"/>
  <c r="FS131" i="1"/>
  <c r="FR132" i="1"/>
  <c r="FR131" i="1"/>
  <c r="FS129" i="1"/>
  <c r="FR129" i="1"/>
  <c r="FS128" i="1"/>
  <c r="FR128" i="1"/>
  <c r="FS127" i="1"/>
  <c r="FR127" i="1"/>
  <c r="FS126" i="1"/>
  <c r="FR126" i="1"/>
  <c r="FS125" i="1"/>
  <c r="FR125" i="1"/>
  <c r="FS123" i="1"/>
  <c r="FR123" i="1"/>
  <c r="FS122" i="1"/>
  <c r="FR122" i="1"/>
  <c r="FS121" i="1"/>
  <c r="FR121" i="1"/>
  <c r="FS120" i="1"/>
  <c r="FR120" i="1"/>
  <c r="FS119" i="1"/>
  <c r="FR119" i="1"/>
  <c r="FS118" i="1"/>
  <c r="FR118" i="1"/>
  <c r="FS116" i="1"/>
  <c r="FR116" i="1"/>
  <c r="FS115" i="1"/>
  <c r="FR115" i="1"/>
  <c r="FS114" i="1"/>
  <c r="FR114" i="1"/>
  <c r="FS113" i="1"/>
  <c r="FR113" i="1"/>
  <c r="FS112" i="1"/>
  <c r="FR112" i="1"/>
  <c r="FS111" i="1"/>
  <c r="FR111" i="1"/>
  <c r="FS109" i="1"/>
  <c r="FR109" i="1"/>
  <c r="FS108" i="1"/>
  <c r="FR108" i="1"/>
  <c r="FS107" i="1"/>
  <c r="FS106" i="1"/>
  <c r="FR107" i="1"/>
  <c r="FR106" i="1"/>
  <c r="FS102" i="1"/>
  <c r="FR102" i="1"/>
  <c r="FS101" i="1"/>
  <c r="FS95" i="1"/>
  <c r="FS96" i="1"/>
  <c r="FS97" i="1"/>
  <c r="FS98" i="1"/>
  <c r="FS99" i="1"/>
  <c r="FS100" i="1"/>
  <c r="FS94" i="1"/>
  <c r="FR101" i="1"/>
  <c r="FR100" i="1"/>
  <c r="FR99" i="1"/>
  <c r="FR98" i="1"/>
  <c r="FR97" i="1"/>
  <c r="FR96" i="1"/>
  <c r="FR95" i="1"/>
  <c r="FR94" i="1"/>
  <c r="FS92" i="1"/>
  <c r="FS86" i="1"/>
  <c r="FR92" i="1"/>
  <c r="FS91" i="1"/>
  <c r="FR91" i="1"/>
  <c r="FS90" i="1"/>
  <c r="FR90" i="1"/>
  <c r="FS89" i="1"/>
  <c r="FR89" i="1"/>
  <c r="FS88" i="1"/>
  <c r="FR88" i="1"/>
  <c r="FS87" i="1"/>
  <c r="FR87" i="1"/>
  <c r="FR86" i="1"/>
  <c r="FS84" i="1"/>
  <c r="FR84" i="1"/>
  <c r="FS83" i="1"/>
  <c r="FR83" i="1"/>
  <c r="FS82" i="1"/>
  <c r="FR82" i="1"/>
  <c r="FS80" i="1"/>
  <c r="FS79" i="1"/>
  <c r="FS77" i="1"/>
  <c r="FR80" i="1"/>
  <c r="FR77" i="1"/>
  <c r="FR79" i="1"/>
  <c r="FS78" i="1"/>
  <c r="FR78" i="1"/>
  <c r="FS75" i="1"/>
  <c r="FR75" i="1"/>
  <c r="FS74" i="1"/>
  <c r="FR74" i="1"/>
  <c r="FS73" i="1"/>
  <c r="FS72" i="1"/>
  <c r="FR73" i="1"/>
  <c r="FS70" i="1"/>
  <c r="FR70" i="1"/>
  <c r="FS69" i="1"/>
  <c r="FR69" i="1"/>
  <c r="FS68" i="1"/>
  <c r="FS67" i="1"/>
  <c r="FR68" i="1"/>
  <c r="FR67" i="1"/>
  <c r="FS65" i="1"/>
  <c r="FR65" i="1"/>
  <c r="FS64" i="1"/>
  <c r="FS63" i="1"/>
  <c r="FR64" i="1"/>
  <c r="FR63" i="1"/>
  <c r="FS61" i="1"/>
  <c r="FR61" i="1"/>
  <c r="FS59" i="1"/>
  <c r="FR59" i="1"/>
  <c r="FR58" i="1"/>
  <c r="FR52" i="1"/>
  <c r="FS58" i="1"/>
  <c r="FS57" i="1"/>
  <c r="FR57" i="1"/>
  <c r="FS56" i="1"/>
  <c r="FR56" i="1"/>
  <c r="FS55" i="1"/>
  <c r="FR55" i="1"/>
  <c r="FS54" i="1"/>
  <c r="FR54" i="1"/>
  <c r="FS53" i="1"/>
  <c r="FS52" i="1"/>
  <c r="FR53" i="1"/>
  <c r="FS50" i="1"/>
  <c r="FR50" i="1"/>
  <c r="FS49" i="1"/>
  <c r="FR49" i="1"/>
  <c r="FS48" i="1"/>
  <c r="FR48" i="1"/>
  <c r="FS47" i="1"/>
  <c r="FS46" i="1"/>
  <c r="FR47" i="1"/>
  <c r="FR46" i="1"/>
  <c r="FS42" i="1"/>
  <c r="FR42" i="1"/>
  <c r="FS41" i="1"/>
  <c r="FR41" i="1"/>
  <c r="FS36" i="1"/>
  <c r="FR36" i="1"/>
  <c r="FS34" i="1"/>
  <c r="FR34" i="1"/>
  <c r="FS33" i="1"/>
  <c r="FR33" i="1"/>
  <c r="FS32" i="1"/>
  <c r="FR32" i="1"/>
  <c r="FS31" i="1"/>
  <c r="FS30" i="1"/>
  <c r="FR31" i="1"/>
  <c r="FR30" i="1"/>
  <c r="FS28" i="1"/>
  <c r="FR28" i="1"/>
  <c r="FS26" i="1"/>
  <c r="FR26" i="1"/>
  <c r="FS24" i="1"/>
  <c r="FR24" i="1"/>
  <c r="FS23" i="1"/>
  <c r="FR23" i="1"/>
  <c r="FS22" i="1"/>
  <c r="FS21" i="1"/>
  <c r="FR22" i="1"/>
  <c r="FR21" i="1"/>
  <c r="FS19" i="1"/>
  <c r="FR19" i="1"/>
  <c r="FU860" i="1"/>
  <c r="FT860" i="1"/>
  <c r="FU856" i="1"/>
  <c r="FT856" i="1"/>
  <c r="FU845" i="1"/>
  <c r="FT845" i="1"/>
  <c r="FU842" i="1"/>
  <c r="FT842" i="1"/>
  <c r="FU827" i="1"/>
  <c r="FT827" i="1"/>
  <c r="FU790" i="1"/>
  <c r="FT790" i="1"/>
  <c r="FU783" i="1"/>
  <c r="FT783" i="1"/>
  <c r="FU768" i="1"/>
  <c r="FT768" i="1"/>
  <c r="FU742" i="1"/>
  <c r="FT742" i="1"/>
  <c r="FU738" i="1"/>
  <c r="FT738" i="1"/>
  <c r="FU728" i="1"/>
  <c r="FT728" i="1"/>
  <c r="FU725" i="1"/>
  <c r="FT725" i="1"/>
  <c r="FU721" i="1"/>
  <c r="FT721" i="1"/>
  <c r="FU718" i="1"/>
  <c r="FT718" i="1"/>
  <c r="FU711" i="1"/>
  <c r="FT711" i="1"/>
  <c r="FU705" i="1"/>
  <c r="FT705" i="1"/>
  <c r="FU702" i="1"/>
  <c r="FT702" i="1"/>
  <c r="FU699" i="1"/>
  <c r="FT699" i="1"/>
  <c r="FU696" i="1"/>
  <c r="FT696" i="1"/>
  <c r="FU693" i="1"/>
  <c r="FT693" i="1"/>
  <c r="FU685" i="1"/>
  <c r="FT685" i="1"/>
  <c r="FU681" i="1"/>
  <c r="FT681" i="1"/>
  <c r="FU669" i="1"/>
  <c r="FU664" i="1"/>
  <c r="FU662" i="1"/>
  <c r="FT669" i="1"/>
  <c r="FT664" i="1"/>
  <c r="FT662" i="1"/>
  <c r="FU666" i="1"/>
  <c r="FT666" i="1"/>
  <c r="FU655" i="1"/>
  <c r="FT655" i="1"/>
  <c r="FU645" i="1"/>
  <c r="FT645" i="1"/>
  <c r="FU637" i="1"/>
  <c r="FT637" i="1"/>
  <c r="FU634" i="1"/>
  <c r="FT634" i="1"/>
  <c r="FU632" i="1"/>
  <c r="FU630" i="1"/>
  <c r="FU628" i="1"/>
  <c r="FT632" i="1"/>
  <c r="FT630" i="1"/>
  <c r="FT628" i="1"/>
  <c r="FU625" i="1"/>
  <c r="FT625" i="1"/>
  <c r="FU621" i="1"/>
  <c r="FU619" i="1"/>
  <c r="FT621" i="1"/>
  <c r="FT619" i="1"/>
  <c r="FU616" i="1"/>
  <c r="FT616" i="1"/>
  <c r="FU613" i="1"/>
  <c r="FT613" i="1"/>
  <c r="FU611" i="1"/>
  <c r="FU609" i="1"/>
  <c r="FT611" i="1"/>
  <c r="FU606" i="1"/>
  <c r="FT606" i="1"/>
  <c r="FU600" i="1"/>
  <c r="FT600" i="1"/>
  <c r="FU592" i="1"/>
  <c r="FT592" i="1"/>
  <c r="FU585" i="1"/>
  <c r="FT585" i="1"/>
  <c r="FU581" i="1"/>
  <c r="FU579" i="1"/>
  <c r="FU577" i="1"/>
  <c r="FT581" i="1"/>
  <c r="FT579" i="1"/>
  <c r="FT577" i="1"/>
  <c r="FU571" i="1"/>
  <c r="FU569" i="1"/>
  <c r="FU567" i="1"/>
  <c r="FT571" i="1"/>
  <c r="FT569" i="1"/>
  <c r="FT567" i="1"/>
  <c r="FU563" i="1"/>
  <c r="FT563" i="1"/>
  <c r="FU558" i="1"/>
  <c r="FT558" i="1"/>
  <c r="FU555" i="1"/>
  <c r="FT555" i="1"/>
  <c r="FU549" i="1"/>
  <c r="FT549" i="1"/>
  <c r="FU543" i="1"/>
  <c r="FT543" i="1"/>
  <c r="FU541" i="1"/>
  <c r="FT541" i="1"/>
  <c r="FT535" i="1"/>
  <c r="FU532" i="1"/>
  <c r="FT532" i="1"/>
  <c r="FU526" i="1"/>
  <c r="FT526" i="1"/>
  <c r="FU507" i="1"/>
  <c r="FT507" i="1"/>
  <c r="FU505" i="1"/>
  <c r="FT505" i="1"/>
  <c r="FU500" i="1"/>
  <c r="FT500" i="1"/>
  <c r="FU488" i="1"/>
  <c r="FT488" i="1"/>
  <c r="FU482" i="1"/>
  <c r="FT482" i="1"/>
  <c r="FU472" i="1"/>
  <c r="FT472" i="1"/>
  <c r="FU464" i="1"/>
  <c r="FT464" i="1"/>
  <c r="FU458" i="1"/>
  <c r="FT458" i="1"/>
  <c r="FU451" i="1"/>
  <c r="FT451" i="1"/>
  <c r="FU444" i="1"/>
  <c r="FT444" i="1"/>
  <c r="FU439" i="1"/>
  <c r="FT439" i="1"/>
  <c r="FU437" i="1"/>
  <c r="FT437" i="1"/>
  <c r="FU427" i="1"/>
  <c r="FT427" i="1"/>
  <c r="FU419" i="1"/>
  <c r="FT419" i="1"/>
  <c r="FU416" i="1"/>
  <c r="FT416" i="1"/>
  <c r="FU411" i="1"/>
  <c r="FT411" i="1"/>
  <c r="FU406" i="1"/>
  <c r="FT406" i="1"/>
  <c r="FU401" i="1"/>
  <c r="FT401" i="1"/>
  <c r="FU397" i="1"/>
  <c r="FT397" i="1"/>
  <c r="FU386" i="1"/>
  <c r="FT386" i="1"/>
  <c r="FU380" i="1"/>
  <c r="FT380" i="1"/>
  <c r="FT378" i="1"/>
  <c r="FU375" i="1"/>
  <c r="FT375" i="1"/>
  <c r="FU368" i="1"/>
  <c r="FU366" i="1"/>
  <c r="FT368" i="1"/>
  <c r="FT366" i="1"/>
  <c r="FU361" i="1"/>
  <c r="FT361" i="1"/>
  <c r="FU358" i="1"/>
  <c r="FT358" i="1"/>
  <c r="FU354" i="1"/>
  <c r="FT354" i="1"/>
  <c r="FU347" i="1"/>
  <c r="FT347" i="1"/>
  <c r="FU329" i="1"/>
  <c r="FT329" i="1"/>
  <c r="FU326" i="1"/>
  <c r="FT326" i="1"/>
  <c r="FU322" i="1"/>
  <c r="FT322" i="1"/>
  <c r="FU319" i="1"/>
  <c r="FT319" i="1"/>
  <c r="FU316" i="1"/>
  <c r="FT316" i="1"/>
  <c r="FU313" i="1"/>
  <c r="FT313" i="1"/>
  <c r="FU310" i="1"/>
  <c r="FU308" i="1"/>
  <c r="FT310" i="1"/>
  <c r="FT308" i="1"/>
  <c r="FU305" i="1"/>
  <c r="FT305" i="1"/>
  <c r="FU302" i="1"/>
  <c r="FT302" i="1"/>
  <c r="FU298" i="1"/>
  <c r="FT298" i="1"/>
  <c r="FU293" i="1"/>
  <c r="FT293" i="1"/>
  <c r="FU288" i="1"/>
  <c r="FT288" i="1"/>
  <c r="FU279" i="1"/>
  <c r="FT279" i="1"/>
  <c r="FU275" i="1"/>
  <c r="FT275" i="1"/>
  <c r="FU267" i="1"/>
  <c r="FT267" i="1"/>
  <c r="FU259" i="1"/>
  <c r="FT259" i="1"/>
  <c r="FU251" i="1"/>
  <c r="FT251" i="1"/>
  <c r="FU246" i="1"/>
  <c r="FT246" i="1"/>
  <c r="FU244" i="1"/>
  <c r="FT244" i="1"/>
  <c r="FU238" i="1"/>
  <c r="FT238" i="1"/>
  <c r="FU237" i="1"/>
  <c r="FU236" i="1"/>
  <c r="FT237" i="1"/>
  <c r="FT236" i="1"/>
  <c r="FU234" i="1"/>
  <c r="FT234" i="1"/>
  <c r="FU233" i="1"/>
  <c r="FT233" i="1"/>
  <c r="FU231" i="1"/>
  <c r="FU230" i="1"/>
  <c r="FT231" i="1"/>
  <c r="FT230" i="1"/>
  <c r="FU228" i="1"/>
  <c r="FU227" i="1"/>
  <c r="FT228" i="1"/>
  <c r="FT227" i="1"/>
  <c r="FU225" i="1"/>
  <c r="FU224" i="1"/>
  <c r="FT225" i="1"/>
  <c r="FT224" i="1"/>
  <c r="FU222" i="1"/>
  <c r="FT222" i="1"/>
  <c r="FU221" i="1"/>
  <c r="FT221" i="1"/>
  <c r="FU220" i="1"/>
  <c r="FT220" i="1"/>
  <c r="FU219" i="1"/>
  <c r="FT219" i="1"/>
  <c r="FU218" i="1"/>
  <c r="FT218" i="1"/>
  <c r="FU215" i="1"/>
  <c r="FT215" i="1"/>
  <c r="FU214" i="1"/>
  <c r="FT214" i="1"/>
  <c r="FU213" i="1"/>
  <c r="FU212" i="1"/>
  <c r="FT213" i="1"/>
  <c r="FT212" i="1"/>
  <c r="FU205" i="1"/>
  <c r="FT205" i="1"/>
  <c r="FU204" i="1"/>
  <c r="FT204" i="1"/>
  <c r="FU202" i="1"/>
  <c r="FU201" i="1"/>
  <c r="FU199" i="1"/>
  <c r="FT202" i="1"/>
  <c r="FT201" i="1"/>
  <c r="FT199" i="1"/>
  <c r="FU197" i="1"/>
  <c r="FT197" i="1"/>
  <c r="FU196" i="1"/>
  <c r="FT196" i="1"/>
  <c r="FU195" i="1"/>
  <c r="FT195" i="1"/>
  <c r="FU193" i="1"/>
  <c r="FT193" i="1"/>
  <c r="FU191" i="1"/>
  <c r="FT191" i="1"/>
  <c r="FU189" i="1"/>
  <c r="FT189" i="1"/>
  <c r="FU187" i="1"/>
  <c r="FT187" i="1"/>
  <c r="FU185" i="1"/>
  <c r="FT185" i="1"/>
  <c r="FU184" i="1"/>
  <c r="FT184" i="1"/>
  <c r="FU182" i="1"/>
  <c r="FT182" i="1"/>
  <c r="FU180" i="1"/>
  <c r="FU179" i="1"/>
  <c r="FT180" i="1"/>
  <c r="FT179" i="1"/>
  <c r="FU177" i="1"/>
  <c r="FT177" i="1"/>
  <c r="FU176" i="1"/>
  <c r="FT176" i="1"/>
  <c r="FU175" i="1"/>
  <c r="FU174" i="1"/>
  <c r="FT175" i="1"/>
  <c r="FT174" i="1"/>
  <c r="FU170" i="1"/>
  <c r="FT170" i="1"/>
  <c r="FU169" i="1"/>
  <c r="FT169" i="1"/>
  <c r="FU168" i="1"/>
  <c r="FU167" i="1"/>
  <c r="FT168" i="1"/>
  <c r="FT167" i="1"/>
  <c r="FU165" i="1"/>
  <c r="FT165" i="1"/>
  <c r="FU163" i="1"/>
  <c r="FT163" i="1"/>
  <c r="FU162" i="1"/>
  <c r="FT162" i="1"/>
  <c r="FU161" i="1"/>
  <c r="FT161" i="1"/>
  <c r="FU160" i="1"/>
  <c r="FT160" i="1"/>
  <c r="FU159" i="1"/>
  <c r="FT159" i="1"/>
  <c r="FU158" i="1"/>
  <c r="FT158" i="1"/>
  <c r="FU157" i="1"/>
  <c r="FT157" i="1"/>
  <c r="FU156" i="1"/>
  <c r="FT156" i="1"/>
  <c r="FU155" i="1"/>
  <c r="FT155" i="1"/>
  <c r="FU153" i="1"/>
  <c r="FT153" i="1"/>
  <c r="FU152" i="1"/>
  <c r="FT152" i="1"/>
  <c r="FU151" i="1"/>
  <c r="FT151" i="1"/>
  <c r="FU150" i="1"/>
  <c r="FU149" i="1"/>
  <c r="FT150" i="1"/>
  <c r="FT149" i="1"/>
  <c r="FU147" i="1"/>
  <c r="FT147" i="1"/>
  <c r="FU146" i="1"/>
  <c r="FT146" i="1"/>
  <c r="FU145" i="1"/>
  <c r="FT145" i="1"/>
  <c r="FU144" i="1"/>
  <c r="FT144" i="1"/>
  <c r="FU143" i="1"/>
  <c r="FT143" i="1"/>
  <c r="FU142" i="1"/>
  <c r="FT142" i="1"/>
  <c r="FU141" i="1"/>
  <c r="FT141" i="1"/>
  <c r="FU140" i="1"/>
  <c r="FT140" i="1"/>
  <c r="FU139" i="1"/>
  <c r="FT139" i="1"/>
  <c r="FU137" i="1"/>
  <c r="FT137" i="1"/>
  <c r="FU134" i="1"/>
  <c r="FT134" i="1"/>
  <c r="FU133" i="1"/>
  <c r="FT133" i="1"/>
  <c r="FU132" i="1"/>
  <c r="FT132" i="1"/>
  <c r="FT131" i="1"/>
  <c r="FU129" i="1"/>
  <c r="FT129" i="1"/>
  <c r="FU128" i="1"/>
  <c r="FT128" i="1"/>
  <c r="FU127" i="1"/>
  <c r="FT127" i="1"/>
  <c r="FU126" i="1"/>
  <c r="FT126" i="1"/>
  <c r="FU125" i="1"/>
  <c r="FT125" i="1"/>
  <c r="FU123" i="1"/>
  <c r="FT123" i="1"/>
  <c r="FU122" i="1"/>
  <c r="FT122" i="1"/>
  <c r="FU121" i="1"/>
  <c r="FT121" i="1"/>
  <c r="FU120" i="1"/>
  <c r="FT120" i="1"/>
  <c r="FU119" i="1"/>
  <c r="FT119" i="1"/>
  <c r="FU118" i="1"/>
  <c r="FT118" i="1"/>
  <c r="FU116" i="1"/>
  <c r="FT116" i="1"/>
  <c r="FU115" i="1"/>
  <c r="FT115" i="1"/>
  <c r="FU114" i="1"/>
  <c r="FT114" i="1"/>
  <c r="FU113" i="1"/>
  <c r="FT113" i="1"/>
  <c r="FU112" i="1"/>
  <c r="FT112" i="1"/>
  <c r="FU111" i="1"/>
  <c r="FT111" i="1"/>
  <c r="FU109" i="1"/>
  <c r="FT109" i="1"/>
  <c r="FU108" i="1"/>
  <c r="FT108" i="1"/>
  <c r="FU107" i="1"/>
  <c r="FU106" i="1"/>
  <c r="FT107" i="1"/>
  <c r="FT106" i="1"/>
  <c r="FU102" i="1"/>
  <c r="FT102" i="1"/>
  <c r="FU101" i="1"/>
  <c r="FU95" i="1"/>
  <c r="FU96" i="1"/>
  <c r="FU97" i="1"/>
  <c r="FU98" i="1"/>
  <c r="FU99" i="1"/>
  <c r="FU100" i="1"/>
  <c r="FU94" i="1"/>
  <c r="FT101" i="1"/>
  <c r="FT94" i="1"/>
  <c r="FT100" i="1"/>
  <c r="FT99" i="1"/>
  <c r="FT98" i="1"/>
  <c r="FT97" i="1"/>
  <c r="FT96" i="1"/>
  <c r="FT95" i="1"/>
  <c r="FU92" i="1"/>
  <c r="FT92" i="1"/>
  <c r="FU91" i="1"/>
  <c r="FT91" i="1"/>
  <c r="FU90" i="1"/>
  <c r="FT90" i="1"/>
  <c r="FU89" i="1"/>
  <c r="FT89" i="1"/>
  <c r="FU88" i="1"/>
  <c r="FT88" i="1"/>
  <c r="FU87" i="1"/>
  <c r="FU86" i="1"/>
  <c r="FT87" i="1"/>
  <c r="FT86" i="1"/>
  <c r="FU84" i="1"/>
  <c r="FT84" i="1"/>
  <c r="FU83" i="1"/>
  <c r="FT83" i="1"/>
  <c r="FU82" i="1"/>
  <c r="FT82" i="1"/>
  <c r="FU80" i="1"/>
  <c r="FT80" i="1"/>
  <c r="FU79" i="1"/>
  <c r="FT79" i="1"/>
  <c r="FU78" i="1"/>
  <c r="FT78" i="1"/>
  <c r="FU77" i="1"/>
  <c r="FT77" i="1"/>
  <c r="FU75" i="1"/>
  <c r="FT75" i="1"/>
  <c r="FU74" i="1"/>
  <c r="FT74" i="1"/>
  <c r="FU73" i="1"/>
  <c r="FT73" i="1"/>
  <c r="FT72" i="1"/>
  <c r="FU70" i="1"/>
  <c r="FU67" i="1"/>
  <c r="FT70" i="1"/>
  <c r="FT67" i="1"/>
  <c r="FU69" i="1"/>
  <c r="FT69" i="1"/>
  <c r="FU68" i="1"/>
  <c r="FT68" i="1"/>
  <c r="FU65" i="1"/>
  <c r="FT65" i="1"/>
  <c r="FU64" i="1"/>
  <c r="FU63" i="1"/>
  <c r="FT64" i="1"/>
  <c r="FT63" i="1"/>
  <c r="FU61" i="1"/>
  <c r="FT61" i="1"/>
  <c r="FU59" i="1"/>
  <c r="FT59" i="1"/>
  <c r="FU58" i="1"/>
  <c r="FT58" i="1"/>
  <c r="FU57" i="1"/>
  <c r="FT57" i="1"/>
  <c r="FU56" i="1"/>
  <c r="FT56" i="1"/>
  <c r="FU55" i="1"/>
  <c r="FT55" i="1"/>
  <c r="FU54" i="1"/>
  <c r="FT54" i="1"/>
  <c r="FU53" i="1"/>
  <c r="FU52" i="1"/>
  <c r="FT53" i="1"/>
  <c r="FT52" i="1"/>
  <c r="FU50" i="1"/>
  <c r="FT50" i="1"/>
  <c r="FU49" i="1"/>
  <c r="FT49" i="1"/>
  <c r="FU48" i="1"/>
  <c r="FT48" i="1"/>
  <c r="FU47" i="1"/>
  <c r="FU46" i="1"/>
  <c r="FT47" i="1"/>
  <c r="FT46" i="1"/>
  <c r="FU42" i="1"/>
  <c r="FT42" i="1"/>
  <c r="FU41" i="1"/>
  <c r="FT41" i="1"/>
  <c r="FU36" i="1"/>
  <c r="FT36" i="1"/>
  <c r="FU34" i="1"/>
  <c r="FT34" i="1"/>
  <c r="FU33" i="1"/>
  <c r="FT33" i="1"/>
  <c r="FU32" i="1"/>
  <c r="FT32" i="1"/>
  <c r="FU31" i="1"/>
  <c r="FU30" i="1"/>
  <c r="FT31" i="1"/>
  <c r="FT30" i="1"/>
  <c r="FU28" i="1"/>
  <c r="FT28" i="1"/>
  <c r="FU26" i="1"/>
  <c r="FT26" i="1"/>
  <c r="FU24" i="1"/>
  <c r="FT24" i="1"/>
  <c r="FU23" i="1"/>
  <c r="FT23" i="1"/>
  <c r="FU22" i="1"/>
  <c r="FU21" i="1"/>
  <c r="FT22" i="1"/>
  <c r="FT21" i="1"/>
  <c r="FU19" i="1"/>
  <c r="FT19" i="1"/>
  <c r="FT14" i="1"/>
  <c r="FW860" i="1"/>
  <c r="FV860" i="1"/>
  <c r="FW856" i="1"/>
  <c r="FV856" i="1"/>
  <c r="FW845" i="1"/>
  <c r="FV845" i="1"/>
  <c r="FW842" i="1"/>
  <c r="FV842" i="1"/>
  <c r="FW827" i="1"/>
  <c r="FV827" i="1"/>
  <c r="FW790" i="1"/>
  <c r="FV790" i="1"/>
  <c r="FW783" i="1"/>
  <c r="FV783" i="1"/>
  <c r="FW768" i="1"/>
  <c r="FV768" i="1"/>
  <c r="FW742" i="1"/>
  <c r="FV742" i="1"/>
  <c r="FW738" i="1"/>
  <c r="FV738" i="1"/>
  <c r="FW728" i="1"/>
  <c r="FV728" i="1"/>
  <c r="FW725" i="1"/>
  <c r="FV725" i="1"/>
  <c r="FW718" i="1"/>
  <c r="FV718" i="1"/>
  <c r="FW711" i="1"/>
  <c r="FV711" i="1"/>
  <c r="FW705" i="1"/>
  <c r="FV705" i="1"/>
  <c r="FW702" i="1"/>
  <c r="FV702" i="1"/>
  <c r="FW699" i="1"/>
  <c r="FV699" i="1"/>
  <c r="FW696" i="1"/>
  <c r="FV696" i="1"/>
  <c r="FW693" i="1"/>
  <c r="FV693" i="1"/>
  <c r="FW685" i="1"/>
  <c r="FV685" i="1"/>
  <c r="FW681" i="1"/>
  <c r="FV681" i="1"/>
  <c r="FW669" i="1"/>
  <c r="FW664" i="1"/>
  <c r="FW662" i="1"/>
  <c r="FV669" i="1"/>
  <c r="FV664" i="1"/>
  <c r="FW666" i="1"/>
  <c r="FV666" i="1"/>
  <c r="FW655" i="1"/>
  <c r="FV655" i="1"/>
  <c r="FW645" i="1"/>
  <c r="FV645" i="1"/>
  <c r="FW637" i="1"/>
  <c r="FV637" i="1"/>
  <c r="FW634" i="1"/>
  <c r="FW632" i="1"/>
  <c r="FW630" i="1"/>
  <c r="FW628" i="1"/>
  <c r="FV634" i="1"/>
  <c r="FV632" i="1"/>
  <c r="FV630" i="1"/>
  <c r="FV628" i="1"/>
  <c r="FW625" i="1"/>
  <c r="FV625" i="1"/>
  <c r="FW621" i="1"/>
  <c r="FV621" i="1"/>
  <c r="FW619" i="1"/>
  <c r="FV619" i="1"/>
  <c r="FW616" i="1"/>
  <c r="FV616" i="1"/>
  <c r="FW613" i="1"/>
  <c r="FV613" i="1"/>
  <c r="FV611" i="1"/>
  <c r="FV609" i="1"/>
  <c r="FW606" i="1"/>
  <c r="FV606" i="1"/>
  <c r="FW600" i="1"/>
  <c r="FV600" i="1"/>
  <c r="FW592" i="1"/>
  <c r="FV592" i="1"/>
  <c r="FW585" i="1"/>
  <c r="FV585" i="1"/>
  <c r="FW581" i="1"/>
  <c r="FV581" i="1"/>
  <c r="FW579" i="1"/>
  <c r="FV579" i="1"/>
  <c r="FW571" i="1"/>
  <c r="FV571" i="1"/>
  <c r="FW569" i="1"/>
  <c r="FW567" i="1"/>
  <c r="FV569" i="1"/>
  <c r="FV567" i="1"/>
  <c r="FW563" i="1"/>
  <c r="FV563" i="1"/>
  <c r="FW558" i="1"/>
  <c r="FV558" i="1"/>
  <c r="FW555" i="1"/>
  <c r="FV555" i="1"/>
  <c r="FW549" i="1"/>
  <c r="FV549" i="1"/>
  <c r="FW543" i="1"/>
  <c r="FV543" i="1"/>
  <c r="FW535" i="1"/>
  <c r="FV535" i="1"/>
  <c r="FW532" i="1"/>
  <c r="FV532" i="1"/>
  <c r="FW526" i="1"/>
  <c r="FV526" i="1"/>
  <c r="FW507" i="1"/>
  <c r="FW505" i="1"/>
  <c r="FV507" i="1"/>
  <c r="FV505" i="1"/>
  <c r="FW500" i="1"/>
  <c r="FV500" i="1"/>
  <c r="FW488" i="1"/>
  <c r="FV488" i="1"/>
  <c r="FW482" i="1"/>
  <c r="FV482" i="1"/>
  <c r="FW472" i="1"/>
  <c r="FV472" i="1"/>
  <c r="FW464" i="1"/>
  <c r="FV464" i="1"/>
  <c r="FW458" i="1"/>
  <c r="FV458" i="1"/>
  <c r="FW451" i="1"/>
  <c r="FV451" i="1"/>
  <c r="FW444" i="1"/>
  <c r="FV444" i="1"/>
  <c r="FW439" i="1"/>
  <c r="FV439" i="1"/>
  <c r="FW427" i="1"/>
  <c r="FV427" i="1"/>
  <c r="FW419" i="1"/>
  <c r="FV419" i="1"/>
  <c r="FW416" i="1"/>
  <c r="FV416" i="1"/>
  <c r="FW411" i="1"/>
  <c r="FV411" i="1"/>
  <c r="FW406" i="1"/>
  <c r="FV406" i="1"/>
  <c r="FW401" i="1"/>
  <c r="FV401" i="1"/>
  <c r="FW397" i="1"/>
  <c r="FV397" i="1"/>
  <c r="FW386" i="1"/>
  <c r="FV386" i="1"/>
  <c r="FW380" i="1"/>
  <c r="FV380" i="1"/>
  <c r="FW375" i="1"/>
  <c r="FV375" i="1"/>
  <c r="FW368" i="1"/>
  <c r="FV368" i="1"/>
  <c r="FW366" i="1"/>
  <c r="FV366" i="1"/>
  <c r="FW361" i="1"/>
  <c r="FV361" i="1"/>
  <c r="FW358" i="1"/>
  <c r="FV358" i="1"/>
  <c r="FW354" i="1"/>
  <c r="FV354" i="1"/>
  <c r="FW347" i="1"/>
  <c r="FV347" i="1"/>
  <c r="FW329" i="1"/>
  <c r="FV329" i="1"/>
  <c r="FW326" i="1"/>
  <c r="FV326" i="1"/>
  <c r="FW322" i="1"/>
  <c r="FV322" i="1"/>
  <c r="FW319" i="1"/>
  <c r="FV319" i="1"/>
  <c r="FW316" i="1"/>
  <c r="FV316" i="1"/>
  <c r="FW313" i="1"/>
  <c r="FV313" i="1"/>
  <c r="FW310" i="1"/>
  <c r="FV310" i="1"/>
  <c r="FV308" i="1"/>
  <c r="FW308" i="1"/>
  <c r="FW305" i="1"/>
  <c r="FV305" i="1"/>
  <c r="FW302" i="1"/>
  <c r="FV302" i="1"/>
  <c r="FW298" i="1"/>
  <c r="FV298" i="1"/>
  <c r="FW293" i="1"/>
  <c r="FV293" i="1"/>
  <c r="FW288" i="1"/>
  <c r="FV288" i="1"/>
  <c r="FW279" i="1"/>
  <c r="FV279" i="1"/>
  <c r="FW275" i="1"/>
  <c r="FV275" i="1"/>
  <c r="FW267" i="1"/>
  <c r="FV267" i="1"/>
  <c r="FW259" i="1"/>
  <c r="FV259" i="1"/>
  <c r="FW251" i="1"/>
  <c r="FV251" i="1"/>
  <c r="FW246" i="1"/>
  <c r="FW244" i="1"/>
  <c r="FV246" i="1"/>
  <c r="FV244" i="1"/>
  <c r="FW238" i="1"/>
  <c r="FV238" i="1"/>
  <c r="FW237" i="1"/>
  <c r="FV237" i="1"/>
  <c r="FW236" i="1"/>
  <c r="FV236" i="1"/>
  <c r="FW234" i="1"/>
  <c r="FV234" i="1"/>
  <c r="FW233" i="1"/>
  <c r="FV233" i="1"/>
  <c r="FW231" i="1"/>
  <c r="FV231" i="1"/>
  <c r="FW230" i="1"/>
  <c r="FV230" i="1"/>
  <c r="FW228" i="1"/>
  <c r="FV228" i="1"/>
  <c r="FW227" i="1"/>
  <c r="FV227" i="1"/>
  <c r="FW225" i="1"/>
  <c r="FV225" i="1"/>
  <c r="FW224" i="1"/>
  <c r="FV224" i="1"/>
  <c r="FW222" i="1"/>
  <c r="FV222" i="1"/>
  <c r="FW221" i="1"/>
  <c r="FV221" i="1"/>
  <c r="FW220" i="1"/>
  <c r="FV220" i="1"/>
  <c r="FW219" i="1"/>
  <c r="FW218" i="1"/>
  <c r="FV219" i="1"/>
  <c r="FV218" i="1"/>
  <c r="FW215" i="1"/>
  <c r="FV215" i="1"/>
  <c r="FW214" i="1"/>
  <c r="FV214" i="1"/>
  <c r="FW213" i="1"/>
  <c r="FW212" i="1"/>
  <c r="FV213" i="1"/>
  <c r="FV212" i="1"/>
  <c r="FW205" i="1"/>
  <c r="FW204" i="1"/>
  <c r="FV205" i="1"/>
  <c r="FV204" i="1"/>
  <c r="FW202" i="1"/>
  <c r="FW201" i="1"/>
  <c r="FV202" i="1"/>
  <c r="FV201" i="1"/>
  <c r="FW197" i="1"/>
  <c r="FV197" i="1"/>
  <c r="FW196" i="1"/>
  <c r="FW195" i="1"/>
  <c r="FV196" i="1"/>
  <c r="FV195" i="1"/>
  <c r="FW193" i="1"/>
  <c r="FV193" i="1"/>
  <c r="FW191" i="1"/>
  <c r="FV191" i="1"/>
  <c r="FW189" i="1"/>
  <c r="FV189" i="1"/>
  <c r="FW187" i="1"/>
  <c r="FV187" i="1"/>
  <c r="FW185" i="1"/>
  <c r="FW184" i="1"/>
  <c r="FV185" i="1"/>
  <c r="FV184" i="1"/>
  <c r="FW182" i="1"/>
  <c r="FV182" i="1"/>
  <c r="FW180" i="1"/>
  <c r="FV180" i="1"/>
  <c r="FW179" i="1"/>
  <c r="FV179" i="1"/>
  <c r="FW177" i="1"/>
  <c r="FV177" i="1"/>
  <c r="FW176" i="1"/>
  <c r="FV176" i="1"/>
  <c r="FW175" i="1"/>
  <c r="FV175" i="1"/>
  <c r="FW174" i="1"/>
  <c r="FV174" i="1"/>
  <c r="FW170" i="1"/>
  <c r="FV170" i="1"/>
  <c r="FW169" i="1"/>
  <c r="FV169" i="1"/>
  <c r="FW168" i="1"/>
  <c r="FW167" i="1"/>
  <c r="FV168" i="1"/>
  <c r="FV167" i="1"/>
  <c r="FW165" i="1"/>
  <c r="FV165" i="1"/>
  <c r="FW163" i="1"/>
  <c r="FV163" i="1"/>
  <c r="FW162" i="1"/>
  <c r="FV162" i="1"/>
  <c r="FW161" i="1"/>
  <c r="FV161" i="1"/>
  <c r="FW160" i="1"/>
  <c r="FW155" i="1"/>
  <c r="FV160" i="1"/>
  <c r="FW159" i="1"/>
  <c r="FV159" i="1"/>
  <c r="FW158" i="1"/>
  <c r="FV158" i="1"/>
  <c r="FW157" i="1"/>
  <c r="FV157" i="1"/>
  <c r="FW156" i="1"/>
  <c r="FV156" i="1"/>
  <c r="FV155" i="1"/>
  <c r="FW153" i="1"/>
  <c r="FV153" i="1"/>
  <c r="FW152" i="1"/>
  <c r="FV152" i="1"/>
  <c r="FW151" i="1"/>
  <c r="FV151" i="1"/>
  <c r="FW150" i="1"/>
  <c r="FV150" i="1"/>
  <c r="FW149" i="1"/>
  <c r="FV149" i="1"/>
  <c r="FW147" i="1"/>
  <c r="FV147" i="1"/>
  <c r="FW146" i="1"/>
  <c r="FV146" i="1"/>
  <c r="FW145" i="1"/>
  <c r="FV145" i="1"/>
  <c r="FW144" i="1"/>
  <c r="FV144" i="1"/>
  <c r="FW143" i="1"/>
  <c r="FV143" i="1"/>
  <c r="FW142" i="1"/>
  <c r="FV142" i="1"/>
  <c r="FW141" i="1"/>
  <c r="FV141" i="1"/>
  <c r="FW140" i="1"/>
  <c r="FV140" i="1"/>
  <c r="FV139" i="1"/>
  <c r="FW137" i="1"/>
  <c r="FV137" i="1"/>
  <c r="FW134" i="1"/>
  <c r="FV134" i="1"/>
  <c r="FW133" i="1"/>
  <c r="FV133" i="1"/>
  <c r="FW132" i="1"/>
  <c r="FW131" i="1"/>
  <c r="FV132" i="1"/>
  <c r="FV131" i="1"/>
  <c r="FW129" i="1"/>
  <c r="FV129" i="1"/>
  <c r="FW128" i="1"/>
  <c r="FV128" i="1"/>
  <c r="FW127" i="1"/>
  <c r="FV127" i="1"/>
  <c r="FW126" i="1"/>
  <c r="FW125" i="1"/>
  <c r="FV126" i="1"/>
  <c r="FV125" i="1"/>
  <c r="FW123" i="1"/>
  <c r="FV123" i="1"/>
  <c r="FW122" i="1"/>
  <c r="FV122" i="1"/>
  <c r="FW121" i="1"/>
  <c r="FV121" i="1"/>
  <c r="FW120" i="1"/>
  <c r="FV120" i="1"/>
  <c r="FW119" i="1"/>
  <c r="FW118" i="1"/>
  <c r="FV119" i="1"/>
  <c r="FV118" i="1"/>
  <c r="FW116" i="1"/>
  <c r="FV116" i="1"/>
  <c r="FW115" i="1"/>
  <c r="FV115" i="1"/>
  <c r="FW114" i="1"/>
  <c r="FV114" i="1"/>
  <c r="FW113" i="1"/>
  <c r="FV113" i="1"/>
  <c r="FW112" i="1"/>
  <c r="FW111" i="1"/>
  <c r="FV112" i="1"/>
  <c r="FV111" i="1"/>
  <c r="FW109" i="1"/>
  <c r="FV109" i="1"/>
  <c r="FW108" i="1"/>
  <c r="FV108" i="1"/>
  <c r="FW107" i="1"/>
  <c r="FW106" i="1"/>
  <c r="FV107" i="1"/>
  <c r="FV106" i="1"/>
  <c r="FW102" i="1"/>
  <c r="FV102" i="1"/>
  <c r="FW101" i="1"/>
  <c r="FV101" i="1"/>
  <c r="FV94" i="1"/>
  <c r="FW100" i="1"/>
  <c r="FV100" i="1"/>
  <c r="FW99" i="1"/>
  <c r="FV99" i="1"/>
  <c r="FW98" i="1"/>
  <c r="FV98" i="1"/>
  <c r="FW97" i="1"/>
  <c r="FV97" i="1"/>
  <c r="FW96" i="1"/>
  <c r="FV96" i="1"/>
  <c r="FW95" i="1"/>
  <c r="FW94" i="1"/>
  <c r="FV95" i="1"/>
  <c r="FW92" i="1"/>
  <c r="FV92" i="1"/>
  <c r="FW91" i="1"/>
  <c r="FV91" i="1"/>
  <c r="FW90" i="1"/>
  <c r="FV90" i="1"/>
  <c r="FW89" i="1"/>
  <c r="FV89" i="1"/>
  <c r="FW88" i="1"/>
  <c r="FV88" i="1"/>
  <c r="FW87" i="1"/>
  <c r="FV87" i="1"/>
  <c r="FW86" i="1"/>
  <c r="FV86" i="1"/>
  <c r="FW84" i="1"/>
  <c r="FV84" i="1"/>
  <c r="FW83" i="1"/>
  <c r="FW82" i="1"/>
  <c r="FV83" i="1"/>
  <c r="FV82" i="1"/>
  <c r="FW80" i="1"/>
  <c r="FV80" i="1"/>
  <c r="FV77" i="1"/>
  <c r="FW79" i="1"/>
  <c r="FV79" i="1"/>
  <c r="FW78" i="1"/>
  <c r="FW77" i="1"/>
  <c r="FV78" i="1"/>
  <c r="FW75" i="1"/>
  <c r="FV75" i="1"/>
  <c r="FW74" i="1"/>
  <c r="FV74" i="1"/>
  <c r="FW73" i="1"/>
  <c r="FV73" i="1"/>
  <c r="FV72" i="1"/>
  <c r="FW70" i="1"/>
  <c r="FV70" i="1"/>
  <c r="FV67" i="1"/>
  <c r="FW69" i="1"/>
  <c r="FV69" i="1"/>
  <c r="FW68" i="1"/>
  <c r="FV68" i="1"/>
  <c r="FW65" i="1"/>
  <c r="FV65" i="1"/>
  <c r="FW64" i="1"/>
  <c r="FW63" i="1"/>
  <c r="FV64" i="1"/>
  <c r="FV63" i="1"/>
  <c r="FW61" i="1"/>
  <c r="FV61" i="1"/>
  <c r="FW59" i="1"/>
  <c r="FV59" i="1"/>
  <c r="FW58" i="1"/>
  <c r="FV58" i="1"/>
  <c r="FW57" i="1"/>
  <c r="FV57" i="1"/>
  <c r="FW56" i="1"/>
  <c r="FV56" i="1"/>
  <c r="FW55" i="1"/>
  <c r="FV55" i="1"/>
  <c r="FW54" i="1"/>
  <c r="FV54" i="1"/>
  <c r="FW53" i="1"/>
  <c r="FW52" i="1"/>
  <c r="FV53" i="1"/>
  <c r="FV52" i="1"/>
  <c r="FW50" i="1"/>
  <c r="FV50" i="1"/>
  <c r="FW49" i="1"/>
  <c r="FV49" i="1"/>
  <c r="FW48" i="1"/>
  <c r="FV48" i="1"/>
  <c r="FW47" i="1"/>
  <c r="FV47" i="1"/>
  <c r="FW46" i="1"/>
  <c r="FV46" i="1"/>
  <c r="FW42" i="1"/>
  <c r="FV42" i="1"/>
  <c r="FW41" i="1"/>
  <c r="FV41" i="1"/>
  <c r="FW36" i="1"/>
  <c r="FV36" i="1"/>
  <c r="FW34" i="1"/>
  <c r="FV34" i="1"/>
  <c r="FW33" i="1"/>
  <c r="FV33" i="1"/>
  <c r="FW32" i="1"/>
  <c r="FV32" i="1"/>
  <c r="FW31" i="1"/>
  <c r="FV31" i="1"/>
  <c r="FW30" i="1"/>
  <c r="FV30" i="1"/>
  <c r="FW28" i="1"/>
  <c r="FV28" i="1"/>
  <c r="FW26" i="1"/>
  <c r="FV26" i="1"/>
  <c r="FW24" i="1"/>
  <c r="FV24" i="1"/>
  <c r="FW23" i="1"/>
  <c r="FV23" i="1"/>
  <c r="FW22" i="1"/>
  <c r="FV22" i="1"/>
  <c r="FW21" i="1"/>
  <c r="FV21" i="1"/>
  <c r="FW19" i="1"/>
  <c r="FV19" i="1"/>
  <c r="FV38" i="1"/>
  <c r="FV14" i="1"/>
  <c r="FY860" i="1"/>
  <c r="FX860" i="1"/>
  <c r="FY856" i="1"/>
  <c r="FX856" i="1"/>
  <c r="FY845" i="1"/>
  <c r="FX845" i="1"/>
  <c r="FY842" i="1"/>
  <c r="FX842" i="1"/>
  <c r="FY827" i="1"/>
  <c r="FX827" i="1"/>
  <c r="FY790" i="1"/>
  <c r="FX790" i="1"/>
  <c r="FY783" i="1"/>
  <c r="FX783" i="1"/>
  <c r="FY768" i="1"/>
  <c r="FX768" i="1"/>
  <c r="FY742" i="1"/>
  <c r="FX742" i="1"/>
  <c r="FY738" i="1"/>
  <c r="FX738" i="1"/>
  <c r="FY728" i="1"/>
  <c r="FX728" i="1"/>
  <c r="FY725" i="1"/>
  <c r="FX725" i="1"/>
  <c r="FY718" i="1"/>
  <c r="FX718" i="1"/>
  <c r="FY711" i="1"/>
  <c r="FX711" i="1"/>
  <c r="FY705" i="1"/>
  <c r="FX705" i="1"/>
  <c r="FY702" i="1"/>
  <c r="FX702" i="1"/>
  <c r="FY699" i="1"/>
  <c r="FX699" i="1"/>
  <c r="FY696" i="1"/>
  <c r="FX696" i="1"/>
  <c r="FY693" i="1"/>
  <c r="FX693" i="1"/>
  <c r="FY685" i="1"/>
  <c r="FX685" i="1"/>
  <c r="FY681" i="1"/>
  <c r="FX681" i="1"/>
  <c r="FY669" i="1"/>
  <c r="FY664" i="1"/>
  <c r="FY662" i="1"/>
  <c r="FX669" i="1"/>
  <c r="FX664" i="1"/>
  <c r="FY666" i="1"/>
  <c r="FX666" i="1"/>
  <c r="FY655" i="1"/>
  <c r="FX655" i="1"/>
  <c r="FY645" i="1"/>
  <c r="FX645" i="1"/>
  <c r="FY637" i="1"/>
  <c r="FX637" i="1"/>
  <c r="FY634" i="1"/>
  <c r="FY632" i="1"/>
  <c r="FY630" i="1"/>
  <c r="FY628" i="1"/>
  <c r="FX634" i="1"/>
  <c r="FX632" i="1"/>
  <c r="FX630" i="1"/>
  <c r="FX628" i="1"/>
  <c r="FY625" i="1"/>
  <c r="FX625" i="1"/>
  <c r="FY621" i="1"/>
  <c r="FX621" i="1"/>
  <c r="FY619" i="1"/>
  <c r="FX619" i="1"/>
  <c r="FY616" i="1"/>
  <c r="FX616" i="1"/>
  <c r="FY613" i="1"/>
  <c r="FY611" i="1"/>
  <c r="FY609" i="1"/>
  <c r="FX613" i="1"/>
  <c r="FX611" i="1"/>
  <c r="FX609" i="1"/>
  <c r="FY606" i="1"/>
  <c r="FX606" i="1"/>
  <c r="FY600" i="1"/>
  <c r="FX600" i="1"/>
  <c r="FY592" i="1"/>
  <c r="FX592" i="1"/>
  <c r="FY585" i="1"/>
  <c r="FX585" i="1"/>
  <c r="FY581" i="1"/>
  <c r="FX581" i="1"/>
  <c r="FY579" i="1"/>
  <c r="FX579" i="1"/>
  <c r="FY571" i="1"/>
  <c r="FX571" i="1"/>
  <c r="FY569" i="1"/>
  <c r="FY567" i="1"/>
  <c r="FX569" i="1"/>
  <c r="FX567" i="1"/>
  <c r="FY563" i="1"/>
  <c r="FX563" i="1"/>
  <c r="FY558" i="1"/>
  <c r="FX558" i="1"/>
  <c r="FY555" i="1"/>
  <c r="FX555" i="1"/>
  <c r="FY549" i="1"/>
  <c r="FX549" i="1"/>
  <c r="FY543" i="1"/>
  <c r="FX543" i="1"/>
  <c r="FX535" i="1"/>
  <c r="FY532" i="1"/>
  <c r="FX532" i="1"/>
  <c r="FY526" i="1"/>
  <c r="FX526" i="1"/>
  <c r="FY507" i="1"/>
  <c r="FY505" i="1"/>
  <c r="FX507" i="1"/>
  <c r="FX505" i="1"/>
  <c r="FY500" i="1"/>
  <c r="FX500" i="1"/>
  <c r="FY488" i="1"/>
  <c r="FX488" i="1"/>
  <c r="FY482" i="1"/>
  <c r="FX482" i="1"/>
  <c r="FY472" i="1"/>
  <c r="FX472" i="1"/>
  <c r="FY464" i="1"/>
  <c r="FX464" i="1"/>
  <c r="FY458" i="1"/>
  <c r="FX458" i="1"/>
  <c r="FY451" i="1"/>
  <c r="FX451" i="1"/>
  <c r="FY444" i="1"/>
  <c r="FX444" i="1"/>
  <c r="FY439" i="1"/>
  <c r="FX439" i="1"/>
  <c r="FY427" i="1"/>
  <c r="FX427" i="1"/>
  <c r="FY419" i="1"/>
  <c r="FX419" i="1"/>
  <c r="FY416" i="1"/>
  <c r="FX416" i="1"/>
  <c r="FY411" i="1"/>
  <c r="FX411" i="1"/>
  <c r="FY406" i="1"/>
  <c r="FX406" i="1"/>
  <c r="FY401" i="1"/>
  <c r="FX401" i="1"/>
  <c r="FY397" i="1"/>
  <c r="FX397" i="1"/>
  <c r="FY386" i="1"/>
  <c r="FX386" i="1"/>
  <c r="FY380" i="1"/>
  <c r="FX380" i="1"/>
  <c r="FY375" i="1"/>
  <c r="FX375" i="1"/>
  <c r="FY368" i="1"/>
  <c r="FX368" i="1"/>
  <c r="FY366" i="1"/>
  <c r="FX366" i="1"/>
  <c r="FY361" i="1"/>
  <c r="FX361" i="1"/>
  <c r="FY358" i="1"/>
  <c r="FX358" i="1"/>
  <c r="FY354" i="1"/>
  <c r="FX354" i="1"/>
  <c r="FY347" i="1"/>
  <c r="FX347" i="1"/>
  <c r="FY329" i="1"/>
  <c r="FX329" i="1"/>
  <c r="FY326" i="1"/>
  <c r="FX326" i="1"/>
  <c r="FY322" i="1"/>
  <c r="FX322" i="1"/>
  <c r="FY319" i="1"/>
  <c r="FX319" i="1"/>
  <c r="FY316" i="1"/>
  <c r="FX316" i="1"/>
  <c r="FY313" i="1"/>
  <c r="FX313" i="1"/>
  <c r="FY310" i="1"/>
  <c r="FY308" i="1"/>
  <c r="FX310" i="1"/>
  <c r="FX308" i="1"/>
  <c r="FY305" i="1"/>
  <c r="FX305" i="1"/>
  <c r="FY302" i="1"/>
  <c r="FX302" i="1"/>
  <c r="FY298" i="1"/>
  <c r="FX298" i="1"/>
  <c r="FY293" i="1"/>
  <c r="FX293" i="1"/>
  <c r="FY288" i="1"/>
  <c r="FX288" i="1"/>
  <c r="FY279" i="1"/>
  <c r="FX279" i="1"/>
  <c r="FY275" i="1"/>
  <c r="FX275" i="1"/>
  <c r="FY267" i="1"/>
  <c r="FX267" i="1"/>
  <c r="FY259" i="1"/>
  <c r="FX259" i="1"/>
  <c r="FY251" i="1"/>
  <c r="FX251" i="1"/>
  <c r="FY246" i="1"/>
  <c r="FX246" i="1"/>
  <c r="FY238" i="1"/>
  <c r="FX238" i="1"/>
  <c r="FY237" i="1"/>
  <c r="FX237" i="1"/>
  <c r="FY236" i="1"/>
  <c r="FX236" i="1"/>
  <c r="FY234" i="1"/>
  <c r="FX234" i="1"/>
  <c r="FY233" i="1"/>
  <c r="FX233" i="1"/>
  <c r="FY231" i="1"/>
  <c r="FX231" i="1"/>
  <c r="FY230" i="1"/>
  <c r="FX230" i="1"/>
  <c r="FY228" i="1"/>
  <c r="FY227" i="1"/>
  <c r="FX228" i="1"/>
  <c r="FX227" i="1"/>
  <c r="FY225" i="1"/>
  <c r="FY224" i="1"/>
  <c r="FX225" i="1"/>
  <c r="FX224" i="1"/>
  <c r="FY222" i="1"/>
  <c r="FX222" i="1"/>
  <c r="FY221" i="1"/>
  <c r="FX221" i="1"/>
  <c r="FY220" i="1"/>
  <c r="FX220" i="1"/>
  <c r="FY219" i="1"/>
  <c r="FY218" i="1"/>
  <c r="FX219" i="1"/>
  <c r="FX218" i="1"/>
  <c r="FY215" i="1"/>
  <c r="FX215" i="1"/>
  <c r="FY214" i="1"/>
  <c r="FX214" i="1"/>
  <c r="FY213" i="1"/>
  <c r="FY212" i="1"/>
  <c r="FX213" i="1"/>
  <c r="FX212" i="1"/>
  <c r="FY205" i="1"/>
  <c r="FY204" i="1"/>
  <c r="FX205" i="1"/>
  <c r="FX204" i="1"/>
  <c r="FY202" i="1"/>
  <c r="FY201" i="1"/>
  <c r="FY199" i="1"/>
  <c r="FX202" i="1"/>
  <c r="FX201" i="1"/>
  <c r="FX199" i="1"/>
  <c r="FY197" i="1"/>
  <c r="FX197" i="1"/>
  <c r="FY196" i="1"/>
  <c r="FY195" i="1"/>
  <c r="FX196" i="1"/>
  <c r="FX195" i="1"/>
  <c r="FY193" i="1"/>
  <c r="FX193" i="1"/>
  <c r="FY191" i="1"/>
  <c r="FX191" i="1"/>
  <c r="FY189" i="1"/>
  <c r="FX189" i="1"/>
  <c r="FY187" i="1"/>
  <c r="FX187" i="1"/>
  <c r="FY185" i="1"/>
  <c r="FY184" i="1"/>
  <c r="FX185" i="1"/>
  <c r="FX184" i="1"/>
  <c r="FY182" i="1"/>
  <c r="FX182" i="1"/>
  <c r="FY180" i="1"/>
  <c r="FX180" i="1"/>
  <c r="FY179" i="1"/>
  <c r="FX179" i="1"/>
  <c r="FY177" i="1"/>
  <c r="FX177" i="1"/>
  <c r="FY176" i="1"/>
  <c r="FX176" i="1"/>
  <c r="FY175" i="1"/>
  <c r="FX175" i="1"/>
  <c r="FY174" i="1"/>
  <c r="FX174" i="1"/>
  <c r="FY170" i="1"/>
  <c r="FX170" i="1"/>
  <c r="FY169" i="1"/>
  <c r="FX169" i="1"/>
  <c r="FY168" i="1"/>
  <c r="FY167" i="1"/>
  <c r="FX168" i="1"/>
  <c r="FX167" i="1"/>
  <c r="FY165" i="1"/>
  <c r="FX165" i="1"/>
  <c r="FY163" i="1"/>
  <c r="FX163" i="1"/>
  <c r="FY162" i="1"/>
  <c r="FX162" i="1"/>
  <c r="FY161" i="1"/>
  <c r="FX161" i="1"/>
  <c r="FY160" i="1"/>
  <c r="FY155" i="1"/>
  <c r="FX160" i="1"/>
  <c r="FX155" i="1"/>
  <c r="FY159" i="1"/>
  <c r="FX159" i="1"/>
  <c r="FY158" i="1"/>
  <c r="FX158" i="1"/>
  <c r="FY157" i="1"/>
  <c r="FX157" i="1"/>
  <c r="FY156" i="1"/>
  <c r="FX156" i="1"/>
  <c r="FY153" i="1"/>
  <c r="FX153" i="1"/>
  <c r="FY152" i="1"/>
  <c r="FX152" i="1"/>
  <c r="FY151" i="1"/>
  <c r="FX151" i="1"/>
  <c r="FY150" i="1"/>
  <c r="FX150" i="1"/>
  <c r="FY149" i="1"/>
  <c r="FX149" i="1"/>
  <c r="FY147" i="1"/>
  <c r="FX147" i="1"/>
  <c r="FY146" i="1"/>
  <c r="FX146" i="1"/>
  <c r="FY145" i="1"/>
  <c r="FX145" i="1"/>
  <c r="FY144" i="1"/>
  <c r="FX144" i="1"/>
  <c r="FY143" i="1"/>
  <c r="FX143" i="1"/>
  <c r="FY142" i="1"/>
  <c r="FX142" i="1"/>
  <c r="FY141" i="1"/>
  <c r="FX141" i="1"/>
  <c r="FY140" i="1"/>
  <c r="FY139" i="1"/>
  <c r="FX140" i="1"/>
  <c r="FY137" i="1"/>
  <c r="FX137" i="1"/>
  <c r="FY134" i="1"/>
  <c r="FX134" i="1"/>
  <c r="FY133" i="1"/>
  <c r="FX133" i="1"/>
  <c r="FY132" i="1"/>
  <c r="FY131" i="1"/>
  <c r="FX132" i="1"/>
  <c r="FX131" i="1"/>
  <c r="FY129" i="1"/>
  <c r="FY125" i="1"/>
  <c r="FX129" i="1"/>
  <c r="FY128" i="1"/>
  <c r="FX128" i="1"/>
  <c r="FY127" i="1"/>
  <c r="FX127" i="1"/>
  <c r="FY126" i="1"/>
  <c r="FX126" i="1"/>
  <c r="FX125" i="1"/>
  <c r="FY123" i="1"/>
  <c r="FX123" i="1"/>
  <c r="FY122" i="1"/>
  <c r="FX122" i="1"/>
  <c r="FY121" i="1"/>
  <c r="FX121" i="1"/>
  <c r="FY120" i="1"/>
  <c r="FX120" i="1"/>
  <c r="FY119" i="1"/>
  <c r="FY118" i="1"/>
  <c r="FX119" i="1"/>
  <c r="FX118" i="1"/>
  <c r="FY116" i="1"/>
  <c r="FX116" i="1"/>
  <c r="FY115" i="1"/>
  <c r="FX115" i="1"/>
  <c r="FY114" i="1"/>
  <c r="FX114" i="1"/>
  <c r="FY113" i="1"/>
  <c r="FX113" i="1"/>
  <c r="FY112" i="1"/>
  <c r="FY111" i="1"/>
  <c r="FX112" i="1"/>
  <c r="FX111" i="1"/>
  <c r="FY109" i="1"/>
  <c r="FX109" i="1"/>
  <c r="FY108" i="1"/>
  <c r="FX108" i="1"/>
  <c r="FY107" i="1"/>
  <c r="FY106" i="1"/>
  <c r="FX107" i="1"/>
  <c r="FX106" i="1"/>
  <c r="FY102" i="1"/>
  <c r="FX102" i="1"/>
  <c r="FY101" i="1"/>
  <c r="FY94" i="1"/>
  <c r="FX101" i="1"/>
  <c r="FY100" i="1"/>
  <c r="FX100" i="1"/>
  <c r="FY99" i="1"/>
  <c r="FX99" i="1"/>
  <c r="FY98" i="1"/>
  <c r="FX98" i="1"/>
  <c r="FY97" i="1"/>
  <c r="FX97" i="1"/>
  <c r="FY96" i="1"/>
  <c r="FX96" i="1"/>
  <c r="FY95" i="1"/>
  <c r="FX95" i="1"/>
  <c r="FX94" i="1"/>
  <c r="FY92" i="1"/>
  <c r="FX92" i="1"/>
  <c r="FY91" i="1"/>
  <c r="FX91" i="1"/>
  <c r="FY90" i="1"/>
  <c r="FX90" i="1"/>
  <c r="FY89" i="1"/>
  <c r="FX89" i="1"/>
  <c r="FY88" i="1"/>
  <c r="FX88" i="1"/>
  <c r="FY87" i="1"/>
  <c r="FX87" i="1"/>
  <c r="FY86" i="1"/>
  <c r="FX86" i="1"/>
  <c r="FY84" i="1"/>
  <c r="FX84" i="1"/>
  <c r="FY83" i="1"/>
  <c r="FY82" i="1"/>
  <c r="FX83" i="1"/>
  <c r="FX82" i="1"/>
  <c r="FY80" i="1"/>
  <c r="FX80" i="1"/>
  <c r="FX79" i="1"/>
  <c r="FX77" i="1"/>
  <c r="FY79" i="1"/>
  <c r="FY78" i="1"/>
  <c r="FY77" i="1"/>
  <c r="FX78" i="1"/>
  <c r="FY75" i="1"/>
  <c r="FX75" i="1"/>
  <c r="FY74" i="1"/>
  <c r="FX74" i="1"/>
  <c r="FY73" i="1"/>
  <c r="FX73" i="1"/>
  <c r="FX72" i="1"/>
  <c r="FY70" i="1"/>
  <c r="FX70" i="1"/>
  <c r="FY69" i="1"/>
  <c r="FX69" i="1"/>
  <c r="FY68" i="1"/>
  <c r="FY67" i="1"/>
  <c r="FX68" i="1"/>
  <c r="FY65" i="1"/>
  <c r="FX65" i="1"/>
  <c r="FY64" i="1"/>
  <c r="FX64" i="1"/>
  <c r="FY63" i="1"/>
  <c r="FX63" i="1"/>
  <c r="FY61" i="1"/>
  <c r="FX61" i="1"/>
  <c r="FY59" i="1"/>
  <c r="FX59" i="1"/>
  <c r="FX58" i="1"/>
  <c r="FX52" i="1"/>
  <c r="FY58" i="1"/>
  <c r="FY57" i="1"/>
  <c r="FX57" i="1"/>
  <c r="FY56" i="1"/>
  <c r="FX56" i="1"/>
  <c r="FY55" i="1"/>
  <c r="FX55" i="1"/>
  <c r="FY54" i="1"/>
  <c r="FX54" i="1"/>
  <c r="FY53" i="1"/>
  <c r="FY52" i="1"/>
  <c r="FX53" i="1"/>
  <c r="FY50" i="1"/>
  <c r="FX50" i="1"/>
  <c r="FY49" i="1"/>
  <c r="FX49" i="1"/>
  <c r="FY48" i="1"/>
  <c r="FX48" i="1"/>
  <c r="FY47" i="1"/>
  <c r="FX47" i="1"/>
  <c r="FY46" i="1"/>
  <c r="FX46" i="1"/>
  <c r="FY42" i="1"/>
  <c r="FX42" i="1"/>
  <c r="FY41" i="1"/>
  <c r="FX41" i="1"/>
  <c r="FY38" i="1"/>
  <c r="FX38" i="1"/>
  <c r="FY36" i="1"/>
  <c r="FX36" i="1"/>
  <c r="FY34" i="1"/>
  <c r="FX34" i="1"/>
  <c r="FY33" i="1"/>
  <c r="FX33" i="1"/>
  <c r="FY32" i="1"/>
  <c r="FX32" i="1"/>
  <c r="FY31" i="1"/>
  <c r="FX31" i="1"/>
  <c r="FY30" i="1"/>
  <c r="FX30" i="1"/>
  <c r="FY28" i="1"/>
  <c r="FX28" i="1"/>
  <c r="FY26" i="1"/>
  <c r="FX26" i="1"/>
  <c r="FY24" i="1"/>
  <c r="FX24" i="1"/>
  <c r="FY23" i="1"/>
  <c r="FX23" i="1"/>
  <c r="FY22" i="1"/>
  <c r="FX22" i="1"/>
  <c r="FY21" i="1"/>
  <c r="FX21" i="1"/>
  <c r="FY19" i="1"/>
  <c r="FX19" i="1"/>
  <c r="FX14" i="1"/>
  <c r="GA860" i="1"/>
  <c r="FZ860" i="1"/>
  <c r="GA856" i="1"/>
  <c r="FZ856" i="1"/>
  <c r="GA845" i="1"/>
  <c r="FZ845" i="1"/>
  <c r="GA842" i="1"/>
  <c r="FZ842" i="1"/>
  <c r="GA827" i="1"/>
  <c r="FZ827" i="1"/>
  <c r="GA790" i="1"/>
  <c r="FZ790" i="1"/>
  <c r="GA783" i="1"/>
  <c r="FZ783" i="1"/>
  <c r="GA768" i="1"/>
  <c r="FZ768" i="1"/>
  <c r="GA742" i="1"/>
  <c r="FZ742" i="1"/>
  <c r="FZ721" i="1"/>
  <c r="GA738" i="1"/>
  <c r="FZ738" i="1"/>
  <c r="GA728" i="1"/>
  <c r="FZ728" i="1"/>
  <c r="GA725" i="1"/>
  <c r="FZ725" i="1"/>
  <c r="GA718" i="1"/>
  <c r="FZ718" i="1"/>
  <c r="GA711" i="1"/>
  <c r="FZ711" i="1"/>
  <c r="GA705" i="1"/>
  <c r="FZ705" i="1"/>
  <c r="GA702" i="1"/>
  <c r="FZ702" i="1"/>
  <c r="GA699" i="1"/>
  <c r="FZ699" i="1"/>
  <c r="GA696" i="1"/>
  <c r="FZ696" i="1"/>
  <c r="GA693" i="1"/>
  <c r="FZ693" i="1"/>
  <c r="GA685" i="1"/>
  <c r="FZ685" i="1"/>
  <c r="GA681" i="1"/>
  <c r="FZ681" i="1"/>
  <c r="GA669" i="1"/>
  <c r="GA664" i="1"/>
  <c r="GA662" i="1"/>
  <c r="FZ669" i="1"/>
  <c r="FZ664" i="1"/>
  <c r="FZ662" i="1"/>
  <c r="GA666" i="1"/>
  <c r="FZ666" i="1"/>
  <c r="GA655" i="1"/>
  <c r="FZ655" i="1"/>
  <c r="GA645" i="1"/>
  <c r="FZ645" i="1"/>
  <c r="GA637" i="1"/>
  <c r="FZ637" i="1"/>
  <c r="GA634" i="1"/>
  <c r="FZ634" i="1"/>
  <c r="GA632" i="1"/>
  <c r="GA630" i="1"/>
  <c r="GA628" i="1"/>
  <c r="FZ632" i="1"/>
  <c r="FZ630" i="1"/>
  <c r="FZ628" i="1"/>
  <c r="GA625" i="1"/>
  <c r="FZ625" i="1"/>
  <c r="FZ619" i="1"/>
  <c r="FZ609" i="1"/>
  <c r="FZ575" i="1"/>
  <c r="GA621" i="1"/>
  <c r="FZ621" i="1"/>
  <c r="GA616" i="1"/>
  <c r="FZ616" i="1"/>
  <c r="GA613" i="1"/>
  <c r="FZ613" i="1"/>
  <c r="GA611" i="1"/>
  <c r="FZ611" i="1"/>
  <c r="GA606" i="1"/>
  <c r="FZ606" i="1"/>
  <c r="GA600" i="1"/>
  <c r="FZ600" i="1"/>
  <c r="GA592" i="1"/>
  <c r="FZ592" i="1"/>
  <c r="GA585" i="1"/>
  <c r="FZ585" i="1"/>
  <c r="GA581" i="1"/>
  <c r="GA579" i="1"/>
  <c r="FZ581" i="1"/>
  <c r="FZ579" i="1"/>
  <c r="FZ577" i="1"/>
  <c r="GA571" i="1"/>
  <c r="GA569" i="1"/>
  <c r="GA567" i="1"/>
  <c r="FZ571" i="1"/>
  <c r="FZ569" i="1"/>
  <c r="FZ567" i="1"/>
  <c r="GA563" i="1"/>
  <c r="FZ563" i="1"/>
  <c r="GA558" i="1"/>
  <c r="FZ558" i="1"/>
  <c r="GA555" i="1"/>
  <c r="FZ555" i="1"/>
  <c r="GA549" i="1"/>
  <c r="FZ549" i="1"/>
  <c r="GA543" i="1"/>
  <c r="FZ543" i="1"/>
  <c r="GA541" i="1"/>
  <c r="FZ541" i="1"/>
  <c r="GA535" i="1"/>
  <c r="FZ535" i="1"/>
  <c r="GA532" i="1"/>
  <c r="FZ532" i="1"/>
  <c r="GA526" i="1"/>
  <c r="FZ526" i="1"/>
  <c r="GA507" i="1"/>
  <c r="FZ507" i="1"/>
  <c r="GA505" i="1"/>
  <c r="FZ505" i="1"/>
  <c r="GA500" i="1"/>
  <c r="FZ500" i="1"/>
  <c r="GA488" i="1"/>
  <c r="FZ488" i="1"/>
  <c r="GA482" i="1"/>
  <c r="FZ482" i="1"/>
  <c r="GA472" i="1"/>
  <c r="FZ472" i="1"/>
  <c r="GA464" i="1"/>
  <c r="FZ464" i="1"/>
  <c r="GA458" i="1"/>
  <c r="FZ458" i="1"/>
  <c r="GA451" i="1"/>
  <c r="FZ451" i="1"/>
  <c r="GA444" i="1"/>
  <c r="FZ444" i="1"/>
  <c r="GA439" i="1"/>
  <c r="FZ439" i="1"/>
  <c r="GA437" i="1"/>
  <c r="FZ437" i="1"/>
  <c r="GA427" i="1"/>
  <c r="FZ427" i="1"/>
  <c r="GA419" i="1"/>
  <c r="FZ419" i="1"/>
  <c r="GA416" i="1"/>
  <c r="FZ416" i="1"/>
  <c r="GA411" i="1"/>
  <c r="FZ411" i="1"/>
  <c r="GA406" i="1"/>
  <c r="FZ406" i="1"/>
  <c r="GA401" i="1"/>
  <c r="FZ401" i="1"/>
  <c r="GA397" i="1"/>
  <c r="FZ397" i="1"/>
  <c r="GA386" i="1"/>
  <c r="FZ386" i="1"/>
  <c r="GA380" i="1"/>
  <c r="FZ380" i="1"/>
  <c r="FZ378" i="1"/>
  <c r="FZ364" i="1"/>
  <c r="GA375" i="1"/>
  <c r="FZ375" i="1"/>
  <c r="GA368" i="1"/>
  <c r="GA366" i="1"/>
  <c r="FZ368" i="1"/>
  <c r="FZ366" i="1"/>
  <c r="GA361" i="1"/>
  <c r="FZ361" i="1"/>
  <c r="GA358" i="1"/>
  <c r="FZ358" i="1"/>
  <c r="GA354" i="1"/>
  <c r="FZ354" i="1"/>
  <c r="GA347" i="1"/>
  <c r="FZ347" i="1"/>
  <c r="GA329" i="1"/>
  <c r="FZ329" i="1"/>
  <c r="GA326" i="1"/>
  <c r="FZ326" i="1"/>
  <c r="GA322" i="1"/>
  <c r="FZ322" i="1"/>
  <c r="GA319" i="1"/>
  <c r="FZ319" i="1"/>
  <c r="GA316" i="1"/>
  <c r="FZ316" i="1"/>
  <c r="GA313" i="1"/>
  <c r="FZ313" i="1"/>
  <c r="GA310" i="1"/>
  <c r="GA308" i="1"/>
  <c r="FZ310" i="1"/>
  <c r="FZ308" i="1"/>
  <c r="GA305" i="1"/>
  <c r="FZ305" i="1"/>
  <c r="GA302" i="1"/>
  <c r="FZ302" i="1"/>
  <c r="GA298" i="1"/>
  <c r="FZ298" i="1"/>
  <c r="GA293" i="1"/>
  <c r="FZ293" i="1"/>
  <c r="GA288" i="1"/>
  <c r="FZ288" i="1"/>
  <c r="GA279" i="1"/>
  <c r="FZ279" i="1"/>
  <c r="GA275" i="1"/>
  <c r="FZ275" i="1"/>
  <c r="GA267" i="1"/>
  <c r="FZ267" i="1"/>
  <c r="GA259" i="1"/>
  <c r="FZ259" i="1"/>
  <c r="GA251" i="1"/>
  <c r="FZ251" i="1"/>
  <c r="GA246" i="1"/>
  <c r="FZ246" i="1"/>
  <c r="GA244" i="1"/>
  <c r="FZ244" i="1"/>
  <c r="GA238" i="1"/>
  <c r="FZ238" i="1"/>
  <c r="GA237" i="1"/>
  <c r="GA236" i="1"/>
  <c r="FZ237" i="1"/>
  <c r="GA234" i="1"/>
  <c r="FZ234" i="1"/>
  <c r="GA233" i="1"/>
  <c r="FZ233" i="1"/>
  <c r="GA231" i="1"/>
  <c r="GA230" i="1"/>
  <c r="FZ231" i="1"/>
  <c r="FZ230" i="1"/>
  <c r="GA228" i="1"/>
  <c r="GA227" i="1"/>
  <c r="FZ228" i="1"/>
  <c r="FZ227" i="1"/>
  <c r="GA225" i="1"/>
  <c r="GA224" i="1"/>
  <c r="FZ225" i="1"/>
  <c r="FZ224" i="1"/>
  <c r="GA222" i="1"/>
  <c r="FZ222" i="1"/>
  <c r="GA221" i="1"/>
  <c r="FZ221" i="1"/>
  <c r="GA220" i="1"/>
  <c r="FZ220" i="1"/>
  <c r="GA219" i="1"/>
  <c r="FZ219" i="1"/>
  <c r="FZ218" i="1"/>
  <c r="GA215" i="1"/>
  <c r="FZ215" i="1"/>
  <c r="GA214" i="1"/>
  <c r="FZ214" i="1"/>
  <c r="GA213" i="1"/>
  <c r="GA212" i="1"/>
  <c r="FZ213" i="1"/>
  <c r="FZ212" i="1"/>
  <c r="GA205" i="1"/>
  <c r="FZ205" i="1"/>
  <c r="GA204" i="1"/>
  <c r="FZ204" i="1"/>
  <c r="GA202" i="1"/>
  <c r="GA201" i="1"/>
  <c r="GA199" i="1"/>
  <c r="FZ202" i="1"/>
  <c r="FZ201" i="1"/>
  <c r="FZ199" i="1"/>
  <c r="GA197" i="1"/>
  <c r="FZ197" i="1"/>
  <c r="GA196" i="1"/>
  <c r="FZ196" i="1"/>
  <c r="GA195" i="1"/>
  <c r="FZ195" i="1"/>
  <c r="GA193" i="1"/>
  <c r="FZ193" i="1"/>
  <c r="GA191" i="1"/>
  <c r="FZ191" i="1"/>
  <c r="GA189" i="1"/>
  <c r="FZ189" i="1"/>
  <c r="GA187" i="1"/>
  <c r="FZ187" i="1"/>
  <c r="GA185" i="1"/>
  <c r="FZ185" i="1"/>
  <c r="GA184" i="1"/>
  <c r="FZ184" i="1"/>
  <c r="GA182" i="1"/>
  <c r="FZ182" i="1"/>
  <c r="GA180" i="1"/>
  <c r="GA179" i="1"/>
  <c r="FZ180" i="1"/>
  <c r="FZ179" i="1"/>
  <c r="GA177" i="1"/>
  <c r="FZ177" i="1"/>
  <c r="GA176" i="1"/>
  <c r="FZ176" i="1"/>
  <c r="GA175" i="1"/>
  <c r="GA174" i="1"/>
  <c r="GA172" i="1"/>
  <c r="FZ175" i="1"/>
  <c r="FZ174" i="1"/>
  <c r="FZ172" i="1"/>
  <c r="GA170" i="1"/>
  <c r="FZ170" i="1"/>
  <c r="GA169" i="1"/>
  <c r="FZ169" i="1"/>
  <c r="GA168" i="1"/>
  <c r="GA167" i="1"/>
  <c r="FZ168" i="1"/>
  <c r="FZ167" i="1"/>
  <c r="GA165" i="1"/>
  <c r="FZ165" i="1"/>
  <c r="GA163" i="1"/>
  <c r="FZ163" i="1"/>
  <c r="GA162" i="1"/>
  <c r="FZ162" i="1"/>
  <c r="GA161" i="1"/>
  <c r="FZ161" i="1"/>
  <c r="GA160" i="1"/>
  <c r="GA155" i="1"/>
  <c r="FZ160" i="1"/>
  <c r="GA159" i="1"/>
  <c r="FZ159" i="1"/>
  <c r="GA158" i="1"/>
  <c r="FZ158" i="1"/>
  <c r="GA157" i="1"/>
  <c r="FZ157" i="1"/>
  <c r="GA156" i="1"/>
  <c r="FZ156" i="1"/>
  <c r="FZ155" i="1"/>
  <c r="GA153" i="1"/>
  <c r="FZ153" i="1"/>
  <c r="GA152" i="1"/>
  <c r="FZ152" i="1"/>
  <c r="GA151" i="1"/>
  <c r="FZ151" i="1"/>
  <c r="GA150" i="1"/>
  <c r="GA149" i="1"/>
  <c r="FZ150" i="1"/>
  <c r="FZ149" i="1"/>
  <c r="GA147" i="1"/>
  <c r="FZ147" i="1"/>
  <c r="GA146" i="1"/>
  <c r="FZ146" i="1"/>
  <c r="GA145" i="1"/>
  <c r="FZ145" i="1"/>
  <c r="GA144" i="1"/>
  <c r="FZ144" i="1"/>
  <c r="GA143" i="1"/>
  <c r="FZ143" i="1"/>
  <c r="GA142" i="1"/>
  <c r="FZ142" i="1"/>
  <c r="GA141" i="1"/>
  <c r="FZ141" i="1"/>
  <c r="GA140" i="1"/>
  <c r="FZ140" i="1"/>
  <c r="GA139" i="1"/>
  <c r="FZ139" i="1"/>
  <c r="GA137" i="1"/>
  <c r="FZ137" i="1"/>
  <c r="GA134" i="1"/>
  <c r="FZ134" i="1"/>
  <c r="GA133" i="1"/>
  <c r="FZ133" i="1"/>
  <c r="GA132" i="1"/>
  <c r="GA131" i="1"/>
  <c r="FZ132" i="1"/>
  <c r="FZ131" i="1"/>
  <c r="GA129" i="1"/>
  <c r="FZ129" i="1"/>
  <c r="GA128" i="1"/>
  <c r="FZ128" i="1"/>
  <c r="GA127" i="1"/>
  <c r="FZ127" i="1"/>
  <c r="GA126" i="1"/>
  <c r="FZ126" i="1"/>
  <c r="GA125" i="1"/>
  <c r="FZ125" i="1"/>
  <c r="GA123" i="1"/>
  <c r="FZ123" i="1"/>
  <c r="GA122" i="1"/>
  <c r="FZ122" i="1"/>
  <c r="GA121" i="1"/>
  <c r="FZ121" i="1"/>
  <c r="GA120" i="1"/>
  <c r="FZ120" i="1"/>
  <c r="GA119" i="1"/>
  <c r="FZ119" i="1"/>
  <c r="GA118" i="1"/>
  <c r="FZ118" i="1"/>
  <c r="GA116" i="1"/>
  <c r="FZ116" i="1"/>
  <c r="GA115" i="1"/>
  <c r="FZ115" i="1"/>
  <c r="GA114" i="1"/>
  <c r="FZ114" i="1"/>
  <c r="GA113" i="1"/>
  <c r="FZ113" i="1"/>
  <c r="GA112" i="1"/>
  <c r="FZ112" i="1"/>
  <c r="GA111" i="1"/>
  <c r="FZ111" i="1"/>
  <c r="GA109" i="1"/>
  <c r="FZ109" i="1"/>
  <c r="GA108" i="1"/>
  <c r="FZ108" i="1"/>
  <c r="GA107" i="1"/>
  <c r="GA106" i="1"/>
  <c r="FZ107" i="1"/>
  <c r="FZ106" i="1"/>
  <c r="GA102" i="1"/>
  <c r="FZ102" i="1"/>
  <c r="GA101" i="1"/>
  <c r="FZ101" i="1"/>
  <c r="GA100" i="1"/>
  <c r="FZ100" i="1"/>
  <c r="GA99" i="1"/>
  <c r="FZ99" i="1"/>
  <c r="GA98" i="1"/>
  <c r="FZ98" i="1"/>
  <c r="GA97" i="1"/>
  <c r="FZ97" i="1"/>
  <c r="GA96" i="1"/>
  <c r="FZ96" i="1"/>
  <c r="GA95" i="1"/>
  <c r="FZ95" i="1"/>
  <c r="GA94" i="1"/>
  <c r="FZ94" i="1"/>
  <c r="GA92" i="1"/>
  <c r="GA86" i="1"/>
  <c r="FZ92" i="1"/>
  <c r="FZ86" i="1"/>
  <c r="GA91" i="1"/>
  <c r="FZ91" i="1"/>
  <c r="GA90" i="1"/>
  <c r="FZ90" i="1"/>
  <c r="GA89" i="1"/>
  <c r="FZ89" i="1"/>
  <c r="GA88" i="1"/>
  <c r="FZ88" i="1"/>
  <c r="GA87" i="1"/>
  <c r="FZ87" i="1"/>
  <c r="GA84" i="1"/>
  <c r="FZ84" i="1"/>
  <c r="GA83" i="1"/>
  <c r="FZ83" i="1"/>
  <c r="GA82" i="1"/>
  <c r="FZ82" i="1"/>
  <c r="GA80" i="1"/>
  <c r="FZ80" i="1"/>
  <c r="GA79" i="1"/>
  <c r="FZ79" i="1"/>
  <c r="GA78" i="1"/>
  <c r="FZ78" i="1"/>
  <c r="FZ77" i="1"/>
  <c r="GA75" i="1"/>
  <c r="FZ75" i="1"/>
  <c r="GA74" i="1"/>
  <c r="FZ74" i="1"/>
  <c r="GA73" i="1"/>
  <c r="GA72" i="1"/>
  <c r="FZ73" i="1"/>
  <c r="FZ72" i="1"/>
  <c r="GA70" i="1"/>
  <c r="FZ70" i="1"/>
  <c r="GA69" i="1"/>
  <c r="FZ69" i="1"/>
  <c r="GA68" i="1"/>
  <c r="FZ68" i="1"/>
  <c r="FZ67" i="1"/>
  <c r="GA65" i="1"/>
  <c r="FZ65" i="1"/>
  <c r="GA64" i="1"/>
  <c r="GA63" i="1"/>
  <c r="FZ64" i="1"/>
  <c r="FZ63" i="1"/>
  <c r="GA61" i="1"/>
  <c r="FZ61" i="1"/>
  <c r="GA59" i="1"/>
  <c r="FZ59" i="1"/>
  <c r="GA58" i="1"/>
  <c r="FZ58" i="1"/>
  <c r="GA57" i="1"/>
  <c r="FZ57" i="1"/>
  <c r="GA56" i="1"/>
  <c r="FZ56" i="1"/>
  <c r="GA55" i="1"/>
  <c r="FZ55" i="1"/>
  <c r="GA54" i="1"/>
  <c r="FZ54" i="1"/>
  <c r="GA53" i="1"/>
  <c r="GA52" i="1"/>
  <c r="FZ53" i="1"/>
  <c r="FZ52" i="1"/>
  <c r="GA50" i="1"/>
  <c r="FZ50" i="1"/>
  <c r="GA49" i="1"/>
  <c r="FZ49" i="1"/>
  <c r="GA48" i="1"/>
  <c r="FZ48" i="1"/>
  <c r="GA47" i="1"/>
  <c r="GA46" i="1"/>
  <c r="FZ47" i="1"/>
  <c r="FZ46" i="1"/>
  <c r="GA42" i="1"/>
  <c r="FZ42" i="1"/>
  <c r="GA41" i="1"/>
  <c r="FZ41" i="1"/>
  <c r="GA36" i="1"/>
  <c r="FZ36" i="1"/>
  <c r="GA34" i="1"/>
  <c r="FZ34" i="1"/>
  <c r="GA33" i="1"/>
  <c r="FZ33" i="1"/>
  <c r="GA32" i="1"/>
  <c r="FZ32" i="1"/>
  <c r="GA31" i="1"/>
  <c r="GA30" i="1"/>
  <c r="FZ31" i="1"/>
  <c r="FZ30" i="1"/>
  <c r="GA28" i="1"/>
  <c r="FZ28" i="1"/>
  <c r="GA26" i="1"/>
  <c r="FZ26" i="1"/>
  <c r="GA24" i="1"/>
  <c r="FZ24" i="1"/>
  <c r="GA23" i="1"/>
  <c r="FZ23" i="1"/>
  <c r="GA22" i="1"/>
  <c r="GA21" i="1"/>
  <c r="FZ22" i="1"/>
  <c r="FZ21" i="1"/>
  <c r="GA19" i="1"/>
  <c r="FZ19" i="1"/>
  <c r="GC860" i="1"/>
  <c r="GB860" i="1"/>
  <c r="GC856" i="1"/>
  <c r="GB856" i="1"/>
  <c r="GC845" i="1"/>
  <c r="GB845" i="1"/>
  <c r="GC842" i="1"/>
  <c r="GB842" i="1"/>
  <c r="GC827" i="1"/>
  <c r="GB827" i="1"/>
  <c r="GC790" i="1"/>
  <c r="GB790" i="1"/>
  <c r="GC783" i="1"/>
  <c r="GB783" i="1"/>
  <c r="GC768" i="1"/>
  <c r="GB768" i="1"/>
  <c r="GC742" i="1"/>
  <c r="GB742" i="1"/>
  <c r="GC738" i="1"/>
  <c r="GB738" i="1"/>
  <c r="GC728" i="1"/>
  <c r="GB728" i="1"/>
  <c r="GC725" i="1"/>
  <c r="GB725" i="1"/>
  <c r="GC718" i="1"/>
  <c r="GB718" i="1"/>
  <c r="GC711" i="1"/>
  <c r="GB711" i="1"/>
  <c r="GC705" i="1"/>
  <c r="GB705" i="1"/>
  <c r="GC702" i="1"/>
  <c r="GB702" i="1"/>
  <c r="GC699" i="1"/>
  <c r="GB699" i="1"/>
  <c r="GC696" i="1"/>
  <c r="GB696" i="1"/>
  <c r="GC693" i="1"/>
  <c r="GB693" i="1"/>
  <c r="GC685" i="1"/>
  <c r="GB685" i="1"/>
  <c r="GC681" i="1"/>
  <c r="GB681" i="1"/>
  <c r="GC669" i="1"/>
  <c r="GC664" i="1"/>
  <c r="GB669" i="1"/>
  <c r="GB664" i="1"/>
  <c r="GB662" i="1"/>
  <c r="GC666" i="1"/>
  <c r="GB666" i="1"/>
  <c r="GC655" i="1"/>
  <c r="GB655" i="1"/>
  <c r="GC645" i="1"/>
  <c r="GB645" i="1"/>
  <c r="GC637" i="1"/>
  <c r="GB637" i="1"/>
  <c r="GC634" i="1"/>
  <c r="GB634" i="1"/>
  <c r="GC632" i="1"/>
  <c r="GC630" i="1"/>
  <c r="GC628" i="1"/>
  <c r="GB632" i="1"/>
  <c r="GB630" i="1"/>
  <c r="GB628" i="1"/>
  <c r="GC625" i="1"/>
  <c r="GB625" i="1"/>
  <c r="GC621" i="1"/>
  <c r="GC619" i="1"/>
  <c r="GB621" i="1"/>
  <c r="GB619" i="1"/>
  <c r="GC616" i="1"/>
  <c r="GB616" i="1"/>
  <c r="GC613" i="1"/>
  <c r="GB613" i="1"/>
  <c r="GC611" i="1"/>
  <c r="GB611" i="1"/>
  <c r="GB609" i="1"/>
  <c r="GC606" i="1"/>
  <c r="GB606" i="1"/>
  <c r="GC600" i="1"/>
  <c r="GB600" i="1"/>
  <c r="GC592" i="1"/>
  <c r="GB592" i="1"/>
  <c r="GC585" i="1"/>
  <c r="GB585" i="1"/>
  <c r="GC581" i="1"/>
  <c r="GB581" i="1"/>
  <c r="GC579" i="1"/>
  <c r="GC577" i="1"/>
  <c r="GB579" i="1"/>
  <c r="GB577" i="1"/>
  <c r="GB575" i="1"/>
  <c r="GC571" i="1"/>
  <c r="GB571" i="1"/>
  <c r="GC569" i="1"/>
  <c r="GC567" i="1"/>
  <c r="GB569" i="1"/>
  <c r="GB567" i="1"/>
  <c r="GC563" i="1"/>
  <c r="GB563" i="1"/>
  <c r="GC558" i="1"/>
  <c r="GB558" i="1"/>
  <c r="GC555" i="1"/>
  <c r="GB555" i="1"/>
  <c r="GC549" i="1"/>
  <c r="GB549" i="1"/>
  <c r="GC543" i="1"/>
  <c r="GB543" i="1"/>
  <c r="GC541" i="1"/>
  <c r="GB541" i="1"/>
  <c r="GC535" i="1"/>
  <c r="GB535" i="1"/>
  <c r="GC532" i="1"/>
  <c r="GB532" i="1"/>
  <c r="GC526" i="1"/>
  <c r="GB526" i="1"/>
  <c r="GC507" i="1"/>
  <c r="GB507" i="1"/>
  <c r="GC505" i="1"/>
  <c r="GB505" i="1"/>
  <c r="GC500" i="1"/>
  <c r="GB500" i="1"/>
  <c r="GC488" i="1"/>
  <c r="GB488" i="1"/>
  <c r="GC482" i="1"/>
  <c r="GB482" i="1"/>
  <c r="GC472" i="1"/>
  <c r="GB472" i="1"/>
  <c r="GC464" i="1"/>
  <c r="GB464" i="1"/>
  <c r="GB437" i="1"/>
  <c r="GC458" i="1"/>
  <c r="GB458" i="1"/>
  <c r="GC451" i="1"/>
  <c r="GB451" i="1"/>
  <c r="GC444" i="1"/>
  <c r="GB444" i="1"/>
  <c r="GC439" i="1"/>
  <c r="GB439" i="1"/>
  <c r="GC437" i="1"/>
  <c r="GC427" i="1"/>
  <c r="GB427" i="1"/>
  <c r="GC419" i="1"/>
  <c r="GB419" i="1"/>
  <c r="GC416" i="1"/>
  <c r="GB416" i="1"/>
  <c r="GC411" i="1"/>
  <c r="GB411" i="1"/>
  <c r="GC406" i="1"/>
  <c r="GB406" i="1"/>
  <c r="GC401" i="1"/>
  <c r="GB401" i="1"/>
  <c r="GC397" i="1"/>
  <c r="GB397" i="1"/>
  <c r="GC386" i="1"/>
  <c r="GB386" i="1"/>
  <c r="GC380" i="1"/>
  <c r="GB380" i="1"/>
  <c r="GC378" i="1"/>
  <c r="GC364" i="1"/>
  <c r="GB378" i="1"/>
  <c r="GC375" i="1"/>
  <c r="GB375" i="1"/>
  <c r="GC368" i="1"/>
  <c r="GC366" i="1"/>
  <c r="GB368" i="1"/>
  <c r="GB366" i="1"/>
  <c r="GC361" i="1"/>
  <c r="GB361" i="1"/>
  <c r="GC358" i="1"/>
  <c r="GB358" i="1"/>
  <c r="GC354" i="1"/>
  <c r="GB354" i="1"/>
  <c r="GC347" i="1"/>
  <c r="GB347" i="1"/>
  <c r="GC329" i="1"/>
  <c r="GB329" i="1"/>
  <c r="GC326" i="1"/>
  <c r="GB326" i="1"/>
  <c r="GC322" i="1"/>
  <c r="GB322" i="1"/>
  <c r="GC319" i="1"/>
  <c r="GB319" i="1"/>
  <c r="GC316" i="1"/>
  <c r="GB316" i="1"/>
  <c r="GC313" i="1"/>
  <c r="GB313" i="1"/>
  <c r="GC310" i="1"/>
  <c r="GB310" i="1"/>
  <c r="GB308" i="1"/>
  <c r="GC305" i="1"/>
  <c r="GB305" i="1"/>
  <c r="GC302" i="1"/>
  <c r="GB302" i="1"/>
  <c r="GC298" i="1"/>
  <c r="GB298" i="1"/>
  <c r="GC293" i="1"/>
  <c r="GB293" i="1"/>
  <c r="GC288" i="1"/>
  <c r="GB288" i="1"/>
  <c r="GC279" i="1"/>
  <c r="GB279" i="1"/>
  <c r="GC275" i="1"/>
  <c r="GB275" i="1"/>
  <c r="GC267" i="1"/>
  <c r="GB267" i="1"/>
  <c r="GC259" i="1"/>
  <c r="GB259" i="1"/>
  <c r="GC251" i="1"/>
  <c r="GB251" i="1"/>
  <c r="GC246" i="1"/>
  <c r="GC244" i="1"/>
  <c r="GB246" i="1"/>
  <c r="GB244" i="1"/>
  <c r="GC238" i="1"/>
  <c r="GB238" i="1"/>
  <c r="GC237" i="1"/>
  <c r="GC236" i="1"/>
  <c r="GB237" i="1"/>
  <c r="GB236" i="1"/>
  <c r="GC234" i="1"/>
  <c r="GB234" i="1"/>
  <c r="GC233" i="1"/>
  <c r="GB233" i="1"/>
  <c r="GC231" i="1"/>
  <c r="GC230" i="1"/>
  <c r="GB231" i="1"/>
  <c r="GB230" i="1"/>
  <c r="GC228" i="1"/>
  <c r="GC227" i="1"/>
  <c r="GB228" i="1"/>
  <c r="GB227" i="1"/>
  <c r="GC225" i="1"/>
  <c r="GC224" i="1"/>
  <c r="GB225" i="1"/>
  <c r="GB224" i="1"/>
  <c r="GC222" i="1"/>
  <c r="GB222" i="1"/>
  <c r="GC221" i="1"/>
  <c r="GB221" i="1"/>
  <c r="GC220" i="1"/>
  <c r="GB220" i="1"/>
  <c r="GC219" i="1"/>
  <c r="GB219" i="1"/>
  <c r="GC218" i="1"/>
  <c r="GB218" i="1"/>
  <c r="GC215" i="1"/>
  <c r="GB215" i="1"/>
  <c r="GC214" i="1"/>
  <c r="GB214" i="1"/>
  <c r="GC213" i="1"/>
  <c r="GC212" i="1"/>
  <c r="GB213" i="1"/>
  <c r="GB212" i="1"/>
  <c r="GC205" i="1"/>
  <c r="GB205" i="1"/>
  <c r="GC204" i="1"/>
  <c r="GB204" i="1"/>
  <c r="GC202" i="1"/>
  <c r="GB202" i="1"/>
  <c r="GC201" i="1"/>
  <c r="GC199" i="1"/>
  <c r="GB201" i="1"/>
  <c r="GB199" i="1"/>
  <c r="GC197" i="1"/>
  <c r="GB197" i="1"/>
  <c r="GC196" i="1"/>
  <c r="GB196" i="1"/>
  <c r="GC195" i="1"/>
  <c r="GB195" i="1"/>
  <c r="GC193" i="1"/>
  <c r="GB193" i="1"/>
  <c r="GC191" i="1"/>
  <c r="GB191" i="1"/>
  <c r="GC189" i="1"/>
  <c r="GB189" i="1"/>
  <c r="GC187" i="1"/>
  <c r="GB187" i="1"/>
  <c r="GC185" i="1"/>
  <c r="GB185" i="1"/>
  <c r="GC184" i="1"/>
  <c r="GB184" i="1"/>
  <c r="GC182" i="1"/>
  <c r="GB182" i="1"/>
  <c r="GC180" i="1"/>
  <c r="GC179" i="1"/>
  <c r="GB180" i="1"/>
  <c r="GB179" i="1"/>
  <c r="GC177" i="1"/>
  <c r="GB177" i="1"/>
  <c r="GC176" i="1"/>
  <c r="GB176" i="1"/>
  <c r="GC175" i="1"/>
  <c r="GC174" i="1"/>
  <c r="GB175" i="1"/>
  <c r="GB174" i="1"/>
  <c r="GC170" i="1"/>
  <c r="GB170" i="1"/>
  <c r="GC169" i="1"/>
  <c r="GB169" i="1"/>
  <c r="GC168" i="1"/>
  <c r="GC167" i="1"/>
  <c r="GB168" i="1"/>
  <c r="GB167" i="1"/>
  <c r="GC165" i="1"/>
  <c r="GB165" i="1"/>
  <c r="GC163" i="1"/>
  <c r="GB163" i="1"/>
  <c r="GC162" i="1"/>
  <c r="GB162" i="1"/>
  <c r="GC161" i="1"/>
  <c r="GB161" i="1"/>
  <c r="GC160" i="1"/>
  <c r="GC155" i="1"/>
  <c r="GB160" i="1"/>
  <c r="GC159" i="1"/>
  <c r="GB159" i="1"/>
  <c r="GC158" i="1"/>
  <c r="GB158" i="1"/>
  <c r="GC157" i="1"/>
  <c r="GB157" i="1"/>
  <c r="GC156" i="1"/>
  <c r="GB156" i="1"/>
  <c r="GB155" i="1"/>
  <c r="GC153" i="1"/>
  <c r="GC149" i="1"/>
  <c r="GB153" i="1"/>
  <c r="GC152" i="1"/>
  <c r="GB152" i="1"/>
  <c r="GC151" i="1"/>
  <c r="GB151" i="1"/>
  <c r="GC150" i="1"/>
  <c r="GB150" i="1"/>
  <c r="GB149" i="1"/>
  <c r="GC147" i="1"/>
  <c r="GB147" i="1"/>
  <c r="GC146" i="1"/>
  <c r="GB146" i="1"/>
  <c r="GC145" i="1"/>
  <c r="GB145" i="1"/>
  <c r="GC144" i="1"/>
  <c r="GB144" i="1"/>
  <c r="GC143" i="1"/>
  <c r="GB143" i="1"/>
  <c r="GC142" i="1"/>
  <c r="GB142" i="1"/>
  <c r="GC141" i="1"/>
  <c r="GB141" i="1"/>
  <c r="GC140" i="1"/>
  <c r="GB140" i="1"/>
  <c r="GC139" i="1"/>
  <c r="GB139" i="1"/>
  <c r="GC137" i="1"/>
  <c r="GB137" i="1"/>
  <c r="GC134" i="1"/>
  <c r="GB134" i="1"/>
  <c r="GC133" i="1"/>
  <c r="GB133" i="1"/>
  <c r="GC132" i="1"/>
  <c r="GC131" i="1"/>
  <c r="GB132" i="1"/>
  <c r="GC129" i="1"/>
  <c r="GB129" i="1"/>
  <c r="GC128" i="1"/>
  <c r="GB128" i="1"/>
  <c r="GC127" i="1"/>
  <c r="GB127" i="1"/>
  <c r="GC126" i="1"/>
  <c r="GB126" i="1"/>
  <c r="GC125" i="1"/>
  <c r="GB125" i="1"/>
  <c r="GC123" i="1"/>
  <c r="GB123" i="1"/>
  <c r="GC122" i="1"/>
  <c r="GB122" i="1"/>
  <c r="GC121" i="1"/>
  <c r="GB121" i="1"/>
  <c r="GC120" i="1"/>
  <c r="GB120" i="1"/>
  <c r="GC119" i="1"/>
  <c r="GB119" i="1"/>
  <c r="GC118" i="1"/>
  <c r="GB118" i="1"/>
  <c r="GC116" i="1"/>
  <c r="GB116" i="1"/>
  <c r="GC115" i="1"/>
  <c r="GB115" i="1"/>
  <c r="GC114" i="1"/>
  <c r="GB114" i="1"/>
  <c r="GC113" i="1"/>
  <c r="GB113" i="1"/>
  <c r="GC112" i="1"/>
  <c r="GB112" i="1"/>
  <c r="GC111" i="1"/>
  <c r="GB111" i="1"/>
  <c r="GC109" i="1"/>
  <c r="GB109" i="1"/>
  <c r="GC108" i="1"/>
  <c r="GB108" i="1"/>
  <c r="GC107" i="1"/>
  <c r="GC106" i="1"/>
  <c r="GB107" i="1"/>
  <c r="GB106" i="1"/>
  <c r="GC102" i="1"/>
  <c r="GB102" i="1"/>
  <c r="GC101" i="1"/>
  <c r="GB101" i="1"/>
  <c r="GB95" i="1"/>
  <c r="GB96" i="1"/>
  <c r="GB97" i="1"/>
  <c r="GB98" i="1"/>
  <c r="GB99" i="1"/>
  <c r="GB100" i="1"/>
  <c r="GB94" i="1"/>
  <c r="GC100" i="1"/>
  <c r="GC99" i="1"/>
  <c r="GC98" i="1"/>
  <c r="GC97" i="1"/>
  <c r="GC96" i="1"/>
  <c r="GC95" i="1"/>
  <c r="GC94" i="1"/>
  <c r="GC92" i="1"/>
  <c r="GC86" i="1"/>
  <c r="GB92" i="1"/>
  <c r="GC91" i="1"/>
  <c r="GB91" i="1"/>
  <c r="GC90" i="1"/>
  <c r="GB90" i="1"/>
  <c r="GC89" i="1"/>
  <c r="GB89" i="1"/>
  <c r="GC88" i="1"/>
  <c r="GB88" i="1"/>
  <c r="GC87" i="1"/>
  <c r="GB87" i="1"/>
  <c r="GB86" i="1"/>
  <c r="GC84" i="1"/>
  <c r="GB84" i="1"/>
  <c r="GC83" i="1"/>
  <c r="GB83" i="1"/>
  <c r="GC82" i="1"/>
  <c r="GB82" i="1"/>
  <c r="GC80" i="1"/>
  <c r="GB80" i="1"/>
  <c r="GB77" i="1"/>
  <c r="GC79" i="1"/>
  <c r="GB79" i="1"/>
  <c r="GC78" i="1"/>
  <c r="GB78" i="1"/>
  <c r="GC77" i="1"/>
  <c r="GC75" i="1"/>
  <c r="GB75" i="1"/>
  <c r="GC74" i="1"/>
  <c r="GB74" i="1"/>
  <c r="GC73" i="1"/>
  <c r="GB73" i="1"/>
  <c r="GC70" i="1"/>
  <c r="GB70" i="1"/>
  <c r="GC69" i="1"/>
  <c r="GB69" i="1"/>
  <c r="GC68" i="1"/>
  <c r="GC67" i="1"/>
  <c r="GB68" i="1"/>
  <c r="GC65" i="1"/>
  <c r="GB65" i="1"/>
  <c r="GC64" i="1"/>
  <c r="GC63" i="1"/>
  <c r="GB64" i="1"/>
  <c r="GB63" i="1"/>
  <c r="GC61" i="1"/>
  <c r="GB61" i="1"/>
  <c r="GC59" i="1"/>
  <c r="GB59" i="1"/>
  <c r="GB58" i="1"/>
  <c r="GB52" i="1"/>
  <c r="GC58" i="1"/>
  <c r="GC57" i="1"/>
  <c r="GB57" i="1"/>
  <c r="GC56" i="1"/>
  <c r="GB56" i="1"/>
  <c r="GC55" i="1"/>
  <c r="GB55" i="1"/>
  <c r="GC54" i="1"/>
  <c r="GB54" i="1"/>
  <c r="GC53" i="1"/>
  <c r="GC52" i="1"/>
  <c r="GB53" i="1"/>
  <c r="GC50" i="1"/>
  <c r="GB50" i="1"/>
  <c r="GC49" i="1"/>
  <c r="GB49" i="1"/>
  <c r="GC48" i="1"/>
  <c r="GB48" i="1"/>
  <c r="GC47" i="1"/>
  <c r="GB47" i="1"/>
  <c r="GB46" i="1"/>
  <c r="GC42" i="1"/>
  <c r="GB42" i="1"/>
  <c r="GC41" i="1"/>
  <c r="GB41" i="1"/>
  <c r="GC36" i="1"/>
  <c r="GB36" i="1"/>
  <c r="GC34" i="1"/>
  <c r="GB34" i="1"/>
  <c r="GC33" i="1"/>
  <c r="GB33" i="1"/>
  <c r="GC32" i="1"/>
  <c r="GB32" i="1"/>
  <c r="GC31" i="1"/>
  <c r="GC30" i="1"/>
  <c r="GB31" i="1"/>
  <c r="GB30" i="1"/>
  <c r="GC28" i="1"/>
  <c r="GB28" i="1"/>
  <c r="GC26" i="1"/>
  <c r="GB26" i="1"/>
  <c r="GC24" i="1"/>
  <c r="GB24" i="1"/>
  <c r="GC23" i="1"/>
  <c r="GB23" i="1"/>
  <c r="GC22" i="1"/>
  <c r="GC21" i="1"/>
  <c r="GB22" i="1"/>
  <c r="GB21" i="1"/>
  <c r="GC19" i="1"/>
  <c r="GB19" i="1"/>
  <c r="GE860" i="1"/>
  <c r="GD860" i="1"/>
  <c r="GE856" i="1"/>
  <c r="GD856" i="1"/>
  <c r="GE845" i="1"/>
  <c r="GD845" i="1"/>
  <c r="GE842" i="1"/>
  <c r="GD842" i="1"/>
  <c r="GE827" i="1"/>
  <c r="GD827" i="1"/>
  <c r="GE790" i="1"/>
  <c r="GD790" i="1"/>
  <c r="GE783" i="1"/>
  <c r="GD783" i="1"/>
  <c r="GE768" i="1"/>
  <c r="GD768" i="1"/>
  <c r="GE742" i="1"/>
  <c r="GD742" i="1"/>
  <c r="GE738" i="1"/>
  <c r="GD738" i="1"/>
  <c r="GE728" i="1"/>
  <c r="GD728" i="1"/>
  <c r="GE725" i="1"/>
  <c r="GD725" i="1"/>
  <c r="GE718" i="1"/>
  <c r="GD718" i="1"/>
  <c r="GE711" i="1"/>
  <c r="GD711" i="1"/>
  <c r="GE705" i="1"/>
  <c r="GD705" i="1"/>
  <c r="GE702" i="1"/>
  <c r="GD702" i="1"/>
  <c r="GE699" i="1"/>
  <c r="GD699" i="1"/>
  <c r="GE696" i="1"/>
  <c r="GD696" i="1"/>
  <c r="GE693" i="1"/>
  <c r="GD693" i="1"/>
  <c r="GE685" i="1"/>
  <c r="GD685" i="1"/>
  <c r="GE681" i="1"/>
  <c r="GD681" i="1"/>
  <c r="GE669" i="1"/>
  <c r="GE664" i="1"/>
  <c r="GD669" i="1"/>
  <c r="GD664" i="1"/>
  <c r="GD662" i="1"/>
  <c r="GE666" i="1"/>
  <c r="GD666" i="1"/>
  <c r="GE655" i="1"/>
  <c r="GD655" i="1"/>
  <c r="GE645" i="1"/>
  <c r="GD645" i="1"/>
  <c r="GE637" i="1"/>
  <c r="GD637" i="1"/>
  <c r="GE634" i="1"/>
  <c r="GE632" i="1"/>
  <c r="GE630" i="1"/>
  <c r="GE628" i="1"/>
  <c r="GD634" i="1"/>
  <c r="GD632" i="1"/>
  <c r="GD630" i="1"/>
  <c r="GD628" i="1"/>
  <c r="GE625" i="1"/>
  <c r="GD625" i="1"/>
  <c r="GE621" i="1"/>
  <c r="GD621" i="1"/>
  <c r="GE619" i="1"/>
  <c r="GD619" i="1"/>
  <c r="GE616" i="1"/>
  <c r="GD616" i="1"/>
  <c r="GE613" i="1"/>
  <c r="GD613" i="1"/>
  <c r="GE606" i="1"/>
  <c r="GD606" i="1"/>
  <c r="GE600" i="1"/>
  <c r="GD600" i="1"/>
  <c r="GE592" i="1"/>
  <c r="GD592" i="1"/>
  <c r="GE585" i="1"/>
  <c r="GD585" i="1"/>
  <c r="GE581" i="1"/>
  <c r="GD581" i="1"/>
  <c r="GE579" i="1"/>
  <c r="GE577" i="1"/>
  <c r="GD579" i="1"/>
  <c r="GD577" i="1"/>
  <c r="GE571" i="1"/>
  <c r="GD571" i="1"/>
  <c r="GE569" i="1"/>
  <c r="GE567" i="1"/>
  <c r="GD569" i="1"/>
  <c r="GD567" i="1"/>
  <c r="GE563" i="1"/>
  <c r="GD563" i="1"/>
  <c r="GE558" i="1"/>
  <c r="GD558" i="1"/>
  <c r="GE555" i="1"/>
  <c r="GD555" i="1"/>
  <c r="GE549" i="1"/>
  <c r="GD549" i="1"/>
  <c r="GE543" i="1"/>
  <c r="GD543" i="1"/>
  <c r="GE535" i="1"/>
  <c r="GD535" i="1"/>
  <c r="GE532" i="1"/>
  <c r="GD532" i="1"/>
  <c r="GE526" i="1"/>
  <c r="GD526" i="1"/>
  <c r="GE507" i="1"/>
  <c r="GE505" i="1"/>
  <c r="GD507" i="1"/>
  <c r="GD505" i="1"/>
  <c r="GE500" i="1"/>
  <c r="GD500" i="1"/>
  <c r="GE488" i="1"/>
  <c r="GD488" i="1"/>
  <c r="GE482" i="1"/>
  <c r="GD482" i="1"/>
  <c r="GE472" i="1"/>
  <c r="GD472" i="1"/>
  <c r="GE464" i="1"/>
  <c r="GD464" i="1"/>
  <c r="GE458" i="1"/>
  <c r="GD458" i="1"/>
  <c r="GE451" i="1"/>
  <c r="GD451" i="1"/>
  <c r="GE444" i="1"/>
  <c r="GD444" i="1"/>
  <c r="GE439" i="1"/>
  <c r="GE437" i="1"/>
  <c r="GD439" i="1"/>
  <c r="GD437" i="1"/>
  <c r="GE427" i="1"/>
  <c r="GD427" i="1"/>
  <c r="GE419" i="1"/>
  <c r="GD419" i="1"/>
  <c r="GE416" i="1"/>
  <c r="GD416" i="1"/>
  <c r="GE411" i="1"/>
  <c r="GD411" i="1"/>
  <c r="GE406" i="1"/>
  <c r="GD406" i="1"/>
  <c r="GE401" i="1"/>
  <c r="GD401" i="1"/>
  <c r="GE397" i="1"/>
  <c r="GD397" i="1"/>
  <c r="GE386" i="1"/>
  <c r="GD386" i="1"/>
  <c r="GE380" i="1"/>
  <c r="GD380" i="1"/>
  <c r="GE378" i="1"/>
  <c r="GD378" i="1"/>
  <c r="GE375" i="1"/>
  <c r="GD375" i="1"/>
  <c r="GE368" i="1"/>
  <c r="GE366" i="1"/>
  <c r="GD368" i="1"/>
  <c r="GD366" i="1"/>
  <c r="GE361" i="1"/>
  <c r="GD361" i="1"/>
  <c r="GE358" i="1"/>
  <c r="GD358" i="1"/>
  <c r="GE354" i="1"/>
  <c r="GD354" i="1"/>
  <c r="GE347" i="1"/>
  <c r="GD347" i="1"/>
  <c r="GE329" i="1"/>
  <c r="GD329" i="1"/>
  <c r="GE326" i="1"/>
  <c r="GD326" i="1"/>
  <c r="GE322" i="1"/>
  <c r="GD322" i="1"/>
  <c r="GE319" i="1"/>
  <c r="GD319" i="1"/>
  <c r="GE316" i="1"/>
  <c r="GD316" i="1"/>
  <c r="GE313" i="1"/>
  <c r="GD313" i="1"/>
  <c r="GE310" i="1"/>
  <c r="GE308" i="1"/>
  <c r="GD310" i="1"/>
  <c r="GD308" i="1"/>
  <c r="GE305" i="1"/>
  <c r="GD305" i="1"/>
  <c r="GE302" i="1"/>
  <c r="GD302" i="1"/>
  <c r="GE298" i="1"/>
  <c r="GD298" i="1"/>
  <c r="GE293" i="1"/>
  <c r="GD293" i="1"/>
  <c r="GE288" i="1"/>
  <c r="GD288" i="1"/>
  <c r="GE279" i="1"/>
  <c r="GD279" i="1"/>
  <c r="GE275" i="1"/>
  <c r="GD275" i="1"/>
  <c r="GE267" i="1"/>
  <c r="GD267" i="1"/>
  <c r="GE259" i="1"/>
  <c r="GD259" i="1"/>
  <c r="GE251" i="1"/>
  <c r="GD251" i="1"/>
  <c r="GE246" i="1"/>
  <c r="GD246" i="1"/>
  <c r="GE244" i="1"/>
  <c r="GD244" i="1"/>
  <c r="GE238" i="1"/>
  <c r="GD238" i="1"/>
  <c r="GE237" i="1"/>
  <c r="GE236" i="1"/>
  <c r="GD237" i="1"/>
  <c r="GD236" i="1"/>
  <c r="GE234" i="1"/>
  <c r="GD234" i="1"/>
  <c r="GE233" i="1"/>
  <c r="GD233" i="1"/>
  <c r="GE231" i="1"/>
  <c r="GE230" i="1"/>
  <c r="GD231" i="1"/>
  <c r="GD230" i="1"/>
  <c r="GE228" i="1"/>
  <c r="GE227" i="1"/>
  <c r="GD228" i="1"/>
  <c r="GD227" i="1"/>
  <c r="GE225" i="1"/>
  <c r="GE224" i="1"/>
  <c r="GD225" i="1"/>
  <c r="GD224" i="1"/>
  <c r="GE222" i="1"/>
  <c r="GD222" i="1"/>
  <c r="GE221" i="1"/>
  <c r="GD221" i="1"/>
  <c r="GE220" i="1"/>
  <c r="GD220" i="1"/>
  <c r="GE219" i="1"/>
  <c r="GD219" i="1"/>
  <c r="GE218" i="1"/>
  <c r="GD218" i="1"/>
  <c r="GE215" i="1"/>
  <c r="GD215" i="1"/>
  <c r="GE214" i="1"/>
  <c r="GD214" i="1"/>
  <c r="GE213" i="1"/>
  <c r="GE212" i="1"/>
  <c r="GD213" i="1"/>
  <c r="GD212" i="1"/>
  <c r="GE205" i="1"/>
  <c r="GD205" i="1"/>
  <c r="GE204" i="1"/>
  <c r="GD204" i="1"/>
  <c r="GE202" i="1"/>
  <c r="GE201" i="1"/>
  <c r="GE199" i="1"/>
  <c r="GD202" i="1"/>
  <c r="GD201" i="1"/>
  <c r="GD199" i="1"/>
  <c r="GE197" i="1"/>
  <c r="GD197" i="1"/>
  <c r="GE196" i="1"/>
  <c r="GD196" i="1"/>
  <c r="GE195" i="1"/>
  <c r="GD195" i="1"/>
  <c r="GE193" i="1"/>
  <c r="GD193" i="1"/>
  <c r="GE191" i="1"/>
  <c r="GD191" i="1"/>
  <c r="GE189" i="1"/>
  <c r="GD189" i="1"/>
  <c r="GE187" i="1"/>
  <c r="GD187" i="1"/>
  <c r="GE185" i="1"/>
  <c r="GD185" i="1"/>
  <c r="GE184" i="1"/>
  <c r="GD184" i="1"/>
  <c r="GE182" i="1"/>
  <c r="GD182" i="1"/>
  <c r="GE180" i="1"/>
  <c r="GE179" i="1"/>
  <c r="GD180" i="1"/>
  <c r="GD179" i="1"/>
  <c r="GE177" i="1"/>
  <c r="GD177" i="1"/>
  <c r="GE176" i="1"/>
  <c r="GD176" i="1"/>
  <c r="GE175" i="1"/>
  <c r="GE174" i="1"/>
  <c r="GD175" i="1"/>
  <c r="GD174" i="1"/>
  <c r="GD172" i="1"/>
  <c r="GE170" i="1"/>
  <c r="GD170" i="1"/>
  <c r="GE169" i="1"/>
  <c r="GD169" i="1"/>
  <c r="GE168" i="1"/>
  <c r="GE167" i="1"/>
  <c r="GD168" i="1"/>
  <c r="GD167" i="1"/>
  <c r="GE165" i="1"/>
  <c r="GD165" i="1"/>
  <c r="GE163" i="1"/>
  <c r="GD163" i="1"/>
  <c r="GE162" i="1"/>
  <c r="GD162" i="1"/>
  <c r="GE161" i="1"/>
  <c r="GD161" i="1"/>
  <c r="GE160" i="1"/>
  <c r="GD160" i="1"/>
  <c r="GE159" i="1"/>
  <c r="GD159" i="1"/>
  <c r="GE158" i="1"/>
  <c r="GD158" i="1"/>
  <c r="GE157" i="1"/>
  <c r="GD157" i="1"/>
  <c r="GE156" i="1"/>
  <c r="GD156" i="1"/>
  <c r="GE155" i="1"/>
  <c r="GD155" i="1"/>
  <c r="GE153" i="1"/>
  <c r="GD153" i="1"/>
  <c r="GE152" i="1"/>
  <c r="GD152" i="1"/>
  <c r="GE151" i="1"/>
  <c r="GD151" i="1"/>
  <c r="GE150" i="1"/>
  <c r="GE149" i="1"/>
  <c r="GD150" i="1"/>
  <c r="GD149" i="1"/>
  <c r="GE147" i="1"/>
  <c r="GD147" i="1"/>
  <c r="GE146" i="1"/>
  <c r="GD146" i="1"/>
  <c r="GE145" i="1"/>
  <c r="GD145" i="1"/>
  <c r="GE144" i="1"/>
  <c r="GD144" i="1"/>
  <c r="GE143" i="1"/>
  <c r="GD143" i="1"/>
  <c r="GE142" i="1"/>
  <c r="GD142" i="1"/>
  <c r="GE141" i="1"/>
  <c r="GD141" i="1"/>
  <c r="GE140" i="1"/>
  <c r="GD140" i="1"/>
  <c r="GE139" i="1"/>
  <c r="GD139" i="1"/>
  <c r="GE137" i="1"/>
  <c r="GD137" i="1"/>
  <c r="GE134" i="1"/>
  <c r="GD134" i="1"/>
  <c r="GE133" i="1"/>
  <c r="GD133" i="1"/>
  <c r="GE132" i="1"/>
  <c r="GE131" i="1"/>
  <c r="GD132" i="1"/>
  <c r="GE129" i="1"/>
  <c r="GD129" i="1"/>
  <c r="GE128" i="1"/>
  <c r="GD128" i="1"/>
  <c r="GE127" i="1"/>
  <c r="GD127" i="1"/>
  <c r="GE126" i="1"/>
  <c r="GD126" i="1"/>
  <c r="GE125" i="1"/>
  <c r="GD125" i="1"/>
  <c r="GE123" i="1"/>
  <c r="GD123" i="1"/>
  <c r="GE122" i="1"/>
  <c r="GD122" i="1"/>
  <c r="GE121" i="1"/>
  <c r="GD121" i="1"/>
  <c r="GE120" i="1"/>
  <c r="GD120" i="1"/>
  <c r="GE119" i="1"/>
  <c r="GD119" i="1"/>
  <c r="GE118" i="1"/>
  <c r="GD118" i="1"/>
  <c r="GE116" i="1"/>
  <c r="GD116" i="1"/>
  <c r="GE115" i="1"/>
  <c r="GD115" i="1"/>
  <c r="GE114" i="1"/>
  <c r="GD114" i="1"/>
  <c r="GE113" i="1"/>
  <c r="GD113" i="1"/>
  <c r="GE112" i="1"/>
  <c r="GD112" i="1"/>
  <c r="GE111" i="1"/>
  <c r="GD111" i="1"/>
  <c r="GE109" i="1"/>
  <c r="GD109" i="1"/>
  <c r="GE108" i="1"/>
  <c r="GD108" i="1"/>
  <c r="GE107" i="1"/>
  <c r="GE106" i="1"/>
  <c r="GD107" i="1"/>
  <c r="GD106" i="1"/>
  <c r="GE102" i="1"/>
  <c r="GD102" i="1"/>
  <c r="GE101" i="1"/>
  <c r="GD101" i="1"/>
  <c r="GE100" i="1"/>
  <c r="GD100" i="1"/>
  <c r="GE99" i="1"/>
  <c r="GD99" i="1"/>
  <c r="GE98" i="1"/>
  <c r="GD98" i="1"/>
  <c r="GE97" i="1"/>
  <c r="GD97" i="1"/>
  <c r="GE96" i="1"/>
  <c r="GD96" i="1"/>
  <c r="GE95" i="1"/>
  <c r="GD95" i="1"/>
  <c r="GE94" i="1"/>
  <c r="GD94" i="1"/>
  <c r="GE92" i="1"/>
  <c r="GD92" i="1"/>
  <c r="GE91" i="1"/>
  <c r="GD91" i="1"/>
  <c r="GE90" i="1"/>
  <c r="GD90" i="1"/>
  <c r="GE89" i="1"/>
  <c r="GD89" i="1"/>
  <c r="GE88" i="1"/>
  <c r="GD88" i="1"/>
  <c r="GE87" i="1"/>
  <c r="GE86" i="1"/>
  <c r="GD87" i="1"/>
  <c r="GD86" i="1"/>
  <c r="GE84" i="1"/>
  <c r="GD84" i="1"/>
  <c r="GE83" i="1"/>
  <c r="GD83" i="1"/>
  <c r="GE82" i="1"/>
  <c r="GD82" i="1"/>
  <c r="GE80" i="1"/>
  <c r="GD80" i="1"/>
  <c r="GE79" i="1"/>
  <c r="GD79" i="1"/>
  <c r="GE78" i="1"/>
  <c r="GD78" i="1"/>
  <c r="GE77" i="1"/>
  <c r="GD77" i="1"/>
  <c r="GE75" i="1"/>
  <c r="GD75" i="1"/>
  <c r="GE74" i="1"/>
  <c r="GD74" i="1"/>
  <c r="GE73" i="1"/>
  <c r="GD73" i="1"/>
  <c r="GE70" i="1"/>
  <c r="GD70" i="1"/>
  <c r="GE69" i="1"/>
  <c r="GD69" i="1"/>
  <c r="GE68" i="1"/>
  <c r="GE67" i="1"/>
  <c r="GD68" i="1"/>
  <c r="GD67" i="1"/>
  <c r="GE65" i="1"/>
  <c r="GD65" i="1"/>
  <c r="GE64" i="1"/>
  <c r="GE63" i="1"/>
  <c r="GD64" i="1"/>
  <c r="GD63" i="1"/>
  <c r="GE61" i="1"/>
  <c r="GD61" i="1"/>
  <c r="GE59" i="1"/>
  <c r="GD59" i="1"/>
  <c r="GE58" i="1"/>
  <c r="GD58" i="1"/>
  <c r="GE57" i="1"/>
  <c r="GD57" i="1"/>
  <c r="GE56" i="1"/>
  <c r="GD56" i="1"/>
  <c r="GE55" i="1"/>
  <c r="GD55" i="1"/>
  <c r="GE54" i="1"/>
  <c r="GD54" i="1"/>
  <c r="GE53" i="1"/>
  <c r="GE52" i="1"/>
  <c r="GD53" i="1"/>
  <c r="GD52" i="1"/>
  <c r="GE50" i="1"/>
  <c r="GD50" i="1"/>
  <c r="GE49" i="1"/>
  <c r="GD49" i="1"/>
  <c r="GE48" i="1"/>
  <c r="GD48" i="1"/>
  <c r="GE47" i="1"/>
  <c r="GE46" i="1"/>
  <c r="GD47" i="1"/>
  <c r="GD46" i="1"/>
  <c r="GE42" i="1"/>
  <c r="GD42" i="1"/>
  <c r="GE41" i="1"/>
  <c r="GD41" i="1"/>
  <c r="GE36" i="1"/>
  <c r="GD36" i="1"/>
  <c r="GE34" i="1"/>
  <c r="GD34" i="1"/>
  <c r="GE33" i="1"/>
  <c r="GD33" i="1"/>
  <c r="GE32" i="1"/>
  <c r="GD32" i="1"/>
  <c r="GE31" i="1"/>
  <c r="GE30" i="1"/>
  <c r="GD31" i="1"/>
  <c r="GD30" i="1"/>
  <c r="GE28" i="1"/>
  <c r="GD28" i="1"/>
  <c r="GE26" i="1"/>
  <c r="GD26" i="1"/>
  <c r="GE24" i="1"/>
  <c r="GD24" i="1"/>
  <c r="GE23" i="1"/>
  <c r="GD23" i="1"/>
  <c r="GE22" i="1"/>
  <c r="GE21" i="1"/>
  <c r="GD22" i="1"/>
  <c r="GD21" i="1"/>
  <c r="GE19" i="1"/>
  <c r="GD19" i="1"/>
  <c r="GG860" i="1"/>
  <c r="GF860" i="1"/>
  <c r="GG856" i="1"/>
  <c r="GF856" i="1"/>
  <c r="GG845" i="1"/>
  <c r="GF845" i="1"/>
  <c r="GG842" i="1"/>
  <c r="GF842" i="1"/>
  <c r="GG827" i="1"/>
  <c r="GF827" i="1"/>
  <c r="GG790" i="1"/>
  <c r="GF790" i="1"/>
  <c r="GG783" i="1"/>
  <c r="GF783" i="1"/>
  <c r="GG768" i="1"/>
  <c r="GF768" i="1"/>
  <c r="GG742" i="1"/>
  <c r="GF742" i="1"/>
  <c r="GG738" i="1"/>
  <c r="GF738" i="1"/>
  <c r="GG728" i="1"/>
  <c r="GF728" i="1"/>
  <c r="GG725" i="1"/>
  <c r="GF725" i="1"/>
  <c r="GG718" i="1"/>
  <c r="GF718" i="1"/>
  <c r="GG711" i="1"/>
  <c r="GF711" i="1"/>
  <c r="GG705" i="1"/>
  <c r="GF705" i="1"/>
  <c r="GG702" i="1"/>
  <c r="GF702" i="1"/>
  <c r="GG699" i="1"/>
  <c r="GF699" i="1"/>
  <c r="GG696" i="1"/>
  <c r="GF696" i="1"/>
  <c r="GG693" i="1"/>
  <c r="GF693" i="1"/>
  <c r="GG685" i="1"/>
  <c r="GF685" i="1"/>
  <c r="GG681" i="1"/>
  <c r="GF681" i="1"/>
  <c r="GG669" i="1"/>
  <c r="GG664" i="1"/>
  <c r="GG662" i="1"/>
  <c r="GF669" i="1"/>
  <c r="GF664" i="1"/>
  <c r="GF662" i="1"/>
  <c r="GG666" i="1"/>
  <c r="GF666" i="1"/>
  <c r="GG655" i="1"/>
  <c r="GF655" i="1"/>
  <c r="GG645" i="1"/>
  <c r="GF645" i="1"/>
  <c r="GG637" i="1"/>
  <c r="GF637" i="1"/>
  <c r="GG634" i="1"/>
  <c r="GF634" i="1"/>
  <c r="GG632" i="1"/>
  <c r="GG630" i="1"/>
  <c r="GG628" i="1"/>
  <c r="GF632" i="1"/>
  <c r="GF630" i="1"/>
  <c r="GF628" i="1"/>
  <c r="GG625" i="1"/>
  <c r="GF625" i="1"/>
  <c r="GG621" i="1"/>
  <c r="GF621" i="1"/>
  <c r="GF619" i="1"/>
  <c r="GG616" i="1"/>
  <c r="GF616" i="1"/>
  <c r="GG613" i="1"/>
  <c r="GF613" i="1"/>
  <c r="GG611" i="1"/>
  <c r="GF611" i="1"/>
  <c r="GG606" i="1"/>
  <c r="GF606" i="1"/>
  <c r="GG600" i="1"/>
  <c r="GF600" i="1"/>
  <c r="GG592" i="1"/>
  <c r="GF592" i="1"/>
  <c r="GG585" i="1"/>
  <c r="GF585" i="1"/>
  <c r="GG581" i="1"/>
  <c r="GG579" i="1"/>
  <c r="GG577" i="1"/>
  <c r="GF581" i="1"/>
  <c r="GF579" i="1"/>
  <c r="GF577" i="1"/>
  <c r="GG571" i="1"/>
  <c r="GG569" i="1"/>
  <c r="GG567" i="1"/>
  <c r="GF571" i="1"/>
  <c r="GF569" i="1"/>
  <c r="GF567" i="1"/>
  <c r="GG563" i="1"/>
  <c r="GF563" i="1"/>
  <c r="GG558" i="1"/>
  <c r="GF558" i="1"/>
  <c r="GG555" i="1"/>
  <c r="GF555" i="1"/>
  <c r="GG549" i="1"/>
  <c r="GF549" i="1"/>
  <c r="GG543" i="1"/>
  <c r="GF543" i="1"/>
  <c r="GG541" i="1"/>
  <c r="GF541" i="1"/>
  <c r="GG535" i="1"/>
  <c r="GF535" i="1"/>
  <c r="GG532" i="1"/>
  <c r="GF532" i="1"/>
  <c r="GG526" i="1"/>
  <c r="GF526" i="1"/>
  <c r="GG507" i="1"/>
  <c r="GF507" i="1"/>
  <c r="GG505" i="1"/>
  <c r="GF505" i="1"/>
  <c r="GG500" i="1"/>
  <c r="GF500" i="1"/>
  <c r="GG488" i="1"/>
  <c r="GF488" i="1"/>
  <c r="GG482" i="1"/>
  <c r="GF482" i="1"/>
  <c r="GG472" i="1"/>
  <c r="GF472" i="1"/>
  <c r="GG464" i="1"/>
  <c r="GF464" i="1"/>
  <c r="GG458" i="1"/>
  <c r="GF458" i="1"/>
  <c r="GG451" i="1"/>
  <c r="GF451" i="1"/>
  <c r="GG444" i="1"/>
  <c r="GF444" i="1"/>
  <c r="GG439" i="1"/>
  <c r="GF439" i="1"/>
  <c r="GG437" i="1"/>
  <c r="GF437" i="1"/>
  <c r="GG427" i="1"/>
  <c r="GF427" i="1"/>
  <c r="GG419" i="1"/>
  <c r="GF419" i="1"/>
  <c r="GG416" i="1"/>
  <c r="GF416" i="1"/>
  <c r="GG411" i="1"/>
  <c r="GF411" i="1"/>
  <c r="GG406" i="1"/>
  <c r="GF406" i="1"/>
  <c r="GG401" i="1"/>
  <c r="GF401" i="1"/>
  <c r="GG397" i="1"/>
  <c r="GF397" i="1"/>
  <c r="GG386" i="1"/>
  <c r="GF386" i="1"/>
  <c r="GG380" i="1"/>
  <c r="GF380" i="1"/>
  <c r="GF378" i="1"/>
  <c r="GG375" i="1"/>
  <c r="GF375" i="1"/>
  <c r="GG368" i="1"/>
  <c r="GG366" i="1"/>
  <c r="GF368" i="1"/>
  <c r="GF366" i="1"/>
  <c r="GG361" i="1"/>
  <c r="GF361" i="1"/>
  <c r="GG358" i="1"/>
  <c r="GF358" i="1"/>
  <c r="GG354" i="1"/>
  <c r="GF354" i="1"/>
  <c r="GG347" i="1"/>
  <c r="GF347" i="1"/>
  <c r="GG329" i="1"/>
  <c r="GF329" i="1"/>
  <c r="GG326" i="1"/>
  <c r="GF326" i="1"/>
  <c r="GG322" i="1"/>
  <c r="GF322" i="1"/>
  <c r="GG319" i="1"/>
  <c r="GF319" i="1"/>
  <c r="GG316" i="1"/>
  <c r="GF316" i="1"/>
  <c r="GG313" i="1"/>
  <c r="GF313" i="1"/>
  <c r="GG310" i="1"/>
  <c r="GG308" i="1"/>
  <c r="GF310" i="1"/>
  <c r="GF308" i="1"/>
  <c r="GG305" i="1"/>
  <c r="GF305" i="1"/>
  <c r="GG302" i="1"/>
  <c r="GF302" i="1"/>
  <c r="GG298" i="1"/>
  <c r="GF298" i="1"/>
  <c r="GG293" i="1"/>
  <c r="GF293" i="1"/>
  <c r="GG288" i="1"/>
  <c r="GF288" i="1"/>
  <c r="GG279" i="1"/>
  <c r="GF279" i="1"/>
  <c r="GG275" i="1"/>
  <c r="GF275" i="1"/>
  <c r="GG267" i="1"/>
  <c r="GF267" i="1"/>
  <c r="GG259" i="1"/>
  <c r="GF259" i="1"/>
  <c r="GG251" i="1"/>
  <c r="GF251" i="1"/>
  <c r="GG246" i="1"/>
  <c r="GG244" i="1"/>
  <c r="GF246" i="1"/>
  <c r="GF244" i="1"/>
  <c r="GG238" i="1"/>
  <c r="GF238" i="1"/>
  <c r="GG237" i="1"/>
  <c r="GG236" i="1"/>
  <c r="GF237" i="1"/>
  <c r="GF236" i="1"/>
  <c r="GG234" i="1"/>
  <c r="GF234" i="1"/>
  <c r="GG233" i="1"/>
  <c r="GF233" i="1"/>
  <c r="GG231" i="1"/>
  <c r="GG230" i="1"/>
  <c r="GF231" i="1"/>
  <c r="GF230" i="1"/>
  <c r="GG228" i="1"/>
  <c r="GG227" i="1"/>
  <c r="GF228" i="1"/>
  <c r="GF227" i="1"/>
  <c r="GG225" i="1"/>
  <c r="GG224" i="1"/>
  <c r="GF225" i="1"/>
  <c r="GF224" i="1"/>
  <c r="GG222" i="1"/>
  <c r="GF222" i="1"/>
  <c r="GG221" i="1"/>
  <c r="GF221" i="1"/>
  <c r="GG220" i="1"/>
  <c r="GF220" i="1"/>
  <c r="GG219" i="1"/>
  <c r="GF219" i="1"/>
  <c r="GG218" i="1"/>
  <c r="GF218" i="1"/>
  <c r="GG215" i="1"/>
  <c r="GF215" i="1"/>
  <c r="GG214" i="1"/>
  <c r="GF214" i="1"/>
  <c r="GG213" i="1"/>
  <c r="GG212" i="1"/>
  <c r="GF213" i="1"/>
  <c r="GF212" i="1"/>
  <c r="GG205" i="1"/>
  <c r="GF205" i="1"/>
  <c r="GG204" i="1"/>
  <c r="GF204" i="1"/>
  <c r="GG202" i="1"/>
  <c r="GF202" i="1"/>
  <c r="GF201" i="1"/>
  <c r="GF199" i="1"/>
  <c r="GG201" i="1"/>
  <c r="GG199" i="1"/>
  <c r="GG197" i="1"/>
  <c r="GF197" i="1"/>
  <c r="GG196" i="1"/>
  <c r="GF196" i="1"/>
  <c r="GG195" i="1"/>
  <c r="GF195" i="1"/>
  <c r="GG193" i="1"/>
  <c r="GF193" i="1"/>
  <c r="GG191" i="1"/>
  <c r="GF191" i="1"/>
  <c r="GG189" i="1"/>
  <c r="GF189" i="1"/>
  <c r="GG187" i="1"/>
  <c r="GF187" i="1"/>
  <c r="GG185" i="1"/>
  <c r="GF185" i="1"/>
  <c r="GG184" i="1"/>
  <c r="GF184" i="1"/>
  <c r="GG182" i="1"/>
  <c r="GF182" i="1"/>
  <c r="GG180" i="1"/>
  <c r="GG179" i="1"/>
  <c r="GF180" i="1"/>
  <c r="GF179" i="1"/>
  <c r="GG177" i="1"/>
  <c r="GF177" i="1"/>
  <c r="GG176" i="1"/>
  <c r="GF176" i="1"/>
  <c r="GG175" i="1"/>
  <c r="GG174" i="1"/>
  <c r="GF175" i="1"/>
  <c r="GF174" i="1"/>
  <c r="GG170" i="1"/>
  <c r="GF170" i="1"/>
  <c r="GG169" i="1"/>
  <c r="GF169" i="1"/>
  <c r="GG168" i="1"/>
  <c r="GG167" i="1"/>
  <c r="GF168" i="1"/>
  <c r="GF167" i="1"/>
  <c r="GG165" i="1"/>
  <c r="GF165" i="1"/>
  <c r="GG163" i="1"/>
  <c r="GF163" i="1"/>
  <c r="GG162" i="1"/>
  <c r="GF162" i="1"/>
  <c r="GG161" i="1"/>
  <c r="GF161" i="1"/>
  <c r="GG160" i="1"/>
  <c r="GF160" i="1"/>
  <c r="GF155" i="1"/>
  <c r="GG159" i="1"/>
  <c r="GF159" i="1"/>
  <c r="GG158" i="1"/>
  <c r="GF158" i="1"/>
  <c r="GG157" i="1"/>
  <c r="GF157" i="1"/>
  <c r="GG156" i="1"/>
  <c r="GF156" i="1"/>
  <c r="GG155" i="1"/>
  <c r="GG153" i="1"/>
  <c r="GF153" i="1"/>
  <c r="GG152" i="1"/>
  <c r="GF152" i="1"/>
  <c r="GG151" i="1"/>
  <c r="GF151" i="1"/>
  <c r="GG150" i="1"/>
  <c r="GG149" i="1"/>
  <c r="GF150" i="1"/>
  <c r="GF149" i="1"/>
  <c r="GG147" i="1"/>
  <c r="GF147" i="1"/>
  <c r="GG146" i="1"/>
  <c r="GF146" i="1"/>
  <c r="GG145" i="1"/>
  <c r="GF145" i="1"/>
  <c r="GG144" i="1"/>
  <c r="GF144" i="1"/>
  <c r="GG143" i="1"/>
  <c r="GF143" i="1"/>
  <c r="GG142" i="1"/>
  <c r="GF142" i="1"/>
  <c r="GG141" i="1"/>
  <c r="GF141" i="1"/>
  <c r="GG140" i="1"/>
  <c r="GF140" i="1"/>
  <c r="GG139" i="1"/>
  <c r="GF139" i="1"/>
  <c r="GG137" i="1"/>
  <c r="GF137" i="1"/>
  <c r="GG134" i="1"/>
  <c r="GF134" i="1"/>
  <c r="GG133" i="1"/>
  <c r="GF133" i="1"/>
  <c r="GG132" i="1"/>
  <c r="GF132" i="1"/>
  <c r="GF131" i="1"/>
  <c r="GG129" i="1"/>
  <c r="GF129" i="1"/>
  <c r="GG128" i="1"/>
  <c r="GF128" i="1"/>
  <c r="GG127" i="1"/>
  <c r="GF127" i="1"/>
  <c r="GG126" i="1"/>
  <c r="GF126" i="1"/>
  <c r="GG125" i="1"/>
  <c r="GF125" i="1"/>
  <c r="GG123" i="1"/>
  <c r="GF123" i="1"/>
  <c r="GG122" i="1"/>
  <c r="GF122" i="1"/>
  <c r="GG121" i="1"/>
  <c r="GF121" i="1"/>
  <c r="GG120" i="1"/>
  <c r="GF120" i="1"/>
  <c r="GG119" i="1"/>
  <c r="GF119" i="1"/>
  <c r="GG118" i="1"/>
  <c r="GF118" i="1"/>
  <c r="GG116" i="1"/>
  <c r="GF116" i="1"/>
  <c r="GG115" i="1"/>
  <c r="GF115" i="1"/>
  <c r="GG114" i="1"/>
  <c r="GF114" i="1"/>
  <c r="GG113" i="1"/>
  <c r="GF113" i="1"/>
  <c r="GG112" i="1"/>
  <c r="GF112" i="1"/>
  <c r="GG111" i="1"/>
  <c r="GF111" i="1"/>
  <c r="GG109" i="1"/>
  <c r="GF109" i="1"/>
  <c r="GG108" i="1"/>
  <c r="GF108" i="1"/>
  <c r="GG107" i="1"/>
  <c r="GG106" i="1"/>
  <c r="GF107" i="1"/>
  <c r="GF106" i="1"/>
  <c r="GG102" i="1"/>
  <c r="GF102" i="1"/>
  <c r="GG101" i="1"/>
  <c r="GF101" i="1"/>
  <c r="GG100" i="1"/>
  <c r="GF100" i="1"/>
  <c r="GG99" i="1"/>
  <c r="GF99" i="1"/>
  <c r="GG98" i="1"/>
  <c r="GF98" i="1"/>
  <c r="GG97" i="1"/>
  <c r="GF97" i="1"/>
  <c r="GG96" i="1"/>
  <c r="GF96" i="1"/>
  <c r="GG95" i="1"/>
  <c r="GF95" i="1"/>
  <c r="GF94" i="1"/>
  <c r="GG94" i="1"/>
  <c r="GG92" i="1"/>
  <c r="GG86" i="1"/>
  <c r="GF92" i="1"/>
  <c r="GG91" i="1"/>
  <c r="GF91" i="1"/>
  <c r="GG90" i="1"/>
  <c r="GF90" i="1"/>
  <c r="GG89" i="1"/>
  <c r="GF89" i="1"/>
  <c r="GG88" i="1"/>
  <c r="GF88" i="1"/>
  <c r="GG87" i="1"/>
  <c r="GF87" i="1"/>
  <c r="GF86" i="1"/>
  <c r="GG84" i="1"/>
  <c r="GF84" i="1"/>
  <c r="GG83" i="1"/>
  <c r="GF83" i="1"/>
  <c r="GG82" i="1"/>
  <c r="GF82" i="1"/>
  <c r="GG80" i="1"/>
  <c r="GG77" i="1"/>
  <c r="GF80" i="1"/>
  <c r="GF77" i="1"/>
  <c r="GG79" i="1"/>
  <c r="GF79" i="1"/>
  <c r="GG78" i="1"/>
  <c r="GF78" i="1"/>
  <c r="GG75" i="1"/>
  <c r="GF75" i="1"/>
  <c r="GG74" i="1"/>
  <c r="GF74" i="1"/>
  <c r="GF72" i="1"/>
  <c r="GG73" i="1"/>
  <c r="GF73" i="1"/>
  <c r="GG70" i="1"/>
  <c r="GF70" i="1"/>
  <c r="GG69" i="1"/>
  <c r="GF69" i="1"/>
  <c r="GG68" i="1"/>
  <c r="GG67" i="1"/>
  <c r="GF68" i="1"/>
  <c r="GF67" i="1"/>
  <c r="GG65" i="1"/>
  <c r="GF65" i="1"/>
  <c r="GG64" i="1"/>
  <c r="GG63" i="1"/>
  <c r="GF64" i="1"/>
  <c r="GF63" i="1"/>
  <c r="GG61" i="1"/>
  <c r="GF61" i="1"/>
  <c r="GG59" i="1"/>
  <c r="GF59" i="1"/>
  <c r="GG58" i="1"/>
  <c r="GF58" i="1"/>
  <c r="GG57" i="1"/>
  <c r="GF57" i="1"/>
  <c r="GG56" i="1"/>
  <c r="GF56" i="1"/>
  <c r="GG55" i="1"/>
  <c r="GF55" i="1"/>
  <c r="GG54" i="1"/>
  <c r="GF54" i="1"/>
  <c r="GG53" i="1"/>
  <c r="GG52" i="1"/>
  <c r="GF53" i="1"/>
  <c r="GF52" i="1"/>
  <c r="GG50" i="1"/>
  <c r="GF50" i="1"/>
  <c r="GG49" i="1"/>
  <c r="GF49" i="1"/>
  <c r="GG48" i="1"/>
  <c r="GF48" i="1"/>
  <c r="GG47" i="1"/>
  <c r="GG46" i="1"/>
  <c r="GF47" i="1"/>
  <c r="GG42" i="1"/>
  <c r="GF42" i="1"/>
  <c r="GG41" i="1"/>
  <c r="GF41" i="1"/>
  <c r="GG36" i="1"/>
  <c r="GF36" i="1"/>
  <c r="GG34" i="1"/>
  <c r="GF34" i="1"/>
  <c r="GG33" i="1"/>
  <c r="GF33" i="1"/>
  <c r="GG32" i="1"/>
  <c r="GF32" i="1"/>
  <c r="GG31" i="1"/>
  <c r="GG30" i="1"/>
  <c r="GF31" i="1"/>
  <c r="GF30" i="1"/>
  <c r="GG28" i="1"/>
  <c r="GF28" i="1"/>
  <c r="GG26" i="1"/>
  <c r="GF26" i="1"/>
  <c r="GG24" i="1"/>
  <c r="GF24" i="1"/>
  <c r="GG23" i="1"/>
  <c r="GF23" i="1"/>
  <c r="GG22" i="1"/>
  <c r="GG21" i="1"/>
  <c r="GF22" i="1"/>
  <c r="GF21" i="1"/>
  <c r="GG19" i="1"/>
  <c r="GF19" i="1"/>
  <c r="GI860" i="1"/>
  <c r="GH860" i="1"/>
  <c r="GI856" i="1"/>
  <c r="GH856" i="1"/>
  <c r="GI845" i="1"/>
  <c r="GH845" i="1"/>
  <c r="GI842" i="1"/>
  <c r="GH842" i="1"/>
  <c r="GI827" i="1"/>
  <c r="GH827" i="1"/>
  <c r="GI790" i="1"/>
  <c r="GH790" i="1"/>
  <c r="GI783" i="1"/>
  <c r="GH783" i="1"/>
  <c r="GI768" i="1"/>
  <c r="GH768" i="1"/>
  <c r="GI742" i="1"/>
  <c r="GH742" i="1"/>
  <c r="GI738" i="1"/>
  <c r="GH738" i="1"/>
  <c r="GI728" i="1"/>
  <c r="GH728" i="1"/>
  <c r="GI725" i="1"/>
  <c r="GH725" i="1"/>
  <c r="GI718" i="1"/>
  <c r="GH718" i="1"/>
  <c r="GI711" i="1"/>
  <c r="GH711" i="1"/>
  <c r="GI705" i="1"/>
  <c r="GH705" i="1"/>
  <c r="GI702" i="1"/>
  <c r="GH702" i="1"/>
  <c r="GI699" i="1"/>
  <c r="GH699" i="1"/>
  <c r="GI696" i="1"/>
  <c r="GH696" i="1"/>
  <c r="GI693" i="1"/>
  <c r="GH693" i="1"/>
  <c r="GI685" i="1"/>
  <c r="GH685" i="1"/>
  <c r="GI681" i="1"/>
  <c r="GH681" i="1"/>
  <c r="GI669" i="1"/>
  <c r="GI664" i="1"/>
  <c r="GI662" i="1"/>
  <c r="GH669" i="1"/>
  <c r="GH664" i="1"/>
  <c r="GH662" i="1"/>
  <c r="GI666" i="1"/>
  <c r="GH666" i="1"/>
  <c r="GI655" i="1"/>
  <c r="GH655" i="1"/>
  <c r="GI645" i="1"/>
  <c r="GH645" i="1"/>
  <c r="GI637" i="1"/>
  <c r="GH637" i="1"/>
  <c r="GI634" i="1"/>
  <c r="GI632" i="1"/>
  <c r="GI630" i="1"/>
  <c r="GI628" i="1"/>
  <c r="GH634" i="1"/>
  <c r="GH632" i="1"/>
  <c r="GH630" i="1"/>
  <c r="GH628" i="1"/>
  <c r="GI625" i="1"/>
  <c r="GH625" i="1"/>
  <c r="GI621" i="1"/>
  <c r="GH621" i="1"/>
  <c r="GI619" i="1"/>
  <c r="GH619" i="1"/>
  <c r="GI616" i="1"/>
  <c r="GH616" i="1"/>
  <c r="GI613" i="1"/>
  <c r="GH613" i="1"/>
  <c r="GI606" i="1"/>
  <c r="GH606" i="1"/>
  <c r="GI600" i="1"/>
  <c r="GH600" i="1"/>
  <c r="GI592" i="1"/>
  <c r="GH592" i="1"/>
  <c r="GI585" i="1"/>
  <c r="GH585" i="1"/>
  <c r="GI581" i="1"/>
  <c r="GH581" i="1"/>
  <c r="GI579" i="1"/>
  <c r="GH579" i="1"/>
  <c r="GI571" i="1"/>
  <c r="GH571" i="1"/>
  <c r="GI569" i="1"/>
  <c r="GI567" i="1"/>
  <c r="GH569" i="1"/>
  <c r="GH567" i="1"/>
  <c r="GI563" i="1"/>
  <c r="GH563" i="1"/>
  <c r="GI558" i="1"/>
  <c r="GH558" i="1"/>
  <c r="GI555" i="1"/>
  <c r="GH555" i="1"/>
  <c r="GI549" i="1"/>
  <c r="GH549" i="1"/>
  <c r="GI543" i="1"/>
  <c r="GH543" i="1"/>
  <c r="GI535" i="1"/>
  <c r="GH535" i="1"/>
  <c r="GI532" i="1"/>
  <c r="GH532" i="1"/>
  <c r="GI526" i="1"/>
  <c r="GH526" i="1"/>
  <c r="GI507" i="1"/>
  <c r="GI505" i="1"/>
  <c r="GH507" i="1"/>
  <c r="GH505" i="1"/>
  <c r="GI500" i="1"/>
  <c r="GH500" i="1"/>
  <c r="GI488" i="1"/>
  <c r="GH488" i="1"/>
  <c r="GI482" i="1"/>
  <c r="GH482" i="1"/>
  <c r="GI472" i="1"/>
  <c r="GH472" i="1"/>
  <c r="GI464" i="1"/>
  <c r="GH464" i="1"/>
  <c r="GI458" i="1"/>
  <c r="GH458" i="1"/>
  <c r="GI451" i="1"/>
  <c r="GH451" i="1"/>
  <c r="GI444" i="1"/>
  <c r="GH444" i="1"/>
  <c r="GI439" i="1"/>
  <c r="GH439" i="1"/>
  <c r="GI427" i="1"/>
  <c r="GH427" i="1"/>
  <c r="GI419" i="1"/>
  <c r="GH419" i="1"/>
  <c r="GI416" i="1"/>
  <c r="GH416" i="1"/>
  <c r="GI411" i="1"/>
  <c r="GH411" i="1"/>
  <c r="GI406" i="1"/>
  <c r="GH406" i="1"/>
  <c r="GI401" i="1"/>
  <c r="GH401" i="1"/>
  <c r="GI397" i="1"/>
  <c r="GH397" i="1"/>
  <c r="GI386" i="1"/>
  <c r="GH386" i="1"/>
  <c r="GI380" i="1"/>
  <c r="GH380" i="1"/>
  <c r="GI375" i="1"/>
  <c r="GH375" i="1"/>
  <c r="GI368" i="1"/>
  <c r="GH368" i="1"/>
  <c r="GI366" i="1"/>
  <c r="GH366" i="1"/>
  <c r="GI361" i="1"/>
  <c r="GH361" i="1"/>
  <c r="GI358" i="1"/>
  <c r="GH358" i="1"/>
  <c r="GI354" i="1"/>
  <c r="GH354" i="1"/>
  <c r="GI347" i="1"/>
  <c r="GH347" i="1"/>
  <c r="GI329" i="1"/>
  <c r="GH329" i="1"/>
  <c r="GI326" i="1"/>
  <c r="GH326" i="1"/>
  <c r="GI322" i="1"/>
  <c r="GH322" i="1"/>
  <c r="GI319" i="1"/>
  <c r="GH319" i="1"/>
  <c r="GI316" i="1"/>
  <c r="GH316" i="1"/>
  <c r="GI313" i="1"/>
  <c r="GH313" i="1"/>
  <c r="GI310" i="1"/>
  <c r="GI308" i="1"/>
  <c r="GH310" i="1"/>
  <c r="GH308" i="1"/>
  <c r="GI305" i="1"/>
  <c r="GH305" i="1"/>
  <c r="GI302" i="1"/>
  <c r="GH302" i="1"/>
  <c r="GI298" i="1"/>
  <c r="GH298" i="1"/>
  <c r="GI293" i="1"/>
  <c r="GH293" i="1"/>
  <c r="GI288" i="1"/>
  <c r="GH288" i="1"/>
  <c r="GI279" i="1"/>
  <c r="GH279" i="1"/>
  <c r="GI275" i="1"/>
  <c r="GH275" i="1"/>
  <c r="GH273" i="1"/>
  <c r="GI267" i="1"/>
  <c r="GH267" i="1"/>
  <c r="GI259" i="1"/>
  <c r="GH259" i="1"/>
  <c r="GI251" i="1"/>
  <c r="GH251" i="1"/>
  <c r="GI246" i="1"/>
  <c r="GH246" i="1"/>
  <c r="GH244" i="1"/>
  <c r="GI238" i="1"/>
  <c r="GH238" i="1"/>
  <c r="GI237" i="1"/>
  <c r="GH237" i="1"/>
  <c r="GH236" i="1"/>
  <c r="GI236" i="1"/>
  <c r="GI234" i="1"/>
  <c r="GH234" i="1"/>
  <c r="GH230" i="1"/>
  <c r="GI233" i="1"/>
  <c r="GH233" i="1"/>
  <c r="GI231" i="1"/>
  <c r="GH231" i="1"/>
  <c r="GI230" i="1"/>
  <c r="GI228" i="1"/>
  <c r="GH228" i="1"/>
  <c r="GI227" i="1"/>
  <c r="GH227" i="1"/>
  <c r="GI225" i="1"/>
  <c r="GI224" i="1"/>
  <c r="GH225" i="1"/>
  <c r="GH224" i="1"/>
  <c r="GI222" i="1"/>
  <c r="GH222" i="1"/>
  <c r="GI221" i="1"/>
  <c r="GH221" i="1"/>
  <c r="GI220" i="1"/>
  <c r="GH220" i="1"/>
  <c r="GI219" i="1"/>
  <c r="GI218" i="1"/>
  <c r="GH219" i="1"/>
  <c r="GI215" i="1"/>
  <c r="GH215" i="1"/>
  <c r="GI214" i="1"/>
  <c r="GH214" i="1"/>
  <c r="GI213" i="1"/>
  <c r="GI212" i="1"/>
  <c r="GH213" i="1"/>
  <c r="GH212" i="1"/>
  <c r="GI205" i="1"/>
  <c r="GI204" i="1"/>
  <c r="GH205" i="1"/>
  <c r="GH204" i="1"/>
  <c r="GI202" i="1"/>
  <c r="GI201" i="1"/>
  <c r="GH202" i="1"/>
  <c r="GH201" i="1"/>
  <c r="GI197" i="1"/>
  <c r="GH197" i="1"/>
  <c r="GI196" i="1"/>
  <c r="GI195" i="1"/>
  <c r="GH196" i="1"/>
  <c r="GH195" i="1"/>
  <c r="GI193" i="1"/>
  <c r="GH193" i="1"/>
  <c r="GI191" i="1"/>
  <c r="GH191" i="1"/>
  <c r="GI189" i="1"/>
  <c r="GH189" i="1"/>
  <c r="GI187" i="1"/>
  <c r="GH187" i="1"/>
  <c r="GI185" i="1"/>
  <c r="GI184" i="1"/>
  <c r="GH185" i="1"/>
  <c r="GH184" i="1"/>
  <c r="GI182" i="1"/>
  <c r="GH182" i="1"/>
  <c r="GI180" i="1"/>
  <c r="GH180" i="1"/>
  <c r="GI179" i="1"/>
  <c r="GH179" i="1"/>
  <c r="GI177" i="1"/>
  <c r="GH177" i="1"/>
  <c r="GI176" i="1"/>
  <c r="GH176" i="1"/>
  <c r="GI175" i="1"/>
  <c r="GH175" i="1"/>
  <c r="GI174" i="1"/>
  <c r="GH174" i="1"/>
  <c r="GI170" i="1"/>
  <c r="GH170" i="1"/>
  <c r="GI169" i="1"/>
  <c r="GH169" i="1"/>
  <c r="GI168" i="1"/>
  <c r="GI167" i="1"/>
  <c r="GH168" i="1"/>
  <c r="GH167" i="1"/>
  <c r="GI165" i="1"/>
  <c r="GH165" i="1"/>
  <c r="GI163" i="1"/>
  <c r="GH163" i="1"/>
  <c r="GI162" i="1"/>
  <c r="GH162" i="1"/>
  <c r="GI161" i="1"/>
  <c r="GH161" i="1"/>
  <c r="GI160" i="1"/>
  <c r="GH160" i="1"/>
  <c r="GH155" i="1"/>
  <c r="GI159" i="1"/>
  <c r="GH159" i="1"/>
  <c r="GI158" i="1"/>
  <c r="GH158" i="1"/>
  <c r="GI157" i="1"/>
  <c r="GH157" i="1"/>
  <c r="GI156" i="1"/>
  <c r="GI155" i="1"/>
  <c r="GH156" i="1"/>
  <c r="GI153" i="1"/>
  <c r="GH153" i="1"/>
  <c r="GI152" i="1"/>
  <c r="GH152" i="1"/>
  <c r="GI151" i="1"/>
  <c r="GH151" i="1"/>
  <c r="GI150" i="1"/>
  <c r="GH150" i="1"/>
  <c r="GI149" i="1"/>
  <c r="GH149" i="1"/>
  <c r="GI147" i="1"/>
  <c r="GH147" i="1"/>
  <c r="GI146" i="1"/>
  <c r="GH146" i="1"/>
  <c r="GI145" i="1"/>
  <c r="GH145" i="1"/>
  <c r="GI144" i="1"/>
  <c r="GH144" i="1"/>
  <c r="GI143" i="1"/>
  <c r="GH143" i="1"/>
  <c r="GI142" i="1"/>
  <c r="GH142" i="1"/>
  <c r="GI141" i="1"/>
  <c r="GH141" i="1"/>
  <c r="GI140" i="1"/>
  <c r="GI139" i="1"/>
  <c r="GH140" i="1"/>
  <c r="GH139" i="1"/>
  <c r="GI137" i="1"/>
  <c r="GH137" i="1"/>
  <c r="GI134" i="1"/>
  <c r="GH134" i="1"/>
  <c r="GI133" i="1"/>
  <c r="GH133" i="1"/>
  <c r="GI132" i="1"/>
  <c r="GH132" i="1"/>
  <c r="GH131" i="1"/>
  <c r="GI131" i="1"/>
  <c r="GI129" i="1"/>
  <c r="GH129" i="1"/>
  <c r="GI128" i="1"/>
  <c r="GH128" i="1"/>
  <c r="GI127" i="1"/>
  <c r="GH127" i="1"/>
  <c r="GI126" i="1"/>
  <c r="GI125" i="1"/>
  <c r="GH126" i="1"/>
  <c r="GH125" i="1"/>
  <c r="GI123" i="1"/>
  <c r="GH123" i="1"/>
  <c r="GI122" i="1"/>
  <c r="GH122" i="1"/>
  <c r="GI121" i="1"/>
  <c r="GH121" i="1"/>
  <c r="GI120" i="1"/>
  <c r="GH120" i="1"/>
  <c r="GI119" i="1"/>
  <c r="GI118" i="1"/>
  <c r="GH119" i="1"/>
  <c r="GH118" i="1"/>
  <c r="GI116" i="1"/>
  <c r="GH116" i="1"/>
  <c r="GI115" i="1"/>
  <c r="GH115" i="1"/>
  <c r="GI114" i="1"/>
  <c r="GH114" i="1"/>
  <c r="GI113" i="1"/>
  <c r="GH113" i="1"/>
  <c r="GI112" i="1"/>
  <c r="GI111" i="1"/>
  <c r="GH112" i="1"/>
  <c r="GH111" i="1"/>
  <c r="GI109" i="1"/>
  <c r="GH109" i="1"/>
  <c r="GI108" i="1"/>
  <c r="GH108" i="1"/>
  <c r="GI107" i="1"/>
  <c r="GI106" i="1"/>
  <c r="GH107" i="1"/>
  <c r="GH106" i="1"/>
  <c r="GI102" i="1"/>
  <c r="GH102" i="1"/>
  <c r="GI101" i="1"/>
  <c r="GH101" i="1"/>
  <c r="GI100" i="1"/>
  <c r="GH100" i="1"/>
  <c r="GI99" i="1"/>
  <c r="GH99" i="1"/>
  <c r="GI98" i="1"/>
  <c r="GH98" i="1"/>
  <c r="GI97" i="1"/>
  <c r="GH97" i="1"/>
  <c r="GI96" i="1"/>
  <c r="GH96" i="1"/>
  <c r="GI95" i="1"/>
  <c r="GI94" i="1"/>
  <c r="GH95" i="1"/>
  <c r="GH94" i="1"/>
  <c r="GI92" i="1"/>
  <c r="GH92" i="1"/>
  <c r="GI91" i="1"/>
  <c r="GH91" i="1"/>
  <c r="GI90" i="1"/>
  <c r="GH90" i="1"/>
  <c r="GI89" i="1"/>
  <c r="GH89" i="1"/>
  <c r="GI88" i="1"/>
  <c r="GH88" i="1"/>
  <c r="GI87" i="1"/>
  <c r="GH87" i="1"/>
  <c r="GI86" i="1"/>
  <c r="GH86" i="1"/>
  <c r="GI84" i="1"/>
  <c r="GH84" i="1"/>
  <c r="GI83" i="1"/>
  <c r="GI82" i="1"/>
  <c r="GH83" i="1"/>
  <c r="GH82" i="1"/>
  <c r="GI80" i="1"/>
  <c r="GH80" i="1"/>
  <c r="GH77" i="1"/>
  <c r="GI79" i="1"/>
  <c r="GH79" i="1"/>
  <c r="GI78" i="1"/>
  <c r="GI77" i="1"/>
  <c r="GH78" i="1"/>
  <c r="GI75" i="1"/>
  <c r="GH75" i="1"/>
  <c r="GI74" i="1"/>
  <c r="GH74" i="1"/>
  <c r="GI73" i="1"/>
  <c r="GH73" i="1"/>
  <c r="GH72" i="1"/>
  <c r="GI70" i="1"/>
  <c r="GH70" i="1"/>
  <c r="GI69" i="1"/>
  <c r="GH69" i="1"/>
  <c r="GI68" i="1"/>
  <c r="GI67" i="1"/>
  <c r="GH68" i="1"/>
  <c r="GI65" i="1"/>
  <c r="GH65" i="1"/>
  <c r="GI64" i="1"/>
  <c r="GI63" i="1"/>
  <c r="GH64" i="1"/>
  <c r="GH63" i="1"/>
  <c r="GI61" i="1"/>
  <c r="GH61" i="1"/>
  <c r="GI59" i="1"/>
  <c r="GH59" i="1"/>
  <c r="GH58" i="1"/>
  <c r="GH52" i="1"/>
  <c r="GI58" i="1"/>
  <c r="GI57" i="1"/>
  <c r="GH57" i="1"/>
  <c r="GI56" i="1"/>
  <c r="GH56" i="1"/>
  <c r="GI55" i="1"/>
  <c r="GH55" i="1"/>
  <c r="GI54" i="1"/>
  <c r="GH54" i="1"/>
  <c r="GI53" i="1"/>
  <c r="GI52" i="1"/>
  <c r="GH53" i="1"/>
  <c r="GI50" i="1"/>
  <c r="GH50" i="1"/>
  <c r="GI49" i="1"/>
  <c r="GH49" i="1"/>
  <c r="GI48" i="1"/>
  <c r="GH48" i="1"/>
  <c r="GI47" i="1"/>
  <c r="GH47" i="1"/>
  <c r="GI46" i="1"/>
  <c r="GH46" i="1"/>
  <c r="GI42" i="1"/>
  <c r="GH42" i="1"/>
  <c r="GI41" i="1"/>
  <c r="GH41" i="1"/>
  <c r="GI38" i="1"/>
  <c r="GI36" i="1"/>
  <c r="GH36" i="1"/>
  <c r="GI34" i="1"/>
  <c r="GH34" i="1"/>
  <c r="GI33" i="1"/>
  <c r="GH33" i="1"/>
  <c r="GI32" i="1"/>
  <c r="GH32" i="1"/>
  <c r="GI31" i="1"/>
  <c r="GH31" i="1"/>
  <c r="GI30" i="1"/>
  <c r="GH30" i="1"/>
  <c r="GI28" i="1"/>
  <c r="GH28" i="1"/>
  <c r="GI26" i="1"/>
  <c r="GH26" i="1"/>
  <c r="GI24" i="1"/>
  <c r="GH24" i="1"/>
  <c r="GI23" i="1"/>
  <c r="GH23" i="1"/>
  <c r="GI22" i="1"/>
  <c r="GH22" i="1"/>
  <c r="GI21" i="1"/>
  <c r="GH21" i="1"/>
  <c r="GI19" i="1"/>
  <c r="GH19" i="1"/>
  <c r="GI14" i="1"/>
  <c r="GH14" i="1"/>
  <c r="GK860" i="1"/>
  <c r="GJ860" i="1"/>
  <c r="GK856" i="1"/>
  <c r="GJ856" i="1"/>
  <c r="GK845" i="1"/>
  <c r="GJ845" i="1"/>
  <c r="GK842" i="1"/>
  <c r="GJ842" i="1"/>
  <c r="GK827" i="1"/>
  <c r="GJ827" i="1"/>
  <c r="GK790" i="1"/>
  <c r="GJ790" i="1"/>
  <c r="GK783" i="1"/>
  <c r="GJ783" i="1"/>
  <c r="GK768" i="1"/>
  <c r="GJ768" i="1"/>
  <c r="GK742" i="1"/>
  <c r="GJ742" i="1"/>
  <c r="GK738" i="1"/>
  <c r="GJ738" i="1"/>
  <c r="GK728" i="1"/>
  <c r="GJ728" i="1"/>
  <c r="GK725" i="1"/>
  <c r="GJ725" i="1"/>
  <c r="GJ721" i="1"/>
  <c r="GK718" i="1"/>
  <c r="GJ718" i="1"/>
  <c r="GK711" i="1"/>
  <c r="GJ711" i="1"/>
  <c r="GK705" i="1"/>
  <c r="GJ705" i="1"/>
  <c r="GK702" i="1"/>
  <c r="GJ702" i="1"/>
  <c r="GK699" i="1"/>
  <c r="GJ699" i="1"/>
  <c r="GK696" i="1"/>
  <c r="GJ696" i="1"/>
  <c r="GK693" i="1"/>
  <c r="GJ693" i="1"/>
  <c r="GK685" i="1"/>
  <c r="GJ685" i="1"/>
  <c r="GK681" i="1"/>
  <c r="GJ681" i="1"/>
  <c r="GK669" i="1"/>
  <c r="GK664" i="1"/>
  <c r="GJ669" i="1"/>
  <c r="GJ664" i="1"/>
  <c r="GJ662" i="1"/>
  <c r="GK666" i="1"/>
  <c r="GJ666" i="1"/>
  <c r="GK655" i="1"/>
  <c r="GJ655" i="1"/>
  <c r="GK645" i="1"/>
  <c r="GJ645" i="1"/>
  <c r="GK637" i="1"/>
  <c r="GJ637" i="1"/>
  <c r="GK634" i="1"/>
  <c r="GJ634" i="1"/>
  <c r="GK632" i="1"/>
  <c r="GK630" i="1"/>
  <c r="GK628" i="1"/>
  <c r="GJ632" i="1"/>
  <c r="GJ630" i="1"/>
  <c r="GJ628" i="1"/>
  <c r="GK625" i="1"/>
  <c r="GJ625" i="1"/>
  <c r="GK621" i="1"/>
  <c r="GK619" i="1"/>
  <c r="GJ621" i="1"/>
  <c r="GJ619" i="1"/>
  <c r="GK616" i="1"/>
  <c r="GJ616" i="1"/>
  <c r="GK613" i="1"/>
  <c r="GJ613" i="1"/>
  <c r="GK611" i="1"/>
  <c r="GJ611" i="1"/>
  <c r="GK606" i="1"/>
  <c r="GJ606" i="1"/>
  <c r="GK600" i="1"/>
  <c r="GJ600" i="1"/>
  <c r="GK592" i="1"/>
  <c r="GJ592" i="1"/>
  <c r="GK585" i="1"/>
  <c r="GJ585" i="1"/>
  <c r="GK581" i="1"/>
  <c r="GK579" i="1"/>
  <c r="GK577" i="1"/>
  <c r="GJ581" i="1"/>
  <c r="GJ579" i="1"/>
  <c r="GJ577" i="1"/>
  <c r="GK571" i="1"/>
  <c r="GK569" i="1"/>
  <c r="GK567" i="1"/>
  <c r="GJ571" i="1"/>
  <c r="GJ569" i="1"/>
  <c r="GJ567" i="1"/>
  <c r="GK563" i="1"/>
  <c r="GJ563" i="1"/>
  <c r="GK558" i="1"/>
  <c r="GJ558" i="1"/>
  <c r="GK555" i="1"/>
  <c r="GJ555" i="1"/>
  <c r="GK549" i="1"/>
  <c r="GJ549" i="1"/>
  <c r="GK543" i="1"/>
  <c r="GJ543" i="1"/>
  <c r="GK541" i="1"/>
  <c r="GJ541" i="1"/>
  <c r="GK535" i="1"/>
  <c r="GJ535" i="1"/>
  <c r="GK532" i="1"/>
  <c r="GJ532" i="1"/>
  <c r="GK526" i="1"/>
  <c r="GJ526" i="1"/>
  <c r="GK507" i="1"/>
  <c r="GJ507" i="1"/>
  <c r="GK505" i="1"/>
  <c r="GJ505" i="1"/>
  <c r="GK500" i="1"/>
  <c r="GJ500" i="1"/>
  <c r="GK488" i="1"/>
  <c r="GJ488" i="1"/>
  <c r="GK482" i="1"/>
  <c r="GJ482" i="1"/>
  <c r="GK472" i="1"/>
  <c r="GJ472" i="1"/>
  <c r="GK464" i="1"/>
  <c r="GJ464" i="1"/>
  <c r="GJ437" i="1"/>
  <c r="GK458" i="1"/>
  <c r="GJ458" i="1"/>
  <c r="GK451" i="1"/>
  <c r="GJ451" i="1"/>
  <c r="GK444" i="1"/>
  <c r="GJ444" i="1"/>
  <c r="GK439" i="1"/>
  <c r="GJ439" i="1"/>
  <c r="GK437" i="1"/>
  <c r="GK427" i="1"/>
  <c r="GJ427" i="1"/>
  <c r="GK419" i="1"/>
  <c r="GJ419" i="1"/>
  <c r="GK416" i="1"/>
  <c r="GJ416" i="1"/>
  <c r="GK411" i="1"/>
  <c r="GJ411" i="1"/>
  <c r="GK406" i="1"/>
  <c r="GJ406" i="1"/>
  <c r="GK401" i="1"/>
  <c r="GJ401" i="1"/>
  <c r="GK397" i="1"/>
  <c r="GJ397" i="1"/>
  <c r="GK386" i="1"/>
  <c r="GJ386" i="1"/>
  <c r="GK380" i="1"/>
  <c r="GJ380" i="1"/>
  <c r="GK378" i="1"/>
  <c r="GK364" i="1"/>
  <c r="GJ378" i="1"/>
  <c r="GK375" i="1"/>
  <c r="GJ375" i="1"/>
  <c r="GK368" i="1"/>
  <c r="GK366" i="1"/>
  <c r="GJ368" i="1"/>
  <c r="GJ366" i="1"/>
  <c r="GK361" i="1"/>
  <c r="GJ361" i="1"/>
  <c r="GK358" i="1"/>
  <c r="GJ358" i="1"/>
  <c r="GK354" i="1"/>
  <c r="GJ354" i="1"/>
  <c r="GK347" i="1"/>
  <c r="GJ347" i="1"/>
  <c r="GK329" i="1"/>
  <c r="GJ329" i="1"/>
  <c r="GK326" i="1"/>
  <c r="GJ326" i="1"/>
  <c r="GK322" i="1"/>
  <c r="GJ322" i="1"/>
  <c r="GK319" i="1"/>
  <c r="GJ319" i="1"/>
  <c r="GK316" i="1"/>
  <c r="GJ316" i="1"/>
  <c r="GK313" i="1"/>
  <c r="GJ313" i="1"/>
  <c r="GK310" i="1"/>
  <c r="GK308" i="1"/>
  <c r="GJ310" i="1"/>
  <c r="GJ308" i="1"/>
  <c r="GK305" i="1"/>
  <c r="GJ305" i="1"/>
  <c r="GK302" i="1"/>
  <c r="GJ302" i="1"/>
  <c r="GK298" i="1"/>
  <c r="GJ298" i="1"/>
  <c r="GK293" i="1"/>
  <c r="GJ293" i="1"/>
  <c r="GK288" i="1"/>
  <c r="GJ288" i="1"/>
  <c r="GK279" i="1"/>
  <c r="GJ279" i="1"/>
  <c r="GK275" i="1"/>
  <c r="GJ275" i="1"/>
  <c r="GK267" i="1"/>
  <c r="GJ267" i="1"/>
  <c r="GK259" i="1"/>
  <c r="GJ259" i="1"/>
  <c r="GK251" i="1"/>
  <c r="GJ251" i="1"/>
  <c r="GK246" i="1"/>
  <c r="GJ246" i="1"/>
  <c r="GK244" i="1"/>
  <c r="GJ244" i="1"/>
  <c r="GK238" i="1"/>
  <c r="GJ238" i="1"/>
  <c r="GK237" i="1"/>
  <c r="GJ237" i="1"/>
  <c r="GJ236" i="1"/>
  <c r="GK234" i="1"/>
  <c r="GJ234" i="1"/>
  <c r="GK233" i="1"/>
  <c r="GJ233" i="1"/>
  <c r="GK231" i="1"/>
  <c r="GK230" i="1"/>
  <c r="GJ231" i="1"/>
  <c r="GJ230" i="1"/>
  <c r="GK228" i="1"/>
  <c r="GK227" i="1"/>
  <c r="GJ228" i="1"/>
  <c r="GJ227" i="1"/>
  <c r="GK225" i="1"/>
  <c r="GK224" i="1"/>
  <c r="GJ225" i="1"/>
  <c r="GJ224" i="1"/>
  <c r="GK222" i="1"/>
  <c r="GJ222" i="1"/>
  <c r="GK221" i="1"/>
  <c r="GJ221" i="1"/>
  <c r="GK220" i="1"/>
  <c r="GJ220" i="1"/>
  <c r="GK219" i="1"/>
  <c r="GJ219" i="1"/>
  <c r="GK218" i="1"/>
  <c r="GJ218" i="1"/>
  <c r="GK215" i="1"/>
  <c r="GJ215" i="1"/>
  <c r="GK214" i="1"/>
  <c r="GJ214" i="1"/>
  <c r="GK213" i="1"/>
  <c r="GK212" i="1"/>
  <c r="GJ213" i="1"/>
  <c r="GJ212" i="1"/>
  <c r="GK205" i="1"/>
  <c r="GJ205" i="1"/>
  <c r="GK204" i="1"/>
  <c r="GJ204" i="1"/>
  <c r="GK202" i="1"/>
  <c r="GK201" i="1"/>
  <c r="GK199" i="1"/>
  <c r="GJ202" i="1"/>
  <c r="GJ201" i="1"/>
  <c r="GJ199" i="1"/>
  <c r="GK197" i="1"/>
  <c r="GJ197" i="1"/>
  <c r="GK196" i="1"/>
  <c r="GJ196" i="1"/>
  <c r="GK195" i="1"/>
  <c r="GJ195" i="1"/>
  <c r="GK193" i="1"/>
  <c r="GJ193" i="1"/>
  <c r="GK191" i="1"/>
  <c r="GJ191" i="1"/>
  <c r="GK189" i="1"/>
  <c r="GJ189" i="1"/>
  <c r="GK187" i="1"/>
  <c r="GJ187" i="1"/>
  <c r="GK185" i="1"/>
  <c r="GJ185" i="1"/>
  <c r="GK184" i="1"/>
  <c r="GJ184" i="1"/>
  <c r="GK182" i="1"/>
  <c r="GJ182" i="1"/>
  <c r="GK180" i="1"/>
  <c r="GK179" i="1"/>
  <c r="GJ180" i="1"/>
  <c r="GJ179" i="1"/>
  <c r="GK177" i="1"/>
  <c r="GJ177" i="1"/>
  <c r="GK176" i="1"/>
  <c r="GJ176" i="1"/>
  <c r="GK175" i="1"/>
  <c r="GK174" i="1"/>
  <c r="GK172" i="1"/>
  <c r="GJ175" i="1"/>
  <c r="GJ174" i="1"/>
  <c r="GJ172" i="1"/>
  <c r="GK170" i="1"/>
  <c r="GJ170" i="1"/>
  <c r="GK169" i="1"/>
  <c r="GJ169" i="1"/>
  <c r="GK168" i="1"/>
  <c r="GK167" i="1"/>
  <c r="GJ168" i="1"/>
  <c r="GJ167" i="1"/>
  <c r="GK165" i="1"/>
  <c r="GJ165" i="1"/>
  <c r="GK163" i="1"/>
  <c r="GJ163" i="1"/>
  <c r="GK162" i="1"/>
  <c r="GJ162" i="1"/>
  <c r="GK161" i="1"/>
  <c r="GJ161" i="1"/>
  <c r="GK160" i="1"/>
  <c r="GK155" i="1"/>
  <c r="GJ160" i="1"/>
  <c r="GK159" i="1"/>
  <c r="GJ159" i="1"/>
  <c r="GK158" i="1"/>
  <c r="GJ158" i="1"/>
  <c r="GK157" i="1"/>
  <c r="GJ157" i="1"/>
  <c r="GK156" i="1"/>
  <c r="GJ156" i="1"/>
  <c r="GJ155" i="1"/>
  <c r="GK153" i="1"/>
  <c r="GJ153" i="1"/>
  <c r="GK152" i="1"/>
  <c r="GJ152" i="1"/>
  <c r="GK151" i="1"/>
  <c r="GJ151" i="1"/>
  <c r="GK150" i="1"/>
  <c r="GK149" i="1"/>
  <c r="GJ150" i="1"/>
  <c r="GJ149" i="1"/>
  <c r="GK147" i="1"/>
  <c r="GJ147" i="1"/>
  <c r="GK146" i="1"/>
  <c r="GJ146" i="1"/>
  <c r="GK145" i="1"/>
  <c r="GJ145" i="1"/>
  <c r="GK144" i="1"/>
  <c r="GJ144" i="1"/>
  <c r="GK143" i="1"/>
  <c r="GJ143" i="1"/>
  <c r="GK142" i="1"/>
  <c r="GJ142" i="1"/>
  <c r="GK141" i="1"/>
  <c r="GJ141" i="1"/>
  <c r="GK140" i="1"/>
  <c r="GJ140" i="1"/>
  <c r="GK139" i="1"/>
  <c r="GJ139" i="1"/>
  <c r="GK137" i="1"/>
  <c r="GJ137" i="1"/>
  <c r="GK134" i="1"/>
  <c r="GJ134" i="1"/>
  <c r="GK133" i="1"/>
  <c r="GJ133" i="1"/>
  <c r="GK132" i="1"/>
  <c r="GK131" i="1"/>
  <c r="GJ132" i="1"/>
  <c r="GK129" i="1"/>
  <c r="GJ129" i="1"/>
  <c r="GK128" i="1"/>
  <c r="GJ128" i="1"/>
  <c r="GK127" i="1"/>
  <c r="GJ127" i="1"/>
  <c r="GK126" i="1"/>
  <c r="GJ126" i="1"/>
  <c r="GK125" i="1"/>
  <c r="GJ125" i="1"/>
  <c r="GK123" i="1"/>
  <c r="GJ123" i="1"/>
  <c r="GK122" i="1"/>
  <c r="GJ122" i="1"/>
  <c r="GK121" i="1"/>
  <c r="GJ121" i="1"/>
  <c r="GK120" i="1"/>
  <c r="GJ120" i="1"/>
  <c r="GK119" i="1"/>
  <c r="GJ119" i="1"/>
  <c r="GK118" i="1"/>
  <c r="GJ118" i="1"/>
  <c r="GK116" i="1"/>
  <c r="GJ116" i="1"/>
  <c r="GK115" i="1"/>
  <c r="GJ115" i="1"/>
  <c r="GK114" i="1"/>
  <c r="GJ114" i="1"/>
  <c r="GK113" i="1"/>
  <c r="GJ113" i="1"/>
  <c r="GK112" i="1"/>
  <c r="GJ112" i="1"/>
  <c r="GK111" i="1"/>
  <c r="GJ111" i="1"/>
  <c r="GK109" i="1"/>
  <c r="GJ109" i="1"/>
  <c r="GK108" i="1"/>
  <c r="GJ108" i="1"/>
  <c r="GK107" i="1"/>
  <c r="GK106" i="1"/>
  <c r="GJ107" i="1"/>
  <c r="GJ106" i="1"/>
  <c r="GK102" i="1"/>
  <c r="GJ102" i="1"/>
  <c r="GK101" i="1"/>
  <c r="GJ101" i="1"/>
  <c r="GK100" i="1"/>
  <c r="GJ100" i="1"/>
  <c r="GK99" i="1"/>
  <c r="GJ99" i="1"/>
  <c r="GK98" i="1"/>
  <c r="GJ98" i="1"/>
  <c r="GK97" i="1"/>
  <c r="GJ97" i="1"/>
  <c r="GK96" i="1"/>
  <c r="GJ96" i="1"/>
  <c r="GK95" i="1"/>
  <c r="GJ95" i="1"/>
  <c r="GK94" i="1"/>
  <c r="GJ94" i="1"/>
  <c r="GK92" i="1"/>
  <c r="GJ92" i="1"/>
  <c r="GK91" i="1"/>
  <c r="GJ91" i="1"/>
  <c r="GK90" i="1"/>
  <c r="GJ90" i="1"/>
  <c r="GK89" i="1"/>
  <c r="GJ89" i="1"/>
  <c r="GK88" i="1"/>
  <c r="GJ88" i="1"/>
  <c r="GK87" i="1"/>
  <c r="GK86" i="1"/>
  <c r="GJ87" i="1"/>
  <c r="GJ86" i="1"/>
  <c r="GK84" i="1"/>
  <c r="GJ84" i="1"/>
  <c r="GK83" i="1"/>
  <c r="GJ83" i="1"/>
  <c r="GK82" i="1"/>
  <c r="GJ82" i="1"/>
  <c r="GK80" i="1"/>
  <c r="GJ80" i="1"/>
  <c r="GK79" i="1"/>
  <c r="GJ79" i="1"/>
  <c r="GK78" i="1"/>
  <c r="GJ78" i="1"/>
  <c r="GK77" i="1"/>
  <c r="GJ77" i="1"/>
  <c r="GK75" i="1"/>
  <c r="GJ75" i="1"/>
  <c r="GK74" i="1"/>
  <c r="GJ74" i="1"/>
  <c r="GK73" i="1"/>
  <c r="GJ73" i="1"/>
  <c r="GK70" i="1"/>
  <c r="GK67" i="1"/>
  <c r="GJ70" i="1"/>
  <c r="GK69" i="1"/>
  <c r="GJ69" i="1"/>
  <c r="GK68" i="1"/>
  <c r="GJ68" i="1"/>
  <c r="GJ67" i="1"/>
  <c r="GK65" i="1"/>
  <c r="GJ65" i="1"/>
  <c r="GK64" i="1"/>
  <c r="GK63" i="1"/>
  <c r="GJ64" i="1"/>
  <c r="GJ63" i="1"/>
  <c r="GK61" i="1"/>
  <c r="GJ61" i="1"/>
  <c r="GK59" i="1"/>
  <c r="GJ59" i="1"/>
  <c r="GK58" i="1"/>
  <c r="GJ58" i="1"/>
  <c r="GK57" i="1"/>
  <c r="GJ57" i="1"/>
  <c r="GK56" i="1"/>
  <c r="GJ56" i="1"/>
  <c r="GK55" i="1"/>
  <c r="GJ55" i="1"/>
  <c r="GK54" i="1"/>
  <c r="GJ54" i="1"/>
  <c r="GK53" i="1"/>
  <c r="GK52" i="1"/>
  <c r="GJ53" i="1"/>
  <c r="GJ52" i="1"/>
  <c r="GK50" i="1"/>
  <c r="GJ50" i="1"/>
  <c r="GK49" i="1"/>
  <c r="GJ49" i="1"/>
  <c r="GK48" i="1"/>
  <c r="GJ48" i="1"/>
  <c r="GK47" i="1"/>
  <c r="GK46" i="1"/>
  <c r="GJ47" i="1"/>
  <c r="GJ46" i="1"/>
  <c r="GK42" i="1"/>
  <c r="GJ42" i="1"/>
  <c r="GK41" i="1"/>
  <c r="GJ41" i="1"/>
  <c r="GK36" i="1"/>
  <c r="GJ36" i="1"/>
  <c r="GK34" i="1"/>
  <c r="GJ34" i="1"/>
  <c r="GK33" i="1"/>
  <c r="GJ33" i="1"/>
  <c r="GK32" i="1"/>
  <c r="GJ32" i="1"/>
  <c r="GK31" i="1"/>
  <c r="GK30" i="1"/>
  <c r="GJ31" i="1"/>
  <c r="GJ30" i="1"/>
  <c r="GK28" i="1"/>
  <c r="GJ28" i="1"/>
  <c r="GK26" i="1"/>
  <c r="GJ26" i="1"/>
  <c r="GK24" i="1"/>
  <c r="GJ24" i="1"/>
  <c r="GK23" i="1"/>
  <c r="GJ23" i="1"/>
  <c r="GK22" i="1"/>
  <c r="GK21" i="1"/>
  <c r="GJ22" i="1"/>
  <c r="GJ21" i="1"/>
  <c r="GK19" i="1"/>
  <c r="GJ19" i="1"/>
  <c r="GM860" i="1"/>
  <c r="GL860" i="1"/>
  <c r="GM856" i="1"/>
  <c r="GL856" i="1"/>
  <c r="GM845" i="1"/>
  <c r="GL845" i="1"/>
  <c r="GM842" i="1"/>
  <c r="GL842" i="1"/>
  <c r="GM827" i="1"/>
  <c r="GL827" i="1"/>
  <c r="GM790" i="1"/>
  <c r="GL790" i="1"/>
  <c r="GM783" i="1"/>
  <c r="GL783" i="1"/>
  <c r="GM768" i="1"/>
  <c r="GL768" i="1"/>
  <c r="GM742" i="1"/>
  <c r="GL742" i="1"/>
  <c r="GM738" i="1"/>
  <c r="GL738" i="1"/>
  <c r="GM728" i="1"/>
  <c r="GL728" i="1"/>
  <c r="GM725" i="1"/>
  <c r="GL725" i="1"/>
  <c r="GM718" i="1"/>
  <c r="GL718" i="1"/>
  <c r="GM711" i="1"/>
  <c r="GL711" i="1"/>
  <c r="GM705" i="1"/>
  <c r="GL705" i="1"/>
  <c r="GM702" i="1"/>
  <c r="GL702" i="1"/>
  <c r="GM699" i="1"/>
  <c r="GL699" i="1"/>
  <c r="GM696" i="1"/>
  <c r="GL696" i="1"/>
  <c r="GM693" i="1"/>
  <c r="GL693" i="1"/>
  <c r="GM685" i="1"/>
  <c r="GL685" i="1"/>
  <c r="GM681" i="1"/>
  <c r="GL681" i="1"/>
  <c r="GM669" i="1"/>
  <c r="GM664" i="1"/>
  <c r="GM662" i="1"/>
  <c r="GL669" i="1"/>
  <c r="GL664" i="1"/>
  <c r="GL662" i="1"/>
  <c r="GM666" i="1"/>
  <c r="GL666" i="1"/>
  <c r="GM655" i="1"/>
  <c r="GL655" i="1"/>
  <c r="GM645" i="1"/>
  <c r="GL645" i="1"/>
  <c r="GM637" i="1"/>
  <c r="GL637" i="1"/>
  <c r="GM634" i="1"/>
  <c r="GM632" i="1"/>
  <c r="GM630" i="1"/>
  <c r="GM628" i="1"/>
  <c r="GL634" i="1"/>
  <c r="GL632" i="1"/>
  <c r="GL630" i="1"/>
  <c r="GL628" i="1"/>
  <c r="GM625" i="1"/>
  <c r="GL625" i="1"/>
  <c r="GM621" i="1"/>
  <c r="GL621" i="1"/>
  <c r="GM619" i="1"/>
  <c r="GL619" i="1"/>
  <c r="GM616" i="1"/>
  <c r="GL616" i="1"/>
  <c r="GM613" i="1"/>
  <c r="GL613" i="1"/>
  <c r="GM606" i="1"/>
  <c r="GL606" i="1"/>
  <c r="GM600" i="1"/>
  <c r="GL600" i="1"/>
  <c r="GM592" i="1"/>
  <c r="GL592" i="1"/>
  <c r="GM585" i="1"/>
  <c r="GL585" i="1"/>
  <c r="GM581" i="1"/>
  <c r="GL581" i="1"/>
  <c r="GM579" i="1"/>
  <c r="GL579" i="1"/>
  <c r="GM571" i="1"/>
  <c r="GL571" i="1"/>
  <c r="GM569" i="1"/>
  <c r="GM567" i="1"/>
  <c r="GL569" i="1"/>
  <c r="GL567" i="1"/>
  <c r="GM563" i="1"/>
  <c r="GL563" i="1"/>
  <c r="GM558" i="1"/>
  <c r="GL558" i="1"/>
  <c r="GM555" i="1"/>
  <c r="GL555" i="1"/>
  <c r="GM549" i="1"/>
  <c r="GL549" i="1"/>
  <c r="GM543" i="1"/>
  <c r="GL543" i="1"/>
  <c r="GM535" i="1"/>
  <c r="GL535" i="1"/>
  <c r="GM532" i="1"/>
  <c r="GL532" i="1"/>
  <c r="GM526" i="1"/>
  <c r="GL526" i="1"/>
  <c r="GM507" i="1"/>
  <c r="GM505" i="1"/>
  <c r="GL507" i="1"/>
  <c r="GL505" i="1"/>
  <c r="GM500" i="1"/>
  <c r="GL500" i="1"/>
  <c r="GL437" i="1"/>
  <c r="GM488" i="1"/>
  <c r="GL488" i="1"/>
  <c r="GM482" i="1"/>
  <c r="GL482" i="1"/>
  <c r="GM472" i="1"/>
  <c r="GL472" i="1"/>
  <c r="GM464" i="1"/>
  <c r="GL464" i="1"/>
  <c r="GM458" i="1"/>
  <c r="GL458" i="1"/>
  <c r="GM451" i="1"/>
  <c r="GL451" i="1"/>
  <c r="GM444" i="1"/>
  <c r="GL444" i="1"/>
  <c r="GM439" i="1"/>
  <c r="GL439" i="1"/>
  <c r="GM427" i="1"/>
  <c r="GL427" i="1"/>
  <c r="GM419" i="1"/>
  <c r="GL419" i="1"/>
  <c r="GM416" i="1"/>
  <c r="GL416" i="1"/>
  <c r="GM411" i="1"/>
  <c r="GL411" i="1"/>
  <c r="GM406" i="1"/>
  <c r="GL406" i="1"/>
  <c r="GM401" i="1"/>
  <c r="GL401" i="1"/>
  <c r="GM397" i="1"/>
  <c r="GL397" i="1"/>
  <c r="GM386" i="1"/>
  <c r="GL386" i="1"/>
  <c r="GM380" i="1"/>
  <c r="GL380" i="1"/>
  <c r="GM375" i="1"/>
  <c r="GL375" i="1"/>
  <c r="GM368" i="1"/>
  <c r="GL368" i="1"/>
  <c r="GM366" i="1"/>
  <c r="GL366" i="1"/>
  <c r="GM361" i="1"/>
  <c r="GL361" i="1"/>
  <c r="GM358" i="1"/>
  <c r="GL358" i="1"/>
  <c r="GM354" i="1"/>
  <c r="GL354" i="1"/>
  <c r="GM347" i="1"/>
  <c r="GL347" i="1"/>
  <c r="GM329" i="1"/>
  <c r="GL329" i="1"/>
  <c r="GM326" i="1"/>
  <c r="GL326" i="1"/>
  <c r="GM322" i="1"/>
  <c r="GM308" i="1"/>
  <c r="GL322" i="1"/>
  <c r="GM319" i="1"/>
  <c r="GL319" i="1"/>
  <c r="GM316" i="1"/>
  <c r="GL316" i="1"/>
  <c r="GM313" i="1"/>
  <c r="GL313" i="1"/>
  <c r="GM310" i="1"/>
  <c r="GL310" i="1"/>
  <c r="GL308" i="1"/>
  <c r="GM305" i="1"/>
  <c r="GL305" i="1"/>
  <c r="GM302" i="1"/>
  <c r="GL302" i="1"/>
  <c r="GM298" i="1"/>
  <c r="GL298" i="1"/>
  <c r="GM293" i="1"/>
  <c r="GL293" i="1"/>
  <c r="GM288" i="1"/>
  <c r="GL288" i="1"/>
  <c r="GL273" i="1"/>
  <c r="GM279" i="1"/>
  <c r="GL279" i="1"/>
  <c r="GM275" i="1"/>
  <c r="GL275" i="1"/>
  <c r="GM273" i="1"/>
  <c r="GM267" i="1"/>
  <c r="GL267" i="1"/>
  <c r="GM259" i="1"/>
  <c r="GL259" i="1"/>
  <c r="GM251" i="1"/>
  <c r="GL251" i="1"/>
  <c r="GM246" i="1"/>
  <c r="GM244" i="1"/>
  <c r="GL246" i="1"/>
  <c r="GL244" i="1"/>
  <c r="GM238" i="1"/>
  <c r="GL238" i="1"/>
  <c r="GM237" i="1"/>
  <c r="GL237" i="1"/>
  <c r="GM236" i="1"/>
  <c r="GL236" i="1"/>
  <c r="GM234" i="1"/>
  <c r="GM230" i="1"/>
  <c r="GL234" i="1"/>
  <c r="GL230" i="1"/>
  <c r="GM233" i="1"/>
  <c r="GL233" i="1"/>
  <c r="GM231" i="1"/>
  <c r="GL231" i="1"/>
  <c r="GM228" i="1"/>
  <c r="GL228" i="1"/>
  <c r="GM227" i="1"/>
  <c r="GL227" i="1"/>
  <c r="GM225" i="1"/>
  <c r="GM224" i="1"/>
  <c r="GL225" i="1"/>
  <c r="GL224" i="1"/>
  <c r="GM222" i="1"/>
  <c r="GL222" i="1"/>
  <c r="GM221" i="1"/>
  <c r="GL221" i="1"/>
  <c r="GM220" i="1"/>
  <c r="GL220" i="1"/>
  <c r="GM219" i="1"/>
  <c r="GM218" i="1"/>
  <c r="GL219" i="1"/>
  <c r="GL218" i="1"/>
  <c r="GM215" i="1"/>
  <c r="GL215" i="1"/>
  <c r="GM214" i="1"/>
  <c r="GL214" i="1"/>
  <c r="GM213" i="1"/>
  <c r="GM212" i="1"/>
  <c r="GL213" i="1"/>
  <c r="GL212" i="1"/>
  <c r="GM205" i="1"/>
  <c r="GM204" i="1"/>
  <c r="GL205" i="1"/>
  <c r="GL204" i="1"/>
  <c r="GM202" i="1"/>
  <c r="GM201" i="1"/>
  <c r="GM199" i="1"/>
  <c r="GL202" i="1"/>
  <c r="GL201" i="1"/>
  <c r="GM197" i="1"/>
  <c r="GL197" i="1"/>
  <c r="GM196" i="1"/>
  <c r="GM195" i="1"/>
  <c r="GL196" i="1"/>
  <c r="GL195" i="1"/>
  <c r="GM193" i="1"/>
  <c r="GL193" i="1"/>
  <c r="GM191" i="1"/>
  <c r="GL191" i="1"/>
  <c r="GM189" i="1"/>
  <c r="GL189" i="1"/>
  <c r="GM187" i="1"/>
  <c r="GL187" i="1"/>
  <c r="GM185" i="1"/>
  <c r="GM184" i="1"/>
  <c r="GL185" i="1"/>
  <c r="GL184" i="1"/>
  <c r="GM182" i="1"/>
  <c r="GL182" i="1"/>
  <c r="GM180" i="1"/>
  <c r="GL180" i="1"/>
  <c r="GM179" i="1"/>
  <c r="GL179" i="1"/>
  <c r="GM177" i="1"/>
  <c r="GL177" i="1"/>
  <c r="GM176" i="1"/>
  <c r="GL176" i="1"/>
  <c r="GM175" i="1"/>
  <c r="GL175" i="1"/>
  <c r="GM174" i="1"/>
  <c r="GL174" i="1"/>
  <c r="GM170" i="1"/>
  <c r="GL170" i="1"/>
  <c r="GM169" i="1"/>
  <c r="GL169" i="1"/>
  <c r="GM168" i="1"/>
  <c r="GM167" i="1"/>
  <c r="GL168" i="1"/>
  <c r="GL167" i="1"/>
  <c r="GM165" i="1"/>
  <c r="GL165" i="1"/>
  <c r="GM163" i="1"/>
  <c r="GL163" i="1"/>
  <c r="GM162" i="1"/>
  <c r="GL162" i="1"/>
  <c r="GM161" i="1"/>
  <c r="GL161" i="1"/>
  <c r="GM160" i="1"/>
  <c r="GL160" i="1"/>
  <c r="GM159" i="1"/>
  <c r="GL159" i="1"/>
  <c r="GM158" i="1"/>
  <c r="GL158" i="1"/>
  <c r="GM157" i="1"/>
  <c r="GL157" i="1"/>
  <c r="GM156" i="1"/>
  <c r="GL156" i="1"/>
  <c r="GL155" i="1"/>
  <c r="GM153" i="1"/>
  <c r="GL153" i="1"/>
  <c r="GM152" i="1"/>
  <c r="GL152" i="1"/>
  <c r="GM151" i="1"/>
  <c r="GL151" i="1"/>
  <c r="GM150" i="1"/>
  <c r="GL150" i="1"/>
  <c r="GM149" i="1"/>
  <c r="GL149" i="1"/>
  <c r="GM147" i="1"/>
  <c r="GM139" i="1"/>
  <c r="GL147" i="1"/>
  <c r="GL139" i="1"/>
  <c r="GM146" i="1"/>
  <c r="GL146" i="1"/>
  <c r="GM145" i="1"/>
  <c r="GL145" i="1"/>
  <c r="GM144" i="1"/>
  <c r="GL144" i="1"/>
  <c r="GM143" i="1"/>
  <c r="GL143" i="1"/>
  <c r="GM142" i="1"/>
  <c r="GL142" i="1"/>
  <c r="GM141" i="1"/>
  <c r="GL141" i="1"/>
  <c r="GM140" i="1"/>
  <c r="GL140" i="1"/>
  <c r="GM137" i="1"/>
  <c r="GL137" i="1"/>
  <c r="GM134" i="1"/>
  <c r="GL134" i="1"/>
  <c r="GM133" i="1"/>
  <c r="GL133" i="1"/>
  <c r="GM132" i="1"/>
  <c r="GL132" i="1"/>
  <c r="GL131" i="1"/>
  <c r="GM131" i="1"/>
  <c r="GM129" i="1"/>
  <c r="GM125" i="1"/>
  <c r="GL129" i="1"/>
  <c r="GM128" i="1"/>
  <c r="GL128" i="1"/>
  <c r="GM127" i="1"/>
  <c r="GL127" i="1"/>
  <c r="GM126" i="1"/>
  <c r="GL126" i="1"/>
  <c r="GL125" i="1"/>
  <c r="GM123" i="1"/>
  <c r="GL123" i="1"/>
  <c r="GM122" i="1"/>
  <c r="GL122" i="1"/>
  <c r="GM121" i="1"/>
  <c r="GL121" i="1"/>
  <c r="GM120" i="1"/>
  <c r="GL120" i="1"/>
  <c r="GM119" i="1"/>
  <c r="GM118" i="1"/>
  <c r="GL119" i="1"/>
  <c r="GL118" i="1"/>
  <c r="GM116" i="1"/>
  <c r="GL116" i="1"/>
  <c r="GM115" i="1"/>
  <c r="GL115" i="1"/>
  <c r="GM114" i="1"/>
  <c r="GL114" i="1"/>
  <c r="GM113" i="1"/>
  <c r="GL113" i="1"/>
  <c r="GM112" i="1"/>
  <c r="GM111" i="1"/>
  <c r="GL112" i="1"/>
  <c r="GL111" i="1"/>
  <c r="GM109" i="1"/>
  <c r="GL109" i="1"/>
  <c r="GM108" i="1"/>
  <c r="GL108" i="1"/>
  <c r="GM107" i="1"/>
  <c r="GM106" i="1"/>
  <c r="GL107" i="1"/>
  <c r="GL106" i="1"/>
  <c r="GM102" i="1"/>
  <c r="GL102" i="1"/>
  <c r="GM101" i="1"/>
  <c r="GL101" i="1"/>
  <c r="GM100" i="1"/>
  <c r="GL100" i="1"/>
  <c r="GM99" i="1"/>
  <c r="GL99" i="1"/>
  <c r="GM98" i="1"/>
  <c r="GL98" i="1"/>
  <c r="GM97" i="1"/>
  <c r="GL97" i="1"/>
  <c r="GM96" i="1"/>
  <c r="GL96" i="1"/>
  <c r="GM95" i="1"/>
  <c r="GM94" i="1"/>
  <c r="GL95" i="1"/>
  <c r="GL94" i="1"/>
  <c r="GM92" i="1"/>
  <c r="GL92" i="1"/>
  <c r="GM91" i="1"/>
  <c r="GL91" i="1"/>
  <c r="GM90" i="1"/>
  <c r="GL90" i="1"/>
  <c r="GM89" i="1"/>
  <c r="GL89" i="1"/>
  <c r="GM88" i="1"/>
  <c r="GL88" i="1"/>
  <c r="GM87" i="1"/>
  <c r="GL87" i="1"/>
  <c r="GM86" i="1"/>
  <c r="GL86" i="1"/>
  <c r="GM84" i="1"/>
  <c r="GL84" i="1"/>
  <c r="GM83" i="1"/>
  <c r="GM82" i="1"/>
  <c r="GL83" i="1"/>
  <c r="GL82" i="1"/>
  <c r="GM80" i="1"/>
  <c r="GL80" i="1"/>
  <c r="GL77" i="1"/>
  <c r="GM79" i="1"/>
  <c r="GL79" i="1"/>
  <c r="GM78" i="1"/>
  <c r="GM77" i="1"/>
  <c r="GL78" i="1"/>
  <c r="GM75" i="1"/>
  <c r="GL75" i="1"/>
  <c r="GM74" i="1"/>
  <c r="GL74" i="1"/>
  <c r="GM73" i="1"/>
  <c r="GL73" i="1"/>
  <c r="GL72" i="1"/>
  <c r="GM70" i="1"/>
  <c r="GL70" i="1"/>
  <c r="GM69" i="1"/>
  <c r="GL69" i="1"/>
  <c r="GL67" i="1"/>
  <c r="GM68" i="1"/>
  <c r="GM67" i="1"/>
  <c r="GL68" i="1"/>
  <c r="GM65" i="1"/>
  <c r="GL65" i="1"/>
  <c r="GM64" i="1"/>
  <c r="GL64" i="1"/>
  <c r="GL63" i="1"/>
  <c r="GM63" i="1"/>
  <c r="GM61" i="1"/>
  <c r="GL61" i="1"/>
  <c r="GM59" i="1"/>
  <c r="GL59" i="1"/>
  <c r="GL58" i="1"/>
  <c r="GL52" i="1"/>
  <c r="GM58" i="1"/>
  <c r="GM57" i="1"/>
  <c r="GL57" i="1"/>
  <c r="GM56" i="1"/>
  <c r="GL56" i="1"/>
  <c r="GM55" i="1"/>
  <c r="GL55" i="1"/>
  <c r="GM54" i="1"/>
  <c r="GL54" i="1"/>
  <c r="GM53" i="1"/>
  <c r="GM52" i="1"/>
  <c r="GL53" i="1"/>
  <c r="GM50" i="1"/>
  <c r="GL50" i="1"/>
  <c r="GM49" i="1"/>
  <c r="GL49" i="1"/>
  <c r="GM48" i="1"/>
  <c r="GL48" i="1"/>
  <c r="GM47" i="1"/>
  <c r="GL47" i="1"/>
  <c r="GM46" i="1"/>
  <c r="GL46" i="1"/>
  <c r="GM42" i="1"/>
  <c r="GL42" i="1"/>
  <c r="GM41" i="1"/>
  <c r="GL41" i="1"/>
  <c r="GM36" i="1"/>
  <c r="GL36" i="1"/>
  <c r="GM34" i="1"/>
  <c r="GL34" i="1"/>
  <c r="GM33" i="1"/>
  <c r="GL33" i="1"/>
  <c r="GM32" i="1"/>
  <c r="GL32" i="1"/>
  <c r="GM31" i="1"/>
  <c r="GL31" i="1"/>
  <c r="GM30" i="1"/>
  <c r="GL30" i="1"/>
  <c r="GM28" i="1"/>
  <c r="GL28" i="1"/>
  <c r="GM26" i="1"/>
  <c r="GL26" i="1"/>
  <c r="GM24" i="1"/>
  <c r="GL24" i="1"/>
  <c r="GM23" i="1"/>
  <c r="GL23" i="1"/>
  <c r="GM22" i="1"/>
  <c r="GL22" i="1"/>
  <c r="GM21" i="1"/>
  <c r="GL21" i="1"/>
  <c r="GM19" i="1"/>
  <c r="GL19" i="1"/>
  <c r="KC689" i="1"/>
  <c r="CN46" i="1"/>
  <c r="EG46" i="1"/>
  <c r="EM46" i="1"/>
  <c r="BV155" i="1"/>
  <c r="CR46" i="1"/>
  <c r="CR94" i="1"/>
  <c r="BW155" i="1"/>
  <c r="DC94" i="1"/>
  <c r="FD155" i="1"/>
  <c r="FE155" i="1"/>
  <c r="FE195" i="1"/>
  <c r="EZ118" i="1"/>
  <c r="EW139" i="1"/>
  <c r="EA86" i="1"/>
  <c r="GE38" i="1"/>
  <c r="FN38" i="1"/>
  <c r="FF38" i="1"/>
  <c r="EP38" i="1"/>
  <c r="EO38" i="1"/>
  <c r="EI38" i="1"/>
  <c r="DZ38" i="1"/>
  <c r="DC38" i="1"/>
  <c r="CU38" i="1"/>
  <c r="CS38" i="1"/>
  <c r="FO38" i="1"/>
  <c r="FG38" i="1"/>
  <c r="ES38" i="1"/>
  <c r="EE38" i="1"/>
  <c r="EA38" i="1"/>
  <c r="GF38" i="1"/>
  <c r="FW38" i="1"/>
  <c r="FT38" i="1"/>
  <c r="FI38" i="1"/>
  <c r="EU38" i="1"/>
  <c r="EC38" i="1"/>
  <c r="DX38" i="1"/>
  <c r="CL38" i="1"/>
  <c r="CI38" i="1"/>
  <c r="BS38" i="1"/>
  <c r="BQ38" i="1"/>
  <c r="BO38" i="1"/>
  <c r="GL38" i="1"/>
  <c r="FU38" i="1"/>
  <c r="FK38" i="1"/>
  <c r="EX38" i="1"/>
  <c r="EH38" i="1"/>
  <c r="DO38" i="1"/>
  <c r="DB38" i="1"/>
  <c r="BM38" i="1"/>
  <c r="BG38" i="1"/>
  <c r="DY38" i="1"/>
  <c r="AN575" i="1"/>
  <c r="S575" i="1"/>
  <c r="Y575" i="1"/>
  <c r="EM378" i="1"/>
  <c r="DQ378" i="1"/>
  <c r="CU378" i="1"/>
  <c r="GA378" i="1"/>
  <c r="FM378" i="1"/>
  <c r="FG378" i="1"/>
  <c r="DW378" i="1"/>
  <c r="FU378" i="1"/>
  <c r="FS378" i="1"/>
  <c r="EU378" i="1"/>
  <c r="EN378" i="1"/>
  <c r="GG378" i="1"/>
  <c r="DS378" i="1"/>
  <c r="DO364" i="1"/>
  <c r="DN378" i="1"/>
  <c r="CL378" i="1"/>
  <c r="DN52" i="1"/>
  <c r="GG38" i="1"/>
  <c r="GD38" i="1"/>
  <c r="GB38" i="1"/>
  <c r="FS38" i="1"/>
  <c r="FB38" i="1"/>
  <c r="EK38" i="1"/>
  <c r="DP38" i="1"/>
  <c r="CV38" i="1"/>
  <c r="CD38" i="1"/>
  <c r="BX38" i="1"/>
  <c r="BV38" i="1"/>
  <c r="BL38" i="1"/>
  <c r="BI38" i="1"/>
  <c r="BF38" i="1"/>
  <c r="GC38" i="1"/>
  <c r="FJ38" i="1"/>
  <c r="EY38" i="1"/>
  <c r="ED38" i="1"/>
  <c r="DT38" i="1"/>
  <c r="DQ38" i="1"/>
  <c r="BY38" i="1"/>
  <c r="BW38" i="1"/>
  <c r="BB38" i="1"/>
  <c r="AZ38" i="1"/>
  <c r="GJ38" i="1"/>
  <c r="FP38" i="1"/>
  <c r="FD38" i="1"/>
  <c r="ET38" i="1"/>
  <c r="EL38" i="1"/>
  <c r="DD38" i="1"/>
  <c r="CQ38" i="1"/>
  <c r="CM38" i="1"/>
  <c r="CB38" i="1"/>
  <c r="BC38" i="1"/>
  <c r="BA38" i="1"/>
  <c r="GK38" i="1"/>
  <c r="GH38" i="1"/>
  <c r="GA38" i="1"/>
  <c r="FR38" i="1"/>
  <c r="FE38" i="1"/>
  <c r="FA38" i="1"/>
  <c r="EM38" i="1"/>
  <c r="EJ38" i="1"/>
  <c r="EG38" i="1"/>
  <c r="DS38" i="1"/>
  <c r="DN38" i="1"/>
  <c r="DI38" i="1"/>
  <c r="CX38" i="1"/>
  <c r="CN38" i="1"/>
  <c r="CC38" i="1"/>
  <c r="BR38" i="1"/>
  <c r="BN38" i="1"/>
  <c r="BH38" i="1"/>
  <c r="DE46" i="1"/>
  <c r="CU46" i="1"/>
  <c r="CZ46" i="1"/>
  <c r="CD46" i="1"/>
  <c r="EL46" i="1"/>
  <c r="DZ46" i="1"/>
  <c r="DZ86" i="1"/>
  <c r="DZ94" i="1"/>
  <c r="DQ46" i="1"/>
  <c r="DA38" i="1"/>
  <c r="GM38" i="1"/>
  <c r="GF46" i="1"/>
  <c r="EF46" i="1"/>
  <c r="DD46" i="1"/>
  <c r="CT38" i="1"/>
  <c r="CR38" i="1"/>
  <c r="CP218" i="1"/>
  <c r="DF218" i="1"/>
  <c r="GA218" i="1"/>
  <c r="CS218" i="1"/>
  <c r="CQ242" i="1"/>
  <c r="CC218" i="1"/>
  <c r="BR242" i="1"/>
  <c r="BC218" i="1"/>
  <c r="BB218" i="1"/>
  <c r="EO721" i="1"/>
  <c r="DR721" i="1"/>
  <c r="GL721" i="1"/>
  <c r="GK721" i="1"/>
  <c r="GB721" i="1"/>
  <c r="FY721" i="1"/>
  <c r="FV721" i="1"/>
  <c r="FS721" i="1"/>
  <c r="FO721" i="1"/>
  <c r="FL721" i="1"/>
  <c r="FI721" i="1"/>
  <c r="EZ721" i="1"/>
  <c r="EY721" i="1"/>
  <c r="ES721" i="1"/>
  <c r="EI721" i="1"/>
  <c r="EE721" i="1"/>
  <c r="DU721" i="1"/>
  <c r="DO721" i="1"/>
  <c r="DJ721" i="1"/>
  <c r="DF721" i="1"/>
  <c r="DE721" i="1"/>
  <c r="CZ721" i="1"/>
  <c r="CX721" i="1"/>
  <c r="CS723" i="1"/>
  <c r="CS721" i="1"/>
  <c r="CP723" i="1"/>
  <c r="CP721" i="1"/>
  <c r="CD723" i="1"/>
  <c r="CD721" i="1"/>
  <c r="BR723" i="1"/>
  <c r="BR721" i="1"/>
  <c r="BL723" i="1"/>
  <c r="BL721" i="1"/>
  <c r="BK723" i="1"/>
  <c r="BK721" i="1"/>
  <c r="BC723" i="1"/>
  <c r="BC721" i="1"/>
  <c r="GM721" i="1"/>
  <c r="GH721" i="1"/>
  <c r="GC721" i="1"/>
  <c r="FW721" i="1"/>
  <c r="FM721" i="1"/>
  <c r="FG721" i="1"/>
  <c r="FA721" i="1"/>
  <c r="EP721" i="1"/>
  <c r="EK721" i="1"/>
  <c r="EA721" i="1"/>
  <c r="DY721" i="1"/>
  <c r="DW721" i="1"/>
  <c r="DK721" i="1"/>
  <c r="DG721" i="1"/>
  <c r="DC721" i="1"/>
  <c r="DA721" i="1"/>
  <c r="CY721" i="1"/>
  <c r="CQ723" i="1"/>
  <c r="CQ721" i="1"/>
  <c r="CF723" i="1"/>
  <c r="CF721" i="1"/>
  <c r="CE723" i="1"/>
  <c r="CE721" i="1"/>
  <c r="BX723" i="1"/>
  <c r="BX721" i="1"/>
  <c r="BU723" i="1"/>
  <c r="BU721" i="1"/>
  <c r="BN723" i="1"/>
  <c r="BN721" i="1"/>
  <c r="BM723" i="1"/>
  <c r="BM721" i="1"/>
  <c r="BH723" i="1"/>
  <c r="BH721" i="1"/>
  <c r="AZ723" i="1"/>
  <c r="AZ721" i="1"/>
  <c r="GI721" i="1"/>
  <c r="GF721" i="1"/>
  <c r="GD721" i="1"/>
  <c r="GA721" i="1"/>
  <c r="FJ721" i="1"/>
  <c r="FD721" i="1"/>
  <c r="EV721" i="1"/>
  <c r="EQ721" i="1"/>
  <c r="EB721" i="1"/>
  <c r="DH721" i="1"/>
  <c r="CG723" i="1"/>
  <c r="CG721" i="1"/>
  <c r="BZ723" i="1"/>
  <c r="BZ721" i="1"/>
  <c r="BY723" i="1"/>
  <c r="BY721" i="1"/>
  <c r="BV723" i="1"/>
  <c r="BV721" i="1"/>
  <c r="BO723" i="1"/>
  <c r="BO721" i="1"/>
  <c r="BI723" i="1"/>
  <c r="BI721" i="1"/>
  <c r="BF723" i="1"/>
  <c r="BF721" i="1"/>
  <c r="BD723" i="1"/>
  <c r="BD721" i="1"/>
  <c r="BA723" i="1"/>
  <c r="BA721" i="1"/>
  <c r="GG721" i="1"/>
  <c r="GE721" i="1"/>
  <c r="FX721" i="1"/>
  <c r="FR721" i="1"/>
  <c r="FQ721" i="1"/>
  <c r="FK721" i="1"/>
  <c r="FH721" i="1"/>
  <c r="FE721" i="1"/>
  <c r="EX721" i="1"/>
  <c r="EW721" i="1"/>
  <c r="ER721" i="1"/>
  <c r="EH721" i="1"/>
  <c r="EG721" i="1"/>
  <c r="ED721" i="1"/>
  <c r="EC721" i="1"/>
  <c r="DT721" i="1"/>
  <c r="DN721" i="1"/>
  <c r="DI721" i="1"/>
  <c r="DD721" i="1"/>
  <c r="CW721" i="1"/>
  <c r="CR723" i="1"/>
  <c r="CR721" i="1"/>
  <c r="CK723" i="1"/>
  <c r="CK721" i="1"/>
  <c r="CI723" i="1"/>
  <c r="CI721" i="1"/>
  <c r="CA723" i="1"/>
  <c r="CA721" i="1"/>
  <c r="BW723" i="1"/>
  <c r="BW721" i="1"/>
  <c r="BQ723" i="1"/>
  <c r="BQ721" i="1"/>
  <c r="BJ723" i="1"/>
  <c r="BJ721" i="1"/>
  <c r="BG723" i="1"/>
  <c r="BG721" i="1"/>
  <c r="BE723" i="1"/>
  <c r="BE721" i="1"/>
  <c r="BB723" i="1"/>
  <c r="BB721" i="1"/>
  <c r="DL94" i="1"/>
  <c r="DX86" i="1"/>
  <c r="CS94" i="1"/>
  <c r="DC111" i="1"/>
  <c r="EW94" i="1"/>
  <c r="EV118" i="1"/>
  <c r="CF131" i="1"/>
  <c r="CF167" i="1"/>
  <c r="BV111" i="1"/>
  <c r="EX118" i="1"/>
  <c r="DN236" i="1"/>
  <c r="DJ195" i="1"/>
  <c r="DJ172" i="1"/>
  <c r="CX131" i="1"/>
  <c r="CG131" i="1"/>
  <c r="CG139" i="1"/>
  <c r="CG167" i="1"/>
  <c r="BV46" i="1"/>
  <c r="BW111" i="1"/>
  <c r="DZ118" i="1"/>
  <c r="DK131" i="1"/>
  <c r="DC46" i="1"/>
  <c r="CV118" i="1"/>
  <c r="BV131" i="1"/>
  <c r="EV125" i="1"/>
  <c r="BW131" i="1"/>
  <c r="DB118" i="1"/>
  <c r="BT46" i="1"/>
  <c r="BU46" i="1"/>
  <c r="EV131" i="1"/>
  <c r="DN111" i="1"/>
  <c r="DL111" i="1"/>
  <c r="CT111" i="1"/>
  <c r="BV139" i="1"/>
  <c r="FC46" i="1"/>
  <c r="FC111" i="1"/>
  <c r="DN46" i="1"/>
  <c r="DI94" i="1"/>
  <c r="CU236" i="1"/>
  <c r="CU210" i="1"/>
  <c r="CS195" i="1"/>
  <c r="CS172" i="1"/>
  <c r="BW139" i="1"/>
  <c r="DZ125" i="1"/>
  <c r="DZ131" i="1"/>
  <c r="CX118" i="1"/>
  <c r="CT131" i="1"/>
  <c r="CY118" i="1"/>
  <c r="DF131" i="1"/>
  <c r="CZ94" i="1"/>
  <c r="DA94" i="1"/>
  <c r="CV131" i="1"/>
  <c r="CF139" i="1"/>
  <c r="DI118" i="1"/>
  <c r="CT155" i="1"/>
  <c r="FE131" i="1"/>
  <c r="DV46" i="1"/>
  <c r="DK111" i="1"/>
  <c r="DB131" i="1"/>
  <c r="DA111" i="1"/>
  <c r="CV94" i="1"/>
  <c r="CU131" i="1"/>
  <c r="BU94" i="1"/>
  <c r="FB131" i="1"/>
  <c r="EV94" i="1"/>
  <c r="DX94" i="1"/>
  <c r="DN131" i="1"/>
  <c r="DE94" i="1"/>
  <c r="CT46" i="1"/>
  <c r="CR118" i="1"/>
  <c r="CR155" i="1"/>
  <c r="CS167" i="1"/>
  <c r="CR236" i="1"/>
  <c r="FD94" i="1"/>
  <c r="FD118" i="1"/>
  <c r="FC131" i="1"/>
  <c r="EN46" i="1"/>
  <c r="DL131" i="1"/>
  <c r="DH111" i="1"/>
  <c r="DG94" i="1"/>
  <c r="CX111" i="1"/>
  <c r="CY155" i="1"/>
  <c r="FE94" i="1"/>
  <c r="FE118" i="1"/>
  <c r="DY46" i="1"/>
  <c r="DN94" i="1"/>
  <c r="DJ131" i="1"/>
  <c r="DI111" i="1"/>
  <c r="CZ111" i="1"/>
  <c r="CY111" i="1"/>
  <c r="FS662" i="1"/>
  <c r="FQ662" i="1"/>
  <c r="FG662" i="1"/>
  <c r="EV662" i="1"/>
  <c r="EK662" i="1"/>
  <c r="DU662" i="1"/>
  <c r="DS662" i="1"/>
  <c r="DN662" i="1"/>
  <c r="DD662" i="1"/>
  <c r="DA662" i="1"/>
  <c r="CX662" i="1"/>
  <c r="CW662" i="1"/>
  <c r="CQ662" i="1"/>
  <c r="CF662" i="1"/>
  <c r="CA662" i="1"/>
  <c r="BW662" i="1"/>
  <c r="BO662" i="1"/>
  <c r="BL662" i="1"/>
  <c r="BF662" i="1"/>
  <c r="GE662" i="1"/>
  <c r="GC662" i="1"/>
  <c r="FA662" i="1"/>
  <c r="EX662" i="1"/>
  <c r="EW662" i="1"/>
  <c r="ER662" i="1"/>
  <c r="EP662" i="1"/>
  <c r="EL662" i="1"/>
  <c r="EH662" i="1"/>
  <c r="ED662" i="1"/>
  <c r="EA662" i="1"/>
  <c r="DV662" i="1"/>
  <c r="DO662" i="1"/>
  <c r="DH662" i="1"/>
  <c r="DF662" i="1"/>
  <c r="DE662" i="1"/>
  <c r="CY662" i="1"/>
  <c r="CI662" i="1"/>
  <c r="CG662" i="1"/>
  <c r="CD662" i="1"/>
  <c r="BY662" i="1"/>
  <c r="BM662" i="1"/>
  <c r="BJ662" i="1"/>
  <c r="BH662" i="1"/>
  <c r="BG662" i="1"/>
  <c r="BB662" i="1"/>
  <c r="AZ662" i="1"/>
  <c r="FV662" i="1"/>
  <c r="FJ662" i="1"/>
  <c r="EY662" i="1"/>
  <c r="ET662" i="1"/>
  <c r="ES662" i="1"/>
  <c r="EQ662" i="1"/>
  <c r="EM662" i="1"/>
  <c r="EI662" i="1"/>
  <c r="EG662" i="1"/>
  <c r="EE662" i="1"/>
  <c r="EB662" i="1"/>
  <c r="DX662" i="1"/>
  <c r="DW662" i="1"/>
  <c r="DJ662" i="1"/>
  <c r="DI662" i="1"/>
  <c r="DG662" i="1"/>
  <c r="DB662" i="1"/>
  <c r="CL662" i="1"/>
  <c r="CJ662" i="1"/>
  <c r="CE662" i="1"/>
  <c r="BK662" i="1"/>
  <c r="BI662" i="1"/>
  <c r="BD662" i="1"/>
  <c r="BC662" i="1"/>
  <c r="BA662" i="1"/>
  <c r="GK662" i="1"/>
  <c r="FX662" i="1"/>
  <c r="FP662" i="1"/>
  <c r="FO662" i="1"/>
  <c r="EJ662" i="1"/>
  <c r="EC662" i="1"/>
  <c r="DY662" i="1"/>
  <c r="DT662" i="1"/>
  <c r="DR662" i="1"/>
  <c r="DK662" i="1"/>
  <c r="DC662" i="1"/>
  <c r="CZ662" i="1"/>
  <c r="CV662" i="1"/>
  <c r="CM662" i="1"/>
  <c r="CK662" i="1"/>
  <c r="BZ662" i="1"/>
  <c r="BT662" i="1"/>
  <c r="BQ662" i="1"/>
  <c r="BN662" i="1"/>
  <c r="BE662" i="1"/>
  <c r="FQ575" i="1"/>
  <c r="AE575" i="1"/>
  <c r="GG619" i="1"/>
  <c r="FQ609" i="1"/>
  <c r="ET619" i="1"/>
  <c r="DC619" i="1"/>
  <c r="CH619" i="1"/>
  <c r="GF609" i="1"/>
  <c r="GC609" i="1"/>
  <c r="GC575" i="1"/>
  <c r="GA577" i="1"/>
  <c r="GA619" i="1"/>
  <c r="FT609" i="1"/>
  <c r="FR609" i="1"/>
  <c r="FN609" i="1"/>
  <c r="FL609" i="1"/>
  <c r="FC577" i="1"/>
  <c r="FC619" i="1"/>
  <c r="EV577" i="1"/>
  <c r="EV619" i="1"/>
  <c r="EV609" i="1"/>
  <c r="EU619" i="1"/>
  <c r="EU609" i="1"/>
  <c r="EU575" i="1"/>
  <c r="EO609" i="1"/>
  <c r="EO575" i="1"/>
  <c r="EL609" i="1"/>
  <c r="EJ577" i="1"/>
  <c r="EJ619" i="1"/>
  <c r="DW609" i="1"/>
  <c r="DR577" i="1"/>
  <c r="DR619" i="1"/>
  <c r="DR609" i="1"/>
  <c r="DR575" i="1"/>
  <c r="DN609" i="1"/>
  <c r="DN575" i="1"/>
  <c r="DM577" i="1"/>
  <c r="DM619" i="1"/>
  <c r="DD577" i="1"/>
  <c r="DD619" i="1"/>
  <c r="CV577" i="1"/>
  <c r="CV619" i="1"/>
  <c r="CT577" i="1"/>
  <c r="CT619" i="1"/>
  <c r="CS609" i="1"/>
  <c r="CO577" i="1"/>
  <c r="CO619" i="1"/>
  <c r="CL577" i="1"/>
  <c r="CL619" i="1"/>
  <c r="CL609" i="1"/>
  <c r="CL575" i="1"/>
  <c r="CI577" i="1"/>
  <c r="CI619" i="1"/>
  <c r="CD609" i="1"/>
  <c r="CB609" i="1"/>
  <c r="CB575" i="1"/>
  <c r="BT577" i="1"/>
  <c r="BT619" i="1"/>
  <c r="BQ577" i="1"/>
  <c r="BQ619" i="1"/>
  <c r="GG609" i="1"/>
  <c r="FO575" i="1"/>
  <c r="EB619" i="1"/>
  <c r="EB609" i="1"/>
  <c r="EB575" i="1"/>
  <c r="DE619" i="1"/>
  <c r="DE609" i="1"/>
  <c r="DE575" i="1"/>
  <c r="DC609" i="1"/>
  <c r="CW619" i="1"/>
  <c r="CW609" i="1"/>
  <c r="CJ619" i="1"/>
  <c r="CJ609" i="1"/>
  <c r="CJ575" i="1"/>
  <c r="CH609" i="1"/>
  <c r="AD575" i="1"/>
  <c r="GL611" i="1"/>
  <c r="GL609" i="1"/>
  <c r="FE611" i="1"/>
  <c r="FE609" i="1"/>
  <c r="EH611" i="1"/>
  <c r="EH609" i="1"/>
  <c r="DX611" i="1"/>
  <c r="DX609" i="1"/>
  <c r="DX575" i="1"/>
  <c r="BO611" i="1"/>
  <c r="BO609" i="1"/>
  <c r="GM611" i="1"/>
  <c r="GM609" i="1"/>
  <c r="GH611" i="1"/>
  <c r="GH609" i="1"/>
  <c r="ES611" i="1"/>
  <c r="ES609" i="1"/>
  <c r="EQ611" i="1"/>
  <c r="EQ609" i="1"/>
  <c r="EI611" i="1"/>
  <c r="EI609" i="1"/>
  <c r="ED611" i="1"/>
  <c r="ED609" i="1"/>
  <c r="ED575" i="1"/>
  <c r="DY611" i="1"/>
  <c r="DY609" i="1"/>
  <c r="CC575" i="1"/>
  <c r="BZ611" i="1"/>
  <c r="BZ609" i="1"/>
  <c r="BZ575" i="1"/>
  <c r="BH575" i="1"/>
  <c r="BH611" i="1"/>
  <c r="BH609" i="1"/>
  <c r="GI611" i="1"/>
  <c r="GI609" i="1"/>
  <c r="GD611" i="1"/>
  <c r="GD609" i="1"/>
  <c r="GD575" i="1"/>
  <c r="FW611" i="1"/>
  <c r="FW609" i="1"/>
  <c r="FH611" i="1"/>
  <c r="FH609" i="1"/>
  <c r="EX611" i="1"/>
  <c r="EX609" i="1"/>
  <c r="EE611" i="1"/>
  <c r="EE609" i="1"/>
  <c r="DJ611" i="1"/>
  <c r="DJ609" i="1"/>
  <c r="DF611" i="1"/>
  <c r="DF609" i="1"/>
  <c r="DF575" i="1"/>
  <c r="CP611" i="1"/>
  <c r="CP609" i="1"/>
  <c r="CA611" i="1"/>
  <c r="CA609" i="1"/>
  <c r="CA575" i="1"/>
  <c r="BW611" i="1"/>
  <c r="BW609" i="1"/>
  <c r="BW575" i="1"/>
  <c r="BS611" i="1"/>
  <c r="BS609" i="1"/>
  <c r="BK611" i="1"/>
  <c r="BK609" i="1"/>
  <c r="BI611" i="1"/>
  <c r="BI609" i="1"/>
  <c r="BI575" i="1"/>
  <c r="BB611" i="1"/>
  <c r="BB609" i="1"/>
  <c r="AZ611" i="1"/>
  <c r="AZ609" i="1"/>
  <c r="GE611" i="1"/>
  <c r="GE609" i="1"/>
  <c r="GE575" i="1"/>
  <c r="FI611" i="1"/>
  <c r="FI609" i="1"/>
  <c r="EY611" i="1"/>
  <c r="EY609" i="1"/>
  <c r="DS575" i="1"/>
  <c r="DK611" i="1"/>
  <c r="DK609" i="1"/>
  <c r="DG611" i="1"/>
  <c r="DG609" i="1"/>
  <c r="DG575" i="1"/>
  <c r="CY611" i="1"/>
  <c r="CY609" i="1"/>
  <c r="CQ611" i="1"/>
  <c r="CQ609" i="1"/>
  <c r="CM575" i="1"/>
  <c r="BY611" i="1"/>
  <c r="BY609" i="1"/>
  <c r="BA611" i="1"/>
  <c r="BA609" i="1"/>
  <c r="GL577" i="1"/>
  <c r="FK577" i="1"/>
  <c r="FE577" i="1"/>
  <c r="ER577" i="1"/>
  <c r="EP577" i="1"/>
  <c r="EL579" i="1"/>
  <c r="EL577" i="1"/>
  <c r="EL575" i="1"/>
  <c r="EH577" i="1"/>
  <c r="EH575" i="1"/>
  <c r="BO577" i="1"/>
  <c r="BL577" i="1"/>
  <c r="BE577" i="1"/>
  <c r="GM577" i="1"/>
  <c r="GM575" i="1"/>
  <c r="GH577" i="1"/>
  <c r="FZ38" i="1"/>
  <c r="FV577" i="1"/>
  <c r="EZ577" i="1"/>
  <c r="EZ575" i="1"/>
  <c r="ES577" i="1"/>
  <c r="EQ577" i="1"/>
  <c r="EM579" i="1"/>
  <c r="EM577" i="1"/>
  <c r="EM575" i="1"/>
  <c r="EI577" i="1"/>
  <c r="EI575" i="1"/>
  <c r="DY577" i="1"/>
  <c r="DT577" i="1"/>
  <c r="DH577" i="1"/>
  <c r="CZ577" i="1"/>
  <c r="CZ575" i="1"/>
  <c r="CF577" i="1"/>
  <c r="BR577" i="1"/>
  <c r="BM577" i="1"/>
  <c r="BJ577" i="1"/>
  <c r="BJ575" i="1"/>
  <c r="GI577" i="1"/>
  <c r="FX577" i="1"/>
  <c r="FX575" i="1"/>
  <c r="FW577" i="1"/>
  <c r="FH577" i="1"/>
  <c r="FH575" i="1"/>
  <c r="FA577" i="1"/>
  <c r="EX577" i="1"/>
  <c r="DU577" i="1"/>
  <c r="DJ577" i="1"/>
  <c r="DJ575" i="1"/>
  <c r="DI577" i="1"/>
  <c r="DA577" i="1"/>
  <c r="CX577" i="1"/>
  <c r="CP577" i="1"/>
  <c r="CP575" i="1"/>
  <c r="CG577" i="1"/>
  <c r="BX577" i="1"/>
  <c r="BS577" i="1"/>
  <c r="BK577" i="1"/>
  <c r="BK575" i="1"/>
  <c r="BB577" i="1"/>
  <c r="AZ577" i="1"/>
  <c r="FY577" i="1"/>
  <c r="FY575" i="1"/>
  <c r="FJ577" i="1"/>
  <c r="FJ575" i="1"/>
  <c r="FI577" i="1"/>
  <c r="FD577" i="1"/>
  <c r="EY577" i="1"/>
  <c r="DR38" i="1"/>
  <c r="DK577" i="1"/>
  <c r="CY577" i="1"/>
  <c r="CW579" i="1"/>
  <c r="CW577" i="1"/>
  <c r="CQ577" i="1"/>
  <c r="CQ575" i="1"/>
  <c r="CJ579" i="1"/>
  <c r="CJ577" i="1"/>
  <c r="CE577" i="1"/>
  <c r="BY577" i="1"/>
  <c r="BN577" i="1"/>
  <c r="BN575" i="1"/>
  <c r="BD577" i="1"/>
  <c r="BC577" i="1"/>
  <c r="BA577" i="1"/>
  <c r="DZ236" i="1"/>
  <c r="DB236" i="1"/>
  <c r="FZ236" i="1"/>
  <c r="EV236" i="1"/>
  <c r="DC236" i="1"/>
  <c r="EW236" i="1"/>
  <c r="BQ236" i="1"/>
  <c r="AT364" i="1"/>
  <c r="GK236" i="1"/>
  <c r="FF236" i="1"/>
  <c r="EJ236" i="1"/>
  <c r="EF236" i="1"/>
  <c r="DO236" i="1"/>
  <c r="DO210" i="1"/>
  <c r="CT236" i="1"/>
  <c r="CO236" i="1"/>
  <c r="CD236" i="1"/>
  <c r="FY210" i="1"/>
  <c r="FV541" i="1"/>
  <c r="FQ364" i="1"/>
  <c r="FJ541" i="1"/>
  <c r="FD541" i="1"/>
  <c r="FA541" i="1"/>
  <c r="EX541" i="1"/>
  <c r="EQ541" i="1"/>
  <c r="EH541" i="1"/>
  <c r="DX541" i="1"/>
  <c r="DX364" i="1"/>
  <c r="DJ541" i="1"/>
  <c r="CZ541" i="1"/>
  <c r="CY541" i="1"/>
  <c r="CQ541" i="1"/>
  <c r="CE364" i="1"/>
  <c r="CE541" i="1"/>
  <c r="BR541" i="1"/>
  <c r="BN541" i="1"/>
  <c r="BM541" i="1"/>
  <c r="BK541" i="1"/>
  <c r="BA541" i="1"/>
  <c r="GL541" i="1"/>
  <c r="GH541" i="1"/>
  <c r="FX541" i="1"/>
  <c r="FW541" i="1"/>
  <c r="FK541" i="1"/>
  <c r="FH541" i="1"/>
  <c r="FE541" i="1"/>
  <c r="EY541" i="1"/>
  <c r="EI541" i="1"/>
  <c r="ED541" i="1"/>
  <c r="ED364" i="1"/>
  <c r="DY541" i="1"/>
  <c r="DK541" i="1"/>
  <c r="DH541" i="1"/>
  <c r="DF541" i="1"/>
  <c r="DA541" i="1"/>
  <c r="CF541" i="1"/>
  <c r="BX541" i="1"/>
  <c r="BS541" i="1"/>
  <c r="BO541" i="1"/>
  <c r="BH541" i="1"/>
  <c r="BF541" i="1"/>
  <c r="BF364" i="1"/>
  <c r="BD541" i="1"/>
  <c r="GM541" i="1"/>
  <c r="GI541" i="1"/>
  <c r="GD541" i="1"/>
  <c r="FY541" i="1"/>
  <c r="FI541" i="1"/>
  <c r="ER541" i="1"/>
  <c r="EE541" i="1"/>
  <c r="DT541" i="1"/>
  <c r="DI541" i="1"/>
  <c r="DG541" i="1"/>
  <c r="DG364" i="1"/>
  <c r="CG541" i="1"/>
  <c r="BZ541" i="1"/>
  <c r="BZ364" i="1"/>
  <c r="BY541" i="1"/>
  <c r="BV541" i="1"/>
  <c r="BI541" i="1"/>
  <c r="BG541" i="1"/>
  <c r="BE541" i="1"/>
  <c r="BB541" i="1"/>
  <c r="GE541" i="1"/>
  <c r="FX210" i="1"/>
  <c r="EZ541" i="1"/>
  <c r="ES541" i="1"/>
  <c r="EP541" i="1"/>
  <c r="DU541" i="1"/>
  <c r="CX541" i="1"/>
  <c r="CP541" i="1"/>
  <c r="CA541" i="1"/>
  <c r="BW541" i="1"/>
  <c r="BL541" i="1"/>
  <c r="BJ541" i="1"/>
  <c r="BC541" i="1"/>
  <c r="AZ541" i="1"/>
  <c r="GM172" i="1"/>
  <c r="CC172" i="1"/>
  <c r="FX172" i="1"/>
  <c r="BD172" i="1"/>
  <c r="FY172" i="1"/>
  <c r="DT172" i="1"/>
  <c r="BE172" i="1"/>
  <c r="DK139" i="1"/>
  <c r="EQ139" i="1"/>
  <c r="FX139" i="1"/>
  <c r="FW139" i="1"/>
  <c r="CZ139" i="1"/>
  <c r="BL139" i="1"/>
  <c r="BD139" i="1"/>
  <c r="ER139" i="1"/>
  <c r="BE139" i="1"/>
  <c r="FP364" i="1"/>
  <c r="GM437" i="1"/>
  <c r="GF364" i="1"/>
  <c r="FT364" i="1"/>
  <c r="FN364" i="1"/>
  <c r="FK437" i="1"/>
  <c r="FD437" i="1"/>
  <c r="EL364" i="1"/>
  <c r="DT437" i="1"/>
  <c r="DP364" i="1"/>
  <c r="CX437" i="1"/>
  <c r="BR437" i="1"/>
  <c r="BA437" i="1"/>
  <c r="AH364" i="1"/>
  <c r="GJ131" i="1"/>
  <c r="GJ364" i="1"/>
  <c r="GG131" i="1"/>
  <c r="GD131" i="1"/>
  <c r="GB131" i="1"/>
  <c r="GB364" i="1"/>
  <c r="FU131" i="1"/>
  <c r="FO131" i="1"/>
  <c r="FF131" i="1"/>
  <c r="FE437" i="1"/>
  <c r="ET131" i="1"/>
  <c r="EP437" i="1"/>
  <c r="EM131" i="1"/>
  <c r="EJ131" i="1"/>
  <c r="EG131" i="1"/>
  <c r="EG364" i="1"/>
  <c r="EE131" i="1"/>
  <c r="EA364" i="1"/>
  <c r="DW131" i="1"/>
  <c r="DU437" i="1"/>
  <c r="DQ131" i="1"/>
  <c r="DH437" i="1"/>
  <c r="CY437" i="1"/>
  <c r="BS437" i="1"/>
  <c r="FC364" i="1"/>
  <c r="FR364" i="1"/>
  <c r="EQ437" i="1"/>
  <c r="EB364" i="1"/>
  <c r="DI437" i="1"/>
  <c r="AZ437" i="1"/>
  <c r="GH437" i="1"/>
  <c r="FY437" i="1"/>
  <c r="FW437" i="1"/>
  <c r="EH437" i="1"/>
  <c r="CF437" i="1"/>
  <c r="BY437" i="1"/>
  <c r="BV437" i="1"/>
  <c r="BO437" i="1"/>
  <c r="BK437" i="1"/>
  <c r="BI437" i="1"/>
  <c r="BD437" i="1"/>
  <c r="GI437" i="1"/>
  <c r="EZ437" i="1"/>
  <c r="ER437" i="1"/>
  <c r="EI437" i="1"/>
  <c r="DM364" i="1"/>
  <c r="CW364" i="1"/>
  <c r="CP437" i="1"/>
  <c r="CG437" i="1"/>
  <c r="BW437" i="1"/>
  <c r="BE437" i="1"/>
  <c r="FH437" i="1"/>
  <c r="FA437" i="1"/>
  <c r="EX437" i="1"/>
  <c r="ES437" i="1"/>
  <c r="DJ437" i="1"/>
  <c r="CZ437" i="1"/>
  <c r="CR364" i="1"/>
  <c r="CQ437" i="1"/>
  <c r="CM364" i="1"/>
  <c r="BL437" i="1"/>
  <c r="BB437" i="1"/>
  <c r="GE364" i="1"/>
  <c r="FX437" i="1"/>
  <c r="FV437" i="1"/>
  <c r="FI437" i="1"/>
  <c r="EY437" i="1"/>
  <c r="DK437" i="1"/>
  <c r="DA437" i="1"/>
  <c r="BX437" i="1"/>
  <c r="BU364" i="1"/>
  <c r="BN437" i="1"/>
  <c r="BM437" i="1"/>
  <c r="BJ437" i="1"/>
  <c r="BH437" i="1"/>
  <c r="BC437" i="1"/>
  <c r="CQ94" i="1"/>
  <c r="BL94" i="1"/>
  <c r="FI378" i="1"/>
  <c r="FI364" i="1"/>
  <c r="DJ378" i="1"/>
  <c r="GG364" i="1"/>
  <c r="GA364" i="1"/>
  <c r="FU364" i="1"/>
  <c r="FS364" i="1"/>
  <c r="FO364" i="1"/>
  <c r="FM364" i="1"/>
  <c r="FG364" i="1"/>
  <c r="EN364" i="1"/>
  <c r="EM364" i="1"/>
  <c r="EK364" i="1"/>
  <c r="EC364" i="1"/>
  <c r="DW364" i="1"/>
  <c r="DS364" i="1"/>
  <c r="DN364" i="1"/>
  <c r="DL364" i="1"/>
  <c r="CV364" i="1"/>
  <c r="CU364" i="1"/>
  <c r="CN364" i="1"/>
  <c r="CL364" i="1"/>
  <c r="CJ364" i="1"/>
  <c r="BT364" i="1"/>
  <c r="BG364" i="1"/>
  <c r="GI378" i="1"/>
  <c r="FW378" i="1"/>
  <c r="FK378" i="1"/>
  <c r="FA378" i="1"/>
  <c r="DT52" i="1"/>
  <c r="DT378" i="1"/>
  <c r="DT364" i="1"/>
  <c r="DA378" i="1"/>
  <c r="BY378" i="1"/>
  <c r="BN378" i="1"/>
  <c r="BL378" i="1"/>
  <c r="BL364" i="1"/>
  <c r="BH378" i="1"/>
  <c r="BC378" i="1"/>
  <c r="BC364" i="1"/>
  <c r="GL378" i="1"/>
  <c r="FX378" i="1"/>
  <c r="FX364" i="1"/>
  <c r="FH378" i="1"/>
  <c r="EX378" i="1"/>
  <c r="EQ378" i="1"/>
  <c r="EQ364" i="1"/>
  <c r="EH378" i="1"/>
  <c r="EH364" i="1"/>
  <c r="EB52" i="1"/>
  <c r="EA52" i="1"/>
  <c r="DY52" i="1"/>
  <c r="DU52" i="1"/>
  <c r="DU378" i="1"/>
  <c r="DP52" i="1"/>
  <c r="DK52" i="1"/>
  <c r="DK378" i="1"/>
  <c r="CX378" i="1"/>
  <c r="CP378" i="1"/>
  <c r="BV378" i="1"/>
  <c r="BO378" i="1"/>
  <c r="BO364" i="1"/>
  <c r="BM378" i="1"/>
  <c r="BI378" i="1"/>
  <c r="AZ52" i="1"/>
  <c r="AZ378" i="1"/>
  <c r="GM378" i="1"/>
  <c r="GM364" i="1"/>
  <c r="FY378" i="1"/>
  <c r="FW364" i="1"/>
  <c r="FD378" i="1"/>
  <c r="EY378" i="1"/>
  <c r="EY364" i="1"/>
  <c r="ER378" i="1"/>
  <c r="EI378" i="1"/>
  <c r="DH378" i="1"/>
  <c r="CY378" i="1"/>
  <c r="CY364" i="1"/>
  <c r="CQ378" i="1"/>
  <c r="CF378" i="1"/>
  <c r="BY364" i="1"/>
  <c r="BW378" i="1"/>
  <c r="BW364" i="1"/>
  <c r="BR378" i="1"/>
  <c r="BR364" i="1"/>
  <c r="BR240" i="1"/>
  <c r="BJ378" i="1"/>
  <c r="BJ364" i="1"/>
  <c r="GH378" i="1"/>
  <c r="GH364" i="1"/>
  <c r="FV378" i="1"/>
  <c r="FJ378" i="1"/>
  <c r="FJ364" i="1"/>
  <c r="FE378" i="1"/>
  <c r="EZ378" i="1"/>
  <c r="EZ364" i="1"/>
  <c r="EX364" i="1"/>
  <c r="ES378" i="1"/>
  <c r="DI378" i="1"/>
  <c r="DI364" i="1"/>
  <c r="DF378" i="1"/>
  <c r="CZ378" i="1"/>
  <c r="CX364" i="1"/>
  <c r="CP364" i="1"/>
  <c r="CG378" i="1"/>
  <c r="BX378" i="1"/>
  <c r="BX364" i="1"/>
  <c r="BS378" i="1"/>
  <c r="BS364" i="1"/>
  <c r="BM364" i="1"/>
  <c r="BK378" i="1"/>
  <c r="BK364" i="1"/>
  <c r="BI364" i="1"/>
  <c r="BA378" i="1"/>
  <c r="BA364" i="1"/>
  <c r="FH364" i="1"/>
  <c r="BB378" i="1"/>
  <c r="FD364" i="1"/>
  <c r="EI364" i="1"/>
  <c r="CC378" i="1"/>
  <c r="BD378" i="1"/>
  <c r="BD364" i="1"/>
  <c r="FE364" i="1"/>
  <c r="ES364" i="1"/>
  <c r="DV52" i="1"/>
  <c r="CS378" i="1"/>
  <c r="CS364" i="1"/>
  <c r="CG364" i="1"/>
  <c r="BZ52" i="1"/>
  <c r="BE378" i="1"/>
  <c r="BB364" i="1"/>
  <c r="CQ218" i="1"/>
  <c r="BS218" i="1"/>
  <c r="EX218" i="1"/>
  <c r="EG347" i="1"/>
  <c r="DQ347" i="1"/>
  <c r="GH218" i="1"/>
  <c r="CY218" i="1"/>
  <c r="BR218" i="1"/>
  <c r="BJ218" i="1"/>
  <c r="GC273" i="1"/>
  <c r="FZ273" i="1"/>
  <c r="FR273" i="1"/>
  <c r="FP273" i="1"/>
  <c r="FL273" i="1"/>
  <c r="FJ273" i="1"/>
  <c r="FH273" i="1"/>
  <c r="FF273" i="1"/>
  <c r="FE273" i="1"/>
  <c r="FC273" i="1"/>
  <c r="EZ273" i="1"/>
  <c r="ER273" i="1"/>
  <c r="EP273" i="1"/>
  <c r="EN273" i="1"/>
  <c r="EL273" i="1"/>
  <c r="EH273" i="1"/>
  <c r="EF273" i="1"/>
  <c r="DX273" i="1"/>
  <c r="DW273" i="1"/>
  <c r="DT273" i="1"/>
  <c r="DR273" i="1"/>
  <c r="DN273" i="1"/>
  <c r="DN242" i="1"/>
  <c r="DN240" i="1"/>
  <c r="DE273" i="1"/>
  <c r="DC273" i="1"/>
  <c r="CZ273" i="1"/>
  <c r="CU273" i="1"/>
  <c r="CR273" i="1"/>
  <c r="CO273" i="1"/>
  <c r="CK273" i="1"/>
  <c r="CI273" i="1"/>
  <c r="CF273" i="1"/>
  <c r="CD273" i="1"/>
  <c r="CD242" i="1"/>
  <c r="CD240" i="1"/>
  <c r="BZ273" i="1"/>
  <c r="BX273" i="1"/>
  <c r="BV273" i="1"/>
  <c r="BT273" i="1"/>
  <c r="BQ273" i="1"/>
  <c r="BH273" i="1"/>
  <c r="BF273" i="1"/>
  <c r="BD273" i="1"/>
  <c r="BA273" i="1"/>
  <c r="GF273" i="1"/>
  <c r="GD273" i="1"/>
  <c r="GA273" i="1"/>
  <c r="FS273" i="1"/>
  <c r="FQ273" i="1"/>
  <c r="FM273" i="1"/>
  <c r="FI273" i="1"/>
  <c r="FG273" i="1"/>
  <c r="FA273" i="1"/>
  <c r="EV273" i="1"/>
  <c r="ET273" i="1"/>
  <c r="ES273" i="1"/>
  <c r="EQ273" i="1"/>
  <c r="EO273" i="1"/>
  <c r="EM273" i="1"/>
  <c r="EM242" i="1"/>
  <c r="EM240" i="1"/>
  <c r="EI273" i="1"/>
  <c r="EG273" i="1"/>
  <c r="DY273" i="1"/>
  <c r="DU273" i="1"/>
  <c r="DS273" i="1"/>
  <c r="DO273" i="1"/>
  <c r="DJ273" i="1"/>
  <c r="DH273" i="1"/>
  <c r="DA273" i="1"/>
  <c r="CL273" i="1"/>
  <c r="CG273" i="1"/>
  <c r="CE273" i="1"/>
  <c r="CA273" i="1"/>
  <c r="BY273" i="1"/>
  <c r="BW273" i="1"/>
  <c r="BU44" i="1"/>
  <c r="BU273" i="1"/>
  <c r="BN273" i="1"/>
  <c r="BK273" i="1"/>
  <c r="BI273" i="1"/>
  <c r="BG273" i="1"/>
  <c r="BE273" i="1"/>
  <c r="GJ273" i="1"/>
  <c r="GI273" i="1"/>
  <c r="GG273" i="1"/>
  <c r="GE273" i="1"/>
  <c r="FX273" i="1"/>
  <c r="FV273" i="1"/>
  <c r="FT273" i="1"/>
  <c r="FN273" i="1"/>
  <c r="EY273" i="1"/>
  <c r="EW273" i="1"/>
  <c r="EU273" i="1"/>
  <c r="EJ273" i="1"/>
  <c r="ED273" i="1"/>
  <c r="EB44" i="1"/>
  <c r="EB273" i="1"/>
  <c r="EB242" i="1"/>
  <c r="EB240" i="1"/>
  <c r="DZ273" i="1"/>
  <c r="DP273" i="1"/>
  <c r="DL273" i="1"/>
  <c r="DK273" i="1"/>
  <c r="DI273" i="1"/>
  <c r="CV273" i="1"/>
  <c r="CM273" i="1"/>
  <c r="CM242" i="1"/>
  <c r="CB273" i="1"/>
  <c r="BO273" i="1"/>
  <c r="GK273" i="1"/>
  <c r="GB273" i="1"/>
  <c r="FY273" i="1"/>
  <c r="FW273" i="1"/>
  <c r="FU273" i="1"/>
  <c r="FO273" i="1"/>
  <c r="FD273" i="1"/>
  <c r="FB273" i="1"/>
  <c r="EK273" i="1"/>
  <c r="EE273" i="1"/>
  <c r="EC273" i="1"/>
  <c r="EA273" i="1"/>
  <c r="DV273" i="1"/>
  <c r="DQ273" i="1"/>
  <c r="DM273" i="1"/>
  <c r="DD273" i="1"/>
  <c r="DB273" i="1"/>
  <c r="CW273" i="1"/>
  <c r="CT273" i="1"/>
  <c r="CN273" i="1"/>
  <c r="CJ273" i="1"/>
  <c r="BP273" i="1"/>
  <c r="BL273" i="1"/>
  <c r="AZ273" i="1"/>
  <c r="DJ244" i="1"/>
  <c r="DH244" i="1"/>
  <c r="DA244" i="1"/>
  <c r="DA242" i="1"/>
  <c r="CS273" i="1"/>
  <c r="BN242" i="1"/>
  <c r="BL244" i="1"/>
  <c r="BH244" i="1"/>
  <c r="BH242" i="1"/>
  <c r="BH364" i="1"/>
  <c r="BH240" i="1"/>
  <c r="AZ244" i="1"/>
  <c r="GI244" i="1"/>
  <c r="GC46" i="1"/>
  <c r="FX244" i="1"/>
  <c r="FD244" i="1"/>
  <c r="FD242" i="1"/>
  <c r="FD240" i="1"/>
  <c r="ER14" i="1"/>
  <c r="ER244" i="1"/>
  <c r="EI244" i="1"/>
  <c r="DU14" i="1"/>
  <c r="DK244" i="1"/>
  <c r="DI14" i="1"/>
  <c r="DI244" i="1"/>
  <c r="CQ14" i="1"/>
  <c r="CF14" i="1"/>
  <c r="CF244" i="1"/>
  <c r="CF242" i="1"/>
  <c r="BX14" i="1"/>
  <c r="BX244" i="1"/>
  <c r="BV242" i="1"/>
  <c r="BO14" i="1"/>
  <c r="BK14" i="1"/>
  <c r="BI14" i="1"/>
  <c r="BI244" i="1"/>
  <c r="BE14" i="1"/>
  <c r="BE244" i="1"/>
  <c r="BA244" i="1"/>
  <c r="GL14" i="1"/>
  <c r="GM14" i="1"/>
  <c r="FY14" i="1"/>
  <c r="FY244" i="1"/>
  <c r="FW14" i="1"/>
  <c r="FJ14" i="1"/>
  <c r="FJ244" i="1"/>
  <c r="FH14" i="1"/>
  <c r="FH244" i="1"/>
  <c r="FE14" i="1"/>
  <c r="FE244" i="1"/>
  <c r="EZ14" i="1"/>
  <c r="EZ244" i="1"/>
  <c r="EX14" i="1"/>
  <c r="ES14" i="1"/>
  <c r="ES244" i="1"/>
  <c r="ES242" i="1"/>
  <c r="ES240" i="1"/>
  <c r="EQ14" i="1"/>
  <c r="CG14" i="1"/>
  <c r="CG244" i="1"/>
  <c r="BY14" i="1"/>
  <c r="BY244" i="1"/>
  <c r="BW242" i="1"/>
  <c r="BR14" i="1"/>
  <c r="FK14" i="1"/>
  <c r="FI14" i="1"/>
  <c r="FI244" i="1"/>
  <c r="FA14" i="1"/>
  <c r="FA244" i="1"/>
  <c r="FA242" i="1"/>
  <c r="EY14" i="1"/>
  <c r="CZ14" i="1"/>
  <c r="CZ244" i="1"/>
  <c r="CX14" i="1"/>
  <c r="CR242" i="1"/>
  <c r="BZ46" i="1"/>
  <c r="BS14" i="1"/>
  <c r="AZ172" i="1"/>
  <c r="AZ199" i="1"/>
  <c r="AZ575" i="1"/>
  <c r="BA172" i="1"/>
  <c r="BA199" i="1"/>
  <c r="BA575" i="1"/>
  <c r="AZ210" i="1"/>
  <c r="BA210" i="1"/>
  <c r="BB172" i="1"/>
  <c r="BB199" i="1"/>
  <c r="BB575" i="1"/>
  <c r="BC172" i="1"/>
  <c r="BC199" i="1"/>
  <c r="BB210" i="1"/>
  <c r="BC104" i="1"/>
  <c r="BC210" i="1"/>
  <c r="BD575" i="1"/>
  <c r="BD210" i="1"/>
  <c r="BE210" i="1"/>
  <c r="BF104" i="1"/>
  <c r="BF172" i="1"/>
  <c r="BF210" i="1"/>
  <c r="BG172" i="1"/>
  <c r="BG210" i="1"/>
  <c r="BF14" i="1"/>
  <c r="BG14" i="1"/>
  <c r="BG242" i="1"/>
  <c r="BH172" i="1"/>
  <c r="BH199" i="1"/>
  <c r="BI172" i="1"/>
  <c r="BI199" i="1"/>
  <c r="BH104" i="1"/>
  <c r="BH210" i="1"/>
  <c r="BI104" i="1"/>
  <c r="BI210" i="1"/>
  <c r="BJ172" i="1"/>
  <c r="BJ199" i="1"/>
  <c r="BK172" i="1"/>
  <c r="BK199" i="1"/>
  <c r="BJ104" i="1"/>
  <c r="BJ210" i="1"/>
  <c r="BK104" i="1"/>
  <c r="BK210" i="1"/>
  <c r="BL172" i="1"/>
  <c r="BL199" i="1"/>
  <c r="BL575" i="1"/>
  <c r="BM172" i="1"/>
  <c r="BM199" i="1"/>
  <c r="BM575" i="1"/>
  <c r="BL210" i="1"/>
  <c r="BM104" i="1"/>
  <c r="BM210" i="1"/>
  <c r="BN172" i="1"/>
  <c r="BN199" i="1"/>
  <c r="BO172" i="1"/>
  <c r="BO199" i="1"/>
  <c r="BO575" i="1"/>
  <c r="BN104" i="1"/>
  <c r="BN210" i="1"/>
  <c r="BO104" i="1"/>
  <c r="BO210" i="1"/>
  <c r="BP14" i="1"/>
  <c r="BP609" i="1"/>
  <c r="BP662" i="1"/>
  <c r="BQ14" i="1"/>
  <c r="BQ242" i="1"/>
  <c r="BQ609" i="1"/>
  <c r="BQ575" i="1"/>
  <c r="BP210" i="1"/>
  <c r="BP575" i="1"/>
  <c r="BQ210" i="1"/>
  <c r="BR172" i="1"/>
  <c r="BR199" i="1"/>
  <c r="BR575" i="1"/>
  <c r="BS172" i="1"/>
  <c r="BS199" i="1"/>
  <c r="BS575" i="1"/>
  <c r="BR104" i="1"/>
  <c r="BR210" i="1"/>
  <c r="BS210" i="1"/>
  <c r="BU172" i="1"/>
  <c r="BU575" i="1"/>
  <c r="BT14" i="1"/>
  <c r="BT609" i="1"/>
  <c r="BU14" i="1"/>
  <c r="BT575" i="1"/>
  <c r="BW199" i="1"/>
  <c r="BW210" i="1"/>
  <c r="BX172" i="1"/>
  <c r="BX199" i="1"/>
  <c r="BX575" i="1"/>
  <c r="BY44" i="1"/>
  <c r="BY172" i="1"/>
  <c r="BY199" i="1"/>
  <c r="BY575" i="1"/>
  <c r="BX210" i="1"/>
  <c r="BY210" i="1"/>
  <c r="BZ172" i="1"/>
  <c r="BZ210" i="1"/>
  <c r="CA172" i="1"/>
  <c r="CA210" i="1"/>
  <c r="BZ14" i="1"/>
  <c r="BZ242" i="1"/>
  <c r="CA14" i="1"/>
  <c r="CA242" i="1"/>
  <c r="CC210" i="1"/>
  <c r="CB14" i="1"/>
  <c r="CB210" i="1"/>
  <c r="CB242" i="1"/>
  <c r="CC364" i="1"/>
  <c r="CC104" i="1"/>
  <c r="CD172" i="1"/>
  <c r="CD210" i="1"/>
  <c r="CE575" i="1"/>
  <c r="CE104" i="1"/>
  <c r="CE172" i="1"/>
  <c r="CE210" i="1"/>
  <c r="CD14" i="1"/>
  <c r="CF172" i="1"/>
  <c r="CF199" i="1"/>
  <c r="CF575" i="1"/>
  <c r="CG172" i="1"/>
  <c r="CG199" i="1"/>
  <c r="CG575" i="1"/>
  <c r="CF210" i="1"/>
  <c r="CG210" i="1"/>
  <c r="CI210" i="1"/>
  <c r="CH14" i="1"/>
  <c r="CH242" i="1"/>
  <c r="CI14" i="1"/>
  <c r="CI44" i="1"/>
  <c r="CI609" i="1"/>
  <c r="CI575" i="1"/>
  <c r="CH104" i="1"/>
  <c r="CH172" i="1"/>
  <c r="CH210" i="1"/>
  <c r="CH575" i="1"/>
  <c r="CJ104" i="1"/>
  <c r="CJ172" i="1"/>
  <c r="CJ210" i="1"/>
  <c r="CJ14" i="1"/>
  <c r="CJ242" i="1"/>
  <c r="CK14" i="1"/>
  <c r="CK609" i="1"/>
  <c r="CK575" i="1"/>
  <c r="CL14" i="1"/>
  <c r="CM14" i="1"/>
  <c r="CL104" i="1"/>
  <c r="CL172" i="1"/>
  <c r="CL210" i="1"/>
  <c r="CM172" i="1"/>
  <c r="CM210" i="1"/>
  <c r="CN609" i="1"/>
  <c r="CN662" i="1"/>
  <c r="CO44" i="1"/>
  <c r="CO242" i="1"/>
  <c r="CO609" i="1"/>
  <c r="CO575" i="1"/>
  <c r="CO662" i="1"/>
  <c r="CN210" i="1"/>
  <c r="CO210" i="1"/>
  <c r="CP172" i="1"/>
  <c r="CP199" i="1"/>
  <c r="CQ172" i="1"/>
  <c r="CQ199" i="1"/>
  <c r="CP210" i="1"/>
  <c r="CQ210" i="1"/>
  <c r="CS199" i="1"/>
  <c r="CR210" i="1"/>
  <c r="CR575" i="1"/>
  <c r="CS575" i="1"/>
  <c r="CS14" i="1"/>
  <c r="CS210" i="1"/>
  <c r="CT14" i="1"/>
  <c r="CT242" i="1"/>
  <c r="CT609" i="1"/>
  <c r="CT662" i="1"/>
  <c r="CU14" i="1"/>
  <c r="CU242" i="1"/>
  <c r="CU609" i="1"/>
  <c r="CU575" i="1"/>
  <c r="CU662" i="1"/>
  <c r="CT210" i="1"/>
  <c r="CT575" i="1"/>
  <c r="CW172" i="1"/>
  <c r="CV14" i="1"/>
  <c r="CV242" i="1"/>
  <c r="CV240" i="1"/>
  <c r="CV609" i="1"/>
  <c r="CV575" i="1"/>
  <c r="CX199" i="1"/>
  <c r="CX575" i="1"/>
  <c r="CY199" i="1"/>
  <c r="CY575" i="1"/>
  <c r="CY210" i="1"/>
  <c r="CZ199" i="1"/>
  <c r="CZ210" i="1"/>
  <c r="DA199" i="1"/>
  <c r="DA210" i="1"/>
  <c r="DC210" i="1"/>
  <c r="DC575" i="1"/>
  <c r="DB14" i="1"/>
  <c r="DB609" i="1"/>
  <c r="DB575" i="1"/>
  <c r="DC14" i="1"/>
  <c r="DB210" i="1"/>
  <c r="DD172" i="1"/>
  <c r="DD210" i="1"/>
  <c r="DE172" i="1"/>
  <c r="DE210" i="1"/>
  <c r="DD14" i="1"/>
  <c r="DD609" i="1"/>
  <c r="DD575" i="1"/>
  <c r="DE14" i="1"/>
  <c r="DE242" i="1"/>
  <c r="DG14" i="1"/>
  <c r="DF364" i="1"/>
  <c r="DH199" i="1"/>
  <c r="DH575" i="1"/>
  <c r="DI199" i="1"/>
  <c r="DI575" i="1"/>
  <c r="DI210" i="1"/>
  <c r="DJ199" i="1"/>
  <c r="DK199" i="1"/>
  <c r="DK575" i="1"/>
  <c r="DL242" i="1"/>
  <c r="DL240" i="1"/>
  <c r="DL609" i="1"/>
  <c r="DL575" i="1"/>
  <c r="DL662" i="1"/>
  <c r="DM14" i="1"/>
  <c r="DM242" i="1"/>
  <c r="DM240" i="1"/>
  <c r="DM609" i="1"/>
  <c r="DM575" i="1"/>
  <c r="DM662" i="1"/>
  <c r="DO14" i="1"/>
  <c r="DO242" i="1"/>
  <c r="DO240" i="1"/>
  <c r="DN210" i="1"/>
  <c r="DP14" i="1"/>
  <c r="DP242" i="1"/>
  <c r="DP240" i="1"/>
  <c r="DP662" i="1"/>
  <c r="DQ14" i="1"/>
  <c r="DQ662" i="1"/>
  <c r="DP210" i="1"/>
  <c r="DR242" i="1"/>
  <c r="DS242" i="1"/>
  <c r="DR104" i="1"/>
  <c r="DR172" i="1"/>
  <c r="DS172" i="1"/>
  <c r="DR210" i="1"/>
  <c r="DS210" i="1"/>
  <c r="DT44" i="1"/>
  <c r="DT575" i="1"/>
  <c r="DU172" i="1"/>
  <c r="DU199" i="1"/>
  <c r="DU575" i="1"/>
  <c r="DT104" i="1"/>
  <c r="DT210" i="1"/>
  <c r="DU210" i="1"/>
  <c r="DW172" i="1"/>
  <c r="DW210" i="1"/>
  <c r="DW575" i="1"/>
  <c r="DV14" i="1"/>
  <c r="DV609" i="1"/>
  <c r="DV575" i="1"/>
  <c r="DW14" i="1"/>
  <c r="DV172" i="1"/>
  <c r="DV210" i="1"/>
  <c r="DY14" i="1"/>
  <c r="DY364" i="1"/>
  <c r="DY575" i="1"/>
  <c r="DX172" i="1"/>
  <c r="DX210" i="1"/>
  <c r="DY210" i="1"/>
  <c r="DX14" i="1"/>
  <c r="DX242" i="1"/>
  <c r="DZ14" i="1"/>
  <c r="DZ609" i="1"/>
  <c r="EA14" i="1"/>
  <c r="DZ210" i="1"/>
  <c r="DZ575" i="1"/>
  <c r="EA210" i="1"/>
  <c r="EB104" i="1"/>
  <c r="EB210" i="1"/>
  <c r="EB12" i="1"/>
  <c r="EB172" i="1"/>
  <c r="EC172" i="1"/>
  <c r="EC210" i="1"/>
  <c r="EB14" i="1"/>
  <c r="ED104" i="1"/>
  <c r="ED172" i="1"/>
  <c r="ED210" i="1"/>
  <c r="EE172" i="1"/>
  <c r="EE210" i="1"/>
  <c r="ED14" i="1"/>
  <c r="ED242" i="1"/>
  <c r="EF14" i="1"/>
  <c r="EF609" i="1"/>
  <c r="EG609" i="1"/>
  <c r="EG575" i="1"/>
  <c r="EG210" i="1"/>
  <c r="EH172" i="1"/>
  <c r="EH199" i="1"/>
  <c r="EI172" i="1"/>
  <c r="EI199" i="1"/>
  <c r="EH210" i="1"/>
  <c r="EI210" i="1"/>
  <c r="EK104" i="1"/>
  <c r="EK172" i="1"/>
  <c r="EK210" i="1"/>
  <c r="EK575" i="1"/>
  <c r="EJ14" i="1"/>
  <c r="EJ609" i="1"/>
  <c r="EJ575" i="1"/>
  <c r="EK14" i="1"/>
  <c r="EL14" i="1"/>
  <c r="EL242" i="1"/>
  <c r="EL240" i="1"/>
  <c r="EM14" i="1"/>
  <c r="EL172" i="1"/>
  <c r="EM172" i="1"/>
  <c r="EM210" i="1"/>
  <c r="EN172" i="1"/>
  <c r="EN210" i="1"/>
  <c r="EN575" i="1"/>
  <c r="EO172" i="1"/>
  <c r="EO210" i="1"/>
  <c r="EN14" i="1"/>
  <c r="EN242" i="1"/>
  <c r="EN240" i="1"/>
  <c r="EO14" i="1"/>
  <c r="EP172" i="1"/>
  <c r="EP199" i="1"/>
  <c r="EP575" i="1"/>
  <c r="EQ172" i="1"/>
  <c r="EQ199" i="1"/>
  <c r="EQ575" i="1"/>
  <c r="EP210" i="1"/>
  <c r="EQ210" i="1"/>
  <c r="ER172" i="1"/>
  <c r="ER199" i="1"/>
  <c r="ER575" i="1"/>
  <c r="ES172" i="1"/>
  <c r="ES199" i="1"/>
  <c r="ES575" i="1"/>
  <c r="ER210" i="1"/>
  <c r="ES210" i="1"/>
  <c r="EU14" i="1"/>
  <c r="EU242" i="1"/>
  <c r="ET172" i="1"/>
  <c r="ET210" i="1"/>
  <c r="ET609" i="1"/>
  <c r="ET575" i="1"/>
  <c r="EU210" i="1"/>
  <c r="ET14" i="1"/>
  <c r="ET242" i="1"/>
  <c r="EV172" i="1"/>
  <c r="EV210" i="1"/>
  <c r="EW172" i="1"/>
  <c r="EW210" i="1"/>
  <c r="EW575" i="1"/>
  <c r="EV14" i="1"/>
  <c r="EW14" i="1"/>
  <c r="EX172" i="1"/>
  <c r="EX199" i="1"/>
  <c r="EX575" i="1"/>
  <c r="EY172" i="1"/>
  <c r="EY199" i="1"/>
  <c r="EY575" i="1"/>
  <c r="EX210" i="1"/>
  <c r="EY210" i="1"/>
  <c r="EZ172" i="1"/>
  <c r="EZ199" i="1"/>
  <c r="FA172" i="1"/>
  <c r="FA199" i="1"/>
  <c r="FA575" i="1"/>
  <c r="EZ210" i="1"/>
  <c r="FA210" i="1"/>
  <c r="FB14" i="1"/>
  <c r="FB609" i="1"/>
  <c r="FB575" i="1"/>
  <c r="FC14" i="1"/>
  <c r="FC609" i="1"/>
  <c r="FC575" i="1"/>
  <c r="FD199" i="1"/>
  <c r="FE172" i="1"/>
  <c r="FE199" i="1"/>
  <c r="FE575" i="1"/>
  <c r="FG14" i="1"/>
  <c r="FF172" i="1"/>
  <c r="FF210" i="1"/>
  <c r="FF609" i="1"/>
  <c r="FF575" i="1"/>
  <c r="FG210" i="1"/>
  <c r="FF14" i="1"/>
  <c r="FH172" i="1"/>
  <c r="FH199" i="1"/>
  <c r="FI172" i="1"/>
  <c r="FI199" i="1"/>
  <c r="FI575" i="1"/>
  <c r="FH210" i="1"/>
  <c r="FI210" i="1"/>
  <c r="FJ172" i="1"/>
  <c r="FJ199" i="1"/>
  <c r="FK172" i="1"/>
  <c r="FK199" i="1"/>
  <c r="FJ210" i="1"/>
  <c r="FK210" i="1"/>
  <c r="FM14" i="1"/>
  <c r="FM609" i="1"/>
  <c r="FM575" i="1"/>
  <c r="FL172" i="1"/>
  <c r="FL210" i="1"/>
  <c r="FL575" i="1"/>
  <c r="FM210" i="1"/>
  <c r="FN14" i="1"/>
  <c r="FN575" i="1"/>
  <c r="FO14" i="1"/>
  <c r="FN210" i="1"/>
  <c r="FO210" i="1"/>
  <c r="FP14" i="1"/>
  <c r="FP575" i="1"/>
  <c r="FQ14" i="1"/>
  <c r="FP210" i="1"/>
  <c r="FQ210" i="1"/>
  <c r="FR172" i="1"/>
  <c r="FR210" i="1"/>
  <c r="FR575" i="1"/>
  <c r="FS172" i="1"/>
  <c r="FS210" i="1"/>
  <c r="FS575" i="1"/>
  <c r="FR14" i="1"/>
  <c r="FS14" i="1"/>
  <c r="FU14" i="1"/>
  <c r="FT172" i="1"/>
  <c r="FT210" i="1"/>
  <c r="FT575" i="1"/>
  <c r="FU172" i="1"/>
  <c r="FU210" i="1"/>
  <c r="FU575" i="1"/>
  <c r="FV172" i="1"/>
  <c r="FV199" i="1"/>
  <c r="FV575" i="1"/>
  <c r="FW172" i="1"/>
  <c r="FW199" i="1"/>
  <c r="FW575" i="1"/>
  <c r="FV210" i="1"/>
  <c r="FW210" i="1"/>
  <c r="FY364" i="1"/>
  <c r="GA14" i="1"/>
  <c r="GA609" i="1"/>
  <c r="GA575" i="1"/>
  <c r="FZ210" i="1"/>
  <c r="FZ14" i="1"/>
  <c r="GA210" i="1"/>
  <c r="GB172" i="1"/>
  <c r="GB210" i="1"/>
  <c r="GC172" i="1"/>
  <c r="GC210" i="1"/>
  <c r="GB14" i="1"/>
  <c r="GC14" i="1"/>
  <c r="GD14" i="1"/>
  <c r="GD364" i="1"/>
  <c r="GE14" i="1"/>
  <c r="GD210" i="1"/>
  <c r="GE172" i="1"/>
  <c r="GE210" i="1"/>
  <c r="GF172" i="1"/>
  <c r="GF210" i="1"/>
  <c r="GF575" i="1"/>
  <c r="GG172" i="1"/>
  <c r="GG210" i="1"/>
  <c r="GG575" i="1"/>
  <c r="GF14" i="1"/>
  <c r="GG14" i="1"/>
  <c r="GH172" i="1"/>
  <c r="GH199" i="1"/>
  <c r="GH575" i="1"/>
  <c r="GI172" i="1"/>
  <c r="GI199" i="1"/>
  <c r="GI575" i="1"/>
  <c r="GH210" i="1"/>
  <c r="GI210" i="1"/>
  <c r="GJ14" i="1"/>
  <c r="GJ609" i="1"/>
  <c r="GJ575" i="1"/>
  <c r="GK609" i="1"/>
  <c r="GK575" i="1"/>
  <c r="GK14" i="1"/>
  <c r="GJ210" i="1"/>
  <c r="GK210" i="1"/>
  <c r="GM210" i="1"/>
  <c r="GL172" i="1"/>
  <c r="GL199" i="1"/>
  <c r="GL575" i="1"/>
  <c r="GL210" i="1"/>
  <c r="JQ729" i="1"/>
  <c r="JR729" i="1"/>
  <c r="HG371" i="1"/>
  <c r="GP866" i="1"/>
  <c r="GQ861" i="1"/>
  <c r="GP861" i="1"/>
  <c r="GQ858" i="1"/>
  <c r="GP858" i="1"/>
  <c r="IF851" i="1"/>
  <c r="GQ843" i="1"/>
  <c r="GP843" i="1"/>
  <c r="GQ840" i="1"/>
  <c r="GP840" i="1"/>
  <c r="GQ748" i="1"/>
  <c r="GP748" i="1"/>
  <c r="GQ747" i="1"/>
  <c r="GP747" i="1"/>
  <c r="GQ745" i="1"/>
  <c r="GP745" i="1"/>
  <c r="HG745" i="1"/>
  <c r="GQ744" i="1"/>
  <c r="GP744" i="1"/>
  <c r="GQ743" i="1"/>
  <c r="GP743" i="1"/>
  <c r="GT743" i="1"/>
  <c r="GQ739" i="1"/>
  <c r="KA739" i="1"/>
  <c r="GP739" i="1"/>
  <c r="GT735" i="1"/>
  <c r="GT734" i="1"/>
  <c r="GQ729" i="1"/>
  <c r="GP729" i="1"/>
  <c r="GT729" i="1"/>
  <c r="GQ730" i="1"/>
  <c r="GP730" i="1"/>
  <c r="HG730" i="1"/>
  <c r="GQ731" i="1"/>
  <c r="GP731" i="1"/>
  <c r="GS731" i="1"/>
  <c r="GQ732" i="1"/>
  <c r="GP732" i="1"/>
  <c r="GT732" i="1"/>
  <c r="GQ733" i="1"/>
  <c r="GP733" i="1"/>
  <c r="GT736" i="1"/>
  <c r="GT746" i="1"/>
  <c r="GT747" i="1"/>
  <c r="GT740" i="1"/>
  <c r="GT738" i="1"/>
  <c r="GQ706" i="1"/>
  <c r="GP706" i="1"/>
  <c r="GP703" i="1"/>
  <c r="GS702" i="1"/>
  <c r="GQ700" i="1"/>
  <c r="GP700" i="1"/>
  <c r="GQ694" i="1"/>
  <c r="GP694" i="1"/>
  <c r="GQ686" i="1"/>
  <c r="GP686" i="1"/>
  <c r="GQ682" i="1"/>
  <c r="GP682" i="1"/>
  <c r="GQ667" i="1"/>
  <c r="GP667" i="1"/>
  <c r="GP643" i="1"/>
  <c r="GQ641" i="1"/>
  <c r="GP641" i="1"/>
  <c r="GP635" i="1"/>
  <c r="GQ626" i="1"/>
  <c r="GQ623" i="1"/>
  <c r="GP623" i="1"/>
  <c r="GQ617" i="1"/>
  <c r="GP617" i="1"/>
  <c r="GQ614" i="1"/>
  <c r="GP614" i="1"/>
  <c r="GQ601" i="1"/>
  <c r="GQ598" i="1"/>
  <c r="GP590" i="1"/>
  <c r="GP582" i="1"/>
  <c r="GQ565" i="1"/>
  <c r="GP565" i="1"/>
  <c r="GQ561" i="1"/>
  <c r="GP561" i="1"/>
  <c r="GQ556" i="1"/>
  <c r="GP556" i="1"/>
  <c r="GP536" i="1"/>
  <c r="GQ533" i="1"/>
  <c r="GP533" i="1"/>
  <c r="GP193" i="1"/>
  <c r="JZ193" i="1"/>
  <c r="GP520" i="1"/>
  <c r="GP518" i="1"/>
  <c r="GQ498" i="1"/>
  <c r="KA431" i="1"/>
  <c r="GQ96" i="1"/>
  <c r="KA96" i="1"/>
  <c r="GQ398" i="1"/>
  <c r="GP398" i="1"/>
  <c r="GQ393" i="1"/>
  <c r="GP393" i="1"/>
  <c r="GQ388" i="1"/>
  <c r="KA388" i="1"/>
  <c r="GP388" i="1"/>
  <c r="GQ387" i="1"/>
  <c r="GP387" i="1"/>
  <c r="JT384" i="1"/>
  <c r="GP384" i="1"/>
  <c r="GQ369" i="1"/>
  <c r="GP369" i="1"/>
  <c r="GQ362" i="1"/>
  <c r="GP362" i="1"/>
  <c r="GQ359" i="1"/>
  <c r="GP359" i="1"/>
  <c r="JZ356" i="1"/>
  <c r="GP257" i="1"/>
  <c r="GP255" i="1"/>
  <c r="GP247" i="1"/>
  <c r="AZ242" i="1"/>
  <c r="AZ364" i="1"/>
  <c r="AZ240" i="1"/>
  <c r="FI242" i="1"/>
  <c r="FJ242" i="1"/>
  <c r="DK242" i="1"/>
  <c r="EV575" i="1"/>
  <c r="CW575" i="1"/>
  <c r="BV364" i="1"/>
  <c r="GI364" i="1"/>
  <c r="BN364" i="1"/>
  <c r="FA364" i="1"/>
  <c r="BE364" i="1"/>
  <c r="DU364" i="1"/>
  <c r="CR240" i="1"/>
  <c r="BV240" i="1"/>
  <c r="BN240" i="1"/>
  <c r="CF364" i="1"/>
  <c r="CF240" i="1"/>
  <c r="GL364" i="1"/>
  <c r="FV364" i="1"/>
  <c r="CQ364" i="1"/>
  <c r="DX240" i="1"/>
  <c r="CU240" i="1"/>
  <c r="ER364" i="1"/>
  <c r="DK364" i="1"/>
  <c r="FK364" i="1"/>
  <c r="ED240" i="1"/>
  <c r="BZ240" i="1"/>
  <c r="DS240" i="1"/>
  <c r="CJ240" i="1"/>
  <c r="BG240" i="1"/>
  <c r="DT12" i="1"/>
  <c r="BL242" i="1"/>
  <c r="GS356" i="1"/>
  <c r="GS362" i="1"/>
  <c r="HG263" i="1"/>
  <c r="GS398" i="1"/>
  <c r="GS533" i="1"/>
  <c r="GS556" i="1"/>
  <c r="GS565" i="1"/>
  <c r="GS747" i="1"/>
  <c r="GS617" i="1"/>
  <c r="GS744" i="1"/>
  <c r="HG362" i="1"/>
  <c r="IG729" i="1"/>
  <c r="JU378" i="1"/>
  <c r="JV378" i="1"/>
  <c r="JW378" i="1"/>
  <c r="IH671" i="1"/>
  <c r="KA671" i="1"/>
  <c r="JZ671" i="1"/>
  <c r="JY671" i="1"/>
  <c r="JX671" i="1"/>
  <c r="IG671" i="1"/>
  <c r="IF671" i="1"/>
  <c r="HG671" i="1"/>
  <c r="GT671" i="1"/>
  <c r="GR671" i="1"/>
  <c r="GO860" i="1"/>
  <c r="GN860" i="1"/>
  <c r="GO856" i="1"/>
  <c r="GN856" i="1"/>
  <c r="GO845" i="1"/>
  <c r="GN845" i="1"/>
  <c r="GO842" i="1"/>
  <c r="GN842" i="1"/>
  <c r="GO827" i="1"/>
  <c r="GN827" i="1"/>
  <c r="GO790" i="1"/>
  <c r="GN790" i="1"/>
  <c r="GO783" i="1"/>
  <c r="GN783" i="1"/>
  <c r="GO768" i="1"/>
  <c r="GN768" i="1"/>
  <c r="GO742" i="1"/>
  <c r="GN742" i="1"/>
  <c r="GN721" i="1"/>
  <c r="GO738" i="1"/>
  <c r="GN738" i="1"/>
  <c r="GO728" i="1"/>
  <c r="GN728" i="1"/>
  <c r="GO725" i="1"/>
  <c r="GN725" i="1"/>
  <c r="GO718" i="1"/>
  <c r="GN718" i="1"/>
  <c r="GO711" i="1"/>
  <c r="GN711" i="1"/>
  <c r="GO705" i="1"/>
  <c r="GN705" i="1"/>
  <c r="GO702" i="1"/>
  <c r="GN702" i="1"/>
  <c r="GO699" i="1"/>
  <c r="GN699" i="1"/>
  <c r="GO696" i="1"/>
  <c r="GN696" i="1"/>
  <c r="GO693" i="1"/>
  <c r="GN693" i="1"/>
  <c r="GO685" i="1"/>
  <c r="GN685" i="1"/>
  <c r="GO681" i="1"/>
  <c r="GN681" i="1"/>
  <c r="GO669" i="1"/>
  <c r="GO664" i="1"/>
  <c r="GO662" i="1"/>
  <c r="GN669" i="1"/>
  <c r="GN664" i="1"/>
  <c r="GN662" i="1"/>
  <c r="GO666" i="1"/>
  <c r="GN666" i="1"/>
  <c r="GO655" i="1"/>
  <c r="GN655" i="1"/>
  <c r="GO645" i="1"/>
  <c r="GN645" i="1"/>
  <c r="GO637" i="1"/>
  <c r="GN637" i="1"/>
  <c r="GO634" i="1"/>
  <c r="GO632" i="1"/>
  <c r="GO630" i="1"/>
  <c r="GO628" i="1"/>
  <c r="GN634" i="1"/>
  <c r="GN632" i="1"/>
  <c r="GN630" i="1"/>
  <c r="GN628" i="1"/>
  <c r="GO625" i="1"/>
  <c r="GN625" i="1"/>
  <c r="GN577" i="1"/>
  <c r="GN575" i="1"/>
  <c r="GO621" i="1"/>
  <c r="GN621" i="1"/>
  <c r="GO619" i="1"/>
  <c r="GO616" i="1"/>
  <c r="GO36" i="1"/>
  <c r="GN616" i="1"/>
  <c r="GO613" i="1"/>
  <c r="GN613" i="1"/>
  <c r="GN611" i="1"/>
  <c r="GO606" i="1"/>
  <c r="GN606" i="1"/>
  <c r="GO600" i="1"/>
  <c r="GN600" i="1"/>
  <c r="GO592" i="1"/>
  <c r="GN592" i="1"/>
  <c r="GO585" i="1"/>
  <c r="GN585" i="1"/>
  <c r="GO581" i="1"/>
  <c r="GO579" i="1"/>
  <c r="GO577" i="1"/>
  <c r="GN581" i="1"/>
  <c r="GN579" i="1"/>
  <c r="GO571" i="1"/>
  <c r="GN571" i="1"/>
  <c r="GN569" i="1"/>
  <c r="GN567" i="1"/>
  <c r="GO569" i="1"/>
  <c r="GO567" i="1"/>
  <c r="GO563" i="1"/>
  <c r="GN563" i="1"/>
  <c r="GO558" i="1"/>
  <c r="GN558" i="1"/>
  <c r="GO555" i="1"/>
  <c r="GO541" i="1"/>
  <c r="GN555" i="1"/>
  <c r="GN541" i="1"/>
  <c r="GO549" i="1"/>
  <c r="GN549" i="1"/>
  <c r="GO543" i="1"/>
  <c r="GN543" i="1"/>
  <c r="GO535" i="1"/>
  <c r="GN535" i="1"/>
  <c r="GO532" i="1"/>
  <c r="GN532" i="1"/>
  <c r="GO526" i="1"/>
  <c r="GN526" i="1"/>
  <c r="GO507" i="1"/>
  <c r="GN507" i="1"/>
  <c r="GO505" i="1"/>
  <c r="GN505" i="1"/>
  <c r="GO500" i="1"/>
  <c r="GN500" i="1"/>
  <c r="GO488" i="1"/>
  <c r="GN488" i="1"/>
  <c r="GO482" i="1"/>
  <c r="GN482" i="1"/>
  <c r="GO472" i="1"/>
  <c r="GN472" i="1"/>
  <c r="GO464" i="1"/>
  <c r="GN464" i="1"/>
  <c r="GO458" i="1"/>
  <c r="GN458" i="1"/>
  <c r="GO451" i="1"/>
  <c r="GN451" i="1"/>
  <c r="GO444" i="1"/>
  <c r="GO437" i="1"/>
  <c r="GN444" i="1"/>
  <c r="GO439" i="1"/>
  <c r="GN439" i="1"/>
  <c r="GN437" i="1"/>
  <c r="GO427" i="1"/>
  <c r="GN427" i="1"/>
  <c r="GO419" i="1"/>
  <c r="GN419" i="1"/>
  <c r="GO416" i="1"/>
  <c r="GN416" i="1"/>
  <c r="GO411" i="1"/>
  <c r="GN411" i="1"/>
  <c r="GO406" i="1"/>
  <c r="GN406" i="1"/>
  <c r="GO401" i="1"/>
  <c r="GN401" i="1"/>
  <c r="GO397" i="1"/>
  <c r="GN397" i="1"/>
  <c r="GO386" i="1"/>
  <c r="GO378" i="1"/>
  <c r="GN386" i="1"/>
  <c r="GO380" i="1"/>
  <c r="GN380" i="1"/>
  <c r="GO375" i="1"/>
  <c r="GN375" i="1"/>
  <c r="GO368" i="1"/>
  <c r="GO366" i="1"/>
  <c r="GN368" i="1"/>
  <c r="GN366" i="1"/>
  <c r="GO361" i="1"/>
  <c r="GN361" i="1"/>
  <c r="GO358" i="1"/>
  <c r="GN358" i="1"/>
  <c r="GO354" i="1"/>
  <c r="GN354" i="1"/>
  <c r="GO347" i="1"/>
  <c r="GN347" i="1"/>
  <c r="GO329" i="1"/>
  <c r="GN329" i="1"/>
  <c r="GO326" i="1"/>
  <c r="GN326" i="1"/>
  <c r="GO322" i="1"/>
  <c r="GN322" i="1"/>
  <c r="GO319" i="1"/>
  <c r="GN319" i="1"/>
  <c r="GO316" i="1"/>
  <c r="GN316" i="1"/>
  <c r="GO313" i="1"/>
  <c r="GN313" i="1"/>
  <c r="GO310" i="1"/>
  <c r="GN310" i="1"/>
  <c r="GN308" i="1"/>
  <c r="GO305" i="1"/>
  <c r="GN305" i="1"/>
  <c r="GO302" i="1"/>
  <c r="GN302" i="1"/>
  <c r="GO298" i="1"/>
  <c r="GN298" i="1"/>
  <c r="GO293" i="1"/>
  <c r="GN293" i="1"/>
  <c r="GO288" i="1"/>
  <c r="GN288" i="1"/>
  <c r="GO279" i="1"/>
  <c r="GN279" i="1"/>
  <c r="GO275" i="1"/>
  <c r="GN275" i="1"/>
  <c r="GO267" i="1"/>
  <c r="GN267" i="1"/>
  <c r="GO259" i="1"/>
  <c r="GN259" i="1"/>
  <c r="GO251" i="1"/>
  <c r="GN251" i="1"/>
  <c r="GO246" i="1"/>
  <c r="GN246" i="1"/>
  <c r="GN244" i="1"/>
  <c r="GO238" i="1"/>
  <c r="GO236" i="1"/>
  <c r="GN238" i="1"/>
  <c r="GO237" i="1"/>
  <c r="GN237" i="1"/>
  <c r="GN236" i="1"/>
  <c r="GO234" i="1"/>
  <c r="GO230" i="1"/>
  <c r="GN234" i="1"/>
  <c r="GO233" i="1"/>
  <c r="GN233" i="1"/>
  <c r="GO231" i="1"/>
  <c r="GN231" i="1"/>
  <c r="GN230" i="1"/>
  <c r="GO228" i="1"/>
  <c r="GO227" i="1"/>
  <c r="GN228" i="1"/>
  <c r="GN227" i="1"/>
  <c r="GO225" i="1"/>
  <c r="GO224" i="1"/>
  <c r="GN225" i="1"/>
  <c r="GN224" i="1"/>
  <c r="GO222" i="1"/>
  <c r="GN222" i="1"/>
  <c r="GO221" i="1"/>
  <c r="GN221" i="1"/>
  <c r="GO220" i="1"/>
  <c r="GN220" i="1"/>
  <c r="GN218" i="1"/>
  <c r="GO219" i="1"/>
  <c r="GN219" i="1"/>
  <c r="GO215" i="1"/>
  <c r="GN215" i="1"/>
  <c r="GO214" i="1"/>
  <c r="GN214" i="1"/>
  <c r="GO213" i="1"/>
  <c r="GO212" i="1"/>
  <c r="GN213" i="1"/>
  <c r="GN212" i="1"/>
  <c r="GO205" i="1"/>
  <c r="GO204" i="1"/>
  <c r="GN205" i="1"/>
  <c r="GN204" i="1"/>
  <c r="GO202" i="1"/>
  <c r="GO201" i="1"/>
  <c r="GN202" i="1"/>
  <c r="GN201" i="1"/>
  <c r="GO197" i="1"/>
  <c r="GN197" i="1"/>
  <c r="GO196" i="1"/>
  <c r="GN196" i="1"/>
  <c r="GO195" i="1"/>
  <c r="GN195" i="1"/>
  <c r="GO193" i="1"/>
  <c r="GN193" i="1"/>
  <c r="GO191" i="1"/>
  <c r="GN191" i="1"/>
  <c r="GO189" i="1"/>
  <c r="GN189" i="1"/>
  <c r="GO187" i="1"/>
  <c r="GN187" i="1"/>
  <c r="GO185" i="1"/>
  <c r="GN185" i="1"/>
  <c r="GO184" i="1"/>
  <c r="GN184" i="1"/>
  <c r="GO182" i="1"/>
  <c r="GN182" i="1"/>
  <c r="GO180" i="1"/>
  <c r="GO179" i="1"/>
  <c r="GN180" i="1"/>
  <c r="GN179" i="1"/>
  <c r="GO177" i="1"/>
  <c r="GN177" i="1"/>
  <c r="GO176" i="1"/>
  <c r="GN176" i="1"/>
  <c r="GO175" i="1"/>
  <c r="GO174" i="1"/>
  <c r="GN175" i="1"/>
  <c r="GN174" i="1"/>
  <c r="GO170" i="1"/>
  <c r="GN170" i="1"/>
  <c r="GO169" i="1"/>
  <c r="GO168" i="1"/>
  <c r="GO167" i="1"/>
  <c r="GN169" i="1"/>
  <c r="GN168" i="1"/>
  <c r="GN167" i="1"/>
  <c r="GO165" i="1"/>
  <c r="GN165" i="1"/>
  <c r="GO163" i="1"/>
  <c r="GN163" i="1"/>
  <c r="GO162" i="1"/>
  <c r="GN162" i="1"/>
  <c r="GO161" i="1"/>
  <c r="GN161" i="1"/>
  <c r="GO160" i="1"/>
  <c r="GO155" i="1"/>
  <c r="GO104" i="1"/>
  <c r="GN160" i="1"/>
  <c r="GO159" i="1"/>
  <c r="GN159" i="1"/>
  <c r="GO158" i="1"/>
  <c r="GN158" i="1"/>
  <c r="GO157" i="1"/>
  <c r="GN157" i="1"/>
  <c r="GO156" i="1"/>
  <c r="GN156" i="1"/>
  <c r="GN155" i="1"/>
  <c r="GO153" i="1"/>
  <c r="GN153" i="1"/>
  <c r="GO152" i="1"/>
  <c r="GN152" i="1"/>
  <c r="GO151" i="1"/>
  <c r="GN151" i="1"/>
  <c r="GO150" i="1"/>
  <c r="GO149" i="1"/>
  <c r="GN150" i="1"/>
  <c r="GN149" i="1"/>
  <c r="GO147" i="1"/>
  <c r="GN147" i="1"/>
  <c r="GN139" i="1"/>
  <c r="GO146" i="1"/>
  <c r="GN146" i="1"/>
  <c r="GO145" i="1"/>
  <c r="GN145" i="1"/>
  <c r="GO144" i="1"/>
  <c r="GN144" i="1"/>
  <c r="GO143" i="1"/>
  <c r="GN143" i="1"/>
  <c r="GO142" i="1"/>
  <c r="GN142" i="1"/>
  <c r="GO141" i="1"/>
  <c r="GN141" i="1"/>
  <c r="GO140" i="1"/>
  <c r="GN140" i="1"/>
  <c r="GO139" i="1"/>
  <c r="GO137" i="1"/>
  <c r="GN137" i="1"/>
  <c r="GO134" i="1"/>
  <c r="GN134" i="1"/>
  <c r="GO133" i="1"/>
  <c r="GN133" i="1"/>
  <c r="GO132" i="1"/>
  <c r="GO131" i="1"/>
  <c r="GN132" i="1"/>
  <c r="GN131" i="1"/>
  <c r="GO129" i="1"/>
  <c r="GN129" i="1"/>
  <c r="GO128" i="1"/>
  <c r="GN128" i="1"/>
  <c r="GO127" i="1"/>
  <c r="GN127" i="1"/>
  <c r="GO126" i="1"/>
  <c r="GN126" i="1"/>
  <c r="GO125" i="1"/>
  <c r="GN125" i="1"/>
  <c r="GO123" i="1"/>
  <c r="GN123" i="1"/>
  <c r="GO122" i="1"/>
  <c r="GN122" i="1"/>
  <c r="GO121" i="1"/>
  <c r="GN121" i="1"/>
  <c r="GO120" i="1"/>
  <c r="GN120" i="1"/>
  <c r="GO119" i="1"/>
  <c r="GN119" i="1"/>
  <c r="GO118" i="1"/>
  <c r="GO116" i="1"/>
  <c r="GN116" i="1"/>
  <c r="GO115" i="1"/>
  <c r="GN115" i="1"/>
  <c r="GO114" i="1"/>
  <c r="GN114" i="1"/>
  <c r="GO113" i="1"/>
  <c r="GN113" i="1"/>
  <c r="GO112" i="1"/>
  <c r="GN112" i="1"/>
  <c r="GN111" i="1"/>
  <c r="GO109" i="1"/>
  <c r="GN109" i="1"/>
  <c r="GO108" i="1"/>
  <c r="GN108" i="1"/>
  <c r="GO107" i="1"/>
  <c r="GO106" i="1"/>
  <c r="GN107" i="1"/>
  <c r="GO102" i="1"/>
  <c r="GN102" i="1"/>
  <c r="GO101" i="1"/>
  <c r="GN101" i="1"/>
  <c r="GO100" i="1"/>
  <c r="GN100" i="1"/>
  <c r="GO99" i="1"/>
  <c r="GN99" i="1"/>
  <c r="GO98" i="1"/>
  <c r="GN98" i="1"/>
  <c r="GO97" i="1"/>
  <c r="GN97" i="1"/>
  <c r="GO96" i="1"/>
  <c r="GN96" i="1"/>
  <c r="GO95" i="1"/>
  <c r="GN95" i="1"/>
  <c r="GN94" i="1"/>
  <c r="GO94" i="1"/>
  <c r="GO92" i="1"/>
  <c r="GN92" i="1"/>
  <c r="GO91" i="1"/>
  <c r="GN91" i="1"/>
  <c r="GO90" i="1"/>
  <c r="GN90" i="1"/>
  <c r="GO89" i="1"/>
  <c r="GN89" i="1"/>
  <c r="GO88" i="1"/>
  <c r="GN88" i="1"/>
  <c r="GO87" i="1"/>
  <c r="GO86" i="1"/>
  <c r="GN87" i="1"/>
  <c r="GN86" i="1"/>
  <c r="GO84" i="1"/>
  <c r="GN84" i="1"/>
  <c r="GO83" i="1"/>
  <c r="GO82" i="1"/>
  <c r="GN83" i="1"/>
  <c r="GN82" i="1"/>
  <c r="GO80" i="1"/>
  <c r="GN80" i="1"/>
  <c r="GN77" i="1"/>
  <c r="GO79" i="1"/>
  <c r="GN79" i="1"/>
  <c r="GO78" i="1"/>
  <c r="GO77" i="1"/>
  <c r="GN78" i="1"/>
  <c r="GO75" i="1"/>
  <c r="GN75" i="1"/>
  <c r="GO74" i="1"/>
  <c r="GN74" i="1"/>
  <c r="GN73" i="1"/>
  <c r="GN72" i="1"/>
  <c r="GO73" i="1"/>
  <c r="GO70" i="1"/>
  <c r="GN70" i="1"/>
  <c r="GO69" i="1"/>
  <c r="GN69" i="1"/>
  <c r="GO68" i="1"/>
  <c r="GN68" i="1"/>
  <c r="GO65" i="1"/>
  <c r="GN65" i="1"/>
  <c r="GO64" i="1"/>
  <c r="GO63" i="1"/>
  <c r="GN64" i="1"/>
  <c r="GN63" i="1"/>
  <c r="GO61" i="1"/>
  <c r="GN61" i="1"/>
  <c r="GO59" i="1"/>
  <c r="GN59" i="1"/>
  <c r="GO58" i="1"/>
  <c r="GN58" i="1"/>
  <c r="GO57" i="1"/>
  <c r="GN57" i="1"/>
  <c r="GO56" i="1"/>
  <c r="GN56" i="1"/>
  <c r="GO55" i="1"/>
  <c r="GN55" i="1"/>
  <c r="GO54" i="1"/>
  <c r="GN54" i="1"/>
  <c r="GO53" i="1"/>
  <c r="GO52" i="1"/>
  <c r="GN53" i="1"/>
  <c r="GO50" i="1"/>
  <c r="GN50" i="1"/>
  <c r="GN46" i="1"/>
  <c r="GO49" i="1"/>
  <c r="GN49" i="1"/>
  <c r="GO48" i="1"/>
  <c r="GN48" i="1"/>
  <c r="GO47" i="1"/>
  <c r="GO46" i="1"/>
  <c r="GN47" i="1"/>
  <c r="GO42" i="1"/>
  <c r="GN42" i="1"/>
  <c r="GO41" i="1"/>
  <c r="GN41" i="1"/>
  <c r="GN36" i="1"/>
  <c r="GO34" i="1"/>
  <c r="GN34" i="1"/>
  <c r="GO33" i="1"/>
  <c r="GN33" i="1"/>
  <c r="GO32" i="1"/>
  <c r="GO30" i="1"/>
  <c r="GN32" i="1"/>
  <c r="GO31" i="1"/>
  <c r="GN31" i="1"/>
  <c r="GN30" i="1"/>
  <c r="GO28" i="1"/>
  <c r="GN28" i="1"/>
  <c r="GO26" i="1"/>
  <c r="GN26" i="1"/>
  <c r="GO24" i="1"/>
  <c r="GN24" i="1"/>
  <c r="GO23" i="1"/>
  <c r="GO21" i="1"/>
  <c r="GN23" i="1"/>
  <c r="GO22" i="1"/>
  <c r="GN22" i="1"/>
  <c r="GO19" i="1"/>
  <c r="GN19" i="1"/>
  <c r="GO14" i="1"/>
  <c r="GN38" i="1"/>
  <c r="GO38" i="1"/>
  <c r="GO218" i="1"/>
  <c r="GO721" i="1"/>
  <c r="GN619" i="1"/>
  <c r="GO611" i="1"/>
  <c r="GO609" i="1"/>
  <c r="GO575" i="1"/>
  <c r="GO172" i="1"/>
  <c r="GO111" i="1"/>
  <c r="GN378" i="1"/>
  <c r="GN364" i="1"/>
  <c r="GN52" i="1"/>
  <c r="GN273" i="1"/>
  <c r="GO273" i="1"/>
  <c r="GO244" i="1"/>
  <c r="JS671" i="1"/>
  <c r="GN210" i="1"/>
  <c r="GN172" i="1"/>
  <c r="GO210" i="1"/>
  <c r="GO364" i="1"/>
  <c r="GN21" i="1"/>
  <c r="GN118" i="1"/>
  <c r="GN199" i="1"/>
  <c r="GN609" i="1"/>
  <c r="GN14" i="1"/>
  <c r="GN67" i="1"/>
  <c r="GN106" i="1"/>
  <c r="GO199" i="1"/>
  <c r="GQ371" i="1"/>
  <c r="GP371" i="1"/>
  <c r="GR408" i="1"/>
  <c r="GS84" i="1"/>
  <c r="GS233" i="1"/>
  <c r="GS205" i="1"/>
  <c r="GS204" i="1"/>
  <c r="GS97" i="1"/>
  <c r="GS228" i="1"/>
  <c r="GS227" i="1"/>
  <c r="AF29" i="12"/>
  <c r="GT533" i="1"/>
  <c r="GT536" i="1"/>
  <c r="GT535" i="1"/>
  <c r="GT530" i="1"/>
  <c r="HG533" i="1"/>
  <c r="HG532" i="1"/>
  <c r="ID532" i="1"/>
  <c r="IE532" i="1"/>
  <c r="GS532" i="1"/>
  <c r="GP532" i="1"/>
  <c r="GP535" i="1"/>
  <c r="JZ535" i="1"/>
  <c r="GQ532" i="1"/>
  <c r="KA532" i="1"/>
  <c r="GQ535" i="1"/>
  <c r="KA535" i="1"/>
  <c r="KA530" i="1"/>
  <c r="GR533" i="1"/>
  <c r="GR532" i="1"/>
  <c r="GR536" i="1"/>
  <c r="GR535" i="1"/>
  <c r="GR530" i="1"/>
  <c r="GS202" i="1"/>
  <c r="GS201" i="1"/>
  <c r="GS234" i="1"/>
  <c r="GS225" i="1"/>
  <c r="GS224" i="1"/>
  <c r="GS238" i="1"/>
  <c r="IF747" i="1"/>
  <c r="HG713" i="1"/>
  <c r="JZ713" i="1"/>
  <c r="KA713" i="1"/>
  <c r="JZ714" i="1"/>
  <c r="KA714" i="1"/>
  <c r="JY713" i="1"/>
  <c r="JX713" i="1"/>
  <c r="HG714" i="1"/>
  <c r="IH713" i="1"/>
  <c r="IG713" i="1"/>
  <c r="IF713" i="1"/>
  <c r="JT713" i="1"/>
  <c r="GR713" i="1"/>
  <c r="GP205" i="1"/>
  <c r="GP204" i="1"/>
  <c r="GP202" i="1"/>
  <c r="GP201" i="1"/>
  <c r="JZ201" i="1"/>
  <c r="GQ205" i="1"/>
  <c r="GQ204" i="1"/>
  <c r="GU202" i="1"/>
  <c r="GU201" i="1"/>
  <c r="GV202" i="1"/>
  <c r="GV201" i="1"/>
  <c r="GW202" i="1"/>
  <c r="GW201" i="1"/>
  <c r="GX202" i="1"/>
  <c r="GX201" i="1"/>
  <c r="GY202" i="1"/>
  <c r="GY201" i="1"/>
  <c r="GZ202" i="1"/>
  <c r="GZ201" i="1"/>
  <c r="HA202" i="1"/>
  <c r="HA201" i="1"/>
  <c r="HB202" i="1"/>
  <c r="HB201" i="1"/>
  <c r="HC202" i="1"/>
  <c r="HC201" i="1"/>
  <c r="IA202" i="1"/>
  <c r="IA201" i="1"/>
  <c r="IB202" i="1"/>
  <c r="IB201" i="1"/>
  <c r="IC202" i="1"/>
  <c r="IC201" i="1"/>
  <c r="ID202" i="1"/>
  <c r="ID201" i="1"/>
  <c r="IE202" i="1"/>
  <c r="IE201" i="1"/>
  <c r="KC198" i="1"/>
  <c r="KC200" i="1"/>
  <c r="JX533" i="1"/>
  <c r="KB533" i="1"/>
  <c r="KC203" i="1"/>
  <c r="JY533" i="1"/>
  <c r="JY202" i="1"/>
  <c r="JY201" i="1"/>
  <c r="GQ202" i="1"/>
  <c r="GQ201" i="1"/>
  <c r="HD202" i="1"/>
  <c r="HD201" i="1"/>
  <c r="HE202" i="1"/>
  <c r="HE201" i="1"/>
  <c r="HF202" i="1"/>
  <c r="HF201" i="1"/>
  <c r="HH202" i="1"/>
  <c r="HH201" i="1"/>
  <c r="HI202" i="1"/>
  <c r="HI201" i="1"/>
  <c r="HJ202" i="1"/>
  <c r="HJ201" i="1"/>
  <c r="HK202" i="1"/>
  <c r="HK201" i="1"/>
  <c r="HL202" i="1"/>
  <c r="HL201" i="1"/>
  <c r="HM202" i="1"/>
  <c r="HM201" i="1"/>
  <c r="HN202" i="1"/>
  <c r="HN201" i="1"/>
  <c r="HO202" i="1"/>
  <c r="HO201" i="1"/>
  <c r="HP202" i="1"/>
  <c r="HP201" i="1"/>
  <c r="HQ202" i="1"/>
  <c r="HQ201" i="1"/>
  <c r="HR202" i="1"/>
  <c r="HR201" i="1"/>
  <c r="HS202" i="1"/>
  <c r="HS201" i="1"/>
  <c r="HT202" i="1"/>
  <c r="HT201" i="1"/>
  <c r="HU202" i="1"/>
  <c r="HU201" i="1"/>
  <c r="HV202" i="1"/>
  <c r="HV201" i="1"/>
  <c r="HW202" i="1"/>
  <c r="HW201" i="1"/>
  <c r="HX202" i="1"/>
  <c r="HX201" i="1"/>
  <c r="HY202" i="1"/>
  <c r="HY201" i="1"/>
  <c r="HZ202" i="1"/>
  <c r="HZ201" i="1"/>
  <c r="II202" i="1"/>
  <c r="II201" i="1"/>
  <c r="IJ202" i="1"/>
  <c r="IJ201" i="1"/>
  <c r="IL202" i="1"/>
  <c r="IL201" i="1"/>
  <c r="IO202" i="1"/>
  <c r="IO201" i="1"/>
  <c r="IR202" i="1"/>
  <c r="IR201" i="1"/>
  <c r="IT202" i="1"/>
  <c r="IT201" i="1"/>
  <c r="IU202" i="1"/>
  <c r="IU201" i="1"/>
  <c r="IX202" i="1"/>
  <c r="IX201" i="1"/>
  <c r="JA202" i="1"/>
  <c r="JA201" i="1"/>
  <c r="JD202" i="1"/>
  <c r="JD201" i="1"/>
  <c r="JG202" i="1"/>
  <c r="JG201" i="1"/>
  <c r="JJ202" i="1"/>
  <c r="JJ201" i="1"/>
  <c r="JM202" i="1"/>
  <c r="JM201" i="1"/>
  <c r="JP202" i="1"/>
  <c r="JP201" i="1"/>
  <c r="C202" i="1"/>
  <c r="C201" i="1"/>
  <c r="GU532" i="1"/>
  <c r="GV532" i="1"/>
  <c r="GW532" i="1"/>
  <c r="GX532" i="1"/>
  <c r="GY532" i="1"/>
  <c r="GZ532" i="1"/>
  <c r="HA532" i="1"/>
  <c r="HB532" i="1"/>
  <c r="HC532" i="1"/>
  <c r="HD532" i="1"/>
  <c r="HE532" i="1"/>
  <c r="HF532" i="1"/>
  <c r="JP532" i="1"/>
  <c r="KA533" i="1"/>
  <c r="JZ533" i="1"/>
  <c r="IF533" i="1"/>
  <c r="JQ533" i="1"/>
  <c r="JQ202" i="1"/>
  <c r="JQ201" i="1"/>
  <c r="JN202" i="1"/>
  <c r="JN201" i="1"/>
  <c r="JO202" i="1"/>
  <c r="JO201" i="1"/>
  <c r="JH202" i="1"/>
  <c r="JH201" i="1"/>
  <c r="JE202" i="1"/>
  <c r="JE201" i="1"/>
  <c r="JB202" i="1"/>
  <c r="JB201" i="1"/>
  <c r="JC202" i="1"/>
  <c r="JC201" i="1"/>
  <c r="IV202" i="1"/>
  <c r="IV201" i="1"/>
  <c r="IS202" i="1"/>
  <c r="IS201" i="1"/>
  <c r="IP202" i="1"/>
  <c r="IP201" i="1"/>
  <c r="IM202" i="1"/>
  <c r="IM201" i="1"/>
  <c r="C532" i="1"/>
  <c r="AG35" i="12"/>
  <c r="AG32" i="12"/>
  <c r="AG31" i="12"/>
  <c r="AG30" i="12"/>
  <c r="IF676" i="1"/>
  <c r="JY735" i="1"/>
  <c r="HG861" i="1"/>
  <c r="HG860" i="1"/>
  <c r="HG858" i="1"/>
  <c r="GP583" i="1"/>
  <c r="GQ583" i="1"/>
  <c r="GS249" i="1"/>
  <c r="GS19" i="1"/>
  <c r="GP572" i="1"/>
  <c r="GQ572" i="1"/>
  <c r="GP602" i="1"/>
  <c r="GQ602" i="1"/>
  <c r="GP604" i="1"/>
  <c r="GQ604" i="1"/>
  <c r="IF249" i="1"/>
  <c r="IF19" i="1"/>
  <c r="IF678" i="1"/>
  <c r="JG36" i="1"/>
  <c r="HG617" i="1"/>
  <c r="HG626" i="1"/>
  <c r="JY729" i="1"/>
  <c r="JY730" i="1"/>
  <c r="JY731" i="1"/>
  <c r="JY732" i="1"/>
  <c r="JY733" i="1"/>
  <c r="JY734" i="1"/>
  <c r="JY736" i="1"/>
  <c r="JZ729" i="1"/>
  <c r="JZ730" i="1"/>
  <c r="JZ731" i="1"/>
  <c r="JZ732" i="1"/>
  <c r="JZ734" i="1"/>
  <c r="JZ735" i="1"/>
  <c r="JZ736" i="1"/>
  <c r="JZ355" i="1"/>
  <c r="JZ357" i="1"/>
  <c r="KA355" i="1"/>
  <c r="KA356" i="1"/>
  <c r="KA357" i="1"/>
  <c r="JY598" i="1"/>
  <c r="JY601" i="1"/>
  <c r="JY602" i="1"/>
  <c r="JY603" i="1"/>
  <c r="JY604" i="1"/>
  <c r="JZ594" i="1"/>
  <c r="JZ595" i="1"/>
  <c r="JZ596" i="1"/>
  <c r="JY715" i="1"/>
  <c r="JX715" i="1"/>
  <c r="JQ715" i="1"/>
  <c r="JR715" i="1"/>
  <c r="IF715" i="1"/>
  <c r="HD715" i="1"/>
  <c r="HA715" i="1"/>
  <c r="GX715" i="1"/>
  <c r="GR715" i="1"/>
  <c r="JY714" i="1"/>
  <c r="JX714" i="1"/>
  <c r="JX711" i="1"/>
  <c r="JQ714" i="1"/>
  <c r="JR714" i="1"/>
  <c r="IF714" i="1"/>
  <c r="HD714" i="1"/>
  <c r="HA714" i="1"/>
  <c r="GX714" i="1"/>
  <c r="GR714" i="1"/>
  <c r="GU711" i="1"/>
  <c r="GV711" i="1"/>
  <c r="GW711" i="1"/>
  <c r="GY711" i="1"/>
  <c r="GZ711" i="1"/>
  <c r="HB711" i="1"/>
  <c r="HC711" i="1"/>
  <c r="HE711" i="1"/>
  <c r="HF711" i="1"/>
  <c r="ID711" i="1"/>
  <c r="IE711" i="1"/>
  <c r="IF712" i="1"/>
  <c r="JP711" i="1"/>
  <c r="C711" i="1"/>
  <c r="C691" i="1"/>
  <c r="JX716" i="1"/>
  <c r="JQ716" i="1"/>
  <c r="JR716" i="1"/>
  <c r="IF716" i="1"/>
  <c r="HG716" i="1"/>
  <c r="HG715" i="1"/>
  <c r="JZ715" i="1"/>
  <c r="KA715" i="1"/>
  <c r="KA716" i="1"/>
  <c r="JZ716" i="1"/>
  <c r="GR716" i="1"/>
  <c r="GU222" i="1"/>
  <c r="GV222" i="1"/>
  <c r="GW222" i="1"/>
  <c r="GX222" i="1"/>
  <c r="GY222" i="1"/>
  <c r="GZ222" i="1"/>
  <c r="HA222" i="1"/>
  <c r="HB222" i="1"/>
  <c r="HC222" i="1"/>
  <c r="HD222" i="1"/>
  <c r="HE222" i="1"/>
  <c r="HF222" i="1"/>
  <c r="HH222" i="1"/>
  <c r="HI222" i="1"/>
  <c r="HJ222" i="1"/>
  <c r="HK222" i="1"/>
  <c r="HL222" i="1"/>
  <c r="HM222" i="1"/>
  <c r="HN222" i="1"/>
  <c r="HO222" i="1"/>
  <c r="HP222" i="1"/>
  <c r="HQ222" i="1"/>
  <c r="HR222" i="1"/>
  <c r="HS222" i="1"/>
  <c r="HT222" i="1"/>
  <c r="HU222" i="1"/>
  <c r="HV222" i="1"/>
  <c r="HW222" i="1"/>
  <c r="HX222" i="1"/>
  <c r="HY222" i="1"/>
  <c r="HZ222" i="1"/>
  <c r="IA222" i="1"/>
  <c r="IB222" i="1"/>
  <c r="IC222" i="1"/>
  <c r="ID222" i="1"/>
  <c r="IE222" i="1"/>
  <c r="II222" i="1"/>
  <c r="IL222" i="1"/>
  <c r="IO222" i="1"/>
  <c r="IR222" i="1"/>
  <c r="IU222" i="1"/>
  <c r="IX222" i="1"/>
  <c r="JA222" i="1"/>
  <c r="JD222" i="1"/>
  <c r="JG222" i="1"/>
  <c r="JJ222" i="1"/>
  <c r="JM222" i="1"/>
  <c r="JP222" i="1"/>
  <c r="HB221" i="1"/>
  <c r="HC221" i="1"/>
  <c r="HD221" i="1"/>
  <c r="HE221" i="1"/>
  <c r="HF221" i="1"/>
  <c r="HH221" i="1"/>
  <c r="HI221" i="1"/>
  <c r="HJ221" i="1"/>
  <c r="HK221" i="1"/>
  <c r="HL221" i="1"/>
  <c r="HM221" i="1"/>
  <c r="HN221" i="1"/>
  <c r="HO221" i="1"/>
  <c r="HP221" i="1"/>
  <c r="HQ221" i="1"/>
  <c r="HR221" i="1"/>
  <c r="HS221" i="1"/>
  <c r="HT221" i="1"/>
  <c r="HU221" i="1"/>
  <c r="HV221" i="1"/>
  <c r="HW221" i="1"/>
  <c r="HX221" i="1"/>
  <c r="HY221" i="1"/>
  <c r="HZ221" i="1"/>
  <c r="IA221" i="1"/>
  <c r="IB221" i="1"/>
  <c r="IC221" i="1"/>
  <c r="ID221" i="1"/>
  <c r="IE221" i="1"/>
  <c r="II221" i="1"/>
  <c r="IL221" i="1"/>
  <c r="IO221" i="1"/>
  <c r="IR221" i="1"/>
  <c r="IU221" i="1"/>
  <c r="JA221" i="1"/>
  <c r="JD221" i="1"/>
  <c r="JG221" i="1"/>
  <c r="JJ221" i="1"/>
  <c r="JK221" i="1"/>
  <c r="JM221" i="1"/>
  <c r="JP221" i="1"/>
  <c r="G44" i="40"/>
  <c r="G42" i="40"/>
  <c r="E44" i="40"/>
  <c r="E42" i="40"/>
  <c r="F35" i="40"/>
  <c r="I44" i="40"/>
  <c r="E39" i="40"/>
  <c r="L35" i="40"/>
  <c r="I42" i="40"/>
  <c r="GP361" i="1"/>
  <c r="JZ361" i="1"/>
  <c r="GQ234" i="1"/>
  <c r="KA234" i="1"/>
  <c r="GP234" i="1"/>
  <c r="JZ234" i="1"/>
  <c r="GU233" i="1"/>
  <c r="GV233" i="1"/>
  <c r="GW233" i="1"/>
  <c r="GX233" i="1"/>
  <c r="GY233" i="1"/>
  <c r="GZ233" i="1"/>
  <c r="HA233" i="1"/>
  <c r="HB233" i="1"/>
  <c r="HC233" i="1"/>
  <c r="HD233" i="1"/>
  <c r="HE233" i="1"/>
  <c r="HF233" i="1"/>
  <c r="HH233" i="1"/>
  <c r="HI233" i="1"/>
  <c r="HJ233" i="1"/>
  <c r="HK233" i="1"/>
  <c r="HL233" i="1"/>
  <c r="HM233" i="1"/>
  <c r="HN233" i="1"/>
  <c r="HO233" i="1"/>
  <c r="HP233" i="1"/>
  <c r="HQ233" i="1"/>
  <c r="HR233" i="1"/>
  <c r="HS233" i="1"/>
  <c r="HT233" i="1"/>
  <c r="HU233" i="1"/>
  <c r="HV233" i="1"/>
  <c r="HW233" i="1"/>
  <c r="HX233" i="1"/>
  <c r="HY233" i="1"/>
  <c r="HZ233" i="1"/>
  <c r="IA233" i="1"/>
  <c r="IB233" i="1"/>
  <c r="IC233" i="1"/>
  <c r="ID233" i="1"/>
  <c r="IE233" i="1"/>
  <c r="II233" i="1"/>
  <c r="IL233" i="1"/>
  <c r="IO233" i="1"/>
  <c r="IU233" i="1"/>
  <c r="IX233" i="1"/>
  <c r="JA233" i="1"/>
  <c r="JD233" i="1"/>
  <c r="JG233" i="1"/>
  <c r="JJ233" i="1"/>
  <c r="JK233" i="1"/>
  <c r="JL233" i="1"/>
  <c r="JM233" i="1"/>
  <c r="JP233" i="1"/>
  <c r="GT362" i="1"/>
  <c r="GT234" i="1"/>
  <c r="GU234" i="1"/>
  <c r="GV234" i="1"/>
  <c r="GW234" i="1"/>
  <c r="GX234" i="1"/>
  <c r="GY234" i="1"/>
  <c r="GZ234" i="1"/>
  <c r="HA234" i="1"/>
  <c r="HB234" i="1"/>
  <c r="HC234" i="1"/>
  <c r="HD234" i="1"/>
  <c r="HE234" i="1"/>
  <c r="HF234" i="1"/>
  <c r="HG234" i="1"/>
  <c r="HH234" i="1"/>
  <c r="HI234" i="1"/>
  <c r="HJ234" i="1"/>
  <c r="HK234" i="1"/>
  <c r="HL234" i="1"/>
  <c r="HM234" i="1"/>
  <c r="HN234" i="1"/>
  <c r="HO234" i="1"/>
  <c r="HP234" i="1"/>
  <c r="HQ234" i="1"/>
  <c r="HR234" i="1"/>
  <c r="HS234" i="1"/>
  <c r="HT234" i="1"/>
  <c r="HU234" i="1"/>
  <c r="HV234" i="1"/>
  <c r="HW234" i="1"/>
  <c r="HX234" i="1"/>
  <c r="HY234" i="1"/>
  <c r="HZ234" i="1"/>
  <c r="IA234" i="1"/>
  <c r="IB234" i="1"/>
  <c r="IC234" i="1"/>
  <c r="ID234" i="1"/>
  <c r="IE234" i="1"/>
  <c r="II234" i="1"/>
  <c r="IJ234" i="1"/>
  <c r="IK234" i="1"/>
  <c r="IL234" i="1"/>
  <c r="IO234" i="1"/>
  <c r="IR234" i="1"/>
  <c r="IU234" i="1"/>
  <c r="IV234" i="1"/>
  <c r="IW234" i="1"/>
  <c r="IX234" i="1"/>
  <c r="IY234" i="1"/>
  <c r="IZ234" i="1"/>
  <c r="JA234" i="1"/>
  <c r="JB234" i="1"/>
  <c r="JC234" i="1"/>
  <c r="JD234" i="1"/>
  <c r="JG234" i="1"/>
  <c r="JH234" i="1"/>
  <c r="JI234" i="1"/>
  <c r="JJ234" i="1"/>
  <c r="JK234" i="1"/>
  <c r="JL234" i="1"/>
  <c r="JM234" i="1"/>
  <c r="JN234" i="1"/>
  <c r="JO234" i="1"/>
  <c r="JP234" i="1"/>
  <c r="JQ234" i="1"/>
  <c r="JR234" i="1"/>
  <c r="GR362" i="1"/>
  <c r="GR234" i="1"/>
  <c r="IX221" i="1"/>
  <c r="JY840" i="1"/>
  <c r="JX840" i="1"/>
  <c r="JY828" i="1"/>
  <c r="GV36" i="1"/>
  <c r="GW36" i="1"/>
  <c r="GX36" i="1"/>
  <c r="GY36" i="1"/>
  <c r="GZ36" i="1"/>
  <c r="HA36" i="1"/>
  <c r="HB36" i="1"/>
  <c r="HC36" i="1"/>
  <c r="HD36" i="1"/>
  <c r="HE36" i="1"/>
  <c r="HF36" i="1"/>
  <c r="HH36" i="1"/>
  <c r="HI36" i="1"/>
  <c r="HJ36" i="1"/>
  <c r="HK36" i="1"/>
  <c r="HL36" i="1"/>
  <c r="HM36" i="1"/>
  <c r="HN36" i="1"/>
  <c r="HO36" i="1"/>
  <c r="HP36" i="1"/>
  <c r="HQ36" i="1"/>
  <c r="HR36" i="1"/>
  <c r="HS36" i="1"/>
  <c r="HT36" i="1"/>
  <c r="HU36" i="1"/>
  <c r="HV36" i="1"/>
  <c r="HW36" i="1"/>
  <c r="HX36" i="1"/>
  <c r="HY36" i="1"/>
  <c r="HZ36" i="1"/>
  <c r="IA36" i="1"/>
  <c r="IB36" i="1"/>
  <c r="IC36" i="1"/>
  <c r="ID36" i="1"/>
  <c r="IE36" i="1"/>
  <c r="II36" i="1"/>
  <c r="IL36" i="1"/>
  <c r="IO36" i="1"/>
  <c r="IX36" i="1"/>
  <c r="JD36" i="1"/>
  <c r="JJ36" i="1"/>
  <c r="JM36" i="1"/>
  <c r="JP36" i="1"/>
  <c r="GU616" i="1"/>
  <c r="GV616" i="1"/>
  <c r="GW616" i="1"/>
  <c r="GX616" i="1"/>
  <c r="GY616" i="1"/>
  <c r="GZ616" i="1"/>
  <c r="HA616" i="1"/>
  <c r="HB616" i="1"/>
  <c r="HC616" i="1"/>
  <c r="HD616" i="1"/>
  <c r="HE616" i="1"/>
  <c r="HF616" i="1"/>
  <c r="ID616" i="1"/>
  <c r="JX616" i="1"/>
  <c r="IE616" i="1"/>
  <c r="JP616" i="1"/>
  <c r="JQ617" i="1"/>
  <c r="JR617" i="1"/>
  <c r="JR616" i="1"/>
  <c r="HG616" i="1"/>
  <c r="GQ616" i="1"/>
  <c r="GP616" i="1"/>
  <c r="GS616" i="1"/>
  <c r="JQ616" i="1"/>
  <c r="GT617" i="1"/>
  <c r="GT616" i="1"/>
  <c r="GR617" i="1"/>
  <c r="GR616" i="1"/>
  <c r="IF617" i="1"/>
  <c r="IF616" i="1"/>
  <c r="JQ840" i="1"/>
  <c r="JR840" i="1"/>
  <c r="IF840" i="1"/>
  <c r="IF672" i="1"/>
  <c r="S53" i="12"/>
  <c r="AG53" i="12"/>
  <c r="AG52" i="12"/>
  <c r="AG51" i="12"/>
  <c r="AG50" i="12"/>
  <c r="AF52" i="12"/>
  <c r="GU827" i="1"/>
  <c r="GV827" i="1"/>
  <c r="GW827" i="1"/>
  <c r="GY827" i="1"/>
  <c r="GZ827" i="1"/>
  <c r="HA827" i="1"/>
  <c r="HB827" i="1"/>
  <c r="HC827" i="1"/>
  <c r="HD827" i="1"/>
  <c r="HE827" i="1"/>
  <c r="HF827" i="1"/>
  <c r="ID827" i="1"/>
  <c r="IE827" i="1"/>
  <c r="JP827" i="1"/>
  <c r="KA840" i="1"/>
  <c r="JZ840" i="1"/>
  <c r="HG840" i="1"/>
  <c r="GR840" i="1"/>
  <c r="JY596" i="1"/>
  <c r="JY594" i="1"/>
  <c r="JY590" i="1"/>
  <c r="IR233" i="1"/>
  <c r="KC229" i="1"/>
  <c r="KC226" i="1"/>
  <c r="GU228" i="1"/>
  <c r="GV228" i="1"/>
  <c r="GW228" i="1"/>
  <c r="GX228" i="1"/>
  <c r="GY228" i="1"/>
  <c r="GZ228" i="1"/>
  <c r="HA228" i="1"/>
  <c r="HB228" i="1"/>
  <c r="HC228" i="1"/>
  <c r="HD228" i="1"/>
  <c r="HE228" i="1"/>
  <c r="HF228" i="1"/>
  <c r="HH228" i="1"/>
  <c r="HI228" i="1"/>
  <c r="HJ228" i="1"/>
  <c r="HK228" i="1"/>
  <c r="HL228" i="1"/>
  <c r="HN228" i="1"/>
  <c r="HO228" i="1"/>
  <c r="HP228" i="1"/>
  <c r="HQ228" i="1"/>
  <c r="HR228" i="1"/>
  <c r="HS228" i="1"/>
  <c r="HT228" i="1"/>
  <c r="HU228" i="1"/>
  <c r="HV228" i="1"/>
  <c r="HW228" i="1"/>
  <c r="HX228" i="1"/>
  <c r="HY228" i="1"/>
  <c r="HZ228" i="1"/>
  <c r="IA228" i="1"/>
  <c r="IB228" i="1"/>
  <c r="IC228" i="1"/>
  <c r="ID228" i="1"/>
  <c r="IE228" i="1"/>
  <c r="II228" i="1"/>
  <c r="IL228" i="1"/>
  <c r="IO228" i="1"/>
  <c r="IR228" i="1"/>
  <c r="IU228" i="1"/>
  <c r="IX228" i="1"/>
  <c r="JA228" i="1"/>
  <c r="JD228" i="1"/>
  <c r="JG228" i="1"/>
  <c r="JJ228" i="1"/>
  <c r="JM228" i="1"/>
  <c r="JM227" i="1"/>
  <c r="JP228" i="1"/>
  <c r="GU225" i="1"/>
  <c r="GV225" i="1"/>
  <c r="GW225" i="1"/>
  <c r="GX225" i="1"/>
  <c r="GY225" i="1"/>
  <c r="GZ225" i="1"/>
  <c r="HA225" i="1"/>
  <c r="HB225" i="1"/>
  <c r="HB224" i="1"/>
  <c r="HC225" i="1"/>
  <c r="HC224" i="1"/>
  <c r="HD225" i="1"/>
  <c r="HD224" i="1"/>
  <c r="HE225" i="1"/>
  <c r="HE224" i="1"/>
  <c r="HF225" i="1"/>
  <c r="HF224" i="1"/>
  <c r="HH225" i="1"/>
  <c r="HH224" i="1"/>
  <c r="HI225" i="1"/>
  <c r="HI224" i="1"/>
  <c r="HJ225" i="1"/>
  <c r="HJ224" i="1"/>
  <c r="HK225" i="1"/>
  <c r="HL225" i="1"/>
  <c r="HL224" i="1"/>
  <c r="HM225" i="1"/>
  <c r="HM224" i="1"/>
  <c r="HN225" i="1"/>
  <c r="HN224" i="1"/>
  <c r="HO225" i="1"/>
  <c r="HO224" i="1"/>
  <c r="HP225" i="1"/>
  <c r="HP224" i="1"/>
  <c r="HQ225" i="1"/>
  <c r="HQ224" i="1"/>
  <c r="HR225" i="1"/>
  <c r="HR224" i="1"/>
  <c r="HS225" i="1"/>
  <c r="HS224" i="1"/>
  <c r="HT225" i="1"/>
  <c r="HT224" i="1"/>
  <c r="HU225" i="1"/>
  <c r="HU224" i="1"/>
  <c r="HV225" i="1"/>
  <c r="HV224" i="1"/>
  <c r="HW225" i="1"/>
  <c r="HW224" i="1"/>
  <c r="HX225" i="1"/>
  <c r="HX224" i="1"/>
  <c r="HY225" i="1"/>
  <c r="HY224" i="1"/>
  <c r="HZ225" i="1"/>
  <c r="HZ224" i="1"/>
  <c r="IA225" i="1"/>
  <c r="IA224" i="1"/>
  <c r="IB225" i="1"/>
  <c r="IB224" i="1"/>
  <c r="IC225" i="1"/>
  <c r="IC224" i="1"/>
  <c r="ID225" i="1"/>
  <c r="ID224" i="1"/>
  <c r="IE225" i="1"/>
  <c r="IE224" i="1"/>
  <c r="II225" i="1"/>
  <c r="II224" i="1"/>
  <c r="IJ225" i="1"/>
  <c r="IJ224" i="1"/>
  <c r="IK225" i="1"/>
  <c r="IK224" i="1"/>
  <c r="IL225" i="1"/>
  <c r="IL224" i="1"/>
  <c r="IO225" i="1"/>
  <c r="IO224" i="1"/>
  <c r="IR225" i="1"/>
  <c r="IR224" i="1"/>
  <c r="IU225" i="1"/>
  <c r="IV225" i="1"/>
  <c r="IV224" i="1"/>
  <c r="IW225" i="1"/>
  <c r="IW224" i="1"/>
  <c r="IX225" i="1"/>
  <c r="IX224" i="1"/>
  <c r="IY225" i="1"/>
  <c r="IZ225" i="1"/>
  <c r="IZ224" i="1"/>
  <c r="JA225" i="1"/>
  <c r="JA224" i="1"/>
  <c r="JD225" i="1"/>
  <c r="JD224" i="1"/>
  <c r="JE225" i="1"/>
  <c r="JE224" i="1"/>
  <c r="JF225" i="1"/>
  <c r="JF224" i="1"/>
  <c r="JG225" i="1"/>
  <c r="JG224" i="1"/>
  <c r="JH225" i="1"/>
  <c r="JH224" i="1"/>
  <c r="JI225" i="1"/>
  <c r="JI224" i="1"/>
  <c r="JJ225" i="1"/>
  <c r="JJ224" i="1"/>
  <c r="JK225" i="1"/>
  <c r="JK224" i="1"/>
  <c r="JL225" i="1"/>
  <c r="JL224" i="1"/>
  <c r="JM225" i="1"/>
  <c r="JM224" i="1"/>
  <c r="JN225" i="1"/>
  <c r="JN224" i="1"/>
  <c r="JO225" i="1"/>
  <c r="JO224" i="1"/>
  <c r="JP225" i="1"/>
  <c r="JP224" i="1"/>
  <c r="JQ225" i="1"/>
  <c r="JQ224" i="1"/>
  <c r="JR225" i="1"/>
  <c r="JR224" i="1"/>
  <c r="IY224" i="1"/>
  <c r="IU224" i="1"/>
  <c r="HK224" i="1"/>
  <c r="C224" i="1"/>
  <c r="JY582" i="1"/>
  <c r="HM228" i="1"/>
  <c r="JY587" i="1"/>
  <c r="HD748" i="1"/>
  <c r="HA748" i="1"/>
  <c r="GX748" i="1"/>
  <c r="HD747" i="1"/>
  <c r="HA747" i="1"/>
  <c r="GX747" i="1"/>
  <c r="HD745" i="1"/>
  <c r="HA745" i="1"/>
  <c r="GX745" i="1"/>
  <c r="HD744" i="1"/>
  <c r="HA744" i="1"/>
  <c r="GX744" i="1"/>
  <c r="HD743" i="1"/>
  <c r="HA743" i="1"/>
  <c r="GX743" i="1"/>
  <c r="HD712" i="1"/>
  <c r="HA712" i="1"/>
  <c r="GX712" i="1"/>
  <c r="JY739" i="1"/>
  <c r="JX739" i="1"/>
  <c r="JP738" i="1"/>
  <c r="IH739" i="1"/>
  <c r="IG739" i="1"/>
  <c r="IF739" i="1"/>
  <c r="GU738" i="1"/>
  <c r="GV738" i="1"/>
  <c r="GW738" i="1"/>
  <c r="GX738" i="1"/>
  <c r="GY738" i="1"/>
  <c r="GZ738" i="1"/>
  <c r="HA738" i="1"/>
  <c r="HB738" i="1"/>
  <c r="HC738" i="1"/>
  <c r="HD738" i="1"/>
  <c r="HE738" i="1"/>
  <c r="HF738" i="1"/>
  <c r="HG739" i="1"/>
  <c r="JS739" i="1"/>
  <c r="JZ739" i="1"/>
  <c r="JY747" i="1"/>
  <c r="JX747" i="1"/>
  <c r="JY787" i="1"/>
  <c r="JX787" i="1"/>
  <c r="JQ787" i="1"/>
  <c r="JR787" i="1"/>
  <c r="IF787" i="1"/>
  <c r="KA787" i="1"/>
  <c r="GR787" i="1"/>
  <c r="JZ787" i="1"/>
  <c r="D53" i="12"/>
  <c r="JY866" i="1"/>
  <c r="JY863" i="1"/>
  <c r="JX866" i="1"/>
  <c r="JX863" i="1"/>
  <c r="JQ866" i="1"/>
  <c r="JR866" i="1"/>
  <c r="IF866" i="1"/>
  <c r="C863" i="1"/>
  <c r="JQ861" i="1"/>
  <c r="JR861" i="1"/>
  <c r="JR860" i="1"/>
  <c r="JQ858" i="1"/>
  <c r="JR858" i="1"/>
  <c r="JQ853" i="1"/>
  <c r="JR853" i="1"/>
  <c r="JQ852" i="1"/>
  <c r="JR852" i="1"/>
  <c r="JQ851" i="1"/>
  <c r="JR851" i="1"/>
  <c r="JQ850" i="1"/>
  <c r="JR850" i="1"/>
  <c r="JQ849" i="1"/>
  <c r="JR849" i="1"/>
  <c r="JQ848" i="1"/>
  <c r="JR848" i="1"/>
  <c r="JQ847" i="1"/>
  <c r="JR847" i="1"/>
  <c r="JQ846" i="1"/>
  <c r="JR846" i="1"/>
  <c r="JR845" i="1"/>
  <c r="HG866" i="1"/>
  <c r="HG863" i="1"/>
  <c r="JZ866" i="1"/>
  <c r="KA846" i="1"/>
  <c r="KA845" i="1"/>
  <c r="KA847" i="1"/>
  <c r="KA848" i="1"/>
  <c r="KA849" i="1"/>
  <c r="KA851" i="1"/>
  <c r="KA852" i="1"/>
  <c r="KA853" i="1"/>
  <c r="KA769" i="1"/>
  <c r="KA770" i="1"/>
  <c r="KA771" i="1"/>
  <c r="KA772" i="1"/>
  <c r="KA773" i="1"/>
  <c r="KA774" i="1"/>
  <c r="KA775" i="1"/>
  <c r="KA776" i="1"/>
  <c r="KA777" i="1"/>
  <c r="KA778" i="1"/>
  <c r="KA779" i="1"/>
  <c r="KA780" i="1"/>
  <c r="KA781" i="1"/>
  <c r="KA784" i="1"/>
  <c r="KA786" i="1"/>
  <c r="KA788" i="1"/>
  <c r="KA791" i="1"/>
  <c r="KA792" i="1"/>
  <c r="KA793" i="1"/>
  <c r="KA794" i="1"/>
  <c r="KA795" i="1"/>
  <c r="KA796" i="1"/>
  <c r="KA797" i="1"/>
  <c r="KA798" i="1"/>
  <c r="KA799" i="1"/>
  <c r="KA800" i="1"/>
  <c r="KA801" i="1"/>
  <c r="KA802" i="1"/>
  <c r="KA803" i="1"/>
  <c r="KA804" i="1"/>
  <c r="KA805" i="1"/>
  <c r="KA806" i="1"/>
  <c r="KA807" i="1"/>
  <c r="KA808" i="1"/>
  <c r="KA810" i="1"/>
  <c r="KA811" i="1"/>
  <c r="KA812" i="1"/>
  <c r="KA813" i="1"/>
  <c r="KA814" i="1"/>
  <c r="KA815" i="1"/>
  <c r="KA816" i="1"/>
  <c r="KA817" i="1"/>
  <c r="KA818" i="1"/>
  <c r="KA820" i="1"/>
  <c r="KA821" i="1"/>
  <c r="KA822" i="1"/>
  <c r="KA823" i="1"/>
  <c r="KA824" i="1"/>
  <c r="KA825" i="1"/>
  <c r="KA828" i="1"/>
  <c r="KA829" i="1"/>
  <c r="KA830" i="1"/>
  <c r="KA831" i="1"/>
  <c r="KA832" i="1"/>
  <c r="KA833" i="1"/>
  <c r="KA835" i="1"/>
  <c r="KA836" i="1"/>
  <c r="KA837" i="1"/>
  <c r="KA838" i="1"/>
  <c r="KA839" i="1"/>
  <c r="KA843" i="1"/>
  <c r="KA842" i="1"/>
  <c r="KA857" i="1"/>
  <c r="KA858" i="1"/>
  <c r="KA856" i="1"/>
  <c r="GU860" i="1"/>
  <c r="GV860" i="1"/>
  <c r="GW860" i="1"/>
  <c r="GX860" i="1"/>
  <c r="GY860" i="1"/>
  <c r="GZ860" i="1"/>
  <c r="HA860" i="1"/>
  <c r="HB860" i="1"/>
  <c r="HC860" i="1"/>
  <c r="HD860" i="1"/>
  <c r="HE860" i="1"/>
  <c r="HF860" i="1"/>
  <c r="ID860" i="1"/>
  <c r="IE860" i="1"/>
  <c r="JP860" i="1"/>
  <c r="JQ860" i="1"/>
  <c r="JY861" i="1"/>
  <c r="JY860" i="1"/>
  <c r="JX861" i="1"/>
  <c r="JX860" i="1"/>
  <c r="IF861" i="1"/>
  <c r="C860" i="1"/>
  <c r="JQ843" i="1"/>
  <c r="JR843" i="1"/>
  <c r="JQ839" i="1"/>
  <c r="JR839" i="1"/>
  <c r="IH839" i="1"/>
  <c r="JQ838" i="1"/>
  <c r="JR838" i="1"/>
  <c r="JQ837" i="1"/>
  <c r="JR837" i="1"/>
  <c r="JQ836" i="1"/>
  <c r="JR836" i="1"/>
  <c r="JQ835" i="1"/>
  <c r="JR835" i="1"/>
  <c r="JQ833" i="1"/>
  <c r="JR833" i="1"/>
  <c r="JQ832" i="1"/>
  <c r="JR832" i="1"/>
  <c r="JQ831" i="1"/>
  <c r="JR831" i="1"/>
  <c r="JQ830" i="1"/>
  <c r="JR830" i="1"/>
  <c r="JQ829" i="1"/>
  <c r="JQ828" i="1"/>
  <c r="JR828" i="1"/>
  <c r="KA861" i="1"/>
  <c r="KA860" i="1"/>
  <c r="GS860" i="1"/>
  <c r="GQ860" i="1"/>
  <c r="GT861" i="1"/>
  <c r="GT860" i="1"/>
  <c r="GP860" i="1"/>
  <c r="JZ861" i="1"/>
  <c r="GR861" i="1"/>
  <c r="GR860" i="1"/>
  <c r="JQ825" i="1"/>
  <c r="JR825" i="1"/>
  <c r="JQ824" i="1"/>
  <c r="JR824" i="1"/>
  <c r="JQ823" i="1"/>
  <c r="JR823" i="1"/>
  <c r="JQ822" i="1"/>
  <c r="JR822" i="1"/>
  <c r="JQ821" i="1"/>
  <c r="JR821" i="1"/>
  <c r="JQ820" i="1"/>
  <c r="JR820" i="1"/>
  <c r="JQ819" i="1"/>
  <c r="JR819" i="1"/>
  <c r="JQ818" i="1"/>
  <c r="JR818" i="1"/>
  <c r="JQ817" i="1"/>
  <c r="JR817" i="1"/>
  <c r="JQ816" i="1"/>
  <c r="JR816" i="1"/>
  <c r="JQ815" i="1"/>
  <c r="JR815" i="1"/>
  <c r="JQ814" i="1"/>
  <c r="JR814" i="1"/>
  <c r="JQ813" i="1"/>
  <c r="JR813" i="1"/>
  <c r="JQ812" i="1"/>
  <c r="JR812" i="1"/>
  <c r="JQ811" i="1"/>
  <c r="JR811" i="1"/>
  <c r="JQ810" i="1"/>
  <c r="JR810" i="1"/>
  <c r="JQ809" i="1"/>
  <c r="JR809" i="1"/>
  <c r="JQ808" i="1"/>
  <c r="JR808" i="1"/>
  <c r="JQ807" i="1"/>
  <c r="JR807" i="1"/>
  <c r="JQ806" i="1"/>
  <c r="JR806" i="1"/>
  <c r="JQ805" i="1"/>
  <c r="JR805" i="1"/>
  <c r="JQ804" i="1"/>
  <c r="JR804" i="1"/>
  <c r="JQ803" i="1"/>
  <c r="JR803" i="1"/>
  <c r="JQ802" i="1"/>
  <c r="JR802" i="1"/>
  <c r="JQ801" i="1"/>
  <c r="JR801" i="1"/>
  <c r="JQ800" i="1"/>
  <c r="JR800" i="1"/>
  <c r="JQ799" i="1"/>
  <c r="JR799" i="1"/>
  <c r="JQ798" i="1"/>
  <c r="JR798" i="1"/>
  <c r="JQ797" i="1"/>
  <c r="JR797" i="1"/>
  <c r="JQ796" i="1"/>
  <c r="JR796" i="1"/>
  <c r="JQ795" i="1"/>
  <c r="JR795" i="1"/>
  <c r="JQ794" i="1"/>
  <c r="JR794" i="1"/>
  <c r="JQ793" i="1"/>
  <c r="JR793" i="1"/>
  <c r="JQ792" i="1"/>
  <c r="JR792" i="1"/>
  <c r="JQ791" i="1"/>
  <c r="JR791" i="1"/>
  <c r="JQ788" i="1"/>
  <c r="JR788" i="1"/>
  <c r="JQ786" i="1"/>
  <c r="JR786" i="1"/>
  <c r="JQ785" i="1"/>
  <c r="JR785" i="1"/>
  <c r="JQ784" i="1"/>
  <c r="JR784" i="1"/>
  <c r="JQ781" i="1"/>
  <c r="JR781" i="1"/>
  <c r="JQ780" i="1"/>
  <c r="JR780" i="1"/>
  <c r="JQ779" i="1"/>
  <c r="JR779" i="1"/>
  <c r="JQ778" i="1"/>
  <c r="JR778" i="1"/>
  <c r="IH778" i="1"/>
  <c r="JQ777" i="1"/>
  <c r="JR777" i="1"/>
  <c r="IH777" i="1"/>
  <c r="JQ776" i="1"/>
  <c r="JR776" i="1"/>
  <c r="JQ775" i="1"/>
  <c r="JR775" i="1"/>
  <c r="JQ774" i="1"/>
  <c r="JR774" i="1"/>
  <c r="JR768" i="1"/>
  <c r="JQ773" i="1"/>
  <c r="JR773" i="1"/>
  <c r="JQ772" i="1"/>
  <c r="JR772" i="1"/>
  <c r="JQ771" i="1"/>
  <c r="JR771" i="1"/>
  <c r="JQ770" i="1"/>
  <c r="JR770" i="1"/>
  <c r="JQ769" i="1"/>
  <c r="JR769" i="1"/>
  <c r="IF740" i="1"/>
  <c r="ID738" i="1"/>
  <c r="IE738" i="1"/>
  <c r="C738" i="1"/>
  <c r="JY740" i="1"/>
  <c r="JX740" i="1"/>
  <c r="JX738" i="1"/>
  <c r="JQ740" i="1"/>
  <c r="JQ748" i="1"/>
  <c r="JR748" i="1"/>
  <c r="IH748" i="1"/>
  <c r="JQ747" i="1"/>
  <c r="JR747" i="1"/>
  <c r="JQ746" i="1"/>
  <c r="JR746" i="1"/>
  <c r="IH746" i="1"/>
  <c r="JQ745" i="1"/>
  <c r="JR745" i="1"/>
  <c r="JQ744" i="1"/>
  <c r="JR744" i="1"/>
  <c r="JQ743" i="1"/>
  <c r="JR743" i="1"/>
  <c r="HG740" i="1"/>
  <c r="GP738" i="1"/>
  <c r="JZ738" i="1"/>
  <c r="JZ747" i="1"/>
  <c r="KA747" i="1"/>
  <c r="JZ740" i="1"/>
  <c r="GR740" i="1"/>
  <c r="KA740" i="1"/>
  <c r="JQ736" i="1"/>
  <c r="JR736" i="1"/>
  <c r="JQ735" i="1"/>
  <c r="JR735" i="1"/>
  <c r="JQ734" i="1"/>
  <c r="JR734" i="1"/>
  <c r="JQ733" i="1"/>
  <c r="JR733" i="1"/>
  <c r="JQ732" i="1"/>
  <c r="JR732" i="1"/>
  <c r="JQ731" i="1"/>
  <c r="JR731" i="1"/>
  <c r="JQ730" i="1"/>
  <c r="JR730" i="1"/>
  <c r="JQ712" i="1"/>
  <c r="JQ706" i="1"/>
  <c r="JR706" i="1"/>
  <c r="JQ703" i="1"/>
  <c r="JR703" i="1"/>
  <c r="JQ700" i="1"/>
  <c r="JR700" i="1"/>
  <c r="JQ694" i="1"/>
  <c r="JR694" i="1"/>
  <c r="JQ686" i="1"/>
  <c r="JR686" i="1"/>
  <c r="JQ682" i="1"/>
  <c r="JR682" i="1"/>
  <c r="JQ679" i="1"/>
  <c r="JQ678" i="1"/>
  <c r="JR678" i="1"/>
  <c r="IH678" i="1"/>
  <c r="JQ677" i="1"/>
  <c r="JQ676" i="1"/>
  <c r="JR676" i="1"/>
  <c r="JQ675" i="1"/>
  <c r="JQ674" i="1"/>
  <c r="JR674" i="1"/>
  <c r="JQ673" i="1"/>
  <c r="JR673" i="1"/>
  <c r="JQ672" i="1"/>
  <c r="JR672" i="1"/>
  <c r="JQ670" i="1"/>
  <c r="JR670" i="1"/>
  <c r="JQ667" i="1"/>
  <c r="JR667" i="1"/>
  <c r="JQ649" i="1"/>
  <c r="JR649" i="1"/>
  <c r="JQ648" i="1"/>
  <c r="JR648" i="1"/>
  <c r="JR647" i="1"/>
  <c r="JQ647" i="1"/>
  <c r="JQ646" i="1"/>
  <c r="JR646" i="1"/>
  <c r="JQ643" i="1"/>
  <c r="JR643" i="1"/>
  <c r="JQ641" i="1"/>
  <c r="JR641" i="1"/>
  <c r="JQ639" i="1"/>
  <c r="JR639" i="1"/>
  <c r="JQ638" i="1"/>
  <c r="JR638" i="1"/>
  <c r="JQ635" i="1"/>
  <c r="JR635" i="1"/>
  <c r="JQ626" i="1"/>
  <c r="JR626" i="1"/>
  <c r="JQ623" i="1"/>
  <c r="JR623" i="1"/>
  <c r="JQ614" i="1"/>
  <c r="JR614" i="1"/>
  <c r="JQ604" i="1"/>
  <c r="JR604" i="1"/>
  <c r="JQ603" i="1"/>
  <c r="JR603" i="1"/>
  <c r="JQ602" i="1"/>
  <c r="JR602" i="1"/>
  <c r="JQ601" i="1"/>
  <c r="JR601" i="1"/>
  <c r="JQ598" i="1"/>
  <c r="JR598" i="1"/>
  <c r="JQ596" i="1"/>
  <c r="JR596" i="1"/>
  <c r="JQ595" i="1"/>
  <c r="JR595" i="1"/>
  <c r="JQ594" i="1"/>
  <c r="JR594" i="1"/>
  <c r="JQ593" i="1"/>
  <c r="JR593" i="1"/>
  <c r="JQ590" i="1"/>
  <c r="JR590" i="1"/>
  <c r="JQ588" i="1"/>
  <c r="JR588" i="1"/>
  <c r="JQ587" i="1"/>
  <c r="JR587" i="1"/>
  <c r="JQ586" i="1"/>
  <c r="JR586" i="1"/>
  <c r="JQ583" i="1"/>
  <c r="JR583" i="1"/>
  <c r="JQ582" i="1"/>
  <c r="JR582" i="1"/>
  <c r="JQ561" i="1"/>
  <c r="JQ233" i="1"/>
  <c r="JR561" i="1"/>
  <c r="JR233" i="1"/>
  <c r="JQ560" i="1"/>
  <c r="JR560" i="1"/>
  <c r="JQ559" i="1"/>
  <c r="JR559" i="1"/>
  <c r="JN233" i="1"/>
  <c r="JB233" i="1"/>
  <c r="IY233" i="1"/>
  <c r="IS233" i="1"/>
  <c r="IM233" i="1"/>
  <c r="JQ553" i="1"/>
  <c r="JQ222" i="1"/>
  <c r="JQ552" i="1"/>
  <c r="JQ551" i="1"/>
  <c r="JR551" i="1"/>
  <c r="JN221" i="1"/>
  <c r="JK222" i="1"/>
  <c r="JH222" i="1"/>
  <c r="JQ547" i="1"/>
  <c r="JR547" i="1"/>
  <c r="JQ546" i="1"/>
  <c r="JR546" i="1"/>
  <c r="JQ545" i="1"/>
  <c r="JR545" i="1"/>
  <c r="JQ544" i="1"/>
  <c r="JR544" i="1"/>
  <c r="JQ536" i="1"/>
  <c r="JR536" i="1"/>
  <c r="JQ524" i="1"/>
  <c r="JR524" i="1"/>
  <c r="JQ522" i="1"/>
  <c r="JR522" i="1"/>
  <c r="JQ520" i="1"/>
  <c r="JR520" i="1"/>
  <c r="JQ518" i="1"/>
  <c r="JR518" i="1"/>
  <c r="JQ514" i="1"/>
  <c r="JR514" i="1"/>
  <c r="JQ510" i="1"/>
  <c r="JR510" i="1"/>
  <c r="JQ509" i="1"/>
  <c r="JR509" i="1"/>
  <c r="JQ508" i="1"/>
  <c r="JR508" i="1"/>
  <c r="JQ498" i="1"/>
  <c r="JR498" i="1"/>
  <c r="JQ496" i="1"/>
  <c r="JR496" i="1"/>
  <c r="JQ495" i="1"/>
  <c r="JR495" i="1"/>
  <c r="JQ494" i="1"/>
  <c r="JR494" i="1"/>
  <c r="JQ493" i="1"/>
  <c r="JR493" i="1"/>
  <c r="JQ492" i="1"/>
  <c r="JR492" i="1"/>
  <c r="JQ491" i="1"/>
  <c r="JR491" i="1"/>
  <c r="JQ490" i="1"/>
  <c r="JR490" i="1"/>
  <c r="JQ489" i="1"/>
  <c r="JR489" i="1"/>
  <c r="JQ486" i="1"/>
  <c r="JR486" i="1"/>
  <c r="JR153" i="1"/>
  <c r="JQ485" i="1"/>
  <c r="JR485" i="1"/>
  <c r="JR152" i="1"/>
  <c r="JQ484" i="1"/>
  <c r="JR484" i="1"/>
  <c r="JQ483" i="1"/>
  <c r="JR483" i="1"/>
  <c r="JQ480" i="1"/>
  <c r="JR480" i="1"/>
  <c r="JQ479" i="1"/>
  <c r="JR479" i="1"/>
  <c r="JQ478" i="1"/>
  <c r="JR478" i="1"/>
  <c r="JQ477" i="1"/>
  <c r="JR477" i="1"/>
  <c r="JQ476" i="1"/>
  <c r="JR476" i="1"/>
  <c r="JQ475" i="1"/>
  <c r="JR475" i="1"/>
  <c r="JQ474" i="1"/>
  <c r="JR474" i="1"/>
  <c r="JF233" i="1"/>
  <c r="JE233" i="1"/>
  <c r="JE221" i="1"/>
  <c r="JQ470" i="1"/>
  <c r="JR470" i="1"/>
  <c r="JQ469" i="1"/>
  <c r="JR469" i="1"/>
  <c r="JQ468" i="1"/>
  <c r="JR468" i="1"/>
  <c r="JQ467" i="1"/>
  <c r="JR467" i="1"/>
  <c r="JQ466" i="1"/>
  <c r="JR466" i="1"/>
  <c r="JQ465" i="1"/>
  <c r="JR465" i="1"/>
  <c r="JQ462" i="1"/>
  <c r="JR462" i="1"/>
  <c r="JQ461" i="1"/>
  <c r="JR461" i="1"/>
  <c r="JQ460" i="1"/>
  <c r="JR460" i="1"/>
  <c r="JQ459" i="1"/>
  <c r="JR459" i="1"/>
  <c r="JQ449" i="1"/>
  <c r="JR449" i="1"/>
  <c r="JQ448" i="1"/>
  <c r="JR448" i="1"/>
  <c r="JQ447" i="1"/>
  <c r="JR447" i="1"/>
  <c r="JQ446" i="1"/>
  <c r="JR446" i="1"/>
  <c r="JQ445" i="1"/>
  <c r="JR445" i="1"/>
  <c r="JQ442" i="1"/>
  <c r="JR442" i="1"/>
  <c r="JQ441" i="1"/>
  <c r="JR441" i="1"/>
  <c r="JQ440" i="1"/>
  <c r="JR440" i="1"/>
  <c r="JO107" i="1"/>
  <c r="JQ434" i="1"/>
  <c r="JR434" i="1"/>
  <c r="JQ433" i="1"/>
  <c r="JR433" i="1"/>
  <c r="JQ432" i="1"/>
  <c r="JR432" i="1"/>
  <c r="JQ431" i="1"/>
  <c r="JR431" i="1"/>
  <c r="JQ430" i="1"/>
  <c r="JR430" i="1"/>
  <c r="JQ429" i="1"/>
  <c r="JR429" i="1"/>
  <c r="JQ425" i="1"/>
  <c r="JR425" i="1"/>
  <c r="JQ424" i="1"/>
  <c r="JR424" i="1"/>
  <c r="JQ423" i="1"/>
  <c r="JR423" i="1"/>
  <c r="JQ422" i="1"/>
  <c r="JR422" i="1"/>
  <c r="JQ421" i="1"/>
  <c r="JR421" i="1"/>
  <c r="JQ420" i="1"/>
  <c r="JR420" i="1"/>
  <c r="JP416" i="1"/>
  <c r="JQ417" i="1"/>
  <c r="JQ416" i="1"/>
  <c r="ID416" i="1"/>
  <c r="IE416" i="1"/>
  <c r="GV416" i="1"/>
  <c r="GW416" i="1"/>
  <c r="GX416" i="1"/>
  <c r="GY416" i="1"/>
  <c r="GZ416" i="1"/>
  <c r="HA416" i="1"/>
  <c r="HB416" i="1"/>
  <c r="HC416" i="1"/>
  <c r="HD416" i="1"/>
  <c r="HE416" i="1"/>
  <c r="HF416" i="1"/>
  <c r="GU416" i="1"/>
  <c r="JQ414" i="1"/>
  <c r="JR414" i="1"/>
  <c r="JQ413" i="1"/>
  <c r="JR413" i="1"/>
  <c r="JQ409" i="1"/>
  <c r="JR409" i="1"/>
  <c r="JQ408" i="1"/>
  <c r="JR408" i="1"/>
  <c r="JQ407" i="1"/>
  <c r="JR407" i="1"/>
  <c r="JQ404" i="1"/>
  <c r="JR404" i="1"/>
  <c r="JQ403" i="1"/>
  <c r="JR403" i="1"/>
  <c r="JQ402" i="1"/>
  <c r="JR402" i="1"/>
  <c r="JQ399" i="1"/>
  <c r="JR399" i="1"/>
  <c r="JQ398" i="1"/>
  <c r="JR398" i="1"/>
  <c r="JQ395" i="1"/>
  <c r="JR395" i="1"/>
  <c r="JQ393" i="1"/>
  <c r="JR393" i="1"/>
  <c r="JQ392" i="1"/>
  <c r="JR392" i="1"/>
  <c r="JQ391" i="1"/>
  <c r="JR391" i="1"/>
  <c r="JQ390" i="1"/>
  <c r="JR390" i="1"/>
  <c r="JQ389" i="1"/>
  <c r="JR389" i="1"/>
  <c r="JQ388" i="1"/>
  <c r="JR388" i="1"/>
  <c r="JQ387" i="1"/>
  <c r="JR387" i="1"/>
  <c r="JQ384" i="1"/>
  <c r="JR384" i="1"/>
  <c r="JQ383" i="1"/>
  <c r="JR383" i="1"/>
  <c r="JQ382" i="1"/>
  <c r="JR382" i="1"/>
  <c r="JQ381" i="1"/>
  <c r="JR381" i="1"/>
  <c r="JQ371" i="1"/>
  <c r="JR371" i="1"/>
  <c r="JQ369" i="1"/>
  <c r="JR369" i="1"/>
  <c r="JQ359" i="1"/>
  <c r="JQ351" i="1"/>
  <c r="JR351" i="1"/>
  <c r="IQ215" i="1"/>
  <c r="JP313" i="1"/>
  <c r="JQ284" i="1"/>
  <c r="JR284" i="1"/>
  <c r="JQ283" i="1"/>
  <c r="JR283" i="1"/>
  <c r="JQ282" i="1"/>
  <c r="JR282" i="1"/>
  <c r="JQ281" i="1"/>
  <c r="JR281" i="1"/>
  <c r="JQ280" i="1"/>
  <c r="JR280" i="1"/>
  <c r="JQ263" i="1"/>
  <c r="JR263" i="1"/>
  <c r="JQ262" i="1"/>
  <c r="JR262" i="1"/>
  <c r="JQ261" i="1"/>
  <c r="JR261" i="1"/>
  <c r="JQ260" i="1"/>
  <c r="JR260" i="1"/>
  <c r="JQ257" i="1"/>
  <c r="JR257" i="1"/>
  <c r="JQ255" i="1"/>
  <c r="JR255" i="1"/>
  <c r="JQ253" i="1"/>
  <c r="JR253" i="1"/>
  <c r="JR23" i="1"/>
  <c r="JQ252" i="1"/>
  <c r="JR252" i="1"/>
  <c r="JQ247" i="1"/>
  <c r="JR247" i="1"/>
  <c r="JE36" i="1"/>
  <c r="JQ36" i="1"/>
  <c r="IQ228" i="1"/>
  <c r="IP228" i="1"/>
  <c r="JC228" i="1"/>
  <c r="JB228" i="1"/>
  <c r="IK36" i="1"/>
  <c r="IJ36" i="1"/>
  <c r="IW36" i="1"/>
  <c r="IV36" i="1"/>
  <c r="IS228" i="1"/>
  <c r="JF228" i="1"/>
  <c r="JE228" i="1"/>
  <c r="JR359" i="1"/>
  <c r="JR228" i="1"/>
  <c r="JR227" i="1"/>
  <c r="JQ228" i="1"/>
  <c r="IY36" i="1"/>
  <c r="JL36" i="1"/>
  <c r="JK36" i="1"/>
  <c r="IK228" i="1"/>
  <c r="IJ228" i="1"/>
  <c r="JH228" i="1"/>
  <c r="JB36" i="1"/>
  <c r="IN228" i="1"/>
  <c r="IM228" i="1"/>
  <c r="IZ228" i="1"/>
  <c r="IY228" i="1"/>
  <c r="JL228" i="1"/>
  <c r="JK228" i="1"/>
  <c r="IW228" i="1"/>
  <c r="IV228" i="1"/>
  <c r="JR417" i="1"/>
  <c r="JR416" i="1"/>
  <c r="GQ857" i="1"/>
  <c r="GP857" i="1"/>
  <c r="GQ825" i="1"/>
  <c r="GP825" i="1"/>
  <c r="GR825" i="1"/>
  <c r="GQ824" i="1"/>
  <c r="GP824" i="1"/>
  <c r="IF800" i="1"/>
  <c r="IF788" i="1"/>
  <c r="GQ719" i="1"/>
  <c r="GQ718" i="1"/>
  <c r="GP719" i="1"/>
  <c r="GQ697" i="1"/>
  <c r="KA697" i="1"/>
  <c r="KA696" i="1"/>
  <c r="GP697" i="1"/>
  <c r="GP696" i="1"/>
  <c r="GP670" i="1"/>
  <c r="GP669" i="1"/>
  <c r="GP664" i="1"/>
  <c r="GP711" i="1"/>
  <c r="GP742" i="1"/>
  <c r="GP768" i="1"/>
  <c r="GP783" i="1"/>
  <c r="GP827" i="1"/>
  <c r="GP845" i="1"/>
  <c r="GQ656" i="1"/>
  <c r="GQ655" i="1"/>
  <c r="GQ653" i="1"/>
  <c r="GQ651" i="1"/>
  <c r="GP656" i="1"/>
  <c r="GQ603" i="1"/>
  <c r="GP603" i="1"/>
  <c r="GP600" i="1"/>
  <c r="JZ600" i="1"/>
  <c r="GQ573" i="1"/>
  <c r="KA573" i="1"/>
  <c r="GP573" i="1"/>
  <c r="GP571" i="1"/>
  <c r="JZ571" i="1"/>
  <c r="GQ564" i="1"/>
  <c r="GP564" i="1"/>
  <c r="GQ233" i="1"/>
  <c r="KA233" i="1"/>
  <c r="GQ560" i="1"/>
  <c r="GP560" i="1"/>
  <c r="JZ232" i="1"/>
  <c r="GQ559" i="1"/>
  <c r="KA559" i="1"/>
  <c r="GP559" i="1"/>
  <c r="JZ231" i="1"/>
  <c r="GQ551" i="1"/>
  <c r="KA220" i="1"/>
  <c r="GP551" i="1"/>
  <c r="GQ516" i="1"/>
  <c r="KA516" i="1"/>
  <c r="GP516" i="1"/>
  <c r="JZ516" i="1"/>
  <c r="GQ509" i="1"/>
  <c r="GP509" i="1"/>
  <c r="GQ508" i="1"/>
  <c r="GP508" i="1"/>
  <c r="GP175" i="1"/>
  <c r="JZ175" i="1"/>
  <c r="GQ483" i="1"/>
  <c r="GS483" i="1"/>
  <c r="GP483" i="1"/>
  <c r="GQ466" i="1"/>
  <c r="GP466" i="1"/>
  <c r="JZ466" i="1"/>
  <c r="GR465" i="1"/>
  <c r="GR132" i="1"/>
  <c r="GP465" i="1"/>
  <c r="GQ449" i="1"/>
  <c r="KA449" i="1"/>
  <c r="GP449" i="1"/>
  <c r="GP116" i="1"/>
  <c r="GQ442" i="1"/>
  <c r="GQ109" i="1"/>
  <c r="GP442" i="1"/>
  <c r="GQ434" i="1"/>
  <c r="KA434" i="1"/>
  <c r="GP434" i="1"/>
  <c r="GR434" i="1"/>
  <c r="GR626" i="1"/>
  <c r="GR101" i="1"/>
  <c r="GQ433" i="1"/>
  <c r="GT433" i="1"/>
  <c r="GP433" i="1"/>
  <c r="JZ433" i="1"/>
  <c r="GQ417" i="1"/>
  <c r="KA417" i="1"/>
  <c r="GP417" i="1"/>
  <c r="GP416" i="1"/>
  <c r="JZ416" i="1"/>
  <c r="GQ383" i="1"/>
  <c r="GQ49" i="1"/>
  <c r="KA49" i="1"/>
  <c r="GP383" i="1"/>
  <c r="GQ382" i="1"/>
  <c r="GQ48" i="1"/>
  <c r="GP382" i="1"/>
  <c r="GR382" i="1"/>
  <c r="GR48" i="1"/>
  <c r="GQ381" i="1"/>
  <c r="GP381" i="1"/>
  <c r="GQ228" i="1"/>
  <c r="JZ345" i="1"/>
  <c r="KA335" i="1"/>
  <c r="KA327" i="1"/>
  <c r="JZ327" i="1"/>
  <c r="JZ326" i="1"/>
  <c r="JZ324" i="1"/>
  <c r="GQ160" i="1"/>
  <c r="GP160" i="1"/>
  <c r="KA320" i="1"/>
  <c r="JZ320" i="1"/>
  <c r="KA317" i="1"/>
  <c r="KA316" i="1"/>
  <c r="GP316" i="1"/>
  <c r="JZ314" i="1"/>
  <c r="GQ58" i="1"/>
  <c r="KA58" i="1"/>
  <c r="GQ56" i="1"/>
  <c r="KA56" i="1"/>
  <c r="KA280" i="1"/>
  <c r="GP233" i="1"/>
  <c r="GQ827" i="1"/>
  <c r="GS613" i="1"/>
  <c r="HG820" i="1"/>
  <c r="HG843" i="1"/>
  <c r="HG842" i="1"/>
  <c r="HG853" i="1"/>
  <c r="HG798" i="1"/>
  <c r="HG802" i="1"/>
  <c r="HG804" i="1"/>
  <c r="HG814" i="1"/>
  <c r="GP228" i="1"/>
  <c r="JZ228" i="1"/>
  <c r="GT667" i="1"/>
  <c r="HG850" i="1"/>
  <c r="HG852" i="1"/>
  <c r="KA40" i="1"/>
  <c r="HG799" i="1"/>
  <c r="HG801" i="1"/>
  <c r="HG805" i="1"/>
  <c r="HG817" i="1"/>
  <c r="HG770" i="1"/>
  <c r="HG772" i="1"/>
  <c r="HG774" i="1"/>
  <c r="HG776" i="1"/>
  <c r="HG778" i="1"/>
  <c r="HG780" i="1"/>
  <c r="HG784" i="1"/>
  <c r="HG786" i="1"/>
  <c r="HG791" i="1"/>
  <c r="JS791" i="1"/>
  <c r="HG793" i="1"/>
  <c r="HG795" i="1"/>
  <c r="HG797" i="1"/>
  <c r="HG803" i="1"/>
  <c r="HG807" i="1"/>
  <c r="HG809" i="1"/>
  <c r="HG813" i="1"/>
  <c r="HG815" i="1"/>
  <c r="HG819" i="1"/>
  <c r="HG821" i="1"/>
  <c r="HG823" i="1"/>
  <c r="HG829" i="1"/>
  <c r="HG831" i="1"/>
  <c r="HG833" i="1"/>
  <c r="HG769" i="1"/>
  <c r="JS769" i="1"/>
  <c r="HG771" i="1"/>
  <c r="HG773" i="1"/>
  <c r="HG775" i="1"/>
  <c r="HG777" i="1"/>
  <c r="HG779" i="1"/>
  <c r="HG781" i="1"/>
  <c r="HG785" i="1"/>
  <c r="HG788" i="1"/>
  <c r="HG792" i="1"/>
  <c r="HG794" i="1"/>
  <c r="HG796" i="1"/>
  <c r="HG800" i="1"/>
  <c r="JS800" i="1"/>
  <c r="HG806" i="1"/>
  <c r="HG808" i="1"/>
  <c r="HG810" i="1"/>
  <c r="HG812" i="1"/>
  <c r="HG816" i="1"/>
  <c r="HG818" i="1"/>
  <c r="HG822" i="1"/>
  <c r="HG828" i="1"/>
  <c r="HG830" i="1"/>
  <c r="HG832" i="1"/>
  <c r="HG835" i="1"/>
  <c r="HG839" i="1"/>
  <c r="HG838" i="1"/>
  <c r="HG837" i="1"/>
  <c r="HG836" i="1"/>
  <c r="GT546" i="1"/>
  <c r="GT545" i="1"/>
  <c r="GT214" i="1"/>
  <c r="GR819" i="1"/>
  <c r="GR820" i="1"/>
  <c r="GR850" i="1"/>
  <c r="GR851" i="1"/>
  <c r="IG850" i="1"/>
  <c r="IF850" i="1"/>
  <c r="IG819" i="1"/>
  <c r="IF819" i="1"/>
  <c r="JT819" i="1"/>
  <c r="JT850" i="1"/>
  <c r="HH232" i="1"/>
  <c r="HI232" i="1"/>
  <c r="HJ232" i="1"/>
  <c r="HK232" i="1"/>
  <c r="HL232" i="1"/>
  <c r="HM232" i="1"/>
  <c r="HN232" i="1"/>
  <c r="HO232" i="1"/>
  <c r="HP232" i="1"/>
  <c r="HQ232" i="1"/>
  <c r="HR232" i="1"/>
  <c r="HS232" i="1"/>
  <c r="HT232" i="1"/>
  <c r="HU232" i="1"/>
  <c r="HV232" i="1"/>
  <c r="HW232" i="1"/>
  <c r="HX232" i="1"/>
  <c r="HY232" i="1"/>
  <c r="HZ232" i="1"/>
  <c r="HG613" i="1"/>
  <c r="JY614" i="1"/>
  <c r="JX614" i="1"/>
  <c r="KB614" i="1"/>
  <c r="KC614" i="1"/>
  <c r="GU163" i="1"/>
  <c r="GV163" i="1"/>
  <c r="GW163" i="1"/>
  <c r="GX163" i="1"/>
  <c r="GY163" i="1"/>
  <c r="GZ163" i="1"/>
  <c r="HA163" i="1"/>
  <c r="HB163" i="1"/>
  <c r="HC163" i="1"/>
  <c r="HD163" i="1"/>
  <c r="HE163" i="1"/>
  <c r="HF163" i="1"/>
  <c r="HH163" i="1"/>
  <c r="HI163" i="1"/>
  <c r="HJ163" i="1"/>
  <c r="HK163" i="1"/>
  <c r="HL163" i="1"/>
  <c r="HM163" i="1"/>
  <c r="HN163" i="1"/>
  <c r="HO163" i="1"/>
  <c r="HP163" i="1"/>
  <c r="HQ163" i="1"/>
  <c r="HR163" i="1"/>
  <c r="HS163" i="1"/>
  <c r="HT163" i="1"/>
  <c r="HU163" i="1"/>
  <c r="HW163" i="1"/>
  <c r="HX163" i="1"/>
  <c r="HY163" i="1"/>
  <c r="HZ163" i="1"/>
  <c r="IA163" i="1"/>
  <c r="IB163" i="1"/>
  <c r="IC163" i="1"/>
  <c r="ID163" i="1"/>
  <c r="IE163" i="1"/>
  <c r="II163" i="1"/>
  <c r="IJ163" i="1"/>
  <c r="IK163" i="1"/>
  <c r="IV163" i="1"/>
  <c r="IW163" i="1"/>
  <c r="IY163" i="1"/>
  <c r="JB163" i="1"/>
  <c r="JC163" i="1"/>
  <c r="JE163" i="1"/>
  <c r="JF163" i="1"/>
  <c r="JH163" i="1"/>
  <c r="JI163" i="1"/>
  <c r="JJ163" i="1"/>
  <c r="JK163" i="1"/>
  <c r="JM163" i="1"/>
  <c r="JN163" i="1"/>
  <c r="JP163" i="1"/>
  <c r="JQ163" i="1"/>
  <c r="JR163" i="1"/>
  <c r="GU160" i="1"/>
  <c r="GU155" i="1"/>
  <c r="GV160" i="1"/>
  <c r="GV155" i="1"/>
  <c r="GW160" i="1"/>
  <c r="GW155" i="1"/>
  <c r="GX160" i="1"/>
  <c r="GX155" i="1"/>
  <c r="GY160" i="1"/>
  <c r="GY155" i="1"/>
  <c r="GZ160" i="1"/>
  <c r="GZ155" i="1"/>
  <c r="HA160" i="1"/>
  <c r="HA155" i="1"/>
  <c r="HB160" i="1"/>
  <c r="HC160" i="1"/>
  <c r="HC155" i="1"/>
  <c r="HD160" i="1"/>
  <c r="HE160" i="1"/>
  <c r="HF160" i="1"/>
  <c r="HH160" i="1"/>
  <c r="HH155" i="1"/>
  <c r="HI160" i="1"/>
  <c r="HJ160" i="1"/>
  <c r="HK160" i="1"/>
  <c r="HL160" i="1"/>
  <c r="HL155" i="1"/>
  <c r="HM160" i="1"/>
  <c r="HN160" i="1"/>
  <c r="HO160" i="1"/>
  <c r="HP160" i="1"/>
  <c r="HQ160" i="1"/>
  <c r="HR160" i="1"/>
  <c r="HS160" i="1"/>
  <c r="HT160" i="1"/>
  <c r="HT155" i="1"/>
  <c r="HU160" i="1"/>
  <c r="HW160" i="1"/>
  <c r="HX160" i="1"/>
  <c r="HY160" i="1"/>
  <c r="HZ160" i="1"/>
  <c r="IA160" i="1"/>
  <c r="IB160" i="1"/>
  <c r="IC160" i="1"/>
  <c r="IC155" i="1"/>
  <c r="ID160" i="1"/>
  <c r="IE160" i="1"/>
  <c r="II160" i="1"/>
  <c r="IJ160" i="1"/>
  <c r="IJ156" i="1"/>
  <c r="IJ157" i="1"/>
  <c r="IJ158" i="1"/>
  <c r="IJ159" i="1"/>
  <c r="IJ161" i="1"/>
  <c r="IJ162" i="1"/>
  <c r="IJ155" i="1"/>
  <c r="IK160" i="1"/>
  <c r="IV160" i="1"/>
  <c r="IW160" i="1"/>
  <c r="IY160" i="1"/>
  <c r="IZ160" i="1"/>
  <c r="JB160" i="1"/>
  <c r="JE160" i="1"/>
  <c r="JF160" i="1"/>
  <c r="JH160" i="1"/>
  <c r="JI160" i="1"/>
  <c r="JJ160" i="1"/>
  <c r="JK160" i="1"/>
  <c r="JL160" i="1"/>
  <c r="JM160" i="1"/>
  <c r="JN160" i="1"/>
  <c r="JP160" i="1"/>
  <c r="JQ160" i="1"/>
  <c r="JR160" i="1"/>
  <c r="JY324" i="1"/>
  <c r="JX324" i="1"/>
  <c r="GU322" i="1"/>
  <c r="GV322" i="1"/>
  <c r="GW322" i="1"/>
  <c r="GX322" i="1"/>
  <c r="GX308" i="1"/>
  <c r="GY322" i="1"/>
  <c r="GZ322" i="1"/>
  <c r="HA322" i="1"/>
  <c r="HB322" i="1"/>
  <c r="HB308" i="1"/>
  <c r="HB354" i="1"/>
  <c r="HB347" i="1"/>
  <c r="HB242" i="1"/>
  <c r="HC322" i="1"/>
  <c r="HD322" i="1"/>
  <c r="HE322" i="1"/>
  <c r="HF322" i="1"/>
  <c r="HF308" i="1"/>
  <c r="ID322" i="1"/>
  <c r="IE322" i="1"/>
  <c r="JP322" i="1"/>
  <c r="JQ322" i="1"/>
  <c r="JR322" i="1"/>
  <c r="C322" i="1"/>
  <c r="GU147" i="1"/>
  <c r="GV147" i="1"/>
  <c r="GW147" i="1"/>
  <c r="GX147" i="1"/>
  <c r="GY147" i="1"/>
  <c r="GZ147" i="1"/>
  <c r="HA147" i="1"/>
  <c r="HB147" i="1"/>
  <c r="HC147" i="1"/>
  <c r="HD147" i="1"/>
  <c r="HE147" i="1"/>
  <c r="HF147" i="1"/>
  <c r="HH147" i="1"/>
  <c r="HI147" i="1"/>
  <c r="HJ147" i="1"/>
  <c r="HK147" i="1"/>
  <c r="HL147" i="1"/>
  <c r="HM147" i="1"/>
  <c r="HN147" i="1"/>
  <c r="HO147" i="1"/>
  <c r="HP147" i="1"/>
  <c r="HQ147" i="1"/>
  <c r="HR147" i="1"/>
  <c r="HS147" i="1"/>
  <c r="HT147" i="1"/>
  <c r="HU147" i="1"/>
  <c r="HV147" i="1"/>
  <c r="HW147" i="1"/>
  <c r="HX147" i="1"/>
  <c r="HY147" i="1"/>
  <c r="HZ147" i="1"/>
  <c r="IA147" i="1"/>
  <c r="IB147" i="1"/>
  <c r="IC147" i="1"/>
  <c r="ID147" i="1"/>
  <c r="IE147" i="1"/>
  <c r="II147" i="1"/>
  <c r="IJ147" i="1"/>
  <c r="IK147" i="1"/>
  <c r="IV147" i="1"/>
  <c r="IW147" i="1"/>
  <c r="IY147" i="1"/>
  <c r="JB147" i="1"/>
  <c r="JC147" i="1"/>
  <c r="JE147" i="1"/>
  <c r="JF147" i="1"/>
  <c r="JH147" i="1"/>
  <c r="JI147" i="1"/>
  <c r="JJ147" i="1"/>
  <c r="JK147" i="1"/>
  <c r="JL147" i="1"/>
  <c r="JM147" i="1"/>
  <c r="JN147" i="1"/>
  <c r="JO147" i="1"/>
  <c r="JP147" i="1"/>
  <c r="JQ147" i="1"/>
  <c r="C23" i="1"/>
  <c r="JY317" i="1"/>
  <c r="JY316" i="1"/>
  <c r="JX317" i="1"/>
  <c r="JX316" i="1"/>
  <c r="IG316" i="1"/>
  <c r="GU316" i="1"/>
  <c r="GV316" i="1"/>
  <c r="GW316" i="1"/>
  <c r="GX316" i="1"/>
  <c r="GY316" i="1"/>
  <c r="GZ316" i="1"/>
  <c r="HA316" i="1"/>
  <c r="HB316" i="1"/>
  <c r="HC316" i="1"/>
  <c r="HD316" i="1"/>
  <c r="HE316" i="1"/>
  <c r="HF316" i="1"/>
  <c r="ID316" i="1"/>
  <c r="IE316" i="1"/>
  <c r="JP316" i="1"/>
  <c r="JQ316" i="1"/>
  <c r="JR316" i="1"/>
  <c r="C316" i="1"/>
  <c r="HB215" i="1"/>
  <c r="HC215" i="1"/>
  <c r="HD215" i="1"/>
  <c r="HE215" i="1"/>
  <c r="HF215" i="1"/>
  <c r="HH215" i="1"/>
  <c r="HI215" i="1"/>
  <c r="HJ215" i="1"/>
  <c r="HK215" i="1"/>
  <c r="HL215" i="1"/>
  <c r="HM215" i="1"/>
  <c r="HN215" i="1"/>
  <c r="HO215" i="1"/>
  <c r="HP215" i="1"/>
  <c r="HQ215" i="1"/>
  <c r="HR215" i="1"/>
  <c r="HS215" i="1"/>
  <c r="HT215" i="1"/>
  <c r="HU215" i="1"/>
  <c r="HV215" i="1"/>
  <c r="HW215" i="1"/>
  <c r="HX215" i="1"/>
  <c r="HY215" i="1"/>
  <c r="HZ215" i="1"/>
  <c r="IA215" i="1"/>
  <c r="IB215" i="1"/>
  <c r="IC215" i="1"/>
  <c r="ID215" i="1"/>
  <c r="IE215" i="1"/>
  <c r="II215" i="1"/>
  <c r="IJ215" i="1"/>
  <c r="IK215" i="1"/>
  <c r="IL215" i="1"/>
  <c r="IO215" i="1"/>
  <c r="IR215" i="1"/>
  <c r="IU215" i="1"/>
  <c r="IV215" i="1"/>
  <c r="IW215" i="1"/>
  <c r="IX215" i="1"/>
  <c r="IY215" i="1"/>
  <c r="JA215" i="1"/>
  <c r="JB215" i="1"/>
  <c r="JD215" i="1"/>
  <c r="JE215" i="1"/>
  <c r="JF215" i="1"/>
  <c r="JG215" i="1"/>
  <c r="JH215" i="1"/>
  <c r="JI215" i="1"/>
  <c r="JJ215" i="1"/>
  <c r="JK215" i="1"/>
  <c r="JL215" i="1"/>
  <c r="JM215" i="1"/>
  <c r="JN215" i="1"/>
  <c r="JO215" i="1"/>
  <c r="JP215" i="1"/>
  <c r="JQ215" i="1"/>
  <c r="GU543" i="1"/>
  <c r="GV543" i="1"/>
  <c r="GW543" i="1"/>
  <c r="GX543" i="1"/>
  <c r="GY543" i="1"/>
  <c r="GZ543" i="1"/>
  <c r="HA543" i="1"/>
  <c r="HB543" i="1"/>
  <c r="HC543" i="1"/>
  <c r="HD543" i="1"/>
  <c r="HE543" i="1"/>
  <c r="HF543" i="1"/>
  <c r="ID543" i="1"/>
  <c r="IE543" i="1"/>
  <c r="JP543" i="1"/>
  <c r="JQ543" i="1"/>
  <c r="JR543" i="1"/>
  <c r="C543" i="1"/>
  <c r="GU214" i="1"/>
  <c r="GV214" i="1"/>
  <c r="GW214" i="1"/>
  <c r="GX214" i="1"/>
  <c r="GY214" i="1"/>
  <c r="GZ214" i="1"/>
  <c r="HA214" i="1"/>
  <c r="HB214" i="1"/>
  <c r="HC214" i="1"/>
  <c r="HD214" i="1"/>
  <c r="HE214" i="1"/>
  <c r="HF214" i="1"/>
  <c r="HH214" i="1"/>
  <c r="HI214" i="1"/>
  <c r="HJ214" i="1"/>
  <c r="HK214" i="1"/>
  <c r="HL214" i="1"/>
  <c r="HM214" i="1"/>
  <c r="HN214" i="1"/>
  <c r="HO214" i="1"/>
  <c r="HP214" i="1"/>
  <c r="HQ214" i="1"/>
  <c r="HR214" i="1"/>
  <c r="HS214" i="1"/>
  <c r="HT214" i="1"/>
  <c r="HU214" i="1"/>
  <c r="HV214" i="1"/>
  <c r="HW214" i="1"/>
  <c r="HX214" i="1"/>
  <c r="HY214" i="1"/>
  <c r="HZ214" i="1"/>
  <c r="IA214" i="1"/>
  <c r="IB214" i="1"/>
  <c r="IC214" i="1"/>
  <c r="ID214" i="1"/>
  <c r="IE214" i="1"/>
  <c r="II214" i="1"/>
  <c r="IJ214" i="1"/>
  <c r="IK214" i="1"/>
  <c r="IL214" i="1"/>
  <c r="IM214" i="1"/>
  <c r="IN214" i="1"/>
  <c r="IO214" i="1"/>
  <c r="IP214" i="1"/>
  <c r="IQ214" i="1"/>
  <c r="IR214" i="1"/>
  <c r="IS214" i="1"/>
  <c r="IT214" i="1"/>
  <c r="IU214" i="1"/>
  <c r="IV214" i="1"/>
  <c r="IW214" i="1"/>
  <c r="IX214" i="1"/>
  <c r="IY214" i="1"/>
  <c r="IZ214" i="1"/>
  <c r="JA214" i="1"/>
  <c r="JB214" i="1"/>
  <c r="JC214" i="1"/>
  <c r="JD214" i="1"/>
  <c r="JE214" i="1"/>
  <c r="JF214" i="1"/>
  <c r="JG214" i="1"/>
  <c r="JH214" i="1"/>
  <c r="JI214" i="1"/>
  <c r="JJ214" i="1"/>
  <c r="JK214" i="1"/>
  <c r="JL214" i="1"/>
  <c r="JM214" i="1"/>
  <c r="JN214" i="1"/>
  <c r="JP214" i="1"/>
  <c r="JQ214" i="1"/>
  <c r="JR214" i="1"/>
  <c r="C214" i="1"/>
  <c r="JY545" i="1"/>
  <c r="JY214" i="1"/>
  <c r="JX214" i="1"/>
  <c r="IG545" i="1"/>
  <c r="IG214" i="1"/>
  <c r="IF545" i="1"/>
  <c r="IF214" i="1"/>
  <c r="HG545" i="1"/>
  <c r="HG214" i="1"/>
  <c r="JY824" i="1"/>
  <c r="JY825" i="1"/>
  <c r="JX824" i="1"/>
  <c r="JX825" i="1"/>
  <c r="IG824" i="1"/>
  <c r="IF825" i="1"/>
  <c r="IF824" i="1"/>
  <c r="IH316" i="1"/>
  <c r="JZ545" i="1"/>
  <c r="JZ214" i="1"/>
  <c r="GQ316" i="1"/>
  <c r="IF316" i="1"/>
  <c r="KA545" i="1"/>
  <c r="KA214" i="1"/>
  <c r="GR545" i="1"/>
  <c r="GR214" i="1"/>
  <c r="JY719" i="1"/>
  <c r="JY720" i="1"/>
  <c r="JY710" i="1"/>
  <c r="JY712" i="1"/>
  <c r="KC717" i="1"/>
  <c r="JX719" i="1"/>
  <c r="JY803" i="1"/>
  <c r="JX803" i="1"/>
  <c r="JY800" i="1"/>
  <c r="JX800" i="1"/>
  <c r="JH83" i="1"/>
  <c r="JI83" i="1"/>
  <c r="JG83" i="1"/>
  <c r="JG163" i="1"/>
  <c r="JG160" i="1"/>
  <c r="JG147" i="1"/>
  <c r="JY718" i="1"/>
  <c r="JX675" i="1"/>
  <c r="JX676" i="1"/>
  <c r="JX677" i="1"/>
  <c r="JX678" i="1"/>
  <c r="JX679" i="1"/>
  <c r="JX680" i="1"/>
  <c r="JY677" i="1"/>
  <c r="IF677" i="1"/>
  <c r="KA677" i="1"/>
  <c r="HG677" i="1"/>
  <c r="JZ677" i="1"/>
  <c r="GR677" i="1"/>
  <c r="HV163" i="1"/>
  <c r="HV160" i="1"/>
  <c r="II232" i="1"/>
  <c r="IJ232" i="1"/>
  <c r="IK232" i="1"/>
  <c r="IL232" i="1"/>
  <c r="IO232" i="1"/>
  <c r="IR232" i="1"/>
  <c r="IU232" i="1"/>
  <c r="IV232" i="1"/>
  <c r="IW232" i="1"/>
  <c r="IX232" i="1"/>
  <c r="IY232" i="1"/>
  <c r="IZ232" i="1"/>
  <c r="JA232" i="1"/>
  <c r="JB232" i="1"/>
  <c r="JC232" i="1"/>
  <c r="JD232" i="1"/>
  <c r="JE232" i="1"/>
  <c r="JF232" i="1"/>
  <c r="JD163" i="1"/>
  <c r="JD160" i="1"/>
  <c r="JD147" i="1"/>
  <c r="IF719" i="1"/>
  <c r="IF718" i="1"/>
  <c r="JR718" i="1"/>
  <c r="JQ718" i="1"/>
  <c r="JP718" i="1"/>
  <c r="HF718" i="1"/>
  <c r="HE718" i="1"/>
  <c r="HD718" i="1"/>
  <c r="HC718" i="1"/>
  <c r="HB718" i="1"/>
  <c r="HA718" i="1"/>
  <c r="GZ718" i="1"/>
  <c r="GY718" i="1"/>
  <c r="GX718" i="1"/>
  <c r="GW718" i="1"/>
  <c r="GV718" i="1"/>
  <c r="GU718" i="1"/>
  <c r="C718" i="1"/>
  <c r="IG803" i="1"/>
  <c r="IF803" i="1"/>
  <c r="IG800" i="1"/>
  <c r="IF799" i="1"/>
  <c r="JZ800" i="1"/>
  <c r="IG719" i="1"/>
  <c r="IG718" i="1"/>
  <c r="JZ719" i="1"/>
  <c r="JZ718" i="1"/>
  <c r="JZ803" i="1"/>
  <c r="GT803" i="1"/>
  <c r="GT800" i="1"/>
  <c r="GR803" i="1"/>
  <c r="GR800" i="1"/>
  <c r="JC83" i="1"/>
  <c r="JB83" i="1"/>
  <c r="JA83" i="1"/>
  <c r="HU83" i="1"/>
  <c r="HT83" i="1"/>
  <c r="JA163" i="1"/>
  <c r="JA147" i="1"/>
  <c r="JA160" i="1"/>
  <c r="IF670" i="1"/>
  <c r="IK83" i="1"/>
  <c r="IL83" i="1"/>
  <c r="IW83" i="1"/>
  <c r="IX83" i="1"/>
  <c r="IY83" i="1"/>
  <c r="IZ83" i="1"/>
  <c r="JD83" i="1"/>
  <c r="JE83" i="1"/>
  <c r="JF83" i="1"/>
  <c r="JJ83" i="1"/>
  <c r="JK83" i="1"/>
  <c r="JL83" i="1"/>
  <c r="JM83" i="1"/>
  <c r="JN83" i="1"/>
  <c r="JO83" i="1"/>
  <c r="JP83" i="1"/>
  <c r="JQ83" i="1"/>
  <c r="JR83" i="1"/>
  <c r="HV83" i="1"/>
  <c r="HW83" i="1"/>
  <c r="HX83" i="1"/>
  <c r="HY83" i="1"/>
  <c r="HZ83" i="1"/>
  <c r="IA83" i="1"/>
  <c r="IB83" i="1"/>
  <c r="IC83" i="1"/>
  <c r="ID83" i="1"/>
  <c r="IE83" i="1"/>
  <c r="HH83" i="1"/>
  <c r="HJ83" i="1"/>
  <c r="HK83" i="1"/>
  <c r="HL83" i="1"/>
  <c r="HM83" i="1"/>
  <c r="HN83" i="1"/>
  <c r="HO83" i="1"/>
  <c r="HP83" i="1"/>
  <c r="HQ83" i="1"/>
  <c r="HR83" i="1"/>
  <c r="HS83" i="1"/>
  <c r="HB83" i="1"/>
  <c r="HC83" i="1"/>
  <c r="HD83" i="1"/>
  <c r="HE83" i="1"/>
  <c r="HF83" i="1"/>
  <c r="IX163" i="1"/>
  <c r="IX160" i="1"/>
  <c r="IX147" i="1"/>
  <c r="JX712" i="1"/>
  <c r="KA710" i="1"/>
  <c r="JZ710" i="1"/>
  <c r="KA701" i="1"/>
  <c r="JZ701" i="1"/>
  <c r="JY701" i="1"/>
  <c r="JY700" i="1"/>
  <c r="JY699" i="1"/>
  <c r="JX700" i="1"/>
  <c r="JX699" i="1"/>
  <c r="IG700" i="1"/>
  <c r="IG699" i="1"/>
  <c r="IF700" i="1"/>
  <c r="IF699" i="1"/>
  <c r="JR699" i="1"/>
  <c r="JQ699" i="1"/>
  <c r="JP699" i="1"/>
  <c r="IE699" i="1"/>
  <c r="ID699" i="1"/>
  <c r="HF699" i="1"/>
  <c r="HE699" i="1"/>
  <c r="HD699" i="1"/>
  <c r="HC699" i="1"/>
  <c r="HB699" i="1"/>
  <c r="HA699" i="1"/>
  <c r="GZ699" i="1"/>
  <c r="GY699" i="1"/>
  <c r="GX699" i="1"/>
  <c r="GW699" i="1"/>
  <c r="GV699" i="1"/>
  <c r="GU699" i="1"/>
  <c r="GQ699" i="1"/>
  <c r="C699" i="1"/>
  <c r="KA698" i="1"/>
  <c r="JZ698" i="1"/>
  <c r="JY698" i="1"/>
  <c r="JY697" i="1"/>
  <c r="JY696" i="1"/>
  <c r="JX697" i="1"/>
  <c r="JX696" i="1"/>
  <c r="IF697" i="1"/>
  <c r="IF696" i="1"/>
  <c r="JR696" i="1"/>
  <c r="JQ696" i="1"/>
  <c r="JP696" i="1"/>
  <c r="IE696" i="1"/>
  <c r="ID696" i="1"/>
  <c r="HF696" i="1"/>
  <c r="HE696" i="1"/>
  <c r="HD696" i="1"/>
  <c r="HC696" i="1"/>
  <c r="HB696" i="1"/>
  <c r="HA696" i="1"/>
  <c r="GZ696" i="1"/>
  <c r="GY696" i="1"/>
  <c r="GX696" i="1"/>
  <c r="GW696" i="1"/>
  <c r="GV696" i="1"/>
  <c r="GU696" i="1"/>
  <c r="C696" i="1"/>
  <c r="KA695" i="1"/>
  <c r="JZ695" i="1"/>
  <c r="JY695" i="1"/>
  <c r="JY694" i="1"/>
  <c r="JY693" i="1"/>
  <c r="JX694" i="1"/>
  <c r="JX693" i="1"/>
  <c r="IF694" i="1"/>
  <c r="IF693" i="1"/>
  <c r="JR693" i="1"/>
  <c r="JQ693" i="1"/>
  <c r="JP693" i="1"/>
  <c r="IE693" i="1"/>
  <c r="ID693" i="1"/>
  <c r="HF693" i="1"/>
  <c r="HE693" i="1"/>
  <c r="HD693" i="1"/>
  <c r="HC693" i="1"/>
  <c r="HB693" i="1"/>
  <c r="HA693" i="1"/>
  <c r="GZ693" i="1"/>
  <c r="GY693" i="1"/>
  <c r="GX693" i="1"/>
  <c r="GW693" i="1"/>
  <c r="GV693" i="1"/>
  <c r="GU693" i="1"/>
  <c r="GQ693" i="1"/>
  <c r="C693" i="1"/>
  <c r="GT694" i="1"/>
  <c r="GT693" i="1"/>
  <c r="JZ700" i="1"/>
  <c r="JZ699" i="1"/>
  <c r="HG700" i="1"/>
  <c r="GR712" i="1"/>
  <c r="HG712" i="1"/>
  <c r="KA712" i="1"/>
  <c r="JZ712" i="1"/>
  <c r="KA700" i="1"/>
  <c r="KA699" i="1"/>
  <c r="GT700" i="1"/>
  <c r="GT699" i="1"/>
  <c r="GT712" i="1"/>
  <c r="GT703" i="1"/>
  <c r="GT702" i="1"/>
  <c r="GT706" i="1"/>
  <c r="GT705" i="1"/>
  <c r="IG694" i="1"/>
  <c r="IG693" i="1"/>
  <c r="JZ694" i="1"/>
  <c r="JZ693" i="1"/>
  <c r="HG694" i="1"/>
  <c r="GP699" i="1"/>
  <c r="GP693" i="1"/>
  <c r="GR700" i="1"/>
  <c r="GR699" i="1"/>
  <c r="IH694" i="1"/>
  <c r="IH693" i="1"/>
  <c r="KA694" i="1"/>
  <c r="KA693" i="1"/>
  <c r="GR694" i="1"/>
  <c r="GR693" i="1"/>
  <c r="IW19" i="1"/>
  <c r="IV19" i="1"/>
  <c r="IU19" i="1"/>
  <c r="HQ19" i="1"/>
  <c r="HP19" i="1"/>
  <c r="IH700" i="1"/>
  <c r="IH699" i="1"/>
  <c r="JY857" i="1"/>
  <c r="JX857" i="1"/>
  <c r="JY777" i="1"/>
  <c r="JX777" i="1"/>
  <c r="KB785" i="1"/>
  <c r="KB809" i="1"/>
  <c r="JY672" i="1"/>
  <c r="JY327" i="1"/>
  <c r="JY326" i="1"/>
  <c r="JX327" i="1"/>
  <c r="JX326" i="1"/>
  <c r="IU163" i="1"/>
  <c r="IU160" i="1"/>
  <c r="IU147" i="1"/>
  <c r="IH857" i="1"/>
  <c r="IG857" i="1"/>
  <c r="IF857" i="1"/>
  <c r="IW168" i="1"/>
  <c r="IV168" i="1"/>
  <c r="IU168" i="1"/>
  <c r="HQ168" i="1"/>
  <c r="HP168" i="1"/>
  <c r="JP326" i="1"/>
  <c r="JQ326" i="1"/>
  <c r="JR326" i="1"/>
  <c r="GU326" i="1"/>
  <c r="GV326" i="1"/>
  <c r="GW326" i="1"/>
  <c r="GX326" i="1"/>
  <c r="GY326" i="1"/>
  <c r="GZ326" i="1"/>
  <c r="HA326" i="1"/>
  <c r="HB326" i="1"/>
  <c r="HC326" i="1"/>
  <c r="HD326" i="1"/>
  <c r="HE326" i="1"/>
  <c r="HF326" i="1"/>
  <c r="ID326" i="1"/>
  <c r="IE326" i="1"/>
  <c r="C326" i="1"/>
  <c r="GP168" i="1"/>
  <c r="JZ168" i="1"/>
  <c r="HH129" i="1"/>
  <c r="HI129" i="1"/>
  <c r="HJ129" i="1"/>
  <c r="HK129" i="1"/>
  <c r="HL129" i="1"/>
  <c r="HM129" i="1"/>
  <c r="HN129" i="1"/>
  <c r="HO129" i="1"/>
  <c r="HP129" i="1"/>
  <c r="HQ129" i="1"/>
  <c r="HR129" i="1"/>
  <c r="HS129" i="1"/>
  <c r="HT129" i="1"/>
  <c r="HU129" i="1"/>
  <c r="HV129" i="1"/>
  <c r="HW129" i="1"/>
  <c r="HX129" i="1"/>
  <c r="HY129" i="1"/>
  <c r="HZ129" i="1"/>
  <c r="IA129" i="1"/>
  <c r="IB129" i="1"/>
  <c r="IC129" i="1"/>
  <c r="ID129" i="1"/>
  <c r="IE129" i="1"/>
  <c r="II129" i="1"/>
  <c r="IJ129" i="1"/>
  <c r="IK129" i="1"/>
  <c r="IU129" i="1"/>
  <c r="IV129" i="1"/>
  <c r="IX129" i="1"/>
  <c r="IY129" i="1"/>
  <c r="IZ129" i="1"/>
  <c r="JA129" i="1"/>
  <c r="JB129" i="1"/>
  <c r="JC129" i="1"/>
  <c r="JD129" i="1"/>
  <c r="JE129" i="1"/>
  <c r="JG129" i="1"/>
  <c r="JH129" i="1"/>
  <c r="JI129" i="1"/>
  <c r="JJ129" i="1"/>
  <c r="JK129" i="1"/>
  <c r="JM129" i="1"/>
  <c r="JN129" i="1"/>
  <c r="JP129" i="1"/>
  <c r="JQ129" i="1"/>
  <c r="IV101" i="1"/>
  <c r="IU101" i="1"/>
  <c r="HQ101" i="1"/>
  <c r="HP101" i="1"/>
  <c r="HG413" i="1"/>
  <c r="JX407" i="1"/>
  <c r="JX413" i="1"/>
  <c r="KB413" i="1"/>
  <c r="JX420" i="1"/>
  <c r="KB420" i="1"/>
  <c r="KB415" i="1"/>
  <c r="KC415" i="1"/>
  <c r="IR163" i="1"/>
  <c r="IR160" i="1"/>
  <c r="IR147" i="1"/>
  <c r="IR129" i="1"/>
  <c r="C416" i="1"/>
  <c r="JY417" i="1"/>
  <c r="JX417" i="1"/>
  <c r="KB83" i="1"/>
  <c r="IF417" i="1"/>
  <c r="IF416" i="1"/>
  <c r="HG417" i="1"/>
  <c r="HG416" i="1"/>
  <c r="KA415" i="1"/>
  <c r="JZ415" i="1"/>
  <c r="IH417" i="1"/>
  <c r="IH416" i="1"/>
  <c r="IG417" i="1"/>
  <c r="IG416" i="1"/>
  <c r="JY508" i="1"/>
  <c r="JY175" i="1"/>
  <c r="JY509" i="1"/>
  <c r="JX508" i="1"/>
  <c r="KB508" i="1"/>
  <c r="JX509" i="1"/>
  <c r="KB509" i="1"/>
  <c r="KB176" i="1"/>
  <c r="IO163" i="1"/>
  <c r="IO160" i="1"/>
  <c r="IO147" i="1"/>
  <c r="IO129" i="1"/>
  <c r="IL163" i="1"/>
  <c r="IL160" i="1"/>
  <c r="IL147" i="1"/>
  <c r="IL129" i="1"/>
  <c r="KC659" i="1"/>
  <c r="KC661" i="1"/>
  <c r="KC663" i="1"/>
  <c r="KC870" i="1"/>
  <c r="JY468" i="1"/>
  <c r="JY469" i="1"/>
  <c r="JX468" i="1"/>
  <c r="KB468" i="1"/>
  <c r="JX469" i="1"/>
  <c r="KB469" i="1"/>
  <c r="I39" i="40"/>
  <c r="J35" i="40"/>
  <c r="GS622" i="1"/>
  <c r="GS607" i="1"/>
  <c r="GS550" i="1"/>
  <c r="GS528" i="1"/>
  <c r="GS527" i="1"/>
  <c r="GS503" i="1"/>
  <c r="GS502" i="1"/>
  <c r="GS501" i="1"/>
  <c r="GS473" i="1"/>
  <c r="GS428" i="1"/>
  <c r="GS412" i="1"/>
  <c r="GS373" i="1"/>
  <c r="GS36" i="1"/>
  <c r="GS355" i="1"/>
  <c r="GS350" i="1"/>
  <c r="GS213" i="1"/>
  <c r="GS343" i="1"/>
  <c r="GS341" i="1"/>
  <c r="GS339" i="1"/>
  <c r="GS187" i="1"/>
  <c r="GS337" i="1"/>
  <c r="GS333" i="1"/>
  <c r="GS177" i="1"/>
  <c r="GS271" i="1"/>
  <c r="KA690" i="1"/>
  <c r="JZ690" i="1"/>
  <c r="JY690" i="1"/>
  <c r="JY686" i="1"/>
  <c r="JY685" i="1"/>
  <c r="JX686" i="1"/>
  <c r="JX685" i="1"/>
  <c r="IF686" i="1"/>
  <c r="IF685" i="1"/>
  <c r="GT686" i="1"/>
  <c r="GT685" i="1"/>
  <c r="JR685" i="1"/>
  <c r="JQ685" i="1"/>
  <c r="JP685" i="1"/>
  <c r="IE685" i="1"/>
  <c r="ID685" i="1"/>
  <c r="HF685" i="1"/>
  <c r="HE685" i="1"/>
  <c r="HD685" i="1"/>
  <c r="HC685" i="1"/>
  <c r="HB685" i="1"/>
  <c r="HA685" i="1"/>
  <c r="GZ685" i="1"/>
  <c r="GY685" i="1"/>
  <c r="GX685" i="1"/>
  <c r="GW685" i="1"/>
  <c r="GV685" i="1"/>
  <c r="GU685" i="1"/>
  <c r="C685" i="1"/>
  <c r="IF858" i="1"/>
  <c r="IF856" i="1"/>
  <c r="IF854" i="1"/>
  <c r="IF853" i="1"/>
  <c r="IF852" i="1"/>
  <c r="IF849" i="1"/>
  <c r="IG848" i="1"/>
  <c r="IF848" i="1"/>
  <c r="IF847" i="1"/>
  <c r="IF846" i="1"/>
  <c r="IF843" i="1"/>
  <c r="IF839" i="1"/>
  <c r="IF838" i="1"/>
  <c r="IF837" i="1"/>
  <c r="IF836" i="1"/>
  <c r="IF835" i="1"/>
  <c r="IF833" i="1"/>
  <c r="IF832" i="1"/>
  <c r="IF831" i="1"/>
  <c r="IF830" i="1"/>
  <c r="IF829" i="1"/>
  <c r="IF828" i="1"/>
  <c r="IF823" i="1"/>
  <c r="IF822" i="1"/>
  <c r="IF821" i="1"/>
  <c r="IF820" i="1"/>
  <c r="IF818" i="1"/>
  <c r="IF817" i="1"/>
  <c r="IF816" i="1"/>
  <c r="IF815" i="1"/>
  <c r="IF814" i="1"/>
  <c r="IF813" i="1"/>
  <c r="IF812" i="1"/>
  <c r="IF811" i="1"/>
  <c r="IF810" i="1"/>
  <c r="IF809" i="1"/>
  <c r="IF808" i="1"/>
  <c r="IF807" i="1"/>
  <c r="IF806" i="1"/>
  <c r="IF805" i="1"/>
  <c r="IF804" i="1"/>
  <c r="IF802" i="1"/>
  <c r="IF801" i="1"/>
  <c r="IF798" i="1"/>
  <c r="IF797" i="1"/>
  <c r="IF796" i="1"/>
  <c r="IF795" i="1"/>
  <c r="IF794" i="1"/>
  <c r="IF793" i="1"/>
  <c r="IF792" i="1"/>
  <c r="IF786" i="1"/>
  <c r="IF785" i="1"/>
  <c r="IF784" i="1"/>
  <c r="IF781" i="1"/>
  <c r="IF780" i="1"/>
  <c r="IF779" i="1"/>
  <c r="IF778" i="1"/>
  <c r="IF777" i="1"/>
  <c r="IF776" i="1"/>
  <c r="IF775" i="1"/>
  <c r="IF774" i="1"/>
  <c r="IF773" i="1"/>
  <c r="IF772" i="1"/>
  <c r="IF771" i="1"/>
  <c r="IF770" i="1"/>
  <c r="IF748" i="1"/>
  <c r="IF746" i="1"/>
  <c r="IF745" i="1"/>
  <c r="IF744" i="1"/>
  <c r="IF743" i="1"/>
  <c r="IF736" i="1"/>
  <c r="IF735" i="1"/>
  <c r="IF734" i="1"/>
  <c r="IF733" i="1"/>
  <c r="IF732" i="1"/>
  <c r="IF731" i="1"/>
  <c r="IF730" i="1"/>
  <c r="IF729" i="1"/>
  <c r="IF726" i="1"/>
  <c r="IF706" i="1"/>
  <c r="IF703" i="1"/>
  <c r="IH683" i="1"/>
  <c r="IF683" i="1"/>
  <c r="IF682" i="1"/>
  <c r="IF679" i="1"/>
  <c r="IF675" i="1"/>
  <c r="IF674" i="1"/>
  <c r="IF673" i="1"/>
  <c r="IF667" i="1"/>
  <c r="IF656" i="1"/>
  <c r="IF655" i="1"/>
  <c r="IF653" i="1"/>
  <c r="IF651" i="1"/>
  <c r="IF643" i="1"/>
  <c r="IF626" i="1"/>
  <c r="IP83" i="1"/>
  <c r="IM83" i="1"/>
  <c r="IF607" i="1"/>
  <c r="IF603" i="1"/>
  <c r="JS603" i="1"/>
  <c r="IF590" i="1"/>
  <c r="IF573" i="1"/>
  <c r="IF565" i="1"/>
  <c r="IQ237" i="1"/>
  <c r="IF564" i="1"/>
  <c r="IM232" i="1"/>
  <c r="IS225" i="1"/>
  <c r="IS224" i="1"/>
  <c r="IP225" i="1"/>
  <c r="IP224" i="1"/>
  <c r="IM225" i="1"/>
  <c r="IM224" i="1"/>
  <c r="IF556" i="1"/>
  <c r="IF225" i="1"/>
  <c r="IF224" i="1"/>
  <c r="IF552" i="1"/>
  <c r="JS552" i="1"/>
  <c r="IF551" i="1"/>
  <c r="JS551" i="1"/>
  <c r="IT219" i="1"/>
  <c r="IF550" i="1"/>
  <c r="IF546" i="1"/>
  <c r="IT197" i="1"/>
  <c r="IF528" i="1"/>
  <c r="IF527" i="1"/>
  <c r="IF524" i="1"/>
  <c r="IF193" i="1"/>
  <c r="IF520" i="1"/>
  <c r="IF189" i="1"/>
  <c r="IF518" i="1"/>
  <c r="IF187" i="1"/>
  <c r="IH516" i="1"/>
  <c r="IF516" i="1"/>
  <c r="IF512" i="1"/>
  <c r="IF180" i="1"/>
  <c r="IF179" i="1"/>
  <c r="IQ175" i="1"/>
  <c r="IT169" i="1"/>
  <c r="IT168" i="1"/>
  <c r="IF501" i="1"/>
  <c r="IF495" i="1"/>
  <c r="IF494" i="1"/>
  <c r="IF492" i="1"/>
  <c r="IF159" i="1"/>
  <c r="IF491" i="1"/>
  <c r="IF485" i="1"/>
  <c r="IF483" i="1"/>
  <c r="IS147" i="1"/>
  <c r="IP147" i="1"/>
  <c r="IM147" i="1"/>
  <c r="IF479" i="1"/>
  <c r="IG476" i="1"/>
  <c r="IF476" i="1"/>
  <c r="IF474" i="1"/>
  <c r="IQ140" i="1"/>
  <c r="IF473" i="1"/>
  <c r="JS473" i="1"/>
  <c r="JS140" i="1"/>
  <c r="IF469" i="1"/>
  <c r="IF468" i="1"/>
  <c r="IF467" i="1"/>
  <c r="IF466" i="1"/>
  <c r="IF133" i="1"/>
  <c r="IF465" i="1"/>
  <c r="IF449" i="1"/>
  <c r="IF447" i="1"/>
  <c r="IH435" i="1"/>
  <c r="IF435" i="1"/>
  <c r="IF434" i="1"/>
  <c r="IF101" i="1"/>
  <c r="IF433" i="1"/>
  <c r="IQ99" i="1"/>
  <c r="IF432" i="1"/>
  <c r="IF431" i="1"/>
  <c r="IT97" i="1"/>
  <c r="IQ97" i="1"/>
  <c r="IF430" i="1"/>
  <c r="IF429" i="1"/>
  <c r="IT95" i="1"/>
  <c r="IF428" i="1"/>
  <c r="IF392" i="1"/>
  <c r="IF58" i="1"/>
  <c r="IF390" i="1"/>
  <c r="IF389" i="1"/>
  <c r="IQ36" i="1"/>
  <c r="IN36" i="1"/>
  <c r="IF373" i="1"/>
  <c r="IF371" i="1"/>
  <c r="IS234" i="1"/>
  <c r="IP234" i="1"/>
  <c r="IM234" i="1"/>
  <c r="IF362" i="1"/>
  <c r="IF234" i="1"/>
  <c r="IF359" i="1"/>
  <c r="IF228" i="1"/>
  <c r="IF227" i="1"/>
  <c r="IS221" i="1"/>
  <c r="IP221" i="1"/>
  <c r="IM221" i="1"/>
  <c r="IF356" i="1"/>
  <c r="IF355" i="1"/>
  <c r="IN185" i="1"/>
  <c r="IN184" i="1"/>
  <c r="IF322" i="1"/>
  <c r="IF303" i="1"/>
  <c r="IQ74" i="1"/>
  <c r="IF283" i="1"/>
  <c r="IF282" i="1"/>
  <c r="IF55" i="1"/>
  <c r="IF276" i="1"/>
  <c r="IF257" i="1"/>
  <c r="GV23" i="1"/>
  <c r="GW23" i="1"/>
  <c r="GX23" i="1"/>
  <c r="GY23" i="1"/>
  <c r="GZ23" i="1"/>
  <c r="HA23" i="1"/>
  <c r="HB23" i="1"/>
  <c r="HC23" i="1"/>
  <c r="HD23" i="1"/>
  <c r="HE23" i="1"/>
  <c r="HF23" i="1"/>
  <c r="HH23" i="1"/>
  <c r="HI23" i="1"/>
  <c r="HJ23" i="1"/>
  <c r="HK23" i="1"/>
  <c r="HL23" i="1"/>
  <c r="HM23" i="1"/>
  <c r="HN23" i="1"/>
  <c r="HO23" i="1"/>
  <c r="HP23" i="1"/>
  <c r="HQ23" i="1"/>
  <c r="HR23" i="1"/>
  <c r="HS23" i="1"/>
  <c r="HT23" i="1"/>
  <c r="HU23" i="1"/>
  <c r="HV23" i="1"/>
  <c r="HW23" i="1"/>
  <c r="HX23" i="1"/>
  <c r="HY23" i="1"/>
  <c r="HZ23" i="1"/>
  <c r="IA23" i="1"/>
  <c r="IB23" i="1"/>
  <c r="IC23" i="1"/>
  <c r="ID23" i="1"/>
  <c r="IE23" i="1"/>
  <c r="II23" i="1"/>
  <c r="IL23" i="1"/>
  <c r="IO23" i="1"/>
  <c r="IR23" i="1"/>
  <c r="IU23" i="1"/>
  <c r="IV23" i="1"/>
  <c r="IW23" i="1"/>
  <c r="IX23" i="1"/>
  <c r="IY23" i="1"/>
  <c r="JA23" i="1"/>
  <c r="JB23" i="1"/>
  <c r="JD23" i="1"/>
  <c r="JE23" i="1"/>
  <c r="JG23" i="1"/>
  <c r="JH23" i="1"/>
  <c r="JJ23" i="1"/>
  <c r="JK23" i="1"/>
  <c r="JM23" i="1"/>
  <c r="JN23" i="1"/>
  <c r="JP23" i="1"/>
  <c r="JQ23" i="1"/>
  <c r="KB657" i="1"/>
  <c r="KC657" i="1"/>
  <c r="KA657" i="1"/>
  <c r="JZ657" i="1"/>
  <c r="JY656" i="1"/>
  <c r="JY655" i="1"/>
  <c r="JY653" i="1"/>
  <c r="JY651" i="1"/>
  <c r="JX656" i="1"/>
  <c r="KB656" i="1"/>
  <c r="HG656" i="1"/>
  <c r="JS656" i="1"/>
  <c r="JS655" i="1"/>
  <c r="JS653" i="1"/>
  <c r="JS651" i="1"/>
  <c r="JR655" i="1"/>
  <c r="JR653" i="1"/>
  <c r="JR651" i="1"/>
  <c r="JQ655" i="1"/>
  <c r="JQ653" i="1"/>
  <c r="JQ651" i="1"/>
  <c r="JP655" i="1"/>
  <c r="JP653" i="1"/>
  <c r="JP651" i="1"/>
  <c r="IE655" i="1"/>
  <c r="IE653" i="1"/>
  <c r="ID655" i="1"/>
  <c r="ID653" i="1"/>
  <c r="HF655" i="1"/>
  <c r="HF653" i="1"/>
  <c r="HF651" i="1"/>
  <c r="HE655" i="1"/>
  <c r="HE653" i="1"/>
  <c r="HE651" i="1"/>
  <c r="HD655" i="1"/>
  <c r="HD653" i="1"/>
  <c r="HD651" i="1"/>
  <c r="HC655" i="1"/>
  <c r="HC653" i="1"/>
  <c r="HC651" i="1"/>
  <c r="HB655" i="1"/>
  <c r="HB653" i="1"/>
  <c r="HB651" i="1"/>
  <c r="HA655" i="1"/>
  <c r="HA653" i="1"/>
  <c r="HA651" i="1"/>
  <c r="GZ655" i="1"/>
  <c r="GZ653" i="1"/>
  <c r="GZ651" i="1"/>
  <c r="GY655" i="1"/>
  <c r="GY653" i="1"/>
  <c r="GY651" i="1"/>
  <c r="GX655" i="1"/>
  <c r="GX653" i="1"/>
  <c r="GX651" i="1"/>
  <c r="GW655" i="1"/>
  <c r="GW653" i="1"/>
  <c r="GW651" i="1"/>
  <c r="GV655" i="1"/>
  <c r="GV653" i="1"/>
  <c r="GV651" i="1"/>
  <c r="GU655" i="1"/>
  <c r="GU653" i="1"/>
  <c r="GU651" i="1"/>
  <c r="C655" i="1"/>
  <c r="C653" i="1"/>
  <c r="C651" i="1"/>
  <c r="KB654" i="1"/>
  <c r="KC654" i="1"/>
  <c r="KA654" i="1"/>
  <c r="JZ654" i="1"/>
  <c r="KB652" i="1"/>
  <c r="KC652" i="1"/>
  <c r="KA652" i="1"/>
  <c r="JZ652" i="1"/>
  <c r="HG561" i="1"/>
  <c r="HG233" i="1"/>
  <c r="JR232" i="1"/>
  <c r="JQ232" i="1"/>
  <c r="JP232" i="1"/>
  <c r="IE232" i="1"/>
  <c r="ID232" i="1"/>
  <c r="HF232" i="1"/>
  <c r="HE232" i="1"/>
  <c r="HD232" i="1"/>
  <c r="HC232" i="1"/>
  <c r="HB232" i="1"/>
  <c r="HA232" i="1"/>
  <c r="GZ232" i="1"/>
  <c r="GY232" i="1"/>
  <c r="GX232" i="1"/>
  <c r="GW232" i="1"/>
  <c r="GV232" i="1"/>
  <c r="GU232" i="1"/>
  <c r="C232" i="1"/>
  <c r="C233" i="1"/>
  <c r="C230" i="1"/>
  <c r="C231" i="1"/>
  <c r="JY560" i="1"/>
  <c r="JY232" i="1"/>
  <c r="JX232" i="1"/>
  <c r="ID558" i="1"/>
  <c r="HG560" i="1"/>
  <c r="HG232" i="1"/>
  <c r="GU175" i="1"/>
  <c r="GV175" i="1"/>
  <c r="GW175" i="1"/>
  <c r="GX175" i="1"/>
  <c r="GY175" i="1"/>
  <c r="GZ175" i="1"/>
  <c r="HA175" i="1"/>
  <c r="HB175" i="1"/>
  <c r="HC175" i="1"/>
  <c r="HD175" i="1"/>
  <c r="HE175" i="1"/>
  <c r="HF175" i="1"/>
  <c r="HH175" i="1"/>
  <c r="HI175" i="1"/>
  <c r="HJ175" i="1"/>
  <c r="HK175" i="1"/>
  <c r="HL175" i="1"/>
  <c r="HM175" i="1"/>
  <c r="HN175" i="1"/>
  <c r="HO175" i="1"/>
  <c r="HP175" i="1"/>
  <c r="HQ175" i="1"/>
  <c r="HR175" i="1"/>
  <c r="HS175" i="1"/>
  <c r="HT175" i="1"/>
  <c r="HU175" i="1"/>
  <c r="HV175" i="1"/>
  <c r="HW175" i="1"/>
  <c r="HX175" i="1"/>
  <c r="HY175" i="1"/>
  <c r="HZ175" i="1"/>
  <c r="IA175" i="1"/>
  <c r="IB175" i="1"/>
  <c r="IC175" i="1"/>
  <c r="ID175" i="1"/>
  <c r="IE175" i="1"/>
  <c r="II175" i="1"/>
  <c r="IJ175" i="1"/>
  <c r="IK175" i="1"/>
  <c r="IL175" i="1"/>
  <c r="IM175" i="1"/>
  <c r="IO175" i="1"/>
  <c r="IR175" i="1"/>
  <c r="IS175" i="1"/>
  <c r="IT175" i="1"/>
  <c r="IU175" i="1"/>
  <c r="IV175" i="1"/>
  <c r="IW175" i="1"/>
  <c r="IX175" i="1"/>
  <c r="IY175" i="1"/>
  <c r="JA175" i="1"/>
  <c r="JB175" i="1"/>
  <c r="JC175" i="1"/>
  <c r="JD175" i="1"/>
  <c r="JE175" i="1"/>
  <c r="JF175" i="1"/>
  <c r="JG175" i="1"/>
  <c r="JH175" i="1"/>
  <c r="JI175" i="1"/>
  <c r="JJ175" i="1"/>
  <c r="JK175" i="1"/>
  <c r="JL175" i="1"/>
  <c r="JM175" i="1"/>
  <c r="JN175" i="1"/>
  <c r="JO175" i="1"/>
  <c r="JP175" i="1"/>
  <c r="JQ175" i="1"/>
  <c r="JR175" i="1"/>
  <c r="C175" i="1"/>
  <c r="HG508" i="1"/>
  <c r="JR507" i="1"/>
  <c r="JQ507" i="1"/>
  <c r="JP507" i="1"/>
  <c r="IE507" i="1"/>
  <c r="ID507" i="1"/>
  <c r="GV507" i="1"/>
  <c r="GW507" i="1"/>
  <c r="GX507" i="1"/>
  <c r="GY507" i="1"/>
  <c r="GZ507" i="1"/>
  <c r="HA507" i="1"/>
  <c r="HB507" i="1"/>
  <c r="HC507" i="1"/>
  <c r="HD507" i="1"/>
  <c r="HE507" i="1"/>
  <c r="HF507" i="1"/>
  <c r="GU507" i="1"/>
  <c r="C507" i="1"/>
  <c r="IS36" i="1"/>
  <c r="IG820" i="1"/>
  <c r="IN163" i="1"/>
  <c r="IM163" i="1"/>
  <c r="IR83" i="1"/>
  <c r="GP685" i="1"/>
  <c r="IM160" i="1"/>
  <c r="IN215" i="1"/>
  <c r="IM215" i="1"/>
  <c r="IQ163" i="1"/>
  <c r="IP163" i="1"/>
  <c r="IQ232" i="1"/>
  <c r="IP232" i="1"/>
  <c r="IV83" i="1"/>
  <c r="IU83" i="1"/>
  <c r="IP160" i="1"/>
  <c r="IP215" i="1"/>
  <c r="IS163" i="1"/>
  <c r="IT232" i="1"/>
  <c r="IS232" i="1"/>
  <c r="IG825" i="1"/>
  <c r="IS160" i="1"/>
  <c r="IT215" i="1"/>
  <c r="IS215" i="1"/>
  <c r="IO83" i="1"/>
  <c r="IG670" i="1"/>
  <c r="II83" i="1"/>
  <c r="II82" i="1"/>
  <c r="II47" i="1"/>
  <c r="II48" i="1"/>
  <c r="II49" i="1"/>
  <c r="II50" i="1"/>
  <c r="II95" i="1"/>
  <c r="II96" i="1"/>
  <c r="II97" i="1"/>
  <c r="II98" i="1"/>
  <c r="II99" i="1"/>
  <c r="II100" i="1"/>
  <c r="II102" i="1"/>
  <c r="II213" i="1"/>
  <c r="II212" i="1"/>
  <c r="II220" i="1"/>
  <c r="II218" i="1"/>
  <c r="II210" i="1"/>
  <c r="II143" i="1"/>
  <c r="II144" i="1"/>
  <c r="II145" i="1"/>
  <c r="II146" i="1"/>
  <c r="II38" i="1"/>
  <c r="IG821" i="1"/>
  <c r="KB560" i="1"/>
  <c r="KB232" i="1"/>
  <c r="JX655" i="1"/>
  <c r="KB655" i="1"/>
  <c r="IG851" i="1"/>
  <c r="IM129" i="1"/>
  <c r="IG814" i="1"/>
  <c r="KB690" i="1"/>
  <c r="KC690" i="1"/>
  <c r="IQ129" i="1"/>
  <c r="IP129" i="1"/>
  <c r="IN147" i="1"/>
  <c r="IG483" i="1"/>
  <c r="IG150" i="1"/>
  <c r="IH706" i="1"/>
  <c r="IS129" i="1"/>
  <c r="IQ147" i="1"/>
  <c r="KA508" i="1"/>
  <c r="IG356" i="1"/>
  <c r="IG422" i="1"/>
  <c r="IN175" i="1"/>
  <c r="IG518" i="1"/>
  <c r="IG187" i="1"/>
  <c r="IG745" i="1"/>
  <c r="IG746" i="1"/>
  <c r="IG779" i="1"/>
  <c r="IG780" i="1"/>
  <c r="IG796" i="1"/>
  <c r="IG806" i="1"/>
  <c r="IG837" i="1"/>
  <c r="IG839" i="1"/>
  <c r="IG733" i="1"/>
  <c r="IG784" i="1"/>
  <c r="HG175" i="1"/>
  <c r="IG474" i="1"/>
  <c r="IG141" i="1"/>
  <c r="IG551" i="1"/>
  <c r="IG552" i="1"/>
  <c r="IG812" i="1"/>
  <c r="IG828" i="1"/>
  <c r="IG829" i="1"/>
  <c r="IQ83" i="1"/>
  <c r="IG774" i="1"/>
  <c r="KA686" i="1"/>
  <c r="KA685" i="1"/>
  <c r="HG686" i="1"/>
  <c r="JS686" i="1"/>
  <c r="JS685" i="1"/>
  <c r="IG818" i="1"/>
  <c r="IG381" i="1"/>
  <c r="IG433" i="1"/>
  <c r="IG527" i="1"/>
  <c r="IG673" i="1"/>
  <c r="IG732" i="1"/>
  <c r="IG735" i="1"/>
  <c r="IG799" i="1"/>
  <c r="IG843" i="1"/>
  <c r="IG858" i="1"/>
  <c r="IG856" i="1"/>
  <c r="IP175" i="1"/>
  <c r="IG277" i="1"/>
  <c r="IG442" i="1"/>
  <c r="IG109" i="1"/>
  <c r="IG473" i="1"/>
  <c r="IG140" i="1"/>
  <c r="IG546" i="1"/>
  <c r="IG556" i="1"/>
  <c r="IG225" i="1"/>
  <c r="IG224" i="1"/>
  <c r="IG643" i="1"/>
  <c r="IG678" i="1"/>
  <c r="IH736" i="1"/>
  <c r="IG743" i="1"/>
  <c r="IG770" i="1"/>
  <c r="IG777" i="1"/>
  <c r="IG794" i="1"/>
  <c r="IG801" i="1"/>
  <c r="IG809" i="1"/>
  <c r="IG831" i="1"/>
  <c r="IG846" i="1"/>
  <c r="IH858" i="1"/>
  <c r="IH856" i="1"/>
  <c r="GQ685" i="1"/>
  <c r="IG303" i="1"/>
  <c r="IG387" i="1"/>
  <c r="IH730" i="1"/>
  <c r="IG772" i="1"/>
  <c r="IG786" i="1"/>
  <c r="IG804" i="1"/>
  <c r="IG817" i="1"/>
  <c r="IG833" i="1"/>
  <c r="IG852" i="1"/>
  <c r="GR686" i="1"/>
  <c r="GR685" i="1"/>
  <c r="IG686" i="1"/>
  <c r="IG685" i="1"/>
  <c r="IG263" i="1"/>
  <c r="IG282" i="1"/>
  <c r="IG389" i="1"/>
  <c r="IG391" i="1"/>
  <c r="IG392" i="1"/>
  <c r="IG421" i="1"/>
  <c r="IG435" i="1"/>
  <c r="IG102" i="1"/>
  <c r="IG469" i="1"/>
  <c r="IG136" i="1"/>
  <c r="IG257" i="1"/>
  <c r="IG276" i="1"/>
  <c r="IG283" i="1"/>
  <c r="IG371" i="1"/>
  <c r="IG382" i="1"/>
  <c r="IG383" i="1"/>
  <c r="IG49" i="1"/>
  <c r="IG412" i="1"/>
  <c r="IG423" i="1"/>
  <c r="IG424" i="1"/>
  <c r="IG449" i="1"/>
  <c r="IG116" i="1"/>
  <c r="IG459" i="1"/>
  <c r="IG461" i="1"/>
  <c r="IG479" i="1"/>
  <c r="IG492" i="1"/>
  <c r="IG159" i="1"/>
  <c r="IG514" i="1"/>
  <c r="IG182" i="1"/>
  <c r="IG305" i="1"/>
  <c r="IG420" i="1"/>
  <c r="IG428" i="1"/>
  <c r="IG95" i="1"/>
  <c r="IG431" i="1"/>
  <c r="IG447" i="1"/>
  <c r="IG465" i="1"/>
  <c r="IG466" i="1"/>
  <c r="IG491" i="1"/>
  <c r="IH784" i="1"/>
  <c r="IG838" i="1"/>
  <c r="IG847" i="1"/>
  <c r="IG854" i="1"/>
  <c r="IG467" i="1"/>
  <c r="IG468" i="1"/>
  <c r="IG135" i="1"/>
  <c r="IG520" i="1"/>
  <c r="IG189" i="1"/>
  <c r="IH546" i="1"/>
  <c r="IG550" i="1"/>
  <c r="IQ225" i="1"/>
  <c r="IQ224" i="1"/>
  <c r="IG573" i="1"/>
  <c r="IG596" i="1"/>
  <c r="IG676" i="1"/>
  <c r="IG682" i="1"/>
  <c r="IG731" i="1"/>
  <c r="IG734" i="1"/>
  <c r="IG744" i="1"/>
  <c r="IG748" i="1"/>
  <c r="IG778" i="1"/>
  <c r="IG781" i="1"/>
  <c r="IG785" i="1"/>
  <c r="IG792" i="1"/>
  <c r="IG795" i="1"/>
  <c r="IG798" i="1"/>
  <c r="IG810" i="1"/>
  <c r="IG813" i="1"/>
  <c r="IG816" i="1"/>
  <c r="IG823" i="1"/>
  <c r="IG836" i="1"/>
  <c r="IG501" i="1"/>
  <c r="IG590" i="1"/>
  <c r="IG649" i="1"/>
  <c r="IG771" i="1"/>
  <c r="IG832" i="1"/>
  <c r="IH483" i="1"/>
  <c r="IG494" i="1"/>
  <c r="IG495" i="1"/>
  <c r="IG516" i="1"/>
  <c r="IG524" i="1"/>
  <c r="IG193" i="1"/>
  <c r="IG565" i="1"/>
  <c r="IG583" i="1"/>
  <c r="IG603" i="1"/>
  <c r="IG626" i="1"/>
  <c r="IG656" i="1"/>
  <c r="IG655" i="1"/>
  <c r="IG653" i="1"/>
  <c r="IG651" i="1"/>
  <c r="IG703" i="1"/>
  <c r="IG736" i="1"/>
  <c r="IG773" i="1"/>
  <c r="IG775" i="1"/>
  <c r="IG776" i="1"/>
  <c r="IG788" i="1"/>
  <c r="IG805" i="1"/>
  <c r="IG808" i="1"/>
  <c r="IG822" i="1"/>
  <c r="IG835" i="1"/>
  <c r="IH843" i="1"/>
  <c r="IG853" i="1"/>
  <c r="JZ686" i="1"/>
  <c r="IG667" i="1"/>
  <c r="IG849" i="1"/>
  <c r="IG793" i="1"/>
  <c r="IG797" i="1"/>
  <c r="IG802" i="1"/>
  <c r="IG807" i="1"/>
  <c r="IG811" i="1"/>
  <c r="IG815" i="1"/>
  <c r="IG726" i="1"/>
  <c r="IG706" i="1"/>
  <c r="IH682" i="1"/>
  <c r="IG674" i="1"/>
  <c r="IH656" i="1"/>
  <c r="IH655" i="1"/>
  <c r="IH653" i="1"/>
  <c r="IH651" i="1"/>
  <c r="IH551" i="1"/>
  <c r="IH495" i="1"/>
  <c r="IH447" i="1"/>
  <c r="IN74" i="1"/>
  <c r="HG655" i="1"/>
  <c r="HG653" i="1"/>
  <c r="HG651" i="1"/>
  <c r="JR136" i="1"/>
  <c r="JQ136" i="1"/>
  <c r="JP136" i="1"/>
  <c r="JO136" i="1"/>
  <c r="JN136" i="1"/>
  <c r="JM136" i="1"/>
  <c r="JK136" i="1"/>
  <c r="JJ136" i="1"/>
  <c r="JI136" i="1"/>
  <c r="JH136" i="1"/>
  <c r="JG136" i="1"/>
  <c r="JF136" i="1"/>
  <c r="JE136" i="1"/>
  <c r="JD136" i="1"/>
  <c r="JC136" i="1"/>
  <c r="JB136" i="1"/>
  <c r="JA136" i="1"/>
  <c r="IZ136" i="1"/>
  <c r="IY136" i="1"/>
  <c r="IX136" i="1"/>
  <c r="IW136" i="1"/>
  <c r="IV136" i="1"/>
  <c r="IU136" i="1"/>
  <c r="IT136" i="1"/>
  <c r="IS136" i="1"/>
  <c r="IR136" i="1"/>
  <c r="IQ136" i="1"/>
  <c r="IP136" i="1"/>
  <c r="IO136" i="1"/>
  <c r="IN136" i="1"/>
  <c r="IM136" i="1"/>
  <c r="IL136" i="1"/>
  <c r="IJ136" i="1"/>
  <c r="II136" i="1"/>
  <c r="IE136" i="1"/>
  <c r="ID136" i="1"/>
  <c r="IC136" i="1"/>
  <c r="IB136" i="1"/>
  <c r="IA136" i="1"/>
  <c r="HZ136" i="1"/>
  <c r="HY136" i="1"/>
  <c r="HX136" i="1"/>
  <c r="HW136" i="1"/>
  <c r="HV136" i="1"/>
  <c r="HU136" i="1"/>
  <c r="HT136" i="1"/>
  <c r="HS136" i="1"/>
  <c r="HR136" i="1"/>
  <c r="HQ136" i="1"/>
  <c r="HP136" i="1"/>
  <c r="HO136" i="1"/>
  <c r="HN136" i="1"/>
  <c r="HM136" i="1"/>
  <c r="HL136" i="1"/>
  <c r="HK136" i="1"/>
  <c r="HJ136" i="1"/>
  <c r="HI136" i="1"/>
  <c r="HH136" i="1"/>
  <c r="HF136" i="1"/>
  <c r="HE136" i="1"/>
  <c r="HD136" i="1"/>
  <c r="HC136" i="1"/>
  <c r="HB136" i="1"/>
  <c r="HA136" i="1"/>
  <c r="GZ136" i="1"/>
  <c r="GY136" i="1"/>
  <c r="GX136" i="1"/>
  <c r="GW136" i="1"/>
  <c r="GV136" i="1"/>
  <c r="GU136" i="1"/>
  <c r="JR135" i="1"/>
  <c r="JQ135" i="1"/>
  <c r="JP135" i="1"/>
  <c r="JO135" i="1"/>
  <c r="JN135" i="1"/>
  <c r="JM135" i="1"/>
  <c r="JL135" i="1"/>
  <c r="JK135" i="1"/>
  <c r="JJ135" i="1"/>
  <c r="JI135" i="1"/>
  <c r="JH135" i="1"/>
  <c r="JG135" i="1"/>
  <c r="JF135" i="1"/>
  <c r="JE135" i="1"/>
  <c r="JD135" i="1"/>
  <c r="JC135" i="1"/>
  <c r="JB135" i="1"/>
  <c r="JA135" i="1"/>
  <c r="IZ135" i="1"/>
  <c r="IY135" i="1"/>
  <c r="IX135" i="1"/>
  <c r="IW135" i="1"/>
  <c r="IV135" i="1"/>
  <c r="IU135" i="1"/>
  <c r="IS135" i="1"/>
  <c r="IR135" i="1"/>
  <c r="IQ135" i="1"/>
  <c r="IP135" i="1"/>
  <c r="IO135" i="1"/>
  <c r="IN135" i="1"/>
  <c r="IM135" i="1"/>
  <c r="IL135" i="1"/>
  <c r="IK135" i="1"/>
  <c r="IJ135" i="1"/>
  <c r="II135" i="1"/>
  <c r="IE135" i="1"/>
  <c r="ID135" i="1"/>
  <c r="IC135" i="1"/>
  <c r="IB135" i="1"/>
  <c r="IA135" i="1"/>
  <c r="HZ135" i="1"/>
  <c r="HY135" i="1"/>
  <c r="HX135" i="1"/>
  <c r="HW135" i="1"/>
  <c r="HV135" i="1"/>
  <c r="HU135" i="1"/>
  <c r="HT135" i="1"/>
  <c r="HS135" i="1"/>
  <c r="HR135" i="1"/>
  <c r="HQ135" i="1"/>
  <c r="HP135" i="1"/>
  <c r="HO135" i="1"/>
  <c r="HN135" i="1"/>
  <c r="HM135" i="1"/>
  <c r="HL135" i="1"/>
  <c r="HK135" i="1"/>
  <c r="HJ135" i="1"/>
  <c r="HI135" i="1"/>
  <c r="HH135" i="1"/>
  <c r="HF135" i="1"/>
  <c r="HE135" i="1"/>
  <c r="HD135" i="1"/>
  <c r="HC135" i="1"/>
  <c r="HB135" i="1"/>
  <c r="HA135" i="1"/>
  <c r="GZ135" i="1"/>
  <c r="GY135" i="1"/>
  <c r="GX135" i="1"/>
  <c r="GW135" i="1"/>
  <c r="GV135" i="1"/>
  <c r="GU135" i="1"/>
  <c r="C136" i="1"/>
  <c r="C135" i="1"/>
  <c r="JP464" i="1"/>
  <c r="IF136" i="1"/>
  <c r="ID464" i="1"/>
  <c r="GU464" i="1"/>
  <c r="C464" i="1"/>
  <c r="IN83" i="1"/>
  <c r="IN232" i="1"/>
  <c r="IN160" i="1"/>
  <c r="GT468" i="1"/>
  <c r="GT135" i="1"/>
  <c r="GT469" i="1"/>
  <c r="GT136" i="1"/>
  <c r="IN129" i="1"/>
  <c r="JZ469" i="1"/>
  <c r="JZ468" i="1"/>
  <c r="GQ135" i="1"/>
  <c r="KA468" i="1"/>
  <c r="GQ136" i="1"/>
  <c r="KA469" i="1"/>
  <c r="GR468" i="1"/>
  <c r="GR135" i="1"/>
  <c r="GP136" i="1"/>
  <c r="GR469" i="1"/>
  <c r="GR136" i="1"/>
  <c r="GP135" i="1"/>
  <c r="GU109" i="1"/>
  <c r="GV109" i="1"/>
  <c r="GW109" i="1"/>
  <c r="GX109" i="1"/>
  <c r="GY109" i="1"/>
  <c r="GZ109" i="1"/>
  <c r="HA109" i="1"/>
  <c r="HB109" i="1"/>
  <c r="HC109" i="1"/>
  <c r="HD109" i="1"/>
  <c r="HE109" i="1"/>
  <c r="HF109" i="1"/>
  <c r="HH109" i="1"/>
  <c r="HI109" i="1"/>
  <c r="HJ109" i="1"/>
  <c r="HK109" i="1"/>
  <c r="HL109" i="1"/>
  <c r="HM109" i="1"/>
  <c r="HN109" i="1"/>
  <c r="HO109" i="1"/>
  <c r="HP109" i="1"/>
  <c r="HQ109" i="1"/>
  <c r="HR109" i="1"/>
  <c r="HS109" i="1"/>
  <c r="HT109" i="1"/>
  <c r="HU109" i="1"/>
  <c r="HV109" i="1"/>
  <c r="HW109" i="1"/>
  <c r="HX109" i="1"/>
  <c r="HY109" i="1"/>
  <c r="HZ109" i="1"/>
  <c r="IA109" i="1"/>
  <c r="IB109" i="1"/>
  <c r="IC109" i="1"/>
  <c r="ID109" i="1"/>
  <c r="IE109" i="1"/>
  <c r="II109" i="1"/>
  <c r="IJ109" i="1"/>
  <c r="IK109" i="1"/>
  <c r="IL109" i="1"/>
  <c r="IM109" i="1"/>
  <c r="IN109" i="1"/>
  <c r="IO109" i="1"/>
  <c r="IP109" i="1"/>
  <c r="IQ109" i="1"/>
  <c r="IR109" i="1"/>
  <c r="IS109" i="1"/>
  <c r="IT109" i="1"/>
  <c r="IU109" i="1"/>
  <c r="IV109" i="1"/>
  <c r="IW109" i="1"/>
  <c r="IX109" i="1"/>
  <c r="IY109" i="1"/>
  <c r="IZ109" i="1"/>
  <c r="JA109" i="1"/>
  <c r="JB109" i="1"/>
  <c r="JC109" i="1"/>
  <c r="JD109" i="1"/>
  <c r="JE109" i="1"/>
  <c r="JG109" i="1"/>
  <c r="JH109" i="1"/>
  <c r="JI109" i="1"/>
  <c r="JJ109" i="1"/>
  <c r="JK109" i="1"/>
  <c r="JM109" i="1"/>
  <c r="JN109" i="1"/>
  <c r="JO109" i="1"/>
  <c r="JP109" i="1"/>
  <c r="JQ109" i="1"/>
  <c r="JR109" i="1"/>
  <c r="C109" i="1"/>
  <c r="JR439" i="1"/>
  <c r="JQ439" i="1"/>
  <c r="JP439" i="1"/>
  <c r="IE439" i="1"/>
  <c r="ID439" i="1"/>
  <c r="HG442" i="1"/>
  <c r="JS442" i="1"/>
  <c r="JS109" i="1"/>
  <c r="C439" i="1"/>
  <c r="JQ302" i="1"/>
  <c r="JR302" i="1"/>
  <c r="JP302" i="1"/>
  <c r="JQ298" i="1"/>
  <c r="JR298" i="1"/>
  <c r="JP298" i="1"/>
  <c r="JR666" i="1"/>
  <c r="S58" i="12"/>
  <c r="AG58" i="12"/>
  <c r="S46" i="12"/>
  <c r="AG46" i="12"/>
  <c r="AG42" i="12"/>
  <c r="S26" i="12"/>
  <c r="AG26" i="12"/>
  <c r="KC297" i="1"/>
  <c r="KC301" i="1"/>
  <c r="KC304" i="1"/>
  <c r="KC307" i="1"/>
  <c r="KC309" i="1"/>
  <c r="KC312" i="1"/>
  <c r="KC318" i="1"/>
  <c r="GQ854" i="1"/>
  <c r="GP854" i="1"/>
  <c r="GT849" i="1"/>
  <c r="GT848" i="1"/>
  <c r="GT846" i="1"/>
  <c r="GT836" i="1"/>
  <c r="GQ726" i="1"/>
  <c r="KA726" i="1"/>
  <c r="GP726" i="1"/>
  <c r="GP725" i="1"/>
  <c r="GQ683" i="1"/>
  <c r="GP683" i="1"/>
  <c r="JZ683" i="1"/>
  <c r="GQ622" i="1"/>
  <c r="KA622" i="1"/>
  <c r="GP622" i="1"/>
  <c r="GP621" i="1"/>
  <c r="JZ621" i="1"/>
  <c r="GQ607" i="1"/>
  <c r="GP607" i="1"/>
  <c r="GP606" i="1"/>
  <c r="JZ606" i="1"/>
  <c r="GS603" i="1"/>
  <c r="GQ225" i="1"/>
  <c r="GQ224" i="1"/>
  <c r="KA224" i="1"/>
  <c r="GQ550" i="1"/>
  <c r="GP550" i="1"/>
  <c r="GP219" i="1"/>
  <c r="JZ219" i="1"/>
  <c r="GQ528" i="1"/>
  <c r="KA197" i="1"/>
  <c r="GP528" i="1"/>
  <c r="JZ197" i="1"/>
  <c r="GQ527" i="1"/>
  <c r="GP527" i="1"/>
  <c r="GP512" i="1"/>
  <c r="GQ503" i="1"/>
  <c r="GP503" i="1"/>
  <c r="GP170" i="1"/>
  <c r="JZ170" i="1"/>
  <c r="GQ502" i="1"/>
  <c r="KA502" i="1"/>
  <c r="GP502" i="1"/>
  <c r="GQ501" i="1"/>
  <c r="GP501" i="1"/>
  <c r="JZ501" i="1"/>
  <c r="GQ147" i="1"/>
  <c r="GQ473" i="1"/>
  <c r="GP473" i="1"/>
  <c r="JZ473" i="1"/>
  <c r="GQ435" i="1"/>
  <c r="GQ102" i="1"/>
  <c r="KA102" i="1"/>
  <c r="GP435" i="1"/>
  <c r="GP102" i="1"/>
  <c r="JZ102" i="1"/>
  <c r="GQ428" i="1"/>
  <c r="GP428" i="1"/>
  <c r="GP95" i="1"/>
  <c r="JZ95" i="1"/>
  <c r="GQ412" i="1"/>
  <c r="GP412" i="1"/>
  <c r="JZ412" i="1"/>
  <c r="GQ375" i="1"/>
  <c r="KA36" i="1"/>
  <c r="GT373" i="1"/>
  <c r="KA221" i="1"/>
  <c r="JZ343" i="1"/>
  <c r="KA341" i="1"/>
  <c r="KA187" i="1"/>
  <c r="KA337" i="1"/>
  <c r="KA333" i="1"/>
  <c r="KA177" i="1"/>
  <c r="GQ310" i="1"/>
  <c r="KA310" i="1"/>
  <c r="GP310" i="1"/>
  <c r="JZ310" i="1"/>
  <c r="GP305" i="1"/>
  <c r="GQ303" i="1"/>
  <c r="GP303" i="1"/>
  <c r="GS303" i="1"/>
  <c r="GQ80" i="1"/>
  <c r="KA80" i="1"/>
  <c r="KA299" i="1"/>
  <c r="JZ299" i="1"/>
  <c r="GQ75" i="1"/>
  <c r="KA75" i="1"/>
  <c r="KA294" i="1"/>
  <c r="KA291" i="1"/>
  <c r="KA290" i="1"/>
  <c r="JZ290" i="1"/>
  <c r="GQ68" i="1"/>
  <c r="KA68" i="1"/>
  <c r="GQ277" i="1"/>
  <c r="GP277" i="1"/>
  <c r="GQ276" i="1"/>
  <c r="GP276" i="1"/>
  <c r="GS276" i="1"/>
  <c r="KA271" i="1"/>
  <c r="JZ271" i="1"/>
  <c r="GQ249" i="1"/>
  <c r="GR249" i="1"/>
  <c r="GP249" i="1"/>
  <c r="JZ249" i="1"/>
  <c r="GQ248" i="1"/>
  <c r="KA248" i="1"/>
  <c r="GP248" i="1"/>
  <c r="GP225" i="1"/>
  <c r="GP224" i="1"/>
  <c r="JZ224" i="1"/>
  <c r="HG735" i="1"/>
  <c r="HG743" i="1"/>
  <c r="JS743" i="1"/>
  <c r="HG734" i="1"/>
  <c r="JS734" i="1"/>
  <c r="HG736" i="1"/>
  <c r="HG746" i="1"/>
  <c r="JZ614" i="1"/>
  <c r="GR614" i="1"/>
  <c r="GR613" i="1"/>
  <c r="GR611" i="1"/>
  <c r="HG667" i="1"/>
  <c r="GT780" i="1"/>
  <c r="GT255" i="1"/>
  <c r="GT359" i="1"/>
  <c r="GT228" i="1"/>
  <c r="GT227" i="1"/>
  <c r="KA614" i="1"/>
  <c r="GT614" i="1"/>
  <c r="GT613" i="1"/>
  <c r="GT611" i="1"/>
  <c r="GT626" i="1"/>
  <c r="GT625" i="1"/>
  <c r="GT619" i="1"/>
  <c r="GT609" i="1"/>
  <c r="GT371" i="1"/>
  <c r="GT590" i="1"/>
  <c r="GT643" i="1"/>
  <c r="GP163" i="1"/>
  <c r="GT779" i="1"/>
  <c r="GT781" i="1"/>
  <c r="GT785" i="1"/>
  <c r="GQ543" i="1"/>
  <c r="GT852" i="1"/>
  <c r="GT514" i="1"/>
  <c r="GT791" i="1"/>
  <c r="GT792" i="1"/>
  <c r="GT794" i="1"/>
  <c r="GT796" i="1"/>
  <c r="GT793" i="1"/>
  <c r="GT795" i="1"/>
  <c r="GT798" i="1"/>
  <c r="GT829" i="1"/>
  <c r="GT828" i="1"/>
  <c r="GT777" i="1"/>
  <c r="GT769" i="1"/>
  <c r="GT771" i="1"/>
  <c r="GT773" i="1"/>
  <c r="GT775" i="1"/>
  <c r="GR799" i="1"/>
  <c r="GT799" i="1"/>
  <c r="GT802" i="1"/>
  <c r="GT809" i="1"/>
  <c r="GT679" i="1"/>
  <c r="GT770" i="1"/>
  <c r="GT772" i="1"/>
  <c r="GT774" i="1"/>
  <c r="GT801" i="1"/>
  <c r="GT804" i="1"/>
  <c r="GT810" i="1"/>
  <c r="GT822" i="1"/>
  <c r="GT821" i="1"/>
  <c r="GT817" i="1"/>
  <c r="GT815" i="1"/>
  <c r="GT814" i="1"/>
  <c r="GT813" i="1"/>
  <c r="GT808" i="1"/>
  <c r="GT807" i="1"/>
  <c r="GT839" i="1"/>
  <c r="GT838" i="1"/>
  <c r="GT837" i="1"/>
  <c r="GT835" i="1"/>
  <c r="GT832" i="1"/>
  <c r="GT831" i="1"/>
  <c r="GT830" i="1"/>
  <c r="GT598" i="1"/>
  <c r="GT265" i="1"/>
  <c r="GT524" i="1"/>
  <c r="GT522" i="1"/>
  <c r="GT520" i="1"/>
  <c r="GT518" i="1"/>
  <c r="GT395" i="1"/>
  <c r="GT858" i="1"/>
  <c r="GT853" i="1"/>
  <c r="GT778" i="1"/>
  <c r="GT682" i="1"/>
  <c r="GT253" i="1"/>
  <c r="GT261" i="1"/>
  <c r="GT263" i="1"/>
  <c r="GT268" i="1"/>
  <c r="GT286" i="1"/>
  <c r="GT390" i="1"/>
  <c r="GT392" i="1"/>
  <c r="GT399" i="1"/>
  <c r="GT403" i="1"/>
  <c r="GT407" i="1"/>
  <c r="GT409" i="1"/>
  <c r="GT422" i="1"/>
  <c r="GT424" i="1"/>
  <c r="GT91" i="1"/>
  <c r="GT440" i="1"/>
  <c r="GT445" i="1"/>
  <c r="GT112" i="1"/>
  <c r="GT447" i="1"/>
  <c r="GT114" i="1"/>
  <c r="GT453" i="1"/>
  <c r="GT120" i="1"/>
  <c r="GT455" i="1"/>
  <c r="GT122" i="1"/>
  <c r="GT459" i="1"/>
  <c r="GT126" i="1"/>
  <c r="GT461" i="1"/>
  <c r="GT128" i="1"/>
  <c r="GT467" i="1"/>
  <c r="GT134" i="1"/>
  <c r="GT475" i="1"/>
  <c r="GT142" i="1"/>
  <c r="GT477" i="1"/>
  <c r="GT144" i="1"/>
  <c r="GT479" i="1"/>
  <c r="GT146" i="1"/>
  <c r="GT485" i="1"/>
  <c r="GT152" i="1"/>
  <c r="GT489" i="1"/>
  <c r="GT156" i="1"/>
  <c r="GT491" i="1"/>
  <c r="GT158" i="1"/>
  <c r="GT493" i="1"/>
  <c r="GT495" i="1"/>
  <c r="GT162" i="1"/>
  <c r="GT552" i="1"/>
  <c r="GT561" i="1"/>
  <c r="GT233" i="1"/>
  <c r="GT583" i="1"/>
  <c r="GT587" i="1"/>
  <c r="GT594" i="1"/>
  <c r="GT596" i="1"/>
  <c r="GT601" i="1"/>
  <c r="GT623" i="1"/>
  <c r="GT84" i="1"/>
  <c r="GT82" i="1"/>
  <c r="GT647" i="1"/>
  <c r="GT649" i="1"/>
  <c r="GT673" i="1"/>
  <c r="GT252" i="1"/>
  <c r="GT260" i="1"/>
  <c r="GT262" i="1"/>
  <c r="GT269" i="1"/>
  <c r="GT389" i="1"/>
  <c r="GT391" i="1"/>
  <c r="GT404" i="1"/>
  <c r="GT414" i="1"/>
  <c r="GT80" i="1"/>
  <c r="GT421" i="1"/>
  <c r="GT88" i="1"/>
  <c r="GT423" i="1"/>
  <c r="GT90" i="1"/>
  <c r="GT425" i="1"/>
  <c r="GT441" i="1"/>
  <c r="GT108" i="1"/>
  <c r="GT452" i="1"/>
  <c r="GT119" i="1"/>
  <c r="GT454" i="1"/>
  <c r="GT121" i="1"/>
  <c r="GT456" i="1"/>
  <c r="GT123" i="1"/>
  <c r="GT462" i="1"/>
  <c r="GT470" i="1"/>
  <c r="GT137" i="1"/>
  <c r="GT474" i="1"/>
  <c r="GT141" i="1"/>
  <c r="GT476" i="1"/>
  <c r="GT143" i="1"/>
  <c r="GT478" i="1"/>
  <c r="GT145" i="1"/>
  <c r="GT480" i="1"/>
  <c r="GT484" i="1"/>
  <c r="GT151" i="1"/>
  <c r="GT486" i="1"/>
  <c r="GT490" i="1"/>
  <c r="GT157" i="1"/>
  <c r="GT492" i="1"/>
  <c r="GT159" i="1"/>
  <c r="GT494" i="1"/>
  <c r="GT161" i="1"/>
  <c r="GT496" i="1"/>
  <c r="GT163" i="1"/>
  <c r="GT448" i="1"/>
  <c r="GT115" i="1"/>
  <c r="GT446" i="1"/>
  <c r="GT113" i="1"/>
  <c r="GT460" i="1"/>
  <c r="GT127" i="1"/>
  <c r="GT510" i="1"/>
  <c r="GT582" i="1"/>
  <c r="GT586" i="1"/>
  <c r="GT588" i="1"/>
  <c r="GT593" i="1"/>
  <c r="GT595" i="1"/>
  <c r="GT602" i="1"/>
  <c r="GT40" i="1"/>
  <c r="GT604" i="1"/>
  <c r="GT646" i="1"/>
  <c r="GT648" i="1"/>
  <c r="GT675" i="1"/>
  <c r="GT674" i="1"/>
  <c r="GT672" i="1"/>
  <c r="GT544" i="1"/>
  <c r="GT420" i="1"/>
  <c r="GT87" i="1"/>
  <c r="GT402" i="1"/>
  <c r="GT851" i="1"/>
  <c r="GT847" i="1"/>
  <c r="GT843" i="1"/>
  <c r="GT776" i="1"/>
  <c r="GT833" i="1"/>
  <c r="GT805" i="1"/>
  <c r="GT408" i="1"/>
  <c r="GR582" i="1"/>
  <c r="E23" i="41"/>
  <c r="JZ777" i="1"/>
  <c r="GR583" i="1"/>
  <c r="E24" i="41"/>
  <c r="HG678" i="1"/>
  <c r="GQ251" i="1"/>
  <c r="KA251" i="1"/>
  <c r="GR781" i="1"/>
  <c r="GQ488" i="1"/>
  <c r="KA488" i="1"/>
  <c r="GQ419" i="1"/>
  <c r="KA419" i="1"/>
  <c r="GP18" i="1"/>
  <c r="GP401" i="1"/>
  <c r="JZ401" i="1"/>
  <c r="GP406" i="1"/>
  <c r="JZ406" i="1"/>
  <c r="GQ637" i="1"/>
  <c r="KA637" i="1"/>
  <c r="GQ585" i="1"/>
  <c r="GQ768" i="1"/>
  <c r="HG674" i="1"/>
  <c r="HG682" i="1"/>
  <c r="HG703" i="1"/>
  <c r="GQ101" i="1"/>
  <c r="KA101" i="1"/>
  <c r="HG706" i="1"/>
  <c r="HG705" i="1"/>
  <c r="HG679" i="1"/>
  <c r="JS679" i="1"/>
  <c r="HG675" i="1"/>
  <c r="JS675" i="1"/>
  <c r="HG672" i="1"/>
  <c r="GP439" i="1"/>
  <c r="JZ439" i="1"/>
  <c r="GP251" i="1"/>
  <c r="JZ251" i="1"/>
  <c r="JY314" i="1"/>
  <c r="JY313" i="1"/>
  <c r="JX314" i="1"/>
  <c r="IG313" i="1"/>
  <c r="IF313" i="1"/>
  <c r="HF313" i="1"/>
  <c r="HE313" i="1"/>
  <c r="HD313" i="1"/>
  <c r="HC313" i="1"/>
  <c r="HB313" i="1"/>
  <c r="HA313" i="1"/>
  <c r="GZ313" i="1"/>
  <c r="GY313" i="1"/>
  <c r="GX313" i="1"/>
  <c r="GW313" i="1"/>
  <c r="GV313" i="1"/>
  <c r="GU313" i="1"/>
  <c r="C313" i="1"/>
  <c r="JY300" i="1"/>
  <c r="JX300" i="1"/>
  <c r="II80" i="1"/>
  <c r="IJ80" i="1"/>
  <c r="IK80" i="1"/>
  <c r="IL80" i="1"/>
  <c r="IO80" i="1"/>
  <c r="IR80" i="1"/>
  <c r="IU80" i="1"/>
  <c r="IV80" i="1"/>
  <c r="IW80" i="1"/>
  <c r="IX80" i="1"/>
  <c r="IY80" i="1"/>
  <c r="IZ80" i="1"/>
  <c r="JA80" i="1"/>
  <c r="JB80" i="1"/>
  <c r="JC80" i="1"/>
  <c r="JD80" i="1"/>
  <c r="JE80" i="1"/>
  <c r="JF80" i="1"/>
  <c r="JG80" i="1"/>
  <c r="JH80" i="1"/>
  <c r="JI80" i="1"/>
  <c r="JJ80" i="1"/>
  <c r="JK80" i="1"/>
  <c r="JL80" i="1"/>
  <c r="JM80" i="1"/>
  <c r="JP80" i="1"/>
  <c r="JQ80" i="1"/>
  <c r="JR80" i="1"/>
  <c r="ID80" i="1"/>
  <c r="IE80" i="1"/>
  <c r="HH80" i="1"/>
  <c r="HI80" i="1"/>
  <c r="HJ80" i="1"/>
  <c r="HK80" i="1"/>
  <c r="HM80" i="1"/>
  <c r="HN80" i="1"/>
  <c r="HO80" i="1"/>
  <c r="HP80" i="1"/>
  <c r="HQ80" i="1"/>
  <c r="HR80" i="1"/>
  <c r="HS80" i="1"/>
  <c r="HT80" i="1"/>
  <c r="HU80" i="1"/>
  <c r="HV80" i="1"/>
  <c r="HW80" i="1"/>
  <c r="HX80" i="1"/>
  <c r="HY80" i="1"/>
  <c r="HZ80" i="1"/>
  <c r="IA80" i="1"/>
  <c r="IB80" i="1"/>
  <c r="IC80" i="1"/>
  <c r="GV80" i="1"/>
  <c r="GV77" i="1"/>
  <c r="GW80" i="1"/>
  <c r="GW77" i="1"/>
  <c r="GX80" i="1"/>
  <c r="GX77" i="1"/>
  <c r="GY80" i="1"/>
  <c r="GY77" i="1"/>
  <c r="GZ80" i="1"/>
  <c r="GZ77" i="1"/>
  <c r="HA80" i="1"/>
  <c r="HA77" i="1"/>
  <c r="HB80" i="1"/>
  <c r="HC80" i="1"/>
  <c r="HD80" i="1"/>
  <c r="HE80" i="1"/>
  <c r="HF80" i="1"/>
  <c r="JX313" i="1"/>
  <c r="KA300" i="1"/>
  <c r="JY277" i="1"/>
  <c r="JX277" i="1"/>
  <c r="JO50" i="1"/>
  <c r="JN50" i="1"/>
  <c r="JM50" i="1"/>
  <c r="IC50" i="1"/>
  <c r="IB50" i="1"/>
  <c r="C275" i="1"/>
  <c r="JY299" i="1"/>
  <c r="JX299" i="1"/>
  <c r="JX298" i="1"/>
  <c r="JO79" i="1"/>
  <c r="JN79" i="1"/>
  <c r="JM79" i="1"/>
  <c r="IF298" i="1"/>
  <c r="IC79" i="1"/>
  <c r="IB79" i="1"/>
  <c r="GT298" i="1"/>
  <c r="GU298" i="1"/>
  <c r="GV298" i="1"/>
  <c r="GW298" i="1"/>
  <c r="GX298" i="1"/>
  <c r="GY298" i="1"/>
  <c r="GZ298" i="1"/>
  <c r="HA298" i="1"/>
  <c r="HB298" i="1"/>
  <c r="HC298" i="1"/>
  <c r="HD298" i="1"/>
  <c r="HE298" i="1"/>
  <c r="HF298" i="1"/>
  <c r="C298" i="1"/>
  <c r="JZ853" i="1"/>
  <c r="JZ851" i="1"/>
  <c r="JZ837" i="1"/>
  <c r="JZ832" i="1"/>
  <c r="JZ816" i="1"/>
  <c r="JZ812" i="1"/>
  <c r="JZ805" i="1"/>
  <c r="JZ799" i="1"/>
  <c r="JZ798" i="1"/>
  <c r="JZ795" i="1"/>
  <c r="JZ794" i="1"/>
  <c r="JZ781" i="1"/>
  <c r="JZ779" i="1"/>
  <c r="JZ748" i="1"/>
  <c r="JZ744" i="1"/>
  <c r="JZ742" i="1"/>
  <c r="KA734" i="1"/>
  <c r="JZ703" i="1"/>
  <c r="JZ702" i="1"/>
  <c r="JZ678" i="1"/>
  <c r="JZ673" i="1"/>
  <c r="JZ641" i="1"/>
  <c r="JZ638" i="1"/>
  <c r="GP84" i="1"/>
  <c r="JZ84" i="1"/>
  <c r="JZ616" i="1"/>
  <c r="JZ590" i="1"/>
  <c r="JZ24" i="1"/>
  <c r="JZ238" i="1"/>
  <c r="JZ493" i="1"/>
  <c r="JZ492" i="1"/>
  <c r="GP152" i="1"/>
  <c r="JZ152" i="1"/>
  <c r="JZ478" i="1"/>
  <c r="JZ477" i="1"/>
  <c r="JZ476" i="1"/>
  <c r="JZ474" i="1"/>
  <c r="GP134" i="1"/>
  <c r="JZ461" i="1"/>
  <c r="GP121" i="1"/>
  <c r="JZ452" i="1"/>
  <c r="JZ448" i="1"/>
  <c r="JZ447" i="1"/>
  <c r="JZ446" i="1"/>
  <c r="JZ441" i="1"/>
  <c r="GP97" i="1"/>
  <c r="GP91" i="1"/>
  <c r="GP90" i="1"/>
  <c r="JZ90" i="1"/>
  <c r="GP89" i="1"/>
  <c r="JZ89" i="1"/>
  <c r="GP88" i="1"/>
  <c r="JZ88" i="1"/>
  <c r="GP87" i="1"/>
  <c r="JZ87" i="1"/>
  <c r="JZ389" i="1"/>
  <c r="GP47" i="1"/>
  <c r="JZ47" i="1"/>
  <c r="JZ362" i="1"/>
  <c r="JZ286" i="1"/>
  <c r="JZ41" i="1"/>
  <c r="JZ34" i="1"/>
  <c r="JZ33" i="1"/>
  <c r="JZ32" i="1"/>
  <c r="JZ31" i="1"/>
  <c r="GP28" i="1"/>
  <c r="JZ28" i="1"/>
  <c r="GP26" i="1"/>
  <c r="JZ26" i="1"/>
  <c r="JZ22" i="1"/>
  <c r="GP17" i="1"/>
  <c r="JX734" i="1"/>
  <c r="JY303" i="1"/>
  <c r="JY302" i="1"/>
  <c r="JX303" i="1"/>
  <c r="JX302" i="1"/>
  <c r="IG302" i="1"/>
  <c r="IF302" i="1"/>
  <c r="C302" i="1"/>
  <c r="D32" i="41"/>
  <c r="D24" i="41"/>
  <c r="D23" i="41"/>
  <c r="D15" i="41"/>
  <c r="D14" i="41"/>
  <c r="H35" i="40"/>
  <c r="G39" i="40"/>
  <c r="JY776" i="1"/>
  <c r="JY830" i="1"/>
  <c r="JG112" i="1"/>
  <c r="GR810" i="1"/>
  <c r="GQ120" i="1"/>
  <c r="KA120" i="1"/>
  <c r="GQ99" i="1"/>
  <c r="KA99" i="1"/>
  <c r="GQ65" i="1"/>
  <c r="C47" i="1"/>
  <c r="C53" i="1"/>
  <c r="C54" i="1"/>
  <c r="C55" i="1"/>
  <c r="C56" i="1"/>
  <c r="C57" i="1"/>
  <c r="C61" i="1"/>
  <c r="C64" i="1"/>
  <c r="C65" i="1"/>
  <c r="C78" i="1"/>
  <c r="C79" i="1"/>
  <c r="C87" i="1"/>
  <c r="C90" i="1"/>
  <c r="C91" i="1"/>
  <c r="C83" i="1"/>
  <c r="C84" i="1"/>
  <c r="C101" i="1"/>
  <c r="C94" i="1"/>
  <c r="C108" i="1"/>
  <c r="C112" i="1"/>
  <c r="C113" i="1"/>
  <c r="C114" i="1"/>
  <c r="C115" i="1"/>
  <c r="C116" i="1"/>
  <c r="C119" i="1"/>
  <c r="C120" i="1"/>
  <c r="C126" i="1"/>
  <c r="C132" i="1"/>
  <c r="C150" i="1"/>
  <c r="C151" i="1"/>
  <c r="C152" i="1"/>
  <c r="C156" i="1"/>
  <c r="C157" i="1"/>
  <c r="C161" i="1"/>
  <c r="C162" i="1"/>
  <c r="C165" i="1"/>
  <c r="C176" i="1"/>
  <c r="C196" i="1"/>
  <c r="C195" i="1"/>
  <c r="C205" i="1"/>
  <c r="C204" i="1"/>
  <c r="C219" i="1"/>
  <c r="C221" i="1"/>
  <c r="C228" i="1"/>
  <c r="C227" i="1"/>
  <c r="C237" i="1"/>
  <c r="C236" i="1"/>
  <c r="C17" i="1"/>
  <c r="C18" i="1"/>
  <c r="C22" i="1"/>
  <c r="C24" i="1"/>
  <c r="C26" i="1"/>
  <c r="C28" i="1"/>
  <c r="C31" i="1"/>
  <c r="C32" i="1"/>
  <c r="C33" i="1"/>
  <c r="C34" i="1"/>
  <c r="C681" i="1"/>
  <c r="C728" i="1"/>
  <c r="C742" i="1"/>
  <c r="C768" i="1"/>
  <c r="C783" i="1"/>
  <c r="C790" i="1"/>
  <c r="C827" i="1"/>
  <c r="C845" i="1"/>
  <c r="KA672" i="1"/>
  <c r="KA674" i="1"/>
  <c r="KA679" i="1"/>
  <c r="JZ679" i="1"/>
  <c r="JP669" i="1"/>
  <c r="JP664" i="1"/>
  <c r="JP662" i="1"/>
  <c r="IE669" i="1"/>
  <c r="IE664" i="1"/>
  <c r="IE662" i="1"/>
  <c r="ID669" i="1"/>
  <c r="ID664" i="1"/>
  <c r="ID662" i="1"/>
  <c r="HF669" i="1"/>
  <c r="HF664" i="1"/>
  <c r="HF662" i="1"/>
  <c r="HE669" i="1"/>
  <c r="HE664" i="1"/>
  <c r="HE662" i="1"/>
  <c r="HD669" i="1"/>
  <c r="HD681" i="1"/>
  <c r="HD711" i="1"/>
  <c r="HD728" i="1"/>
  <c r="HD742" i="1"/>
  <c r="HD721" i="1"/>
  <c r="HD845" i="1"/>
  <c r="HD213" i="1"/>
  <c r="HD212" i="1"/>
  <c r="HD220" i="1"/>
  <c r="HD218" i="1"/>
  <c r="HD231" i="1"/>
  <c r="HD142" i="1"/>
  <c r="HD143" i="1"/>
  <c r="HD144" i="1"/>
  <c r="HD145" i="1"/>
  <c r="HD146" i="1"/>
  <c r="HD38" i="1"/>
  <c r="HD95" i="1"/>
  <c r="HD96" i="1"/>
  <c r="HD97" i="1"/>
  <c r="HD98" i="1"/>
  <c r="HD99" i="1"/>
  <c r="HD100" i="1"/>
  <c r="HD102" i="1"/>
  <c r="HC669" i="1"/>
  <c r="HC664" i="1"/>
  <c r="HC662" i="1"/>
  <c r="HB669" i="1"/>
  <c r="HB664" i="1"/>
  <c r="HB662" i="1"/>
  <c r="HA669" i="1"/>
  <c r="HA681" i="1"/>
  <c r="HA711" i="1"/>
  <c r="HA728" i="1"/>
  <c r="HA742" i="1"/>
  <c r="HA721" i="1"/>
  <c r="HA845" i="1"/>
  <c r="HA213" i="1"/>
  <c r="HA231" i="1"/>
  <c r="HA230" i="1"/>
  <c r="HA210" i="1"/>
  <c r="HA142" i="1"/>
  <c r="HA143" i="1"/>
  <c r="HA144" i="1"/>
  <c r="HA145" i="1"/>
  <c r="HA146" i="1"/>
  <c r="HA95" i="1"/>
  <c r="HA96" i="1"/>
  <c r="HA97" i="1"/>
  <c r="HA98" i="1"/>
  <c r="HA99" i="1"/>
  <c r="HA100" i="1"/>
  <c r="HA94" i="1"/>
  <c r="HA102" i="1"/>
  <c r="GZ669" i="1"/>
  <c r="GY669" i="1"/>
  <c r="GY664" i="1"/>
  <c r="GY662" i="1"/>
  <c r="GY681" i="1"/>
  <c r="GW669" i="1"/>
  <c r="GW664" i="1"/>
  <c r="GW662" i="1"/>
  <c r="GV669" i="1"/>
  <c r="GV664" i="1"/>
  <c r="GV662" i="1"/>
  <c r="GU669" i="1"/>
  <c r="GU664" i="1"/>
  <c r="GU662" i="1"/>
  <c r="C669" i="1"/>
  <c r="C664" i="1"/>
  <c r="C662" i="1"/>
  <c r="JY679" i="1"/>
  <c r="GU18" i="1"/>
  <c r="HT205" i="1"/>
  <c r="HT204" i="1"/>
  <c r="HT199" i="1"/>
  <c r="HT191" i="1"/>
  <c r="HT88" i="1"/>
  <c r="HT50" i="1"/>
  <c r="HT28" i="1"/>
  <c r="HT47" i="1"/>
  <c r="HT48" i="1"/>
  <c r="HT49" i="1"/>
  <c r="HT61" i="1"/>
  <c r="HT70" i="1"/>
  <c r="HT73" i="1"/>
  <c r="HT74" i="1"/>
  <c r="HT87" i="1"/>
  <c r="HT92" i="1"/>
  <c r="HT107" i="1"/>
  <c r="HT123" i="1"/>
  <c r="HT137" i="1"/>
  <c r="HT193" i="1"/>
  <c r="HT213" i="1"/>
  <c r="JY858" i="1"/>
  <c r="IE856" i="1"/>
  <c r="JY855" i="1"/>
  <c r="JY854" i="1"/>
  <c r="JY853" i="1"/>
  <c r="JX854" i="1"/>
  <c r="JX853" i="1"/>
  <c r="IE842" i="1"/>
  <c r="JY779" i="1"/>
  <c r="JX779" i="1"/>
  <c r="JY778" i="1"/>
  <c r="JX778" i="1"/>
  <c r="JX776" i="1"/>
  <c r="JY775" i="1"/>
  <c r="JX775" i="1"/>
  <c r="JX280" i="1"/>
  <c r="JX281" i="1"/>
  <c r="JX282" i="1"/>
  <c r="JX283" i="1"/>
  <c r="JX284" i="1"/>
  <c r="JX285" i="1"/>
  <c r="JX286" i="1"/>
  <c r="JY281" i="1"/>
  <c r="JY282" i="1"/>
  <c r="JY285" i="1"/>
  <c r="JY286" i="1"/>
  <c r="JX289" i="1"/>
  <c r="JY289" i="1"/>
  <c r="JX290" i="1"/>
  <c r="JY290" i="1"/>
  <c r="KB290" i="1"/>
  <c r="JX291" i="1"/>
  <c r="JY291" i="1"/>
  <c r="JX294" i="1"/>
  <c r="JX73" i="1"/>
  <c r="JY294" i="1"/>
  <c r="JX295" i="1"/>
  <c r="JY295" i="1"/>
  <c r="JX296" i="1"/>
  <c r="JY296" i="1"/>
  <c r="KA296" i="1"/>
  <c r="IK53" i="1"/>
  <c r="IE275" i="1"/>
  <c r="ID275" i="1"/>
  <c r="HF288" i="1"/>
  <c r="HF293" i="1"/>
  <c r="HF279" i="1"/>
  <c r="HF275" i="1"/>
  <c r="HE288" i="1"/>
  <c r="HE293" i="1"/>
  <c r="HE279" i="1"/>
  <c r="HE273" i="1"/>
  <c r="HE275" i="1"/>
  <c r="HE305" i="1"/>
  <c r="HD288" i="1"/>
  <c r="HD293" i="1"/>
  <c r="HD273" i="1"/>
  <c r="HD279" i="1"/>
  <c r="HD275" i="1"/>
  <c r="HD305" i="1"/>
  <c r="HC288" i="1"/>
  <c r="HC293" i="1"/>
  <c r="HC279" i="1"/>
  <c r="HC275" i="1"/>
  <c r="HC305" i="1"/>
  <c r="HC273" i="1"/>
  <c r="HB288" i="1"/>
  <c r="HB293" i="1"/>
  <c r="HB279" i="1"/>
  <c r="HB275" i="1"/>
  <c r="HB305" i="1"/>
  <c r="HA288" i="1"/>
  <c r="HA293" i="1"/>
  <c r="HA275" i="1"/>
  <c r="HA305" i="1"/>
  <c r="GZ288" i="1"/>
  <c r="GZ293" i="1"/>
  <c r="GZ275" i="1"/>
  <c r="GZ305" i="1"/>
  <c r="GY288" i="1"/>
  <c r="GY293" i="1"/>
  <c r="GY275" i="1"/>
  <c r="GY305" i="1"/>
  <c r="GX288" i="1"/>
  <c r="GX293" i="1"/>
  <c r="GX275" i="1"/>
  <c r="GX305" i="1"/>
  <c r="GW288" i="1"/>
  <c r="GW293" i="1"/>
  <c r="GW275" i="1"/>
  <c r="GW305" i="1"/>
  <c r="GV288" i="1"/>
  <c r="GV293" i="1"/>
  <c r="GV275" i="1"/>
  <c r="GV305" i="1"/>
  <c r="GU288" i="1"/>
  <c r="GU293" i="1"/>
  <c r="GU275" i="1"/>
  <c r="GU305" i="1"/>
  <c r="C279" i="1"/>
  <c r="C288" i="1"/>
  <c r="C293" i="1"/>
  <c r="JX306" i="1"/>
  <c r="JX305" i="1"/>
  <c r="JY306" i="1"/>
  <c r="JY305" i="1"/>
  <c r="IF305" i="1"/>
  <c r="GP666" i="1"/>
  <c r="JX667" i="1"/>
  <c r="HG673" i="1"/>
  <c r="HF681" i="1"/>
  <c r="HE681" i="1"/>
  <c r="HC681" i="1"/>
  <c r="HB681" i="1"/>
  <c r="GZ681" i="1"/>
  <c r="GW681" i="1"/>
  <c r="GV681" i="1"/>
  <c r="GU681" i="1"/>
  <c r="IE702" i="1"/>
  <c r="IE705" i="1"/>
  <c r="GQ705" i="1"/>
  <c r="ID702" i="1"/>
  <c r="ID705" i="1"/>
  <c r="HF702" i="1"/>
  <c r="HF705" i="1"/>
  <c r="HE702" i="1"/>
  <c r="HE705" i="1"/>
  <c r="HD702" i="1"/>
  <c r="HD705" i="1"/>
  <c r="HC702" i="1"/>
  <c r="HC705" i="1"/>
  <c r="HB702" i="1"/>
  <c r="HB705" i="1"/>
  <c r="HA702" i="1"/>
  <c r="HA705" i="1"/>
  <c r="GZ702" i="1"/>
  <c r="GZ705" i="1"/>
  <c r="GY702" i="1"/>
  <c r="GY705" i="1"/>
  <c r="GW702" i="1"/>
  <c r="GW705" i="1"/>
  <c r="GV702" i="1"/>
  <c r="GV705" i="1"/>
  <c r="GU702" i="1"/>
  <c r="GU705" i="1"/>
  <c r="IE725" i="1"/>
  <c r="GQ842" i="1"/>
  <c r="HG854" i="1"/>
  <c r="ID725" i="1"/>
  <c r="ID842" i="1"/>
  <c r="ID856" i="1"/>
  <c r="HF725" i="1"/>
  <c r="HF768" i="1"/>
  <c r="HF783" i="1"/>
  <c r="HF842" i="1"/>
  <c r="HF856" i="1"/>
  <c r="HE725" i="1"/>
  <c r="HE768" i="1"/>
  <c r="HE783" i="1"/>
  <c r="HE842" i="1"/>
  <c r="HE856" i="1"/>
  <c r="HD725" i="1"/>
  <c r="HD768" i="1"/>
  <c r="HD842" i="1"/>
  <c r="HD856" i="1"/>
  <c r="HC725" i="1"/>
  <c r="HC768" i="1"/>
  <c r="HC783" i="1"/>
  <c r="HC842" i="1"/>
  <c r="HC856" i="1"/>
  <c r="HB725" i="1"/>
  <c r="HB768" i="1"/>
  <c r="HB783" i="1"/>
  <c r="HB842" i="1"/>
  <c r="HB856" i="1"/>
  <c r="HA725" i="1"/>
  <c r="HA842" i="1"/>
  <c r="HA856" i="1"/>
  <c r="GZ725" i="1"/>
  <c r="GZ768" i="1"/>
  <c r="GZ783" i="1"/>
  <c r="GZ842" i="1"/>
  <c r="GZ856" i="1"/>
  <c r="GY725" i="1"/>
  <c r="GY768" i="1"/>
  <c r="GY842" i="1"/>
  <c r="GY856" i="1"/>
  <c r="GW725" i="1"/>
  <c r="GW768" i="1"/>
  <c r="GW783" i="1"/>
  <c r="GW842" i="1"/>
  <c r="GW856" i="1"/>
  <c r="GV725" i="1"/>
  <c r="GV768" i="1"/>
  <c r="GV783" i="1"/>
  <c r="GV842" i="1"/>
  <c r="GV856" i="1"/>
  <c r="GU725" i="1"/>
  <c r="GU768" i="1"/>
  <c r="GU783" i="1"/>
  <c r="GU842" i="1"/>
  <c r="GU856" i="1"/>
  <c r="GR784" i="1"/>
  <c r="GR796" i="1"/>
  <c r="GR831" i="1"/>
  <c r="GR839" i="1"/>
  <c r="GR853" i="1"/>
  <c r="GR746" i="1"/>
  <c r="GQ219" i="1"/>
  <c r="KA219" i="1"/>
  <c r="KA191" i="1"/>
  <c r="GQ165" i="1"/>
  <c r="GQ162" i="1"/>
  <c r="GP162" i="1"/>
  <c r="JZ162" i="1"/>
  <c r="GQ161" i="1"/>
  <c r="GP161" i="1"/>
  <c r="JZ161" i="1"/>
  <c r="GQ159" i="1"/>
  <c r="GP159" i="1"/>
  <c r="GQ158" i="1"/>
  <c r="KA158" i="1"/>
  <c r="GP158" i="1"/>
  <c r="JZ158" i="1"/>
  <c r="GQ157" i="1"/>
  <c r="GP157" i="1"/>
  <c r="JZ157" i="1"/>
  <c r="GQ156" i="1"/>
  <c r="KA156" i="1"/>
  <c r="GP156" i="1"/>
  <c r="GQ151" i="1"/>
  <c r="KA151" i="1"/>
  <c r="GQ146" i="1"/>
  <c r="KA146" i="1"/>
  <c r="GP146" i="1"/>
  <c r="JZ146" i="1"/>
  <c r="GQ145" i="1"/>
  <c r="KA145" i="1"/>
  <c r="GP145" i="1"/>
  <c r="JZ145" i="1"/>
  <c r="GQ144" i="1"/>
  <c r="KA144" i="1"/>
  <c r="GP144" i="1"/>
  <c r="JZ144" i="1"/>
  <c r="GQ143" i="1"/>
  <c r="KA143" i="1"/>
  <c r="GP143" i="1"/>
  <c r="JZ143" i="1"/>
  <c r="GQ142" i="1"/>
  <c r="KA142" i="1"/>
  <c r="GP142" i="1"/>
  <c r="GQ141" i="1"/>
  <c r="KA141" i="1"/>
  <c r="GP141" i="1"/>
  <c r="JZ141" i="1"/>
  <c r="GQ137" i="1"/>
  <c r="KA137" i="1"/>
  <c r="GP137" i="1"/>
  <c r="JZ137" i="1"/>
  <c r="GP132" i="1"/>
  <c r="JZ132" i="1"/>
  <c r="GQ128" i="1"/>
  <c r="KA128" i="1"/>
  <c r="GP128" i="1"/>
  <c r="GQ127" i="1"/>
  <c r="GP127" i="1"/>
  <c r="GQ126" i="1"/>
  <c r="KA126" i="1"/>
  <c r="GP126" i="1"/>
  <c r="GQ123" i="1"/>
  <c r="KA123" i="1"/>
  <c r="GP123" i="1"/>
  <c r="JZ123" i="1"/>
  <c r="GQ121" i="1"/>
  <c r="KA121" i="1"/>
  <c r="GP120" i="1"/>
  <c r="GQ119" i="1"/>
  <c r="GP119" i="1"/>
  <c r="JZ119" i="1"/>
  <c r="GQ116" i="1"/>
  <c r="KA116" i="1"/>
  <c r="GQ115" i="1"/>
  <c r="KA115" i="1"/>
  <c r="GP115" i="1"/>
  <c r="JZ115" i="1"/>
  <c r="GQ114" i="1"/>
  <c r="KA114" i="1"/>
  <c r="GP114" i="1"/>
  <c r="JZ114" i="1"/>
  <c r="GQ113" i="1"/>
  <c r="GP113" i="1"/>
  <c r="JZ113" i="1"/>
  <c r="GQ112" i="1"/>
  <c r="GP112" i="1"/>
  <c r="JZ112" i="1"/>
  <c r="GQ108" i="1"/>
  <c r="GP108" i="1"/>
  <c r="JZ108" i="1"/>
  <c r="GQ100" i="1"/>
  <c r="KA100" i="1"/>
  <c r="GP99" i="1"/>
  <c r="JZ99" i="1"/>
  <c r="GP98" i="1"/>
  <c r="JZ98" i="1"/>
  <c r="GQ91" i="1"/>
  <c r="KA91" i="1"/>
  <c r="GQ90" i="1"/>
  <c r="GQ89" i="1"/>
  <c r="KA89" i="1"/>
  <c r="GQ88" i="1"/>
  <c r="KA88" i="1"/>
  <c r="GQ87" i="1"/>
  <c r="GQ84" i="1"/>
  <c r="GQ64" i="1"/>
  <c r="GQ61" i="1"/>
  <c r="GQ59" i="1"/>
  <c r="KA59" i="1"/>
  <c r="GQ55" i="1"/>
  <c r="KA55" i="1"/>
  <c r="KA39" i="1"/>
  <c r="KA31" i="1"/>
  <c r="KA24" i="1"/>
  <c r="KA425" i="1"/>
  <c r="JY425" i="1"/>
  <c r="JW92" i="1"/>
  <c r="JV92" i="1"/>
  <c r="JU92" i="1"/>
  <c r="JR92" i="1"/>
  <c r="JQ92" i="1"/>
  <c r="JP92" i="1"/>
  <c r="JN92" i="1"/>
  <c r="JM92" i="1"/>
  <c r="JL92" i="1"/>
  <c r="JK92" i="1"/>
  <c r="JJ92" i="1"/>
  <c r="JJ86" i="1"/>
  <c r="JI92" i="1"/>
  <c r="JH92" i="1"/>
  <c r="JG92" i="1"/>
  <c r="JF92" i="1"/>
  <c r="JE92" i="1"/>
  <c r="JD92" i="1"/>
  <c r="JC92" i="1"/>
  <c r="JB92" i="1"/>
  <c r="JB87" i="1"/>
  <c r="JB88" i="1"/>
  <c r="JB89" i="1"/>
  <c r="JB90" i="1"/>
  <c r="JB91" i="1"/>
  <c r="JB86" i="1"/>
  <c r="JA92" i="1"/>
  <c r="IZ92" i="1"/>
  <c r="IY92" i="1"/>
  <c r="IX92" i="1"/>
  <c r="IX86" i="1"/>
  <c r="IW92" i="1"/>
  <c r="IV92" i="1"/>
  <c r="IU92" i="1"/>
  <c r="IS92" i="1"/>
  <c r="IR92" i="1"/>
  <c r="IO92" i="1"/>
  <c r="IM92" i="1"/>
  <c r="IL92" i="1"/>
  <c r="IK92" i="1"/>
  <c r="IJ92" i="1"/>
  <c r="II92" i="1"/>
  <c r="IE92" i="1"/>
  <c r="IE86" i="1"/>
  <c r="ID92" i="1"/>
  <c r="IC92" i="1"/>
  <c r="IB92" i="1"/>
  <c r="IA92" i="1"/>
  <c r="HZ92" i="1"/>
  <c r="HY92" i="1"/>
  <c r="HX92" i="1"/>
  <c r="HW92" i="1"/>
  <c r="HW86" i="1"/>
  <c r="HV92" i="1"/>
  <c r="HU92" i="1"/>
  <c r="HS92" i="1"/>
  <c r="HQ92" i="1"/>
  <c r="HO92" i="1"/>
  <c r="HN92" i="1"/>
  <c r="HM92" i="1"/>
  <c r="HL92" i="1"/>
  <c r="HK92" i="1"/>
  <c r="HJ92" i="1"/>
  <c r="HI92" i="1"/>
  <c r="HH92" i="1"/>
  <c r="HH86" i="1"/>
  <c r="HF92" i="1"/>
  <c r="HE92" i="1"/>
  <c r="HD92" i="1"/>
  <c r="HC92" i="1"/>
  <c r="HC86" i="1"/>
  <c r="HB92" i="1"/>
  <c r="HA92" i="1"/>
  <c r="HA86" i="1"/>
  <c r="GZ92" i="1"/>
  <c r="GZ86" i="1"/>
  <c r="GY92" i="1"/>
  <c r="GY86" i="1"/>
  <c r="GX92" i="1"/>
  <c r="GX86" i="1"/>
  <c r="GW92" i="1"/>
  <c r="GW86" i="1"/>
  <c r="GV92" i="1"/>
  <c r="GV86" i="1"/>
  <c r="JW305" i="1"/>
  <c r="JW273" i="1"/>
  <c r="JV305" i="1"/>
  <c r="JU305" i="1"/>
  <c r="JR305" i="1"/>
  <c r="JQ305" i="1"/>
  <c r="JP305" i="1"/>
  <c r="IE305" i="1"/>
  <c r="ID305" i="1"/>
  <c r="HF305" i="1"/>
  <c r="C305" i="1"/>
  <c r="JY780" i="1"/>
  <c r="JX780" i="1"/>
  <c r="KC243" i="1"/>
  <c r="KC239" i="1"/>
  <c r="KC235" i="1"/>
  <c r="KC211" i="1"/>
  <c r="KC183" i="1"/>
  <c r="KC181" i="1"/>
  <c r="KC166" i="1"/>
  <c r="KC164" i="1"/>
  <c r="KC154" i="1"/>
  <c r="KC148" i="1"/>
  <c r="KC138" i="1"/>
  <c r="KC130" i="1"/>
  <c r="KC124" i="1"/>
  <c r="KC110" i="1"/>
  <c r="KC105" i="1"/>
  <c r="KC103" i="1"/>
  <c r="KC93" i="1"/>
  <c r="KC85" i="1"/>
  <c r="KC81" i="1"/>
  <c r="KC71" i="1"/>
  <c r="JY674" i="1"/>
  <c r="JY844" i="1"/>
  <c r="JY843" i="1"/>
  <c r="JY841" i="1"/>
  <c r="JY839" i="1"/>
  <c r="JY838" i="1"/>
  <c r="JY836" i="1"/>
  <c r="JY835" i="1"/>
  <c r="JY833" i="1"/>
  <c r="JY826" i="1"/>
  <c r="JY822" i="1"/>
  <c r="JY821" i="1"/>
  <c r="JY820" i="1"/>
  <c r="JY817" i="1"/>
  <c r="JY813" i="1"/>
  <c r="JY810" i="1"/>
  <c r="JY808" i="1"/>
  <c r="JY807" i="1"/>
  <c r="JY805" i="1"/>
  <c r="JY804" i="1"/>
  <c r="JY801" i="1"/>
  <c r="JY799" i="1"/>
  <c r="JY797" i="1"/>
  <c r="JY796" i="1"/>
  <c r="JY795" i="1"/>
  <c r="JY792" i="1"/>
  <c r="JY789" i="1"/>
  <c r="JY786" i="1"/>
  <c r="JY784" i="1"/>
  <c r="JY782" i="1"/>
  <c r="JY773" i="1"/>
  <c r="JY767" i="1"/>
  <c r="JY765" i="1"/>
  <c r="JY763" i="1"/>
  <c r="JY748" i="1"/>
  <c r="JY745" i="1"/>
  <c r="JY743" i="1"/>
  <c r="JY737" i="1"/>
  <c r="JY727" i="1"/>
  <c r="JY726" i="1"/>
  <c r="JY724" i="1"/>
  <c r="JY722" i="1"/>
  <c r="JY706" i="1"/>
  <c r="JY704" i="1"/>
  <c r="JY703" i="1"/>
  <c r="KC692" i="1"/>
  <c r="JY684" i="1"/>
  <c r="JY683" i="1"/>
  <c r="JY680" i="1"/>
  <c r="JY678" i="1"/>
  <c r="JY675" i="1"/>
  <c r="JY673" i="1"/>
  <c r="JY670" i="1"/>
  <c r="JY668" i="1"/>
  <c r="JY667" i="1"/>
  <c r="JY665" i="1"/>
  <c r="KC650" i="1"/>
  <c r="KC365" i="1"/>
  <c r="KC328" i="1"/>
  <c r="KC321" i="1"/>
  <c r="KC292" i="1"/>
  <c r="KC287" i="1"/>
  <c r="KC266" i="1"/>
  <c r="KC264" i="1"/>
  <c r="KC254" i="1"/>
  <c r="KC245" i="1"/>
  <c r="KC241" i="1"/>
  <c r="KC223" i="1"/>
  <c r="KC217" i="1"/>
  <c r="KC194" i="1"/>
  <c r="KC192" i="1"/>
  <c r="KC190" i="1"/>
  <c r="KC188" i="1"/>
  <c r="KC186" i="1"/>
  <c r="KC178" i="1"/>
  <c r="KC173" i="1"/>
  <c r="KC171" i="1"/>
  <c r="KC117" i="1"/>
  <c r="KC76" i="1"/>
  <c r="KC66" i="1"/>
  <c r="KC62" i="1"/>
  <c r="KC60" i="1"/>
  <c r="KC51" i="1"/>
  <c r="KC45" i="1"/>
  <c r="KC43" i="1"/>
  <c r="KC37" i="1"/>
  <c r="KC35" i="1"/>
  <c r="KC29" i="1"/>
  <c r="KC27" i="1"/>
  <c r="KC25" i="1"/>
  <c r="KC20" i="1"/>
  <c r="KC15" i="1"/>
  <c r="KC13" i="1"/>
  <c r="KC11" i="1"/>
  <c r="KA855" i="1"/>
  <c r="JZ855" i="1"/>
  <c r="JZ848" i="1"/>
  <c r="KA844" i="1"/>
  <c r="JZ844" i="1"/>
  <c r="KA841" i="1"/>
  <c r="JZ841" i="1"/>
  <c r="KA826" i="1"/>
  <c r="JZ826" i="1"/>
  <c r="KB826" i="1"/>
  <c r="KC826" i="1"/>
  <c r="JZ792" i="1"/>
  <c r="KA789" i="1"/>
  <c r="JZ789" i="1"/>
  <c r="KB789" i="1"/>
  <c r="KC789" i="1"/>
  <c r="KA782" i="1"/>
  <c r="JZ782" i="1"/>
  <c r="KA767" i="1"/>
  <c r="JZ767" i="1"/>
  <c r="KA765" i="1"/>
  <c r="JZ765" i="1"/>
  <c r="KA763" i="1"/>
  <c r="JZ763" i="1"/>
  <c r="KA737" i="1"/>
  <c r="JZ737" i="1"/>
  <c r="KA727" i="1"/>
  <c r="JZ727" i="1"/>
  <c r="KB727" i="1"/>
  <c r="KC727" i="1"/>
  <c r="KA724" i="1"/>
  <c r="JZ724" i="1"/>
  <c r="KA722" i="1"/>
  <c r="JZ722" i="1"/>
  <c r="KA720" i="1"/>
  <c r="JZ720" i="1"/>
  <c r="KA704" i="1"/>
  <c r="JZ704" i="1"/>
  <c r="KB704" i="1"/>
  <c r="KC704" i="1"/>
  <c r="KA684" i="1"/>
  <c r="JZ684" i="1"/>
  <c r="KA680" i="1"/>
  <c r="JZ680" i="1"/>
  <c r="KB680" i="1"/>
  <c r="KC680" i="1"/>
  <c r="KA668" i="1"/>
  <c r="JZ668" i="1"/>
  <c r="KA665" i="1"/>
  <c r="JZ665" i="1"/>
  <c r="KB665" i="1"/>
  <c r="KC665" i="1"/>
  <c r="KA650" i="1"/>
  <c r="JZ650" i="1"/>
  <c r="KA644" i="1"/>
  <c r="JZ644" i="1"/>
  <c r="KA642" i="1"/>
  <c r="JZ642" i="1"/>
  <c r="KA640" i="1"/>
  <c r="JZ640" i="1"/>
  <c r="KB640" i="1"/>
  <c r="KC640" i="1"/>
  <c r="KA636" i="1"/>
  <c r="JZ636" i="1"/>
  <c r="KA633" i="1"/>
  <c r="JZ633" i="1"/>
  <c r="KB633" i="1"/>
  <c r="KC633" i="1"/>
  <c r="KA631" i="1"/>
  <c r="JZ631" i="1"/>
  <c r="KA629" i="1"/>
  <c r="JZ629" i="1"/>
  <c r="KB629" i="1"/>
  <c r="KC629" i="1"/>
  <c r="KA627" i="1"/>
  <c r="JZ627" i="1"/>
  <c r="KB627" i="1"/>
  <c r="KC627" i="1"/>
  <c r="KA624" i="1"/>
  <c r="JZ624" i="1"/>
  <c r="KA620" i="1"/>
  <c r="JZ620" i="1"/>
  <c r="KA618" i="1"/>
  <c r="JZ618" i="1"/>
  <c r="KA615" i="1"/>
  <c r="JZ615" i="1"/>
  <c r="KA612" i="1"/>
  <c r="JZ612" i="1"/>
  <c r="KA610" i="1"/>
  <c r="JZ610" i="1"/>
  <c r="KA608" i="1"/>
  <c r="JZ608" i="1"/>
  <c r="KA605" i="1"/>
  <c r="JZ605" i="1"/>
  <c r="KA599" i="1"/>
  <c r="JZ599" i="1"/>
  <c r="KB599" i="1"/>
  <c r="KC599" i="1"/>
  <c r="KA597" i="1"/>
  <c r="JZ597" i="1"/>
  <c r="KA591" i="1"/>
  <c r="JZ591" i="1"/>
  <c r="KA589" i="1"/>
  <c r="JZ589" i="1"/>
  <c r="KA584" i="1"/>
  <c r="JZ584" i="1"/>
  <c r="KB584" i="1"/>
  <c r="KC584" i="1"/>
  <c r="KA580" i="1"/>
  <c r="JZ580" i="1"/>
  <c r="KA578" i="1"/>
  <c r="JZ578" i="1"/>
  <c r="KA576" i="1"/>
  <c r="JZ576" i="1"/>
  <c r="KA574" i="1"/>
  <c r="JZ574" i="1"/>
  <c r="KB574" i="1"/>
  <c r="KC574" i="1"/>
  <c r="KA570" i="1"/>
  <c r="JZ570" i="1"/>
  <c r="KA568" i="1"/>
  <c r="JZ568" i="1"/>
  <c r="KA566" i="1"/>
  <c r="JZ566" i="1"/>
  <c r="KA562" i="1"/>
  <c r="JZ562" i="1"/>
  <c r="KA557" i="1"/>
  <c r="JZ557" i="1"/>
  <c r="KA554" i="1"/>
  <c r="JZ554" i="1"/>
  <c r="KA548" i="1"/>
  <c r="JZ548" i="1"/>
  <c r="KA542" i="1"/>
  <c r="JZ542" i="1"/>
  <c r="KA540" i="1"/>
  <c r="JZ540" i="1"/>
  <c r="KA534" i="1"/>
  <c r="JZ534" i="1"/>
  <c r="KA529" i="1"/>
  <c r="JZ529" i="1"/>
  <c r="KA525" i="1"/>
  <c r="JZ525" i="1"/>
  <c r="KA523" i="1"/>
  <c r="JZ523" i="1"/>
  <c r="KA521" i="1"/>
  <c r="JZ521" i="1"/>
  <c r="KA519" i="1"/>
  <c r="JZ519" i="1"/>
  <c r="KA517" i="1"/>
  <c r="JZ517" i="1"/>
  <c r="KA515" i="1"/>
  <c r="JZ515" i="1"/>
  <c r="KA513" i="1"/>
  <c r="JZ513" i="1"/>
  <c r="KA511" i="1"/>
  <c r="JZ511" i="1"/>
  <c r="KA506" i="1"/>
  <c r="JZ506" i="1"/>
  <c r="KA504" i="1"/>
  <c r="JZ504" i="1"/>
  <c r="KA499" i="1"/>
  <c r="JZ499" i="1"/>
  <c r="KA497" i="1"/>
  <c r="JZ497" i="1"/>
  <c r="KA487" i="1"/>
  <c r="JZ487" i="1"/>
  <c r="KA481" i="1"/>
  <c r="JZ481" i="1"/>
  <c r="KA471" i="1"/>
  <c r="JZ471" i="1"/>
  <c r="KA463" i="1"/>
  <c r="JZ463" i="1"/>
  <c r="KA457" i="1"/>
  <c r="JZ457" i="1"/>
  <c r="KA450" i="1"/>
  <c r="JZ450" i="1"/>
  <c r="KA443" i="1"/>
  <c r="JZ443" i="1"/>
  <c r="KA438" i="1"/>
  <c r="JZ438" i="1"/>
  <c r="KA436" i="1"/>
  <c r="JZ436" i="1"/>
  <c r="KA426" i="1"/>
  <c r="JZ426" i="1"/>
  <c r="KA418" i="1"/>
  <c r="JZ418" i="1"/>
  <c r="KA410" i="1"/>
  <c r="JZ410" i="1"/>
  <c r="KA405" i="1"/>
  <c r="JZ405" i="1"/>
  <c r="KA400" i="1"/>
  <c r="JZ400" i="1"/>
  <c r="KA396" i="1"/>
  <c r="JZ396" i="1"/>
  <c r="KA394" i="1"/>
  <c r="JZ394" i="1"/>
  <c r="KA385" i="1"/>
  <c r="JZ385" i="1"/>
  <c r="KA379" i="1"/>
  <c r="JZ379" i="1"/>
  <c r="KA377" i="1"/>
  <c r="JZ377" i="1"/>
  <c r="KA374" i="1"/>
  <c r="JZ374" i="1"/>
  <c r="KA372" i="1"/>
  <c r="JZ372" i="1"/>
  <c r="JZ371" i="1"/>
  <c r="KA370" i="1"/>
  <c r="JZ370" i="1"/>
  <c r="KA367" i="1"/>
  <c r="JZ367" i="1"/>
  <c r="KA365" i="1"/>
  <c r="JZ365" i="1"/>
  <c r="KA363" i="1"/>
  <c r="JZ363" i="1"/>
  <c r="KA360" i="1"/>
  <c r="JZ360" i="1"/>
  <c r="KA353" i="1"/>
  <c r="JZ353" i="1"/>
  <c r="KA348" i="1"/>
  <c r="JZ348" i="1"/>
  <c r="KA346" i="1"/>
  <c r="JZ346" i="1"/>
  <c r="KA344" i="1"/>
  <c r="JZ344" i="1"/>
  <c r="KA342" i="1"/>
  <c r="JZ342" i="1"/>
  <c r="KA340" i="1"/>
  <c r="JZ340" i="1"/>
  <c r="KA338" i="1"/>
  <c r="JZ338" i="1"/>
  <c r="KA336" i="1"/>
  <c r="JZ336" i="1"/>
  <c r="KA334" i="1"/>
  <c r="JZ334" i="1"/>
  <c r="KA332" i="1"/>
  <c r="JZ332" i="1"/>
  <c r="KA330" i="1"/>
  <c r="JZ330" i="1"/>
  <c r="KA328" i="1"/>
  <c r="JZ328" i="1"/>
  <c r="KA321" i="1"/>
  <c r="JZ321" i="1"/>
  <c r="KA318" i="1"/>
  <c r="JZ318" i="1"/>
  <c r="KA309" i="1"/>
  <c r="JZ309" i="1"/>
  <c r="KA307" i="1"/>
  <c r="JZ307" i="1"/>
  <c r="KA292" i="1"/>
  <c r="JZ292" i="1"/>
  <c r="KA287" i="1"/>
  <c r="JZ287" i="1"/>
  <c r="KA278" i="1"/>
  <c r="JZ278" i="1"/>
  <c r="KA274" i="1"/>
  <c r="JZ274" i="1"/>
  <c r="KA272" i="1"/>
  <c r="JZ272" i="1"/>
  <c r="KA266" i="1"/>
  <c r="JZ266" i="1"/>
  <c r="KA264" i="1"/>
  <c r="JZ264" i="1"/>
  <c r="KA258" i="1"/>
  <c r="JZ258" i="1"/>
  <c r="KA256" i="1"/>
  <c r="JZ256" i="1"/>
  <c r="KA254" i="1"/>
  <c r="JZ254" i="1"/>
  <c r="KA250" i="1"/>
  <c r="JZ250" i="1"/>
  <c r="KA245" i="1"/>
  <c r="JZ245" i="1"/>
  <c r="KA243" i="1"/>
  <c r="JZ243" i="1"/>
  <c r="KA241" i="1"/>
  <c r="JZ241" i="1"/>
  <c r="KA239" i="1"/>
  <c r="JZ239" i="1"/>
  <c r="KA226" i="1"/>
  <c r="JZ226" i="1"/>
  <c r="KA223" i="1"/>
  <c r="JZ223" i="1"/>
  <c r="KA217" i="1"/>
  <c r="JZ217" i="1"/>
  <c r="KA211" i="1"/>
  <c r="JZ211" i="1"/>
  <c r="KA209" i="1"/>
  <c r="JZ209" i="1"/>
  <c r="KA203" i="1"/>
  <c r="JZ203" i="1"/>
  <c r="KA198" i="1"/>
  <c r="JZ198" i="1"/>
  <c r="KA194" i="1"/>
  <c r="JZ194" i="1"/>
  <c r="KA192" i="1"/>
  <c r="JZ192" i="1"/>
  <c r="KA190" i="1"/>
  <c r="JZ190" i="1"/>
  <c r="KA188" i="1"/>
  <c r="JZ188" i="1"/>
  <c r="KA186" i="1"/>
  <c r="JZ186" i="1"/>
  <c r="KA183" i="1"/>
  <c r="JZ183" i="1"/>
  <c r="KA181" i="1"/>
  <c r="JZ181" i="1"/>
  <c r="KA178" i="1"/>
  <c r="JZ178" i="1"/>
  <c r="KA173" i="1"/>
  <c r="JZ173" i="1"/>
  <c r="KA171" i="1"/>
  <c r="JZ171" i="1"/>
  <c r="KA166" i="1"/>
  <c r="JZ166" i="1"/>
  <c r="KA164" i="1"/>
  <c r="JZ164" i="1"/>
  <c r="KA154" i="1"/>
  <c r="JZ154" i="1"/>
  <c r="KA148" i="1"/>
  <c r="JZ148" i="1"/>
  <c r="KA138" i="1"/>
  <c r="JZ138" i="1"/>
  <c r="KA130" i="1"/>
  <c r="JZ130" i="1"/>
  <c r="KA124" i="1"/>
  <c r="JZ124" i="1"/>
  <c r="KA117" i="1"/>
  <c r="JZ117" i="1"/>
  <c r="KA110" i="1"/>
  <c r="JZ110" i="1"/>
  <c r="KA105" i="1"/>
  <c r="JZ105" i="1"/>
  <c r="KA103" i="1"/>
  <c r="JZ103" i="1"/>
  <c r="KA93" i="1"/>
  <c r="JZ93" i="1"/>
  <c r="KA85" i="1"/>
  <c r="JZ85" i="1"/>
  <c r="KA81" i="1"/>
  <c r="JZ81" i="1"/>
  <c r="KA76" i="1"/>
  <c r="JZ76" i="1"/>
  <c r="KA71" i="1"/>
  <c r="JZ71" i="1"/>
  <c r="KA66" i="1"/>
  <c r="JZ66" i="1"/>
  <c r="KA62" i="1"/>
  <c r="JZ62" i="1"/>
  <c r="KA60" i="1"/>
  <c r="JZ60" i="1"/>
  <c r="KA51" i="1"/>
  <c r="JZ51" i="1"/>
  <c r="KA45" i="1"/>
  <c r="JZ45" i="1"/>
  <c r="KA43" i="1"/>
  <c r="JZ43" i="1"/>
  <c r="KA37" i="1"/>
  <c r="JZ37" i="1"/>
  <c r="KA35" i="1"/>
  <c r="JZ35" i="1"/>
  <c r="KA29" i="1"/>
  <c r="JZ29" i="1"/>
  <c r="KA27" i="1"/>
  <c r="JZ27" i="1"/>
  <c r="KA25" i="1"/>
  <c r="JZ25" i="1"/>
  <c r="KA20" i="1"/>
  <c r="JZ20" i="1"/>
  <c r="KA15" i="1"/>
  <c r="JZ15" i="1"/>
  <c r="KA13" i="1"/>
  <c r="JZ13" i="1"/>
  <c r="KA11" i="1"/>
  <c r="JZ11" i="1"/>
  <c r="KC871" i="1"/>
  <c r="JY781" i="1"/>
  <c r="Y25" i="12"/>
  <c r="JZ838" i="1"/>
  <c r="JZ830" i="1"/>
  <c r="JZ829" i="1"/>
  <c r="JZ817" i="1"/>
  <c r="JZ791" i="1"/>
  <c r="JZ788" i="1"/>
  <c r="JZ786" i="1"/>
  <c r="JZ772" i="1"/>
  <c r="JZ769" i="1"/>
  <c r="KA736" i="1"/>
  <c r="KB736" i="1"/>
  <c r="KC736" i="1"/>
  <c r="KA733" i="1"/>
  <c r="KA731" i="1"/>
  <c r="KA729" i="1"/>
  <c r="KA706" i="1"/>
  <c r="KA705" i="1"/>
  <c r="KA703" i="1"/>
  <c r="KA682" i="1"/>
  <c r="KA681" i="1"/>
  <c r="KA667" i="1"/>
  <c r="KA647" i="1"/>
  <c r="KA643" i="1"/>
  <c r="KA641" i="1"/>
  <c r="KA639" i="1"/>
  <c r="KA635" i="1"/>
  <c r="KA626" i="1"/>
  <c r="KA623" i="1"/>
  <c r="KA616" i="1"/>
  <c r="JZ607" i="1"/>
  <c r="KA604" i="1"/>
  <c r="KA602" i="1"/>
  <c r="KA598" i="1"/>
  <c r="KA596" i="1"/>
  <c r="KA594" i="1"/>
  <c r="KA593" i="1"/>
  <c r="KA590" i="1"/>
  <c r="KA587" i="1"/>
  <c r="KA586" i="1"/>
  <c r="JZ586" i="1"/>
  <c r="KA582" i="1"/>
  <c r="KA572" i="1"/>
  <c r="KA561" i="1"/>
  <c r="KA553" i="1"/>
  <c r="KA552" i="1"/>
  <c r="KA551" i="1"/>
  <c r="KA546" i="1"/>
  <c r="KA544" i="1"/>
  <c r="KA524" i="1"/>
  <c r="KA522" i="1"/>
  <c r="KA518" i="1"/>
  <c r="KA514" i="1"/>
  <c r="JZ514" i="1"/>
  <c r="KA510" i="1"/>
  <c r="JZ498" i="1"/>
  <c r="KA496" i="1"/>
  <c r="JZ495" i="1"/>
  <c r="KA494" i="1"/>
  <c r="JZ494" i="1"/>
  <c r="KA491" i="1"/>
  <c r="KA490" i="1"/>
  <c r="KA489" i="1"/>
  <c r="KA486" i="1"/>
  <c r="KA485" i="1"/>
  <c r="KA484" i="1"/>
  <c r="KA483" i="1"/>
  <c r="KA480" i="1"/>
  <c r="KA478" i="1"/>
  <c r="KA476" i="1"/>
  <c r="KA475" i="1"/>
  <c r="KA470" i="1"/>
  <c r="KA467" i="1"/>
  <c r="KA462" i="1"/>
  <c r="KA461" i="1"/>
  <c r="KA459" i="1"/>
  <c r="KA456" i="1"/>
  <c r="KA455" i="1"/>
  <c r="KA454" i="1"/>
  <c r="KA453" i="1"/>
  <c r="KA452" i="1"/>
  <c r="KA448" i="1"/>
  <c r="KA447" i="1"/>
  <c r="KA446" i="1"/>
  <c r="KA445" i="1"/>
  <c r="KA440" i="1"/>
  <c r="KA432" i="1"/>
  <c r="KA430" i="1"/>
  <c r="JZ429" i="1"/>
  <c r="KA424" i="1"/>
  <c r="KA423" i="1"/>
  <c r="KA422" i="1"/>
  <c r="JZ421" i="1"/>
  <c r="KA414" i="1"/>
  <c r="JZ414" i="1"/>
  <c r="KA413" i="1"/>
  <c r="JZ413" i="1"/>
  <c r="KA409" i="1"/>
  <c r="KA408" i="1"/>
  <c r="KA404" i="1"/>
  <c r="KA403" i="1"/>
  <c r="KA402" i="1"/>
  <c r="KA398" i="1"/>
  <c r="KA395" i="1"/>
  <c r="KA393" i="1"/>
  <c r="KA392" i="1"/>
  <c r="JZ391" i="1"/>
  <c r="KA387" i="1"/>
  <c r="KA384" i="1"/>
  <c r="KA376" i="1"/>
  <c r="KA371" i="1"/>
  <c r="KA369" i="1"/>
  <c r="KA362" i="1"/>
  <c r="KA359" i="1"/>
  <c r="JZ282" i="1"/>
  <c r="KA270" i="1"/>
  <c r="KA268" i="1"/>
  <c r="KA263" i="1"/>
  <c r="KA262" i="1"/>
  <c r="KA261" i="1"/>
  <c r="KA260" i="1"/>
  <c r="JZ255" i="1"/>
  <c r="KA253" i="1"/>
  <c r="KA252" i="1"/>
  <c r="T64" i="12"/>
  <c r="V64" i="12"/>
  <c r="X64" i="12"/>
  <c r="JX462" i="1"/>
  <c r="JS440" i="1"/>
  <c r="HR75" i="1"/>
  <c r="HR73" i="1"/>
  <c r="C380" i="1"/>
  <c r="GR646" i="1"/>
  <c r="GR572" i="1"/>
  <c r="JQ845" i="1"/>
  <c r="JP845" i="1"/>
  <c r="JQ790" i="1"/>
  <c r="JP790" i="1"/>
  <c r="IE845" i="1"/>
  <c r="ID845" i="1"/>
  <c r="ID666" i="1"/>
  <c r="IE666" i="1"/>
  <c r="IE293" i="1"/>
  <c r="ID293" i="1"/>
  <c r="IE288" i="1"/>
  <c r="ID288" i="1"/>
  <c r="IE790" i="1"/>
  <c r="ID790" i="1"/>
  <c r="JX421" i="1"/>
  <c r="I11" i="13"/>
  <c r="F57" i="12"/>
  <c r="F56" i="12"/>
  <c r="F55" i="12"/>
  <c r="H21" i="13"/>
  <c r="H16" i="13"/>
  <c r="F23" i="12"/>
  <c r="HQ74" i="1"/>
  <c r="JY311" i="1"/>
  <c r="JY107" i="1"/>
  <c r="JY106" i="1"/>
  <c r="HQ153" i="1"/>
  <c r="JY265" i="1"/>
  <c r="X66" i="12"/>
  <c r="JY682" i="1"/>
  <c r="JY681" i="1"/>
  <c r="JY746" i="1"/>
  <c r="JY772" i="1"/>
  <c r="JY770" i="1"/>
  <c r="JY823" i="1"/>
  <c r="JY837" i="1"/>
  <c r="JY832" i="1"/>
  <c r="JY831" i="1"/>
  <c r="JY818" i="1"/>
  <c r="JY816" i="1"/>
  <c r="JY815" i="1"/>
  <c r="JY814" i="1"/>
  <c r="JY812" i="1"/>
  <c r="JY811" i="1"/>
  <c r="JY806" i="1"/>
  <c r="JY798" i="1"/>
  <c r="JY794" i="1"/>
  <c r="JY793" i="1"/>
  <c r="JY788" i="1"/>
  <c r="JY769" i="1"/>
  <c r="IU137" i="1"/>
  <c r="IU134" i="1"/>
  <c r="C666" i="1"/>
  <c r="KI20" i="1"/>
  <c r="KI60" i="1"/>
  <c r="GR522" i="1"/>
  <c r="KI16" i="1"/>
  <c r="KI57" i="1"/>
  <c r="HG726" i="1"/>
  <c r="HG683" i="1"/>
  <c r="HG622" i="1"/>
  <c r="HG83" i="1"/>
  <c r="HG573" i="1"/>
  <c r="JS573" i="1"/>
  <c r="HG572" i="1"/>
  <c r="HG565" i="1"/>
  <c r="HG238" i="1"/>
  <c r="HG564" i="1"/>
  <c r="HG237" i="1"/>
  <c r="HG236" i="1"/>
  <c r="HG559" i="1"/>
  <c r="HG556" i="1"/>
  <c r="HG225" i="1"/>
  <c r="HG551" i="1"/>
  <c r="HG550" i="1"/>
  <c r="HG546" i="1"/>
  <c r="JS546" i="1"/>
  <c r="HG528" i="1"/>
  <c r="HG197" i="1"/>
  <c r="HG195" i="1"/>
  <c r="HG527" i="1"/>
  <c r="HG196" i="1"/>
  <c r="JS518" i="1"/>
  <c r="HG516" i="1"/>
  <c r="HG512" i="1"/>
  <c r="JS510" i="1"/>
  <c r="HG509" i="1"/>
  <c r="HG503" i="1"/>
  <c r="HG502" i="1"/>
  <c r="HG169" i="1"/>
  <c r="HG501" i="1"/>
  <c r="HG500" i="1"/>
  <c r="JS492" i="1"/>
  <c r="JS159" i="1"/>
  <c r="HG483" i="1"/>
  <c r="HG466" i="1"/>
  <c r="HG133" i="1"/>
  <c r="HG465" i="1"/>
  <c r="HG461" i="1"/>
  <c r="HG456" i="1"/>
  <c r="HG123" i="1"/>
  <c r="HG455" i="1"/>
  <c r="HG449" i="1"/>
  <c r="HG435" i="1"/>
  <c r="HG102" i="1"/>
  <c r="HG434" i="1"/>
  <c r="HG433" i="1"/>
  <c r="JS433" i="1"/>
  <c r="HG432" i="1"/>
  <c r="HG431" i="1"/>
  <c r="HG430" i="1"/>
  <c r="HG429" i="1"/>
  <c r="HG96" i="1"/>
  <c r="HG428" i="1"/>
  <c r="HG412" i="1"/>
  <c r="HG397" i="1"/>
  <c r="HG398" i="1"/>
  <c r="HG389" i="1"/>
  <c r="HG383" i="1"/>
  <c r="HG49" i="1"/>
  <c r="HG382" i="1"/>
  <c r="HG381" i="1"/>
  <c r="IS205" i="1"/>
  <c r="IS204" i="1"/>
  <c r="IS199" i="1"/>
  <c r="IS165" i="1"/>
  <c r="IT162" i="1"/>
  <c r="IT161" i="1"/>
  <c r="IT159" i="1"/>
  <c r="IT146" i="1"/>
  <c r="IS143" i="1"/>
  <c r="IS137" i="1"/>
  <c r="IT127" i="1"/>
  <c r="IS113" i="1"/>
  <c r="IG100" i="1"/>
  <c r="IS99" i="1"/>
  <c r="IS96" i="1"/>
  <c r="IT90" i="1"/>
  <c r="IG89" i="1"/>
  <c r="IG87" i="1"/>
  <c r="IS57" i="1"/>
  <c r="IS54" i="1"/>
  <c r="IS53" i="1"/>
  <c r="IS49" i="1"/>
  <c r="IS47" i="1"/>
  <c r="GP585" i="1"/>
  <c r="JZ585" i="1"/>
  <c r="GQ444" i="1"/>
  <c r="KA444" i="1"/>
  <c r="GP592" i="1"/>
  <c r="GP451" i="1"/>
  <c r="JZ451" i="1"/>
  <c r="GP397" i="1"/>
  <c r="JZ397" i="1"/>
  <c r="JX836" i="1"/>
  <c r="JR24" i="1"/>
  <c r="JQ24" i="1"/>
  <c r="JP24" i="1"/>
  <c r="JN24" i="1"/>
  <c r="JM24" i="1"/>
  <c r="JL24" i="1"/>
  <c r="JK24" i="1"/>
  <c r="JJ24" i="1"/>
  <c r="JI24" i="1"/>
  <c r="JH24" i="1"/>
  <c r="JG24" i="1"/>
  <c r="JF24" i="1"/>
  <c r="JE24" i="1"/>
  <c r="JD24" i="1"/>
  <c r="JC24" i="1"/>
  <c r="JB24" i="1"/>
  <c r="JA24" i="1"/>
  <c r="IZ24" i="1"/>
  <c r="IY24" i="1"/>
  <c r="IX24" i="1"/>
  <c r="IW24" i="1"/>
  <c r="IV24" i="1"/>
  <c r="IU24" i="1"/>
  <c r="IR24" i="1"/>
  <c r="IQ24" i="1"/>
  <c r="IP24" i="1"/>
  <c r="IO24" i="1"/>
  <c r="IN24" i="1"/>
  <c r="IM24" i="1"/>
  <c r="IL24" i="1"/>
  <c r="IK24" i="1"/>
  <c r="IJ24" i="1"/>
  <c r="II24" i="1"/>
  <c r="IE24" i="1"/>
  <c r="ID24" i="1"/>
  <c r="IC24" i="1"/>
  <c r="IB24" i="1"/>
  <c r="IA24" i="1"/>
  <c r="HZ24" i="1"/>
  <c r="HY24" i="1"/>
  <c r="HX24" i="1"/>
  <c r="HW24" i="1"/>
  <c r="HV24" i="1"/>
  <c r="HU24" i="1"/>
  <c r="HT24" i="1"/>
  <c r="HS24" i="1"/>
  <c r="HR24" i="1"/>
  <c r="HQ24" i="1"/>
  <c r="HP24" i="1"/>
  <c r="HO24" i="1"/>
  <c r="HN24" i="1"/>
  <c r="HM24" i="1"/>
  <c r="HL24" i="1"/>
  <c r="HK24" i="1"/>
  <c r="HJ24" i="1"/>
  <c r="HI24" i="1"/>
  <c r="HH24" i="1"/>
  <c r="HF24" i="1"/>
  <c r="HE24" i="1"/>
  <c r="HD24" i="1"/>
  <c r="HC24" i="1"/>
  <c r="HB24" i="1"/>
  <c r="HA24" i="1"/>
  <c r="GZ24" i="1"/>
  <c r="GY24" i="1"/>
  <c r="GX24" i="1"/>
  <c r="GW24" i="1"/>
  <c r="GV24" i="1"/>
  <c r="GU24" i="1"/>
  <c r="JR585" i="1"/>
  <c r="JQ585" i="1"/>
  <c r="JP585" i="1"/>
  <c r="IE585" i="1"/>
  <c r="ID585" i="1"/>
  <c r="HF585" i="1"/>
  <c r="HE585" i="1"/>
  <c r="HD585" i="1"/>
  <c r="HC585" i="1"/>
  <c r="HB585" i="1"/>
  <c r="HA585" i="1"/>
  <c r="GZ585" i="1"/>
  <c r="GY585" i="1"/>
  <c r="GX585" i="1"/>
  <c r="GW585" i="1"/>
  <c r="GV585" i="1"/>
  <c r="GU585" i="1"/>
  <c r="C585" i="1"/>
  <c r="JX24" i="1"/>
  <c r="JQ153" i="1"/>
  <c r="JP153" i="1"/>
  <c r="JN153" i="1"/>
  <c r="JM153" i="1"/>
  <c r="JM149" i="1"/>
  <c r="JL153" i="1"/>
  <c r="JK153" i="1"/>
  <c r="JJ153" i="1"/>
  <c r="JI153" i="1"/>
  <c r="JH153" i="1"/>
  <c r="JG153" i="1"/>
  <c r="JF153" i="1"/>
  <c r="JE153" i="1"/>
  <c r="JE150" i="1"/>
  <c r="JE151" i="1"/>
  <c r="JE152" i="1"/>
  <c r="JE149" i="1"/>
  <c r="JD153" i="1"/>
  <c r="JC153" i="1"/>
  <c r="JB153" i="1"/>
  <c r="JA153" i="1"/>
  <c r="JA149" i="1"/>
  <c r="IY153" i="1"/>
  <c r="IX153" i="1"/>
  <c r="IW153" i="1"/>
  <c r="IV153" i="1"/>
  <c r="IU153" i="1"/>
  <c r="IR153" i="1"/>
  <c r="IO153" i="1"/>
  <c r="IL153" i="1"/>
  <c r="IL149" i="1"/>
  <c r="IK153" i="1"/>
  <c r="IJ153" i="1"/>
  <c r="II153" i="1"/>
  <c r="IE153" i="1"/>
  <c r="IE149" i="1"/>
  <c r="ID153" i="1"/>
  <c r="IC153" i="1"/>
  <c r="IB153" i="1"/>
  <c r="IA153" i="1"/>
  <c r="IA149" i="1"/>
  <c r="HZ153" i="1"/>
  <c r="HY153" i="1"/>
  <c r="HX153" i="1"/>
  <c r="HW153" i="1"/>
  <c r="HW149" i="1"/>
  <c r="HV153" i="1"/>
  <c r="HU153" i="1"/>
  <c r="HT153" i="1"/>
  <c r="HS153" i="1"/>
  <c r="HS149" i="1"/>
  <c r="HR153" i="1"/>
  <c r="HP153" i="1"/>
  <c r="HO153" i="1"/>
  <c r="HN153" i="1"/>
  <c r="HM153" i="1"/>
  <c r="HL153" i="1"/>
  <c r="HK153" i="1"/>
  <c r="HJ153" i="1"/>
  <c r="HJ149" i="1"/>
  <c r="HI153" i="1"/>
  <c r="HH153" i="1"/>
  <c r="HF153" i="1"/>
  <c r="HE153" i="1"/>
  <c r="HE149" i="1"/>
  <c r="HD153" i="1"/>
  <c r="HC153" i="1"/>
  <c r="HB153" i="1"/>
  <c r="HA153" i="1"/>
  <c r="HA149" i="1"/>
  <c r="GZ153" i="1"/>
  <c r="GZ149" i="1"/>
  <c r="GY153" i="1"/>
  <c r="GY149" i="1"/>
  <c r="GX153" i="1"/>
  <c r="GX149" i="1"/>
  <c r="GW153" i="1"/>
  <c r="GW149" i="1"/>
  <c r="GV153" i="1"/>
  <c r="GV149" i="1"/>
  <c r="GU153" i="1"/>
  <c r="GU149" i="1"/>
  <c r="JR107" i="1"/>
  <c r="JQ107" i="1"/>
  <c r="JQ106" i="1"/>
  <c r="JP107" i="1"/>
  <c r="JN107" i="1"/>
  <c r="JM107" i="1"/>
  <c r="JL107" i="1"/>
  <c r="JL108" i="1"/>
  <c r="JL106" i="1"/>
  <c r="JK107" i="1"/>
  <c r="JJ107" i="1"/>
  <c r="JI107" i="1"/>
  <c r="JH107" i="1"/>
  <c r="JG107" i="1"/>
  <c r="JF107" i="1"/>
  <c r="JE107" i="1"/>
  <c r="JD107" i="1"/>
  <c r="JD106" i="1"/>
  <c r="JB107" i="1"/>
  <c r="JA107" i="1"/>
  <c r="IZ107" i="1"/>
  <c r="IY107" i="1"/>
  <c r="IX107" i="1"/>
  <c r="IW107" i="1"/>
  <c r="IV107" i="1"/>
  <c r="IU107" i="1"/>
  <c r="IU106" i="1"/>
  <c r="IR107" i="1"/>
  <c r="IO107" i="1"/>
  <c r="IL107" i="1"/>
  <c r="IK107" i="1"/>
  <c r="IJ107" i="1"/>
  <c r="II107" i="1"/>
  <c r="IE107" i="1"/>
  <c r="ID107" i="1"/>
  <c r="ID106" i="1"/>
  <c r="IC107" i="1"/>
  <c r="IB107" i="1"/>
  <c r="IA107" i="1"/>
  <c r="HZ107" i="1"/>
  <c r="HZ106" i="1"/>
  <c r="HY107" i="1"/>
  <c r="HX107" i="1"/>
  <c r="HW107" i="1"/>
  <c r="HV107" i="1"/>
  <c r="HU107" i="1"/>
  <c r="HS107" i="1"/>
  <c r="HQ107" i="1"/>
  <c r="HP107" i="1"/>
  <c r="HO107" i="1"/>
  <c r="HN107" i="1"/>
  <c r="HM107" i="1"/>
  <c r="HL107" i="1"/>
  <c r="HL106" i="1"/>
  <c r="HK107" i="1"/>
  <c r="HJ107" i="1"/>
  <c r="HI107" i="1"/>
  <c r="HH107" i="1"/>
  <c r="HH106" i="1"/>
  <c r="HF107" i="1"/>
  <c r="HE107" i="1"/>
  <c r="HD107" i="1"/>
  <c r="HC107" i="1"/>
  <c r="HC106" i="1"/>
  <c r="HB107" i="1"/>
  <c r="HA107" i="1"/>
  <c r="HA106" i="1"/>
  <c r="GZ107" i="1"/>
  <c r="GZ106" i="1"/>
  <c r="GY107" i="1"/>
  <c r="GY106" i="1"/>
  <c r="GX107" i="1"/>
  <c r="GX106" i="1"/>
  <c r="GW107" i="1"/>
  <c r="GW106" i="1"/>
  <c r="GV107" i="1"/>
  <c r="GV106" i="1"/>
  <c r="GU107" i="1"/>
  <c r="GU106" i="1"/>
  <c r="JR75" i="1"/>
  <c r="JQ75" i="1"/>
  <c r="JP75" i="1"/>
  <c r="JM75" i="1"/>
  <c r="JK75" i="1"/>
  <c r="JJ75" i="1"/>
  <c r="JI75" i="1"/>
  <c r="JH75" i="1"/>
  <c r="JG75" i="1"/>
  <c r="JF75" i="1"/>
  <c r="JE75" i="1"/>
  <c r="JD75" i="1"/>
  <c r="JD72" i="1"/>
  <c r="JC75" i="1"/>
  <c r="JB75" i="1"/>
  <c r="JA75" i="1"/>
  <c r="IY75" i="1"/>
  <c r="IX75" i="1"/>
  <c r="IW75" i="1"/>
  <c r="IV75" i="1"/>
  <c r="IU75" i="1"/>
  <c r="IR75" i="1"/>
  <c r="IO75" i="1"/>
  <c r="IL75" i="1"/>
  <c r="IK75" i="1"/>
  <c r="IJ75" i="1"/>
  <c r="II75" i="1"/>
  <c r="IE75" i="1"/>
  <c r="ID75" i="1"/>
  <c r="ID72" i="1"/>
  <c r="IC75" i="1"/>
  <c r="IB75" i="1"/>
  <c r="IA75" i="1"/>
  <c r="HZ75" i="1"/>
  <c r="HY75" i="1"/>
  <c r="HX75" i="1"/>
  <c r="HW75" i="1"/>
  <c r="HV75" i="1"/>
  <c r="HV72" i="1"/>
  <c r="HU75" i="1"/>
  <c r="HT75" i="1"/>
  <c r="HS75" i="1"/>
  <c r="HQ75" i="1"/>
  <c r="HP75" i="1"/>
  <c r="HO75" i="1"/>
  <c r="HN75" i="1"/>
  <c r="HM75" i="1"/>
  <c r="HL75" i="1"/>
  <c r="HK75" i="1"/>
  <c r="HJ75" i="1"/>
  <c r="HI75" i="1"/>
  <c r="HH75" i="1"/>
  <c r="HF75" i="1"/>
  <c r="HE75" i="1"/>
  <c r="HD75" i="1"/>
  <c r="HC75" i="1"/>
  <c r="HB75" i="1"/>
  <c r="HA75" i="1"/>
  <c r="GZ75" i="1"/>
  <c r="GY75" i="1"/>
  <c r="GX75" i="1"/>
  <c r="GW75" i="1"/>
  <c r="GV75" i="1"/>
  <c r="GU75" i="1"/>
  <c r="JR74" i="1"/>
  <c r="JQ74" i="1"/>
  <c r="JP74" i="1"/>
  <c r="JN74" i="1"/>
  <c r="JM74" i="1"/>
  <c r="JL74" i="1"/>
  <c r="JK74" i="1"/>
  <c r="JJ74" i="1"/>
  <c r="JI74" i="1"/>
  <c r="JH74" i="1"/>
  <c r="JG74" i="1"/>
  <c r="JF74" i="1"/>
  <c r="JE74" i="1"/>
  <c r="JD74" i="1"/>
  <c r="JC74" i="1"/>
  <c r="JB74" i="1"/>
  <c r="JA74" i="1"/>
  <c r="JA73" i="1"/>
  <c r="IZ74" i="1"/>
  <c r="IY74" i="1"/>
  <c r="IX74" i="1"/>
  <c r="IW74" i="1"/>
  <c r="IV74" i="1"/>
  <c r="IU74" i="1"/>
  <c r="IR74" i="1"/>
  <c r="IO74" i="1"/>
  <c r="IL74" i="1"/>
  <c r="IL72" i="1"/>
  <c r="IK74" i="1"/>
  <c r="IJ74" i="1"/>
  <c r="II74" i="1"/>
  <c r="IE74" i="1"/>
  <c r="IE72" i="1"/>
  <c r="ID74" i="1"/>
  <c r="IC74" i="1"/>
  <c r="IB74" i="1"/>
  <c r="IA74" i="1"/>
  <c r="IA72" i="1"/>
  <c r="HZ74" i="1"/>
  <c r="HY74" i="1"/>
  <c r="HX74" i="1"/>
  <c r="HW74" i="1"/>
  <c r="HW72" i="1"/>
  <c r="HV74" i="1"/>
  <c r="HU74" i="1"/>
  <c r="HS74" i="1"/>
  <c r="HR74" i="1"/>
  <c r="HP74" i="1"/>
  <c r="HO74" i="1"/>
  <c r="HN74" i="1"/>
  <c r="HM74" i="1"/>
  <c r="HL74" i="1"/>
  <c r="HK74" i="1"/>
  <c r="HJ74" i="1"/>
  <c r="HI74" i="1"/>
  <c r="HI72" i="1"/>
  <c r="HH74" i="1"/>
  <c r="HF74" i="1"/>
  <c r="HE74" i="1"/>
  <c r="HD74" i="1"/>
  <c r="HD72" i="1"/>
  <c r="HC74" i="1"/>
  <c r="HB74" i="1"/>
  <c r="HA74" i="1"/>
  <c r="GZ74" i="1"/>
  <c r="GY74" i="1"/>
  <c r="GX74" i="1"/>
  <c r="GW74" i="1"/>
  <c r="GV74" i="1"/>
  <c r="GU74" i="1"/>
  <c r="JR73" i="1"/>
  <c r="JQ73" i="1"/>
  <c r="JP73" i="1"/>
  <c r="JN73" i="1"/>
  <c r="JM73" i="1"/>
  <c r="JL73" i="1"/>
  <c r="JK73" i="1"/>
  <c r="JK72" i="1"/>
  <c r="JJ73" i="1"/>
  <c r="JI73" i="1"/>
  <c r="JH73" i="1"/>
  <c r="JG73" i="1"/>
  <c r="JG72" i="1"/>
  <c r="JF73" i="1"/>
  <c r="JE73" i="1"/>
  <c r="JD73" i="1"/>
  <c r="JC73" i="1"/>
  <c r="JC72" i="1"/>
  <c r="JB73" i="1"/>
  <c r="IZ73" i="1"/>
  <c r="IY73" i="1"/>
  <c r="IX73" i="1"/>
  <c r="IX72" i="1"/>
  <c r="IW73" i="1"/>
  <c r="IV73" i="1"/>
  <c r="IU73" i="1"/>
  <c r="IR73" i="1"/>
  <c r="IR72" i="1"/>
  <c r="IO73" i="1"/>
  <c r="IL73" i="1"/>
  <c r="IK73" i="1"/>
  <c r="IJ73" i="1"/>
  <c r="IJ72" i="1"/>
  <c r="II73" i="1"/>
  <c r="IE73" i="1"/>
  <c r="ID73" i="1"/>
  <c r="IC73" i="1"/>
  <c r="IC72" i="1"/>
  <c r="IB73" i="1"/>
  <c r="IA73" i="1"/>
  <c r="HZ73" i="1"/>
  <c r="HY73" i="1"/>
  <c r="HY72" i="1"/>
  <c r="HX73" i="1"/>
  <c r="HW73" i="1"/>
  <c r="HV73" i="1"/>
  <c r="HU73" i="1"/>
  <c r="HU72" i="1"/>
  <c r="HS73" i="1"/>
  <c r="HQ73" i="1"/>
  <c r="HP73" i="1"/>
  <c r="HO73" i="1"/>
  <c r="HN73" i="1"/>
  <c r="HM73" i="1"/>
  <c r="HK73" i="1"/>
  <c r="HJ73" i="1"/>
  <c r="HJ72" i="1"/>
  <c r="HI73" i="1"/>
  <c r="HH73" i="1"/>
  <c r="HF73" i="1"/>
  <c r="HE73" i="1"/>
  <c r="HE72" i="1"/>
  <c r="HD73" i="1"/>
  <c r="HC73" i="1"/>
  <c r="HB73" i="1"/>
  <c r="HA73" i="1"/>
  <c r="HA72" i="1"/>
  <c r="GZ73" i="1"/>
  <c r="GY73" i="1"/>
  <c r="GY72" i="1"/>
  <c r="GX73" i="1"/>
  <c r="GW73" i="1"/>
  <c r="GW72" i="1"/>
  <c r="GV73" i="1"/>
  <c r="GU73" i="1"/>
  <c r="GU72" i="1"/>
  <c r="JR70" i="1"/>
  <c r="JQ70" i="1"/>
  <c r="JP70" i="1"/>
  <c r="JN70" i="1"/>
  <c r="JM70" i="1"/>
  <c r="JL70" i="1"/>
  <c r="JK70" i="1"/>
  <c r="JJ70" i="1"/>
  <c r="JI70" i="1"/>
  <c r="JH70" i="1"/>
  <c r="JG70" i="1"/>
  <c r="JF70" i="1"/>
  <c r="JE70" i="1"/>
  <c r="JD70" i="1"/>
  <c r="JB70" i="1"/>
  <c r="JA70" i="1"/>
  <c r="IZ70" i="1"/>
  <c r="IY70" i="1"/>
  <c r="IX70" i="1"/>
  <c r="IW70" i="1"/>
  <c r="IV70" i="1"/>
  <c r="IU70" i="1"/>
  <c r="IU67" i="1"/>
  <c r="IR70" i="1"/>
  <c r="IO70" i="1"/>
  <c r="IL70" i="1"/>
  <c r="IK70" i="1"/>
  <c r="IJ70" i="1"/>
  <c r="II70" i="1"/>
  <c r="IE70" i="1"/>
  <c r="ID70" i="1"/>
  <c r="ID67" i="1"/>
  <c r="IC70" i="1"/>
  <c r="IB70" i="1"/>
  <c r="IA70" i="1"/>
  <c r="HZ70" i="1"/>
  <c r="HZ68" i="1"/>
  <c r="HZ69" i="1"/>
  <c r="HZ67" i="1"/>
  <c r="HY70" i="1"/>
  <c r="HX70" i="1"/>
  <c r="HW70" i="1"/>
  <c r="HV70" i="1"/>
  <c r="HV67" i="1"/>
  <c r="HU70" i="1"/>
  <c r="HS70" i="1"/>
  <c r="HR70" i="1"/>
  <c r="HQ70" i="1"/>
  <c r="HQ67" i="1"/>
  <c r="HP70" i="1"/>
  <c r="HO70" i="1"/>
  <c r="HN70" i="1"/>
  <c r="HM70" i="1"/>
  <c r="HM67" i="1"/>
  <c r="HL70" i="1"/>
  <c r="HK70" i="1"/>
  <c r="HJ70" i="1"/>
  <c r="HJ68" i="1"/>
  <c r="HJ69" i="1"/>
  <c r="HI70" i="1"/>
  <c r="HH70" i="1"/>
  <c r="HF70" i="1"/>
  <c r="HF67" i="1"/>
  <c r="HE70" i="1"/>
  <c r="HD70" i="1"/>
  <c r="HC70" i="1"/>
  <c r="HB70" i="1"/>
  <c r="HA70" i="1"/>
  <c r="GZ70" i="1"/>
  <c r="GY70" i="1"/>
  <c r="GX70" i="1"/>
  <c r="GW70" i="1"/>
  <c r="GV70" i="1"/>
  <c r="GU70" i="1"/>
  <c r="JR69" i="1"/>
  <c r="JR67" i="1"/>
  <c r="JQ69" i="1"/>
  <c r="JP69" i="1"/>
  <c r="JN69" i="1"/>
  <c r="JM69" i="1"/>
  <c r="JL69" i="1"/>
  <c r="JK69" i="1"/>
  <c r="JJ69" i="1"/>
  <c r="JI69" i="1"/>
  <c r="JH69" i="1"/>
  <c r="JG69" i="1"/>
  <c r="JF69" i="1"/>
  <c r="JE69" i="1"/>
  <c r="JD69" i="1"/>
  <c r="JC69" i="1"/>
  <c r="JB69" i="1"/>
  <c r="JA69" i="1"/>
  <c r="JA67" i="1"/>
  <c r="IZ69" i="1"/>
  <c r="IY69" i="1"/>
  <c r="IX69" i="1"/>
  <c r="IW69" i="1"/>
  <c r="IV69" i="1"/>
  <c r="IU69" i="1"/>
  <c r="IR69" i="1"/>
  <c r="IO69" i="1"/>
  <c r="IL69" i="1"/>
  <c r="IK69" i="1"/>
  <c r="IJ69" i="1"/>
  <c r="II69" i="1"/>
  <c r="II67" i="1"/>
  <c r="IE69" i="1"/>
  <c r="ID69" i="1"/>
  <c r="IC69" i="1"/>
  <c r="IB69" i="1"/>
  <c r="IB67" i="1"/>
  <c r="IA69" i="1"/>
  <c r="HY69" i="1"/>
  <c r="HX69" i="1"/>
  <c r="HW69" i="1"/>
  <c r="HV69" i="1"/>
  <c r="HU69" i="1"/>
  <c r="HT69" i="1"/>
  <c r="HT67" i="1"/>
  <c r="HS69" i="1"/>
  <c r="HQ69" i="1"/>
  <c r="HP69" i="1"/>
  <c r="HO69" i="1"/>
  <c r="HN69" i="1"/>
  <c r="HM69" i="1"/>
  <c r="HL69" i="1"/>
  <c r="HK69" i="1"/>
  <c r="HI69" i="1"/>
  <c r="HH69" i="1"/>
  <c r="HF69" i="1"/>
  <c r="HE69" i="1"/>
  <c r="HE67" i="1"/>
  <c r="HD69" i="1"/>
  <c r="HC69" i="1"/>
  <c r="HB69" i="1"/>
  <c r="HA69" i="1"/>
  <c r="GZ69" i="1"/>
  <c r="GY69" i="1"/>
  <c r="GX69" i="1"/>
  <c r="GW69" i="1"/>
  <c r="GV69" i="1"/>
  <c r="GU69" i="1"/>
  <c r="GU67" i="1"/>
  <c r="JR68" i="1"/>
  <c r="JQ68" i="1"/>
  <c r="JQ67" i="1"/>
  <c r="JP68" i="1"/>
  <c r="JN68" i="1"/>
  <c r="JM68" i="1"/>
  <c r="JL68" i="1"/>
  <c r="JL67" i="1"/>
  <c r="JK68" i="1"/>
  <c r="JJ68" i="1"/>
  <c r="JI68" i="1"/>
  <c r="JH68" i="1"/>
  <c r="JH67" i="1"/>
  <c r="JG68" i="1"/>
  <c r="JF68" i="1"/>
  <c r="JE68" i="1"/>
  <c r="JD68" i="1"/>
  <c r="JD67" i="1"/>
  <c r="JC68" i="1"/>
  <c r="JB68" i="1"/>
  <c r="JA68" i="1"/>
  <c r="IZ68" i="1"/>
  <c r="IZ67" i="1"/>
  <c r="IY68" i="1"/>
  <c r="IX68" i="1"/>
  <c r="IW68" i="1"/>
  <c r="IV68" i="1"/>
  <c r="IV67" i="1"/>
  <c r="IU68" i="1"/>
  <c r="IR68" i="1"/>
  <c r="IO68" i="1"/>
  <c r="IL68" i="1"/>
  <c r="IL67" i="1"/>
  <c r="IK68" i="1"/>
  <c r="IJ68" i="1"/>
  <c r="II68" i="1"/>
  <c r="IE68" i="1"/>
  <c r="ID68" i="1"/>
  <c r="IC68" i="1"/>
  <c r="IB68" i="1"/>
  <c r="IA68" i="1"/>
  <c r="HY68" i="1"/>
  <c r="HX68" i="1"/>
  <c r="HW68" i="1"/>
  <c r="HV68" i="1"/>
  <c r="HU68" i="1"/>
  <c r="HT68" i="1"/>
  <c r="HS68" i="1"/>
  <c r="HS67" i="1"/>
  <c r="HR68" i="1"/>
  <c r="HQ68" i="1"/>
  <c r="HP68" i="1"/>
  <c r="HO68" i="1"/>
  <c r="HO67" i="1"/>
  <c r="HN68" i="1"/>
  <c r="HM68" i="1"/>
  <c r="HK68" i="1"/>
  <c r="HI68" i="1"/>
  <c r="HI67" i="1"/>
  <c r="HH68" i="1"/>
  <c r="HF68" i="1"/>
  <c r="HE68" i="1"/>
  <c r="HD68" i="1"/>
  <c r="HD67" i="1"/>
  <c r="HC68" i="1"/>
  <c r="HB68" i="1"/>
  <c r="HA68" i="1"/>
  <c r="GZ68" i="1"/>
  <c r="GZ67" i="1"/>
  <c r="GY68" i="1"/>
  <c r="GX68" i="1"/>
  <c r="GW68" i="1"/>
  <c r="GV68" i="1"/>
  <c r="GV67" i="1"/>
  <c r="JR319" i="1"/>
  <c r="JQ319" i="1"/>
  <c r="JP319" i="1"/>
  <c r="IE319" i="1"/>
  <c r="IE308" i="1"/>
  <c r="ID319" i="1"/>
  <c r="HF319" i="1"/>
  <c r="HE319" i="1"/>
  <c r="HD319" i="1"/>
  <c r="HC319" i="1"/>
  <c r="HB319" i="1"/>
  <c r="HA319" i="1"/>
  <c r="GZ319" i="1"/>
  <c r="GY319" i="1"/>
  <c r="GX319" i="1"/>
  <c r="GW319" i="1"/>
  <c r="GV319" i="1"/>
  <c r="GV308" i="1"/>
  <c r="GU319" i="1"/>
  <c r="GP319" i="1"/>
  <c r="JZ319" i="1"/>
  <c r="JR310" i="1"/>
  <c r="JQ310" i="1"/>
  <c r="JP310" i="1"/>
  <c r="IE310" i="1"/>
  <c r="ID310" i="1"/>
  <c r="ID308" i="1"/>
  <c r="HF310" i="1"/>
  <c r="HE310" i="1"/>
  <c r="HD310" i="1"/>
  <c r="HC310" i="1"/>
  <c r="HB310" i="1"/>
  <c r="HA310" i="1"/>
  <c r="GZ310" i="1"/>
  <c r="GY310" i="1"/>
  <c r="GY308" i="1"/>
  <c r="GX310" i="1"/>
  <c r="GW310" i="1"/>
  <c r="GV310" i="1"/>
  <c r="GU310" i="1"/>
  <c r="GU308" i="1"/>
  <c r="JY323" i="1"/>
  <c r="JY322" i="1"/>
  <c r="JX323" i="1"/>
  <c r="JX322" i="1"/>
  <c r="JY320" i="1"/>
  <c r="JY319" i="1"/>
  <c r="JX320" i="1"/>
  <c r="JX319" i="1"/>
  <c r="IF319" i="1"/>
  <c r="GQ319" i="1"/>
  <c r="KA319" i="1"/>
  <c r="JX311" i="1"/>
  <c r="JX310" i="1"/>
  <c r="IF310" i="1"/>
  <c r="C319" i="1"/>
  <c r="C310" i="1"/>
  <c r="JR293" i="1"/>
  <c r="JQ293" i="1"/>
  <c r="JP293" i="1"/>
  <c r="JW288" i="1"/>
  <c r="JV288" i="1"/>
  <c r="JV273" i="1"/>
  <c r="JU288" i="1"/>
  <c r="JR288" i="1"/>
  <c r="JQ288" i="1"/>
  <c r="JP288" i="1"/>
  <c r="AF57" i="12"/>
  <c r="AF56" i="12"/>
  <c r="AF55" i="12"/>
  <c r="AF51" i="12"/>
  <c r="AF50" i="12"/>
  <c r="AF40" i="12"/>
  <c r="AF38" i="12"/>
  <c r="AF34" i="12"/>
  <c r="AF17" i="12"/>
  <c r="AF15" i="12"/>
  <c r="HL127" i="1"/>
  <c r="HL80" i="1"/>
  <c r="IP101" i="1"/>
  <c r="IQ165" i="1"/>
  <c r="IQ158" i="1"/>
  <c r="IP156" i="1"/>
  <c r="IP153" i="1"/>
  <c r="IP143" i="1"/>
  <c r="IQ134" i="1"/>
  <c r="IP126" i="1"/>
  <c r="IQ122" i="1"/>
  <c r="IQ119" i="1"/>
  <c r="IP115" i="1"/>
  <c r="IP80" i="1"/>
  <c r="IQ32" i="1"/>
  <c r="IP23" i="1"/>
  <c r="JY252" i="1"/>
  <c r="JY647" i="1"/>
  <c r="KK19" i="1"/>
  <c r="KK59" i="1"/>
  <c r="HM53" i="1"/>
  <c r="D23" i="32"/>
  <c r="JR728" i="1"/>
  <c r="JQ728" i="1"/>
  <c r="JP728" i="1"/>
  <c r="IE728" i="1"/>
  <c r="ID728" i="1"/>
  <c r="HF728" i="1"/>
  <c r="HE728" i="1"/>
  <c r="HC728" i="1"/>
  <c r="HB728" i="1"/>
  <c r="GZ728" i="1"/>
  <c r="GY728" i="1"/>
  <c r="GW728" i="1"/>
  <c r="GV728" i="1"/>
  <c r="GU728" i="1"/>
  <c r="JX736" i="1"/>
  <c r="JX732" i="1"/>
  <c r="B619" i="1"/>
  <c r="GW151" i="1"/>
  <c r="GW145" i="1"/>
  <c r="GW141" i="1"/>
  <c r="GX412" i="1"/>
  <c r="GS64" i="1"/>
  <c r="GX383" i="1"/>
  <c r="GV49" i="1"/>
  <c r="IM162" i="1"/>
  <c r="IM159" i="1"/>
  <c r="IM158" i="1"/>
  <c r="IN156" i="1"/>
  <c r="IM152" i="1"/>
  <c r="IN150" i="1"/>
  <c r="IN146" i="1"/>
  <c r="IN145" i="1"/>
  <c r="IN137" i="1"/>
  <c r="IM121" i="1"/>
  <c r="IN120" i="1"/>
  <c r="IM112" i="1"/>
  <c r="IM74" i="1"/>
  <c r="IM73" i="1"/>
  <c r="IM70" i="1"/>
  <c r="IM68" i="1"/>
  <c r="JY90" i="1"/>
  <c r="JX90" i="1"/>
  <c r="KB624" i="1"/>
  <c r="KC624" i="1"/>
  <c r="KB620" i="1"/>
  <c r="KC620" i="1"/>
  <c r="KB618" i="1"/>
  <c r="KC618" i="1"/>
  <c r="KB615" i="1"/>
  <c r="KC615" i="1"/>
  <c r="KB612" i="1"/>
  <c r="KC612" i="1"/>
  <c r="KB610" i="1"/>
  <c r="KC610" i="1"/>
  <c r="KB562" i="1"/>
  <c r="KC562" i="1"/>
  <c r="KB557" i="1"/>
  <c r="KC557" i="1"/>
  <c r="KB554" i="1"/>
  <c r="KC554" i="1"/>
  <c r="KB548" i="1"/>
  <c r="KC548" i="1"/>
  <c r="KB542" i="1"/>
  <c r="KC542" i="1"/>
  <c r="KB534" i="1"/>
  <c r="KC534" i="1"/>
  <c r="KB529" i="1"/>
  <c r="KC529" i="1"/>
  <c r="KB525" i="1"/>
  <c r="KC525" i="1"/>
  <c r="KB523" i="1"/>
  <c r="KC523" i="1"/>
  <c r="KB521" i="1"/>
  <c r="KC521" i="1"/>
  <c r="KB519" i="1"/>
  <c r="KC519" i="1"/>
  <c r="KB517" i="1"/>
  <c r="KC517" i="1"/>
  <c r="KB515" i="1"/>
  <c r="KC515" i="1"/>
  <c r="KB513" i="1"/>
  <c r="KC513" i="1"/>
  <c r="KB511" i="1"/>
  <c r="KC511" i="1"/>
  <c r="KB506" i="1"/>
  <c r="KC506" i="1"/>
  <c r="KB504" i="1"/>
  <c r="KC504" i="1"/>
  <c r="KB499" i="1"/>
  <c r="KC499" i="1"/>
  <c r="KB497" i="1"/>
  <c r="KC497" i="1"/>
  <c r="KB487" i="1"/>
  <c r="KC487" i="1"/>
  <c r="KB481" i="1"/>
  <c r="KC481" i="1"/>
  <c r="KB471" i="1"/>
  <c r="KC471" i="1"/>
  <c r="KB463" i="1"/>
  <c r="KC463" i="1"/>
  <c r="KB457" i="1"/>
  <c r="KC457" i="1"/>
  <c r="KB450" i="1"/>
  <c r="KC450" i="1"/>
  <c r="KB443" i="1"/>
  <c r="KC443" i="1"/>
  <c r="KB438" i="1"/>
  <c r="KC438" i="1"/>
  <c r="KB436" i="1"/>
  <c r="KC436" i="1"/>
  <c r="KB426" i="1"/>
  <c r="KC426" i="1"/>
  <c r="KB423" i="1"/>
  <c r="KB90" i="1"/>
  <c r="KC90" i="1"/>
  <c r="KB418" i="1"/>
  <c r="KC418" i="1"/>
  <c r="KB410" i="1"/>
  <c r="KC410" i="1"/>
  <c r="KB405" i="1"/>
  <c r="KC405" i="1"/>
  <c r="KB400" i="1"/>
  <c r="KC400" i="1"/>
  <c r="KB396" i="1"/>
  <c r="KC396" i="1"/>
  <c r="KB394" i="1"/>
  <c r="KC394" i="1"/>
  <c r="KB385" i="1"/>
  <c r="KC385" i="1"/>
  <c r="KB379" i="1"/>
  <c r="KC379" i="1"/>
  <c r="KB377" i="1"/>
  <c r="KC377" i="1"/>
  <c r="KB374" i="1"/>
  <c r="KC374" i="1"/>
  <c r="KB372" i="1"/>
  <c r="KC372" i="1"/>
  <c r="KB370" i="1"/>
  <c r="KC370" i="1"/>
  <c r="KB367" i="1"/>
  <c r="KC367" i="1"/>
  <c r="H20" i="13"/>
  <c r="H15" i="14"/>
  <c r="C625" i="1"/>
  <c r="GU625" i="1"/>
  <c r="GV625" i="1"/>
  <c r="GW625" i="1"/>
  <c r="GX625" i="1"/>
  <c r="GY625" i="1"/>
  <c r="GZ625" i="1"/>
  <c r="HA625" i="1"/>
  <c r="HB625" i="1"/>
  <c r="HC625" i="1"/>
  <c r="HD625" i="1"/>
  <c r="HE625" i="1"/>
  <c r="HF625" i="1"/>
  <c r="ID625" i="1"/>
  <c r="IE625" i="1"/>
  <c r="JP625" i="1"/>
  <c r="JQ625" i="1"/>
  <c r="JX626" i="1"/>
  <c r="JX101" i="1"/>
  <c r="JY626" i="1"/>
  <c r="JY625" i="1"/>
  <c r="GY535" i="1"/>
  <c r="GY530" i="1"/>
  <c r="GW535" i="1"/>
  <c r="GW530" i="1"/>
  <c r="GU205" i="1"/>
  <c r="GU204" i="1"/>
  <c r="JR411" i="1"/>
  <c r="JQ411" i="1"/>
  <c r="JP411" i="1"/>
  <c r="IE411" i="1"/>
  <c r="ID411" i="1"/>
  <c r="HF411" i="1"/>
  <c r="HE411" i="1"/>
  <c r="HD411" i="1"/>
  <c r="HC411" i="1"/>
  <c r="HB411" i="1"/>
  <c r="HA411" i="1"/>
  <c r="GZ411" i="1"/>
  <c r="GY411" i="1"/>
  <c r="GV411" i="1"/>
  <c r="IJ84" i="1"/>
  <c r="GU185" i="1"/>
  <c r="GU184" i="1"/>
  <c r="GX185" i="1"/>
  <c r="GX184" i="1"/>
  <c r="HA185" i="1"/>
  <c r="HA184" i="1"/>
  <c r="HD185" i="1"/>
  <c r="HD184" i="1"/>
  <c r="JR165" i="1"/>
  <c r="JQ165" i="1"/>
  <c r="JP165" i="1"/>
  <c r="JO165" i="1"/>
  <c r="JN165" i="1"/>
  <c r="JM165" i="1"/>
  <c r="JL165" i="1"/>
  <c r="JK165" i="1"/>
  <c r="JJ165" i="1"/>
  <c r="JH165" i="1"/>
  <c r="JG165" i="1"/>
  <c r="JE165" i="1"/>
  <c r="JD165" i="1"/>
  <c r="JB165" i="1"/>
  <c r="JA165" i="1"/>
  <c r="IY165" i="1"/>
  <c r="IX165" i="1"/>
  <c r="IW165" i="1"/>
  <c r="IV165" i="1"/>
  <c r="IU165" i="1"/>
  <c r="IR165" i="1"/>
  <c r="IO165" i="1"/>
  <c r="IL165" i="1"/>
  <c r="IK165" i="1"/>
  <c r="IJ165" i="1"/>
  <c r="II165" i="1"/>
  <c r="IE165" i="1"/>
  <c r="ID165" i="1"/>
  <c r="IC165" i="1"/>
  <c r="IB165" i="1"/>
  <c r="IA165" i="1"/>
  <c r="HZ165" i="1"/>
  <c r="HY165" i="1"/>
  <c r="HX165" i="1"/>
  <c r="HW165" i="1"/>
  <c r="HV165" i="1"/>
  <c r="HU165" i="1"/>
  <c r="HT165" i="1"/>
  <c r="HS165" i="1"/>
  <c r="HR165" i="1"/>
  <c r="HQ165" i="1"/>
  <c r="HP165" i="1"/>
  <c r="HO165" i="1"/>
  <c r="HN165" i="1"/>
  <c r="HM165" i="1"/>
  <c r="HK165" i="1"/>
  <c r="HJ165" i="1"/>
  <c r="HI165" i="1"/>
  <c r="HH165" i="1"/>
  <c r="HF165" i="1"/>
  <c r="HE165" i="1"/>
  <c r="HD165" i="1"/>
  <c r="HC165" i="1"/>
  <c r="HB165" i="1"/>
  <c r="HA165" i="1"/>
  <c r="GZ165" i="1"/>
  <c r="GY165" i="1"/>
  <c r="GX165" i="1"/>
  <c r="GW165" i="1"/>
  <c r="GV165" i="1"/>
  <c r="GU165" i="1"/>
  <c r="JR162" i="1"/>
  <c r="JQ162" i="1"/>
  <c r="JP162" i="1"/>
  <c r="JO162" i="1"/>
  <c r="JN162" i="1"/>
  <c r="JM162" i="1"/>
  <c r="JL162" i="1"/>
  <c r="JK162" i="1"/>
  <c r="JJ162" i="1"/>
  <c r="JI162" i="1"/>
  <c r="JH162" i="1"/>
  <c r="JG162" i="1"/>
  <c r="JF162" i="1"/>
  <c r="JE162" i="1"/>
  <c r="JD162" i="1"/>
  <c r="JC162" i="1"/>
  <c r="JB162" i="1"/>
  <c r="JA162" i="1"/>
  <c r="IZ162" i="1"/>
  <c r="IY162" i="1"/>
  <c r="IX162" i="1"/>
  <c r="IW162" i="1"/>
  <c r="IV162" i="1"/>
  <c r="IU162" i="1"/>
  <c r="IR162" i="1"/>
  <c r="IQ162" i="1"/>
  <c r="IP162" i="1"/>
  <c r="IO162" i="1"/>
  <c r="IL162" i="1"/>
  <c r="IK162" i="1"/>
  <c r="II162" i="1"/>
  <c r="IE162" i="1"/>
  <c r="ID162" i="1"/>
  <c r="IC162" i="1"/>
  <c r="IB162" i="1"/>
  <c r="IA162" i="1"/>
  <c r="HZ162" i="1"/>
  <c r="HY162" i="1"/>
  <c r="HX162" i="1"/>
  <c r="HW162" i="1"/>
  <c r="HV162" i="1"/>
  <c r="HU162" i="1"/>
  <c r="HT162" i="1"/>
  <c r="HS162" i="1"/>
  <c r="HR162" i="1"/>
  <c r="HQ162" i="1"/>
  <c r="HP162" i="1"/>
  <c r="HO162" i="1"/>
  <c r="HN162" i="1"/>
  <c r="HM162" i="1"/>
  <c r="HL162" i="1"/>
  <c r="HK162" i="1"/>
  <c r="HJ162" i="1"/>
  <c r="HI162" i="1"/>
  <c r="HH162" i="1"/>
  <c r="HF162" i="1"/>
  <c r="HE162" i="1"/>
  <c r="HD162" i="1"/>
  <c r="HC162" i="1"/>
  <c r="HB162" i="1"/>
  <c r="HA162" i="1"/>
  <c r="GZ162" i="1"/>
  <c r="GY162" i="1"/>
  <c r="GX162" i="1"/>
  <c r="GW162" i="1"/>
  <c r="GV162" i="1"/>
  <c r="GU162" i="1"/>
  <c r="JR161" i="1"/>
  <c r="JQ161" i="1"/>
  <c r="JP161" i="1"/>
  <c r="JO161" i="1"/>
  <c r="JN161" i="1"/>
  <c r="JM161" i="1"/>
  <c r="JL161" i="1"/>
  <c r="JK161" i="1"/>
  <c r="JJ161" i="1"/>
  <c r="JI161" i="1"/>
  <c r="JH161" i="1"/>
  <c r="JG161" i="1"/>
  <c r="JF161" i="1"/>
  <c r="JE161" i="1"/>
  <c r="JD161" i="1"/>
  <c r="JC161" i="1"/>
  <c r="JB161" i="1"/>
  <c r="JA161" i="1"/>
  <c r="IZ161" i="1"/>
  <c r="IY161" i="1"/>
  <c r="IX161" i="1"/>
  <c r="IW161" i="1"/>
  <c r="IV161" i="1"/>
  <c r="IU161" i="1"/>
  <c r="IR161" i="1"/>
  <c r="IQ161" i="1"/>
  <c r="IP161" i="1"/>
  <c r="IO161" i="1"/>
  <c r="IL161" i="1"/>
  <c r="IK161" i="1"/>
  <c r="II161" i="1"/>
  <c r="IE161" i="1"/>
  <c r="ID161" i="1"/>
  <c r="IC161" i="1"/>
  <c r="IB161" i="1"/>
  <c r="IA161" i="1"/>
  <c r="HZ161" i="1"/>
  <c r="HY161" i="1"/>
  <c r="HX161" i="1"/>
  <c r="HW161" i="1"/>
  <c r="HV161" i="1"/>
  <c r="HU161" i="1"/>
  <c r="HT161" i="1"/>
  <c r="HS161" i="1"/>
  <c r="HR161" i="1"/>
  <c r="HQ161" i="1"/>
  <c r="HP161" i="1"/>
  <c r="HO161" i="1"/>
  <c r="HN161" i="1"/>
  <c r="HM161" i="1"/>
  <c r="HL161" i="1"/>
  <c r="HK161" i="1"/>
  <c r="HJ161" i="1"/>
  <c r="HI161" i="1"/>
  <c r="HH161" i="1"/>
  <c r="HF161" i="1"/>
  <c r="HE161" i="1"/>
  <c r="HD161" i="1"/>
  <c r="HC161" i="1"/>
  <c r="HB161" i="1"/>
  <c r="HA161" i="1"/>
  <c r="GZ161" i="1"/>
  <c r="GY161" i="1"/>
  <c r="GX161" i="1"/>
  <c r="GW161" i="1"/>
  <c r="GV161" i="1"/>
  <c r="GU161" i="1"/>
  <c r="JR159" i="1"/>
  <c r="JQ159" i="1"/>
  <c r="JP159" i="1"/>
  <c r="JO159" i="1"/>
  <c r="JN159" i="1"/>
  <c r="JM159" i="1"/>
  <c r="JL159" i="1"/>
  <c r="JK159" i="1"/>
  <c r="JJ159" i="1"/>
  <c r="JI159" i="1"/>
  <c r="JH159" i="1"/>
  <c r="JG159" i="1"/>
  <c r="JF159" i="1"/>
  <c r="JE159" i="1"/>
  <c r="JD159" i="1"/>
  <c r="JC159" i="1"/>
  <c r="JB159" i="1"/>
  <c r="JA159" i="1"/>
  <c r="IZ159" i="1"/>
  <c r="IY159" i="1"/>
  <c r="IX159" i="1"/>
  <c r="IW159" i="1"/>
  <c r="IV159" i="1"/>
  <c r="IU159" i="1"/>
  <c r="IR159" i="1"/>
  <c r="IQ159" i="1"/>
  <c r="IP159" i="1"/>
  <c r="IO159" i="1"/>
  <c r="IL159" i="1"/>
  <c r="IK159" i="1"/>
  <c r="II159" i="1"/>
  <c r="IE159" i="1"/>
  <c r="ID159" i="1"/>
  <c r="IC159" i="1"/>
  <c r="IB159" i="1"/>
  <c r="IA159" i="1"/>
  <c r="HZ159" i="1"/>
  <c r="HY159" i="1"/>
  <c r="HX159" i="1"/>
  <c r="HW159" i="1"/>
  <c r="HV159" i="1"/>
  <c r="HU159" i="1"/>
  <c r="HT159" i="1"/>
  <c r="HS159" i="1"/>
  <c r="HR159" i="1"/>
  <c r="HQ159" i="1"/>
  <c r="HP159" i="1"/>
  <c r="HO159" i="1"/>
  <c r="HN159" i="1"/>
  <c r="HM159" i="1"/>
  <c r="HL159" i="1"/>
  <c r="HK159" i="1"/>
  <c r="HJ159" i="1"/>
  <c r="HI159" i="1"/>
  <c r="HH159" i="1"/>
  <c r="HF159" i="1"/>
  <c r="HE159" i="1"/>
  <c r="HD159" i="1"/>
  <c r="HC159" i="1"/>
  <c r="HB159" i="1"/>
  <c r="HA159" i="1"/>
  <c r="GZ159" i="1"/>
  <c r="GY159" i="1"/>
  <c r="GX159" i="1"/>
  <c r="GW159" i="1"/>
  <c r="GV159" i="1"/>
  <c r="GU159" i="1"/>
  <c r="JR158" i="1"/>
  <c r="JQ158" i="1"/>
  <c r="JP158" i="1"/>
  <c r="JO158" i="1"/>
  <c r="JN158" i="1"/>
  <c r="JM158" i="1"/>
  <c r="JK158" i="1"/>
  <c r="JJ158" i="1"/>
  <c r="JI158" i="1"/>
  <c r="JH158" i="1"/>
  <c r="JG158" i="1"/>
  <c r="JE158" i="1"/>
  <c r="JD158" i="1"/>
  <c r="JC158" i="1"/>
  <c r="JB158" i="1"/>
  <c r="JA158" i="1"/>
  <c r="IZ158" i="1"/>
  <c r="IY158" i="1"/>
  <c r="IX158" i="1"/>
  <c r="IW158" i="1"/>
  <c r="IV158" i="1"/>
  <c r="IU158" i="1"/>
  <c r="IR158" i="1"/>
  <c r="IO158" i="1"/>
  <c r="IL158" i="1"/>
  <c r="IK158" i="1"/>
  <c r="II158" i="1"/>
  <c r="IE158" i="1"/>
  <c r="ID158" i="1"/>
  <c r="IC158" i="1"/>
  <c r="IB158" i="1"/>
  <c r="IA158" i="1"/>
  <c r="HZ158" i="1"/>
  <c r="HY158" i="1"/>
  <c r="HX158" i="1"/>
  <c r="HW158" i="1"/>
  <c r="HV158" i="1"/>
  <c r="HU158" i="1"/>
  <c r="HT158" i="1"/>
  <c r="HS158" i="1"/>
  <c r="HR158" i="1"/>
  <c r="HQ158" i="1"/>
  <c r="HP158" i="1"/>
  <c r="HO158" i="1"/>
  <c r="HN158" i="1"/>
  <c r="HM158" i="1"/>
  <c r="HL158" i="1"/>
  <c r="HK158" i="1"/>
  <c r="HJ158" i="1"/>
  <c r="HI158" i="1"/>
  <c r="HH158" i="1"/>
  <c r="HF158" i="1"/>
  <c r="HE158" i="1"/>
  <c r="HD158" i="1"/>
  <c r="HC158" i="1"/>
  <c r="HB158" i="1"/>
  <c r="HA158" i="1"/>
  <c r="GZ158" i="1"/>
  <c r="GY158" i="1"/>
  <c r="GX158" i="1"/>
  <c r="GW158" i="1"/>
  <c r="GV158" i="1"/>
  <c r="GU158" i="1"/>
  <c r="JR157" i="1"/>
  <c r="JQ157" i="1"/>
  <c r="JP157" i="1"/>
  <c r="JO157" i="1"/>
  <c r="JN157" i="1"/>
  <c r="JM157" i="1"/>
  <c r="JL157" i="1"/>
  <c r="JK157" i="1"/>
  <c r="JJ157" i="1"/>
  <c r="JI157" i="1"/>
  <c r="JH157" i="1"/>
  <c r="JG157" i="1"/>
  <c r="JF157" i="1"/>
  <c r="JE157" i="1"/>
  <c r="JD157" i="1"/>
  <c r="JC157" i="1"/>
  <c r="JB157" i="1"/>
  <c r="JA157" i="1"/>
  <c r="IZ157" i="1"/>
  <c r="IY157" i="1"/>
  <c r="IX157" i="1"/>
  <c r="IW157" i="1"/>
  <c r="IV157" i="1"/>
  <c r="IU157" i="1"/>
  <c r="IR157" i="1"/>
  <c r="IQ157" i="1"/>
  <c r="IP157" i="1"/>
  <c r="IO157" i="1"/>
  <c r="IL157" i="1"/>
  <c r="IK157" i="1"/>
  <c r="II157" i="1"/>
  <c r="IE157" i="1"/>
  <c r="ID157" i="1"/>
  <c r="IC157" i="1"/>
  <c r="IB157" i="1"/>
  <c r="IA157" i="1"/>
  <c r="HZ157" i="1"/>
  <c r="HY157" i="1"/>
  <c r="HX157" i="1"/>
  <c r="HW157" i="1"/>
  <c r="HV157" i="1"/>
  <c r="HU157" i="1"/>
  <c r="HT157" i="1"/>
  <c r="HS157" i="1"/>
  <c r="HR157" i="1"/>
  <c r="HQ157" i="1"/>
  <c r="HP157" i="1"/>
  <c r="HO157" i="1"/>
  <c r="HN157" i="1"/>
  <c r="HM157" i="1"/>
  <c r="HL157" i="1"/>
  <c r="HK157" i="1"/>
  <c r="HJ157" i="1"/>
  <c r="HI157" i="1"/>
  <c r="HH157" i="1"/>
  <c r="HF157" i="1"/>
  <c r="HE157" i="1"/>
  <c r="HD157" i="1"/>
  <c r="HC157" i="1"/>
  <c r="HB157" i="1"/>
  <c r="HA157" i="1"/>
  <c r="GZ157" i="1"/>
  <c r="GY157" i="1"/>
  <c r="GX157" i="1"/>
  <c r="GW157" i="1"/>
  <c r="GV157" i="1"/>
  <c r="GU157" i="1"/>
  <c r="JR156" i="1"/>
  <c r="JQ156" i="1"/>
  <c r="JP156" i="1"/>
  <c r="JO156" i="1"/>
  <c r="JN156" i="1"/>
  <c r="JM156" i="1"/>
  <c r="JL156" i="1"/>
  <c r="JK156" i="1"/>
  <c r="JJ156" i="1"/>
  <c r="JI156" i="1"/>
  <c r="JH156" i="1"/>
  <c r="JG156" i="1"/>
  <c r="JF156" i="1"/>
  <c r="JE156" i="1"/>
  <c r="JD156" i="1"/>
  <c r="JC156" i="1"/>
  <c r="JB156" i="1"/>
  <c r="JA156" i="1"/>
  <c r="IZ156" i="1"/>
  <c r="IY156" i="1"/>
  <c r="IX156" i="1"/>
  <c r="IW156" i="1"/>
  <c r="IV156" i="1"/>
  <c r="IU156" i="1"/>
  <c r="IR156" i="1"/>
  <c r="IO156" i="1"/>
  <c r="IL156" i="1"/>
  <c r="IK156" i="1"/>
  <c r="II156" i="1"/>
  <c r="IE156" i="1"/>
  <c r="ID156" i="1"/>
  <c r="IC156" i="1"/>
  <c r="IB156" i="1"/>
  <c r="IA156" i="1"/>
  <c r="HZ156" i="1"/>
  <c r="HY156" i="1"/>
  <c r="HX156" i="1"/>
  <c r="HW156" i="1"/>
  <c r="HV156" i="1"/>
  <c r="HU156" i="1"/>
  <c r="HT156" i="1"/>
  <c r="HS156" i="1"/>
  <c r="HR156" i="1"/>
  <c r="HQ156" i="1"/>
  <c r="HP156" i="1"/>
  <c r="HO156" i="1"/>
  <c r="HN156" i="1"/>
  <c r="HM156" i="1"/>
  <c r="HL156" i="1"/>
  <c r="HK156" i="1"/>
  <c r="HJ156" i="1"/>
  <c r="HI156" i="1"/>
  <c r="HH156" i="1"/>
  <c r="HF156" i="1"/>
  <c r="HE156" i="1"/>
  <c r="HD156" i="1"/>
  <c r="HC156" i="1"/>
  <c r="HB156" i="1"/>
  <c r="HA156" i="1"/>
  <c r="GZ156" i="1"/>
  <c r="GY156" i="1"/>
  <c r="GX156" i="1"/>
  <c r="GW156" i="1"/>
  <c r="GV156" i="1"/>
  <c r="GU156" i="1"/>
  <c r="C159" i="1"/>
  <c r="C158" i="1"/>
  <c r="JQ152" i="1"/>
  <c r="JP152" i="1"/>
  <c r="JM152" i="1"/>
  <c r="JK152" i="1"/>
  <c r="JJ152" i="1"/>
  <c r="JI152" i="1"/>
  <c r="JH152" i="1"/>
  <c r="JG152" i="1"/>
  <c r="JF152" i="1"/>
  <c r="JD152" i="1"/>
  <c r="JC152" i="1"/>
  <c r="JB152" i="1"/>
  <c r="JA152" i="1"/>
  <c r="IY152" i="1"/>
  <c r="IX152" i="1"/>
  <c r="IW152" i="1"/>
  <c r="IV152" i="1"/>
  <c r="IU152" i="1"/>
  <c r="IR152" i="1"/>
  <c r="IO152" i="1"/>
  <c r="IL152" i="1"/>
  <c r="IK152" i="1"/>
  <c r="IJ152" i="1"/>
  <c r="II152" i="1"/>
  <c r="IE152" i="1"/>
  <c r="ID152" i="1"/>
  <c r="IC152" i="1"/>
  <c r="IB152" i="1"/>
  <c r="IA152" i="1"/>
  <c r="HZ152" i="1"/>
  <c r="HY152" i="1"/>
  <c r="HX152" i="1"/>
  <c r="HW152" i="1"/>
  <c r="HV152" i="1"/>
  <c r="HU152" i="1"/>
  <c r="HT152" i="1"/>
  <c r="HS152" i="1"/>
  <c r="HR152" i="1"/>
  <c r="HQ152" i="1"/>
  <c r="HP152" i="1"/>
  <c r="HO152" i="1"/>
  <c r="HN152" i="1"/>
  <c r="HM152" i="1"/>
  <c r="HL152" i="1"/>
  <c r="HK152" i="1"/>
  <c r="HJ152" i="1"/>
  <c r="HI152" i="1"/>
  <c r="HH152" i="1"/>
  <c r="HF152" i="1"/>
  <c r="HE152" i="1"/>
  <c r="HD152" i="1"/>
  <c r="HC152" i="1"/>
  <c r="HB152" i="1"/>
  <c r="HA152" i="1"/>
  <c r="GZ152" i="1"/>
  <c r="GY152" i="1"/>
  <c r="GX152" i="1"/>
  <c r="GW152" i="1"/>
  <c r="GV152" i="1"/>
  <c r="GU152" i="1"/>
  <c r="JQ151" i="1"/>
  <c r="JP151" i="1"/>
  <c r="JO151" i="1"/>
  <c r="JN151" i="1"/>
  <c r="JM151" i="1"/>
  <c r="JL151" i="1"/>
  <c r="JK151" i="1"/>
  <c r="JJ151" i="1"/>
  <c r="JI151" i="1"/>
  <c r="JH151" i="1"/>
  <c r="JG151" i="1"/>
  <c r="JF151" i="1"/>
  <c r="JD151" i="1"/>
  <c r="JC151" i="1"/>
  <c r="JB151" i="1"/>
  <c r="JA151" i="1"/>
  <c r="IY151" i="1"/>
  <c r="IX151" i="1"/>
  <c r="IW151" i="1"/>
  <c r="IV151" i="1"/>
  <c r="IU151" i="1"/>
  <c r="IR151" i="1"/>
  <c r="IO151" i="1"/>
  <c r="IL151" i="1"/>
  <c r="IK151" i="1"/>
  <c r="IJ151" i="1"/>
  <c r="II151" i="1"/>
  <c r="IE151" i="1"/>
  <c r="ID151" i="1"/>
  <c r="IC151" i="1"/>
  <c r="IB151" i="1"/>
  <c r="IA151" i="1"/>
  <c r="HZ151" i="1"/>
  <c r="HY151" i="1"/>
  <c r="HX151" i="1"/>
  <c r="HW151" i="1"/>
  <c r="HV151" i="1"/>
  <c r="HU151" i="1"/>
  <c r="HT151" i="1"/>
  <c r="HS151" i="1"/>
  <c r="HR151" i="1"/>
  <c r="HQ151" i="1"/>
  <c r="HP151" i="1"/>
  <c r="HO151" i="1"/>
  <c r="HN151" i="1"/>
  <c r="HM151" i="1"/>
  <c r="HL151" i="1"/>
  <c r="HK151" i="1"/>
  <c r="HJ151" i="1"/>
  <c r="HI151" i="1"/>
  <c r="HH151" i="1"/>
  <c r="HF151" i="1"/>
  <c r="HE151" i="1"/>
  <c r="HD151" i="1"/>
  <c r="HC151" i="1"/>
  <c r="HB151" i="1"/>
  <c r="HA151" i="1"/>
  <c r="GZ151" i="1"/>
  <c r="GY151" i="1"/>
  <c r="GX151" i="1"/>
  <c r="GU151" i="1"/>
  <c r="JR150" i="1"/>
  <c r="JQ150" i="1"/>
  <c r="JP150" i="1"/>
  <c r="JO150" i="1"/>
  <c r="JN150" i="1"/>
  <c r="JM150" i="1"/>
  <c r="JL150" i="1"/>
  <c r="JK150" i="1"/>
  <c r="JJ150" i="1"/>
  <c r="JI150" i="1"/>
  <c r="JH150" i="1"/>
  <c r="JH149" i="1"/>
  <c r="JG150" i="1"/>
  <c r="JF150" i="1"/>
  <c r="JD150" i="1"/>
  <c r="JC150" i="1"/>
  <c r="JB150" i="1"/>
  <c r="JA150" i="1"/>
  <c r="IZ150" i="1"/>
  <c r="IY150" i="1"/>
  <c r="IX150" i="1"/>
  <c r="IW150" i="1"/>
  <c r="IW149" i="1"/>
  <c r="IV150" i="1"/>
  <c r="IU150" i="1"/>
  <c r="IR150" i="1"/>
  <c r="IQ150" i="1"/>
  <c r="IP150" i="1"/>
  <c r="IO150" i="1"/>
  <c r="IL150" i="1"/>
  <c r="IK150" i="1"/>
  <c r="IJ150" i="1"/>
  <c r="II150" i="1"/>
  <c r="IE150" i="1"/>
  <c r="ID150" i="1"/>
  <c r="IC150" i="1"/>
  <c r="IB150" i="1"/>
  <c r="IA150" i="1"/>
  <c r="HZ150" i="1"/>
  <c r="HY150" i="1"/>
  <c r="HX150" i="1"/>
  <c r="HW150" i="1"/>
  <c r="HV150" i="1"/>
  <c r="HU150" i="1"/>
  <c r="HT150" i="1"/>
  <c r="HS150" i="1"/>
  <c r="HR150" i="1"/>
  <c r="HQ150" i="1"/>
  <c r="HP150" i="1"/>
  <c r="HO150" i="1"/>
  <c r="HN150" i="1"/>
  <c r="HN149" i="1"/>
  <c r="HM150" i="1"/>
  <c r="HL150" i="1"/>
  <c r="HK150" i="1"/>
  <c r="HJ150" i="1"/>
  <c r="HI150" i="1"/>
  <c r="HH150" i="1"/>
  <c r="HF150" i="1"/>
  <c r="HE150" i="1"/>
  <c r="HD150" i="1"/>
  <c r="HC150" i="1"/>
  <c r="HB150" i="1"/>
  <c r="HA150" i="1"/>
  <c r="GZ150" i="1"/>
  <c r="GY150" i="1"/>
  <c r="GX150" i="1"/>
  <c r="GV150" i="1"/>
  <c r="GU150" i="1"/>
  <c r="JR137" i="1"/>
  <c r="JQ137" i="1"/>
  <c r="JP137" i="1"/>
  <c r="JN137" i="1"/>
  <c r="JM137" i="1"/>
  <c r="JL137" i="1"/>
  <c r="JK137" i="1"/>
  <c r="JJ137" i="1"/>
  <c r="JI137" i="1"/>
  <c r="JH137" i="1"/>
  <c r="JG137" i="1"/>
  <c r="JF137" i="1"/>
  <c r="JE137" i="1"/>
  <c r="JD137" i="1"/>
  <c r="JC137" i="1"/>
  <c r="JB137" i="1"/>
  <c r="JA137" i="1"/>
  <c r="IZ137" i="1"/>
  <c r="IY137" i="1"/>
  <c r="IX137" i="1"/>
  <c r="IW137" i="1"/>
  <c r="IV137" i="1"/>
  <c r="IR137" i="1"/>
  <c r="IO137" i="1"/>
  <c r="IL137" i="1"/>
  <c r="IK137" i="1"/>
  <c r="IJ137" i="1"/>
  <c r="II137" i="1"/>
  <c r="IE137" i="1"/>
  <c r="ID137" i="1"/>
  <c r="IC137" i="1"/>
  <c r="IB137" i="1"/>
  <c r="IA137" i="1"/>
  <c r="HZ137" i="1"/>
  <c r="HY137" i="1"/>
  <c r="HX137" i="1"/>
  <c r="HW137" i="1"/>
  <c r="HV137" i="1"/>
  <c r="HU137" i="1"/>
  <c r="HS137" i="1"/>
  <c r="HQ137" i="1"/>
  <c r="HP137" i="1"/>
  <c r="HO137" i="1"/>
  <c r="HN137" i="1"/>
  <c r="HM137" i="1"/>
  <c r="HL137" i="1"/>
  <c r="HK137" i="1"/>
  <c r="HJ137" i="1"/>
  <c r="HI137" i="1"/>
  <c r="HH137" i="1"/>
  <c r="HF137" i="1"/>
  <c r="HE137" i="1"/>
  <c r="HD137" i="1"/>
  <c r="HC137" i="1"/>
  <c r="HB137" i="1"/>
  <c r="HA137" i="1"/>
  <c r="GZ137" i="1"/>
  <c r="GY137" i="1"/>
  <c r="GX137" i="1"/>
  <c r="GW137" i="1"/>
  <c r="GV137" i="1"/>
  <c r="GU137" i="1"/>
  <c r="JR134" i="1"/>
  <c r="JQ134" i="1"/>
  <c r="JP134" i="1"/>
  <c r="JN134" i="1"/>
  <c r="JM134" i="1"/>
  <c r="JK134" i="1"/>
  <c r="JJ134" i="1"/>
  <c r="JI134" i="1"/>
  <c r="JH134" i="1"/>
  <c r="JG134" i="1"/>
  <c r="JF134" i="1"/>
  <c r="JE134" i="1"/>
  <c r="JD134" i="1"/>
  <c r="JB134" i="1"/>
  <c r="JA134" i="1"/>
  <c r="IY134" i="1"/>
  <c r="IX134" i="1"/>
  <c r="IW134" i="1"/>
  <c r="IV134" i="1"/>
  <c r="IR134" i="1"/>
  <c r="IO134" i="1"/>
  <c r="IN134" i="1"/>
  <c r="IM134" i="1"/>
  <c r="IL134" i="1"/>
  <c r="IK134" i="1"/>
  <c r="IJ134" i="1"/>
  <c r="II134" i="1"/>
  <c r="IE134" i="1"/>
  <c r="ID134" i="1"/>
  <c r="IC134" i="1"/>
  <c r="IB134" i="1"/>
  <c r="IA134" i="1"/>
  <c r="HZ134" i="1"/>
  <c r="HY134" i="1"/>
  <c r="HX134" i="1"/>
  <c r="HW134" i="1"/>
  <c r="HV134" i="1"/>
  <c r="HU134" i="1"/>
  <c r="HT134" i="1"/>
  <c r="HS134" i="1"/>
  <c r="HR134" i="1"/>
  <c r="HQ134" i="1"/>
  <c r="HP134" i="1"/>
  <c r="HO134" i="1"/>
  <c r="HN134" i="1"/>
  <c r="HM134" i="1"/>
  <c r="HL134" i="1"/>
  <c r="HK134" i="1"/>
  <c r="HJ134" i="1"/>
  <c r="HI134" i="1"/>
  <c r="HH134" i="1"/>
  <c r="HF134" i="1"/>
  <c r="HE134" i="1"/>
  <c r="HD134" i="1"/>
  <c r="HC134" i="1"/>
  <c r="HB134" i="1"/>
  <c r="HA134" i="1"/>
  <c r="GZ134" i="1"/>
  <c r="GY134" i="1"/>
  <c r="GX134" i="1"/>
  <c r="GW134" i="1"/>
  <c r="GV134" i="1"/>
  <c r="GU134" i="1"/>
  <c r="JR133" i="1"/>
  <c r="JQ133" i="1"/>
  <c r="JP133" i="1"/>
  <c r="JO133" i="1"/>
  <c r="JN133" i="1"/>
  <c r="JM133" i="1"/>
  <c r="JL133" i="1"/>
  <c r="JK133" i="1"/>
  <c r="JJ133" i="1"/>
  <c r="JH133" i="1"/>
  <c r="JG133" i="1"/>
  <c r="JF133" i="1"/>
  <c r="JE133" i="1"/>
  <c r="JD133" i="1"/>
  <c r="JC133" i="1"/>
  <c r="JB133" i="1"/>
  <c r="JA133" i="1"/>
  <c r="IZ133" i="1"/>
  <c r="IY133" i="1"/>
  <c r="IX133" i="1"/>
  <c r="IW133" i="1"/>
  <c r="IV133" i="1"/>
  <c r="IU133" i="1"/>
  <c r="IR133" i="1"/>
  <c r="IQ133" i="1"/>
  <c r="IP133" i="1"/>
  <c r="IO133" i="1"/>
  <c r="IN133" i="1"/>
  <c r="IM133" i="1"/>
  <c r="IL133" i="1"/>
  <c r="IK133" i="1"/>
  <c r="IJ133" i="1"/>
  <c r="II133" i="1"/>
  <c r="IE133" i="1"/>
  <c r="ID133" i="1"/>
  <c r="IC133" i="1"/>
  <c r="IB133" i="1"/>
  <c r="IA133" i="1"/>
  <c r="HZ133" i="1"/>
  <c r="HY133" i="1"/>
  <c r="HX133" i="1"/>
  <c r="HW133" i="1"/>
  <c r="HV133" i="1"/>
  <c r="HU133" i="1"/>
  <c r="HT133" i="1"/>
  <c r="HS133" i="1"/>
  <c r="HR133" i="1"/>
  <c r="HQ133" i="1"/>
  <c r="HP133" i="1"/>
  <c r="HO133" i="1"/>
  <c r="HN133" i="1"/>
  <c r="HM133" i="1"/>
  <c r="HL133" i="1"/>
  <c r="HK133" i="1"/>
  <c r="HJ133" i="1"/>
  <c r="HI133" i="1"/>
  <c r="HH133" i="1"/>
  <c r="HF133" i="1"/>
  <c r="HE133" i="1"/>
  <c r="HD133" i="1"/>
  <c r="HC133" i="1"/>
  <c r="HB133" i="1"/>
  <c r="HA133" i="1"/>
  <c r="GZ133" i="1"/>
  <c r="GY133" i="1"/>
  <c r="GX133" i="1"/>
  <c r="GW133" i="1"/>
  <c r="GV133" i="1"/>
  <c r="GU133" i="1"/>
  <c r="JR132" i="1"/>
  <c r="JQ132" i="1"/>
  <c r="JP132" i="1"/>
  <c r="JO132" i="1"/>
  <c r="JN132" i="1"/>
  <c r="JM132" i="1"/>
  <c r="JK132" i="1"/>
  <c r="JK131" i="1"/>
  <c r="JJ132" i="1"/>
  <c r="JI132" i="1"/>
  <c r="JH132" i="1"/>
  <c r="JG132" i="1"/>
  <c r="JE132" i="1"/>
  <c r="JD132" i="1"/>
  <c r="JC132" i="1"/>
  <c r="JB132" i="1"/>
  <c r="JA132" i="1"/>
  <c r="IZ132" i="1"/>
  <c r="IY132" i="1"/>
  <c r="IX132" i="1"/>
  <c r="IW132" i="1"/>
  <c r="IV132" i="1"/>
  <c r="IU132" i="1"/>
  <c r="IR132" i="1"/>
  <c r="IQ132" i="1"/>
  <c r="IP132" i="1"/>
  <c r="IO132" i="1"/>
  <c r="IO131" i="1"/>
  <c r="IN132" i="1"/>
  <c r="IM132" i="1"/>
  <c r="IL132" i="1"/>
  <c r="IK132" i="1"/>
  <c r="IJ132" i="1"/>
  <c r="II132" i="1"/>
  <c r="IE132" i="1"/>
  <c r="ID132" i="1"/>
  <c r="ID131" i="1"/>
  <c r="IC132" i="1"/>
  <c r="IB132" i="1"/>
  <c r="IA132" i="1"/>
  <c r="HZ132" i="1"/>
  <c r="HZ131" i="1"/>
  <c r="HY132" i="1"/>
  <c r="HX132" i="1"/>
  <c r="HW132" i="1"/>
  <c r="HV132" i="1"/>
  <c r="HV131" i="1"/>
  <c r="HU132" i="1"/>
  <c r="HT132" i="1"/>
  <c r="HS132" i="1"/>
  <c r="HR132" i="1"/>
  <c r="HQ132" i="1"/>
  <c r="HP132" i="1"/>
  <c r="HO132" i="1"/>
  <c r="HN132" i="1"/>
  <c r="HM132" i="1"/>
  <c r="HL132" i="1"/>
  <c r="HK132" i="1"/>
  <c r="HJ132" i="1"/>
  <c r="HI132" i="1"/>
  <c r="HI131" i="1"/>
  <c r="HH132" i="1"/>
  <c r="HF132" i="1"/>
  <c r="HE132" i="1"/>
  <c r="HD132" i="1"/>
  <c r="HC132" i="1"/>
  <c r="HB132" i="1"/>
  <c r="HA132" i="1"/>
  <c r="GZ132" i="1"/>
  <c r="GY132" i="1"/>
  <c r="GX132" i="1"/>
  <c r="GW132" i="1"/>
  <c r="GV132" i="1"/>
  <c r="GU132" i="1"/>
  <c r="C137" i="1"/>
  <c r="C134" i="1"/>
  <c r="C133" i="1"/>
  <c r="HF129" i="1"/>
  <c r="HE129" i="1"/>
  <c r="HD129" i="1"/>
  <c r="HC129" i="1"/>
  <c r="HB129" i="1"/>
  <c r="HA129" i="1"/>
  <c r="GZ129" i="1"/>
  <c r="GY129" i="1"/>
  <c r="GX129" i="1"/>
  <c r="GW129" i="1"/>
  <c r="GV129" i="1"/>
  <c r="GU129" i="1"/>
  <c r="JR128" i="1"/>
  <c r="JQ128" i="1"/>
  <c r="JP128" i="1"/>
  <c r="JO128" i="1"/>
  <c r="JN128" i="1"/>
  <c r="JM128" i="1"/>
  <c r="JL128" i="1"/>
  <c r="JK128" i="1"/>
  <c r="JJ128" i="1"/>
  <c r="JI128" i="1"/>
  <c r="JH128" i="1"/>
  <c r="JG128" i="1"/>
  <c r="JE128" i="1"/>
  <c r="JD128" i="1"/>
  <c r="JC128" i="1"/>
  <c r="JB128" i="1"/>
  <c r="JA128" i="1"/>
  <c r="IZ128" i="1"/>
  <c r="IY128" i="1"/>
  <c r="IX128" i="1"/>
  <c r="IW128" i="1"/>
  <c r="IV128" i="1"/>
  <c r="IU128" i="1"/>
  <c r="IR128" i="1"/>
  <c r="IQ128" i="1"/>
  <c r="IP128" i="1"/>
  <c r="IO128" i="1"/>
  <c r="IM128" i="1"/>
  <c r="IL128" i="1"/>
  <c r="IK128" i="1"/>
  <c r="IJ128" i="1"/>
  <c r="II128" i="1"/>
  <c r="IE128" i="1"/>
  <c r="ID128" i="1"/>
  <c r="IC128" i="1"/>
  <c r="IB128" i="1"/>
  <c r="IA128" i="1"/>
  <c r="HZ128" i="1"/>
  <c r="HY128" i="1"/>
  <c r="HX128" i="1"/>
  <c r="HW128" i="1"/>
  <c r="HV128" i="1"/>
  <c r="HU128" i="1"/>
  <c r="HT128" i="1"/>
  <c r="HS128" i="1"/>
  <c r="HR128" i="1"/>
  <c r="HQ128" i="1"/>
  <c r="HP128" i="1"/>
  <c r="HO128" i="1"/>
  <c r="HN128" i="1"/>
  <c r="HM128" i="1"/>
  <c r="HL128" i="1"/>
  <c r="HK128" i="1"/>
  <c r="HJ128" i="1"/>
  <c r="HI128" i="1"/>
  <c r="HH128" i="1"/>
  <c r="HF128" i="1"/>
  <c r="HE128" i="1"/>
  <c r="HD128" i="1"/>
  <c r="HC128" i="1"/>
  <c r="HB128" i="1"/>
  <c r="HA128" i="1"/>
  <c r="GZ128" i="1"/>
  <c r="GY128" i="1"/>
  <c r="GX128" i="1"/>
  <c r="GW128" i="1"/>
  <c r="GV128" i="1"/>
  <c r="GU128" i="1"/>
  <c r="JR127" i="1"/>
  <c r="JQ127" i="1"/>
  <c r="JP127" i="1"/>
  <c r="JO127" i="1"/>
  <c r="JN127" i="1"/>
  <c r="JM127" i="1"/>
  <c r="JL127" i="1"/>
  <c r="JK127" i="1"/>
  <c r="JJ127" i="1"/>
  <c r="JI127" i="1"/>
  <c r="JH127" i="1"/>
  <c r="JG127" i="1"/>
  <c r="JF127" i="1"/>
  <c r="JE127" i="1"/>
  <c r="JD127" i="1"/>
  <c r="JC127" i="1"/>
  <c r="JB127" i="1"/>
  <c r="JA127" i="1"/>
  <c r="IZ127" i="1"/>
  <c r="IY127" i="1"/>
  <c r="IX127" i="1"/>
  <c r="IW127" i="1"/>
  <c r="IV127" i="1"/>
  <c r="IU127" i="1"/>
  <c r="IR127" i="1"/>
  <c r="IO127" i="1"/>
  <c r="IN127" i="1"/>
  <c r="IM127" i="1"/>
  <c r="IL127" i="1"/>
  <c r="IK127" i="1"/>
  <c r="IJ127" i="1"/>
  <c r="II127" i="1"/>
  <c r="IE127" i="1"/>
  <c r="ID127" i="1"/>
  <c r="IC127" i="1"/>
  <c r="IB127" i="1"/>
  <c r="IA127" i="1"/>
  <c r="HZ127" i="1"/>
  <c r="HY127" i="1"/>
  <c r="HX127" i="1"/>
  <c r="HW127" i="1"/>
  <c r="HV127" i="1"/>
  <c r="HU127" i="1"/>
  <c r="HT127" i="1"/>
  <c r="HS127" i="1"/>
  <c r="HR127" i="1"/>
  <c r="HQ127" i="1"/>
  <c r="HP127" i="1"/>
  <c r="HO127" i="1"/>
  <c r="HN127" i="1"/>
  <c r="HM127" i="1"/>
  <c r="HK127" i="1"/>
  <c r="HJ127" i="1"/>
  <c r="HI127" i="1"/>
  <c r="HH127" i="1"/>
  <c r="HF127" i="1"/>
  <c r="HE127" i="1"/>
  <c r="HD127" i="1"/>
  <c r="HC127" i="1"/>
  <c r="HB127" i="1"/>
  <c r="HA127" i="1"/>
  <c r="GZ127" i="1"/>
  <c r="GY127" i="1"/>
  <c r="GX127" i="1"/>
  <c r="GW127" i="1"/>
  <c r="GV127" i="1"/>
  <c r="GU127" i="1"/>
  <c r="JR126" i="1"/>
  <c r="JQ126" i="1"/>
  <c r="JP126" i="1"/>
  <c r="JN126" i="1"/>
  <c r="JM126" i="1"/>
  <c r="JL126" i="1"/>
  <c r="JK126" i="1"/>
  <c r="JJ126" i="1"/>
  <c r="JI126" i="1"/>
  <c r="JH126" i="1"/>
  <c r="JG126" i="1"/>
  <c r="JF126" i="1"/>
  <c r="JE126" i="1"/>
  <c r="JD126" i="1"/>
  <c r="JB126" i="1"/>
  <c r="JA126" i="1"/>
  <c r="IZ126" i="1"/>
  <c r="IY126" i="1"/>
  <c r="IX126" i="1"/>
  <c r="IW126" i="1"/>
  <c r="IV126" i="1"/>
  <c r="IU126" i="1"/>
  <c r="IR126" i="1"/>
  <c r="IO126" i="1"/>
  <c r="IN126" i="1"/>
  <c r="IM126" i="1"/>
  <c r="IL126" i="1"/>
  <c r="IK126" i="1"/>
  <c r="IK125" i="1"/>
  <c r="IJ126" i="1"/>
  <c r="II126" i="1"/>
  <c r="IE126" i="1"/>
  <c r="ID126" i="1"/>
  <c r="IC126" i="1"/>
  <c r="IB126" i="1"/>
  <c r="IA126" i="1"/>
  <c r="HZ126" i="1"/>
  <c r="HY126" i="1"/>
  <c r="HX126" i="1"/>
  <c r="HW126" i="1"/>
  <c r="HV126" i="1"/>
  <c r="HU126" i="1"/>
  <c r="HT126" i="1"/>
  <c r="HS126" i="1"/>
  <c r="HR126" i="1"/>
  <c r="HQ126" i="1"/>
  <c r="HP126" i="1"/>
  <c r="HO126" i="1"/>
  <c r="HN126" i="1"/>
  <c r="HM126" i="1"/>
  <c r="HL126" i="1"/>
  <c r="HK126" i="1"/>
  <c r="HJ126" i="1"/>
  <c r="HI126" i="1"/>
  <c r="HI125" i="1"/>
  <c r="HH126" i="1"/>
  <c r="HF126" i="1"/>
  <c r="HE126" i="1"/>
  <c r="HD126" i="1"/>
  <c r="HC126" i="1"/>
  <c r="HB126" i="1"/>
  <c r="HA126" i="1"/>
  <c r="GZ126" i="1"/>
  <c r="GY126" i="1"/>
  <c r="GX126" i="1"/>
  <c r="GW126" i="1"/>
  <c r="GV126" i="1"/>
  <c r="GU126" i="1"/>
  <c r="C129" i="1"/>
  <c r="C127" i="1"/>
  <c r="JR123" i="1"/>
  <c r="JQ123" i="1"/>
  <c r="JP123" i="1"/>
  <c r="JN123" i="1"/>
  <c r="JM123" i="1"/>
  <c r="JL123" i="1"/>
  <c r="JK123" i="1"/>
  <c r="JJ123" i="1"/>
  <c r="JI123" i="1"/>
  <c r="JH123" i="1"/>
  <c r="JG123" i="1"/>
  <c r="JF123" i="1"/>
  <c r="JE123" i="1"/>
  <c r="JD123" i="1"/>
  <c r="JC123" i="1"/>
  <c r="JB123" i="1"/>
  <c r="JA123" i="1"/>
  <c r="IZ123" i="1"/>
  <c r="IY123" i="1"/>
  <c r="IX123" i="1"/>
  <c r="IW123" i="1"/>
  <c r="IV123" i="1"/>
  <c r="IU123" i="1"/>
  <c r="IR123" i="1"/>
  <c r="IQ123" i="1"/>
  <c r="IP123" i="1"/>
  <c r="IO123" i="1"/>
  <c r="IL123" i="1"/>
  <c r="IK123" i="1"/>
  <c r="IJ123" i="1"/>
  <c r="II123" i="1"/>
  <c r="IE123" i="1"/>
  <c r="ID123" i="1"/>
  <c r="IC123" i="1"/>
  <c r="IB123" i="1"/>
  <c r="IA123" i="1"/>
  <c r="HZ123" i="1"/>
  <c r="HY123" i="1"/>
  <c r="HX123" i="1"/>
  <c r="HW123" i="1"/>
  <c r="HV123" i="1"/>
  <c r="HU123" i="1"/>
  <c r="HS123" i="1"/>
  <c r="HR123" i="1"/>
  <c r="HQ123" i="1"/>
  <c r="HP123" i="1"/>
  <c r="HO123" i="1"/>
  <c r="HN123" i="1"/>
  <c r="HM123" i="1"/>
  <c r="HL123" i="1"/>
  <c r="HK123" i="1"/>
  <c r="HJ123" i="1"/>
  <c r="HI123" i="1"/>
  <c r="HI118" i="1"/>
  <c r="HH123" i="1"/>
  <c r="HF123" i="1"/>
  <c r="HE123" i="1"/>
  <c r="HD123" i="1"/>
  <c r="HC123" i="1"/>
  <c r="HB123" i="1"/>
  <c r="HA123" i="1"/>
  <c r="GZ123" i="1"/>
  <c r="GY123" i="1"/>
  <c r="GX123" i="1"/>
  <c r="GW123" i="1"/>
  <c r="GV123" i="1"/>
  <c r="GU123" i="1"/>
  <c r="JR122" i="1"/>
  <c r="JQ122" i="1"/>
  <c r="JP122" i="1"/>
  <c r="JN122" i="1"/>
  <c r="JM122" i="1"/>
  <c r="JL122" i="1"/>
  <c r="JK122" i="1"/>
  <c r="JJ122" i="1"/>
  <c r="JI122" i="1"/>
  <c r="JH122" i="1"/>
  <c r="JG122" i="1"/>
  <c r="JF122" i="1"/>
  <c r="JE122" i="1"/>
  <c r="JD122" i="1"/>
  <c r="JC122" i="1"/>
  <c r="JB122" i="1"/>
  <c r="JA122" i="1"/>
  <c r="IZ122" i="1"/>
  <c r="IY122" i="1"/>
  <c r="IX122" i="1"/>
  <c r="IW122" i="1"/>
  <c r="IV122" i="1"/>
  <c r="IU122" i="1"/>
  <c r="IR122" i="1"/>
  <c r="IO122" i="1"/>
  <c r="IL122" i="1"/>
  <c r="IK122" i="1"/>
  <c r="IJ122" i="1"/>
  <c r="II122" i="1"/>
  <c r="IE122" i="1"/>
  <c r="ID122" i="1"/>
  <c r="IC122" i="1"/>
  <c r="IB122" i="1"/>
  <c r="IA122" i="1"/>
  <c r="HZ122" i="1"/>
  <c r="HY122" i="1"/>
  <c r="HX122" i="1"/>
  <c r="HW122" i="1"/>
  <c r="HV122" i="1"/>
  <c r="HU122" i="1"/>
  <c r="HT122" i="1"/>
  <c r="HS122" i="1"/>
  <c r="HR122" i="1"/>
  <c r="HQ122" i="1"/>
  <c r="HP122" i="1"/>
  <c r="HO122" i="1"/>
  <c r="HN122" i="1"/>
  <c r="HM122" i="1"/>
  <c r="HL122" i="1"/>
  <c r="HK122" i="1"/>
  <c r="HJ122" i="1"/>
  <c r="HI122" i="1"/>
  <c r="HH122" i="1"/>
  <c r="HF122" i="1"/>
  <c r="HE122" i="1"/>
  <c r="HD122" i="1"/>
  <c r="HC122" i="1"/>
  <c r="HB122" i="1"/>
  <c r="HA122" i="1"/>
  <c r="GZ122" i="1"/>
  <c r="GY122" i="1"/>
  <c r="GX122" i="1"/>
  <c r="GW122" i="1"/>
  <c r="GV122" i="1"/>
  <c r="GU122" i="1"/>
  <c r="JR121" i="1"/>
  <c r="JQ121" i="1"/>
  <c r="JP121" i="1"/>
  <c r="JN121" i="1"/>
  <c r="JM121" i="1"/>
  <c r="JL121" i="1"/>
  <c r="JK121" i="1"/>
  <c r="JJ121" i="1"/>
  <c r="JI121" i="1"/>
  <c r="JH121" i="1"/>
  <c r="JG121" i="1"/>
  <c r="JF121" i="1"/>
  <c r="JE121" i="1"/>
  <c r="JD121" i="1"/>
  <c r="JC121" i="1"/>
  <c r="JB121" i="1"/>
  <c r="JA121" i="1"/>
  <c r="IZ121" i="1"/>
  <c r="IY121" i="1"/>
  <c r="IX121" i="1"/>
  <c r="IW121" i="1"/>
  <c r="IV121" i="1"/>
  <c r="IU121" i="1"/>
  <c r="IR121" i="1"/>
  <c r="IO121" i="1"/>
  <c r="IL121" i="1"/>
  <c r="IK121" i="1"/>
  <c r="IJ121" i="1"/>
  <c r="II121" i="1"/>
  <c r="IE121" i="1"/>
  <c r="ID121" i="1"/>
  <c r="IC121" i="1"/>
  <c r="IB121" i="1"/>
  <c r="IA121" i="1"/>
  <c r="HZ121" i="1"/>
  <c r="HY121" i="1"/>
  <c r="HX121" i="1"/>
  <c r="HW121" i="1"/>
  <c r="HV121" i="1"/>
  <c r="HU121" i="1"/>
  <c r="HT121" i="1"/>
  <c r="HS121" i="1"/>
  <c r="HR121" i="1"/>
  <c r="HQ121" i="1"/>
  <c r="HP121" i="1"/>
  <c r="HO121" i="1"/>
  <c r="HN121" i="1"/>
  <c r="HM121" i="1"/>
  <c r="HL121" i="1"/>
  <c r="HK121" i="1"/>
  <c r="HJ121" i="1"/>
  <c r="HI121" i="1"/>
  <c r="HH121" i="1"/>
  <c r="HF121" i="1"/>
  <c r="HE121" i="1"/>
  <c r="HD121" i="1"/>
  <c r="HC121" i="1"/>
  <c r="HB121" i="1"/>
  <c r="HA121" i="1"/>
  <c r="GZ121" i="1"/>
  <c r="GY121" i="1"/>
  <c r="GX121" i="1"/>
  <c r="GW121" i="1"/>
  <c r="GV121" i="1"/>
  <c r="GU121" i="1"/>
  <c r="JR120" i="1"/>
  <c r="JQ120" i="1"/>
  <c r="JP120" i="1"/>
  <c r="JO120" i="1"/>
  <c r="JN120" i="1"/>
  <c r="JM120" i="1"/>
  <c r="JL120" i="1"/>
  <c r="JK120" i="1"/>
  <c r="JJ120" i="1"/>
  <c r="JI120" i="1"/>
  <c r="JH120" i="1"/>
  <c r="JG120" i="1"/>
  <c r="JF120" i="1"/>
  <c r="JE120" i="1"/>
  <c r="JD120" i="1"/>
  <c r="JC120" i="1"/>
  <c r="JB120" i="1"/>
  <c r="JA120" i="1"/>
  <c r="IZ120" i="1"/>
  <c r="IY120" i="1"/>
  <c r="IX120" i="1"/>
  <c r="IW120" i="1"/>
  <c r="IV120" i="1"/>
  <c r="IU120" i="1"/>
  <c r="IR120" i="1"/>
  <c r="IQ120" i="1"/>
  <c r="IP120" i="1"/>
  <c r="IO120" i="1"/>
  <c r="IL120" i="1"/>
  <c r="IK120" i="1"/>
  <c r="IJ120" i="1"/>
  <c r="II120" i="1"/>
  <c r="IE120" i="1"/>
  <c r="ID120" i="1"/>
  <c r="IC120" i="1"/>
  <c r="IB120" i="1"/>
  <c r="IA120" i="1"/>
  <c r="HZ120" i="1"/>
  <c r="HY120" i="1"/>
  <c r="HX120" i="1"/>
  <c r="HW120" i="1"/>
  <c r="HV120" i="1"/>
  <c r="HU120" i="1"/>
  <c r="HT120" i="1"/>
  <c r="HS120" i="1"/>
  <c r="HR120" i="1"/>
  <c r="HQ120" i="1"/>
  <c r="HP120" i="1"/>
  <c r="HO120" i="1"/>
  <c r="HN120" i="1"/>
  <c r="HM120" i="1"/>
  <c r="HL120" i="1"/>
  <c r="HK120" i="1"/>
  <c r="HJ120" i="1"/>
  <c r="HI120" i="1"/>
  <c r="HH120" i="1"/>
  <c r="HF120" i="1"/>
  <c r="HE120" i="1"/>
  <c r="HD120" i="1"/>
  <c r="HC120" i="1"/>
  <c r="HB120" i="1"/>
  <c r="HA120" i="1"/>
  <c r="GZ120" i="1"/>
  <c r="GY120" i="1"/>
  <c r="GX120" i="1"/>
  <c r="GW120" i="1"/>
  <c r="GV120" i="1"/>
  <c r="GU120" i="1"/>
  <c r="JR119" i="1"/>
  <c r="JQ119" i="1"/>
  <c r="JP119" i="1"/>
  <c r="JO119" i="1"/>
  <c r="JN119" i="1"/>
  <c r="JM119" i="1"/>
  <c r="JL119" i="1"/>
  <c r="JK119" i="1"/>
  <c r="JJ119" i="1"/>
  <c r="JI119" i="1"/>
  <c r="JH119" i="1"/>
  <c r="JG119" i="1"/>
  <c r="JF119" i="1"/>
  <c r="JE119" i="1"/>
  <c r="JD119" i="1"/>
  <c r="JC119" i="1"/>
  <c r="JB119" i="1"/>
  <c r="JB118" i="1"/>
  <c r="JA119" i="1"/>
  <c r="JA118" i="1"/>
  <c r="IZ119" i="1"/>
  <c r="IY119" i="1"/>
  <c r="IX119" i="1"/>
  <c r="IW119" i="1"/>
  <c r="IV119" i="1"/>
  <c r="IU119" i="1"/>
  <c r="IR119" i="1"/>
  <c r="IO119" i="1"/>
  <c r="IL119" i="1"/>
  <c r="IK119" i="1"/>
  <c r="IJ119" i="1"/>
  <c r="II119" i="1"/>
  <c r="IE119" i="1"/>
  <c r="ID119" i="1"/>
  <c r="IC119" i="1"/>
  <c r="IB119" i="1"/>
  <c r="IA119" i="1"/>
  <c r="HZ119" i="1"/>
  <c r="HY119" i="1"/>
  <c r="HX119" i="1"/>
  <c r="HW119" i="1"/>
  <c r="HV119" i="1"/>
  <c r="HU119" i="1"/>
  <c r="HT119" i="1"/>
  <c r="HS119" i="1"/>
  <c r="HR119" i="1"/>
  <c r="HQ119" i="1"/>
  <c r="HP119" i="1"/>
  <c r="HO119" i="1"/>
  <c r="HN119" i="1"/>
  <c r="HM119" i="1"/>
  <c r="HL119" i="1"/>
  <c r="HK119" i="1"/>
  <c r="HJ119" i="1"/>
  <c r="HI119" i="1"/>
  <c r="HH119" i="1"/>
  <c r="HF119" i="1"/>
  <c r="HE119" i="1"/>
  <c r="HD119" i="1"/>
  <c r="HC119" i="1"/>
  <c r="HB119" i="1"/>
  <c r="HA119" i="1"/>
  <c r="GZ119" i="1"/>
  <c r="GY119" i="1"/>
  <c r="GX119" i="1"/>
  <c r="GW119" i="1"/>
  <c r="GV119" i="1"/>
  <c r="GU119" i="1"/>
  <c r="C123" i="1"/>
  <c r="C121" i="1"/>
  <c r="JR116" i="1"/>
  <c r="JQ116" i="1"/>
  <c r="JP116" i="1"/>
  <c r="JO116" i="1"/>
  <c r="JN116" i="1"/>
  <c r="JM116" i="1"/>
  <c r="JL116" i="1"/>
  <c r="JK116" i="1"/>
  <c r="JJ116" i="1"/>
  <c r="JI116" i="1"/>
  <c r="JH116" i="1"/>
  <c r="JG116" i="1"/>
  <c r="JF116" i="1"/>
  <c r="JE116" i="1"/>
  <c r="JD116" i="1"/>
  <c r="JC116" i="1"/>
  <c r="JB116" i="1"/>
  <c r="JA116" i="1"/>
  <c r="IZ116" i="1"/>
  <c r="IY116" i="1"/>
  <c r="IX116" i="1"/>
  <c r="IW116" i="1"/>
  <c r="IV116" i="1"/>
  <c r="IU116" i="1"/>
  <c r="IR116" i="1"/>
  <c r="IQ116" i="1"/>
  <c r="IP116" i="1"/>
  <c r="IO116" i="1"/>
  <c r="IN116" i="1"/>
  <c r="IM116" i="1"/>
  <c r="IL116" i="1"/>
  <c r="IK116" i="1"/>
  <c r="IJ116" i="1"/>
  <c r="II116" i="1"/>
  <c r="IE116" i="1"/>
  <c r="ID116" i="1"/>
  <c r="IC116" i="1"/>
  <c r="IB116" i="1"/>
  <c r="IA116" i="1"/>
  <c r="HZ116" i="1"/>
  <c r="HY116" i="1"/>
  <c r="HX116" i="1"/>
  <c r="HW116" i="1"/>
  <c r="HV116" i="1"/>
  <c r="HU116" i="1"/>
  <c r="HT116" i="1"/>
  <c r="HS116" i="1"/>
  <c r="HR116" i="1"/>
  <c r="HQ116" i="1"/>
  <c r="HP116" i="1"/>
  <c r="HO116" i="1"/>
  <c r="HN116" i="1"/>
  <c r="HM116" i="1"/>
  <c r="HL116" i="1"/>
  <c r="HK116" i="1"/>
  <c r="HJ116" i="1"/>
  <c r="HI116" i="1"/>
  <c r="HH116" i="1"/>
  <c r="HF116" i="1"/>
  <c r="HE116" i="1"/>
  <c r="HD116" i="1"/>
  <c r="HC116" i="1"/>
  <c r="HB116" i="1"/>
  <c r="HA116" i="1"/>
  <c r="GZ116" i="1"/>
  <c r="GY116" i="1"/>
  <c r="GX116" i="1"/>
  <c r="GW116" i="1"/>
  <c r="GV116" i="1"/>
  <c r="GU116" i="1"/>
  <c r="JR115" i="1"/>
  <c r="JQ115" i="1"/>
  <c r="JP115" i="1"/>
  <c r="JM115" i="1"/>
  <c r="JL115" i="1"/>
  <c r="JK115" i="1"/>
  <c r="JJ115" i="1"/>
  <c r="JI115" i="1"/>
  <c r="JH115" i="1"/>
  <c r="JG115" i="1"/>
  <c r="JF115" i="1"/>
  <c r="JE115" i="1"/>
  <c r="JD115" i="1"/>
  <c r="JC115" i="1"/>
  <c r="JB115" i="1"/>
  <c r="JA115" i="1"/>
  <c r="IZ115" i="1"/>
  <c r="IY115" i="1"/>
  <c r="IX115" i="1"/>
  <c r="IW115" i="1"/>
  <c r="IV115" i="1"/>
  <c r="IU115" i="1"/>
  <c r="IR115" i="1"/>
  <c r="IO115" i="1"/>
  <c r="IN115" i="1"/>
  <c r="IM115" i="1"/>
  <c r="IL115" i="1"/>
  <c r="IK115" i="1"/>
  <c r="IJ115" i="1"/>
  <c r="II115" i="1"/>
  <c r="IE115" i="1"/>
  <c r="ID115" i="1"/>
  <c r="IC115" i="1"/>
  <c r="IB115" i="1"/>
  <c r="IA115" i="1"/>
  <c r="HZ115" i="1"/>
  <c r="HY115" i="1"/>
  <c r="HX115" i="1"/>
  <c r="HW115" i="1"/>
  <c r="HV115" i="1"/>
  <c r="HU115" i="1"/>
  <c r="HT115" i="1"/>
  <c r="HS115" i="1"/>
  <c r="HR115" i="1"/>
  <c r="HQ115" i="1"/>
  <c r="HP115" i="1"/>
  <c r="HO115" i="1"/>
  <c r="HN115" i="1"/>
  <c r="HM115" i="1"/>
  <c r="HL115" i="1"/>
  <c r="HK115" i="1"/>
  <c r="HJ115" i="1"/>
  <c r="HI115" i="1"/>
  <c r="HH115" i="1"/>
  <c r="HF115" i="1"/>
  <c r="HE115" i="1"/>
  <c r="HD115" i="1"/>
  <c r="HC115" i="1"/>
  <c r="HB115" i="1"/>
  <c r="HA115" i="1"/>
  <c r="GZ115" i="1"/>
  <c r="GY115" i="1"/>
  <c r="GX115" i="1"/>
  <c r="GV115" i="1"/>
  <c r="GU115" i="1"/>
  <c r="JR114" i="1"/>
  <c r="JQ114" i="1"/>
  <c r="JP114" i="1"/>
  <c r="JO114" i="1"/>
  <c r="JN114" i="1"/>
  <c r="JM114" i="1"/>
  <c r="JL114" i="1"/>
  <c r="JK114" i="1"/>
  <c r="JJ114" i="1"/>
  <c r="JI114" i="1"/>
  <c r="JH114" i="1"/>
  <c r="JG114" i="1"/>
  <c r="JF114" i="1"/>
  <c r="JE114" i="1"/>
  <c r="JD114" i="1"/>
  <c r="JC114" i="1"/>
  <c r="JB114" i="1"/>
  <c r="JA114" i="1"/>
  <c r="IZ114" i="1"/>
  <c r="IY114" i="1"/>
  <c r="IX114" i="1"/>
  <c r="IW114" i="1"/>
  <c r="IV114" i="1"/>
  <c r="IU114" i="1"/>
  <c r="IR114" i="1"/>
  <c r="IQ114" i="1"/>
  <c r="IP114" i="1"/>
  <c r="IO114" i="1"/>
  <c r="IN114" i="1"/>
  <c r="IM114" i="1"/>
  <c r="IL114" i="1"/>
  <c r="IK114" i="1"/>
  <c r="IJ114" i="1"/>
  <c r="II114" i="1"/>
  <c r="IE114" i="1"/>
  <c r="ID114" i="1"/>
  <c r="IC114" i="1"/>
  <c r="IB114" i="1"/>
  <c r="IA114" i="1"/>
  <c r="HZ114" i="1"/>
  <c r="HY114" i="1"/>
  <c r="HX114" i="1"/>
  <c r="HW114" i="1"/>
  <c r="HV114" i="1"/>
  <c r="HU114" i="1"/>
  <c r="HT114" i="1"/>
  <c r="HS114" i="1"/>
  <c r="HR114" i="1"/>
  <c r="HQ114" i="1"/>
  <c r="HP114" i="1"/>
  <c r="HO114" i="1"/>
  <c r="HN114" i="1"/>
  <c r="HM114" i="1"/>
  <c r="HL114" i="1"/>
  <c r="HK114" i="1"/>
  <c r="HJ114" i="1"/>
  <c r="HI114" i="1"/>
  <c r="HH114" i="1"/>
  <c r="HF114" i="1"/>
  <c r="HE114" i="1"/>
  <c r="HD114" i="1"/>
  <c r="HC114" i="1"/>
  <c r="HB114" i="1"/>
  <c r="HA114" i="1"/>
  <c r="GZ114" i="1"/>
  <c r="GY114" i="1"/>
  <c r="GX114" i="1"/>
  <c r="GW114" i="1"/>
  <c r="GV114" i="1"/>
  <c r="GU114" i="1"/>
  <c r="JR113" i="1"/>
  <c r="JQ113" i="1"/>
  <c r="JP113" i="1"/>
  <c r="JO113" i="1"/>
  <c r="JN113" i="1"/>
  <c r="JM113" i="1"/>
  <c r="JL113" i="1"/>
  <c r="JK113" i="1"/>
  <c r="JJ113" i="1"/>
  <c r="JH113" i="1"/>
  <c r="JG113" i="1"/>
  <c r="JF113" i="1"/>
  <c r="JE113" i="1"/>
  <c r="JD113" i="1"/>
  <c r="JC113" i="1"/>
  <c r="JB113" i="1"/>
  <c r="JA113" i="1"/>
  <c r="IZ113" i="1"/>
  <c r="IY113" i="1"/>
  <c r="IX113" i="1"/>
  <c r="IW113" i="1"/>
  <c r="IV113" i="1"/>
  <c r="IU113" i="1"/>
  <c r="IR113" i="1"/>
  <c r="IO113" i="1"/>
  <c r="IN113" i="1"/>
  <c r="IM113" i="1"/>
  <c r="IL113" i="1"/>
  <c r="IK113" i="1"/>
  <c r="IJ113" i="1"/>
  <c r="II113" i="1"/>
  <c r="IE113" i="1"/>
  <c r="ID113" i="1"/>
  <c r="IC113" i="1"/>
  <c r="IB113" i="1"/>
  <c r="IA113" i="1"/>
  <c r="HZ113" i="1"/>
  <c r="HY113" i="1"/>
  <c r="HX113" i="1"/>
  <c r="HW113" i="1"/>
  <c r="HV113" i="1"/>
  <c r="HU113" i="1"/>
  <c r="HT113" i="1"/>
  <c r="HS113" i="1"/>
  <c r="HR113" i="1"/>
  <c r="HQ113" i="1"/>
  <c r="HP113" i="1"/>
  <c r="HO113" i="1"/>
  <c r="HN113" i="1"/>
  <c r="HM113" i="1"/>
  <c r="HL113" i="1"/>
  <c r="HK113" i="1"/>
  <c r="HJ113" i="1"/>
  <c r="HI113" i="1"/>
  <c r="HH113" i="1"/>
  <c r="HF113" i="1"/>
  <c r="HE113" i="1"/>
  <c r="HD113" i="1"/>
  <c r="HC113" i="1"/>
  <c r="HB113" i="1"/>
  <c r="HA113" i="1"/>
  <c r="GZ113" i="1"/>
  <c r="GY113" i="1"/>
  <c r="GW113" i="1"/>
  <c r="GV113" i="1"/>
  <c r="GU113" i="1"/>
  <c r="JR112" i="1"/>
  <c r="JQ112" i="1"/>
  <c r="JP112" i="1"/>
  <c r="JO112" i="1"/>
  <c r="JN112" i="1"/>
  <c r="JM112" i="1"/>
  <c r="JL112" i="1"/>
  <c r="JK112" i="1"/>
  <c r="JJ112" i="1"/>
  <c r="JI112" i="1"/>
  <c r="JH112" i="1"/>
  <c r="JF112" i="1"/>
  <c r="JE112" i="1"/>
  <c r="JD112" i="1"/>
  <c r="JC112" i="1"/>
  <c r="JB112" i="1"/>
  <c r="JA112" i="1"/>
  <c r="IZ112" i="1"/>
  <c r="IY112" i="1"/>
  <c r="IX112" i="1"/>
  <c r="IW112" i="1"/>
  <c r="IV112" i="1"/>
  <c r="IV111" i="1"/>
  <c r="IU112" i="1"/>
  <c r="IU111" i="1"/>
  <c r="IO112" i="1"/>
  <c r="IL112" i="1"/>
  <c r="IK112" i="1"/>
  <c r="IJ112" i="1"/>
  <c r="II112" i="1"/>
  <c r="IE112" i="1"/>
  <c r="ID112" i="1"/>
  <c r="IC112" i="1"/>
  <c r="IB112" i="1"/>
  <c r="IA112" i="1"/>
  <c r="HZ112" i="1"/>
  <c r="HY112" i="1"/>
  <c r="HX112" i="1"/>
  <c r="HW112" i="1"/>
  <c r="HV112" i="1"/>
  <c r="HU112" i="1"/>
  <c r="HT112" i="1"/>
  <c r="HS112" i="1"/>
  <c r="HR112" i="1"/>
  <c r="HQ112" i="1"/>
  <c r="HP112" i="1"/>
  <c r="HO112" i="1"/>
  <c r="HN112" i="1"/>
  <c r="HM112" i="1"/>
  <c r="HL112" i="1"/>
  <c r="HK112" i="1"/>
  <c r="HJ112" i="1"/>
  <c r="HI112" i="1"/>
  <c r="HH112" i="1"/>
  <c r="HH111" i="1"/>
  <c r="HF112" i="1"/>
  <c r="HE112" i="1"/>
  <c r="HD112" i="1"/>
  <c r="HC112" i="1"/>
  <c r="HB112" i="1"/>
  <c r="HA112" i="1"/>
  <c r="GZ112" i="1"/>
  <c r="GY112" i="1"/>
  <c r="GX112" i="1"/>
  <c r="GW112" i="1"/>
  <c r="GV112" i="1"/>
  <c r="GU112" i="1"/>
  <c r="JR108" i="1"/>
  <c r="JQ108" i="1"/>
  <c r="JP108" i="1"/>
  <c r="JN108" i="1"/>
  <c r="JM108" i="1"/>
  <c r="JK108" i="1"/>
  <c r="JK106" i="1"/>
  <c r="JJ108" i="1"/>
  <c r="JI108" i="1"/>
  <c r="JI106" i="1"/>
  <c r="JH108" i="1"/>
  <c r="JG108" i="1"/>
  <c r="JF108" i="1"/>
  <c r="JE108" i="1"/>
  <c r="JE106" i="1"/>
  <c r="JD108" i="1"/>
  <c r="JB108" i="1"/>
  <c r="JA108" i="1"/>
  <c r="IZ108" i="1"/>
  <c r="IY108" i="1"/>
  <c r="IY106" i="1"/>
  <c r="IX108" i="1"/>
  <c r="IW108" i="1"/>
  <c r="IW106" i="1"/>
  <c r="IV108" i="1"/>
  <c r="IU108" i="1"/>
  <c r="IS108" i="1"/>
  <c r="IR108" i="1"/>
  <c r="IO108" i="1"/>
  <c r="IL108" i="1"/>
  <c r="IK108" i="1"/>
  <c r="IJ108" i="1"/>
  <c r="II108" i="1"/>
  <c r="IE108" i="1"/>
  <c r="ID108" i="1"/>
  <c r="IC108" i="1"/>
  <c r="IB108" i="1"/>
  <c r="IA108" i="1"/>
  <c r="HZ108" i="1"/>
  <c r="HY108" i="1"/>
  <c r="HX108" i="1"/>
  <c r="HW108" i="1"/>
  <c r="HV108" i="1"/>
  <c r="HU108" i="1"/>
  <c r="HT108" i="1"/>
  <c r="HS108" i="1"/>
  <c r="HR108" i="1"/>
  <c r="HQ108" i="1"/>
  <c r="HP108" i="1"/>
  <c r="HO108" i="1"/>
  <c r="HN108" i="1"/>
  <c r="HM108" i="1"/>
  <c r="HL108" i="1"/>
  <c r="HK108" i="1"/>
  <c r="HJ108" i="1"/>
  <c r="HI108" i="1"/>
  <c r="HH108" i="1"/>
  <c r="HF108" i="1"/>
  <c r="HE108" i="1"/>
  <c r="HD108" i="1"/>
  <c r="HC108" i="1"/>
  <c r="HB108" i="1"/>
  <c r="HA108" i="1"/>
  <c r="GZ108" i="1"/>
  <c r="GY108" i="1"/>
  <c r="GX108" i="1"/>
  <c r="GW108" i="1"/>
  <c r="GV108" i="1"/>
  <c r="GU108" i="1"/>
  <c r="JR79" i="1"/>
  <c r="JQ79" i="1"/>
  <c r="JP79" i="1"/>
  <c r="JL79" i="1"/>
  <c r="JK79" i="1"/>
  <c r="JJ79" i="1"/>
  <c r="JI79" i="1"/>
  <c r="JH79" i="1"/>
  <c r="JG79" i="1"/>
  <c r="JE79" i="1"/>
  <c r="JD79" i="1"/>
  <c r="JC79" i="1"/>
  <c r="JB79" i="1"/>
  <c r="JA79" i="1"/>
  <c r="IZ79" i="1"/>
  <c r="IY79" i="1"/>
  <c r="IX79" i="1"/>
  <c r="IW79" i="1"/>
  <c r="IV79" i="1"/>
  <c r="IU79" i="1"/>
  <c r="IR79" i="1"/>
  <c r="IQ79" i="1"/>
  <c r="IP79" i="1"/>
  <c r="IO79" i="1"/>
  <c r="IN79" i="1"/>
  <c r="IM79" i="1"/>
  <c r="IL79" i="1"/>
  <c r="IK79" i="1"/>
  <c r="IK77" i="1"/>
  <c r="IJ79" i="1"/>
  <c r="II79" i="1"/>
  <c r="IE79" i="1"/>
  <c r="ID79" i="1"/>
  <c r="IA79" i="1"/>
  <c r="HZ79" i="1"/>
  <c r="HY79" i="1"/>
  <c r="HX79" i="1"/>
  <c r="HW79" i="1"/>
  <c r="HV79" i="1"/>
  <c r="HU79" i="1"/>
  <c r="HT79" i="1"/>
  <c r="HS79" i="1"/>
  <c r="HR79" i="1"/>
  <c r="HQ79" i="1"/>
  <c r="HP79" i="1"/>
  <c r="HO79" i="1"/>
  <c r="HN79" i="1"/>
  <c r="HM79" i="1"/>
  <c r="HL79" i="1"/>
  <c r="HK79" i="1"/>
  <c r="HJ79" i="1"/>
  <c r="HI79" i="1"/>
  <c r="HH79" i="1"/>
  <c r="HF79" i="1"/>
  <c r="HE79" i="1"/>
  <c r="HD79" i="1"/>
  <c r="HC79" i="1"/>
  <c r="HB79" i="1"/>
  <c r="HA79" i="1"/>
  <c r="GZ79" i="1"/>
  <c r="GY79" i="1"/>
  <c r="GX79" i="1"/>
  <c r="GV79" i="1"/>
  <c r="GU79" i="1"/>
  <c r="JR78" i="1"/>
  <c r="JQ78" i="1"/>
  <c r="JP78" i="1"/>
  <c r="JO78" i="1"/>
  <c r="JN78" i="1"/>
  <c r="JM78" i="1"/>
  <c r="JL78" i="1"/>
  <c r="JK78" i="1"/>
  <c r="JJ78" i="1"/>
  <c r="JI78" i="1"/>
  <c r="JH78" i="1"/>
  <c r="JG78" i="1"/>
  <c r="JF78" i="1"/>
  <c r="JE78" i="1"/>
  <c r="JD78" i="1"/>
  <c r="JC78" i="1"/>
  <c r="JB78" i="1"/>
  <c r="JA78" i="1"/>
  <c r="IZ78" i="1"/>
  <c r="IY78" i="1"/>
  <c r="IX78" i="1"/>
  <c r="IW78" i="1"/>
  <c r="IV78" i="1"/>
  <c r="IU78" i="1"/>
  <c r="IR78" i="1"/>
  <c r="IP78" i="1"/>
  <c r="IO78" i="1"/>
  <c r="IN78" i="1"/>
  <c r="IM78" i="1"/>
  <c r="IL78" i="1"/>
  <c r="IK78" i="1"/>
  <c r="IJ78" i="1"/>
  <c r="II78" i="1"/>
  <c r="IE78" i="1"/>
  <c r="ID78" i="1"/>
  <c r="IC78" i="1"/>
  <c r="IB78" i="1"/>
  <c r="IA78" i="1"/>
  <c r="HZ78" i="1"/>
  <c r="HY78" i="1"/>
  <c r="HX78" i="1"/>
  <c r="HW78" i="1"/>
  <c r="HV78" i="1"/>
  <c r="HU78" i="1"/>
  <c r="HT78" i="1"/>
  <c r="HS78" i="1"/>
  <c r="HR78" i="1"/>
  <c r="HQ78" i="1"/>
  <c r="HP78" i="1"/>
  <c r="HO78" i="1"/>
  <c r="HN78" i="1"/>
  <c r="HM78" i="1"/>
  <c r="HL78" i="1"/>
  <c r="HK78" i="1"/>
  <c r="HJ78" i="1"/>
  <c r="HI78" i="1"/>
  <c r="HH78" i="1"/>
  <c r="HH77" i="1"/>
  <c r="HF78" i="1"/>
  <c r="HE78" i="1"/>
  <c r="HD78" i="1"/>
  <c r="HC78" i="1"/>
  <c r="HB78" i="1"/>
  <c r="HA78" i="1"/>
  <c r="GZ78" i="1"/>
  <c r="GY78" i="1"/>
  <c r="GW78" i="1"/>
  <c r="GV78" i="1"/>
  <c r="GU78" i="1"/>
  <c r="C80" i="1"/>
  <c r="JQ61" i="1"/>
  <c r="JP61" i="1"/>
  <c r="JO61" i="1"/>
  <c r="JN61" i="1"/>
  <c r="JM61" i="1"/>
  <c r="JL61" i="1"/>
  <c r="JK61" i="1"/>
  <c r="JJ61" i="1"/>
  <c r="JH61" i="1"/>
  <c r="JG61" i="1"/>
  <c r="JE61" i="1"/>
  <c r="JD61" i="1"/>
  <c r="JB61" i="1"/>
  <c r="JA61" i="1"/>
  <c r="IY61" i="1"/>
  <c r="IX61" i="1"/>
  <c r="IW61" i="1"/>
  <c r="IV61" i="1"/>
  <c r="IU61" i="1"/>
  <c r="IR61" i="1"/>
  <c r="IO61" i="1"/>
  <c r="IL61" i="1"/>
  <c r="IK61" i="1"/>
  <c r="IJ61" i="1"/>
  <c r="II61" i="1"/>
  <c r="IE61" i="1"/>
  <c r="ID61" i="1"/>
  <c r="IC61" i="1"/>
  <c r="IB61" i="1"/>
  <c r="IA61" i="1"/>
  <c r="HZ61" i="1"/>
  <c r="HY61" i="1"/>
  <c r="HX61" i="1"/>
  <c r="HW61" i="1"/>
  <c r="HV61" i="1"/>
  <c r="HU61" i="1"/>
  <c r="HS61" i="1"/>
  <c r="HQ61" i="1"/>
  <c r="HP61" i="1"/>
  <c r="HO61" i="1"/>
  <c r="HN61" i="1"/>
  <c r="HM61" i="1"/>
  <c r="HL61" i="1"/>
  <c r="HK61" i="1"/>
  <c r="HJ61" i="1"/>
  <c r="HI61" i="1"/>
  <c r="HH61" i="1"/>
  <c r="HF61" i="1"/>
  <c r="HE61" i="1"/>
  <c r="HD61" i="1"/>
  <c r="HC61" i="1"/>
  <c r="HB61" i="1"/>
  <c r="HA61" i="1"/>
  <c r="GZ61" i="1"/>
  <c r="GY61" i="1"/>
  <c r="GX61" i="1"/>
  <c r="GW61" i="1"/>
  <c r="GV61" i="1"/>
  <c r="GU61" i="1"/>
  <c r="JX746" i="1"/>
  <c r="JX730" i="1"/>
  <c r="JX672" i="1"/>
  <c r="HF18" i="1"/>
  <c r="HE18" i="1"/>
  <c r="HD18" i="1"/>
  <c r="HC18" i="1"/>
  <c r="HB18" i="1"/>
  <c r="HA18" i="1"/>
  <c r="GZ18" i="1"/>
  <c r="GY18" i="1"/>
  <c r="GX18" i="1"/>
  <c r="GW18" i="1"/>
  <c r="GV18" i="1"/>
  <c r="HW42" i="1"/>
  <c r="JR91" i="1"/>
  <c r="JQ91" i="1"/>
  <c r="JP91" i="1"/>
  <c r="JO91" i="1"/>
  <c r="JN91" i="1"/>
  <c r="JM91" i="1"/>
  <c r="JL91" i="1"/>
  <c r="JK91" i="1"/>
  <c r="JJ91" i="1"/>
  <c r="JI91" i="1"/>
  <c r="JH91" i="1"/>
  <c r="JG91" i="1"/>
  <c r="JF91" i="1"/>
  <c r="JE91" i="1"/>
  <c r="JD91" i="1"/>
  <c r="JC91" i="1"/>
  <c r="JA91" i="1"/>
  <c r="IZ91" i="1"/>
  <c r="IY91" i="1"/>
  <c r="IX91" i="1"/>
  <c r="IW91" i="1"/>
  <c r="IV91" i="1"/>
  <c r="IU91" i="1"/>
  <c r="IR91" i="1"/>
  <c r="IP91" i="1"/>
  <c r="IO91" i="1"/>
  <c r="IN91" i="1"/>
  <c r="IM91" i="1"/>
  <c r="IL91" i="1"/>
  <c r="IK91" i="1"/>
  <c r="IJ91" i="1"/>
  <c r="II91" i="1"/>
  <c r="IE91" i="1"/>
  <c r="ID91" i="1"/>
  <c r="IC91" i="1"/>
  <c r="IB91" i="1"/>
  <c r="IA91" i="1"/>
  <c r="HZ91" i="1"/>
  <c r="HY91" i="1"/>
  <c r="HX91" i="1"/>
  <c r="HW91" i="1"/>
  <c r="HV91" i="1"/>
  <c r="HU91" i="1"/>
  <c r="HT91" i="1"/>
  <c r="HS91" i="1"/>
  <c r="HR91" i="1"/>
  <c r="HQ91" i="1"/>
  <c r="HP91" i="1"/>
  <c r="HO91" i="1"/>
  <c r="HN91" i="1"/>
  <c r="HM91" i="1"/>
  <c r="HL91" i="1"/>
  <c r="HK91" i="1"/>
  <c r="HJ91" i="1"/>
  <c r="HI91" i="1"/>
  <c r="HH91" i="1"/>
  <c r="HF91" i="1"/>
  <c r="HE91" i="1"/>
  <c r="HD91" i="1"/>
  <c r="HC91" i="1"/>
  <c r="HB91" i="1"/>
  <c r="HA91" i="1"/>
  <c r="GZ91" i="1"/>
  <c r="GY91" i="1"/>
  <c r="GX91" i="1"/>
  <c r="GW91" i="1"/>
  <c r="GV91" i="1"/>
  <c r="GU91" i="1"/>
  <c r="JR90" i="1"/>
  <c r="JQ90" i="1"/>
  <c r="JP90" i="1"/>
  <c r="JO90" i="1"/>
  <c r="JN90" i="1"/>
  <c r="JM90" i="1"/>
  <c r="JL90" i="1"/>
  <c r="JK90" i="1"/>
  <c r="JJ90" i="1"/>
  <c r="JI90" i="1"/>
  <c r="JH90" i="1"/>
  <c r="JG90" i="1"/>
  <c r="JF90" i="1"/>
  <c r="JE90" i="1"/>
  <c r="JD90" i="1"/>
  <c r="JC90" i="1"/>
  <c r="JA90" i="1"/>
  <c r="IZ90" i="1"/>
  <c r="IY90" i="1"/>
  <c r="IX90" i="1"/>
  <c r="IV90" i="1"/>
  <c r="IU90" i="1"/>
  <c r="IR90" i="1"/>
  <c r="IQ90" i="1"/>
  <c r="IP90" i="1"/>
  <c r="IO90" i="1"/>
  <c r="IM90" i="1"/>
  <c r="IL90" i="1"/>
  <c r="IK90" i="1"/>
  <c r="IJ90" i="1"/>
  <c r="II90" i="1"/>
  <c r="IG90" i="1"/>
  <c r="IE90" i="1"/>
  <c r="ID90" i="1"/>
  <c r="IC90" i="1"/>
  <c r="IB90" i="1"/>
  <c r="IA90" i="1"/>
  <c r="HZ90" i="1"/>
  <c r="HY90" i="1"/>
  <c r="HX90" i="1"/>
  <c r="HW90" i="1"/>
  <c r="HV90" i="1"/>
  <c r="HU90" i="1"/>
  <c r="HT90" i="1"/>
  <c r="HS90" i="1"/>
  <c r="HR90" i="1"/>
  <c r="HQ90" i="1"/>
  <c r="HP90" i="1"/>
  <c r="HO90" i="1"/>
  <c r="HN90" i="1"/>
  <c r="HM90" i="1"/>
  <c r="HL90" i="1"/>
  <c r="HK90" i="1"/>
  <c r="HJ90" i="1"/>
  <c r="HI90" i="1"/>
  <c r="HH90" i="1"/>
  <c r="HF90" i="1"/>
  <c r="HE90" i="1"/>
  <c r="HD90" i="1"/>
  <c r="HC90" i="1"/>
  <c r="HB90" i="1"/>
  <c r="HA90" i="1"/>
  <c r="GZ90" i="1"/>
  <c r="GY90" i="1"/>
  <c r="GX90" i="1"/>
  <c r="GW90" i="1"/>
  <c r="GV90" i="1"/>
  <c r="GU90" i="1"/>
  <c r="JR89" i="1"/>
  <c r="JQ89" i="1"/>
  <c r="JP89" i="1"/>
  <c r="JO89" i="1"/>
  <c r="JN89" i="1"/>
  <c r="JM89" i="1"/>
  <c r="JL89" i="1"/>
  <c r="JK89" i="1"/>
  <c r="JJ89" i="1"/>
  <c r="JI89" i="1"/>
  <c r="JH89" i="1"/>
  <c r="JG89" i="1"/>
  <c r="JF89" i="1"/>
  <c r="JE89" i="1"/>
  <c r="JD89" i="1"/>
  <c r="JA89" i="1"/>
  <c r="IZ89" i="1"/>
  <c r="IY89" i="1"/>
  <c r="IX89" i="1"/>
  <c r="IW89" i="1"/>
  <c r="IV89" i="1"/>
  <c r="IU89" i="1"/>
  <c r="IR89" i="1"/>
  <c r="IQ89" i="1"/>
  <c r="IP89" i="1"/>
  <c r="IO89" i="1"/>
  <c r="IN89" i="1"/>
  <c r="IM89" i="1"/>
  <c r="IL89" i="1"/>
  <c r="IK89" i="1"/>
  <c r="IJ89" i="1"/>
  <c r="II89" i="1"/>
  <c r="IE89" i="1"/>
  <c r="ID89" i="1"/>
  <c r="IC89" i="1"/>
  <c r="IB89" i="1"/>
  <c r="IA89" i="1"/>
  <c r="HZ89" i="1"/>
  <c r="HY89" i="1"/>
  <c r="HX89" i="1"/>
  <c r="HW89" i="1"/>
  <c r="HV89" i="1"/>
  <c r="HU89" i="1"/>
  <c r="HT89" i="1"/>
  <c r="HS89" i="1"/>
  <c r="HR89" i="1"/>
  <c r="HQ89" i="1"/>
  <c r="HP89" i="1"/>
  <c r="HO89" i="1"/>
  <c r="HN89" i="1"/>
  <c r="HM89" i="1"/>
  <c r="HL89" i="1"/>
  <c r="HK89" i="1"/>
  <c r="HJ89" i="1"/>
  <c r="HI89" i="1"/>
  <c r="HH89" i="1"/>
  <c r="HF89" i="1"/>
  <c r="HE89" i="1"/>
  <c r="HD89" i="1"/>
  <c r="HC89" i="1"/>
  <c r="HB89" i="1"/>
  <c r="HA89" i="1"/>
  <c r="GZ89" i="1"/>
  <c r="GY89" i="1"/>
  <c r="GX89" i="1"/>
  <c r="GW89" i="1"/>
  <c r="GV89" i="1"/>
  <c r="GU89" i="1"/>
  <c r="JR88" i="1"/>
  <c r="JQ88" i="1"/>
  <c r="JP88" i="1"/>
  <c r="JO88" i="1"/>
  <c r="JN88" i="1"/>
  <c r="JM88" i="1"/>
  <c r="JL88" i="1"/>
  <c r="JK88" i="1"/>
  <c r="JJ88" i="1"/>
  <c r="JH88" i="1"/>
  <c r="JG88" i="1"/>
  <c r="JF88" i="1"/>
  <c r="JE88" i="1"/>
  <c r="JD88" i="1"/>
  <c r="JC88" i="1"/>
  <c r="JA88" i="1"/>
  <c r="IZ88" i="1"/>
  <c r="IY88" i="1"/>
  <c r="IX88" i="1"/>
  <c r="IW88" i="1"/>
  <c r="IV88" i="1"/>
  <c r="IU88" i="1"/>
  <c r="IR88" i="1"/>
  <c r="IO88" i="1"/>
  <c r="IL88" i="1"/>
  <c r="IK88" i="1"/>
  <c r="IJ88" i="1"/>
  <c r="II88" i="1"/>
  <c r="IE88" i="1"/>
  <c r="ID88" i="1"/>
  <c r="IC88" i="1"/>
  <c r="IB88" i="1"/>
  <c r="IA88" i="1"/>
  <c r="HZ88" i="1"/>
  <c r="HY88" i="1"/>
  <c r="HX88" i="1"/>
  <c r="HW88" i="1"/>
  <c r="HV88" i="1"/>
  <c r="HU88" i="1"/>
  <c r="HS88" i="1"/>
  <c r="HR88" i="1"/>
  <c r="HQ88" i="1"/>
  <c r="HO88" i="1"/>
  <c r="HN88" i="1"/>
  <c r="HM88" i="1"/>
  <c r="HL88" i="1"/>
  <c r="HK88" i="1"/>
  <c r="HJ88" i="1"/>
  <c r="HI88" i="1"/>
  <c r="HH88" i="1"/>
  <c r="HF88" i="1"/>
  <c r="HE88" i="1"/>
  <c r="HD88" i="1"/>
  <c r="HC88" i="1"/>
  <c r="HB88" i="1"/>
  <c r="HA88" i="1"/>
  <c r="GZ88" i="1"/>
  <c r="GY88" i="1"/>
  <c r="GX88" i="1"/>
  <c r="GW88" i="1"/>
  <c r="GV88" i="1"/>
  <c r="GU88" i="1"/>
  <c r="JR87" i="1"/>
  <c r="JQ87" i="1"/>
  <c r="JP87" i="1"/>
  <c r="JN87" i="1"/>
  <c r="JM87" i="1"/>
  <c r="JK87" i="1"/>
  <c r="JJ87" i="1"/>
  <c r="JI87" i="1"/>
  <c r="JH87" i="1"/>
  <c r="JG87" i="1"/>
  <c r="JF87" i="1"/>
  <c r="JE87" i="1"/>
  <c r="JD87" i="1"/>
  <c r="JC87" i="1"/>
  <c r="JA87" i="1"/>
  <c r="IZ87" i="1"/>
  <c r="IZ86" i="1"/>
  <c r="IY87" i="1"/>
  <c r="IX87" i="1"/>
  <c r="IW87" i="1"/>
  <c r="IV87" i="1"/>
  <c r="IV86" i="1"/>
  <c r="IU87" i="1"/>
  <c r="IR87" i="1"/>
  <c r="IQ87" i="1"/>
  <c r="IP87" i="1"/>
  <c r="IO87" i="1"/>
  <c r="IN87" i="1"/>
  <c r="IM87" i="1"/>
  <c r="IL87" i="1"/>
  <c r="IK87" i="1"/>
  <c r="IJ87" i="1"/>
  <c r="II87" i="1"/>
  <c r="IE87" i="1"/>
  <c r="ID87" i="1"/>
  <c r="IC87" i="1"/>
  <c r="IB87" i="1"/>
  <c r="IA87" i="1"/>
  <c r="HZ87" i="1"/>
  <c r="HY87" i="1"/>
  <c r="HX87" i="1"/>
  <c r="HW87" i="1"/>
  <c r="HV87" i="1"/>
  <c r="HU87" i="1"/>
  <c r="HS87" i="1"/>
  <c r="HR87" i="1"/>
  <c r="HQ87" i="1"/>
  <c r="HP87" i="1"/>
  <c r="HO87" i="1"/>
  <c r="HN87" i="1"/>
  <c r="HM87" i="1"/>
  <c r="HL87" i="1"/>
  <c r="HK87" i="1"/>
  <c r="HJ87" i="1"/>
  <c r="HI87" i="1"/>
  <c r="HH87" i="1"/>
  <c r="HF87" i="1"/>
  <c r="HE87" i="1"/>
  <c r="HD87" i="1"/>
  <c r="HC87" i="1"/>
  <c r="HB87" i="1"/>
  <c r="HA87" i="1"/>
  <c r="GZ87" i="1"/>
  <c r="GY87" i="1"/>
  <c r="GX87" i="1"/>
  <c r="GW87" i="1"/>
  <c r="GV87" i="1"/>
  <c r="GU87" i="1"/>
  <c r="C89" i="1"/>
  <c r="C88" i="1"/>
  <c r="C128" i="1"/>
  <c r="JR187" i="1"/>
  <c r="JQ187" i="1"/>
  <c r="JP187" i="1"/>
  <c r="JO187" i="1"/>
  <c r="JN187" i="1"/>
  <c r="JM187" i="1"/>
  <c r="JL187" i="1"/>
  <c r="JK187" i="1"/>
  <c r="JJ187" i="1"/>
  <c r="JI187" i="1"/>
  <c r="JH187" i="1"/>
  <c r="JG187" i="1"/>
  <c r="JF187" i="1"/>
  <c r="JE187" i="1"/>
  <c r="JD187" i="1"/>
  <c r="JB187" i="1"/>
  <c r="JA187" i="1"/>
  <c r="IZ187" i="1"/>
  <c r="IY187" i="1"/>
  <c r="IX187" i="1"/>
  <c r="IW187" i="1"/>
  <c r="IV187" i="1"/>
  <c r="IU187" i="1"/>
  <c r="IR187" i="1"/>
  <c r="IP187" i="1"/>
  <c r="IO187" i="1"/>
  <c r="IM187" i="1"/>
  <c r="IL187" i="1"/>
  <c r="IK187" i="1"/>
  <c r="IJ187" i="1"/>
  <c r="II187" i="1"/>
  <c r="IE187" i="1"/>
  <c r="ID187" i="1"/>
  <c r="IC187" i="1"/>
  <c r="IB187" i="1"/>
  <c r="IA187" i="1"/>
  <c r="HZ187" i="1"/>
  <c r="HY187" i="1"/>
  <c r="HX187" i="1"/>
  <c r="HW187" i="1"/>
  <c r="HV187" i="1"/>
  <c r="HU187" i="1"/>
  <c r="HT187" i="1"/>
  <c r="HS187" i="1"/>
  <c r="HR187" i="1"/>
  <c r="HQ187" i="1"/>
  <c r="HP187" i="1"/>
  <c r="HO187" i="1"/>
  <c r="HN187" i="1"/>
  <c r="HM187" i="1"/>
  <c r="HL187" i="1"/>
  <c r="HK187" i="1"/>
  <c r="HJ187" i="1"/>
  <c r="HI187" i="1"/>
  <c r="HH187" i="1"/>
  <c r="HF187" i="1"/>
  <c r="HE187" i="1"/>
  <c r="HD187" i="1"/>
  <c r="HC187" i="1"/>
  <c r="HB187" i="1"/>
  <c r="HA187" i="1"/>
  <c r="GZ187" i="1"/>
  <c r="GY187" i="1"/>
  <c r="GX187" i="1"/>
  <c r="GW187" i="1"/>
  <c r="GV187" i="1"/>
  <c r="GU187" i="1"/>
  <c r="JR189" i="1"/>
  <c r="JQ189" i="1"/>
  <c r="JP189" i="1"/>
  <c r="JO189" i="1"/>
  <c r="JN189" i="1"/>
  <c r="JM189" i="1"/>
  <c r="JL189" i="1"/>
  <c r="JK189" i="1"/>
  <c r="JJ189" i="1"/>
  <c r="JH189" i="1"/>
  <c r="JG189" i="1"/>
  <c r="JE189" i="1"/>
  <c r="JD189" i="1"/>
  <c r="JB189" i="1"/>
  <c r="JA189" i="1"/>
  <c r="IY189" i="1"/>
  <c r="IX189" i="1"/>
  <c r="IW189" i="1"/>
  <c r="IV189" i="1"/>
  <c r="IU189" i="1"/>
  <c r="IR189" i="1"/>
  <c r="IO189" i="1"/>
  <c r="IL189" i="1"/>
  <c r="IK189" i="1"/>
  <c r="IJ189" i="1"/>
  <c r="II189" i="1"/>
  <c r="IE189" i="1"/>
  <c r="ID189" i="1"/>
  <c r="IC189" i="1"/>
  <c r="IB189" i="1"/>
  <c r="IA189" i="1"/>
  <c r="HZ189" i="1"/>
  <c r="HY189" i="1"/>
  <c r="HX189" i="1"/>
  <c r="HW189" i="1"/>
  <c r="HV189" i="1"/>
  <c r="HU189" i="1"/>
  <c r="HT189" i="1"/>
  <c r="HS189" i="1"/>
  <c r="HR189" i="1"/>
  <c r="HQ189" i="1"/>
  <c r="HP189" i="1"/>
  <c r="HO189" i="1"/>
  <c r="HN189" i="1"/>
  <c r="HM189" i="1"/>
  <c r="HL189" i="1"/>
  <c r="HK189" i="1"/>
  <c r="HJ189" i="1"/>
  <c r="HI189" i="1"/>
  <c r="HH189" i="1"/>
  <c r="HF189" i="1"/>
  <c r="HE189" i="1"/>
  <c r="HD189" i="1"/>
  <c r="HC189" i="1"/>
  <c r="HB189" i="1"/>
  <c r="HA189" i="1"/>
  <c r="GZ189" i="1"/>
  <c r="GY189" i="1"/>
  <c r="GX189" i="1"/>
  <c r="GW189" i="1"/>
  <c r="GV189" i="1"/>
  <c r="GU189" i="1"/>
  <c r="JR193" i="1"/>
  <c r="JQ193" i="1"/>
  <c r="JP193" i="1"/>
  <c r="JO193" i="1"/>
  <c r="JN193" i="1"/>
  <c r="JM193" i="1"/>
  <c r="JL193" i="1"/>
  <c r="JK193" i="1"/>
  <c r="JJ193" i="1"/>
  <c r="JH193" i="1"/>
  <c r="JG193" i="1"/>
  <c r="JE193" i="1"/>
  <c r="JD193" i="1"/>
  <c r="JB193" i="1"/>
  <c r="JA193" i="1"/>
  <c r="IY193" i="1"/>
  <c r="IX193" i="1"/>
  <c r="IW193" i="1"/>
  <c r="IV193" i="1"/>
  <c r="IU193" i="1"/>
  <c r="IR193" i="1"/>
  <c r="IO193" i="1"/>
  <c r="IL193" i="1"/>
  <c r="IK193" i="1"/>
  <c r="IJ193" i="1"/>
  <c r="II193" i="1"/>
  <c r="IE193" i="1"/>
  <c r="ID193" i="1"/>
  <c r="IC193" i="1"/>
  <c r="IB193" i="1"/>
  <c r="IA193" i="1"/>
  <c r="HZ193" i="1"/>
  <c r="HY193" i="1"/>
  <c r="HX193" i="1"/>
  <c r="HW193" i="1"/>
  <c r="HV193" i="1"/>
  <c r="HU193" i="1"/>
  <c r="HS193" i="1"/>
  <c r="HR193" i="1"/>
  <c r="HQ193" i="1"/>
  <c r="HP193" i="1"/>
  <c r="HO193" i="1"/>
  <c r="HN193" i="1"/>
  <c r="HM193" i="1"/>
  <c r="HL193" i="1"/>
  <c r="HK193" i="1"/>
  <c r="HJ193" i="1"/>
  <c r="HI193" i="1"/>
  <c r="HH193" i="1"/>
  <c r="HF193" i="1"/>
  <c r="HE193" i="1"/>
  <c r="HD193" i="1"/>
  <c r="HC193" i="1"/>
  <c r="HB193" i="1"/>
  <c r="HA193" i="1"/>
  <c r="GZ193" i="1"/>
  <c r="GY193" i="1"/>
  <c r="GX193" i="1"/>
  <c r="GW193" i="1"/>
  <c r="GV193" i="1"/>
  <c r="GU193" i="1"/>
  <c r="JR558" i="1"/>
  <c r="JQ558" i="1"/>
  <c r="JP558" i="1"/>
  <c r="IE558" i="1"/>
  <c r="HF558" i="1"/>
  <c r="HE558" i="1"/>
  <c r="HD558" i="1"/>
  <c r="HC558" i="1"/>
  <c r="HB558" i="1"/>
  <c r="HA558" i="1"/>
  <c r="GZ558" i="1"/>
  <c r="GY558" i="1"/>
  <c r="GX558" i="1"/>
  <c r="GW558" i="1"/>
  <c r="GV558" i="1"/>
  <c r="GU558" i="1"/>
  <c r="C558" i="1"/>
  <c r="JY561" i="1"/>
  <c r="JX233" i="1"/>
  <c r="JY494" i="1"/>
  <c r="JY161" i="1"/>
  <c r="JX494" i="1"/>
  <c r="JY412" i="1"/>
  <c r="JY78" i="1"/>
  <c r="JX412" i="1"/>
  <c r="KB412" i="1"/>
  <c r="C411" i="1"/>
  <c r="JR50" i="1"/>
  <c r="JQ50" i="1"/>
  <c r="JP50" i="1"/>
  <c r="JL50" i="1"/>
  <c r="JK50" i="1"/>
  <c r="JJ50" i="1"/>
  <c r="JI50" i="1"/>
  <c r="JH50" i="1"/>
  <c r="JG50" i="1"/>
  <c r="JF50" i="1"/>
  <c r="JE50" i="1"/>
  <c r="JD50" i="1"/>
  <c r="JC50" i="1"/>
  <c r="JB50" i="1"/>
  <c r="JA50" i="1"/>
  <c r="IZ50" i="1"/>
  <c r="IY50" i="1"/>
  <c r="IX50" i="1"/>
  <c r="IW50" i="1"/>
  <c r="IV50" i="1"/>
  <c r="IU50" i="1"/>
  <c r="IR50" i="1"/>
  <c r="IQ50" i="1"/>
  <c r="IP50" i="1"/>
  <c r="IO50" i="1"/>
  <c r="IN50" i="1"/>
  <c r="IM50" i="1"/>
  <c r="IL50" i="1"/>
  <c r="IK50" i="1"/>
  <c r="IJ50" i="1"/>
  <c r="IE50" i="1"/>
  <c r="ID50" i="1"/>
  <c r="IA50" i="1"/>
  <c r="HZ50" i="1"/>
  <c r="HY50" i="1"/>
  <c r="HX50" i="1"/>
  <c r="HW50" i="1"/>
  <c r="HV50" i="1"/>
  <c r="HU50" i="1"/>
  <c r="HS50" i="1"/>
  <c r="HR50" i="1"/>
  <c r="HQ50" i="1"/>
  <c r="HP50" i="1"/>
  <c r="HO50" i="1"/>
  <c r="HN50" i="1"/>
  <c r="HM50" i="1"/>
  <c r="HL50" i="1"/>
  <c r="HK50" i="1"/>
  <c r="HJ50" i="1"/>
  <c r="HJ46" i="1"/>
  <c r="HI50" i="1"/>
  <c r="HH50" i="1"/>
  <c r="HF50" i="1"/>
  <c r="HE50" i="1"/>
  <c r="HD50" i="1"/>
  <c r="HC50" i="1"/>
  <c r="HB50" i="1"/>
  <c r="HA50" i="1"/>
  <c r="GY50" i="1"/>
  <c r="GX50" i="1"/>
  <c r="GW50" i="1"/>
  <c r="JR49" i="1"/>
  <c r="JQ49" i="1"/>
  <c r="JP49" i="1"/>
  <c r="JO49" i="1"/>
  <c r="JN49" i="1"/>
  <c r="JM49" i="1"/>
  <c r="JL49" i="1"/>
  <c r="JK49" i="1"/>
  <c r="JJ49" i="1"/>
  <c r="JI49" i="1"/>
  <c r="JH49" i="1"/>
  <c r="JG49" i="1"/>
  <c r="JF49" i="1"/>
  <c r="JE49" i="1"/>
  <c r="JD49" i="1"/>
  <c r="JC49" i="1"/>
  <c r="JB49" i="1"/>
  <c r="JA49" i="1"/>
  <c r="IZ49" i="1"/>
  <c r="IY49" i="1"/>
  <c r="IX49" i="1"/>
  <c r="IW49" i="1"/>
  <c r="IV49" i="1"/>
  <c r="IU49" i="1"/>
  <c r="IR49" i="1"/>
  <c r="IQ49" i="1"/>
  <c r="IP49" i="1"/>
  <c r="IO49" i="1"/>
  <c r="IN49" i="1"/>
  <c r="IM49" i="1"/>
  <c r="IL49" i="1"/>
  <c r="IK49" i="1"/>
  <c r="IJ49" i="1"/>
  <c r="IE49" i="1"/>
  <c r="ID49" i="1"/>
  <c r="IC49" i="1"/>
  <c r="IB49" i="1"/>
  <c r="IA49" i="1"/>
  <c r="HZ49" i="1"/>
  <c r="HY49" i="1"/>
  <c r="HX49" i="1"/>
  <c r="HW49" i="1"/>
  <c r="HV49" i="1"/>
  <c r="HU49" i="1"/>
  <c r="HS49" i="1"/>
  <c r="HR49" i="1"/>
  <c r="HQ49" i="1"/>
  <c r="HP49" i="1"/>
  <c r="HO49" i="1"/>
  <c r="HN49" i="1"/>
  <c r="HM49" i="1"/>
  <c r="HL49" i="1"/>
  <c r="HK49" i="1"/>
  <c r="HJ49" i="1"/>
  <c r="HI49" i="1"/>
  <c r="HH49" i="1"/>
  <c r="HF49" i="1"/>
  <c r="HE49" i="1"/>
  <c r="HD49" i="1"/>
  <c r="HC49" i="1"/>
  <c r="HB49" i="1"/>
  <c r="HA49" i="1"/>
  <c r="GZ49" i="1"/>
  <c r="GY49" i="1"/>
  <c r="GW49" i="1"/>
  <c r="GU49" i="1"/>
  <c r="JR48" i="1"/>
  <c r="JQ48" i="1"/>
  <c r="JP48" i="1"/>
  <c r="JO48" i="1"/>
  <c r="JN48" i="1"/>
  <c r="JM48" i="1"/>
  <c r="JK48" i="1"/>
  <c r="JJ48" i="1"/>
  <c r="JI48" i="1"/>
  <c r="JH48" i="1"/>
  <c r="JG48" i="1"/>
  <c r="JF48" i="1"/>
  <c r="JE48" i="1"/>
  <c r="JD48" i="1"/>
  <c r="JC48" i="1"/>
  <c r="JB48" i="1"/>
  <c r="JA48" i="1"/>
  <c r="IZ48" i="1"/>
  <c r="IY48" i="1"/>
  <c r="IX48" i="1"/>
  <c r="IV48" i="1"/>
  <c r="IU48" i="1"/>
  <c r="IR48" i="1"/>
  <c r="IQ48" i="1"/>
  <c r="IP48" i="1"/>
  <c r="IP47" i="1"/>
  <c r="IO48" i="1"/>
  <c r="IN48" i="1"/>
  <c r="IM48" i="1"/>
  <c r="IL48" i="1"/>
  <c r="IK48" i="1"/>
  <c r="IJ48" i="1"/>
  <c r="IJ47" i="1"/>
  <c r="IE48" i="1"/>
  <c r="ID48" i="1"/>
  <c r="IC48" i="1"/>
  <c r="IC47" i="1"/>
  <c r="IB48" i="1"/>
  <c r="IA48" i="1"/>
  <c r="IA47" i="1"/>
  <c r="HZ48" i="1"/>
  <c r="HY48" i="1"/>
  <c r="HX48" i="1"/>
  <c r="HW48" i="1"/>
  <c r="HW47" i="1"/>
  <c r="HV48" i="1"/>
  <c r="HU48" i="1"/>
  <c r="HU47" i="1"/>
  <c r="HS48" i="1"/>
  <c r="HS47" i="1"/>
  <c r="HR48" i="1"/>
  <c r="HQ48" i="1"/>
  <c r="HP48" i="1"/>
  <c r="HO48" i="1"/>
  <c r="HO47" i="1"/>
  <c r="HO46" i="1"/>
  <c r="HN48" i="1"/>
  <c r="HM48" i="1"/>
  <c r="HL48" i="1"/>
  <c r="HK48" i="1"/>
  <c r="HJ48" i="1"/>
  <c r="HI48" i="1"/>
  <c r="HH48" i="1"/>
  <c r="HF48" i="1"/>
  <c r="HE48" i="1"/>
  <c r="HD48" i="1"/>
  <c r="HC48" i="1"/>
  <c r="HB48" i="1"/>
  <c r="HA48" i="1"/>
  <c r="GZ48" i="1"/>
  <c r="GY48" i="1"/>
  <c r="GX48" i="1"/>
  <c r="GW48" i="1"/>
  <c r="GV48" i="1"/>
  <c r="GU48" i="1"/>
  <c r="JR47" i="1"/>
  <c r="JR46" i="1"/>
  <c r="JQ47" i="1"/>
  <c r="JP47" i="1"/>
  <c r="JO47" i="1"/>
  <c r="JN47" i="1"/>
  <c r="JN46" i="1"/>
  <c r="JM47" i="1"/>
  <c r="JK47" i="1"/>
  <c r="JJ47" i="1"/>
  <c r="JI47" i="1"/>
  <c r="JI46" i="1"/>
  <c r="JH47" i="1"/>
  <c r="JG47" i="1"/>
  <c r="JF47" i="1"/>
  <c r="JE47" i="1"/>
  <c r="JE46" i="1"/>
  <c r="JD47" i="1"/>
  <c r="JC47" i="1"/>
  <c r="JB47" i="1"/>
  <c r="JA47" i="1"/>
  <c r="JA46" i="1"/>
  <c r="IZ47" i="1"/>
  <c r="IY47" i="1"/>
  <c r="IX47" i="1"/>
  <c r="IW47" i="1"/>
  <c r="IV47" i="1"/>
  <c r="IU47" i="1"/>
  <c r="IR47" i="1"/>
  <c r="IQ47" i="1"/>
  <c r="IQ46" i="1"/>
  <c r="IO47" i="1"/>
  <c r="IM47" i="1"/>
  <c r="IL47" i="1"/>
  <c r="IK47" i="1"/>
  <c r="IE47" i="1"/>
  <c r="ID47" i="1"/>
  <c r="IB47" i="1"/>
  <c r="HZ47" i="1"/>
  <c r="HY47" i="1"/>
  <c r="HX47" i="1"/>
  <c r="HV47" i="1"/>
  <c r="HR47" i="1"/>
  <c r="HR46" i="1"/>
  <c r="HQ47" i="1"/>
  <c r="HP47" i="1"/>
  <c r="HN47" i="1"/>
  <c r="HM47" i="1"/>
  <c r="HL47" i="1"/>
  <c r="HK47" i="1"/>
  <c r="HJ47" i="1"/>
  <c r="HI47" i="1"/>
  <c r="HH47" i="1"/>
  <c r="HF47" i="1"/>
  <c r="HE47" i="1"/>
  <c r="HD47" i="1"/>
  <c r="HC47" i="1"/>
  <c r="HB47" i="1"/>
  <c r="HA47" i="1"/>
  <c r="GZ47" i="1"/>
  <c r="GY47" i="1"/>
  <c r="GX47" i="1"/>
  <c r="GW47" i="1"/>
  <c r="GV47" i="1"/>
  <c r="GU47" i="1"/>
  <c r="C48" i="1"/>
  <c r="C49" i="1"/>
  <c r="C50" i="1"/>
  <c r="JY383" i="1"/>
  <c r="JY49" i="1"/>
  <c r="JX383" i="1"/>
  <c r="JY382" i="1"/>
  <c r="JX382" i="1"/>
  <c r="JX48" i="1"/>
  <c r="JR380" i="1"/>
  <c r="JQ380" i="1"/>
  <c r="JP380" i="1"/>
  <c r="IE380" i="1"/>
  <c r="ID380" i="1"/>
  <c r="HF380" i="1"/>
  <c r="HE380" i="1"/>
  <c r="HD380" i="1"/>
  <c r="HC380" i="1"/>
  <c r="HB380" i="1"/>
  <c r="HA380" i="1"/>
  <c r="GY380" i="1"/>
  <c r="GW380" i="1"/>
  <c r="GU380" i="1"/>
  <c r="JY384" i="1"/>
  <c r="JY50" i="1"/>
  <c r="JX384" i="1"/>
  <c r="JR375" i="1"/>
  <c r="JQ375" i="1"/>
  <c r="JP375" i="1"/>
  <c r="IE375" i="1"/>
  <c r="ID375" i="1"/>
  <c r="HF375" i="1"/>
  <c r="HE375" i="1"/>
  <c r="HD375" i="1"/>
  <c r="HC375" i="1"/>
  <c r="HB375" i="1"/>
  <c r="HA375" i="1"/>
  <c r="GZ375" i="1"/>
  <c r="GY375" i="1"/>
  <c r="GX375" i="1"/>
  <c r="GW375" i="1"/>
  <c r="GV375" i="1"/>
  <c r="GU375" i="1"/>
  <c r="C375" i="1"/>
  <c r="JY373" i="1"/>
  <c r="JX373" i="1"/>
  <c r="KB373" i="1"/>
  <c r="JY376" i="1"/>
  <c r="JY375" i="1"/>
  <c r="JX376" i="1"/>
  <c r="IF275" i="1"/>
  <c r="JS434" i="1"/>
  <c r="IF99" i="1"/>
  <c r="JX858" i="1"/>
  <c r="JX852" i="1"/>
  <c r="JX851" i="1"/>
  <c r="JX849" i="1"/>
  <c r="JX848" i="1"/>
  <c r="KB848" i="1"/>
  <c r="JX847" i="1"/>
  <c r="JX846" i="1"/>
  <c r="JX843" i="1"/>
  <c r="JX842" i="1"/>
  <c r="JS843" i="1"/>
  <c r="JS842" i="1"/>
  <c r="JX839" i="1"/>
  <c r="JX838" i="1"/>
  <c r="JX837" i="1"/>
  <c r="JX835" i="1"/>
  <c r="JX833" i="1"/>
  <c r="JS833" i="1"/>
  <c r="JX832" i="1"/>
  <c r="JX831" i="1"/>
  <c r="JX830" i="1"/>
  <c r="JX829" i="1"/>
  <c r="JX828" i="1"/>
  <c r="JX823" i="1"/>
  <c r="JX822" i="1"/>
  <c r="JX821" i="1"/>
  <c r="JX820" i="1"/>
  <c r="JX818" i="1"/>
  <c r="JX817" i="1"/>
  <c r="JX816" i="1"/>
  <c r="JX815" i="1"/>
  <c r="JX814" i="1"/>
  <c r="JX813" i="1"/>
  <c r="JX812" i="1"/>
  <c r="JX811" i="1"/>
  <c r="JX810" i="1"/>
  <c r="JX808" i="1"/>
  <c r="JX807" i="1"/>
  <c r="JX806" i="1"/>
  <c r="JX805" i="1"/>
  <c r="JX804" i="1"/>
  <c r="JX802" i="1"/>
  <c r="JX801" i="1"/>
  <c r="JX799" i="1"/>
  <c r="JX798" i="1"/>
  <c r="JX797" i="1"/>
  <c r="JX796" i="1"/>
  <c r="JX795" i="1"/>
  <c r="JX794" i="1"/>
  <c r="JX793" i="1"/>
  <c r="JX792" i="1"/>
  <c r="JX791" i="1"/>
  <c r="JX788" i="1"/>
  <c r="JX786" i="1"/>
  <c r="JX784" i="1"/>
  <c r="JX783" i="1"/>
  <c r="JX781" i="1"/>
  <c r="JX774" i="1"/>
  <c r="JX773" i="1"/>
  <c r="JX772" i="1"/>
  <c r="JX771" i="1"/>
  <c r="JX770" i="1"/>
  <c r="JX769" i="1"/>
  <c r="JX748" i="1"/>
  <c r="JX745" i="1"/>
  <c r="JX744" i="1"/>
  <c r="JX743" i="1"/>
  <c r="JX742" i="1"/>
  <c r="JX735" i="1"/>
  <c r="JX733" i="1"/>
  <c r="JX729" i="1"/>
  <c r="JX726" i="1"/>
  <c r="JX706" i="1"/>
  <c r="JX705" i="1"/>
  <c r="JX703" i="1"/>
  <c r="IF702" i="1"/>
  <c r="JX683" i="1"/>
  <c r="JX682" i="1"/>
  <c r="JX681" i="1"/>
  <c r="JX674" i="1"/>
  <c r="JX670" i="1"/>
  <c r="JX649" i="1"/>
  <c r="JX648" i="1"/>
  <c r="JX647" i="1"/>
  <c r="JX646" i="1"/>
  <c r="JY643" i="1"/>
  <c r="JX643" i="1"/>
  <c r="JX641" i="1"/>
  <c r="JX639" i="1"/>
  <c r="JX638" i="1"/>
  <c r="JX635" i="1"/>
  <c r="JX17" i="1"/>
  <c r="JY623" i="1"/>
  <c r="JX623" i="1"/>
  <c r="KB623" i="1"/>
  <c r="JY622" i="1"/>
  <c r="JY83" i="1"/>
  <c r="JY82" i="1"/>
  <c r="JX622" i="1"/>
  <c r="JY607" i="1"/>
  <c r="JX607" i="1"/>
  <c r="JX606" i="1"/>
  <c r="IF606" i="1"/>
  <c r="JX604" i="1"/>
  <c r="JX603" i="1"/>
  <c r="JX602" i="1"/>
  <c r="JX601" i="1"/>
  <c r="JX598" i="1"/>
  <c r="JX596" i="1"/>
  <c r="JX595" i="1"/>
  <c r="JX594" i="1"/>
  <c r="JX593" i="1"/>
  <c r="JX590" i="1"/>
  <c r="JX587" i="1"/>
  <c r="JX586" i="1"/>
  <c r="JY583" i="1"/>
  <c r="JX583" i="1"/>
  <c r="JX582" i="1"/>
  <c r="JY573" i="1"/>
  <c r="JY571" i="1"/>
  <c r="JY569" i="1"/>
  <c r="JX573" i="1"/>
  <c r="JY572" i="1"/>
  <c r="JX572" i="1"/>
  <c r="JY565" i="1"/>
  <c r="JX565" i="1"/>
  <c r="JY564" i="1"/>
  <c r="JX564" i="1"/>
  <c r="JS564" i="1"/>
  <c r="JS237" i="1"/>
  <c r="JY559" i="1"/>
  <c r="JY225" i="1"/>
  <c r="JY224" i="1"/>
  <c r="JY556" i="1"/>
  <c r="JX556" i="1"/>
  <c r="JX225" i="1"/>
  <c r="JY553" i="1"/>
  <c r="JY222" i="1"/>
  <c r="JX222" i="1"/>
  <c r="JY552" i="1"/>
  <c r="JY221" i="1"/>
  <c r="JY551" i="1"/>
  <c r="JY355" i="1"/>
  <c r="JY220" i="1"/>
  <c r="JY550" i="1"/>
  <c r="IF219" i="1"/>
  <c r="JY546" i="1"/>
  <c r="JY215" i="1"/>
  <c r="JY544" i="1"/>
  <c r="JY213" i="1"/>
  <c r="JY536" i="1"/>
  <c r="JY528" i="1"/>
  <c r="JX528" i="1"/>
  <c r="IF197" i="1"/>
  <c r="JY527" i="1"/>
  <c r="JY196" i="1"/>
  <c r="JX527" i="1"/>
  <c r="KB527" i="1"/>
  <c r="JY524" i="1"/>
  <c r="JY345" i="1"/>
  <c r="JY193" i="1"/>
  <c r="JX524" i="1"/>
  <c r="KB524" i="1"/>
  <c r="KC524" i="1"/>
  <c r="JY522" i="1"/>
  <c r="JX522" i="1"/>
  <c r="KB522" i="1"/>
  <c r="JY520" i="1"/>
  <c r="JY341" i="1"/>
  <c r="JY189" i="1"/>
  <c r="JX520" i="1"/>
  <c r="KB520" i="1"/>
  <c r="JY518" i="1"/>
  <c r="JX518" i="1"/>
  <c r="KB518" i="1"/>
  <c r="JY516" i="1"/>
  <c r="JX516" i="1"/>
  <c r="KB516" i="1"/>
  <c r="JY514" i="1"/>
  <c r="JX514" i="1"/>
  <c r="KB514" i="1"/>
  <c r="KC514" i="1"/>
  <c r="JY512" i="1"/>
  <c r="JY333" i="1"/>
  <c r="JY180" i="1"/>
  <c r="JY179" i="1"/>
  <c r="JX512" i="1"/>
  <c r="KB512" i="1"/>
  <c r="JY510" i="1"/>
  <c r="JX510" i="1"/>
  <c r="JY176" i="1"/>
  <c r="JY503" i="1"/>
  <c r="JY170" i="1"/>
  <c r="JX503" i="1"/>
  <c r="KB503" i="1"/>
  <c r="JY502" i="1"/>
  <c r="JX502" i="1"/>
  <c r="JY501" i="1"/>
  <c r="JX501" i="1"/>
  <c r="JY498" i="1"/>
  <c r="JY165" i="1"/>
  <c r="JY496" i="1"/>
  <c r="JY163" i="1"/>
  <c r="JY495" i="1"/>
  <c r="JY162" i="1"/>
  <c r="JX495" i="1"/>
  <c r="IF162" i="1"/>
  <c r="JY493" i="1"/>
  <c r="JY492" i="1"/>
  <c r="JX492" i="1"/>
  <c r="KB492" i="1"/>
  <c r="KB159" i="1"/>
  <c r="JY491" i="1"/>
  <c r="JY158" i="1"/>
  <c r="JX491" i="1"/>
  <c r="JX158" i="1"/>
  <c r="JY490" i="1"/>
  <c r="JX490" i="1"/>
  <c r="JX157" i="1"/>
  <c r="JY489" i="1"/>
  <c r="JY156" i="1"/>
  <c r="JX489" i="1"/>
  <c r="JY486" i="1"/>
  <c r="JX486" i="1"/>
  <c r="JY485" i="1"/>
  <c r="JX485" i="1"/>
  <c r="KB485" i="1"/>
  <c r="JY484" i="1"/>
  <c r="JY151" i="1"/>
  <c r="JX484" i="1"/>
  <c r="JX151" i="1"/>
  <c r="JY483" i="1"/>
  <c r="JY150" i="1"/>
  <c r="JX483" i="1"/>
  <c r="IF150" i="1"/>
  <c r="JY480" i="1"/>
  <c r="JY147" i="1"/>
  <c r="JY479" i="1"/>
  <c r="JY146" i="1"/>
  <c r="JX479" i="1"/>
  <c r="IF146" i="1"/>
  <c r="JY478" i="1"/>
  <c r="JY145" i="1"/>
  <c r="JX478" i="1"/>
  <c r="JX145" i="1"/>
  <c r="JY477" i="1"/>
  <c r="JY144" i="1"/>
  <c r="JX477" i="1"/>
  <c r="JY476" i="1"/>
  <c r="JY143" i="1"/>
  <c r="JX476" i="1"/>
  <c r="JX143" i="1"/>
  <c r="JY475" i="1"/>
  <c r="JX475" i="1"/>
  <c r="JY474" i="1"/>
  <c r="JY141" i="1"/>
  <c r="JX474" i="1"/>
  <c r="JX141" i="1"/>
  <c r="IF141" i="1"/>
  <c r="JY473" i="1"/>
  <c r="JX473" i="1"/>
  <c r="JX140" i="1"/>
  <c r="JY470" i="1"/>
  <c r="JY137" i="1"/>
  <c r="JY467" i="1"/>
  <c r="JY134" i="1"/>
  <c r="JX467" i="1"/>
  <c r="JY466" i="1"/>
  <c r="JY133" i="1"/>
  <c r="JX466" i="1"/>
  <c r="KB466" i="1"/>
  <c r="JY465" i="1"/>
  <c r="JX465" i="1"/>
  <c r="JY462" i="1"/>
  <c r="JY129" i="1"/>
  <c r="JY461" i="1"/>
  <c r="JY128" i="1"/>
  <c r="JX461" i="1"/>
  <c r="JX128" i="1"/>
  <c r="JY460" i="1"/>
  <c r="JY459" i="1"/>
  <c r="JX459" i="1"/>
  <c r="JY456" i="1"/>
  <c r="JY123" i="1"/>
  <c r="JX456" i="1"/>
  <c r="KB456" i="1"/>
  <c r="JY455" i="1"/>
  <c r="JY122" i="1"/>
  <c r="JX455" i="1"/>
  <c r="JX122" i="1"/>
  <c r="JY454" i="1"/>
  <c r="JY121" i="1"/>
  <c r="JX454" i="1"/>
  <c r="JX121" i="1"/>
  <c r="JY453" i="1"/>
  <c r="JY120" i="1"/>
  <c r="JX453" i="1"/>
  <c r="JY452" i="1"/>
  <c r="JY119" i="1"/>
  <c r="JX452" i="1"/>
  <c r="JY449" i="1"/>
  <c r="JY116" i="1"/>
  <c r="JX449" i="1"/>
  <c r="JY448" i="1"/>
  <c r="JY115" i="1"/>
  <c r="JX448" i="1"/>
  <c r="JX115" i="1"/>
  <c r="JY447" i="1"/>
  <c r="JX447" i="1"/>
  <c r="IF114" i="1"/>
  <c r="JY446" i="1"/>
  <c r="JY113" i="1"/>
  <c r="JX446" i="1"/>
  <c r="JY445" i="1"/>
  <c r="JY112" i="1"/>
  <c r="JX445" i="1"/>
  <c r="JY441" i="1"/>
  <c r="JY440" i="1"/>
  <c r="JX440" i="1"/>
  <c r="JY424" i="1"/>
  <c r="JY91" i="1"/>
  <c r="JX424" i="1"/>
  <c r="IG91" i="1"/>
  <c r="JY422" i="1"/>
  <c r="JY89" i="1"/>
  <c r="JX422" i="1"/>
  <c r="JY421" i="1"/>
  <c r="JY88" i="1"/>
  <c r="JY420" i="1"/>
  <c r="JS420" i="1"/>
  <c r="JS87" i="1"/>
  <c r="JY414" i="1"/>
  <c r="JY413" i="1"/>
  <c r="JY409" i="1"/>
  <c r="JX409" i="1"/>
  <c r="KB409" i="1"/>
  <c r="JY408" i="1"/>
  <c r="JY407" i="1"/>
  <c r="JY404" i="1"/>
  <c r="JX404" i="1"/>
  <c r="JY403" i="1"/>
  <c r="JY402" i="1"/>
  <c r="JY399" i="1"/>
  <c r="JY65" i="1"/>
  <c r="JX399" i="1"/>
  <c r="JY398" i="1"/>
  <c r="JY64" i="1"/>
  <c r="JX398" i="1"/>
  <c r="JY395" i="1"/>
  <c r="JY61" i="1"/>
  <c r="JX395" i="1"/>
  <c r="KB395" i="1"/>
  <c r="JY393" i="1"/>
  <c r="JX393" i="1"/>
  <c r="JY392" i="1"/>
  <c r="JX392" i="1"/>
  <c r="JY391" i="1"/>
  <c r="JX391" i="1"/>
  <c r="JY390" i="1"/>
  <c r="JY389" i="1"/>
  <c r="JX389" i="1"/>
  <c r="JY388" i="1"/>
  <c r="JX388" i="1"/>
  <c r="KB388" i="1"/>
  <c r="KC388" i="1"/>
  <c r="JY387" i="1"/>
  <c r="JX387" i="1"/>
  <c r="KB387" i="1"/>
  <c r="JY381" i="1"/>
  <c r="JY47" i="1"/>
  <c r="JX381" i="1"/>
  <c r="JY371" i="1"/>
  <c r="JX371" i="1"/>
  <c r="KB371" i="1"/>
  <c r="KC371" i="1"/>
  <c r="JY369" i="1"/>
  <c r="JY18" i="1"/>
  <c r="JX369" i="1"/>
  <c r="JX18" i="1"/>
  <c r="JY362" i="1"/>
  <c r="JY234" i="1"/>
  <c r="JX362" i="1"/>
  <c r="JX234" i="1"/>
  <c r="JY359" i="1"/>
  <c r="JX359" i="1"/>
  <c r="IF358" i="1"/>
  <c r="JX356" i="1"/>
  <c r="JX221" i="1"/>
  <c r="JX355" i="1"/>
  <c r="JX345" i="1"/>
  <c r="JY343" i="1"/>
  <c r="JX343" i="1"/>
  <c r="JX341" i="1"/>
  <c r="JX189" i="1"/>
  <c r="JY339" i="1"/>
  <c r="JX339" i="1"/>
  <c r="GT339" i="1"/>
  <c r="JY337" i="1"/>
  <c r="JX337" i="1"/>
  <c r="JY335" i="1"/>
  <c r="JX335" i="1"/>
  <c r="JX333" i="1"/>
  <c r="JY331" i="1"/>
  <c r="JY177" i="1"/>
  <c r="JX331" i="1"/>
  <c r="JY271" i="1"/>
  <c r="JX271" i="1"/>
  <c r="JY270" i="1"/>
  <c r="JY41" i="1"/>
  <c r="JX270" i="1"/>
  <c r="JX41" i="1"/>
  <c r="JY269" i="1"/>
  <c r="JX269" i="1"/>
  <c r="JX40" i="1"/>
  <c r="JY268" i="1"/>
  <c r="JX268" i="1"/>
  <c r="JX265" i="1"/>
  <c r="JX263" i="1"/>
  <c r="JX262" i="1"/>
  <c r="JX261" i="1"/>
  <c r="JX260" i="1"/>
  <c r="JY257" i="1"/>
  <c r="JY28" i="1"/>
  <c r="JX257" i="1"/>
  <c r="JX255" i="1"/>
  <c r="JX253" i="1"/>
  <c r="JX252" i="1"/>
  <c r="JY249" i="1"/>
  <c r="JY19" i="1"/>
  <c r="JX249" i="1"/>
  <c r="JX19" i="1"/>
  <c r="JQ581" i="1"/>
  <c r="JP581" i="1"/>
  <c r="JP17" i="1"/>
  <c r="D16" i="19"/>
  <c r="D15" i="19"/>
  <c r="D14" i="19"/>
  <c r="D12" i="19"/>
  <c r="D11" i="19"/>
  <c r="D16" i="32"/>
  <c r="H11" i="14"/>
  <c r="AD52" i="12"/>
  <c r="AD51" i="12"/>
  <c r="AD50" i="12"/>
  <c r="JR231" i="1"/>
  <c r="JR230" i="1"/>
  <c r="JQ231" i="1"/>
  <c r="JQ230" i="1"/>
  <c r="JP231" i="1"/>
  <c r="JP230" i="1"/>
  <c r="JO231" i="1"/>
  <c r="JN231" i="1"/>
  <c r="JN230" i="1"/>
  <c r="JM231" i="1"/>
  <c r="JM230" i="1"/>
  <c r="JL231" i="1"/>
  <c r="JL230" i="1"/>
  <c r="JK231" i="1"/>
  <c r="JK230" i="1"/>
  <c r="JJ231" i="1"/>
  <c r="JJ230" i="1"/>
  <c r="JI231" i="1"/>
  <c r="JH231" i="1"/>
  <c r="JG231" i="1"/>
  <c r="JG230" i="1"/>
  <c r="JF231" i="1"/>
  <c r="JE231" i="1"/>
  <c r="JD231" i="1"/>
  <c r="JD230" i="1"/>
  <c r="JC231" i="1"/>
  <c r="JB231" i="1"/>
  <c r="JA231" i="1"/>
  <c r="JA230" i="1"/>
  <c r="IZ231" i="1"/>
  <c r="IY231" i="1"/>
  <c r="IY230" i="1"/>
  <c r="IX231" i="1"/>
  <c r="IX230" i="1"/>
  <c r="IW231" i="1"/>
  <c r="IV231" i="1"/>
  <c r="IU231" i="1"/>
  <c r="IU230" i="1"/>
  <c r="IR231" i="1"/>
  <c r="IR230" i="1"/>
  <c r="IQ231" i="1"/>
  <c r="IP231" i="1"/>
  <c r="IO231" i="1"/>
  <c r="IO230" i="1"/>
  <c r="IN231" i="1"/>
  <c r="IM231" i="1"/>
  <c r="IM230" i="1"/>
  <c r="IL231" i="1"/>
  <c r="IL230" i="1"/>
  <c r="IK231" i="1"/>
  <c r="IJ231" i="1"/>
  <c r="II231" i="1"/>
  <c r="II230" i="1"/>
  <c r="IE231" i="1"/>
  <c r="IE230" i="1"/>
  <c r="ID231" i="1"/>
  <c r="ID230" i="1"/>
  <c r="IC231" i="1"/>
  <c r="IC230" i="1"/>
  <c r="IB231" i="1"/>
  <c r="IB230" i="1"/>
  <c r="IA231" i="1"/>
  <c r="IA230" i="1"/>
  <c r="HZ231" i="1"/>
  <c r="HZ230" i="1"/>
  <c r="HY231" i="1"/>
  <c r="HY230" i="1"/>
  <c r="HX231" i="1"/>
  <c r="HX230" i="1"/>
  <c r="HW231" i="1"/>
  <c r="HW230" i="1"/>
  <c r="HV231" i="1"/>
  <c r="HV230" i="1"/>
  <c r="HU231" i="1"/>
  <c r="HU230" i="1"/>
  <c r="HT231" i="1"/>
  <c r="HT230" i="1"/>
  <c r="HS231" i="1"/>
  <c r="HS230" i="1"/>
  <c r="HR231" i="1"/>
  <c r="HR230" i="1"/>
  <c r="HQ231" i="1"/>
  <c r="HQ230" i="1"/>
  <c r="HP231" i="1"/>
  <c r="HP230" i="1"/>
  <c r="HO231" i="1"/>
  <c r="HO230" i="1"/>
  <c r="HN231" i="1"/>
  <c r="HN230" i="1"/>
  <c r="HN212" i="1"/>
  <c r="HN220" i="1"/>
  <c r="HN218" i="1"/>
  <c r="HN210" i="1"/>
  <c r="HM231" i="1"/>
  <c r="HM230" i="1"/>
  <c r="HL231" i="1"/>
  <c r="HL230" i="1"/>
  <c r="HL212" i="1"/>
  <c r="HL220" i="1"/>
  <c r="HL218" i="1"/>
  <c r="HL210" i="1"/>
  <c r="HK231" i="1"/>
  <c r="HK230" i="1"/>
  <c r="HJ231" i="1"/>
  <c r="HJ230" i="1"/>
  <c r="HJ212" i="1"/>
  <c r="HJ220" i="1"/>
  <c r="HJ218" i="1"/>
  <c r="HJ210" i="1"/>
  <c r="HI231" i="1"/>
  <c r="HI230" i="1"/>
  <c r="HH231" i="1"/>
  <c r="HH230" i="1"/>
  <c r="HH212" i="1"/>
  <c r="HH220" i="1"/>
  <c r="HH218" i="1"/>
  <c r="HH210" i="1"/>
  <c r="HF231" i="1"/>
  <c r="HF230" i="1"/>
  <c r="HE231" i="1"/>
  <c r="HE230" i="1"/>
  <c r="HC231" i="1"/>
  <c r="HC230" i="1"/>
  <c r="HB231" i="1"/>
  <c r="HB230" i="1"/>
  <c r="HB212" i="1"/>
  <c r="HB220" i="1"/>
  <c r="HB218" i="1"/>
  <c r="HB210" i="1"/>
  <c r="GZ231" i="1"/>
  <c r="GZ230" i="1"/>
  <c r="GY231" i="1"/>
  <c r="GY230" i="1"/>
  <c r="GY210" i="1"/>
  <c r="GX231" i="1"/>
  <c r="GX230" i="1"/>
  <c r="GX210" i="1"/>
  <c r="GW231" i="1"/>
  <c r="GW230" i="1"/>
  <c r="GW210" i="1"/>
  <c r="GV231" i="1"/>
  <c r="GV230" i="1"/>
  <c r="GU231" i="1"/>
  <c r="GU230" i="1"/>
  <c r="GU210" i="1"/>
  <c r="JQ227" i="1"/>
  <c r="JP227" i="1"/>
  <c r="JL227" i="1"/>
  <c r="JK227" i="1"/>
  <c r="JJ227" i="1"/>
  <c r="JH227" i="1"/>
  <c r="JG227" i="1"/>
  <c r="JF227" i="1"/>
  <c r="JE227" i="1"/>
  <c r="JD227" i="1"/>
  <c r="JC227" i="1"/>
  <c r="JB227" i="1"/>
  <c r="JA227" i="1"/>
  <c r="IZ227" i="1"/>
  <c r="IY227" i="1"/>
  <c r="IX227" i="1"/>
  <c r="IW227" i="1"/>
  <c r="IV227" i="1"/>
  <c r="IU227" i="1"/>
  <c r="IR227" i="1"/>
  <c r="IQ227" i="1"/>
  <c r="IP227" i="1"/>
  <c r="IO227" i="1"/>
  <c r="IN227" i="1"/>
  <c r="IM227" i="1"/>
  <c r="IL227" i="1"/>
  <c r="IK227" i="1"/>
  <c r="IJ227" i="1"/>
  <c r="II227" i="1"/>
  <c r="IE227" i="1"/>
  <c r="ID227" i="1"/>
  <c r="IC227" i="1"/>
  <c r="IB227" i="1"/>
  <c r="IA227" i="1"/>
  <c r="HZ227" i="1"/>
  <c r="HY227" i="1"/>
  <c r="HX227" i="1"/>
  <c r="HW227" i="1"/>
  <c r="HV227" i="1"/>
  <c r="HU227" i="1"/>
  <c r="HT227" i="1"/>
  <c r="HS227" i="1"/>
  <c r="HR227" i="1"/>
  <c r="HQ227" i="1"/>
  <c r="HP227" i="1"/>
  <c r="HO227" i="1"/>
  <c r="HN227" i="1"/>
  <c r="HM227" i="1"/>
  <c r="HL227" i="1"/>
  <c r="HK227" i="1"/>
  <c r="HJ227" i="1"/>
  <c r="HI227" i="1"/>
  <c r="HH227" i="1"/>
  <c r="HF227" i="1"/>
  <c r="HE227" i="1"/>
  <c r="HD227" i="1"/>
  <c r="HC227" i="1"/>
  <c r="HB227" i="1"/>
  <c r="GZ227" i="1"/>
  <c r="GY227" i="1"/>
  <c r="GX227" i="1"/>
  <c r="GW227" i="1"/>
  <c r="GV227" i="1"/>
  <c r="D18" i="32"/>
  <c r="JJ17" i="1"/>
  <c r="JR41" i="1"/>
  <c r="JQ41" i="1"/>
  <c r="JP41" i="1"/>
  <c r="JO41" i="1"/>
  <c r="JN41" i="1"/>
  <c r="JM41" i="1"/>
  <c r="JL41" i="1"/>
  <c r="JK41" i="1"/>
  <c r="JJ41" i="1"/>
  <c r="JI41" i="1"/>
  <c r="JH41" i="1"/>
  <c r="JG41" i="1"/>
  <c r="JF41" i="1"/>
  <c r="JE41" i="1"/>
  <c r="JD41" i="1"/>
  <c r="JC41" i="1"/>
  <c r="JB41" i="1"/>
  <c r="JA41" i="1"/>
  <c r="IZ41" i="1"/>
  <c r="IY41" i="1"/>
  <c r="IX41" i="1"/>
  <c r="IW41" i="1"/>
  <c r="IV41" i="1"/>
  <c r="IU41" i="1"/>
  <c r="IR41" i="1"/>
  <c r="IO41" i="1"/>
  <c r="IN41" i="1"/>
  <c r="IM41" i="1"/>
  <c r="IL41" i="1"/>
  <c r="II41" i="1"/>
  <c r="IE41" i="1"/>
  <c r="ID41" i="1"/>
  <c r="IC41" i="1"/>
  <c r="IB41" i="1"/>
  <c r="IA41" i="1"/>
  <c r="HZ41" i="1"/>
  <c r="HY41" i="1"/>
  <c r="HX41" i="1"/>
  <c r="HW41" i="1"/>
  <c r="HV41" i="1"/>
  <c r="HU41" i="1"/>
  <c r="HT41" i="1"/>
  <c r="HS41" i="1"/>
  <c r="HR41" i="1"/>
  <c r="HQ41" i="1"/>
  <c r="HP41" i="1"/>
  <c r="HO41" i="1"/>
  <c r="HN41" i="1"/>
  <c r="HM41" i="1"/>
  <c r="HL41" i="1"/>
  <c r="HK41" i="1"/>
  <c r="HJ41" i="1"/>
  <c r="HI41" i="1"/>
  <c r="HH41" i="1"/>
  <c r="HF41" i="1"/>
  <c r="HE41" i="1"/>
  <c r="HD41" i="1"/>
  <c r="HC41" i="1"/>
  <c r="HB41" i="1"/>
  <c r="HA41" i="1"/>
  <c r="GZ41" i="1"/>
  <c r="GY41" i="1"/>
  <c r="GX41" i="1"/>
  <c r="GW41" i="1"/>
  <c r="GV41" i="1"/>
  <c r="GU41" i="1"/>
  <c r="JR444" i="1"/>
  <c r="JQ444" i="1"/>
  <c r="JP444" i="1"/>
  <c r="IE444" i="1"/>
  <c r="ID444" i="1"/>
  <c r="HF444" i="1"/>
  <c r="HE444" i="1"/>
  <c r="HD444" i="1"/>
  <c r="HC444" i="1"/>
  <c r="HB444" i="1"/>
  <c r="HA444" i="1"/>
  <c r="GZ444" i="1"/>
  <c r="GY444" i="1"/>
  <c r="GV444" i="1"/>
  <c r="GU444" i="1"/>
  <c r="C444" i="1"/>
  <c r="HH42" i="1"/>
  <c r="HI42" i="1"/>
  <c r="HJ42" i="1"/>
  <c r="HK42" i="1"/>
  <c r="HL42" i="1"/>
  <c r="HM42" i="1"/>
  <c r="HN42" i="1"/>
  <c r="HO42" i="1"/>
  <c r="HP42" i="1"/>
  <c r="HQ42" i="1"/>
  <c r="HR42" i="1"/>
  <c r="HS42" i="1"/>
  <c r="HT42" i="1"/>
  <c r="HU42" i="1"/>
  <c r="HH53" i="1"/>
  <c r="HI53" i="1"/>
  <c r="HJ53" i="1"/>
  <c r="HK53" i="1"/>
  <c r="HL53" i="1"/>
  <c r="HN53" i="1"/>
  <c r="HO53" i="1"/>
  <c r="HP53" i="1"/>
  <c r="HQ53" i="1"/>
  <c r="HR53" i="1"/>
  <c r="HS53" i="1"/>
  <c r="HT53" i="1"/>
  <c r="HU53" i="1"/>
  <c r="HH54" i="1"/>
  <c r="HI54" i="1"/>
  <c r="HJ54" i="1"/>
  <c r="HK54" i="1"/>
  <c r="HL54" i="1"/>
  <c r="HM54" i="1"/>
  <c r="HN54" i="1"/>
  <c r="HO54" i="1"/>
  <c r="HP54" i="1"/>
  <c r="HQ54" i="1"/>
  <c r="HR54" i="1"/>
  <c r="HS54" i="1"/>
  <c r="HT54" i="1"/>
  <c r="HU54" i="1"/>
  <c r="HH55" i="1"/>
  <c r="HI55" i="1"/>
  <c r="HJ55" i="1"/>
  <c r="HK55" i="1"/>
  <c r="HL55" i="1"/>
  <c r="HM55" i="1"/>
  <c r="HN55" i="1"/>
  <c r="HO55" i="1"/>
  <c r="HP55" i="1"/>
  <c r="HQ55" i="1"/>
  <c r="HR55" i="1"/>
  <c r="HS55" i="1"/>
  <c r="HT55" i="1"/>
  <c r="HU55" i="1"/>
  <c r="HH56" i="1"/>
  <c r="HI56" i="1"/>
  <c r="HJ56" i="1"/>
  <c r="HK56" i="1"/>
  <c r="HN56" i="1"/>
  <c r="HO56" i="1"/>
  <c r="HP56" i="1"/>
  <c r="HR56" i="1"/>
  <c r="HS56" i="1"/>
  <c r="HT56" i="1"/>
  <c r="HU56" i="1"/>
  <c r="HH57" i="1"/>
  <c r="HI57" i="1"/>
  <c r="HJ57" i="1"/>
  <c r="HK57" i="1"/>
  <c r="HL57" i="1"/>
  <c r="HN57" i="1"/>
  <c r="HO57" i="1"/>
  <c r="HP57" i="1"/>
  <c r="HQ57" i="1"/>
  <c r="HR57" i="1"/>
  <c r="HS57" i="1"/>
  <c r="HU57" i="1"/>
  <c r="HH58" i="1"/>
  <c r="HI58" i="1"/>
  <c r="HJ58" i="1"/>
  <c r="HK58" i="1"/>
  <c r="HL58" i="1"/>
  <c r="HM58" i="1"/>
  <c r="HN58" i="1"/>
  <c r="HO58" i="1"/>
  <c r="HP58" i="1"/>
  <c r="HQ58" i="1"/>
  <c r="HR58" i="1"/>
  <c r="HS58" i="1"/>
  <c r="HT58" i="1"/>
  <c r="HU58" i="1"/>
  <c r="HH59" i="1"/>
  <c r="HI59" i="1"/>
  <c r="HJ59" i="1"/>
  <c r="HK59" i="1"/>
  <c r="HK52" i="1"/>
  <c r="HL59" i="1"/>
  <c r="HM59" i="1"/>
  <c r="HN59" i="1"/>
  <c r="HO59" i="1"/>
  <c r="HO52" i="1"/>
  <c r="HP59" i="1"/>
  <c r="HQ59" i="1"/>
  <c r="HR59" i="1"/>
  <c r="HS59" i="1"/>
  <c r="HS52" i="1"/>
  <c r="HT59" i="1"/>
  <c r="HU59" i="1"/>
  <c r="HH64" i="1"/>
  <c r="HI64" i="1"/>
  <c r="HI63" i="1"/>
  <c r="HJ64" i="1"/>
  <c r="HK64" i="1"/>
  <c r="HL64" i="1"/>
  <c r="HM64" i="1"/>
  <c r="HN64" i="1"/>
  <c r="HO64" i="1"/>
  <c r="HP64" i="1"/>
  <c r="HQ64" i="1"/>
  <c r="HR64" i="1"/>
  <c r="HS64" i="1"/>
  <c r="HT64" i="1"/>
  <c r="HU64" i="1"/>
  <c r="HH65" i="1"/>
  <c r="HI65" i="1"/>
  <c r="HJ65" i="1"/>
  <c r="HK65" i="1"/>
  <c r="HL65" i="1"/>
  <c r="HM65" i="1"/>
  <c r="HN65" i="1"/>
  <c r="HO65" i="1"/>
  <c r="HP65" i="1"/>
  <c r="HQ65" i="1"/>
  <c r="HR65" i="1"/>
  <c r="HS65" i="1"/>
  <c r="HT65" i="1"/>
  <c r="HU65" i="1"/>
  <c r="HH84" i="1"/>
  <c r="HI84" i="1"/>
  <c r="HJ84" i="1"/>
  <c r="HK84" i="1"/>
  <c r="HL84" i="1"/>
  <c r="HM84" i="1"/>
  <c r="HN84" i="1"/>
  <c r="HO84" i="1"/>
  <c r="HP84" i="1"/>
  <c r="HQ84" i="1"/>
  <c r="HR84" i="1"/>
  <c r="HS84" i="1"/>
  <c r="HT84" i="1"/>
  <c r="HU84" i="1"/>
  <c r="HH95" i="1"/>
  <c r="HI95" i="1"/>
  <c r="HJ95" i="1"/>
  <c r="HK95" i="1"/>
  <c r="HL95" i="1"/>
  <c r="HM95" i="1"/>
  <c r="HN95" i="1"/>
  <c r="HO95" i="1"/>
  <c r="HP95" i="1"/>
  <c r="HQ95" i="1"/>
  <c r="HR95" i="1"/>
  <c r="HS95" i="1"/>
  <c r="HT95" i="1"/>
  <c r="HU95" i="1"/>
  <c r="HH96" i="1"/>
  <c r="HI96" i="1"/>
  <c r="HJ96" i="1"/>
  <c r="HK96" i="1"/>
  <c r="HL96" i="1"/>
  <c r="HM96" i="1"/>
  <c r="HN96" i="1"/>
  <c r="HO96" i="1"/>
  <c r="HP96" i="1"/>
  <c r="HQ96" i="1"/>
  <c r="HR96" i="1"/>
  <c r="HS96" i="1"/>
  <c r="HT96" i="1"/>
  <c r="HU96" i="1"/>
  <c r="HH97" i="1"/>
  <c r="HI97" i="1"/>
  <c r="HJ97" i="1"/>
  <c r="HK97" i="1"/>
  <c r="HL97" i="1"/>
  <c r="HM97" i="1"/>
  <c r="HN97" i="1"/>
  <c r="HO97" i="1"/>
  <c r="HP97" i="1"/>
  <c r="HQ97" i="1"/>
  <c r="HR97" i="1"/>
  <c r="HS97" i="1"/>
  <c r="HT97" i="1"/>
  <c r="HU97" i="1"/>
  <c r="HH98" i="1"/>
  <c r="HI98" i="1"/>
  <c r="HJ98" i="1"/>
  <c r="HK98" i="1"/>
  <c r="HL98" i="1"/>
  <c r="HM98" i="1"/>
  <c r="HN98" i="1"/>
  <c r="HO98" i="1"/>
  <c r="HP98" i="1"/>
  <c r="HQ98" i="1"/>
  <c r="HR98" i="1"/>
  <c r="HS98" i="1"/>
  <c r="HT98" i="1"/>
  <c r="HU98" i="1"/>
  <c r="HH99" i="1"/>
  <c r="HI99" i="1"/>
  <c r="HJ99" i="1"/>
  <c r="HK99" i="1"/>
  <c r="HL99" i="1"/>
  <c r="HM99" i="1"/>
  <c r="HN99" i="1"/>
  <c r="HO99" i="1"/>
  <c r="HP99" i="1"/>
  <c r="HQ99" i="1"/>
  <c r="HR99" i="1"/>
  <c r="HS99" i="1"/>
  <c r="HT99" i="1"/>
  <c r="HU99" i="1"/>
  <c r="HH100" i="1"/>
  <c r="HI100" i="1"/>
  <c r="HJ100" i="1"/>
  <c r="HK100" i="1"/>
  <c r="HL100" i="1"/>
  <c r="HM100" i="1"/>
  <c r="HN100" i="1"/>
  <c r="HO100" i="1"/>
  <c r="HP100" i="1"/>
  <c r="HQ100" i="1"/>
  <c r="HR100" i="1"/>
  <c r="HS100" i="1"/>
  <c r="HT100" i="1"/>
  <c r="HU100" i="1"/>
  <c r="HH101" i="1"/>
  <c r="HI101" i="1"/>
  <c r="HJ101" i="1"/>
  <c r="HK101" i="1"/>
  <c r="HL101" i="1"/>
  <c r="HM101" i="1"/>
  <c r="HN101" i="1"/>
  <c r="HO101" i="1"/>
  <c r="HR101" i="1"/>
  <c r="HS101" i="1"/>
  <c r="HS94" i="1"/>
  <c r="HT101" i="1"/>
  <c r="HU101" i="1"/>
  <c r="HH102" i="1"/>
  <c r="HI102" i="1"/>
  <c r="HJ102" i="1"/>
  <c r="HK102" i="1"/>
  <c r="HL102" i="1"/>
  <c r="HM102" i="1"/>
  <c r="HN102" i="1"/>
  <c r="HO102" i="1"/>
  <c r="HP102" i="1"/>
  <c r="HQ102" i="1"/>
  <c r="HR102" i="1"/>
  <c r="HS102" i="1"/>
  <c r="HT102" i="1"/>
  <c r="HU102" i="1"/>
  <c r="HH140" i="1"/>
  <c r="HI140" i="1"/>
  <c r="HJ140" i="1"/>
  <c r="HK140" i="1"/>
  <c r="HL140" i="1"/>
  <c r="HM140" i="1"/>
  <c r="HN140" i="1"/>
  <c r="HO140" i="1"/>
  <c r="HP140" i="1"/>
  <c r="HQ140" i="1"/>
  <c r="HR140" i="1"/>
  <c r="HS140" i="1"/>
  <c r="HT140" i="1"/>
  <c r="HU140" i="1"/>
  <c r="HH141" i="1"/>
  <c r="HI141" i="1"/>
  <c r="HJ141" i="1"/>
  <c r="HK141" i="1"/>
  <c r="HL141" i="1"/>
  <c r="HM141" i="1"/>
  <c r="HN141" i="1"/>
  <c r="HO141" i="1"/>
  <c r="HP141" i="1"/>
  <c r="HQ141" i="1"/>
  <c r="HR141" i="1"/>
  <c r="HS141" i="1"/>
  <c r="HT141" i="1"/>
  <c r="HU141" i="1"/>
  <c r="HH142" i="1"/>
  <c r="HI142" i="1"/>
  <c r="HJ142" i="1"/>
  <c r="HK142" i="1"/>
  <c r="HL142" i="1"/>
  <c r="HM142" i="1"/>
  <c r="HN142" i="1"/>
  <c r="HO142" i="1"/>
  <c r="HP142" i="1"/>
  <c r="HQ142" i="1"/>
  <c r="HR142" i="1"/>
  <c r="HS142" i="1"/>
  <c r="HT142" i="1"/>
  <c r="HU142" i="1"/>
  <c r="HH143" i="1"/>
  <c r="HI143" i="1"/>
  <c r="HJ143" i="1"/>
  <c r="HK143" i="1"/>
  <c r="HL143" i="1"/>
  <c r="HM143" i="1"/>
  <c r="HN143" i="1"/>
  <c r="HO143" i="1"/>
  <c r="HP143" i="1"/>
  <c r="HQ143" i="1"/>
  <c r="HR143" i="1"/>
  <c r="HS143" i="1"/>
  <c r="HT143" i="1"/>
  <c r="HU143" i="1"/>
  <c r="HH144" i="1"/>
  <c r="HI144" i="1"/>
  <c r="HJ144" i="1"/>
  <c r="HK144" i="1"/>
  <c r="HL144" i="1"/>
  <c r="HM144" i="1"/>
  <c r="HN144" i="1"/>
  <c r="HO144" i="1"/>
  <c r="HP144" i="1"/>
  <c r="HQ144" i="1"/>
  <c r="HR144" i="1"/>
  <c r="HS144" i="1"/>
  <c r="HT144" i="1"/>
  <c r="HU144" i="1"/>
  <c r="HH145" i="1"/>
  <c r="HI145" i="1"/>
  <c r="HJ145" i="1"/>
  <c r="HK145" i="1"/>
  <c r="HL145" i="1"/>
  <c r="HM145" i="1"/>
  <c r="HN145" i="1"/>
  <c r="HO145" i="1"/>
  <c r="HP145" i="1"/>
  <c r="HQ145" i="1"/>
  <c r="HR145" i="1"/>
  <c r="HS145" i="1"/>
  <c r="HT145" i="1"/>
  <c r="HU145" i="1"/>
  <c r="HH146" i="1"/>
  <c r="HI146" i="1"/>
  <c r="HJ146" i="1"/>
  <c r="HK146" i="1"/>
  <c r="HL146" i="1"/>
  <c r="HM146" i="1"/>
  <c r="HN146" i="1"/>
  <c r="HO146" i="1"/>
  <c r="HP146" i="1"/>
  <c r="HQ146" i="1"/>
  <c r="HR146" i="1"/>
  <c r="HS146" i="1"/>
  <c r="HT146" i="1"/>
  <c r="HU146" i="1"/>
  <c r="HH168" i="1"/>
  <c r="HI168" i="1"/>
  <c r="HJ168" i="1"/>
  <c r="HK168" i="1"/>
  <c r="HL168" i="1"/>
  <c r="HM168" i="1"/>
  <c r="HN168" i="1"/>
  <c r="HO168" i="1"/>
  <c r="HR168" i="1"/>
  <c r="HS168" i="1"/>
  <c r="HT168" i="1"/>
  <c r="HU168" i="1"/>
  <c r="HH169" i="1"/>
  <c r="HI169" i="1"/>
  <c r="HJ169" i="1"/>
  <c r="HK169" i="1"/>
  <c r="HL169" i="1"/>
  <c r="HM169" i="1"/>
  <c r="HN169" i="1"/>
  <c r="HO169" i="1"/>
  <c r="HP169" i="1"/>
  <c r="HQ169" i="1"/>
  <c r="HR169" i="1"/>
  <c r="HS169" i="1"/>
  <c r="HT169" i="1"/>
  <c r="HU169" i="1"/>
  <c r="HH170" i="1"/>
  <c r="HI170" i="1"/>
  <c r="HI167" i="1"/>
  <c r="HJ170" i="1"/>
  <c r="HK170" i="1"/>
  <c r="HL170" i="1"/>
  <c r="HM170" i="1"/>
  <c r="HN170" i="1"/>
  <c r="HO170" i="1"/>
  <c r="HP170" i="1"/>
  <c r="HQ170" i="1"/>
  <c r="HR170" i="1"/>
  <c r="HS170" i="1"/>
  <c r="HT170" i="1"/>
  <c r="HU170" i="1"/>
  <c r="HH176" i="1"/>
  <c r="HI176" i="1"/>
  <c r="HJ176" i="1"/>
  <c r="HK176" i="1"/>
  <c r="HL176" i="1"/>
  <c r="HM176" i="1"/>
  <c r="HN176" i="1"/>
  <c r="HO176" i="1"/>
  <c r="HP176" i="1"/>
  <c r="HQ176" i="1"/>
  <c r="HR176" i="1"/>
  <c r="HS176" i="1"/>
  <c r="HT176" i="1"/>
  <c r="HU176" i="1"/>
  <c r="HH177" i="1"/>
  <c r="HI177" i="1"/>
  <c r="HI174" i="1"/>
  <c r="HJ177" i="1"/>
  <c r="HK177" i="1"/>
  <c r="HL177" i="1"/>
  <c r="HM177" i="1"/>
  <c r="HN177" i="1"/>
  <c r="HO177" i="1"/>
  <c r="HP177" i="1"/>
  <c r="HQ177" i="1"/>
  <c r="HR177" i="1"/>
  <c r="HS177" i="1"/>
  <c r="HT177" i="1"/>
  <c r="HU177" i="1"/>
  <c r="HH180" i="1"/>
  <c r="HH179" i="1"/>
  <c r="HI180" i="1"/>
  <c r="HI179" i="1"/>
  <c r="HJ180" i="1"/>
  <c r="HJ179" i="1"/>
  <c r="HK180" i="1"/>
  <c r="HK179" i="1"/>
  <c r="HL180" i="1"/>
  <c r="HL179" i="1"/>
  <c r="HM180" i="1"/>
  <c r="HM179" i="1"/>
  <c r="HN180" i="1"/>
  <c r="HN179" i="1"/>
  <c r="HO180" i="1"/>
  <c r="HO179" i="1"/>
  <c r="HP180" i="1"/>
  <c r="HP179" i="1"/>
  <c r="HQ180" i="1"/>
  <c r="HQ179" i="1"/>
  <c r="HR180" i="1"/>
  <c r="HR179" i="1"/>
  <c r="HS180" i="1"/>
  <c r="HS179" i="1"/>
  <c r="HT180" i="1"/>
  <c r="HT179" i="1"/>
  <c r="HU180" i="1"/>
  <c r="HU179" i="1"/>
  <c r="HH182" i="1"/>
  <c r="HI182" i="1"/>
  <c r="HJ182" i="1"/>
  <c r="HK182" i="1"/>
  <c r="HL182" i="1"/>
  <c r="HM182" i="1"/>
  <c r="HN182" i="1"/>
  <c r="HO182" i="1"/>
  <c r="HP182" i="1"/>
  <c r="HQ182" i="1"/>
  <c r="HR182" i="1"/>
  <c r="HS182" i="1"/>
  <c r="HT182" i="1"/>
  <c r="HU182" i="1"/>
  <c r="HH185" i="1"/>
  <c r="HH184" i="1"/>
  <c r="HI185" i="1"/>
  <c r="HI184" i="1"/>
  <c r="HJ185" i="1"/>
  <c r="HJ184" i="1"/>
  <c r="HK185" i="1"/>
  <c r="HK184" i="1"/>
  <c r="HL185" i="1"/>
  <c r="HL184" i="1"/>
  <c r="HM185" i="1"/>
  <c r="HM184" i="1"/>
  <c r="HN185" i="1"/>
  <c r="HN184" i="1"/>
  <c r="HO185" i="1"/>
  <c r="HO184" i="1"/>
  <c r="HP185" i="1"/>
  <c r="HP184" i="1"/>
  <c r="HQ185" i="1"/>
  <c r="HQ184" i="1"/>
  <c r="HR185" i="1"/>
  <c r="HR184" i="1"/>
  <c r="HS185" i="1"/>
  <c r="HS184" i="1"/>
  <c r="HT185" i="1"/>
  <c r="HT184" i="1"/>
  <c r="HU185" i="1"/>
  <c r="HU184" i="1"/>
  <c r="HH191" i="1"/>
  <c r="HI191" i="1"/>
  <c r="HJ191" i="1"/>
  <c r="HK191" i="1"/>
  <c r="HL191" i="1"/>
  <c r="HM191" i="1"/>
  <c r="HN191" i="1"/>
  <c r="HO191" i="1"/>
  <c r="HP191" i="1"/>
  <c r="HQ191" i="1"/>
  <c r="HR191" i="1"/>
  <c r="HS191" i="1"/>
  <c r="HU191" i="1"/>
  <c r="HH196" i="1"/>
  <c r="HH195" i="1"/>
  <c r="HI196" i="1"/>
  <c r="HJ196" i="1"/>
  <c r="HK196" i="1"/>
  <c r="HL196" i="1"/>
  <c r="HM196" i="1"/>
  <c r="HN196" i="1"/>
  <c r="HO196" i="1"/>
  <c r="HP196" i="1"/>
  <c r="HQ196" i="1"/>
  <c r="HR196" i="1"/>
  <c r="HS196" i="1"/>
  <c r="HT196" i="1"/>
  <c r="HU196" i="1"/>
  <c r="HH197" i="1"/>
  <c r="HI197" i="1"/>
  <c r="HJ197" i="1"/>
  <c r="HK197" i="1"/>
  <c r="HL197" i="1"/>
  <c r="HM197" i="1"/>
  <c r="HN197" i="1"/>
  <c r="HO197" i="1"/>
  <c r="HP197" i="1"/>
  <c r="HQ197" i="1"/>
  <c r="HR197" i="1"/>
  <c r="HS197" i="1"/>
  <c r="HT197" i="1"/>
  <c r="HU197" i="1"/>
  <c r="HH205" i="1"/>
  <c r="HH204" i="1"/>
  <c r="HI205" i="1"/>
  <c r="HI204" i="1"/>
  <c r="HK205" i="1"/>
  <c r="HK204" i="1"/>
  <c r="HM205" i="1"/>
  <c r="HM204" i="1"/>
  <c r="HO205" i="1"/>
  <c r="HO204" i="1"/>
  <c r="HQ205" i="1"/>
  <c r="HQ204" i="1"/>
  <c r="HR205" i="1"/>
  <c r="HR204" i="1"/>
  <c r="HR199" i="1"/>
  <c r="HS205" i="1"/>
  <c r="HS204" i="1"/>
  <c r="HU205" i="1"/>
  <c r="HU204" i="1"/>
  <c r="HH213" i="1"/>
  <c r="HI213" i="1"/>
  <c r="HI212" i="1"/>
  <c r="HK213" i="1"/>
  <c r="HL213" i="1"/>
  <c r="HM213" i="1"/>
  <c r="HN213" i="1"/>
  <c r="HO213" i="1"/>
  <c r="HP213" i="1"/>
  <c r="HQ213" i="1"/>
  <c r="HR213" i="1"/>
  <c r="HS213" i="1"/>
  <c r="HU213" i="1"/>
  <c r="HT212" i="1"/>
  <c r="HH219" i="1"/>
  <c r="HI219" i="1"/>
  <c r="HJ219" i="1"/>
  <c r="HK219" i="1"/>
  <c r="HL219" i="1"/>
  <c r="HM219" i="1"/>
  <c r="HN219" i="1"/>
  <c r="HO219" i="1"/>
  <c r="HP219" i="1"/>
  <c r="HQ219" i="1"/>
  <c r="HR219" i="1"/>
  <c r="HS219" i="1"/>
  <c r="HT219" i="1"/>
  <c r="HU219" i="1"/>
  <c r="HI220" i="1"/>
  <c r="HK220" i="1"/>
  <c r="HM220" i="1"/>
  <c r="HO220" i="1"/>
  <c r="HP220" i="1"/>
  <c r="HQ220" i="1"/>
  <c r="HR220" i="1"/>
  <c r="HS220" i="1"/>
  <c r="HT220" i="1"/>
  <c r="HU220" i="1"/>
  <c r="HH237" i="1"/>
  <c r="HI237" i="1"/>
  <c r="HJ237" i="1"/>
  <c r="HJ236" i="1"/>
  <c r="HK237" i="1"/>
  <c r="HL237" i="1"/>
  <c r="HM237" i="1"/>
  <c r="HN237" i="1"/>
  <c r="HN236" i="1"/>
  <c r="HO237" i="1"/>
  <c r="HP237" i="1"/>
  <c r="HQ237" i="1"/>
  <c r="HR237" i="1"/>
  <c r="HR236" i="1"/>
  <c r="HS237" i="1"/>
  <c r="HT237" i="1"/>
  <c r="HU237" i="1"/>
  <c r="HH238" i="1"/>
  <c r="HI238" i="1"/>
  <c r="HJ238" i="1"/>
  <c r="HK238" i="1"/>
  <c r="HL238" i="1"/>
  <c r="HM238" i="1"/>
  <c r="HN238" i="1"/>
  <c r="HO238" i="1"/>
  <c r="HP238" i="1"/>
  <c r="HP236" i="1"/>
  <c r="HQ238" i="1"/>
  <c r="HR238" i="1"/>
  <c r="HS238" i="1"/>
  <c r="HT238" i="1"/>
  <c r="HU238" i="1"/>
  <c r="HH31" i="1"/>
  <c r="HH30" i="1"/>
  <c r="HI31" i="1"/>
  <c r="HJ31" i="1"/>
  <c r="HK31" i="1"/>
  <c r="HL31" i="1"/>
  <c r="HN31" i="1"/>
  <c r="HO31" i="1"/>
  <c r="HP31" i="1"/>
  <c r="HR31" i="1"/>
  <c r="HT31" i="1"/>
  <c r="HU31" i="1"/>
  <c r="HH32" i="1"/>
  <c r="HI32" i="1"/>
  <c r="HJ32" i="1"/>
  <c r="HK32" i="1"/>
  <c r="HL32" i="1"/>
  <c r="HN32" i="1"/>
  <c r="HO32" i="1"/>
  <c r="HP32" i="1"/>
  <c r="HQ32" i="1"/>
  <c r="HR32" i="1"/>
  <c r="HT32" i="1"/>
  <c r="HU32" i="1"/>
  <c r="HH33" i="1"/>
  <c r="HI33" i="1"/>
  <c r="HJ33" i="1"/>
  <c r="HK33" i="1"/>
  <c r="HL33" i="1"/>
  <c r="HN33" i="1"/>
  <c r="HO33" i="1"/>
  <c r="HP33" i="1"/>
  <c r="HQ33" i="1"/>
  <c r="HR33" i="1"/>
  <c r="HT33" i="1"/>
  <c r="HU33" i="1"/>
  <c r="HH34" i="1"/>
  <c r="HI34" i="1"/>
  <c r="HJ34" i="1"/>
  <c r="HK34" i="1"/>
  <c r="HL34" i="1"/>
  <c r="HN34" i="1"/>
  <c r="HO34" i="1"/>
  <c r="HP34" i="1"/>
  <c r="HR34" i="1"/>
  <c r="HS34" i="1"/>
  <c r="HT34" i="1"/>
  <c r="HU34" i="1"/>
  <c r="HH28" i="1"/>
  <c r="HI28" i="1"/>
  <c r="HJ28" i="1"/>
  <c r="HK28" i="1"/>
  <c r="HL28" i="1"/>
  <c r="HM28" i="1"/>
  <c r="HN28" i="1"/>
  <c r="HO28" i="1"/>
  <c r="HP28" i="1"/>
  <c r="HQ28" i="1"/>
  <c r="HR28" i="1"/>
  <c r="HS28" i="1"/>
  <c r="HU28" i="1"/>
  <c r="HH26" i="1"/>
  <c r="HI26" i="1"/>
  <c r="HJ26" i="1"/>
  <c r="HK26" i="1"/>
  <c r="HL26" i="1"/>
  <c r="HN26" i="1"/>
  <c r="HO26" i="1"/>
  <c r="HP26" i="1"/>
  <c r="HQ26" i="1"/>
  <c r="HR26" i="1"/>
  <c r="HT26" i="1"/>
  <c r="HU26" i="1"/>
  <c r="HH22" i="1"/>
  <c r="HH21" i="1"/>
  <c r="HI22" i="1"/>
  <c r="HJ22" i="1"/>
  <c r="HK22" i="1"/>
  <c r="HL22" i="1"/>
  <c r="HN22" i="1"/>
  <c r="HO22" i="1"/>
  <c r="HP22" i="1"/>
  <c r="HQ22" i="1"/>
  <c r="HR22" i="1"/>
  <c r="HT22" i="1"/>
  <c r="HU22" i="1"/>
  <c r="HH19" i="1"/>
  <c r="HI19" i="1"/>
  <c r="HJ19" i="1"/>
  <c r="HK19" i="1"/>
  <c r="HL19" i="1"/>
  <c r="HM19" i="1"/>
  <c r="HN19" i="1"/>
  <c r="HO19" i="1"/>
  <c r="HR19" i="1"/>
  <c r="HT19" i="1"/>
  <c r="HU19" i="1"/>
  <c r="JR220" i="1"/>
  <c r="JQ220" i="1"/>
  <c r="JP220" i="1"/>
  <c r="JO220" i="1"/>
  <c r="JN220" i="1"/>
  <c r="JM220" i="1"/>
  <c r="JL220" i="1"/>
  <c r="JK220" i="1"/>
  <c r="JJ220" i="1"/>
  <c r="JI220" i="1"/>
  <c r="JH220" i="1"/>
  <c r="JG220" i="1"/>
  <c r="JF220" i="1"/>
  <c r="JE220" i="1"/>
  <c r="JD220" i="1"/>
  <c r="JC220" i="1"/>
  <c r="JB220" i="1"/>
  <c r="JA220" i="1"/>
  <c r="IZ220" i="1"/>
  <c r="IY220" i="1"/>
  <c r="IX220" i="1"/>
  <c r="IW220" i="1"/>
  <c r="IV220" i="1"/>
  <c r="IU220" i="1"/>
  <c r="IR220" i="1"/>
  <c r="IP220" i="1"/>
  <c r="IO220" i="1"/>
  <c r="IN220" i="1"/>
  <c r="IM220" i="1"/>
  <c r="IL220" i="1"/>
  <c r="IK220" i="1"/>
  <c r="IJ220" i="1"/>
  <c r="IE220" i="1"/>
  <c r="ID220" i="1"/>
  <c r="IC220" i="1"/>
  <c r="IB220" i="1"/>
  <c r="IA220" i="1"/>
  <c r="HZ220" i="1"/>
  <c r="HY220" i="1"/>
  <c r="HX220" i="1"/>
  <c r="HW220" i="1"/>
  <c r="HV220" i="1"/>
  <c r="HF220" i="1"/>
  <c r="HE220" i="1"/>
  <c r="HC220" i="1"/>
  <c r="HS19" i="1"/>
  <c r="HS33" i="1"/>
  <c r="HS32" i="1"/>
  <c r="HS31" i="1"/>
  <c r="H18" i="14"/>
  <c r="KB357" i="1"/>
  <c r="KC357" i="1"/>
  <c r="W23" i="12"/>
  <c r="H12" i="13"/>
  <c r="I14" i="36"/>
  <c r="AH36" i="12"/>
  <c r="AH30" i="12"/>
  <c r="GU666" i="1"/>
  <c r="GV666" i="1"/>
  <c r="GW666" i="1"/>
  <c r="GY666" i="1"/>
  <c r="GZ666" i="1"/>
  <c r="HA666" i="1"/>
  <c r="HA664" i="1"/>
  <c r="HA662" i="1"/>
  <c r="HB666" i="1"/>
  <c r="HC666" i="1"/>
  <c r="HD666" i="1"/>
  <c r="HE666" i="1"/>
  <c r="HF666" i="1"/>
  <c r="JP666" i="1"/>
  <c r="JQ666" i="1"/>
  <c r="GU19" i="1"/>
  <c r="GV19" i="1"/>
  <c r="GV16" i="1"/>
  <c r="GW19" i="1"/>
  <c r="GW16" i="1"/>
  <c r="GX19" i="1"/>
  <c r="GX16" i="1"/>
  <c r="GY19" i="1"/>
  <c r="GY16" i="1"/>
  <c r="GZ19" i="1"/>
  <c r="GZ16" i="1"/>
  <c r="HA19" i="1"/>
  <c r="HA16" i="1"/>
  <c r="HB19" i="1"/>
  <c r="HC19" i="1"/>
  <c r="HD19" i="1"/>
  <c r="HE19" i="1"/>
  <c r="HF19" i="1"/>
  <c r="HV19" i="1"/>
  <c r="HW19" i="1"/>
  <c r="HX19" i="1"/>
  <c r="HY19" i="1"/>
  <c r="HZ19" i="1"/>
  <c r="IA19" i="1"/>
  <c r="IB19" i="1"/>
  <c r="IC19" i="1"/>
  <c r="ID19" i="1"/>
  <c r="IE19" i="1"/>
  <c r="II19" i="1"/>
  <c r="IL19" i="1"/>
  <c r="IL16" i="1"/>
  <c r="IL14" i="1"/>
  <c r="IO19" i="1"/>
  <c r="IR19" i="1"/>
  <c r="IS19" i="1"/>
  <c r="IX19" i="1"/>
  <c r="IY19" i="1"/>
  <c r="JA19" i="1"/>
  <c r="JB19" i="1"/>
  <c r="JD19" i="1"/>
  <c r="JE19" i="1"/>
  <c r="JG19" i="1"/>
  <c r="JH19" i="1"/>
  <c r="JJ19" i="1"/>
  <c r="JK19" i="1"/>
  <c r="JM19" i="1"/>
  <c r="JN19" i="1"/>
  <c r="JQ19" i="1"/>
  <c r="JR19" i="1"/>
  <c r="C19" i="1"/>
  <c r="C16" i="1"/>
  <c r="C14" i="1"/>
  <c r="B35" i="32"/>
  <c r="C35" i="32"/>
  <c r="D58" i="12"/>
  <c r="D42" i="12"/>
  <c r="G21" i="37"/>
  <c r="G19" i="37"/>
  <c r="D41" i="12"/>
  <c r="E41" i="12"/>
  <c r="D36" i="12"/>
  <c r="G18" i="14"/>
  <c r="D35" i="12"/>
  <c r="E35" i="12"/>
  <c r="D32" i="12"/>
  <c r="G16" i="13"/>
  <c r="D31" i="12"/>
  <c r="D30" i="12"/>
  <c r="D29" i="12"/>
  <c r="E24" i="12"/>
  <c r="D19" i="12"/>
  <c r="JR856" i="1"/>
  <c r="JQ856" i="1"/>
  <c r="JP856" i="1"/>
  <c r="HF845" i="1"/>
  <c r="HE845" i="1"/>
  <c r="HC845" i="1"/>
  <c r="HB845" i="1"/>
  <c r="GZ845" i="1"/>
  <c r="GY845" i="1"/>
  <c r="GW845" i="1"/>
  <c r="GV845" i="1"/>
  <c r="GU845" i="1"/>
  <c r="JR842" i="1"/>
  <c r="JQ842" i="1"/>
  <c r="JP842" i="1"/>
  <c r="HF790" i="1"/>
  <c r="HE790" i="1"/>
  <c r="HC790" i="1"/>
  <c r="HB790" i="1"/>
  <c r="GZ790" i="1"/>
  <c r="GW790" i="1"/>
  <c r="GV790" i="1"/>
  <c r="GU790" i="1"/>
  <c r="JR783" i="1"/>
  <c r="JQ783" i="1"/>
  <c r="JP783" i="1"/>
  <c r="IE783" i="1"/>
  <c r="ID783" i="1"/>
  <c r="JQ768" i="1"/>
  <c r="JP768" i="1"/>
  <c r="IE768" i="1"/>
  <c r="ID768" i="1"/>
  <c r="JQ742" i="1"/>
  <c r="JP742" i="1"/>
  <c r="IE742" i="1"/>
  <c r="ID742" i="1"/>
  <c r="ID721" i="1"/>
  <c r="HF742" i="1"/>
  <c r="HE742" i="1"/>
  <c r="HC742" i="1"/>
  <c r="HB742" i="1"/>
  <c r="HB721" i="1"/>
  <c r="GZ742" i="1"/>
  <c r="GY742" i="1"/>
  <c r="GX742" i="1"/>
  <c r="GW742" i="1"/>
  <c r="GW721" i="1"/>
  <c r="GV742" i="1"/>
  <c r="GU742" i="1"/>
  <c r="JR725" i="1"/>
  <c r="JQ725" i="1"/>
  <c r="JP725" i="1"/>
  <c r="JP721" i="1"/>
  <c r="JR705" i="1"/>
  <c r="JQ705" i="1"/>
  <c r="JP705" i="1"/>
  <c r="JR702" i="1"/>
  <c r="JQ702" i="1"/>
  <c r="JP702" i="1"/>
  <c r="JR681" i="1"/>
  <c r="JQ681" i="1"/>
  <c r="JP681" i="1"/>
  <c r="IE681" i="1"/>
  <c r="ID681" i="1"/>
  <c r="C856" i="1"/>
  <c r="C842" i="1"/>
  <c r="C725" i="1"/>
  <c r="C705" i="1"/>
  <c r="C702" i="1"/>
  <c r="JR176" i="1"/>
  <c r="JQ176" i="1"/>
  <c r="JP176" i="1"/>
  <c r="JO176" i="1"/>
  <c r="JN176" i="1"/>
  <c r="JM176" i="1"/>
  <c r="JL176" i="1"/>
  <c r="JK176" i="1"/>
  <c r="JJ176" i="1"/>
  <c r="JI176" i="1"/>
  <c r="JH176" i="1"/>
  <c r="JG176" i="1"/>
  <c r="JF176" i="1"/>
  <c r="JE176" i="1"/>
  <c r="JD176" i="1"/>
  <c r="JC176" i="1"/>
  <c r="JB176" i="1"/>
  <c r="JA176" i="1"/>
  <c r="IZ176" i="1"/>
  <c r="IY176" i="1"/>
  <c r="IX176" i="1"/>
  <c r="IW176" i="1"/>
  <c r="IV176" i="1"/>
  <c r="IU176" i="1"/>
  <c r="IS176" i="1"/>
  <c r="IR176" i="1"/>
  <c r="IQ176" i="1"/>
  <c r="IP176" i="1"/>
  <c r="IO176" i="1"/>
  <c r="IN176" i="1"/>
  <c r="IM176" i="1"/>
  <c r="IL176" i="1"/>
  <c r="IK176" i="1"/>
  <c r="IJ176" i="1"/>
  <c r="II176" i="1"/>
  <c r="IE176" i="1"/>
  <c r="ID176" i="1"/>
  <c r="IC176" i="1"/>
  <c r="IB176" i="1"/>
  <c r="IA176" i="1"/>
  <c r="HZ176" i="1"/>
  <c r="HY176" i="1"/>
  <c r="HX176" i="1"/>
  <c r="HW176" i="1"/>
  <c r="HV176" i="1"/>
  <c r="HF176" i="1"/>
  <c r="HE176" i="1"/>
  <c r="HD176" i="1"/>
  <c r="HC176" i="1"/>
  <c r="HB176" i="1"/>
  <c r="HA176" i="1"/>
  <c r="GZ176" i="1"/>
  <c r="GY176" i="1"/>
  <c r="GX176" i="1"/>
  <c r="GW176" i="1"/>
  <c r="GV176" i="1"/>
  <c r="GU176" i="1"/>
  <c r="JR219" i="1"/>
  <c r="JQ219" i="1"/>
  <c r="JP219" i="1"/>
  <c r="JO219" i="1"/>
  <c r="JN219" i="1"/>
  <c r="JM219" i="1"/>
  <c r="JL219" i="1"/>
  <c r="JK219" i="1"/>
  <c r="JJ219" i="1"/>
  <c r="JI219" i="1"/>
  <c r="JH219" i="1"/>
  <c r="JG219" i="1"/>
  <c r="JF219" i="1"/>
  <c r="JE219" i="1"/>
  <c r="JD219" i="1"/>
  <c r="JC219" i="1"/>
  <c r="JB219" i="1"/>
  <c r="JA219" i="1"/>
  <c r="IZ219" i="1"/>
  <c r="IY219" i="1"/>
  <c r="IX219" i="1"/>
  <c r="IW219" i="1"/>
  <c r="IV219" i="1"/>
  <c r="IU219" i="1"/>
  <c r="IS219" i="1"/>
  <c r="IR219" i="1"/>
  <c r="IP219" i="1"/>
  <c r="IO219" i="1"/>
  <c r="IM219" i="1"/>
  <c r="IL219" i="1"/>
  <c r="IK219" i="1"/>
  <c r="IJ219" i="1"/>
  <c r="II219" i="1"/>
  <c r="IE219" i="1"/>
  <c r="ID219" i="1"/>
  <c r="IC219" i="1"/>
  <c r="IB219" i="1"/>
  <c r="IA219" i="1"/>
  <c r="HZ219" i="1"/>
  <c r="HY219" i="1"/>
  <c r="HX219" i="1"/>
  <c r="HW219" i="1"/>
  <c r="HV219" i="1"/>
  <c r="HF219" i="1"/>
  <c r="HE219" i="1"/>
  <c r="HD219" i="1"/>
  <c r="HC219" i="1"/>
  <c r="HB219" i="1"/>
  <c r="HA219" i="1"/>
  <c r="GZ219" i="1"/>
  <c r="GY219" i="1"/>
  <c r="GX219" i="1"/>
  <c r="GW219" i="1"/>
  <c r="GV219" i="1"/>
  <c r="GU219" i="1"/>
  <c r="JR65" i="1"/>
  <c r="JQ65" i="1"/>
  <c r="JP65" i="1"/>
  <c r="JN65" i="1"/>
  <c r="JM65" i="1"/>
  <c r="JL65" i="1"/>
  <c r="JK65" i="1"/>
  <c r="JJ65" i="1"/>
  <c r="JH65" i="1"/>
  <c r="JG65" i="1"/>
  <c r="JF65" i="1"/>
  <c r="JE65" i="1"/>
  <c r="JD65" i="1"/>
  <c r="JC65" i="1"/>
  <c r="JB65" i="1"/>
  <c r="JA65" i="1"/>
  <c r="IZ65" i="1"/>
  <c r="IY65" i="1"/>
  <c r="IX65" i="1"/>
  <c r="IV65" i="1"/>
  <c r="IU65" i="1"/>
  <c r="IS65" i="1"/>
  <c r="IR65" i="1"/>
  <c r="IP65" i="1"/>
  <c r="IO65" i="1"/>
  <c r="IN65" i="1"/>
  <c r="IM65" i="1"/>
  <c r="IL65" i="1"/>
  <c r="IK65" i="1"/>
  <c r="IJ65" i="1"/>
  <c r="II65" i="1"/>
  <c r="IE65" i="1"/>
  <c r="ID65" i="1"/>
  <c r="IC65" i="1"/>
  <c r="IB65" i="1"/>
  <c r="IA65" i="1"/>
  <c r="HZ65" i="1"/>
  <c r="HY65" i="1"/>
  <c r="HX65" i="1"/>
  <c r="HW65" i="1"/>
  <c r="HV65" i="1"/>
  <c r="HF65" i="1"/>
  <c r="HE65" i="1"/>
  <c r="HD65" i="1"/>
  <c r="HC65" i="1"/>
  <c r="HB65" i="1"/>
  <c r="HA65" i="1"/>
  <c r="GZ65" i="1"/>
  <c r="GY65" i="1"/>
  <c r="GX65" i="1"/>
  <c r="GW65" i="1"/>
  <c r="GV65" i="1"/>
  <c r="GU65" i="1"/>
  <c r="JR64" i="1"/>
  <c r="JQ64" i="1"/>
  <c r="JP64" i="1"/>
  <c r="JO64" i="1"/>
  <c r="JN64" i="1"/>
  <c r="JM64" i="1"/>
  <c r="JK64" i="1"/>
  <c r="JJ64" i="1"/>
  <c r="JI64" i="1"/>
  <c r="JH64" i="1"/>
  <c r="JG64" i="1"/>
  <c r="JF64" i="1"/>
  <c r="JE64" i="1"/>
  <c r="JD64" i="1"/>
  <c r="JC64" i="1"/>
  <c r="JC63" i="1"/>
  <c r="JB64" i="1"/>
  <c r="JA64" i="1"/>
  <c r="IY64" i="1"/>
  <c r="IX64" i="1"/>
  <c r="IW64" i="1"/>
  <c r="IV64" i="1"/>
  <c r="IU64" i="1"/>
  <c r="IR64" i="1"/>
  <c r="IP64" i="1"/>
  <c r="IP63" i="1"/>
  <c r="IO64" i="1"/>
  <c r="IM64" i="1"/>
  <c r="IL64" i="1"/>
  <c r="IK64" i="1"/>
  <c r="IJ64" i="1"/>
  <c r="IJ63" i="1"/>
  <c r="II64" i="1"/>
  <c r="IE64" i="1"/>
  <c r="IE63" i="1"/>
  <c r="ID64" i="1"/>
  <c r="IC64" i="1"/>
  <c r="IC63" i="1"/>
  <c r="IB64" i="1"/>
  <c r="IA64" i="1"/>
  <c r="HZ64" i="1"/>
  <c r="HY64" i="1"/>
  <c r="HX64" i="1"/>
  <c r="HX63" i="1"/>
  <c r="HW64" i="1"/>
  <c r="HW63" i="1"/>
  <c r="HV64" i="1"/>
  <c r="HF64" i="1"/>
  <c r="HE64" i="1"/>
  <c r="HD64" i="1"/>
  <c r="HC64" i="1"/>
  <c r="HB64" i="1"/>
  <c r="HA64" i="1"/>
  <c r="GZ64" i="1"/>
  <c r="GY64" i="1"/>
  <c r="GX64" i="1"/>
  <c r="GV64" i="1"/>
  <c r="GU64" i="1"/>
  <c r="JR555" i="1"/>
  <c r="JQ555" i="1"/>
  <c r="JP555" i="1"/>
  <c r="IE555" i="1"/>
  <c r="ID555" i="1"/>
  <c r="HF555" i="1"/>
  <c r="HE555" i="1"/>
  <c r="HD555" i="1"/>
  <c r="HC555" i="1"/>
  <c r="HB555" i="1"/>
  <c r="HA555" i="1"/>
  <c r="GZ555" i="1"/>
  <c r="GY555" i="1"/>
  <c r="GX555" i="1"/>
  <c r="GW555" i="1"/>
  <c r="GV555" i="1"/>
  <c r="GU555" i="1"/>
  <c r="C555" i="1"/>
  <c r="JQ549" i="1"/>
  <c r="JP549" i="1"/>
  <c r="IE549" i="1"/>
  <c r="ID549" i="1"/>
  <c r="HF549" i="1"/>
  <c r="HE549" i="1"/>
  <c r="HD549" i="1"/>
  <c r="HC549" i="1"/>
  <c r="HB549" i="1"/>
  <c r="HA549" i="1"/>
  <c r="GZ549" i="1"/>
  <c r="GY549" i="1"/>
  <c r="GX549" i="1"/>
  <c r="GW549" i="1"/>
  <c r="GV549" i="1"/>
  <c r="GU549" i="1"/>
  <c r="C549" i="1"/>
  <c r="JR397" i="1"/>
  <c r="JQ397" i="1"/>
  <c r="JP397" i="1"/>
  <c r="IE397" i="1"/>
  <c r="ID397" i="1"/>
  <c r="HF397" i="1"/>
  <c r="HE397" i="1"/>
  <c r="HD397" i="1"/>
  <c r="HC397" i="1"/>
  <c r="HB397" i="1"/>
  <c r="HA397" i="1"/>
  <c r="GZ397" i="1"/>
  <c r="GY397" i="1"/>
  <c r="GX397" i="1"/>
  <c r="GV397" i="1"/>
  <c r="GU397" i="1"/>
  <c r="C397" i="1"/>
  <c r="JR238" i="1"/>
  <c r="JQ238" i="1"/>
  <c r="JP238" i="1"/>
  <c r="JO238" i="1"/>
  <c r="JN238" i="1"/>
  <c r="JN236" i="1"/>
  <c r="JM238" i="1"/>
  <c r="JL238" i="1"/>
  <c r="JK238" i="1"/>
  <c r="JJ238" i="1"/>
  <c r="JI238" i="1"/>
  <c r="JH238" i="1"/>
  <c r="JG238" i="1"/>
  <c r="JF238" i="1"/>
  <c r="JF236" i="1"/>
  <c r="JE238" i="1"/>
  <c r="JD238" i="1"/>
  <c r="JC238" i="1"/>
  <c r="JB238" i="1"/>
  <c r="JA238" i="1"/>
  <c r="IZ238" i="1"/>
  <c r="IY238" i="1"/>
  <c r="IX238" i="1"/>
  <c r="IX236" i="1"/>
  <c r="IW238" i="1"/>
  <c r="IV238" i="1"/>
  <c r="IU238" i="1"/>
  <c r="IR238" i="1"/>
  <c r="IP238" i="1"/>
  <c r="IO238" i="1"/>
  <c r="IM238" i="1"/>
  <c r="IL238" i="1"/>
  <c r="IK238" i="1"/>
  <c r="IJ238" i="1"/>
  <c r="II238" i="1"/>
  <c r="IE238" i="1"/>
  <c r="ID238" i="1"/>
  <c r="IC238" i="1"/>
  <c r="IB238" i="1"/>
  <c r="IA238" i="1"/>
  <c r="IA236" i="1"/>
  <c r="HZ238" i="1"/>
  <c r="HY238" i="1"/>
  <c r="HX238" i="1"/>
  <c r="HW238" i="1"/>
  <c r="HV238" i="1"/>
  <c r="HF238" i="1"/>
  <c r="HE238" i="1"/>
  <c r="HD238" i="1"/>
  <c r="HD236" i="1"/>
  <c r="HC238" i="1"/>
  <c r="HB238" i="1"/>
  <c r="HA238" i="1"/>
  <c r="GZ238" i="1"/>
  <c r="GZ236" i="1"/>
  <c r="GY238" i="1"/>
  <c r="GX238" i="1"/>
  <c r="GW238" i="1"/>
  <c r="GV238" i="1"/>
  <c r="GU238" i="1"/>
  <c r="JR563" i="1"/>
  <c r="JQ563" i="1"/>
  <c r="JP563" i="1"/>
  <c r="IE563" i="1"/>
  <c r="ID563" i="1"/>
  <c r="HF563" i="1"/>
  <c r="HE563" i="1"/>
  <c r="HE541" i="1"/>
  <c r="HD563" i="1"/>
  <c r="HC563" i="1"/>
  <c r="HB563" i="1"/>
  <c r="HA563" i="1"/>
  <c r="HA541" i="1"/>
  <c r="GZ563" i="1"/>
  <c r="GY563" i="1"/>
  <c r="GX563" i="1"/>
  <c r="GW563" i="1"/>
  <c r="GW541" i="1"/>
  <c r="GV563" i="1"/>
  <c r="GU563" i="1"/>
  <c r="C354" i="1"/>
  <c r="Z23" i="12"/>
  <c r="M52" i="12"/>
  <c r="M51" i="12"/>
  <c r="M50" i="12"/>
  <c r="F21" i="37"/>
  <c r="F20" i="37"/>
  <c r="F19" i="37"/>
  <c r="F18" i="37"/>
  <c r="F17" i="37"/>
  <c r="F16" i="37"/>
  <c r="F15" i="37"/>
  <c r="F14" i="37"/>
  <c r="F12" i="37"/>
  <c r="F11" i="37"/>
  <c r="E13" i="34"/>
  <c r="G13" i="34"/>
  <c r="E9" i="34"/>
  <c r="G9" i="34"/>
  <c r="F12" i="36"/>
  <c r="F7" i="36"/>
  <c r="F6" i="36"/>
  <c r="F5" i="36"/>
  <c r="F21" i="13"/>
  <c r="F20" i="13"/>
  <c r="F19" i="13"/>
  <c r="H18" i="13"/>
  <c r="F18" i="13"/>
  <c r="F17" i="13"/>
  <c r="F16" i="13"/>
  <c r="F15" i="13"/>
  <c r="F14" i="13"/>
  <c r="F12" i="13"/>
  <c r="F11" i="13"/>
  <c r="F10" i="13"/>
  <c r="F12" i="34"/>
  <c r="F7" i="34"/>
  <c r="F6" i="34"/>
  <c r="F5" i="34"/>
  <c r="F21" i="14"/>
  <c r="F20" i="14"/>
  <c r="F19" i="14"/>
  <c r="F18" i="14"/>
  <c r="F17" i="14"/>
  <c r="F16" i="14"/>
  <c r="F15" i="14"/>
  <c r="F14" i="14"/>
  <c r="F12" i="14"/>
  <c r="F11" i="14"/>
  <c r="JR237" i="1"/>
  <c r="JQ237" i="1"/>
  <c r="JP237" i="1"/>
  <c r="JO237" i="1"/>
  <c r="JN237" i="1"/>
  <c r="JM237" i="1"/>
  <c r="JM236" i="1"/>
  <c r="JL237" i="1"/>
  <c r="JK237" i="1"/>
  <c r="JJ237" i="1"/>
  <c r="JI237" i="1"/>
  <c r="JI236" i="1"/>
  <c r="JH237" i="1"/>
  <c r="JG237" i="1"/>
  <c r="JF237" i="1"/>
  <c r="JE237" i="1"/>
  <c r="JE236" i="1"/>
  <c r="JD237" i="1"/>
  <c r="JC237" i="1"/>
  <c r="JB237" i="1"/>
  <c r="JA237" i="1"/>
  <c r="IZ237" i="1"/>
  <c r="IY237" i="1"/>
  <c r="IX237" i="1"/>
  <c r="IW237" i="1"/>
  <c r="IW236" i="1"/>
  <c r="IV237" i="1"/>
  <c r="IU237" i="1"/>
  <c r="IS237" i="1"/>
  <c r="IR237" i="1"/>
  <c r="IR236" i="1"/>
  <c r="IP237" i="1"/>
  <c r="IO237" i="1"/>
  <c r="IN237" i="1"/>
  <c r="IM237" i="1"/>
  <c r="IM236" i="1"/>
  <c r="IL237" i="1"/>
  <c r="IK237" i="1"/>
  <c r="IJ237" i="1"/>
  <c r="II237" i="1"/>
  <c r="II236" i="1"/>
  <c r="IE237" i="1"/>
  <c r="ID237" i="1"/>
  <c r="IC237" i="1"/>
  <c r="IB237" i="1"/>
  <c r="IB236" i="1"/>
  <c r="IA237" i="1"/>
  <c r="HZ237" i="1"/>
  <c r="HY237" i="1"/>
  <c r="HX237" i="1"/>
  <c r="HW237" i="1"/>
  <c r="HV237" i="1"/>
  <c r="HF237" i="1"/>
  <c r="HE237" i="1"/>
  <c r="HE236" i="1"/>
  <c r="HD237" i="1"/>
  <c r="HC237" i="1"/>
  <c r="HB237" i="1"/>
  <c r="HA237" i="1"/>
  <c r="HA236" i="1"/>
  <c r="GZ237" i="1"/>
  <c r="GY237" i="1"/>
  <c r="GX237" i="1"/>
  <c r="GX236" i="1"/>
  <c r="GW237" i="1"/>
  <c r="GV237" i="1"/>
  <c r="GU237" i="1"/>
  <c r="C563" i="1"/>
  <c r="JY276" i="1"/>
  <c r="JY275" i="1"/>
  <c r="JX276" i="1"/>
  <c r="JX275" i="1"/>
  <c r="JR275" i="1"/>
  <c r="JQ275" i="1"/>
  <c r="JP275" i="1"/>
  <c r="JQ101" i="1"/>
  <c r="JP101" i="1"/>
  <c r="JO101" i="1"/>
  <c r="JN101" i="1"/>
  <c r="JM101" i="1"/>
  <c r="JK101" i="1"/>
  <c r="JJ101" i="1"/>
  <c r="JI101" i="1"/>
  <c r="JH101" i="1"/>
  <c r="JG101" i="1"/>
  <c r="JE101" i="1"/>
  <c r="JD101" i="1"/>
  <c r="JC101" i="1"/>
  <c r="JB101" i="1"/>
  <c r="JA101" i="1"/>
  <c r="IZ101" i="1"/>
  <c r="IY101" i="1"/>
  <c r="IX101" i="1"/>
  <c r="IR101" i="1"/>
  <c r="IO101" i="1"/>
  <c r="IN101" i="1"/>
  <c r="IM101" i="1"/>
  <c r="IL101" i="1"/>
  <c r="IJ101" i="1"/>
  <c r="II101" i="1"/>
  <c r="II94" i="1"/>
  <c r="IE101" i="1"/>
  <c r="ID101" i="1"/>
  <c r="IC101" i="1"/>
  <c r="IB101" i="1"/>
  <c r="IA101" i="1"/>
  <c r="HZ101" i="1"/>
  <c r="HY101" i="1"/>
  <c r="HX101" i="1"/>
  <c r="HW101" i="1"/>
  <c r="HV101" i="1"/>
  <c r="HF101" i="1"/>
  <c r="HE101" i="1"/>
  <c r="HD101" i="1"/>
  <c r="HD94" i="1"/>
  <c r="HC101" i="1"/>
  <c r="HB101" i="1"/>
  <c r="HA101" i="1"/>
  <c r="GZ101" i="1"/>
  <c r="GY101" i="1"/>
  <c r="GX101" i="1"/>
  <c r="GW101" i="1"/>
  <c r="GV101" i="1"/>
  <c r="GU101" i="1"/>
  <c r="D31" i="33"/>
  <c r="D30" i="33"/>
  <c r="D29" i="33"/>
  <c r="D28" i="33"/>
  <c r="D22" i="33"/>
  <c r="D21" i="33"/>
  <c r="D13" i="33"/>
  <c r="D12" i="33"/>
  <c r="D22" i="31"/>
  <c r="B30" i="32"/>
  <c r="B29" i="32"/>
  <c r="B28" i="32"/>
  <c r="B26" i="32"/>
  <c r="B25" i="32"/>
  <c r="B23" i="32"/>
  <c r="B22" i="32"/>
  <c r="B20" i="32"/>
  <c r="B19" i="32"/>
  <c r="B18" i="32"/>
  <c r="B16" i="32"/>
  <c r="B15" i="32"/>
  <c r="KF23" i="1"/>
  <c r="KF63" i="1"/>
  <c r="KF38" i="1"/>
  <c r="KF37" i="1"/>
  <c r="KF35" i="1"/>
  <c r="KF15" i="1"/>
  <c r="KF56" i="1"/>
  <c r="KF14" i="1"/>
  <c r="KF55" i="1"/>
  <c r="F25" i="12"/>
  <c r="T23" i="12"/>
  <c r="D46" i="12"/>
  <c r="C17" i="12"/>
  <c r="C15" i="12"/>
  <c r="JR185" i="1"/>
  <c r="JR184" i="1"/>
  <c r="JQ185" i="1"/>
  <c r="JQ184" i="1"/>
  <c r="JP185" i="1"/>
  <c r="JP184" i="1"/>
  <c r="JO185" i="1"/>
  <c r="JO184" i="1"/>
  <c r="JN185" i="1"/>
  <c r="JN184" i="1"/>
  <c r="JM185" i="1"/>
  <c r="JM184" i="1"/>
  <c r="JL185" i="1"/>
  <c r="JL184" i="1"/>
  <c r="JK185" i="1"/>
  <c r="JK184" i="1"/>
  <c r="JJ185" i="1"/>
  <c r="JJ184" i="1"/>
  <c r="JI185" i="1"/>
  <c r="JI184" i="1"/>
  <c r="JH185" i="1"/>
  <c r="JH184" i="1"/>
  <c r="JG185" i="1"/>
  <c r="JG184" i="1"/>
  <c r="JF185" i="1"/>
  <c r="JF184" i="1"/>
  <c r="JE185" i="1"/>
  <c r="JE184" i="1"/>
  <c r="JD185" i="1"/>
  <c r="JD184" i="1"/>
  <c r="JC185" i="1"/>
  <c r="JC184" i="1"/>
  <c r="JB185" i="1"/>
  <c r="JB184" i="1"/>
  <c r="JA185" i="1"/>
  <c r="JA184" i="1"/>
  <c r="IZ185" i="1"/>
  <c r="IZ184" i="1"/>
  <c r="IY185" i="1"/>
  <c r="IY184" i="1"/>
  <c r="IX185" i="1"/>
  <c r="IX184" i="1"/>
  <c r="IW185" i="1"/>
  <c r="IW184" i="1"/>
  <c r="IV185" i="1"/>
  <c r="IV184" i="1"/>
  <c r="IU185" i="1"/>
  <c r="IU184" i="1"/>
  <c r="IS185" i="1"/>
  <c r="IS184" i="1"/>
  <c r="IR185" i="1"/>
  <c r="IR184" i="1"/>
  <c r="IP185" i="1"/>
  <c r="IP184" i="1"/>
  <c r="IO185" i="1"/>
  <c r="IO184" i="1"/>
  <c r="IM185" i="1"/>
  <c r="IM184" i="1"/>
  <c r="IL185" i="1"/>
  <c r="IL184" i="1"/>
  <c r="IK185" i="1"/>
  <c r="IK184" i="1"/>
  <c r="IJ185" i="1"/>
  <c r="IJ184" i="1"/>
  <c r="II185" i="1"/>
  <c r="II184" i="1"/>
  <c r="IE185" i="1"/>
  <c r="IE184" i="1"/>
  <c r="ID185" i="1"/>
  <c r="ID184" i="1"/>
  <c r="IC185" i="1"/>
  <c r="IC184" i="1"/>
  <c r="IB185" i="1"/>
  <c r="IB184" i="1"/>
  <c r="IA185" i="1"/>
  <c r="IA184" i="1"/>
  <c r="HZ185" i="1"/>
  <c r="HZ184" i="1"/>
  <c r="HY185" i="1"/>
  <c r="HY184" i="1"/>
  <c r="HX185" i="1"/>
  <c r="HX184" i="1"/>
  <c r="HW185" i="1"/>
  <c r="HW184" i="1"/>
  <c r="HV185" i="1"/>
  <c r="HV184" i="1"/>
  <c r="HF185" i="1"/>
  <c r="HF184" i="1"/>
  <c r="HE185" i="1"/>
  <c r="HE184" i="1"/>
  <c r="HC185" i="1"/>
  <c r="HC184" i="1"/>
  <c r="HB185" i="1"/>
  <c r="HB184" i="1"/>
  <c r="GZ185" i="1"/>
  <c r="GZ184" i="1"/>
  <c r="GY185" i="1"/>
  <c r="GY184" i="1"/>
  <c r="GW185" i="1"/>
  <c r="GW184" i="1"/>
  <c r="GV185" i="1"/>
  <c r="GV184" i="1"/>
  <c r="JR177" i="1"/>
  <c r="JQ177" i="1"/>
  <c r="JP177" i="1"/>
  <c r="JO177" i="1"/>
  <c r="JN177" i="1"/>
  <c r="JM177" i="1"/>
  <c r="JL177" i="1"/>
  <c r="JK177" i="1"/>
  <c r="JJ177" i="1"/>
  <c r="JI177" i="1"/>
  <c r="JH177" i="1"/>
  <c r="JH174" i="1"/>
  <c r="JG177" i="1"/>
  <c r="JF177" i="1"/>
  <c r="JF174" i="1"/>
  <c r="JE177" i="1"/>
  <c r="JD177" i="1"/>
  <c r="JC177" i="1"/>
  <c r="JB177" i="1"/>
  <c r="JA177" i="1"/>
  <c r="JA174" i="1"/>
  <c r="IZ177" i="1"/>
  <c r="IY177" i="1"/>
  <c r="IX177" i="1"/>
  <c r="IW177" i="1"/>
  <c r="IV177" i="1"/>
  <c r="IU177" i="1"/>
  <c r="IR177" i="1"/>
  <c r="IO177" i="1"/>
  <c r="IO174" i="1"/>
  <c r="IM177" i="1"/>
  <c r="IM174" i="1"/>
  <c r="IL177" i="1"/>
  <c r="IK177" i="1"/>
  <c r="IK174" i="1"/>
  <c r="IJ177" i="1"/>
  <c r="II177" i="1"/>
  <c r="IE177" i="1"/>
  <c r="ID177" i="1"/>
  <c r="IC177" i="1"/>
  <c r="IB177" i="1"/>
  <c r="IA177" i="1"/>
  <c r="HZ177" i="1"/>
  <c r="HY177" i="1"/>
  <c r="HX177" i="1"/>
  <c r="HW177" i="1"/>
  <c r="HV177" i="1"/>
  <c r="HF177" i="1"/>
  <c r="HE177" i="1"/>
  <c r="HD177" i="1"/>
  <c r="HC177" i="1"/>
  <c r="HB177" i="1"/>
  <c r="HA177" i="1"/>
  <c r="GZ177" i="1"/>
  <c r="GY177" i="1"/>
  <c r="GX177" i="1"/>
  <c r="GW177" i="1"/>
  <c r="GV177" i="1"/>
  <c r="GU177" i="1"/>
  <c r="JR34" i="1"/>
  <c r="JQ34" i="1"/>
  <c r="JP34" i="1"/>
  <c r="JN34" i="1"/>
  <c r="JM34" i="1"/>
  <c r="JK34" i="1"/>
  <c r="JJ34" i="1"/>
  <c r="JH34" i="1"/>
  <c r="JG34" i="1"/>
  <c r="JF34" i="1"/>
  <c r="JE34" i="1"/>
  <c r="JD34" i="1"/>
  <c r="JB34" i="1"/>
  <c r="JA34" i="1"/>
  <c r="IY34" i="1"/>
  <c r="IX34" i="1"/>
  <c r="IV34" i="1"/>
  <c r="IU34" i="1"/>
  <c r="IR34" i="1"/>
  <c r="IO34" i="1"/>
  <c r="IL34" i="1"/>
  <c r="II34" i="1"/>
  <c r="IE34" i="1"/>
  <c r="ID34" i="1"/>
  <c r="IC34" i="1"/>
  <c r="IB34" i="1"/>
  <c r="IA34" i="1"/>
  <c r="HZ34" i="1"/>
  <c r="HY34" i="1"/>
  <c r="HX34" i="1"/>
  <c r="HW34" i="1"/>
  <c r="HV34" i="1"/>
  <c r="HF34" i="1"/>
  <c r="HE34" i="1"/>
  <c r="HD34" i="1"/>
  <c r="HC34" i="1"/>
  <c r="HB34" i="1"/>
  <c r="HA34" i="1"/>
  <c r="GZ34" i="1"/>
  <c r="GY34" i="1"/>
  <c r="GX34" i="1"/>
  <c r="GW34" i="1"/>
  <c r="GV34" i="1"/>
  <c r="GU34" i="1"/>
  <c r="JR33" i="1"/>
  <c r="JQ33" i="1"/>
  <c r="JP33" i="1"/>
  <c r="JN33" i="1"/>
  <c r="JM33" i="1"/>
  <c r="JL33" i="1"/>
  <c r="JK33" i="1"/>
  <c r="JJ33" i="1"/>
  <c r="JI33" i="1"/>
  <c r="JH33" i="1"/>
  <c r="JG33" i="1"/>
  <c r="JF33" i="1"/>
  <c r="JE33" i="1"/>
  <c r="JD33" i="1"/>
  <c r="JC33" i="1"/>
  <c r="JB33" i="1"/>
  <c r="JA33" i="1"/>
  <c r="IY33" i="1"/>
  <c r="IX33" i="1"/>
  <c r="IW33" i="1"/>
  <c r="IV33" i="1"/>
  <c r="IU33" i="1"/>
  <c r="IR33" i="1"/>
  <c r="IO33" i="1"/>
  <c r="IL33" i="1"/>
  <c r="II33" i="1"/>
  <c r="IE33" i="1"/>
  <c r="ID33" i="1"/>
  <c r="IC33" i="1"/>
  <c r="IB33" i="1"/>
  <c r="IA33" i="1"/>
  <c r="HZ33" i="1"/>
  <c r="HY33" i="1"/>
  <c r="HX33" i="1"/>
  <c r="HW33" i="1"/>
  <c r="HV33" i="1"/>
  <c r="HF33" i="1"/>
  <c r="HE33" i="1"/>
  <c r="HD33" i="1"/>
  <c r="HC33" i="1"/>
  <c r="HB33" i="1"/>
  <c r="HA33" i="1"/>
  <c r="GZ33" i="1"/>
  <c r="GY33" i="1"/>
  <c r="GX33" i="1"/>
  <c r="GW33" i="1"/>
  <c r="GV33" i="1"/>
  <c r="GU33" i="1"/>
  <c r="JR32" i="1"/>
  <c r="JQ32" i="1"/>
  <c r="JP32" i="1"/>
  <c r="JN32" i="1"/>
  <c r="JM32" i="1"/>
  <c r="JK32" i="1"/>
  <c r="JJ32" i="1"/>
  <c r="JH32" i="1"/>
  <c r="JG32" i="1"/>
  <c r="JE32" i="1"/>
  <c r="JD32" i="1"/>
  <c r="JC32" i="1"/>
  <c r="JB32" i="1"/>
  <c r="JA32" i="1"/>
  <c r="IY32" i="1"/>
  <c r="IX32" i="1"/>
  <c r="IW32" i="1"/>
  <c r="IV32" i="1"/>
  <c r="IU32" i="1"/>
  <c r="IR32" i="1"/>
  <c r="IL32" i="1"/>
  <c r="II32" i="1"/>
  <c r="IE32" i="1"/>
  <c r="ID32" i="1"/>
  <c r="IC32" i="1"/>
  <c r="IB32" i="1"/>
  <c r="IA32" i="1"/>
  <c r="HZ32" i="1"/>
  <c r="HY32" i="1"/>
  <c r="HX32" i="1"/>
  <c r="HW32" i="1"/>
  <c r="HV32" i="1"/>
  <c r="HF32" i="1"/>
  <c r="HE32" i="1"/>
  <c r="HD32" i="1"/>
  <c r="HC32" i="1"/>
  <c r="HB32" i="1"/>
  <c r="HA32" i="1"/>
  <c r="GZ32" i="1"/>
  <c r="GY32" i="1"/>
  <c r="GX32" i="1"/>
  <c r="GW32" i="1"/>
  <c r="GV32" i="1"/>
  <c r="GU32" i="1"/>
  <c r="JR31" i="1"/>
  <c r="JQ31" i="1"/>
  <c r="JP31" i="1"/>
  <c r="JN31" i="1"/>
  <c r="JM31" i="1"/>
  <c r="JL31" i="1"/>
  <c r="JK31" i="1"/>
  <c r="JJ31" i="1"/>
  <c r="JI31" i="1"/>
  <c r="JH31" i="1"/>
  <c r="JG31" i="1"/>
  <c r="JF31" i="1"/>
  <c r="JE31" i="1"/>
  <c r="JD31" i="1"/>
  <c r="JC31" i="1"/>
  <c r="JB31" i="1"/>
  <c r="JA31" i="1"/>
  <c r="IZ31" i="1"/>
  <c r="IY31" i="1"/>
  <c r="IY30" i="1"/>
  <c r="IX31" i="1"/>
  <c r="IW31" i="1"/>
  <c r="IV31" i="1"/>
  <c r="IU31" i="1"/>
  <c r="IR31" i="1"/>
  <c r="IO31" i="1"/>
  <c r="IL31" i="1"/>
  <c r="II31" i="1"/>
  <c r="IE31" i="1"/>
  <c r="ID31" i="1"/>
  <c r="IC31" i="1"/>
  <c r="IB31" i="1"/>
  <c r="HZ31" i="1"/>
  <c r="HX31" i="1"/>
  <c r="HW31" i="1"/>
  <c r="HV31" i="1"/>
  <c r="HF31" i="1"/>
  <c r="HE31" i="1"/>
  <c r="HD31" i="1"/>
  <c r="HC31" i="1"/>
  <c r="HB31" i="1"/>
  <c r="HA31" i="1"/>
  <c r="GZ31" i="1"/>
  <c r="GY31" i="1"/>
  <c r="GX31" i="1"/>
  <c r="GW31" i="1"/>
  <c r="GV31" i="1"/>
  <c r="GU31" i="1"/>
  <c r="JR140" i="1"/>
  <c r="JQ140" i="1"/>
  <c r="JP140" i="1"/>
  <c r="JO140" i="1"/>
  <c r="JN140" i="1"/>
  <c r="JM140" i="1"/>
  <c r="JL140" i="1"/>
  <c r="JK140" i="1"/>
  <c r="JJ140" i="1"/>
  <c r="JI140" i="1"/>
  <c r="JH140" i="1"/>
  <c r="JG140" i="1"/>
  <c r="JF140" i="1"/>
  <c r="JE140" i="1"/>
  <c r="JD140" i="1"/>
  <c r="JC140" i="1"/>
  <c r="JB140" i="1"/>
  <c r="JA140" i="1"/>
  <c r="IZ140" i="1"/>
  <c r="IY140" i="1"/>
  <c r="IX140" i="1"/>
  <c r="IW140" i="1"/>
  <c r="IV140" i="1"/>
  <c r="IU140" i="1"/>
  <c r="IR140" i="1"/>
  <c r="IP140" i="1"/>
  <c r="IO140" i="1"/>
  <c r="IN140" i="1"/>
  <c r="IM140" i="1"/>
  <c r="IL140" i="1"/>
  <c r="IK140" i="1"/>
  <c r="IJ140" i="1"/>
  <c r="II140" i="1"/>
  <c r="IE140" i="1"/>
  <c r="ID140" i="1"/>
  <c r="IC140" i="1"/>
  <c r="IB140" i="1"/>
  <c r="IA140" i="1"/>
  <c r="HZ140" i="1"/>
  <c r="HY140" i="1"/>
  <c r="HX140" i="1"/>
  <c r="HW140" i="1"/>
  <c r="HV140" i="1"/>
  <c r="HF140" i="1"/>
  <c r="HE140" i="1"/>
  <c r="HD140" i="1"/>
  <c r="HC140" i="1"/>
  <c r="HB140" i="1"/>
  <c r="HA140" i="1"/>
  <c r="GZ140" i="1"/>
  <c r="GY140" i="1"/>
  <c r="GX140" i="1"/>
  <c r="GW140" i="1"/>
  <c r="GV140" i="1"/>
  <c r="GU140" i="1"/>
  <c r="JQ472" i="1"/>
  <c r="JP472" i="1"/>
  <c r="IE472" i="1"/>
  <c r="ID472" i="1"/>
  <c r="HF472" i="1"/>
  <c r="HE472" i="1"/>
  <c r="HD472" i="1"/>
  <c r="HC472" i="1"/>
  <c r="HB472" i="1"/>
  <c r="HA472" i="1"/>
  <c r="GZ472" i="1"/>
  <c r="GY472" i="1"/>
  <c r="GX472" i="1"/>
  <c r="GV472" i="1"/>
  <c r="GU472" i="1"/>
  <c r="C472" i="1"/>
  <c r="JY616" i="1"/>
  <c r="JY613" i="1"/>
  <c r="JX613" i="1"/>
  <c r="JY435" i="1"/>
  <c r="JY102" i="1"/>
  <c r="JX435" i="1"/>
  <c r="KB435" i="1"/>
  <c r="JY434" i="1"/>
  <c r="JX434" i="1"/>
  <c r="KB434" i="1"/>
  <c r="KC434" i="1"/>
  <c r="JY433" i="1"/>
  <c r="JY100" i="1"/>
  <c r="JX433" i="1"/>
  <c r="KB433" i="1"/>
  <c r="JY432" i="1"/>
  <c r="JY99" i="1"/>
  <c r="JX432" i="1"/>
  <c r="JX99" i="1"/>
  <c r="JY431" i="1"/>
  <c r="JY98" i="1"/>
  <c r="JX431" i="1"/>
  <c r="JX98" i="1"/>
  <c r="JY430" i="1"/>
  <c r="JY97" i="1"/>
  <c r="JX430" i="1"/>
  <c r="JY429" i="1"/>
  <c r="JY96" i="1"/>
  <c r="JX429" i="1"/>
  <c r="JX96" i="1"/>
  <c r="JY428" i="1"/>
  <c r="JY95" i="1"/>
  <c r="JX428" i="1"/>
  <c r="KB428" i="1"/>
  <c r="KC428" i="1"/>
  <c r="JR213" i="1"/>
  <c r="JQ213" i="1"/>
  <c r="JQ212" i="1"/>
  <c r="JP213" i="1"/>
  <c r="JO213" i="1"/>
  <c r="JN213" i="1"/>
  <c r="JN212" i="1"/>
  <c r="JM213" i="1"/>
  <c r="JL213" i="1"/>
  <c r="JK213" i="1"/>
  <c r="JJ213" i="1"/>
  <c r="JI213" i="1"/>
  <c r="JH213" i="1"/>
  <c r="JG213" i="1"/>
  <c r="JG212" i="1"/>
  <c r="JF213" i="1"/>
  <c r="JF212" i="1"/>
  <c r="JE213" i="1"/>
  <c r="JE212" i="1"/>
  <c r="JD213" i="1"/>
  <c r="JD212" i="1"/>
  <c r="JC213" i="1"/>
  <c r="JB213" i="1"/>
  <c r="JB212" i="1"/>
  <c r="JA213" i="1"/>
  <c r="JA212" i="1"/>
  <c r="IZ213" i="1"/>
  <c r="IY213" i="1"/>
  <c r="IX213" i="1"/>
  <c r="IX212" i="1"/>
  <c r="IW213" i="1"/>
  <c r="IW212" i="1"/>
  <c r="IV213" i="1"/>
  <c r="IU213" i="1"/>
  <c r="IR213" i="1"/>
  <c r="IO213" i="1"/>
  <c r="IL213" i="1"/>
  <c r="IK213" i="1"/>
  <c r="IJ213" i="1"/>
  <c r="IE213" i="1"/>
  <c r="ID213" i="1"/>
  <c r="IC213" i="1"/>
  <c r="IB213" i="1"/>
  <c r="IA213" i="1"/>
  <c r="HZ213" i="1"/>
  <c r="HY213" i="1"/>
  <c r="HX213" i="1"/>
  <c r="HW213" i="1"/>
  <c r="HV213" i="1"/>
  <c r="HF213" i="1"/>
  <c r="HE213" i="1"/>
  <c r="HC213" i="1"/>
  <c r="HB213" i="1"/>
  <c r="GZ213" i="1"/>
  <c r="GY213" i="1"/>
  <c r="GX213" i="1"/>
  <c r="GW213" i="1"/>
  <c r="GV213" i="1"/>
  <c r="GU213" i="1"/>
  <c r="JR361" i="1"/>
  <c r="JQ361" i="1"/>
  <c r="JP361" i="1"/>
  <c r="IE361" i="1"/>
  <c r="ID361" i="1"/>
  <c r="HF361" i="1"/>
  <c r="HE361" i="1"/>
  <c r="HD361" i="1"/>
  <c r="HC361" i="1"/>
  <c r="HB361" i="1"/>
  <c r="HA361" i="1"/>
  <c r="GZ361" i="1"/>
  <c r="GY361" i="1"/>
  <c r="GX361" i="1"/>
  <c r="GW361" i="1"/>
  <c r="GV361" i="1"/>
  <c r="GU361" i="1"/>
  <c r="C361" i="1"/>
  <c r="JR354" i="1"/>
  <c r="JQ354" i="1"/>
  <c r="JP354" i="1"/>
  <c r="IE354" i="1"/>
  <c r="ID354" i="1"/>
  <c r="HF354" i="1"/>
  <c r="HE354" i="1"/>
  <c r="HD354" i="1"/>
  <c r="HC354" i="1"/>
  <c r="HA354" i="1"/>
  <c r="GZ354" i="1"/>
  <c r="GY354" i="1"/>
  <c r="GX354" i="1"/>
  <c r="GW354" i="1"/>
  <c r="GV354" i="1"/>
  <c r="GU354" i="1"/>
  <c r="JR191" i="1"/>
  <c r="JQ191" i="1"/>
  <c r="JP191" i="1"/>
  <c r="JO191" i="1"/>
  <c r="JN191" i="1"/>
  <c r="JM191" i="1"/>
  <c r="JL191" i="1"/>
  <c r="JK191" i="1"/>
  <c r="JJ191" i="1"/>
  <c r="JI191" i="1"/>
  <c r="JH191" i="1"/>
  <c r="JG191" i="1"/>
  <c r="JE191" i="1"/>
  <c r="JD191" i="1"/>
  <c r="JB191" i="1"/>
  <c r="JA191" i="1"/>
  <c r="IY191" i="1"/>
  <c r="IX191" i="1"/>
  <c r="IW191" i="1"/>
  <c r="IV191" i="1"/>
  <c r="IU191" i="1"/>
  <c r="IR191" i="1"/>
  <c r="IO191" i="1"/>
  <c r="IM191" i="1"/>
  <c r="IL191" i="1"/>
  <c r="IK191" i="1"/>
  <c r="IJ191" i="1"/>
  <c r="II191" i="1"/>
  <c r="IE191" i="1"/>
  <c r="ID191" i="1"/>
  <c r="IC191" i="1"/>
  <c r="IB191" i="1"/>
  <c r="IA191" i="1"/>
  <c r="HZ191" i="1"/>
  <c r="HY191" i="1"/>
  <c r="HX191" i="1"/>
  <c r="HW191" i="1"/>
  <c r="HV191" i="1"/>
  <c r="HF191" i="1"/>
  <c r="HE191" i="1"/>
  <c r="HD191" i="1"/>
  <c r="HC191" i="1"/>
  <c r="HB191" i="1"/>
  <c r="HA191" i="1"/>
  <c r="GZ191" i="1"/>
  <c r="GY191" i="1"/>
  <c r="GX191" i="1"/>
  <c r="GW191" i="1"/>
  <c r="GV191" i="1"/>
  <c r="GU191" i="1"/>
  <c r="JR182" i="1"/>
  <c r="JQ182" i="1"/>
  <c r="JP182" i="1"/>
  <c r="JO182" i="1"/>
  <c r="JN182" i="1"/>
  <c r="JL182" i="1"/>
  <c r="JK182" i="1"/>
  <c r="JJ182" i="1"/>
  <c r="JH182" i="1"/>
  <c r="JG182" i="1"/>
  <c r="JE182" i="1"/>
  <c r="JD182" i="1"/>
  <c r="JB182" i="1"/>
  <c r="JA182" i="1"/>
  <c r="IY182" i="1"/>
  <c r="IX182" i="1"/>
  <c r="IW182" i="1"/>
  <c r="IV182" i="1"/>
  <c r="IU182" i="1"/>
  <c r="IR182" i="1"/>
  <c r="IO182" i="1"/>
  <c r="IN182" i="1"/>
  <c r="IM182" i="1"/>
  <c r="IL182" i="1"/>
  <c r="IK182" i="1"/>
  <c r="IJ182" i="1"/>
  <c r="II182" i="1"/>
  <c r="IE182" i="1"/>
  <c r="ID182" i="1"/>
  <c r="IC182" i="1"/>
  <c r="IB182" i="1"/>
  <c r="IA182" i="1"/>
  <c r="HZ182" i="1"/>
  <c r="HY182" i="1"/>
  <c r="HX182" i="1"/>
  <c r="HW182" i="1"/>
  <c r="HV182" i="1"/>
  <c r="HF182" i="1"/>
  <c r="HE182" i="1"/>
  <c r="HD182" i="1"/>
  <c r="HC182" i="1"/>
  <c r="HB182" i="1"/>
  <c r="HA182" i="1"/>
  <c r="GZ182" i="1"/>
  <c r="GY182" i="1"/>
  <c r="GX182" i="1"/>
  <c r="GW182" i="1"/>
  <c r="GU182" i="1"/>
  <c r="JR180" i="1"/>
  <c r="JR179" i="1"/>
  <c r="JQ180" i="1"/>
  <c r="JQ179" i="1"/>
  <c r="JP180" i="1"/>
  <c r="JP179" i="1"/>
  <c r="JO180" i="1"/>
  <c r="JO179" i="1"/>
  <c r="JN180" i="1"/>
  <c r="JN179" i="1"/>
  <c r="JM180" i="1"/>
  <c r="JM179" i="1"/>
  <c r="JL180" i="1"/>
  <c r="JL179" i="1"/>
  <c r="JK180" i="1"/>
  <c r="JK179" i="1"/>
  <c r="JJ180" i="1"/>
  <c r="JJ179" i="1"/>
  <c r="JI180" i="1"/>
  <c r="JI179" i="1"/>
  <c r="JH180" i="1"/>
  <c r="JH179" i="1"/>
  <c r="JG180" i="1"/>
  <c r="JG179" i="1"/>
  <c r="JF180" i="1"/>
  <c r="JF179" i="1"/>
  <c r="JE180" i="1"/>
  <c r="JE179" i="1"/>
  <c r="JD180" i="1"/>
  <c r="JD179" i="1"/>
  <c r="JC180" i="1"/>
  <c r="JC179" i="1"/>
  <c r="JB180" i="1"/>
  <c r="JB179" i="1"/>
  <c r="JA180" i="1"/>
  <c r="JA179" i="1"/>
  <c r="JA172" i="1"/>
  <c r="IZ180" i="1"/>
  <c r="IZ179" i="1"/>
  <c r="IY180" i="1"/>
  <c r="IY179" i="1"/>
  <c r="IX180" i="1"/>
  <c r="IX179" i="1"/>
  <c r="IW180" i="1"/>
  <c r="IW179" i="1"/>
  <c r="IV180" i="1"/>
  <c r="IV179" i="1"/>
  <c r="IU180" i="1"/>
  <c r="IU179" i="1"/>
  <c r="IR180" i="1"/>
  <c r="IR179" i="1"/>
  <c r="IP180" i="1"/>
  <c r="IP179" i="1"/>
  <c r="IO180" i="1"/>
  <c r="IO179" i="1"/>
  <c r="IM180" i="1"/>
  <c r="IM179" i="1"/>
  <c r="IL180" i="1"/>
  <c r="IL179" i="1"/>
  <c r="IK180" i="1"/>
  <c r="IK179" i="1"/>
  <c r="IJ180" i="1"/>
  <c r="IJ179" i="1"/>
  <c r="II180" i="1"/>
  <c r="II179" i="1"/>
  <c r="IE180" i="1"/>
  <c r="IE179" i="1"/>
  <c r="ID180" i="1"/>
  <c r="ID179" i="1"/>
  <c r="IC180" i="1"/>
  <c r="IC179" i="1"/>
  <c r="IB180" i="1"/>
  <c r="IB179" i="1"/>
  <c r="IA180" i="1"/>
  <c r="IA179" i="1"/>
  <c r="HZ180" i="1"/>
  <c r="HZ179" i="1"/>
  <c r="HY180" i="1"/>
  <c r="HY179" i="1"/>
  <c r="HX180" i="1"/>
  <c r="HX179" i="1"/>
  <c r="HW180" i="1"/>
  <c r="HW179" i="1"/>
  <c r="HV180" i="1"/>
  <c r="HV179" i="1"/>
  <c r="HF180" i="1"/>
  <c r="HF179" i="1"/>
  <c r="HE180" i="1"/>
  <c r="HE179" i="1"/>
  <c r="HD180" i="1"/>
  <c r="HD179" i="1"/>
  <c r="HC180" i="1"/>
  <c r="HC179" i="1"/>
  <c r="HB180" i="1"/>
  <c r="HB179" i="1"/>
  <c r="HA180" i="1"/>
  <c r="HA179" i="1"/>
  <c r="GZ180" i="1"/>
  <c r="GZ179" i="1"/>
  <c r="GY180" i="1"/>
  <c r="GY179" i="1"/>
  <c r="GX180" i="1"/>
  <c r="GX179" i="1"/>
  <c r="GW180" i="1"/>
  <c r="GW179" i="1"/>
  <c r="GV180" i="1"/>
  <c r="GV179" i="1"/>
  <c r="GU180" i="1"/>
  <c r="GU179" i="1"/>
  <c r="JR329" i="1"/>
  <c r="JQ329" i="1"/>
  <c r="JP329" i="1"/>
  <c r="IE329" i="1"/>
  <c r="ID329" i="1"/>
  <c r="HF329" i="1"/>
  <c r="HE329" i="1"/>
  <c r="HD329" i="1"/>
  <c r="HC329" i="1"/>
  <c r="HB329" i="1"/>
  <c r="HA329" i="1"/>
  <c r="GZ329" i="1"/>
  <c r="GY329" i="1"/>
  <c r="GX329" i="1"/>
  <c r="GW329" i="1"/>
  <c r="GV329" i="1"/>
  <c r="GU329" i="1"/>
  <c r="C329" i="1"/>
  <c r="KF30" i="1"/>
  <c r="JQ58" i="1"/>
  <c r="JP58" i="1"/>
  <c r="JO58" i="1"/>
  <c r="JN58" i="1"/>
  <c r="JM58" i="1"/>
  <c r="JK58" i="1"/>
  <c r="JJ58" i="1"/>
  <c r="JI58" i="1"/>
  <c r="JH58" i="1"/>
  <c r="JG58" i="1"/>
  <c r="JF58" i="1"/>
  <c r="JE58" i="1"/>
  <c r="JD58" i="1"/>
  <c r="JC58" i="1"/>
  <c r="JB58" i="1"/>
  <c r="JA58" i="1"/>
  <c r="IY58" i="1"/>
  <c r="IX58" i="1"/>
  <c r="IW58" i="1"/>
  <c r="IV58" i="1"/>
  <c r="IU58" i="1"/>
  <c r="IR58" i="1"/>
  <c r="IQ58" i="1"/>
  <c r="IP58" i="1"/>
  <c r="IO58" i="1"/>
  <c r="IL58" i="1"/>
  <c r="II58" i="1"/>
  <c r="IE58" i="1"/>
  <c r="ID58" i="1"/>
  <c r="IC58" i="1"/>
  <c r="IB58" i="1"/>
  <c r="IA58" i="1"/>
  <c r="HZ58" i="1"/>
  <c r="HY58" i="1"/>
  <c r="HX58" i="1"/>
  <c r="HW58" i="1"/>
  <c r="HV58" i="1"/>
  <c r="HF58" i="1"/>
  <c r="HE58" i="1"/>
  <c r="HD58" i="1"/>
  <c r="HC58" i="1"/>
  <c r="HB58" i="1"/>
  <c r="HA58" i="1"/>
  <c r="GZ58" i="1"/>
  <c r="GY58" i="1"/>
  <c r="GX58" i="1"/>
  <c r="GW58" i="1"/>
  <c r="GV58" i="1"/>
  <c r="AF25" i="12"/>
  <c r="E26" i="12"/>
  <c r="E25" i="12"/>
  <c r="AE25" i="12"/>
  <c r="AD25" i="12"/>
  <c r="AC25" i="12"/>
  <c r="AB25" i="12"/>
  <c r="AA25" i="12"/>
  <c r="Z25" i="12"/>
  <c r="Z21" i="12"/>
  <c r="X25" i="12"/>
  <c r="W25" i="12"/>
  <c r="W21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D25" i="12"/>
  <c r="C25" i="12"/>
  <c r="JR102" i="1"/>
  <c r="JQ102" i="1"/>
  <c r="JP102" i="1"/>
  <c r="JO102" i="1"/>
  <c r="JN102" i="1"/>
  <c r="JM102" i="1"/>
  <c r="JL102" i="1"/>
  <c r="JK102" i="1"/>
  <c r="JJ102" i="1"/>
  <c r="JI102" i="1"/>
  <c r="JH102" i="1"/>
  <c r="JG102" i="1"/>
  <c r="JF102" i="1"/>
  <c r="JE102" i="1"/>
  <c r="JD102" i="1"/>
  <c r="JC102" i="1"/>
  <c r="JB102" i="1"/>
  <c r="JA102" i="1"/>
  <c r="IZ102" i="1"/>
  <c r="IY102" i="1"/>
  <c r="IX102" i="1"/>
  <c r="IW102" i="1"/>
  <c r="IV102" i="1"/>
  <c r="IU102" i="1"/>
  <c r="IR102" i="1"/>
  <c r="IQ102" i="1"/>
  <c r="IP102" i="1"/>
  <c r="IO102" i="1"/>
  <c r="IN102" i="1"/>
  <c r="IM102" i="1"/>
  <c r="IL102" i="1"/>
  <c r="IK102" i="1"/>
  <c r="IJ102" i="1"/>
  <c r="IE102" i="1"/>
  <c r="ID102" i="1"/>
  <c r="IC102" i="1"/>
  <c r="IB102" i="1"/>
  <c r="IA102" i="1"/>
  <c r="HZ102" i="1"/>
  <c r="HY102" i="1"/>
  <c r="HX102" i="1"/>
  <c r="HW102" i="1"/>
  <c r="HV102" i="1"/>
  <c r="HF102" i="1"/>
  <c r="HE102" i="1"/>
  <c r="HC102" i="1"/>
  <c r="HB102" i="1"/>
  <c r="GZ102" i="1"/>
  <c r="GY102" i="1"/>
  <c r="GX102" i="1"/>
  <c r="GW102" i="1"/>
  <c r="GV102" i="1"/>
  <c r="GU102" i="1"/>
  <c r="JR170" i="1"/>
  <c r="JQ170" i="1"/>
  <c r="JP170" i="1"/>
  <c r="JO170" i="1"/>
  <c r="JN170" i="1"/>
  <c r="JM170" i="1"/>
  <c r="JL170" i="1"/>
  <c r="JK170" i="1"/>
  <c r="JJ170" i="1"/>
  <c r="JI170" i="1"/>
  <c r="JH170" i="1"/>
  <c r="JG170" i="1"/>
  <c r="JF170" i="1"/>
  <c r="JE170" i="1"/>
  <c r="JD170" i="1"/>
  <c r="JC170" i="1"/>
  <c r="JB170" i="1"/>
  <c r="JA170" i="1"/>
  <c r="IZ170" i="1"/>
  <c r="IY170" i="1"/>
  <c r="IX170" i="1"/>
  <c r="IW170" i="1"/>
  <c r="IV170" i="1"/>
  <c r="IU170" i="1"/>
  <c r="IR170" i="1"/>
  <c r="IQ170" i="1"/>
  <c r="IP170" i="1"/>
  <c r="IO170" i="1"/>
  <c r="IN170" i="1"/>
  <c r="IM170" i="1"/>
  <c r="IL170" i="1"/>
  <c r="IK170" i="1"/>
  <c r="IJ170" i="1"/>
  <c r="II170" i="1"/>
  <c r="IE170" i="1"/>
  <c r="ID170" i="1"/>
  <c r="IC170" i="1"/>
  <c r="IB170" i="1"/>
  <c r="IA170" i="1"/>
  <c r="HZ170" i="1"/>
  <c r="HY170" i="1"/>
  <c r="HX170" i="1"/>
  <c r="HW170" i="1"/>
  <c r="HV170" i="1"/>
  <c r="HF170" i="1"/>
  <c r="HE170" i="1"/>
  <c r="HD170" i="1"/>
  <c r="HC170" i="1"/>
  <c r="HB170" i="1"/>
  <c r="HA170" i="1"/>
  <c r="GZ170" i="1"/>
  <c r="GY170" i="1"/>
  <c r="GX170" i="1"/>
  <c r="GW170" i="1"/>
  <c r="GV170" i="1"/>
  <c r="GU170" i="1"/>
  <c r="JR169" i="1"/>
  <c r="JQ169" i="1"/>
  <c r="JP169" i="1"/>
  <c r="JO169" i="1"/>
  <c r="JN169" i="1"/>
  <c r="JM169" i="1"/>
  <c r="JL169" i="1"/>
  <c r="JK169" i="1"/>
  <c r="JJ169" i="1"/>
  <c r="JI169" i="1"/>
  <c r="JH169" i="1"/>
  <c r="JG169" i="1"/>
  <c r="JF169" i="1"/>
  <c r="JE169" i="1"/>
  <c r="JD169" i="1"/>
  <c r="JC169" i="1"/>
  <c r="JB169" i="1"/>
  <c r="JA169" i="1"/>
  <c r="IZ169" i="1"/>
  <c r="IY169" i="1"/>
  <c r="IX169" i="1"/>
  <c r="IW169" i="1"/>
  <c r="IV169" i="1"/>
  <c r="IU169" i="1"/>
  <c r="IR169" i="1"/>
  <c r="IP169" i="1"/>
  <c r="IO169" i="1"/>
  <c r="IN169" i="1"/>
  <c r="IM169" i="1"/>
  <c r="IL169" i="1"/>
  <c r="IK169" i="1"/>
  <c r="IJ169" i="1"/>
  <c r="II169" i="1"/>
  <c r="IE169" i="1"/>
  <c r="ID169" i="1"/>
  <c r="IC169" i="1"/>
  <c r="IB169" i="1"/>
  <c r="IA169" i="1"/>
  <c r="HZ169" i="1"/>
  <c r="HY169" i="1"/>
  <c r="HX169" i="1"/>
  <c r="HW169" i="1"/>
  <c r="HV169" i="1"/>
  <c r="HF169" i="1"/>
  <c r="HE169" i="1"/>
  <c r="HD169" i="1"/>
  <c r="HC169" i="1"/>
  <c r="HB169" i="1"/>
  <c r="HA169" i="1"/>
  <c r="GZ169" i="1"/>
  <c r="GY169" i="1"/>
  <c r="GX169" i="1"/>
  <c r="GW169" i="1"/>
  <c r="GV169" i="1"/>
  <c r="GU169" i="1"/>
  <c r="JR168" i="1"/>
  <c r="JQ168" i="1"/>
  <c r="JP168" i="1"/>
  <c r="JO168" i="1"/>
  <c r="JN168" i="1"/>
  <c r="JM168" i="1"/>
  <c r="JL168" i="1"/>
  <c r="JK168" i="1"/>
  <c r="JJ168" i="1"/>
  <c r="JI168" i="1"/>
  <c r="JH168" i="1"/>
  <c r="JG168" i="1"/>
  <c r="JF168" i="1"/>
  <c r="JE168" i="1"/>
  <c r="JD168" i="1"/>
  <c r="JC168" i="1"/>
  <c r="JB168" i="1"/>
  <c r="JA168" i="1"/>
  <c r="IZ168" i="1"/>
  <c r="IY168" i="1"/>
  <c r="IX168" i="1"/>
  <c r="IR168" i="1"/>
  <c r="IQ168" i="1"/>
  <c r="IP168" i="1"/>
  <c r="IO168" i="1"/>
  <c r="IN168" i="1"/>
  <c r="IM168" i="1"/>
  <c r="IL168" i="1"/>
  <c r="IK168" i="1"/>
  <c r="IJ168" i="1"/>
  <c r="II168" i="1"/>
  <c r="IE168" i="1"/>
  <c r="ID168" i="1"/>
  <c r="IC168" i="1"/>
  <c r="IB168" i="1"/>
  <c r="IA168" i="1"/>
  <c r="HZ168" i="1"/>
  <c r="HY168" i="1"/>
  <c r="HX168" i="1"/>
  <c r="HW168" i="1"/>
  <c r="HV168" i="1"/>
  <c r="HF168" i="1"/>
  <c r="HE168" i="1"/>
  <c r="HD168" i="1"/>
  <c r="HC168" i="1"/>
  <c r="HB168" i="1"/>
  <c r="HA168" i="1"/>
  <c r="GZ168" i="1"/>
  <c r="GY168" i="1"/>
  <c r="GX168" i="1"/>
  <c r="GW168" i="1"/>
  <c r="GV168" i="1"/>
  <c r="GU168" i="1"/>
  <c r="JR96" i="1"/>
  <c r="JQ96" i="1"/>
  <c r="JP96" i="1"/>
  <c r="JO96" i="1"/>
  <c r="JN96" i="1"/>
  <c r="JM96" i="1"/>
  <c r="JL96" i="1"/>
  <c r="JK96" i="1"/>
  <c r="JJ96" i="1"/>
  <c r="JI96" i="1"/>
  <c r="JH96" i="1"/>
  <c r="JG96" i="1"/>
  <c r="JF96" i="1"/>
  <c r="JE96" i="1"/>
  <c r="JD96" i="1"/>
  <c r="JC96" i="1"/>
  <c r="JB96" i="1"/>
  <c r="JA96" i="1"/>
  <c r="IZ96" i="1"/>
  <c r="IY96" i="1"/>
  <c r="IX96" i="1"/>
  <c r="IW96" i="1"/>
  <c r="IV96" i="1"/>
  <c r="IU96" i="1"/>
  <c r="IR96" i="1"/>
  <c r="IP96" i="1"/>
  <c r="IO96" i="1"/>
  <c r="IN96" i="1"/>
  <c r="IM96" i="1"/>
  <c r="IL96" i="1"/>
  <c r="IK96" i="1"/>
  <c r="IJ96" i="1"/>
  <c r="IE96" i="1"/>
  <c r="ID96" i="1"/>
  <c r="IC96" i="1"/>
  <c r="IB96" i="1"/>
  <c r="IA96" i="1"/>
  <c r="HZ96" i="1"/>
  <c r="HY96" i="1"/>
  <c r="HX96" i="1"/>
  <c r="HW96" i="1"/>
  <c r="HV96" i="1"/>
  <c r="HF96" i="1"/>
  <c r="HE96" i="1"/>
  <c r="HC96" i="1"/>
  <c r="HB96" i="1"/>
  <c r="GZ96" i="1"/>
  <c r="GY96" i="1"/>
  <c r="GX96" i="1"/>
  <c r="GW96" i="1"/>
  <c r="GV96" i="1"/>
  <c r="GU96" i="1"/>
  <c r="JR95" i="1"/>
  <c r="JQ95" i="1"/>
  <c r="JP95" i="1"/>
  <c r="JO95" i="1"/>
  <c r="JN95" i="1"/>
  <c r="JM95" i="1"/>
  <c r="JL95" i="1"/>
  <c r="JK95" i="1"/>
  <c r="JJ95" i="1"/>
  <c r="JI95" i="1"/>
  <c r="JH95" i="1"/>
  <c r="JG95" i="1"/>
  <c r="JF95" i="1"/>
  <c r="JE95" i="1"/>
  <c r="JD95" i="1"/>
  <c r="JC95" i="1"/>
  <c r="JB95" i="1"/>
  <c r="JA95" i="1"/>
  <c r="IZ95" i="1"/>
  <c r="IY95" i="1"/>
  <c r="IX95" i="1"/>
  <c r="IW95" i="1"/>
  <c r="IV95" i="1"/>
  <c r="IU95" i="1"/>
  <c r="IR95" i="1"/>
  <c r="IQ95" i="1"/>
  <c r="IP95" i="1"/>
  <c r="IO95" i="1"/>
  <c r="IM95" i="1"/>
  <c r="IL95" i="1"/>
  <c r="IK95" i="1"/>
  <c r="IJ95" i="1"/>
  <c r="IE95" i="1"/>
  <c r="ID95" i="1"/>
  <c r="IC95" i="1"/>
  <c r="IB95" i="1"/>
  <c r="IA95" i="1"/>
  <c r="HZ95" i="1"/>
  <c r="HY95" i="1"/>
  <c r="HX95" i="1"/>
  <c r="HW95" i="1"/>
  <c r="HV95" i="1"/>
  <c r="HF95" i="1"/>
  <c r="HE95" i="1"/>
  <c r="HC95" i="1"/>
  <c r="HB95" i="1"/>
  <c r="GZ95" i="1"/>
  <c r="GY95" i="1"/>
  <c r="GX95" i="1"/>
  <c r="GW95" i="1"/>
  <c r="GV95" i="1"/>
  <c r="GU95" i="1"/>
  <c r="JQ427" i="1"/>
  <c r="JP427" i="1"/>
  <c r="IE427" i="1"/>
  <c r="ID427" i="1"/>
  <c r="HF427" i="1"/>
  <c r="HE427" i="1"/>
  <c r="HD427" i="1"/>
  <c r="HC427" i="1"/>
  <c r="HB427" i="1"/>
  <c r="HA427" i="1"/>
  <c r="GZ427" i="1"/>
  <c r="GY427" i="1"/>
  <c r="GX427" i="1"/>
  <c r="GW427" i="1"/>
  <c r="GV427" i="1"/>
  <c r="GU427" i="1"/>
  <c r="C427" i="1"/>
  <c r="JR197" i="1"/>
  <c r="JQ197" i="1"/>
  <c r="JP197" i="1"/>
  <c r="JO197" i="1"/>
  <c r="JN197" i="1"/>
  <c r="JM197" i="1"/>
  <c r="JL197" i="1"/>
  <c r="JK197" i="1"/>
  <c r="JJ197" i="1"/>
  <c r="JI197" i="1"/>
  <c r="JH197" i="1"/>
  <c r="JG197" i="1"/>
  <c r="JF197" i="1"/>
  <c r="JE197" i="1"/>
  <c r="JD197" i="1"/>
  <c r="JC197" i="1"/>
  <c r="JB197" i="1"/>
  <c r="JA197" i="1"/>
  <c r="IZ197" i="1"/>
  <c r="IY197" i="1"/>
  <c r="IX197" i="1"/>
  <c r="IW197" i="1"/>
  <c r="IV197" i="1"/>
  <c r="IU197" i="1"/>
  <c r="IS197" i="1"/>
  <c r="IR197" i="1"/>
  <c r="IP197" i="1"/>
  <c r="IO197" i="1"/>
  <c r="IM197" i="1"/>
  <c r="IL197" i="1"/>
  <c r="IK197" i="1"/>
  <c r="IJ197" i="1"/>
  <c r="II197" i="1"/>
  <c r="IE197" i="1"/>
  <c r="ID197" i="1"/>
  <c r="IC197" i="1"/>
  <c r="IB197" i="1"/>
  <c r="IA197" i="1"/>
  <c r="HZ197" i="1"/>
  <c r="HY197" i="1"/>
  <c r="HX197" i="1"/>
  <c r="HW197" i="1"/>
  <c r="HV197" i="1"/>
  <c r="HF197" i="1"/>
  <c r="HE197" i="1"/>
  <c r="HD197" i="1"/>
  <c r="HC197" i="1"/>
  <c r="HB197" i="1"/>
  <c r="HA197" i="1"/>
  <c r="GZ197" i="1"/>
  <c r="GY197" i="1"/>
  <c r="GX197" i="1"/>
  <c r="GW197" i="1"/>
  <c r="GV197" i="1"/>
  <c r="GU197" i="1"/>
  <c r="JR526" i="1"/>
  <c r="JQ526" i="1"/>
  <c r="JP526" i="1"/>
  <c r="IE526" i="1"/>
  <c r="ID526" i="1"/>
  <c r="HF526" i="1"/>
  <c r="HE526" i="1"/>
  <c r="HD526" i="1"/>
  <c r="HC526" i="1"/>
  <c r="HC505" i="1"/>
  <c r="HB526" i="1"/>
  <c r="HA526" i="1"/>
  <c r="GZ526" i="1"/>
  <c r="GY526" i="1"/>
  <c r="GY505" i="1"/>
  <c r="GX526" i="1"/>
  <c r="GW526" i="1"/>
  <c r="GV526" i="1"/>
  <c r="GU526" i="1"/>
  <c r="GU505" i="1"/>
  <c r="C526" i="1"/>
  <c r="JR196" i="1"/>
  <c r="JQ196" i="1"/>
  <c r="JP196" i="1"/>
  <c r="JO196" i="1"/>
  <c r="JN196" i="1"/>
  <c r="JM196" i="1"/>
  <c r="JL196" i="1"/>
  <c r="JK196" i="1"/>
  <c r="JJ196" i="1"/>
  <c r="JI196" i="1"/>
  <c r="JH196" i="1"/>
  <c r="JG196" i="1"/>
  <c r="JF196" i="1"/>
  <c r="JE196" i="1"/>
  <c r="JD196" i="1"/>
  <c r="JC196" i="1"/>
  <c r="JB196" i="1"/>
  <c r="JA196" i="1"/>
  <c r="IZ196" i="1"/>
  <c r="IY196" i="1"/>
  <c r="IX196" i="1"/>
  <c r="IW196" i="1"/>
  <c r="IV196" i="1"/>
  <c r="IU196" i="1"/>
  <c r="IR196" i="1"/>
  <c r="IQ196" i="1"/>
  <c r="IP196" i="1"/>
  <c r="IO196" i="1"/>
  <c r="IN196" i="1"/>
  <c r="IM196" i="1"/>
  <c r="IL196" i="1"/>
  <c r="IK196" i="1"/>
  <c r="IJ196" i="1"/>
  <c r="II196" i="1"/>
  <c r="IE196" i="1"/>
  <c r="ID196" i="1"/>
  <c r="IC196" i="1"/>
  <c r="IB196" i="1"/>
  <c r="IA196" i="1"/>
  <c r="HZ196" i="1"/>
  <c r="HY196" i="1"/>
  <c r="HX196" i="1"/>
  <c r="HW196" i="1"/>
  <c r="HV196" i="1"/>
  <c r="HF196" i="1"/>
  <c r="HE196" i="1"/>
  <c r="HD196" i="1"/>
  <c r="HC196" i="1"/>
  <c r="HB196" i="1"/>
  <c r="HA196" i="1"/>
  <c r="GZ196" i="1"/>
  <c r="GY196" i="1"/>
  <c r="GX196" i="1"/>
  <c r="GW196" i="1"/>
  <c r="GV196" i="1"/>
  <c r="GU196" i="1"/>
  <c r="JR500" i="1"/>
  <c r="JQ500" i="1"/>
  <c r="JP500" i="1"/>
  <c r="IE500" i="1"/>
  <c r="ID500" i="1"/>
  <c r="HF500" i="1"/>
  <c r="HE500" i="1"/>
  <c r="HD500" i="1"/>
  <c r="HC500" i="1"/>
  <c r="HB500" i="1"/>
  <c r="HA500" i="1"/>
  <c r="GZ500" i="1"/>
  <c r="GY500" i="1"/>
  <c r="GX500" i="1"/>
  <c r="GW500" i="1"/>
  <c r="GV500" i="1"/>
  <c r="GU500" i="1"/>
  <c r="C500" i="1"/>
  <c r="JQ100" i="1"/>
  <c r="JP100" i="1"/>
  <c r="JO100" i="1"/>
  <c r="JN100" i="1"/>
  <c r="JM100" i="1"/>
  <c r="JL100" i="1"/>
  <c r="JK100" i="1"/>
  <c r="JJ100" i="1"/>
  <c r="JI100" i="1"/>
  <c r="JH100" i="1"/>
  <c r="JG100" i="1"/>
  <c r="JF100" i="1"/>
  <c r="JE100" i="1"/>
  <c r="JD100" i="1"/>
  <c r="JC100" i="1"/>
  <c r="JB100" i="1"/>
  <c r="JA100" i="1"/>
  <c r="IZ100" i="1"/>
  <c r="IY100" i="1"/>
  <c r="IX100" i="1"/>
  <c r="IW100" i="1"/>
  <c r="IV100" i="1"/>
  <c r="IU100" i="1"/>
  <c r="IS100" i="1"/>
  <c r="IR100" i="1"/>
  <c r="IQ100" i="1"/>
  <c r="IP100" i="1"/>
  <c r="IO100" i="1"/>
  <c r="IM100" i="1"/>
  <c r="IL100" i="1"/>
  <c r="IK100" i="1"/>
  <c r="IJ100" i="1"/>
  <c r="IE100" i="1"/>
  <c r="ID100" i="1"/>
  <c r="IC100" i="1"/>
  <c r="IB100" i="1"/>
  <c r="IA100" i="1"/>
  <c r="HZ100" i="1"/>
  <c r="HY100" i="1"/>
  <c r="HX100" i="1"/>
  <c r="HW100" i="1"/>
  <c r="HV100" i="1"/>
  <c r="HF100" i="1"/>
  <c r="HE100" i="1"/>
  <c r="HC100" i="1"/>
  <c r="HB100" i="1"/>
  <c r="GZ100" i="1"/>
  <c r="GZ94" i="1"/>
  <c r="GY100" i="1"/>
  <c r="GY94" i="1"/>
  <c r="GX100" i="1"/>
  <c r="GX94" i="1"/>
  <c r="GW100" i="1"/>
  <c r="GW94" i="1"/>
  <c r="GV100" i="1"/>
  <c r="GV94" i="1"/>
  <c r="GU100" i="1"/>
  <c r="GU94" i="1"/>
  <c r="JR99" i="1"/>
  <c r="JQ99" i="1"/>
  <c r="JP99" i="1"/>
  <c r="JO99" i="1"/>
  <c r="JN99" i="1"/>
  <c r="JM99" i="1"/>
  <c r="JL99" i="1"/>
  <c r="JK99" i="1"/>
  <c r="JJ99" i="1"/>
  <c r="JI99" i="1"/>
  <c r="JH99" i="1"/>
  <c r="JG99" i="1"/>
  <c r="JF99" i="1"/>
  <c r="JE99" i="1"/>
  <c r="JD99" i="1"/>
  <c r="JC99" i="1"/>
  <c r="JB99" i="1"/>
  <c r="JA99" i="1"/>
  <c r="IY99" i="1"/>
  <c r="IX99" i="1"/>
  <c r="IW99" i="1"/>
  <c r="IV99" i="1"/>
  <c r="IU99" i="1"/>
  <c r="IR99" i="1"/>
  <c r="IP99" i="1"/>
  <c r="IO99" i="1"/>
  <c r="IM99" i="1"/>
  <c r="IL99" i="1"/>
  <c r="IK99" i="1"/>
  <c r="IJ99" i="1"/>
  <c r="IE99" i="1"/>
  <c r="ID99" i="1"/>
  <c r="IC99" i="1"/>
  <c r="IB99" i="1"/>
  <c r="IA99" i="1"/>
  <c r="HZ99" i="1"/>
  <c r="HY99" i="1"/>
  <c r="HX99" i="1"/>
  <c r="HW99" i="1"/>
  <c r="HV99" i="1"/>
  <c r="HF99" i="1"/>
  <c r="HE99" i="1"/>
  <c r="HC99" i="1"/>
  <c r="HB99" i="1"/>
  <c r="GZ99" i="1"/>
  <c r="GY99" i="1"/>
  <c r="GX99" i="1"/>
  <c r="GW99" i="1"/>
  <c r="GV99" i="1"/>
  <c r="GU99" i="1"/>
  <c r="JR98" i="1"/>
  <c r="JQ98" i="1"/>
  <c r="JP98" i="1"/>
  <c r="JN98" i="1"/>
  <c r="JM98" i="1"/>
  <c r="JK98" i="1"/>
  <c r="JJ98" i="1"/>
  <c r="JH98" i="1"/>
  <c r="JG98" i="1"/>
  <c r="JF98" i="1"/>
  <c r="JE98" i="1"/>
  <c r="JD98" i="1"/>
  <c r="JC98" i="1"/>
  <c r="JB98" i="1"/>
  <c r="JA98" i="1"/>
  <c r="IY98" i="1"/>
  <c r="IX98" i="1"/>
  <c r="IX94" i="1"/>
  <c r="IW98" i="1"/>
  <c r="IV98" i="1"/>
  <c r="IU98" i="1"/>
  <c r="IS98" i="1"/>
  <c r="IR98" i="1"/>
  <c r="IQ98" i="1"/>
  <c r="IP98" i="1"/>
  <c r="IO98" i="1"/>
  <c r="IM98" i="1"/>
  <c r="IL98" i="1"/>
  <c r="IK98" i="1"/>
  <c r="IJ98" i="1"/>
  <c r="IE98" i="1"/>
  <c r="ID98" i="1"/>
  <c r="IC98" i="1"/>
  <c r="IB98" i="1"/>
  <c r="IA98" i="1"/>
  <c r="HZ98" i="1"/>
  <c r="HY98" i="1"/>
  <c r="HX98" i="1"/>
  <c r="HW98" i="1"/>
  <c r="HV98" i="1"/>
  <c r="HF98" i="1"/>
  <c r="HE98" i="1"/>
  <c r="HC98" i="1"/>
  <c r="HB98" i="1"/>
  <c r="GZ98" i="1"/>
  <c r="GY98" i="1"/>
  <c r="GX98" i="1"/>
  <c r="GW98" i="1"/>
  <c r="GV98" i="1"/>
  <c r="GU98" i="1"/>
  <c r="JR97" i="1"/>
  <c r="JQ97" i="1"/>
  <c r="JP97" i="1"/>
  <c r="JN97" i="1"/>
  <c r="JM97" i="1"/>
  <c r="JL97" i="1"/>
  <c r="JK97" i="1"/>
  <c r="JJ97" i="1"/>
  <c r="JI97" i="1"/>
  <c r="JH97" i="1"/>
  <c r="JG97" i="1"/>
  <c r="JE97" i="1"/>
  <c r="JD97" i="1"/>
  <c r="JC97" i="1"/>
  <c r="JB97" i="1"/>
  <c r="JA97" i="1"/>
  <c r="IZ97" i="1"/>
  <c r="IY97" i="1"/>
  <c r="IX97" i="1"/>
  <c r="IV97" i="1"/>
  <c r="IU97" i="1"/>
  <c r="IR97" i="1"/>
  <c r="IP97" i="1"/>
  <c r="IO97" i="1"/>
  <c r="IM97" i="1"/>
  <c r="IL97" i="1"/>
  <c r="IK97" i="1"/>
  <c r="IJ97" i="1"/>
  <c r="IE97" i="1"/>
  <c r="ID97" i="1"/>
  <c r="IC97" i="1"/>
  <c r="IB97" i="1"/>
  <c r="IA97" i="1"/>
  <c r="HZ97" i="1"/>
  <c r="HY97" i="1"/>
  <c r="HX97" i="1"/>
  <c r="HW97" i="1"/>
  <c r="HV97" i="1"/>
  <c r="HF97" i="1"/>
  <c r="HE97" i="1"/>
  <c r="HC97" i="1"/>
  <c r="HB97" i="1"/>
  <c r="GZ97" i="1"/>
  <c r="GY97" i="1"/>
  <c r="GX97" i="1"/>
  <c r="GW97" i="1"/>
  <c r="GV97" i="1"/>
  <c r="GU97" i="1"/>
  <c r="JR42" i="1"/>
  <c r="JQ42" i="1"/>
  <c r="JP42" i="1"/>
  <c r="JP38" i="1"/>
  <c r="JO42" i="1"/>
  <c r="JN42" i="1"/>
  <c r="JM42" i="1"/>
  <c r="JL42" i="1"/>
  <c r="JL26" i="1"/>
  <c r="JK42" i="1"/>
  <c r="JJ42" i="1"/>
  <c r="JI42" i="1"/>
  <c r="JH42" i="1"/>
  <c r="JG42" i="1"/>
  <c r="JF42" i="1"/>
  <c r="JE42" i="1"/>
  <c r="JD42" i="1"/>
  <c r="JC42" i="1"/>
  <c r="JB42" i="1"/>
  <c r="JA42" i="1"/>
  <c r="IZ42" i="1"/>
  <c r="IY42" i="1"/>
  <c r="IX42" i="1"/>
  <c r="IW42" i="1"/>
  <c r="IV42" i="1"/>
  <c r="IU42" i="1"/>
  <c r="IR42" i="1"/>
  <c r="IO42" i="1"/>
  <c r="IM42" i="1"/>
  <c r="IL42" i="1"/>
  <c r="II42" i="1"/>
  <c r="IE42" i="1"/>
  <c r="ID42" i="1"/>
  <c r="IC42" i="1"/>
  <c r="IB42" i="1"/>
  <c r="IA42" i="1"/>
  <c r="HZ42" i="1"/>
  <c r="HY42" i="1"/>
  <c r="HX42" i="1"/>
  <c r="HV42" i="1"/>
  <c r="HF42" i="1"/>
  <c r="HE42" i="1"/>
  <c r="HD42" i="1"/>
  <c r="HC42" i="1"/>
  <c r="HB42" i="1"/>
  <c r="HA42" i="1"/>
  <c r="GZ42" i="1"/>
  <c r="GY42" i="1"/>
  <c r="GX42" i="1"/>
  <c r="GW42" i="1"/>
  <c r="GV42" i="1"/>
  <c r="GU42" i="1"/>
  <c r="JH144" i="1"/>
  <c r="JF144" i="1"/>
  <c r="JD144" i="1"/>
  <c r="JD54" i="1"/>
  <c r="JR571" i="1"/>
  <c r="JR569" i="1"/>
  <c r="JR567" i="1"/>
  <c r="JQ571" i="1"/>
  <c r="JQ569" i="1"/>
  <c r="JQ567" i="1"/>
  <c r="JP571" i="1"/>
  <c r="JP569" i="1"/>
  <c r="JP567" i="1"/>
  <c r="IE571" i="1"/>
  <c r="IE569" i="1"/>
  <c r="IE567" i="1"/>
  <c r="ID571" i="1"/>
  <c r="ID569" i="1"/>
  <c r="ID567" i="1"/>
  <c r="HF571" i="1"/>
  <c r="HF569" i="1"/>
  <c r="HF567" i="1"/>
  <c r="HE571" i="1"/>
  <c r="HE569" i="1"/>
  <c r="HE567" i="1"/>
  <c r="HD571" i="1"/>
  <c r="HD569" i="1"/>
  <c r="HD567" i="1"/>
  <c r="HC571" i="1"/>
  <c r="HC569" i="1"/>
  <c r="HC567" i="1"/>
  <c r="HB571" i="1"/>
  <c r="HB569" i="1"/>
  <c r="HB567" i="1"/>
  <c r="HA571" i="1"/>
  <c r="HA569" i="1"/>
  <c r="HA567" i="1"/>
  <c r="GZ571" i="1"/>
  <c r="GZ569" i="1"/>
  <c r="GZ567" i="1"/>
  <c r="GY571" i="1"/>
  <c r="GY569" i="1"/>
  <c r="GY567" i="1"/>
  <c r="GX571" i="1"/>
  <c r="GX569" i="1"/>
  <c r="GX567" i="1"/>
  <c r="GW571" i="1"/>
  <c r="GW569" i="1"/>
  <c r="GW567" i="1"/>
  <c r="GV571" i="1"/>
  <c r="GV569" i="1"/>
  <c r="GV567" i="1"/>
  <c r="GU571" i="1"/>
  <c r="GU569" i="1"/>
  <c r="GU567" i="1"/>
  <c r="C571" i="1"/>
  <c r="C569" i="1"/>
  <c r="C567" i="1"/>
  <c r="IV26" i="1"/>
  <c r="IW22" i="1"/>
  <c r="IV22" i="1"/>
  <c r="JP246" i="1"/>
  <c r="IE246" i="1"/>
  <c r="ID246" i="1"/>
  <c r="ID244" i="1"/>
  <c r="HF246" i="1"/>
  <c r="HE246" i="1"/>
  <c r="HE259" i="1"/>
  <c r="HE244" i="1"/>
  <c r="HD246" i="1"/>
  <c r="HC246" i="1"/>
  <c r="HC244" i="1"/>
  <c r="HB246" i="1"/>
  <c r="HA246" i="1"/>
  <c r="HA244" i="1"/>
  <c r="GZ246" i="1"/>
  <c r="GY246" i="1"/>
  <c r="GX246" i="1"/>
  <c r="GW246" i="1"/>
  <c r="GW244" i="1"/>
  <c r="GV246" i="1"/>
  <c r="GU246" i="1"/>
  <c r="GU244" i="1"/>
  <c r="C246" i="1"/>
  <c r="F9" i="31"/>
  <c r="G9" i="31"/>
  <c r="F18" i="31"/>
  <c r="G18" i="31"/>
  <c r="F19" i="31"/>
  <c r="G19" i="31"/>
  <c r="E34" i="31"/>
  <c r="F39" i="31"/>
  <c r="G39" i="31"/>
  <c r="F40" i="31"/>
  <c r="G40" i="31"/>
  <c r="F41" i="31"/>
  <c r="G41" i="31"/>
  <c r="E14" i="30"/>
  <c r="G14" i="30"/>
  <c r="C30" i="25"/>
  <c r="C33" i="25"/>
  <c r="B6" i="26"/>
  <c r="B7" i="26"/>
  <c r="B10" i="20"/>
  <c r="J11" i="20"/>
  <c r="J10" i="20"/>
  <c r="J12" i="20"/>
  <c r="G17" i="12"/>
  <c r="G15" i="12"/>
  <c r="H17" i="12"/>
  <c r="H15" i="12"/>
  <c r="I17" i="12"/>
  <c r="I15" i="12"/>
  <c r="J17" i="12"/>
  <c r="J15" i="12"/>
  <c r="K17" i="12"/>
  <c r="K15" i="12"/>
  <c r="L17" i="12"/>
  <c r="L15" i="12"/>
  <c r="M17" i="12"/>
  <c r="M15" i="12"/>
  <c r="N17" i="12"/>
  <c r="N15" i="12"/>
  <c r="O17" i="12"/>
  <c r="O15" i="12"/>
  <c r="P17" i="12"/>
  <c r="P15" i="12"/>
  <c r="Q17" i="12"/>
  <c r="Q15" i="12"/>
  <c r="R17" i="12"/>
  <c r="R15" i="12"/>
  <c r="T17" i="12"/>
  <c r="U17" i="12"/>
  <c r="U15" i="12"/>
  <c r="V17" i="12"/>
  <c r="V15" i="12"/>
  <c r="W17" i="12"/>
  <c r="W15" i="12"/>
  <c r="X17" i="12"/>
  <c r="X15" i="12"/>
  <c r="Y17" i="12"/>
  <c r="Z17" i="12"/>
  <c r="Z34" i="12"/>
  <c r="Z63" i="12"/>
  <c r="AA17" i="12"/>
  <c r="AA15" i="12"/>
  <c r="AB17" i="12"/>
  <c r="AB15" i="12"/>
  <c r="AC17" i="12"/>
  <c r="AD17" i="12"/>
  <c r="AD15" i="12"/>
  <c r="AE17" i="12"/>
  <c r="AE15" i="12"/>
  <c r="AM17" i="12"/>
  <c r="AM15" i="12"/>
  <c r="G11" i="13"/>
  <c r="C23" i="12"/>
  <c r="C21" i="12"/>
  <c r="G23" i="12"/>
  <c r="G21" i="12"/>
  <c r="H23" i="12"/>
  <c r="I23" i="12"/>
  <c r="J23" i="12"/>
  <c r="K23" i="12"/>
  <c r="L23" i="12"/>
  <c r="M23" i="12"/>
  <c r="N23" i="12"/>
  <c r="N21" i="12"/>
  <c r="O23" i="12"/>
  <c r="P23" i="12"/>
  <c r="P21" i="12"/>
  <c r="Q23" i="12"/>
  <c r="Q21" i="12"/>
  <c r="R23" i="12"/>
  <c r="R21" i="12"/>
  <c r="X23" i="12"/>
  <c r="Y23" i="12"/>
  <c r="Y21" i="12"/>
  <c r="AB23" i="12"/>
  <c r="AB21" i="12"/>
  <c r="AE23" i="12"/>
  <c r="AM23" i="12"/>
  <c r="AM21" i="12"/>
  <c r="AR24" i="12"/>
  <c r="C29" i="12"/>
  <c r="G29" i="12"/>
  <c r="H29" i="12"/>
  <c r="I29" i="12"/>
  <c r="J29" i="12"/>
  <c r="K29" i="12"/>
  <c r="L29" i="12"/>
  <c r="M29" i="12"/>
  <c r="N29" i="12"/>
  <c r="O29" i="12"/>
  <c r="P29" i="12"/>
  <c r="Q29" i="12"/>
  <c r="R29" i="12"/>
  <c r="T29" i="12"/>
  <c r="U29" i="12"/>
  <c r="V29" i="12"/>
  <c r="W29" i="12"/>
  <c r="W27" i="12"/>
  <c r="X29" i="12"/>
  <c r="Y29" i="12"/>
  <c r="Z29" i="12"/>
  <c r="Z27" i="12"/>
  <c r="AA29" i="12"/>
  <c r="AB29" i="12"/>
  <c r="AB27" i="12"/>
  <c r="AC29" i="12"/>
  <c r="AD29" i="12"/>
  <c r="AE29" i="12"/>
  <c r="AE27" i="12"/>
  <c r="AM29" i="12"/>
  <c r="C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T34" i="12"/>
  <c r="U34" i="12"/>
  <c r="V34" i="12"/>
  <c r="W34" i="12"/>
  <c r="X34" i="12"/>
  <c r="Y34" i="12"/>
  <c r="AA34" i="12"/>
  <c r="AB34" i="12"/>
  <c r="AC34" i="12"/>
  <c r="AD34" i="12"/>
  <c r="AE34" i="12"/>
  <c r="AM34" i="12"/>
  <c r="AM27" i="12"/>
  <c r="C40" i="12"/>
  <c r="C38" i="12"/>
  <c r="G40" i="12"/>
  <c r="G38" i="12"/>
  <c r="H40" i="12"/>
  <c r="H38" i="12"/>
  <c r="I40" i="12"/>
  <c r="I38" i="12"/>
  <c r="J40" i="12"/>
  <c r="J38" i="12"/>
  <c r="K40" i="12"/>
  <c r="K38" i="12"/>
  <c r="L40" i="12"/>
  <c r="L38" i="12"/>
  <c r="M40" i="12"/>
  <c r="M38" i="12"/>
  <c r="N40" i="12"/>
  <c r="N38" i="12"/>
  <c r="O40" i="12"/>
  <c r="O38" i="12"/>
  <c r="P40" i="12"/>
  <c r="P38" i="12"/>
  <c r="Q40" i="12"/>
  <c r="Q38" i="12"/>
  <c r="R40" i="12"/>
  <c r="R38" i="12"/>
  <c r="T40" i="12"/>
  <c r="T38" i="12"/>
  <c r="U40" i="12"/>
  <c r="U38" i="12"/>
  <c r="V40" i="12"/>
  <c r="V38" i="12"/>
  <c r="V27" i="12"/>
  <c r="V13" i="12"/>
  <c r="W40" i="12"/>
  <c r="W38" i="12"/>
  <c r="X40" i="12"/>
  <c r="X38" i="12"/>
  <c r="Y40" i="12"/>
  <c r="Y38" i="12"/>
  <c r="Z40" i="12"/>
  <c r="Z38" i="12"/>
  <c r="AA40" i="12"/>
  <c r="AA38" i="12"/>
  <c r="AB40" i="12"/>
  <c r="AB38" i="12"/>
  <c r="AC40" i="12"/>
  <c r="AC38" i="12"/>
  <c r="AD40" i="12"/>
  <c r="AD38" i="12"/>
  <c r="AE40" i="12"/>
  <c r="AE38" i="12"/>
  <c r="AM40" i="12"/>
  <c r="AM38" i="12"/>
  <c r="C45" i="12"/>
  <c r="C44" i="12"/>
  <c r="AM45" i="12"/>
  <c r="AM44" i="12"/>
  <c r="C52" i="12"/>
  <c r="C51" i="12"/>
  <c r="C50" i="12"/>
  <c r="G52" i="12"/>
  <c r="G51" i="12"/>
  <c r="G50" i="12"/>
  <c r="H52" i="12"/>
  <c r="H51" i="12"/>
  <c r="H50" i="12"/>
  <c r="I52" i="12"/>
  <c r="I51" i="12"/>
  <c r="I50" i="12"/>
  <c r="K52" i="12"/>
  <c r="K51" i="12"/>
  <c r="K50" i="12"/>
  <c r="L52" i="12"/>
  <c r="L51" i="12"/>
  <c r="L50" i="12"/>
  <c r="N52" i="12"/>
  <c r="N51" i="12"/>
  <c r="N50" i="12"/>
  <c r="O52" i="12"/>
  <c r="O51" i="12"/>
  <c r="O50" i="12"/>
  <c r="P52" i="12"/>
  <c r="P51" i="12"/>
  <c r="P50" i="12"/>
  <c r="Q52" i="12"/>
  <c r="Q51" i="12"/>
  <c r="Q50" i="12"/>
  <c r="R52" i="12"/>
  <c r="R51" i="12"/>
  <c r="R50" i="12"/>
  <c r="T52" i="12"/>
  <c r="T51" i="12"/>
  <c r="T50" i="12"/>
  <c r="U52" i="12"/>
  <c r="U51" i="12"/>
  <c r="U50" i="12"/>
  <c r="V52" i="12"/>
  <c r="V51" i="12"/>
  <c r="V50" i="12"/>
  <c r="V48" i="12"/>
  <c r="X52" i="12"/>
  <c r="X51" i="12"/>
  <c r="X50" i="12"/>
  <c r="Y52" i="12"/>
  <c r="Y51" i="12"/>
  <c r="Y50" i="12"/>
  <c r="Y48" i="12"/>
  <c r="Z52" i="12"/>
  <c r="Z51" i="12"/>
  <c r="Z50" i="12"/>
  <c r="Z48" i="12"/>
  <c r="AA52" i="12"/>
  <c r="AA51" i="12"/>
  <c r="AA50" i="12"/>
  <c r="AB52" i="12"/>
  <c r="AB51" i="12"/>
  <c r="AB50" i="12"/>
  <c r="AC52" i="12"/>
  <c r="AC51" i="12"/>
  <c r="AC50" i="12"/>
  <c r="AE52" i="12"/>
  <c r="AE51" i="12"/>
  <c r="AE50" i="12"/>
  <c r="AM52" i="12"/>
  <c r="AM51" i="12"/>
  <c r="AM50" i="12"/>
  <c r="C57" i="12"/>
  <c r="C56" i="12"/>
  <c r="C55" i="12"/>
  <c r="G57" i="12"/>
  <c r="G56" i="12"/>
  <c r="G55" i="12"/>
  <c r="H57" i="12"/>
  <c r="H56" i="12"/>
  <c r="H55" i="12"/>
  <c r="I57" i="12"/>
  <c r="I56" i="12"/>
  <c r="I55" i="12"/>
  <c r="J57" i="12"/>
  <c r="J56" i="12"/>
  <c r="J55" i="12"/>
  <c r="K57" i="12"/>
  <c r="K56" i="12"/>
  <c r="K55" i="12"/>
  <c r="L57" i="12"/>
  <c r="L56" i="12"/>
  <c r="L55" i="12"/>
  <c r="M57" i="12"/>
  <c r="M56" i="12"/>
  <c r="M55" i="12"/>
  <c r="N57" i="12"/>
  <c r="N56" i="12"/>
  <c r="N55" i="12"/>
  <c r="O57" i="12"/>
  <c r="O56" i="12"/>
  <c r="O55" i="12"/>
  <c r="P57" i="12"/>
  <c r="P56" i="12"/>
  <c r="P55" i="12"/>
  <c r="Q57" i="12"/>
  <c r="Q56" i="12"/>
  <c r="Q55" i="12"/>
  <c r="R57" i="12"/>
  <c r="R56" i="12"/>
  <c r="R55" i="12"/>
  <c r="T57" i="12"/>
  <c r="T56" i="12"/>
  <c r="T55" i="12"/>
  <c r="U57" i="12"/>
  <c r="U56" i="12"/>
  <c r="U55" i="12"/>
  <c r="V57" i="12"/>
  <c r="V56" i="12"/>
  <c r="V55" i="12"/>
  <c r="W57" i="12"/>
  <c r="W56" i="12"/>
  <c r="W55" i="12"/>
  <c r="X57" i="12"/>
  <c r="X56" i="12"/>
  <c r="X55" i="12"/>
  <c r="Y57" i="12"/>
  <c r="Y56" i="12"/>
  <c r="Y55" i="12"/>
  <c r="Z57" i="12"/>
  <c r="Z56" i="12"/>
  <c r="Z55" i="12"/>
  <c r="AA57" i="12"/>
  <c r="AA56" i="12"/>
  <c r="AA55" i="12"/>
  <c r="AB57" i="12"/>
  <c r="AB56" i="12"/>
  <c r="AB55" i="12"/>
  <c r="AC57" i="12"/>
  <c r="AC56" i="12"/>
  <c r="AC55" i="12"/>
  <c r="AD57" i="12"/>
  <c r="AD56" i="12"/>
  <c r="AD55" i="12"/>
  <c r="AE57" i="12"/>
  <c r="AE56" i="12"/>
  <c r="AE55" i="12"/>
  <c r="F11" i="3"/>
  <c r="F15" i="3"/>
  <c r="KF16" i="1"/>
  <c r="KF57" i="1"/>
  <c r="HA14" i="1"/>
  <c r="HB17" i="1"/>
  <c r="HC17" i="1"/>
  <c r="HD17" i="1"/>
  <c r="HE17" i="1"/>
  <c r="HE16" i="1"/>
  <c r="HE30" i="1"/>
  <c r="HE14" i="1"/>
  <c r="HF17" i="1"/>
  <c r="HH17" i="1"/>
  <c r="HI17" i="1"/>
  <c r="HJ17" i="1"/>
  <c r="HK17" i="1"/>
  <c r="HL17" i="1"/>
  <c r="HL16" i="1"/>
  <c r="HL14" i="1"/>
  <c r="HN17" i="1"/>
  <c r="HP17" i="1"/>
  <c r="HP16" i="1"/>
  <c r="HP14" i="1"/>
  <c r="HR17" i="1"/>
  <c r="HS17" i="1"/>
  <c r="HS16" i="1"/>
  <c r="HT17" i="1"/>
  <c r="HV17" i="1"/>
  <c r="HV16" i="1"/>
  <c r="HV14" i="1"/>
  <c r="HW17" i="1"/>
  <c r="HX17" i="1"/>
  <c r="HX16" i="1"/>
  <c r="HY17" i="1"/>
  <c r="HZ17" i="1"/>
  <c r="IA17" i="1"/>
  <c r="IB17" i="1"/>
  <c r="ID17" i="1"/>
  <c r="IE17" i="1"/>
  <c r="II17" i="1"/>
  <c r="IL17" i="1"/>
  <c r="IO17" i="1"/>
  <c r="IX17" i="1"/>
  <c r="IX16" i="1"/>
  <c r="IX14" i="1"/>
  <c r="IY17" i="1"/>
  <c r="JA17" i="1"/>
  <c r="JB17" i="1"/>
  <c r="JD17" i="1"/>
  <c r="JD16" i="1"/>
  <c r="JD14" i="1"/>
  <c r="JE17" i="1"/>
  <c r="JG17" i="1"/>
  <c r="JH17" i="1"/>
  <c r="JK17" i="1"/>
  <c r="JL17" i="1"/>
  <c r="JM17" i="1"/>
  <c r="JN17" i="1"/>
  <c r="JO17" i="1"/>
  <c r="KF17" i="1"/>
  <c r="KF19" i="1"/>
  <c r="KF59" i="1"/>
  <c r="KF20" i="1"/>
  <c r="GV22" i="1"/>
  <c r="GW22" i="1"/>
  <c r="GX22" i="1"/>
  <c r="GY22" i="1"/>
  <c r="GZ22" i="1"/>
  <c r="HA22" i="1"/>
  <c r="HB22" i="1"/>
  <c r="HB21" i="1"/>
  <c r="HC22" i="1"/>
  <c r="HD22" i="1"/>
  <c r="HE22" i="1"/>
  <c r="HF22" i="1"/>
  <c r="HV22" i="1"/>
  <c r="HW22" i="1"/>
  <c r="HW21" i="1"/>
  <c r="HX22" i="1"/>
  <c r="HY22" i="1"/>
  <c r="HZ22" i="1"/>
  <c r="IA22" i="1"/>
  <c r="IA21" i="1"/>
  <c r="IB22" i="1"/>
  <c r="IC22" i="1"/>
  <c r="ID22" i="1"/>
  <c r="IE22" i="1"/>
  <c r="II22" i="1"/>
  <c r="IL22" i="1"/>
  <c r="IO22" i="1"/>
  <c r="IR22" i="1"/>
  <c r="IU22" i="1"/>
  <c r="IX22" i="1"/>
  <c r="IY22" i="1"/>
  <c r="JA22" i="1"/>
  <c r="JD22" i="1"/>
  <c r="JE22" i="1"/>
  <c r="JF22" i="1"/>
  <c r="JG22" i="1"/>
  <c r="JG21" i="1"/>
  <c r="JH22" i="1"/>
  <c r="JK22" i="1"/>
  <c r="JM22" i="1"/>
  <c r="JN22" i="1"/>
  <c r="JP22" i="1"/>
  <c r="JQ22" i="1"/>
  <c r="GV26" i="1"/>
  <c r="GW26" i="1"/>
  <c r="GX26" i="1"/>
  <c r="GY26" i="1"/>
  <c r="GZ26" i="1"/>
  <c r="HA26" i="1"/>
  <c r="HB26" i="1"/>
  <c r="HC26" i="1"/>
  <c r="HD26" i="1"/>
  <c r="HE26" i="1"/>
  <c r="HF26" i="1"/>
  <c r="HV26" i="1"/>
  <c r="HW26" i="1"/>
  <c r="HX26" i="1"/>
  <c r="HY26" i="1"/>
  <c r="HZ26" i="1"/>
  <c r="IA26" i="1"/>
  <c r="IB26" i="1"/>
  <c r="IC26" i="1"/>
  <c r="ID26" i="1"/>
  <c r="IE26" i="1"/>
  <c r="II26" i="1"/>
  <c r="IL26" i="1"/>
  <c r="IO26" i="1"/>
  <c r="IR26" i="1"/>
  <c r="IU26" i="1"/>
  <c r="IW26" i="1"/>
  <c r="IX26" i="1"/>
  <c r="IY26" i="1"/>
  <c r="JA26" i="1"/>
  <c r="JB26" i="1"/>
  <c r="JD26" i="1"/>
  <c r="JE26" i="1"/>
  <c r="JG26" i="1"/>
  <c r="JH26" i="1"/>
  <c r="JJ26" i="1"/>
  <c r="JK26" i="1"/>
  <c r="JM26" i="1"/>
  <c r="JN26" i="1"/>
  <c r="JP26" i="1"/>
  <c r="JQ26" i="1"/>
  <c r="JR26" i="1"/>
  <c r="GW28" i="1"/>
  <c r="GX28" i="1"/>
  <c r="GY28" i="1"/>
  <c r="GZ28" i="1"/>
  <c r="HA28" i="1"/>
  <c r="HC28" i="1"/>
  <c r="HD28" i="1"/>
  <c r="HE28" i="1"/>
  <c r="HF28" i="1"/>
  <c r="HV28" i="1"/>
  <c r="HW28" i="1"/>
  <c r="HX28" i="1"/>
  <c r="HY28" i="1"/>
  <c r="HZ28" i="1"/>
  <c r="IA28" i="1"/>
  <c r="IB28" i="1"/>
  <c r="IC28" i="1"/>
  <c r="ID28" i="1"/>
  <c r="IE28" i="1"/>
  <c r="II28" i="1"/>
  <c r="IL28" i="1"/>
  <c r="IO28" i="1"/>
  <c r="IR28" i="1"/>
  <c r="IU28" i="1"/>
  <c r="IV28" i="1"/>
  <c r="IW28" i="1"/>
  <c r="IX28" i="1"/>
  <c r="IY28" i="1"/>
  <c r="IZ28" i="1"/>
  <c r="JA28" i="1"/>
  <c r="JD28" i="1"/>
  <c r="JE28" i="1"/>
  <c r="JG28" i="1"/>
  <c r="JH28" i="1"/>
  <c r="JI28" i="1"/>
  <c r="JJ28" i="1"/>
  <c r="JK28" i="1"/>
  <c r="JL28" i="1"/>
  <c r="JM28" i="1"/>
  <c r="JN28" i="1"/>
  <c r="JO28" i="1"/>
  <c r="JP28" i="1"/>
  <c r="JQ28" i="1"/>
  <c r="KF39" i="1"/>
  <c r="KF40" i="1"/>
  <c r="KF50" i="1"/>
  <c r="KF73" i="1"/>
  <c r="KI50" i="1"/>
  <c r="KI73" i="1"/>
  <c r="GV53" i="1"/>
  <c r="GW53" i="1"/>
  <c r="GX53" i="1"/>
  <c r="GY53" i="1"/>
  <c r="GZ53" i="1"/>
  <c r="HA53" i="1"/>
  <c r="HB53" i="1"/>
  <c r="HC53" i="1"/>
  <c r="HD53" i="1"/>
  <c r="HE53" i="1"/>
  <c r="HF53" i="1"/>
  <c r="HV53" i="1"/>
  <c r="HW53" i="1"/>
  <c r="HX53" i="1"/>
  <c r="HY53" i="1"/>
  <c r="HZ53" i="1"/>
  <c r="IA53" i="1"/>
  <c r="IB53" i="1"/>
  <c r="IC53" i="1"/>
  <c r="ID53" i="1"/>
  <c r="IE53" i="1"/>
  <c r="II53" i="1"/>
  <c r="IL53" i="1"/>
  <c r="IO53" i="1"/>
  <c r="IP53" i="1"/>
  <c r="IR53" i="1"/>
  <c r="IU53" i="1"/>
  <c r="IV53" i="1"/>
  <c r="IW53" i="1"/>
  <c r="IX53" i="1"/>
  <c r="IY53" i="1"/>
  <c r="IZ53" i="1"/>
  <c r="JA53" i="1"/>
  <c r="JB53" i="1"/>
  <c r="JC53" i="1"/>
  <c r="JD53" i="1"/>
  <c r="JE53" i="1"/>
  <c r="JF53" i="1"/>
  <c r="JG53" i="1"/>
  <c r="JH53" i="1"/>
  <c r="JI53" i="1"/>
  <c r="JJ53" i="1"/>
  <c r="JK53" i="1"/>
  <c r="JL53" i="1"/>
  <c r="JM53" i="1"/>
  <c r="JN53" i="1"/>
  <c r="JP53" i="1"/>
  <c r="JQ53" i="1"/>
  <c r="GV54" i="1"/>
  <c r="GW54" i="1"/>
  <c r="GX54" i="1"/>
  <c r="GY54" i="1"/>
  <c r="GZ54" i="1"/>
  <c r="HA54" i="1"/>
  <c r="HB54" i="1"/>
  <c r="HC54" i="1"/>
  <c r="HD54" i="1"/>
  <c r="HE54" i="1"/>
  <c r="HF54" i="1"/>
  <c r="HV54" i="1"/>
  <c r="HW54" i="1"/>
  <c r="HX54" i="1"/>
  <c r="HY54" i="1"/>
  <c r="HZ54" i="1"/>
  <c r="IA54" i="1"/>
  <c r="IB54" i="1"/>
  <c r="IC54" i="1"/>
  <c r="ID54" i="1"/>
  <c r="IE54" i="1"/>
  <c r="II54" i="1"/>
  <c r="IL54" i="1"/>
  <c r="IM54" i="1"/>
  <c r="IN54" i="1"/>
  <c r="IO54" i="1"/>
  <c r="IP54" i="1"/>
  <c r="IQ54" i="1"/>
  <c r="IR54" i="1"/>
  <c r="IU54" i="1"/>
  <c r="IV54" i="1"/>
  <c r="IX54" i="1"/>
  <c r="IY54" i="1"/>
  <c r="JA54" i="1"/>
  <c r="JB54" i="1"/>
  <c r="JC54" i="1"/>
  <c r="JE54" i="1"/>
  <c r="JG54" i="1"/>
  <c r="JH54" i="1"/>
  <c r="JJ54" i="1"/>
  <c r="JK54" i="1"/>
  <c r="JL54" i="1"/>
  <c r="JM54" i="1"/>
  <c r="JN54" i="1"/>
  <c r="JP54" i="1"/>
  <c r="JQ54" i="1"/>
  <c r="GV55" i="1"/>
  <c r="GW55" i="1"/>
  <c r="GX55" i="1"/>
  <c r="GY55" i="1"/>
  <c r="GZ55" i="1"/>
  <c r="HA55" i="1"/>
  <c r="HB55" i="1"/>
  <c r="HC55" i="1"/>
  <c r="HD55" i="1"/>
  <c r="HE55" i="1"/>
  <c r="HF55" i="1"/>
  <c r="HV55" i="1"/>
  <c r="HW55" i="1"/>
  <c r="HX55" i="1"/>
  <c r="HY55" i="1"/>
  <c r="HZ55" i="1"/>
  <c r="IA55" i="1"/>
  <c r="IB55" i="1"/>
  <c r="IC55" i="1"/>
  <c r="ID55" i="1"/>
  <c r="IE55" i="1"/>
  <c r="II55" i="1"/>
  <c r="IL55" i="1"/>
  <c r="IM55" i="1"/>
  <c r="IN55" i="1"/>
  <c r="IO55" i="1"/>
  <c r="IP55" i="1"/>
  <c r="IQ55" i="1"/>
  <c r="IR55" i="1"/>
  <c r="IU55" i="1"/>
  <c r="IV55" i="1"/>
  <c r="IW55" i="1"/>
  <c r="IX55" i="1"/>
  <c r="IY55" i="1"/>
  <c r="IZ55" i="1"/>
  <c r="JA55" i="1"/>
  <c r="JB55" i="1"/>
  <c r="JC55" i="1"/>
  <c r="JD55" i="1"/>
  <c r="JE55" i="1"/>
  <c r="JF55" i="1"/>
  <c r="JG55" i="1"/>
  <c r="JH55" i="1"/>
  <c r="JJ55" i="1"/>
  <c r="JK55" i="1"/>
  <c r="JL55" i="1"/>
  <c r="JM55" i="1"/>
  <c r="JN55" i="1"/>
  <c r="JO55" i="1"/>
  <c r="JP55" i="1"/>
  <c r="JQ55" i="1"/>
  <c r="GV56" i="1"/>
  <c r="GW56" i="1"/>
  <c r="GX56" i="1"/>
  <c r="GY56" i="1"/>
  <c r="GZ56" i="1"/>
  <c r="HA56" i="1"/>
  <c r="HB56" i="1"/>
  <c r="HC56" i="1"/>
  <c r="HD56" i="1"/>
  <c r="HE56" i="1"/>
  <c r="HF56" i="1"/>
  <c r="HV56" i="1"/>
  <c r="HW56" i="1"/>
  <c r="HX56" i="1"/>
  <c r="HY56" i="1"/>
  <c r="HZ56" i="1"/>
  <c r="IA56" i="1"/>
  <c r="IB56" i="1"/>
  <c r="IC56" i="1"/>
  <c r="ID56" i="1"/>
  <c r="IE56" i="1"/>
  <c r="II56" i="1"/>
  <c r="IJ56" i="1"/>
  <c r="IL56" i="1"/>
  <c r="IO56" i="1"/>
  <c r="IP56" i="1"/>
  <c r="IR56" i="1"/>
  <c r="IU56" i="1"/>
  <c r="IV56" i="1"/>
  <c r="IW56" i="1"/>
  <c r="IX56" i="1"/>
  <c r="IY56" i="1"/>
  <c r="JA56" i="1"/>
  <c r="JB56" i="1"/>
  <c r="JC56" i="1"/>
  <c r="JD56" i="1"/>
  <c r="JE56" i="1"/>
  <c r="JF56" i="1"/>
  <c r="JG56" i="1"/>
  <c r="JH56" i="1"/>
  <c r="JI56" i="1"/>
  <c r="JJ56" i="1"/>
  <c r="JK56" i="1"/>
  <c r="JL56" i="1"/>
  <c r="JM56" i="1"/>
  <c r="JP56" i="1"/>
  <c r="JQ56" i="1"/>
  <c r="GU57" i="1"/>
  <c r="GV57" i="1"/>
  <c r="GW57" i="1"/>
  <c r="GX57" i="1"/>
  <c r="GY57" i="1"/>
  <c r="GZ57" i="1"/>
  <c r="HA57" i="1"/>
  <c r="HB57" i="1"/>
  <c r="HC57" i="1"/>
  <c r="HD57" i="1"/>
  <c r="HE57" i="1"/>
  <c r="HF57" i="1"/>
  <c r="HV57" i="1"/>
  <c r="HW57" i="1"/>
  <c r="HX57" i="1"/>
  <c r="HY57" i="1"/>
  <c r="HZ57" i="1"/>
  <c r="IA57" i="1"/>
  <c r="IB57" i="1"/>
  <c r="IC57" i="1"/>
  <c r="ID57" i="1"/>
  <c r="IE57" i="1"/>
  <c r="II57" i="1"/>
  <c r="IL57" i="1"/>
  <c r="IO57" i="1"/>
  <c r="IR57" i="1"/>
  <c r="IU57" i="1"/>
  <c r="IV57" i="1"/>
  <c r="IW57" i="1"/>
  <c r="IX57" i="1"/>
  <c r="IY57" i="1"/>
  <c r="JA57" i="1"/>
  <c r="JB57" i="1"/>
  <c r="JC57" i="1"/>
  <c r="JD57" i="1"/>
  <c r="JE57" i="1"/>
  <c r="JF57" i="1"/>
  <c r="JG57" i="1"/>
  <c r="JH57" i="1"/>
  <c r="JI57" i="1"/>
  <c r="JJ57" i="1"/>
  <c r="JK57" i="1"/>
  <c r="JM57" i="1"/>
  <c r="JN57" i="1"/>
  <c r="JO57" i="1"/>
  <c r="JP57" i="1"/>
  <c r="JQ57" i="1"/>
  <c r="GU59" i="1"/>
  <c r="GU52" i="1"/>
  <c r="GU44" i="1"/>
  <c r="GV59" i="1"/>
  <c r="GW59" i="1"/>
  <c r="GX59" i="1"/>
  <c r="GY59" i="1"/>
  <c r="GZ59" i="1"/>
  <c r="HA59" i="1"/>
  <c r="HB59" i="1"/>
  <c r="HC59" i="1"/>
  <c r="HD59" i="1"/>
  <c r="HE59" i="1"/>
  <c r="HF59" i="1"/>
  <c r="HV59" i="1"/>
  <c r="HW59" i="1"/>
  <c r="HW52" i="1"/>
  <c r="HX59" i="1"/>
  <c r="HY59" i="1"/>
  <c r="HZ59" i="1"/>
  <c r="IA59" i="1"/>
  <c r="IA52" i="1"/>
  <c r="IB59" i="1"/>
  <c r="IC59" i="1"/>
  <c r="ID59" i="1"/>
  <c r="IE59" i="1"/>
  <c r="IE52" i="1"/>
  <c r="II59" i="1"/>
  <c r="IL59" i="1"/>
  <c r="IM59" i="1"/>
  <c r="IO59" i="1"/>
  <c r="IP59" i="1"/>
  <c r="IR59" i="1"/>
  <c r="IU59" i="1"/>
  <c r="IV59" i="1"/>
  <c r="IW59" i="1"/>
  <c r="IX59" i="1"/>
  <c r="IY59" i="1"/>
  <c r="JA59" i="1"/>
  <c r="JA52" i="1"/>
  <c r="JB59" i="1"/>
  <c r="JC59" i="1"/>
  <c r="JD59" i="1"/>
  <c r="JE59" i="1"/>
  <c r="JF59" i="1"/>
  <c r="JG59" i="1"/>
  <c r="JH59" i="1"/>
  <c r="JI59" i="1"/>
  <c r="JJ59" i="1"/>
  <c r="JK59" i="1"/>
  <c r="JM59" i="1"/>
  <c r="JN59" i="1"/>
  <c r="JP59" i="1"/>
  <c r="JQ59" i="1"/>
  <c r="KF64" i="1"/>
  <c r="KH64" i="1"/>
  <c r="B79" i="1"/>
  <c r="JA84" i="1"/>
  <c r="JA82" i="1"/>
  <c r="GU84" i="1"/>
  <c r="GV84" i="1"/>
  <c r="GW84" i="1"/>
  <c r="GX84" i="1"/>
  <c r="GY84" i="1"/>
  <c r="GZ84" i="1"/>
  <c r="HA84" i="1"/>
  <c r="HB84" i="1"/>
  <c r="HC84" i="1"/>
  <c r="HD84" i="1"/>
  <c r="HE84" i="1"/>
  <c r="HF84" i="1"/>
  <c r="HV84" i="1"/>
  <c r="HW84" i="1"/>
  <c r="HX84" i="1"/>
  <c r="HY84" i="1"/>
  <c r="HZ84" i="1"/>
  <c r="HZ82" i="1"/>
  <c r="IA84" i="1"/>
  <c r="IB84" i="1"/>
  <c r="IB82" i="1"/>
  <c r="IC84" i="1"/>
  <c r="ID84" i="1"/>
  <c r="IE84" i="1"/>
  <c r="II84" i="1"/>
  <c r="IL84" i="1"/>
  <c r="IM84" i="1"/>
  <c r="IN84" i="1"/>
  <c r="IO84" i="1"/>
  <c r="IP84" i="1"/>
  <c r="IQ84" i="1"/>
  <c r="IR84" i="1"/>
  <c r="IS84" i="1"/>
  <c r="IU84" i="1"/>
  <c r="IV84" i="1"/>
  <c r="IW84" i="1"/>
  <c r="IW82" i="1"/>
  <c r="IX84" i="1"/>
  <c r="IX82" i="1"/>
  <c r="IY84" i="1"/>
  <c r="JB84" i="1"/>
  <c r="JD84" i="1"/>
  <c r="JE84" i="1"/>
  <c r="JE82" i="1"/>
  <c r="JG84" i="1"/>
  <c r="JH84" i="1"/>
  <c r="JJ84" i="1"/>
  <c r="JK84" i="1"/>
  <c r="JL84" i="1"/>
  <c r="JL82" i="1"/>
  <c r="JM84" i="1"/>
  <c r="JN84" i="1"/>
  <c r="JO84" i="1"/>
  <c r="JO82" i="1"/>
  <c r="JQ84" i="1"/>
  <c r="JR84" i="1"/>
  <c r="C122" i="1"/>
  <c r="GU141" i="1"/>
  <c r="GV141" i="1"/>
  <c r="GX141" i="1"/>
  <c r="GY141" i="1"/>
  <c r="GZ141" i="1"/>
  <c r="HA141" i="1"/>
  <c r="HB141" i="1"/>
  <c r="HC141" i="1"/>
  <c r="HD141" i="1"/>
  <c r="HE141" i="1"/>
  <c r="HF141" i="1"/>
  <c r="HV141" i="1"/>
  <c r="HW141" i="1"/>
  <c r="HX141" i="1"/>
  <c r="HY141" i="1"/>
  <c r="HZ141" i="1"/>
  <c r="IA141" i="1"/>
  <c r="IB141" i="1"/>
  <c r="IC141" i="1"/>
  <c r="ID141" i="1"/>
  <c r="IE141" i="1"/>
  <c r="II141" i="1"/>
  <c r="IJ141" i="1"/>
  <c r="IK141" i="1"/>
  <c r="IL141" i="1"/>
  <c r="IM141" i="1"/>
  <c r="IN141" i="1"/>
  <c r="IO141" i="1"/>
  <c r="IP141" i="1"/>
  <c r="IQ141" i="1"/>
  <c r="IR141" i="1"/>
  <c r="IU141" i="1"/>
  <c r="IV141" i="1"/>
  <c r="IW141" i="1"/>
  <c r="IX141" i="1"/>
  <c r="IY141" i="1"/>
  <c r="JA141" i="1"/>
  <c r="JB141" i="1"/>
  <c r="JC141" i="1"/>
  <c r="JD141" i="1"/>
  <c r="JE141" i="1"/>
  <c r="JF141" i="1"/>
  <c r="JG141" i="1"/>
  <c r="JH141" i="1"/>
  <c r="JI141" i="1"/>
  <c r="JJ141" i="1"/>
  <c r="JK141" i="1"/>
  <c r="JL141" i="1"/>
  <c r="JM141" i="1"/>
  <c r="JN141" i="1"/>
  <c r="JO141" i="1"/>
  <c r="JP141" i="1"/>
  <c r="JQ141" i="1"/>
  <c r="GU142" i="1"/>
  <c r="GV142" i="1"/>
  <c r="GW142" i="1"/>
  <c r="GX142" i="1"/>
  <c r="GY142" i="1"/>
  <c r="GZ142" i="1"/>
  <c r="HB142" i="1"/>
  <c r="HC142" i="1"/>
  <c r="HE142" i="1"/>
  <c r="HF142" i="1"/>
  <c r="HV142" i="1"/>
  <c r="HW142" i="1"/>
  <c r="HX142" i="1"/>
  <c r="HY142" i="1"/>
  <c r="HZ142" i="1"/>
  <c r="IA142" i="1"/>
  <c r="IB142" i="1"/>
  <c r="IC142" i="1"/>
  <c r="ID142" i="1"/>
  <c r="IE142" i="1"/>
  <c r="II142" i="1"/>
  <c r="IJ142" i="1"/>
  <c r="IK142" i="1"/>
  <c r="IL142" i="1"/>
  <c r="IM142" i="1"/>
  <c r="IN142" i="1"/>
  <c r="IO142" i="1"/>
  <c r="IP142" i="1"/>
  <c r="IQ142" i="1"/>
  <c r="IR142" i="1"/>
  <c r="IU142" i="1"/>
  <c r="IV142" i="1"/>
  <c r="IW142" i="1"/>
  <c r="IX142" i="1"/>
  <c r="IY142" i="1"/>
  <c r="IZ142" i="1"/>
  <c r="JA142" i="1"/>
  <c r="JB142" i="1"/>
  <c r="JC142" i="1"/>
  <c r="JD142" i="1"/>
  <c r="JE142" i="1"/>
  <c r="JF142" i="1"/>
  <c r="JG142" i="1"/>
  <c r="JH142" i="1"/>
  <c r="JI142" i="1"/>
  <c r="JJ142" i="1"/>
  <c r="JK142" i="1"/>
  <c r="JL142" i="1"/>
  <c r="JM142" i="1"/>
  <c r="JN142" i="1"/>
  <c r="JO142" i="1"/>
  <c r="JP142" i="1"/>
  <c r="JQ142" i="1"/>
  <c r="GU143" i="1"/>
  <c r="GV143" i="1"/>
  <c r="GW143" i="1"/>
  <c r="GX143" i="1"/>
  <c r="GY143" i="1"/>
  <c r="GZ143" i="1"/>
  <c r="HB143" i="1"/>
  <c r="HC143" i="1"/>
  <c r="HE143" i="1"/>
  <c r="HF143" i="1"/>
  <c r="HV143" i="1"/>
  <c r="HW143" i="1"/>
  <c r="HX143" i="1"/>
  <c r="HY143" i="1"/>
  <c r="HZ143" i="1"/>
  <c r="IA143" i="1"/>
  <c r="IB143" i="1"/>
  <c r="IC143" i="1"/>
  <c r="ID143" i="1"/>
  <c r="IE143" i="1"/>
  <c r="IJ143" i="1"/>
  <c r="IK143" i="1"/>
  <c r="IL143" i="1"/>
  <c r="IO143" i="1"/>
  <c r="IR143" i="1"/>
  <c r="IU143" i="1"/>
  <c r="IV143" i="1"/>
  <c r="IW143" i="1"/>
  <c r="IX143" i="1"/>
  <c r="IY143" i="1"/>
  <c r="IZ143" i="1"/>
  <c r="JA143" i="1"/>
  <c r="JB143" i="1"/>
  <c r="JC143" i="1"/>
  <c r="JD143" i="1"/>
  <c r="JE143" i="1"/>
  <c r="JF143" i="1"/>
  <c r="JG143" i="1"/>
  <c r="JH143" i="1"/>
  <c r="JI143" i="1"/>
  <c r="JJ143" i="1"/>
  <c r="JK143" i="1"/>
  <c r="JL143" i="1"/>
  <c r="JM143" i="1"/>
  <c r="JN143" i="1"/>
  <c r="JP143" i="1"/>
  <c r="JQ143" i="1"/>
  <c r="GU144" i="1"/>
  <c r="GV144" i="1"/>
  <c r="GW144" i="1"/>
  <c r="GX144" i="1"/>
  <c r="GY144" i="1"/>
  <c r="GZ144" i="1"/>
  <c r="HB144" i="1"/>
  <c r="HC144" i="1"/>
  <c r="HE144" i="1"/>
  <c r="HF144" i="1"/>
  <c r="HV144" i="1"/>
  <c r="HW144" i="1"/>
  <c r="HX144" i="1"/>
  <c r="HY144" i="1"/>
  <c r="HZ144" i="1"/>
  <c r="IA144" i="1"/>
  <c r="IB144" i="1"/>
  <c r="IC144" i="1"/>
  <c r="ID144" i="1"/>
  <c r="IE144" i="1"/>
  <c r="IJ144" i="1"/>
  <c r="IK144" i="1"/>
  <c r="IO144" i="1"/>
  <c r="IR144" i="1"/>
  <c r="IS144" i="1"/>
  <c r="IU144" i="1"/>
  <c r="IV144" i="1"/>
  <c r="IW144" i="1"/>
  <c r="IX144" i="1"/>
  <c r="IY144" i="1"/>
  <c r="IZ144" i="1"/>
  <c r="JA144" i="1"/>
  <c r="JB144" i="1"/>
  <c r="JC144" i="1"/>
  <c r="JE144" i="1"/>
  <c r="JG144" i="1"/>
  <c r="JI144" i="1"/>
  <c r="JJ144" i="1"/>
  <c r="JK144" i="1"/>
  <c r="JL144" i="1"/>
  <c r="JM144" i="1"/>
  <c r="JN144" i="1"/>
  <c r="JP144" i="1"/>
  <c r="JQ144" i="1"/>
  <c r="JR144" i="1"/>
  <c r="GU145" i="1"/>
  <c r="GV145" i="1"/>
  <c r="GX145" i="1"/>
  <c r="GY145" i="1"/>
  <c r="GZ145" i="1"/>
  <c r="HB145" i="1"/>
  <c r="HC145" i="1"/>
  <c r="HE145" i="1"/>
  <c r="HF145" i="1"/>
  <c r="HV145" i="1"/>
  <c r="HW145" i="1"/>
  <c r="HX145" i="1"/>
  <c r="HY145" i="1"/>
  <c r="HZ145" i="1"/>
  <c r="IA145" i="1"/>
  <c r="IB145" i="1"/>
  <c r="IC145" i="1"/>
  <c r="ID145" i="1"/>
  <c r="IE145" i="1"/>
  <c r="IJ145" i="1"/>
  <c r="IK145" i="1"/>
  <c r="IL145" i="1"/>
  <c r="IO145" i="1"/>
  <c r="IR145" i="1"/>
  <c r="IU145" i="1"/>
  <c r="IV145" i="1"/>
  <c r="IW145" i="1"/>
  <c r="IX145" i="1"/>
  <c r="IY145" i="1"/>
  <c r="IZ145" i="1"/>
  <c r="JA145" i="1"/>
  <c r="JB145" i="1"/>
  <c r="JC145" i="1"/>
  <c r="JD145" i="1"/>
  <c r="JE145" i="1"/>
  <c r="JF145" i="1"/>
  <c r="JG145" i="1"/>
  <c r="JH145" i="1"/>
  <c r="JI145" i="1"/>
  <c r="JJ145" i="1"/>
  <c r="JK145" i="1"/>
  <c r="JL145" i="1"/>
  <c r="JM145" i="1"/>
  <c r="JN145" i="1"/>
  <c r="JO145" i="1"/>
  <c r="JP145" i="1"/>
  <c r="JQ145" i="1"/>
  <c r="JR145" i="1"/>
  <c r="GU146" i="1"/>
  <c r="GV146" i="1"/>
  <c r="GW146" i="1"/>
  <c r="GX146" i="1"/>
  <c r="GY146" i="1"/>
  <c r="GZ146" i="1"/>
  <c r="HB146" i="1"/>
  <c r="HC146" i="1"/>
  <c r="HE146" i="1"/>
  <c r="HF146" i="1"/>
  <c r="HV146" i="1"/>
  <c r="HW146" i="1"/>
  <c r="HX146" i="1"/>
  <c r="HY146" i="1"/>
  <c r="HZ146" i="1"/>
  <c r="IA146" i="1"/>
  <c r="IB146" i="1"/>
  <c r="IC146" i="1"/>
  <c r="ID146" i="1"/>
  <c r="IE146" i="1"/>
  <c r="IJ146" i="1"/>
  <c r="IK146" i="1"/>
  <c r="IL146" i="1"/>
  <c r="IO146" i="1"/>
  <c r="IP146" i="1"/>
  <c r="IQ146" i="1"/>
  <c r="IR146" i="1"/>
  <c r="IS146" i="1"/>
  <c r="IU146" i="1"/>
  <c r="IV146" i="1"/>
  <c r="IW146" i="1"/>
  <c r="IX146" i="1"/>
  <c r="IY146" i="1"/>
  <c r="IZ146" i="1"/>
  <c r="JA146" i="1"/>
  <c r="JB146" i="1"/>
  <c r="JC146" i="1"/>
  <c r="JD146" i="1"/>
  <c r="JE146" i="1"/>
  <c r="JF146" i="1"/>
  <c r="JG146" i="1"/>
  <c r="JH146" i="1"/>
  <c r="JI146" i="1"/>
  <c r="JJ146" i="1"/>
  <c r="JK146" i="1"/>
  <c r="JL146" i="1"/>
  <c r="JM146" i="1"/>
  <c r="JN146" i="1"/>
  <c r="JO146" i="1"/>
  <c r="JP146" i="1"/>
  <c r="JQ146" i="1"/>
  <c r="JR146" i="1"/>
  <c r="GW205" i="1"/>
  <c r="GW204" i="1"/>
  <c r="HA205" i="1"/>
  <c r="HA204" i="1"/>
  <c r="HB205" i="1"/>
  <c r="HB204" i="1"/>
  <c r="HC205" i="1"/>
  <c r="HC204" i="1"/>
  <c r="HD205" i="1"/>
  <c r="HD204" i="1"/>
  <c r="HE205" i="1"/>
  <c r="HE204" i="1"/>
  <c r="HF205" i="1"/>
  <c r="HF204" i="1"/>
  <c r="HV205" i="1"/>
  <c r="HV204" i="1"/>
  <c r="HV199" i="1"/>
  <c r="HW205" i="1"/>
  <c r="HW204" i="1"/>
  <c r="HX205" i="1"/>
  <c r="HX204" i="1"/>
  <c r="HX199" i="1"/>
  <c r="HY205" i="1"/>
  <c r="HY204" i="1"/>
  <c r="IA205" i="1"/>
  <c r="IA204" i="1"/>
  <c r="IB205" i="1"/>
  <c r="IB204" i="1"/>
  <c r="IC205" i="1"/>
  <c r="IC204" i="1"/>
  <c r="ID205" i="1"/>
  <c r="ID204" i="1"/>
  <c r="IE205" i="1"/>
  <c r="IE204" i="1"/>
  <c r="II205" i="1"/>
  <c r="II204" i="1"/>
  <c r="IJ205" i="1"/>
  <c r="IJ204" i="1"/>
  <c r="IL205" i="1"/>
  <c r="IL204" i="1"/>
  <c r="IR205" i="1"/>
  <c r="IR204" i="1"/>
  <c r="IR199" i="1"/>
  <c r="IX205" i="1"/>
  <c r="IX204" i="1"/>
  <c r="IX199" i="1"/>
  <c r="IY205" i="1"/>
  <c r="IY204" i="1"/>
  <c r="IY199" i="1"/>
  <c r="JA205" i="1"/>
  <c r="JA204" i="1"/>
  <c r="JA199" i="1"/>
  <c r="JB205" i="1"/>
  <c r="JB204" i="1"/>
  <c r="JB199" i="1"/>
  <c r="JD205" i="1"/>
  <c r="JD204" i="1"/>
  <c r="JD199" i="1"/>
  <c r="JE205" i="1"/>
  <c r="JE204" i="1"/>
  <c r="JE199" i="1"/>
  <c r="JG205" i="1"/>
  <c r="JG204" i="1"/>
  <c r="JG199" i="1"/>
  <c r="JH205" i="1"/>
  <c r="JH204" i="1"/>
  <c r="JH199" i="1"/>
  <c r="JM205" i="1"/>
  <c r="JM204" i="1"/>
  <c r="JN205" i="1"/>
  <c r="JN204" i="1"/>
  <c r="JO205" i="1"/>
  <c r="JO204" i="1"/>
  <c r="JP205" i="1"/>
  <c r="JP204" i="1"/>
  <c r="JQ205" i="1"/>
  <c r="JQ204" i="1"/>
  <c r="JR205" i="1"/>
  <c r="JR204" i="1"/>
  <c r="HA227" i="1"/>
  <c r="JX247" i="1"/>
  <c r="C251" i="1"/>
  <c r="D16" i="41"/>
  <c r="HB251" i="1"/>
  <c r="HC251" i="1"/>
  <c r="HD251" i="1"/>
  <c r="HE251" i="1"/>
  <c r="HF251" i="1"/>
  <c r="ID251" i="1"/>
  <c r="IE251" i="1"/>
  <c r="JP251" i="1"/>
  <c r="JQ251" i="1"/>
  <c r="C259" i="1"/>
  <c r="HB259" i="1"/>
  <c r="HC259" i="1"/>
  <c r="HD259" i="1"/>
  <c r="HF259" i="1"/>
  <c r="ID259" i="1"/>
  <c r="IE259" i="1"/>
  <c r="JP259" i="1"/>
  <c r="JQ259" i="1"/>
  <c r="JR259" i="1"/>
  <c r="C267" i="1"/>
  <c r="GU267" i="1"/>
  <c r="GV267" i="1"/>
  <c r="GW267" i="1"/>
  <c r="GX267" i="1"/>
  <c r="GY267" i="1"/>
  <c r="GZ267" i="1"/>
  <c r="HA267" i="1"/>
  <c r="HB267" i="1"/>
  <c r="HC267" i="1"/>
  <c r="HD267" i="1"/>
  <c r="HE267" i="1"/>
  <c r="HF267" i="1"/>
  <c r="ID267" i="1"/>
  <c r="IE267" i="1"/>
  <c r="JP267" i="1"/>
  <c r="JQ267" i="1"/>
  <c r="JR267" i="1"/>
  <c r="ID279" i="1"/>
  <c r="IE279" i="1"/>
  <c r="IE273" i="1"/>
  <c r="JP279" i="1"/>
  <c r="JP273" i="1"/>
  <c r="JQ279" i="1"/>
  <c r="C358" i="1"/>
  <c r="GU358" i="1"/>
  <c r="GV358" i="1"/>
  <c r="GW358" i="1"/>
  <c r="GX358" i="1"/>
  <c r="GY358" i="1"/>
  <c r="GZ358" i="1"/>
  <c r="HA358" i="1"/>
  <c r="HA347" i="1"/>
  <c r="HB358" i="1"/>
  <c r="HC358" i="1"/>
  <c r="HD358" i="1"/>
  <c r="HE358" i="1"/>
  <c r="HF358" i="1"/>
  <c r="ID358" i="1"/>
  <c r="IE358" i="1"/>
  <c r="IE347" i="1"/>
  <c r="JP358" i="1"/>
  <c r="JQ358" i="1"/>
  <c r="JR358" i="1"/>
  <c r="C368" i="1"/>
  <c r="C366" i="1"/>
  <c r="GU368" i="1"/>
  <c r="GV368" i="1"/>
  <c r="GW368" i="1"/>
  <c r="GX368" i="1"/>
  <c r="GY368" i="1"/>
  <c r="GZ368" i="1"/>
  <c r="HA368" i="1"/>
  <c r="HB368" i="1"/>
  <c r="HC368" i="1"/>
  <c r="HD368" i="1"/>
  <c r="HE368" i="1"/>
  <c r="HF368" i="1"/>
  <c r="ID368" i="1"/>
  <c r="ID366" i="1"/>
  <c r="IE368" i="1"/>
  <c r="JP368" i="1"/>
  <c r="JQ368" i="1"/>
  <c r="JR368" i="1"/>
  <c r="C386" i="1"/>
  <c r="GU386" i="1"/>
  <c r="GV386" i="1"/>
  <c r="GW386" i="1"/>
  <c r="GX386" i="1"/>
  <c r="GY386" i="1"/>
  <c r="GZ386" i="1"/>
  <c r="HA386" i="1"/>
  <c r="HB386" i="1"/>
  <c r="HC386" i="1"/>
  <c r="HD386" i="1"/>
  <c r="HE386" i="1"/>
  <c r="HF386" i="1"/>
  <c r="HF378" i="1"/>
  <c r="ID386" i="1"/>
  <c r="ID378" i="1"/>
  <c r="IE386" i="1"/>
  <c r="IE378" i="1"/>
  <c r="JP386" i="1"/>
  <c r="JQ386" i="1"/>
  <c r="C401" i="1"/>
  <c r="GV401" i="1"/>
  <c r="GW401" i="1"/>
  <c r="GX401" i="1"/>
  <c r="GY401" i="1"/>
  <c r="GZ401" i="1"/>
  <c r="HA401" i="1"/>
  <c r="HB401" i="1"/>
  <c r="HC401" i="1"/>
  <c r="HD401" i="1"/>
  <c r="HE401" i="1"/>
  <c r="HF401" i="1"/>
  <c r="ID401" i="1"/>
  <c r="IE401" i="1"/>
  <c r="JP401" i="1"/>
  <c r="JQ401" i="1"/>
  <c r="JR401" i="1"/>
  <c r="C406" i="1"/>
  <c r="GU406" i="1"/>
  <c r="GV406" i="1"/>
  <c r="GW406" i="1"/>
  <c r="GX406" i="1"/>
  <c r="GY406" i="1"/>
  <c r="GZ406" i="1"/>
  <c r="HA406" i="1"/>
  <c r="HB406" i="1"/>
  <c r="HC406" i="1"/>
  <c r="HD406" i="1"/>
  <c r="HE406" i="1"/>
  <c r="HF406" i="1"/>
  <c r="ID406" i="1"/>
  <c r="IE406" i="1"/>
  <c r="JP406" i="1"/>
  <c r="JQ406" i="1"/>
  <c r="JR406" i="1"/>
  <c r="C419" i="1"/>
  <c r="GU419" i="1"/>
  <c r="GV419" i="1"/>
  <c r="GW419" i="1"/>
  <c r="GX419" i="1"/>
  <c r="GY419" i="1"/>
  <c r="GZ419" i="1"/>
  <c r="HA419" i="1"/>
  <c r="HB419" i="1"/>
  <c r="HC419" i="1"/>
  <c r="HD419" i="1"/>
  <c r="HE419" i="1"/>
  <c r="HF419" i="1"/>
  <c r="ID419" i="1"/>
  <c r="IE419" i="1"/>
  <c r="JP419" i="1"/>
  <c r="JQ419" i="1"/>
  <c r="JR419" i="1"/>
  <c r="GU439" i="1"/>
  <c r="GV439" i="1"/>
  <c r="GW439" i="1"/>
  <c r="GX439" i="1"/>
  <c r="GY439" i="1"/>
  <c r="GZ439" i="1"/>
  <c r="HA439" i="1"/>
  <c r="HB439" i="1"/>
  <c r="HC439" i="1"/>
  <c r="HD439" i="1"/>
  <c r="HE439" i="1"/>
  <c r="HF439" i="1"/>
  <c r="C451" i="1"/>
  <c r="GU451" i="1"/>
  <c r="GV451" i="1"/>
  <c r="GW451" i="1"/>
  <c r="GX451" i="1"/>
  <c r="GY451" i="1"/>
  <c r="GZ451" i="1"/>
  <c r="HA451" i="1"/>
  <c r="HB451" i="1"/>
  <c r="HC451" i="1"/>
  <c r="HD451" i="1"/>
  <c r="HE451" i="1"/>
  <c r="HF451" i="1"/>
  <c r="ID451" i="1"/>
  <c r="IE451" i="1"/>
  <c r="JP451" i="1"/>
  <c r="JQ451" i="1"/>
  <c r="JR451" i="1"/>
  <c r="C458" i="1"/>
  <c r="GU458" i="1"/>
  <c r="GV458" i="1"/>
  <c r="GW458" i="1"/>
  <c r="GX458" i="1"/>
  <c r="GY458" i="1"/>
  <c r="GZ458" i="1"/>
  <c r="HA458" i="1"/>
  <c r="HB458" i="1"/>
  <c r="HC458" i="1"/>
  <c r="HD458" i="1"/>
  <c r="HE458" i="1"/>
  <c r="HF458" i="1"/>
  <c r="ID458" i="1"/>
  <c r="IE458" i="1"/>
  <c r="JP458" i="1"/>
  <c r="JQ458" i="1"/>
  <c r="JR458" i="1"/>
  <c r="GV464" i="1"/>
  <c r="GW464" i="1"/>
  <c r="GX464" i="1"/>
  <c r="GY464" i="1"/>
  <c r="GZ464" i="1"/>
  <c r="HA464" i="1"/>
  <c r="HB464" i="1"/>
  <c r="HC464" i="1"/>
  <c r="HD464" i="1"/>
  <c r="HE464" i="1"/>
  <c r="HF464" i="1"/>
  <c r="IE464" i="1"/>
  <c r="JQ464" i="1"/>
  <c r="JR464" i="1"/>
  <c r="C482" i="1"/>
  <c r="GU482" i="1"/>
  <c r="GV482" i="1"/>
  <c r="GX482" i="1"/>
  <c r="GY482" i="1"/>
  <c r="GZ482" i="1"/>
  <c r="HA482" i="1"/>
  <c r="HB482" i="1"/>
  <c r="HC482" i="1"/>
  <c r="HD482" i="1"/>
  <c r="HE482" i="1"/>
  <c r="HF482" i="1"/>
  <c r="ID482" i="1"/>
  <c r="IE482" i="1"/>
  <c r="JP482" i="1"/>
  <c r="JQ482" i="1"/>
  <c r="C488" i="1"/>
  <c r="GU488" i="1"/>
  <c r="GV488" i="1"/>
  <c r="GW488" i="1"/>
  <c r="GX488" i="1"/>
  <c r="GY488" i="1"/>
  <c r="GZ488" i="1"/>
  <c r="HA488" i="1"/>
  <c r="HB488" i="1"/>
  <c r="HC488" i="1"/>
  <c r="HD488" i="1"/>
  <c r="HE488" i="1"/>
  <c r="HF488" i="1"/>
  <c r="ID488" i="1"/>
  <c r="IE488" i="1"/>
  <c r="JP488" i="1"/>
  <c r="JQ488" i="1"/>
  <c r="JR488" i="1"/>
  <c r="C535" i="1"/>
  <c r="KF45" i="1"/>
  <c r="KF71" i="1"/>
  <c r="GU535" i="1"/>
  <c r="GU530" i="1"/>
  <c r="HA535" i="1"/>
  <c r="HA530" i="1"/>
  <c r="HB535" i="1"/>
  <c r="HB530" i="1"/>
  <c r="HC535" i="1"/>
  <c r="HC530" i="1"/>
  <c r="HD535" i="1"/>
  <c r="HD530" i="1"/>
  <c r="HE535" i="1"/>
  <c r="HE530" i="1"/>
  <c r="HF535" i="1"/>
  <c r="HF530" i="1"/>
  <c r="ID535" i="1"/>
  <c r="IE535" i="1"/>
  <c r="JP535" i="1"/>
  <c r="JQ535" i="1"/>
  <c r="JR535" i="1"/>
  <c r="C581" i="1"/>
  <c r="GU581" i="1"/>
  <c r="GV581" i="1"/>
  <c r="GW581" i="1"/>
  <c r="GX581" i="1"/>
  <c r="GY581" i="1"/>
  <c r="GY600" i="1"/>
  <c r="GZ581" i="1"/>
  <c r="HA581" i="1"/>
  <c r="HB581" i="1"/>
  <c r="HC581" i="1"/>
  <c r="HD581" i="1"/>
  <c r="HE581" i="1"/>
  <c r="HF581" i="1"/>
  <c r="ID581" i="1"/>
  <c r="IE581" i="1"/>
  <c r="JR581" i="1"/>
  <c r="D23" i="33"/>
  <c r="C592" i="1"/>
  <c r="GU592" i="1"/>
  <c r="GV592" i="1"/>
  <c r="GW592" i="1"/>
  <c r="GX592" i="1"/>
  <c r="GY592" i="1"/>
  <c r="GZ592" i="1"/>
  <c r="HA592" i="1"/>
  <c r="HB592" i="1"/>
  <c r="HC592" i="1"/>
  <c r="HD592" i="1"/>
  <c r="HE592" i="1"/>
  <c r="HF592" i="1"/>
  <c r="ID592" i="1"/>
  <c r="IE592" i="1"/>
  <c r="JP592" i="1"/>
  <c r="JQ592" i="1"/>
  <c r="JR592" i="1"/>
  <c r="C600" i="1"/>
  <c r="GU600" i="1"/>
  <c r="GV600" i="1"/>
  <c r="GW600" i="1"/>
  <c r="GX600" i="1"/>
  <c r="GZ600" i="1"/>
  <c r="HA600" i="1"/>
  <c r="HB600" i="1"/>
  <c r="HC600" i="1"/>
  <c r="HD600" i="1"/>
  <c r="HE600" i="1"/>
  <c r="HF600" i="1"/>
  <c r="ID600" i="1"/>
  <c r="ID579" i="1"/>
  <c r="IE600" i="1"/>
  <c r="JP600" i="1"/>
  <c r="JQ600" i="1"/>
  <c r="JR600" i="1"/>
  <c r="C606" i="1"/>
  <c r="GU606" i="1"/>
  <c r="GV606" i="1"/>
  <c r="GW606" i="1"/>
  <c r="GX606" i="1"/>
  <c r="GY606" i="1"/>
  <c r="GZ606" i="1"/>
  <c r="HA606" i="1"/>
  <c r="HB606" i="1"/>
  <c r="HC606" i="1"/>
  <c r="HD606" i="1"/>
  <c r="HE606" i="1"/>
  <c r="HF606" i="1"/>
  <c r="ID606" i="1"/>
  <c r="IE606" i="1"/>
  <c r="JP606" i="1"/>
  <c r="JQ606" i="1"/>
  <c r="JR606" i="1"/>
  <c r="C613" i="1"/>
  <c r="C611" i="1"/>
  <c r="GU613" i="1"/>
  <c r="GV613" i="1"/>
  <c r="GV611" i="1"/>
  <c r="GX613" i="1"/>
  <c r="GX611" i="1"/>
  <c r="GY613" i="1"/>
  <c r="GZ613" i="1"/>
  <c r="GZ611" i="1"/>
  <c r="HA613" i="1"/>
  <c r="HA611" i="1"/>
  <c r="HB613" i="1"/>
  <c r="HB611" i="1"/>
  <c r="HC613" i="1"/>
  <c r="HD613" i="1"/>
  <c r="HD611" i="1"/>
  <c r="HE613" i="1"/>
  <c r="HE611" i="1"/>
  <c r="HF613" i="1"/>
  <c r="HF611" i="1"/>
  <c r="ID613" i="1"/>
  <c r="IE613" i="1"/>
  <c r="IE611" i="1"/>
  <c r="JP613" i="1"/>
  <c r="JP611" i="1"/>
  <c r="JQ613" i="1"/>
  <c r="JQ611" i="1"/>
  <c r="JR613" i="1"/>
  <c r="JR611" i="1"/>
  <c r="C621" i="1"/>
  <c r="GU621" i="1"/>
  <c r="GU619" i="1"/>
  <c r="GV621" i="1"/>
  <c r="GV619" i="1"/>
  <c r="GW621" i="1"/>
  <c r="GW619" i="1"/>
  <c r="GX621" i="1"/>
  <c r="GX619" i="1"/>
  <c r="GY621" i="1"/>
  <c r="GY619" i="1"/>
  <c r="GZ621" i="1"/>
  <c r="GZ619" i="1"/>
  <c r="HA621" i="1"/>
  <c r="HA619" i="1"/>
  <c r="HB621" i="1"/>
  <c r="HB619" i="1"/>
  <c r="HC621" i="1"/>
  <c r="HC619" i="1"/>
  <c r="HD621" i="1"/>
  <c r="HD619" i="1"/>
  <c r="HE621" i="1"/>
  <c r="HE619" i="1"/>
  <c r="HF621" i="1"/>
  <c r="HF619" i="1"/>
  <c r="ID621" i="1"/>
  <c r="IE621" i="1"/>
  <c r="IE619" i="1"/>
  <c r="JQ621" i="1"/>
  <c r="JQ619" i="1"/>
  <c r="JR621" i="1"/>
  <c r="C634" i="1"/>
  <c r="GU634" i="1"/>
  <c r="GV634" i="1"/>
  <c r="GW634" i="1"/>
  <c r="GX634" i="1"/>
  <c r="GY634" i="1"/>
  <c r="GZ634" i="1"/>
  <c r="HA634" i="1"/>
  <c r="HB634" i="1"/>
  <c r="HC634" i="1"/>
  <c r="HD634" i="1"/>
  <c r="HE634" i="1"/>
  <c r="HF634" i="1"/>
  <c r="ID634" i="1"/>
  <c r="IE634" i="1"/>
  <c r="JP634" i="1"/>
  <c r="JQ634" i="1"/>
  <c r="JR634" i="1"/>
  <c r="JX634" i="1"/>
  <c r="C637" i="1"/>
  <c r="D33" i="41"/>
  <c r="GU637" i="1"/>
  <c r="GV637" i="1"/>
  <c r="GW637" i="1"/>
  <c r="GX637" i="1"/>
  <c r="GY637" i="1"/>
  <c r="GZ637" i="1"/>
  <c r="HA637" i="1"/>
  <c r="HB637" i="1"/>
  <c r="HC637" i="1"/>
  <c r="HD637" i="1"/>
  <c r="HE637" i="1"/>
  <c r="HF637" i="1"/>
  <c r="ID637" i="1"/>
  <c r="IE637" i="1"/>
  <c r="JP637" i="1"/>
  <c r="JQ637" i="1"/>
  <c r="JR637" i="1"/>
  <c r="C645" i="1"/>
  <c r="D34" i="41"/>
  <c r="GU645" i="1"/>
  <c r="GV645" i="1"/>
  <c r="GW645" i="1"/>
  <c r="GX645" i="1"/>
  <c r="GY645" i="1"/>
  <c r="GZ645" i="1"/>
  <c r="HA645" i="1"/>
  <c r="HB645" i="1"/>
  <c r="HC645" i="1"/>
  <c r="HD645" i="1"/>
  <c r="HE645" i="1"/>
  <c r="HF645" i="1"/>
  <c r="ID645" i="1"/>
  <c r="IE645" i="1"/>
  <c r="JP645" i="1"/>
  <c r="JQ645" i="1"/>
  <c r="JR645" i="1"/>
  <c r="JB22" i="1"/>
  <c r="JB21" i="1"/>
  <c r="JB28" i="1"/>
  <c r="AC23" i="12"/>
  <c r="AC21" i="12"/>
  <c r="E14" i="19"/>
  <c r="F14" i="19"/>
  <c r="KH50" i="1"/>
  <c r="KH73" i="1"/>
  <c r="G14" i="14"/>
  <c r="G18" i="37"/>
  <c r="D57" i="12"/>
  <c r="D56" i="12"/>
  <c r="D55" i="12"/>
  <c r="G21" i="13"/>
  <c r="G20" i="37"/>
  <c r="G20" i="14"/>
  <c r="G11" i="37"/>
  <c r="G12" i="37"/>
  <c r="G12" i="13"/>
  <c r="G15" i="37"/>
  <c r="G17" i="37"/>
  <c r="G17" i="14"/>
  <c r="I14" i="34"/>
  <c r="G15" i="13"/>
  <c r="AN35" i="12"/>
  <c r="I29" i="14"/>
  <c r="I28" i="14"/>
  <c r="KK50" i="1"/>
  <c r="G45" i="12"/>
  <c r="G44" i="12"/>
  <c r="H45" i="12"/>
  <c r="H44" i="12"/>
  <c r="I45" i="12"/>
  <c r="I44" i="12"/>
  <c r="J45" i="12"/>
  <c r="J44" i="12"/>
  <c r="K45" i="12"/>
  <c r="K44" i="12"/>
  <c r="L45" i="12"/>
  <c r="L44" i="12"/>
  <c r="M45" i="12"/>
  <c r="M44" i="12"/>
  <c r="N45" i="12"/>
  <c r="N44" i="12"/>
  <c r="O45" i="12"/>
  <c r="O44" i="12"/>
  <c r="P45" i="12"/>
  <c r="P44" i="12"/>
  <c r="Q45" i="12"/>
  <c r="Q44" i="12"/>
  <c r="R45" i="12"/>
  <c r="R44" i="12"/>
  <c r="T45" i="12"/>
  <c r="AF45" i="12"/>
  <c r="AF44" i="12"/>
  <c r="AN46" i="12"/>
  <c r="AN45" i="12"/>
  <c r="AN44" i="12"/>
  <c r="U45" i="12"/>
  <c r="U44" i="12"/>
  <c r="V45" i="12"/>
  <c r="V44" i="12"/>
  <c r="W45" i="12"/>
  <c r="W44" i="12"/>
  <c r="X45" i="12"/>
  <c r="X44" i="12"/>
  <c r="Y45" i="12"/>
  <c r="Y44" i="12"/>
  <c r="Z45" i="12"/>
  <c r="Z44" i="12"/>
  <c r="AA45" i="12"/>
  <c r="AA44" i="12"/>
  <c r="AB45" i="12"/>
  <c r="AB44" i="12"/>
  <c r="AC45" i="12"/>
  <c r="AC44" i="12"/>
  <c r="AD45" i="12"/>
  <c r="AD44" i="12"/>
  <c r="AE45" i="12"/>
  <c r="AE44" i="12"/>
  <c r="AG45" i="12"/>
  <c r="AG44" i="12"/>
  <c r="W52" i="12"/>
  <c r="W51" i="12"/>
  <c r="W50" i="12"/>
  <c r="W48" i="12"/>
  <c r="I26" i="14"/>
  <c r="I15" i="14"/>
  <c r="IM19" i="1"/>
  <c r="KI25" i="1"/>
  <c r="KI64" i="1"/>
  <c r="GQ634" i="1"/>
  <c r="E36" i="12"/>
  <c r="C23" i="32"/>
  <c r="G18" i="13"/>
  <c r="D34" i="12"/>
  <c r="D27" i="12"/>
  <c r="E42" i="12"/>
  <c r="C26" i="32"/>
  <c r="G21" i="14"/>
  <c r="D40" i="12"/>
  <c r="D38" i="12"/>
  <c r="D25" i="32"/>
  <c r="AM13" i="12"/>
  <c r="I21" i="12"/>
  <c r="D15" i="32"/>
  <c r="D14" i="32"/>
  <c r="G31" i="33"/>
  <c r="JY361" i="1"/>
  <c r="U23" i="12"/>
  <c r="IL144" i="1"/>
  <c r="E22" i="31"/>
  <c r="H22" i="31"/>
  <c r="IO32" i="1"/>
  <c r="D22" i="32"/>
  <c r="D21" i="32"/>
  <c r="AG25" i="12"/>
  <c r="KA84" i="1"/>
  <c r="IP19" i="1"/>
  <c r="S57" i="12"/>
  <c r="S56" i="12"/>
  <c r="S55" i="12"/>
  <c r="I29" i="13"/>
  <c r="I28" i="13"/>
  <c r="H29" i="14"/>
  <c r="H28" i="14"/>
  <c r="H29" i="13"/>
  <c r="H28" i="13"/>
  <c r="K28" i="13"/>
  <c r="H17" i="13"/>
  <c r="GQ368" i="1"/>
  <c r="KA368" i="1"/>
  <c r="HS22" i="1"/>
  <c r="HS26" i="1"/>
  <c r="HP149" i="1"/>
  <c r="E31" i="12"/>
  <c r="G15" i="14"/>
  <c r="T21" i="12"/>
  <c r="E32" i="12"/>
  <c r="AL32" i="12"/>
  <c r="G16" i="37"/>
  <c r="G16" i="14"/>
  <c r="J21" i="12"/>
  <c r="E30" i="12"/>
  <c r="G14" i="13"/>
  <c r="G14" i="37"/>
  <c r="G13" i="37"/>
  <c r="E25" i="32"/>
  <c r="AN41" i="12"/>
  <c r="E22" i="32"/>
  <c r="F22" i="32"/>
  <c r="I17" i="13"/>
  <c r="KI40" i="1"/>
  <c r="GQ613" i="1"/>
  <c r="KA613" i="1"/>
  <c r="KA64" i="1"/>
  <c r="HM106" i="1"/>
  <c r="JJ22" i="1"/>
  <c r="JJ21" i="1"/>
  <c r="GQ592" i="1"/>
  <c r="KA592" i="1"/>
  <c r="GQ397" i="1"/>
  <c r="KA397" i="1"/>
  <c r="HT57" i="1"/>
  <c r="I16" i="14"/>
  <c r="I14" i="13"/>
  <c r="H12" i="14"/>
  <c r="GQ361" i="1"/>
  <c r="KA361" i="1"/>
  <c r="HR118" i="1"/>
  <c r="KJ50" i="1"/>
  <c r="KJ73" i="1"/>
  <c r="GQ555" i="1"/>
  <c r="KA555" i="1"/>
  <c r="IB125" i="1"/>
  <c r="KG50" i="1"/>
  <c r="KG73" i="1"/>
  <c r="AD23" i="12"/>
  <c r="I21" i="14"/>
  <c r="I21" i="13"/>
  <c r="J21" i="13"/>
  <c r="I20" i="13"/>
  <c r="J20" i="13"/>
  <c r="E26" i="32"/>
  <c r="IF361" i="1"/>
  <c r="GQ354" i="1"/>
  <c r="H20" i="14"/>
  <c r="AH41" i="12"/>
  <c r="H14" i="13"/>
  <c r="H31" i="33"/>
  <c r="AN30" i="12"/>
  <c r="I14" i="14"/>
  <c r="C21" i="25"/>
  <c r="C7" i="25"/>
  <c r="JP621" i="1"/>
  <c r="JP84" i="1"/>
  <c r="JP19" i="1"/>
  <c r="IF375" i="1"/>
  <c r="HW106" i="1"/>
  <c r="IA106" i="1"/>
  <c r="JG118" i="1"/>
  <c r="IC149" i="1"/>
  <c r="JP149" i="1"/>
  <c r="JS572" i="1"/>
  <c r="JS571" i="1"/>
  <c r="JS569" i="1"/>
  <c r="JS567" i="1"/>
  <c r="JA106" i="1"/>
  <c r="HB67" i="1"/>
  <c r="JG106" i="1"/>
  <c r="IR149" i="1"/>
  <c r="ID155" i="1"/>
  <c r="HG170" i="1"/>
  <c r="JS502" i="1"/>
  <c r="JS169" i="1"/>
  <c r="KI39" i="1"/>
  <c r="F31" i="33"/>
  <c r="GQ645" i="1"/>
  <c r="KA645" i="1"/>
  <c r="JX581" i="1"/>
  <c r="JS565" i="1"/>
  <c r="JS238" i="1"/>
  <c r="IF555" i="1"/>
  <c r="HG150" i="1"/>
  <c r="HL149" i="1"/>
  <c r="HG128" i="1"/>
  <c r="HG116" i="1"/>
  <c r="GQ406" i="1"/>
  <c r="KA406" i="1"/>
  <c r="HG64" i="1"/>
  <c r="HG47" i="1"/>
  <c r="IX149" i="1"/>
  <c r="KG39" i="1"/>
  <c r="KG37" i="1"/>
  <c r="KG35" i="1"/>
  <c r="KJ39" i="1"/>
  <c r="KH39" i="1"/>
  <c r="KH37" i="1"/>
  <c r="KH35" i="1"/>
  <c r="KK39" i="1"/>
  <c r="E31" i="33"/>
  <c r="JS559" i="1"/>
  <c r="JS231" i="1"/>
  <c r="HR218" i="1"/>
  <c r="HH149" i="1"/>
  <c r="HQ106" i="1"/>
  <c r="HY106" i="1"/>
  <c r="JH77" i="1"/>
  <c r="JP77" i="1"/>
  <c r="JR77" i="1"/>
  <c r="D34" i="31"/>
  <c r="F34" i="31"/>
  <c r="HG231" i="1"/>
  <c r="KI29" i="1"/>
  <c r="HX77" i="1"/>
  <c r="IB77" i="1"/>
  <c r="HG176" i="1"/>
  <c r="HZ86" i="1"/>
  <c r="HT77" i="1"/>
  <c r="HP77" i="1"/>
  <c r="JZ182" i="1"/>
  <c r="II77" i="1"/>
  <c r="HC77" i="1"/>
  <c r="HG78" i="1"/>
  <c r="C14" i="30"/>
  <c r="KK40" i="1"/>
  <c r="KH68" i="1"/>
  <c r="JS553" i="1"/>
  <c r="JS222" i="1"/>
  <c r="JS356" i="1"/>
  <c r="JS355" i="1"/>
  <c r="JS220" i="1"/>
  <c r="JS550" i="1"/>
  <c r="JS219" i="1"/>
  <c r="KK29" i="1"/>
  <c r="HX118" i="1"/>
  <c r="HE118" i="1"/>
  <c r="HD149" i="1"/>
  <c r="HG100" i="1"/>
  <c r="IF238" i="1"/>
  <c r="HG375" i="1"/>
  <c r="JD131" i="1"/>
  <c r="HX131" i="1"/>
  <c r="C9" i="22"/>
  <c r="D9" i="22"/>
  <c r="E9" i="22"/>
  <c r="KJ29" i="1"/>
  <c r="JA111" i="1"/>
  <c r="B9" i="22"/>
  <c r="KF29" i="1"/>
  <c r="B8" i="26"/>
  <c r="E13" i="19"/>
  <c r="E20" i="32"/>
  <c r="H10" i="14"/>
  <c r="H27" i="12"/>
  <c r="H15" i="13"/>
  <c r="F17" i="12"/>
  <c r="F15" i="12"/>
  <c r="H11" i="13"/>
  <c r="H10" i="13"/>
  <c r="E58" i="12"/>
  <c r="E57" i="12"/>
  <c r="E56" i="12"/>
  <c r="E55" i="12"/>
  <c r="E14" i="34"/>
  <c r="AN32" i="12"/>
  <c r="I16" i="13"/>
  <c r="J16" i="13"/>
  <c r="AG57" i="12"/>
  <c r="AG56" i="12"/>
  <c r="AG55" i="12"/>
  <c r="D21" i="25"/>
  <c r="K27" i="12"/>
  <c r="K13" i="12"/>
  <c r="H17" i="14"/>
  <c r="R27" i="12"/>
  <c r="R13" i="12"/>
  <c r="P27" i="12"/>
  <c r="P13" i="12"/>
  <c r="N27" i="12"/>
  <c r="N13" i="12"/>
  <c r="N12" i="12"/>
  <c r="F29" i="12"/>
  <c r="JS465" i="1"/>
  <c r="HG132" i="1"/>
  <c r="HD63" i="1"/>
  <c r="IF158" i="1"/>
  <c r="GP354" i="1"/>
  <c r="GP358" i="1"/>
  <c r="JZ358" i="1"/>
  <c r="JZ121" i="1"/>
  <c r="JZ159" i="1"/>
  <c r="JZ237" i="1"/>
  <c r="GQ571" i="1"/>
  <c r="KA571" i="1"/>
  <c r="GP634" i="1"/>
  <c r="JZ634" i="1"/>
  <c r="GP637" i="1"/>
  <c r="GW613" i="1"/>
  <c r="GW611" i="1"/>
  <c r="GR333" i="1"/>
  <c r="GR356" i="1"/>
  <c r="GR392" i="1"/>
  <c r="GR407" i="1"/>
  <c r="GR424" i="1"/>
  <c r="GR91" i="1"/>
  <c r="GR440" i="1"/>
  <c r="GR452" i="1"/>
  <c r="GR119" i="1"/>
  <c r="GR455" i="1"/>
  <c r="GR122" i="1"/>
  <c r="GR467" i="1"/>
  <c r="GR134" i="1"/>
  <c r="GR470" i="1"/>
  <c r="GR137" i="1"/>
  <c r="GR475" i="1"/>
  <c r="GR142" i="1"/>
  <c r="GR479" i="1"/>
  <c r="GR146" i="1"/>
  <c r="GR474" i="1"/>
  <c r="GR141" i="1"/>
  <c r="GR476" i="1"/>
  <c r="GR143" i="1"/>
  <c r="GR480" i="1"/>
  <c r="GR477" i="1"/>
  <c r="GR144" i="1"/>
  <c r="GR478" i="1"/>
  <c r="GR145" i="1"/>
  <c r="GR546" i="1"/>
  <c r="GR553" i="1"/>
  <c r="GR222" i="1"/>
  <c r="GR565" i="1"/>
  <c r="GR238" i="1"/>
  <c r="GR594" i="1"/>
  <c r="GR598" i="1"/>
  <c r="GR604" i="1"/>
  <c r="GR383" i="1"/>
  <c r="GR49" i="1"/>
  <c r="GR343" i="1"/>
  <c r="GR191" i="1"/>
  <c r="GR371" i="1"/>
  <c r="KJ40" i="1"/>
  <c r="GR381" i="1"/>
  <c r="GR47" i="1"/>
  <c r="GR393" i="1"/>
  <c r="GR403" i="1"/>
  <c r="GR422" i="1"/>
  <c r="GR89" i="1"/>
  <c r="JZ91" i="1"/>
  <c r="GR445" i="1"/>
  <c r="GR112" i="1"/>
  <c r="GR448" i="1"/>
  <c r="GR115" i="1"/>
  <c r="JZ120" i="1"/>
  <c r="GR454" i="1"/>
  <c r="GR510" i="1"/>
  <c r="GR516" i="1"/>
  <c r="GR556" i="1"/>
  <c r="GR555" i="1"/>
  <c r="GQ581" i="1"/>
  <c r="GR430" i="1"/>
  <c r="GR97" i="1"/>
  <c r="GR590" i="1"/>
  <c r="GP625" i="1"/>
  <c r="JZ625" i="1"/>
  <c r="JS449" i="1"/>
  <c r="JS116" i="1"/>
  <c r="JS412" i="1"/>
  <c r="JS78" i="1"/>
  <c r="JS371" i="1"/>
  <c r="JS495" i="1"/>
  <c r="JS162" i="1"/>
  <c r="JS626" i="1"/>
  <c r="GT61" i="1"/>
  <c r="GT387" i="1"/>
  <c r="GT89" i="1"/>
  <c r="KA157" i="1"/>
  <c r="GT553" i="1"/>
  <c r="GT222" i="1"/>
  <c r="JS810" i="1"/>
  <c r="GT431" i="1"/>
  <c r="GT98" i="1"/>
  <c r="D19" i="32"/>
  <c r="M21" i="12"/>
  <c r="H21" i="12"/>
  <c r="AE21" i="12"/>
  <c r="KB556" i="1"/>
  <c r="JX231" i="1"/>
  <c r="KB559" i="1"/>
  <c r="JX47" i="1"/>
  <c r="KB381" i="1"/>
  <c r="KB47" i="1"/>
  <c r="KC47" i="1"/>
  <c r="KB622" i="1"/>
  <c r="KC622" i="1"/>
  <c r="KB461" i="1"/>
  <c r="KC461" i="1"/>
  <c r="JX237" i="1"/>
  <c r="KB564" i="1"/>
  <c r="KB237" i="1"/>
  <c r="KB565" i="1"/>
  <c r="KB238" i="1"/>
  <c r="KC238" i="1"/>
  <c r="GR625" i="1"/>
  <c r="JX78" i="1"/>
  <c r="JY182" i="1"/>
  <c r="JY185" i="1"/>
  <c r="JY184" i="1"/>
  <c r="JX191" i="1"/>
  <c r="JX87" i="1"/>
  <c r="JX152" i="1"/>
  <c r="KB486" i="1"/>
  <c r="KC486" i="1"/>
  <c r="KB551" i="1"/>
  <c r="KC551" i="1"/>
  <c r="JX220" i="1"/>
  <c r="GT356" i="1"/>
  <c r="GT65" i="1"/>
  <c r="KB473" i="1"/>
  <c r="JX196" i="1"/>
  <c r="KB550" i="1"/>
  <c r="KC550" i="1"/>
  <c r="JX219" i="1"/>
  <c r="KB552" i="1"/>
  <c r="JX84" i="1"/>
  <c r="IN193" i="1"/>
  <c r="IN158" i="1"/>
  <c r="IM144" i="1"/>
  <c r="IM145" i="1"/>
  <c r="IM120" i="1"/>
  <c r="IM108" i="1"/>
  <c r="IM53" i="1"/>
  <c r="E16" i="19"/>
  <c r="G16" i="19"/>
  <c r="I17" i="14"/>
  <c r="AH35" i="12"/>
  <c r="I11" i="14"/>
  <c r="IM26" i="1"/>
  <c r="IM28" i="1"/>
  <c r="HJ213" i="1"/>
  <c r="HJ205" i="1"/>
  <c r="HJ204" i="1"/>
  <c r="HJ199" i="1"/>
  <c r="JZ142" i="1"/>
  <c r="GQ259" i="1"/>
  <c r="KA259" i="1"/>
  <c r="IM56" i="1"/>
  <c r="IN58" i="1"/>
  <c r="IN152" i="1"/>
  <c r="IM156" i="1"/>
  <c r="IM161" i="1"/>
  <c r="JZ128" i="1"/>
  <c r="IF152" i="1"/>
  <c r="GR496" i="1"/>
  <c r="KA48" i="1"/>
  <c r="GR492" i="1"/>
  <c r="GR159" i="1"/>
  <c r="JS392" i="1"/>
  <c r="JZ126" i="1"/>
  <c r="GR544" i="1"/>
  <c r="GR524" i="1"/>
  <c r="H21" i="14"/>
  <c r="D17" i="19"/>
  <c r="F34" i="12"/>
  <c r="H16" i="14"/>
  <c r="AN18" i="12"/>
  <c r="AN31" i="12"/>
  <c r="AN42" i="12"/>
  <c r="AN53" i="12"/>
  <c r="AN52" i="12"/>
  <c r="AN51" i="12"/>
  <c r="AN50" i="12"/>
  <c r="HM17" i="1"/>
  <c r="S52" i="12"/>
  <c r="S51" i="12"/>
  <c r="S50" i="12"/>
  <c r="E11" i="19"/>
  <c r="G11" i="19"/>
  <c r="E18" i="32"/>
  <c r="F18" i="32"/>
  <c r="JS489" i="1"/>
  <c r="JS156" i="1"/>
  <c r="JS408" i="1"/>
  <c r="JS485" i="1"/>
  <c r="JS152" i="1"/>
  <c r="IF143" i="1"/>
  <c r="JS467" i="1"/>
  <c r="JS134" i="1"/>
  <c r="IO118" i="1"/>
  <c r="IP119" i="1"/>
  <c r="JS448" i="1"/>
  <c r="JS115" i="1"/>
  <c r="GR261" i="1"/>
  <c r="IK56" i="1"/>
  <c r="KA33" i="1"/>
  <c r="IP41" i="1"/>
  <c r="GP259" i="1"/>
  <c r="JZ259" i="1"/>
  <c r="IJ42" i="1"/>
  <c r="IQ34" i="1"/>
  <c r="IP34" i="1"/>
  <c r="IK41" i="1"/>
  <c r="IJ41" i="1"/>
  <c r="IP69" i="1"/>
  <c r="JZ134" i="1"/>
  <c r="GR429" i="1"/>
  <c r="GR96" i="1"/>
  <c r="IQ143" i="1"/>
  <c r="IN68" i="1"/>
  <c r="IP152" i="1"/>
  <c r="JS838" i="1"/>
  <c r="IP70" i="1"/>
  <c r="IQ73" i="1"/>
  <c r="GR588" i="1"/>
  <c r="GR24" i="1"/>
  <c r="HC149" i="1"/>
  <c r="IP137" i="1"/>
  <c r="GR423" i="1"/>
  <c r="GR90" i="1"/>
  <c r="GP613" i="1"/>
  <c r="JZ613" i="1"/>
  <c r="HK149" i="1"/>
  <c r="IO72" i="1"/>
  <c r="HC72" i="1"/>
  <c r="HG571" i="1"/>
  <c r="HG569" i="1"/>
  <c r="HG567" i="1"/>
  <c r="JS703" i="1"/>
  <c r="JS702" i="1"/>
  <c r="HN72" i="1"/>
  <c r="IT213" i="1"/>
  <c r="IT237" i="1"/>
  <c r="IT231" i="1"/>
  <c r="IT176" i="1"/>
  <c r="IT121" i="1"/>
  <c r="IT119" i="1"/>
  <c r="IT123" i="1"/>
  <c r="IT108" i="1"/>
  <c r="IT88" i="1"/>
  <c r="IT91" i="1"/>
  <c r="IT48" i="1"/>
  <c r="IT185" i="1"/>
  <c r="IT184" i="1"/>
  <c r="IR17" i="1"/>
  <c r="HK67" i="1"/>
  <c r="HA308" i="1"/>
  <c r="IF132" i="1"/>
  <c r="GP488" i="1"/>
  <c r="JZ488" i="1"/>
  <c r="IS48" i="1"/>
  <c r="IS161" i="1"/>
  <c r="IS74" i="1"/>
  <c r="IG78" i="1"/>
  <c r="IS88" i="1"/>
  <c r="IS115" i="1"/>
  <c r="IS121" i="1"/>
  <c r="IS127" i="1"/>
  <c r="IS156" i="1"/>
  <c r="IS73" i="1"/>
  <c r="IP75" i="1"/>
  <c r="IS151" i="1"/>
  <c r="IS157" i="1"/>
  <c r="IS158" i="1"/>
  <c r="IG161" i="1"/>
  <c r="IS153" i="1"/>
  <c r="KA585" i="1"/>
  <c r="IS75" i="1"/>
  <c r="GP645" i="1"/>
  <c r="JZ645" i="1"/>
  <c r="GR643" i="1"/>
  <c r="KI19" i="1"/>
  <c r="KI59" i="1"/>
  <c r="GR638" i="1"/>
  <c r="GR623" i="1"/>
  <c r="GR84" i="1"/>
  <c r="GR82" i="1"/>
  <c r="GR596" i="1"/>
  <c r="GR593" i="1"/>
  <c r="GR586" i="1"/>
  <c r="GR587" i="1"/>
  <c r="GR585" i="1"/>
  <c r="GP581" i="1"/>
  <c r="JZ581" i="1"/>
  <c r="GT556" i="1"/>
  <c r="GT555" i="1"/>
  <c r="GP555" i="1"/>
  <c r="JZ555" i="1"/>
  <c r="GR502" i="1"/>
  <c r="GR169" i="1"/>
  <c r="KA165" i="1"/>
  <c r="GR494" i="1"/>
  <c r="GR161" i="1"/>
  <c r="GR490" i="1"/>
  <c r="GR157" i="1"/>
  <c r="KA161" i="1"/>
  <c r="GR486" i="1"/>
  <c r="GR447" i="1"/>
  <c r="GR114" i="1"/>
  <c r="GR446" i="1"/>
  <c r="GR113" i="1"/>
  <c r="GR421" i="1"/>
  <c r="GR88" i="1"/>
  <c r="GR414" i="1"/>
  <c r="GR409" i="1"/>
  <c r="GR399" i="1"/>
  <c r="GQ386" i="1"/>
  <c r="KA386" i="1"/>
  <c r="GR384" i="1"/>
  <c r="GP368" i="1"/>
  <c r="JZ368" i="1"/>
  <c r="GT355" i="1"/>
  <c r="GR355" i="1"/>
  <c r="KI23" i="1"/>
  <c r="KI63" i="1"/>
  <c r="GR263" i="1"/>
  <c r="GR260" i="1"/>
  <c r="GR262" i="1"/>
  <c r="GR255" i="1"/>
  <c r="KA26" i="1"/>
  <c r="GR252" i="1"/>
  <c r="HJ118" i="1"/>
  <c r="HF72" i="1"/>
  <c r="GP482" i="1"/>
  <c r="JZ482" i="1"/>
  <c r="GP419" i="1"/>
  <c r="JZ419" i="1"/>
  <c r="I26" i="13"/>
  <c r="F22" i="31"/>
  <c r="C25" i="32"/>
  <c r="C24" i="32"/>
  <c r="IP165" i="1"/>
  <c r="IM107" i="1"/>
  <c r="IQ56" i="1"/>
  <c r="IP88" i="1"/>
  <c r="IP107" i="1"/>
  <c r="IP134" i="1"/>
  <c r="HL73" i="1"/>
  <c r="HL72" i="1"/>
  <c r="HM33" i="1"/>
  <c r="HQ34" i="1"/>
  <c r="HQ56" i="1"/>
  <c r="HQ31" i="1"/>
  <c r="JX621" i="1"/>
  <c r="KB621" i="1"/>
  <c r="HP67" i="1"/>
  <c r="KK38" i="1"/>
  <c r="KK37" i="1"/>
  <c r="KK35" i="1"/>
  <c r="S64" i="12"/>
  <c r="I12" i="14"/>
  <c r="D26" i="32"/>
  <c r="D24" i="32"/>
  <c r="AH42" i="12"/>
  <c r="H19" i="13"/>
  <c r="F40" i="12"/>
  <c r="H11" i="34"/>
  <c r="H14" i="14"/>
  <c r="AH32" i="12"/>
  <c r="D20" i="32"/>
  <c r="D17" i="32"/>
  <c r="D13" i="19"/>
  <c r="F21" i="12"/>
  <c r="HQ72" i="1"/>
  <c r="JY310" i="1"/>
  <c r="HQ17" i="1"/>
  <c r="HQ21" i="1"/>
  <c r="GR561" i="1"/>
  <c r="GR233" i="1"/>
  <c r="GQ558" i="1"/>
  <c r="KA558" i="1"/>
  <c r="GR431" i="1"/>
  <c r="GR98" i="1"/>
  <c r="GT393" i="1"/>
  <c r="GQ458" i="1"/>
  <c r="KA458" i="1"/>
  <c r="GR432" i="1"/>
  <c r="GR99" i="1"/>
  <c r="GR649" i="1"/>
  <c r="GR641" i="1"/>
  <c r="GR639" i="1"/>
  <c r="GT634" i="1"/>
  <c r="GQ625" i="1"/>
  <c r="KA625" i="1"/>
  <c r="GR601" i="1"/>
  <c r="GR602" i="1"/>
  <c r="GT572" i="1"/>
  <c r="GR520" i="1"/>
  <c r="GR189" i="1"/>
  <c r="GR518" i="1"/>
  <c r="GR514" i="1"/>
  <c r="KA127" i="1"/>
  <c r="GR459" i="1"/>
  <c r="GR126" i="1"/>
  <c r="GR462" i="1"/>
  <c r="KA90" i="1"/>
  <c r="KA87" i="1"/>
  <c r="GR404" i="1"/>
  <c r="GQ401" i="1"/>
  <c r="KA401" i="1"/>
  <c r="GR402" i="1"/>
  <c r="GR398" i="1"/>
  <c r="KA61" i="1"/>
  <c r="GR389" i="1"/>
  <c r="GR388" i="1"/>
  <c r="GR369" i="1"/>
  <c r="KI38" i="1"/>
  <c r="KI37" i="1"/>
  <c r="KI35" i="1"/>
  <c r="GQ305" i="1"/>
  <c r="GQ358" i="1"/>
  <c r="KA358" i="1"/>
  <c r="GR359" i="1"/>
  <c r="GR228" i="1"/>
  <c r="GR227" i="1"/>
  <c r="GT358" i="1"/>
  <c r="GR339" i="1"/>
  <c r="GT270" i="1"/>
  <c r="GT41" i="1"/>
  <c r="GR270" i="1"/>
  <c r="GR41" i="1"/>
  <c r="GR268" i="1"/>
  <c r="GR39" i="1"/>
  <c r="GR38" i="1"/>
  <c r="GR253" i="1"/>
  <c r="GT432" i="1"/>
  <c r="GT99" i="1"/>
  <c r="GT430" i="1"/>
  <c r="GT97" i="1"/>
  <c r="GT429" i="1"/>
  <c r="GT96" i="1"/>
  <c r="GR483" i="1"/>
  <c r="GR150" i="1"/>
  <c r="GR269" i="1"/>
  <c r="GP458" i="1"/>
  <c r="JZ458" i="1"/>
  <c r="GR647" i="1"/>
  <c r="GR413" i="1"/>
  <c r="GR411" i="1"/>
  <c r="GR461" i="1"/>
  <c r="GR128" i="1"/>
  <c r="GR484" i="1"/>
  <c r="GR151" i="1"/>
  <c r="E17" i="19"/>
  <c r="G17" i="19"/>
  <c r="AL42" i="12"/>
  <c r="Y27" i="12"/>
  <c r="E12" i="19"/>
  <c r="F12" i="19"/>
  <c r="AH18" i="12"/>
  <c r="E15" i="32"/>
  <c r="HG444" i="1"/>
  <c r="IF134" i="1"/>
  <c r="IF411" i="1"/>
  <c r="JS413" i="1"/>
  <c r="C14" i="19"/>
  <c r="G22" i="31"/>
  <c r="C20" i="32"/>
  <c r="C17" i="19"/>
  <c r="E53" i="12"/>
  <c r="AL53" i="12"/>
  <c r="T44" i="12"/>
  <c r="G20" i="13"/>
  <c r="G19" i="13"/>
  <c r="Z15" i="12"/>
  <c r="T15" i="12"/>
  <c r="G17" i="13"/>
  <c r="D52" i="12"/>
  <c r="D51" i="12"/>
  <c r="D50" i="12"/>
  <c r="X63" i="12"/>
  <c r="AE63" i="12"/>
  <c r="AA63" i="12"/>
  <c r="HP82" i="1"/>
  <c r="IQ193" i="1"/>
  <c r="IG146" i="1"/>
  <c r="JY101" i="1"/>
  <c r="IN61" i="1"/>
  <c r="IM75" i="1"/>
  <c r="IM72" i="1"/>
  <c r="KI17" i="1"/>
  <c r="KI58" i="1"/>
  <c r="IQ33" i="1"/>
  <c r="IP33" i="1"/>
  <c r="IF116" i="1"/>
  <c r="IN57" i="1"/>
  <c r="IT220" i="1"/>
  <c r="GR391" i="1"/>
  <c r="GQ451" i="1"/>
  <c r="KA451" i="1"/>
  <c r="AE48" i="12"/>
  <c r="C15" i="19"/>
  <c r="D17" i="12"/>
  <c r="D15" i="12"/>
  <c r="G11" i="14"/>
  <c r="ID541" i="1"/>
  <c r="HH94" i="1"/>
  <c r="GV151" i="1"/>
  <c r="IP158" i="1"/>
  <c r="IP112" i="1"/>
  <c r="IP127" i="1"/>
  <c r="GR395" i="1"/>
  <c r="GR61" i="1"/>
  <c r="HS21" i="1"/>
  <c r="HO30" i="1"/>
  <c r="KA108" i="1"/>
  <c r="KA119" i="1"/>
  <c r="HE218" i="1"/>
  <c r="HF131" i="1"/>
  <c r="JY725" i="1"/>
  <c r="JZ268" i="1"/>
  <c r="KB268" i="1"/>
  <c r="KC268" i="1"/>
  <c r="JZ269" i="1"/>
  <c r="JZ456" i="1"/>
  <c r="GR456" i="1"/>
  <c r="GR123" i="1"/>
  <c r="JZ587" i="1"/>
  <c r="KB587" i="1"/>
  <c r="KC587" i="1"/>
  <c r="JZ601" i="1"/>
  <c r="JZ648" i="1"/>
  <c r="HG602" i="1"/>
  <c r="JZ408" i="1"/>
  <c r="JZ462" i="1"/>
  <c r="JZ646" i="1"/>
  <c r="JZ260" i="1"/>
  <c r="JZ261" i="1"/>
  <c r="JZ445" i="1"/>
  <c r="JZ454" i="1"/>
  <c r="JZ403" i="1"/>
  <c r="JJ82" i="1"/>
  <c r="JM195" i="1"/>
  <c r="GZ167" i="1"/>
  <c r="IO212" i="1"/>
  <c r="JR30" i="1"/>
  <c r="IO236" i="1"/>
  <c r="IA63" i="1"/>
  <c r="IR63" i="1"/>
  <c r="HL82" i="1"/>
  <c r="HJ111" i="1"/>
  <c r="HF46" i="1"/>
  <c r="HD347" i="1"/>
  <c r="IQ126" i="1"/>
  <c r="HU67" i="1"/>
  <c r="IE67" i="1"/>
  <c r="JR72" i="1"/>
  <c r="JZ281" i="1"/>
  <c r="JZ311" i="1"/>
  <c r="JZ453" i="1"/>
  <c r="GR453" i="1"/>
  <c r="GR120" i="1"/>
  <c r="JZ470" i="1"/>
  <c r="JZ475" i="1"/>
  <c r="JZ553" i="1"/>
  <c r="KA265" i="1"/>
  <c r="GR265" i="1"/>
  <c r="JZ388" i="1"/>
  <c r="JZ393" i="1"/>
  <c r="KA407" i="1"/>
  <c r="KA433" i="1"/>
  <c r="JZ518" i="1"/>
  <c r="JZ524" i="1"/>
  <c r="KA556" i="1"/>
  <c r="KA565" i="1"/>
  <c r="KA583" i="1"/>
  <c r="KA638" i="1"/>
  <c r="KA732" i="1"/>
  <c r="KB732" i="1"/>
  <c r="KA744" i="1"/>
  <c r="KB816" i="1"/>
  <c r="HK46" i="1"/>
  <c r="HL68" i="1"/>
  <c r="HL67" i="1"/>
  <c r="JZ252" i="1"/>
  <c r="KA255" i="1"/>
  <c r="JZ341" i="1"/>
  <c r="JZ359" i="1"/>
  <c r="KB359" i="1"/>
  <c r="KC359" i="1"/>
  <c r="KA399" i="1"/>
  <c r="KA420" i="1"/>
  <c r="GR420" i="1"/>
  <c r="GR87" i="1"/>
  <c r="KA421" i="1"/>
  <c r="KA441" i="1"/>
  <c r="GR441" i="1"/>
  <c r="GR108" i="1"/>
  <c r="JZ459" i="1"/>
  <c r="JZ460" i="1"/>
  <c r="JZ510" i="1"/>
  <c r="KA520" i="1"/>
  <c r="JZ546" i="1"/>
  <c r="JZ551" i="1"/>
  <c r="JZ559" i="1"/>
  <c r="JZ564" i="1"/>
  <c r="JZ565" i="1"/>
  <c r="GT565" i="1"/>
  <c r="GT238" i="1"/>
  <c r="JZ572" i="1"/>
  <c r="JZ582" i="1"/>
  <c r="HG634" i="1"/>
  <c r="JZ583" i="1"/>
  <c r="HG583" i="1"/>
  <c r="JS583" i="1"/>
  <c r="JZ598" i="1"/>
  <c r="JZ602" i="1"/>
  <c r="JZ623" i="1"/>
  <c r="JZ635" i="1"/>
  <c r="GR635" i="1"/>
  <c r="JZ639" i="1"/>
  <c r="JZ643" i="1"/>
  <c r="JZ647" i="1"/>
  <c r="JZ743" i="1"/>
  <c r="JZ745" i="1"/>
  <c r="JZ784" i="1"/>
  <c r="HG361" i="1"/>
  <c r="JS590" i="1"/>
  <c r="KA286" i="1"/>
  <c r="KB286" i="1"/>
  <c r="JZ333" i="1"/>
  <c r="KB333" i="1"/>
  <c r="KB180" i="1"/>
  <c r="KB179" i="1"/>
  <c r="KC179" i="1"/>
  <c r="JZ424" i="1"/>
  <c r="JZ431" i="1"/>
  <c r="KA435" i="1"/>
  <c r="JZ479" i="1"/>
  <c r="KA498" i="1"/>
  <c r="JZ522" i="1"/>
  <c r="KA536" i="1"/>
  <c r="KA730" i="1"/>
  <c r="KB730" i="1"/>
  <c r="KA735" i="1"/>
  <c r="KA746" i="1"/>
  <c r="KB838" i="1"/>
  <c r="JZ265" i="1"/>
  <c r="JZ335" i="1"/>
  <c r="KA41" i="1"/>
  <c r="JS452" i="1"/>
  <c r="JS119" i="1"/>
  <c r="KB478" i="1"/>
  <c r="KC478" i="1"/>
  <c r="JS496" i="1"/>
  <c r="IF237" i="1"/>
  <c r="JS622" i="1"/>
  <c r="IF102" i="1"/>
  <c r="JS435" i="1"/>
  <c r="JS102" i="1"/>
  <c r="IK57" i="1"/>
  <c r="IJ59" i="1"/>
  <c r="IM153" i="1"/>
  <c r="IM157" i="1"/>
  <c r="IQ145" i="1"/>
  <c r="IP145" i="1"/>
  <c r="IQ151" i="1"/>
  <c r="IP151" i="1"/>
  <c r="IS114" i="1"/>
  <c r="IH114" i="1"/>
  <c r="IG114" i="1"/>
  <c r="IT116" i="1"/>
  <c r="IS116" i="1"/>
  <c r="IS120" i="1"/>
  <c r="IS122" i="1"/>
  <c r="IT126" i="1"/>
  <c r="IS126" i="1"/>
  <c r="IT128" i="1"/>
  <c r="IS128" i="1"/>
  <c r="IG128" i="1"/>
  <c r="IT132" i="1"/>
  <c r="IG134" i="1"/>
  <c r="IT142" i="1"/>
  <c r="IS140" i="1"/>
  <c r="IS142" i="1"/>
  <c r="IH150" i="1"/>
  <c r="IS150" i="1"/>
  <c r="IS152" i="1"/>
  <c r="IS220" i="1"/>
  <c r="IS22" i="1"/>
  <c r="IS24" i="1"/>
  <c r="IS32" i="1"/>
  <c r="IS34" i="1"/>
  <c r="JS423" i="1"/>
  <c r="JS90" i="1"/>
  <c r="HG95" i="1"/>
  <c r="JS432" i="1"/>
  <c r="JS99" i="1"/>
  <c r="HG99" i="1"/>
  <c r="JS479" i="1"/>
  <c r="JS146" i="1"/>
  <c r="JZ97" i="1"/>
  <c r="IN153" i="1"/>
  <c r="JS490" i="1"/>
  <c r="JS157" i="1"/>
  <c r="IJ55" i="1"/>
  <c r="IJ53" i="1"/>
  <c r="JX54" i="1"/>
  <c r="KB393" i="1"/>
  <c r="KC393" i="1"/>
  <c r="JX59" i="1"/>
  <c r="JS403" i="1"/>
  <c r="JS446" i="1"/>
  <c r="JS113" i="1"/>
  <c r="IS132" i="1"/>
  <c r="IS134" i="1"/>
  <c r="JS424" i="1"/>
  <c r="JS91" i="1"/>
  <c r="IF558" i="1"/>
  <c r="IJ54" i="1"/>
  <c r="IJ58" i="1"/>
  <c r="IN121" i="1"/>
  <c r="IM32" i="1"/>
  <c r="JZ247" i="1"/>
  <c r="KA269" i="1"/>
  <c r="JZ280" i="1"/>
  <c r="KA281" i="1"/>
  <c r="KA282" i="1"/>
  <c r="KB282" i="1"/>
  <c r="KA284" i="1"/>
  <c r="KA382" i="1"/>
  <c r="JZ387" i="1"/>
  <c r="GR387" i="1"/>
  <c r="KA389" i="1"/>
  <c r="KA390" i="1"/>
  <c r="GR390" i="1"/>
  <c r="KA391" i="1"/>
  <c r="JZ485" i="1"/>
  <c r="GR485" i="1"/>
  <c r="GR152" i="1"/>
  <c r="JZ486" i="1"/>
  <c r="JZ489" i="1"/>
  <c r="GR489" i="1"/>
  <c r="GR156" i="1"/>
  <c r="JZ490" i="1"/>
  <c r="JZ491" i="1"/>
  <c r="GR491" i="1"/>
  <c r="GR158" i="1"/>
  <c r="KA492" i="1"/>
  <c r="KA493" i="1"/>
  <c r="GR493" i="1"/>
  <c r="KA495" i="1"/>
  <c r="GR495" i="1"/>
  <c r="GR162" i="1"/>
  <c r="KA162" i="1"/>
  <c r="JY75" i="1"/>
  <c r="JZ402" i="1"/>
  <c r="JZ404" i="1"/>
  <c r="JZ409" i="1"/>
  <c r="JZ420" i="1"/>
  <c r="JZ423" i="1"/>
  <c r="KA428" i="1"/>
  <c r="KA429" i="1"/>
  <c r="KA460" i="1"/>
  <c r="GR460" i="1"/>
  <c r="GR127" i="1"/>
  <c r="GQ472" i="1"/>
  <c r="KA472" i="1"/>
  <c r="KA474" i="1"/>
  <c r="KA477" i="1"/>
  <c r="KA479" i="1"/>
  <c r="KA595" i="1"/>
  <c r="GR595" i="1"/>
  <c r="KA601" i="1"/>
  <c r="KA603" i="1"/>
  <c r="KA646" i="1"/>
  <c r="KA648" i="1"/>
  <c r="GR648" i="1"/>
  <c r="GR645" i="1"/>
  <c r="E33" i="33"/>
  <c r="KA649" i="1"/>
  <c r="JZ770" i="1"/>
  <c r="JZ771" i="1"/>
  <c r="JZ773" i="1"/>
  <c r="JZ774" i="1"/>
  <c r="JZ263" i="1"/>
  <c r="JZ285" i="1"/>
  <c r="JZ392" i="1"/>
  <c r="JZ430" i="1"/>
  <c r="JZ480" i="1"/>
  <c r="JZ496" i="1"/>
  <c r="JZ603" i="1"/>
  <c r="HG603" i="1"/>
  <c r="HG604" i="1"/>
  <c r="JS604" i="1"/>
  <c r="JZ604" i="1"/>
  <c r="HG649" i="1"/>
  <c r="KA113" i="1"/>
  <c r="KC423" i="1"/>
  <c r="HG97" i="1"/>
  <c r="JZ422" i="1"/>
  <c r="JZ428" i="1"/>
  <c r="JZ432" i="1"/>
  <c r="JZ467" i="1"/>
  <c r="JZ649" i="1"/>
  <c r="KA205" i="1"/>
  <c r="KA159" i="1"/>
  <c r="JX368" i="1"/>
  <c r="KB368" i="1"/>
  <c r="HV212" i="1"/>
  <c r="HV155" i="1"/>
  <c r="HW30" i="1"/>
  <c r="IG196" i="1"/>
  <c r="B14" i="30"/>
  <c r="C34" i="31"/>
  <c r="G34" i="31"/>
  <c r="AC63" i="12"/>
  <c r="AC15" i="12"/>
  <c r="I18" i="14"/>
  <c r="K20" i="13"/>
  <c r="KK73" i="1"/>
  <c r="HF21" i="1"/>
  <c r="O27" i="12"/>
  <c r="O13" i="12"/>
  <c r="C11" i="20"/>
  <c r="C12" i="20"/>
  <c r="HY212" i="1"/>
  <c r="I15" i="13"/>
  <c r="K15" i="13"/>
  <c r="E19" i="32"/>
  <c r="E17" i="32"/>
  <c r="JX228" i="1"/>
  <c r="JX227" i="1"/>
  <c r="JX358" i="1"/>
  <c r="JS474" i="1"/>
  <c r="JS141" i="1"/>
  <c r="JX526" i="1"/>
  <c r="JY606" i="1"/>
  <c r="JY648" i="1"/>
  <c r="IF725" i="1"/>
  <c r="JS726" i="1"/>
  <c r="JS725" i="1"/>
  <c r="IR77" i="1"/>
  <c r="HB149" i="1"/>
  <c r="HF149" i="1"/>
  <c r="IU155" i="1"/>
  <c r="JG155" i="1"/>
  <c r="GY205" i="1"/>
  <c r="GY204" i="1"/>
  <c r="IM61" i="1"/>
  <c r="IM123" i="1"/>
  <c r="IM17" i="1"/>
  <c r="IM31" i="1"/>
  <c r="GW397" i="1"/>
  <c r="GW64" i="1"/>
  <c r="JS544" i="1"/>
  <c r="JY641" i="1"/>
  <c r="HM26" i="1"/>
  <c r="IQ22" i="1"/>
  <c r="IP22" i="1"/>
  <c r="IP21" i="1"/>
  <c r="IQ88" i="1"/>
  <c r="IP108" i="1"/>
  <c r="IP121" i="1"/>
  <c r="HL165" i="1"/>
  <c r="JX498" i="1"/>
  <c r="HB72" i="1"/>
  <c r="HK72" i="1"/>
  <c r="IT78" i="1"/>
  <c r="IS78" i="1"/>
  <c r="IS89" i="1"/>
  <c r="IT141" i="1"/>
  <c r="IS141" i="1"/>
  <c r="IS180" i="1"/>
  <c r="IS179" i="1"/>
  <c r="IS227" i="1"/>
  <c r="JS804" i="1"/>
  <c r="JS858" i="1"/>
  <c r="JX185" i="1"/>
  <c r="JX184" i="1"/>
  <c r="E23" i="32"/>
  <c r="F23" i="32"/>
  <c r="C11" i="19"/>
  <c r="C18" i="32"/>
  <c r="AL30" i="12"/>
  <c r="JJ167" i="1"/>
  <c r="HW218" i="1"/>
  <c r="IA218" i="1"/>
  <c r="IE218" i="1"/>
  <c r="IU218" i="1"/>
  <c r="JK218" i="1"/>
  <c r="HT139" i="1"/>
  <c r="KB462" i="1"/>
  <c r="JS516" i="1"/>
  <c r="JX563" i="1"/>
  <c r="KB563" i="1"/>
  <c r="KC563" i="1"/>
  <c r="JX238" i="1"/>
  <c r="HV86" i="1"/>
  <c r="ID86" i="1"/>
  <c r="HX155" i="1"/>
  <c r="GZ205" i="1"/>
  <c r="GZ204" i="1"/>
  <c r="GZ535" i="1"/>
  <c r="GZ530" i="1"/>
  <c r="HG122" i="1"/>
  <c r="HM56" i="1"/>
  <c r="HM212" i="1"/>
  <c r="JY635" i="1"/>
  <c r="JY634" i="1"/>
  <c r="IQ144" i="1"/>
  <c r="IP144" i="1"/>
  <c r="IS87" i="1"/>
  <c r="IS145" i="1"/>
  <c r="IS187" i="1"/>
  <c r="HG625" i="1"/>
  <c r="V63" i="12"/>
  <c r="D12" i="31"/>
  <c r="H25" i="13"/>
  <c r="D23" i="19"/>
  <c r="JX61" i="1"/>
  <c r="HL30" i="1"/>
  <c r="F16" i="19"/>
  <c r="JY142" i="1"/>
  <c r="JY555" i="1"/>
  <c r="JM46" i="1"/>
  <c r="HU155" i="1"/>
  <c r="HA768" i="1"/>
  <c r="IM69" i="1"/>
  <c r="IM151" i="1"/>
  <c r="GW411" i="1"/>
  <c r="GW79" i="1"/>
  <c r="GW472" i="1"/>
  <c r="GV505" i="1"/>
  <c r="GV182" i="1"/>
  <c r="JY261" i="1"/>
  <c r="V23" i="12"/>
  <c r="V21" i="12"/>
  <c r="V66" i="12"/>
  <c r="IP26" i="1"/>
  <c r="JS460" i="1"/>
  <c r="JX460" i="1"/>
  <c r="GX790" i="1"/>
  <c r="GX845" i="1"/>
  <c r="IS69" i="1"/>
  <c r="IS238" i="1"/>
  <c r="IS236" i="1"/>
  <c r="HG48" i="1"/>
  <c r="HG219" i="1"/>
  <c r="JS556" i="1"/>
  <c r="HG555" i="1"/>
  <c r="JS835" i="1"/>
  <c r="G29" i="37"/>
  <c r="G28" i="37"/>
  <c r="G29" i="14"/>
  <c r="G28" i="14"/>
  <c r="G25" i="14"/>
  <c r="G25" i="37"/>
  <c r="AL36" i="12"/>
  <c r="E15" i="19"/>
  <c r="G15" i="19"/>
  <c r="I18" i="13"/>
  <c r="AN36" i="12"/>
  <c r="HT167" i="1"/>
  <c r="HP167" i="1"/>
  <c r="HL167" i="1"/>
  <c r="HH167" i="1"/>
  <c r="HH139" i="1"/>
  <c r="HR139" i="1"/>
  <c r="HJ139" i="1"/>
  <c r="HP94" i="1"/>
  <c r="HL94" i="1"/>
  <c r="HR94" i="1"/>
  <c r="HN94" i="1"/>
  <c r="HJ94" i="1"/>
  <c r="JS404" i="1"/>
  <c r="JY406" i="1"/>
  <c r="IF140" i="1"/>
  <c r="JY237" i="1"/>
  <c r="IJ33" i="1"/>
  <c r="GU366" i="1"/>
  <c r="IF625" i="1"/>
  <c r="JS493" i="1"/>
  <c r="JX493" i="1"/>
  <c r="JX160" i="1"/>
  <c r="HJ155" i="1"/>
  <c r="GX725" i="1"/>
  <c r="IS59" i="1"/>
  <c r="IT102" i="1"/>
  <c r="IS102" i="1"/>
  <c r="IT156" i="1"/>
  <c r="IS196" i="1"/>
  <c r="IS195" i="1"/>
  <c r="IS33" i="1"/>
  <c r="J52" i="12"/>
  <c r="J51" i="12"/>
  <c r="J50" i="12"/>
  <c r="J48" i="12"/>
  <c r="AA48" i="12"/>
  <c r="GU411" i="1"/>
  <c r="GX411" i="1"/>
  <c r="JS414" i="1"/>
  <c r="GT842" i="1"/>
  <c r="GX842" i="1"/>
  <c r="JS425" i="1"/>
  <c r="HP92" i="1"/>
  <c r="JX425" i="1"/>
  <c r="KB425" i="1"/>
  <c r="IF842" i="1"/>
  <c r="JX441" i="1"/>
  <c r="KB441" i="1"/>
  <c r="HT118" i="1"/>
  <c r="JS407" i="1"/>
  <c r="GX768" i="1"/>
  <c r="JS795" i="1"/>
  <c r="GX681" i="1"/>
  <c r="GX273" i="1"/>
  <c r="HB273" i="1"/>
  <c r="IK59" i="1"/>
  <c r="IK55" i="1"/>
  <c r="JY288" i="1"/>
  <c r="JY284" i="1"/>
  <c r="C111" i="1"/>
  <c r="GQ97" i="1"/>
  <c r="KA97" i="1"/>
  <c r="GQ122" i="1"/>
  <c r="KA122" i="1"/>
  <c r="GQ134" i="1"/>
  <c r="KA134" i="1"/>
  <c r="GQ152" i="1"/>
  <c r="KA152" i="1"/>
  <c r="KA228" i="1"/>
  <c r="KA238" i="1"/>
  <c r="GQ666" i="1"/>
  <c r="KA666" i="1"/>
  <c r="KA670" i="1"/>
  <c r="GR673" i="1"/>
  <c r="KA673" i="1"/>
  <c r="KB673" i="1"/>
  <c r="KC673" i="1"/>
  <c r="KA675" i="1"/>
  <c r="GR678" i="1"/>
  <c r="GR682" i="1"/>
  <c r="GQ702" i="1"/>
  <c r="GR703" i="1"/>
  <c r="GR702" i="1"/>
  <c r="GQ728" i="1"/>
  <c r="GR730" i="1"/>
  <c r="GR735" i="1"/>
  <c r="GR743" i="1"/>
  <c r="GR745" i="1"/>
  <c r="GR772" i="1"/>
  <c r="GR776" i="1"/>
  <c r="GR779" i="1"/>
  <c r="GQ783" i="1"/>
  <c r="GQ790" i="1"/>
  <c r="GR791" i="1"/>
  <c r="GR795" i="1"/>
  <c r="GR805" i="1"/>
  <c r="GR812" i="1"/>
  <c r="GR816" i="1"/>
  <c r="GR828" i="1"/>
  <c r="GR832" i="1"/>
  <c r="GR837" i="1"/>
  <c r="GR846" i="1"/>
  <c r="KB853" i="1"/>
  <c r="KC853" i="1"/>
  <c r="GR858" i="1"/>
  <c r="F25" i="32"/>
  <c r="J17" i="13"/>
  <c r="GW115" i="1"/>
  <c r="HT131" i="1"/>
  <c r="GX728" i="1"/>
  <c r="GX669" i="1"/>
  <c r="GX664" i="1"/>
  <c r="GX662" i="1"/>
  <c r="GX711" i="1"/>
  <c r="GX705" i="1"/>
  <c r="JS773" i="1"/>
  <c r="GU273" i="1"/>
  <c r="JY293" i="1"/>
  <c r="JS854" i="1"/>
  <c r="KA32" i="1"/>
  <c r="KA34" i="1"/>
  <c r="HG276" i="1"/>
  <c r="JS276" i="1"/>
  <c r="GR289" i="1"/>
  <c r="GQ70" i="1"/>
  <c r="KA70" i="1"/>
  <c r="GQ92" i="1"/>
  <c r="KA306" i="1"/>
  <c r="KA92" i="1"/>
  <c r="JU273" i="1"/>
  <c r="IP92" i="1"/>
  <c r="IK58" i="1"/>
  <c r="IK54" i="1"/>
  <c r="JS673" i="1"/>
  <c r="IF666" i="1"/>
  <c r="IF98" i="1"/>
  <c r="IF293" i="1"/>
  <c r="H9" i="36"/>
  <c r="D19" i="25"/>
  <c r="AA27" i="12"/>
  <c r="E23" i="12"/>
  <c r="E21" i="12"/>
  <c r="D61" i="12"/>
  <c r="AF23" i="12"/>
  <c r="AF21" i="12"/>
  <c r="AA23" i="12"/>
  <c r="AA21" i="12"/>
  <c r="AA60" i="12"/>
  <c r="AN24" i="12"/>
  <c r="AN23" i="12"/>
  <c r="AN21" i="12"/>
  <c r="AH24" i="12"/>
  <c r="E30" i="32"/>
  <c r="S23" i="12"/>
  <c r="S21" i="12"/>
  <c r="IS50" i="1"/>
  <c r="IS133" i="1"/>
  <c r="KB336" i="1"/>
  <c r="KC336" i="1"/>
  <c r="KB578" i="1"/>
  <c r="KC578" i="1"/>
  <c r="KB344" i="1"/>
  <c r="KC344" i="1"/>
  <c r="KB644" i="1"/>
  <c r="KC644" i="1"/>
  <c r="GQ73" i="1"/>
  <c r="GR848" i="1"/>
  <c r="GR823" i="1"/>
  <c r="JS780" i="1"/>
  <c r="JZ666" i="1"/>
  <c r="HE38" i="1"/>
  <c r="HK118" i="1"/>
  <c r="C21" i="1"/>
  <c r="C63" i="1"/>
  <c r="HB131" i="1"/>
  <c r="C82" i="1"/>
  <c r="KF42" i="1"/>
  <c r="GW308" i="1"/>
  <c r="GY273" i="1"/>
  <c r="GW273" i="1"/>
  <c r="HF30" i="1"/>
  <c r="GV541" i="1"/>
  <c r="HC131" i="1"/>
  <c r="HK131" i="1"/>
  <c r="HE131" i="1"/>
  <c r="GZ273" i="1"/>
  <c r="C30" i="1"/>
  <c r="HH118" i="1"/>
  <c r="GV273" i="1"/>
  <c r="HY52" i="1"/>
  <c r="HX67" i="1"/>
  <c r="JS836" i="1"/>
  <c r="JX666" i="1"/>
  <c r="I20" i="14"/>
  <c r="JG125" i="1"/>
  <c r="HY31" i="1"/>
  <c r="HY30" i="1"/>
  <c r="H48" i="12"/>
  <c r="IN159" i="1"/>
  <c r="E12" i="34"/>
  <c r="G14" i="34"/>
  <c r="G12" i="34"/>
  <c r="E11" i="36"/>
  <c r="G11" i="36"/>
  <c r="G29" i="13"/>
  <c r="G28" i="13"/>
  <c r="E14" i="36"/>
  <c r="G14" i="36"/>
  <c r="F26" i="13"/>
  <c r="F26" i="14"/>
  <c r="F26" i="37"/>
  <c r="C48" i="12"/>
  <c r="H9" i="34"/>
  <c r="H25" i="14"/>
  <c r="C12" i="19"/>
  <c r="JR82" i="1"/>
  <c r="HD82" i="1"/>
  <c r="KF58" i="1"/>
  <c r="X27" i="12"/>
  <c r="AM12" i="12"/>
  <c r="AM10" i="12"/>
  <c r="C29" i="25"/>
  <c r="HE94" i="1"/>
  <c r="HB167" i="1"/>
  <c r="IB167" i="1"/>
  <c r="ID167" i="1"/>
  <c r="IW167" i="1"/>
  <c r="JF167" i="1"/>
  <c r="JR167" i="1"/>
  <c r="U21" i="12"/>
  <c r="IC212" i="1"/>
  <c r="IY212" i="1"/>
  <c r="JP212" i="1"/>
  <c r="IW30" i="1"/>
  <c r="HZ174" i="1"/>
  <c r="IU174" i="1"/>
  <c r="ID82" i="1"/>
  <c r="Q48" i="12"/>
  <c r="L48" i="12"/>
  <c r="D45" i="12"/>
  <c r="D44" i="12"/>
  <c r="E46" i="12"/>
  <c r="E45" i="12"/>
  <c r="E44" i="12"/>
  <c r="HK218" i="1"/>
  <c r="II86" i="1"/>
  <c r="JG86" i="1"/>
  <c r="HI77" i="1"/>
  <c r="HQ77" i="1"/>
  <c r="HB111" i="1"/>
  <c r="JI118" i="1"/>
  <c r="HJ125" i="1"/>
  <c r="HP125" i="1"/>
  <c r="HT125" i="1"/>
  <c r="IL125" i="1"/>
  <c r="JK125" i="1"/>
  <c r="JQ125" i="1"/>
  <c r="HL131" i="1"/>
  <c r="IC131" i="1"/>
  <c r="IE131" i="1"/>
  <c r="JG131" i="1"/>
  <c r="JQ131" i="1"/>
  <c r="IB106" i="1"/>
  <c r="IO106" i="1"/>
  <c r="IT177" i="1"/>
  <c r="IM137" i="1"/>
  <c r="GW150" i="1"/>
  <c r="GX856" i="1"/>
  <c r="JY771" i="1"/>
  <c r="JS778" i="1"/>
  <c r="C34" i="32"/>
  <c r="B34" i="32"/>
  <c r="JZ552" i="1"/>
  <c r="GP549" i="1"/>
  <c r="JZ549" i="1"/>
  <c r="GR552" i="1"/>
  <c r="IG126" i="1"/>
  <c r="IF500" i="1"/>
  <c r="IQ70" i="1"/>
  <c r="IN161" i="1"/>
  <c r="JY40" i="1"/>
  <c r="IF267" i="1"/>
  <c r="IF354" i="1"/>
  <c r="JS455" i="1"/>
  <c r="JS122" i="1"/>
  <c r="JS461" i="1"/>
  <c r="JS128" i="1"/>
  <c r="IF97" i="1"/>
  <c r="JS430" i="1"/>
  <c r="JS97" i="1"/>
  <c r="JS459" i="1"/>
  <c r="JS126" i="1"/>
  <c r="IF458" i="1"/>
  <c r="JS477" i="1"/>
  <c r="JS144" i="1"/>
  <c r="JY159" i="1"/>
  <c r="JS428" i="1"/>
  <c r="JS95" i="1"/>
  <c r="JS501" i="1"/>
  <c r="IF220" i="1"/>
  <c r="KB432" i="1"/>
  <c r="KC432" i="1"/>
  <c r="JS389" i="1"/>
  <c r="KB391" i="1"/>
  <c r="KC391" i="1"/>
  <c r="KB392" i="1"/>
  <c r="IP46" i="1"/>
  <c r="IN162" i="1"/>
  <c r="IM146" i="1"/>
  <c r="JS387" i="1"/>
  <c r="IG47" i="1"/>
  <c r="KB340" i="1"/>
  <c r="KC340" i="1"/>
  <c r="HG98" i="1"/>
  <c r="IT58" i="1"/>
  <c r="IT55" i="1"/>
  <c r="KC381" i="1"/>
  <c r="IF406" i="1"/>
  <c r="IS90" i="1"/>
  <c r="IT100" i="1"/>
  <c r="AG34" i="12"/>
  <c r="IZ195" i="1"/>
  <c r="JD195" i="1"/>
  <c r="IA94" i="1"/>
  <c r="IO94" i="1"/>
  <c r="GU167" i="1"/>
  <c r="HV167" i="1"/>
  <c r="IK167" i="1"/>
  <c r="IO167" i="1"/>
  <c r="IX167" i="1"/>
  <c r="ID347" i="1"/>
  <c r="HB236" i="1"/>
  <c r="HY236" i="1"/>
  <c r="IC236" i="1"/>
  <c r="IJ236" i="1"/>
  <c r="IB16" i="1"/>
  <c r="IA38" i="1"/>
  <c r="IE38" i="1"/>
  <c r="HY94" i="1"/>
  <c r="IW195" i="1"/>
  <c r="JA195" i="1"/>
  <c r="JE195" i="1"/>
  <c r="JQ195" i="1"/>
  <c r="IY167" i="1"/>
  <c r="HD30" i="1"/>
  <c r="HZ30" i="1"/>
  <c r="IR30" i="1"/>
  <c r="IV30" i="1"/>
  <c r="JD30" i="1"/>
  <c r="IE30" i="1"/>
  <c r="JR236" i="1"/>
  <c r="HB63" i="1"/>
  <c r="HF63" i="1"/>
  <c r="HB195" i="1"/>
  <c r="HT174" i="1"/>
  <c r="HP174" i="1"/>
  <c r="HT82" i="1"/>
  <c r="HH82" i="1"/>
  <c r="IO125" i="1"/>
  <c r="JA131" i="1"/>
  <c r="HV149" i="1"/>
  <c r="HZ149" i="1"/>
  <c r="HY77" i="1"/>
  <c r="HD111" i="1"/>
  <c r="HD125" i="1"/>
  <c r="HP72" i="1"/>
  <c r="HR30" i="1"/>
  <c r="HS212" i="1"/>
  <c r="HU212" i="1"/>
  <c r="HR212" i="1"/>
  <c r="HR195" i="1"/>
  <c r="HN195" i="1"/>
  <c r="HJ195" i="1"/>
  <c r="HT195" i="1"/>
  <c r="HP195" i="1"/>
  <c r="HL195" i="1"/>
  <c r="HG563" i="1"/>
  <c r="JZ303" i="1"/>
  <c r="JZ302" i="1"/>
  <c r="KB140" i="1"/>
  <c r="KC473" i="1"/>
  <c r="GT24" i="1"/>
  <c r="GY579" i="1"/>
  <c r="GY577" i="1"/>
  <c r="ID577" i="1"/>
  <c r="HJ16" i="1"/>
  <c r="HJ14" i="1"/>
  <c r="JL195" i="1"/>
  <c r="JP195" i="1"/>
  <c r="IY236" i="1"/>
  <c r="JG236" i="1"/>
  <c r="JK236" i="1"/>
  <c r="JO236" i="1"/>
  <c r="IN144" i="1"/>
  <c r="JB167" i="1"/>
  <c r="JD63" i="1"/>
  <c r="HP30" i="1"/>
  <c r="IV82" i="1"/>
  <c r="IC82" i="1"/>
  <c r="JM16" i="1"/>
  <c r="II16" i="1"/>
  <c r="II14" i="1"/>
  <c r="GZ195" i="1"/>
  <c r="JC195" i="1"/>
  <c r="JK195" i="1"/>
  <c r="JO195" i="1"/>
  <c r="ID195" i="1"/>
  <c r="HA167" i="1"/>
  <c r="JN167" i="1"/>
  <c r="JA236" i="1"/>
  <c r="HZ218" i="1"/>
  <c r="ID218" i="1"/>
  <c r="IO218" i="1"/>
  <c r="HE63" i="1"/>
  <c r="IB63" i="1"/>
  <c r="II63" i="1"/>
  <c r="IM63" i="1"/>
  <c r="JX414" i="1"/>
  <c r="JX411" i="1"/>
  <c r="KB411" i="1"/>
  <c r="GV50" i="1"/>
  <c r="IC86" i="1"/>
  <c r="IQ61" i="1"/>
  <c r="IP61" i="1"/>
  <c r="JS808" i="1"/>
  <c r="JX637" i="1"/>
  <c r="HP118" i="1"/>
  <c r="IM189" i="1"/>
  <c r="GW505" i="1"/>
  <c r="HA505" i="1"/>
  <c r="HE505" i="1"/>
  <c r="IE505" i="1"/>
  <c r="JI195" i="1"/>
  <c r="IU167" i="1"/>
  <c r="JE167" i="1"/>
  <c r="JB174" i="1"/>
  <c r="JJ174" i="1"/>
  <c r="IV236" i="1"/>
  <c r="IZ236" i="1"/>
  <c r="HJ63" i="1"/>
  <c r="IG842" i="1"/>
  <c r="HB77" i="1"/>
  <c r="HF77" i="1"/>
  <c r="HO77" i="1"/>
  <c r="IL77" i="1"/>
  <c r="IV77" i="1"/>
  <c r="JD77" i="1"/>
  <c r="JL77" i="1"/>
  <c r="HN118" i="1"/>
  <c r="IX118" i="1"/>
  <c r="JJ118" i="1"/>
  <c r="HZ155" i="1"/>
  <c r="JX480" i="1"/>
  <c r="JX147" i="1"/>
  <c r="IA125" i="1"/>
  <c r="IG162" i="1"/>
  <c r="IO67" i="1"/>
  <c r="JS774" i="1"/>
  <c r="JY774" i="1"/>
  <c r="HR92" i="1"/>
  <c r="HR86" i="1"/>
  <c r="HT111" i="1"/>
  <c r="IU118" i="1"/>
  <c r="JG67" i="1"/>
  <c r="HS72" i="1"/>
  <c r="IS107" i="1"/>
  <c r="IS106" i="1"/>
  <c r="JK82" i="1"/>
  <c r="ID94" i="1"/>
  <c r="IP195" i="1"/>
  <c r="JL167" i="1"/>
  <c r="IE167" i="1"/>
  <c r="IL167" i="1"/>
  <c r="JG167" i="1"/>
  <c r="HF212" i="1"/>
  <c r="JP30" i="1"/>
  <c r="IL236" i="1"/>
  <c r="JJ63" i="1"/>
  <c r="GU579" i="1"/>
  <c r="GU577" i="1"/>
  <c r="GX244" i="1"/>
  <c r="JM38" i="1"/>
  <c r="IX195" i="1"/>
  <c r="HX167" i="1"/>
  <c r="IA82" i="1"/>
  <c r="HW195" i="1"/>
  <c r="IA195" i="1"/>
  <c r="IK195" i="1"/>
  <c r="IY195" i="1"/>
  <c r="GY167" i="1"/>
  <c r="HY167" i="1"/>
  <c r="IC167" i="1"/>
  <c r="IN167" i="1"/>
  <c r="JG30" i="1"/>
  <c r="HC236" i="1"/>
  <c r="HZ236" i="1"/>
  <c r="IO63" i="1"/>
  <c r="HL77" i="1"/>
  <c r="HW67" i="1"/>
  <c r="IX30" i="1"/>
  <c r="IC218" i="1"/>
  <c r="JA63" i="1"/>
  <c r="HT218" i="1"/>
  <c r="HO195" i="1"/>
  <c r="HH174" i="1"/>
  <c r="HN167" i="1"/>
  <c r="HN82" i="1"/>
  <c r="HP63" i="1"/>
  <c r="HL63" i="1"/>
  <c r="HR63" i="1"/>
  <c r="JX187" i="1"/>
  <c r="JM86" i="1"/>
  <c r="JQ86" i="1"/>
  <c r="HM77" i="1"/>
  <c r="HU77" i="1"/>
  <c r="HE111" i="1"/>
  <c r="HR111" i="1"/>
  <c r="GX113" i="1"/>
  <c r="IA111" i="1"/>
  <c r="HC118" i="1"/>
  <c r="HL118" i="1"/>
  <c r="IB118" i="1"/>
  <c r="II118" i="1"/>
  <c r="HC125" i="1"/>
  <c r="HL125" i="1"/>
  <c r="HX125" i="1"/>
  <c r="HN131" i="1"/>
  <c r="HU131" i="1"/>
  <c r="HW155" i="1"/>
  <c r="IA155" i="1"/>
  <c r="IL155" i="1"/>
  <c r="HM22" i="1"/>
  <c r="JQ72" i="1"/>
  <c r="JQ63" i="1"/>
  <c r="HQ195" i="1"/>
  <c r="GY46" i="1"/>
  <c r="HQ86" i="1"/>
  <c r="HF111" i="1"/>
  <c r="HK111" i="1"/>
  <c r="HS111" i="1"/>
  <c r="HW111" i="1"/>
  <c r="JD111" i="1"/>
  <c r="HY118" i="1"/>
  <c r="IZ125" i="1"/>
  <c r="HO131" i="1"/>
  <c r="HS131" i="1"/>
  <c r="IU149" i="1"/>
  <c r="HR72" i="1"/>
  <c r="HU30" i="1"/>
  <c r="HR167" i="1"/>
  <c r="HW77" i="1"/>
  <c r="JP131" i="1"/>
  <c r="HH72" i="1"/>
  <c r="GX702" i="1"/>
  <c r="IS123" i="1"/>
  <c r="JS809" i="1"/>
  <c r="JS777" i="1"/>
  <c r="IN82" i="1"/>
  <c r="HB244" i="1"/>
  <c r="HX94" i="1"/>
  <c r="HD632" i="1"/>
  <c r="HD630" i="1"/>
  <c r="IO52" i="1"/>
  <c r="GV632" i="1"/>
  <c r="GV630" i="1"/>
  <c r="IE609" i="1"/>
  <c r="IE82" i="1"/>
  <c r="IO82" i="1"/>
  <c r="HV82" i="1"/>
  <c r="HC82" i="1"/>
  <c r="II52" i="1"/>
  <c r="IX174" i="1"/>
  <c r="HM139" i="1"/>
  <c r="HN63" i="1"/>
  <c r="HB86" i="1"/>
  <c r="HN86" i="1"/>
  <c r="IC195" i="1"/>
  <c r="IL195" i="1"/>
  <c r="IU195" i="1"/>
  <c r="GW167" i="1"/>
  <c r="HZ167" i="1"/>
  <c r="IJ167" i="1"/>
  <c r="IV167" i="1"/>
  <c r="JI167" i="1"/>
  <c r="HW212" i="1"/>
  <c r="ID212" i="1"/>
  <c r="IK212" i="1"/>
  <c r="GU236" i="1"/>
  <c r="JD236" i="1"/>
  <c r="JH236" i="1"/>
  <c r="JL236" i="1"/>
  <c r="JP236" i="1"/>
  <c r="HV218" i="1"/>
  <c r="IL218" i="1"/>
  <c r="JG218" i="1"/>
  <c r="HY63" i="1"/>
  <c r="IL63" i="1"/>
  <c r="HL236" i="1"/>
  <c r="HK212" i="1"/>
  <c r="HU195" i="1"/>
  <c r="HT63" i="1"/>
  <c r="HB46" i="1"/>
  <c r="GX167" i="1"/>
  <c r="IR167" i="1"/>
  <c r="JC167" i="1"/>
  <c r="JJ212" i="1"/>
  <c r="JE30" i="1"/>
  <c r="JP63" i="1"/>
  <c r="HM195" i="1"/>
  <c r="HJ82" i="1"/>
  <c r="IL86" i="1"/>
  <c r="JD86" i="1"/>
  <c r="JJ94" i="1"/>
  <c r="JA167" i="1"/>
  <c r="IR212" i="1"/>
  <c r="JQ30" i="1"/>
  <c r="HO218" i="1"/>
  <c r="HS195" i="1"/>
  <c r="HN174" i="1"/>
  <c r="HJ167" i="1"/>
  <c r="HT94" i="1"/>
  <c r="HH63" i="1"/>
  <c r="HL111" i="1"/>
  <c r="IR118" i="1"/>
  <c r="JD125" i="1"/>
  <c r="JH125" i="1"/>
  <c r="HQ149" i="1"/>
  <c r="HY149" i="1"/>
  <c r="HM72" i="1"/>
  <c r="GX783" i="1"/>
  <c r="HK86" i="1"/>
  <c r="JA86" i="1"/>
  <c r="IO86" i="1"/>
  <c r="IC77" i="1"/>
  <c r="IJ77" i="1"/>
  <c r="JA77" i="1"/>
  <c r="HZ111" i="1"/>
  <c r="HD118" i="1"/>
  <c r="II125" i="1"/>
  <c r="HK125" i="1"/>
  <c r="HM149" i="1"/>
  <c r="HU149" i="1"/>
  <c r="JQ149" i="1"/>
  <c r="ID149" i="1"/>
  <c r="JQ155" i="1"/>
  <c r="IN26" i="1"/>
  <c r="JK67" i="1"/>
  <c r="II72" i="1"/>
  <c r="IB86" i="1"/>
  <c r="JP86" i="1"/>
  <c r="HN111" i="1"/>
  <c r="IL111" i="1"/>
  <c r="ID118" i="1"/>
  <c r="IZ118" i="1"/>
  <c r="JD118" i="1"/>
  <c r="JP118" i="1"/>
  <c r="IV125" i="1"/>
  <c r="IE125" i="1"/>
  <c r="HF155" i="1"/>
  <c r="HK155" i="1"/>
  <c r="IP28" i="1"/>
  <c r="JE72" i="1"/>
  <c r="JA72" i="1"/>
  <c r="IU86" i="1"/>
  <c r="IE77" i="1"/>
  <c r="IB111" i="1"/>
  <c r="JM111" i="1"/>
  <c r="JQ111" i="1"/>
  <c r="HO111" i="1"/>
  <c r="IE111" i="1"/>
  <c r="HQ118" i="1"/>
  <c r="HU118" i="1"/>
  <c r="HB125" i="1"/>
  <c r="HO125" i="1"/>
  <c r="HS125" i="1"/>
  <c r="IU125" i="1"/>
  <c r="IR131" i="1"/>
  <c r="HT149" i="1"/>
  <c r="II149" i="1"/>
  <c r="IK155" i="1"/>
  <c r="JE155" i="1"/>
  <c r="HI155" i="1"/>
  <c r="HE155" i="1"/>
  <c r="GV28" i="1"/>
  <c r="JY791" i="1"/>
  <c r="HA273" i="1"/>
  <c r="IA67" i="1"/>
  <c r="KB348" i="1"/>
  <c r="KC348" i="1"/>
  <c r="KB568" i="1"/>
  <c r="KC568" i="1"/>
  <c r="JS785" i="1"/>
  <c r="IN112" i="1"/>
  <c r="IN119" i="1"/>
  <c r="IP125" i="1"/>
  <c r="HD579" i="1"/>
  <c r="HD577" i="1"/>
  <c r="HD575" i="1"/>
  <c r="GZ579" i="1"/>
  <c r="GZ577" i="1"/>
  <c r="GW579" i="1"/>
  <c r="GW577" i="1"/>
  <c r="GW347" i="1"/>
  <c r="HE347" i="1"/>
  <c r="JX100" i="1"/>
  <c r="HP46" i="1"/>
  <c r="JO46" i="1"/>
  <c r="IQ28" i="1"/>
  <c r="HO106" i="1"/>
  <c r="D25" i="41"/>
  <c r="E29" i="32"/>
  <c r="E28" i="32"/>
  <c r="JJ72" i="1"/>
  <c r="GP68" i="1"/>
  <c r="JZ68" i="1"/>
  <c r="D10" i="19"/>
  <c r="JS480" i="1"/>
  <c r="HF139" i="1"/>
  <c r="HC437" i="1"/>
  <c r="D33" i="33"/>
  <c r="IK42" i="1"/>
  <c r="D24" i="33"/>
  <c r="IE579" i="1"/>
  <c r="IE577" i="1"/>
  <c r="IE575" i="1"/>
  <c r="HF347" i="1"/>
  <c r="JQ82" i="1"/>
  <c r="GU347" i="1"/>
  <c r="IT28" i="1"/>
  <c r="IS28" i="1"/>
  <c r="IS41" i="1"/>
  <c r="IS182" i="1"/>
  <c r="IS64" i="1"/>
  <c r="IS63" i="1"/>
  <c r="IK28" i="1"/>
  <c r="IJ28" i="1"/>
  <c r="IN17" i="1"/>
  <c r="IQ177" i="1"/>
  <c r="IQ174" i="1"/>
  <c r="IP177" i="1"/>
  <c r="IN22" i="1"/>
  <c r="HQ30" i="1"/>
  <c r="GV347" i="1"/>
  <c r="IS170" i="1"/>
  <c r="IR112" i="1"/>
  <c r="IR111" i="1"/>
  <c r="HH46" i="1"/>
  <c r="HO86" i="1"/>
  <c r="HD86" i="1"/>
  <c r="HI86" i="1"/>
  <c r="HN77" i="1"/>
  <c r="HZ77" i="1"/>
  <c r="JF106" i="1"/>
  <c r="JN106" i="1"/>
  <c r="HR137" i="1"/>
  <c r="HR131" i="1"/>
  <c r="JY639" i="1"/>
  <c r="HD541" i="1"/>
  <c r="HI21" i="1"/>
  <c r="HS236" i="1"/>
  <c r="HO236" i="1"/>
  <c r="HK236" i="1"/>
  <c r="HU236" i="1"/>
  <c r="HQ236" i="1"/>
  <c r="IX21" i="1"/>
  <c r="IC21" i="1"/>
  <c r="HY21" i="1"/>
  <c r="JG16" i="1"/>
  <c r="HC16" i="1"/>
  <c r="HC14" i="1"/>
  <c r="HY195" i="1"/>
  <c r="GV167" i="1"/>
  <c r="C347" i="1"/>
  <c r="KF31" i="1"/>
  <c r="JB236" i="1"/>
  <c r="JM174" i="1"/>
  <c r="HL21" i="1"/>
  <c r="JX470" i="1"/>
  <c r="KB470" i="1"/>
  <c r="KB137" i="1"/>
  <c r="KC137" i="1"/>
  <c r="JY283" i="1"/>
  <c r="JY56" i="1"/>
  <c r="IG238" i="1"/>
  <c r="GZ632" i="1"/>
  <c r="GZ630" i="1"/>
  <c r="HS30" i="1"/>
  <c r="HN30" i="1"/>
  <c r="JQ505" i="1"/>
  <c r="JC236" i="1"/>
  <c r="JX182" i="1"/>
  <c r="JX571" i="1"/>
  <c r="JX569" i="1"/>
  <c r="IM82" i="1"/>
  <c r="IO16" i="1"/>
  <c r="HD16" i="1"/>
  <c r="IB218" i="1"/>
  <c r="JS524" i="1"/>
  <c r="HC347" i="1"/>
  <c r="JP52" i="1"/>
  <c r="GY236" i="1"/>
  <c r="HV236" i="1"/>
  <c r="HV210" i="1"/>
  <c r="IK236" i="1"/>
  <c r="IE632" i="1"/>
  <c r="IE630" i="1"/>
  <c r="HC63" i="1"/>
  <c r="ID63" i="1"/>
  <c r="II174" i="1"/>
  <c r="IT122" i="1"/>
  <c r="JP541" i="1"/>
  <c r="IV174" i="1"/>
  <c r="JR505" i="1"/>
  <c r="GZ541" i="1"/>
  <c r="HT236" i="1"/>
  <c r="HT210" i="1"/>
  <c r="HF218" i="1"/>
  <c r="JX26" i="1"/>
  <c r="HM236" i="1"/>
  <c r="HI236" i="1"/>
  <c r="HU218" i="1"/>
  <c r="HQ218" i="1"/>
  <c r="HI218" i="1"/>
  <c r="HS218" i="1"/>
  <c r="HP212" i="1"/>
  <c r="HU174" i="1"/>
  <c r="HQ174" i="1"/>
  <c r="HM174" i="1"/>
  <c r="HS174" i="1"/>
  <c r="HO174" i="1"/>
  <c r="HK174" i="1"/>
  <c r="HS167" i="1"/>
  <c r="HO167" i="1"/>
  <c r="HK167" i="1"/>
  <c r="HU167" i="1"/>
  <c r="HQ139" i="1"/>
  <c r="HQ94" i="1"/>
  <c r="HU82" i="1"/>
  <c r="HQ82" i="1"/>
  <c r="HM82" i="1"/>
  <c r="HS82" i="1"/>
  <c r="HO82" i="1"/>
  <c r="HK82" i="1"/>
  <c r="HU63" i="1"/>
  <c r="HQ63" i="1"/>
  <c r="HM63" i="1"/>
  <c r="HS63" i="1"/>
  <c r="HO63" i="1"/>
  <c r="HK63" i="1"/>
  <c r="HJ52" i="1"/>
  <c r="HH52" i="1"/>
  <c r="HB28" i="1"/>
  <c r="GW482" i="1"/>
  <c r="HE308" i="1"/>
  <c r="GZ308" i="1"/>
  <c r="GZ347" i="1"/>
  <c r="GZ242" i="1"/>
  <c r="IU72" i="1"/>
  <c r="IL106" i="1"/>
  <c r="JS781" i="1"/>
  <c r="IN157" i="1"/>
  <c r="JX165" i="1"/>
  <c r="KB498" i="1"/>
  <c r="KC498" i="1"/>
  <c r="IQ108" i="1"/>
  <c r="IK34" i="1"/>
  <c r="HC579" i="1"/>
  <c r="HC577" i="1"/>
  <c r="HC575" i="1"/>
  <c r="IN123" i="1"/>
  <c r="IM119" i="1"/>
  <c r="GT101" i="1"/>
  <c r="IN32" i="1"/>
  <c r="IM150" i="1"/>
  <c r="HQ16" i="1"/>
  <c r="HQ14" i="1"/>
  <c r="HQ212" i="1"/>
  <c r="JX177" i="1"/>
  <c r="JX170" i="1"/>
  <c r="HB366" i="1"/>
  <c r="JR38" i="1"/>
  <c r="JX65" i="1"/>
  <c r="KB399" i="1"/>
  <c r="KB65" i="1"/>
  <c r="KB424" i="1"/>
  <c r="JX91" i="1"/>
  <c r="JX119" i="1"/>
  <c r="KB452" i="1"/>
  <c r="KB119" i="1"/>
  <c r="JY126" i="1"/>
  <c r="KB476" i="1"/>
  <c r="JX162" i="1"/>
  <c r="KB495" i="1"/>
  <c r="KC495" i="1"/>
  <c r="HQ167" i="1"/>
  <c r="HS139" i="1"/>
  <c r="HO139" i="1"/>
  <c r="HK139" i="1"/>
  <c r="HO94" i="1"/>
  <c r="HK94" i="1"/>
  <c r="IF526" i="1"/>
  <c r="IF705" i="1"/>
  <c r="IM88" i="1"/>
  <c r="IM86" i="1"/>
  <c r="IN165" i="1"/>
  <c r="IM165" i="1"/>
  <c r="IM213" i="1"/>
  <c r="IG28" i="1"/>
  <c r="IM34" i="1"/>
  <c r="GZ50" i="1"/>
  <c r="GZ46" i="1"/>
  <c r="GZ380" i="1"/>
  <c r="GZ378" i="1"/>
  <c r="GU632" i="1"/>
  <c r="GU630" i="1"/>
  <c r="GU628" i="1"/>
  <c r="JQ632" i="1"/>
  <c r="JQ630" i="1"/>
  <c r="JQ628" i="1"/>
  <c r="HC212" i="1"/>
  <c r="HZ212" i="1"/>
  <c r="HM16" i="1"/>
  <c r="HM14" i="1"/>
  <c r="JQ579" i="1"/>
  <c r="JQ577" i="1"/>
  <c r="IE541" i="1"/>
  <c r="HM218" i="1"/>
  <c r="HC366" i="1"/>
  <c r="GY366" i="1"/>
  <c r="HW82" i="1"/>
  <c r="IU21" i="1"/>
  <c r="II21" i="1"/>
  <c r="IB21" i="1"/>
  <c r="HX21" i="1"/>
  <c r="ID38" i="1"/>
  <c r="JD94" i="1"/>
  <c r="JH94" i="1"/>
  <c r="JP94" i="1"/>
  <c r="IC94" i="1"/>
  <c r="GU195" i="1"/>
  <c r="GY195" i="1"/>
  <c r="HC195" i="1"/>
  <c r="HV195" i="1"/>
  <c r="HZ195" i="1"/>
  <c r="IO195" i="1"/>
  <c r="GX505" i="1"/>
  <c r="HB505" i="1"/>
  <c r="HF505" i="1"/>
  <c r="II167" i="1"/>
  <c r="JY197" i="1"/>
  <c r="JY195" i="1"/>
  <c r="JY526" i="1"/>
  <c r="JY84" i="1"/>
  <c r="JY621" i="1"/>
  <c r="JY619" i="1"/>
  <c r="JJ218" i="1"/>
  <c r="IR174" i="1"/>
  <c r="IS191" i="1"/>
  <c r="C619" i="1"/>
  <c r="D26" i="33"/>
  <c r="IY82" i="1"/>
  <c r="IU82" i="1"/>
  <c r="IP82" i="1"/>
  <c r="HF82" i="1"/>
  <c r="HB82" i="1"/>
  <c r="JD52" i="1"/>
  <c r="JP21" i="1"/>
  <c r="IY21" i="1"/>
  <c r="HT16" i="1"/>
  <c r="IV21" i="1"/>
  <c r="GZ505" i="1"/>
  <c r="GX195" i="1"/>
  <c r="IJ195" i="1"/>
  <c r="IR195" i="1"/>
  <c r="IA167" i="1"/>
  <c r="IP167" i="1"/>
  <c r="JK167" i="1"/>
  <c r="JO167" i="1"/>
  <c r="IE212" i="1"/>
  <c r="IP236" i="1"/>
  <c r="IR218" i="1"/>
  <c r="HK30" i="1"/>
  <c r="HJ30" i="1"/>
  <c r="HL38" i="1"/>
  <c r="IG705" i="1"/>
  <c r="IB195" i="1"/>
  <c r="HF236" i="1"/>
  <c r="HO21" i="1"/>
  <c r="HM34" i="1"/>
  <c r="JS381" i="1"/>
  <c r="JS398" i="1"/>
  <c r="JS64" i="1"/>
  <c r="JS454" i="1"/>
  <c r="JS121" i="1"/>
  <c r="JS491" i="1"/>
  <c r="JS158" i="1"/>
  <c r="KC516" i="1"/>
  <c r="IP193" i="1"/>
  <c r="HX106" i="1"/>
  <c r="II106" i="1"/>
  <c r="IS162" i="1"/>
  <c r="JY646" i="1"/>
  <c r="KB646" i="1"/>
  <c r="IJ67" i="1"/>
  <c r="JB67" i="1"/>
  <c r="JS816" i="1"/>
  <c r="IQ121" i="1"/>
  <c r="IG88" i="1"/>
  <c r="IN73" i="1"/>
  <c r="GX579" i="1"/>
  <c r="GX577" i="1"/>
  <c r="IX218" i="1"/>
  <c r="GT26" i="1"/>
  <c r="HH16" i="1"/>
  <c r="HH14" i="1"/>
  <c r="ID16" i="1"/>
  <c r="HZ16" i="1"/>
  <c r="HZ21" i="1"/>
  <c r="HZ38" i="1"/>
  <c r="HZ14" i="1"/>
  <c r="HF195" i="1"/>
  <c r="IV195" i="1"/>
  <c r="JH195" i="1"/>
  <c r="IU94" i="1"/>
  <c r="JC94" i="1"/>
  <c r="HV94" i="1"/>
  <c r="HZ94" i="1"/>
  <c r="HC167" i="1"/>
  <c r="HF167" i="1"/>
  <c r="JM167" i="1"/>
  <c r="HE167" i="1"/>
  <c r="IM167" i="1"/>
  <c r="IZ167" i="1"/>
  <c r="JD167" i="1"/>
  <c r="JP167" i="1"/>
  <c r="HD52" i="1"/>
  <c r="HH38" i="1"/>
  <c r="JB82" i="1"/>
  <c r="ID632" i="1"/>
  <c r="ID630" i="1"/>
  <c r="IR21" i="1"/>
  <c r="IE21" i="1"/>
  <c r="HI195" i="1"/>
  <c r="HM32" i="1"/>
  <c r="IQ189" i="1"/>
  <c r="IP189" i="1"/>
  <c r="IT65" i="1"/>
  <c r="HX30" i="1"/>
  <c r="IU30" i="1"/>
  <c r="HV30" i="1"/>
  <c r="ID30" i="1"/>
  <c r="JM30" i="1"/>
  <c r="IB30" i="1"/>
  <c r="IG275" i="1"/>
  <c r="IS189" i="1"/>
  <c r="IS61" i="1"/>
  <c r="IX106" i="1"/>
  <c r="JB106" i="1"/>
  <c r="JS793" i="1"/>
  <c r="JS829" i="1"/>
  <c r="JQ236" i="1"/>
  <c r="IU236" i="1"/>
  <c r="HR21" i="1"/>
  <c r="JX107" i="1"/>
  <c r="IG725" i="1"/>
  <c r="IG98" i="1"/>
  <c r="GX49" i="1"/>
  <c r="GX46" i="1"/>
  <c r="IS91" i="1"/>
  <c r="IG310" i="1"/>
  <c r="JS823" i="1"/>
  <c r="IQ115" i="1"/>
  <c r="JS625" i="1"/>
  <c r="HF244" i="1"/>
  <c r="JX246" i="1"/>
  <c r="IT89" i="1"/>
  <c r="KF13" i="1"/>
  <c r="IT120" i="1"/>
  <c r="IT118" i="1"/>
  <c r="IF236" i="1"/>
  <c r="GW609" i="1"/>
  <c r="GY541" i="1"/>
  <c r="IM195" i="1"/>
  <c r="HM167" i="1"/>
  <c r="HU139" i="1"/>
  <c r="HU94" i="1"/>
  <c r="JY397" i="1"/>
  <c r="JP579" i="1"/>
  <c r="JP577" i="1"/>
  <c r="HD195" i="1"/>
  <c r="IS231" i="1"/>
  <c r="IS230" i="1"/>
  <c r="IS193" i="1"/>
  <c r="JY852" i="1"/>
  <c r="JY845" i="1"/>
  <c r="HR125" i="1"/>
  <c r="GU541" i="1"/>
  <c r="GZ244" i="1"/>
  <c r="IL82" i="1"/>
  <c r="HA195" i="1"/>
  <c r="HX195" i="1"/>
  <c r="HY218" i="1"/>
  <c r="HY210" i="1"/>
  <c r="HU21" i="1"/>
  <c r="HK195" i="1"/>
  <c r="HP88" i="1"/>
  <c r="HP86" i="1"/>
  <c r="IO30" i="1"/>
  <c r="II195" i="1"/>
  <c r="JY63" i="1"/>
  <c r="JY802" i="1"/>
  <c r="JY744" i="1"/>
  <c r="HD77" i="1"/>
  <c r="HV106" i="1"/>
  <c r="JY649" i="1"/>
  <c r="JY255" i="1"/>
  <c r="JS745" i="1"/>
  <c r="JY262" i="1"/>
  <c r="JT249" i="1"/>
  <c r="JT19" i="1"/>
  <c r="JT303" i="1"/>
  <c r="JT302" i="1"/>
  <c r="JT333" i="1"/>
  <c r="JT337" i="1"/>
  <c r="JT356" i="1"/>
  <c r="JT407" i="1"/>
  <c r="GS140" i="1"/>
  <c r="JT502" i="1"/>
  <c r="JT512" i="1"/>
  <c r="JT180" i="1"/>
  <c r="JT179" i="1"/>
  <c r="JT528" i="1"/>
  <c r="JT197" i="1"/>
  <c r="JT544" i="1"/>
  <c r="JT550" i="1"/>
  <c r="JT219" i="1"/>
  <c r="GS555" i="1"/>
  <c r="JT603" i="1"/>
  <c r="JT607" i="1"/>
  <c r="JT606" i="1"/>
  <c r="F32" i="41"/>
  <c r="JT771" i="1"/>
  <c r="JT773" i="1"/>
  <c r="JT775" i="1"/>
  <c r="JT777" i="1"/>
  <c r="GV579" i="1"/>
  <c r="GV577" i="1"/>
  <c r="JM82" i="1"/>
  <c r="JF195" i="1"/>
  <c r="HX236" i="1"/>
  <c r="IQ82" i="1"/>
  <c r="GW195" i="1"/>
  <c r="HX212" i="1"/>
  <c r="IX67" i="1"/>
  <c r="JH106" i="1"/>
  <c r="HX149" i="1"/>
  <c r="IT64" i="1"/>
  <c r="IT180" i="1"/>
  <c r="IT179" i="1"/>
  <c r="IQ137" i="1"/>
  <c r="IQ131" i="1"/>
  <c r="C579" i="1"/>
  <c r="C577" i="1"/>
  <c r="JP347" i="1"/>
  <c r="JH82" i="1"/>
  <c r="HY82" i="1"/>
  <c r="JG82" i="1"/>
  <c r="HE632" i="1"/>
  <c r="HE630" i="1"/>
  <c r="HE579" i="1"/>
  <c r="HE577" i="1"/>
  <c r="HE575" i="1"/>
  <c r="GV244" i="1"/>
  <c r="HE212" i="1"/>
  <c r="IA212" i="1"/>
  <c r="IL212" i="1"/>
  <c r="IU212" i="1"/>
  <c r="ID505" i="1"/>
  <c r="HN67" i="1"/>
  <c r="HW131" i="1"/>
  <c r="HN125" i="1"/>
  <c r="IZ106" i="1"/>
  <c r="HY67" i="1"/>
  <c r="IC67" i="1"/>
  <c r="JP67" i="1"/>
  <c r="IT101" i="1"/>
  <c r="HG702" i="1"/>
  <c r="HY131" i="1"/>
  <c r="JS445" i="1"/>
  <c r="IQ127" i="1"/>
  <c r="IQ125" i="1"/>
  <c r="D32" i="33"/>
  <c r="HD505" i="1"/>
  <c r="HO149" i="1"/>
  <c r="GV380" i="1"/>
  <c r="GV378" i="1"/>
  <c r="JX390" i="1"/>
  <c r="IB131" i="1"/>
  <c r="IO149" i="1"/>
  <c r="IP77" i="1"/>
  <c r="HN106" i="1"/>
  <c r="IS31" i="1"/>
  <c r="IS159" i="1"/>
  <c r="JZ289" i="1"/>
  <c r="JT373" i="1"/>
  <c r="JT813" i="1"/>
  <c r="JT590" i="1"/>
  <c r="JT643" i="1"/>
  <c r="JT271" i="1"/>
  <c r="IS112" i="1"/>
  <c r="IS111" i="1"/>
  <c r="IN107" i="1"/>
  <c r="JS470" i="1"/>
  <c r="JS137" i="1"/>
  <c r="JS776" i="1"/>
  <c r="JS623" i="1"/>
  <c r="JS621" i="1"/>
  <c r="JS619" i="1"/>
  <c r="HG621" i="1"/>
  <c r="HG619" i="1"/>
  <c r="IQ101" i="1"/>
  <c r="IN28" i="1"/>
  <c r="IN88" i="1"/>
  <c r="IQ213" i="1"/>
  <c r="IQ212" i="1"/>
  <c r="JS802" i="1"/>
  <c r="KB356" i="1"/>
  <c r="KB221" i="1"/>
  <c r="JY354" i="1"/>
  <c r="KC556" i="1"/>
  <c r="KB225" i="1"/>
  <c r="KB224" i="1"/>
  <c r="JA16" i="1"/>
  <c r="JA14" i="1"/>
  <c r="JA30" i="1"/>
  <c r="HR149" i="1"/>
  <c r="KG23" i="1"/>
  <c r="KG63" i="1"/>
  <c r="JP139" i="1"/>
  <c r="JD139" i="1"/>
  <c r="HT172" i="1"/>
  <c r="JS602" i="1"/>
  <c r="C244" i="1"/>
  <c r="HZ210" i="1"/>
  <c r="C437" i="1"/>
  <c r="D15" i="33"/>
  <c r="HU210" i="1"/>
  <c r="HQ210" i="1"/>
  <c r="IC210" i="1"/>
  <c r="JX159" i="1"/>
  <c r="IU210" i="1"/>
  <c r="GT225" i="1"/>
  <c r="GT224" i="1"/>
  <c r="GR225" i="1"/>
  <c r="GR224" i="1"/>
  <c r="JY231" i="1"/>
  <c r="JX555" i="1"/>
  <c r="KB555" i="1"/>
  <c r="KC555" i="1"/>
  <c r="JX224" i="1"/>
  <c r="HG224" i="1"/>
  <c r="KB491" i="1"/>
  <c r="KB158" i="1"/>
  <c r="KB440" i="1"/>
  <c r="KC440" i="1"/>
  <c r="JX439" i="1"/>
  <c r="JY358" i="1"/>
  <c r="JY347" i="1"/>
  <c r="JY228" i="1"/>
  <c r="JY227" i="1"/>
  <c r="JS555" i="1"/>
  <c r="JS225" i="1"/>
  <c r="JS224" i="1"/>
  <c r="D17" i="41"/>
  <c r="KF22" i="1"/>
  <c r="KF62" i="1"/>
  <c r="JY666" i="1"/>
  <c r="D14" i="33"/>
  <c r="JY783" i="1"/>
  <c r="J15" i="13"/>
  <c r="GX721" i="1"/>
  <c r="HB30" i="1"/>
  <c r="IR38" i="1"/>
  <c r="JQ38" i="1"/>
  <c r="JJ30" i="1"/>
  <c r="II30" i="1"/>
  <c r="HC721" i="1"/>
  <c r="GY721" i="1"/>
  <c r="HE437" i="1"/>
  <c r="IL30" i="1"/>
  <c r="HG507" i="1"/>
  <c r="GU721" i="1"/>
  <c r="GZ721" i="1"/>
  <c r="HE721" i="1"/>
  <c r="GV721" i="1"/>
  <c r="HF721" i="1"/>
  <c r="IE721" i="1"/>
  <c r="C721" i="1"/>
  <c r="C632" i="1"/>
  <c r="C630" i="1"/>
  <c r="C628" i="1"/>
  <c r="B14" i="3"/>
  <c r="JQ609" i="1"/>
  <c r="JK30" i="1"/>
  <c r="JS395" i="1"/>
  <c r="JS61" i="1"/>
  <c r="C273" i="1"/>
  <c r="KF28" i="1"/>
  <c r="HW174" i="1"/>
  <c r="HR174" i="1"/>
  <c r="JP308" i="1"/>
  <c r="GR368" i="1"/>
  <c r="GR64" i="1"/>
  <c r="GQ227" i="1"/>
  <c r="KA227" i="1"/>
  <c r="HZ72" i="1"/>
  <c r="HX174" i="1"/>
  <c r="GT413" i="1"/>
  <c r="GT79" i="1"/>
  <c r="GS383" i="1"/>
  <c r="GS49" i="1"/>
  <c r="GT483" i="1"/>
  <c r="HV174" i="1"/>
  <c r="GT398" i="1"/>
  <c r="GT64" i="1"/>
  <c r="JT398" i="1"/>
  <c r="JT64" i="1"/>
  <c r="JY611" i="1"/>
  <c r="D28" i="41"/>
  <c r="HA579" i="1"/>
  <c r="HA577" i="1"/>
  <c r="D26" i="41"/>
  <c r="D22" i="41"/>
  <c r="KB668" i="1"/>
  <c r="KC668" i="1"/>
  <c r="JY36" i="1"/>
  <c r="HS38" i="1"/>
  <c r="HO38" i="1"/>
  <c r="HK38" i="1"/>
  <c r="HC38" i="1"/>
  <c r="HP38" i="1"/>
  <c r="HT38" i="1"/>
  <c r="HN38" i="1"/>
  <c r="HR38" i="1"/>
  <c r="IU38" i="1"/>
  <c r="JG38" i="1"/>
  <c r="HX38" i="1"/>
  <c r="IB38" i="1"/>
  <c r="IO38" i="1"/>
  <c r="C308" i="1"/>
  <c r="KB731" i="1"/>
  <c r="KB724" i="1"/>
  <c r="KC724" i="1"/>
  <c r="KB767" i="1"/>
  <c r="KC767" i="1"/>
  <c r="KB844" i="1"/>
  <c r="KC844" i="1"/>
  <c r="JX702" i="1"/>
  <c r="JX856" i="1"/>
  <c r="KB684" i="1"/>
  <c r="KC684" i="1"/>
  <c r="JY705" i="1"/>
  <c r="KB855" i="1"/>
  <c r="KC855" i="1"/>
  <c r="JY856" i="1"/>
  <c r="F10" i="3"/>
  <c r="HG368" i="1"/>
  <c r="HG366" i="1"/>
  <c r="JY768" i="1"/>
  <c r="KB720" i="1"/>
  <c r="KC720" i="1"/>
  <c r="KB782" i="1"/>
  <c r="KC782" i="1"/>
  <c r="KB841" i="1"/>
  <c r="KC841" i="1"/>
  <c r="JX725" i="1"/>
  <c r="JY702" i="1"/>
  <c r="KB765" i="1"/>
  <c r="KC765" i="1"/>
  <c r="JY842" i="1"/>
  <c r="KB769" i="1"/>
  <c r="KC769" i="1"/>
  <c r="KA581" i="1"/>
  <c r="KB779" i="1"/>
  <c r="HP52" i="1"/>
  <c r="JX23" i="1"/>
  <c r="HE77" i="1"/>
  <c r="HJ77" i="1"/>
  <c r="HR77" i="1"/>
  <c r="HV77" i="1"/>
  <c r="ID77" i="1"/>
  <c r="IO77" i="1"/>
  <c r="IU77" i="1"/>
  <c r="JG77" i="1"/>
  <c r="IX111" i="1"/>
  <c r="JB111" i="1"/>
  <c r="HF125" i="1"/>
  <c r="IX131" i="1"/>
  <c r="JB131" i="1"/>
  <c r="JJ131" i="1"/>
  <c r="JR131" i="1"/>
  <c r="HX82" i="1"/>
  <c r="HE82" i="1"/>
  <c r="JS667" i="1"/>
  <c r="JS666" i="1"/>
  <c r="HD131" i="1"/>
  <c r="HM131" i="1"/>
  <c r="HQ131" i="1"/>
  <c r="HG725" i="1"/>
  <c r="HU52" i="1"/>
  <c r="HQ52" i="1"/>
  <c r="HQ46" i="1"/>
  <c r="HQ44" i="1"/>
  <c r="HR52" i="1"/>
  <c r="JG52" i="1"/>
  <c r="JC52" i="1"/>
  <c r="IU52" i="1"/>
  <c r="HX52" i="1"/>
  <c r="HE52" i="1"/>
  <c r="HB52" i="1"/>
  <c r="HF52" i="1"/>
  <c r="IC52" i="1"/>
  <c r="IX52" i="1"/>
  <c r="JB52" i="1"/>
  <c r="JJ52" i="1"/>
  <c r="X48" i="12"/>
  <c r="HG101" i="1"/>
  <c r="KB369" i="1"/>
  <c r="KC369" i="1"/>
  <c r="KB510" i="1"/>
  <c r="HN139" i="1"/>
  <c r="HN52" i="1"/>
  <c r="IR52" i="1"/>
  <c r="E24" i="32"/>
  <c r="F24" i="32"/>
  <c r="F20" i="32"/>
  <c r="G12" i="19"/>
  <c r="HJ131" i="1"/>
  <c r="IL131" i="1"/>
  <c r="K16" i="13"/>
  <c r="U63" i="12"/>
  <c r="JS831" i="1"/>
  <c r="T27" i="12"/>
  <c r="JP82" i="1"/>
  <c r="HJ38" i="1"/>
  <c r="HV38" i="1"/>
  <c r="JD38" i="1"/>
  <c r="GW174" i="1"/>
  <c r="HA174" i="1"/>
  <c r="HE174" i="1"/>
  <c r="HV125" i="1"/>
  <c r="ID125" i="1"/>
  <c r="JA125" i="1"/>
  <c r="JE125" i="1"/>
  <c r="JI125" i="1"/>
  <c r="GX174" i="1"/>
  <c r="HB174" i="1"/>
  <c r="HF174" i="1"/>
  <c r="GX78" i="1"/>
  <c r="GS78" i="1"/>
  <c r="IZ174" i="1"/>
  <c r="JD174" i="1"/>
  <c r="JD172" i="1"/>
  <c r="JP174" i="1"/>
  <c r="HJ174" i="1"/>
  <c r="GY174" i="1"/>
  <c r="HC174" i="1"/>
  <c r="ID174" i="1"/>
  <c r="GX380" i="1"/>
  <c r="GX378" i="1"/>
  <c r="GX444" i="1"/>
  <c r="GX437" i="1"/>
  <c r="JR174" i="1"/>
  <c r="GW444" i="1"/>
  <c r="GW437" i="1"/>
  <c r="JS852" i="1"/>
  <c r="II155" i="1"/>
  <c r="IO155" i="1"/>
  <c r="IW155" i="1"/>
  <c r="JM155" i="1"/>
  <c r="HV118" i="1"/>
  <c r="HZ118" i="1"/>
  <c r="JE118" i="1"/>
  <c r="HT86" i="1"/>
  <c r="HX86" i="1"/>
  <c r="HK77" i="1"/>
  <c r="HS77" i="1"/>
  <c r="IA77" i="1"/>
  <c r="IX77" i="1"/>
  <c r="JB77" i="1"/>
  <c r="JJ77" i="1"/>
  <c r="JQ46" i="1"/>
  <c r="IN23" i="1"/>
  <c r="GV174" i="1"/>
  <c r="GZ174" i="1"/>
  <c r="HD174" i="1"/>
  <c r="IE174" i="1"/>
  <c r="HE106" i="1"/>
  <c r="IQ23" i="1"/>
  <c r="IQ21" i="1"/>
  <c r="IJ23" i="1"/>
  <c r="IM23" i="1"/>
  <c r="HB106" i="1"/>
  <c r="HF106" i="1"/>
  <c r="JR106" i="1"/>
  <c r="IS23" i="1"/>
  <c r="GT592" i="1"/>
  <c r="IV139" i="1"/>
  <c r="IE139" i="1"/>
  <c r="JX31" i="1"/>
  <c r="HP106" i="1"/>
  <c r="JD149" i="1"/>
  <c r="IS149" i="1"/>
  <c r="JQ174" i="1"/>
  <c r="C131" i="1"/>
  <c r="HD106" i="1"/>
  <c r="HI106" i="1"/>
  <c r="IE106" i="1"/>
  <c r="JP106" i="1"/>
  <c r="HG464" i="1"/>
  <c r="IT96" i="1"/>
  <c r="GT581" i="1"/>
  <c r="JS391" i="1"/>
  <c r="JY69" i="1"/>
  <c r="JY401" i="1"/>
  <c r="IF444" i="1"/>
  <c r="JS447" i="1"/>
  <c r="JS114" i="1"/>
  <c r="JS409" i="1"/>
  <c r="JS406" i="1"/>
  <c r="JS453" i="1"/>
  <c r="IF563" i="1"/>
  <c r="KB553" i="1"/>
  <c r="IK33" i="1"/>
  <c r="KB448" i="1"/>
  <c r="KB490" i="1"/>
  <c r="IS169" i="1"/>
  <c r="IF419" i="1"/>
  <c r="IT140" i="1"/>
  <c r="KB454" i="1"/>
  <c r="JS441" i="1"/>
  <c r="JS108" i="1"/>
  <c r="IF549" i="1"/>
  <c r="KB501" i="1"/>
  <c r="IG158" i="1"/>
  <c r="JS509" i="1"/>
  <c r="JS176" i="1"/>
  <c r="JS483" i="1"/>
  <c r="JS150" i="1"/>
  <c r="IS58" i="1"/>
  <c r="JY451" i="1"/>
  <c r="HP172" i="1"/>
  <c r="HC308" i="1"/>
  <c r="HK172" i="1"/>
  <c r="IF329" i="1"/>
  <c r="IT170" i="1"/>
  <c r="IT167" i="1"/>
  <c r="IT150" i="1"/>
  <c r="GR354" i="1"/>
  <c r="IS131" i="1"/>
  <c r="IG132" i="1"/>
  <c r="KB480" i="1"/>
  <c r="JS132" i="1"/>
  <c r="IF464" i="1"/>
  <c r="HA437" i="1"/>
  <c r="C125" i="1"/>
  <c r="IT99" i="1"/>
  <c r="KB407" i="1"/>
  <c r="IT49" i="1"/>
  <c r="IT112" i="1"/>
  <c r="IF439" i="1"/>
  <c r="KB165" i="1"/>
  <c r="C77" i="1"/>
  <c r="JS362" i="1"/>
  <c r="JS234" i="1"/>
  <c r="K17" i="13"/>
  <c r="U27" i="12"/>
  <c r="H13" i="13"/>
  <c r="F17" i="19"/>
  <c r="J18" i="13"/>
  <c r="AG29" i="12"/>
  <c r="H13" i="14"/>
  <c r="I27" i="12"/>
  <c r="I13" i="12"/>
  <c r="I12" i="12"/>
  <c r="F27" i="12"/>
  <c r="Q27" i="12"/>
  <c r="G19" i="14"/>
  <c r="B24" i="32"/>
  <c r="B21" i="32"/>
  <c r="G13" i="13"/>
  <c r="B17" i="32"/>
  <c r="E10" i="36"/>
  <c r="G10" i="36"/>
  <c r="G13" i="14"/>
  <c r="G10" i="37"/>
  <c r="G8" i="37"/>
  <c r="F38" i="12"/>
  <c r="H19" i="14"/>
  <c r="F15" i="19"/>
  <c r="K18" i="13"/>
  <c r="E21" i="32"/>
  <c r="E7" i="18"/>
  <c r="AH23" i="12"/>
  <c r="J29" i="13"/>
  <c r="J28" i="13"/>
  <c r="K29" i="13"/>
  <c r="IG34" i="1"/>
  <c r="JN131" i="1"/>
  <c r="JM125" i="1"/>
  <c r="IB155" i="1"/>
  <c r="GS219" i="1"/>
  <c r="HJ106" i="1"/>
  <c r="GT34" i="1"/>
  <c r="I31" i="33"/>
  <c r="KB162" i="1"/>
  <c r="JP437" i="1"/>
  <c r="IE437" i="1"/>
  <c r="HE86" i="1"/>
  <c r="HJ86" i="1"/>
  <c r="IA86" i="1"/>
  <c r="JH86" i="1"/>
  <c r="HF86" i="1"/>
  <c r="HU86" i="1"/>
  <c r="HY86" i="1"/>
  <c r="IR86" i="1"/>
  <c r="JN86" i="1"/>
  <c r="JR86" i="1"/>
  <c r="HM86" i="1"/>
  <c r="HL86" i="1"/>
  <c r="JQ77" i="1"/>
  <c r="HM111" i="1"/>
  <c r="HQ111" i="1"/>
  <c r="HU111" i="1"/>
  <c r="HY111" i="1"/>
  <c r="IC111" i="1"/>
  <c r="IJ111" i="1"/>
  <c r="JP111" i="1"/>
  <c r="HC111" i="1"/>
  <c r="HP111" i="1"/>
  <c r="HX111" i="1"/>
  <c r="II111" i="1"/>
  <c r="IM111" i="1"/>
  <c r="HV111" i="1"/>
  <c r="ID111" i="1"/>
  <c r="IK111" i="1"/>
  <c r="IO111" i="1"/>
  <c r="JJ111" i="1"/>
  <c r="JR111" i="1"/>
  <c r="HB118" i="1"/>
  <c r="HF118" i="1"/>
  <c r="HO118" i="1"/>
  <c r="HS118" i="1"/>
  <c r="HW118" i="1"/>
  <c r="IA118" i="1"/>
  <c r="IE118" i="1"/>
  <c r="IL118" i="1"/>
  <c r="IV118" i="1"/>
  <c r="JL118" i="1"/>
  <c r="JR118" i="1"/>
  <c r="JX845" i="1"/>
  <c r="IF845" i="1"/>
  <c r="C46" i="1"/>
  <c r="HD46" i="1"/>
  <c r="HI46" i="1"/>
  <c r="HM46" i="1"/>
  <c r="HZ46" i="1"/>
  <c r="IU46" i="1"/>
  <c r="IY46" i="1"/>
  <c r="JC46" i="1"/>
  <c r="JG46" i="1"/>
  <c r="JK46" i="1"/>
  <c r="GW46" i="1"/>
  <c r="HA46" i="1"/>
  <c r="HE46" i="1"/>
  <c r="HN46" i="1"/>
  <c r="HW46" i="1"/>
  <c r="IA46" i="1"/>
  <c r="IC46" i="1"/>
  <c r="IJ46" i="1"/>
  <c r="IM46" i="1"/>
  <c r="IV46" i="1"/>
  <c r="IZ46" i="1"/>
  <c r="JD46" i="1"/>
  <c r="JH46" i="1"/>
  <c r="JP46" i="1"/>
  <c r="HV46" i="1"/>
  <c r="ID46" i="1"/>
  <c r="IK46" i="1"/>
  <c r="IO46" i="1"/>
  <c r="HL46" i="1"/>
  <c r="HY46" i="1"/>
  <c r="IE46" i="1"/>
  <c r="IL46" i="1"/>
  <c r="HM118" i="1"/>
  <c r="IC118" i="1"/>
  <c r="HE125" i="1"/>
  <c r="HH125" i="1"/>
  <c r="HM125" i="1"/>
  <c r="HQ125" i="1"/>
  <c r="IC125" i="1"/>
  <c r="IJ125" i="1"/>
  <c r="JP125" i="1"/>
  <c r="HW125" i="1"/>
  <c r="IR125" i="1"/>
  <c r="IX125" i="1"/>
  <c r="JB125" i="1"/>
  <c r="JJ125" i="1"/>
  <c r="JN125" i="1"/>
  <c r="JG149" i="1"/>
  <c r="JK149" i="1"/>
  <c r="HP155" i="1"/>
  <c r="IV155" i="1"/>
  <c r="JD155" i="1"/>
  <c r="JH155" i="1"/>
  <c r="JP155" i="1"/>
  <c r="HB155" i="1"/>
  <c r="HO155" i="1"/>
  <c r="HS155" i="1"/>
  <c r="IE155" i="1"/>
  <c r="HC67" i="1"/>
  <c r="HH67" i="1"/>
  <c r="JJ67" i="1"/>
  <c r="HL139" i="1"/>
  <c r="IT42" i="1"/>
  <c r="GR361" i="1"/>
  <c r="GS361" i="1"/>
  <c r="GT361" i="1"/>
  <c r="J31" i="33"/>
  <c r="JX288" i="1"/>
  <c r="IT41" i="1"/>
  <c r="IG293" i="1"/>
  <c r="IJ34" i="1"/>
  <c r="IM33" i="1"/>
  <c r="HD155" i="1"/>
  <c r="HM155" i="1"/>
  <c r="HQ155" i="1"/>
  <c r="HY155" i="1"/>
  <c r="IR155" i="1"/>
  <c r="IX155" i="1"/>
  <c r="JJ155" i="1"/>
  <c r="JN155" i="1"/>
  <c r="JR155" i="1"/>
  <c r="HD308" i="1"/>
  <c r="HO72" i="1"/>
  <c r="HX72" i="1"/>
  <c r="GX666" i="1"/>
  <c r="KB258" i="1"/>
  <c r="KC258" i="1"/>
  <c r="KB274" i="1"/>
  <c r="KC274" i="1"/>
  <c r="KB332" i="1"/>
  <c r="KC332" i="1"/>
  <c r="IF288" i="1"/>
  <c r="P27" i="40"/>
  <c r="HF437" i="1"/>
  <c r="HD437" i="1"/>
  <c r="HF541" i="1"/>
  <c r="IO210" i="1"/>
  <c r="HP218" i="1"/>
  <c r="JA218" i="1"/>
  <c r="HM38" i="1"/>
  <c r="JD21" i="1"/>
  <c r="JH21" i="1"/>
  <c r="HP139" i="1"/>
  <c r="HK106" i="1"/>
  <c r="HK104" i="1"/>
  <c r="HU106" i="1"/>
  <c r="IC106" i="1"/>
  <c r="IJ106" i="1"/>
  <c r="IR106" i="1"/>
  <c r="HI149" i="1"/>
  <c r="IQ80" i="1"/>
  <c r="JS853" i="1"/>
  <c r="HG251" i="1"/>
  <c r="IT143" i="1"/>
  <c r="HB437" i="1"/>
  <c r="GZ437" i="1"/>
  <c r="GV437" i="1"/>
  <c r="JS359" i="1"/>
  <c r="JS228" i="1"/>
  <c r="JS227" i="1"/>
  <c r="IN213" i="1"/>
  <c r="IN212" i="1"/>
  <c r="IQ152" i="1"/>
  <c r="JT565" i="1"/>
  <c r="JT238" i="1"/>
  <c r="IF96" i="1"/>
  <c r="KB376" i="1"/>
  <c r="KC376" i="1"/>
  <c r="JX375" i="1"/>
  <c r="KB375" i="1"/>
  <c r="KC375" i="1"/>
  <c r="JS382" i="1"/>
  <c r="JS48" i="1"/>
  <c r="IF161" i="1"/>
  <c r="JS494" i="1"/>
  <c r="JS161" i="1"/>
  <c r="KB561" i="1"/>
  <c r="KB233" i="1"/>
  <c r="IJ22" i="1"/>
  <c r="GV46" i="1"/>
  <c r="IF100" i="1"/>
  <c r="IF488" i="1"/>
  <c r="IP155" i="1"/>
  <c r="IM57" i="1"/>
  <c r="HM21" i="1"/>
  <c r="IP122" i="1"/>
  <c r="IP118" i="1"/>
  <c r="JQ366" i="1"/>
  <c r="KB626" i="1"/>
  <c r="KC626" i="1"/>
  <c r="IM58" i="1"/>
  <c r="IM80" i="1"/>
  <c r="IM77" i="1"/>
  <c r="IM122" i="1"/>
  <c r="IN122" i="1"/>
  <c r="IM143" i="1"/>
  <c r="IM205" i="1"/>
  <c r="IM204" i="1"/>
  <c r="IP68" i="1"/>
  <c r="IP213" i="1"/>
  <c r="IP212" i="1"/>
  <c r="HL56" i="1"/>
  <c r="HL52" i="1"/>
  <c r="JJ106" i="1"/>
  <c r="IJ31" i="1"/>
  <c r="IP113" i="1"/>
  <c r="IP74" i="1"/>
  <c r="IM22" i="1"/>
  <c r="IP42" i="1"/>
  <c r="JP619" i="1"/>
  <c r="JP609" i="1"/>
  <c r="IL21" i="1"/>
  <c r="JR632" i="1"/>
  <c r="JR630" i="1"/>
  <c r="JR628" i="1"/>
  <c r="IF196" i="1"/>
  <c r="IF195" i="1"/>
  <c r="JS527" i="1"/>
  <c r="JS196" i="1"/>
  <c r="HD21" i="1"/>
  <c r="HX218" i="1"/>
  <c r="HX210" i="1"/>
  <c r="JY267" i="1"/>
  <c r="JX267" i="1"/>
  <c r="KC518" i="1"/>
  <c r="IG702" i="1"/>
  <c r="IY77" i="1"/>
  <c r="KB338" i="1"/>
  <c r="KC338" i="1"/>
  <c r="KB342" i="1"/>
  <c r="KC342" i="1"/>
  <c r="KB353" i="1"/>
  <c r="KC353" i="1"/>
  <c r="KB360" i="1"/>
  <c r="KC360" i="1"/>
  <c r="IT56" i="1"/>
  <c r="IF279" i="1"/>
  <c r="JY73" i="1"/>
  <c r="JY54" i="1"/>
  <c r="JX279" i="1"/>
  <c r="JX33" i="1"/>
  <c r="JY42" i="1"/>
  <c r="KB384" i="1"/>
  <c r="JX50" i="1"/>
  <c r="IZ77" i="1"/>
  <c r="IS80" i="1"/>
  <c r="IJ57" i="1"/>
  <c r="KB335" i="1"/>
  <c r="IS70" i="1"/>
  <c r="IP32" i="1"/>
  <c r="IS56" i="1"/>
  <c r="JY39" i="1"/>
  <c r="JY38" i="1"/>
  <c r="IS68" i="1"/>
  <c r="IS67" i="1"/>
  <c r="JS270" i="1"/>
  <c r="JS41" i="1"/>
  <c r="JT248" i="1"/>
  <c r="JX56" i="1"/>
  <c r="JT276" i="1"/>
  <c r="IJ32" i="1"/>
  <c r="GS169" i="1"/>
  <c r="JT430" i="1"/>
  <c r="JT97" i="1"/>
  <c r="GS95" i="1"/>
  <c r="IK31" i="1"/>
  <c r="IT182" i="1"/>
  <c r="GT251" i="1"/>
  <c r="D11" i="33"/>
  <c r="GS634" i="1"/>
  <c r="JT473" i="1"/>
  <c r="JT140" i="1"/>
  <c r="GS375" i="1"/>
  <c r="KK23" i="1"/>
  <c r="KK63" i="1"/>
  <c r="HG358" i="1"/>
  <c r="GT458" i="1"/>
  <c r="JT414" i="1"/>
  <c r="JT412" i="1"/>
  <c r="JT78" i="1"/>
  <c r="JT556" i="1"/>
  <c r="JT225" i="1"/>
  <c r="JT224" i="1"/>
  <c r="GS197" i="1"/>
  <c r="HF366" i="1"/>
  <c r="HD366" i="1"/>
  <c r="GZ366" i="1"/>
  <c r="GX366" i="1"/>
  <c r="GV366" i="1"/>
  <c r="JS112" i="1"/>
  <c r="S45" i="12"/>
  <c r="S44" i="12"/>
  <c r="N48" i="12"/>
  <c r="J27" i="12"/>
  <c r="J13" i="12"/>
  <c r="J12" i="12"/>
  <c r="H13" i="12"/>
  <c r="H12" i="12"/>
  <c r="H10" i="12"/>
  <c r="G12" i="14"/>
  <c r="G10" i="14"/>
  <c r="G8" i="14"/>
  <c r="E19" i="12"/>
  <c r="C10" i="20"/>
  <c r="H11" i="36"/>
  <c r="G10" i="13"/>
  <c r="G8" i="13"/>
  <c r="L27" i="12"/>
  <c r="L13" i="12"/>
  <c r="C27" i="12"/>
  <c r="AC27" i="12"/>
  <c r="AC13" i="12"/>
  <c r="AC12" i="12"/>
  <c r="M27" i="12"/>
  <c r="M13" i="12"/>
  <c r="M12" i="12"/>
  <c r="G27" i="12"/>
  <c r="G13" i="12"/>
  <c r="T63" i="12"/>
  <c r="B14" i="32"/>
  <c r="B12" i="32"/>
  <c r="B10" i="32"/>
  <c r="F10" i="14"/>
  <c r="F13" i="14"/>
  <c r="F13" i="13"/>
  <c r="F10" i="37"/>
  <c r="F13" i="37"/>
  <c r="HC46" i="1"/>
  <c r="HS86" i="1"/>
  <c r="GR284" i="1"/>
  <c r="GR425" i="1"/>
  <c r="GR679" i="1"/>
  <c r="GR770" i="1"/>
  <c r="GR774" i="1"/>
  <c r="GR777" i="1"/>
  <c r="GR785" i="1"/>
  <c r="GR786" i="1"/>
  <c r="GR792" i="1"/>
  <c r="GR809" i="1"/>
  <c r="GR843" i="1"/>
  <c r="GR842" i="1"/>
  <c r="GS606" i="1"/>
  <c r="JT362" i="1"/>
  <c r="JT234" i="1"/>
  <c r="JZ220" i="1"/>
  <c r="HF579" i="1"/>
  <c r="IR82" i="1"/>
  <c r="HC52" i="1"/>
  <c r="JP244" i="1"/>
  <c r="IE94" i="1"/>
  <c r="JQ167" i="1"/>
  <c r="JH167" i="1"/>
  <c r="HC30" i="1"/>
  <c r="IA174" i="1"/>
  <c r="JJ236" i="1"/>
  <c r="JJ210" i="1"/>
  <c r="IY63" i="1"/>
  <c r="JK63" i="1"/>
  <c r="JR63" i="1"/>
  <c r="IB174" i="1"/>
  <c r="JL174" i="1"/>
  <c r="JL172" i="1"/>
  <c r="HR82" i="1"/>
  <c r="IF600" i="1"/>
  <c r="HU125" i="1"/>
  <c r="HU104" i="1"/>
  <c r="HY125" i="1"/>
  <c r="HZ125" i="1"/>
  <c r="HP131" i="1"/>
  <c r="HN155" i="1"/>
  <c r="HN104" i="1"/>
  <c r="JA155" i="1"/>
  <c r="IR67" i="1"/>
  <c r="JY205" i="1"/>
  <c r="JY204" i="1"/>
  <c r="JY535" i="1"/>
  <c r="IK23" i="1"/>
  <c r="GX205" i="1"/>
  <c r="GX204" i="1"/>
  <c r="GX535" i="1"/>
  <c r="GX530" i="1"/>
  <c r="IN56" i="1"/>
  <c r="JY253" i="1"/>
  <c r="JY251" i="1"/>
  <c r="IP73" i="1"/>
  <c r="IQ182" i="1"/>
  <c r="IP182" i="1"/>
  <c r="IT114" i="1"/>
  <c r="IN33" i="1"/>
  <c r="JS503" i="1"/>
  <c r="JS170" i="1"/>
  <c r="IF571" i="1"/>
  <c r="IF569" i="1"/>
  <c r="IF567" i="1"/>
  <c r="HK16" i="1"/>
  <c r="HK14" i="1"/>
  <c r="IF28" i="1"/>
  <c r="JP72" i="1"/>
  <c r="GR280" i="1"/>
  <c r="JZ291" i="1"/>
  <c r="KB291" i="1"/>
  <c r="GR291" i="1"/>
  <c r="GP53" i="1"/>
  <c r="JZ53" i="1"/>
  <c r="GP54" i="1"/>
  <c r="JZ54" i="1"/>
  <c r="JZ390" i="1"/>
  <c r="GP56" i="1"/>
  <c r="JZ56" i="1"/>
  <c r="GP57" i="1"/>
  <c r="JZ57" i="1"/>
  <c r="GP58" i="1"/>
  <c r="JZ58" i="1"/>
  <c r="GP59" i="1"/>
  <c r="JZ59" i="1"/>
  <c r="JZ395" i="1"/>
  <c r="GP61" i="1"/>
  <c r="JZ61" i="1"/>
  <c r="JZ398" i="1"/>
  <c r="GP64" i="1"/>
  <c r="JZ64" i="1"/>
  <c r="JZ399" i="1"/>
  <c r="GP65" i="1"/>
  <c r="JZ65" i="1"/>
  <c r="JZ407" i="1"/>
  <c r="JZ187" i="1"/>
  <c r="JZ520" i="1"/>
  <c r="JZ189" i="1"/>
  <c r="JZ196" i="1"/>
  <c r="JZ527" i="1"/>
  <c r="JZ528" i="1"/>
  <c r="JZ536" i="1"/>
  <c r="JZ544" i="1"/>
  <c r="JZ556" i="1"/>
  <c r="JZ42" i="1"/>
  <c r="JZ674" i="1"/>
  <c r="KB674" i="1"/>
  <c r="GR674" i="1"/>
  <c r="GR731" i="1"/>
  <c r="JZ746" i="1"/>
  <c r="JZ776" i="1"/>
  <c r="GR801" i="1"/>
  <c r="JZ801" i="1"/>
  <c r="JZ802" i="1"/>
  <c r="GR802" i="1"/>
  <c r="GR804" i="1"/>
  <c r="JZ804" i="1"/>
  <c r="KB804" i="1"/>
  <c r="KC804" i="1"/>
  <c r="GR807" i="1"/>
  <c r="JZ807" i="1"/>
  <c r="KB807" i="1"/>
  <c r="KC807" i="1"/>
  <c r="JZ820" i="1"/>
  <c r="KB820" i="1"/>
  <c r="KC820" i="1"/>
  <c r="GR821" i="1"/>
  <c r="JZ821" i="1"/>
  <c r="JZ823" i="1"/>
  <c r="JZ836" i="1"/>
  <c r="KB836" i="1"/>
  <c r="KC836" i="1"/>
  <c r="GR836" i="1"/>
  <c r="GR847" i="1"/>
  <c r="JZ847" i="1"/>
  <c r="GR849" i="1"/>
  <c r="JZ849" i="1"/>
  <c r="JY676" i="1"/>
  <c r="ID619" i="1"/>
  <c r="JP366" i="1"/>
  <c r="HE366" i="1"/>
  <c r="HA366" i="1"/>
  <c r="GW366" i="1"/>
  <c r="IS55" i="1"/>
  <c r="IS52" i="1"/>
  <c r="IS26" i="1"/>
  <c r="JQ21" i="1"/>
  <c r="JK21" i="1"/>
  <c r="IS17" i="1"/>
  <c r="IW21" i="1"/>
  <c r="IS42" i="1"/>
  <c r="IS97" i="1"/>
  <c r="C505" i="1"/>
  <c r="KF44" i="1"/>
  <c r="IS95" i="1"/>
  <c r="HC218" i="1"/>
  <c r="HT21" i="1"/>
  <c r="HT14" i="1"/>
  <c r="HJ21" i="1"/>
  <c r="HO212" i="1"/>
  <c r="HO210" i="1"/>
  <c r="HK210" i="1"/>
  <c r="JX354" i="1"/>
  <c r="IG55" i="1"/>
  <c r="JX403" i="1"/>
  <c r="KB403" i="1"/>
  <c r="JX408" i="1"/>
  <c r="JX74" i="1"/>
  <c r="IG133" i="1"/>
  <c r="JX496" i="1"/>
  <c r="JX163" i="1"/>
  <c r="HR61" i="1"/>
  <c r="JY263" i="1"/>
  <c r="JY34" i="1"/>
  <c r="JY280" i="1"/>
  <c r="JY53" i="1"/>
  <c r="JY638" i="1"/>
  <c r="KB594" i="1"/>
  <c r="KC594" i="1"/>
  <c r="HR69" i="1"/>
  <c r="HR67" i="1"/>
  <c r="HR107" i="1"/>
  <c r="HR106" i="1"/>
  <c r="HR155" i="1"/>
  <c r="JY829" i="1"/>
  <c r="JZ257" i="1"/>
  <c r="JZ262" i="1"/>
  <c r="JZ270" i="1"/>
  <c r="KB270" i="1"/>
  <c r="JZ276" i="1"/>
  <c r="JZ284" i="1"/>
  <c r="JZ384" i="1"/>
  <c r="GP702" i="1"/>
  <c r="GR683" i="1"/>
  <c r="GR681" i="1"/>
  <c r="GR282" i="1"/>
  <c r="KB95" i="1"/>
  <c r="KC95" i="1"/>
  <c r="IJ17" i="1"/>
  <c r="IJ26" i="1"/>
  <c r="GV205" i="1"/>
  <c r="GV204" i="1"/>
  <c r="GV535" i="1"/>
  <c r="GV530" i="1"/>
  <c r="IP57" i="1"/>
  <c r="IP52" i="1"/>
  <c r="IP191" i="1"/>
  <c r="JX402" i="1"/>
  <c r="JX68" i="1"/>
  <c r="IH705" i="1"/>
  <c r="IT73" i="1"/>
  <c r="KB431" i="1"/>
  <c r="KB429" i="1"/>
  <c r="KB96" i="1"/>
  <c r="KC96" i="1"/>
  <c r="IE366" i="1"/>
  <c r="JQ273" i="1"/>
  <c r="C118" i="1"/>
  <c r="P29" i="40"/>
  <c r="JE21" i="1"/>
  <c r="JA21" i="1"/>
  <c r="IO21" i="1"/>
  <c r="ID21" i="1"/>
  <c r="HV21" i="1"/>
  <c r="HE21" i="1"/>
  <c r="HC21" i="1"/>
  <c r="IS168" i="1"/>
  <c r="IS167" i="1"/>
  <c r="IS213" i="1"/>
  <c r="IS212" i="1"/>
  <c r="IS177" i="1"/>
  <c r="IS174" i="1"/>
  <c r="IS101" i="1"/>
  <c r="JS476" i="1"/>
  <c r="JS143" i="1"/>
  <c r="JS512" i="1"/>
  <c r="JZ253" i="1"/>
  <c r="GR286" i="1"/>
  <c r="GR290" i="1"/>
  <c r="GR69" i="1"/>
  <c r="JZ294" i="1"/>
  <c r="GR294" i="1"/>
  <c r="JZ295" i="1"/>
  <c r="GT296" i="1"/>
  <c r="GT75" i="1"/>
  <c r="JZ306" i="1"/>
  <c r="JZ369" i="1"/>
  <c r="GP49" i="1"/>
  <c r="JZ49" i="1"/>
  <c r="JZ383" i="1"/>
  <c r="GP69" i="1"/>
  <c r="JZ69" i="1"/>
  <c r="GP70" i="1"/>
  <c r="JZ70" i="1"/>
  <c r="GP74" i="1"/>
  <c r="JZ74" i="1"/>
  <c r="GP92" i="1"/>
  <c r="JZ425" i="1"/>
  <c r="GP107" i="1"/>
  <c r="JZ107" i="1"/>
  <c r="JZ440" i="1"/>
  <c r="GP122" i="1"/>
  <c r="JZ122" i="1"/>
  <c r="JZ455" i="1"/>
  <c r="GP151" i="1"/>
  <c r="JZ151" i="1"/>
  <c r="JZ484" i="1"/>
  <c r="GP176" i="1"/>
  <c r="JZ176" i="1"/>
  <c r="JZ191" i="1"/>
  <c r="JZ561" i="1"/>
  <c r="JZ626" i="1"/>
  <c r="GT666" i="1"/>
  <c r="GR667" i="1"/>
  <c r="GR666" i="1"/>
  <c r="JZ667" i="1"/>
  <c r="KB667" i="1"/>
  <c r="KC667" i="1"/>
  <c r="JZ670" i="1"/>
  <c r="KB670" i="1"/>
  <c r="GR672" i="1"/>
  <c r="JZ672" i="1"/>
  <c r="KB672" i="1"/>
  <c r="JZ675" i="1"/>
  <c r="GR675" i="1"/>
  <c r="JZ676" i="1"/>
  <c r="GR676" i="1"/>
  <c r="JZ682" i="1"/>
  <c r="JZ681" i="1"/>
  <c r="GP681" i="1"/>
  <c r="GP705" i="1"/>
  <c r="GR706" i="1"/>
  <c r="GR705" i="1"/>
  <c r="JZ706" i="1"/>
  <c r="JZ705" i="1"/>
  <c r="JZ726" i="1"/>
  <c r="KB726" i="1"/>
  <c r="KC726" i="1"/>
  <c r="GR729" i="1"/>
  <c r="GR732" i="1"/>
  <c r="KB734" i="1"/>
  <c r="GR734" i="1"/>
  <c r="GR736" i="1"/>
  <c r="GR744" i="1"/>
  <c r="GR769" i="1"/>
  <c r="GR771" i="1"/>
  <c r="GR773" i="1"/>
  <c r="JZ775" i="1"/>
  <c r="KB775" i="1"/>
  <c r="KC775" i="1"/>
  <c r="GR775" i="1"/>
  <c r="JZ778" i="1"/>
  <c r="KB778" i="1"/>
  <c r="KC778" i="1"/>
  <c r="GR778" i="1"/>
  <c r="GR780" i="1"/>
  <c r="JZ780" i="1"/>
  <c r="KB780" i="1"/>
  <c r="KC780" i="1"/>
  <c r="GR788" i="1"/>
  <c r="GR793" i="1"/>
  <c r="JZ793" i="1"/>
  <c r="KB793" i="1"/>
  <c r="KC793" i="1"/>
  <c r="GR794" i="1"/>
  <c r="JZ796" i="1"/>
  <c r="KB796" i="1"/>
  <c r="KC796" i="1"/>
  <c r="GR797" i="1"/>
  <c r="JZ797" i="1"/>
  <c r="KB797" i="1"/>
  <c r="KC797" i="1"/>
  <c r="GR798" i="1"/>
  <c r="GR806" i="1"/>
  <c r="JZ806" i="1"/>
  <c r="GR808" i="1"/>
  <c r="JZ808" i="1"/>
  <c r="KB808" i="1"/>
  <c r="KC808" i="1"/>
  <c r="JZ810" i="1"/>
  <c r="KB810" i="1"/>
  <c r="KC810" i="1"/>
  <c r="GR813" i="1"/>
  <c r="JZ813" i="1"/>
  <c r="KB813" i="1"/>
  <c r="KC813" i="1"/>
  <c r="GR814" i="1"/>
  <c r="JZ814" i="1"/>
  <c r="KB814" i="1"/>
  <c r="KC814" i="1"/>
  <c r="GR815" i="1"/>
  <c r="JZ815" i="1"/>
  <c r="KB815" i="1"/>
  <c r="KC815" i="1"/>
  <c r="GR817" i="1"/>
  <c r="GR818" i="1"/>
  <c r="JZ818" i="1"/>
  <c r="GR822" i="1"/>
  <c r="JZ822" i="1"/>
  <c r="KB822" i="1"/>
  <c r="KC822" i="1"/>
  <c r="JZ828" i="1"/>
  <c r="KB828" i="1"/>
  <c r="KC828" i="1"/>
  <c r="JZ831" i="1"/>
  <c r="KB831" i="1"/>
  <c r="KC831" i="1"/>
  <c r="JZ833" i="1"/>
  <c r="KB833" i="1"/>
  <c r="KC833" i="1"/>
  <c r="JZ835" i="1"/>
  <c r="KB835" i="1"/>
  <c r="KC835" i="1"/>
  <c r="JZ839" i="1"/>
  <c r="GR829" i="1"/>
  <c r="GR830" i="1"/>
  <c r="GR833" i="1"/>
  <c r="GR835" i="1"/>
  <c r="GR838" i="1"/>
  <c r="GP842" i="1"/>
  <c r="JZ843" i="1"/>
  <c r="JZ842" i="1"/>
  <c r="JZ846" i="1"/>
  <c r="GR852" i="1"/>
  <c r="JZ852" i="1"/>
  <c r="JZ854" i="1"/>
  <c r="JZ858" i="1"/>
  <c r="JS47" i="1"/>
  <c r="KA222" i="1"/>
  <c r="JS794" i="1"/>
  <c r="IN34" i="1"/>
  <c r="HS172" i="1"/>
  <c r="HM172" i="1"/>
  <c r="HU172" i="1"/>
  <c r="JS735" i="1"/>
  <c r="KB390" i="1"/>
  <c r="KC390" i="1"/>
  <c r="IP86" i="1"/>
  <c r="HB579" i="1"/>
  <c r="HB577" i="1"/>
  <c r="HB575" i="1"/>
  <c r="JQ437" i="1"/>
  <c r="GY437" i="1"/>
  <c r="HC94" i="1"/>
  <c r="HW167" i="1"/>
  <c r="GX347" i="1"/>
  <c r="GY347" i="1"/>
  <c r="JM218" i="1"/>
  <c r="JE63" i="1"/>
  <c r="F30" i="33"/>
  <c r="F29" i="33"/>
  <c r="JT341" i="1"/>
  <c r="JY26" i="1"/>
  <c r="KC565" i="1"/>
  <c r="HR172" i="1"/>
  <c r="KJ23" i="1"/>
  <c r="KJ63" i="1"/>
  <c r="IT63" i="1"/>
  <c r="IG625" i="1"/>
  <c r="JS588" i="1"/>
  <c r="JS24" i="1"/>
  <c r="KB582" i="1"/>
  <c r="JP505" i="1"/>
  <c r="IC174" i="1"/>
  <c r="JI174" i="1"/>
  <c r="JM63" i="1"/>
  <c r="IS119" i="1"/>
  <c r="GS180" i="1"/>
  <c r="GS179" i="1"/>
  <c r="JS421" i="1"/>
  <c r="JS88" i="1"/>
  <c r="GS302" i="1"/>
  <c r="HG666" i="1"/>
  <c r="IH681" i="1"/>
  <c r="IT47" i="1"/>
  <c r="JX95" i="1"/>
  <c r="JX97" i="1"/>
  <c r="KB430" i="1"/>
  <c r="KB97" i="1"/>
  <c r="KC97" i="1"/>
  <c r="IT196" i="1"/>
  <c r="IT195" i="1"/>
  <c r="P33" i="40"/>
  <c r="GP611" i="1"/>
  <c r="HB541" i="1"/>
  <c r="GX541" i="1"/>
  <c r="C541" i="1"/>
  <c r="HT52" i="1"/>
  <c r="JY368" i="1"/>
  <c r="JY366" i="1"/>
  <c r="JQ347" i="1"/>
  <c r="IE16" i="1"/>
  <c r="IE14" i="1"/>
  <c r="IA16" i="1"/>
  <c r="GV195" i="1"/>
  <c r="IE195" i="1"/>
  <c r="HD167" i="1"/>
  <c r="HM57" i="1"/>
  <c r="HM52" i="1"/>
  <c r="JS821" i="1"/>
  <c r="HN172" i="1"/>
  <c r="IG219" i="1"/>
  <c r="IH162" i="1"/>
  <c r="KC392" i="1"/>
  <c r="JP172" i="1"/>
  <c r="IN151" i="1"/>
  <c r="IN149" i="1"/>
  <c r="HY174" i="1"/>
  <c r="IJ174" i="1"/>
  <c r="IY174" i="1"/>
  <c r="JE174" i="1"/>
  <c r="JE172" i="1"/>
  <c r="JQ172" i="1"/>
  <c r="JP218" i="1"/>
  <c r="JP210" i="1"/>
  <c r="IU63" i="1"/>
  <c r="JG63" i="1"/>
  <c r="KF21" i="1"/>
  <c r="KF26" i="1"/>
  <c r="IH842" i="1"/>
  <c r="JX137" i="1"/>
  <c r="HO172" i="1"/>
  <c r="HQ172" i="1"/>
  <c r="IN189" i="1"/>
  <c r="IT238" i="1"/>
  <c r="GX14" i="1"/>
  <c r="JT815" i="1"/>
  <c r="HH172" i="1"/>
  <c r="IH102" i="1"/>
  <c r="HC541" i="1"/>
  <c r="KF60" i="1"/>
  <c r="HB38" i="1"/>
  <c r="HF38" i="1"/>
  <c r="IJ212" i="1"/>
  <c r="JN174" i="1"/>
  <c r="JN172" i="1"/>
  <c r="IX63" i="1"/>
  <c r="JB63" i="1"/>
  <c r="IJ19" i="1"/>
  <c r="HP21" i="1"/>
  <c r="HN21" i="1"/>
  <c r="HK21" i="1"/>
  <c r="KC512" i="1"/>
  <c r="JS805" i="1"/>
  <c r="IG845" i="1"/>
  <c r="JS431" i="1"/>
  <c r="JS98" i="1"/>
  <c r="IG48" i="1"/>
  <c r="JT343" i="1"/>
  <c r="JT389" i="1"/>
  <c r="KF43" i="1"/>
  <c r="KF69" i="1"/>
  <c r="IO14" i="1"/>
  <c r="HI172" i="1"/>
  <c r="JS772" i="1"/>
  <c r="IG666" i="1"/>
  <c r="JX92" i="1"/>
  <c r="KB99" i="1"/>
  <c r="IG555" i="1"/>
  <c r="IQ156" i="1"/>
  <c r="HG488" i="1"/>
  <c r="IT157" i="1"/>
  <c r="IT87" i="1"/>
  <c r="JX108" i="1"/>
  <c r="JS498" i="1"/>
  <c r="JS165" i="1"/>
  <c r="KC140" i="1"/>
  <c r="JN82" i="1"/>
  <c r="JA38" i="1"/>
  <c r="JK77" i="1"/>
  <c r="HS106" i="1"/>
  <c r="HE195" i="1"/>
  <c r="JR195" i="1"/>
  <c r="JR172" i="1"/>
  <c r="JT339" i="1"/>
  <c r="JT731" i="1"/>
  <c r="GZ364" i="1"/>
  <c r="G24" i="41"/>
  <c r="IK84" i="1"/>
  <c r="IK82" i="1"/>
  <c r="HF632" i="1"/>
  <c r="HF630" i="1"/>
  <c r="HF628" i="1"/>
  <c r="JD82" i="1"/>
  <c r="JK174" i="1"/>
  <c r="JK172" i="1"/>
  <c r="IM193" i="1"/>
  <c r="IS79" i="1"/>
  <c r="IA131" i="1"/>
  <c r="JJ149" i="1"/>
  <c r="JF67" i="1"/>
  <c r="JT169" i="1"/>
  <c r="IQ68" i="1"/>
  <c r="IL139" i="1"/>
  <c r="GX632" i="1"/>
  <c r="GX630" i="1"/>
  <c r="GX628" i="1"/>
  <c r="HF577" i="1"/>
  <c r="JQ541" i="1"/>
  <c r="HV52" i="1"/>
  <c r="ID437" i="1"/>
  <c r="ID364" i="1"/>
  <c r="JD218" i="1"/>
  <c r="JQ52" i="1"/>
  <c r="IL52" i="1"/>
  <c r="JE52" i="1"/>
  <c r="JB195" i="1"/>
  <c r="JJ195" i="1"/>
  <c r="JJ172" i="1"/>
  <c r="JM212" i="1"/>
  <c r="JC174" i="1"/>
  <c r="JG174" i="1"/>
  <c r="GW236" i="1"/>
  <c r="HT30" i="1"/>
  <c r="JC77" i="1"/>
  <c r="JY191" i="1"/>
  <c r="II131" i="1"/>
  <c r="HM31" i="1"/>
  <c r="HM30" i="1"/>
  <c r="JY567" i="1"/>
  <c r="KC176" i="1"/>
  <c r="E8" i="36"/>
  <c r="D13" i="12"/>
  <c r="C15" i="25"/>
  <c r="G26" i="14"/>
  <c r="G23" i="14"/>
  <c r="G26" i="37"/>
  <c r="G23" i="37"/>
  <c r="E13" i="36"/>
  <c r="G26" i="13"/>
  <c r="D48" i="12"/>
  <c r="E52" i="12"/>
  <c r="E51" i="12"/>
  <c r="E50" i="12"/>
  <c r="E48" i="12"/>
  <c r="R12" i="12"/>
  <c r="AC48" i="12"/>
  <c r="K48" i="12"/>
  <c r="G48" i="12"/>
  <c r="Q13" i="12"/>
  <c r="W63" i="12"/>
  <c r="L21" i="12"/>
  <c r="F8" i="13"/>
  <c r="HB94" i="1"/>
  <c r="HF94" i="1"/>
  <c r="JG94" i="1"/>
  <c r="AD48" i="12"/>
  <c r="D23" i="12"/>
  <c r="D21" i="12"/>
  <c r="KC553" i="1"/>
  <c r="KB222" i="1"/>
  <c r="KC225" i="1"/>
  <c r="KC491" i="1"/>
  <c r="D39" i="41"/>
  <c r="B17" i="3"/>
  <c r="P38" i="40"/>
  <c r="IM21" i="1"/>
  <c r="GV364" i="1"/>
  <c r="KC561" i="1"/>
  <c r="JY669" i="1"/>
  <c r="IE364" i="1"/>
  <c r="KC501" i="1"/>
  <c r="KB115" i="1"/>
  <c r="KC448" i="1"/>
  <c r="IS94" i="1"/>
  <c r="H8" i="14"/>
  <c r="F8" i="14"/>
  <c r="D17" i="25"/>
  <c r="D14" i="31"/>
  <c r="JY637" i="1"/>
  <c r="IQ26" i="1"/>
  <c r="KB596" i="1"/>
  <c r="KC596" i="1"/>
  <c r="HF364" i="1"/>
  <c r="KB101" i="1"/>
  <c r="IK22" i="1"/>
  <c r="IN143" i="1"/>
  <c r="IQ153" i="1"/>
  <c r="IN31" i="1"/>
  <c r="HG386" i="1"/>
  <c r="IN205" i="1"/>
  <c r="IN204" i="1"/>
  <c r="IN70" i="1"/>
  <c r="IG143" i="1"/>
  <c r="IK32" i="1"/>
  <c r="C16" i="32"/>
  <c r="E17" i="12"/>
  <c r="F8" i="37"/>
  <c r="KB496" i="1"/>
  <c r="KC496" i="1"/>
  <c r="JY32" i="1"/>
  <c r="JZ40" i="1"/>
  <c r="GP227" i="1"/>
  <c r="JZ227" i="1"/>
  <c r="JZ205" i="1"/>
  <c r="JZ233" i="1"/>
  <c r="GT419" i="1"/>
  <c r="JZ222" i="1"/>
  <c r="KC429" i="1"/>
  <c r="KB402" i="1"/>
  <c r="KC402" i="1"/>
  <c r="IQ191" i="1"/>
  <c r="IQ57" i="1"/>
  <c r="IK26" i="1"/>
  <c r="IK17" i="1"/>
  <c r="JT622" i="1"/>
  <c r="JS730" i="1"/>
  <c r="KF46" i="1"/>
  <c r="KF72" i="1"/>
  <c r="JT391" i="1"/>
  <c r="JS815" i="1"/>
  <c r="JT355" i="1"/>
  <c r="JT354" i="1"/>
  <c r="JT551" i="1"/>
  <c r="IG500" i="1"/>
  <c r="GS611" i="1"/>
  <c r="KH23" i="1"/>
  <c r="KH63" i="1"/>
  <c r="JT527" i="1"/>
  <c r="JT526" i="1"/>
  <c r="GS196" i="1"/>
  <c r="GS195" i="1"/>
  <c r="GS526" i="1"/>
  <c r="JT546" i="1"/>
  <c r="JT518" i="1"/>
  <c r="JS814" i="1"/>
  <c r="KB439" i="1"/>
  <c r="GS170" i="1"/>
  <c r="JT503" i="1"/>
  <c r="JT170" i="1"/>
  <c r="GS354" i="1"/>
  <c r="KH19" i="1"/>
  <c r="KH59" i="1"/>
  <c r="GS358" i="1"/>
  <c r="JT359" i="1"/>
  <c r="JT228" i="1"/>
  <c r="JT227" i="1"/>
  <c r="JT626" i="1"/>
  <c r="JT625" i="1"/>
  <c r="GS625" i="1"/>
  <c r="GS500" i="1"/>
  <c r="JT435" i="1"/>
  <c r="JT102" i="1"/>
  <c r="GS102" i="1"/>
  <c r="JT213" i="1"/>
  <c r="JT501" i="1"/>
  <c r="JT836" i="1"/>
  <c r="JT331" i="1"/>
  <c r="B4" i="35"/>
  <c r="F52" i="12"/>
  <c r="F51" i="12"/>
  <c r="C9" i="18"/>
  <c r="E12" i="36"/>
  <c r="G13" i="36"/>
  <c r="G12" i="36"/>
  <c r="G8" i="36"/>
  <c r="C10" i="19"/>
  <c r="E15" i="12"/>
  <c r="E8" i="34"/>
  <c r="KA651" i="1"/>
  <c r="C11" i="31"/>
  <c r="IA31" i="1"/>
  <c r="IA30" i="1"/>
  <c r="HG259" i="1"/>
  <c r="JY260" i="1"/>
  <c r="JM182" i="1"/>
  <c r="JM172" i="1"/>
  <c r="IF514" i="1"/>
  <c r="IF182" i="1"/>
  <c r="IC17" i="1"/>
  <c r="IC16" i="1"/>
  <c r="IC14" i="1"/>
  <c r="HO17" i="1"/>
  <c r="HO16" i="1"/>
  <c r="HO14" i="1"/>
  <c r="IU17" i="1"/>
  <c r="IU16" i="1"/>
  <c r="KB787" i="1"/>
  <c r="HG787" i="1"/>
  <c r="GT787" i="1"/>
  <c r="JZ733" i="1"/>
  <c r="JT510" i="1"/>
  <c r="GR205" i="1"/>
  <c r="GR204" i="1"/>
  <c r="GR199" i="1"/>
  <c r="JT561" i="1"/>
  <c r="JT233" i="1"/>
  <c r="JT623" i="1"/>
  <c r="JT84" i="1"/>
  <c r="JT83" i="1"/>
  <c r="GS621" i="1"/>
  <c r="GQ711" i="1"/>
  <c r="GQ691" i="1"/>
  <c r="GT205" i="1"/>
  <c r="GT204" i="1"/>
  <c r="GT199" i="1"/>
  <c r="JX193" i="1"/>
  <c r="HJ172" i="1"/>
  <c r="JZ277" i="1"/>
  <c r="GS277" i="1"/>
  <c r="U13" i="12"/>
  <c r="U12" i="12"/>
  <c r="GP55" i="1"/>
  <c r="HG611" i="1"/>
  <c r="JJ38" i="1"/>
  <c r="IX38" i="1"/>
  <c r="IL38" i="1"/>
  <c r="IC38" i="1"/>
  <c r="HY38" i="1"/>
  <c r="HU38" i="1"/>
  <c r="HQ38" i="1"/>
  <c r="HI38" i="1"/>
  <c r="GZ14" i="1"/>
  <c r="R16" i="40"/>
  <c r="D13" i="31"/>
  <c r="R15" i="40"/>
  <c r="R14" i="40"/>
  <c r="HS210" i="1"/>
  <c r="KC356" i="1"/>
  <c r="HM210" i="1"/>
  <c r="GZ210" i="1"/>
  <c r="HR210" i="1"/>
  <c r="V12" i="12"/>
  <c r="V10" i="12"/>
  <c r="AD21" i="12"/>
  <c r="AC10" i="12"/>
  <c r="X13" i="12"/>
  <c r="X12" i="12"/>
  <c r="X10" i="12"/>
  <c r="T13" i="12"/>
  <c r="T12" i="12"/>
  <c r="B5" i="26"/>
  <c r="Q12" i="12"/>
  <c r="Q10" i="12"/>
  <c r="J10" i="12"/>
  <c r="P12" i="12"/>
  <c r="N10" i="12"/>
  <c r="H10" i="34"/>
  <c r="G13" i="19"/>
  <c r="F25" i="14"/>
  <c r="F23" i="14"/>
  <c r="F25" i="37"/>
  <c r="F23" i="37"/>
  <c r="F25" i="13"/>
  <c r="F23" i="13"/>
  <c r="C30" i="32"/>
  <c r="C29" i="32"/>
  <c r="C28" i="32"/>
  <c r="C10" i="32"/>
  <c r="D12" i="12"/>
  <c r="D10" i="12"/>
  <c r="G25" i="13"/>
  <c r="G23" i="13"/>
  <c r="G6" i="13"/>
  <c r="C19" i="25"/>
  <c r="E9" i="36"/>
  <c r="G6" i="37"/>
  <c r="G6" i="14"/>
  <c r="O21" i="12"/>
  <c r="O12" i="12"/>
  <c r="L12" i="12"/>
  <c r="L10" i="12"/>
  <c r="K21" i="12"/>
  <c r="K12" i="12"/>
  <c r="K10" i="12"/>
  <c r="G12" i="12"/>
  <c r="KB798" i="1"/>
  <c r="KC798" i="1"/>
  <c r="KB346" i="1"/>
  <c r="KC346" i="1"/>
  <c r="KB591" i="1"/>
  <c r="KC591" i="1"/>
  <c r="JX585" i="1"/>
  <c r="JX768" i="1"/>
  <c r="JX827" i="1"/>
  <c r="KC809" i="1"/>
  <c r="JX790" i="1"/>
  <c r="IH744" i="1"/>
  <c r="JE94" i="1"/>
  <c r="KB710" i="1"/>
  <c r="KC710" i="1"/>
  <c r="KA215" i="1"/>
  <c r="IN21" i="1"/>
  <c r="KC785" i="1"/>
  <c r="HA632" i="1"/>
  <c r="HA630" i="1"/>
  <c r="GT645" i="1"/>
  <c r="GY14" i="1"/>
  <c r="KB616" i="1"/>
  <c r="KC616" i="1"/>
  <c r="JX36" i="1"/>
  <c r="ID14" i="1"/>
  <c r="GU611" i="1"/>
  <c r="GW14" i="1"/>
  <c r="ID611" i="1"/>
  <c r="ID609" i="1"/>
  <c r="ID575" i="1"/>
  <c r="HC611" i="1"/>
  <c r="GY611" i="1"/>
  <c r="GV14" i="1"/>
  <c r="IA210" i="1"/>
  <c r="HP210" i="1"/>
  <c r="GP563" i="1"/>
  <c r="JZ563" i="1"/>
  <c r="IT236" i="1"/>
  <c r="JS563" i="1"/>
  <c r="HH236" i="1"/>
  <c r="IL210" i="1"/>
  <c r="IR210" i="1"/>
  <c r="GV236" i="1"/>
  <c r="GV210" i="1"/>
  <c r="HW236" i="1"/>
  <c r="HW210" i="1"/>
  <c r="IE236" i="1"/>
  <c r="IE210" i="1"/>
  <c r="HG202" i="1"/>
  <c r="HG201" i="1"/>
  <c r="GU437" i="1"/>
  <c r="JR143" i="1"/>
  <c r="JR141" i="1"/>
  <c r="JR142" i="1"/>
  <c r="HH131" i="1"/>
  <c r="HI111" i="1"/>
  <c r="IH392" i="1"/>
  <c r="JR58" i="1"/>
  <c r="JR215" i="1"/>
  <c r="JR212" i="1"/>
  <c r="JZ354" i="1"/>
  <c r="JR347" i="1"/>
  <c r="HI210" i="1"/>
  <c r="JR57" i="1"/>
  <c r="JR55" i="1"/>
  <c r="IH282" i="1"/>
  <c r="JR279" i="1"/>
  <c r="JR273" i="1"/>
  <c r="JR54" i="1"/>
  <c r="JR59" i="1"/>
  <c r="JR56" i="1"/>
  <c r="D13" i="41"/>
  <c r="JS444" i="1"/>
  <c r="JT187" i="1"/>
  <c r="JS361" i="1"/>
  <c r="IV94" i="1"/>
  <c r="JS715" i="1"/>
  <c r="JH52" i="1"/>
  <c r="JS694" i="1"/>
  <c r="JS693" i="1"/>
  <c r="JS700" i="1"/>
  <c r="JS699" i="1"/>
  <c r="JS830" i="1"/>
  <c r="JS771" i="1"/>
  <c r="JS797" i="1"/>
  <c r="JS799" i="1"/>
  <c r="JS798" i="1"/>
  <c r="JS839" i="1"/>
  <c r="JT177" i="1"/>
  <c r="JS236" i="1"/>
  <c r="IF326" i="1"/>
  <c r="JS796" i="1"/>
  <c r="JS775" i="1"/>
  <c r="JT483" i="1"/>
  <c r="JT150" i="1"/>
  <c r="JS617" i="1"/>
  <c r="JS616" i="1"/>
  <c r="JS837" i="1"/>
  <c r="JS801" i="1"/>
  <c r="JR790" i="1"/>
  <c r="JS822" i="1"/>
  <c r="JS807" i="1"/>
  <c r="JS818" i="1"/>
  <c r="JS813" i="1"/>
  <c r="JS820" i="1"/>
  <c r="JS806" i="1"/>
  <c r="JS817" i="1"/>
  <c r="JS792" i="1"/>
  <c r="JS786" i="1"/>
  <c r="JS784" i="1"/>
  <c r="JR579" i="1"/>
  <c r="JR577" i="1"/>
  <c r="JR36" i="1"/>
  <c r="KB526" i="1"/>
  <c r="KC526" i="1"/>
  <c r="JY79" i="1"/>
  <c r="JY411" i="1"/>
  <c r="JY87" i="1"/>
  <c r="JY419" i="1"/>
  <c r="JY416" i="1"/>
  <c r="JX89" i="1"/>
  <c r="KB422" i="1"/>
  <c r="KC422" i="1"/>
  <c r="JY439" i="1"/>
  <c r="JY108" i="1"/>
  <c r="JX113" i="1"/>
  <c r="KB446" i="1"/>
  <c r="KC446" i="1"/>
  <c r="JY114" i="1"/>
  <c r="JY111" i="1"/>
  <c r="JY444" i="1"/>
  <c r="JX116" i="1"/>
  <c r="KB449" i="1"/>
  <c r="KB116" i="1"/>
  <c r="JX120" i="1"/>
  <c r="KB453" i="1"/>
  <c r="JX451" i="1"/>
  <c r="KB451" i="1"/>
  <c r="JY127" i="1"/>
  <c r="JY458" i="1"/>
  <c r="KB465" i="1"/>
  <c r="JX132" i="1"/>
  <c r="JX134" i="1"/>
  <c r="KB467" i="1"/>
  <c r="JY140" i="1"/>
  <c r="JY472" i="1"/>
  <c r="JX142" i="1"/>
  <c r="KB475" i="1"/>
  <c r="KB477" i="1"/>
  <c r="JX144" i="1"/>
  <c r="JY152" i="1"/>
  <c r="JY482" i="1"/>
  <c r="KB489" i="1"/>
  <c r="JX156" i="1"/>
  <c r="JY157" i="1"/>
  <c r="JY488" i="1"/>
  <c r="JX168" i="1"/>
  <c r="JX500" i="1"/>
  <c r="KB500" i="1"/>
  <c r="KC500" i="1"/>
  <c r="JY169" i="1"/>
  <c r="JY500" i="1"/>
  <c r="KB528" i="1"/>
  <c r="KB197" i="1"/>
  <c r="JX197" i="1"/>
  <c r="JX195" i="1"/>
  <c r="KB546" i="1"/>
  <c r="KC546" i="1"/>
  <c r="JX215" i="1"/>
  <c r="JY549" i="1"/>
  <c r="JY219" i="1"/>
  <c r="JY238" i="1"/>
  <c r="JY236" i="1"/>
  <c r="JY563" i="1"/>
  <c r="JX32" i="1"/>
  <c r="JX592" i="1"/>
  <c r="JX600" i="1"/>
  <c r="JX579" i="1"/>
  <c r="JX577" i="1"/>
  <c r="JX39" i="1"/>
  <c r="JX49" i="1"/>
  <c r="KB383" i="1"/>
  <c r="KB494" i="1"/>
  <c r="KC494" i="1"/>
  <c r="JX161" i="1"/>
  <c r="JX611" i="1"/>
  <c r="KB611" i="1"/>
  <c r="KB613" i="1"/>
  <c r="KC613" i="1"/>
  <c r="HI30" i="1"/>
  <c r="HI139" i="1"/>
  <c r="HI104" i="1"/>
  <c r="HI94" i="1"/>
  <c r="HI52" i="1"/>
  <c r="JX22" i="1"/>
  <c r="JX21" i="1"/>
  <c r="JX251" i="1"/>
  <c r="JX34" i="1"/>
  <c r="JX259" i="1"/>
  <c r="JX180" i="1"/>
  <c r="JX179" i="1"/>
  <c r="JX329" i="1"/>
  <c r="JY187" i="1"/>
  <c r="JY329" i="1"/>
  <c r="JX55" i="1"/>
  <c r="KB389" i="1"/>
  <c r="KC389" i="1"/>
  <c r="JY57" i="1"/>
  <c r="JY386" i="1"/>
  <c r="JX397" i="1"/>
  <c r="KB397" i="1"/>
  <c r="KC397" i="1"/>
  <c r="JX64" i="1"/>
  <c r="KB398" i="1"/>
  <c r="HG401" i="1"/>
  <c r="KC424" i="1"/>
  <c r="KB91" i="1"/>
  <c r="KC91" i="1"/>
  <c r="JX213" i="1"/>
  <c r="KB544" i="1"/>
  <c r="KC544" i="1"/>
  <c r="JX488" i="1"/>
  <c r="KB488" i="1"/>
  <c r="KC488" i="1"/>
  <c r="JX625" i="1"/>
  <c r="KC510" i="1"/>
  <c r="JX386" i="1"/>
  <c r="KB386" i="1"/>
  <c r="JX63" i="1"/>
  <c r="KC564" i="1"/>
  <c r="KC492" i="1"/>
  <c r="KC159" i="1"/>
  <c r="JX236" i="1"/>
  <c r="HG558" i="1"/>
  <c r="JS422" i="1"/>
  <c r="JS383" i="1"/>
  <c r="JS49" i="1"/>
  <c r="JY80" i="1"/>
  <c r="JY507" i="1"/>
  <c r="JY505" i="1"/>
  <c r="KC399" i="1"/>
  <c r="JY153" i="1"/>
  <c r="JY149" i="1"/>
  <c r="JS528" i="1"/>
  <c r="HG439" i="1"/>
  <c r="JS373" i="1"/>
  <c r="KB735" i="1"/>
  <c r="KC735" i="1"/>
  <c r="HG526" i="1"/>
  <c r="HG505" i="1"/>
  <c r="JX79" i="1"/>
  <c r="JS417" i="1"/>
  <c r="JS416" i="1"/>
  <c r="HG711" i="1"/>
  <c r="KB866" i="1"/>
  <c r="KB863" i="1"/>
  <c r="KB801" i="1"/>
  <c r="KC801" i="1"/>
  <c r="KC162" i="1"/>
  <c r="HG419" i="1"/>
  <c r="KC452" i="1"/>
  <c r="JS475" i="1"/>
  <c r="JS142" i="1"/>
  <c r="JS561" i="1"/>
  <c r="JS233" i="1"/>
  <c r="KB647" i="1"/>
  <c r="JY168" i="1"/>
  <c r="JY167" i="1"/>
  <c r="KC373" i="1"/>
  <c r="JX129" i="1"/>
  <c r="JS560" i="1"/>
  <c r="HG380" i="1"/>
  <c r="JY532" i="1"/>
  <c r="HV63" i="1"/>
  <c r="KB417" i="1"/>
  <c r="KC417" i="1"/>
  <c r="JX416" i="1"/>
  <c r="KB416" i="1"/>
  <c r="KC416" i="1"/>
  <c r="JX83" i="1"/>
  <c r="JX82" i="1"/>
  <c r="KC83" i="1"/>
  <c r="KB59" i="1"/>
  <c r="IB94" i="1"/>
  <c r="IB72" i="1"/>
  <c r="HG109" i="1"/>
  <c r="KB698" i="1"/>
  <c r="KC698" i="1"/>
  <c r="KB280" i="1"/>
  <c r="KC280" i="1"/>
  <c r="KB788" i="1"/>
  <c r="KC788" i="1"/>
  <c r="KB805" i="1"/>
  <c r="KC805" i="1"/>
  <c r="KB829" i="1"/>
  <c r="KC829" i="1"/>
  <c r="IB212" i="1"/>
  <c r="KB679" i="1"/>
  <c r="KC679" i="1"/>
  <c r="KB771" i="1"/>
  <c r="KC771" i="1"/>
  <c r="IC30" i="1"/>
  <c r="KB729" i="1"/>
  <c r="KB635" i="1"/>
  <c r="KC635" i="1"/>
  <c r="GW632" i="1"/>
  <c r="GW630" i="1"/>
  <c r="HC632" i="1"/>
  <c r="HC630" i="1"/>
  <c r="HC628" i="1"/>
  <c r="GY632" i="1"/>
  <c r="GY630" i="1"/>
  <c r="GY628" i="1"/>
  <c r="HC609" i="1"/>
  <c r="GY609" i="1"/>
  <c r="GU378" i="1"/>
  <c r="HB378" i="1"/>
  <c r="HB364" i="1"/>
  <c r="GW378" i="1"/>
  <c r="GW364" i="1"/>
  <c r="HC378" i="1"/>
  <c r="GY378" i="1"/>
  <c r="GY364" i="1"/>
  <c r="HD378" i="1"/>
  <c r="HD364" i="1"/>
  <c r="HA378" i="1"/>
  <c r="HA364" i="1"/>
  <c r="HE378" i="1"/>
  <c r="HE364" i="1"/>
  <c r="JT555" i="1"/>
  <c r="GT248" i="1"/>
  <c r="GR187" i="1"/>
  <c r="KB786" i="1"/>
  <c r="KC786" i="1"/>
  <c r="GR296" i="1"/>
  <c r="GT294" i="1"/>
  <c r="GT73" i="1"/>
  <c r="KB791" i="1"/>
  <c r="KC791" i="1"/>
  <c r="GT768" i="1"/>
  <c r="KB265" i="1"/>
  <c r="KB830" i="1"/>
  <c r="KC830" i="1"/>
  <c r="KB252" i="1"/>
  <c r="KC816" i="1"/>
  <c r="JZ449" i="1"/>
  <c r="GT350" i="1"/>
  <c r="GP50" i="1"/>
  <c r="JZ50" i="1"/>
  <c r="KB823" i="1"/>
  <c r="KC823" i="1"/>
  <c r="GT488" i="1"/>
  <c r="JS746" i="1"/>
  <c r="GT150" i="1"/>
  <c r="GP75" i="1"/>
  <c r="JZ75" i="1"/>
  <c r="GR306" i="1"/>
  <c r="GR305" i="1"/>
  <c r="JZ296" i="1"/>
  <c r="KB296" i="1"/>
  <c r="GT290" i="1"/>
  <c r="GT69" i="1"/>
  <c r="KB284" i="1"/>
  <c r="KC674" i="1"/>
  <c r="JZ213" i="1"/>
  <c r="GR581" i="1"/>
  <c r="GR283" i="1"/>
  <c r="GR56" i="1"/>
  <c r="KB770" i="1"/>
  <c r="KC770" i="1"/>
  <c r="KC838" i="1"/>
  <c r="JZ783" i="1"/>
  <c r="JZ434" i="1"/>
  <c r="GP444" i="1"/>
  <c r="GP411" i="1"/>
  <c r="JZ411" i="1"/>
  <c r="KA283" i="1"/>
  <c r="JZ435" i="1"/>
  <c r="JZ417" i="1"/>
  <c r="GR281" i="1"/>
  <c r="GR285" i="1"/>
  <c r="GR58" i="1"/>
  <c r="GS656" i="1"/>
  <c r="KA653" i="1"/>
  <c r="KC779" i="1"/>
  <c r="GQ169" i="1"/>
  <c r="KA169" i="1"/>
  <c r="GR573" i="1"/>
  <c r="JS706" i="1"/>
  <c r="JS705" i="1"/>
  <c r="GT306" i="1"/>
  <c r="GT305" i="1"/>
  <c r="GR350" i="1"/>
  <c r="GS508" i="1"/>
  <c r="GS175" i="1"/>
  <c r="KB773" i="1"/>
  <c r="KC773" i="1"/>
  <c r="KA543" i="1"/>
  <c r="KB590" i="1"/>
  <c r="GT32" i="1"/>
  <c r="GR295" i="1"/>
  <c r="GR74" i="1"/>
  <c r="GQ74" i="1"/>
  <c r="KA74" i="1"/>
  <c r="GT295" i="1"/>
  <c r="GQ302" i="1"/>
  <c r="KA303" i="1"/>
  <c r="KA343" i="1"/>
  <c r="GT343" i="1"/>
  <c r="GT191" i="1"/>
  <c r="GQ95" i="1"/>
  <c r="KA95" i="1"/>
  <c r="GR428" i="1"/>
  <c r="GR95" i="1"/>
  <c r="KA473" i="1"/>
  <c r="GQ140" i="1"/>
  <c r="JZ502" i="1"/>
  <c r="GP169" i="1"/>
  <c r="GT502" i="1"/>
  <c r="GT169" i="1"/>
  <c r="JZ512" i="1"/>
  <c r="GR512" i="1"/>
  <c r="KA607" i="1"/>
  <c r="KB607" i="1"/>
  <c r="KC607" i="1"/>
  <c r="GR607" i="1"/>
  <c r="GR606" i="1"/>
  <c r="GT683" i="1"/>
  <c r="GT681" i="1"/>
  <c r="GQ681" i="1"/>
  <c r="GQ845" i="1"/>
  <c r="KA854" i="1"/>
  <c r="KB854" i="1"/>
  <c r="KC854" i="1"/>
  <c r="GR854" i="1"/>
  <c r="HG768" i="1"/>
  <c r="JS770" i="1"/>
  <c r="KG15" i="1"/>
  <c r="KG56" i="1"/>
  <c r="E22" i="33"/>
  <c r="GT33" i="1"/>
  <c r="JZ637" i="1"/>
  <c r="KA634" i="1"/>
  <c r="KA702" i="1"/>
  <c r="KB703" i="1"/>
  <c r="KB362" i="1"/>
  <c r="KB234" i="1"/>
  <c r="KB812" i="1"/>
  <c r="KC812" i="1"/>
  <c r="GT401" i="1"/>
  <c r="GT187" i="1"/>
  <c r="KB839" i="1"/>
  <c r="KC839" i="1"/>
  <c r="KC734" i="1"/>
  <c r="GP86" i="1"/>
  <c r="GT383" i="1"/>
  <c r="GT49" i="1"/>
  <c r="HG681" i="1"/>
  <c r="JZ550" i="1"/>
  <c r="GQ725" i="1"/>
  <c r="KA725" i="1"/>
  <c r="KB641" i="1"/>
  <c r="HG248" i="1"/>
  <c r="JZ503" i="1"/>
  <c r="KB602" i="1"/>
  <c r="KB255" i="1"/>
  <c r="KA18" i="1"/>
  <c r="GR345" i="1"/>
  <c r="GR193" i="1"/>
  <c r="GT573" i="1"/>
  <c r="GT571" i="1"/>
  <c r="GT569" i="1"/>
  <c r="GT567" i="1"/>
  <c r="GT622" i="1"/>
  <c r="GT621" i="1"/>
  <c r="KG19" i="1"/>
  <c r="KG59" i="1"/>
  <c r="GP500" i="1"/>
  <c r="JZ500" i="1"/>
  <c r="GT331" i="1"/>
  <c r="GT177" i="1"/>
  <c r="GQ482" i="1"/>
  <c r="KA482" i="1"/>
  <c r="GQ150" i="1"/>
  <c r="KA150" i="1"/>
  <c r="GQ439" i="1"/>
  <c r="KA439" i="1"/>
  <c r="GR442" i="1"/>
  <c r="GR109" i="1"/>
  <c r="KB852" i="1"/>
  <c r="KC852" i="1"/>
  <c r="GR55" i="1"/>
  <c r="KB821" i="1"/>
  <c r="KC821" i="1"/>
  <c r="GT451" i="1"/>
  <c r="GR221" i="1"/>
  <c r="KA189" i="1"/>
  <c r="KA383" i="1"/>
  <c r="KB281" i="1"/>
  <c r="KB54" i="1"/>
  <c r="KB772" i="1"/>
  <c r="KC772" i="1"/>
  <c r="KB643" i="1"/>
  <c r="KB572" i="1"/>
  <c r="KC572" i="1"/>
  <c r="GR337" i="1"/>
  <c r="GR185" i="1"/>
  <c r="GR184" i="1"/>
  <c r="KA373" i="1"/>
  <c r="GQ856" i="1"/>
  <c r="GP147" i="1"/>
  <c r="GP139" i="1"/>
  <c r="JZ139" i="1"/>
  <c r="GP655" i="1"/>
  <c r="GP653" i="1"/>
  <c r="GP326" i="1"/>
  <c r="JZ697" i="1"/>
  <c r="JS803" i="1"/>
  <c r="JS850" i="1"/>
  <c r="GR824" i="1"/>
  <c r="GS857" i="1"/>
  <c r="GR248" i="1"/>
  <c r="GR18" i="1"/>
  <c r="JZ92" i="1"/>
  <c r="KB355" i="1"/>
  <c r="KC355" i="1"/>
  <c r="KA202" i="1"/>
  <c r="GR202" i="1"/>
  <c r="GR201" i="1"/>
  <c r="GP526" i="1"/>
  <c r="JZ526" i="1"/>
  <c r="KG16" i="1"/>
  <c r="KG57" i="1"/>
  <c r="HG303" i="1"/>
  <c r="HG302" i="1"/>
  <c r="GR375" i="1"/>
  <c r="GQ416" i="1"/>
  <c r="KA416" i="1"/>
  <c r="GT284" i="1"/>
  <c r="GT57" i="1"/>
  <c r="KB777" i="1"/>
  <c r="KC777" i="1"/>
  <c r="GT406" i="1"/>
  <c r="GT503" i="1"/>
  <c r="GT170" i="1"/>
  <c r="JZ317" i="1"/>
  <c r="JZ316" i="1"/>
  <c r="HG738" i="1"/>
  <c r="GT341" i="1"/>
  <c r="GT189" i="1"/>
  <c r="GP78" i="1"/>
  <c r="JZ78" i="1"/>
  <c r="HG585" i="1"/>
  <c r="GT335" i="1"/>
  <c r="GT182" i="1"/>
  <c r="GT291" i="1"/>
  <c r="GT70" i="1"/>
  <c r="GQ293" i="1"/>
  <c r="KA293" i="1"/>
  <c r="GT311" i="1"/>
  <c r="GT310" i="1"/>
  <c r="JZ656" i="1"/>
  <c r="JS832" i="1"/>
  <c r="JT284" i="1"/>
  <c r="GR335" i="1"/>
  <c r="GR182" i="1"/>
  <c r="GR564" i="1"/>
  <c r="GR237" i="1"/>
  <c r="HG719" i="1"/>
  <c r="HG718" i="1"/>
  <c r="GP267" i="1"/>
  <c r="JZ267" i="1"/>
  <c r="KA225" i="1"/>
  <c r="GT412" i="1"/>
  <c r="GR435" i="1"/>
  <c r="GR102" i="1"/>
  <c r="KA375" i="1"/>
  <c r="GQ366" i="1"/>
  <c r="KA366" i="1"/>
  <c r="JZ156" i="1"/>
  <c r="KA65" i="1"/>
  <c r="GQ63" i="1"/>
  <c r="KA63" i="1"/>
  <c r="E30" i="33"/>
  <c r="E29" i="33"/>
  <c r="KA249" i="1"/>
  <c r="HG249" i="1"/>
  <c r="KK15" i="1"/>
  <c r="KK56" i="1"/>
  <c r="GT249" i="1"/>
  <c r="GT19" i="1"/>
  <c r="KA276" i="1"/>
  <c r="GT276" i="1"/>
  <c r="GT275" i="1"/>
  <c r="GR276" i="1"/>
  <c r="GT289" i="1"/>
  <c r="GT68" i="1"/>
  <c r="KA112" i="1"/>
  <c r="GQ111" i="1"/>
  <c r="KA111" i="1"/>
  <c r="JZ127" i="1"/>
  <c r="GR303" i="1"/>
  <c r="GR302" i="1"/>
  <c r="GP302" i="1"/>
  <c r="GR550" i="1"/>
  <c r="GR219" i="1"/>
  <c r="E21" i="33"/>
  <c r="KA295" i="1"/>
  <c r="KA289" i="1"/>
  <c r="KB289" i="1"/>
  <c r="GR726" i="1"/>
  <c r="GR725" i="1"/>
  <c r="KB604" i="1"/>
  <c r="KC604" i="1"/>
  <c r="JZ163" i="1"/>
  <c r="KB271" i="1"/>
  <c r="KB799" i="1"/>
  <c r="KC799" i="1"/>
  <c r="GT428" i="1"/>
  <c r="GT95" i="1"/>
  <c r="GR466" i="1"/>
  <c r="GR133" i="1"/>
  <c r="GT435" i="1"/>
  <c r="GT102" i="1"/>
  <c r="GR503" i="1"/>
  <c r="GR170" i="1"/>
  <c r="GR449" i="1"/>
  <c r="GR116" i="1"/>
  <c r="GQ133" i="1"/>
  <c r="KA133" i="1"/>
  <c r="KA231" i="1"/>
  <c r="GP275" i="1"/>
  <c r="JZ275" i="1"/>
  <c r="GP313" i="1"/>
  <c r="JZ313" i="1"/>
  <c r="JZ225" i="1"/>
  <c r="GS854" i="1"/>
  <c r="JT854" i="1"/>
  <c r="GP129" i="1"/>
  <c r="JZ129" i="1"/>
  <c r="GQ380" i="1"/>
  <c r="KA380" i="1"/>
  <c r="GS382" i="1"/>
  <c r="JS812" i="1"/>
  <c r="HG857" i="1"/>
  <c r="JS857" i="1"/>
  <c r="GP718" i="1"/>
  <c r="GT550" i="1"/>
  <c r="GT219" i="1"/>
  <c r="GQ86" i="1"/>
  <c r="KA86" i="1"/>
  <c r="GT726" i="1"/>
  <c r="GT725" i="1"/>
  <c r="GT36" i="1"/>
  <c r="JZ248" i="1"/>
  <c r="KB248" i="1"/>
  <c r="HG607" i="1"/>
  <c r="KB832" i="1"/>
  <c r="KC832" i="1"/>
  <c r="JS335" i="1"/>
  <c r="KB341" i="1"/>
  <c r="KB837" i="1"/>
  <c r="KC837" i="1"/>
  <c r="GT333" i="1"/>
  <c r="GR559" i="1"/>
  <c r="GR231" i="1"/>
  <c r="GP153" i="1"/>
  <c r="JZ153" i="1"/>
  <c r="JZ179" i="1"/>
  <c r="GR670" i="1"/>
  <c r="JZ560" i="1"/>
  <c r="GT417" i="1"/>
  <c r="GT416" i="1"/>
  <c r="JZ339" i="1"/>
  <c r="GQ175" i="1"/>
  <c r="KA175" i="1"/>
  <c r="JS828" i="1"/>
  <c r="GR719" i="1"/>
  <c r="GR718" i="1"/>
  <c r="GT603" i="1"/>
  <c r="GT600" i="1"/>
  <c r="KB583" i="1"/>
  <c r="KC583" i="1"/>
  <c r="GR33" i="1"/>
  <c r="GR180" i="1"/>
  <c r="GR179" i="1"/>
  <c r="GQ118" i="1"/>
  <c r="KA118" i="1"/>
  <c r="GP579" i="1"/>
  <c r="GP577" i="1"/>
  <c r="JT383" i="1"/>
  <c r="JT49" i="1"/>
  <c r="HG637" i="1"/>
  <c r="GT354" i="1"/>
  <c r="GS442" i="1"/>
  <c r="GS109" i="1"/>
  <c r="GR551" i="1"/>
  <c r="GR220" i="1"/>
  <c r="GR341" i="1"/>
  <c r="GQ288" i="1"/>
  <c r="KA288" i="1"/>
  <c r="GQ298" i="1"/>
  <c r="KB740" i="1"/>
  <c r="KC740" i="1"/>
  <c r="GS559" i="1"/>
  <c r="JT559" i="1"/>
  <c r="GQ69" i="1"/>
  <c r="KA69" i="1"/>
  <c r="KA512" i="1"/>
  <c r="GT512" i="1"/>
  <c r="GT528" i="1"/>
  <c r="GT197" i="1"/>
  <c r="KA528" i="1"/>
  <c r="JZ685" i="1"/>
  <c r="KB686" i="1"/>
  <c r="KB685" i="1"/>
  <c r="GQ19" i="1"/>
  <c r="KA19" i="1"/>
  <c r="KI15" i="1"/>
  <c r="JZ376" i="1"/>
  <c r="GP375" i="1"/>
  <c r="JZ375" i="1"/>
  <c r="GQ411" i="1"/>
  <c r="GR412" i="1"/>
  <c r="GQ78" i="1"/>
  <c r="KA78" i="1"/>
  <c r="KA412" i="1"/>
  <c r="GQ83" i="1"/>
  <c r="GR622" i="1"/>
  <c r="GR621" i="1"/>
  <c r="GR619" i="1"/>
  <c r="GQ621" i="1"/>
  <c r="KA621" i="1"/>
  <c r="GQ107" i="1"/>
  <c r="KA107" i="1"/>
  <c r="KA311" i="1"/>
  <c r="GR311" i="1"/>
  <c r="GP140" i="1"/>
  <c r="GR473" i="1"/>
  <c r="GP472" i="1"/>
  <c r="JZ472" i="1"/>
  <c r="GT473" i="1"/>
  <c r="GR501" i="1"/>
  <c r="KA501" i="1"/>
  <c r="GT501" i="1"/>
  <c r="GQ500" i="1"/>
  <c r="KA500" i="1"/>
  <c r="KA503" i="1"/>
  <c r="GQ170" i="1"/>
  <c r="KA170" i="1"/>
  <c r="KA527" i="1"/>
  <c r="GQ526" i="1"/>
  <c r="KA526" i="1"/>
  <c r="GT527" i="1"/>
  <c r="GR527" i="1"/>
  <c r="KA550" i="1"/>
  <c r="GQ549" i="1"/>
  <c r="KA549" i="1"/>
  <c r="GQ279" i="1"/>
  <c r="KA279" i="1"/>
  <c r="GT280" i="1"/>
  <c r="GT53" i="1"/>
  <c r="GQ53" i="1"/>
  <c r="KA53" i="1"/>
  <c r="GT282" i="1"/>
  <c r="GT55" i="1"/>
  <c r="HG282" i="1"/>
  <c r="HG55" i="1"/>
  <c r="JS284" i="1"/>
  <c r="JS57" i="1"/>
  <c r="GQ57" i="1"/>
  <c r="KA57" i="1"/>
  <c r="GQ129" i="1"/>
  <c r="KA314" i="1"/>
  <c r="GT314" i="1"/>
  <c r="GT313" i="1"/>
  <c r="GQ313" i="1"/>
  <c r="KA313" i="1"/>
  <c r="GT320" i="1"/>
  <c r="GT319" i="1"/>
  <c r="GR320" i="1"/>
  <c r="GR319" i="1"/>
  <c r="GQ163" i="1"/>
  <c r="GQ155" i="1"/>
  <c r="KA155" i="1"/>
  <c r="KA324" i="1"/>
  <c r="KA163" i="1"/>
  <c r="GS335" i="1"/>
  <c r="GQ329" i="1"/>
  <c r="GP380" i="1"/>
  <c r="JZ380" i="1"/>
  <c r="JZ381" i="1"/>
  <c r="GP100" i="1"/>
  <c r="JZ100" i="1"/>
  <c r="GR433" i="1"/>
  <c r="GR100" i="1"/>
  <c r="GP427" i="1"/>
  <c r="JZ427" i="1"/>
  <c r="GP464" i="1"/>
  <c r="JZ464" i="1"/>
  <c r="JZ465" i="1"/>
  <c r="JZ483" i="1"/>
  <c r="GP150" i="1"/>
  <c r="JZ150" i="1"/>
  <c r="JZ509" i="1"/>
  <c r="GT509" i="1"/>
  <c r="GT176" i="1"/>
  <c r="GR509" i="1"/>
  <c r="GR176" i="1"/>
  <c r="KA237" i="1"/>
  <c r="KA564" i="1"/>
  <c r="GQ563" i="1"/>
  <c r="KA563" i="1"/>
  <c r="GT564" i="1"/>
  <c r="GT237" i="1"/>
  <c r="GR271" i="1"/>
  <c r="GR42" i="1"/>
  <c r="GQ267" i="1"/>
  <c r="GT271" i="1"/>
  <c r="GT42" i="1"/>
  <c r="JS271" i="1"/>
  <c r="GQ50" i="1"/>
  <c r="KA50" i="1"/>
  <c r="KA277" i="1"/>
  <c r="JZ177" i="1"/>
  <c r="GR331" i="1"/>
  <c r="GR177" i="1"/>
  <c r="JZ337" i="1"/>
  <c r="KB337" i="1"/>
  <c r="KB185" i="1"/>
  <c r="GT337" i="1"/>
  <c r="JZ36" i="1"/>
  <c r="GR373" i="1"/>
  <c r="GR366" i="1"/>
  <c r="JZ373" i="1"/>
  <c r="GT607" i="1"/>
  <c r="GT606" i="1"/>
  <c r="GQ606" i="1"/>
  <c r="KA606" i="1"/>
  <c r="KB606" i="1"/>
  <c r="KC606" i="1"/>
  <c r="GS683" i="1"/>
  <c r="JT683" i="1"/>
  <c r="KA683" i="1"/>
  <c r="KB683" i="1"/>
  <c r="KC683" i="1"/>
  <c r="JZ857" i="1"/>
  <c r="JZ856" i="1"/>
  <c r="HG824" i="1"/>
  <c r="JS824" i="1"/>
  <c r="KK17" i="1"/>
  <c r="KK58" i="1"/>
  <c r="KJ38" i="1"/>
  <c r="KJ37" i="1"/>
  <c r="KJ35" i="1"/>
  <c r="GR603" i="1"/>
  <c r="GR600" i="1"/>
  <c r="GT221" i="1"/>
  <c r="GQ600" i="1"/>
  <c r="GQ579" i="1"/>
  <c r="KA23" i="1"/>
  <c r="GR528" i="1"/>
  <c r="GR197" i="1"/>
  <c r="GR508" i="1"/>
  <c r="KA719" i="1"/>
  <c r="KA718" i="1"/>
  <c r="KB598" i="1"/>
  <c r="KC598" i="1"/>
  <c r="KA323" i="1"/>
  <c r="KA160" i="1"/>
  <c r="KA345" i="1"/>
  <c r="KB345" i="1"/>
  <c r="GT559" i="1"/>
  <c r="GT231" i="1"/>
  <c r="GT516" i="1"/>
  <c r="GS449" i="1"/>
  <c r="GS726" i="1"/>
  <c r="GR31" i="1"/>
  <c r="KC590" i="1"/>
  <c r="KB774" i="1"/>
  <c r="KB269" i="1"/>
  <c r="KC269" i="1"/>
  <c r="KJ19" i="1"/>
  <c r="KJ59" i="1"/>
  <c r="GR637" i="1"/>
  <c r="GR632" i="1"/>
  <c r="GR630" i="1"/>
  <c r="GR628" i="1"/>
  <c r="C14" i="3"/>
  <c r="B9" i="16"/>
  <c r="KB220" i="1"/>
  <c r="KB545" i="1"/>
  <c r="KB214" i="1"/>
  <c r="JT361" i="1"/>
  <c r="GT59" i="1"/>
  <c r="GQ569" i="1"/>
  <c r="GQ567" i="1"/>
  <c r="KA567" i="1"/>
  <c r="JZ305" i="1"/>
  <c r="JZ725" i="1"/>
  <c r="GR288" i="1"/>
  <c r="KB818" i="1"/>
  <c r="KC818" i="1"/>
  <c r="KB806" i="1"/>
  <c r="KC806" i="1"/>
  <c r="KB638" i="1"/>
  <c r="KC638" i="1"/>
  <c r="HG354" i="1"/>
  <c r="KK16" i="1"/>
  <c r="KK57" i="1"/>
  <c r="GR439" i="1"/>
  <c r="JS333" i="1"/>
  <c r="JS180" i="1"/>
  <c r="JS179" i="1"/>
  <c r="JS339" i="1"/>
  <c r="JS187" i="1"/>
  <c r="GR380" i="1"/>
  <c r="GT74" i="1"/>
  <c r="KB843" i="1"/>
  <c r="JZ845" i="1"/>
  <c r="GP619" i="1"/>
  <c r="JZ619" i="1"/>
  <c r="KJ16" i="1"/>
  <c r="KJ57" i="1"/>
  <c r="JS341" i="1"/>
  <c r="GR26" i="1"/>
  <c r="GR358" i="1"/>
  <c r="JS281" i="1"/>
  <c r="GT382" i="1"/>
  <c r="GT48" i="1"/>
  <c r="GR417" i="1"/>
  <c r="GR416" i="1"/>
  <c r="JT434" i="1"/>
  <c r="JT101" i="1"/>
  <c r="HG825" i="1"/>
  <c r="JS825" i="1"/>
  <c r="GS381" i="1"/>
  <c r="GT442" i="1"/>
  <c r="GT439" i="1"/>
  <c r="GS551" i="1"/>
  <c r="GS564" i="1"/>
  <c r="GT670" i="1"/>
  <c r="GS824" i="1"/>
  <c r="JT824" i="1"/>
  <c r="GT857" i="1"/>
  <c r="GT856" i="1"/>
  <c r="KB571" i="1"/>
  <c r="KC571" i="1"/>
  <c r="KC333" i="1"/>
  <c r="GR401" i="1"/>
  <c r="GS619" i="1"/>
  <c r="KC646" i="1"/>
  <c r="GR768" i="1"/>
  <c r="HG645" i="1"/>
  <c r="GQ347" i="1"/>
  <c r="KI31" i="1"/>
  <c r="KG17" i="1"/>
  <c r="KG58" i="1"/>
  <c r="GR592" i="1"/>
  <c r="GR406" i="1"/>
  <c r="KI56" i="1"/>
  <c r="GR656" i="1"/>
  <c r="GR845" i="1"/>
  <c r="GP558" i="1"/>
  <c r="JZ558" i="1"/>
  <c r="GS697" i="1"/>
  <c r="GS696" i="1"/>
  <c r="KJ17" i="1"/>
  <c r="GR32" i="1"/>
  <c r="KB784" i="1"/>
  <c r="KC784" i="1"/>
  <c r="E15" i="41"/>
  <c r="KB648" i="1"/>
  <c r="KC648" i="1"/>
  <c r="GP63" i="1"/>
  <c r="JZ63" i="1"/>
  <c r="GR59" i="1"/>
  <c r="KB776" i="1"/>
  <c r="GR482" i="1"/>
  <c r="JZ611" i="1"/>
  <c r="GP118" i="1"/>
  <c r="JZ118" i="1"/>
  <c r="KB858" i="1"/>
  <c r="KC858" i="1"/>
  <c r="GS150" i="1"/>
  <c r="GR634" i="1"/>
  <c r="GR73" i="1"/>
  <c r="GR70" i="1"/>
  <c r="GP569" i="1"/>
  <c r="E32" i="41"/>
  <c r="KA326" i="1"/>
  <c r="KB327" i="1"/>
  <c r="KB326" i="1"/>
  <c r="GP111" i="1"/>
  <c r="JZ111" i="1"/>
  <c r="JZ116" i="1"/>
  <c r="GR571" i="1"/>
  <c r="GR569" i="1"/>
  <c r="GR567" i="1"/>
  <c r="GR236" i="1"/>
  <c r="KB792" i="1"/>
  <c r="KC792" i="1"/>
  <c r="KA147" i="1"/>
  <c r="GP101" i="1"/>
  <c r="GT466" i="1"/>
  <c r="GT133" i="1"/>
  <c r="GT449" i="1"/>
  <c r="GT434" i="1"/>
  <c r="GS345" i="1"/>
  <c r="GS516" i="1"/>
  <c r="JZ655" i="1"/>
  <c r="JZ508" i="1"/>
  <c r="GT508" i="1"/>
  <c r="JS779" i="1"/>
  <c r="GS417" i="1"/>
  <c r="GR327" i="1"/>
  <c r="GR326" i="1"/>
  <c r="GQ168" i="1"/>
  <c r="KA168" i="1"/>
  <c r="KB700" i="1"/>
  <c r="KB699" i="1"/>
  <c r="KC699" i="1"/>
  <c r="KB317" i="1"/>
  <c r="KB316" i="1"/>
  <c r="GS825" i="1"/>
  <c r="JT825" i="1"/>
  <c r="KA285" i="1"/>
  <c r="KB285" i="1"/>
  <c r="JZ382" i="1"/>
  <c r="GQ54" i="1"/>
  <c r="GQ153" i="1"/>
  <c r="KA153" i="1"/>
  <c r="GP133" i="1"/>
  <c r="GP131" i="1"/>
  <c r="JZ131" i="1"/>
  <c r="GR314" i="1"/>
  <c r="GR313" i="1"/>
  <c r="HG670" i="1"/>
  <c r="GP856" i="1"/>
  <c r="GT345" i="1"/>
  <c r="GQ322" i="1"/>
  <c r="JT656" i="1"/>
  <c r="JT655" i="1"/>
  <c r="JT653" i="1"/>
  <c r="JT651" i="1"/>
  <c r="GT656" i="1"/>
  <c r="KA656" i="1"/>
  <c r="GT327" i="1"/>
  <c r="GT168" i="1"/>
  <c r="GT167" i="1"/>
  <c r="GR857" i="1"/>
  <c r="GR856" i="1"/>
  <c r="GQ696" i="1"/>
  <c r="JZ824" i="1"/>
  <c r="KB824" i="1"/>
  <c r="KC824" i="1"/>
  <c r="GR317" i="1"/>
  <c r="GR316" i="1"/>
  <c r="GT317" i="1"/>
  <c r="GT316" i="1"/>
  <c r="GR324" i="1"/>
  <c r="GR163" i="1"/>
  <c r="GT824" i="1"/>
  <c r="GR83" i="1"/>
  <c r="KB713" i="1"/>
  <c r="KC713" i="1"/>
  <c r="JZ174" i="1"/>
  <c r="KB795" i="1"/>
  <c r="KC795" i="1"/>
  <c r="GP48" i="1"/>
  <c r="JZ48" i="1"/>
  <c r="HG856" i="1"/>
  <c r="GP507" i="1"/>
  <c r="GT551" i="1"/>
  <c r="GT549" i="1"/>
  <c r="GP83" i="1"/>
  <c r="GP109" i="1"/>
  <c r="GQ326" i="1"/>
  <c r="JT857" i="1"/>
  <c r="GR697" i="1"/>
  <c r="GR696" i="1"/>
  <c r="GT697" i="1"/>
  <c r="GT696" i="1"/>
  <c r="HG697" i="1"/>
  <c r="HG696" i="1"/>
  <c r="GT719" i="1"/>
  <c r="GT718" i="1"/>
  <c r="JZ825" i="1"/>
  <c r="KB825" i="1"/>
  <c r="KC825" i="1"/>
  <c r="GT825" i="1"/>
  <c r="JZ202" i="1"/>
  <c r="KC787" i="1"/>
  <c r="GS604" i="1"/>
  <c r="JT604" i="1"/>
  <c r="JT42" i="1"/>
  <c r="GS602" i="1"/>
  <c r="GS40" i="1"/>
  <c r="GR827" i="1"/>
  <c r="JP632" i="1"/>
  <c r="JP630" i="1"/>
  <c r="JP628" i="1"/>
  <c r="JR151" i="1"/>
  <c r="JR149" i="1"/>
  <c r="JR482" i="1"/>
  <c r="JR147" i="1"/>
  <c r="JR139" i="1"/>
  <c r="JR472" i="1"/>
  <c r="JR437" i="1"/>
  <c r="JR61" i="1"/>
  <c r="JR53" i="1"/>
  <c r="JR52" i="1"/>
  <c r="JR386" i="1"/>
  <c r="JP378" i="1"/>
  <c r="JP364" i="1"/>
  <c r="JQ378" i="1"/>
  <c r="JR28" i="1"/>
  <c r="JR366" i="1"/>
  <c r="JR251" i="1"/>
  <c r="JR22" i="1"/>
  <c r="JR21" i="1"/>
  <c r="HG699" i="1"/>
  <c r="GQ611" i="1"/>
  <c r="AE13" i="12"/>
  <c r="AE12" i="12"/>
  <c r="AE10" i="12"/>
  <c r="F21" i="32"/>
  <c r="H10" i="36"/>
  <c r="D16" i="25"/>
  <c r="J11" i="13"/>
  <c r="IC172" i="1"/>
  <c r="JX427" i="1"/>
  <c r="KB427" i="1"/>
  <c r="JS429" i="1"/>
  <c r="JS96" i="1"/>
  <c r="HG427" i="1"/>
  <c r="KC158" i="1"/>
  <c r="IB149" i="1"/>
  <c r="HG482" i="1"/>
  <c r="JX472" i="1"/>
  <c r="KB472" i="1"/>
  <c r="KB474" i="1"/>
  <c r="JX366" i="1"/>
  <c r="KB366" i="1"/>
  <c r="IB14" i="1"/>
  <c r="JX28" i="1"/>
  <c r="IB210" i="1"/>
  <c r="JS486" i="1"/>
  <c r="JX482" i="1"/>
  <c r="KB482" i="1"/>
  <c r="KC482" i="1"/>
  <c r="KB484" i="1"/>
  <c r="KC462" i="1"/>
  <c r="JS462" i="1"/>
  <c r="HG458" i="1"/>
  <c r="JS456" i="1"/>
  <c r="JS123" i="1"/>
  <c r="HG451" i="1"/>
  <c r="JX123" i="1"/>
  <c r="JX118" i="1"/>
  <c r="KB414" i="1"/>
  <c r="KC414" i="1"/>
  <c r="JX80" i="1"/>
  <c r="JX77" i="1"/>
  <c r="HG411" i="1"/>
  <c r="KC411" i="1"/>
  <c r="IB52" i="1"/>
  <c r="JS384" i="1"/>
  <c r="JS277" i="1"/>
  <c r="JS50" i="1"/>
  <c r="KC384" i="1"/>
  <c r="I19" i="13"/>
  <c r="K19" i="13"/>
  <c r="K21" i="13"/>
  <c r="AN40" i="12"/>
  <c r="AN38" i="12"/>
  <c r="AF27" i="12"/>
  <c r="I13" i="14"/>
  <c r="AD27" i="12"/>
  <c r="AD13" i="12"/>
  <c r="AD12" i="12"/>
  <c r="AD10" i="12"/>
  <c r="G14" i="19"/>
  <c r="AN34" i="12"/>
  <c r="F13" i="19"/>
  <c r="F11" i="19"/>
  <c r="E16" i="32"/>
  <c r="F16" i="32"/>
  <c r="AH19" i="12"/>
  <c r="AL19" i="12"/>
  <c r="AN19" i="12"/>
  <c r="AN17" i="12"/>
  <c r="AN15" i="12"/>
  <c r="I12" i="13"/>
  <c r="I10" i="13"/>
  <c r="I10" i="14"/>
  <c r="AD63" i="12"/>
  <c r="I13" i="13"/>
  <c r="K13" i="13"/>
  <c r="F19" i="32"/>
  <c r="AN29" i="12"/>
  <c r="AN27" i="12"/>
  <c r="J14" i="13"/>
  <c r="K14" i="13"/>
  <c r="F15" i="32"/>
  <c r="K11" i="13"/>
  <c r="JS788" i="1"/>
  <c r="IF783" i="1"/>
  <c r="IG730" i="1"/>
  <c r="IF669" i="1"/>
  <c r="IG672" i="1"/>
  <c r="JS672" i="1"/>
  <c r="HG783" i="1"/>
  <c r="JQ575" i="1"/>
  <c r="C609" i="1"/>
  <c r="C575" i="1"/>
  <c r="B13" i="3"/>
  <c r="GY244" i="1"/>
  <c r="JJ139" i="1"/>
  <c r="IX139" i="1"/>
  <c r="JP575" i="1"/>
  <c r="JS787" i="1"/>
  <c r="C378" i="1"/>
  <c r="D19" i="41"/>
  <c r="GZ172" i="1"/>
  <c r="HW172" i="1"/>
  <c r="IA172" i="1"/>
  <c r="IR172" i="1"/>
  <c r="IX172" i="1"/>
  <c r="JB172" i="1"/>
  <c r="IQ180" i="1"/>
  <c r="IQ179" i="1"/>
  <c r="IF827" i="1"/>
  <c r="JS856" i="1"/>
  <c r="KB343" i="1"/>
  <c r="KC343" i="1"/>
  <c r="HB632" i="1"/>
  <c r="HB630" i="1"/>
  <c r="HB628" i="1"/>
  <c r="HF609" i="1"/>
  <c r="HB609" i="1"/>
  <c r="GX609" i="1"/>
  <c r="GX575" i="1"/>
  <c r="HA172" i="1"/>
  <c r="HE172" i="1"/>
  <c r="HX172" i="1"/>
  <c r="II172" i="1"/>
  <c r="IU172" i="1"/>
  <c r="IY172" i="1"/>
  <c r="IL174" i="1"/>
  <c r="IL172" i="1"/>
  <c r="JX57" i="1"/>
  <c r="KB781" i="1"/>
  <c r="KC781" i="1"/>
  <c r="IU131" i="1"/>
  <c r="GR299" i="1"/>
  <c r="GP329" i="1"/>
  <c r="JZ329" i="1"/>
  <c r="HE609" i="1"/>
  <c r="HA609" i="1"/>
  <c r="HA575" i="1"/>
  <c r="GV609" i="1"/>
  <c r="JN195" i="1"/>
  <c r="GX172" i="1"/>
  <c r="HF172" i="1"/>
  <c r="IO172" i="1"/>
  <c r="IV172" i="1"/>
  <c r="JO174" i="1"/>
  <c r="JO172" i="1"/>
  <c r="JG111" i="1"/>
  <c r="JZ331" i="1"/>
  <c r="GP79" i="1"/>
  <c r="JY298" i="1"/>
  <c r="GP288" i="1"/>
  <c r="JZ288" i="1"/>
  <c r="IG248" i="1"/>
  <c r="IH854" i="1"/>
  <c r="HG827" i="1"/>
  <c r="GS718" i="1"/>
  <c r="HD609" i="1"/>
  <c r="GZ609" i="1"/>
  <c r="GZ575" i="1"/>
  <c r="GU609" i="1"/>
  <c r="GU575" i="1"/>
  <c r="IE244" i="1"/>
  <c r="HD244" i="1"/>
  <c r="JG195" i="1"/>
  <c r="JG172" i="1"/>
  <c r="GY172" i="1"/>
  <c r="HC172" i="1"/>
  <c r="HV172" i="1"/>
  <c r="HZ172" i="1"/>
  <c r="ID172" i="1"/>
  <c r="IK172" i="1"/>
  <c r="JY55" i="1"/>
  <c r="HT106" i="1"/>
  <c r="KC509" i="1"/>
  <c r="KA339" i="1"/>
  <c r="JZ622" i="1"/>
  <c r="KC469" i="1"/>
  <c r="KB695" i="1"/>
  <c r="KC695" i="1"/>
  <c r="JB225" i="1"/>
  <c r="JB224" i="1"/>
  <c r="JS866" i="1"/>
  <c r="JS863" i="1"/>
  <c r="IG787" i="1"/>
  <c r="IG783" i="1"/>
  <c r="IF860" i="1"/>
  <c r="JS861" i="1"/>
  <c r="JS860" i="1"/>
  <c r="JT861" i="1"/>
  <c r="JT860" i="1"/>
  <c r="IG861" i="1"/>
  <c r="IG860" i="1"/>
  <c r="GX827" i="1"/>
  <c r="GX766" i="1"/>
  <c r="GX764" i="1"/>
  <c r="JE234" i="1"/>
  <c r="JE230" i="1"/>
  <c r="IR36" i="1"/>
  <c r="GT715" i="1"/>
  <c r="JY728" i="1"/>
  <c r="GT532" i="1"/>
  <c r="GT202" i="1"/>
  <c r="GT201" i="1"/>
  <c r="IF263" i="1"/>
  <c r="IU36" i="1"/>
  <c r="IU14" i="1"/>
  <c r="JA36" i="1"/>
  <c r="JS716" i="1"/>
  <c r="IZ202" i="1"/>
  <c r="IZ201" i="1"/>
  <c r="JF202" i="1"/>
  <c r="JF201" i="1"/>
  <c r="JL202" i="1"/>
  <c r="JL201" i="1"/>
  <c r="JR533" i="1"/>
  <c r="JR202" i="1"/>
  <c r="JR201" i="1"/>
  <c r="IG715" i="1"/>
  <c r="JK202" i="1"/>
  <c r="JK201" i="1"/>
  <c r="JS127" i="1"/>
  <c r="HF575" i="1"/>
  <c r="HY172" i="1"/>
  <c r="IE172" i="1"/>
  <c r="IJ30" i="1"/>
  <c r="GV575" i="1"/>
  <c r="JY609" i="1"/>
  <c r="GV172" i="1"/>
  <c r="IB172" i="1"/>
  <c r="HB172" i="1"/>
  <c r="JX212" i="1"/>
  <c r="HF210" i="1"/>
  <c r="JN94" i="1"/>
  <c r="JM94" i="1"/>
  <c r="GU364" i="1"/>
  <c r="HD628" i="1"/>
  <c r="IQ238" i="1"/>
  <c r="IQ236" i="1"/>
  <c r="KC547" i="1"/>
  <c r="IA14" i="1"/>
  <c r="GW172" i="1"/>
  <c r="GW575" i="1"/>
  <c r="ID52" i="1"/>
  <c r="ID44" i="1"/>
  <c r="HZ52" i="1"/>
  <c r="IQ185" i="1"/>
  <c r="IQ184" i="1"/>
  <c r="IM172" i="1"/>
  <c r="HC364" i="1"/>
  <c r="IJ172" i="1"/>
  <c r="HD172" i="1"/>
  <c r="KC252" i="1"/>
  <c r="HZ63" i="1"/>
  <c r="JS101" i="1"/>
  <c r="JN67" i="1"/>
  <c r="JM106" i="1"/>
  <c r="IH473" i="1"/>
  <c r="IH140" i="1"/>
  <c r="P30" i="40"/>
  <c r="KB299" i="1"/>
  <c r="IH501" i="1"/>
  <c r="IM36" i="1"/>
  <c r="GW628" i="1"/>
  <c r="IH303" i="1"/>
  <c r="IH302" i="1"/>
  <c r="IG430" i="1"/>
  <c r="IG97" i="1"/>
  <c r="ID236" i="1"/>
  <c r="ID210" i="1"/>
  <c r="JC111" i="1"/>
  <c r="JM118" i="1"/>
  <c r="KA655" i="1"/>
  <c r="HA628" i="1"/>
  <c r="IH277" i="1"/>
  <c r="IH310" i="1"/>
  <c r="IF308" i="1"/>
  <c r="JS520" i="1"/>
  <c r="JS189" i="1"/>
  <c r="IF543" i="1"/>
  <c r="IH726" i="1"/>
  <c r="IH725" i="1"/>
  <c r="GS83" i="1"/>
  <c r="KB857" i="1"/>
  <c r="HG693" i="1"/>
  <c r="JT697" i="1"/>
  <c r="JT696" i="1"/>
  <c r="HL174" i="1"/>
  <c r="HL172" i="1"/>
  <c r="JM67" i="1"/>
  <c r="GR277" i="1"/>
  <c r="GR50" i="1"/>
  <c r="GR46" i="1"/>
  <c r="IH527" i="1"/>
  <c r="IH196" i="1"/>
  <c r="IG215" i="1"/>
  <c r="KC656" i="1"/>
  <c r="IF215" i="1"/>
  <c r="JS399" i="1"/>
  <c r="JS397" i="1"/>
  <c r="JS484" i="1"/>
  <c r="JS151" i="1"/>
  <c r="IH512" i="1"/>
  <c r="JS522" i="1"/>
  <c r="IG564" i="1"/>
  <c r="KC468" i="1"/>
  <c r="KB803" i="1"/>
  <c r="KC803" i="1"/>
  <c r="JQ313" i="1"/>
  <c r="JE222" i="1"/>
  <c r="JE218" i="1"/>
  <c r="JN222" i="1"/>
  <c r="JN218" i="1"/>
  <c r="JO222" i="1"/>
  <c r="IP233" i="1"/>
  <c r="IP230" i="1"/>
  <c r="JR740" i="1"/>
  <c r="JR738" i="1"/>
  <c r="JQ738" i="1"/>
  <c r="JQ721" i="1"/>
  <c r="JY738" i="1"/>
  <c r="IF738" i="1"/>
  <c r="JS740" i="1"/>
  <c r="JS738" i="1"/>
  <c r="JH221" i="1"/>
  <c r="JH218" i="1"/>
  <c r="JQ221" i="1"/>
  <c r="JQ218" i="1"/>
  <c r="JQ210" i="1"/>
  <c r="JR552" i="1"/>
  <c r="IJ233" i="1"/>
  <c r="IJ230" i="1"/>
  <c r="IV233" i="1"/>
  <c r="IV230" i="1"/>
  <c r="JL222" i="1"/>
  <c r="JR553" i="1"/>
  <c r="JR222" i="1"/>
  <c r="JN36" i="1"/>
  <c r="IG747" i="1"/>
  <c r="IG742" i="1"/>
  <c r="IH861" i="1"/>
  <c r="IH860" i="1"/>
  <c r="IH715" i="1"/>
  <c r="JQ532" i="1"/>
  <c r="JQ364" i="1"/>
  <c r="IW202" i="1"/>
  <c r="IW201" i="1"/>
  <c r="IF649" i="1"/>
  <c r="IF645" i="1"/>
  <c r="IG840" i="1"/>
  <c r="JY716" i="1"/>
  <c r="JY711" i="1"/>
  <c r="GT714" i="1"/>
  <c r="IF711" i="1"/>
  <c r="IF691" i="1"/>
  <c r="JI202" i="1"/>
  <c r="JI201" i="1"/>
  <c r="JT744" i="1"/>
  <c r="GT845" i="1"/>
  <c r="JS840" i="1"/>
  <c r="JT617" i="1"/>
  <c r="JT616" i="1"/>
  <c r="GS583" i="1"/>
  <c r="IY202" i="1"/>
  <c r="IY201" i="1"/>
  <c r="JT255" i="1"/>
  <c r="JS638" i="1"/>
  <c r="JY586" i="1"/>
  <c r="JY595" i="1"/>
  <c r="KB840" i="1"/>
  <c r="KC840" i="1"/>
  <c r="IG617" i="1"/>
  <c r="IG616" i="1"/>
  <c r="KB715" i="1"/>
  <c r="GT716" i="1"/>
  <c r="IG716" i="1"/>
  <c r="JS713" i="1"/>
  <c r="GS26" i="1"/>
  <c r="GY575" i="1"/>
  <c r="HE210" i="1"/>
  <c r="GX364" i="1"/>
  <c r="HP44" i="1"/>
  <c r="GZ628" i="1"/>
  <c r="KC224" i="1"/>
  <c r="GV628" i="1"/>
  <c r="HW38" i="1"/>
  <c r="KC655" i="1"/>
  <c r="KF70" i="1"/>
  <c r="HE628" i="1"/>
  <c r="JZ532" i="1"/>
  <c r="KB123" i="1"/>
  <c r="KC123" i="1"/>
  <c r="KC456" i="1"/>
  <c r="KC255" i="1"/>
  <c r="KC335" i="1"/>
  <c r="KB682" i="1"/>
  <c r="KC682" i="1"/>
  <c r="KC480" i="1"/>
  <c r="KB102" i="1"/>
  <c r="KC102" i="1"/>
  <c r="KC435" i="1"/>
  <c r="JT621" i="1"/>
  <c r="HC210" i="1"/>
  <c r="GP19" i="1"/>
  <c r="GP246" i="1"/>
  <c r="GP244" i="1"/>
  <c r="JZ244" i="1"/>
  <c r="IS83" i="1"/>
  <c r="IS82" i="1"/>
  <c r="IG622" i="1"/>
  <c r="GT281" i="1"/>
  <c r="GP279" i="1"/>
  <c r="GT283" i="1"/>
  <c r="GT56" i="1"/>
  <c r="JZ283" i="1"/>
  <c r="GT285" i="1"/>
  <c r="GT58" i="1"/>
  <c r="GT323" i="1"/>
  <c r="GP322" i="1"/>
  <c r="GP308" i="1"/>
  <c r="GR323" i="1"/>
  <c r="GR160" i="1"/>
  <c r="JZ323" i="1"/>
  <c r="JZ160" i="1"/>
  <c r="GQ47" i="1"/>
  <c r="KA381" i="1"/>
  <c r="GT381" i="1"/>
  <c r="GT465" i="1"/>
  <c r="GT132" i="1"/>
  <c r="GQ464" i="1"/>
  <c r="GQ132" i="1"/>
  <c r="KA465" i="1"/>
  <c r="GQ507" i="1"/>
  <c r="GQ176" i="1"/>
  <c r="GS509" i="1"/>
  <c r="KA509" i="1"/>
  <c r="KA232" i="1"/>
  <c r="GS560" i="1"/>
  <c r="GT560" i="1"/>
  <c r="KA560" i="1"/>
  <c r="GR560" i="1"/>
  <c r="GS573" i="1"/>
  <c r="JZ573" i="1"/>
  <c r="KB573" i="1"/>
  <c r="KC573" i="1"/>
  <c r="KA728" i="1"/>
  <c r="JX133" i="1"/>
  <c r="JM139" i="1"/>
  <c r="GP293" i="1"/>
  <c r="JZ293" i="1"/>
  <c r="GP73" i="1"/>
  <c r="JZ73" i="1"/>
  <c r="GR300" i="1"/>
  <c r="GR80" i="1"/>
  <c r="GP298" i="1"/>
  <c r="JZ300" i="1"/>
  <c r="JZ298" i="1"/>
  <c r="GP80" i="1"/>
  <c r="KC560" i="1"/>
  <c r="IF135" i="1"/>
  <c r="JS468" i="1"/>
  <c r="JS135" i="1"/>
  <c r="HG472" i="1"/>
  <c r="JX218" i="1"/>
  <c r="IG221" i="1"/>
  <c r="JS390" i="1"/>
  <c r="JM77" i="1"/>
  <c r="IF221" i="1"/>
  <c r="JS388" i="1"/>
  <c r="JS54" i="1"/>
  <c r="JS469" i="1"/>
  <c r="JS136" i="1"/>
  <c r="IF621" i="1"/>
  <c r="IF619" i="1"/>
  <c r="JY174" i="1"/>
  <c r="KA298" i="1"/>
  <c r="KB277" i="1"/>
  <c r="KB50" i="1"/>
  <c r="GT31" i="1"/>
  <c r="JS393" i="1"/>
  <c r="JS478" i="1"/>
  <c r="JS145" i="1"/>
  <c r="KA354" i="1"/>
  <c r="KB354" i="1"/>
  <c r="KC354" i="1"/>
  <c r="GS270" i="1"/>
  <c r="JY600" i="1"/>
  <c r="GS572" i="1"/>
  <c r="GS39" i="1"/>
  <c r="JS646" i="1"/>
  <c r="JS84" i="1"/>
  <c r="JN21" i="1"/>
  <c r="JO24" i="1"/>
  <c r="JM21" i="1"/>
  <c r="JM14" i="1"/>
  <c r="JS549" i="1"/>
  <c r="KC552" i="1"/>
  <c r="JM210" i="1"/>
  <c r="S30" i="40"/>
  <c r="JO163" i="1"/>
  <c r="JO153" i="1"/>
  <c r="JO152" i="1"/>
  <c r="IG485" i="1"/>
  <c r="JN152" i="1"/>
  <c r="JN149" i="1"/>
  <c r="IF482" i="1"/>
  <c r="JO144" i="1"/>
  <c r="JO137" i="1"/>
  <c r="JM131" i="1"/>
  <c r="JO134" i="1"/>
  <c r="JO129" i="1"/>
  <c r="JO123" i="1"/>
  <c r="JN118" i="1"/>
  <c r="JO122" i="1"/>
  <c r="JS451" i="1"/>
  <c r="JS120" i="1"/>
  <c r="IF451" i="1"/>
  <c r="JO115" i="1"/>
  <c r="JO111" i="1"/>
  <c r="JN115" i="1"/>
  <c r="JN111" i="1"/>
  <c r="JS439" i="1"/>
  <c r="JO98" i="1"/>
  <c r="JO92" i="1"/>
  <c r="JO80" i="1"/>
  <c r="JO77" i="1"/>
  <c r="JS411" i="1"/>
  <c r="JN80" i="1"/>
  <c r="JN77" i="1"/>
  <c r="JN75" i="1"/>
  <c r="JN72" i="1"/>
  <c r="JO74" i="1"/>
  <c r="KC407" i="1"/>
  <c r="HG406" i="1"/>
  <c r="JO73" i="1"/>
  <c r="JO70" i="1"/>
  <c r="JO69" i="1"/>
  <c r="IF401" i="1"/>
  <c r="JO68" i="1"/>
  <c r="JS402" i="1"/>
  <c r="JS401" i="1"/>
  <c r="JO65" i="1"/>
  <c r="JO63" i="1"/>
  <c r="IF397" i="1"/>
  <c r="IH390" i="1"/>
  <c r="JO56" i="1"/>
  <c r="IF56" i="1"/>
  <c r="JN56" i="1"/>
  <c r="IG390" i="1"/>
  <c r="IG56" i="1"/>
  <c r="JO54" i="1"/>
  <c r="IF386" i="1"/>
  <c r="JM52" i="1"/>
  <c r="IG388" i="1"/>
  <c r="IF380" i="1"/>
  <c r="JO228" i="1"/>
  <c r="JO227" i="1"/>
  <c r="JN228" i="1"/>
  <c r="JN227" i="1"/>
  <c r="JT358" i="1"/>
  <c r="IG359" i="1"/>
  <c r="JO59" i="1"/>
  <c r="JO34" i="1"/>
  <c r="JN30" i="1"/>
  <c r="JO33" i="1"/>
  <c r="JO32" i="1"/>
  <c r="JO31" i="1"/>
  <c r="JO26" i="1"/>
  <c r="JO23" i="1"/>
  <c r="JS260" i="1"/>
  <c r="GT259" i="1"/>
  <c r="G8" i="34"/>
  <c r="E35" i="32"/>
  <c r="E21" i="25"/>
  <c r="E8" i="18"/>
  <c r="IV17" i="1"/>
  <c r="G10" i="12"/>
  <c r="G64" i="12"/>
  <c r="C16" i="31"/>
  <c r="C19" i="19"/>
  <c r="JT500" i="1"/>
  <c r="C21" i="31"/>
  <c r="B9" i="18"/>
  <c r="C25" i="25"/>
  <c r="C23" i="25"/>
  <c r="C24" i="19"/>
  <c r="E19" i="19"/>
  <c r="E16" i="31"/>
  <c r="E15" i="31"/>
  <c r="P28" i="40"/>
  <c r="JX567" i="1"/>
  <c r="C12" i="31"/>
  <c r="C23" i="19"/>
  <c r="C21" i="19"/>
  <c r="GR783" i="1"/>
  <c r="T48" i="12"/>
  <c r="T10" i="12"/>
  <c r="P48" i="12"/>
  <c r="P10" i="12"/>
  <c r="I48" i="12"/>
  <c r="I10" i="12"/>
  <c r="KB100" i="1"/>
  <c r="KC433" i="1"/>
  <c r="AL41" i="12"/>
  <c r="C16" i="19"/>
  <c r="E64" i="12"/>
  <c r="E40" i="12"/>
  <c r="E38" i="12"/>
  <c r="IQ41" i="1"/>
  <c r="IN75" i="1"/>
  <c r="IN72" i="1"/>
  <c r="IN177" i="1"/>
  <c r="IN174" i="1"/>
  <c r="IN172" i="1"/>
  <c r="IN99" i="1"/>
  <c r="IN100" i="1"/>
  <c r="IQ169" i="1"/>
  <c r="IQ167" i="1"/>
  <c r="IH550" i="1"/>
  <c r="IH219" i="1"/>
  <c r="IN219" i="1"/>
  <c r="KB253" i="1"/>
  <c r="KC253" i="1"/>
  <c r="C13" i="12"/>
  <c r="KB637" i="1"/>
  <c r="C19" i="32"/>
  <c r="C17" i="32"/>
  <c r="AL31" i="12"/>
  <c r="E29" i="12"/>
  <c r="AB48" i="12"/>
  <c r="R48" i="12"/>
  <c r="R10" i="12"/>
  <c r="KB133" i="1"/>
  <c r="KC466" i="1"/>
  <c r="IH276" i="1"/>
  <c r="IN69" i="1"/>
  <c r="IN92" i="1"/>
  <c r="IN86" i="1"/>
  <c r="IN180" i="1"/>
  <c r="IN179" i="1"/>
  <c r="IN191" i="1"/>
  <c r="IH376" i="1"/>
  <c r="IH375" i="1"/>
  <c r="IH412" i="1"/>
  <c r="IH78" i="1"/>
  <c r="IQ78" i="1"/>
  <c r="IQ77" i="1"/>
  <c r="IH428" i="1"/>
  <c r="IN95" i="1"/>
  <c r="IH528" i="1"/>
  <c r="IN197" i="1"/>
  <c r="IN195" i="1"/>
  <c r="IQ219" i="1"/>
  <c r="IH697" i="1"/>
  <c r="IH696" i="1"/>
  <c r="U48" i="12"/>
  <c r="U10" i="12"/>
  <c r="O48" i="12"/>
  <c r="O10" i="12"/>
  <c r="C15" i="32"/>
  <c r="C14" i="32"/>
  <c r="AL18" i="12"/>
  <c r="E34" i="12"/>
  <c r="E63" i="12"/>
  <c r="AL35" i="12"/>
  <c r="C22" i="32"/>
  <c r="C21" i="32"/>
  <c r="KC232" i="1"/>
  <c r="IN42" i="1"/>
  <c r="IN187" i="1"/>
  <c r="IQ197" i="1"/>
  <c r="IQ195" i="1"/>
  <c r="IN238" i="1"/>
  <c r="IN236" i="1"/>
  <c r="IH565" i="1"/>
  <c r="IH238" i="1"/>
  <c r="IH572" i="1"/>
  <c r="F29" i="13"/>
  <c r="F28" i="13"/>
  <c r="F6" i="13"/>
  <c r="F29" i="37"/>
  <c r="F28" i="37"/>
  <c r="F6" i="37"/>
  <c r="F29" i="14"/>
  <c r="F28" i="14"/>
  <c r="F6" i="14"/>
  <c r="M48" i="12"/>
  <c r="M10" i="12"/>
  <c r="KB78" i="1"/>
  <c r="KC412" i="1"/>
  <c r="IH355" i="1"/>
  <c r="IH564" i="1"/>
  <c r="IH249" i="1"/>
  <c r="IN80" i="1"/>
  <c r="IN77" i="1"/>
  <c r="IQ187" i="1"/>
  <c r="IQ220" i="1"/>
  <c r="IQ96" i="1"/>
  <c r="IQ94" i="1"/>
  <c r="IN98" i="1"/>
  <c r="IH573" i="1"/>
  <c r="IQ42" i="1"/>
  <c r="IH607" i="1"/>
  <c r="IH606" i="1"/>
  <c r="KB87" i="1"/>
  <c r="KC420" i="1"/>
  <c r="JS819" i="1"/>
  <c r="C13" i="19"/>
  <c r="C8" i="19"/>
  <c r="C6" i="19"/>
  <c r="KA331" i="1"/>
  <c r="KB331" i="1"/>
  <c r="KC331" i="1"/>
  <c r="HG277" i="1"/>
  <c r="GQ79" i="1"/>
  <c r="GQ77" i="1"/>
  <c r="KA77" i="1"/>
  <c r="KB314" i="1"/>
  <c r="KB129" i="1"/>
  <c r="HG685" i="1"/>
  <c r="IG512" i="1"/>
  <c r="IG375" i="1"/>
  <c r="IG571" i="1"/>
  <c r="IG569" i="1"/>
  <c r="IG567" i="1"/>
  <c r="IG362" i="1"/>
  <c r="IG355" i="1"/>
  <c r="IG728" i="1"/>
  <c r="IF507" i="1"/>
  <c r="IF505" i="1"/>
  <c r="IP36" i="1"/>
  <c r="KB712" i="1"/>
  <c r="KC712" i="1"/>
  <c r="JX718" i="1"/>
  <c r="JX691" i="1"/>
  <c r="GT236" i="1"/>
  <c r="KB744" i="1"/>
  <c r="F45" i="12"/>
  <c r="F44" i="12"/>
  <c r="JX728" i="1"/>
  <c r="JX723" i="1"/>
  <c r="K44" i="40"/>
  <c r="GQ275" i="1"/>
  <c r="GQ18" i="1"/>
  <c r="GT107" i="1"/>
  <c r="IH622" i="1"/>
  <c r="JS508" i="1"/>
  <c r="IG683" i="1"/>
  <c r="IG681" i="1"/>
  <c r="IG528" i="1"/>
  <c r="IG434" i="1"/>
  <c r="IG101" i="1"/>
  <c r="IG249" i="1"/>
  <c r="IH373" i="1"/>
  <c r="IG373" i="1"/>
  <c r="O44" i="40"/>
  <c r="JS712" i="1"/>
  <c r="IG697" i="1"/>
  <c r="IG696" i="1"/>
  <c r="KB677" i="1"/>
  <c r="KC677" i="1"/>
  <c r="GR53" i="1"/>
  <c r="Y15" i="12"/>
  <c r="JX361" i="1"/>
  <c r="JX347" i="1"/>
  <c r="GT854" i="1"/>
  <c r="G35" i="40"/>
  <c r="GT277" i="1"/>
  <c r="GT129" i="1"/>
  <c r="KC686" i="1"/>
  <c r="GS655" i="1"/>
  <c r="GS653" i="1"/>
  <c r="GS651" i="1"/>
  <c r="IG607" i="1"/>
  <c r="IG606" i="1"/>
  <c r="IG432" i="1"/>
  <c r="IG99" i="1"/>
  <c r="IQ221" i="1"/>
  <c r="I35" i="40"/>
  <c r="KB694" i="1"/>
  <c r="KB693" i="1"/>
  <c r="KC693" i="1"/>
  <c r="JS677" i="1"/>
  <c r="IS222" i="1"/>
  <c r="IS218" i="1"/>
  <c r="JB221" i="1"/>
  <c r="IP222" i="1"/>
  <c r="IP218" i="1"/>
  <c r="IQ222" i="1"/>
  <c r="IY221" i="1"/>
  <c r="JB222" i="1"/>
  <c r="JC222" i="1"/>
  <c r="JQ711" i="1"/>
  <c r="JQ691" i="1"/>
  <c r="JR712" i="1"/>
  <c r="JR711" i="1"/>
  <c r="JR691" i="1"/>
  <c r="IH429" i="1"/>
  <c r="IH96" i="1"/>
  <c r="IJ221" i="1"/>
  <c r="IM222" i="1"/>
  <c r="IM218" i="1"/>
  <c r="IN222" i="1"/>
  <c r="IV221" i="1"/>
  <c r="IY222" i="1"/>
  <c r="IG429" i="1"/>
  <c r="IG96" i="1"/>
  <c r="IJ222" i="1"/>
  <c r="IV222" i="1"/>
  <c r="IW222" i="1"/>
  <c r="IG712" i="1"/>
  <c r="IG740" i="1"/>
  <c r="IG738" i="1"/>
  <c r="KB861" i="1"/>
  <c r="JZ860" i="1"/>
  <c r="KC866" i="1"/>
  <c r="IG866" i="1"/>
  <c r="JR829" i="1"/>
  <c r="JQ827" i="1"/>
  <c r="JQ766" i="1"/>
  <c r="JQ764" i="1"/>
  <c r="KB739" i="1"/>
  <c r="JT747" i="1"/>
  <c r="JT817" i="1"/>
  <c r="JY593" i="1"/>
  <c r="KB593" i="1"/>
  <c r="E35" i="40"/>
  <c r="E37" i="40"/>
  <c r="JT814" i="1"/>
  <c r="JT821" i="1"/>
  <c r="JY581" i="1"/>
  <c r="KB581" i="1"/>
  <c r="AH53" i="12"/>
  <c r="JH233" i="1"/>
  <c r="JH230" i="1"/>
  <c r="GS42" i="1"/>
  <c r="KB202" i="1"/>
  <c r="KC533" i="1"/>
  <c r="IF596" i="1"/>
  <c r="C199" i="1"/>
  <c r="P31" i="40"/>
  <c r="IK202" i="1"/>
  <c r="IK201" i="1"/>
  <c r="JT714" i="1"/>
  <c r="KB714" i="1"/>
  <c r="KC714" i="1"/>
  <c r="JZ592" i="1"/>
  <c r="JX532" i="1"/>
  <c r="KB532" i="1"/>
  <c r="KC532" i="1"/>
  <c r="IG714" i="1"/>
  <c r="IG711" i="1"/>
  <c r="IG691" i="1"/>
  <c r="HG535" i="1"/>
  <c r="HG530" i="1"/>
  <c r="HG538" i="1"/>
  <c r="JS536" i="1"/>
  <c r="IG533" i="1"/>
  <c r="IF532" i="1"/>
  <c r="JS533" i="1"/>
  <c r="JT533" i="1"/>
  <c r="JR532" i="1"/>
  <c r="KB716" i="1"/>
  <c r="KC716" i="1"/>
  <c r="JX202" i="1"/>
  <c r="JX201" i="1"/>
  <c r="IF202" i="1"/>
  <c r="IF201" i="1"/>
  <c r="GS82" i="1"/>
  <c r="KH42" i="1"/>
  <c r="KH67" i="1"/>
  <c r="KH66" i="1"/>
  <c r="GS535" i="1"/>
  <c r="GS530" i="1"/>
  <c r="KH45" i="1"/>
  <c r="KH71" i="1"/>
  <c r="JT536" i="1"/>
  <c r="GS101" i="1"/>
  <c r="JS714" i="1"/>
  <c r="JS711" i="1"/>
  <c r="KB800" i="1"/>
  <c r="KC800" i="1"/>
  <c r="KC776" i="1"/>
  <c r="KC647" i="1"/>
  <c r="KI22" i="1"/>
  <c r="GR488" i="1"/>
  <c r="KB361" i="1"/>
  <c r="KC361" i="1"/>
  <c r="KC672" i="1"/>
  <c r="JZ86" i="1"/>
  <c r="F28" i="41"/>
  <c r="GS609" i="1"/>
  <c r="F26" i="33"/>
  <c r="KA201" i="1"/>
  <c r="K39" i="40"/>
  <c r="GS50" i="1"/>
  <c r="GS275" i="1"/>
  <c r="JT277" i="1"/>
  <c r="D30" i="32"/>
  <c r="F30" i="32"/>
  <c r="E9" i="18"/>
  <c r="E34" i="32"/>
  <c r="G9" i="36"/>
  <c r="G7" i="36"/>
  <c r="G6" i="36"/>
  <c r="G5" i="36"/>
  <c r="E7" i="36"/>
  <c r="E6" i="36"/>
  <c r="E5" i="36"/>
  <c r="JS65" i="1"/>
  <c r="E32" i="31"/>
  <c r="KC528" i="1"/>
  <c r="KK44" i="1"/>
  <c r="KK70" i="1"/>
  <c r="JS89" i="1"/>
  <c r="JS419" i="1"/>
  <c r="JS83" i="1"/>
  <c r="JS82" i="1"/>
  <c r="JX244" i="1"/>
  <c r="KB49" i="1"/>
  <c r="KC49" i="1"/>
  <c r="KC383" i="1"/>
  <c r="JY77" i="1"/>
  <c r="KB144" i="1"/>
  <c r="KC144" i="1"/>
  <c r="KC477" i="1"/>
  <c r="KB120" i="1"/>
  <c r="KC453" i="1"/>
  <c r="KC475" i="1"/>
  <c r="KB142" i="1"/>
  <c r="KC142" i="1"/>
  <c r="KB134" i="1"/>
  <c r="KC467" i="1"/>
  <c r="KB625" i="1"/>
  <c r="JX619" i="1"/>
  <c r="JX609" i="1"/>
  <c r="KC398" i="1"/>
  <c r="KB64" i="1"/>
  <c r="KC64" i="1"/>
  <c r="KB113" i="1"/>
  <c r="KC341" i="1"/>
  <c r="GQ619" i="1"/>
  <c r="KA619" i="1"/>
  <c r="GT326" i="1"/>
  <c r="JS280" i="1"/>
  <c r="JS53" i="1"/>
  <c r="GQ541" i="1"/>
  <c r="KI46" i="1"/>
  <c r="KI72" i="1"/>
  <c r="JS697" i="1"/>
  <c r="JS696" i="1"/>
  <c r="KC863" i="1"/>
  <c r="JT508" i="1"/>
  <c r="JT175" i="1"/>
  <c r="KB324" i="1"/>
  <c r="KB163" i="1"/>
  <c r="KB339" i="1"/>
  <c r="KC339" i="1"/>
  <c r="GR563" i="1"/>
  <c r="JS345" i="1"/>
  <c r="JS193" i="1"/>
  <c r="KC694" i="1"/>
  <c r="JT719" i="1"/>
  <c r="JT718" i="1"/>
  <c r="GQ167" i="1"/>
  <c r="KA167" i="1"/>
  <c r="GR322" i="1"/>
  <c r="KB719" i="1"/>
  <c r="JT442" i="1"/>
  <c r="JT109" i="1"/>
  <c r="KC284" i="1"/>
  <c r="GP366" i="1"/>
  <c r="JZ366" i="1"/>
  <c r="GT500" i="1"/>
  <c r="GR213" i="1"/>
  <c r="JZ180" i="1"/>
  <c r="GT213" i="1"/>
  <c r="KC281" i="1"/>
  <c r="GR500" i="1"/>
  <c r="KA600" i="1"/>
  <c r="KA579" i="1"/>
  <c r="KA577" i="1"/>
  <c r="GR444" i="1"/>
  <c r="E26" i="41"/>
  <c r="HG329" i="1"/>
  <c r="KK30" i="1"/>
  <c r="KA184" i="1"/>
  <c r="KA185" i="1"/>
  <c r="KC362" i="1"/>
  <c r="KA140" i="1"/>
  <c r="GQ139" i="1"/>
  <c r="KA139" i="1"/>
  <c r="JS248" i="1"/>
  <c r="KB702" i="1"/>
  <c r="KC702" i="1"/>
  <c r="KC703" i="1"/>
  <c r="GP651" i="1"/>
  <c r="JZ651" i="1"/>
  <c r="JZ653" i="1"/>
  <c r="KA213" i="1"/>
  <c r="JZ169" i="1"/>
  <c r="GP167" i="1"/>
  <c r="JZ167" i="1"/>
  <c r="KA302" i="1"/>
  <c r="GR549" i="1"/>
  <c r="GT288" i="1"/>
  <c r="GQ577" i="1"/>
  <c r="KB300" i="1"/>
  <c r="GR298" i="1"/>
  <c r="GT109" i="1"/>
  <c r="GT267" i="1"/>
  <c r="GT180" i="1"/>
  <c r="GT179" i="1"/>
  <c r="GR329" i="1"/>
  <c r="KJ30" i="1"/>
  <c r="GS57" i="1"/>
  <c r="JS303" i="1"/>
  <c r="JS302" i="1"/>
  <c r="JZ147" i="1"/>
  <c r="KA347" i="1"/>
  <c r="GT78" i="1"/>
  <c r="GT411" i="1"/>
  <c r="GS48" i="1"/>
  <c r="JT382" i="1"/>
  <c r="JT48" i="1"/>
  <c r="GP125" i="1"/>
  <c r="JZ125" i="1"/>
  <c r="HG606" i="1"/>
  <c r="JS607" i="1"/>
  <c r="JS606" i="1"/>
  <c r="JS343" i="1"/>
  <c r="JS191" i="1"/>
  <c r="HG19" i="1"/>
  <c r="JS249" i="1"/>
  <c r="JS19" i="1"/>
  <c r="GT83" i="1"/>
  <c r="E34" i="41"/>
  <c r="GR267" i="1"/>
  <c r="KA569" i="1"/>
  <c r="GT563" i="1"/>
  <c r="JS354" i="1"/>
  <c r="GR23" i="1"/>
  <c r="KB783" i="1"/>
  <c r="KC783" i="1"/>
  <c r="HG267" i="1"/>
  <c r="GR129" i="1"/>
  <c r="KC271" i="1"/>
  <c r="GR153" i="1"/>
  <c r="GR655" i="1"/>
  <c r="GR653" i="1"/>
  <c r="GR651" i="1"/>
  <c r="JS213" i="1"/>
  <c r="KC350" i="1"/>
  <c r="GS725" i="1"/>
  <c r="JT726" i="1"/>
  <c r="JT725" i="1"/>
  <c r="KA267" i="1"/>
  <c r="JT335" i="1"/>
  <c r="GT196" i="1"/>
  <c r="GT195" i="1"/>
  <c r="GT526" i="1"/>
  <c r="GR78" i="1"/>
  <c r="JT449" i="1"/>
  <c r="JT116" i="1"/>
  <c r="GS116" i="1"/>
  <c r="JS331" i="1"/>
  <c r="JS177" i="1"/>
  <c r="JZ140" i="1"/>
  <c r="GR36" i="1"/>
  <c r="KA83" i="1"/>
  <c r="GQ82" i="1"/>
  <c r="GR175" i="1"/>
  <c r="GR174" i="1"/>
  <c r="GR507" i="1"/>
  <c r="JS337" i="1"/>
  <c r="JS185" i="1"/>
  <c r="JS184" i="1"/>
  <c r="JS42" i="1"/>
  <c r="KA42" i="1"/>
  <c r="KA38" i="1"/>
  <c r="GS319" i="1"/>
  <c r="JT320" i="1"/>
  <c r="KC282" i="1"/>
  <c r="KA196" i="1"/>
  <c r="GR310" i="1"/>
  <c r="GR107" i="1"/>
  <c r="GP149" i="1"/>
  <c r="JZ149" i="1"/>
  <c r="GT185" i="1"/>
  <c r="GT184" i="1"/>
  <c r="KA329" i="1"/>
  <c r="KB329" i="1"/>
  <c r="KC329" i="1"/>
  <c r="KI30" i="1"/>
  <c r="JT280" i="1"/>
  <c r="GR196" i="1"/>
  <c r="GR195" i="1"/>
  <c r="GR526" i="1"/>
  <c r="KB842" i="1"/>
  <c r="KC842" i="1"/>
  <c r="KC843" i="1"/>
  <c r="GP609" i="1"/>
  <c r="GS47" i="1"/>
  <c r="GS380" i="1"/>
  <c r="JT381" i="1"/>
  <c r="JT564" i="1"/>
  <c r="GS237" i="1"/>
  <c r="GS236" i="1"/>
  <c r="GS563" i="1"/>
  <c r="GS220" i="1"/>
  <c r="KC180" i="1"/>
  <c r="GS133" i="1"/>
  <c r="JT466" i="1"/>
  <c r="JT133" i="1"/>
  <c r="E24" i="33"/>
  <c r="KB168" i="1"/>
  <c r="JZ569" i="1"/>
  <c r="KB569" i="1"/>
  <c r="KC569" i="1"/>
  <c r="GP567" i="1"/>
  <c r="JZ567" i="1"/>
  <c r="GT220" i="1"/>
  <c r="GT193" i="1"/>
  <c r="GT329" i="1"/>
  <c r="JZ133" i="1"/>
  <c r="JZ101" i="1"/>
  <c r="JZ507" i="1"/>
  <c r="GP505" i="1"/>
  <c r="GS416" i="1"/>
  <c r="JT417" i="1"/>
  <c r="JZ185" i="1"/>
  <c r="JZ83" i="1"/>
  <c r="GP82" i="1"/>
  <c r="JZ82" i="1"/>
  <c r="GS55" i="1"/>
  <c r="JT282" i="1"/>
  <c r="JT55" i="1"/>
  <c r="HI83" i="1"/>
  <c r="HI82" i="1"/>
  <c r="JS670" i="1"/>
  <c r="KA54" i="1"/>
  <c r="GS185" i="1"/>
  <c r="GS184" i="1"/>
  <c r="JT516" i="1"/>
  <c r="JT185" i="1"/>
  <c r="JT184" i="1"/>
  <c r="GT116" i="1"/>
  <c r="GT444" i="1"/>
  <c r="GT655" i="1"/>
  <c r="GT653" i="1"/>
  <c r="GT651" i="1"/>
  <c r="GQ308" i="1"/>
  <c r="KA308" i="1"/>
  <c r="GR147" i="1"/>
  <c r="GT175" i="1"/>
  <c r="GT507" i="1"/>
  <c r="GT505" i="1"/>
  <c r="JT345" i="1"/>
  <c r="GS329" i="1"/>
  <c r="KB147" i="1"/>
  <c r="JS783" i="1"/>
  <c r="KA611" i="1"/>
  <c r="GQ609" i="1"/>
  <c r="KB141" i="1"/>
  <c r="KC474" i="1"/>
  <c r="KC484" i="1"/>
  <c r="KB151" i="1"/>
  <c r="KC151" i="1"/>
  <c r="JS641" i="1"/>
  <c r="JT641" i="1"/>
  <c r="JT26" i="1"/>
  <c r="JS614" i="1"/>
  <c r="JS613" i="1"/>
  <c r="JS611" i="1"/>
  <c r="IF613" i="1"/>
  <c r="IF611" i="1"/>
  <c r="JT614" i="1"/>
  <c r="JT613" i="1"/>
  <c r="JT611" i="1"/>
  <c r="JS595" i="1"/>
  <c r="IF246" i="1"/>
  <c r="JF234" i="1"/>
  <c r="JF230" i="1"/>
  <c r="IP31" i="1"/>
  <c r="IP30" i="1"/>
  <c r="JS262" i="1"/>
  <c r="JC225" i="1"/>
  <c r="JC224" i="1"/>
  <c r="KA179" i="1"/>
  <c r="KA180" i="1"/>
  <c r="C364" i="1"/>
  <c r="S29" i="40"/>
  <c r="JS252" i="1"/>
  <c r="JS587" i="1"/>
  <c r="JT587" i="1"/>
  <c r="JH36" i="1"/>
  <c r="KB187" i="1"/>
  <c r="KC187" i="1"/>
  <c r="JT670" i="1"/>
  <c r="GT375" i="1"/>
  <c r="IF368" i="1"/>
  <c r="IF366" i="1"/>
  <c r="JS369" i="1"/>
  <c r="JS263" i="1"/>
  <c r="IP17" i="1"/>
  <c r="IG830" i="1"/>
  <c r="IG827" i="1"/>
  <c r="JS648" i="1"/>
  <c r="JY24" i="1"/>
  <c r="JT839" i="1"/>
  <c r="JT635" i="1"/>
  <c r="JT634" i="1"/>
  <c r="IF634" i="1"/>
  <c r="JS635" i="1"/>
  <c r="IF581" i="1"/>
  <c r="JL129" i="1"/>
  <c r="JL125" i="1"/>
  <c r="JS639" i="1"/>
  <c r="IH533" i="1"/>
  <c r="IH532" i="1"/>
  <c r="KB586" i="1"/>
  <c r="KC586" i="1"/>
  <c r="JS586" i="1"/>
  <c r="IF585" i="1"/>
  <c r="JS253" i="1"/>
  <c r="IF251" i="1"/>
  <c r="IZ233" i="1"/>
  <c r="IZ230" i="1"/>
  <c r="IH313" i="1"/>
  <c r="JF129" i="1"/>
  <c r="JF125" i="1"/>
  <c r="IQ234" i="1"/>
  <c r="JB218" i="1"/>
  <c r="JT647" i="1"/>
  <c r="JS647" i="1"/>
  <c r="JT583" i="1"/>
  <c r="F24" i="41"/>
  <c r="F22" i="33"/>
  <c r="KH15" i="1"/>
  <c r="KH56" i="1"/>
  <c r="GS693" i="1"/>
  <c r="JT694" i="1"/>
  <c r="JT693" i="1"/>
  <c r="JS649" i="1"/>
  <c r="IT233" i="1"/>
  <c r="IK233" i="1"/>
  <c r="IK230" i="1"/>
  <c r="JI221" i="1"/>
  <c r="GR275" i="1"/>
  <c r="IF637" i="1"/>
  <c r="IF259" i="1"/>
  <c r="JS261" i="1"/>
  <c r="IN233" i="1"/>
  <c r="IN230" i="1"/>
  <c r="JR313" i="1"/>
  <c r="JR129" i="1"/>
  <c r="JR125" i="1"/>
  <c r="JT594" i="1"/>
  <c r="JS594" i="1"/>
  <c r="S31" i="40"/>
  <c r="IF535" i="1"/>
  <c r="IF538" i="1"/>
  <c r="IW233" i="1"/>
  <c r="IW230" i="1"/>
  <c r="JR221" i="1"/>
  <c r="JR218" i="1"/>
  <c r="JR210" i="1"/>
  <c r="JR549" i="1"/>
  <c r="JR541" i="1"/>
  <c r="IQ233" i="1"/>
  <c r="IQ230" i="1"/>
  <c r="JF222" i="1"/>
  <c r="JF218" i="1"/>
  <c r="IG237" i="1"/>
  <c r="IG236" i="1"/>
  <c r="IG563" i="1"/>
  <c r="KC857" i="1"/>
  <c r="KB856" i="1"/>
  <c r="KC856" i="1"/>
  <c r="JS255" i="1"/>
  <c r="JZ80" i="1"/>
  <c r="JT560" i="1"/>
  <c r="KA176" i="1"/>
  <c r="KA464" i="1"/>
  <c r="JZ19" i="1"/>
  <c r="GR232" i="1"/>
  <c r="GR558" i="1"/>
  <c r="KA507" i="1"/>
  <c r="GQ505" i="1"/>
  <c r="KI44" i="1"/>
  <c r="KI70" i="1"/>
  <c r="JT465" i="1"/>
  <c r="JT132" i="1"/>
  <c r="GS132" i="1"/>
  <c r="KA47" i="1"/>
  <c r="GQ46" i="1"/>
  <c r="KA46" i="1"/>
  <c r="GT160" i="1"/>
  <c r="GT322" i="1"/>
  <c r="JS285" i="1"/>
  <c r="JS58" i="1"/>
  <c r="IG83" i="1"/>
  <c r="S28" i="40"/>
  <c r="IT83" i="1"/>
  <c r="JZ322" i="1"/>
  <c r="JS283" i="1"/>
  <c r="GP273" i="1"/>
  <c r="JZ279" i="1"/>
  <c r="GS41" i="1"/>
  <c r="JT270" i="1"/>
  <c r="JT41" i="1"/>
  <c r="GS267" i="1"/>
  <c r="KB80" i="1"/>
  <c r="GT232" i="1"/>
  <c r="GT558" i="1"/>
  <c r="GS176" i="1"/>
  <c r="KA132" i="1"/>
  <c r="GT47" i="1"/>
  <c r="KB681" i="1"/>
  <c r="KC681" i="1"/>
  <c r="JO36" i="1"/>
  <c r="JO233" i="1"/>
  <c r="JO230" i="1"/>
  <c r="IG152" i="1"/>
  <c r="E10" i="30"/>
  <c r="E31" i="31"/>
  <c r="IG358" i="1"/>
  <c r="IG228" i="1"/>
  <c r="IG227" i="1"/>
  <c r="JO30" i="1"/>
  <c r="JL221" i="1"/>
  <c r="JT598" i="1"/>
  <c r="JS598" i="1"/>
  <c r="GS666" i="1"/>
  <c r="JT667" i="1"/>
  <c r="JT666" i="1"/>
  <c r="JY592" i="1"/>
  <c r="KB592" i="1"/>
  <c r="IK222" i="1"/>
  <c r="IG538" i="1"/>
  <c r="IN234" i="1"/>
  <c r="IH362" i="1"/>
  <c r="IN225" i="1"/>
  <c r="IN224" i="1"/>
  <c r="IH556" i="1"/>
  <c r="IN221" i="1"/>
  <c r="IN218" i="1"/>
  <c r="IH356" i="1"/>
  <c r="IH354" i="1"/>
  <c r="IH248" i="1"/>
  <c r="IH19" i="1"/>
  <c r="IH197" i="1"/>
  <c r="IH526" i="1"/>
  <c r="IH298" i="1"/>
  <c r="C17" i="25"/>
  <c r="C14" i="31"/>
  <c r="E11" i="34"/>
  <c r="G11" i="34"/>
  <c r="D33" i="31"/>
  <c r="IG532" i="1"/>
  <c r="IG202" i="1"/>
  <c r="IG201" i="1"/>
  <c r="JS265" i="1"/>
  <c r="JT265" i="1"/>
  <c r="GS61" i="1"/>
  <c r="JT395" i="1"/>
  <c r="JT61" i="1"/>
  <c r="IH617" i="1"/>
  <c r="JT706" i="1"/>
  <c r="JT705" i="1"/>
  <c r="GS705" i="1"/>
  <c r="KC861" i="1"/>
  <c r="KB860" i="1"/>
  <c r="IH740" i="1"/>
  <c r="IH738" i="1"/>
  <c r="IW221" i="1"/>
  <c r="IW218" i="1"/>
  <c r="IW210" i="1"/>
  <c r="IK221" i="1"/>
  <c r="IG298" i="1"/>
  <c r="KA275" i="1"/>
  <c r="D19" i="19"/>
  <c r="D8" i="19"/>
  <c r="D16" i="31"/>
  <c r="IG354" i="1"/>
  <c r="IG220" i="1"/>
  <c r="IG329" i="1"/>
  <c r="KC277" i="1"/>
  <c r="IH237" i="1"/>
  <c r="IH563" i="1"/>
  <c r="KC78" i="1"/>
  <c r="C12" i="32"/>
  <c r="IQ218" i="1"/>
  <c r="KC133" i="1"/>
  <c r="E27" i="12"/>
  <c r="C20" i="31"/>
  <c r="JT535" i="1"/>
  <c r="JT205" i="1"/>
  <c r="JT204" i="1"/>
  <c r="JT532" i="1"/>
  <c r="JT202" i="1"/>
  <c r="JT201" i="1"/>
  <c r="JS535" i="1"/>
  <c r="JS530" i="1"/>
  <c r="JS538" i="1"/>
  <c r="JS205" i="1"/>
  <c r="JS204" i="1"/>
  <c r="JI233" i="1"/>
  <c r="JI230" i="1"/>
  <c r="JT686" i="1"/>
  <c r="JT685" i="1"/>
  <c r="GS685" i="1"/>
  <c r="JC233" i="1"/>
  <c r="JC230" i="1"/>
  <c r="JC221" i="1"/>
  <c r="JC218" i="1"/>
  <c r="O42" i="40"/>
  <c r="I37" i="40"/>
  <c r="JS175" i="1"/>
  <c r="JS174" i="1"/>
  <c r="JS507" i="1"/>
  <c r="IT225" i="1"/>
  <c r="IT224" i="1"/>
  <c r="IG361" i="1"/>
  <c r="IG234" i="1"/>
  <c r="KB313" i="1"/>
  <c r="IH220" i="1"/>
  <c r="KC87" i="1"/>
  <c r="HG275" i="1"/>
  <c r="IH571" i="1"/>
  <c r="IH569" i="1"/>
  <c r="IH567" i="1"/>
  <c r="IH305" i="1"/>
  <c r="IH288" i="1"/>
  <c r="IH329" i="1"/>
  <c r="IH293" i="1"/>
  <c r="IW17" i="1"/>
  <c r="IQ202" i="1"/>
  <c r="IQ201" i="1"/>
  <c r="JS532" i="1"/>
  <c r="JS202" i="1"/>
  <c r="JS201" i="1"/>
  <c r="IN202" i="1"/>
  <c r="IN201" i="1"/>
  <c r="GS856" i="1"/>
  <c r="JT858" i="1"/>
  <c r="JT856" i="1"/>
  <c r="GS699" i="1"/>
  <c r="JT700" i="1"/>
  <c r="JT699" i="1"/>
  <c r="KC202" i="1"/>
  <c r="KB201" i="1"/>
  <c r="JT703" i="1"/>
  <c r="JT702" i="1"/>
  <c r="JS593" i="1"/>
  <c r="HG592" i="1"/>
  <c r="JT843" i="1"/>
  <c r="JT842" i="1"/>
  <c r="GS842" i="1"/>
  <c r="JT712" i="1"/>
  <c r="IH866" i="1"/>
  <c r="IH712" i="1"/>
  <c r="IK205" i="1"/>
  <c r="IK204" i="1"/>
  <c r="IT234" i="1"/>
  <c r="IT230" i="1"/>
  <c r="G37" i="40"/>
  <c r="K42" i="40"/>
  <c r="IG19" i="1"/>
  <c r="IG197" i="1"/>
  <c r="IG195" i="1"/>
  <c r="IG526" i="1"/>
  <c r="IH83" i="1"/>
  <c r="KC545" i="1"/>
  <c r="KC214" i="1"/>
  <c r="IH719" i="1"/>
  <c r="IH718" i="1"/>
  <c r="IG288" i="1"/>
  <c r="IN97" i="1"/>
  <c r="IN94" i="1"/>
  <c r="KA79" i="1"/>
  <c r="IQ172" i="1"/>
  <c r="IH95" i="1"/>
  <c r="C12" i="12"/>
  <c r="C10" i="12"/>
  <c r="IH500" i="1"/>
  <c r="KC100" i="1"/>
  <c r="G16" i="31"/>
  <c r="G15" i="31"/>
  <c r="C15" i="31"/>
  <c r="JY31" i="1"/>
  <c r="KI21" i="1"/>
  <c r="KI62" i="1"/>
  <c r="KI61" i="1"/>
  <c r="KI52" i="1"/>
  <c r="D12" i="30"/>
  <c r="Q31" i="40"/>
  <c r="D11" i="30"/>
  <c r="S27" i="40"/>
  <c r="S26" i="40"/>
  <c r="E35" i="31"/>
  <c r="S33" i="40"/>
  <c r="D10" i="39"/>
  <c r="D8" i="29"/>
  <c r="IH202" i="1"/>
  <c r="IH201" i="1"/>
  <c r="E30" i="31"/>
  <c r="E12" i="30"/>
  <c r="KC625" i="1"/>
  <c r="KB63" i="1"/>
  <c r="KC201" i="1"/>
  <c r="KA541" i="1"/>
  <c r="KB718" i="1"/>
  <c r="R29" i="40"/>
  <c r="KC234" i="1"/>
  <c r="JS36" i="1"/>
  <c r="Q33" i="40"/>
  <c r="D32" i="31"/>
  <c r="JS329" i="1"/>
  <c r="JT319" i="1"/>
  <c r="KA82" i="1"/>
  <c r="KI42" i="1"/>
  <c r="JZ609" i="1"/>
  <c r="JT47" i="1"/>
  <c r="JT237" i="1"/>
  <c r="JZ184" i="1"/>
  <c r="JZ505" i="1"/>
  <c r="JT416" i="1"/>
  <c r="JT329" i="1"/>
  <c r="KA609" i="1"/>
  <c r="GQ575" i="1"/>
  <c r="KA575" i="1"/>
  <c r="KC141" i="1"/>
  <c r="JS368" i="1"/>
  <c r="IQ31" i="1"/>
  <c r="IQ30" i="1"/>
  <c r="JS634" i="1"/>
  <c r="IQ17" i="1"/>
  <c r="JS637" i="1"/>
  <c r="E33" i="31"/>
  <c r="JS32" i="1"/>
  <c r="I24" i="41"/>
  <c r="JS26" i="1"/>
  <c r="JS22" i="1"/>
  <c r="JS585" i="1"/>
  <c r="D13" i="30"/>
  <c r="C10" i="39"/>
  <c r="D35" i="31"/>
  <c r="F35" i="31"/>
  <c r="C8" i="29"/>
  <c r="KA505" i="1"/>
  <c r="JS56" i="1"/>
  <c r="JT232" i="1"/>
  <c r="IH234" i="1"/>
  <c r="IH361" i="1"/>
  <c r="C17" i="31"/>
  <c r="E13" i="30"/>
  <c r="F16" i="31"/>
  <c r="F15" i="31"/>
  <c r="D15" i="31"/>
  <c r="F19" i="19"/>
  <c r="IH225" i="1"/>
  <c r="IH224" i="1"/>
  <c r="IH555" i="1"/>
  <c r="C13" i="31"/>
  <c r="C16" i="25"/>
  <c r="C13" i="25"/>
  <c r="C11" i="25"/>
  <c r="C9" i="25"/>
  <c r="E10" i="34"/>
  <c r="E13" i="12"/>
  <c r="E11" i="30"/>
  <c r="JT36" i="1"/>
  <c r="D34" i="32"/>
  <c r="IH616" i="1"/>
  <c r="IH538" i="1"/>
  <c r="JS275" i="1"/>
  <c r="KB275" i="1"/>
  <c r="KC275" i="1"/>
  <c r="R33" i="40"/>
  <c r="C12" i="30"/>
  <c r="H12" i="30"/>
  <c r="B12" i="30"/>
  <c r="C33" i="31"/>
  <c r="B10" i="39"/>
  <c r="D8" i="30"/>
  <c r="Q27" i="40"/>
  <c r="R27" i="40"/>
  <c r="H32" i="31"/>
  <c r="KI67" i="1"/>
  <c r="KI66" i="1"/>
  <c r="KI41" i="1"/>
  <c r="D29" i="31"/>
  <c r="D31" i="31"/>
  <c r="D10" i="30"/>
  <c r="C13" i="30"/>
  <c r="C35" i="31"/>
  <c r="G35" i="31"/>
  <c r="B8" i="29"/>
  <c r="B13" i="30"/>
  <c r="Q29" i="40"/>
  <c r="Q30" i="40"/>
  <c r="G10" i="34"/>
  <c r="G7" i="34"/>
  <c r="G6" i="34"/>
  <c r="G5" i="34"/>
  <c r="E7" i="34"/>
  <c r="E6" i="34"/>
  <c r="E5" i="34"/>
  <c r="E9" i="30"/>
  <c r="E11" i="18"/>
  <c r="E29" i="31"/>
  <c r="D8" i="39"/>
  <c r="D7" i="29"/>
  <c r="D6" i="29"/>
  <c r="C10" i="31"/>
  <c r="C8" i="31"/>
  <c r="C23" i="31"/>
  <c r="E12" i="12"/>
  <c r="R31" i="40"/>
  <c r="T31" i="40"/>
  <c r="C29" i="31"/>
  <c r="C8" i="30"/>
  <c r="B8" i="30"/>
  <c r="D10" i="38"/>
  <c r="R30" i="40"/>
  <c r="C8" i="39"/>
  <c r="D7" i="18"/>
  <c r="F7" i="18"/>
  <c r="E38" i="31"/>
  <c r="E37" i="31"/>
  <c r="E12" i="18"/>
  <c r="B10" i="38"/>
  <c r="C38" i="31"/>
  <c r="B11" i="30"/>
  <c r="C11" i="30"/>
  <c r="C32" i="31"/>
  <c r="C31" i="31"/>
  <c r="B10" i="30"/>
  <c r="C10" i="30"/>
  <c r="D30" i="31"/>
  <c r="D8" i="38"/>
  <c r="E8" i="30"/>
  <c r="H8" i="30"/>
  <c r="D11" i="18"/>
  <c r="Q28" i="40"/>
  <c r="U28" i="40"/>
  <c r="B7" i="18"/>
  <c r="B3" i="35"/>
  <c r="E10" i="12"/>
  <c r="R28" i="40"/>
  <c r="C7" i="29"/>
  <c r="D9" i="30"/>
  <c r="C11" i="18"/>
  <c r="C8" i="38"/>
  <c r="E61" i="12"/>
  <c r="E62" i="12"/>
  <c r="E60" i="12"/>
  <c r="C3" i="35"/>
  <c r="B5" i="35"/>
  <c r="C4" i="35"/>
  <c r="B6" i="18"/>
  <c r="B7" i="29"/>
  <c r="C30" i="31"/>
  <c r="B9" i="30"/>
  <c r="B8" i="39"/>
  <c r="C9" i="30"/>
  <c r="B8" i="38"/>
  <c r="D25" i="25"/>
  <c r="C12" i="18"/>
  <c r="D38" i="31"/>
  <c r="C10" i="38"/>
  <c r="D23" i="25"/>
  <c r="JT538" i="1"/>
  <c r="JT530" i="1"/>
  <c r="JR538" i="1"/>
  <c r="JQ538" i="1"/>
  <c r="JP538" i="1"/>
  <c r="JO538" i="1"/>
  <c r="JN538" i="1"/>
  <c r="JM538" i="1"/>
  <c r="JL538" i="1"/>
  <c r="JK538" i="1"/>
  <c r="JJ538" i="1"/>
  <c r="JI538" i="1"/>
  <c r="JH538" i="1"/>
  <c r="JG538" i="1"/>
  <c r="JF538" i="1"/>
  <c r="JE538" i="1"/>
  <c r="JD538" i="1"/>
  <c r="JC538" i="1"/>
  <c r="JB538" i="1"/>
  <c r="JA538" i="1"/>
  <c r="IZ538" i="1"/>
  <c r="IY538" i="1"/>
  <c r="IX538" i="1"/>
  <c r="IW538" i="1"/>
  <c r="IV538" i="1"/>
  <c r="IU538" i="1"/>
  <c r="IT538" i="1"/>
  <c r="IS538" i="1"/>
  <c r="IR538" i="1"/>
  <c r="IN538" i="1"/>
  <c r="IM538" i="1"/>
  <c r="IL538" i="1"/>
  <c r="IJ538" i="1"/>
  <c r="II538" i="1"/>
  <c r="IE538" i="1"/>
  <c r="IC538" i="1"/>
  <c r="IB538" i="1"/>
  <c r="IA538" i="1"/>
  <c r="HZ538" i="1"/>
  <c r="HY538" i="1"/>
  <c r="HX538" i="1"/>
  <c r="HW538" i="1"/>
  <c r="HV538" i="1"/>
  <c r="HU538" i="1"/>
  <c r="HT538" i="1"/>
  <c r="HS538" i="1"/>
  <c r="HR538" i="1"/>
  <c r="HQ538" i="1"/>
  <c r="HP538" i="1"/>
  <c r="HO538" i="1"/>
  <c r="HN538" i="1"/>
  <c r="HM538" i="1"/>
  <c r="KC538" i="1"/>
  <c r="HH538" i="1"/>
  <c r="HN662" i="1"/>
  <c r="HO721" i="1"/>
  <c r="KB708" i="1"/>
  <c r="KC708" i="1"/>
  <c r="HO664" i="1"/>
  <c r="HG34" i="1"/>
  <c r="HG26" i="1"/>
  <c r="HG33" i="1"/>
  <c r="HG32" i="1"/>
  <c r="HG31" i="1"/>
  <c r="HO242" i="1"/>
  <c r="JY23" i="1"/>
  <c r="IS768" i="1"/>
  <c r="IH716" i="1"/>
  <c r="IT711" i="1"/>
  <c r="IT691" i="1"/>
  <c r="IT702" i="1"/>
  <c r="IS702" i="1"/>
  <c r="IR662" i="1"/>
  <c r="IT685" i="1"/>
  <c r="IH686" i="1"/>
  <c r="IH685" i="1"/>
  <c r="IS664" i="1"/>
  <c r="IS662" i="1"/>
  <c r="IS685" i="1"/>
  <c r="IG648" i="1"/>
  <c r="IF33" i="1"/>
  <c r="IT646" i="1"/>
  <c r="IT645" i="1"/>
  <c r="IT641" i="1"/>
  <c r="IR632" i="1"/>
  <c r="IR630" i="1"/>
  <c r="IR628" i="1"/>
  <c r="IG639" i="1"/>
  <c r="IF23" i="1"/>
  <c r="IT637" i="1"/>
  <c r="IT22" i="1"/>
  <c r="IG638" i="1"/>
  <c r="IT634" i="1"/>
  <c r="IG635" i="1"/>
  <c r="IT84" i="1"/>
  <c r="IT82" i="1"/>
  <c r="IT621" i="1"/>
  <c r="IT619" i="1"/>
  <c r="IS621" i="1"/>
  <c r="IS619" i="1"/>
  <c r="IS609" i="1"/>
  <c r="IS575" i="1"/>
  <c r="IG623" i="1"/>
  <c r="IR609" i="1"/>
  <c r="IR575" i="1"/>
  <c r="IT614" i="1"/>
  <c r="IT598" i="1"/>
  <c r="IF36" i="1"/>
  <c r="IG595" i="1"/>
  <c r="IT592" i="1"/>
  <c r="IG594" i="1"/>
  <c r="IF32" i="1"/>
  <c r="IH593" i="1"/>
  <c r="IF31" i="1"/>
  <c r="IT588" i="1"/>
  <c r="IT587" i="1"/>
  <c r="IF22" i="1"/>
  <c r="IT17" i="1"/>
  <c r="IG582" i="1"/>
  <c r="IF17" i="1"/>
  <c r="IT222" i="1"/>
  <c r="IG553" i="1"/>
  <c r="IG549" i="1"/>
  <c r="IT221" i="1"/>
  <c r="IT549" i="1"/>
  <c r="IT212" i="1"/>
  <c r="IT543" i="1"/>
  <c r="IT536" i="1"/>
  <c r="IS535" i="1"/>
  <c r="IS530" i="1"/>
  <c r="IT193" i="1"/>
  <c r="IS172" i="1"/>
  <c r="IT191" i="1"/>
  <c r="IG522" i="1"/>
  <c r="IT189" i="1"/>
  <c r="IT187" i="1"/>
  <c r="IT498" i="1"/>
  <c r="IT496" i="1"/>
  <c r="IT493" i="1"/>
  <c r="IT160" i="1"/>
  <c r="IT158" i="1"/>
  <c r="IH489" i="1"/>
  <c r="IT153" i="1"/>
  <c r="IG486" i="1"/>
  <c r="IT152" i="1"/>
  <c r="IT482" i="1"/>
  <c r="IT151" i="1"/>
  <c r="IG484" i="1"/>
  <c r="IG151" i="1"/>
  <c r="IT147" i="1"/>
  <c r="IG480" i="1"/>
  <c r="IG147" i="1"/>
  <c r="IT478" i="1"/>
  <c r="IT477" i="1"/>
  <c r="IT472" i="1"/>
  <c r="IT470" i="1"/>
  <c r="IT134" i="1"/>
  <c r="IT462" i="1"/>
  <c r="IT448" i="1"/>
  <c r="IT444" i="1"/>
  <c r="IT113" i="1"/>
  <c r="IR437" i="1"/>
  <c r="IR364" i="1"/>
  <c r="IG446" i="1"/>
  <c r="IT439" i="1"/>
  <c r="IT107" i="1"/>
  <c r="IT106" i="1"/>
  <c r="IG440" i="1"/>
  <c r="IG107" i="1"/>
  <c r="IT425" i="1"/>
  <c r="IT414" i="1"/>
  <c r="IT75" i="1"/>
  <c r="IG409" i="1"/>
  <c r="IG75" i="1"/>
  <c r="IT408" i="1"/>
  <c r="IT406" i="1"/>
  <c r="IT70" i="1"/>
  <c r="IG404" i="1"/>
  <c r="IG70" i="1"/>
  <c r="IT403" i="1"/>
  <c r="IT401" i="1"/>
  <c r="IH402" i="1"/>
  <c r="IT68" i="1"/>
  <c r="IG402" i="1"/>
  <c r="IG68" i="1"/>
  <c r="IT395" i="1"/>
  <c r="IT384" i="1"/>
  <c r="IT369" i="1"/>
  <c r="IS368" i="1"/>
  <c r="IS366" i="1"/>
  <c r="IT358" i="1"/>
  <c r="IT347" i="1"/>
  <c r="IT228" i="1"/>
  <c r="IT227" i="1"/>
  <c r="IT57" i="1"/>
  <c r="IG284" i="1"/>
  <c r="IG57" i="1"/>
  <c r="IT54" i="1"/>
  <c r="IG281" i="1"/>
  <c r="IT280" i="1"/>
  <c r="IT53" i="1"/>
  <c r="IT34" i="1"/>
  <c r="IT262" i="1"/>
  <c r="IT259" i="1"/>
  <c r="IT32" i="1"/>
  <c r="IG261" i="1"/>
  <c r="IT255" i="1"/>
  <c r="IT253" i="1"/>
  <c r="IT251" i="1"/>
  <c r="IT244" i="1"/>
  <c r="IH252" i="1"/>
  <c r="IS251" i="1"/>
  <c r="IS244" i="1"/>
  <c r="IS246" i="1"/>
  <c r="S40" i="12"/>
  <c r="S38" i="12"/>
  <c r="S34" i="12"/>
  <c r="AH34" i="12"/>
  <c r="S29" i="12"/>
  <c r="AH29" i="12"/>
  <c r="W13" i="12"/>
  <c r="W12" i="12"/>
  <c r="W10" i="12"/>
  <c r="AG27" i="12"/>
  <c r="S17" i="12"/>
  <c r="AG17" i="12"/>
  <c r="AG15" i="12"/>
  <c r="K12" i="13"/>
  <c r="D37" i="31"/>
  <c r="JT866" i="1"/>
  <c r="JT863" i="1"/>
  <c r="JX669" i="1"/>
  <c r="JX664" i="1"/>
  <c r="JR677" i="1"/>
  <c r="IG677" i="1"/>
  <c r="HG676" i="1"/>
  <c r="HG669" i="1"/>
  <c r="HG664" i="1"/>
  <c r="GT676" i="1"/>
  <c r="KA676" i="1"/>
  <c r="KA678" i="1"/>
  <c r="KB678" i="1"/>
  <c r="KC678" i="1"/>
  <c r="JS678" i="1"/>
  <c r="JR675" i="1"/>
  <c r="IH675" i="1"/>
  <c r="IG675" i="1"/>
  <c r="IG679" i="1"/>
  <c r="JQ669" i="1"/>
  <c r="JQ664" i="1"/>
  <c r="JQ662" i="1"/>
  <c r="JR679" i="1"/>
  <c r="IH679" i="1"/>
  <c r="IT669" i="1"/>
  <c r="IT664" i="1"/>
  <c r="IT662" i="1"/>
  <c r="JO669" i="1"/>
  <c r="JO664" i="1"/>
  <c r="JC669" i="1"/>
  <c r="IW669" i="1"/>
  <c r="IW664" i="1"/>
  <c r="GQ669" i="1"/>
  <c r="GQ664" i="1"/>
  <c r="IZ669" i="1"/>
  <c r="IZ664" i="1"/>
  <c r="IN669" i="1"/>
  <c r="IN664" i="1"/>
  <c r="IK669" i="1"/>
  <c r="IK664" i="1"/>
  <c r="IK662" i="1"/>
  <c r="IH670" i="1"/>
  <c r="IJ83" i="1"/>
  <c r="IJ82" i="1"/>
  <c r="JI669" i="1"/>
  <c r="G8" i="30"/>
  <c r="I8" i="30"/>
  <c r="HO662" i="1"/>
  <c r="G30" i="33"/>
  <c r="G29" i="33"/>
  <c r="G28" i="33"/>
  <c r="IG634" i="1"/>
  <c r="G32" i="41"/>
  <c r="I32" i="41"/>
  <c r="IG621" i="1"/>
  <c r="IG619" i="1"/>
  <c r="IG84" i="1"/>
  <c r="IG82" i="1"/>
  <c r="IT613" i="1"/>
  <c r="IT611" i="1"/>
  <c r="IT609" i="1"/>
  <c r="IT36" i="1"/>
  <c r="IH588" i="1"/>
  <c r="IT24" i="1"/>
  <c r="G23" i="41"/>
  <c r="IG581" i="1"/>
  <c r="G21" i="33"/>
  <c r="IT535" i="1"/>
  <c r="IT530" i="1"/>
  <c r="IT205" i="1"/>
  <c r="IT204" i="1"/>
  <c r="IT199" i="1"/>
  <c r="IG191" i="1"/>
  <c r="IT165" i="1"/>
  <c r="IT163" i="1"/>
  <c r="IH496" i="1"/>
  <c r="IH156" i="1"/>
  <c r="IH478" i="1"/>
  <c r="IH145" i="1"/>
  <c r="IT145" i="1"/>
  <c r="IT137" i="1"/>
  <c r="IT129" i="1"/>
  <c r="IT125" i="1"/>
  <c r="IT458" i="1"/>
  <c r="IH448" i="1"/>
  <c r="IH115" i="1"/>
  <c r="IG113" i="1"/>
  <c r="IT92" i="1"/>
  <c r="IT86" i="1"/>
  <c r="IT419" i="1"/>
  <c r="IT80" i="1"/>
  <c r="IH414" i="1"/>
  <c r="IH80" i="1"/>
  <c r="IT74" i="1"/>
  <c r="IH408" i="1"/>
  <c r="IH74" i="1"/>
  <c r="IT69" i="1"/>
  <c r="IT67" i="1"/>
  <c r="IH68" i="1"/>
  <c r="IT61" i="1"/>
  <c r="IT380" i="1"/>
  <c r="IT50" i="1"/>
  <c r="IT46" i="1"/>
  <c r="IH384" i="1"/>
  <c r="IH50" i="1"/>
  <c r="IT368" i="1"/>
  <c r="IT366" i="1"/>
  <c r="IH262" i="1"/>
  <c r="IT33" i="1"/>
  <c r="IT26" i="1"/>
  <c r="IH253" i="1"/>
  <c r="IT23" i="1"/>
  <c r="AH40" i="12"/>
  <c r="S27" i="12"/>
  <c r="E13" i="31"/>
  <c r="S15" i="12"/>
  <c r="I8" i="36"/>
  <c r="AH17" i="12"/>
  <c r="E10" i="19"/>
  <c r="S63" i="12"/>
  <c r="JS676" i="1"/>
  <c r="KB676" i="1"/>
  <c r="I30" i="33"/>
  <c r="S13" i="40"/>
  <c r="U13" i="40"/>
  <c r="E11" i="31"/>
  <c r="G10" i="19"/>
  <c r="E8" i="19"/>
  <c r="G8" i="19"/>
  <c r="F10" i="19"/>
  <c r="G11" i="31"/>
  <c r="HX609" i="1"/>
  <c r="HX575" i="1"/>
  <c r="KC101" i="1"/>
  <c r="KB182" i="1"/>
  <c r="KC182" i="1"/>
  <c r="KC451" i="1"/>
  <c r="KC439" i="1"/>
  <c r="JX75" i="1"/>
  <c r="HG378" i="1"/>
  <c r="HX378" i="1"/>
  <c r="HX364" i="1"/>
  <c r="HX14" i="1"/>
  <c r="KC719" i="1"/>
  <c r="JS719" i="1"/>
  <c r="JS718" i="1"/>
  <c r="HY575" i="1"/>
  <c r="KB358" i="1"/>
  <c r="KC358" i="1"/>
  <c r="HY16" i="1"/>
  <c r="HY14" i="1"/>
  <c r="IH689" i="1"/>
  <c r="IH688" i="1"/>
  <c r="JI688" i="1"/>
  <c r="JI664" i="1"/>
  <c r="JI26" i="1"/>
  <c r="JI634" i="1"/>
  <c r="JI17" i="1"/>
  <c r="JI621" i="1"/>
  <c r="JI619" i="1"/>
  <c r="JI84" i="1"/>
  <c r="JI82" i="1"/>
  <c r="JG609" i="1"/>
  <c r="JG575" i="1"/>
  <c r="JH621" i="1"/>
  <c r="JH619" i="1"/>
  <c r="JH609" i="1"/>
  <c r="JH575" i="1"/>
  <c r="JI613" i="1"/>
  <c r="JI611" i="1"/>
  <c r="JI23" i="1"/>
  <c r="JG541" i="1"/>
  <c r="JG210" i="1"/>
  <c r="JI536" i="1"/>
  <c r="JI172" i="1"/>
  <c r="JH172" i="1"/>
  <c r="JG437" i="1"/>
  <c r="JI369" i="1"/>
  <c r="JI368" i="1"/>
  <c r="JI366" i="1"/>
  <c r="JS18" i="1"/>
  <c r="IF18" i="1"/>
  <c r="JI358" i="1"/>
  <c r="JI347" i="1"/>
  <c r="IH359" i="1"/>
  <c r="JI228" i="1"/>
  <c r="JI227" i="1"/>
  <c r="IH251" i="1"/>
  <c r="JG14" i="1"/>
  <c r="JH246" i="1"/>
  <c r="AB13" i="12"/>
  <c r="E15" i="25"/>
  <c r="I8" i="34"/>
  <c r="J12" i="13"/>
  <c r="J10" i="13"/>
  <c r="AB12" i="12"/>
  <c r="AB10" i="12"/>
  <c r="AG24" i="12"/>
  <c r="AG23" i="12"/>
  <c r="AG21" i="12"/>
  <c r="E8" i="29"/>
  <c r="JT586" i="1"/>
  <c r="GP155" i="1"/>
  <c r="JZ155" i="1"/>
  <c r="EX240" i="1"/>
  <c r="AP167" i="1"/>
  <c r="JY160" i="1"/>
  <c r="JQ308" i="1"/>
  <c r="CQ240" i="1"/>
  <c r="DI242" i="1"/>
  <c r="EI242" i="1"/>
  <c r="EI240" i="1"/>
  <c r="EQ242" i="1"/>
  <c r="BS240" i="1"/>
  <c r="GM155" i="1"/>
  <c r="DU155" i="1"/>
  <c r="CD104" i="1"/>
  <c r="HB240" i="1"/>
  <c r="FK240" i="1"/>
  <c r="ER240" i="1"/>
  <c r="EZ242" i="1"/>
  <c r="FH242" i="1"/>
  <c r="FH240" i="1"/>
  <c r="V155" i="1"/>
  <c r="HH308" i="1"/>
  <c r="IX104" i="1"/>
  <c r="CG242" i="1"/>
  <c r="CG240" i="1"/>
  <c r="BE242" i="1"/>
  <c r="EV242" i="1"/>
  <c r="FI155" i="1"/>
  <c r="DI155" i="1"/>
  <c r="X242" i="1"/>
  <c r="X240" i="1"/>
  <c r="JX308" i="1"/>
  <c r="EV77" i="1"/>
  <c r="CJ77" i="1"/>
  <c r="BT308" i="1"/>
  <c r="BT242" i="1"/>
  <c r="BT240" i="1"/>
  <c r="BF77" i="1"/>
  <c r="AW104" i="1"/>
  <c r="AF77" i="1"/>
  <c r="V72" i="1"/>
  <c r="V77" i="1"/>
  <c r="Q273" i="1"/>
  <c r="O273" i="1"/>
  <c r="EG104" i="1"/>
  <c r="FP44" i="1"/>
  <c r="DK77" i="1"/>
  <c r="CQ77" i="1"/>
  <c r="BM77" i="1"/>
  <c r="BG77" i="1"/>
  <c r="AT273" i="1"/>
  <c r="AQ273" i="1"/>
  <c r="Z242" i="1"/>
  <c r="Z240" i="1"/>
  <c r="IR240" i="1"/>
  <c r="FE242" i="1"/>
  <c r="FE240" i="1"/>
  <c r="GC308" i="1"/>
  <c r="FO308" i="1"/>
  <c r="DA72" i="1"/>
  <c r="K77" i="1"/>
  <c r="BZ44" i="1"/>
  <c r="BK77" i="1"/>
  <c r="BJ273" i="1"/>
  <c r="BJ242" i="1"/>
  <c r="BJ240" i="1"/>
  <c r="BC77" i="1"/>
  <c r="AR273" i="1"/>
  <c r="AE77" i="1"/>
  <c r="AD104" i="1"/>
  <c r="AE273" i="1"/>
  <c r="AC273" i="1"/>
  <c r="V273" i="1"/>
  <c r="II242" i="1"/>
  <c r="II240" i="1"/>
  <c r="BO240" i="1"/>
  <c r="EH240" i="1"/>
  <c r="GJ72" i="1"/>
  <c r="GD72" i="1"/>
  <c r="GD44" i="1"/>
  <c r="GB72" i="1"/>
  <c r="FU72" i="1"/>
  <c r="FU44" i="1"/>
  <c r="FO72" i="1"/>
  <c r="FL77" i="1"/>
  <c r="EW77" i="1"/>
  <c r="ET240" i="1"/>
  <c r="EF72" i="1"/>
  <c r="EE72" i="1"/>
  <c r="EE44" i="1"/>
  <c r="EE12" i="1"/>
  <c r="EC72" i="1"/>
  <c r="DX72" i="1"/>
  <c r="DQ72" i="1"/>
  <c r="JM72" i="1"/>
  <c r="GO72" i="1"/>
  <c r="EY242" i="1"/>
  <c r="GK72" i="1"/>
  <c r="GE72" i="1"/>
  <c r="FQ44" i="1"/>
  <c r="FM72" i="1"/>
  <c r="FG44" i="1"/>
  <c r="EY72" i="1"/>
  <c r="EN72" i="1"/>
  <c r="EL72" i="1"/>
  <c r="EL104" i="1"/>
  <c r="EJ308" i="1"/>
  <c r="EJ242" i="1"/>
  <c r="EI72" i="1"/>
  <c r="DR72" i="1"/>
  <c r="DR44" i="1"/>
  <c r="DR12" i="1"/>
  <c r="DR660" i="1"/>
  <c r="DR658" i="1"/>
  <c r="DR10" i="1"/>
  <c r="DP77" i="1"/>
  <c r="DL72" i="1"/>
  <c r="GX72" i="1"/>
  <c r="GI72" i="1"/>
  <c r="FW72" i="1"/>
  <c r="FO44" i="1"/>
  <c r="ET72" i="1"/>
  <c r="EO72" i="1"/>
  <c r="EG242" i="1"/>
  <c r="DV72" i="1"/>
  <c r="DN72" i="1"/>
  <c r="AT104" i="1"/>
  <c r="GO308" i="1"/>
  <c r="GE44" i="1"/>
  <c r="EZ72" i="1"/>
  <c r="ES72" i="1"/>
  <c r="DZ72" i="1"/>
  <c r="DG308" i="1"/>
  <c r="DK72" i="1"/>
  <c r="DH77" i="1"/>
  <c r="DG72" i="1"/>
  <c r="DB308" i="1"/>
  <c r="DB242" i="1"/>
  <c r="DB240" i="1"/>
  <c r="CV155" i="1"/>
  <c r="CW308" i="1"/>
  <c r="CW242" i="1"/>
  <c r="CW240" i="1"/>
  <c r="CR72" i="1"/>
  <c r="CR44" i="1"/>
  <c r="CP72" i="1"/>
  <c r="CQ155" i="1"/>
  <c r="CQ104" i="1"/>
  <c r="CN77" i="1"/>
  <c r="CN44" i="1"/>
  <c r="CL77" i="1"/>
  <c r="CL308" i="1"/>
  <c r="CL242" i="1"/>
  <c r="CL240" i="1"/>
  <c r="CJ72" i="1"/>
  <c r="CH72" i="1"/>
  <c r="CI308" i="1"/>
  <c r="CI242" i="1"/>
  <c r="CG72" i="1"/>
  <c r="CE77" i="1"/>
  <c r="CE44" i="1"/>
  <c r="CE308" i="1"/>
  <c r="CE242" i="1"/>
  <c r="CE240" i="1"/>
  <c r="CC308" i="1"/>
  <c r="CC242" i="1"/>
  <c r="CC240" i="1"/>
  <c r="CA72" i="1"/>
  <c r="CA44" i="1"/>
  <c r="CA12" i="1"/>
  <c r="BX308" i="1"/>
  <c r="BX242" i="1"/>
  <c r="BX240" i="1"/>
  <c r="BV72" i="1"/>
  <c r="BU308" i="1"/>
  <c r="BS77" i="1"/>
  <c r="BQ72" i="1"/>
  <c r="BQ44" i="1"/>
  <c r="BP308" i="1"/>
  <c r="BP242" i="1"/>
  <c r="BP240" i="1"/>
  <c r="BN77" i="1"/>
  <c r="BL72" i="1"/>
  <c r="BJ72" i="1"/>
  <c r="BJ44" i="1"/>
  <c r="BI72" i="1"/>
  <c r="BI308" i="1"/>
  <c r="BG72" i="1"/>
  <c r="AZ155" i="1"/>
  <c r="AZ104" i="1"/>
  <c r="AU242" i="1"/>
  <c r="AU240" i="1"/>
  <c r="AV77" i="1"/>
  <c r="AS139" i="1"/>
  <c r="AQ72" i="1"/>
  <c r="AQ167" i="1"/>
  <c r="AO72" i="1"/>
  <c r="AJ72" i="1"/>
  <c r="AH155" i="1"/>
  <c r="AI308" i="1"/>
  <c r="AA72" i="1"/>
  <c r="W72" i="1"/>
  <c r="T155" i="1"/>
  <c r="P72" i="1"/>
  <c r="P155" i="1"/>
  <c r="Q308" i="1"/>
  <c r="O72" i="1"/>
  <c r="O308" i="1"/>
  <c r="L155" i="1"/>
  <c r="G72" i="1"/>
  <c r="F308" i="1"/>
  <c r="E72" i="1"/>
  <c r="E44" i="1"/>
  <c r="IB308" i="1"/>
  <c r="CK72" i="1"/>
  <c r="BY104" i="1"/>
  <c r="BB104" i="1"/>
  <c r="AA44" i="1"/>
  <c r="T77" i="1"/>
  <c r="R77" i="1"/>
  <c r="P44" i="1"/>
  <c r="M155" i="1"/>
  <c r="AL44" i="1"/>
  <c r="HT308" i="1"/>
  <c r="IF79" i="1"/>
  <c r="DF72" i="1"/>
  <c r="BZ104" i="1"/>
  <c r="BX72" i="1"/>
  <c r="BX44" i="1"/>
  <c r="BX12" i="1"/>
  <c r="BP72" i="1"/>
  <c r="BP44" i="1"/>
  <c r="BP12" i="1"/>
  <c r="BF72" i="1"/>
  <c r="BF44" i="1"/>
  <c r="R240" i="1"/>
  <c r="AR72" i="1"/>
  <c r="AP72" i="1"/>
  <c r="AN72" i="1"/>
  <c r="AH72" i="1"/>
  <c r="AG72" i="1"/>
  <c r="AG44" i="1"/>
  <c r="AE72" i="1"/>
  <c r="K72" i="1"/>
  <c r="I72" i="1"/>
  <c r="I44" i="1"/>
  <c r="EW111" i="1"/>
  <c r="EV240" i="1"/>
  <c r="FJ240" i="1"/>
  <c r="HY240" i="1"/>
  <c r="BW240" i="1"/>
  <c r="JR427" i="1"/>
  <c r="JR378" i="1"/>
  <c r="JR364" i="1"/>
  <c r="JR100" i="1"/>
  <c r="IH433" i="1"/>
  <c r="IH100" i="1"/>
  <c r="HW94" i="1"/>
  <c r="FI240" i="1"/>
  <c r="DC240" i="1"/>
  <c r="CT240" i="1"/>
  <c r="EZ240" i="1"/>
  <c r="EY240" i="1"/>
  <c r="CH378" i="1"/>
  <c r="CH364" i="1"/>
  <c r="HO240" i="1"/>
  <c r="GZ240" i="1"/>
  <c r="JQ94" i="1"/>
  <c r="HM94" i="1"/>
  <c r="CO240" i="1"/>
  <c r="FA240" i="1"/>
  <c r="EU364" i="1"/>
  <c r="EU240" i="1"/>
  <c r="O44" i="1"/>
  <c r="BL240" i="1"/>
  <c r="DR240" i="1"/>
  <c r="DE240" i="1"/>
  <c r="BQ240" i="1"/>
  <c r="BE240" i="1"/>
  <c r="EJ364" i="1"/>
  <c r="EC44" i="1"/>
  <c r="EC12" i="1"/>
  <c r="CI364" i="1"/>
  <c r="AA240" i="1"/>
  <c r="AB44" i="1"/>
  <c r="IL94" i="1"/>
  <c r="IR94" i="1"/>
  <c r="EQ240" i="1"/>
  <c r="EG240" i="1"/>
  <c r="AK240" i="1"/>
  <c r="EU106" i="1"/>
  <c r="F29" i="31"/>
  <c r="H33" i="31"/>
  <c r="D29" i="32"/>
  <c r="D28" i="32"/>
  <c r="E33" i="32"/>
  <c r="E32" i="32"/>
  <c r="F11" i="30"/>
  <c r="GP165" i="1"/>
  <c r="JZ165" i="1"/>
  <c r="GT498" i="1"/>
  <c r="GT165" i="1"/>
  <c r="GT384" i="1"/>
  <c r="JT50" i="1"/>
  <c r="JZ543" i="1"/>
  <c r="EJ240" i="1"/>
  <c r="GP543" i="1"/>
  <c r="GP541" i="1"/>
  <c r="JZ541" i="1"/>
  <c r="HG582" i="1"/>
  <c r="EG21" i="1"/>
  <c r="EG14" i="1"/>
  <c r="HG601" i="1"/>
  <c r="HG600" i="1"/>
  <c r="GT351" i="1"/>
  <c r="HG351" i="1"/>
  <c r="GR351" i="1"/>
  <c r="KG64" i="1"/>
  <c r="KG25" i="1"/>
  <c r="KJ25" i="1"/>
  <c r="KJ64" i="1"/>
  <c r="JT268" i="1"/>
  <c r="JT267" i="1"/>
  <c r="EF242" i="1"/>
  <c r="EF240" i="1"/>
  <c r="JS268" i="1"/>
  <c r="JS267" i="1"/>
  <c r="GP39" i="1"/>
  <c r="KB267" i="1"/>
  <c r="KC267" i="1"/>
  <c r="GQ17" i="1"/>
  <c r="KI14" i="1"/>
  <c r="KA247" i="1"/>
  <c r="GR247" i="1"/>
  <c r="HG643" i="1"/>
  <c r="JS643" i="1"/>
  <c r="KH20" i="1"/>
  <c r="AQ44" i="1"/>
  <c r="FI72" i="1"/>
  <c r="FF44" i="1"/>
  <c r="EQ72" i="1"/>
  <c r="U72" i="1"/>
  <c r="HT72" i="1"/>
  <c r="FR72" i="1"/>
  <c r="FR44" i="1"/>
  <c r="DU72" i="1"/>
  <c r="DU44" i="1"/>
  <c r="ED72" i="1"/>
  <c r="GR293" i="1"/>
  <c r="DE44" i="1"/>
  <c r="FJ67" i="1"/>
  <c r="FJ44" i="1"/>
  <c r="EN67" i="1"/>
  <c r="BY12" i="1"/>
  <c r="BL67" i="1"/>
  <c r="BL44" i="1"/>
  <c r="BL12" i="1"/>
  <c r="AC44" i="1"/>
  <c r="EF44" i="1"/>
  <c r="BI242" i="1"/>
  <c r="BI240" i="1"/>
  <c r="IB273" i="1"/>
  <c r="ED67" i="1"/>
  <c r="ED44" i="1"/>
  <c r="JD44" i="1"/>
  <c r="HF44" i="1"/>
  <c r="HV44" i="1"/>
  <c r="HY44" i="1"/>
  <c r="HH104" i="1"/>
  <c r="HL104" i="1"/>
  <c r="HJ104" i="1"/>
  <c r="HC44" i="1"/>
  <c r="HF273" i="1"/>
  <c r="HF242" i="1"/>
  <c r="HF240" i="1"/>
  <c r="GA242" i="1"/>
  <c r="GA240" i="1"/>
  <c r="EL77" i="1"/>
  <c r="AG242" i="1"/>
  <c r="AG240" i="1"/>
  <c r="AR139" i="1"/>
  <c r="M77" i="1"/>
  <c r="HO44" i="1"/>
  <c r="HK44" i="1"/>
  <c r="FL155" i="1"/>
  <c r="FJ155" i="1"/>
  <c r="AU155" i="1"/>
  <c r="AI155" i="1"/>
  <c r="AI104" i="1"/>
  <c r="KB298" i="1"/>
  <c r="HQ104" i="1"/>
  <c r="EN167" i="1"/>
  <c r="EK44" i="1"/>
  <c r="AH104" i="1"/>
  <c r="G77" i="1"/>
  <c r="F155" i="1"/>
  <c r="BY242" i="1"/>
  <c r="BY240" i="1"/>
  <c r="FN44" i="1"/>
  <c r="EM77" i="1"/>
  <c r="DZ308" i="1"/>
  <c r="DZ242" i="1"/>
  <c r="DZ240" i="1"/>
  <c r="DW308" i="1"/>
  <c r="DW242" i="1"/>
  <c r="DW240" i="1"/>
  <c r="AU104" i="1"/>
  <c r="AM155" i="1"/>
  <c r="G155" i="1"/>
  <c r="HW44" i="1"/>
  <c r="GQ273" i="1"/>
  <c r="KI28" i="1"/>
  <c r="KI68" i="1"/>
  <c r="GR168" i="1"/>
  <c r="GR167" i="1"/>
  <c r="HI44" i="1"/>
  <c r="GQ149" i="1"/>
  <c r="KA149" i="1"/>
  <c r="GQ106" i="1"/>
  <c r="KA106" i="1"/>
  <c r="KB303" i="1"/>
  <c r="IN67" i="1"/>
  <c r="JM104" i="1"/>
  <c r="GT293" i="1"/>
  <c r="GR92" i="1"/>
  <c r="GV242" i="1"/>
  <c r="GV240" i="1"/>
  <c r="GW242" i="1"/>
  <c r="GW240" i="1"/>
  <c r="HA242" i="1"/>
  <c r="HA240" i="1"/>
  <c r="HE242" i="1"/>
  <c r="HE240" i="1"/>
  <c r="GW67" i="1"/>
  <c r="HA67" i="1"/>
  <c r="GC72" i="1"/>
  <c r="GA67" i="1"/>
  <c r="GA104" i="1"/>
  <c r="FW242" i="1"/>
  <c r="FW240" i="1"/>
  <c r="FM67" i="1"/>
  <c r="GQ67" i="1"/>
  <c r="KA67" i="1"/>
  <c r="HD242" i="1"/>
  <c r="HD240" i="1"/>
  <c r="GY242" i="1"/>
  <c r="GY240" i="1"/>
  <c r="C242" i="1"/>
  <c r="C240" i="1"/>
  <c r="B12" i="3"/>
  <c r="GT92" i="1"/>
  <c r="KB306" i="1"/>
  <c r="KB305" i="1"/>
  <c r="HB44" i="1"/>
  <c r="IU44" i="1"/>
  <c r="JD104" i="1"/>
  <c r="GX242" i="1"/>
  <c r="GX240" i="1"/>
  <c r="ID273" i="1"/>
  <c r="JX153" i="1"/>
  <c r="GX67" i="1"/>
  <c r="GO67" i="1"/>
  <c r="GO44" i="1"/>
  <c r="GL44" i="1"/>
  <c r="GM104" i="1"/>
  <c r="GL242" i="1"/>
  <c r="GL240" i="1"/>
  <c r="GB67" i="1"/>
  <c r="GB44" i="1"/>
  <c r="GA77" i="1"/>
  <c r="JR308" i="1"/>
  <c r="GT147" i="1"/>
  <c r="JN52" i="1"/>
  <c r="GT153" i="1"/>
  <c r="JR104" i="1"/>
  <c r="GR75" i="1"/>
  <c r="GR72" i="1"/>
  <c r="KA305" i="1"/>
  <c r="KB320" i="1"/>
  <c r="IS77" i="1"/>
  <c r="JX106" i="1"/>
  <c r="KB294" i="1"/>
  <c r="JP242" i="1"/>
  <c r="JP240" i="1"/>
  <c r="IL44" i="1"/>
  <c r="GU242" i="1"/>
  <c r="GU240" i="1"/>
  <c r="HC242" i="1"/>
  <c r="HC240" i="1"/>
  <c r="GY67" i="1"/>
  <c r="HJ67" i="1"/>
  <c r="GV72" i="1"/>
  <c r="GZ72" i="1"/>
  <c r="JY92" i="1"/>
  <c r="JY86" i="1"/>
  <c r="GM72" i="1"/>
  <c r="GM44" i="1"/>
  <c r="GM12" i="1"/>
  <c r="GF44" i="1"/>
  <c r="GG72" i="1"/>
  <c r="FV242" i="1"/>
  <c r="FV240" i="1"/>
  <c r="FL72" i="1"/>
  <c r="ER67" i="1"/>
  <c r="EQ67" i="1"/>
  <c r="EH67" i="1"/>
  <c r="EH44" i="1"/>
  <c r="DT242" i="1"/>
  <c r="DT240" i="1"/>
  <c r="DS44" i="1"/>
  <c r="DQ242" i="1"/>
  <c r="DK67" i="1"/>
  <c r="CN308" i="1"/>
  <c r="CN242" i="1"/>
  <c r="CN240" i="1"/>
  <c r="CL67" i="1"/>
  <c r="BR72" i="1"/>
  <c r="BR44" i="1"/>
  <c r="BR12" i="1"/>
  <c r="BR10" i="1"/>
  <c r="BM242" i="1"/>
  <c r="BM240" i="1"/>
  <c r="BK242" i="1"/>
  <c r="BK240" i="1"/>
  <c r="BD67" i="1"/>
  <c r="BE77" i="1"/>
  <c r="BD155" i="1"/>
  <c r="BD104" i="1"/>
  <c r="BD308" i="1"/>
  <c r="BD242" i="1"/>
  <c r="BD240" i="1"/>
  <c r="BC72" i="1"/>
  <c r="BC44" i="1"/>
  <c r="BC12" i="1"/>
  <c r="BB308" i="1"/>
  <c r="BA67" i="1"/>
  <c r="BA72" i="1"/>
  <c r="AZ77" i="1"/>
  <c r="AW72" i="1"/>
  <c r="AV155" i="1"/>
  <c r="AV104" i="1"/>
  <c r="AV273" i="1"/>
  <c r="AK67" i="1"/>
  <c r="AK77" i="1"/>
  <c r="Z167" i="1"/>
  <c r="Y52" i="1"/>
  <c r="X67" i="1"/>
  <c r="R67" i="1"/>
  <c r="S155" i="1"/>
  <c r="E67" i="1"/>
  <c r="FH67" i="1"/>
  <c r="FB67" i="1"/>
  <c r="ES67" i="1"/>
  <c r="DP67" i="1"/>
  <c r="DP44" i="1"/>
  <c r="DJ167" i="1"/>
  <c r="DB167" i="1"/>
  <c r="DA67" i="1"/>
  <c r="CY167" i="1"/>
  <c r="CX242" i="1"/>
  <c r="CX240" i="1"/>
  <c r="CS77" i="1"/>
  <c r="BT77" i="1"/>
  <c r="BU242" i="1"/>
  <c r="BU240" i="1"/>
  <c r="BB67" i="1"/>
  <c r="BB44" i="1"/>
  <c r="BC242" i="1"/>
  <c r="BC240" i="1"/>
  <c r="BB273" i="1"/>
  <c r="BA155" i="1"/>
  <c r="BA104" i="1"/>
  <c r="AV52" i="1"/>
  <c r="AV67" i="1"/>
  <c r="AW77" i="1"/>
  <c r="AS167" i="1"/>
  <c r="AR308" i="1"/>
  <c r="AE52" i="1"/>
  <c r="HI242" i="1"/>
  <c r="HI240" i="1"/>
  <c r="HH273" i="1"/>
  <c r="HH242" i="1"/>
  <c r="HH240" i="1"/>
  <c r="FH104" i="1"/>
  <c r="FD67" i="1"/>
  <c r="FC242" i="1"/>
  <c r="FC240" i="1"/>
  <c r="ET44" i="1"/>
  <c r="EM72" i="1"/>
  <c r="EC242" i="1"/>
  <c r="DY242" i="1"/>
  <c r="DY240" i="1"/>
  <c r="DQ67" i="1"/>
  <c r="DQ44" i="1"/>
  <c r="CS242" i="1"/>
  <c r="CS240" i="1"/>
  <c r="CQ72" i="1"/>
  <c r="CQ44" i="1"/>
  <c r="CQ12" i="1"/>
  <c r="AX44" i="1"/>
  <c r="AX155" i="1"/>
  <c r="AN67" i="1"/>
  <c r="AN44" i="1"/>
  <c r="AJ155" i="1"/>
  <c r="AF308" i="1"/>
  <c r="AF242" i="1"/>
  <c r="AF240" i="1"/>
  <c r="Z72" i="1"/>
  <c r="HN273" i="1"/>
  <c r="JA273" i="1"/>
  <c r="IS308" i="1"/>
  <c r="IS242" i="1"/>
  <c r="FE67" i="1"/>
  <c r="FA72" i="1"/>
  <c r="EP67" i="1"/>
  <c r="EP44" i="1"/>
  <c r="EM67" i="1"/>
  <c r="EM44" i="1"/>
  <c r="EK242" i="1"/>
  <c r="EK240" i="1"/>
  <c r="DJ67" i="1"/>
  <c r="DI67" i="1"/>
  <c r="DF155" i="1"/>
  <c r="CP67" i="1"/>
  <c r="CP44" i="1"/>
  <c r="CP12" i="1"/>
  <c r="CL72" i="1"/>
  <c r="CK242" i="1"/>
  <c r="CD67" i="1"/>
  <c r="CD44" i="1"/>
  <c r="CD12" i="1"/>
  <c r="CB72" i="1"/>
  <c r="BK72" i="1"/>
  <c r="BK44" i="1"/>
  <c r="BK12" i="1"/>
  <c r="D44" i="1"/>
  <c r="AY155" i="1"/>
  <c r="AY104" i="1"/>
  <c r="AT72" i="1"/>
  <c r="AJ67" i="1"/>
  <c r="AJ44" i="1"/>
  <c r="AJ77" i="1"/>
  <c r="AF155" i="1"/>
  <c r="AD77" i="1"/>
  <c r="AE242" i="1"/>
  <c r="AE240" i="1"/>
  <c r="AB273" i="1"/>
  <c r="AB242" i="1"/>
  <c r="AB240" i="1"/>
  <c r="M67" i="1"/>
  <c r="M44" i="1"/>
  <c r="J72" i="1"/>
  <c r="JM273" i="1"/>
  <c r="IU242" i="1"/>
  <c r="IU240" i="1"/>
  <c r="JL324" i="1"/>
  <c r="JL163" i="1"/>
  <c r="JK322" i="1"/>
  <c r="IZ324" i="1"/>
  <c r="IZ163" i="1"/>
  <c r="IZ155" i="1"/>
  <c r="IY322" i="1"/>
  <c r="IY308" i="1"/>
  <c r="JO323" i="1"/>
  <c r="JN322" i="1"/>
  <c r="IQ323" i="1"/>
  <c r="IP322" i="1"/>
  <c r="IP308" i="1"/>
  <c r="C72" i="1"/>
  <c r="GS300" i="1"/>
  <c r="HG291" i="1"/>
  <c r="Z77" i="1"/>
  <c r="Y242" i="1"/>
  <c r="Y240" i="1"/>
  <c r="W77" i="1"/>
  <c r="W44" i="1"/>
  <c r="V167" i="1"/>
  <c r="V308" i="1"/>
  <c r="U139" i="1"/>
  <c r="T308" i="1"/>
  <c r="S72" i="1"/>
  <c r="N72" i="1"/>
  <c r="J67" i="1"/>
  <c r="J44" i="1"/>
  <c r="H77" i="1"/>
  <c r="I155" i="1"/>
  <c r="F67" i="1"/>
  <c r="F77" i="1"/>
  <c r="IC308" i="1"/>
  <c r="IA308" i="1"/>
  <c r="IA242" i="1"/>
  <c r="IA240" i="1"/>
  <c r="HW308" i="1"/>
  <c r="HL308" i="1"/>
  <c r="HL242" i="1"/>
  <c r="HL240" i="1"/>
  <c r="JO279" i="1"/>
  <c r="IM273" i="1"/>
  <c r="IO308" i="1"/>
  <c r="IO242" i="1"/>
  <c r="IO240" i="1"/>
  <c r="HG299" i="1"/>
  <c r="HG286" i="1"/>
  <c r="JT286" i="1"/>
  <c r="GS323" i="1"/>
  <c r="JT323" i="1"/>
  <c r="IH327" i="1"/>
  <c r="IG327" i="1"/>
  <c r="GT257" i="1"/>
  <c r="GR257" i="1"/>
  <c r="KA257" i="1"/>
  <c r="GQ244" i="1"/>
  <c r="JT257" i="1"/>
  <c r="GT28" i="1"/>
  <c r="KB257" i="1"/>
  <c r="HG257" i="1"/>
  <c r="GP16" i="1"/>
  <c r="JZ16" i="1"/>
  <c r="GT369" i="1"/>
  <c r="GR28" i="1"/>
  <c r="KG40" i="1"/>
  <c r="GS371" i="1"/>
  <c r="EC240" i="1"/>
  <c r="J13" i="30"/>
  <c r="IH823" i="1"/>
  <c r="IN827" i="1"/>
  <c r="IH825" i="1"/>
  <c r="IH819" i="1"/>
  <c r="IH821" i="1"/>
  <c r="IQ845" i="1"/>
  <c r="DG131" i="1"/>
  <c r="CY195" i="1"/>
  <c r="CY172" i="1"/>
  <c r="JK711" i="1"/>
  <c r="JK691" i="1"/>
  <c r="IK770" i="1"/>
  <c r="JO149" i="1"/>
  <c r="IF681" i="1"/>
  <c r="IH830" i="1"/>
  <c r="IH835" i="1"/>
  <c r="CW46" i="1"/>
  <c r="IW783" i="1"/>
  <c r="JK549" i="1"/>
  <c r="JK541" i="1"/>
  <c r="IH799" i="1"/>
  <c r="IH803" i="1"/>
  <c r="IH807" i="1"/>
  <c r="IH811" i="1"/>
  <c r="IH815" i="1"/>
  <c r="JL828" i="1"/>
  <c r="JC845" i="1"/>
  <c r="GT639" i="1"/>
  <c r="GT23" i="1"/>
  <c r="IJ218" i="1"/>
  <c r="JO790" i="1"/>
  <c r="JI845" i="1"/>
  <c r="JF845" i="1"/>
  <c r="IK828" i="1"/>
  <c r="IK827" i="1"/>
  <c r="KA669" i="1"/>
  <c r="IH776" i="1"/>
  <c r="IH828" i="1"/>
  <c r="IH832" i="1"/>
  <c r="JL790" i="1"/>
  <c r="IH797" i="1"/>
  <c r="IH801" i="1"/>
  <c r="IH809" i="1"/>
  <c r="IH813" i="1"/>
  <c r="IH817" i="1"/>
  <c r="JH790" i="1"/>
  <c r="IP783" i="1"/>
  <c r="IH829" i="1"/>
  <c r="JO827" i="1"/>
  <c r="IH802" i="1"/>
  <c r="IH806" i="1"/>
  <c r="IH810" i="1"/>
  <c r="IH814" i="1"/>
  <c r="JL845" i="1"/>
  <c r="IH850" i="1"/>
  <c r="IH796" i="1"/>
  <c r="JI790" i="1"/>
  <c r="IH818" i="1"/>
  <c r="IH788" i="1"/>
  <c r="IH824" i="1"/>
  <c r="IH847" i="1"/>
  <c r="IH851" i="1"/>
  <c r="IH833" i="1"/>
  <c r="IH837" i="1"/>
  <c r="IH804" i="1"/>
  <c r="IH808" i="1"/>
  <c r="IH812" i="1"/>
  <c r="IH816" i="1"/>
  <c r="IH822" i="1"/>
  <c r="IH838" i="1"/>
  <c r="IH848" i="1"/>
  <c r="IH852" i="1"/>
  <c r="IH787" i="1"/>
  <c r="IH800" i="1"/>
  <c r="IH831" i="1"/>
  <c r="IH786" i="1"/>
  <c r="IH820" i="1"/>
  <c r="IH836" i="1"/>
  <c r="JL827" i="1"/>
  <c r="IH849" i="1"/>
  <c r="IH853" i="1"/>
  <c r="IH785" i="1"/>
  <c r="JI783" i="1"/>
  <c r="IH798" i="1"/>
  <c r="IH805" i="1"/>
  <c r="KB847" i="1"/>
  <c r="GS393" i="1"/>
  <c r="DY118" i="1"/>
  <c r="DV86" i="1"/>
  <c r="JO768" i="1"/>
  <c r="JO846" i="1"/>
  <c r="JO845" i="1"/>
  <c r="JL768" i="1"/>
  <c r="JH401" i="1"/>
  <c r="JI768" i="1"/>
  <c r="KB849" i="1"/>
  <c r="KB817" i="1"/>
  <c r="KC817" i="1"/>
  <c r="KB851" i="1"/>
  <c r="GT744" i="1"/>
  <c r="HG747" i="1"/>
  <c r="GT840" i="1"/>
  <c r="GT827" i="1"/>
  <c r="T94" i="1"/>
  <c r="T44" i="1"/>
  <c r="IT149" i="1"/>
  <c r="KB846" i="1"/>
  <c r="KC846" i="1"/>
  <c r="IF728" i="1"/>
  <c r="DW86" i="1"/>
  <c r="DO131" i="1"/>
  <c r="CY94" i="1"/>
  <c r="JE827" i="1"/>
  <c r="IY845" i="1"/>
  <c r="IH795" i="1"/>
  <c r="IS827" i="1"/>
  <c r="JE845" i="1"/>
  <c r="IH793" i="1"/>
  <c r="IY728" i="1"/>
  <c r="IW792" i="1"/>
  <c r="IW790" i="1"/>
  <c r="IS406" i="1"/>
  <c r="IS378" i="1"/>
  <c r="IS364" i="1"/>
  <c r="IT792" i="1"/>
  <c r="IT790" i="1"/>
  <c r="IH794" i="1"/>
  <c r="JF790" i="1"/>
  <c r="IT768" i="1"/>
  <c r="JS846" i="1"/>
  <c r="IP711" i="1"/>
  <c r="IP691" i="1"/>
  <c r="IQ791" i="1"/>
  <c r="IQ790" i="1"/>
  <c r="IJ783" i="1"/>
  <c r="JL59" i="1"/>
  <c r="IN59" i="1"/>
  <c r="IZ58" i="1"/>
  <c r="IQ53" i="1"/>
  <c r="JT779" i="1"/>
  <c r="JT785" i="1"/>
  <c r="JT787" i="1"/>
  <c r="JT793" i="1"/>
  <c r="JT795" i="1"/>
  <c r="JT799" i="1"/>
  <c r="JT801" i="1"/>
  <c r="JT803" i="1"/>
  <c r="JT805" i="1"/>
  <c r="JT807" i="1"/>
  <c r="JT809" i="1"/>
  <c r="JT812" i="1"/>
  <c r="JT822" i="1"/>
  <c r="JT830" i="1"/>
  <c r="JT832" i="1"/>
  <c r="JT835" i="1"/>
  <c r="JT837" i="1"/>
  <c r="JT847" i="1"/>
  <c r="JT849" i="1"/>
  <c r="JT853" i="1"/>
  <c r="JO106" i="1"/>
  <c r="GS827" i="1"/>
  <c r="HG849" i="1"/>
  <c r="JT770" i="1"/>
  <c r="JT772" i="1"/>
  <c r="JT774" i="1"/>
  <c r="JT776" i="1"/>
  <c r="JT778" i="1"/>
  <c r="JT780" i="1"/>
  <c r="JT784" i="1"/>
  <c r="JT792" i="1"/>
  <c r="JT794" i="1"/>
  <c r="JT796" i="1"/>
  <c r="JT798" i="1"/>
  <c r="JT800" i="1"/>
  <c r="JT802" i="1"/>
  <c r="JT804" i="1"/>
  <c r="JT806" i="1"/>
  <c r="JT808" i="1"/>
  <c r="JT810" i="1"/>
  <c r="JT829" i="1"/>
  <c r="JT831" i="1"/>
  <c r="JT833" i="1"/>
  <c r="JT838" i="1"/>
  <c r="JT846" i="1"/>
  <c r="JT848" i="1"/>
  <c r="JT852" i="1"/>
  <c r="HG848" i="1"/>
  <c r="IK768" i="1"/>
  <c r="HG847" i="1"/>
  <c r="JT716" i="1"/>
  <c r="IQ92" i="1"/>
  <c r="IH425" i="1"/>
  <c r="IH92" i="1"/>
  <c r="JF411" i="1"/>
  <c r="JF79" i="1"/>
  <c r="JF77" i="1"/>
  <c r="IT79" i="1"/>
  <c r="IT411" i="1"/>
  <c r="IQ75" i="1"/>
  <c r="IQ72" i="1"/>
  <c r="IQ406" i="1"/>
  <c r="IQ401" i="1"/>
  <c r="IQ69" i="1"/>
  <c r="JL397" i="1"/>
  <c r="JL64" i="1"/>
  <c r="IZ397" i="1"/>
  <c r="IZ64" i="1"/>
  <c r="IN64" i="1"/>
  <c r="IN63" i="1"/>
  <c r="IN397" i="1"/>
  <c r="JI397" i="1"/>
  <c r="JI65" i="1"/>
  <c r="JI63" i="1"/>
  <c r="IW397" i="1"/>
  <c r="IW65" i="1"/>
  <c r="IW63" i="1"/>
  <c r="JL279" i="1"/>
  <c r="JL273" i="1"/>
  <c r="JL58" i="1"/>
  <c r="JC322" i="1"/>
  <c r="JC160" i="1"/>
  <c r="JC155" i="1"/>
  <c r="JO451" i="1"/>
  <c r="JO121" i="1"/>
  <c r="IN439" i="1"/>
  <c r="IN108" i="1"/>
  <c r="IQ107" i="1"/>
  <c r="IQ106" i="1"/>
  <c r="IQ439" i="1"/>
  <c r="IT77" i="1"/>
  <c r="IT155" i="1"/>
  <c r="JS33" i="1"/>
  <c r="KB567" i="1"/>
  <c r="KC567" i="1"/>
  <c r="JT275" i="1"/>
  <c r="JX30" i="1"/>
  <c r="HG437" i="1"/>
  <c r="KK43" i="1"/>
  <c r="KB649" i="1"/>
  <c r="KC649" i="1"/>
  <c r="KB261" i="1"/>
  <c r="GR34" i="1"/>
  <c r="KB737" i="1"/>
  <c r="KC737" i="1"/>
  <c r="IK86" i="1"/>
  <c r="EA44" i="1"/>
  <c r="DY131" i="1"/>
  <c r="IZ386" i="1"/>
  <c r="IY386" i="1"/>
  <c r="JX58" i="1"/>
  <c r="HT46" i="1"/>
  <c r="GS733" i="1"/>
  <c r="JT733" i="1"/>
  <c r="DY155" i="1"/>
  <c r="DW46" i="1"/>
  <c r="JB482" i="1"/>
  <c r="JT596" i="1"/>
  <c r="IS139" i="1"/>
  <c r="IS125" i="1"/>
  <c r="HX46" i="1"/>
  <c r="HS46" i="1"/>
  <c r="IB46" i="1"/>
  <c r="JF46" i="1"/>
  <c r="JK86" i="1"/>
  <c r="JF111" i="1"/>
  <c r="JH118" i="1"/>
  <c r="JE131" i="1"/>
  <c r="JI149" i="1"/>
  <c r="IW67" i="1"/>
  <c r="JI67" i="1"/>
  <c r="IV72" i="1"/>
  <c r="IK72" i="1"/>
  <c r="IY72" i="1"/>
  <c r="JH72" i="1"/>
  <c r="IK106" i="1"/>
  <c r="IY131" i="1"/>
  <c r="HD230" i="1"/>
  <c r="HD210" i="1"/>
  <c r="IF427" i="1"/>
  <c r="JS736" i="1"/>
  <c r="IF742" i="1"/>
  <c r="C167" i="1"/>
  <c r="GQ195" i="1"/>
  <c r="KA195" i="1"/>
  <c r="IT464" i="1"/>
  <c r="JS31" i="1"/>
  <c r="JO118" i="1"/>
  <c r="GT279" i="1"/>
  <c r="GT273" i="1"/>
  <c r="KK22" i="1"/>
  <c r="IN106" i="1"/>
  <c r="IV52" i="1"/>
  <c r="JK94" i="1"/>
  <c r="IJ94" i="1"/>
  <c r="JH30" i="1"/>
  <c r="IK63" i="1"/>
  <c r="CW118" i="1"/>
  <c r="IN279" i="1"/>
  <c r="IN273" i="1"/>
  <c r="JH380" i="1"/>
  <c r="KC261" i="1"/>
  <c r="KB32" i="1"/>
  <c r="E23" i="33"/>
  <c r="E20" i="33"/>
  <c r="GR579" i="1"/>
  <c r="GR577" i="1"/>
  <c r="JT231" i="1"/>
  <c r="JT558" i="1"/>
  <c r="GR65" i="1"/>
  <c r="GR63" i="1"/>
  <c r="GR397" i="1"/>
  <c r="JX88" i="1"/>
  <c r="JX86" i="1"/>
  <c r="KB421" i="1"/>
  <c r="JX419" i="1"/>
  <c r="KB419" i="1"/>
  <c r="KB722" i="1"/>
  <c r="KC722" i="1"/>
  <c r="KB763" i="1"/>
  <c r="KC763" i="1"/>
  <c r="IH403" i="1"/>
  <c r="IT115" i="1"/>
  <c r="IT111" i="1"/>
  <c r="IT144" i="1"/>
  <c r="IH493" i="1"/>
  <c r="IT488" i="1"/>
  <c r="IG222" i="1"/>
  <c r="IG218" i="1"/>
  <c r="IH646" i="1"/>
  <c r="KC32" i="1"/>
  <c r="JT563" i="1"/>
  <c r="KB600" i="1"/>
  <c r="KC600" i="1"/>
  <c r="IG347" i="1"/>
  <c r="KB177" i="1"/>
  <c r="KC177" i="1"/>
  <c r="GR230" i="1"/>
  <c r="JT572" i="1"/>
  <c r="GS231" i="1"/>
  <c r="JS386" i="1"/>
  <c r="IY218" i="1"/>
  <c r="IY210" i="1"/>
  <c r="JY155" i="1"/>
  <c r="KB283" i="1"/>
  <c r="JX406" i="1"/>
  <c r="KB406" i="1"/>
  <c r="GQ632" i="1"/>
  <c r="IK30" i="1"/>
  <c r="HM44" i="1"/>
  <c r="KB219" i="1"/>
  <c r="KC219" i="1"/>
  <c r="IT21" i="1"/>
  <c r="IH477" i="1"/>
  <c r="IH144" i="1"/>
  <c r="IG482" i="1"/>
  <c r="IT31" i="1"/>
  <c r="IT30" i="1"/>
  <c r="IG54" i="1"/>
  <c r="D7" i="22"/>
  <c r="JT236" i="1"/>
  <c r="IG427" i="1"/>
  <c r="GT464" i="1"/>
  <c r="GP72" i="1"/>
  <c r="JZ72" i="1"/>
  <c r="JF210" i="1"/>
  <c r="IF244" i="1"/>
  <c r="GS600" i="1"/>
  <c r="KC337" i="1"/>
  <c r="GR464" i="1"/>
  <c r="KB89" i="1"/>
  <c r="KC89" i="1"/>
  <c r="KB161" i="1"/>
  <c r="KC161" i="1"/>
  <c r="JX401" i="1"/>
  <c r="KB401" i="1"/>
  <c r="KC401" i="1"/>
  <c r="KB408" i="1"/>
  <c r="KC408" i="1"/>
  <c r="GT30" i="1"/>
  <c r="KC700" i="1"/>
  <c r="GQ52" i="1"/>
  <c r="KA52" i="1"/>
  <c r="KB263" i="1"/>
  <c r="GR259" i="1"/>
  <c r="KB311" i="1"/>
  <c r="GR279" i="1"/>
  <c r="B8" i="22"/>
  <c r="KB404" i="1"/>
  <c r="KC404" i="1"/>
  <c r="JX70" i="1"/>
  <c r="JX114" i="1"/>
  <c r="JX444" i="1"/>
  <c r="KB444" i="1"/>
  <c r="KC444" i="1"/>
  <c r="KB502" i="1"/>
  <c r="JX169" i="1"/>
  <c r="JX167" i="1"/>
  <c r="KB196" i="1"/>
  <c r="KC196" i="1"/>
  <c r="KC527" i="1"/>
  <c r="IT139" i="1"/>
  <c r="KB543" i="1"/>
  <c r="JL218" i="1"/>
  <c r="JS645" i="1"/>
  <c r="JS251" i="1"/>
  <c r="JT602" i="1"/>
  <c r="JT380" i="1"/>
  <c r="GR427" i="1"/>
  <c r="JS482" i="1"/>
  <c r="KC449" i="1"/>
  <c r="JZ669" i="1"/>
  <c r="JE210" i="1"/>
  <c r="IF541" i="1"/>
  <c r="GR79" i="1"/>
  <c r="GR458" i="1"/>
  <c r="KB276" i="1"/>
  <c r="KC276" i="1"/>
  <c r="GP632" i="1"/>
  <c r="JY279" i="1"/>
  <c r="IK21" i="1"/>
  <c r="KC559" i="1"/>
  <c r="KB231" i="1"/>
  <c r="KC231" i="1"/>
  <c r="IY139" i="1"/>
  <c r="IU139" i="1"/>
  <c r="IU104" i="1"/>
  <c r="IK139" i="1"/>
  <c r="IC139" i="1"/>
  <c r="IC104" i="1"/>
  <c r="HY139" i="1"/>
  <c r="HY104" i="1"/>
  <c r="HX139" i="1"/>
  <c r="HX104" i="1"/>
  <c r="IY52" i="1"/>
  <c r="GT482" i="1"/>
  <c r="IM212" i="1"/>
  <c r="IM210" i="1"/>
  <c r="IF472" i="1"/>
  <c r="IF437" i="1"/>
  <c r="IF95" i="1"/>
  <c r="GQ427" i="1"/>
  <c r="KA427" i="1"/>
  <c r="JN16" i="1"/>
  <c r="JX507" i="1"/>
  <c r="KA743" i="1"/>
  <c r="KB743" i="1"/>
  <c r="KC743" i="1"/>
  <c r="GQ98" i="1"/>
  <c r="GQ742" i="1"/>
  <c r="JS683" i="1"/>
  <c r="HG733" i="1"/>
  <c r="JS733" i="1"/>
  <c r="GS732" i="1"/>
  <c r="JT732" i="1"/>
  <c r="GS745" i="1"/>
  <c r="JT745" i="1"/>
  <c r="GT745" i="1"/>
  <c r="IK397" i="1"/>
  <c r="IQ118" i="1"/>
  <c r="IF347" i="1"/>
  <c r="IM131" i="1"/>
  <c r="JS466" i="1"/>
  <c r="KC730" i="1"/>
  <c r="IV212" i="1"/>
  <c r="JK212" i="1"/>
  <c r="JB230" i="1"/>
  <c r="JB210" i="1"/>
  <c r="JY58" i="1"/>
  <c r="IW77" i="1"/>
  <c r="JE77" i="1"/>
  <c r="JI77" i="1"/>
  <c r="JK111" i="1"/>
  <c r="KA745" i="1"/>
  <c r="GR733" i="1"/>
  <c r="GR728" i="1"/>
  <c r="HG732" i="1"/>
  <c r="JS732" i="1"/>
  <c r="GP728" i="1"/>
  <c r="GS730" i="1"/>
  <c r="JT730" i="1"/>
  <c r="GS743" i="1"/>
  <c r="JT743" i="1"/>
  <c r="FD111" i="1"/>
  <c r="FB86" i="1"/>
  <c r="FC167" i="1"/>
  <c r="EN118" i="1"/>
  <c r="EO155" i="1"/>
  <c r="DX167" i="1"/>
  <c r="DV167" i="1"/>
  <c r="DS16" i="1"/>
  <c r="DS14" i="1"/>
  <c r="DN16" i="1"/>
  <c r="DN14" i="1"/>
  <c r="DM195" i="1"/>
  <c r="DM172" i="1"/>
  <c r="DM236" i="1"/>
  <c r="DM210" i="1"/>
  <c r="DJ236" i="1"/>
  <c r="DJ210" i="1"/>
  <c r="DH16" i="1"/>
  <c r="DH14" i="1"/>
  <c r="DI46" i="1"/>
  <c r="DF16" i="1"/>
  <c r="DF14" i="1"/>
  <c r="DE155" i="1"/>
  <c r="IQ251" i="1"/>
  <c r="IQ244" i="1"/>
  <c r="JT428" i="1"/>
  <c r="JT95" i="1"/>
  <c r="JX176" i="1"/>
  <c r="IP174" i="1"/>
  <c r="IP172" i="1"/>
  <c r="IN111" i="1"/>
  <c r="IM155" i="1"/>
  <c r="JH212" i="1"/>
  <c r="JL212" i="1"/>
  <c r="KB250" i="1"/>
  <c r="KC250" i="1"/>
  <c r="JS674" i="1"/>
  <c r="KA711" i="1"/>
  <c r="FD46" i="1"/>
  <c r="DX125" i="1"/>
  <c r="JO583" i="1"/>
  <c r="IZ600" i="1"/>
  <c r="IH280" i="1"/>
  <c r="IT72" i="1"/>
  <c r="IH470" i="1"/>
  <c r="IH137" i="1"/>
  <c r="IT632" i="1"/>
  <c r="IT630" i="1"/>
  <c r="IT628" i="1"/>
  <c r="JS259" i="1"/>
  <c r="JS596" i="1"/>
  <c r="JS592" i="1"/>
  <c r="KC263" i="1"/>
  <c r="KB34" i="1"/>
  <c r="KC34" i="1"/>
  <c r="GR30" i="1"/>
  <c r="KC715" i="1"/>
  <c r="KB711" i="1"/>
  <c r="KC711" i="1"/>
  <c r="KB595" i="1"/>
  <c r="JY33" i="1"/>
  <c r="JY30" i="1"/>
  <c r="KA322" i="1"/>
  <c r="KB323" i="1"/>
  <c r="KB322" i="1"/>
  <c r="GQ125" i="1"/>
  <c r="KA125" i="1"/>
  <c r="KA129" i="1"/>
  <c r="GR140" i="1"/>
  <c r="GR472" i="1"/>
  <c r="JO75" i="1"/>
  <c r="JO72" i="1"/>
  <c r="JO406" i="1"/>
  <c r="IV218" i="1"/>
  <c r="JT509" i="1"/>
  <c r="JT176" i="1"/>
  <c r="JT174" i="1"/>
  <c r="GS507" i="1"/>
  <c r="JY585" i="1"/>
  <c r="JY22" i="1"/>
  <c r="JZ79" i="1"/>
  <c r="GP77" i="1"/>
  <c r="JZ77" i="1"/>
  <c r="E32" i="33"/>
  <c r="E33" i="41"/>
  <c r="E31" i="41"/>
  <c r="E30" i="41"/>
  <c r="D47" i="41"/>
  <c r="KC774" i="1"/>
  <c r="KB768" i="1"/>
  <c r="KC768" i="1"/>
  <c r="IF592" i="1"/>
  <c r="JT573" i="1"/>
  <c r="GS571" i="1"/>
  <c r="GS569" i="1"/>
  <c r="GS567" i="1"/>
  <c r="GS232" i="1"/>
  <c r="GS230" i="1"/>
  <c r="GS558" i="1"/>
  <c r="JT196" i="1"/>
  <c r="JT195" i="1"/>
  <c r="IN30" i="1"/>
  <c r="IN118" i="1"/>
  <c r="KB213" i="1"/>
  <c r="KC213" i="1"/>
  <c r="HY12" i="1"/>
  <c r="HF16" i="1"/>
  <c r="HF14" i="1"/>
  <c r="HB16" i="1"/>
  <c r="HN16" i="1"/>
  <c r="HN14" i="1"/>
  <c r="IK67" i="1"/>
  <c r="IY67" i="1"/>
  <c r="JZ17" i="1"/>
  <c r="FD86" i="1"/>
  <c r="JO552" i="1"/>
  <c r="JO221" i="1"/>
  <c r="JO218" i="1"/>
  <c r="JN549" i="1"/>
  <c r="JN541" i="1"/>
  <c r="JO638" i="1"/>
  <c r="JN637" i="1"/>
  <c r="JL420" i="1"/>
  <c r="JL87" i="1"/>
  <c r="JL86" i="1"/>
  <c r="JK419" i="1"/>
  <c r="JL465" i="1"/>
  <c r="JL132" i="1"/>
  <c r="JK464" i="1"/>
  <c r="JI281" i="1"/>
  <c r="JH279" i="1"/>
  <c r="JH273" i="1"/>
  <c r="JI389" i="1"/>
  <c r="JI55" i="1"/>
  <c r="JH386" i="1"/>
  <c r="JI421" i="1"/>
  <c r="JI88" i="1"/>
  <c r="JH419" i="1"/>
  <c r="JI431" i="1"/>
  <c r="JI98" i="1"/>
  <c r="JH427" i="1"/>
  <c r="JI466" i="1"/>
  <c r="JH464" i="1"/>
  <c r="JI212" i="1"/>
  <c r="JH543" i="1"/>
  <c r="JI553" i="1"/>
  <c r="JI222" i="1"/>
  <c r="JI218" i="1"/>
  <c r="JI210" i="1"/>
  <c r="JH549" i="1"/>
  <c r="JC404" i="1"/>
  <c r="JB401" i="1"/>
  <c r="JS282" i="1"/>
  <c r="JS55" i="1"/>
  <c r="GP46" i="1"/>
  <c r="JZ46" i="1"/>
  <c r="KB42" i="1"/>
  <c r="KC42" i="1"/>
  <c r="GP106" i="1"/>
  <c r="GP67" i="1"/>
  <c r="JZ67" i="1"/>
  <c r="IP139" i="1"/>
  <c r="IM149" i="1"/>
  <c r="HI16" i="1"/>
  <c r="HI14" i="1"/>
  <c r="HI12" i="1"/>
  <c r="IR46" i="1"/>
  <c r="IX46" i="1"/>
  <c r="JB46" i="1"/>
  <c r="JJ46" i="1"/>
  <c r="IJ86" i="1"/>
  <c r="IW111" i="1"/>
  <c r="JE111" i="1"/>
  <c r="JF118" i="1"/>
  <c r="IW131" i="1"/>
  <c r="JB155" i="1"/>
  <c r="DD44" i="1"/>
  <c r="JO729" i="1"/>
  <c r="IH729" i="1"/>
  <c r="JN728" i="1"/>
  <c r="JI263" i="1"/>
  <c r="JI34" i="1"/>
  <c r="JH259" i="1"/>
  <c r="JH244" i="1"/>
  <c r="JI446" i="1"/>
  <c r="JH444" i="1"/>
  <c r="JH482" i="1"/>
  <c r="JI638" i="1"/>
  <c r="JH637" i="1"/>
  <c r="JH742" i="1"/>
  <c r="JH723" i="1"/>
  <c r="JH721" i="1"/>
  <c r="JE549" i="1"/>
  <c r="JE541" i="1"/>
  <c r="JF672" i="1"/>
  <c r="JF669" i="1"/>
  <c r="JF664" i="1"/>
  <c r="JE669" i="1"/>
  <c r="JE664" i="1"/>
  <c r="JE711" i="1"/>
  <c r="JE691" i="1"/>
  <c r="JC638" i="1"/>
  <c r="JB637" i="1"/>
  <c r="JB711" i="1"/>
  <c r="IH275" i="1"/>
  <c r="JX72" i="1"/>
  <c r="JZ768" i="1"/>
  <c r="GR386" i="1"/>
  <c r="KB55" i="1"/>
  <c r="IP149" i="1"/>
  <c r="ID139" i="1"/>
  <c r="ID104" i="1"/>
  <c r="HZ139" i="1"/>
  <c r="HZ104" i="1"/>
  <c r="HV139" i="1"/>
  <c r="HV104" i="1"/>
  <c r="HB139" i="1"/>
  <c r="JL139" i="1"/>
  <c r="JG139" i="1"/>
  <c r="JA139" i="1"/>
  <c r="JQ139" i="1"/>
  <c r="JI139" i="1"/>
  <c r="JE139" i="1"/>
  <c r="JN139" i="1"/>
  <c r="JF139" i="1"/>
  <c r="JB139" i="1"/>
  <c r="IW139" i="1"/>
  <c r="JK52" i="1"/>
  <c r="IM52" i="1"/>
  <c r="JB30" i="1"/>
  <c r="IV63" i="1"/>
  <c r="IZ63" i="1"/>
  <c r="JH63" i="1"/>
  <c r="JL63" i="1"/>
  <c r="IW174" i="1"/>
  <c r="IW172" i="1"/>
  <c r="JO401" i="1"/>
  <c r="JO420" i="1"/>
  <c r="JO87" i="1"/>
  <c r="JO86" i="1"/>
  <c r="JN419" i="1"/>
  <c r="JO430" i="1"/>
  <c r="JO97" i="1"/>
  <c r="JO94" i="1"/>
  <c r="JN427" i="1"/>
  <c r="JO459" i="1"/>
  <c r="JO126" i="1"/>
  <c r="JO125" i="1"/>
  <c r="JN458" i="1"/>
  <c r="JO476" i="1"/>
  <c r="JN472" i="1"/>
  <c r="JL263" i="1"/>
  <c r="JL34" i="1"/>
  <c r="JK259" i="1"/>
  <c r="JL381" i="1"/>
  <c r="JK380" i="1"/>
  <c r="JL409" i="1"/>
  <c r="JL75" i="1"/>
  <c r="JL72" i="1"/>
  <c r="JK406" i="1"/>
  <c r="JL491" i="1"/>
  <c r="JL158" i="1"/>
  <c r="JL155" i="1"/>
  <c r="JK488" i="1"/>
  <c r="JL638" i="1"/>
  <c r="JL22" i="1"/>
  <c r="JK637" i="1"/>
  <c r="JK632" i="1"/>
  <c r="JK630" i="1"/>
  <c r="JK628" i="1"/>
  <c r="JF491" i="1"/>
  <c r="JE488" i="1"/>
  <c r="JB439" i="1"/>
  <c r="JC440" i="1"/>
  <c r="JH44" i="1"/>
  <c r="KB295" i="1"/>
  <c r="KB74" i="1"/>
  <c r="IP106" i="1"/>
  <c r="IS46" i="1"/>
  <c r="IM94" i="1"/>
  <c r="IP94" i="1"/>
  <c r="JH541" i="1"/>
  <c r="JO603" i="1"/>
  <c r="JN600" i="1"/>
  <c r="JN579" i="1"/>
  <c r="JN577" i="1"/>
  <c r="JO714" i="1"/>
  <c r="JN711" i="1"/>
  <c r="JN691" i="1"/>
  <c r="JL485" i="1"/>
  <c r="JL152" i="1"/>
  <c r="JL149" i="1"/>
  <c r="JK482" i="1"/>
  <c r="JF261" i="1"/>
  <c r="JF32" i="1"/>
  <c r="JE259" i="1"/>
  <c r="JE244" i="1"/>
  <c r="JF388" i="1"/>
  <c r="IH388" i="1"/>
  <c r="JE386" i="1"/>
  <c r="JF430" i="1"/>
  <c r="JE427" i="1"/>
  <c r="JF442" i="1"/>
  <c r="JF109" i="1"/>
  <c r="JE439" i="1"/>
  <c r="JE437" i="1"/>
  <c r="JC422" i="1"/>
  <c r="JC89" i="1"/>
  <c r="JC86" i="1"/>
  <c r="JB419" i="1"/>
  <c r="JB543" i="1"/>
  <c r="JB541" i="1"/>
  <c r="JC583" i="1"/>
  <c r="JB18" i="1"/>
  <c r="JB16" i="1"/>
  <c r="JB581" i="1"/>
  <c r="JB579" i="1"/>
  <c r="JB577" i="1"/>
  <c r="IJ632" i="1"/>
  <c r="IJ630" i="1"/>
  <c r="IJ628" i="1"/>
  <c r="IZ251" i="1"/>
  <c r="IY581" i="1"/>
  <c r="IY579" i="1"/>
  <c r="IY577" i="1"/>
  <c r="IV380" i="1"/>
  <c r="IV378" i="1"/>
  <c r="IV364" i="1"/>
  <c r="JO581" i="1"/>
  <c r="IY742" i="1"/>
  <c r="IY669" i="1"/>
  <c r="IY664" i="1"/>
  <c r="IY662" i="1"/>
  <c r="JL583" i="1"/>
  <c r="JK18" i="1"/>
  <c r="JK16" i="1"/>
  <c r="JI583" i="1"/>
  <c r="JH18" i="1"/>
  <c r="IY259" i="1"/>
  <c r="IY244" i="1"/>
  <c r="IT583" i="1"/>
  <c r="IS18" i="1"/>
  <c r="IS16" i="1"/>
  <c r="IS728" i="1"/>
  <c r="IP419" i="1"/>
  <c r="IN583" i="1"/>
  <c r="IM18" i="1"/>
  <c r="IM711" i="1"/>
  <c r="IM691" i="1"/>
  <c r="IM662" i="1"/>
  <c r="IK244" i="1"/>
  <c r="IJ711" i="1"/>
  <c r="IJ691" i="1"/>
  <c r="IJ662" i="1"/>
  <c r="IW583" i="1"/>
  <c r="IV18" i="1"/>
  <c r="IV16" i="1"/>
  <c r="IQ279" i="1"/>
  <c r="IQ273" i="1"/>
  <c r="IQ583" i="1"/>
  <c r="IP18" i="1"/>
  <c r="IK583" i="1"/>
  <c r="IJ18" i="1"/>
  <c r="IJ16" i="1"/>
  <c r="IY419" i="1"/>
  <c r="IY378" i="1"/>
  <c r="JC251" i="1"/>
  <c r="IV259" i="1"/>
  <c r="IV244" i="1"/>
  <c r="JI585" i="1"/>
  <c r="JF645" i="1"/>
  <c r="IV581" i="1"/>
  <c r="IV579" i="1"/>
  <c r="IV577" i="1"/>
  <c r="IV575" i="1"/>
  <c r="IV742" i="1"/>
  <c r="IV723" i="1"/>
  <c r="IV721" i="1"/>
  <c r="IZ714" i="1"/>
  <c r="IV711" i="1"/>
  <c r="IV691" i="1"/>
  <c r="IV662" i="1"/>
  <c r="JN401" i="1"/>
  <c r="JN482" i="1"/>
  <c r="JN437" i="1"/>
  <c r="JK244" i="1"/>
  <c r="JI406" i="1"/>
  <c r="JI581" i="1"/>
  <c r="JF583" i="1"/>
  <c r="JE18" i="1"/>
  <c r="IZ583" i="1"/>
  <c r="IY18" i="1"/>
  <c r="IY16" i="1"/>
  <c r="IW637" i="1"/>
  <c r="IN711" i="1"/>
  <c r="IN691" i="1"/>
  <c r="IN662" i="1"/>
  <c r="IF42" i="1"/>
  <c r="GR19" i="1"/>
  <c r="E13" i="33"/>
  <c r="KJ15" i="1"/>
  <c r="KJ56" i="1"/>
  <c r="GR246" i="1"/>
  <c r="HR16" i="1"/>
  <c r="HR14" i="1"/>
  <c r="JP16" i="1"/>
  <c r="JP14" i="1"/>
  <c r="JH16" i="1"/>
  <c r="IR16" i="1"/>
  <c r="IR14" i="1"/>
  <c r="AH242" i="1"/>
  <c r="AH240" i="1"/>
  <c r="IX242" i="1"/>
  <c r="GC242" i="1"/>
  <c r="GC240" i="1"/>
  <c r="JJ16" i="1"/>
  <c r="JJ14" i="1"/>
  <c r="GU16" i="1"/>
  <c r="GU14" i="1"/>
  <c r="AS242" i="1"/>
  <c r="AS240" i="1"/>
  <c r="O242" i="1"/>
  <c r="O240" i="1"/>
  <c r="JR246" i="1"/>
  <c r="JR244" i="1"/>
  <c r="JR17" i="1"/>
  <c r="JR16" i="1"/>
  <c r="JR14" i="1"/>
  <c r="JZ246" i="1"/>
  <c r="KF54" i="1"/>
  <c r="IP16" i="1"/>
  <c r="JQ17" i="1"/>
  <c r="JQ16" i="1"/>
  <c r="JQ14" i="1"/>
  <c r="GO242" i="1"/>
  <c r="GO240" i="1"/>
  <c r="KB249" i="1"/>
  <c r="IM16" i="1"/>
  <c r="HB14" i="1"/>
  <c r="HW16" i="1"/>
  <c r="JQ246" i="1"/>
  <c r="JQ244" i="1"/>
  <c r="JQ242" i="1"/>
  <c r="JQ240" i="1"/>
  <c r="GN242" i="1"/>
  <c r="GN240" i="1"/>
  <c r="JX16" i="1"/>
  <c r="GH242" i="1"/>
  <c r="GH240" i="1"/>
  <c r="JM242" i="1"/>
  <c r="JM240" i="1"/>
  <c r="HG18" i="1"/>
  <c r="CR14" i="1"/>
  <c r="GI242" i="1"/>
  <c r="GI240" i="1"/>
  <c r="DF242" i="1"/>
  <c r="DF240" i="1"/>
  <c r="HG247" i="1"/>
  <c r="GM242" i="1"/>
  <c r="GM240" i="1"/>
  <c r="DG242" i="1"/>
  <c r="DG240" i="1"/>
  <c r="CY242" i="1"/>
  <c r="CY240" i="1"/>
  <c r="HM242" i="1"/>
  <c r="HM240" i="1"/>
  <c r="DU242" i="1"/>
  <c r="DU240" i="1"/>
  <c r="CP242" i="1"/>
  <c r="CP240" i="1"/>
  <c r="CN14" i="1"/>
  <c r="HJ242" i="1"/>
  <c r="HJ240" i="1"/>
  <c r="AV242" i="1"/>
  <c r="AV240" i="1"/>
  <c r="AW242" i="1"/>
  <c r="AW240" i="1"/>
  <c r="E25" i="41"/>
  <c r="GP23" i="1"/>
  <c r="JZ23" i="1"/>
  <c r="DQ210" i="1"/>
  <c r="DQ364" i="1"/>
  <c r="DQ240" i="1"/>
  <c r="KA204" i="1"/>
  <c r="KA199" i="1"/>
  <c r="GQ199" i="1"/>
  <c r="JY790" i="1"/>
  <c r="KB802" i="1"/>
  <c r="KC802" i="1"/>
  <c r="HG94" i="1"/>
  <c r="JX458" i="1"/>
  <c r="KB458" i="1"/>
  <c r="KC458" i="1"/>
  <c r="KC502" i="1"/>
  <c r="KB169" i="1"/>
  <c r="KC169" i="1"/>
  <c r="KC454" i="1"/>
  <c r="KB121" i="1"/>
  <c r="KB157" i="1"/>
  <c r="KC157" i="1"/>
  <c r="KC490" i="1"/>
  <c r="JX127" i="1"/>
  <c r="KB460" i="1"/>
  <c r="JZ18" i="1"/>
  <c r="KB98" i="1"/>
  <c r="KC431" i="1"/>
  <c r="KC476" i="1"/>
  <c r="KB143" i="1"/>
  <c r="KA73" i="1"/>
  <c r="GQ72" i="1"/>
  <c r="KA72" i="1"/>
  <c r="KB601" i="1"/>
  <c r="IS155" i="1"/>
  <c r="IS86" i="1"/>
  <c r="DC44" i="1"/>
  <c r="FD167" i="1"/>
  <c r="JB437" i="1"/>
  <c r="IJ579" i="1"/>
  <c r="IJ577" i="1"/>
  <c r="JN279" i="1"/>
  <c r="JN380" i="1"/>
  <c r="JN378" i="1"/>
  <c r="JN364" i="1"/>
  <c r="JN669" i="1"/>
  <c r="JN664" i="1"/>
  <c r="JN662" i="1"/>
  <c r="KB725" i="1"/>
  <c r="KC725" i="1"/>
  <c r="KB228" i="1"/>
  <c r="KB227" i="1"/>
  <c r="GR54" i="1"/>
  <c r="KC386" i="1"/>
  <c r="IQ67" i="1"/>
  <c r="IM30" i="1"/>
  <c r="KF61" i="1"/>
  <c r="IS30" i="1"/>
  <c r="KB145" i="1"/>
  <c r="KC145" i="1"/>
  <c r="KB459" i="1"/>
  <c r="KB447" i="1"/>
  <c r="JY70" i="1"/>
  <c r="KB566" i="1"/>
  <c r="KC566" i="1"/>
  <c r="KB570" i="1"/>
  <c r="KC570" i="1"/>
  <c r="KB576" i="1"/>
  <c r="KC576" i="1"/>
  <c r="KB580" i="1"/>
  <c r="KC580" i="1"/>
  <c r="KB589" i="1"/>
  <c r="KC589" i="1"/>
  <c r="KB597" i="1"/>
  <c r="KC597" i="1"/>
  <c r="KB605" i="1"/>
  <c r="KC605" i="1"/>
  <c r="KB631" i="1"/>
  <c r="KC631" i="1"/>
  <c r="KB636" i="1"/>
  <c r="KC636" i="1"/>
  <c r="KB642" i="1"/>
  <c r="KC642" i="1"/>
  <c r="DZ44" i="1"/>
  <c r="FE139" i="1"/>
  <c r="CW131" i="1"/>
  <c r="CR104" i="1"/>
  <c r="JY218" i="1"/>
  <c r="JQ44" i="1"/>
  <c r="KB128" i="1"/>
  <c r="KC128" i="1"/>
  <c r="KB73" i="1"/>
  <c r="JP44" i="1"/>
  <c r="IF94" i="1"/>
  <c r="JY427" i="1"/>
  <c r="JX380" i="1"/>
  <c r="KB380" i="1"/>
  <c r="KC380" i="1"/>
  <c r="IM67" i="1"/>
  <c r="KB455" i="1"/>
  <c r="JX126" i="1"/>
  <c r="JX230" i="1"/>
  <c r="JX210" i="1"/>
  <c r="JY68" i="1"/>
  <c r="IJ149" i="1"/>
  <c r="DC118" i="1"/>
  <c r="DC131" i="1"/>
  <c r="JH632" i="1"/>
  <c r="JH630" i="1"/>
  <c r="JH628" i="1"/>
  <c r="JN632" i="1"/>
  <c r="JN630" i="1"/>
  <c r="JN628" i="1"/>
  <c r="KB230" i="1"/>
  <c r="KC55" i="1"/>
  <c r="KB57" i="1"/>
  <c r="JX46" i="1"/>
  <c r="IN139" i="1"/>
  <c r="KC99" i="1"/>
  <c r="IS118" i="1"/>
  <c r="KB675" i="1"/>
  <c r="KC675" i="1"/>
  <c r="GR57" i="1"/>
  <c r="IF273" i="1"/>
  <c r="IP111" i="1"/>
  <c r="D21" i="41"/>
  <c r="GT63" i="1"/>
  <c r="JY543" i="1"/>
  <c r="JX102" i="1"/>
  <c r="KB382" i="1"/>
  <c r="JX53" i="1"/>
  <c r="D31" i="41"/>
  <c r="D30" i="41"/>
  <c r="IA139" i="1"/>
  <c r="IA104" i="1"/>
  <c r="HW139" i="1"/>
  <c r="HW104" i="1"/>
  <c r="JY74" i="1"/>
  <c r="JY72" i="1"/>
  <c r="KB794" i="1"/>
  <c r="KC794" i="1"/>
  <c r="EO131" i="1"/>
  <c r="IK632" i="1"/>
  <c r="IK630" i="1"/>
  <c r="IK628" i="1"/>
  <c r="IV632" i="1"/>
  <c r="IV630" i="1"/>
  <c r="IV628" i="1"/>
  <c r="IH734" i="1"/>
  <c r="FC139" i="1"/>
  <c r="FC195" i="1"/>
  <c r="FC172" i="1"/>
  <c r="FC236" i="1"/>
  <c r="FC210" i="1"/>
  <c r="EO167" i="1"/>
  <c r="DB155" i="1"/>
  <c r="W139" i="1"/>
  <c r="GT730" i="1"/>
  <c r="S139" i="1"/>
  <c r="S104" i="1"/>
  <c r="EW44" i="1"/>
  <c r="DZ139" i="1"/>
  <c r="FB236" i="1"/>
  <c r="FB210" i="1"/>
  <c r="EO86" i="1"/>
  <c r="EO94" i="1"/>
  <c r="EO118" i="1"/>
  <c r="EN131" i="1"/>
  <c r="EN139" i="1"/>
  <c r="JF97" i="1"/>
  <c r="IW386" i="1"/>
  <c r="IW54" i="1"/>
  <c r="IW52" i="1"/>
  <c r="IH424" i="1"/>
  <c r="IH91" i="1"/>
  <c r="IQ91" i="1"/>
  <c r="IT541" i="1"/>
  <c r="IS72" i="1"/>
  <c r="FB155" i="1"/>
  <c r="DC155" i="1"/>
  <c r="JL57" i="1"/>
  <c r="JL52" i="1"/>
  <c r="IH677" i="1"/>
  <c r="IG445" i="1"/>
  <c r="IG112" i="1"/>
  <c r="GT174" i="1"/>
  <c r="IW46" i="1"/>
  <c r="JF427" i="1"/>
  <c r="JL669" i="1"/>
  <c r="JL664" i="1"/>
  <c r="JO40" i="1"/>
  <c r="JC40" i="1"/>
  <c r="JO131" i="1"/>
  <c r="CY131" i="1"/>
  <c r="FB118" i="1"/>
  <c r="DO44" i="1"/>
  <c r="DE131" i="1"/>
  <c r="IQ419" i="1"/>
  <c r="IW380" i="1"/>
  <c r="JL40" i="1"/>
  <c r="IG441" i="1"/>
  <c r="JO53" i="1"/>
  <c r="IH387" i="1"/>
  <c r="IP72" i="1"/>
  <c r="IT94" i="1"/>
  <c r="D20" i="33"/>
  <c r="D19" i="33"/>
  <c r="IO139" i="1"/>
  <c r="IO104" i="1"/>
  <c r="HC139" i="1"/>
  <c r="HC104" i="1"/>
  <c r="IR139" i="1"/>
  <c r="IR104" i="1"/>
  <c r="IB139" i="1"/>
  <c r="IB104" i="1"/>
  <c r="HE139" i="1"/>
  <c r="HE104" i="1"/>
  <c r="JK139" i="1"/>
  <c r="JC139" i="1"/>
  <c r="IJ139" i="1"/>
  <c r="HG230" i="1"/>
  <c r="DM118" i="1"/>
  <c r="CW155" i="1"/>
  <c r="CU111" i="1"/>
  <c r="JK662" i="1"/>
  <c r="JL714" i="1"/>
  <c r="IH714" i="1"/>
  <c r="IH53" i="1"/>
  <c r="JO67" i="1"/>
  <c r="IN155" i="1"/>
  <c r="IP131" i="1"/>
  <c r="IQ139" i="1"/>
  <c r="IK52" i="1"/>
  <c r="IM106" i="1"/>
  <c r="CW94" i="1"/>
  <c r="CV111" i="1"/>
  <c r="CT118" i="1"/>
  <c r="IQ149" i="1"/>
  <c r="JY118" i="1"/>
  <c r="GT388" i="1"/>
  <c r="DB94" i="1"/>
  <c r="IH711" i="1"/>
  <c r="JX125" i="1"/>
  <c r="KB262" i="1"/>
  <c r="KC262" i="1"/>
  <c r="DL139" i="1"/>
  <c r="DL195" i="1"/>
  <c r="DL172" i="1"/>
  <c r="AN195" i="1"/>
  <c r="AN172" i="1"/>
  <c r="AN236" i="1"/>
  <c r="AN210" i="1"/>
  <c r="AA139" i="1"/>
  <c r="JC711" i="1"/>
  <c r="IN444" i="1"/>
  <c r="JI444" i="1"/>
  <c r="IQ600" i="1"/>
  <c r="GQ236" i="1"/>
  <c r="KA236" i="1"/>
  <c r="GQ212" i="1"/>
  <c r="KA212" i="1"/>
  <c r="GP236" i="1"/>
  <c r="JZ236" i="1"/>
  <c r="IG399" i="1"/>
  <c r="IG65" i="1"/>
  <c r="IQ445" i="1"/>
  <c r="JI322" i="1"/>
  <c r="JI308" i="1"/>
  <c r="IW322" i="1"/>
  <c r="IW308" i="1"/>
  <c r="IK322" i="1"/>
  <c r="IK308" i="1"/>
  <c r="JL322" i="1"/>
  <c r="IZ322" i="1"/>
  <c r="IZ308" i="1"/>
  <c r="IN322" i="1"/>
  <c r="IN308" i="1"/>
  <c r="IQ464" i="1"/>
  <c r="IZ458" i="1"/>
  <c r="IK458" i="1"/>
  <c r="JO558" i="1"/>
  <c r="JC558" i="1"/>
  <c r="IQ558" i="1"/>
  <c r="IQ541" i="1"/>
  <c r="JL558" i="1"/>
  <c r="IZ558" i="1"/>
  <c r="IN558" i="1"/>
  <c r="IN541" i="1"/>
  <c r="JI558" i="1"/>
  <c r="IW558" i="1"/>
  <c r="IW541" i="1"/>
  <c r="JT281" i="1"/>
  <c r="JT285" i="1"/>
  <c r="JT390" i="1"/>
  <c r="JT402" i="1"/>
  <c r="JT408" i="1"/>
  <c r="JT440" i="1"/>
  <c r="JT462" i="1"/>
  <c r="JT638" i="1"/>
  <c r="JC728" i="1"/>
  <c r="IM600" i="1"/>
  <c r="GQ230" i="1"/>
  <c r="KA230" i="1"/>
  <c r="GP230" i="1"/>
  <c r="JZ230" i="1"/>
  <c r="IK411" i="1"/>
  <c r="KC119" i="1"/>
  <c r="JF507" i="1"/>
  <c r="JF505" i="1"/>
  <c r="IW711" i="1"/>
  <c r="IW691" i="1"/>
  <c r="IW662" i="1"/>
  <c r="IW728" i="1"/>
  <c r="JI40" i="1"/>
  <c r="IF53" i="1"/>
  <c r="IG510" i="1"/>
  <c r="IG177" i="1"/>
  <c r="GP691" i="1"/>
  <c r="G10" i="30"/>
  <c r="HV609" i="1"/>
  <c r="HV575" i="1"/>
  <c r="H10" i="30"/>
  <c r="H11" i="30"/>
  <c r="U27" i="40"/>
  <c r="T30" i="40"/>
  <c r="G29" i="31"/>
  <c r="B6" i="39"/>
  <c r="J10" i="30"/>
  <c r="KC233" i="1"/>
  <c r="JX543" i="1"/>
  <c r="KC165" i="1"/>
  <c r="KC470" i="1"/>
  <c r="JX464" i="1"/>
  <c r="KB464" i="1"/>
  <c r="KC464" i="1"/>
  <c r="KC121" i="1"/>
  <c r="HV364" i="1"/>
  <c r="KB639" i="1"/>
  <c r="KC639" i="1"/>
  <c r="KB22" i="1"/>
  <c r="JS358" i="1"/>
  <c r="HW242" i="1"/>
  <c r="HW240" i="1"/>
  <c r="HW14" i="1"/>
  <c r="IH792" i="1"/>
  <c r="IH643" i="1"/>
  <c r="IH641" i="1"/>
  <c r="JF26" i="1"/>
  <c r="JE632" i="1"/>
  <c r="JE630" i="1"/>
  <c r="JE628" i="1"/>
  <c r="JF635" i="1"/>
  <c r="JF621" i="1"/>
  <c r="JF84" i="1"/>
  <c r="JF82" i="1"/>
  <c r="JF23" i="1"/>
  <c r="JF21" i="1"/>
  <c r="JF613" i="1"/>
  <c r="JF611" i="1"/>
  <c r="JE575" i="1"/>
  <c r="JD575" i="1"/>
  <c r="IH590" i="1"/>
  <c r="IF579" i="1"/>
  <c r="IF577" i="1"/>
  <c r="JD210" i="1"/>
  <c r="JF536" i="1"/>
  <c r="JF172" i="1"/>
  <c r="JF472" i="1"/>
  <c r="JD364" i="1"/>
  <c r="JD240" i="1"/>
  <c r="JF28" i="1"/>
  <c r="IH371" i="1"/>
  <c r="JF368" i="1"/>
  <c r="JF366" i="1"/>
  <c r="JF30" i="1"/>
  <c r="JS247" i="1"/>
  <c r="I10" i="36"/>
  <c r="J10" i="36"/>
  <c r="J13" i="13"/>
  <c r="S15" i="40"/>
  <c r="E16" i="25"/>
  <c r="F16" i="25"/>
  <c r="AH27" i="12"/>
  <c r="I10" i="34"/>
  <c r="J10" i="34"/>
  <c r="AA13" i="12"/>
  <c r="AA12" i="12"/>
  <c r="AA10" i="12"/>
  <c r="E14" i="32"/>
  <c r="CR662" i="1"/>
  <c r="IH779" i="1"/>
  <c r="IH780" i="1"/>
  <c r="IH775" i="1"/>
  <c r="JF768" i="1"/>
  <c r="IZ768" i="1"/>
  <c r="IV768" i="1"/>
  <c r="IV766" i="1"/>
  <c r="IV764" i="1"/>
  <c r="IP768" i="1"/>
  <c r="JX766" i="1"/>
  <c r="JX764" i="1"/>
  <c r="JP766" i="1"/>
  <c r="JP764" i="1"/>
  <c r="HE766" i="1"/>
  <c r="HE764" i="1"/>
  <c r="GV766" i="1"/>
  <c r="GV764" i="1"/>
  <c r="GO766" i="1"/>
  <c r="GO764" i="1"/>
  <c r="GO660" i="1"/>
  <c r="GO658" i="1"/>
  <c r="GK766" i="1"/>
  <c r="GK764" i="1"/>
  <c r="GD766" i="1"/>
  <c r="GD764" i="1"/>
  <c r="GD660" i="1"/>
  <c r="GD658" i="1"/>
  <c r="GD653" i="1"/>
  <c r="GD651" i="1"/>
  <c r="FW766" i="1"/>
  <c r="FW764" i="1"/>
  <c r="FS766" i="1"/>
  <c r="FS764" i="1"/>
  <c r="FS660" i="1"/>
  <c r="FS658" i="1"/>
  <c r="FS653" i="1"/>
  <c r="FS651" i="1"/>
  <c r="FQ766" i="1"/>
  <c r="FQ764" i="1"/>
  <c r="FQ660" i="1"/>
  <c r="FQ658" i="1"/>
  <c r="FN766" i="1"/>
  <c r="FN764" i="1"/>
  <c r="FN660" i="1"/>
  <c r="FN658" i="1"/>
  <c r="FK766" i="1"/>
  <c r="FK764" i="1"/>
  <c r="FI766" i="1"/>
  <c r="FI764" i="1"/>
  <c r="FG766" i="1"/>
  <c r="FG764" i="1"/>
  <c r="EX766" i="1"/>
  <c r="EX764" i="1"/>
  <c r="EW766" i="1"/>
  <c r="EW764" i="1"/>
  <c r="EW660" i="1"/>
  <c r="EW658" i="1"/>
  <c r="EW653" i="1"/>
  <c r="EW651" i="1"/>
  <c r="ET766" i="1"/>
  <c r="ET764" i="1"/>
  <c r="ET660" i="1"/>
  <c r="ET658" i="1"/>
  <c r="ES766" i="1"/>
  <c r="ES764" i="1"/>
  <c r="ES660" i="1"/>
  <c r="ES658" i="1"/>
  <c r="ES653" i="1"/>
  <c r="ES651" i="1"/>
  <c r="EJ766" i="1"/>
  <c r="EJ764" i="1"/>
  <c r="EJ660" i="1"/>
  <c r="EJ658" i="1"/>
  <c r="EJ653" i="1"/>
  <c r="EJ651" i="1"/>
  <c r="EI766" i="1"/>
  <c r="EI764" i="1"/>
  <c r="EI660" i="1"/>
  <c r="EI658" i="1"/>
  <c r="EI653" i="1"/>
  <c r="EI651" i="1"/>
  <c r="ED766" i="1"/>
  <c r="ED764" i="1"/>
  <c r="ED660" i="1"/>
  <c r="ED658" i="1"/>
  <c r="ED653" i="1"/>
  <c r="ED651" i="1"/>
  <c r="DX766" i="1"/>
  <c r="DX764" i="1"/>
  <c r="DX660" i="1"/>
  <c r="DX658" i="1"/>
  <c r="DX653" i="1"/>
  <c r="DX651" i="1"/>
  <c r="DV766" i="1"/>
  <c r="DV764" i="1"/>
  <c r="DO766" i="1"/>
  <c r="DO764" i="1"/>
  <c r="DO660" i="1"/>
  <c r="DO658" i="1"/>
  <c r="DL766" i="1"/>
  <c r="DL764" i="1"/>
  <c r="DL660" i="1"/>
  <c r="DL658" i="1"/>
  <c r="DH766" i="1"/>
  <c r="DH764" i="1"/>
  <c r="DF766" i="1"/>
  <c r="DF764" i="1"/>
  <c r="DE766" i="1"/>
  <c r="DE764" i="1"/>
  <c r="IQ768" i="1"/>
  <c r="IQ766" i="1"/>
  <c r="IQ764" i="1"/>
  <c r="IE766" i="1"/>
  <c r="IE764" i="1"/>
  <c r="GU766" i="1"/>
  <c r="GU764" i="1"/>
  <c r="DE660" i="1"/>
  <c r="DE658" i="1"/>
  <c r="DV660" i="1"/>
  <c r="DV658" i="1"/>
  <c r="GL766" i="1"/>
  <c r="GL764" i="1"/>
  <c r="GL660" i="1"/>
  <c r="GL658" i="1"/>
  <c r="GH766" i="1"/>
  <c r="GH764" i="1"/>
  <c r="GE766" i="1"/>
  <c r="GE764" i="1"/>
  <c r="FO766" i="1"/>
  <c r="FO764" i="1"/>
  <c r="FL766" i="1"/>
  <c r="FL764" i="1"/>
  <c r="FD766" i="1"/>
  <c r="FD764" i="1"/>
  <c r="EY766" i="1"/>
  <c r="EY764" i="1"/>
  <c r="EY660" i="1"/>
  <c r="EY658" i="1"/>
  <c r="EY653" i="1"/>
  <c r="EY651" i="1"/>
  <c r="EU766" i="1"/>
  <c r="EU764" i="1"/>
  <c r="EN766" i="1"/>
  <c r="EN764" i="1"/>
  <c r="EN660" i="1"/>
  <c r="EN658" i="1"/>
  <c r="EN653" i="1"/>
  <c r="EN651" i="1"/>
  <c r="EK766" i="1"/>
  <c r="EK764" i="1"/>
  <c r="EE766" i="1"/>
  <c r="EE764" i="1"/>
  <c r="EE660" i="1"/>
  <c r="EE658" i="1"/>
  <c r="DY766" i="1"/>
  <c r="DY764" i="1"/>
  <c r="DW766" i="1"/>
  <c r="DW764" i="1"/>
  <c r="DW660" i="1"/>
  <c r="DW658" i="1"/>
  <c r="DW653" i="1"/>
  <c r="DW651" i="1"/>
  <c r="DT766" i="1"/>
  <c r="DT764" i="1"/>
  <c r="DM766" i="1"/>
  <c r="DM764" i="1"/>
  <c r="DM660" i="1"/>
  <c r="DM658" i="1"/>
  <c r="DI766" i="1"/>
  <c r="DI764" i="1"/>
  <c r="DG766" i="1"/>
  <c r="DG764" i="1"/>
  <c r="DG660" i="1"/>
  <c r="DG658" i="1"/>
  <c r="DB766" i="1"/>
  <c r="DB764" i="1"/>
  <c r="DB660" i="1"/>
  <c r="DB658" i="1"/>
  <c r="IN768" i="1"/>
  <c r="ID766" i="1"/>
  <c r="ID764" i="1"/>
  <c r="HC766" i="1"/>
  <c r="HC764" i="1"/>
  <c r="HC660" i="1"/>
  <c r="HC658" i="1"/>
  <c r="GY766" i="1"/>
  <c r="GY764" i="1"/>
  <c r="DF660" i="1"/>
  <c r="DF658" i="1"/>
  <c r="GM766" i="1"/>
  <c r="GM764" i="1"/>
  <c r="GI766" i="1"/>
  <c r="GI764" i="1"/>
  <c r="GI660" i="1"/>
  <c r="GI658" i="1"/>
  <c r="GF766" i="1"/>
  <c r="GF764" i="1"/>
  <c r="GB766" i="1"/>
  <c r="GB764" i="1"/>
  <c r="FZ766" i="1"/>
  <c r="FZ764" i="1"/>
  <c r="FX766" i="1"/>
  <c r="FX764" i="1"/>
  <c r="FT766" i="1"/>
  <c r="FT764" i="1"/>
  <c r="FM766" i="1"/>
  <c r="FM764" i="1"/>
  <c r="FE766" i="1"/>
  <c r="FE764" i="1"/>
  <c r="FB766" i="1"/>
  <c r="FB764" i="1"/>
  <c r="FB660" i="1"/>
  <c r="FB658" i="1"/>
  <c r="FB653" i="1"/>
  <c r="FB651" i="1"/>
  <c r="EZ766" i="1"/>
  <c r="EZ764" i="1"/>
  <c r="EP766" i="1"/>
  <c r="EP764" i="1"/>
  <c r="EO766" i="1"/>
  <c r="EO764" i="1"/>
  <c r="EO660" i="1"/>
  <c r="EO658" i="1"/>
  <c r="EO653" i="1"/>
  <c r="EO651" i="1"/>
  <c r="EL766" i="1"/>
  <c r="EL764" i="1"/>
  <c r="EL660" i="1"/>
  <c r="EL658" i="1"/>
  <c r="EF766" i="1"/>
  <c r="EF764" i="1"/>
  <c r="EB766" i="1"/>
  <c r="EB764" i="1"/>
  <c r="DZ766" i="1"/>
  <c r="DZ764" i="1"/>
  <c r="DZ660" i="1"/>
  <c r="DZ658" i="1"/>
  <c r="DZ653" i="1"/>
  <c r="DZ651" i="1"/>
  <c r="DU766" i="1"/>
  <c r="DU764" i="1"/>
  <c r="DU660" i="1"/>
  <c r="DU658" i="1"/>
  <c r="DR766" i="1"/>
  <c r="DR764" i="1"/>
  <c r="DP766" i="1"/>
  <c r="DP764" i="1"/>
  <c r="DP660" i="1"/>
  <c r="DP658" i="1"/>
  <c r="DP653" i="1"/>
  <c r="DP651" i="1"/>
  <c r="DJ766" i="1"/>
  <c r="DJ764" i="1"/>
  <c r="DJ660" i="1"/>
  <c r="DJ658" i="1"/>
  <c r="DJ653" i="1"/>
  <c r="DJ651" i="1"/>
  <c r="CZ766" i="1"/>
  <c r="CZ764" i="1"/>
  <c r="CZ660" i="1"/>
  <c r="CZ658" i="1"/>
  <c r="C766" i="1"/>
  <c r="C764" i="1"/>
  <c r="HF766" i="1"/>
  <c r="HF764" i="1"/>
  <c r="HB766" i="1"/>
  <c r="HB764" i="1"/>
  <c r="GW766" i="1"/>
  <c r="GW764" i="1"/>
  <c r="GW660" i="1"/>
  <c r="GW658" i="1"/>
  <c r="GN766" i="1"/>
  <c r="GN764" i="1"/>
  <c r="GJ766" i="1"/>
  <c r="GJ764" i="1"/>
  <c r="GJ660" i="1"/>
  <c r="GJ658" i="1"/>
  <c r="GG766" i="1"/>
  <c r="GG764" i="1"/>
  <c r="GG660" i="1"/>
  <c r="GG658" i="1"/>
  <c r="GC766" i="1"/>
  <c r="GC764" i="1"/>
  <c r="GC660" i="1"/>
  <c r="GC658" i="1"/>
  <c r="GC653" i="1"/>
  <c r="GC651" i="1"/>
  <c r="GA766" i="1"/>
  <c r="GA764" i="1"/>
  <c r="FY766" i="1"/>
  <c r="FY764" i="1"/>
  <c r="FV766" i="1"/>
  <c r="FV764" i="1"/>
  <c r="FU766" i="1"/>
  <c r="FU764" i="1"/>
  <c r="FR766" i="1"/>
  <c r="FR764" i="1"/>
  <c r="FP766" i="1"/>
  <c r="FP764" i="1"/>
  <c r="FP660" i="1"/>
  <c r="FP658" i="1"/>
  <c r="FJ766" i="1"/>
  <c r="FJ764" i="1"/>
  <c r="FJ660" i="1"/>
  <c r="FJ658" i="1"/>
  <c r="FH766" i="1"/>
  <c r="FH764" i="1"/>
  <c r="FF766" i="1"/>
  <c r="FF764" i="1"/>
  <c r="FC766" i="1"/>
  <c r="FC764" i="1"/>
  <c r="FC660" i="1"/>
  <c r="FC658" i="1"/>
  <c r="FC653" i="1"/>
  <c r="FC651" i="1"/>
  <c r="FA766" i="1"/>
  <c r="FA764" i="1"/>
  <c r="EV766" i="1"/>
  <c r="EV764" i="1"/>
  <c r="ER766" i="1"/>
  <c r="ER764" i="1"/>
  <c r="EQ766" i="1"/>
  <c r="EQ764" i="1"/>
  <c r="EQ660" i="1"/>
  <c r="EQ658" i="1"/>
  <c r="EM766" i="1"/>
  <c r="EM764" i="1"/>
  <c r="EM660" i="1"/>
  <c r="EM658" i="1"/>
  <c r="EM653" i="1"/>
  <c r="EM651" i="1"/>
  <c r="EH766" i="1"/>
  <c r="EH764" i="1"/>
  <c r="EH660" i="1"/>
  <c r="EH658" i="1"/>
  <c r="EG766" i="1"/>
  <c r="EG764" i="1"/>
  <c r="EC766" i="1"/>
  <c r="EC764" i="1"/>
  <c r="EC660" i="1"/>
  <c r="EC658" i="1"/>
  <c r="EA766" i="1"/>
  <c r="EA764" i="1"/>
  <c r="DS766" i="1"/>
  <c r="DS764" i="1"/>
  <c r="DS660" i="1"/>
  <c r="DS658" i="1"/>
  <c r="DQ766" i="1"/>
  <c r="DQ764" i="1"/>
  <c r="DN766" i="1"/>
  <c r="DN764" i="1"/>
  <c r="DN660" i="1"/>
  <c r="DN658" i="1"/>
  <c r="DN653" i="1"/>
  <c r="DN651" i="1"/>
  <c r="DK766" i="1"/>
  <c r="DK764" i="1"/>
  <c r="DD766" i="1"/>
  <c r="DD764" i="1"/>
  <c r="DA766" i="1"/>
  <c r="DA764" i="1"/>
  <c r="CX766" i="1"/>
  <c r="CX764" i="1"/>
  <c r="CX660" i="1"/>
  <c r="CX658" i="1"/>
  <c r="CX653" i="1"/>
  <c r="CX651" i="1"/>
  <c r="CV766" i="1"/>
  <c r="CV764" i="1"/>
  <c r="CV660" i="1"/>
  <c r="CV658" i="1"/>
  <c r="CS766" i="1"/>
  <c r="CS764" i="1"/>
  <c r="CN766" i="1"/>
  <c r="CN764" i="1"/>
  <c r="CN660" i="1"/>
  <c r="CN658" i="1"/>
  <c r="CN653" i="1"/>
  <c r="CN651" i="1"/>
  <c r="CL766" i="1"/>
  <c r="CL764" i="1"/>
  <c r="CL660" i="1"/>
  <c r="CL658" i="1"/>
  <c r="CK766" i="1"/>
  <c r="CK764" i="1"/>
  <c r="CI766" i="1"/>
  <c r="CI764" i="1"/>
  <c r="CF766" i="1"/>
  <c r="CF764" i="1"/>
  <c r="CF660" i="1"/>
  <c r="CF658" i="1"/>
  <c r="CF653" i="1"/>
  <c r="CF651" i="1"/>
  <c r="CD766" i="1"/>
  <c r="CD764" i="1"/>
  <c r="CD660" i="1"/>
  <c r="CD658" i="1"/>
  <c r="CA766" i="1"/>
  <c r="CA764" i="1"/>
  <c r="CA660" i="1"/>
  <c r="CA658" i="1"/>
  <c r="BR766" i="1"/>
  <c r="BR764" i="1"/>
  <c r="BQ766" i="1"/>
  <c r="BQ764" i="1"/>
  <c r="BQ660" i="1"/>
  <c r="BQ658" i="1"/>
  <c r="BQ653" i="1"/>
  <c r="BQ651" i="1"/>
  <c r="BH766" i="1"/>
  <c r="BH764" i="1"/>
  <c r="BG766" i="1"/>
  <c r="BG764" i="1"/>
  <c r="AV766" i="1"/>
  <c r="AV764" i="1"/>
  <c r="AV660" i="1"/>
  <c r="AV658" i="1"/>
  <c r="AV653" i="1"/>
  <c r="AV651" i="1"/>
  <c r="AR766" i="1"/>
  <c r="AR764" i="1"/>
  <c r="AK766" i="1"/>
  <c r="AK764" i="1"/>
  <c r="AK660" i="1"/>
  <c r="AK658" i="1"/>
  <c r="AK653" i="1"/>
  <c r="AK651" i="1"/>
  <c r="AI766" i="1"/>
  <c r="AI764" i="1"/>
  <c r="AI660" i="1"/>
  <c r="AI658" i="1"/>
  <c r="AG766" i="1"/>
  <c r="AG764" i="1"/>
  <c r="AA766" i="1"/>
  <c r="AA764" i="1"/>
  <c r="AA660" i="1"/>
  <c r="AA658" i="1"/>
  <c r="AA653" i="1"/>
  <c r="AA651" i="1"/>
  <c r="V766" i="1"/>
  <c r="V764" i="1"/>
  <c r="V660" i="1"/>
  <c r="V658" i="1"/>
  <c r="S766" i="1"/>
  <c r="S764" i="1"/>
  <c r="Q766" i="1"/>
  <c r="Q764" i="1"/>
  <c r="H766" i="1"/>
  <c r="H764" i="1"/>
  <c r="F766" i="1"/>
  <c r="F764" i="1"/>
  <c r="F660" i="1"/>
  <c r="F658" i="1"/>
  <c r="D766" i="1"/>
  <c r="D764" i="1"/>
  <c r="IB766" i="1"/>
  <c r="IB764" i="1"/>
  <c r="HX766" i="1"/>
  <c r="HX764" i="1"/>
  <c r="HV766" i="1"/>
  <c r="HV764" i="1"/>
  <c r="HV660" i="1"/>
  <c r="HQ766" i="1"/>
  <c r="HQ764" i="1"/>
  <c r="HO766" i="1"/>
  <c r="HO764" i="1"/>
  <c r="HO660" i="1"/>
  <c r="JO766" i="1"/>
  <c r="JO764" i="1"/>
  <c r="IK766" i="1"/>
  <c r="IK764" i="1"/>
  <c r="JK766" i="1"/>
  <c r="JK764" i="1"/>
  <c r="JG766" i="1"/>
  <c r="JG764" i="1"/>
  <c r="IH781" i="1"/>
  <c r="IW774" i="1"/>
  <c r="IH774" i="1"/>
  <c r="IH772" i="1"/>
  <c r="IL766" i="1"/>
  <c r="IL764" i="1"/>
  <c r="CW766" i="1"/>
  <c r="CW764" i="1"/>
  <c r="CW660" i="1"/>
  <c r="CW658" i="1"/>
  <c r="CW653" i="1"/>
  <c r="CW651" i="1"/>
  <c r="CP766" i="1"/>
  <c r="CP764" i="1"/>
  <c r="CP660" i="1"/>
  <c r="CP658" i="1"/>
  <c r="CO766" i="1"/>
  <c r="CO764" i="1"/>
  <c r="CO660" i="1"/>
  <c r="CO658" i="1"/>
  <c r="CM766" i="1"/>
  <c r="CM764" i="1"/>
  <c r="CG766" i="1"/>
  <c r="CG764" i="1"/>
  <c r="CE766" i="1"/>
  <c r="CE764" i="1"/>
  <c r="CE660" i="1"/>
  <c r="CE658" i="1"/>
  <c r="CE653" i="1"/>
  <c r="CE651" i="1"/>
  <c r="CB766" i="1"/>
  <c r="CB764" i="1"/>
  <c r="BV766" i="1"/>
  <c r="BV764" i="1"/>
  <c r="BS766" i="1"/>
  <c r="BS764" i="1"/>
  <c r="BL766" i="1"/>
  <c r="BL764" i="1"/>
  <c r="BL660" i="1"/>
  <c r="BL658" i="1"/>
  <c r="BL653" i="1"/>
  <c r="BL651" i="1"/>
  <c r="BJ766" i="1"/>
  <c r="BJ764" i="1"/>
  <c r="BJ660" i="1"/>
  <c r="BJ658" i="1"/>
  <c r="BI766" i="1"/>
  <c r="BI764" i="1"/>
  <c r="BI660" i="1"/>
  <c r="BI658" i="1"/>
  <c r="AW766" i="1"/>
  <c r="AW764" i="1"/>
  <c r="AW660" i="1"/>
  <c r="AW658" i="1"/>
  <c r="AT766" i="1"/>
  <c r="AT764" i="1"/>
  <c r="AS766" i="1"/>
  <c r="AS764" i="1"/>
  <c r="AN766" i="1"/>
  <c r="AN764" i="1"/>
  <c r="AD766" i="1"/>
  <c r="AD764" i="1"/>
  <c r="W766" i="1"/>
  <c r="W764" i="1"/>
  <c r="W660" i="1"/>
  <c r="W658" i="1"/>
  <c r="W653" i="1"/>
  <c r="W651" i="1"/>
  <c r="L766" i="1"/>
  <c r="L764" i="1"/>
  <c r="I766" i="1"/>
  <c r="I764" i="1"/>
  <c r="G766" i="1"/>
  <c r="G764" i="1"/>
  <c r="G660" i="1"/>
  <c r="G658" i="1"/>
  <c r="G653" i="1"/>
  <c r="G651" i="1"/>
  <c r="E766" i="1"/>
  <c r="E764" i="1"/>
  <c r="IC766" i="1"/>
  <c r="IC764" i="1"/>
  <c r="HY766" i="1"/>
  <c r="HY764" i="1"/>
  <c r="HW766" i="1"/>
  <c r="HW764" i="1"/>
  <c r="HW660" i="1"/>
  <c r="HT766" i="1"/>
  <c r="HT764" i="1"/>
  <c r="HR766" i="1"/>
  <c r="HR764" i="1"/>
  <c r="JM766" i="1"/>
  <c r="JM764" i="1"/>
  <c r="JH766" i="1"/>
  <c r="JH764" i="1"/>
  <c r="IH770" i="1"/>
  <c r="IH771" i="1"/>
  <c r="IR766" i="1"/>
  <c r="IR764" i="1"/>
  <c r="IR660" i="1"/>
  <c r="IR658" i="1"/>
  <c r="IO766" i="1"/>
  <c r="IO764" i="1"/>
  <c r="IM766" i="1"/>
  <c r="IM764" i="1"/>
  <c r="CT766" i="1"/>
  <c r="CT764" i="1"/>
  <c r="CT660" i="1"/>
  <c r="CT658" i="1"/>
  <c r="CQ766" i="1"/>
  <c r="CQ764" i="1"/>
  <c r="CC766" i="1"/>
  <c r="CC764" i="1"/>
  <c r="CC660" i="1"/>
  <c r="CC658" i="1"/>
  <c r="CC653" i="1"/>
  <c r="CC651" i="1"/>
  <c r="BX766" i="1"/>
  <c r="BX764" i="1"/>
  <c r="BW766" i="1"/>
  <c r="BW764" i="1"/>
  <c r="BU766" i="1"/>
  <c r="BU764" i="1"/>
  <c r="BN766" i="1"/>
  <c r="BN764" i="1"/>
  <c r="BN660" i="1"/>
  <c r="BN658" i="1"/>
  <c r="BM766" i="1"/>
  <c r="BM764" i="1"/>
  <c r="BM660" i="1"/>
  <c r="BM658" i="1"/>
  <c r="BM653" i="1"/>
  <c r="BM651" i="1"/>
  <c r="BK766" i="1"/>
  <c r="BK764" i="1"/>
  <c r="BK660" i="1"/>
  <c r="BK658" i="1"/>
  <c r="BD766" i="1"/>
  <c r="BD764" i="1"/>
  <c r="BD660" i="1"/>
  <c r="BD658" i="1"/>
  <c r="BD653" i="1"/>
  <c r="BD651" i="1"/>
  <c r="AZ766" i="1"/>
  <c r="AZ764" i="1"/>
  <c r="AZ660" i="1"/>
  <c r="AZ658" i="1"/>
  <c r="AZ653" i="1"/>
  <c r="AZ651" i="1"/>
  <c r="AX766" i="1"/>
  <c r="AX764" i="1"/>
  <c r="AU766" i="1"/>
  <c r="AU764" i="1"/>
  <c r="AP766" i="1"/>
  <c r="AP764" i="1"/>
  <c r="AP660" i="1"/>
  <c r="AP658" i="1"/>
  <c r="AP653" i="1"/>
  <c r="AP651" i="1"/>
  <c r="AO766" i="1"/>
  <c r="AO764" i="1"/>
  <c r="AL766" i="1"/>
  <c r="AL764" i="1"/>
  <c r="AE766" i="1"/>
  <c r="AE764" i="1"/>
  <c r="AB766" i="1"/>
  <c r="AB764" i="1"/>
  <c r="AB660" i="1"/>
  <c r="AB658" i="1"/>
  <c r="AB653" i="1"/>
  <c r="AB651" i="1"/>
  <c r="X766" i="1"/>
  <c r="X764" i="1"/>
  <c r="T766" i="1"/>
  <c r="T764" i="1"/>
  <c r="N766" i="1"/>
  <c r="N764" i="1"/>
  <c r="M766" i="1"/>
  <c r="M764" i="1"/>
  <c r="M660" i="1"/>
  <c r="M658" i="1"/>
  <c r="M653" i="1"/>
  <c r="M651" i="1"/>
  <c r="J766" i="1"/>
  <c r="J764" i="1"/>
  <c r="J660" i="1"/>
  <c r="J658" i="1"/>
  <c r="J653" i="1"/>
  <c r="J651" i="1"/>
  <c r="HZ766" i="1"/>
  <c r="HZ764" i="1"/>
  <c r="HL766" i="1"/>
  <c r="HL764" i="1"/>
  <c r="HJ766" i="1"/>
  <c r="HJ764" i="1"/>
  <c r="HH766" i="1"/>
  <c r="HH764" i="1"/>
  <c r="JL766" i="1"/>
  <c r="JL764" i="1"/>
  <c r="JI766" i="1"/>
  <c r="JI764" i="1"/>
  <c r="JF766" i="1"/>
  <c r="JF764" i="1"/>
  <c r="IT766" i="1"/>
  <c r="IT764" i="1"/>
  <c r="IN766" i="1"/>
  <c r="IN764" i="1"/>
  <c r="JD766" i="1"/>
  <c r="JD764" i="1"/>
  <c r="IS766" i="1"/>
  <c r="IS764" i="1"/>
  <c r="IP766" i="1"/>
  <c r="IP764" i="1"/>
  <c r="II766" i="1"/>
  <c r="II764" i="1"/>
  <c r="II660" i="1"/>
  <c r="II658" i="1"/>
  <c r="CU766" i="1"/>
  <c r="CU764" i="1"/>
  <c r="CU660" i="1"/>
  <c r="CU658" i="1"/>
  <c r="CR766" i="1"/>
  <c r="CR764" i="1"/>
  <c r="CJ766" i="1"/>
  <c r="CJ764" i="1"/>
  <c r="CJ660" i="1"/>
  <c r="CJ658" i="1"/>
  <c r="CH766" i="1"/>
  <c r="CH764" i="1"/>
  <c r="CH660" i="1"/>
  <c r="CH658" i="1"/>
  <c r="CH653" i="1"/>
  <c r="CH651" i="1"/>
  <c r="BZ766" i="1"/>
  <c r="BZ764" i="1"/>
  <c r="BZ660" i="1"/>
  <c r="BZ658" i="1"/>
  <c r="BP766" i="1"/>
  <c r="BP764" i="1"/>
  <c r="BP660" i="1"/>
  <c r="BP658" i="1"/>
  <c r="BO766" i="1"/>
  <c r="BO764" i="1"/>
  <c r="BF766" i="1"/>
  <c r="BF764" i="1"/>
  <c r="BE766" i="1"/>
  <c r="BE764" i="1"/>
  <c r="BA766" i="1"/>
  <c r="BA764" i="1"/>
  <c r="BA660" i="1"/>
  <c r="BA658" i="1"/>
  <c r="AY766" i="1"/>
  <c r="AY764" i="1"/>
  <c r="AY660" i="1"/>
  <c r="AY658" i="1"/>
  <c r="AY653" i="1"/>
  <c r="AY651" i="1"/>
  <c r="AQ766" i="1"/>
  <c r="AQ764" i="1"/>
  <c r="AQ660" i="1"/>
  <c r="AQ658" i="1"/>
  <c r="AM766" i="1"/>
  <c r="AM764" i="1"/>
  <c r="AM660" i="1"/>
  <c r="AM658" i="1"/>
  <c r="AM653" i="1"/>
  <c r="AM651" i="1"/>
  <c r="AJ766" i="1"/>
  <c r="AJ764" i="1"/>
  <c r="AH766" i="1"/>
  <c r="AH764" i="1"/>
  <c r="AF766" i="1"/>
  <c r="AF764" i="1"/>
  <c r="AC766" i="1"/>
  <c r="AC764" i="1"/>
  <c r="Z766" i="1"/>
  <c r="Z764" i="1"/>
  <c r="Y766" i="1"/>
  <c r="Y764" i="1"/>
  <c r="Y660" i="1"/>
  <c r="Y658" i="1"/>
  <c r="U766" i="1"/>
  <c r="U764" i="1"/>
  <c r="R766" i="1"/>
  <c r="R764" i="1"/>
  <c r="P766" i="1"/>
  <c r="P764" i="1"/>
  <c r="O766" i="1"/>
  <c r="O764" i="1"/>
  <c r="O660" i="1"/>
  <c r="O658" i="1"/>
  <c r="K766" i="1"/>
  <c r="K764" i="1"/>
  <c r="IA766" i="1"/>
  <c r="IA764" i="1"/>
  <c r="HP766" i="1"/>
  <c r="HP764" i="1"/>
  <c r="HN766" i="1"/>
  <c r="HN764" i="1"/>
  <c r="HN660" i="1"/>
  <c r="HM766" i="1"/>
  <c r="HM764" i="1"/>
  <c r="HK766" i="1"/>
  <c r="HK764" i="1"/>
  <c r="HI766" i="1"/>
  <c r="HI764" i="1"/>
  <c r="JN766" i="1"/>
  <c r="JN764" i="1"/>
  <c r="JJ766" i="1"/>
  <c r="JJ764" i="1"/>
  <c r="JE766" i="1"/>
  <c r="JE764" i="1"/>
  <c r="IH773" i="1"/>
  <c r="IJ766" i="1"/>
  <c r="IJ764" i="1"/>
  <c r="IG723" i="1"/>
  <c r="JO52" i="1"/>
  <c r="JZ444" i="1"/>
  <c r="GP437" i="1"/>
  <c r="JZ437" i="1"/>
  <c r="JT393" i="1"/>
  <c r="JT59" i="1"/>
  <c r="GS59" i="1"/>
  <c r="KB218" i="1"/>
  <c r="KC220" i="1"/>
  <c r="HG632" i="1"/>
  <c r="HG630" i="1"/>
  <c r="KC641" i="1"/>
  <c r="KB26" i="1"/>
  <c r="KC26" i="1"/>
  <c r="JS232" i="1"/>
  <c r="JS558" i="1"/>
  <c r="KB733" i="1"/>
  <c r="JZ728" i="1"/>
  <c r="JZ723" i="1"/>
  <c r="KB260" i="1"/>
  <c r="KC260" i="1"/>
  <c r="JY259" i="1"/>
  <c r="KB259" i="1"/>
  <c r="KC259" i="1"/>
  <c r="KK62" i="1"/>
  <c r="GT140" i="1"/>
  <c r="GT472" i="1"/>
  <c r="KA411" i="1"/>
  <c r="GQ378" i="1"/>
  <c r="KC602" i="1"/>
  <c r="KB40" i="1"/>
  <c r="KC40" i="1"/>
  <c r="JS197" i="1"/>
  <c r="JS526" i="1"/>
  <c r="KJ58" i="1"/>
  <c r="JZ696" i="1"/>
  <c r="KB697" i="1"/>
  <c r="KC265" i="1"/>
  <c r="KB36" i="1"/>
  <c r="KB156" i="1"/>
  <c r="KC156" i="1"/>
  <c r="KC489" i="1"/>
  <c r="KB132" i="1"/>
  <c r="KC465" i="1"/>
  <c r="JZ55" i="1"/>
  <c r="GP52" i="1"/>
  <c r="JZ52" i="1"/>
  <c r="KB236" i="1"/>
  <c r="KC236" i="1"/>
  <c r="KC237" i="1"/>
  <c r="GP723" i="1"/>
  <c r="GP721" i="1"/>
  <c r="JZ721" i="1"/>
  <c r="DX44" i="1"/>
  <c r="DM167" i="1"/>
  <c r="DI131" i="1"/>
  <c r="CZ131" i="1"/>
  <c r="CW44" i="1"/>
  <c r="CT167" i="1"/>
  <c r="BW94" i="1"/>
  <c r="JS63" i="1"/>
  <c r="IF34" i="1"/>
  <c r="KC637" i="1"/>
  <c r="JM44" i="1"/>
  <c r="KB706" i="1"/>
  <c r="JY645" i="1"/>
  <c r="JY632" i="1"/>
  <c r="GT397" i="1"/>
  <c r="IM118" i="1"/>
  <c r="IF723" i="1"/>
  <c r="IF721" i="1"/>
  <c r="G17" i="3"/>
  <c r="KA768" i="1"/>
  <c r="JS747" i="1"/>
  <c r="FB167" i="1"/>
  <c r="DL155" i="1"/>
  <c r="DH131" i="1"/>
  <c r="CU94" i="1"/>
  <c r="IZ488" i="1"/>
  <c r="JL451" i="1"/>
  <c r="IZ451" i="1"/>
  <c r="IN451" i="1"/>
  <c r="IK451" i="1"/>
  <c r="JH210" i="1"/>
  <c r="JX378" i="1"/>
  <c r="JX69" i="1"/>
  <c r="JZ827" i="1"/>
  <c r="JX52" i="1"/>
  <c r="D12" i="41"/>
  <c r="D10" i="41"/>
  <c r="JS380" i="1"/>
  <c r="GR419" i="1"/>
  <c r="JY125" i="1"/>
  <c r="JS500" i="1"/>
  <c r="IJ52" i="1"/>
  <c r="IJ44" i="1"/>
  <c r="IJ21" i="1"/>
  <c r="KB493" i="1"/>
  <c r="IT174" i="1"/>
  <c r="IT172" i="1"/>
  <c r="IK149" i="1"/>
  <c r="CU44" i="1"/>
  <c r="EV44" i="1"/>
  <c r="DF94" i="1"/>
  <c r="BU131" i="1"/>
  <c r="IF378" i="1"/>
  <c r="JX131" i="1"/>
  <c r="HW12" i="1"/>
  <c r="JT57" i="1"/>
  <c r="KC430" i="1"/>
  <c r="JS488" i="1"/>
  <c r="HT44" i="1"/>
  <c r="IP67" i="1"/>
  <c r="IM139" i="1"/>
  <c r="IS21" i="1"/>
  <c r="GR22" i="1"/>
  <c r="IF664" i="1"/>
  <c r="KB701" i="1"/>
  <c r="KC701" i="1"/>
  <c r="BT139" i="1"/>
  <c r="BT167" i="1"/>
  <c r="AP94" i="1"/>
  <c r="AA167" i="1"/>
  <c r="AA104" i="1"/>
  <c r="AA12" i="1"/>
  <c r="AA10" i="1"/>
  <c r="X94" i="1"/>
  <c r="R236" i="1"/>
  <c r="R210" i="1"/>
  <c r="H139" i="1"/>
  <c r="H104" i="1"/>
  <c r="JF439" i="1"/>
  <c r="JL458" i="1"/>
  <c r="IY723" i="1"/>
  <c r="IY721" i="1"/>
  <c r="JL32" i="1"/>
  <c r="JL30" i="1"/>
  <c r="IP378" i="1"/>
  <c r="IP669" i="1"/>
  <c r="IP664" i="1"/>
  <c r="IP662" i="1"/>
  <c r="IN728" i="1"/>
  <c r="GT678" i="1"/>
  <c r="AS236" i="1"/>
  <c r="AS210" i="1"/>
  <c r="AP139" i="1"/>
  <c r="AP104" i="1"/>
  <c r="AB195" i="1"/>
  <c r="AB172" i="1"/>
  <c r="Y94" i="1"/>
  <c r="S236" i="1"/>
  <c r="S210" i="1"/>
  <c r="JI419" i="1"/>
  <c r="IM579" i="1"/>
  <c r="IM577" i="1"/>
  <c r="JN723" i="1"/>
  <c r="JN721" i="1"/>
  <c r="JO380" i="1"/>
  <c r="JL581" i="1"/>
  <c r="JL711" i="1"/>
  <c r="JL691" i="1"/>
  <c r="JL662" i="1"/>
  <c r="IH745" i="1"/>
  <c r="JI32" i="1"/>
  <c r="JI30" i="1"/>
  <c r="GP30" i="1"/>
  <c r="JZ30" i="1"/>
  <c r="IQ40" i="1"/>
  <c r="KC113" i="1"/>
  <c r="IG324" i="1"/>
  <c r="JL507" i="1"/>
  <c r="JL505" i="1"/>
  <c r="AS94" i="1"/>
  <c r="AS44" i="1"/>
  <c r="AR167" i="1"/>
  <c r="AM167" i="1"/>
  <c r="AM104" i="1"/>
  <c r="AM12" i="1"/>
  <c r="IV242" i="1"/>
  <c r="JB723" i="1"/>
  <c r="JB721" i="1"/>
  <c r="JK723" i="1"/>
  <c r="JK721" i="1"/>
  <c r="JK660" i="1"/>
  <c r="JK658" i="1"/>
  <c r="JF444" i="1"/>
  <c r="IH673" i="1"/>
  <c r="IT427" i="1"/>
  <c r="IT378" i="1"/>
  <c r="IS723" i="1"/>
  <c r="IS721" i="1"/>
  <c r="IS660" i="1"/>
  <c r="IS658" i="1"/>
  <c r="IG509" i="1"/>
  <c r="IG176" i="1"/>
  <c r="IV39" i="1"/>
  <c r="IV38" i="1"/>
  <c r="IH732" i="1"/>
  <c r="IH674" i="1"/>
  <c r="IH449" i="1"/>
  <c r="IH116" i="1"/>
  <c r="JL23" i="1"/>
  <c r="JL21" i="1"/>
  <c r="JC34" i="1"/>
  <c r="JC30" i="1"/>
  <c r="GP212" i="1"/>
  <c r="JZ212" i="1"/>
  <c r="JL39" i="1"/>
  <c r="JL38" i="1"/>
  <c r="IF50" i="1"/>
  <c r="IG508" i="1"/>
  <c r="JT425" i="1"/>
  <c r="FW660" i="1"/>
  <c r="FW658" i="1"/>
  <c r="FW653" i="1"/>
  <c r="FW651" i="1"/>
  <c r="FI660" i="1"/>
  <c r="FI658" i="1"/>
  <c r="FI653" i="1"/>
  <c r="FI651" i="1"/>
  <c r="GH660" i="1"/>
  <c r="GH658" i="1"/>
  <c r="GH653" i="1"/>
  <c r="GH651" i="1"/>
  <c r="EZ660" i="1"/>
  <c r="EZ658" i="1"/>
  <c r="FM660" i="1"/>
  <c r="FM658" i="1"/>
  <c r="FM653" i="1"/>
  <c r="FM651" i="1"/>
  <c r="FR660" i="1"/>
  <c r="FR658" i="1"/>
  <c r="DJ364" i="1"/>
  <c r="DJ240" i="1"/>
  <c r="DK118" i="1"/>
  <c r="DK240" i="1"/>
  <c r="DJ72" i="1"/>
  <c r="GR378" i="1"/>
  <c r="HD14" i="1"/>
  <c r="K18" i="40"/>
  <c r="JR242" i="1"/>
  <c r="JR240" i="1"/>
  <c r="ID242" i="1"/>
  <c r="ID240" i="1"/>
  <c r="GJ242" i="1"/>
  <c r="GJ240" i="1"/>
  <c r="FX67" i="1"/>
  <c r="FX44" i="1"/>
  <c r="FX242" i="1"/>
  <c r="FX240" i="1"/>
  <c r="FW67" i="1"/>
  <c r="FW44" i="1"/>
  <c r="FU242" i="1"/>
  <c r="FU240" i="1"/>
  <c r="HJ44" i="1"/>
  <c r="JX293" i="1"/>
  <c r="BW104" i="1"/>
  <c r="GL104" i="1"/>
  <c r="GK242" i="1"/>
  <c r="GK240" i="1"/>
  <c r="GF242" i="1"/>
  <c r="GF240" i="1"/>
  <c r="GD242" i="1"/>
  <c r="GD240" i="1"/>
  <c r="GB242" i="1"/>
  <c r="GB240" i="1"/>
  <c r="FZ104" i="1"/>
  <c r="FY242" i="1"/>
  <c r="FY240" i="1"/>
  <c r="GT308" i="1"/>
  <c r="GT72" i="1"/>
  <c r="GC44" i="1"/>
  <c r="DI240" i="1"/>
  <c r="GI44" i="1"/>
  <c r="GH67" i="1"/>
  <c r="GH44" i="1"/>
  <c r="GG104" i="1"/>
  <c r="GG242" i="1"/>
  <c r="GG240" i="1"/>
  <c r="GE242" i="1"/>
  <c r="GE240" i="1"/>
  <c r="FZ44" i="1"/>
  <c r="FW104" i="1"/>
  <c r="GR77" i="1"/>
  <c r="HL44" i="1"/>
  <c r="IE242" i="1"/>
  <c r="IE240" i="1"/>
  <c r="JY273" i="1"/>
  <c r="FZ242" i="1"/>
  <c r="FZ240" i="1"/>
  <c r="FY72" i="1"/>
  <c r="FT242" i="1"/>
  <c r="FT240" i="1"/>
  <c r="FR242" i="1"/>
  <c r="FR240" i="1"/>
  <c r="FO242" i="1"/>
  <c r="FO240" i="1"/>
  <c r="FM104" i="1"/>
  <c r="FF104" i="1"/>
  <c r="FF12" i="1"/>
  <c r="FB72" i="1"/>
  <c r="EY67" i="1"/>
  <c r="EY44" i="1"/>
  <c r="DH72" i="1"/>
  <c r="CC72" i="1"/>
  <c r="CC44" i="1"/>
  <c r="BT67" i="1"/>
  <c r="BT44" i="1"/>
  <c r="BO67" i="1"/>
  <c r="BO44" i="1"/>
  <c r="BO12" i="1"/>
  <c r="BI67" i="1"/>
  <c r="BI44" i="1"/>
  <c r="BG67" i="1"/>
  <c r="BG44" i="1"/>
  <c r="BE72" i="1"/>
  <c r="BE44" i="1"/>
  <c r="BA308" i="1"/>
  <c r="BA242" i="1"/>
  <c r="BA240" i="1"/>
  <c r="AY72" i="1"/>
  <c r="AV72" i="1"/>
  <c r="AV44" i="1"/>
  <c r="AV12" i="1"/>
  <c r="AV10" i="1"/>
  <c r="AI242" i="1"/>
  <c r="AI240" i="1"/>
  <c r="AC308" i="1"/>
  <c r="AC242" i="1"/>
  <c r="AC240" i="1"/>
  <c r="S273" i="1"/>
  <c r="S242" i="1"/>
  <c r="S240" i="1"/>
  <c r="H44" i="1"/>
  <c r="E104" i="1"/>
  <c r="IC242" i="1"/>
  <c r="IC240" i="1"/>
  <c r="FS242" i="1"/>
  <c r="FS240" i="1"/>
  <c r="FJ104" i="1"/>
  <c r="FJ12" i="1"/>
  <c r="EX72" i="1"/>
  <c r="EX44" i="1"/>
  <c r="EW242" i="1"/>
  <c r="EW240" i="1"/>
  <c r="ET12" i="1"/>
  <c r="EA308" i="1"/>
  <c r="EA242" i="1"/>
  <c r="EA240" i="1"/>
  <c r="DG155" i="1"/>
  <c r="CZ72" i="1"/>
  <c r="CX67" i="1"/>
  <c r="CB67" i="1"/>
  <c r="CB44" i="1"/>
  <c r="CB104" i="1"/>
  <c r="BW72" i="1"/>
  <c r="BS72" i="1"/>
  <c r="BM72" i="1"/>
  <c r="BF308" i="1"/>
  <c r="BF242" i="1"/>
  <c r="BF240" i="1"/>
  <c r="AT242" i="1"/>
  <c r="AT240" i="1"/>
  <c r="AS104" i="1"/>
  <c r="AR104" i="1"/>
  <c r="AQ104" i="1"/>
  <c r="AQ12" i="1"/>
  <c r="F104" i="1"/>
  <c r="JG242" i="1"/>
  <c r="FR104" i="1"/>
  <c r="FP104" i="1"/>
  <c r="FP12" i="1"/>
  <c r="FP242" i="1"/>
  <c r="FP240" i="1"/>
  <c r="FL242" i="1"/>
  <c r="FL240" i="1"/>
  <c r="FF242" i="1"/>
  <c r="FF240" i="1"/>
  <c r="FE44" i="1"/>
  <c r="EQ155" i="1"/>
  <c r="EQ104" i="1"/>
  <c r="EI67" i="1"/>
  <c r="EI44" i="1"/>
  <c r="EI12" i="1"/>
  <c r="EG72" i="1"/>
  <c r="EG44" i="1"/>
  <c r="EG12" i="1"/>
  <c r="BV67" i="1"/>
  <c r="BS67" i="1"/>
  <c r="BQ104" i="1"/>
  <c r="BQ12" i="1"/>
  <c r="BM67" i="1"/>
  <c r="BM44" i="1"/>
  <c r="Y104" i="1"/>
  <c r="N104" i="1"/>
  <c r="I242" i="1"/>
  <c r="I240" i="1"/>
  <c r="FS104" i="1"/>
  <c r="FQ242" i="1"/>
  <c r="FQ240" i="1"/>
  <c r="FN308" i="1"/>
  <c r="FN242" i="1"/>
  <c r="FN240" i="1"/>
  <c r="FL104" i="1"/>
  <c r="FM242" i="1"/>
  <c r="FM240" i="1"/>
  <c r="FI67" i="1"/>
  <c r="FI44" i="1"/>
  <c r="FG242" i="1"/>
  <c r="FG240" i="1"/>
  <c r="FB242" i="1"/>
  <c r="FB240" i="1"/>
  <c r="EZ67" i="1"/>
  <c r="FA77" i="1"/>
  <c r="FA44" i="1"/>
  <c r="CU167" i="1"/>
  <c r="CS67" i="1"/>
  <c r="CS44" i="1"/>
  <c r="CN104" i="1"/>
  <c r="CJ67" i="1"/>
  <c r="CJ44" i="1"/>
  <c r="CJ12" i="1"/>
  <c r="CJ10" i="1"/>
  <c r="BN67" i="1"/>
  <c r="BN44" i="1"/>
  <c r="BN12" i="1"/>
  <c r="BH67" i="1"/>
  <c r="BH44" i="1"/>
  <c r="BH12" i="1"/>
  <c r="BD72" i="1"/>
  <c r="BD44" i="1"/>
  <c r="BD12" i="1"/>
  <c r="AZ72" i="1"/>
  <c r="AZ44" i="1"/>
  <c r="AX104" i="1"/>
  <c r="AX12" i="1"/>
  <c r="AW67" i="1"/>
  <c r="AN273" i="1"/>
  <c r="Q104" i="1"/>
  <c r="P242" i="1"/>
  <c r="P240" i="1"/>
  <c r="HZ273" i="1"/>
  <c r="HG296" i="1"/>
  <c r="GS296" i="1"/>
  <c r="JT296" i="1"/>
  <c r="HG289" i="1"/>
  <c r="HG323" i="1"/>
  <c r="HG317" i="1"/>
  <c r="GS317" i="1"/>
  <c r="IH323" i="1"/>
  <c r="IH160" i="1"/>
  <c r="AU72" i="1"/>
  <c r="AU44" i="1"/>
  <c r="AU12" i="1"/>
  <c r="AR67" i="1"/>
  <c r="AB167" i="1"/>
  <c r="V104" i="1"/>
  <c r="V242" i="1"/>
  <c r="V240" i="1"/>
  <c r="T104" i="1"/>
  <c r="T12" i="1"/>
  <c r="T242" i="1"/>
  <c r="T240" i="1"/>
  <c r="R104" i="1"/>
  <c r="P167" i="1"/>
  <c r="Q242" i="1"/>
  <c r="Q240" i="1"/>
  <c r="O104" i="1"/>
  <c r="O12" i="1"/>
  <c r="N308" i="1"/>
  <c r="N242" i="1"/>
  <c r="N240" i="1"/>
  <c r="J242" i="1"/>
  <c r="J240" i="1"/>
  <c r="G44" i="1"/>
  <c r="G104" i="1"/>
  <c r="HT242" i="1"/>
  <c r="HR242" i="1"/>
  <c r="HQ242" i="1"/>
  <c r="HQ240" i="1"/>
  <c r="HN242" i="1"/>
  <c r="HN240" i="1"/>
  <c r="JC308" i="1"/>
  <c r="JK273" i="1"/>
  <c r="JB273" i="1"/>
  <c r="HG290" i="1"/>
  <c r="JT290" i="1"/>
  <c r="HG311" i="1"/>
  <c r="KC311" i="1"/>
  <c r="GS311" i="1"/>
  <c r="AT67" i="1"/>
  <c r="AT44" i="1"/>
  <c r="AT12" i="1"/>
  <c r="AP308" i="1"/>
  <c r="AP242" i="1"/>
  <c r="AP240" i="1"/>
  <c r="AN308" i="1"/>
  <c r="AL308" i="1"/>
  <c r="AL242" i="1"/>
  <c r="AL240" i="1"/>
  <c r="AI72" i="1"/>
  <c r="AF72" i="1"/>
  <c r="AF44" i="1"/>
  <c r="AE67" i="1"/>
  <c r="AE44" i="1"/>
  <c r="Z104" i="1"/>
  <c r="W104" i="1"/>
  <c r="W12" i="1"/>
  <c r="W308" i="1"/>
  <c r="W242" i="1"/>
  <c r="W240" i="1"/>
  <c r="U104" i="1"/>
  <c r="U308" i="1"/>
  <c r="U242" i="1"/>
  <c r="U240" i="1"/>
  <c r="S67" i="1"/>
  <c r="S44" i="1"/>
  <c r="S12" i="1"/>
  <c r="N67" i="1"/>
  <c r="L104" i="1"/>
  <c r="L308" i="1"/>
  <c r="L242" i="1"/>
  <c r="L240" i="1"/>
  <c r="J104" i="1"/>
  <c r="K308" i="1"/>
  <c r="K242" i="1"/>
  <c r="K240" i="1"/>
  <c r="F242" i="1"/>
  <c r="F240" i="1"/>
  <c r="D308" i="1"/>
  <c r="D242" i="1"/>
  <c r="D240" i="1"/>
  <c r="HZ308" i="1"/>
  <c r="HZ242" i="1"/>
  <c r="HZ240" i="1"/>
  <c r="HX308" i="1"/>
  <c r="HX242" i="1"/>
  <c r="HU308" i="1"/>
  <c r="HS308" i="1"/>
  <c r="HS242" i="1"/>
  <c r="HS240" i="1"/>
  <c r="HK308" i="1"/>
  <c r="HK242" i="1"/>
  <c r="HK240" i="1"/>
  <c r="JO273" i="1"/>
  <c r="HG306" i="1"/>
  <c r="GS306" i="1"/>
  <c r="GS299" i="1"/>
  <c r="HG294" i="1"/>
  <c r="GS291" i="1"/>
  <c r="JT291" i="1"/>
  <c r="HG327" i="1"/>
  <c r="GS327" i="1"/>
  <c r="HG324" i="1"/>
  <c r="HG320" i="1"/>
  <c r="HG314" i="1"/>
  <c r="GS314" i="1"/>
  <c r="IF107" i="1"/>
  <c r="AQ308" i="1"/>
  <c r="AQ242" i="1"/>
  <c r="AQ240" i="1"/>
  <c r="AO308" i="1"/>
  <c r="AO242" i="1"/>
  <c r="AO240" i="1"/>
  <c r="AM308" i="1"/>
  <c r="AM242" i="1"/>
  <c r="AM240" i="1"/>
  <c r="AH67" i="1"/>
  <c r="AH44" i="1"/>
  <c r="AH12" i="1"/>
  <c r="AI77" i="1"/>
  <c r="AD44" i="1"/>
  <c r="AD12" i="1"/>
  <c r="AE104" i="1"/>
  <c r="AD308" i="1"/>
  <c r="AD242" i="1"/>
  <c r="AD240" i="1"/>
  <c r="R72" i="1"/>
  <c r="M104" i="1"/>
  <c r="M12" i="1"/>
  <c r="M242" i="1"/>
  <c r="M240" i="1"/>
  <c r="K104" i="1"/>
  <c r="H308" i="1"/>
  <c r="H242" i="1"/>
  <c r="H240" i="1"/>
  <c r="E242" i="1"/>
  <c r="E240" i="1"/>
  <c r="IB242" i="1"/>
  <c r="IB240" i="1"/>
  <c r="HV308" i="1"/>
  <c r="HV242" i="1"/>
  <c r="JL308" i="1"/>
  <c r="IJ242" i="1"/>
  <c r="JK308" i="1"/>
  <c r="JN273" i="1"/>
  <c r="JN308" i="1"/>
  <c r="HG300" i="1"/>
  <c r="HG295" i="1"/>
  <c r="KC295" i="1"/>
  <c r="IF92" i="1"/>
  <c r="IH320" i="1"/>
  <c r="IH319" i="1"/>
  <c r="IG320" i="1"/>
  <c r="IG319" i="1"/>
  <c r="GR172" i="1"/>
  <c r="DH364" i="1"/>
  <c r="DH240" i="1"/>
  <c r="DI86" i="1"/>
  <c r="DI44" i="1"/>
  <c r="JZ273" i="1"/>
  <c r="GR273" i="1"/>
  <c r="KG28" i="1"/>
  <c r="JY308" i="1"/>
  <c r="JZ308" i="1"/>
  <c r="KF68" i="1"/>
  <c r="KF27" i="1"/>
  <c r="GR308" i="1"/>
  <c r="GT67" i="1"/>
  <c r="HE44" i="1"/>
  <c r="GR68" i="1"/>
  <c r="GR67" i="1"/>
  <c r="GV52" i="1"/>
  <c r="GV44" i="1"/>
  <c r="GZ52" i="1"/>
  <c r="GZ44" i="1"/>
  <c r="GI104" i="1"/>
  <c r="GI12" i="1"/>
  <c r="GC104" i="1"/>
  <c r="FX104" i="1"/>
  <c r="FQ104" i="1"/>
  <c r="FQ12" i="1"/>
  <c r="FN104" i="1"/>
  <c r="GW52" i="1"/>
  <c r="GW44" i="1"/>
  <c r="HA52" i="1"/>
  <c r="FY104" i="1"/>
  <c r="EV104" i="1"/>
  <c r="HX44" i="1"/>
  <c r="GX52" i="1"/>
  <c r="GK104" i="1"/>
  <c r="FV104" i="1"/>
  <c r="FU104" i="1"/>
  <c r="FI104" i="1"/>
  <c r="EX104" i="1"/>
  <c r="HH44" i="1"/>
  <c r="GY52" i="1"/>
  <c r="GY44" i="1"/>
  <c r="GH104" i="1"/>
  <c r="GF104" i="1"/>
  <c r="GE104" i="1"/>
  <c r="GE12" i="1"/>
  <c r="GB104" i="1"/>
  <c r="GB12" i="1"/>
  <c r="FA104" i="1"/>
  <c r="EY104" i="1"/>
  <c r="BI12" i="1"/>
  <c r="GK44" i="1"/>
  <c r="FK104" i="1"/>
  <c r="GN104" i="1"/>
  <c r="FD44" i="1"/>
  <c r="GA44" i="1"/>
  <c r="GA12" i="1"/>
  <c r="FS44" i="1"/>
  <c r="FM44" i="1"/>
  <c r="FM12" i="1"/>
  <c r="EH12" i="1"/>
  <c r="CC12" i="1"/>
  <c r="BZ12" i="1"/>
  <c r="CM240" i="1"/>
  <c r="GJ44" i="1"/>
  <c r="FT104" i="1"/>
  <c r="EZ44" i="1"/>
  <c r="GL12" i="1"/>
  <c r="BB12" i="1"/>
  <c r="BG12" i="1"/>
  <c r="FO104" i="1"/>
  <c r="GJ104" i="1"/>
  <c r="GG44" i="1"/>
  <c r="FL44" i="1"/>
  <c r="FL12" i="1"/>
  <c r="FH44" i="1"/>
  <c r="FH12" i="1"/>
  <c r="FG104" i="1"/>
  <c r="FE167" i="1"/>
  <c r="FE104" i="1"/>
  <c r="EU104" i="1"/>
  <c r="EU12" i="1"/>
  <c r="DP104" i="1"/>
  <c r="DP12" i="1"/>
  <c r="CO104" i="1"/>
  <c r="CO12" i="1"/>
  <c r="EO104" i="1"/>
  <c r="DH167" i="1"/>
  <c r="DD104" i="1"/>
  <c r="CZ167" i="1"/>
  <c r="CM44" i="1"/>
  <c r="CI240" i="1"/>
  <c r="CA240" i="1"/>
  <c r="ER44" i="1"/>
  <c r="ER12" i="1"/>
  <c r="EQ44" i="1"/>
  <c r="EQ12" i="1"/>
  <c r="EP104" i="1"/>
  <c r="EK12" i="1"/>
  <c r="EF104" i="1"/>
  <c r="DU104" i="1"/>
  <c r="DL167" i="1"/>
  <c r="DF167" i="1"/>
  <c r="DE104" i="1"/>
  <c r="CG44" i="1"/>
  <c r="CB240" i="1"/>
  <c r="AJ104" i="1"/>
  <c r="AF104" i="1"/>
  <c r="AF12" i="1"/>
  <c r="N44" i="1"/>
  <c r="N12" i="1"/>
  <c r="I104" i="1"/>
  <c r="DS12" i="1"/>
  <c r="DO167" i="1"/>
  <c r="DG167" i="1"/>
  <c r="DC167" i="1"/>
  <c r="CX44" i="1"/>
  <c r="CW167" i="1"/>
  <c r="CW104" i="1"/>
  <c r="CW12" i="1"/>
  <c r="CW10" i="1"/>
  <c r="CH67" i="1"/>
  <c r="CH240" i="1"/>
  <c r="CF44" i="1"/>
  <c r="AL104" i="1"/>
  <c r="AL12" i="1"/>
  <c r="AG104" i="1"/>
  <c r="AG12" i="1"/>
  <c r="ES44" i="1"/>
  <c r="ES104" i="1"/>
  <c r="DN167" i="1"/>
  <c r="DA44" i="1"/>
  <c r="DA106" i="1"/>
  <c r="CX167" i="1"/>
  <c r="CV167" i="1"/>
  <c r="AN167" i="1"/>
  <c r="IF147" i="1"/>
  <c r="IF129" i="1"/>
  <c r="IF125" i="1"/>
  <c r="AW44" i="1"/>
  <c r="AW12" i="1"/>
  <c r="AP44" i="1"/>
  <c r="AO167" i="1"/>
  <c r="AO104" i="1"/>
  <c r="Z44" i="1"/>
  <c r="IF59" i="1"/>
  <c r="AC167" i="1"/>
  <c r="AC104" i="1"/>
  <c r="AC12" i="1"/>
  <c r="X44" i="1"/>
  <c r="AY44" i="1"/>
  <c r="Y44" i="1"/>
  <c r="Y12" i="1"/>
  <c r="R13" i="40"/>
  <c r="H8" i="36"/>
  <c r="F13" i="12"/>
  <c r="D11" i="31"/>
  <c r="AH15" i="12"/>
  <c r="H8" i="34"/>
  <c r="D15" i="25"/>
  <c r="F15" i="25"/>
  <c r="KC860" i="1"/>
  <c r="KF11" i="1"/>
  <c r="J8" i="30"/>
  <c r="G12" i="30"/>
  <c r="E8" i="39"/>
  <c r="KC688" i="1"/>
  <c r="F10" i="30"/>
  <c r="G33" i="31"/>
  <c r="J12" i="30"/>
  <c r="F12" i="30"/>
  <c r="H30" i="31"/>
  <c r="F34" i="32"/>
  <c r="F32" i="31"/>
  <c r="B7" i="30"/>
  <c r="G32" i="31"/>
  <c r="U30" i="40"/>
  <c r="T27" i="40"/>
  <c r="E6" i="18"/>
  <c r="F21" i="25"/>
  <c r="M11" i="40"/>
  <c r="KC221" i="1"/>
  <c r="HG218" i="1"/>
  <c r="KC522" i="1"/>
  <c r="KB191" i="1"/>
  <c r="KC191" i="1"/>
  <c r="JS23" i="1"/>
  <c r="JS21" i="1"/>
  <c r="KC222" i="1"/>
  <c r="JX205" i="1"/>
  <c r="JX204" i="1"/>
  <c r="JX199" i="1"/>
  <c r="KB189" i="1"/>
  <c r="KC189" i="1"/>
  <c r="KC520" i="1"/>
  <c r="HT104" i="1"/>
  <c r="HT12" i="1"/>
  <c r="KC472" i="1"/>
  <c r="JS472" i="1"/>
  <c r="KC134" i="1"/>
  <c r="KC115" i="1"/>
  <c r="HG111" i="1"/>
  <c r="KC406" i="1"/>
  <c r="HG63" i="1"/>
  <c r="KC63" i="1"/>
  <c r="KC65" i="1"/>
  <c r="HT364" i="1"/>
  <c r="HT240" i="1"/>
  <c r="M18" i="40"/>
  <c r="I9" i="30"/>
  <c r="B6" i="29"/>
  <c r="J9" i="30"/>
  <c r="HG691" i="1"/>
  <c r="KB811" i="1"/>
  <c r="HU766" i="1"/>
  <c r="HU764" i="1"/>
  <c r="KC685" i="1"/>
  <c r="KB671" i="1"/>
  <c r="JY21" i="1"/>
  <c r="HU575" i="1"/>
  <c r="JT840" i="1"/>
  <c r="JB790" i="1"/>
  <c r="IF790" i="1"/>
  <c r="JC791" i="1"/>
  <c r="JC790" i="1"/>
  <c r="IG791" i="1"/>
  <c r="IG790" i="1"/>
  <c r="JS768" i="1"/>
  <c r="IF768" i="1"/>
  <c r="JC768" i="1"/>
  <c r="JC766" i="1"/>
  <c r="JC764" i="1"/>
  <c r="IH769" i="1"/>
  <c r="IH768" i="1"/>
  <c r="JB766" i="1"/>
  <c r="JB764" i="1"/>
  <c r="JA766" i="1"/>
  <c r="JA764" i="1"/>
  <c r="IG769" i="1"/>
  <c r="IG768" i="1"/>
  <c r="JT769" i="1"/>
  <c r="IH703" i="1"/>
  <c r="IH702" i="1"/>
  <c r="IH691" i="1"/>
  <c r="JC702" i="1"/>
  <c r="JS691" i="1"/>
  <c r="JC691" i="1"/>
  <c r="IF662" i="1"/>
  <c r="JB702" i="1"/>
  <c r="JB691" i="1"/>
  <c r="JB664" i="1"/>
  <c r="IH667" i="1"/>
  <c r="IH666" i="1"/>
  <c r="JC666" i="1"/>
  <c r="JC664" i="1"/>
  <c r="JA664" i="1"/>
  <c r="JA662" i="1"/>
  <c r="JC26" i="1"/>
  <c r="IG641" i="1"/>
  <c r="IF21" i="1"/>
  <c r="JC17" i="1"/>
  <c r="JC634" i="1"/>
  <c r="JB634" i="1"/>
  <c r="JB632" i="1"/>
  <c r="JB630" i="1"/>
  <c r="JB628" i="1"/>
  <c r="JC621" i="1"/>
  <c r="JC619" i="1"/>
  <c r="JC609" i="1"/>
  <c r="JC84" i="1"/>
  <c r="JC82" i="1"/>
  <c r="JB619" i="1"/>
  <c r="JA609" i="1"/>
  <c r="JC613" i="1"/>
  <c r="JC611" i="1"/>
  <c r="IH614" i="1"/>
  <c r="JC23" i="1"/>
  <c r="JA575" i="1"/>
  <c r="IG614" i="1"/>
  <c r="IF609" i="1"/>
  <c r="IF575" i="1"/>
  <c r="E13" i="3"/>
  <c r="G13" i="3"/>
  <c r="JB609" i="1"/>
  <c r="JA210" i="1"/>
  <c r="JS199" i="1"/>
  <c r="JA530" i="1"/>
  <c r="IF199" i="1"/>
  <c r="IF530" i="1"/>
  <c r="JC535" i="1"/>
  <c r="JC530" i="1"/>
  <c r="JC205" i="1"/>
  <c r="JC204" i="1"/>
  <c r="JC199" i="1"/>
  <c r="JC187" i="1"/>
  <c r="IH518" i="1"/>
  <c r="IH187" i="1"/>
  <c r="JC172" i="1"/>
  <c r="JC472" i="1"/>
  <c r="JC464" i="1"/>
  <c r="JC134" i="1"/>
  <c r="JC131" i="1"/>
  <c r="JC458" i="1"/>
  <c r="JC126" i="1"/>
  <c r="JA437" i="1"/>
  <c r="JA364" i="1"/>
  <c r="IH459" i="1"/>
  <c r="IH126" i="1"/>
  <c r="JA94" i="1"/>
  <c r="JA44" i="1"/>
  <c r="JC70" i="1"/>
  <c r="JC67" i="1"/>
  <c r="IH404" i="1"/>
  <c r="IH70" i="1"/>
  <c r="JC401" i="1"/>
  <c r="IG395" i="1"/>
  <c r="JC44" i="1"/>
  <c r="JC368" i="1"/>
  <c r="JC366" i="1"/>
  <c r="JC215" i="1"/>
  <c r="JC347" i="1"/>
  <c r="JA242" i="1"/>
  <c r="JC28" i="1"/>
  <c r="IH257" i="1"/>
  <c r="IG255" i="1"/>
  <c r="I13" i="36"/>
  <c r="I12" i="36"/>
  <c r="I13" i="34"/>
  <c r="I12" i="34"/>
  <c r="E25" i="25"/>
  <c r="E24" i="19"/>
  <c r="E21" i="31"/>
  <c r="S19" i="40"/>
  <c r="D9" i="18"/>
  <c r="S48" i="12"/>
  <c r="Z13" i="12"/>
  <c r="Z12" i="12"/>
  <c r="Z10" i="12"/>
  <c r="Z66" i="12"/>
  <c r="K10" i="36"/>
  <c r="F8" i="30"/>
  <c r="T33" i="40"/>
  <c r="AL660" i="1"/>
  <c r="AL658" i="1"/>
  <c r="AL653" i="1"/>
  <c r="AL651" i="1"/>
  <c r="L660" i="1"/>
  <c r="L658" i="1"/>
  <c r="L653" i="1"/>
  <c r="L651" i="1"/>
  <c r="IC660" i="1"/>
  <c r="HZ660" i="1"/>
  <c r="HR660" i="1"/>
  <c r="HL660" i="1"/>
  <c r="AS660" i="1"/>
  <c r="AS658" i="1"/>
  <c r="AS653" i="1"/>
  <c r="AS651" i="1"/>
  <c r="AO660" i="1"/>
  <c r="AO658" i="1"/>
  <c r="AO653" i="1"/>
  <c r="AO651" i="1"/>
  <c r="CM660" i="1"/>
  <c r="CM658" i="1"/>
  <c r="HX660" i="1"/>
  <c r="DA364" i="1"/>
  <c r="DA240" i="1"/>
  <c r="CZ364" i="1"/>
  <c r="CZ240" i="1"/>
  <c r="CZ67" i="1"/>
  <c r="CZ44" i="1"/>
  <c r="GS17" i="1"/>
  <c r="GT247" i="1"/>
  <c r="JT823" i="1"/>
  <c r="JT820" i="1"/>
  <c r="GT818" i="1"/>
  <c r="JT816" i="1"/>
  <c r="GT812" i="1"/>
  <c r="GT811" i="1"/>
  <c r="GT806" i="1"/>
  <c r="DC766" i="1"/>
  <c r="DC764" i="1"/>
  <c r="DC660" i="1"/>
  <c r="DC658" i="1"/>
  <c r="KA790" i="1"/>
  <c r="JT797" i="1"/>
  <c r="GE660" i="1"/>
  <c r="GE658" i="1"/>
  <c r="GE653" i="1"/>
  <c r="GE651" i="1"/>
  <c r="FX660" i="1"/>
  <c r="FX658" i="1"/>
  <c r="FX653" i="1"/>
  <c r="FX651" i="1"/>
  <c r="FO660" i="1"/>
  <c r="FO658" i="1"/>
  <c r="EV660" i="1"/>
  <c r="EV658" i="1"/>
  <c r="EV653" i="1"/>
  <c r="EV651" i="1"/>
  <c r="EK660" i="1"/>
  <c r="EK658" i="1"/>
  <c r="EK653" i="1"/>
  <c r="EK651" i="1"/>
  <c r="EF660" i="1"/>
  <c r="EF658" i="1"/>
  <c r="EF653" i="1"/>
  <c r="EF651" i="1"/>
  <c r="EG660" i="1"/>
  <c r="EG658" i="1"/>
  <c r="EG653" i="1"/>
  <c r="EG651" i="1"/>
  <c r="EB660" i="1"/>
  <c r="EB658" i="1"/>
  <c r="DQ660" i="1"/>
  <c r="DQ658" i="1"/>
  <c r="DK660" i="1"/>
  <c r="DK658" i="1"/>
  <c r="KC593" i="1"/>
  <c r="KB31" i="1"/>
  <c r="KC270" i="1"/>
  <c r="KB41" i="1"/>
  <c r="IH731" i="1"/>
  <c r="JF728" i="1"/>
  <c r="IN386" i="1"/>
  <c r="IN53" i="1"/>
  <c r="IN52" i="1"/>
  <c r="IK136" i="1"/>
  <c r="IK131" i="1"/>
  <c r="IK464" i="1"/>
  <c r="GS46" i="1"/>
  <c r="IH545" i="1"/>
  <c r="IH214" i="1"/>
  <c r="JO214" i="1"/>
  <c r="JL47" i="1"/>
  <c r="JL380" i="1"/>
  <c r="IH465" i="1"/>
  <c r="IH132" i="1"/>
  <c r="JF132" i="1"/>
  <c r="JF131" i="1"/>
  <c r="IW39" i="1"/>
  <c r="IW38" i="1"/>
  <c r="IW600" i="1"/>
  <c r="IM44" i="1"/>
  <c r="JL48" i="1"/>
  <c r="IH382" i="1"/>
  <c r="IH48" i="1"/>
  <c r="IT135" i="1"/>
  <c r="IT131" i="1"/>
  <c r="IT104" i="1"/>
  <c r="IH468" i="1"/>
  <c r="IH135" i="1"/>
  <c r="IH479" i="1"/>
  <c r="IH146" i="1"/>
  <c r="IQ472" i="1"/>
  <c r="IN458" i="1"/>
  <c r="IH461" i="1"/>
  <c r="IH128" i="1"/>
  <c r="IN128" i="1"/>
  <c r="IN125" i="1"/>
  <c r="IZ507" i="1"/>
  <c r="IZ175" i="1"/>
  <c r="KI27" i="1"/>
  <c r="KC230" i="1"/>
  <c r="IH442" i="1"/>
  <c r="IH109" i="1"/>
  <c r="JL109" i="1"/>
  <c r="IN47" i="1"/>
  <c r="IN46" i="1"/>
  <c r="IN380" i="1"/>
  <c r="IH381" i="1"/>
  <c r="IH47" i="1"/>
  <c r="JY59" i="1"/>
  <c r="JY52" i="1"/>
  <c r="JY139" i="1"/>
  <c r="KB256" i="1"/>
  <c r="KC256" i="1"/>
  <c r="KB272" i="1"/>
  <c r="KC272" i="1"/>
  <c r="KB278" i="1"/>
  <c r="KC278" i="1"/>
  <c r="KB330" i="1"/>
  <c r="KC330" i="1"/>
  <c r="KB334" i="1"/>
  <c r="KC334" i="1"/>
  <c r="KB363" i="1"/>
  <c r="KC363" i="1"/>
  <c r="JS682" i="1"/>
  <c r="JS681" i="1"/>
  <c r="HG744" i="1"/>
  <c r="JS744" i="1"/>
  <c r="JX175" i="1"/>
  <c r="JX174" i="1"/>
  <c r="JX172" i="1"/>
  <c r="JZ711" i="1"/>
  <c r="GQ738" i="1"/>
  <c r="KA738" i="1"/>
  <c r="KB738" i="1"/>
  <c r="KC738" i="1"/>
  <c r="KA783" i="1"/>
  <c r="GR739" i="1"/>
  <c r="GR738" i="1"/>
  <c r="GS739" i="1"/>
  <c r="JT739" i="1"/>
  <c r="GS388" i="1"/>
  <c r="EV12" i="1"/>
  <c r="EV10" i="1"/>
  <c r="CZ155" i="1"/>
  <c r="P104" i="1"/>
  <c r="JO711" i="1"/>
  <c r="JO691" i="1"/>
  <c r="JO662" i="1"/>
  <c r="JL637" i="1"/>
  <c r="JI743" i="1"/>
  <c r="IH743" i="1"/>
  <c r="JF458" i="1"/>
  <c r="IP279" i="1"/>
  <c r="IP273" i="1"/>
  <c r="IP242" i="1"/>
  <c r="IP549" i="1"/>
  <c r="IP541" i="1"/>
  <c r="IM728" i="1"/>
  <c r="IM723" i="1"/>
  <c r="IM721" i="1"/>
  <c r="IJ482" i="1"/>
  <c r="IJ437" i="1"/>
  <c r="IK488" i="1"/>
  <c r="IG285" i="1"/>
  <c r="IG58" i="1"/>
  <c r="EN94" i="1"/>
  <c r="EN44" i="1"/>
  <c r="DK155" i="1"/>
  <c r="DK167" i="1"/>
  <c r="BV167" i="1"/>
  <c r="BV104" i="1"/>
  <c r="AB104" i="1"/>
  <c r="AB12" i="1"/>
  <c r="IW419" i="1"/>
  <c r="JO439" i="1"/>
  <c r="JE728" i="1"/>
  <c r="JE723" i="1"/>
  <c r="JE721" i="1"/>
  <c r="IG462" i="1"/>
  <c r="IG129" i="1"/>
  <c r="IG470" i="1"/>
  <c r="JO645" i="1"/>
  <c r="IQ672" i="1"/>
  <c r="IQ669" i="1"/>
  <c r="IQ664" i="1"/>
  <c r="IQ662" i="1"/>
  <c r="IN464" i="1"/>
  <c r="IN472" i="1"/>
  <c r="IN488" i="1"/>
  <c r="IJ742" i="1"/>
  <c r="IJ723" i="1"/>
  <c r="JX558" i="1"/>
  <c r="KB558" i="1"/>
  <c r="KC558" i="1"/>
  <c r="GQ30" i="1"/>
  <c r="KA30" i="1"/>
  <c r="JC507" i="1"/>
  <c r="JC505" i="1"/>
  <c r="IT507" i="1"/>
  <c r="IT505" i="1"/>
  <c r="JY94" i="1"/>
  <c r="JY67" i="1"/>
  <c r="IV131" i="1"/>
  <c r="JH131" i="1"/>
  <c r="JL131" i="1"/>
  <c r="IY149" i="1"/>
  <c r="JB149" i="1"/>
  <c r="JB104" i="1"/>
  <c r="JF149" i="1"/>
  <c r="JI155" i="1"/>
  <c r="JI72" i="1"/>
  <c r="GP96" i="1"/>
  <c r="GP386" i="1"/>
  <c r="HG729" i="1"/>
  <c r="HG731" i="1"/>
  <c r="GR747" i="1"/>
  <c r="DL44" i="1"/>
  <c r="CT94" i="1"/>
  <c r="CT44" i="1"/>
  <c r="JL592" i="1"/>
  <c r="JL579" i="1"/>
  <c r="JL577" i="1"/>
  <c r="JF549" i="1"/>
  <c r="IQ482" i="1"/>
  <c r="JL444" i="1"/>
  <c r="JL645" i="1"/>
  <c r="IH604" i="1"/>
  <c r="IH42" i="1"/>
  <c r="JI507" i="1"/>
  <c r="JI505" i="1"/>
  <c r="IQ507" i="1"/>
  <c r="IQ505" i="1"/>
  <c r="JT601" i="1"/>
  <c r="JT600" i="1"/>
  <c r="IZ111" i="1"/>
  <c r="JH111" i="1"/>
  <c r="JL111" i="1"/>
  <c r="IK118" i="1"/>
  <c r="IY118" i="1"/>
  <c r="JC118" i="1"/>
  <c r="JK118" i="1"/>
  <c r="II139" i="1"/>
  <c r="GR711" i="1"/>
  <c r="GR691" i="1"/>
  <c r="GS729" i="1"/>
  <c r="JT729" i="1"/>
  <c r="DN118" i="1"/>
  <c r="DM139" i="1"/>
  <c r="BT111" i="1"/>
  <c r="JI592" i="1"/>
  <c r="JI579" i="1"/>
  <c r="JI577" i="1"/>
  <c r="IH544" i="1"/>
  <c r="IH213" i="1"/>
  <c r="JL439" i="1"/>
  <c r="JF464" i="1"/>
  <c r="JC386" i="1"/>
  <c r="IZ711" i="1"/>
  <c r="IZ691" i="1"/>
  <c r="IZ662" i="1"/>
  <c r="IW427" i="1"/>
  <c r="IW406" i="1"/>
  <c r="JO592" i="1"/>
  <c r="IW645" i="1"/>
  <c r="IW632" i="1"/>
  <c r="IW630" i="1"/>
  <c r="IW628" i="1"/>
  <c r="IK728" i="1"/>
  <c r="GP21" i="1"/>
  <c r="JZ21" i="1"/>
  <c r="IF80" i="1"/>
  <c r="IF74" i="1"/>
  <c r="IN507" i="1"/>
  <c r="IN505" i="1"/>
  <c r="KC50" i="1"/>
  <c r="KC387" i="1"/>
  <c r="KB53" i="1"/>
  <c r="KB18" i="1"/>
  <c r="KC18" i="1"/>
  <c r="KC248" i="1"/>
  <c r="JN210" i="1"/>
  <c r="JS100" i="1"/>
  <c r="JS427" i="1"/>
  <c r="JS378" i="1"/>
  <c r="IK218" i="1"/>
  <c r="IK210" i="1"/>
  <c r="JY172" i="1"/>
  <c r="GR52" i="1"/>
  <c r="IP104" i="1"/>
  <c r="KB603" i="1"/>
  <c r="KC603" i="1"/>
  <c r="IJ131" i="1"/>
  <c r="IN131" i="1"/>
  <c r="JC149" i="1"/>
  <c r="IY155" i="1"/>
  <c r="JK155" i="1"/>
  <c r="JE67" i="1"/>
  <c r="IW72" i="1"/>
  <c r="JB72" i="1"/>
  <c r="JF72" i="1"/>
  <c r="IV106" i="1"/>
  <c r="IV149" i="1"/>
  <c r="DB104" i="1"/>
  <c r="DY94" i="1"/>
  <c r="DM44" i="1"/>
  <c r="DM155" i="1"/>
  <c r="DF236" i="1"/>
  <c r="DF210" i="1"/>
  <c r="CU118" i="1"/>
  <c r="CU155" i="1"/>
  <c r="BU139" i="1"/>
  <c r="JL386" i="1"/>
  <c r="JL464" i="1"/>
  <c r="IW507" i="1"/>
  <c r="IW505" i="1"/>
  <c r="KC670" i="1"/>
  <c r="JS195" i="1"/>
  <c r="JS111" i="1"/>
  <c r="IW86" i="1"/>
  <c r="JE86" i="1"/>
  <c r="JI86" i="1"/>
  <c r="IY86" i="1"/>
  <c r="IY111" i="1"/>
  <c r="IW118" i="1"/>
  <c r="JQ118" i="1"/>
  <c r="JQ104" i="1"/>
  <c r="JQ12" i="1"/>
  <c r="IJ118" i="1"/>
  <c r="IM125" i="1"/>
  <c r="IY125" i="1"/>
  <c r="JC125" i="1"/>
  <c r="GT733" i="1"/>
  <c r="DO155" i="1"/>
  <c r="DL118" i="1"/>
  <c r="Z12" i="1"/>
  <c r="IH260" i="1"/>
  <c r="IH31" i="1"/>
  <c r="IP44" i="1"/>
  <c r="JH139" i="1"/>
  <c r="JB94" i="1"/>
  <c r="JF63" i="1"/>
  <c r="JN63" i="1"/>
  <c r="JX42" i="1"/>
  <c r="JX38" i="1"/>
  <c r="JX14" i="1"/>
  <c r="JX645" i="1"/>
  <c r="KB745" i="1"/>
  <c r="KC745" i="1"/>
  <c r="HU46" i="1"/>
  <c r="HU44" i="1"/>
  <c r="JF86" i="1"/>
  <c r="JS545" i="1"/>
  <c r="DX104" i="1"/>
  <c r="DN139" i="1"/>
  <c r="DI104" i="1"/>
  <c r="IW482" i="1"/>
  <c r="IT585" i="1"/>
  <c r="JZ664" i="1"/>
  <c r="IS210" i="1"/>
  <c r="CY104" i="1"/>
  <c r="FD131" i="1"/>
  <c r="FD104" i="1"/>
  <c r="EA125" i="1"/>
  <c r="EA104" i="1"/>
  <c r="EA12" i="1"/>
  <c r="EA660" i="1"/>
  <c r="EA658" i="1"/>
  <c r="EA10" i="1"/>
  <c r="DK46" i="1"/>
  <c r="DJ118" i="1"/>
  <c r="DJ104" i="1"/>
  <c r="DG46" i="1"/>
  <c r="DG44" i="1"/>
  <c r="CS104" i="1"/>
  <c r="CS12" i="1"/>
  <c r="BU111" i="1"/>
  <c r="P12" i="1"/>
  <c r="IN244" i="1"/>
  <c r="JC439" i="1"/>
  <c r="IH647" i="1"/>
  <c r="IH422" i="1"/>
  <c r="IH89" i="1"/>
  <c r="JO728" i="1"/>
  <c r="JL419" i="1"/>
  <c r="IH383" i="1"/>
  <c r="IH391" i="1"/>
  <c r="JI427" i="1"/>
  <c r="IW462" i="1"/>
  <c r="IG384" i="1"/>
  <c r="IG414" i="1"/>
  <c r="IG80" i="1"/>
  <c r="IG477" i="1"/>
  <c r="IG144" i="1"/>
  <c r="IG496" i="1"/>
  <c r="IG163" i="1"/>
  <c r="GP195" i="1"/>
  <c r="HG57" i="1"/>
  <c r="KC57" i="1"/>
  <c r="HG54" i="1"/>
  <c r="IG455" i="1"/>
  <c r="IG122" i="1"/>
  <c r="JO464" i="1"/>
  <c r="IH733" i="1"/>
  <c r="JI386" i="1"/>
  <c r="IH494" i="1"/>
  <c r="IH161" i="1"/>
  <c r="IG593" i="1"/>
  <c r="IG592" i="1"/>
  <c r="GP218" i="1"/>
  <c r="JZ218" i="1"/>
  <c r="HG53" i="1"/>
  <c r="IF70" i="1"/>
  <c r="GT677" i="1"/>
  <c r="GT669" i="1"/>
  <c r="GT664" i="1"/>
  <c r="IK437" i="1"/>
  <c r="JH242" i="1"/>
  <c r="JO458" i="1"/>
  <c r="JL259" i="1"/>
  <c r="JL244" i="1"/>
  <c r="JL242" i="1"/>
  <c r="IH434" i="1"/>
  <c r="IH389" i="1"/>
  <c r="IH55" i="1"/>
  <c r="JI488" i="1"/>
  <c r="IG260" i="1"/>
  <c r="IG588" i="1"/>
  <c r="IG24" i="1"/>
  <c r="IG604" i="1"/>
  <c r="IG42" i="1"/>
  <c r="JH40" i="1"/>
  <c r="IF63" i="1"/>
  <c r="IH455" i="1"/>
  <c r="IH122" i="1"/>
  <c r="IH441" i="1"/>
  <c r="IH559" i="1"/>
  <c r="IH231" i="1"/>
  <c r="IK541" i="1"/>
  <c r="IK380" i="1"/>
  <c r="IH586" i="1"/>
  <c r="IN419" i="1"/>
  <c r="JO488" i="1"/>
  <c r="JI711" i="1"/>
  <c r="JI691" i="1"/>
  <c r="IG408" i="1"/>
  <c r="IG74" i="1"/>
  <c r="IG586" i="1"/>
  <c r="IG647" i="1"/>
  <c r="IG32" i="1"/>
  <c r="IH270" i="1"/>
  <c r="IH41" i="1"/>
  <c r="HG131" i="1"/>
  <c r="IH445" i="1"/>
  <c r="KB107" i="1"/>
  <c r="KB310" i="1"/>
  <c r="KC285" i="1"/>
  <c r="KB58" i="1"/>
  <c r="KC197" i="1"/>
  <c r="KB195" i="1"/>
  <c r="KC195" i="1"/>
  <c r="KB279" i="1"/>
  <c r="KA273" i="1"/>
  <c r="KC257" i="1"/>
  <c r="KB28" i="1"/>
  <c r="IP210" i="1"/>
  <c r="IH195" i="1"/>
  <c r="JT220" i="1"/>
  <c r="JX112" i="1"/>
  <c r="JX111" i="1"/>
  <c r="KB445" i="1"/>
  <c r="JY132" i="1"/>
  <c r="JY131" i="1"/>
  <c r="JY464" i="1"/>
  <c r="JY437" i="1"/>
  <c r="IT437" i="1"/>
  <c r="IT218" i="1"/>
  <c r="IT210" i="1"/>
  <c r="E22" i="41"/>
  <c r="GS174" i="1"/>
  <c r="JX146" i="1"/>
  <c r="JX139" i="1"/>
  <c r="KB479" i="1"/>
  <c r="KB483" i="1"/>
  <c r="JX150" i="1"/>
  <c r="IN210" i="1"/>
  <c r="IQ210" i="1"/>
  <c r="IJ210" i="1"/>
  <c r="IV210" i="1"/>
  <c r="IF632" i="1"/>
  <c r="IF630" i="1"/>
  <c r="IF628" i="1"/>
  <c r="E14" i="3"/>
  <c r="G14" i="3"/>
  <c r="J14" i="3"/>
  <c r="IH236" i="1"/>
  <c r="JN44" i="1"/>
  <c r="JT571" i="1"/>
  <c r="JT569" i="1"/>
  <c r="JT567" i="1"/>
  <c r="GT230" i="1"/>
  <c r="IS44" i="1"/>
  <c r="JI94" i="1"/>
  <c r="JY48" i="1"/>
  <c r="JY380" i="1"/>
  <c r="JY378" i="1"/>
  <c r="JY233" i="1"/>
  <c r="JY230" i="1"/>
  <c r="JY558" i="1"/>
  <c r="JY541" i="1"/>
  <c r="JX273" i="1"/>
  <c r="JX242" i="1"/>
  <c r="IH469" i="1"/>
  <c r="IH136" i="1"/>
  <c r="JS221" i="1"/>
  <c r="JS218" i="1"/>
  <c r="HD139" i="1"/>
  <c r="GT585" i="1"/>
  <c r="GT579" i="1"/>
  <c r="GT577" i="1"/>
  <c r="GT575" i="1"/>
  <c r="IH423" i="1"/>
  <c r="IH90" i="1"/>
  <c r="JE16" i="1"/>
  <c r="JO386" i="1"/>
  <c r="JO419" i="1"/>
  <c r="IH420" i="1"/>
  <c r="IH421" i="1"/>
  <c r="IH88" i="1"/>
  <c r="JK210" i="1"/>
  <c r="JY46" i="1"/>
  <c r="JO543" i="1"/>
  <c r="JO212" i="1"/>
  <c r="JO210" i="1"/>
  <c r="IH492" i="1"/>
  <c r="IH159" i="1"/>
  <c r="JL488" i="1"/>
  <c r="JL728" i="1"/>
  <c r="IH735" i="1"/>
  <c r="JI380" i="1"/>
  <c r="FC118" i="1"/>
  <c r="FC104" i="1"/>
  <c r="DY104" i="1"/>
  <c r="DV94" i="1"/>
  <c r="DV44" i="1"/>
  <c r="DB44" i="1"/>
  <c r="DB12" i="1"/>
  <c r="DB10" i="1"/>
  <c r="DC104" i="1"/>
  <c r="DC12" i="1"/>
  <c r="DA155" i="1"/>
  <c r="CV44" i="1"/>
  <c r="CG104" i="1"/>
  <c r="CG12" i="1"/>
  <c r="BV44" i="1"/>
  <c r="AR195" i="1"/>
  <c r="AR172" i="1"/>
  <c r="AN104" i="1"/>
  <c r="JL427" i="1"/>
  <c r="JI401" i="1"/>
  <c r="IN242" i="1"/>
  <c r="JE242" i="1"/>
  <c r="JO444" i="1"/>
  <c r="JO549" i="1"/>
  <c r="JI259" i="1"/>
  <c r="JI244" i="1"/>
  <c r="II46" i="1"/>
  <c r="DV139" i="1"/>
  <c r="DV104" i="1"/>
  <c r="DH44" i="1"/>
  <c r="DA167" i="1"/>
  <c r="CT104" i="1"/>
  <c r="CF104" i="1"/>
  <c r="CF12" i="1"/>
  <c r="CF10" i="1"/>
  <c r="BW44" i="1"/>
  <c r="JI464" i="1"/>
  <c r="GS387" i="1"/>
  <c r="DW44" i="1"/>
  <c r="FB139" i="1"/>
  <c r="EN104" i="1"/>
  <c r="DW139" i="1"/>
  <c r="DW104" i="1"/>
  <c r="DL104" i="1"/>
  <c r="DJ94" i="1"/>
  <c r="CV104" i="1"/>
  <c r="IK242" i="1"/>
  <c r="JO259" i="1"/>
  <c r="JO244" i="1"/>
  <c r="GT731" i="1"/>
  <c r="DZ104" i="1"/>
  <c r="DZ12" i="1"/>
  <c r="DZ10" i="1"/>
  <c r="FB44" i="1"/>
  <c r="DO139" i="1"/>
  <c r="DK94" i="1"/>
  <c r="DE12" i="1"/>
  <c r="DE10" i="1"/>
  <c r="BT131" i="1"/>
  <c r="X12" i="1"/>
  <c r="D104" i="1"/>
  <c r="D12" i="1"/>
  <c r="IH407" i="1"/>
  <c r="IH73" i="1"/>
  <c r="IM242" i="1"/>
  <c r="JL401" i="1"/>
  <c r="JI472" i="1"/>
  <c r="JI543" i="1"/>
  <c r="JF380" i="1"/>
  <c r="IG280" i="1"/>
  <c r="IG53" i="1"/>
  <c r="IG407" i="1"/>
  <c r="IG478" i="1"/>
  <c r="IG145" i="1"/>
  <c r="IG493" i="1"/>
  <c r="C139" i="1"/>
  <c r="C104" i="1"/>
  <c r="IF40" i="1"/>
  <c r="IF54" i="1"/>
  <c r="IF160" i="1"/>
  <c r="IH490" i="1"/>
  <c r="IH475" i="1"/>
  <c r="IH142" i="1"/>
  <c r="IG460" i="1"/>
  <c r="IG453" i="1"/>
  <c r="IG120" i="1"/>
  <c r="IG561" i="1"/>
  <c r="IG233" i="1"/>
  <c r="JF419" i="1"/>
  <c r="IZ419" i="1"/>
  <c r="IZ444" i="1"/>
  <c r="IW259" i="1"/>
  <c r="IW244" i="1"/>
  <c r="IW242" i="1"/>
  <c r="IG253" i="1"/>
  <c r="IG262" i="1"/>
  <c r="IG33" i="1"/>
  <c r="IG403" i="1"/>
  <c r="IG425" i="1"/>
  <c r="IG448" i="1"/>
  <c r="IG489" i="1"/>
  <c r="IG544" i="1"/>
  <c r="IP728" i="1"/>
  <c r="JF39" i="1"/>
  <c r="JF38" i="1"/>
  <c r="IQ39" i="1"/>
  <c r="JN40" i="1"/>
  <c r="JB40" i="1"/>
  <c r="IH460" i="1"/>
  <c r="IH454" i="1"/>
  <c r="IH121" i="1"/>
  <c r="IG323" i="1"/>
  <c r="IG322" i="1"/>
  <c r="IG475" i="1"/>
  <c r="IG452" i="1"/>
  <c r="IG559" i="1"/>
  <c r="JF543" i="1"/>
  <c r="JF541" i="1"/>
  <c r="IW444" i="1"/>
  <c r="IG252" i="1"/>
  <c r="IG587" i="1"/>
  <c r="IG646" i="1"/>
  <c r="IG31" i="1"/>
  <c r="IG270" i="1"/>
  <c r="IG41" i="1"/>
  <c r="HG59" i="1"/>
  <c r="KC59" i="1"/>
  <c r="IF163" i="1"/>
  <c r="IH456" i="1"/>
  <c r="IH123" i="1"/>
  <c r="IH452" i="1"/>
  <c r="IG454" i="1"/>
  <c r="IG121" i="1"/>
  <c r="IH560" i="1"/>
  <c r="IH232" i="1"/>
  <c r="JF401" i="1"/>
  <c r="JF488" i="1"/>
  <c r="IF68" i="1"/>
  <c r="IH399" i="1"/>
  <c r="IH65" i="1"/>
  <c r="IH453" i="1"/>
  <c r="IH120" i="1"/>
  <c r="IG490" i="1"/>
  <c r="IG157" i="1"/>
  <c r="IG456" i="1"/>
  <c r="IG123" i="1"/>
  <c r="IH508" i="1"/>
  <c r="IH175" i="1"/>
  <c r="IG560" i="1"/>
  <c r="IG232" i="1"/>
  <c r="KB288" i="1"/>
  <c r="KC289" i="1"/>
  <c r="KB68" i="1"/>
  <c r="KB19" i="1"/>
  <c r="KC19" i="1"/>
  <c r="KC249" i="1"/>
  <c r="KC116" i="1"/>
  <c r="KB56" i="1"/>
  <c r="KC283" i="1"/>
  <c r="KC345" i="1"/>
  <c r="KB193" i="1"/>
  <c r="KC193" i="1"/>
  <c r="KC185" i="1"/>
  <c r="KB184" i="1"/>
  <c r="KC184" i="1"/>
  <c r="E28" i="33"/>
  <c r="D40" i="33"/>
  <c r="KC296" i="1"/>
  <c r="KB293" i="1"/>
  <c r="KC733" i="1"/>
  <c r="KB728" i="1"/>
  <c r="JS46" i="1"/>
  <c r="KA691" i="1"/>
  <c r="KB669" i="1"/>
  <c r="KC669" i="1"/>
  <c r="IG669" i="1"/>
  <c r="IG664" i="1"/>
  <c r="IG662" i="1"/>
  <c r="IG637" i="1"/>
  <c r="GR94" i="1"/>
  <c r="JT82" i="1"/>
  <c r="KB175" i="1"/>
  <c r="KC508" i="1"/>
  <c r="KC676" i="1"/>
  <c r="IH587" i="1"/>
  <c r="IH585" i="1"/>
  <c r="JS632" i="1"/>
  <c r="JS630" i="1"/>
  <c r="JS628" i="1"/>
  <c r="IG94" i="1"/>
  <c r="JN104" i="1"/>
  <c r="IG721" i="1"/>
  <c r="G39" i="41"/>
  <c r="B11" i="3"/>
  <c r="JT230" i="1"/>
  <c r="JZ691" i="1"/>
  <c r="JZ662" i="1"/>
  <c r="JT46" i="1"/>
  <c r="GS38" i="1"/>
  <c r="HJ12" i="1"/>
  <c r="JS230" i="1"/>
  <c r="KB152" i="1"/>
  <c r="KC485" i="1"/>
  <c r="KC503" i="1"/>
  <c r="KB170" i="1"/>
  <c r="JY212" i="1"/>
  <c r="KC419" i="1"/>
  <c r="JY691" i="1"/>
  <c r="GY139" i="1"/>
  <c r="GY104" i="1"/>
  <c r="GY12" i="1"/>
  <c r="GU139" i="1"/>
  <c r="GU104" i="1"/>
  <c r="GU12" i="1"/>
  <c r="IY94" i="1"/>
  <c r="HA139" i="1"/>
  <c r="HA104" i="1"/>
  <c r="DJ44" i="1"/>
  <c r="DJ12" i="1"/>
  <c r="DF104" i="1"/>
  <c r="GR218" i="1"/>
  <c r="GX139" i="1"/>
  <c r="GX104" i="1"/>
  <c r="JX149" i="1"/>
  <c r="KB746" i="1"/>
  <c r="KC746" i="1"/>
  <c r="JY742" i="1"/>
  <c r="JY723" i="1"/>
  <c r="CY44" i="1"/>
  <c r="IM240" i="1"/>
  <c r="GR106" i="1"/>
  <c r="GT218" i="1"/>
  <c r="GW139" i="1"/>
  <c r="GW104" i="1"/>
  <c r="GW12" i="1"/>
  <c r="JZ579" i="1"/>
  <c r="JZ577" i="1"/>
  <c r="GT125" i="1"/>
  <c r="GT39" i="1"/>
  <c r="GT38" i="1"/>
  <c r="HX12" i="1"/>
  <c r="GR125" i="1"/>
  <c r="GZ139" i="1"/>
  <c r="GZ104" i="1"/>
  <c r="GZ12" i="1"/>
  <c r="GV139" i="1"/>
  <c r="GV104" i="1"/>
  <c r="JZ790" i="1"/>
  <c r="GT106" i="1"/>
  <c r="IK378" i="1"/>
  <c r="KB747" i="1"/>
  <c r="KC747" i="1"/>
  <c r="DF44" i="1"/>
  <c r="DF12" i="1"/>
  <c r="DF10" i="1"/>
  <c r="CX104" i="1"/>
  <c r="AO44" i="1"/>
  <c r="JL406" i="1"/>
  <c r="JC259" i="1"/>
  <c r="JC244" i="1"/>
  <c r="JN575" i="1"/>
  <c r="JI482" i="1"/>
  <c r="JL482" i="1"/>
  <c r="JL543" i="1"/>
  <c r="JL541" i="1"/>
  <c r="JC419" i="1"/>
  <c r="JC378" i="1"/>
  <c r="JC488" i="1"/>
  <c r="IW472" i="1"/>
  <c r="EO44" i="1"/>
  <c r="R44" i="1"/>
  <c r="Q44" i="1"/>
  <c r="Q12" i="1"/>
  <c r="K44" i="1"/>
  <c r="JF482" i="1"/>
  <c r="DD12" i="1"/>
  <c r="JO472" i="1"/>
  <c r="JF279" i="1"/>
  <c r="JF273" i="1"/>
  <c r="JF711" i="1"/>
  <c r="JF691" i="1"/>
  <c r="JF662" i="1"/>
  <c r="GT728" i="1"/>
  <c r="DK44" i="1"/>
  <c r="DY44" i="1"/>
  <c r="EZ104" i="1"/>
  <c r="V44" i="1"/>
  <c r="U44" i="1"/>
  <c r="U12" i="1"/>
  <c r="IZ742" i="1"/>
  <c r="JC645" i="1"/>
  <c r="IW742" i="1"/>
  <c r="JB244" i="1"/>
  <c r="JB242" i="1"/>
  <c r="JC742" i="1"/>
  <c r="JO742" i="1"/>
  <c r="JB575" i="1"/>
  <c r="IP575" i="1"/>
  <c r="KC36" i="1"/>
  <c r="IN40" i="1"/>
  <c r="IZ40" i="1"/>
  <c r="JO39" i="1"/>
  <c r="JO38" i="1"/>
  <c r="JC39" i="1"/>
  <c r="JC38" i="1"/>
  <c r="IN39" i="1"/>
  <c r="IN38" i="1"/>
  <c r="JK40" i="1"/>
  <c r="IM40" i="1"/>
  <c r="JK39" i="1"/>
  <c r="IG268" i="1"/>
  <c r="IJ39" i="1"/>
  <c r="HG56" i="1"/>
  <c r="IF82" i="1"/>
  <c r="IF86" i="1"/>
  <c r="IF75" i="1"/>
  <c r="IF73" i="1"/>
  <c r="IF69" i="1"/>
  <c r="IF46" i="1"/>
  <c r="IG393" i="1"/>
  <c r="IQ393" i="1"/>
  <c r="IH393" i="1"/>
  <c r="IF167" i="1"/>
  <c r="IH509" i="1"/>
  <c r="IH176" i="1"/>
  <c r="IH649" i="1"/>
  <c r="IM575" i="1"/>
  <c r="IJ549" i="1"/>
  <c r="IJ541" i="1"/>
  <c r="IJ575" i="1"/>
  <c r="IH268" i="1"/>
  <c r="IK39" i="1"/>
  <c r="IK38" i="1"/>
  <c r="IG269" i="1"/>
  <c r="IJ40" i="1"/>
  <c r="IG601" i="1"/>
  <c r="JH39" i="1"/>
  <c r="IS39" i="1"/>
  <c r="JX549" i="1"/>
  <c r="KB549" i="1"/>
  <c r="KC549" i="1"/>
  <c r="GQ21" i="1"/>
  <c r="IH602" i="1"/>
  <c r="IT40" i="1"/>
  <c r="IH601" i="1"/>
  <c r="JI39" i="1"/>
  <c r="JI38" i="1"/>
  <c r="IT39" i="1"/>
  <c r="IG602" i="1"/>
  <c r="JE40" i="1"/>
  <c r="IS40" i="1"/>
  <c r="JE39" i="1"/>
  <c r="IP39" i="1"/>
  <c r="IH413" i="1"/>
  <c r="IH79" i="1"/>
  <c r="IH77" i="1"/>
  <c r="IF111" i="1"/>
  <c r="IH324" i="1"/>
  <c r="IH596" i="1"/>
  <c r="IK742" i="1"/>
  <c r="IP40" i="1"/>
  <c r="JN39" i="1"/>
  <c r="JN38" i="1"/>
  <c r="JN14" i="1"/>
  <c r="JB39" i="1"/>
  <c r="JB38" i="1"/>
  <c r="IM39" i="1"/>
  <c r="IM38" i="1"/>
  <c r="IM14" i="1"/>
  <c r="HG58" i="1"/>
  <c r="IG413" i="1"/>
  <c r="IG398" i="1"/>
  <c r="IQ398" i="1"/>
  <c r="IG286" i="1"/>
  <c r="IT286" i="1"/>
  <c r="IH285" i="1"/>
  <c r="IH58" i="1"/>
  <c r="IH510" i="1"/>
  <c r="IF218" i="1"/>
  <c r="JT649" i="1"/>
  <c r="JT674" i="1"/>
  <c r="JT676" i="1"/>
  <c r="JT678" i="1"/>
  <c r="JT735" i="1"/>
  <c r="IF131" i="1"/>
  <c r="IF213" i="1"/>
  <c r="IH561" i="1"/>
  <c r="GT638" i="1"/>
  <c r="JT648" i="1"/>
  <c r="JT673" i="1"/>
  <c r="JT675" i="1"/>
  <c r="JT677" i="1"/>
  <c r="GT713" i="1"/>
  <c r="GT711" i="1"/>
  <c r="GT691" i="1"/>
  <c r="JT734" i="1"/>
  <c r="IF174" i="1"/>
  <c r="IF172" i="1"/>
  <c r="IF230" i="1"/>
  <c r="JT595" i="1"/>
  <c r="JT639" i="1"/>
  <c r="JR742" i="1"/>
  <c r="JR721" i="1"/>
  <c r="IH747" i="1"/>
  <c r="JF742" i="1"/>
  <c r="IN742" i="1"/>
  <c r="JL742" i="1"/>
  <c r="IT742" i="1"/>
  <c r="IT723" i="1"/>
  <c r="IQ742" i="1"/>
  <c r="KA742" i="1"/>
  <c r="KB742" i="1"/>
  <c r="E17" i="3"/>
  <c r="S38" i="40"/>
  <c r="GS748" i="1"/>
  <c r="JT748" i="1"/>
  <c r="HG748" i="1"/>
  <c r="GR748" i="1"/>
  <c r="GR742" i="1"/>
  <c r="KA748" i="1"/>
  <c r="KB748" i="1"/>
  <c r="GT748" i="1"/>
  <c r="GT742" i="1"/>
  <c r="DE653" i="1"/>
  <c r="DE651" i="1"/>
  <c r="JX721" i="1"/>
  <c r="CK660" i="1"/>
  <c r="CK658" i="1"/>
  <c r="CK653" i="1"/>
  <c r="CK651" i="1"/>
  <c r="DI660" i="1"/>
  <c r="DI658" i="1"/>
  <c r="FD660" i="1"/>
  <c r="FD658" i="1"/>
  <c r="FD653" i="1"/>
  <c r="FD651" i="1"/>
  <c r="FV660" i="1"/>
  <c r="FV658" i="1"/>
  <c r="BO660" i="1"/>
  <c r="BO658" i="1"/>
  <c r="BO653" i="1"/>
  <c r="BO651" i="1"/>
  <c r="DT660" i="1"/>
  <c r="DT658" i="1"/>
  <c r="BG660" i="1"/>
  <c r="BG658" i="1"/>
  <c r="BG653" i="1"/>
  <c r="BG651" i="1"/>
  <c r="CI660" i="1"/>
  <c r="CI658" i="1"/>
  <c r="CI653" i="1"/>
  <c r="CI651" i="1"/>
  <c r="EA653" i="1"/>
  <c r="EA651" i="1"/>
  <c r="EP660" i="1"/>
  <c r="EP658" i="1"/>
  <c r="EX660" i="1"/>
  <c r="EX658" i="1"/>
  <c r="EX653" i="1"/>
  <c r="EX651" i="1"/>
  <c r="BF660" i="1"/>
  <c r="BF658" i="1"/>
  <c r="BF653" i="1"/>
  <c r="BF651" i="1"/>
  <c r="BW660" i="1"/>
  <c r="BW658" i="1"/>
  <c r="BW653" i="1"/>
  <c r="BW651" i="1"/>
  <c r="DA660" i="1"/>
  <c r="DA658" i="1"/>
  <c r="DY660" i="1"/>
  <c r="DY658" i="1"/>
  <c r="DY653" i="1"/>
  <c r="DY651" i="1"/>
  <c r="EU660" i="1"/>
  <c r="EU658" i="1"/>
  <c r="GM660" i="1"/>
  <c r="GM658" i="1"/>
  <c r="BH660" i="1"/>
  <c r="BH658" i="1"/>
  <c r="BH653" i="1"/>
  <c r="BH651" i="1"/>
  <c r="DH660" i="1"/>
  <c r="DH658" i="1"/>
  <c r="ER660" i="1"/>
  <c r="ER658" i="1"/>
  <c r="FA660" i="1"/>
  <c r="FA658" i="1"/>
  <c r="FA653" i="1"/>
  <c r="FA651" i="1"/>
  <c r="CQ660" i="1"/>
  <c r="CQ658" i="1"/>
  <c r="DD660" i="1"/>
  <c r="DD658" i="1"/>
  <c r="FG660" i="1"/>
  <c r="FG658" i="1"/>
  <c r="GK660" i="1"/>
  <c r="GK658" i="1"/>
  <c r="X660" i="1"/>
  <c r="X658" i="1"/>
  <c r="X653" i="1"/>
  <c r="X651" i="1"/>
  <c r="N660" i="1"/>
  <c r="N658" i="1"/>
  <c r="D660" i="1"/>
  <c r="D658" i="1"/>
  <c r="D653" i="1"/>
  <c r="D651" i="1"/>
  <c r="FL660" i="1"/>
  <c r="FL658" i="1"/>
  <c r="FL653" i="1"/>
  <c r="FL651" i="1"/>
  <c r="FH660" i="1"/>
  <c r="FH658" i="1"/>
  <c r="FH653" i="1"/>
  <c r="FH651" i="1"/>
  <c r="CR660" i="1"/>
  <c r="CR658" i="1"/>
  <c r="AG660" i="1"/>
  <c r="AG658" i="1"/>
  <c r="AG653" i="1"/>
  <c r="AG651" i="1"/>
  <c r="AC660" i="1"/>
  <c r="AC658" i="1"/>
  <c r="AC653" i="1"/>
  <c r="AC651" i="1"/>
  <c r="Z660" i="1"/>
  <c r="Z658" i="1"/>
  <c r="U660" i="1"/>
  <c r="U658" i="1"/>
  <c r="U653" i="1"/>
  <c r="U651" i="1"/>
  <c r="AD660" i="1"/>
  <c r="AD658" i="1"/>
  <c r="AD653" i="1"/>
  <c r="AD651" i="1"/>
  <c r="AF660" i="1"/>
  <c r="AF658" i="1"/>
  <c r="AF653" i="1"/>
  <c r="AF651" i="1"/>
  <c r="H660" i="1"/>
  <c r="H658" i="1"/>
  <c r="H653" i="1"/>
  <c r="H651" i="1"/>
  <c r="JY721" i="1"/>
  <c r="T660" i="1"/>
  <c r="T658" i="1"/>
  <c r="T653" i="1"/>
  <c r="T651" i="1"/>
  <c r="G30" i="31"/>
  <c r="I10" i="30"/>
  <c r="F14" i="30"/>
  <c r="I11" i="30"/>
  <c r="R26" i="40"/>
  <c r="R24" i="40"/>
  <c r="I14" i="30"/>
  <c r="D6" i="38"/>
  <c r="C6" i="39"/>
  <c r="CY766" i="1"/>
  <c r="CY764" i="1"/>
  <c r="CY660" i="1"/>
  <c r="CY658" i="1"/>
  <c r="CY653" i="1"/>
  <c r="CY651" i="1"/>
  <c r="KC718" i="1"/>
  <c r="EK10" i="1"/>
  <c r="JX662" i="1"/>
  <c r="JX660" i="1"/>
  <c r="G13" i="30"/>
  <c r="H29" i="31"/>
  <c r="E10" i="39"/>
  <c r="J11" i="30"/>
  <c r="JS376" i="1"/>
  <c r="JS375" i="1"/>
  <c r="JT376" i="1"/>
  <c r="JT375" i="1"/>
  <c r="JS366" i="1"/>
  <c r="JT40" i="1"/>
  <c r="KC368" i="1"/>
  <c r="HU664" i="1"/>
  <c r="HU662" i="1"/>
  <c r="KB666" i="1"/>
  <c r="KC666" i="1"/>
  <c r="IF242" i="1"/>
  <c r="IG247" i="1"/>
  <c r="D6" i="39"/>
  <c r="F29" i="32"/>
  <c r="H38" i="31"/>
  <c r="F31" i="31"/>
  <c r="F13" i="30"/>
  <c r="C6" i="29"/>
  <c r="G31" i="31"/>
  <c r="I12" i="30"/>
  <c r="I13" i="30"/>
  <c r="E7" i="30"/>
  <c r="D7" i="30"/>
  <c r="J7" i="30"/>
  <c r="E8" i="38"/>
  <c r="D28" i="31"/>
  <c r="D27" i="31"/>
  <c r="D42" i="31"/>
  <c r="B33" i="32"/>
  <c r="B32" i="32"/>
  <c r="B8" i="32"/>
  <c r="JT672" i="1"/>
  <c r="GP662" i="1"/>
  <c r="HG662" i="1"/>
  <c r="R37" i="40"/>
  <c r="CS664" i="1"/>
  <c r="CS662" i="1"/>
  <c r="CS660" i="1"/>
  <c r="CS658" i="1"/>
  <c r="GQ28" i="1"/>
  <c r="KA28" i="1"/>
  <c r="GR451" i="1"/>
  <c r="GR437" i="1"/>
  <c r="KJ43" i="1"/>
  <c r="GT437" i="1"/>
  <c r="GQ437" i="1"/>
  <c r="KA437" i="1"/>
  <c r="GT77" i="1"/>
  <c r="E26" i="33"/>
  <c r="E19" i="33"/>
  <c r="E28" i="41"/>
  <c r="GR609" i="1"/>
  <c r="GR575" i="1"/>
  <c r="C13" i="3"/>
  <c r="B8" i="16"/>
  <c r="KG42" i="1"/>
  <c r="KG67" i="1"/>
  <c r="KJ42" i="1"/>
  <c r="KJ67" i="1"/>
  <c r="GP575" i="1"/>
  <c r="JZ575" i="1"/>
  <c r="GQ218" i="1"/>
  <c r="KA218" i="1"/>
  <c r="CK364" i="1"/>
  <c r="CK240" i="1"/>
  <c r="KJ45" i="1"/>
  <c r="KJ71" i="1"/>
  <c r="KG45" i="1"/>
  <c r="KG71" i="1"/>
  <c r="GQ530" i="1"/>
  <c r="KI45" i="1"/>
  <c r="KI71" i="1"/>
  <c r="GT172" i="1"/>
  <c r="GR505" i="1"/>
  <c r="KG44" i="1"/>
  <c r="KG70" i="1"/>
  <c r="GQ182" i="1"/>
  <c r="GR155" i="1"/>
  <c r="GT155" i="1"/>
  <c r="GT149" i="1"/>
  <c r="CK149" i="1"/>
  <c r="CK104" i="1"/>
  <c r="GR149" i="1"/>
  <c r="GT139" i="1"/>
  <c r="GR139" i="1"/>
  <c r="GT131" i="1"/>
  <c r="GR131" i="1"/>
  <c r="GQ131" i="1"/>
  <c r="KA466" i="1"/>
  <c r="GR121" i="1"/>
  <c r="GR118" i="1"/>
  <c r="GT118" i="1"/>
  <c r="GT111" i="1"/>
  <c r="GR111" i="1"/>
  <c r="GT86" i="1"/>
  <c r="GR86" i="1"/>
  <c r="CK86" i="1"/>
  <c r="CK44" i="1"/>
  <c r="H8" i="13"/>
  <c r="KF67" i="1"/>
  <c r="KF66" i="1"/>
  <c r="KF52" i="1"/>
  <c r="KF41" i="1"/>
  <c r="L44" i="1"/>
  <c r="L12" i="1"/>
  <c r="L10" i="1"/>
  <c r="IN44" i="1"/>
  <c r="HS44" i="1"/>
  <c r="IV44" i="1"/>
  <c r="JE44" i="1"/>
  <c r="IR44" i="1"/>
  <c r="IR12" i="1"/>
  <c r="II44" i="1"/>
  <c r="HZ44" i="1"/>
  <c r="HZ12" i="1"/>
  <c r="IB44" i="1"/>
  <c r="IB12" i="1"/>
  <c r="AR44" i="1"/>
  <c r="AI44" i="1"/>
  <c r="AI12" i="1"/>
  <c r="CH44" i="1"/>
  <c r="CH12" i="1"/>
  <c r="HA44" i="1"/>
  <c r="HN44" i="1"/>
  <c r="HN12" i="1"/>
  <c r="JJ44" i="1"/>
  <c r="IC44" i="1"/>
  <c r="IC12" i="1"/>
  <c r="IE44" i="1"/>
  <c r="IA44" i="1"/>
  <c r="IA12" i="1"/>
  <c r="C44" i="1"/>
  <c r="GC12" i="1"/>
  <c r="FX12" i="1"/>
  <c r="DN44" i="1"/>
  <c r="FT44" i="1"/>
  <c r="FK44" i="1"/>
  <c r="FC44" i="1"/>
  <c r="BW14" i="1"/>
  <c r="BF12" i="1"/>
  <c r="IU12" i="1"/>
  <c r="HK12" i="1"/>
  <c r="HQ12" i="1"/>
  <c r="HV12" i="1"/>
  <c r="ID12" i="1"/>
  <c r="JD12" i="1"/>
  <c r="CN12" i="1"/>
  <c r="BJ12" i="1"/>
  <c r="BE12" i="1"/>
  <c r="FO12" i="1"/>
  <c r="GJ12" i="1"/>
  <c r="FN12" i="1"/>
  <c r="FN10" i="1"/>
  <c r="HE12" i="1"/>
  <c r="HC12" i="1"/>
  <c r="HR104" i="1"/>
  <c r="JM12" i="1"/>
  <c r="IS104" i="1"/>
  <c r="JJ104" i="1"/>
  <c r="JP104" i="1"/>
  <c r="HS104" i="1"/>
  <c r="JG104" i="1"/>
  <c r="HH12" i="1"/>
  <c r="IN104" i="1"/>
  <c r="IL104" i="1"/>
  <c r="IL12" i="1"/>
  <c r="HO104" i="1"/>
  <c r="HO12" i="1"/>
  <c r="HF104" i="1"/>
  <c r="HF12" i="1"/>
  <c r="JE104" i="1"/>
  <c r="IE104" i="1"/>
  <c r="HB104" i="1"/>
  <c r="HB12" i="1"/>
  <c r="HP104" i="1"/>
  <c r="HM104" i="1"/>
  <c r="HM12" i="1"/>
  <c r="HD104" i="1"/>
  <c r="JA104" i="1"/>
  <c r="CM12" i="1"/>
  <c r="FB104" i="1"/>
  <c r="GD104" i="1"/>
  <c r="FW12" i="1"/>
  <c r="FW10" i="1"/>
  <c r="DO104" i="1"/>
  <c r="DO12" i="1"/>
  <c r="II104" i="1"/>
  <c r="DQ104" i="1"/>
  <c r="FS12" i="1"/>
  <c r="GF12" i="1"/>
  <c r="EW104" i="1"/>
  <c r="EW12" i="1"/>
  <c r="EM104" i="1"/>
  <c r="EM12" i="1"/>
  <c r="EJ104" i="1"/>
  <c r="EJ12" i="1"/>
  <c r="JG44" i="1"/>
  <c r="HP12" i="1"/>
  <c r="GX44" i="1"/>
  <c r="GN44" i="1"/>
  <c r="GN12" i="1"/>
  <c r="ED12" i="1"/>
  <c r="CX12" i="1"/>
  <c r="FT12" i="1"/>
  <c r="FK12" i="1"/>
  <c r="HD44" i="1"/>
  <c r="BM12" i="1"/>
  <c r="FV44" i="1"/>
  <c r="FY44" i="1"/>
  <c r="EF12" i="1"/>
  <c r="DU12" i="1"/>
  <c r="JP12" i="1"/>
  <c r="HL12" i="1"/>
  <c r="IO44" i="1"/>
  <c r="IO12" i="1"/>
  <c r="FG12" i="1"/>
  <c r="EZ12" i="1"/>
  <c r="EZ10" i="1"/>
  <c r="ES12" i="1"/>
  <c r="EP12" i="1"/>
  <c r="GO12" i="1"/>
  <c r="FY12" i="1"/>
  <c r="CE12" i="1"/>
  <c r="FV12" i="1"/>
  <c r="FV10" i="1"/>
  <c r="CI104" i="1"/>
  <c r="F9" i="30"/>
  <c r="R20" i="40"/>
  <c r="H14" i="36"/>
  <c r="H14" i="34"/>
  <c r="J14" i="34"/>
  <c r="AG48" i="12"/>
  <c r="AH51" i="12"/>
  <c r="F50" i="12"/>
  <c r="AH52" i="12"/>
  <c r="F26" i="32"/>
  <c r="D12" i="32"/>
  <c r="F14" i="32"/>
  <c r="R11" i="40"/>
  <c r="T13" i="40"/>
  <c r="G38" i="31"/>
  <c r="G37" i="31"/>
  <c r="N22" i="40"/>
  <c r="M39" i="40"/>
  <c r="K35" i="40"/>
  <c r="K28" i="40"/>
  <c r="K27" i="40"/>
  <c r="K37" i="40"/>
  <c r="KC623" i="1"/>
  <c r="KB84" i="1"/>
  <c r="KB82" i="1"/>
  <c r="HG82" i="1"/>
  <c r="HG609" i="1"/>
  <c r="KC621" i="1"/>
  <c r="KB619" i="1"/>
  <c r="KB609" i="1"/>
  <c r="HR44" i="1"/>
  <c r="HR609" i="1"/>
  <c r="HR575" i="1"/>
  <c r="KC611" i="1"/>
  <c r="JS609" i="1"/>
  <c r="HR541" i="1"/>
  <c r="KC216" i="1"/>
  <c r="HG543" i="1"/>
  <c r="KB205" i="1"/>
  <c r="KB204" i="1"/>
  <c r="KB199" i="1"/>
  <c r="KC536" i="1"/>
  <c r="KK45" i="1"/>
  <c r="KK71" i="1"/>
  <c r="HG204" i="1"/>
  <c r="KC205" i="1"/>
  <c r="JX535" i="1"/>
  <c r="HG172" i="1"/>
  <c r="JX505" i="1"/>
  <c r="KB505" i="1"/>
  <c r="KC505" i="1"/>
  <c r="KB507" i="1"/>
  <c r="KC507" i="1"/>
  <c r="JX155" i="1"/>
  <c r="KC143" i="1"/>
  <c r="JS458" i="1"/>
  <c r="HG118" i="1"/>
  <c r="KC120" i="1"/>
  <c r="KB108" i="1"/>
  <c r="KC441" i="1"/>
  <c r="KK69" i="1"/>
  <c r="KC427" i="1"/>
  <c r="JX94" i="1"/>
  <c r="KB94" i="1"/>
  <c r="KC94" i="1"/>
  <c r="KC98" i="1"/>
  <c r="KC425" i="1"/>
  <c r="KB92" i="1"/>
  <c r="KC413" i="1"/>
  <c r="KB79" i="1"/>
  <c r="KB77" i="1"/>
  <c r="KC409" i="1"/>
  <c r="KB75" i="1"/>
  <c r="KC403" i="1"/>
  <c r="KB69" i="1"/>
  <c r="JX67" i="1"/>
  <c r="KB378" i="1"/>
  <c r="KC378" i="1"/>
  <c r="KC395" i="1"/>
  <c r="KB61" i="1"/>
  <c r="KC61" i="1"/>
  <c r="HR364" i="1"/>
  <c r="HR240" i="1"/>
  <c r="KC366" i="1"/>
  <c r="JS827" i="1"/>
  <c r="JY827" i="1"/>
  <c r="JY766" i="1"/>
  <c r="HS766" i="1"/>
  <c r="HS764" i="1"/>
  <c r="JY664" i="1"/>
  <c r="HS664" i="1"/>
  <c r="HS662" i="1"/>
  <c r="HG23" i="1"/>
  <c r="HG628" i="1"/>
  <c r="KB634" i="1"/>
  <c r="KC634" i="1"/>
  <c r="KC595" i="1"/>
  <c r="KB33" i="1"/>
  <c r="KC592" i="1"/>
  <c r="HG30" i="1"/>
  <c r="KC31" i="1"/>
  <c r="JY579" i="1"/>
  <c r="KB588" i="1"/>
  <c r="KB585" i="1"/>
  <c r="KC585" i="1"/>
  <c r="HG22" i="1"/>
  <c r="HS575" i="1"/>
  <c r="HG227" i="1"/>
  <c r="KC227" i="1"/>
  <c r="KC228" i="1"/>
  <c r="KC56" i="1"/>
  <c r="KC54" i="1"/>
  <c r="KB251" i="1"/>
  <c r="HS14" i="1"/>
  <c r="K10" i="34"/>
  <c r="Y13" i="12"/>
  <c r="E14" i="31"/>
  <c r="I11" i="34"/>
  <c r="S13" i="12"/>
  <c r="S12" i="12"/>
  <c r="E17" i="25"/>
  <c r="AH38" i="12"/>
  <c r="S16" i="40"/>
  <c r="I11" i="36"/>
  <c r="I19" i="14"/>
  <c r="I8" i="14"/>
  <c r="J19" i="13"/>
  <c r="J8" i="13"/>
  <c r="AG40" i="12"/>
  <c r="AG38" i="12"/>
  <c r="AG13" i="12"/>
  <c r="AG12" i="12"/>
  <c r="AG10" i="12"/>
  <c r="F8" i="19"/>
  <c r="H13" i="31"/>
  <c r="F13" i="31"/>
  <c r="G13" i="31"/>
  <c r="E12" i="32"/>
  <c r="F17" i="32"/>
  <c r="AN13" i="12"/>
  <c r="AN12" i="12"/>
  <c r="AN10" i="12"/>
  <c r="E19" i="25"/>
  <c r="F19" i="25"/>
  <c r="I9" i="34"/>
  <c r="AH21" i="12"/>
  <c r="I9" i="36"/>
  <c r="E23" i="19"/>
  <c r="E12" i="31"/>
  <c r="I25" i="13"/>
  <c r="I25" i="14"/>
  <c r="I23" i="14"/>
  <c r="S14" i="40"/>
  <c r="Y12" i="12"/>
  <c r="Y10" i="12"/>
  <c r="K10" i="13"/>
  <c r="I8" i="13"/>
  <c r="IZ791" i="1"/>
  <c r="JT791" i="1"/>
  <c r="IX766" i="1"/>
  <c r="IX764" i="1"/>
  <c r="IG766" i="1"/>
  <c r="IG764" i="1"/>
  <c r="G40" i="41"/>
  <c r="IY766" i="1"/>
  <c r="IY764" i="1"/>
  <c r="IF766" i="1"/>
  <c r="IF764" i="1"/>
  <c r="IH648" i="1"/>
  <c r="IZ645" i="1"/>
  <c r="H33" i="41"/>
  <c r="G33" i="41"/>
  <c r="G32" i="33"/>
  <c r="IH639" i="1"/>
  <c r="IZ23" i="1"/>
  <c r="IZ637" i="1"/>
  <c r="IH638" i="1"/>
  <c r="IZ22" i="1"/>
  <c r="IY632" i="1"/>
  <c r="IY630" i="1"/>
  <c r="IY628" i="1"/>
  <c r="IZ635" i="1"/>
  <c r="G26" i="33"/>
  <c r="I26" i="33"/>
  <c r="G28" i="41"/>
  <c r="I28" i="41"/>
  <c r="IY619" i="1"/>
  <c r="IY609" i="1"/>
  <c r="IX44" i="1"/>
  <c r="IZ623" i="1"/>
  <c r="IX575" i="1"/>
  <c r="IF39" i="1"/>
  <c r="IF38" i="1"/>
  <c r="IZ36" i="1"/>
  <c r="IH598" i="1"/>
  <c r="IH36" i="1"/>
  <c r="IG598" i="1"/>
  <c r="IH595" i="1"/>
  <c r="IZ33" i="1"/>
  <c r="IH594" i="1"/>
  <c r="IZ592" i="1"/>
  <c r="IH24" i="1"/>
  <c r="IZ581" i="1"/>
  <c r="IH582" i="1"/>
  <c r="IF16" i="1"/>
  <c r="IH233" i="1"/>
  <c r="IZ222" i="1"/>
  <c r="IH553" i="1"/>
  <c r="IH222" i="1"/>
  <c r="IZ549" i="1"/>
  <c r="IZ221" i="1"/>
  <c r="IH552" i="1"/>
  <c r="IX210" i="1"/>
  <c r="IZ543" i="1"/>
  <c r="IF212" i="1"/>
  <c r="IZ535" i="1"/>
  <c r="IZ530" i="1"/>
  <c r="IZ205" i="1"/>
  <c r="IZ204" i="1"/>
  <c r="IZ199" i="1"/>
  <c r="IH536" i="1"/>
  <c r="IG536" i="1"/>
  <c r="IH524" i="1"/>
  <c r="IH193" i="1"/>
  <c r="IZ193" i="1"/>
  <c r="IZ191" i="1"/>
  <c r="IH522" i="1"/>
  <c r="IH191" i="1"/>
  <c r="IZ189" i="1"/>
  <c r="IH520" i="1"/>
  <c r="IH189" i="1"/>
  <c r="IH514" i="1"/>
  <c r="IH182" i="1"/>
  <c r="IZ182" i="1"/>
  <c r="JS514" i="1"/>
  <c r="IZ505" i="1"/>
  <c r="IH177" i="1"/>
  <c r="IH498" i="1"/>
  <c r="IH165" i="1"/>
  <c r="IZ165" i="1"/>
  <c r="IG498" i="1"/>
  <c r="IH486" i="1"/>
  <c r="IH153" i="1"/>
  <c r="IZ153" i="1"/>
  <c r="IZ152" i="1"/>
  <c r="IH485" i="1"/>
  <c r="IH152" i="1"/>
  <c r="IF149" i="1"/>
  <c r="IZ151" i="1"/>
  <c r="IH484" i="1"/>
  <c r="IZ482" i="1"/>
  <c r="IZ147" i="1"/>
  <c r="IH480" i="1"/>
  <c r="IH147" i="1"/>
  <c r="IF139" i="1"/>
  <c r="IH474" i="1"/>
  <c r="IZ472" i="1"/>
  <c r="IZ141" i="1"/>
  <c r="IH467" i="1"/>
  <c r="IZ464" i="1"/>
  <c r="IZ134" i="1"/>
  <c r="IZ131" i="1"/>
  <c r="IF118" i="1"/>
  <c r="JS118" i="1"/>
  <c r="IF106" i="1"/>
  <c r="IZ99" i="1"/>
  <c r="IH432" i="1"/>
  <c r="IH99" i="1"/>
  <c r="IZ98" i="1"/>
  <c r="IH431" i="1"/>
  <c r="IZ427" i="1"/>
  <c r="JS94" i="1"/>
  <c r="IF77" i="1"/>
  <c r="IH411" i="1"/>
  <c r="IZ406" i="1"/>
  <c r="IZ75" i="1"/>
  <c r="IZ72" i="1"/>
  <c r="IH409" i="1"/>
  <c r="IH69" i="1"/>
  <c r="IH67" i="1"/>
  <c r="IG61" i="1"/>
  <c r="IZ395" i="1"/>
  <c r="IX364" i="1"/>
  <c r="IX240" i="1"/>
  <c r="IY364" i="1"/>
  <c r="IZ369" i="1"/>
  <c r="IG369" i="1"/>
  <c r="IG18" i="1"/>
  <c r="IZ347" i="1"/>
  <c r="IZ215" i="1"/>
  <c r="IZ212" i="1"/>
  <c r="IY242" i="1"/>
  <c r="IZ57" i="1"/>
  <c r="IH284" i="1"/>
  <c r="IZ56" i="1"/>
  <c r="IH283" i="1"/>
  <c r="IH56" i="1"/>
  <c r="IZ279" i="1"/>
  <c r="IZ273" i="1"/>
  <c r="IH281" i="1"/>
  <c r="IZ54" i="1"/>
  <c r="IF52" i="1"/>
  <c r="IH269" i="1"/>
  <c r="IH40" i="1"/>
  <c r="IY40" i="1"/>
  <c r="IZ39" i="1"/>
  <c r="JT39" i="1"/>
  <c r="JT38" i="1"/>
  <c r="IY39" i="1"/>
  <c r="IZ34" i="1"/>
  <c r="IH263" i="1"/>
  <c r="IZ259" i="1"/>
  <c r="IZ32" i="1"/>
  <c r="IH261" i="1"/>
  <c r="IF30" i="1"/>
  <c r="IG26" i="1"/>
  <c r="IZ255" i="1"/>
  <c r="F28" i="33"/>
  <c r="I29" i="33"/>
  <c r="JT619" i="1"/>
  <c r="JT609" i="1"/>
  <c r="JT199" i="1"/>
  <c r="GS199" i="1"/>
  <c r="G12" i="33"/>
  <c r="IG246" i="1"/>
  <c r="IG17" i="1"/>
  <c r="G14" i="41"/>
  <c r="IZ247" i="1"/>
  <c r="G11" i="18"/>
  <c r="C28" i="31"/>
  <c r="C27" i="31"/>
  <c r="E7" i="29"/>
  <c r="G9" i="30"/>
  <c r="G11" i="30"/>
  <c r="P26" i="40"/>
  <c r="P24" i="40"/>
  <c r="F33" i="31"/>
  <c r="C10" i="18"/>
  <c r="E28" i="31"/>
  <c r="E27" i="31"/>
  <c r="H31" i="31"/>
  <c r="E10" i="18"/>
  <c r="U31" i="40"/>
  <c r="JT520" i="1"/>
  <c r="JT189" i="1"/>
  <c r="GS189" i="1"/>
  <c r="CI12" i="1"/>
  <c r="JT496" i="1"/>
  <c r="GS163" i="1"/>
  <c r="GS153" i="1"/>
  <c r="JT486" i="1"/>
  <c r="GS482" i="1"/>
  <c r="GS439" i="1"/>
  <c r="GS108" i="1"/>
  <c r="JT441" i="1"/>
  <c r="GS411" i="1"/>
  <c r="JT413" i="1"/>
  <c r="GS79" i="1"/>
  <c r="KA378" i="1"/>
  <c r="JT409" i="1"/>
  <c r="GS75" i="1"/>
  <c r="GS406" i="1"/>
  <c r="GS70" i="1"/>
  <c r="JT404" i="1"/>
  <c r="JT70" i="1"/>
  <c r="JR827" i="1"/>
  <c r="JR766" i="1"/>
  <c r="JR764" i="1"/>
  <c r="IH840" i="1"/>
  <c r="IH827" i="1"/>
  <c r="GG653" i="1"/>
  <c r="GG651" i="1"/>
  <c r="JQ660" i="1"/>
  <c r="JQ658" i="1"/>
  <c r="GV660" i="1"/>
  <c r="GV658" i="1"/>
  <c r="HF660" i="1"/>
  <c r="HF658" i="1"/>
  <c r="HF10" i="1"/>
  <c r="GA660" i="1"/>
  <c r="GA658" i="1"/>
  <c r="FY660" i="1"/>
  <c r="FY658" i="1"/>
  <c r="FY653" i="1"/>
  <c r="FY651" i="1"/>
  <c r="FF660" i="1"/>
  <c r="FF658" i="1"/>
  <c r="FE660" i="1"/>
  <c r="FE658" i="1"/>
  <c r="BR660" i="1"/>
  <c r="BR658" i="1"/>
  <c r="AU660" i="1"/>
  <c r="AU658" i="1"/>
  <c r="AJ660" i="1"/>
  <c r="AJ658" i="1"/>
  <c r="AE660" i="1"/>
  <c r="AE658" i="1"/>
  <c r="AE653" i="1"/>
  <c r="AE651" i="1"/>
  <c r="R660" i="1"/>
  <c r="R658" i="1"/>
  <c r="P660" i="1"/>
  <c r="P658" i="1"/>
  <c r="IA660" i="1"/>
  <c r="HK660" i="1"/>
  <c r="HI660" i="1"/>
  <c r="HB660" i="1"/>
  <c r="HB658" i="1"/>
  <c r="ID660" i="1"/>
  <c r="GF660" i="1"/>
  <c r="GF658" i="1"/>
  <c r="BX660" i="1"/>
  <c r="BX658" i="1"/>
  <c r="BV660" i="1"/>
  <c r="BV658" i="1"/>
  <c r="BV653" i="1"/>
  <c r="BV651" i="1"/>
  <c r="AX660" i="1"/>
  <c r="AX658" i="1"/>
  <c r="AH660" i="1"/>
  <c r="AH658" i="1"/>
  <c r="AH653" i="1"/>
  <c r="AH651" i="1"/>
  <c r="S660" i="1"/>
  <c r="S658" i="1"/>
  <c r="Q660" i="1"/>
  <c r="Q658" i="1"/>
  <c r="Q653" i="1"/>
  <c r="Q651" i="1"/>
  <c r="I660" i="1"/>
  <c r="I658" i="1"/>
  <c r="I653" i="1"/>
  <c r="I651" i="1"/>
  <c r="IB660" i="1"/>
  <c r="HY660" i="1"/>
  <c r="HT660" i="1"/>
  <c r="IE660" i="1"/>
  <c r="IE651" i="1"/>
  <c r="IE628" i="1"/>
  <c r="GN660" i="1"/>
  <c r="GN658" i="1"/>
  <c r="BE660" i="1"/>
  <c r="BE658" i="1"/>
  <c r="GB660" i="1"/>
  <c r="GB658" i="1"/>
  <c r="FT660" i="1"/>
  <c r="FT658" i="1"/>
  <c r="CB660" i="1"/>
  <c r="CB658" i="1"/>
  <c r="CB653" i="1"/>
  <c r="CB651" i="1"/>
  <c r="AN660" i="1"/>
  <c r="AN658" i="1"/>
  <c r="AN653" i="1"/>
  <c r="AN651" i="1"/>
  <c r="E660" i="1"/>
  <c r="E658" i="1"/>
  <c r="E653" i="1"/>
  <c r="E651" i="1"/>
  <c r="HU660" i="1"/>
  <c r="HP660" i="1"/>
  <c r="GX660" i="1"/>
  <c r="GX658" i="1"/>
  <c r="GU660" i="1"/>
  <c r="GU658" i="1"/>
  <c r="GU10" i="1"/>
  <c r="GY660" i="1"/>
  <c r="GY658" i="1"/>
  <c r="HE660" i="1"/>
  <c r="HE658" i="1"/>
  <c r="JP660" i="1"/>
  <c r="JP658" i="1"/>
  <c r="Q10" i="1"/>
  <c r="FZ660" i="1"/>
  <c r="FZ658" i="1"/>
  <c r="FZ653" i="1"/>
  <c r="FZ651" i="1"/>
  <c r="FU660" i="1"/>
  <c r="FU658" i="1"/>
  <c r="FU653" i="1"/>
  <c r="FU651" i="1"/>
  <c r="FK660" i="1"/>
  <c r="FK658" i="1"/>
  <c r="AT660" i="1"/>
  <c r="AT658" i="1"/>
  <c r="AR660" i="1"/>
  <c r="AR658" i="1"/>
  <c r="AR653" i="1"/>
  <c r="AR651" i="1"/>
  <c r="K660" i="1"/>
  <c r="K658" i="1"/>
  <c r="K653" i="1"/>
  <c r="K651" i="1"/>
  <c r="HQ660" i="1"/>
  <c r="HJ660" i="1"/>
  <c r="HH660" i="1"/>
  <c r="JG660" i="1"/>
  <c r="JG658" i="1"/>
  <c r="JM660" i="1"/>
  <c r="JM658" i="1"/>
  <c r="JA660" i="1"/>
  <c r="JA658" i="1"/>
  <c r="IX660" i="1"/>
  <c r="IX658" i="1"/>
  <c r="IL660" i="1"/>
  <c r="IL658" i="1"/>
  <c r="BB766" i="1"/>
  <c r="BB764" i="1"/>
  <c r="JJ660" i="1"/>
  <c r="JJ658" i="1"/>
  <c r="JD660" i="1"/>
  <c r="JD658" i="1"/>
  <c r="IU660" i="1"/>
  <c r="IU658" i="1"/>
  <c r="IO660" i="1"/>
  <c r="IO658" i="1"/>
  <c r="HM660" i="1"/>
  <c r="BT766" i="1"/>
  <c r="BT764" i="1"/>
  <c r="BT660" i="1"/>
  <c r="BT658" i="1"/>
  <c r="GT834" i="1"/>
  <c r="KA834" i="1"/>
  <c r="KB834" i="1"/>
  <c r="JT828" i="1"/>
  <c r="JT827" i="1"/>
  <c r="CG660" i="1"/>
  <c r="CG658" i="1"/>
  <c r="F30" i="31"/>
  <c r="C37" i="31"/>
  <c r="C42" i="31"/>
  <c r="H35" i="31"/>
  <c r="T29" i="40"/>
  <c r="H13" i="30"/>
  <c r="C7" i="30"/>
  <c r="H7" i="30"/>
  <c r="E10" i="38"/>
  <c r="B6" i="38"/>
  <c r="B18" i="38"/>
  <c r="F7" i="30"/>
  <c r="Q26" i="40"/>
  <c r="Q24" i="40"/>
  <c r="T28" i="40"/>
  <c r="F38" i="31"/>
  <c r="F37" i="31"/>
  <c r="H9" i="30"/>
  <c r="E6" i="29"/>
  <c r="U29" i="40"/>
  <c r="U33" i="40"/>
  <c r="H14" i="30"/>
  <c r="HG869" i="1"/>
  <c r="JS869" i="1"/>
  <c r="JS868" i="1"/>
  <c r="JT746" i="1"/>
  <c r="JT742" i="1"/>
  <c r="GS742" i="1"/>
  <c r="GS738" i="1"/>
  <c r="JT740" i="1"/>
  <c r="JT738" i="1"/>
  <c r="JT736" i="1"/>
  <c r="GS728" i="1"/>
  <c r="GQ662" i="1"/>
  <c r="GQ708" i="1"/>
  <c r="JT682" i="1"/>
  <c r="JT681" i="1"/>
  <c r="GS681" i="1"/>
  <c r="KA664" i="1"/>
  <c r="KA662" i="1"/>
  <c r="BU664" i="1"/>
  <c r="BU662" i="1"/>
  <c r="BU660" i="1"/>
  <c r="BU658" i="1"/>
  <c r="D10" i="32"/>
  <c r="F28" i="32"/>
  <c r="S24" i="40"/>
  <c r="U26" i="40"/>
  <c r="HD766" i="1"/>
  <c r="HD764" i="1"/>
  <c r="HA766" i="1"/>
  <c r="HA764" i="1"/>
  <c r="HA660" i="1"/>
  <c r="HA658" i="1"/>
  <c r="GZ766" i="1"/>
  <c r="GZ764" i="1"/>
  <c r="HD664" i="1"/>
  <c r="HD662" i="1"/>
  <c r="GZ664" i="1"/>
  <c r="GZ662" i="1"/>
  <c r="GS585" i="1"/>
  <c r="GS24" i="1"/>
  <c r="JT588" i="1"/>
  <c r="GR21" i="1"/>
  <c r="KH14" i="1"/>
  <c r="KH55" i="1"/>
  <c r="F23" i="41"/>
  <c r="JT582" i="1"/>
  <c r="F21" i="33"/>
  <c r="GS581" i="1"/>
  <c r="GS191" i="1"/>
  <c r="JT522" i="1"/>
  <c r="JT191" i="1"/>
  <c r="KJ44" i="1"/>
  <c r="KJ70" i="1"/>
  <c r="GQ172" i="1"/>
  <c r="KA182" i="1"/>
  <c r="JT403" i="1"/>
  <c r="GS401" i="1"/>
  <c r="GT427" i="1"/>
  <c r="GT100" i="1"/>
  <c r="GT94" i="1"/>
  <c r="JX575" i="1"/>
  <c r="JR101" i="1"/>
  <c r="JR94" i="1"/>
  <c r="JR44" i="1"/>
  <c r="JR12" i="1"/>
  <c r="JR625" i="1"/>
  <c r="JR619" i="1"/>
  <c r="JR609" i="1"/>
  <c r="JR575" i="1"/>
  <c r="JL625" i="1"/>
  <c r="JL619" i="1"/>
  <c r="JL609" i="1"/>
  <c r="JL575" i="1"/>
  <c r="JL101" i="1"/>
  <c r="JL94" i="1"/>
  <c r="IW625" i="1"/>
  <c r="IW619" i="1"/>
  <c r="IW609" i="1"/>
  <c r="IW101" i="1"/>
  <c r="IW94" i="1"/>
  <c r="IW44" i="1"/>
  <c r="JF625" i="1"/>
  <c r="JF619" i="1"/>
  <c r="JF609" i="1"/>
  <c r="JF101" i="1"/>
  <c r="JF94" i="1"/>
  <c r="IK626" i="1"/>
  <c r="GT797" i="1"/>
  <c r="BY766" i="1"/>
  <c r="BY764" i="1"/>
  <c r="BY660" i="1"/>
  <c r="BY658" i="1"/>
  <c r="DQ653" i="1"/>
  <c r="DQ651" i="1"/>
  <c r="CV653" i="1"/>
  <c r="CV651" i="1"/>
  <c r="DI653" i="1"/>
  <c r="DI651" i="1"/>
  <c r="B16" i="3"/>
  <c r="C660" i="1"/>
  <c r="BE653" i="1"/>
  <c r="BE651" i="1"/>
  <c r="EU653" i="1"/>
  <c r="EU651" i="1"/>
  <c r="FN653" i="1"/>
  <c r="FN651" i="1"/>
  <c r="DB653" i="1"/>
  <c r="DB651" i="1"/>
  <c r="FR653" i="1"/>
  <c r="FR651" i="1"/>
  <c r="AX653" i="1"/>
  <c r="AX651" i="1"/>
  <c r="AX10" i="1"/>
  <c r="CJ653" i="1"/>
  <c r="CJ651" i="1"/>
  <c r="AQ653" i="1"/>
  <c r="AQ651" i="1"/>
  <c r="AQ10" i="1"/>
  <c r="G16" i="3"/>
  <c r="S37" i="40"/>
  <c r="E16" i="3"/>
  <c r="IF660" i="1"/>
  <c r="IF658" i="1"/>
  <c r="ID658" i="1"/>
  <c r="ID651" i="1"/>
  <c r="ID628" i="1"/>
  <c r="JR669" i="1"/>
  <c r="JR664" i="1"/>
  <c r="JR662" i="1"/>
  <c r="IH676" i="1"/>
  <c r="GN653" i="1"/>
  <c r="GN651" i="1"/>
  <c r="GR669" i="1"/>
  <c r="GR664" i="1"/>
  <c r="DT10" i="1"/>
  <c r="DT653" i="1"/>
  <c r="DT651" i="1"/>
  <c r="FV653" i="1"/>
  <c r="FV651" i="1"/>
  <c r="EP10" i="1"/>
  <c r="EP653" i="1"/>
  <c r="EP651" i="1"/>
  <c r="DA653" i="1"/>
  <c r="DA651" i="1"/>
  <c r="EZ653" i="1"/>
  <c r="EZ651" i="1"/>
  <c r="DK653" i="1"/>
  <c r="DK651" i="1"/>
  <c r="FO10" i="1"/>
  <c r="FO653" i="1"/>
  <c r="FO651" i="1"/>
  <c r="DH653" i="1"/>
  <c r="DH651" i="1"/>
  <c r="CR653" i="1"/>
  <c r="CR651" i="1"/>
  <c r="DD10" i="1"/>
  <c r="DD653" i="1"/>
  <c r="DD651" i="1"/>
  <c r="ER653" i="1"/>
  <c r="ER651" i="1"/>
  <c r="ER10" i="1"/>
  <c r="BF10" i="1"/>
  <c r="FG10" i="1"/>
  <c r="FG653" i="1"/>
  <c r="FG651" i="1"/>
  <c r="CM653" i="1"/>
  <c r="CM651" i="1"/>
  <c r="CM10" i="1"/>
  <c r="DR653" i="1"/>
  <c r="DR651" i="1"/>
  <c r="EB653" i="1"/>
  <c r="EB651" i="1"/>
  <c r="EB10" i="1"/>
  <c r="CS653" i="1"/>
  <c r="CS651" i="1"/>
  <c r="CS10" i="1"/>
  <c r="DF653" i="1"/>
  <c r="DF651" i="1"/>
  <c r="DV653" i="1"/>
  <c r="DV651" i="1"/>
  <c r="BB660" i="1"/>
  <c r="BB658" i="1"/>
  <c r="BB10" i="1"/>
  <c r="JT679" i="1"/>
  <c r="BX10" i="1"/>
  <c r="BX653" i="1"/>
  <c r="BX651" i="1"/>
  <c r="JS669" i="1"/>
  <c r="HG215" i="1"/>
  <c r="KA21" i="1"/>
  <c r="GS251" i="1"/>
  <c r="KH16" i="1"/>
  <c r="GS22" i="1"/>
  <c r="JT252" i="1"/>
  <c r="GR251" i="1"/>
  <c r="D35" i="32"/>
  <c r="C33" i="32"/>
  <c r="C32" i="32"/>
  <c r="C8" i="32"/>
  <c r="H37" i="31"/>
  <c r="C6" i="38"/>
  <c r="E6" i="38"/>
  <c r="JT788" i="1"/>
  <c r="GT783" i="1"/>
  <c r="BS660" i="1"/>
  <c r="BS658" i="1"/>
  <c r="JT671" i="1"/>
  <c r="GS669" i="1"/>
  <c r="GS664" i="1"/>
  <c r="BR653" i="1"/>
  <c r="BR651" i="1"/>
  <c r="HG868" i="1"/>
  <c r="GR869" i="1"/>
  <c r="GR868" i="1"/>
  <c r="JZ869" i="1"/>
  <c r="GP868" i="1"/>
  <c r="GP766" i="1"/>
  <c r="GP764" i="1"/>
  <c r="KB845" i="1"/>
  <c r="BC766" i="1"/>
  <c r="BC764" i="1"/>
  <c r="BC660" i="1"/>
  <c r="BC658" i="1"/>
  <c r="BC10" i="1"/>
  <c r="JS851" i="1"/>
  <c r="HG845" i="1"/>
  <c r="KC851" i="1"/>
  <c r="GQ766" i="1"/>
  <c r="GQ764" i="1"/>
  <c r="KA764" i="1"/>
  <c r="GT823" i="1"/>
  <c r="GT820" i="1"/>
  <c r="GT790" i="1"/>
  <c r="GT766" i="1"/>
  <c r="GT764" i="1"/>
  <c r="GT816" i="1"/>
  <c r="KB790" i="1"/>
  <c r="JT818" i="1"/>
  <c r="GR811" i="1"/>
  <c r="GR790" i="1"/>
  <c r="GR766" i="1"/>
  <c r="GR764" i="1"/>
  <c r="HG811" i="1"/>
  <c r="AF48" i="12"/>
  <c r="AF13" i="12"/>
  <c r="AF12" i="12"/>
  <c r="B16" i="38"/>
  <c r="G28" i="31"/>
  <c r="G27" i="31"/>
  <c r="KC218" i="1"/>
  <c r="HX240" i="1"/>
  <c r="KC609" i="1"/>
  <c r="U24" i="40"/>
  <c r="JI662" i="1"/>
  <c r="JI609" i="1"/>
  <c r="JI575" i="1"/>
  <c r="JG364" i="1"/>
  <c r="IF364" i="1"/>
  <c r="JI205" i="1"/>
  <c r="JI204" i="1"/>
  <c r="JI199" i="1"/>
  <c r="JI535" i="1"/>
  <c r="JI530" i="1"/>
  <c r="JG240" i="1"/>
  <c r="IF67" i="1"/>
  <c r="IH228" i="1"/>
  <c r="IH227" i="1"/>
  <c r="IH358" i="1"/>
  <c r="BB242" i="1"/>
  <c r="BB240" i="1"/>
  <c r="E12" i="1"/>
  <c r="JN12" i="1"/>
  <c r="H12" i="1"/>
  <c r="FZ12" i="1"/>
  <c r="IQ86" i="1"/>
  <c r="F44" i="1"/>
  <c r="I12" i="1"/>
  <c r="FU12" i="1"/>
  <c r="GD12" i="1"/>
  <c r="GF10" i="1"/>
  <c r="GG12" i="1"/>
  <c r="GG10" i="1"/>
  <c r="JK44" i="1"/>
  <c r="AR242" i="1"/>
  <c r="AR240" i="1"/>
  <c r="EL44" i="1"/>
  <c r="EL12" i="1"/>
  <c r="CR12" i="1"/>
  <c r="CR10" i="1"/>
  <c r="FR12" i="1"/>
  <c r="FR10" i="1"/>
  <c r="AZ12" i="1"/>
  <c r="GS100" i="1"/>
  <c r="JT433" i="1"/>
  <c r="JT100" i="1"/>
  <c r="I7" i="30"/>
  <c r="JT498" i="1"/>
  <c r="JT165" i="1"/>
  <c r="GS165" i="1"/>
  <c r="GS65" i="1"/>
  <c r="GS63" i="1"/>
  <c r="GS397" i="1"/>
  <c r="JT399" i="1"/>
  <c r="GT50" i="1"/>
  <c r="GT46" i="1"/>
  <c r="GT380" i="1"/>
  <c r="GS368" i="1"/>
  <c r="JT369" i="1"/>
  <c r="GS18" i="1"/>
  <c r="GS16" i="1"/>
  <c r="F13" i="33"/>
  <c r="F15" i="41"/>
  <c r="GT543" i="1"/>
  <c r="GT541" i="1"/>
  <c r="GR543" i="1"/>
  <c r="GR541" i="1"/>
  <c r="JS582" i="1"/>
  <c r="JS581" i="1"/>
  <c r="HG581" i="1"/>
  <c r="KC582" i="1"/>
  <c r="KC22" i="1"/>
  <c r="HG39" i="1"/>
  <c r="HG38" i="1"/>
  <c r="KK25" i="1"/>
  <c r="KK64" i="1"/>
  <c r="KK61" i="1"/>
  <c r="JS601" i="1"/>
  <c r="GT215" i="1"/>
  <c r="GT212" i="1"/>
  <c r="GT210" i="1"/>
  <c r="GT347" i="1"/>
  <c r="GP347" i="1"/>
  <c r="GR215" i="1"/>
  <c r="GR212" i="1"/>
  <c r="GR210" i="1"/>
  <c r="GR347" i="1"/>
  <c r="GS347" i="1"/>
  <c r="GS215" i="1"/>
  <c r="JZ215" i="1"/>
  <c r="GP38" i="1"/>
  <c r="JZ39" i="1"/>
  <c r="E14" i="41"/>
  <c r="GR17" i="1"/>
  <c r="GR16" i="1"/>
  <c r="GR14" i="1"/>
  <c r="KJ14" i="1"/>
  <c r="KJ55" i="1"/>
  <c r="KJ54" i="1"/>
  <c r="KG14" i="1"/>
  <c r="KG55" i="1"/>
  <c r="KG54" i="1"/>
  <c r="E12" i="33"/>
  <c r="KI13" i="1"/>
  <c r="KI26" i="1"/>
  <c r="KI11" i="1"/>
  <c r="KI55" i="1"/>
  <c r="KI54" i="1"/>
  <c r="GQ16" i="1"/>
  <c r="KA17" i="1"/>
  <c r="KC643" i="1"/>
  <c r="BA44" i="1"/>
  <c r="BA12" i="1"/>
  <c r="BA10" i="1"/>
  <c r="CZ104" i="1"/>
  <c r="JN242" i="1"/>
  <c r="EY12" i="1"/>
  <c r="EY10" i="1"/>
  <c r="F12" i="1"/>
  <c r="AE12" i="1"/>
  <c r="AE10" i="1"/>
  <c r="FI12" i="1"/>
  <c r="EX12" i="1"/>
  <c r="EX10" i="1"/>
  <c r="GH12" i="1"/>
  <c r="HD12" i="1"/>
  <c r="DG104" i="1"/>
  <c r="FE12" i="1"/>
  <c r="FE10" i="1"/>
  <c r="GK12" i="1"/>
  <c r="GK10" i="1"/>
  <c r="BS44" i="1"/>
  <c r="BS12" i="1"/>
  <c r="BS10" i="1"/>
  <c r="IS240" i="1"/>
  <c r="JO322" i="1"/>
  <c r="JO308" i="1"/>
  <c r="JO160" i="1"/>
  <c r="JO155" i="1"/>
  <c r="KB302" i="1"/>
  <c r="KC302" i="1"/>
  <c r="KC303" i="1"/>
  <c r="DQ12" i="1"/>
  <c r="DI12" i="1"/>
  <c r="AK44" i="1"/>
  <c r="AK12" i="1"/>
  <c r="KB319" i="1"/>
  <c r="KB308" i="1"/>
  <c r="KB153" i="1"/>
  <c r="HA12" i="1"/>
  <c r="AJ12" i="1"/>
  <c r="AJ10" i="1"/>
  <c r="CB12" i="1"/>
  <c r="IG168" i="1"/>
  <c r="IG167" i="1"/>
  <c r="IG326" i="1"/>
  <c r="IG308" i="1"/>
  <c r="HG279" i="1"/>
  <c r="D8" i="22"/>
  <c r="KC286" i="1"/>
  <c r="JS286" i="1"/>
  <c r="HG70" i="1"/>
  <c r="JS291" i="1"/>
  <c r="JS70" i="1"/>
  <c r="KC291" i="1"/>
  <c r="IQ322" i="1"/>
  <c r="IQ308" i="1"/>
  <c r="IQ242" i="1"/>
  <c r="IQ160" i="1"/>
  <c r="IQ155" i="1"/>
  <c r="CL44" i="1"/>
  <c r="CL12" i="1"/>
  <c r="HR12" i="1"/>
  <c r="JO242" i="1"/>
  <c r="AN12" i="1"/>
  <c r="AN10" i="1"/>
  <c r="AY12" i="1"/>
  <c r="J12" i="1"/>
  <c r="IH168" i="1"/>
  <c r="IH167" i="1"/>
  <c r="IH326" i="1"/>
  <c r="JS299" i="1"/>
  <c r="JS79" i="1"/>
  <c r="KC299" i="1"/>
  <c r="GS80" i="1"/>
  <c r="GS77" i="1"/>
  <c r="JT300" i="1"/>
  <c r="JT80" i="1"/>
  <c r="HG79" i="1"/>
  <c r="KA244" i="1"/>
  <c r="GQ242" i="1"/>
  <c r="KA242" i="1"/>
  <c r="JS257" i="1"/>
  <c r="JS28" i="1"/>
  <c r="KK20" i="1"/>
  <c r="KK60" i="1"/>
  <c r="HG28" i="1"/>
  <c r="KC28" i="1"/>
  <c r="KG20" i="1"/>
  <c r="KG13" i="1"/>
  <c r="KJ20" i="1"/>
  <c r="GT18" i="1"/>
  <c r="GT368" i="1"/>
  <c r="GT366" i="1"/>
  <c r="JT371" i="1"/>
  <c r="KH40" i="1"/>
  <c r="KH60" i="1"/>
  <c r="GS366" i="1"/>
  <c r="GS28" i="1"/>
  <c r="T26" i="40"/>
  <c r="H28" i="31"/>
  <c r="T24" i="40"/>
  <c r="U10" i="1"/>
  <c r="D10" i="1"/>
  <c r="E10" i="1"/>
  <c r="GD10" i="1"/>
  <c r="EJ10" i="1"/>
  <c r="IH783" i="1"/>
  <c r="IV240" i="1"/>
  <c r="JH660" i="1"/>
  <c r="JH658" i="1"/>
  <c r="IH846" i="1"/>
  <c r="IH845" i="1"/>
  <c r="JS849" i="1"/>
  <c r="KC849" i="1"/>
  <c r="JE378" i="1"/>
  <c r="JE364" i="1"/>
  <c r="JH378" i="1"/>
  <c r="JS848" i="1"/>
  <c r="KC848" i="1"/>
  <c r="JE240" i="1"/>
  <c r="IK104" i="1"/>
  <c r="IH430" i="1"/>
  <c r="IH97" i="1"/>
  <c r="JI549" i="1"/>
  <c r="JI541" i="1"/>
  <c r="JS847" i="1"/>
  <c r="JS845" i="1"/>
  <c r="KC847" i="1"/>
  <c r="JB14" i="1"/>
  <c r="JH437" i="1"/>
  <c r="JO18" i="1"/>
  <c r="JO19" i="1"/>
  <c r="JO16" i="1"/>
  <c r="KA98" i="1"/>
  <c r="GQ94" i="1"/>
  <c r="KB88" i="1"/>
  <c r="KC88" i="1"/>
  <c r="KC421" i="1"/>
  <c r="KC732" i="1"/>
  <c r="JO44" i="1"/>
  <c r="JS133" i="1"/>
  <c r="JS131" i="1"/>
  <c r="JS464" i="1"/>
  <c r="JS437" i="1"/>
  <c r="GP630" i="1"/>
  <c r="JZ632" i="1"/>
  <c r="KG22" i="1"/>
  <c r="KG62" i="1"/>
  <c r="KG61" i="1"/>
  <c r="KJ22" i="1"/>
  <c r="E15" i="33"/>
  <c r="B7" i="22"/>
  <c r="E17" i="41"/>
  <c r="GR723" i="1"/>
  <c r="GR721" i="1"/>
  <c r="GR662" i="1"/>
  <c r="GR660" i="1"/>
  <c r="JK378" i="1"/>
  <c r="KB70" i="1"/>
  <c r="KC70" i="1"/>
  <c r="GQ630" i="1"/>
  <c r="KA632" i="1"/>
  <c r="JG12" i="1"/>
  <c r="JG10" i="1"/>
  <c r="JL210" i="1"/>
  <c r="IM660" i="1"/>
  <c r="IM658" i="1"/>
  <c r="IZ18" i="1"/>
  <c r="IZ19" i="1"/>
  <c r="IW18" i="1"/>
  <c r="IW16" i="1"/>
  <c r="IW14" i="1"/>
  <c r="IW581" i="1"/>
  <c r="JI18" i="1"/>
  <c r="JI19" i="1"/>
  <c r="JC18" i="1"/>
  <c r="JC19" i="1"/>
  <c r="JC581" i="1"/>
  <c r="JC579" i="1"/>
  <c r="JC577" i="1"/>
  <c r="JF259" i="1"/>
  <c r="JF244" i="1"/>
  <c r="IY575" i="1"/>
  <c r="IQ18" i="1"/>
  <c r="IQ581" i="1"/>
  <c r="IQ579" i="1"/>
  <c r="IQ577" i="1"/>
  <c r="IQ575" i="1"/>
  <c r="IQ19" i="1"/>
  <c r="IN18" i="1"/>
  <c r="IN581" i="1"/>
  <c r="IN579" i="1"/>
  <c r="IN577" i="1"/>
  <c r="IN575" i="1"/>
  <c r="IN19" i="1"/>
  <c r="IT18" i="1"/>
  <c r="IT19" i="1"/>
  <c r="IT581" i="1"/>
  <c r="JF158" i="1"/>
  <c r="JF155" i="1"/>
  <c r="JF104" i="1"/>
  <c r="IH491" i="1"/>
  <c r="IH158" i="1"/>
  <c r="IH476" i="1"/>
  <c r="IH143" i="1"/>
  <c r="JO143" i="1"/>
  <c r="JO139" i="1"/>
  <c r="JO104" i="1"/>
  <c r="JO427" i="1"/>
  <c r="JE662" i="1"/>
  <c r="JE660" i="1"/>
  <c r="JE658" i="1"/>
  <c r="JI113" i="1"/>
  <c r="JI111" i="1"/>
  <c r="IH446" i="1"/>
  <c r="IH113" i="1"/>
  <c r="JI133" i="1"/>
  <c r="JI131" i="1"/>
  <c r="IH466" i="1"/>
  <c r="IH133" i="1"/>
  <c r="JI54" i="1"/>
  <c r="JI52" i="1"/>
  <c r="JI44" i="1"/>
  <c r="JI279" i="1"/>
  <c r="JI273" i="1"/>
  <c r="JI242" i="1"/>
  <c r="JF18" i="1"/>
  <c r="JF581" i="1"/>
  <c r="JF579" i="1"/>
  <c r="JF577" i="1"/>
  <c r="JF575" i="1"/>
  <c r="JF19" i="1"/>
  <c r="JL18" i="1"/>
  <c r="JL19" i="1"/>
  <c r="JC212" i="1"/>
  <c r="JC210" i="1"/>
  <c r="JC543" i="1"/>
  <c r="JC541" i="1"/>
  <c r="JF54" i="1"/>
  <c r="JF52" i="1"/>
  <c r="JF44" i="1"/>
  <c r="JF386" i="1"/>
  <c r="JO600" i="1"/>
  <c r="JO579" i="1"/>
  <c r="JO577" i="1"/>
  <c r="JO575" i="1"/>
  <c r="IH603" i="1"/>
  <c r="JC107" i="1"/>
  <c r="JC106" i="1"/>
  <c r="IH440" i="1"/>
  <c r="IH107" i="1"/>
  <c r="JI637" i="1"/>
  <c r="JI632" i="1"/>
  <c r="JI630" i="1"/>
  <c r="JI628" i="1"/>
  <c r="JI22" i="1"/>
  <c r="JI21" i="1"/>
  <c r="JB378" i="1"/>
  <c r="JB364" i="1"/>
  <c r="JK437" i="1"/>
  <c r="JS34" i="1"/>
  <c r="JS30" i="1"/>
  <c r="JF242" i="1"/>
  <c r="IT579" i="1"/>
  <c r="IT577" i="1"/>
  <c r="IT575" i="1"/>
  <c r="IW579" i="1"/>
  <c r="IW577" i="1"/>
  <c r="IV14" i="1"/>
  <c r="IK18" i="1"/>
  <c r="IH583" i="1"/>
  <c r="IK581" i="1"/>
  <c r="IK579" i="1"/>
  <c r="IK577" i="1"/>
  <c r="IK19" i="1"/>
  <c r="JC637" i="1"/>
  <c r="JC632" i="1"/>
  <c r="JC630" i="1"/>
  <c r="JC628" i="1"/>
  <c r="JC22" i="1"/>
  <c r="JC21" i="1"/>
  <c r="JZ106" i="1"/>
  <c r="GP104" i="1"/>
  <c r="JZ104" i="1"/>
  <c r="JO637" i="1"/>
  <c r="JO632" i="1"/>
  <c r="JO630" i="1"/>
  <c r="JO628" i="1"/>
  <c r="JO22" i="1"/>
  <c r="JO21" i="1"/>
  <c r="JO14" i="1"/>
  <c r="JO12" i="1"/>
  <c r="JT507" i="1"/>
  <c r="E42" i="31"/>
  <c r="H42" i="31"/>
  <c r="H27" i="31"/>
  <c r="G42" i="31"/>
  <c r="F28" i="31"/>
  <c r="F27" i="31"/>
  <c r="IG267" i="1"/>
  <c r="IZ218" i="1"/>
  <c r="IF155" i="1"/>
  <c r="KB52" i="1"/>
  <c r="IG259" i="1"/>
  <c r="GT662" i="1"/>
  <c r="FD12" i="1"/>
  <c r="BW12" i="1"/>
  <c r="BW10" i="1"/>
  <c r="DK104" i="1"/>
  <c r="DK12" i="1"/>
  <c r="DK10" i="1"/>
  <c r="GS488" i="1"/>
  <c r="KB48" i="1"/>
  <c r="KC382" i="1"/>
  <c r="KC447" i="1"/>
  <c r="KB114" i="1"/>
  <c r="KC114" i="1"/>
  <c r="KC601" i="1"/>
  <c r="KB39" i="1"/>
  <c r="KC39" i="1"/>
  <c r="GT104" i="1"/>
  <c r="DV12" i="1"/>
  <c r="DV10" i="1"/>
  <c r="IW378" i="1"/>
  <c r="IN378" i="1"/>
  <c r="IF240" i="1"/>
  <c r="E12" i="3"/>
  <c r="G12" i="3"/>
  <c r="G11" i="3"/>
  <c r="JY104" i="1"/>
  <c r="DH104" i="1"/>
  <c r="DH12" i="1"/>
  <c r="DH10" i="1"/>
  <c r="DX12" i="1"/>
  <c r="DX10" i="1"/>
  <c r="KC459" i="1"/>
  <c r="KB126" i="1"/>
  <c r="DN104" i="1"/>
  <c r="JK104" i="1"/>
  <c r="CT12" i="1"/>
  <c r="CT10" i="1"/>
  <c r="EN12" i="1"/>
  <c r="JN240" i="1"/>
  <c r="AS12" i="1"/>
  <c r="AS10" i="1"/>
  <c r="KB122" i="1"/>
  <c r="KC122" i="1"/>
  <c r="KC455" i="1"/>
  <c r="KB127" i="1"/>
  <c r="KC127" i="1"/>
  <c r="KC460" i="1"/>
  <c r="KB118" i="1"/>
  <c r="KC118" i="1"/>
  <c r="DI10" i="1"/>
  <c r="JM10" i="1"/>
  <c r="JP10" i="1"/>
  <c r="JY44" i="1"/>
  <c r="IH23" i="1"/>
  <c r="JT637" i="1"/>
  <c r="JI742" i="1"/>
  <c r="AO12" i="1"/>
  <c r="IT364" i="1"/>
  <c r="KC53" i="1"/>
  <c r="IM104" i="1"/>
  <c r="CU104" i="1"/>
  <c r="CU12" i="1"/>
  <c r="CU10" i="1"/>
  <c r="DM104" i="1"/>
  <c r="DM12" i="1"/>
  <c r="IY104" i="1"/>
  <c r="IH645" i="1"/>
  <c r="KB23" i="1"/>
  <c r="IH39" i="1"/>
  <c r="V12" i="1"/>
  <c r="GP210" i="1"/>
  <c r="JZ210" i="1"/>
  <c r="FB12" i="1"/>
  <c r="FB10" i="1"/>
  <c r="DY12" i="1"/>
  <c r="DY10" i="1"/>
  <c r="DG12" i="1"/>
  <c r="DG10" i="1"/>
  <c r="IJ104" i="1"/>
  <c r="IY44" i="1"/>
  <c r="ID10" i="1"/>
  <c r="GS69" i="1"/>
  <c r="KC588" i="1"/>
  <c r="JQ10" i="1"/>
  <c r="IG39" i="1"/>
  <c r="IH174" i="1"/>
  <c r="IY660" i="1"/>
  <c r="IY658" i="1"/>
  <c r="KB579" i="1"/>
  <c r="KB106" i="1"/>
  <c r="JX437" i="1"/>
  <c r="JX541" i="1"/>
  <c r="KB541" i="1"/>
  <c r="JJ12" i="1"/>
  <c r="JJ10" i="1"/>
  <c r="FC12" i="1"/>
  <c r="FC10" i="1"/>
  <c r="II12" i="1"/>
  <c r="KC58" i="1"/>
  <c r="CY12" i="1"/>
  <c r="IQ38" i="1"/>
  <c r="BU104" i="1"/>
  <c r="BU12" i="1"/>
  <c r="DL12" i="1"/>
  <c r="BV12" i="1"/>
  <c r="BV10" i="1"/>
  <c r="IP364" i="1"/>
  <c r="JL632" i="1"/>
  <c r="JL630" i="1"/>
  <c r="JL628" i="1"/>
  <c r="GH10" i="1"/>
  <c r="GE10" i="1"/>
  <c r="C12" i="1"/>
  <c r="D11" i="20"/>
  <c r="F11" i="20"/>
  <c r="D17" i="33"/>
  <c r="D10" i="33"/>
  <c r="D8" i="33"/>
  <c r="JR660" i="1"/>
  <c r="JR658" i="1"/>
  <c r="JR10" i="1"/>
  <c r="IW575" i="1"/>
  <c r="IH34" i="1"/>
  <c r="IZ38" i="1"/>
  <c r="IH558" i="1"/>
  <c r="KB273" i="1"/>
  <c r="AR12" i="1"/>
  <c r="AR10" i="1"/>
  <c r="IG279" i="1"/>
  <c r="IG273" i="1"/>
  <c r="IH322" i="1"/>
  <c r="IH308" i="1"/>
  <c r="K12" i="1"/>
  <c r="IK364" i="1"/>
  <c r="IK240" i="1"/>
  <c r="IG585" i="1"/>
  <c r="JI378" i="1"/>
  <c r="JH104" i="1"/>
  <c r="JC104" i="1"/>
  <c r="AP12" i="1"/>
  <c r="C16" i="3"/>
  <c r="BU10" i="1"/>
  <c r="JT728" i="1"/>
  <c r="KA364" i="1"/>
  <c r="IH57" i="1"/>
  <c r="IZ210" i="1"/>
  <c r="IF210" i="1"/>
  <c r="IH230" i="1"/>
  <c r="KB664" i="1"/>
  <c r="KC664" i="1"/>
  <c r="JX104" i="1"/>
  <c r="JH38" i="1"/>
  <c r="JH14" i="1"/>
  <c r="EO12" i="1"/>
  <c r="EO10" i="1"/>
  <c r="JL437" i="1"/>
  <c r="JC242" i="1"/>
  <c r="BT104" i="1"/>
  <c r="IH672" i="1"/>
  <c r="IH669" i="1"/>
  <c r="IH664" i="1"/>
  <c r="IH662" i="1"/>
  <c r="H16" i="3"/>
  <c r="JL104" i="1"/>
  <c r="JS664" i="1"/>
  <c r="JS662" i="1"/>
  <c r="IH507" i="1"/>
  <c r="HS12" i="1"/>
  <c r="JY662" i="1"/>
  <c r="KB662" i="1"/>
  <c r="KC662" i="1"/>
  <c r="JA12" i="1"/>
  <c r="JA10" i="1"/>
  <c r="IE12" i="1"/>
  <c r="DN12" i="1"/>
  <c r="DN10" i="1"/>
  <c r="JO437" i="1"/>
  <c r="JF437" i="1"/>
  <c r="R12" i="1"/>
  <c r="JC437" i="1"/>
  <c r="JI437" i="1"/>
  <c r="JL378" i="1"/>
  <c r="CZ12" i="1"/>
  <c r="CZ10" i="1"/>
  <c r="IH728" i="1"/>
  <c r="IG108" i="1"/>
  <c r="IG106" i="1"/>
  <c r="IG439" i="1"/>
  <c r="D37" i="33"/>
  <c r="D36" i="33"/>
  <c r="GS89" i="1"/>
  <c r="JT422" i="1"/>
  <c r="JT89" i="1"/>
  <c r="IQ444" i="1"/>
  <c r="IQ437" i="1"/>
  <c r="IQ112" i="1"/>
  <c r="IQ111" i="1"/>
  <c r="IQ104" i="1"/>
  <c r="JC575" i="1"/>
  <c r="IR10" i="1"/>
  <c r="HC10" i="1"/>
  <c r="GS161" i="1"/>
  <c r="JT494" i="1"/>
  <c r="JT161" i="1"/>
  <c r="GS151" i="1"/>
  <c r="JT484" i="1"/>
  <c r="JT151" i="1"/>
  <c r="JC16" i="1"/>
  <c r="IV660" i="1"/>
  <c r="IV658" i="1"/>
  <c r="GS159" i="1"/>
  <c r="JT492" i="1"/>
  <c r="JT159" i="1"/>
  <c r="JT468" i="1"/>
  <c r="JT135" i="1"/>
  <c r="GS135" i="1"/>
  <c r="JT392" i="1"/>
  <c r="JT58" i="1"/>
  <c r="GS58" i="1"/>
  <c r="GT386" i="1"/>
  <c r="GT378" i="1"/>
  <c r="GT364" i="1"/>
  <c r="GT54" i="1"/>
  <c r="GT52" i="1"/>
  <c r="GT44" i="1"/>
  <c r="GR104" i="1"/>
  <c r="JX658" i="1"/>
  <c r="JX653" i="1"/>
  <c r="JN660" i="1"/>
  <c r="JN658" i="1"/>
  <c r="JN10" i="1"/>
  <c r="JT477" i="1"/>
  <c r="JT144" i="1"/>
  <c r="GS144" i="1"/>
  <c r="GS91" i="1"/>
  <c r="JT424" i="1"/>
  <c r="JT91" i="1"/>
  <c r="HV240" i="1"/>
  <c r="JF634" i="1"/>
  <c r="JF632" i="1"/>
  <c r="JF630" i="1"/>
  <c r="JF628" i="1"/>
  <c r="JF17" i="1"/>
  <c r="JF16" i="1"/>
  <c r="JF14" i="1"/>
  <c r="IH28" i="1"/>
  <c r="JF535" i="1"/>
  <c r="JF530" i="1"/>
  <c r="JF205" i="1"/>
  <c r="JF204" i="1"/>
  <c r="JF199" i="1"/>
  <c r="I6" i="14"/>
  <c r="T15" i="40"/>
  <c r="U15" i="40"/>
  <c r="GS768" i="1"/>
  <c r="JT781" i="1"/>
  <c r="JT768" i="1"/>
  <c r="F653" i="1"/>
  <c r="F651" i="1"/>
  <c r="F10" i="1"/>
  <c r="GJ10" i="1"/>
  <c r="GJ653" i="1"/>
  <c r="GJ651" i="1"/>
  <c r="DL653" i="1"/>
  <c r="DL651" i="1"/>
  <c r="DL10" i="1"/>
  <c r="GO10" i="1"/>
  <c r="GO653" i="1"/>
  <c r="GO651" i="1"/>
  <c r="AW653" i="1"/>
  <c r="AW651" i="1"/>
  <c r="AW10" i="1"/>
  <c r="DG653" i="1"/>
  <c r="DG651" i="1"/>
  <c r="GL653" i="1"/>
  <c r="GL651" i="1"/>
  <c r="GL10" i="1"/>
  <c r="AI10" i="1"/>
  <c r="AI653" i="1"/>
  <c r="AI651" i="1"/>
  <c r="CZ653" i="1"/>
  <c r="CZ651" i="1"/>
  <c r="DU10" i="1"/>
  <c r="DU653" i="1"/>
  <c r="DU651" i="1"/>
  <c r="GI653" i="1"/>
  <c r="GI651" i="1"/>
  <c r="GI10" i="1"/>
  <c r="BL10" i="1"/>
  <c r="BH10" i="1"/>
  <c r="IE658" i="1"/>
  <c r="GF653" i="1"/>
  <c r="GF651" i="1"/>
  <c r="GK653" i="1"/>
  <c r="GK651" i="1"/>
  <c r="CX10" i="1"/>
  <c r="FX10" i="1"/>
  <c r="EI10" i="1"/>
  <c r="CE10" i="1"/>
  <c r="FI10" i="1"/>
  <c r="IG660" i="1"/>
  <c r="IG658" i="1"/>
  <c r="CI10" i="1"/>
  <c r="ES10" i="1"/>
  <c r="EF10" i="1"/>
  <c r="FS10" i="1"/>
  <c r="FM10" i="1"/>
  <c r="AL10" i="1"/>
  <c r="BU653" i="1"/>
  <c r="BU651" i="1"/>
  <c r="JY764" i="1"/>
  <c r="DQ10" i="1"/>
  <c r="ED10" i="1"/>
  <c r="AO10" i="1"/>
  <c r="DO10" i="1"/>
  <c r="DO653" i="1"/>
  <c r="DO651" i="1"/>
  <c r="BA653" i="1"/>
  <c r="BA651" i="1"/>
  <c r="BP653" i="1"/>
  <c r="BP651" i="1"/>
  <c r="BP10" i="1"/>
  <c r="BK653" i="1"/>
  <c r="BK651" i="1"/>
  <c r="BK10" i="1"/>
  <c r="CT653" i="1"/>
  <c r="CT651" i="1"/>
  <c r="BI653" i="1"/>
  <c r="BI651" i="1"/>
  <c r="BI10" i="1"/>
  <c r="HO651" i="1"/>
  <c r="HO628" i="1"/>
  <c r="HO658" i="1"/>
  <c r="DS653" i="1"/>
  <c r="DS651" i="1"/>
  <c r="DS10" i="1"/>
  <c r="EH653" i="1"/>
  <c r="EH651" i="1"/>
  <c r="EH10" i="1"/>
  <c r="DM653" i="1"/>
  <c r="DM651" i="1"/>
  <c r="DM10" i="1"/>
  <c r="EE653" i="1"/>
  <c r="EE651" i="1"/>
  <c r="EE10" i="1"/>
  <c r="BZ10" i="1"/>
  <c r="BZ653" i="1"/>
  <c r="BZ651" i="1"/>
  <c r="CU653" i="1"/>
  <c r="CU651" i="1"/>
  <c r="BJ653" i="1"/>
  <c r="BJ651" i="1"/>
  <c r="BJ10" i="1"/>
  <c r="CO653" i="1"/>
  <c r="CO651" i="1"/>
  <c r="CO10" i="1"/>
  <c r="CA653" i="1"/>
  <c r="CA651" i="1"/>
  <c r="CA10" i="1"/>
  <c r="FJ653" i="1"/>
  <c r="FJ651" i="1"/>
  <c r="FJ10" i="1"/>
  <c r="FQ653" i="1"/>
  <c r="FQ651" i="1"/>
  <c r="FQ10" i="1"/>
  <c r="HN658" i="1"/>
  <c r="HN651" i="1"/>
  <c r="HN628" i="1"/>
  <c r="BN653" i="1"/>
  <c r="BN651" i="1"/>
  <c r="BN10" i="1"/>
  <c r="CP653" i="1"/>
  <c r="CP651" i="1"/>
  <c r="CP10" i="1"/>
  <c r="V653" i="1"/>
  <c r="V651" i="1"/>
  <c r="V10" i="1"/>
  <c r="CD653" i="1"/>
  <c r="CD651" i="1"/>
  <c r="CD10" i="1"/>
  <c r="CL653" i="1"/>
  <c r="CL651" i="1"/>
  <c r="CL10" i="1"/>
  <c r="EC653" i="1"/>
  <c r="EC651" i="1"/>
  <c r="EC10" i="1"/>
  <c r="EQ10" i="1"/>
  <c r="EQ653" i="1"/>
  <c r="EQ651" i="1"/>
  <c r="FP10" i="1"/>
  <c r="FP653" i="1"/>
  <c r="FP651" i="1"/>
  <c r="EL10" i="1"/>
  <c r="EL653" i="1"/>
  <c r="EL651" i="1"/>
  <c r="EM10" i="1"/>
  <c r="J10" i="1"/>
  <c r="W10" i="1"/>
  <c r="BD10" i="1"/>
  <c r="D40" i="41"/>
  <c r="B18" i="3"/>
  <c r="P39" i="40"/>
  <c r="O39" i="40"/>
  <c r="IW768" i="1"/>
  <c r="IW766" i="1"/>
  <c r="IW764" i="1"/>
  <c r="BM10" i="1"/>
  <c r="DP10" i="1"/>
  <c r="AZ10" i="1"/>
  <c r="BQ10" i="1"/>
  <c r="AK10" i="1"/>
  <c r="GC10" i="1"/>
  <c r="M10" i="1"/>
  <c r="AM10" i="1"/>
  <c r="EW10" i="1"/>
  <c r="DJ10" i="1"/>
  <c r="CN10" i="1"/>
  <c r="CH10" i="1"/>
  <c r="IZ30" i="1"/>
  <c r="IZ21" i="1"/>
  <c r="IK723" i="1"/>
  <c r="IK721" i="1"/>
  <c r="IK660" i="1"/>
  <c r="IK658" i="1"/>
  <c r="FA12" i="1"/>
  <c r="FA10" i="1"/>
  <c r="IG175" i="1"/>
  <c r="IG174" i="1"/>
  <c r="IG172" i="1"/>
  <c r="IG507" i="1"/>
  <c r="IG505" i="1"/>
  <c r="GS123" i="1"/>
  <c r="JT456" i="1"/>
  <c r="JT123" i="1"/>
  <c r="GS122" i="1"/>
  <c r="JT455" i="1"/>
  <c r="JT122" i="1"/>
  <c r="GQ723" i="1"/>
  <c r="GQ721" i="1"/>
  <c r="KA721" i="1"/>
  <c r="KB721" i="1"/>
  <c r="GT723" i="1"/>
  <c r="GT721" i="1"/>
  <c r="GT660" i="1"/>
  <c r="GT658" i="1"/>
  <c r="JO723" i="1"/>
  <c r="JO721" i="1"/>
  <c r="JO660" i="1"/>
  <c r="JO658" i="1"/>
  <c r="JF723" i="1"/>
  <c r="JF721" i="1"/>
  <c r="JF660" i="1"/>
  <c r="JF658" i="1"/>
  <c r="BT12" i="1"/>
  <c r="IZ723" i="1"/>
  <c r="IZ721" i="1"/>
  <c r="GS145" i="1"/>
  <c r="JT478" i="1"/>
  <c r="JT145" i="1"/>
  <c r="JT467" i="1"/>
  <c r="JT134" i="1"/>
  <c r="GS134" i="1"/>
  <c r="IN723" i="1"/>
  <c r="IN721" i="1"/>
  <c r="IN660" i="1"/>
  <c r="IN658" i="1"/>
  <c r="GS98" i="1"/>
  <c r="JT431" i="1"/>
  <c r="JT98" i="1"/>
  <c r="KC132" i="1"/>
  <c r="KB131" i="1"/>
  <c r="KC131" i="1"/>
  <c r="J16" i="3"/>
  <c r="IT721" i="1"/>
  <c r="IT660" i="1"/>
  <c r="IT658" i="1"/>
  <c r="KB723" i="1"/>
  <c r="IP723" i="1"/>
  <c r="IP721" i="1"/>
  <c r="IP660" i="1"/>
  <c r="IP658" i="1"/>
  <c r="JT715" i="1"/>
  <c r="JT711" i="1"/>
  <c r="GS711" i="1"/>
  <c r="GS120" i="1"/>
  <c r="JT453" i="1"/>
  <c r="JT120" i="1"/>
  <c r="GS96" i="1"/>
  <c r="JT429" i="1"/>
  <c r="JT96" i="1"/>
  <c r="KC493" i="1"/>
  <c r="KB160" i="1"/>
  <c r="KB155" i="1"/>
  <c r="JC723" i="1"/>
  <c r="JC721" i="1"/>
  <c r="KC706" i="1"/>
  <c r="KB705" i="1"/>
  <c r="KB696" i="1"/>
  <c r="KC696" i="1"/>
  <c r="KC697" i="1"/>
  <c r="KA723" i="1"/>
  <c r="HG742" i="1"/>
  <c r="KC748" i="1"/>
  <c r="JL723" i="1"/>
  <c r="JL721" i="1"/>
  <c r="JL660" i="1"/>
  <c r="JL658" i="1"/>
  <c r="IJ721" i="1"/>
  <c r="IJ660" i="1"/>
  <c r="IJ658" i="1"/>
  <c r="IH742" i="1"/>
  <c r="IH723" i="1"/>
  <c r="IH721" i="1"/>
  <c r="H39" i="41"/>
  <c r="G12" i="1"/>
  <c r="G10" i="1"/>
  <c r="JT553" i="1"/>
  <c r="JT222" i="1"/>
  <c r="GS222" i="1"/>
  <c r="JT490" i="1"/>
  <c r="JT157" i="1"/>
  <c r="GS157" i="1"/>
  <c r="IQ723" i="1"/>
  <c r="IQ721" i="1"/>
  <c r="IQ660" i="1"/>
  <c r="IQ658" i="1"/>
  <c r="JI723" i="1"/>
  <c r="JI721" i="1"/>
  <c r="JI660" i="1"/>
  <c r="JI658" i="1"/>
  <c r="GS152" i="1"/>
  <c r="GS149" i="1"/>
  <c r="JT485" i="1"/>
  <c r="JT152" i="1"/>
  <c r="GS126" i="1"/>
  <c r="JT459" i="1"/>
  <c r="JT126" i="1"/>
  <c r="IW723" i="1"/>
  <c r="IW721" i="1"/>
  <c r="EU10" i="1"/>
  <c r="EG10" i="1"/>
  <c r="GS723" i="1"/>
  <c r="JT723" i="1"/>
  <c r="JT721" i="1"/>
  <c r="I17" i="3"/>
  <c r="GS129" i="1"/>
  <c r="JT314" i="1"/>
  <c r="GS313" i="1"/>
  <c r="HG163" i="1"/>
  <c r="JS324" i="1"/>
  <c r="JS163" i="1"/>
  <c r="GS73" i="1"/>
  <c r="JT294" i="1"/>
  <c r="GS293" i="1"/>
  <c r="HG92" i="1"/>
  <c r="HG86" i="1"/>
  <c r="HG305" i="1"/>
  <c r="JS306" i="1"/>
  <c r="KC306" i="1"/>
  <c r="GS107" i="1"/>
  <c r="JT311" i="1"/>
  <c r="GS310" i="1"/>
  <c r="HG147" i="1"/>
  <c r="HG139" i="1"/>
  <c r="KC317" i="1"/>
  <c r="HG316" i="1"/>
  <c r="JS317" i="1"/>
  <c r="GS74" i="1"/>
  <c r="JT295" i="1"/>
  <c r="JT74" i="1"/>
  <c r="HG129" i="1"/>
  <c r="JS314" i="1"/>
  <c r="KC314" i="1"/>
  <c r="HG313" i="1"/>
  <c r="KC313" i="1"/>
  <c r="GS326" i="1"/>
  <c r="JT327" i="1"/>
  <c r="GS168" i="1"/>
  <c r="GS167" i="1"/>
  <c r="HG73" i="1"/>
  <c r="KC294" i="1"/>
  <c r="HG293" i="1"/>
  <c r="KC293" i="1"/>
  <c r="JS294" i="1"/>
  <c r="HG107" i="1"/>
  <c r="HG106" i="1"/>
  <c r="JS311" i="1"/>
  <c r="HG310" i="1"/>
  <c r="KC310" i="1"/>
  <c r="JK242" i="1"/>
  <c r="HG160" i="1"/>
  <c r="HG322" i="1"/>
  <c r="KC323" i="1"/>
  <c r="JS323" i="1"/>
  <c r="HG75" i="1"/>
  <c r="JS296" i="1"/>
  <c r="JS75" i="1"/>
  <c r="KC324" i="1"/>
  <c r="KC163" i="1"/>
  <c r="KJ28" i="1"/>
  <c r="KJ68" i="1"/>
  <c r="KJ66" i="1"/>
  <c r="HG74" i="1"/>
  <c r="KC74" i="1"/>
  <c r="JS295" i="1"/>
  <c r="JS74" i="1"/>
  <c r="HG153" i="1"/>
  <c r="JS320" i="1"/>
  <c r="HG319" i="1"/>
  <c r="KC319" i="1"/>
  <c r="KC320" i="1"/>
  <c r="HG168" i="1"/>
  <c r="JS327" i="1"/>
  <c r="KC327" i="1"/>
  <c r="HG326" i="1"/>
  <c r="KC326" i="1"/>
  <c r="GS298" i="1"/>
  <c r="JT299" i="1"/>
  <c r="JT298" i="1"/>
  <c r="GS288" i="1"/>
  <c r="GS68" i="1"/>
  <c r="JT289" i="1"/>
  <c r="JT68" i="1"/>
  <c r="AN242" i="1"/>
  <c r="AN240" i="1"/>
  <c r="GV12" i="1"/>
  <c r="HG80" i="1"/>
  <c r="KC300" i="1"/>
  <c r="HG298" i="1"/>
  <c r="KC298" i="1"/>
  <c r="JS300" i="1"/>
  <c r="GS322" i="1"/>
  <c r="JT324" i="1"/>
  <c r="JT322" i="1"/>
  <c r="JT306" i="1"/>
  <c r="GS92" i="1"/>
  <c r="GS305" i="1"/>
  <c r="HG69" i="1"/>
  <c r="KC69" i="1"/>
  <c r="KC290" i="1"/>
  <c r="JS290" i="1"/>
  <c r="JS69" i="1"/>
  <c r="JT317" i="1"/>
  <c r="JT316" i="1"/>
  <c r="GS316" i="1"/>
  <c r="HG68" i="1"/>
  <c r="HG288" i="1"/>
  <c r="KC288" i="1"/>
  <c r="JS289" i="1"/>
  <c r="IG153" i="1"/>
  <c r="IG149" i="1"/>
  <c r="GS193" i="1"/>
  <c r="JT524" i="1"/>
  <c r="JT193" i="1"/>
  <c r="KG68" i="1"/>
  <c r="KG66" i="1"/>
  <c r="KG52" i="1"/>
  <c r="GS279" i="1"/>
  <c r="GS56" i="1"/>
  <c r="JT283" i="1"/>
  <c r="GR44" i="1"/>
  <c r="HG52" i="1"/>
  <c r="KC52" i="1"/>
  <c r="DA104" i="1"/>
  <c r="DA12" i="1"/>
  <c r="DA10" i="1"/>
  <c r="D13" i="25"/>
  <c r="D11" i="25"/>
  <c r="D9" i="25"/>
  <c r="D7" i="25"/>
  <c r="D10" i="31"/>
  <c r="D8" i="31"/>
  <c r="F11" i="31"/>
  <c r="H11" i="31"/>
  <c r="F12" i="12"/>
  <c r="C7" i="18"/>
  <c r="H7" i="34"/>
  <c r="H6" i="34"/>
  <c r="K8" i="34"/>
  <c r="J8" i="34"/>
  <c r="K8" i="36"/>
  <c r="H7" i="36"/>
  <c r="H6" i="36"/>
  <c r="J8" i="36"/>
  <c r="KC79" i="1"/>
  <c r="KB24" i="1"/>
  <c r="KB21" i="1"/>
  <c r="HG21" i="1"/>
  <c r="JC662" i="1"/>
  <c r="JB662" i="1"/>
  <c r="JB660" i="1"/>
  <c r="JB658" i="1"/>
  <c r="IG613" i="1"/>
  <c r="IG611" i="1"/>
  <c r="IG609" i="1"/>
  <c r="G22" i="33"/>
  <c r="I22" i="33"/>
  <c r="IH613" i="1"/>
  <c r="IH611" i="1"/>
  <c r="H22" i="33"/>
  <c r="J22" i="33"/>
  <c r="JA240" i="1"/>
  <c r="IF72" i="1"/>
  <c r="IF44" i="1"/>
  <c r="JB240" i="1"/>
  <c r="IH401" i="1"/>
  <c r="F9" i="18"/>
  <c r="F6" i="18"/>
  <c r="G9" i="18"/>
  <c r="D6" i="18"/>
  <c r="S18" i="40"/>
  <c r="U18" i="40"/>
  <c r="U19" i="40"/>
  <c r="E23" i="25"/>
  <c r="F23" i="25"/>
  <c r="F25" i="25"/>
  <c r="E20" i="31"/>
  <c r="G21" i="31"/>
  <c r="HZ658" i="1"/>
  <c r="HZ10" i="1"/>
  <c r="HZ651" i="1"/>
  <c r="HZ628" i="1"/>
  <c r="HX658" i="1"/>
  <c r="HX10" i="1"/>
  <c r="HX651" i="1"/>
  <c r="HX628" i="1"/>
  <c r="IC651" i="1"/>
  <c r="IC628" i="1"/>
  <c r="IC658" i="1"/>
  <c r="IC10" i="1"/>
  <c r="HL658" i="1"/>
  <c r="HL10" i="1"/>
  <c r="HL651" i="1"/>
  <c r="HL628" i="1"/>
  <c r="HR651" i="1"/>
  <c r="HR628" i="1"/>
  <c r="HR658" i="1"/>
  <c r="HR10" i="1"/>
  <c r="KI43" i="1"/>
  <c r="KI69" i="1"/>
  <c r="GT17" i="1"/>
  <c r="GT16" i="1"/>
  <c r="GT246" i="1"/>
  <c r="GT244" i="1"/>
  <c r="GT242" i="1"/>
  <c r="F14" i="41"/>
  <c r="F12" i="33"/>
  <c r="JT247" i="1"/>
  <c r="JT246" i="1"/>
  <c r="GS246" i="1"/>
  <c r="DC653" i="1"/>
  <c r="DC651" i="1"/>
  <c r="DC10" i="1"/>
  <c r="FD10" i="1"/>
  <c r="KJ69" i="1"/>
  <c r="KJ41" i="1"/>
  <c r="IV104" i="1"/>
  <c r="IV12" i="1"/>
  <c r="IV10" i="1"/>
  <c r="JS729" i="1"/>
  <c r="HG728" i="1"/>
  <c r="HG723" i="1"/>
  <c r="IG137" i="1"/>
  <c r="IG131" i="1"/>
  <c r="IG464" i="1"/>
  <c r="IP240" i="1"/>
  <c r="JT388" i="1"/>
  <c r="JT54" i="1"/>
  <c r="GS54" i="1"/>
  <c r="KC729" i="1"/>
  <c r="KC41" i="1"/>
  <c r="KB38" i="1"/>
  <c r="KC38" i="1"/>
  <c r="GS127" i="1"/>
  <c r="JT460" i="1"/>
  <c r="JT127" i="1"/>
  <c r="IG30" i="1"/>
  <c r="JS731" i="1"/>
  <c r="KC731" i="1"/>
  <c r="JZ386" i="1"/>
  <c r="JZ378" i="1"/>
  <c r="JZ364" i="1"/>
  <c r="GP378" i="1"/>
  <c r="GP364" i="1"/>
  <c r="KC744" i="1"/>
  <c r="IJ364" i="1"/>
  <c r="IJ240" i="1"/>
  <c r="JZ96" i="1"/>
  <c r="GP94" i="1"/>
  <c r="IN437" i="1"/>
  <c r="IN364" i="1"/>
  <c r="IN240" i="1"/>
  <c r="JL46" i="1"/>
  <c r="JL44" i="1"/>
  <c r="H25" i="41"/>
  <c r="H23" i="33"/>
  <c r="JF378" i="1"/>
  <c r="JF364" i="1"/>
  <c r="JF240" i="1"/>
  <c r="IH108" i="1"/>
  <c r="IH106" i="1"/>
  <c r="IH439" i="1"/>
  <c r="JB44" i="1"/>
  <c r="JB12" i="1"/>
  <c r="IH112" i="1"/>
  <c r="IH111" i="1"/>
  <c r="IH444" i="1"/>
  <c r="GP172" i="1"/>
  <c r="JZ172" i="1"/>
  <c r="JZ195" i="1"/>
  <c r="IG50" i="1"/>
  <c r="IG46" i="1"/>
  <c r="IG380" i="1"/>
  <c r="IH380" i="1"/>
  <c r="IH49" i="1"/>
  <c r="IH46" i="1"/>
  <c r="DW12" i="1"/>
  <c r="DW10" i="1"/>
  <c r="JT480" i="1"/>
  <c r="JT147" i="1"/>
  <c r="GS147" i="1"/>
  <c r="IH462" i="1"/>
  <c r="IH129" i="1"/>
  <c r="IW458" i="1"/>
  <c r="IW437" i="1"/>
  <c r="IW364" i="1"/>
  <c r="IW240" i="1"/>
  <c r="IW129" i="1"/>
  <c r="IW125" i="1"/>
  <c r="IW104" i="1"/>
  <c r="JS214" i="1"/>
  <c r="JS543" i="1"/>
  <c r="JS541" i="1"/>
  <c r="KB645" i="1"/>
  <c r="KC645" i="1"/>
  <c r="JX632" i="1"/>
  <c r="JX630" i="1"/>
  <c r="JX628" i="1"/>
  <c r="IM12" i="1"/>
  <c r="IM10" i="1"/>
  <c r="IH119" i="1"/>
  <c r="IH118" i="1"/>
  <c r="IH451" i="1"/>
  <c r="IG119" i="1"/>
  <c r="IG118" i="1"/>
  <c r="IG451" i="1"/>
  <c r="IH127" i="1"/>
  <c r="IG115" i="1"/>
  <c r="IG111" i="1"/>
  <c r="IG444" i="1"/>
  <c r="IG23" i="1"/>
  <c r="IG127" i="1"/>
  <c r="IG125" i="1"/>
  <c r="IG458" i="1"/>
  <c r="IG160" i="1"/>
  <c r="JT387" i="1"/>
  <c r="GS53" i="1"/>
  <c r="GS52" i="1"/>
  <c r="GS386" i="1"/>
  <c r="CV12" i="1"/>
  <c r="CV10" i="1"/>
  <c r="IH87" i="1"/>
  <c r="IH86" i="1"/>
  <c r="IH419" i="1"/>
  <c r="KB146" i="1"/>
  <c r="KC479" i="1"/>
  <c r="IE10" i="1"/>
  <c r="GQ210" i="1"/>
  <c r="KA210" i="1"/>
  <c r="IG142" i="1"/>
  <c r="IG139" i="1"/>
  <c r="IG472" i="1"/>
  <c r="IG419" i="1"/>
  <c r="IG92" i="1"/>
  <c r="IG86" i="1"/>
  <c r="GS162" i="1"/>
  <c r="JT495" i="1"/>
  <c r="JT162" i="1"/>
  <c r="JY364" i="1"/>
  <c r="IZ541" i="1"/>
  <c r="KC619" i="1"/>
  <c r="IH600" i="1"/>
  <c r="JY210" i="1"/>
  <c r="G23" i="33"/>
  <c r="G25" i="41"/>
  <c r="GS88" i="1"/>
  <c r="JT421" i="1"/>
  <c r="JT88" i="1"/>
  <c r="IG213" i="1"/>
  <c r="IG212" i="1"/>
  <c r="IG543" i="1"/>
  <c r="IG69" i="1"/>
  <c r="IG67" i="1"/>
  <c r="IG401" i="1"/>
  <c r="IH157" i="1"/>
  <c r="IH488" i="1"/>
  <c r="IG73" i="1"/>
  <c r="IG72" i="1"/>
  <c r="IG406" i="1"/>
  <c r="JO378" i="1"/>
  <c r="KB112" i="1"/>
  <c r="KC445" i="1"/>
  <c r="GW10" i="1"/>
  <c r="IG22" i="1"/>
  <c r="IG251" i="1"/>
  <c r="IG244" i="1"/>
  <c r="IG231" i="1"/>
  <c r="IG230" i="1"/>
  <c r="IG558" i="1"/>
  <c r="IG156" i="1"/>
  <c r="IG155" i="1"/>
  <c r="IG488" i="1"/>
  <c r="JO541" i="1"/>
  <c r="IG645" i="1"/>
  <c r="KB150" i="1"/>
  <c r="KC150" i="1"/>
  <c r="KC483" i="1"/>
  <c r="GS221" i="1"/>
  <c r="GS218" i="1"/>
  <c r="JT552" i="1"/>
  <c r="GS549" i="1"/>
  <c r="GS143" i="1"/>
  <c r="JT476" i="1"/>
  <c r="JT143" i="1"/>
  <c r="GS90" i="1"/>
  <c r="JT423" i="1"/>
  <c r="JT90" i="1"/>
  <c r="GS214" i="1"/>
  <c r="JT545" i="1"/>
  <c r="GS543" i="1"/>
  <c r="GS32" i="1"/>
  <c r="JT261" i="1"/>
  <c r="JT32" i="1"/>
  <c r="GS121" i="1"/>
  <c r="JT454" i="1"/>
  <c r="JT121" i="1"/>
  <c r="IT59" i="1"/>
  <c r="IT52" i="1"/>
  <c r="IT44" i="1"/>
  <c r="IT279" i="1"/>
  <c r="IT273" i="1"/>
  <c r="IT242" i="1"/>
  <c r="IT240" i="1"/>
  <c r="IG79" i="1"/>
  <c r="IG77" i="1"/>
  <c r="IG411" i="1"/>
  <c r="IP38" i="1"/>
  <c r="IP14" i="1"/>
  <c r="IP12" i="1"/>
  <c r="IS38" i="1"/>
  <c r="IS14" i="1"/>
  <c r="IG40" i="1"/>
  <c r="IY38" i="1"/>
  <c r="IY14" i="1"/>
  <c r="JX44" i="1"/>
  <c r="JX12" i="1"/>
  <c r="JX10" i="1"/>
  <c r="JT493" i="1"/>
  <c r="JT160" i="1"/>
  <c r="GS160" i="1"/>
  <c r="GS141" i="1"/>
  <c r="GS472" i="1"/>
  <c r="JT474" i="1"/>
  <c r="GS645" i="1"/>
  <c r="JT646" i="1"/>
  <c r="JT645" i="1"/>
  <c r="JT632" i="1"/>
  <c r="JT630" i="1"/>
  <c r="JT628" i="1"/>
  <c r="GS115" i="1"/>
  <c r="JT448" i="1"/>
  <c r="JT115" i="1"/>
  <c r="GS637" i="1"/>
  <c r="GS146" i="1"/>
  <c r="JT479" i="1"/>
  <c r="JT146" i="1"/>
  <c r="GS119" i="1"/>
  <c r="GS118" i="1"/>
  <c r="JT452" i="1"/>
  <c r="GS451" i="1"/>
  <c r="JT262" i="1"/>
  <c r="JT33" i="1"/>
  <c r="GS33" i="1"/>
  <c r="IH286" i="1"/>
  <c r="IH279" i="1"/>
  <c r="IH273" i="1"/>
  <c r="JE38" i="1"/>
  <c r="JE14" i="1"/>
  <c r="JE12" i="1"/>
  <c r="IT38" i="1"/>
  <c r="JK38" i="1"/>
  <c r="JK14" i="1"/>
  <c r="JK12" i="1"/>
  <c r="JK10" i="1"/>
  <c r="JL364" i="1"/>
  <c r="JL240" i="1"/>
  <c r="KC175" i="1"/>
  <c r="KB174" i="1"/>
  <c r="IG38" i="1"/>
  <c r="GS158" i="1"/>
  <c r="JT491" i="1"/>
  <c r="JT158" i="1"/>
  <c r="GS136" i="1"/>
  <c r="GS464" i="1"/>
  <c r="JT469" i="1"/>
  <c r="GT637" i="1"/>
  <c r="GT632" i="1"/>
  <c r="GT630" i="1"/>
  <c r="GT628" i="1"/>
  <c r="GT22" i="1"/>
  <c r="GT21" i="1"/>
  <c r="GS113" i="1"/>
  <c r="JT446" i="1"/>
  <c r="JT113" i="1"/>
  <c r="GS142" i="1"/>
  <c r="JT475" i="1"/>
  <c r="JT142" i="1"/>
  <c r="GS114" i="1"/>
  <c r="JT447" i="1"/>
  <c r="JT114" i="1"/>
  <c r="GS31" i="1"/>
  <c r="JT260" i="1"/>
  <c r="GS259" i="1"/>
  <c r="IQ397" i="1"/>
  <c r="IQ64" i="1"/>
  <c r="IQ63" i="1"/>
  <c r="IH398" i="1"/>
  <c r="IH386" i="1"/>
  <c r="IG600" i="1"/>
  <c r="IQ386" i="1"/>
  <c r="IQ59" i="1"/>
  <c r="IQ52" i="1"/>
  <c r="JC364" i="1"/>
  <c r="JC240" i="1"/>
  <c r="KC152" i="1"/>
  <c r="KB149" i="1"/>
  <c r="IH163" i="1"/>
  <c r="IH155" i="1"/>
  <c r="IS12" i="1"/>
  <c r="IS10" i="1"/>
  <c r="JT593" i="1"/>
  <c r="JT592" i="1"/>
  <c r="GS592" i="1"/>
  <c r="GS156" i="1"/>
  <c r="JT489" i="1"/>
  <c r="JT156" i="1"/>
  <c r="GS128" i="1"/>
  <c r="JT461" i="1"/>
  <c r="GS458" i="1"/>
  <c r="GS34" i="1"/>
  <c r="JT263" i="1"/>
  <c r="JT34" i="1"/>
  <c r="GS137" i="1"/>
  <c r="JT470" i="1"/>
  <c r="JT137" i="1"/>
  <c r="GS87" i="1"/>
  <c r="GS86" i="1"/>
  <c r="JT420" i="1"/>
  <c r="GS419" i="1"/>
  <c r="KH17" i="1"/>
  <c r="KH58" i="1"/>
  <c r="JT253" i="1"/>
  <c r="JT23" i="1"/>
  <c r="GS23" i="1"/>
  <c r="GS21" i="1"/>
  <c r="IG64" i="1"/>
  <c r="IG63" i="1"/>
  <c r="IG397" i="1"/>
  <c r="IG59" i="1"/>
  <c r="IG52" i="1"/>
  <c r="IG386" i="1"/>
  <c r="IJ38" i="1"/>
  <c r="IJ14" i="1"/>
  <c r="IJ12" i="1"/>
  <c r="IJ10" i="1"/>
  <c r="GS99" i="1"/>
  <c r="GS94" i="1"/>
  <c r="JT432" i="1"/>
  <c r="KC170" i="1"/>
  <c r="KB167" i="1"/>
  <c r="KC742" i="1"/>
  <c r="ET10" i="1"/>
  <c r="ET653" i="1"/>
  <c r="ET651" i="1"/>
  <c r="GM653" i="1"/>
  <c r="GM651" i="1"/>
  <c r="GM10" i="1"/>
  <c r="BO10" i="1"/>
  <c r="JS748" i="1"/>
  <c r="JS742" i="1"/>
  <c r="AD10" i="1"/>
  <c r="FH10" i="1"/>
  <c r="CQ653" i="1"/>
  <c r="CQ651" i="1"/>
  <c r="CQ10" i="1"/>
  <c r="H10" i="1"/>
  <c r="AB10" i="1"/>
  <c r="X10" i="1"/>
  <c r="Z653" i="1"/>
  <c r="Z651" i="1"/>
  <c r="Z10" i="1"/>
  <c r="FL10" i="1"/>
  <c r="N10" i="1"/>
  <c r="N653" i="1"/>
  <c r="N651" i="1"/>
  <c r="BG10" i="1"/>
  <c r="AP10" i="1"/>
  <c r="AC10" i="1"/>
  <c r="AF10" i="1"/>
  <c r="T10" i="1"/>
  <c r="AG10" i="1"/>
  <c r="E6" i="39"/>
  <c r="T37" i="40"/>
  <c r="CY10" i="1"/>
  <c r="GY10" i="1"/>
  <c r="HB10" i="1"/>
  <c r="BE10" i="1"/>
  <c r="FY10" i="1"/>
  <c r="GV10" i="1"/>
  <c r="HE10" i="1"/>
  <c r="I10" i="1"/>
  <c r="BC653" i="1"/>
  <c r="BC651" i="1"/>
  <c r="GN10" i="1"/>
  <c r="JS40" i="1"/>
  <c r="JY660" i="1"/>
  <c r="JY658" i="1"/>
  <c r="G7" i="30"/>
  <c r="HA10" i="1"/>
  <c r="KC23" i="1"/>
  <c r="GS444" i="1"/>
  <c r="GS112" i="1"/>
  <c r="GS111" i="1"/>
  <c r="JT445" i="1"/>
  <c r="E21" i="41"/>
  <c r="D43" i="41"/>
  <c r="GQ364" i="1"/>
  <c r="GQ240" i="1"/>
  <c r="KA240" i="1"/>
  <c r="CK12" i="1"/>
  <c r="CK10" i="1"/>
  <c r="GQ104" i="1"/>
  <c r="KA131" i="1"/>
  <c r="E19" i="41"/>
  <c r="KG43" i="1"/>
  <c r="KG41" i="1"/>
  <c r="GR364" i="1"/>
  <c r="GS106" i="1"/>
  <c r="F12" i="32"/>
  <c r="HN10" i="1"/>
  <c r="IU10" i="1"/>
  <c r="HO10" i="1"/>
  <c r="IO10" i="1"/>
  <c r="JD10" i="1"/>
  <c r="IL10" i="1"/>
  <c r="GX12" i="1"/>
  <c r="GX10" i="1"/>
  <c r="II10" i="1"/>
  <c r="IY12" i="1"/>
  <c r="IY10" i="1"/>
  <c r="J14" i="36"/>
  <c r="K14" i="36"/>
  <c r="D21" i="31"/>
  <c r="H26" i="14"/>
  <c r="H23" i="14"/>
  <c r="H6" i="14"/>
  <c r="H13" i="36"/>
  <c r="H26" i="13"/>
  <c r="H13" i="34"/>
  <c r="R19" i="40"/>
  <c r="F48" i="12"/>
  <c r="AH50" i="12"/>
  <c r="D24" i="19"/>
  <c r="M28" i="40"/>
  <c r="M27" i="40"/>
  <c r="M37" i="40"/>
  <c r="M35" i="40"/>
  <c r="KC84" i="1"/>
  <c r="KK42" i="1"/>
  <c r="KC82" i="1"/>
  <c r="HG541" i="1"/>
  <c r="KC543" i="1"/>
  <c r="JX530" i="1"/>
  <c r="JX364" i="1"/>
  <c r="KB535" i="1"/>
  <c r="HG199" i="1"/>
  <c r="KC204" i="1"/>
  <c r="KB437" i="1"/>
  <c r="KC437" i="1"/>
  <c r="KC108" i="1"/>
  <c r="KC106" i="1"/>
  <c r="KC92" i="1"/>
  <c r="KB86" i="1"/>
  <c r="KC86" i="1"/>
  <c r="KB72" i="1"/>
  <c r="KC75" i="1"/>
  <c r="KB67" i="1"/>
  <c r="JY577" i="1"/>
  <c r="JY575" i="1"/>
  <c r="KC845" i="1"/>
  <c r="HS660" i="1"/>
  <c r="HS658" i="1"/>
  <c r="HS10" i="1"/>
  <c r="KB632" i="1"/>
  <c r="KC632" i="1"/>
  <c r="JY630" i="1"/>
  <c r="KC33" i="1"/>
  <c r="KB30" i="1"/>
  <c r="KC30" i="1"/>
  <c r="KC251" i="1"/>
  <c r="F17" i="25"/>
  <c r="E13" i="25"/>
  <c r="K11" i="36"/>
  <c r="J11" i="36"/>
  <c r="AH13" i="12"/>
  <c r="AK13" i="12"/>
  <c r="JY3" i="1"/>
  <c r="JY5" i="1"/>
  <c r="T16" i="40"/>
  <c r="U16" i="40"/>
  <c r="J11" i="34"/>
  <c r="K11" i="34"/>
  <c r="F14" i="31"/>
  <c r="G14" i="31"/>
  <c r="H14" i="31"/>
  <c r="E10" i="32"/>
  <c r="E8" i="32"/>
  <c r="G12" i="31"/>
  <c r="E10" i="31"/>
  <c r="F12" i="31"/>
  <c r="H12" i="31"/>
  <c r="J9" i="36"/>
  <c r="K9" i="36"/>
  <c r="I7" i="36"/>
  <c r="U14" i="40"/>
  <c r="S11" i="40"/>
  <c r="T14" i="40"/>
  <c r="E21" i="19"/>
  <c r="F23" i="19"/>
  <c r="G23" i="19"/>
  <c r="S10" i="12"/>
  <c r="K9" i="34"/>
  <c r="I7" i="34"/>
  <c r="J9" i="34"/>
  <c r="J25" i="13"/>
  <c r="K25" i="13"/>
  <c r="I23" i="13"/>
  <c r="I6" i="13"/>
  <c r="K8" i="13"/>
  <c r="IZ790" i="1"/>
  <c r="IZ766" i="1"/>
  <c r="IZ764" i="1"/>
  <c r="IH791" i="1"/>
  <c r="IH790" i="1"/>
  <c r="IH766" i="1"/>
  <c r="IH764" i="1"/>
  <c r="S39" i="40"/>
  <c r="S35" i="40"/>
  <c r="S22" i="40"/>
  <c r="E18" i="3"/>
  <c r="E15" i="3"/>
  <c r="G18" i="3"/>
  <c r="G15" i="3"/>
  <c r="IH33" i="1"/>
  <c r="H33" i="33"/>
  <c r="H34" i="41"/>
  <c r="IH637" i="1"/>
  <c r="H32" i="33"/>
  <c r="IH22" i="1"/>
  <c r="IH21" i="1"/>
  <c r="IZ634" i="1"/>
  <c r="IZ632" i="1"/>
  <c r="IZ630" i="1"/>
  <c r="IZ628" i="1"/>
  <c r="IH635" i="1"/>
  <c r="IZ84" i="1"/>
  <c r="IZ82" i="1"/>
  <c r="IH623" i="1"/>
  <c r="IZ621" i="1"/>
  <c r="IZ619" i="1"/>
  <c r="IZ609" i="1"/>
  <c r="IX12" i="1"/>
  <c r="IX10" i="1"/>
  <c r="IF14" i="1"/>
  <c r="IG36" i="1"/>
  <c r="G24" i="33"/>
  <c r="IG579" i="1"/>
  <c r="IG577" i="1"/>
  <c r="G26" i="41"/>
  <c r="IH592" i="1"/>
  <c r="H24" i="33"/>
  <c r="IZ579" i="1"/>
  <c r="IZ577" i="1"/>
  <c r="IZ575" i="1"/>
  <c r="H23" i="41"/>
  <c r="J23" i="41"/>
  <c r="IH581" i="1"/>
  <c r="H21" i="33"/>
  <c r="J21" i="33"/>
  <c r="IH221" i="1"/>
  <c r="IH218" i="1"/>
  <c r="IH549" i="1"/>
  <c r="IH543" i="1"/>
  <c r="IH205" i="1"/>
  <c r="IH204" i="1"/>
  <c r="IH199" i="1"/>
  <c r="IH535" i="1"/>
  <c r="IH530" i="1"/>
  <c r="IG205" i="1"/>
  <c r="IG204" i="1"/>
  <c r="IG199" i="1"/>
  <c r="IG535" i="1"/>
  <c r="IG530" i="1"/>
  <c r="IZ172" i="1"/>
  <c r="IH505" i="1"/>
  <c r="IH172" i="1"/>
  <c r="JS505" i="1"/>
  <c r="JS182" i="1"/>
  <c r="JS172" i="1"/>
  <c r="IG165" i="1"/>
  <c r="IZ149" i="1"/>
  <c r="IZ437" i="1"/>
  <c r="IH151" i="1"/>
  <c r="IH149" i="1"/>
  <c r="IH482" i="1"/>
  <c r="IZ139" i="1"/>
  <c r="IZ104" i="1"/>
  <c r="IH141" i="1"/>
  <c r="IH139" i="1"/>
  <c r="IH472" i="1"/>
  <c r="IH134" i="1"/>
  <c r="IH131" i="1"/>
  <c r="IH464" i="1"/>
  <c r="IF104" i="1"/>
  <c r="IZ94" i="1"/>
  <c r="IH98" i="1"/>
  <c r="IH427" i="1"/>
  <c r="IH406" i="1"/>
  <c r="IH75" i="1"/>
  <c r="IH72" i="1"/>
  <c r="IY240" i="1"/>
  <c r="E11" i="3"/>
  <c r="IZ378" i="1"/>
  <c r="IZ61" i="1"/>
  <c r="IH395" i="1"/>
  <c r="IG368" i="1"/>
  <c r="IG366" i="1"/>
  <c r="G13" i="33"/>
  <c r="I13" i="33"/>
  <c r="G15" i="41"/>
  <c r="I15" i="41"/>
  <c r="IG16" i="1"/>
  <c r="IH369" i="1"/>
  <c r="IZ368" i="1"/>
  <c r="IZ366" i="1"/>
  <c r="IH347" i="1"/>
  <c r="IH215" i="1"/>
  <c r="IZ52" i="1"/>
  <c r="IH54" i="1"/>
  <c r="IH38" i="1"/>
  <c r="IH267" i="1"/>
  <c r="IH259" i="1"/>
  <c r="IH32" i="1"/>
  <c r="G15" i="33"/>
  <c r="G17" i="41"/>
  <c r="IZ26" i="1"/>
  <c r="IH255" i="1"/>
  <c r="GS721" i="1"/>
  <c r="D17" i="3"/>
  <c r="JT669" i="1"/>
  <c r="JT664" i="1"/>
  <c r="I28" i="33"/>
  <c r="I14" i="41"/>
  <c r="IH247" i="1"/>
  <c r="IZ17" i="1"/>
  <c r="IZ246" i="1"/>
  <c r="IZ244" i="1"/>
  <c r="IZ242" i="1"/>
  <c r="I12" i="33"/>
  <c r="F42" i="31"/>
  <c r="JT488" i="1"/>
  <c r="JT482" i="1"/>
  <c r="JT153" i="1"/>
  <c r="JT149" i="1"/>
  <c r="JT439" i="1"/>
  <c r="JT108" i="1"/>
  <c r="JT411" i="1"/>
  <c r="JT79" i="1"/>
  <c r="JT77" i="1"/>
  <c r="JT406" i="1"/>
  <c r="JT75" i="1"/>
  <c r="HQ651" i="1"/>
  <c r="HQ628" i="1"/>
  <c r="HQ658" i="1"/>
  <c r="HQ10" i="1"/>
  <c r="AT653" i="1"/>
  <c r="AT651" i="1"/>
  <c r="AT10" i="1"/>
  <c r="HV651" i="1"/>
  <c r="HV628" i="1"/>
  <c r="HV658" i="1"/>
  <c r="HV10" i="1"/>
  <c r="CB10" i="1"/>
  <c r="HT658" i="1"/>
  <c r="HT10" i="1"/>
  <c r="HT651" i="1"/>
  <c r="HT628" i="1"/>
  <c r="EN10" i="1"/>
  <c r="HK651" i="1"/>
  <c r="HK628" i="1"/>
  <c r="HK658" i="1"/>
  <c r="HK10" i="1"/>
  <c r="R653" i="1"/>
  <c r="R651" i="1"/>
  <c r="R10" i="1"/>
  <c r="GA653" i="1"/>
  <c r="GA651" i="1"/>
  <c r="GA10" i="1"/>
  <c r="HM651" i="1"/>
  <c r="HM628" i="1"/>
  <c r="HM658" i="1"/>
  <c r="HM10" i="1"/>
  <c r="HW658" i="1"/>
  <c r="HW10" i="1"/>
  <c r="HW651" i="1"/>
  <c r="HW628" i="1"/>
  <c r="AH10" i="1"/>
  <c r="HY658" i="1"/>
  <c r="HY10" i="1"/>
  <c r="HY651" i="1"/>
  <c r="HY628" i="1"/>
  <c r="S653" i="1"/>
  <c r="S651" i="1"/>
  <c r="S10" i="1"/>
  <c r="FZ10" i="1"/>
  <c r="IA651" i="1"/>
  <c r="IA628" i="1"/>
  <c r="IA658" i="1"/>
  <c r="IA10" i="1"/>
  <c r="FE653" i="1"/>
  <c r="FE651" i="1"/>
  <c r="HH658" i="1"/>
  <c r="HH10" i="1"/>
  <c r="HH651" i="1"/>
  <c r="HH628" i="1"/>
  <c r="FK653" i="1"/>
  <c r="FK651" i="1"/>
  <c r="FK10" i="1"/>
  <c r="FU10" i="1"/>
  <c r="HP658" i="1"/>
  <c r="HP10" i="1"/>
  <c r="HP651" i="1"/>
  <c r="HP628" i="1"/>
  <c r="FT653" i="1"/>
  <c r="FT651" i="1"/>
  <c r="FT10" i="1"/>
  <c r="IB651" i="1"/>
  <c r="IB628" i="1"/>
  <c r="IB658" i="1"/>
  <c r="IB10" i="1"/>
  <c r="Y10" i="1"/>
  <c r="Y653" i="1"/>
  <c r="Y651" i="1"/>
  <c r="O653" i="1"/>
  <c r="O651" i="1"/>
  <c r="O10" i="1"/>
  <c r="AJ653" i="1"/>
  <c r="AJ651" i="1"/>
  <c r="FF653" i="1"/>
  <c r="FF651" i="1"/>
  <c r="FF10" i="1"/>
  <c r="AY10" i="1"/>
  <c r="HJ658" i="1"/>
  <c r="HJ10" i="1"/>
  <c r="HJ651" i="1"/>
  <c r="HJ628" i="1"/>
  <c r="HU651" i="1"/>
  <c r="HU628" i="1"/>
  <c r="HU658" i="1"/>
  <c r="GB653" i="1"/>
  <c r="GB651" i="1"/>
  <c r="GB10" i="1"/>
  <c r="CC10" i="1"/>
  <c r="HI658" i="1"/>
  <c r="HI10" i="1"/>
  <c r="HI651" i="1"/>
  <c r="HI628" i="1"/>
  <c r="P653" i="1"/>
  <c r="P651" i="1"/>
  <c r="P10" i="1"/>
  <c r="AU653" i="1"/>
  <c r="AU651" i="1"/>
  <c r="AU10" i="1"/>
  <c r="K10" i="1"/>
  <c r="KA827" i="1"/>
  <c r="KA766" i="1"/>
  <c r="KC834" i="1"/>
  <c r="KB827" i="1"/>
  <c r="KC827" i="1"/>
  <c r="CG653" i="1"/>
  <c r="CG651" i="1"/>
  <c r="CG10" i="1"/>
  <c r="BT653" i="1"/>
  <c r="BT651" i="1"/>
  <c r="BT10" i="1"/>
  <c r="JT709" i="1"/>
  <c r="JT708" i="1"/>
  <c r="JT691" i="1"/>
  <c r="GS708" i="1"/>
  <c r="HD660" i="1"/>
  <c r="HD658" i="1"/>
  <c r="HD10" i="1"/>
  <c r="GZ660" i="1"/>
  <c r="GZ658" i="1"/>
  <c r="GZ10" i="1"/>
  <c r="KC24" i="1"/>
  <c r="JT585" i="1"/>
  <c r="JT24" i="1"/>
  <c r="GS579" i="1"/>
  <c r="GS577" i="1"/>
  <c r="GS575" i="1"/>
  <c r="D13" i="3"/>
  <c r="F25" i="41"/>
  <c r="F23" i="33"/>
  <c r="JT581" i="1"/>
  <c r="JT17" i="1"/>
  <c r="I23" i="41"/>
  <c r="I21" i="33"/>
  <c r="GS182" i="1"/>
  <c r="GS172" i="1"/>
  <c r="JT514" i="1"/>
  <c r="GS505" i="1"/>
  <c r="KH44" i="1"/>
  <c r="KH70" i="1"/>
  <c r="KA172" i="1"/>
  <c r="JT69" i="1"/>
  <c r="JT401" i="1"/>
  <c r="IH626" i="1"/>
  <c r="IK625" i="1"/>
  <c r="IK619" i="1"/>
  <c r="IK609" i="1"/>
  <c r="IK575" i="1"/>
  <c r="IK101" i="1"/>
  <c r="IK94" i="1"/>
  <c r="IK44" i="1"/>
  <c r="J13" i="3"/>
  <c r="BY10" i="1"/>
  <c r="BY653" i="1"/>
  <c r="BY651" i="1"/>
  <c r="Q37" i="40"/>
  <c r="U37" i="40"/>
  <c r="BB653" i="1"/>
  <c r="BB651" i="1"/>
  <c r="D38" i="41"/>
  <c r="D37" i="41"/>
  <c r="D8" i="41"/>
  <c r="C658" i="1"/>
  <c r="P37" i="40"/>
  <c r="P35" i="40"/>
  <c r="P22" i="40"/>
  <c r="V28" i="40"/>
  <c r="B15" i="3"/>
  <c r="B10" i="3"/>
  <c r="D12" i="18"/>
  <c r="D7" i="17"/>
  <c r="KB653" i="1"/>
  <c r="JX651" i="1"/>
  <c r="KC349" i="1"/>
  <c r="HG347" i="1"/>
  <c r="HG212" i="1"/>
  <c r="JS215" i="1"/>
  <c r="JS212" i="1"/>
  <c r="JS210" i="1"/>
  <c r="JS347" i="1"/>
  <c r="KH57" i="1"/>
  <c r="KH54" i="1"/>
  <c r="KH13" i="1"/>
  <c r="JT22" i="1"/>
  <c r="JT251" i="1"/>
  <c r="F14" i="33"/>
  <c r="GS244" i="1"/>
  <c r="F16" i="41"/>
  <c r="C6" i="22"/>
  <c r="KC21" i="1"/>
  <c r="B6" i="22"/>
  <c r="B12" i="22"/>
  <c r="E16" i="41"/>
  <c r="E14" i="33"/>
  <c r="E11" i="33"/>
  <c r="GR244" i="1"/>
  <c r="GR242" i="1"/>
  <c r="F35" i="32"/>
  <c r="D33" i="32"/>
  <c r="BS653" i="1"/>
  <c r="BS651" i="1"/>
  <c r="GQ660" i="1"/>
  <c r="GQ658" i="1"/>
  <c r="JT786" i="1"/>
  <c r="JT783" i="1"/>
  <c r="GS783" i="1"/>
  <c r="JZ868" i="1"/>
  <c r="JZ766" i="1"/>
  <c r="KB869" i="1"/>
  <c r="JT869" i="1"/>
  <c r="JT868" i="1"/>
  <c r="GS868" i="1"/>
  <c r="GP660" i="1"/>
  <c r="GP658" i="1"/>
  <c r="JZ764" i="1"/>
  <c r="JZ660" i="1"/>
  <c r="JZ658" i="1"/>
  <c r="JT851" i="1"/>
  <c r="JT845" i="1"/>
  <c r="GS845" i="1"/>
  <c r="KA660" i="1"/>
  <c r="KC811" i="1"/>
  <c r="KC790" i="1"/>
  <c r="JS811" i="1"/>
  <c r="JS790" i="1"/>
  <c r="HG790" i="1"/>
  <c r="HG766" i="1"/>
  <c r="C18" i="3"/>
  <c r="E40" i="41"/>
  <c r="GS790" i="1"/>
  <c r="JT811" i="1"/>
  <c r="JT790" i="1"/>
  <c r="AF10" i="12"/>
  <c r="GS67" i="1"/>
  <c r="HG155" i="1"/>
  <c r="KC155" i="1"/>
  <c r="G38" i="41"/>
  <c r="G37" i="41"/>
  <c r="IG575" i="1"/>
  <c r="D8" i="16"/>
  <c r="F8" i="16"/>
  <c r="JH364" i="1"/>
  <c r="JH240" i="1"/>
  <c r="IG242" i="1"/>
  <c r="JK364" i="1"/>
  <c r="JK240" i="1"/>
  <c r="JT397" i="1"/>
  <c r="JT65" i="1"/>
  <c r="JT63" i="1"/>
  <c r="JT368" i="1"/>
  <c r="JT18" i="1"/>
  <c r="JT16" i="1"/>
  <c r="KG46" i="1"/>
  <c r="KJ46" i="1"/>
  <c r="KC581" i="1"/>
  <c r="HG579" i="1"/>
  <c r="HG577" i="1"/>
  <c r="HG575" i="1"/>
  <c r="JS600" i="1"/>
  <c r="JS579" i="1"/>
  <c r="JS577" i="1"/>
  <c r="JS575" i="1"/>
  <c r="JS39" i="1"/>
  <c r="JS38" i="1"/>
  <c r="KK21" i="1"/>
  <c r="JT215" i="1"/>
  <c r="JT347" i="1"/>
  <c r="E17" i="33"/>
  <c r="KH31" i="1"/>
  <c r="KH27" i="1"/>
  <c r="C10" i="22"/>
  <c r="JZ347" i="1"/>
  <c r="KB347" i="1"/>
  <c r="GP242" i="1"/>
  <c r="JZ242" i="1"/>
  <c r="KB215" i="1"/>
  <c r="KC351" i="1"/>
  <c r="KG31" i="1"/>
  <c r="KJ31" i="1"/>
  <c r="KJ72" i="1"/>
  <c r="B10" i="22"/>
  <c r="JZ38" i="1"/>
  <c r="GP14" i="1"/>
  <c r="JZ14" i="1"/>
  <c r="KA16" i="1"/>
  <c r="GQ14" i="1"/>
  <c r="JH12" i="1"/>
  <c r="JH10" i="1"/>
  <c r="JT163" i="1"/>
  <c r="JT155" i="1"/>
  <c r="JS59" i="1"/>
  <c r="JS52" i="1"/>
  <c r="JS279" i="1"/>
  <c r="JT67" i="1"/>
  <c r="GR12" i="1"/>
  <c r="B11" i="18"/>
  <c r="F11" i="18"/>
  <c r="HG67" i="1"/>
  <c r="KC67" i="1"/>
  <c r="KC279" i="1"/>
  <c r="KG60" i="1"/>
  <c r="KJ60" i="1"/>
  <c r="KJ13" i="1"/>
  <c r="E13" i="41"/>
  <c r="JT28" i="1"/>
  <c r="JT366" i="1"/>
  <c r="IW660" i="1"/>
  <c r="IW658" i="1"/>
  <c r="JI364" i="1"/>
  <c r="JI240" i="1"/>
  <c r="JS766" i="1"/>
  <c r="JS764" i="1"/>
  <c r="JB10" i="1"/>
  <c r="IT16" i="1"/>
  <c r="IT14" i="1"/>
  <c r="IT12" i="1"/>
  <c r="IT10" i="1"/>
  <c r="JS364" i="1"/>
  <c r="IQ16" i="1"/>
  <c r="JI16" i="1"/>
  <c r="JI14" i="1"/>
  <c r="KJ62" i="1"/>
  <c r="KJ61" i="1"/>
  <c r="KJ21" i="1"/>
  <c r="IQ14" i="1"/>
  <c r="IK16" i="1"/>
  <c r="IK14" i="1"/>
  <c r="IK12" i="1"/>
  <c r="IK10" i="1"/>
  <c r="GQ628" i="1"/>
  <c r="KA628" i="1"/>
  <c r="KA630" i="1"/>
  <c r="KA94" i="1"/>
  <c r="GQ44" i="1"/>
  <c r="KA44" i="1"/>
  <c r="JE10" i="1"/>
  <c r="KJ52" i="1"/>
  <c r="JZ630" i="1"/>
  <c r="GP628" i="1"/>
  <c r="JZ628" i="1"/>
  <c r="JI104" i="1"/>
  <c r="IN16" i="1"/>
  <c r="IN14" i="1"/>
  <c r="IN12" i="1"/>
  <c r="IN10" i="1"/>
  <c r="JL16" i="1"/>
  <c r="JL14" i="1"/>
  <c r="JL12" i="1"/>
  <c r="JL10" i="1"/>
  <c r="IW12" i="1"/>
  <c r="IW10" i="1"/>
  <c r="JC14" i="1"/>
  <c r="JC12" i="1"/>
  <c r="H24" i="41"/>
  <c r="J24" i="41"/>
  <c r="IH18" i="1"/>
  <c r="GT14" i="1"/>
  <c r="GT12" i="1"/>
  <c r="GT10" i="1"/>
  <c r="IZ16" i="1"/>
  <c r="IZ14" i="1"/>
  <c r="KB125" i="1"/>
  <c r="KC126" i="1"/>
  <c r="KC48" i="1"/>
  <c r="KB46" i="1"/>
  <c r="KC46" i="1"/>
  <c r="KC728" i="1"/>
  <c r="IP10" i="1"/>
  <c r="GT240" i="1"/>
  <c r="F10" i="12"/>
  <c r="AK10" i="12"/>
  <c r="AH12" i="12"/>
  <c r="JF12" i="1"/>
  <c r="JF10" i="1"/>
  <c r="F10" i="31"/>
  <c r="F8" i="31"/>
  <c r="J7" i="36"/>
  <c r="J6" i="36"/>
  <c r="JC660" i="1"/>
  <c r="JC658" i="1"/>
  <c r="IZ660" i="1"/>
  <c r="IZ658" i="1"/>
  <c r="GS155" i="1"/>
  <c r="IH59" i="1"/>
  <c r="IH52" i="1"/>
  <c r="JO10" i="1"/>
  <c r="C17" i="3"/>
  <c r="C15" i="3"/>
  <c r="E39" i="41"/>
  <c r="KJ27" i="1"/>
  <c r="KB691" i="1"/>
  <c r="KC691" i="1"/>
  <c r="KC705" i="1"/>
  <c r="GS72" i="1"/>
  <c r="GS691" i="1"/>
  <c r="GS662" i="1"/>
  <c r="D16" i="3"/>
  <c r="GS125" i="1"/>
  <c r="GS437" i="1"/>
  <c r="KH43" i="1"/>
  <c r="KH41" i="1"/>
  <c r="GS44" i="1"/>
  <c r="JS80" i="1"/>
  <c r="JS77" i="1"/>
  <c r="JS298" i="1"/>
  <c r="HG167" i="1"/>
  <c r="KC167" i="1"/>
  <c r="KC168" i="1"/>
  <c r="KC153" i="1"/>
  <c r="HG149" i="1"/>
  <c r="KC149" i="1"/>
  <c r="JS107" i="1"/>
  <c r="JS106" i="1"/>
  <c r="JS310" i="1"/>
  <c r="HG125" i="1"/>
  <c r="KC129" i="1"/>
  <c r="JS316" i="1"/>
  <c r="JS147" i="1"/>
  <c r="JS139" i="1"/>
  <c r="GS308" i="1"/>
  <c r="JS92" i="1"/>
  <c r="JS86" i="1"/>
  <c r="JS305" i="1"/>
  <c r="JT73" i="1"/>
  <c r="JT72" i="1"/>
  <c r="JT293" i="1"/>
  <c r="JT305" i="1"/>
  <c r="JT92" i="1"/>
  <c r="KC68" i="1"/>
  <c r="KC73" i="1"/>
  <c r="HG72" i="1"/>
  <c r="KC72" i="1"/>
  <c r="JT310" i="1"/>
  <c r="JT107" i="1"/>
  <c r="JT106" i="1"/>
  <c r="HG273" i="1"/>
  <c r="KC305" i="1"/>
  <c r="JT313" i="1"/>
  <c r="JT129" i="1"/>
  <c r="JT288" i="1"/>
  <c r="JS160" i="1"/>
  <c r="JS155" i="1"/>
  <c r="JS322" i="1"/>
  <c r="JS293" i="1"/>
  <c r="JS73" i="1"/>
  <c r="JS72" i="1"/>
  <c r="KC147" i="1"/>
  <c r="KC316" i="1"/>
  <c r="JS68" i="1"/>
  <c r="JS67" i="1"/>
  <c r="JS288" i="1"/>
  <c r="KC80" i="1"/>
  <c r="HG77" i="1"/>
  <c r="KC77" i="1"/>
  <c r="JS326" i="1"/>
  <c r="JS168" i="1"/>
  <c r="JS167" i="1"/>
  <c r="JS319" i="1"/>
  <c r="JS153" i="1"/>
  <c r="JS149" i="1"/>
  <c r="KC160" i="1"/>
  <c r="KC322" i="1"/>
  <c r="HG308" i="1"/>
  <c r="KC308" i="1"/>
  <c r="JT168" i="1"/>
  <c r="JT167" i="1"/>
  <c r="JT326" i="1"/>
  <c r="JS313" i="1"/>
  <c r="JS129" i="1"/>
  <c r="JS125" i="1"/>
  <c r="KC107" i="1"/>
  <c r="GS378" i="1"/>
  <c r="C8" i="22"/>
  <c r="E8" i="22"/>
  <c r="GS273" i="1"/>
  <c r="JT56" i="1"/>
  <c r="JT279" i="1"/>
  <c r="C6" i="18"/>
  <c r="G6" i="18"/>
  <c r="G7" i="18"/>
  <c r="KB577" i="1"/>
  <c r="IG21" i="1"/>
  <c r="IG14" i="1"/>
  <c r="IG437" i="1"/>
  <c r="IG104" i="1"/>
  <c r="IH458" i="1"/>
  <c r="IG44" i="1"/>
  <c r="E17" i="31"/>
  <c r="G20" i="31"/>
  <c r="G17" i="31"/>
  <c r="GR240" i="1"/>
  <c r="C12" i="3"/>
  <c r="H17" i="3"/>
  <c r="IQ44" i="1"/>
  <c r="IQ12" i="1"/>
  <c r="IQ10" i="1"/>
  <c r="JZ94" i="1"/>
  <c r="GP44" i="1"/>
  <c r="JS728" i="1"/>
  <c r="IH212" i="1"/>
  <c r="IH210" i="1"/>
  <c r="JO364" i="1"/>
  <c r="JO240" i="1"/>
  <c r="IG210" i="1"/>
  <c r="JX4" i="1"/>
  <c r="JZ4" i="1"/>
  <c r="IQ378" i="1"/>
  <c r="IQ364" i="1"/>
  <c r="IQ240" i="1"/>
  <c r="GS541" i="1"/>
  <c r="KH46" i="1"/>
  <c r="KH72" i="1"/>
  <c r="IH125" i="1"/>
  <c r="IH104" i="1"/>
  <c r="O35" i="40"/>
  <c r="G16" i="41"/>
  <c r="G13" i="41"/>
  <c r="G14" i="33"/>
  <c r="G11" i="33"/>
  <c r="JT386" i="1"/>
  <c r="JT53" i="1"/>
  <c r="F39" i="41"/>
  <c r="J39" i="41"/>
  <c r="KC112" i="1"/>
  <c r="KB111" i="1"/>
  <c r="IG541" i="1"/>
  <c r="IG378" i="1"/>
  <c r="G33" i="33"/>
  <c r="G34" i="41"/>
  <c r="G31" i="41"/>
  <c r="G30" i="41"/>
  <c r="IG632" i="1"/>
  <c r="IG630" i="1"/>
  <c r="IG628" i="1"/>
  <c r="D9" i="16"/>
  <c r="F9" i="16"/>
  <c r="KC146" i="1"/>
  <c r="KB139" i="1"/>
  <c r="KC139" i="1"/>
  <c r="JT136" i="1"/>
  <c r="JT131" i="1"/>
  <c r="JT464" i="1"/>
  <c r="KB172" i="1"/>
  <c r="KC172" i="1"/>
  <c r="KC174" i="1"/>
  <c r="JT214" i="1"/>
  <c r="JT212" i="1"/>
  <c r="JT543" i="1"/>
  <c r="C7" i="22"/>
  <c r="E7" i="22"/>
  <c r="KH22" i="1"/>
  <c r="F15" i="33"/>
  <c r="I15" i="33"/>
  <c r="F17" i="41"/>
  <c r="I17" i="41"/>
  <c r="GS139" i="1"/>
  <c r="GS212" i="1"/>
  <c r="GS210" i="1"/>
  <c r="JT87" i="1"/>
  <c r="JT419" i="1"/>
  <c r="IH64" i="1"/>
  <c r="IH63" i="1"/>
  <c r="IH397" i="1"/>
  <c r="IH378" i="1"/>
  <c r="JT31" i="1"/>
  <c r="JT30" i="1"/>
  <c r="JT259" i="1"/>
  <c r="JT244" i="1"/>
  <c r="GS131" i="1"/>
  <c r="JT119" i="1"/>
  <c r="JT118" i="1"/>
  <c r="JT451" i="1"/>
  <c r="GS632" i="1"/>
  <c r="GS630" i="1"/>
  <c r="GS628" i="1"/>
  <c r="D14" i="3"/>
  <c r="F33" i="41"/>
  <c r="F32" i="33"/>
  <c r="I32" i="33"/>
  <c r="F34" i="41"/>
  <c r="I34" i="41"/>
  <c r="F33" i="33"/>
  <c r="JT99" i="1"/>
  <c r="JT94" i="1"/>
  <c r="JT427" i="1"/>
  <c r="JT128" i="1"/>
  <c r="JT458" i="1"/>
  <c r="F24" i="33"/>
  <c r="F20" i="33"/>
  <c r="F19" i="33"/>
  <c r="F26" i="41"/>
  <c r="F22" i="41"/>
  <c r="F21" i="41"/>
  <c r="GS30" i="1"/>
  <c r="GS14" i="1"/>
  <c r="JT141" i="1"/>
  <c r="JT139" i="1"/>
  <c r="JT472" i="1"/>
  <c r="JT221" i="1"/>
  <c r="JT218" i="1"/>
  <c r="JT549" i="1"/>
  <c r="O28" i="40"/>
  <c r="HG721" i="1"/>
  <c r="KC723" i="1"/>
  <c r="O27" i="40"/>
  <c r="O37" i="40"/>
  <c r="JT21" i="1"/>
  <c r="JT112" i="1"/>
  <c r="JT111" i="1"/>
  <c r="JT444" i="1"/>
  <c r="D44" i="41"/>
  <c r="KG69" i="1"/>
  <c r="KA104" i="1"/>
  <c r="GS766" i="1"/>
  <c r="GS764" i="1"/>
  <c r="F40" i="41"/>
  <c r="T19" i="40"/>
  <c r="R18" i="40"/>
  <c r="D21" i="19"/>
  <c r="D6" i="19"/>
  <c r="G24" i="19"/>
  <c r="F24" i="19"/>
  <c r="J13" i="34"/>
  <c r="K13" i="34"/>
  <c r="H12" i="34"/>
  <c r="F21" i="31"/>
  <c r="D20" i="31"/>
  <c r="H21" i="31"/>
  <c r="H23" i="13"/>
  <c r="H6" i="13"/>
  <c r="K6" i="13"/>
  <c r="J26" i="13"/>
  <c r="J23" i="13"/>
  <c r="J6" i="13"/>
  <c r="K26" i="13"/>
  <c r="J13" i="36"/>
  <c r="J12" i="36"/>
  <c r="H12" i="36"/>
  <c r="K13" i="36"/>
  <c r="KK67" i="1"/>
  <c r="KK41" i="1"/>
  <c r="KC541" i="1"/>
  <c r="KK46" i="1"/>
  <c r="HG364" i="1"/>
  <c r="KC199" i="1"/>
  <c r="KB530" i="1"/>
  <c r="KC535" i="1"/>
  <c r="JX240" i="1"/>
  <c r="JX3" i="1"/>
  <c r="KB44" i="1"/>
  <c r="HS651" i="1"/>
  <c r="HS628" i="1"/>
  <c r="KB630" i="1"/>
  <c r="KC630" i="1"/>
  <c r="JY628" i="1"/>
  <c r="G10" i="31"/>
  <c r="G8" i="31"/>
  <c r="G23" i="31"/>
  <c r="F13" i="25"/>
  <c r="E11" i="25"/>
  <c r="F10" i="32"/>
  <c r="JV7" i="1"/>
  <c r="E6" i="19"/>
  <c r="I6" i="36"/>
  <c r="K7" i="36"/>
  <c r="E8" i="31"/>
  <c r="H10" i="31"/>
  <c r="I6" i="34"/>
  <c r="K7" i="34"/>
  <c r="J7" i="34"/>
  <c r="T11" i="40"/>
  <c r="S9" i="40"/>
  <c r="U11" i="40"/>
  <c r="IH660" i="1"/>
  <c r="H38" i="41"/>
  <c r="H37" i="41"/>
  <c r="H18" i="3"/>
  <c r="H40" i="41"/>
  <c r="E10" i="3"/>
  <c r="G10" i="3"/>
  <c r="IH30" i="1"/>
  <c r="H30" i="33"/>
  <c r="H32" i="41"/>
  <c r="IH634" i="1"/>
  <c r="IH632" i="1"/>
  <c r="IH630" i="1"/>
  <c r="IH628" i="1"/>
  <c r="H14" i="3"/>
  <c r="IH621" i="1"/>
  <c r="IH84" i="1"/>
  <c r="IH82" i="1"/>
  <c r="G22" i="41"/>
  <c r="G21" i="41"/>
  <c r="G20" i="33"/>
  <c r="G19" i="33"/>
  <c r="H20" i="33"/>
  <c r="H26" i="41"/>
  <c r="IH579" i="1"/>
  <c r="IH577" i="1"/>
  <c r="IH541" i="1"/>
  <c r="IH437" i="1"/>
  <c r="IF12" i="1"/>
  <c r="D6" i="17"/>
  <c r="D5" i="17"/>
  <c r="IZ44" i="1"/>
  <c r="IZ364" i="1"/>
  <c r="IZ240" i="1"/>
  <c r="IH61" i="1"/>
  <c r="IH368" i="1"/>
  <c r="IH366" i="1"/>
  <c r="H15" i="41"/>
  <c r="J15" i="41"/>
  <c r="H13" i="33"/>
  <c r="J13" i="33"/>
  <c r="H17" i="41"/>
  <c r="H15" i="33"/>
  <c r="IH26" i="1"/>
  <c r="H14" i="33"/>
  <c r="J14" i="33"/>
  <c r="H16" i="41"/>
  <c r="J16" i="41"/>
  <c r="JT662" i="1"/>
  <c r="I16" i="3"/>
  <c r="JT579" i="1"/>
  <c r="JT577" i="1"/>
  <c r="JT575" i="1"/>
  <c r="IH246" i="1"/>
  <c r="IH244" i="1"/>
  <c r="IH242" i="1"/>
  <c r="IH17" i="1"/>
  <c r="H14" i="41"/>
  <c r="H12" i="33"/>
  <c r="V27" i="40"/>
  <c r="V35" i="40"/>
  <c r="KB764" i="1"/>
  <c r="JT766" i="1"/>
  <c r="JT764" i="1"/>
  <c r="I18" i="3"/>
  <c r="I13" i="3"/>
  <c r="C8" i="16"/>
  <c r="I23" i="33"/>
  <c r="J23" i="33"/>
  <c r="I25" i="41"/>
  <c r="J25" i="41"/>
  <c r="JT505" i="1"/>
  <c r="JT182" i="1"/>
  <c r="JT172" i="1"/>
  <c r="IH625" i="1"/>
  <c r="IH101" i="1"/>
  <c r="IH94" i="1"/>
  <c r="KI33" i="1"/>
  <c r="KI74" i="1"/>
  <c r="KF33" i="1"/>
  <c r="KF74" i="1"/>
  <c r="D12" i="20"/>
  <c r="C10" i="1"/>
  <c r="G12" i="18"/>
  <c r="D10" i="18"/>
  <c r="KC653" i="1"/>
  <c r="KB651" i="1"/>
  <c r="HG210" i="1"/>
  <c r="D10" i="22"/>
  <c r="E10" i="22"/>
  <c r="KC347" i="1"/>
  <c r="KK31" i="1"/>
  <c r="E10" i="33"/>
  <c r="D38" i="33"/>
  <c r="E12" i="41"/>
  <c r="D45" i="41"/>
  <c r="F11" i="33"/>
  <c r="D32" i="32"/>
  <c r="F33" i="32"/>
  <c r="KB868" i="1"/>
  <c r="KC869" i="1"/>
  <c r="GR658" i="1"/>
  <c r="E38" i="41"/>
  <c r="E37" i="41"/>
  <c r="KB660" i="1"/>
  <c r="KA658" i="1"/>
  <c r="KB658" i="1"/>
  <c r="J18" i="3"/>
  <c r="Q39" i="40"/>
  <c r="HG764" i="1"/>
  <c r="J5" i="36"/>
  <c r="AH10" i="12"/>
  <c r="J26" i="41"/>
  <c r="I26" i="41"/>
  <c r="JT52" i="1"/>
  <c r="KC577" i="1"/>
  <c r="IH619" i="1"/>
  <c r="H28" i="41"/>
  <c r="I14" i="33"/>
  <c r="GS104" i="1"/>
  <c r="JT125" i="1"/>
  <c r="JT104" i="1"/>
  <c r="GS242" i="1"/>
  <c r="HG44" i="1"/>
  <c r="B6" i="17"/>
  <c r="KC579" i="1"/>
  <c r="KJ26" i="1"/>
  <c r="KJ11" i="1"/>
  <c r="GP240" i="1"/>
  <c r="JZ240" i="1"/>
  <c r="KG27" i="1"/>
  <c r="KG21" i="1"/>
  <c r="KG72" i="1"/>
  <c r="KB212" i="1"/>
  <c r="KC215" i="1"/>
  <c r="KA14" i="1"/>
  <c r="JT273" i="1"/>
  <c r="JC10" i="1"/>
  <c r="JI12" i="1"/>
  <c r="JI10" i="1"/>
  <c r="GQ12" i="1"/>
  <c r="I24" i="33"/>
  <c r="IH16" i="1"/>
  <c r="IH14" i="1"/>
  <c r="H15" i="3"/>
  <c r="JS44" i="1"/>
  <c r="JT86" i="1"/>
  <c r="I16" i="41"/>
  <c r="JS723" i="1"/>
  <c r="JS721" i="1"/>
  <c r="JS660" i="1"/>
  <c r="JS658" i="1"/>
  <c r="I20" i="33"/>
  <c r="J17" i="3"/>
  <c r="J15" i="3"/>
  <c r="Q38" i="40"/>
  <c r="U38" i="40"/>
  <c r="JT378" i="1"/>
  <c r="I39" i="41"/>
  <c r="C12" i="22"/>
  <c r="J20" i="33"/>
  <c r="KH69" i="1"/>
  <c r="GS364" i="1"/>
  <c r="F19" i="41"/>
  <c r="JS308" i="1"/>
  <c r="JT308" i="1"/>
  <c r="KC125" i="1"/>
  <c r="HG104" i="1"/>
  <c r="KK28" i="1"/>
  <c r="KC273" i="1"/>
  <c r="JS273" i="1"/>
  <c r="JS104" i="1"/>
  <c r="J15" i="33"/>
  <c r="J17" i="41"/>
  <c r="F13" i="41"/>
  <c r="F21" i="19"/>
  <c r="G21" i="19"/>
  <c r="B7" i="16"/>
  <c r="B6" i="16"/>
  <c r="J12" i="3"/>
  <c r="J11" i="3"/>
  <c r="KB575" i="1"/>
  <c r="KC575" i="1"/>
  <c r="I33" i="33"/>
  <c r="I19" i="33"/>
  <c r="I22" i="41"/>
  <c r="I21" i="41"/>
  <c r="G17" i="33"/>
  <c r="IG364" i="1"/>
  <c r="IG240" i="1"/>
  <c r="D7" i="16"/>
  <c r="D6" i="16"/>
  <c r="JT437" i="1"/>
  <c r="IG12" i="1"/>
  <c r="IG10" i="1"/>
  <c r="C11" i="3"/>
  <c r="C10" i="3"/>
  <c r="JZ44" i="1"/>
  <c r="GP12" i="1"/>
  <c r="JT14" i="1"/>
  <c r="G19" i="41"/>
  <c r="G12" i="41"/>
  <c r="G10" i="41"/>
  <c r="G8" i="41"/>
  <c r="KC111" i="1"/>
  <c r="KB104" i="1"/>
  <c r="F31" i="41"/>
  <c r="J33" i="41"/>
  <c r="I33" i="41"/>
  <c r="J32" i="33"/>
  <c r="JT541" i="1"/>
  <c r="C9" i="16"/>
  <c r="I14" i="3"/>
  <c r="J34" i="41"/>
  <c r="JT210" i="1"/>
  <c r="J24" i="33"/>
  <c r="J33" i="33"/>
  <c r="KH62" i="1"/>
  <c r="KH61" i="1"/>
  <c r="KH52" i="1"/>
  <c r="KH21" i="1"/>
  <c r="KC721" i="1"/>
  <c r="R38" i="40"/>
  <c r="T38" i="40"/>
  <c r="IH658" i="1"/>
  <c r="D18" i="3"/>
  <c r="D15" i="3"/>
  <c r="GS660" i="1"/>
  <c r="F38" i="41"/>
  <c r="K12" i="34"/>
  <c r="H5" i="34"/>
  <c r="J12" i="34"/>
  <c r="T18" i="40"/>
  <c r="R9" i="40"/>
  <c r="T9" i="40"/>
  <c r="D17" i="31"/>
  <c r="D23" i="31"/>
  <c r="F20" i="31"/>
  <c r="F17" i="31"/>
  <c r="F23" i="31"/>
  <c r="K12" i="36"/>
  <c r="H5" i="36"/>
  <c r="K23" i="13"/>
  <c r="KK72" i="1"/>
  <c r="KC530" i="1"/>
  <c r="KB364" i="1"/>
  <c r="JZ3" i="1"/>
  <c r="JZ5" i="1"/>
  <c r="JX5" i="1"/>
  <c r="F11" i="25"/>
  <c r="E9" i="25"/>
  <c r="E23" i="31"/>
  <c r="H8" i="31"/>
  <c r="G6" i="19"/>
  <c r="F6" i="19"/>
  <c r="U9" i="40"/>
  <c r="J6" i="34"/>
  <c r="I5" i="34"/>
  <c r="K6" i="34"/>
  <c r="K6" i="36"/>
  <c r="I5" i="36"/>
  <c r="H29" i="33"/>
  <c r="J30" i="33"/>
  <c r="J32" i="41"/>
  <c r="H31" i="41"/>
  <c r="H22" i="41"/>
  <c r="J22" i="41"/>
  <c r="H19" i="41"/>
  <c r="IF10" i="1"/>
  <c r="IZ12" i="1"/>
  <c r="IZ10" i="1"/>
  <c r="IH364" i="1"/>
  <c r="IH240" i="1"/>
  <c r="H12" i="3"/>
  <c r="IH44" i="1"/>
  <c r="I15" i="3"/>
  <c r="J12" i="33"/>
  <c r="H11" i="33"/>
  <c r="J11" i="33"/>
  <c r="H13" i="41"/>
  <c r="J14" i="41"/>
  <c r="JT660" i="1"/>
  <c r="JT658" i="1"/>
  <c r="E8" i="16"/>
  <c r="G8" i="16"/>
  <c r="D10" i="20"/>
  <c r="E12" i="20"/>
  <c r="F12" i="20"/>
  <c r="D13" i="18"/>
  <c r="G10" i="18"/>
  <c r="KB628" i="1"/>
  <c r="KC628" i="1"/>
  <c r="KC651" i="1"/>
  <c r="D46" i="41"/>
  <c r="E10" i="41"/>
  <c r="E8" i="41"/>
  <c r="I11" i="33"/>
  <c r="D39" i="33"/>
  <c r="E8" i="33"/>
  <c r="D8" i="32"/>
  <c r="F8" i="32"/>
  <c r="F32" i="32"/>
  <c r="KB766" i="1"/>
  <c r="KC766" i="1"/>
  <c r="KC868" i="1"/>
  <c r="KJ33" i="1"/>
  <c r="KJ74" i="1"/>
  <c r="GR10" i="1"/>
  <c r="B12" i="18"/>
  <c r="KG33" i="1"/>
  <c r="B7" i="17"/>
  <c r="B11" i="22"/>
  <c r="KC764" i="1"/>
  <c r="HG660" i="1"/>
  <c r="R39" i="40"/>
  <c r="J40" i="41"/>
  <c r="I40" i="41"/>
  <c r="U39" i="40"/>
  <c r="Q35" i="40"/>
  <c r="F17" i="33"/>
  <c r="F10" i="33"/>
  <c r="F8" i="33"/>
  <c r="JT242" i="1"/>
  <c r="JT44" i="1"/>
  <c r="JT12" i="1"/>
  <c r="JT10" i="1"/>
  <c r="IH609" i="1"/>
  <c r="IH575" i="1"/>
  <c r="H13" i="3"/>
  <c r="H26" i="33"/>
  <c r="H19" i="33"/>
  <c r="J19" i="33"/>
  <c r="J13" i="41"/>
  <c r="B5" i="17"/>
  <c r="GS12" i="1"/>
  <c r="C6" i="17"/>
  <c r="E6" i="17"/>
  <c r="GS240" i="1"/>
  <c r="D12" i="3"/>
  <c r="I12" i="3"/>
  <c r="I11" i="3"/>
  <c r="I10" i="3"/>
  <c r="KC44" i="1"/>
  <c r="KB210" i="1"/>
  <c r="KC210" i="1"/>
  <c r="KC212" i="1"/>
  <c r="KA12" i="1"/>
  <c r="GQ10" i="1"/>
  <c r="KA10" i="1"/>
  <c r="KC104" i="1"/>
  <c r="J10" i="3"/>
  <c r="JT364" i="1"/>
  <c r="JT240" i="1"/>
  <c r="J19" i="41"/>
  <c r="F12" i="41"/>
  <c r="I12" i="41"/>
  <c r="I13" i="41"/>
  <c r="KK68" i="1"/>
  <c r="KK66" i="1"/>
  <c r="KK52" i="1"/>
  <c r="KK27" i="1"/>
  <c r="G10" i="33"/>
  <c r="G8" i="33"/>
  <c r="I19" i="41"/>
  <c r="IH12" i="1"/>
  <c r="IH10" i="1"/>
  <c r="F7" i="16"/>
  <c r="F6" i="16"/>
  <c r="JZ12" i="1"/>
  <c r="GP10" i="1"/>
  <c r="JZ10" i="1"/>
  <c r="G9" i="16"/>
  <c r="E9" i="16"/>
  <c r="F30" i="41"/>
  <c r="I30" i="41"/>
  <c r="I31" i="41"/>
  <c r="H17" i="33"/>
  <c r="H10" i="33"/>
  <c r="GS658" i="1"/>
  <c r="K5" i="36"/>
  <c r="KC364" i="1"/>
  <c r="F9" i="25"/>
  <c r="E7" i="25"/>
  <c r="F7" i="25"/>
  <c r="H23" i="31"/>
  <c r="E44" i="31"/>
  <c r="K5" i="34"/>
  <c r="J5" i="34"/>
  <c r="H30" i="41"/>
  <c r="J31" i="41"/>
  <c r="H28" i="33"/>
  <c r="J28" i="33"/>
  <c r="J29" i="33"/>
  <c r="H12" i="41"/>
  <c r="H11" i="3"/>
  <c r="H10" i="3"/>
  <c r="J26" i="33"/>
  <c r="J28" i="41"/>
  <c r="H21" i="41"/>
  <c r="E11" i="20"/>
  <c r="E10" i="20"/>
  <c r="F10" i="20"/>
  <c r="F37" i="41"/>
  <c r="I38" i="41"/>
  <c r="J38" i="41"/>
  <c r="KG11" i="1"/>
  <c r="KG74" i="1"/>
  <c r="U35" i="40"/>
  <c r="Q22" i="40"/>
  <c r="U22" i="40"/>
  <c r="T39" i="40"/>
  <c r="R35" i="40"/>
  <c r="B10" i="18"/>
  <c r="F12" i="18"/>
  <c r="F10" i="18"/>
  <c r="KC660" i="1"/>
  <c r="HG658" i="1"/>
  <c r="I17" i="33"/>
  <c r="J12" i="41"/>
  <c r="D11" i="3"/>
  <c r="D10" i="3"/>
  <c r="C7" i="16"/>
  <c r="E7" i="16"/>
  <c r="E6" i="16"/>
  <c r="J30" i="41"/>
  <c r="I10" i="33"/>
  <c r="F10" i="41"/>
  <c r="I10" i="41"/>
  <c r="C6" i="16"/>
  <c r="C13" i="16"/>
  <c r="J17" i="33"/>
  <c r="C7" i="17"/>
  <c r="E7" i="17"/>
  <c r="GS10" i="1"/>
  <c r="C11" i="22"/>
  <c r="KH33" i="1"/>
  <c r="KH74" i="1"/>
  <c r="H8" i="33"/>
  <c r="J8" i="33"/>
  <c r="J10" i="33"/>
  <c r="H10" i="41"/>
  <c r="H8" i="41"/>
  <c r="J21" i="41"/>
  <c r="I8" i="33"/>
  <c r="D11" i="22"/>
  <c r="KC658" i="1"/>
  <c r="KK33" i="1"/>
  <c r="KK74" i="1"/>
  <c r="I37" i="41"/>
  <c r="J37" i="41"/>
  <c r="T35" i="40"/>
  <c r="R22" i="40"/>
  <c r="T22" i="40"/>
  <c r="G7" i="16"/>
  <c r="F8" i="41"/>
  <c r="J8" i="41"/>
  <c r="C11" i="16"/>
  <c r="G6" i="16"/>
  <c r="C12" i="16"/>
  <c r="C5" i="17"/>
  <c r="E5" i="17"/>
  <c r="KH11" i="1"/>
  <c r="J10" i="41"/>
  <c r="HU17" i="1"/>
  <c r="HU16" i="1"/>
  <c r="HU14" i="1"/>
  <c r="HU12" i="1"/>
  <c r="HU10" i="1"/>
  <c r="HU246" i="1"/>
  <c r="HU244" i="1"/>
  <c r="HU242" i="1"/>
  <c r="HU240" i="1"/>
  <c r="JY247" i="1"/>
  <c r="JY17" i="1"/>
  <c r="JY16" i="1"/>
  <c r="JY14" i="1"/>
  <c r="JY12" i="1"/>
  <c r="HG17" i="1"/>
  <c r="I8" i="41"/>
  <c r="HG16" i="1"/>
  <c r="JY10" i="1"/>
  <c r="AA61" i="12"/>
  <c r="AA62" i="12"/>
  <c r="JY6" i="1"/>
  <c r="HG246" i="1"/>
  <c r="KK14" i="1"/>
  <c r="JY246" i="1"/>
  <c r="JY244" i="1"/>
  <c r="JY242" i="1"/>
  <c r="JY240" i="1"/>
  <c r="KB247" i="1"/>
  <c r="KC247" i="1"/>
  <c r="KK55" i="1"/>
  <c r="KK54" i="1"/>
  <c r="KK13" i="1"/>
  <c r="KK26" i="1"/>
  <c r="KK11" i="1"/>
  <c r="HG244" i="1"/>
  <c r="D6" i="22"/>
  <c r="HG14" i="1"/>
  <c r="KB246" i="1"/>
  <c r="KB244" i="1"/>
  <c r="KB242" i="1"/>
  <c r="KB240" i="1"/>
  <c r="KB17" i="1"/>
  <c r="JS246" i="1"/>
  <c r="JS244" i="1"/>
  <c r="JS242" i="1"/>
  <c r="JS240" i="1"/>
  <c r="JS17" i="1"/>
  <c r="JS16" i="1"/>
  <c r="JS14" i="1"/>
  <c r="JS12" i="1"/>
  <c r="JS10" i="1"/>
  <c r="KB16" i="1"/>
  <c r="KC17" i="1"/>
  <c r="KC244" i="1"/>
  <c r="HG242" i="1"/>
  <c r="HG12" i="1"/>
  <c r="KC246" i="1"/>
  <c r="D12" i="22"/>
  <c r="D15" i="22"/>
  <c r="D17" i="22"/>
  <c r="E6" i="22"/>
  <c r="E5" i="22"/>
  <c r="KC242" i="1"/>
  <c r="HG240" i="1"/>
  <c r="KC240" i="1"/>
  <c r="HG10" i="1"/>
  <c r="KB14" i="1"/>
  <c r="KC16" i="1"/>
  <c r="KB12" i="1"/>
  <c r="KC14" i="1"/>
  <c r="AK7" i="12"/>
  <c r="S65" i="12"/>
  <c r="KB10" i="1"/>
  <c r="KC12" i="1"/>
  <c r="JV8" i="1"/>
  <c r="KC10" i="1"/>
</calcChain>
</file>

<file path=xl/sharedStrings.xml><?xml version="1.0" encoding="utf-8"?>
<sst xmlns="http://schemas.openxmlformats.org/spreadsheetml/2006/main" count="2437" uniqueCount="1435">
  <si>
    <t>UNIVERSIDAD AUTÓNOMA DE CHIRIQUÍ</t>
  </si>
  <si>
    <t>DIRECCION GENERAL DE PLANIFICACION</t>
  </si>
  <si>
    <t>DIST.</t>
  </si>
  <si>
    <t>ING. REAL</t>
  </si>
  <si>
    <t>DEPARTAMENTO DE PRESUPUESTO</t>
  </si>
  <si>
    <t>EJECUCIÓN PRESUPUESTARIA MENSUALIZADA</t>
  </si>
  <si>
    <t>PRESUP</t>
  </si>
  <si>
    <t>CÓDIGO</t>
  </si>
  <si>
    <t>DETALLLE DEL CONCEPTO</t>
  </si>
  <si>
    <t>PRESUP.</t>
  </si>
  <si>
    <t>RECAUDACIÓN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</si>
  <si>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</si>
  <si>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</si>
  <si>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</si>
  <si>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</si>
  <si>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</si>
  <si>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</si>
  <si>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</si>
  <si>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</si>
  <si>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</si>
  <si>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</si>
  <si>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</si>
  <si>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</si>
  <si>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EJECUTADO ACUMULADO</t>
  </si>
  <si>
    <t>EJECUCIÓN  FEBRERO</t>
  </si>
  <si>
    <t>EJECUCIÓN  MARZO</t>
  </si>
  <si>
    <t>EJECUCIÓN  ABRIL</t>
  </si>
  <si>
    <t>EJECUCIÓN  MAYO</t>
  </si>
  <si>
    <t>EJECUCIÓN  JULIO</t>
  </si>
  <si>
    <t>EJECUCIÓN  AGOSTO</t>
  </si>
  <si>
    <t>EJECUCIÓN  SEPTIEMBRE</t>
  </si>
  <si>
    <t>EJECUCIÓN  OCTUBRE</t>
  </si>
  <si>
    <t>EJECUCIÓN  NOVIEMBRE</t>
  </si>
  <si>
    <t>EJECUCIÓN  DICIEMBRE</t>
  </si>
  <si>
    <t>AJUSTES</t>
  </si>
  <si>
    <t>SALDO</t>
  </si>
  <si>
    <t>APORTE</t>
  </si>
  <si>
    <t>TOTAL</t>
  </si>
  <si>
    <t>APROBADO</t>
  </si>
  <si>
    <t>MODIF</t>
  </si>
  <si>
    <t>ASIGNADO</t>
  </si>
  <si>
    <t>REAL ACUM.</t>
  </si>
  <si>
    <t>UNACHI</t>
  </si>
  <si>
    <t>ESTADO</t>
  </si>
  <si>
    <t>COMP.</t>
  </si>
  <si>
    <t>DEVENG.</t>
  </si>
  <si>
    <t>PAGADO</t>
  </si>
  <si>
    <t>REAL</t>
  </si>
  <si>
    <t>TOTAL DE PRESUPUESTO</t>
  </si>
  <si>
    <t>PRESUPUESTO FUNC.</t>
  </si>
  <si>
    <t>SERVICIOS PERSONALES</t>
  </si>
  <si>
    <t>000</t>
  </si>
  <si>
    <t>SUELDOS</t>
  </si>
  <si>
    <t>001</t>
  </si>
  <si>
    <t>PERSONAL FIJO (SUELDOS)</t>
  </si>
  <si>
    <t>003</t>
  </si>
  <si>
    <t>PERSONAL CONTIGENTE</t>
  </si>
  <si>
    <t>010</t>
  </si>
  <si>
    <t>SOBRESUELDOS</t>
  </si>
  <si>
    <t>011</t>
  </si>
  <si>
    <t>SOBRESUELDOS POR ANTIGUEDAD</t>
  </si>
  <si>
    <t>013</t>
  </si>
  <si>
    <t>SOBRESUELDO POR JEFATURA</t>
  </si>
  <si>
    <t>030</t>
  </si>
  <si>
    <t>GTOS DE REP. FIJOS</t>
  </si>
  <si>
    <t>050</t>
  </si>
  <si>
    <t>XIII MES</t>
  </si>
  <si>
    <t>070</t>
  </si>
  <si>
    <t>CONTRIBUCIONES A LA SEGURIDAD</t>
  </si>
  <si>
    <t>071</t>
  </si>
  <si>
    <t>CUOTA PATRONAL DE SEGURO SOC.</t>
  </si>
  <si>
    <t>072</t>
  </si>
  <si>
    <t>CUOTA PATRONAL DE SEGURO EDUC.</t>
  </si>
  <si>
    <t>073</t>
  </si>
  <si>
    <t>CUOTA PATRONAL DE RIESGO PROF.</t>
  </si>
  <si>
    <t>074</t>
  </si>
  <si>
    <t>CUOTA PATRONAL PARA EL FONDO C.</t>
  </si>
  <si>
    <t>080</t>
  </si>
  <si>
    <t>OTROS SERVICIOS PERSONALES</t>
  </si>
  <si>
    <t>091</t>
  </si>
  <si>
    <t>092</t>
  </si>
  <si>
    <t>SERVICIOS NO PERSONALES</t>
  </si>
  <si>
    <t>ALQUILERES</t>
  </si>
  <si>
    <t>OTROS ALQUILERES</t>
  </si>
  <si>
    <t>110</t>
  </si>
  <si>
    <t>SERVICIOS BASICOS</t>
  </si>
  <si>
    <t>111</t>
  </si>
  <si>
    <t>AGUA</t>
  </si>
  <si>
    <t>CORREOS</t>
  </si>
  <si>
    <t>114</t>
  </si>
  <si>
    <t>ENERGIA ELECTRICA</t>
  </si>
  <si>
    <t>115</t>
  </si>
  <si>
    <t>TELECOMUNICACIONES</t>
  </si>
  <si>
    <t>OTROS SERVICIOS BÁSICOS</t>
  </si>
  <si>
    <t>IMP. ENCUADERNACION Y OTROS</t>
  </si>
  <si>
    <t>INFORMACIÓN Y POBLICIDAD</t>
  </si>
  <si>
    <t>OTROS GASTOS DE INFORMACIÓN</t>
  </si>
  <si>
    <t>140</t>
  </si>
  <si>
    <t>VIATICO</t>
  </si>
  <si>
    <t>141</t>
  </si>
  <si>
    <t>VIATICOS DENTRO DEL PAIS</t>
  </si>
  <si>
    <t>142</t>
  </si>
  <si>
    <t>VIATICOS EN EL EXTERIOR</t>
  </si>
  <si>
    <t>VIATICOS A OTRAS PERSONAS</t>
  </si>
  <si>
    <t>150</t>
  </si>
  <si>
    <t>TRANSPORTE DE P. Y B.</t>
  </si>
  <si>
    <t>151</t>
  </si>
  <si>
    <t>TRANSPORTE DENTRO DEL PAIS</t>
  </si>
  <si>
    <t>152</t>
  </si>
  <si>
    <t>TRANSPORTE AL EXTERIOR</t>
  </si>
  <si>
    <t>TRANSPORTE A OTRAS PERSONAS</t>
  </si>
  <si>
    <t>160</t>
  </si>
  <si>
    <t>SERVICIOS COM. Y FINAN.</t>
  </si>
  <si>
    <t>169</t>
  </si>
  <si>
    <t>OTROS SERVICIOS-COM. Y FINAN.</t>
  </si>
  <si>
    <t>180</t>
  </si>
  <si>
    <t>MANTENIMIENTO Y REPARACION</t>
  </si>
  <si>
    <t>MANT. Y REP. DE EDIFICIO</t>
  </si>
  <si>
    <t>182</t>
  </si>
  <si>
    <t>MANT. Y REP. DE MAQ. Y OTROS</t>
  </si>
  <si>
    <t>183</t>
  </si>
  <si>
    <t>MANT. Y REP. DE MOB. Y EQ. OF</t>
  </si>
  <si>
    <t>189</t>
  </si>
  <si>
    <t>OTROS MANT. Y REP.</t>
  </si>
  <si>
    <t>2</t>
  </si>
  <si>
    <t>MATERIALES Y SUMINISTROS</t>
  </si>
  <si>
    <t>200</t>
  </si>
  <si>
    <t>ALIMENTOS Y BEBIDAS</t>
  </si>
  <si>
    <t>201</t>
  </si>
  <si>
    <t>ALIMENTOS PARA CONSUMO HUM.</t>
  </si>
  <si>
    <t>203</t>
  </si>
  <si>
    <t>BEBIDAS</t>
  </si>
  <si>
    <t>TEXTILES Y VESTUARIOS</t>
  </si>
  <si>
    <t>ACABADO TEXTIL</t>
  </si>
  <si>
    <t>HILADOS Y TELAS</t>
  </si>
  <si>
    <t>PRENDAS DE VESTIR</t>
  </si>
  <si>
    <t>220</t>
  </si>
  <si>
    <t>COMBUSTIBLES Y LUBRICANTES</t>
  </si>
  <si>
    <t>221</t>
  </si>
  <si>
    <t>DIESEL</t>
  </si>
  <si>
    <t>222</t>
  </si>
  <si>
    <t>GAS</t>
  </si>
  <si>
    <t>223</t>
  </si>
  <si>
    <t>GASOLINA</t>
  </si>
  <si>
    <t>LUBRICANTES</t>
  </si>
  <si>
    <t>229</t>
  </si>
  <si>
    <t>OTROS COMBUSTIBLES</t>
  </si>
  <si>
    <t>230</t>
  </si>
  <si>
    <t>PRODUCTOS DE PAPEL Y CARTON</t>
  </si>
  <si>
    <t>IMPRESOS</t>
  </si>
  <si>
    <t>PAPELERÍA</t>
  </si>
  <si>
    <t>TEXTOS DE ENSEÑANZA</t>
  </si>
  <si>
    <t>239</t>
  </si>
  <si>
    <t>OTROS PROD. DE PAPEL Y CARTON</t>
  </si>
  <si>
    <t>240</t>
  </si>
  <si>
    <t>PROD. QUIMICOS Y CONEXOS</t>
  </si>
  <si>
    <t>INSECTICIDAS, FUMIGANTES Y OTROS</t>
  </si>
  <si>
    <t>PINTURAS, COLORANTES Y TINTES</t>
  </si>
  <si>
    <t>249</t>
  </si>
  <si>
    <t>OTROS PRODUCTOS QUIMICOS</t>
  </si>
  <si>
    <t>250</t>
  </si>
  <si>
    <t>MAT. PARA CONST. Y MANT.</t>
  </si>
  <si>
    <t>252</t>
  </si>
  <si>
    <t>CEMENTO</t>
  </si>
  <si>
    <t>253</t>
  </si>
  <si>
    <t>MADERA</t>
  </si>
  <si>
    <t>254</t>
  </si>
  <si>
    <t>MATERIAL DE PLOMERIA</t>
  </si>
  <si>
    <t>255</t>
  </si>
  <si>
    <t>MATERIAL ELECTRICO</t>
  </si>
  <si>
    <t>MATERIAL METÁLICO</t>
  </si>
  <si>
    <t>257</t>
  </si>
  <si>
    <t>PIEDRA Y ARENA</t>
  </si>
  <si>
    <t>259</t>
  </si>
  <si>
    <t>OTROS MAT. DE CONSTRUCCION</t>
  </si>
  <si>
    <t>260</t>
  </si>
  <si>
    <t>PRODUCTOS VARIOS</t>
  </si>
  <si>
    <t>ARTÍCULOS PARA RECEPCIONES</t>
  </si>
  <si>
    <t>262</t>
  </si>
  <si>
    <t>HERRAMIENTAS E INSTRUMENTOS</t>
  </si>
  <si>
    <t>269</t>
  </si>
  <si>
    <t>OTROS PRODUCTOS VARIOS</t>
  </si>
  <si>
    <t>270</t>
  </si>
  <si>
    <t>UTILES Y MATERIALES DIVERSOS</t>
  </si>
  <si>
    <t>271</t>
  </si>
  <si>
    <t>UTILES DE COCINA Y COMEDOR</t>
  </si>
  <si>
    <t>272</t>
  </si>
  <si>
    <t>UTILES DEP. Y REC.</t>
  </si>
  <si>
    <t>UTILES MEDICOS Y DE LABORATORIOS</t>
  </si>
  <si>
    <t>275</t>
  </si>
  <si>
    <t>UTILES Y MATERIALES DE OFICINA</t>
  </si>
  <si>
    <t>277</t>
  </si>
  <si>
    <t>INSTRUMENTAL MED.Y QUIR.</t>
  </si>
  <si>
    <t>279</t>
  </si>
  <si>
    <t>OTROS UTILES Y MATERIALES</t>
  </si>
  <si>
    <t>280</t>
  </si>
  <si>
    <t>REPUESTOS</t>
  </si>
  <si>
    <t>4</t>
  </si>
  <si>
    <t>INVERSION FINANCIERA</t>
  </si>
  <si>
    <t>430</t>
  </si>
  <si>
    <t>COMPRA DE EXISTENCIA</t>
  </si>
  <si>
    <t>439</t>
  </si>
  <si>
    <t>OTRAS EXISTENCIA</t>
  </si>
  <si>
    <t>6</t>
  </si>
  <si>
    <t>TRANSFER. CORRIENTES</t>
  </si>
  <si>
    <t>A PERSONAS</t>
  </si>
  <si>
    <t>DONATIVOS A PERSONAS</t>
  </si>
  <si>
    <t>OTRAS TRANSFERENCIAS</t>
  </si>
  <si>
    <t>BECAS DE ESTUDIO</t>
  </si>
  <si>
    <t>BECAS DE POST-GRADO</t>
  </si>
  <si>
    <t>OTRAS BECAS</t>
  </si>
  <si>
    <t>A INSTITUCIONES PRIVADAS</t>
  </si>
  <si>
    <t>640</t>
  </si>
  <si>
    <t>A INSTITUCIONES PÚBLICAS</t>
  </si>
  <si>
    <t>641</t>
  </si>
  <si>
    <t>GOBIERNO CENTRAL</t>
  </si>
  <si>
    <t>660</t>
  </si>
  <si>
    <t>AL EXTERIOR</t>
  </si>
  <si>
    <t>CUOTAS A OTROS ORGANISMOS</t>
  </si>
  <si>
    <t>187.01</t>
  </si>
  <si>
    <t>ADMINISTRACIÓN GENERAL</t>
  </si>
  <si>
    <t>187.01.001</t>
  </si>
  <si>
    <t>187.01.001-0</t>
  </si>
  <si>
    <t>187.01.001.0000.000</t>
  </si>
  <si>
    <t>187.01.001.0000.001</t>
  </si>
  <si>
    <t>187.01.001.0000.010</t>
  </si>
  <si>
    <t>187.01.001.0000.011</t>
  </si>
  <si>
    <t>187.01.001.0000.013</t>
  </si>
  <si>
    <t>187.01.001.0000.030</t>
  </si>
  <si>
    <t>187.01.001.0000.050</t>
  </si>
  <si>
    <t>187.01.001.0000.070</t>
  </si>
  <si>
    <t>187.01.001.0000.071</t>
  </si>
  <si>
    <t>187.01.001.0000.072</t>
  </si>
  <si>
    <t>187.01.001.0000.073</t>
  </si>
  <si>
    <t>187.01.001.0000.074</t>
  </si>
  <si>
    <t>INFORMACION Y PUBLICIDAD</t>
  </si>
  <si>
    <t>187.01.001-6</t>
  </si>
  <si>
    <t>187.01.001.0000.610</t>
  </si>
  <si>
    <t>187.01.001.0000.640</t>
  </si>
  <si>
    <t>187.01.001.0000.641</t>
  </si>
  <si>
    <t>187.01.050</t>
  </si>
  <si>
    <t>187.01.050-0</t>
  </si>
  <si>
    <t>187.01.050.0000.000</t>
  </si>
  <si>
    <t>187.01.050.0000.050</t>
  </si>
  <si>
    <t>187.01.050-1</t>
  </si>
  <si>
    <t>187.01.050.0000.110</t>
  </si>
  <si>
    <t>187.01.050.0000.114</t>
  </si>
  <si>
    <t>187.01.050.0000.115</t>
  </si>
  <si>
    <t>187.01.050.0000.119</t>
  </si>
  <si>
    <t>187.01.050.0000.120</t>
  </si>
  <si>
    <t>187.01.050.0000.130</t>
  </si>
  <si>
    <t>187.01.050.0000.160</t>
  </si>
  <si>
    <t>187.01.050.0000.164</t>
  </si>
  <si>
    <t>GASTOS DE SEGUROS</t>
  </si>
  <si>
    <t>187.01.050.0000.169</t>
  </si>
  <si>
    <t>187.01.050.0000.180</t>
  </si>
  <si>
    <t>187.01.050.0000.181</t>
  </si>
  <si>
    <t>187.01.050.0000.182</t>
  </si>
  <si>
    <t>187.01.050.0000.189</t>
  </si>
  <si>
    <t>187.01.050-2</t>
  </si>
  <si>
    <t>187.01.050.0000.200</t>
  </si>
  <si>
    <t>187.01.050.0000.201</t>
  </si>
  <si>
    <t>187.01.050.0000.203</t>
  </si>
  <si>
    <t>187.01.050.0000.210</t>
  </si>
  <si>
    <t>187.01.050.0000.211</t>
  </si>
  <si>
    <t>187.01.050.0000.213</t>
  </si>
  <si>
    <t>187.01.050.0000.214</t>
  </si>
  <si>
    <t>187.01.050.0000.220</t>
  </si>
  <si>
    <t>187.01.050.0000.221</t>
  </si>
  <si>
    <t>187.01.050.0000.222</t>
  </si>
  <si>
    <t>187.01.050.0000.223</t>
  </si>
  <si>
    <t>187.01.050.0000.224</t>
  </si>
  <si>
    <t>187.01.050.0000.229</t>
  </si>
  <si>
    <t>187.01.050.0000.230</t>
  </si>
  <si>
    <t>187.01.050.0000.231</t>
  </si>
  <si>
    <t>187.01.050.0000.232</t>
  </si>
  <si>
    <t>187.01.050.0000.233</t>
  </si>
  <si>
    <t>187.01.050.0000.239</t>
  </si>
  <si>
    <t>187.01.050.0000.240</t>
  </si>
  <si>
    <t>187.01.050.0000.242</t>
  </si>
  <si>
    <t>187.01.050.0000.243</t>
  </si>
  <si>
    <t>187.01.050.0000.249</t>
  </si>
  <si>
    <t>187.01.050.0000.250</t>
  </si>
  <si>
    <t>187.01.050.0000.252</t>
  </si>
  <si>
    <t>187.01.050.0000.253</t>
  </si>
  <si>
    <t>187.01.050.0000.254</t>
  </si>
  <si>
    <t>187.01.050.0000.255</t>
  </si>
  <si>
    <t>187.01.050.0000.256</t>
  </si>
  <si>
    <t>187.01.050.0000.257</t>
  </si>
  <si>
    <t>187.01.050.0000.259</t>
  </si>
  <si>
    <t>187.01.050.0000.260</t>
  </si>
  <si>
    <t>187.01.050.0000.269</t>
  </si>
  <si>
    <t>187.01.050.0000.270</t>
  </si>
  <si>
    <t>187.01.050.0000.271</t>
  </si>
  <si>
    <t>187.01.050.0000.272</t>
  </si>
  <si>
    <t>187.01.050.0000.274</t>
  </si>
  <si>
    <t>UTILES MÉDICOS Y DE LABORATORIO</t>
  </si>
  <si>
    <t>187.01.050.0000.275</t>
  </si>
  <si>
    <t>187.01.050.0000.279</t>
  </si>
  <si>
    <t>187.01.050-4</t>
  </si>
  <si>
    <t>187.01.050.0000.430</t>
  </si>
  <si>
    <t>187.01.050.0000.439</t>
  </si>
  <si>
    <t>187.01.050-6</t>
  </si>
  <si>
    <t>187.01.050.0000.610</t>
  </si>
  <si>
    <t>187.01.050.0000.611</t>
  </si>
  <si>
    <t>187.01.050.0000.620</t>
  </si>
  <si>
    <t>187.01.050.0000.623</t>
  </si>
  <si>
    <t>187.01.050.0000.629</t>
  </si>
  <si>
    <t>SUBSIDIOS BENÉFICOS</t>
  </si>
  <si>
    <t>187.02.</t>
  </si>
  <si>
    <t>EDUCACIÓN SUPERIOR</t>
  </si>
  <si>
    <t>187.02.001</t>
  </si>
  <si>
    <t>187.02.001-0</t>
  </si>
  <si>
    <t>187.02.001.0000.000</t>
  </si>
  <si>
    <t>187.02.001.0000.001</t>
  </si>
  <si>
    <t>187.02.001.0000.010</t>
  </si>
  <si>
    <t>187.02.001.0000.011</t>
  </si>
  <si>
    <t>187.02.001.0000.013</t>
  </si>
  <si>
    <t>187.02.001.0000.050</t>
  </si>
  <si>
    <t>187.02.001.0000.070</t>
  </si>
  <si>
    <t>187.02.001.0000.071</t>
  </si>
  <si>
    <t>187.02.001.0000.072</t>
  </si>
  <si>
    <t>187.02.001.0000.073</t>
  </si>
  <si>
    <t>187.02.001.0000.074</t>
  </si>
  <si>
    <t>187.02.001.0000.080</t>
  </si>
  <si>
    <t>187.02.050</t>
  </si>
  <si>
    <t>187.02.050-0</t>
  </si>
  <si>
    <t>187.02.050-1</t>
  </si>
  <si>
    <t>18703</t>
  </si>
  <si>
    <t>INVESTIGACIÓN</t>
  </si>
  <si>
    <t>18703.001</t>
  </si>
  <si>
    <t>18703.001-0</t>
  </si>
  <si>
    <t>SERVCIOS PERSONALES</t>
  </si>
  <si>
    <t>187.03.001.0000.000</t>
  </si>
  <si>
    <t>187.03.001.0000.001</t>
  </si>
  <si>
    <t>187.03.001.0000.010</t>
  </si>
  <si>
    <t>187.03.001.0000.011</t>
  </si>
  <si>
    <t>187.03.001.0000.013</t>
  </si>
  <si>
    <t>187.03.001.0000.030</t>
  </si>
  <si>
    <t>187.03.001.0000.050</t>
  </si>
  <si>
    <t>187.03.001.0000.070</t>
  </si>
  <si>
    <t>187.03.001.0000.071</t>
  </si>
  <si>
    <t>187.03.001.0000.072</t>
  </si>
  <si>
    <t>187.03.001.0000.073</t>
  </si>
  <si>
    <t>187.03.001.0000.074</t>
  </si>
  <si>
    <t>INVERSIÓN</t>
  </si>
  <si>
    <t>EDIFICIOS PARA EDUCACIÓN</t>
  </si>
  <si>
    <t>Asignado</t>
  </si>
  <si>
    <t>Ajustes</t>
  </si>
  <si>
    <t>INGRESOS</t>
  </si>
  <si>
    <t>Pagado</t>
  </si>
  <si>
    <t>Servicios Personales</t>
  </si>
  <si>
    <t>Materiales y Suministros</t>
  </si>
  <si>
    <t>Maquinaria y Equipo</t>
  </si>
  <si>
    <t>CONTRALORÌA GENERAL DE LA REPÙBLICA</t>
  </si>
  <si>
    <t>DIRECCIÒN DE MÈTODOS Y SISTEMAS DE CONTABILIDAD</t>
  </si>
  <si>
    <t>EJECUCIÒN PRESUPUESTARIA DE GASTOS POR PROGRAMAS</t>
  </si>
  <si>
    <t>(4+5)</t>
  </si>
  <si>
    <t>(3-4)</t>
  </si>
  <si>
    <t>(2-6)</t>
  </si>
  <si>
    <t>Entidad</t>
  </si>
  <si>
    <t xml:space="preserve">1) Presupuesto </t>
  </si>
  <si>
    <t>2) Presupuesto</t>
  </si>
  <si>
    <t>3) Asignaciòn</t>
  </si>
  <si>
    <t>4) Comprometido</t>
  </si>
  <si>
    <t>5) Saldo del</t>
  </si>
  <si>
    <t xml:space="preserve">6) Total del </t>
  </si>
  <si>
    <t>Saldo a</t>
  </si>
  <si>
    <t>Saldo Anual</t>
  </si>
  <si>
    <t>Ley</t>
  </si>
  <si>
    <t>Modificado</t>
  </si>
  <si>
    <t>Acumulada</t>
  </si>
  <si>
    <t>Acumulado</t>
  </si>
  <si>
    <t>Precompromiso</t>
  </si>
  <si>
    <t>Compromiso</t>
  </si>
  <si>
    <t>la fecha</t>
  </si>
  <si>
    <t>1.87 Universidad Autònoma de Chiriquì</t>
  </si>
  <si>
    <t xml:space="preserve">  0-FUNCIONAMIENTO</t>
  </si>
  <si>
    <t xml:space="preserve">    3-Investigación</t>
  </si>
  <si>
    <t xml:space="preserve">  1-INVERSIÒN</t>
  </si>
  <si>
    <t>REPUBLICA DE PANAMA</t>
  </si>
  <si>
    <t>UNIVERSIDAD AUTONOMA DE CHIRIQUI</t>
  </si>
  <si>
    <t>BALANCE PRESUPUESTARIO ACUMULADO DE INGRESOS</t>
  </si>
  <si>
    <t>(En Balboas)</t>
  </si>
  <si>
    <t>COD.</t>
  </si>
  <si>
    <t>DETALLE</t>
  </si>
  <si>
    <t>PRESUPUESTO</t>
  </si>
  <si>
    <t>LEY</t>
  </si>
  <si>
    <t>ACUMULADO</t>
  </si>
  <si>
    <t xml:space="preserve"> A  MARZO</t>
  </si>
  <si>
    <t>SEPT.</t>
  </si>
  <si>
    <t>NOV.</t>
  </si>
  <si>
    <t>DIC.</t>
  </si>
  <si>
    <t>.....</t>
  </si>
  <si>
    <t>TOTAL ENTIDAD</t>
  </si>
  <si>
    <t>1...</t>
  </si>
  <si>
    <t>INGRESOS CORRIENTES</t>
  </si>
  <si>
    <t>1.2...</t>
  </si>
  <si>
    <t>INGRESOS NO TRIBUTARIOS</t>
  </si>
  <si>
    <t>1.2.1...</t>
  </si>
  <si>
    <t>RENTA DE ACTIVOS</t>
  </si>
  <si>
    <t>1.2.1.3...</t>
  </si>
  <si>
    <t>INGRESO POR VENTA DE BIENES</t>
  </si>
  <si>
    <t>1.2.1.3.10</t>
  </si>
  <si>
    <t>IMPRESOS Y FORMULARIOS</t>
  </si>
  <si>
    <t>1.2.1.3.12</t>
  </si>
  <si>
    <t>PRODUCTOS PROCESADOS</t>
  </si>
  <si>
    <t>1.2.3.</t>
  </si>
  <si>
    <t>TRANSFERENCIAS CORRIENTES</t>
  </si>
  <si>
    <t>1.2.3.1</t>
  </si>
  <si>
    <t>1.2.3.1.07</t>
  </si>
  <si>
    <t>MINISTERIO DE EDUCACION</t>
  </si>
  <si>
    <t>1.2.4.</t>
  </si>
  <si>
    <t>TASAS Y DERECHOS</t>
  </si>
  <si>
    <t>1.2.4.1</t>
  </si>
  <si>
    <t>DERECHOS</t>
  </si>
  <si>
    <t>1.2.4.1.23</t>
  </si>
  <si>
    <t>BIENESTAR ESTUDIANTIL</t>
  </si>
  <si>
    <t>1.2.4.1.24</t>
  </si>
  <si>
    <t>MATRICULA Y LABORATORIO</t>
  </si>
  <si>
    <t>1.2.4.1.98</t>
  </si>
  <si>
    <t>OTROS SERV. DE GESTION INSTIT.</t>
  </si>
  <si>
    <t>1.2.4.2</t>
  </si>
  <si>
    <t>TASAS</t>
  </si>
  <si>
    <t>1.2.4.2.23</t>
  </si>
  <si>
    <t>EXPEDICION DE CARNETS</t>
  </si>
  <si>
    <t>1.2.4.2.26</t>
  </si>
  <si>
    <t>CERTIFICADOS Y DIPLOMAS</t>
  </si>
  <si>
    <t>1.2.6.</t>
  </si>
  <si>
    <t>INGRESOS VARIOS</t>
  </si>
  <si>
    <t>1.2.6.0.</t>
  </si>
  <si>
    <t>1.2.6.0.98</t>
  </si>
  <si>
    <t>OTROS SERV. DE AUTOGESTIÓN</t>
  </si>
  <si>
    <t>1.2.6.0.99</t>
  </si>
  <si>
    <t>OTROS INGRESOS VARIOS</t>
  </si>
  <si>
    <t>2.0.0.0.00</t>
  </si>
  <si>
    <t>INGRESOS DE CAPITAL</t>
  </si>
  <si>
    <t>2.3.0.0.00</t>
  </si>
  <si>
    <t>OTROS INGRESOS DE CAPITAL</t>
  </si>
  <si>
    <t>2.3.2.1.00</t>
  </si>
  <si>
    <t>2.3.2.1.07</t>
  </si>
  <si>
    <t>MINISTERIO DE EDUCACIÓN</t>
  </si>
  <si>
    <t>(7) Total</t>
  </si>
  <si>
    <t>187.1.4</t>
  </si>
  <si>
    <t>SALDO EN CAJA Y BANCO</t>
  </si>
  <si>
    <t>187.1.4.2.0</t>
  </si>
  <si>
    <t>DISPONIBLE LIBRE EN BANCO</t>
  </si>
  <si>
    <t>187.1.4.2.0.0</t>
  </si>
  <si>
    <t>SALDO CORRIENTE</t>
  </si>
  <si>
    <t>096</t>
  </si>
  <si>
    <t>185</t>
  </si>
  <si>
    <t>3</t>
  </si>
  <si>
    <t>320</t>
  </si>
  <si>
    <t>350</t>
  </si>
  <si>
    <t>370</t>
  </si>
  <si>
    <t>380</t>
  </si>
  <si>
    <t>GLOBAL</t>
  </si>
  <si>
    <t>POR ASIGNAR</t>
  </si>
  <si>
    <t>7</t>
  </si>
  <si>
    <t>11</t>
  </si>
  <si>
    <t>12</t>
  </si>
  <si>
    <t>13</t>
  </si>
  <si>
    <t>265</t>
  </si>
  <si>
    <t>187.01.050.0000.280</t>
  </si>
  <si>
    <t>EJECUCIÓN  ENERO</t>
  </si>
  <si>
    <t>187.01.050.0000.380</t>
  </si>
  <si>
    <t>624</t>
  </si>
  <si>
    <t>187.01.050.3</t>
  </si>
  <si>
    <t>187.02.050.0000.170</t>
  </si>
  <si>
    <t>187.02.050.0000.172</t>
  </si>
  <si>
    <t>170</t>
  </si>
  <si>
    <t>172</t>
  </si>
  <si>
    <t>187.01.050.0000.143</t>
  </si>
  <si>
    <t>187.01.050.0000.140</t>
  </si>
  <si>
    <t>187.01.050.0000.370</t>
  </si>
  <si>
    <t>RECAUDADO</t>
  </si>
  <si>
    <t>DIFERENCIA</t>
  </si>
  <si>
    <t>MODIFICADO</t>
  </si>
  <si>
    <t>DE  MARZO</t>
  </si>
  <si>
    <t>EJECUTADO</t>
  </si>
  <si>
    <t>187.01.050.0000.111</t>
  </si>
  <si>
    <t>187.01.050.0000.112</t>
  </si>
  <si>
    <t>187.01.050.0000.113</t>
  </si>
  <si>
    <t>187.01.050.0000.141</t>
  </si>
  <si>
    <t>187.01.050.0000.142</t>
  </si>
  <si>
    <t>187.01.050.0000.150</t>
  </si>
  <si>
    <t>187.01.050.0000.151</t>
  </si>
  <si>
    <t>187.01.050.0000.152</t>
  </si>
  <si>
    <t>187.01.050.0000.183</t>
  </si>
  <si>
    <t>187.01.050.0000.185</t>
  </si>
  <si>
    <t>187.01.050.0000.262</t>
  </si>
  <si>
    <t>187.01.050.0000.265</t>
  </si>
  <si>
    <t>187.01.050.0000.273</t>
  </si>
  <si>
    <t>187.01.050.0000.277</t>
  </si>
  <si>
    <t>187.01.050.0000.350</t>
  </si>
  <si>
    <t>187.01.050.0000.624</t>
  </si>
  <si>
    <t>187.01.050.0000.660</t>
  </si>
  <si>
    <t>187.01.050.0000.100</t>
  </si>
  <si>
    <t>187.01.050.0000.109</t>
  </si>
  <si>
    <t>112</t>
  </si>
  <si>
    <t>212</t>
  </si>
  <si>
    <t>273</t>
  </si>
  <si>
    <t>274</t>
  </si>
  <si>
    <t>300</t>
  </si>
  <si>
    <t>309</t>
  </si>
  <si>
    <t>310</t>
  </si>
  <si>
    <t>314</t>
  </si>
  <si>
    <t>330</t>
  </si>
  <si>
    <t>340</t>
  </si>
  <si>
    <t>9</t>
  </si>
  <si>
    <t>5</t>
  </si>
  <si>
    <t>8</t>
  </si>
  <si>
    <t>10</t>
  </si>
  <si>
    <t>14</t>
  </si>
  <si>
    <t>187.1.1.703.01.23.181</t>
  </si>
  <si>
    <t>187.1.3.703.01.01.512</t>
  </si>
  <si>
    <t>0</t>
  </si>
  <si>
    <t>GRUPO</t>
  </si>
  <si>
    <t>EJECUC.  GASTOS PRESUP</t>
  </si>
  <si>
    <t>PRES-ANUAL</t>
  </si>
  <si>
    <t>PRES-MODIF</t>
  </si>
  <si>
    <t>P. RECAUDADO</t>
  </si>
  <si>
    <t>1</t>
  </si>
  <si>
    <t>4= (2-3)</t>
  </si>
  <si>
    <t>TOTAL DE SERV. PERSONALES</t>
  </si>
  <si>
    <t>PERSONAL FIJO</t>
  </si>
  <si>
    <t>PERSONAL CONTINGENTE</t>
  </si>
  <si>
    <t>SOBRESUELDOS POR ANTIGÜEDAD</t>
  </si>
  <si>
    <t>SOBRESUELDOS POR JEFATURA</t>
  </si>
  <si>
    <t>GASTOS DE REPRESENTACION FIJO</t>
  </si>
  <si>
    <t>CUOTA PATRONAL Y VIGENCIAS</t>
  </si>
  <si>
    <t>CONTRIBUCIONES A SEG. SOCIAL</t>
  </si>
  <si>
    <t>OTROS SERVICIOS PERSOANLES</t>
  </si>
  <si>
    <t>090</t>
  </si>
  <si>
    <t>CR. RECON. POR SERV. PERSONALES</t>
  </si>
  <si>
    <t>OTROS GASTOS</t>
  </si>
  <si>
    <t>MAQUINARIA Y EQUIPO</t>
  </si>
  <si>
    <t>INVERSIONES FINANCIERAS</t>
  </si>
  <si>
    <t>IMPREVISTOS</t>
  </si>
  <si>
    <t>INVERSIONES</t>
  </si>
  <si>
    <t>TOTAL DE AUTOGESTIÓN</t>
  </si>
  <si>
    <t>TOTAL SERVICIOS PERSONALES</t>
  </si>
  <si>
    <t>SERVICIOS ESPECIALES</t>
  </si>
  <si>
    <t>TOTAL DE PRESUPUESTO Y AUTOG.</t>
  </si>
  <si>
    <t>CUOTA PATRONAL Y VIGENCIA</t>
  </si>
  <si>
    <t>PREPARADO POR:__________________________________________</t>
  </si>
  <si>
    <t>VERIFICADO POR:__________________________________</t>
  </si>
  <si>
    <t xml:space="preserve">                                              IRIS A. FUENTES</t>
  </si>
  <si>
    <t>UNIVERSIDAD AUTÓNOM A DE CHIRIQUÍ</t>
  </si>
  <si>
    <t>DIREECCIÓN GENERAL DE PLANIFICACIÓN</t>
  </si>
  <si>
    <t>EJECUCIÓN DE GASTOS DE PRESUPUESTO Y AUTOGESTIÓN</t>
  </si>
  <si>
    <t>ESTIMADO DE NOVIEMBRE A DICIEMBRE DE 2008</t>
  </si>
  <si>
    <t>187.01.001.0000.090</t>
  </si>
  <si>
    <t>187.01.001.0000.091</t>
  </si>
  <si>
    <t>187.02.001.0000.090</t>
  </si>
  <si>
    <t>187.02.001.0000.091</t>
  </si>
  <si>
    <t>P. ASIG.</t>
  </si>
  <si>
    <t>187.02.001.0000.092</t>
  </si>
  <si>
    <t>187.01.001-1</t>
  </si>
  <si>
    <t>187.01.001.0000.110</t>
  </si>
  <si>
    <t>187.01.001.0000.114</t>
  </si>
  <si>
    <t>187.01.001.0000.092</t>
  </si>
  <si>
    <t>187.01.001.0000.096</t>
  </si>
  <si>
    <t>Ingresos Corrientes</t>
  </si>
  <si>
    <t>Ingresos de Capital</t>
  </si>
  <si>
    <t>CUADRO N°1. DETALLE COMPARATIVO DEL PRESUPUESTO</t>
  </si>
  <si>
    <t>FUENTE</t>
  </si>
  <si>
    <t>% APROBADO DEL PRESUPUESTO SOLICITADO</t>
  </si>
  <si>
    <t>SOLICITADO</t>
  </si>
  <si>
    <t>Total Presupuesto</t>
  </si>
  <si>
    <t xml:space="preserve">FUNCIONAMIENTO </t>
  </si>
  <si>
    <t>Estado</t>
  </si>
  <si>
    <t>DETALLES</t>
  </si>
  <si>
    <t>VARIACIÓN</t>
  </si>
  <si>
    <t>ABSOLUTA</t>
  </si>
  <si>
    <t>RELATIVA</t>
  </si>
  <si>
    <t xml:space="preserve">     T  O  T  A  L…</t>
  </si>
  <si>
    <t>I.  INGRESOS CORRIENTES</t>
  </si>
  <si>
    <t>1.  INGRESOS CORRIENTES</t>
  </si>
  <si>
    <t xml:space="preserve">   A.  NO TRIBUTARIOS</t>
  </si>
  <si>
    <t xml:space="preserve">     1.  Renta de Activos</t>
  </si>
  <si>
    <t>II.   INGRESOS DE CAPITAL</t>
  </si>
  <si>
    <t xml:space="preserve">   A.  TRANSFERENCIAS DE CAPITAL</t>
  </si>
  <si>
    <t>TRANSFERENCIAS DE CAPITAL</t>
  </si>
  <si>
    <t xml:space="preserve">         INGRESOS PROPIOS</t>
  </si>
  <si>
    <t xml:space="preserve">         APORTE ESTATAL</t>
  </si>
  <si>
    <t>DESCRIPCIÓN</t>
  </si>
  <si>
    <t>MONTOS PRESUPUESTARIOS</t>
  </si>
  <si>
    <t>MONTOS ASIGNADOS</t>
  </si>
  <si>
    <t>MONTOS RECIBIDOS</t>
  </si>
  <si>
    <t>Aporte Libre</t>
  </si>
  <si>
    <t>Transferencias de Capital</t>
  </si>
  <si>
    <t>Contrib.   a la Seguridad Social</t>
  </si>
  <si>
    <t>Transferencias Corrientes</t>
  </si>
  <si>
    <t>Servicios Básicos (Luz)</t>
  </si>
  <si>
    <t>Servicios No Personales</t>
  </si>
  <si>
    <t>PRESUPUESTO MODIFICADO</t>
  </si>
  <si>
    <t>ASIGNADO A LA FECHA</t>
  </si>
  <si>
    <t>EJECUTADO A LA FECHA</t>
  </si>
  <si>
    <t>A LA FECHA</t>
  </si>
  <si>
    <t>ANUAL</t>
  </si>
  <si>
    <t>GASTOS</t>
  </si>
  <si>
    <t>I.  Ingresos Corrientes</t>
  </si>
  <si>
    <t>II.  Ingresos de Capital</t>
  </si>
  <si>
    <t>I.  Gastos Corrientes</t>
  </si>
  <si>
    <t>II.  Gastos de Capital</t>
  </si>
  <si>
    <t>Resultados Presupuestarios</t>
  </si>
  <si>
    <t>DETALLE DE INGRESOS EN CONCEPTO DE MATRÍCULA</t>
  </si>
  <si>
    <t>I   SEMESTRE</t>
  </si>
  <si>
    <t>II  SEMESTRE</t>
  </si>
  <si>
    <t>MAESTRÍAS Y POSTGRADOS</t>
  </si>
  <si>
    <t>% EJECUCIÓN</t>
  </si>
  <si>
    <t>EJEC. / ASIG.</t>
  </si>
  <si>
    <t>FUNCIONAMIENTO</t>
  </si>
  <si>
    <t>CUADRO No. 7   DETALLE DE LA EJECUCIÓN DE LOS GASTOS CORRIENTES</t>
  </si>
  <si>
    <t>OPERACIÓN</t>
  </si>
  <si>
    <t>T O T A L</t>
  </si>
  <si>
    <t>DIRECCIÓN Y ADMINISTRACIÓN GENERAL</t>
  </si>
  <si>
    <t>MAQUINARIO Y EQUIPO</t>
  </si>
  <si>
    <t>ASIGNACIONES GLOBALES</t>
  </si>
  <si>
    <t xml:space="preserve">   A.  INGRESOS TRIBUTARIOS</t>
  </si>
  <si>
    <t xml:space="preserve">   B. INGRESOS NO TRIBUTARIOS</t>
  </si>
  <si>
    <t>1.  RENTA DE ACTIVOS</t>
  </si>
  <si>
    <t>2.  TRANSF. CORRIENTES</t>
  </si>
  <si>
    <t>3.  TASAS Y DERECHOS</t>
  </si>
  <si>
    <t>4.  INGRESOS VARIOS</t>
  </si>
  <si>
    <t xml:space="preserve">   C.  OTROS INGRESOS</t>
  </si>
  <si>
    <t xml:space="preserve">   A.  SALDO INICIAL EN CAJA Y BANDO</t>
  </si>
  <si>
    <t xml:space="preserve">   B.  RECURSOS DEL CRÉDITO</t>
  </si>
  <si>
    <t xml:space="preserve">   C.  OTROS RECURSOS DE CAPITAL</t>
  </si>
  <si>
    <t>1.  TRANSFERENCIAS DE CAPITAL</t>
  </si>
  <si>
    <t>TOTAL FINAL EN CAJA</t>
  </si>
  <si>
    <t>1.  SALDO EN CAJA</t>
  </si>
  <si>
    <t>I.  GASTOS CORRIENTES</t>
  </si>
  <si>
    <t xml:space="preserve">    A.  OPERACIÓN</t>
  </si>
  <si>
    <t>1.  SERVICIOS PERSONALES</t>
  </si>
  <si>
    <t>2.  SERVICIOS NO PERSONALES</t>
  </si>
  <si>
    <t>3.  MATERIALES Y SUMINISTROS</t>
  </si>
  <si>
    <t>4.  MAQUINARIA Y EQUIPO</t>
  </si>
  <si>
    <t>5.  INVERSIONES FINANCIERAS</t>
  </si>
  <si>
    <t>9.  ASIGNACIONES GLOBALES</t>
  </si>
  <si>
    <t xml:space="preserve">   B.  TRANSFERENCIAS CORRIENTES</t>
  </si>
  <si>
    <t xml:space="preserve">   C.  INTERESES DE LA DEUDA</t>
  </si>
  <si>
    <t>II.  GASTOS DE CAPITAL</t>
  </si>
  <si>
    <t xml:space="preserve">   B.   INVERSIONES FINANCIERAS</t>
  </si>
  <si>
    <t xml:space="preserve">   C.  TRANSFERENCIAS DE CAPITAL</t>
  </si>
  <si>
    <t xml:space="preserve">   D.  AMORTIZACIÓN DE LA DEUDA</t>
  </si>
  <si>
    <t>RESULTADOS PRESUPUESTARIOS</t>
  </si>
  <si>
    <t>MONTO</t>
  </si>
  <si>
    <t>PORCENTAJE</t>
  </si>
  <si>
    <t xml:space="preserve">   A.   INVERSIONES DE CAPITAL</t>
  </si>
  <si>
    <t>TOTAL DE GASTO</t>
  </si>
  <si>
    <t xml:space="preserve">CUOTA PATRONAL </t>
  </si>
  <si>
    <t xml:space="preserve">     NOVIEMBRE</t>
  </si>
  <si>
    <t>DIF.  TRANSFERENCIAS CORRIENTES</t>
  </si>
  <si>
    <t xml:space="preserve">   NOVIEMBRE  (PAGO CONTROL FISCAL)</t>
  </si>
  <si>
    <t>EJECUCIÓN</t>
  </si>
  <si>
    <t>187.01.001.0000.111</t>
  </si>
  <si>
    <t>187.01.001.0000.112</t>
  </si>
  <si>
    <t>187.01.001.0000.113</t>
  </si>
  <si>
    <t>187.01.001.0000.115</t>
  </si>
  <si>
    <t>187.01.001.0000.119</t>
  </si>
  <si>
    <t>187.01.050.0000.241</t>
  </si>
  <si>
    <t>241</t>
  </si>
  <si>
    <t>187.1.3.703.01.07.380</t>
  </si>
  <si>
    <t>187.1.3.703.01.08.120</t>
  </si>
  <si>
    <t>187.1.3.703.01.08.141</t>
  </si>
  <si>
    <t>187.1.3.703.01.08.142</t>
  </si>
  <si>
    <t>187.1.3.703.01.08.151</t>
  </si>
  <si>
    <t>187.1.3.703.01.08.152</t>
  </si>
  <si>
    <t>187.1.3.703.01.08.189</t>
  </si>
  <si>
    <t>187.1.3.703.01.08.274</t>
  </si>
  <si>
    <t>187.1.3.703.01.08.320</t>
  </si>
  <si>
    <t>187.1.3.703.01.08.350</t>
  </si>
  <si>
    <t>187.1.3.703.01.08.370</t>
  </si>
  <si>
    <t>187.1.3.703.01.08.380</t>
  </si>
  <si>
    <t>187.1.3.703.01.09.611</t>
  </si>
  <si>
    <t>SERVICIOS BASICOS E IMPRESIÓN</t>
  </si>
  <si>
    <t>TOTAL DE PRESUPUESTO E INV.</t>
  </si>
  <si>
    <t>(5-7)</t>
  </si>
  <si>
    <t>(4-6)</t>
  </si>
  <si>
    <t xml:space="preserve">                    PROF. CARLOS DE ARCO</t>
  </si>
  <si>
    <t xml:space="preserve">   C.  SALDO EN CAJA FUNCIONAMIENTO</t>
  </si>
  <si>
    <t xml:space="preserve">     2.  Tasa y Derechos</t>
  </si>
  <si>
    <t xml:space="preserve">     3.  Ingresos Varios</t>
  </si>
  <si>
    <t>CUADRO No. 2   EJECUCIÓN DE INGRESOS,   SEGÚN SU PARTIDA  O RUBRO DE RACAUDACIÓN</t>
  </si>
  <si>
    <t>OTROS ING. DE AUTOGESTIÓN</t>
  </si>
  <si>
    <t>187.01.050.0000.190</t>
  </si>
  <si>
    <t>190</t>
  </si>
  <si>
    <t>198</t>
  </si>
  <si>
    <t>187.1.3.703.01.08.004</t>
  </si>
  <si>
    <t>187.1.3.703.01.08.050</t>
  </si>
  <si>
    <t>187.1.3.703.01.08.071</t>
  </si>
  <si>
    <t>187.1.3.703.01.08.072</t>
  </si>
  <si>
    <t>187.1.3.703.01.08.073</t>
  </si>
  <si>
    <t>187.1.3.703.01.08.074</t>
  </si>
  <si>
    <t>%</t>
  </si>
  <si>
    <t>187.01.050.0000.195</t>
  </si>
  <si>
    <t>187.01.050.0000.196</t>
  </si>
  <si>
    <t>187.01.050.0000.197</t>
  </si>
  <si>
    <t>195</t>
  </si>
  <si>
    <t>196</t>
  </si>
  <si>
    <t>197</t>
  </si>
  <si>
    <t>CUADRO No. 2   RESUMEN DE INGRESOS Y GASTOS</t>
  </si>
  <si>
    <t>187.02.001.0000.094</t>
  </si>
  <si>
    <t>094</t>
  </si>
  <si>
    <t>187.01.001.0000.094</t>
  </si>
  <si>
    <t>187.02.001.0000.096</t>
  </si>
  <si>
    <t>CONTABILIDAD</t>
  </si>
  <si>
    <t>187.02.050.0000.171</t>
  </si>
  <si>
    <t>171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</si>
  <si>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</t>
  </si>
  <si>
    <t>SEPT</t>
  </si>
  <si>
    <t>DIFERENCIA EN CONTABILIDAD</t>
  </si>
  <si>
    <t>187.02.001.0000.690</t>
  </si>
  <si>
    <t>187.02.001.0000.692</t>
  </si>
  <si>
    <t>690</t>
  </si>
  <si>
    <t>187.01.121</t>
  </si>
  <si>
    <t>187.01.121-0</t>
  </si>
  <si>
    <t>187.01.121.0000.090</t>
  </si>
  <si>
    <t xml:space="preserve">    1.1 Construcción y Rehabilitación</t>
  </si>
  <si>
    <t xml:space="preserve">    1.2 Equipamiento</t>
  </si>
  <si>
    <t xml:space="preserve">    1.3 Investigación</t>
  </si>
  <si>
    <t>II. Saldo de Caja y Banco</t>
  </si>
  <si>
    <t>ASIGNADO PRESUP. MODIFICADO</t>
  </si>
  <si>
    <t>187.01.050.0000.116</t>
  </si>
  <si>
    <t>116</t>
  </si>
  <si>
    <t>187.01.050.0000.131</t>
  </si>
  <si>
    <t>131</t>
  </si>
  <si>
    <t>187.01.050.0000.153</t>
  </si>
  <si>
    <t>187.01.050.0000.261</t>
  </si>
  <si>
    <t>187.01.050.0000.309</t>
  </si>
  <si>
    <t>187.01.050.0000.314</t>
  </si>
  <si>
    <t>187.01.050.0000.320</t>
  </si>
  <si>
    <t>187.01.050.0000.340</t>
  </si>
  <si>
    <t>187.1.3.703.01.01</t>
  </si>
  <si>
    <t>187.1.3.703.01.07</t>
  </si>
  <si>
    <t>187.1.3.703.01.08</t>
  </si>
  <si>
    <t>187.1.3.703.01.09</t>
  </si>
  <si>
    <t>187.1.3.703.01.11</t>
  </si>
  <si>
    <t>187.1.3.703.01.11.512</t>
  </si>
  <si>
    <t>187.1.3.703.01.12</t>
  </si>
  <si>
    <t>187.1.3.703.01.12.239</t>
  </si>
  <si>
    <t>187.1.3.703.01.12.350</t>
  </si>
  <si>
    <t>187.2.4</t>
  </si>
  <si>
    <t>187.2.4.2</t>
  </si>
  <si>
    <t>187.2.4.2.0</t>
  </si>
  <si>
    <t>187.2.4.2.0.01</t>
  </si>
  <si>
    <t>SALDO DE CAPITAL</t>
  </si>
  <si>
    <t>187.1.3.703.01.13.512</t>
  </si>
  <si>
    <t>187.1.3.703.01.13</t>
  </si>
  <si>
    <t>187.1.3.703.01.12.189</t>
  </si>
  <si>
    <t>187.1.3.703.01.08.169</t>
  </si>
  <si>
    <t>187.1.3.703.01.08.201</t>
  </si>
  <si>
    <t>187.1.3.703.01.08.239</t>
  </si>
  <si>
    <t>187.1.3.703.01.08.259</t>
  </si>
  <si>
    <t>187.1.3.703.01.08.269</t>
  </si>
  <si>
    <t>187.1.3.703.01.08.279</t>
  </si>
  <si>
    <t>187.1.3.703.01.12.169</t>
  </si>
  <si>
    <t>187.1.3.703.01.12.259</t>
  </si>
  <si>
    <t>SOLICITADO Vs APROBADO : 2011</t>
  </si>
  <si>
    <t>187.1.3.703.01.07.116</t>
  </si>
  <si>
    <t>187.1.3.703.01.09.120</t>
  </si>
  <si>
    <t>187.1.3.703.01.09.141</t>
  </si>
  <si>
    <t>187.1.3.703.01.09.151</t>
  </si>
  <si>
    <t>187.1.3.703.01.09.320</t>
  </si>
  <si>
    <t>187.01.050.0000.198</t>
  </si>
  <si>
    <t>187.01.050.0000.212</t>
  </si>
  <si>
    <t>187.01.001.0000.003</t>
  </si>
  <si>
    <t>187.1.3.703.01.07.169</t>
  </si>
  <si>
    <t>187.1.3.703.01.09.279</t>
  </si>
  <si>
    <t>187.1.3.703.01.01.004</t>
  </si>
  <si>
    <t>187.1.3.703.01.01.050</t>
  </si>
  <si>
    <t>187.1.3.703.01.01.071</t>
  </si>
  <si>
    <t>187.1.3.703.01.01.072</t>
  </si>
  <si>
    <t>187.1.3.703.01.01.073</t>
  </si>
  <si>
    <t>187.1.3.703.01.01.074</t>
  </si>
  <si>
    <t>187.01.121.0000.091</t>
  </si>
  <si>
    <t>187.1.3.703.01.12.380</t>
  </si>
  <si>
    <t>187.1.3.703.01.</t>
  </si>
  <si>
    <t>187.01.121.0000.099</t>
  </si>
  <si>
    <t>614</t>
  </si>
  <si>
    <t>187.01.001.0000.614</t>
  </si>
  <si>
    <t>187.01.050.0000.191</t>
  </si>
  <si>
    <t>187.01.050.0000.192</t>
  </si>
  <si>
    <t>187.01.050.0000.199</t>
  </si>
  <si>
    <t>187.01.050.0000.293</t>
  </si>
  <si>
    <t>187.01.050.0000.295</t>
  </si>
  <si>
    <t>187.01.050.0000.298</t>
  </si>
  <si>
    <t>187.01.050.0000.398</t>
  </si>
  <si>
    <t>187.01.050.0000.399</t>
  </si>
  <si>
    <t>191</t>
  </si>
  <si>
    <t>192</t>
  </si>
  <si>
    <t>193</t>
  </si>
  <si>
    <t>199</t>
  </si>
  <si>
    <t>187.01.050.0000.290</t>
  </si>
  <si>
    <t>290</t>
  </si>
  <si>
    <t>293</t>
  </si>
  <si>
    <t>295</t>
  </si>
  <si>
    <t>298</t>
  </si>
  <si>
    <t>187.01.050.0000.390</t>
  </si>
  <si>
    <t>390</t>
  </si>
  <si>
    <t>398</t>
  </si>
  <si>
    <t>399</t>
  </si>
  <si>
    <t>187.01.001.0000.080</t>
  </si>
  <si>
    <t>187.01.001-3</t>
  </si>
  <si>
    <t>187.01.001.0000.314</t>
  </si>
  <si>
    <t>1.2.3.2</t>
  </si>
  <si>
    <t>INSTITUCIONES DESCENTRALIZADAS</t>
  </si>
  <si>
    <t>1.2.3.2.44</t>
  </si>
  <si>
    <t>SENACYT</t>
  </si>
  <si>
    <t>187.01.001.0000.116</t>
  </si>
  <si>
    <t>219</t>
  </si>
  <si>
    <t>187.01.001.0000.309</t>
  </si>
  <si>
    <t>187.01.001.0000.320</t>
  </si>
  <si>
    <t>187.01.001.0000.340</t>
  </si>
  <si>
    <t>187.01.001.0000.350</t>
  </si>
  <si>
    <t>187.01.001.0000.370</t>
  </si>
  <si>
    <t>187.01.001.0000.380</t>
  </si>
  <si>
    <t>187.01.001.0000.611</t>
  </si>
  <si>
    <t>187.01.001.0000.620</t>
  </si>
  <si>
    <t>187.01.001.0000.660</t>
  </si>
  <si>
    <t>187.01.050.0000.251</t>
  </si>
  <si>
    <t>251</t>
  </si>
  <si>
    <t>187.1.3.703.01.08.265</t>
  </si>
  <si>
    <t>187.1.3.703.01.09.249</t>
  </si>
  <si>
    <t>187.1.3.703.01.09.629</t>
  </si>
  <si>
    <t>187.1.3.703.01.12.370</t>
  </si>
  <si>
    <t>TOTAL DE LA 0</t>
  </si>
  <si>
    <t>PRESUPUESTO EJECUTADO  A FEBRERO DE 2012</t>
  </si>
  <si>
    <t>DETALLE DE INGRESOS</t>
  </si>
  <si>
    <t>EJECUCIÓN AL 29 DE FEBRERO DE 2012</t>
  </si>
  <si>
    <t xml:space="preserve">% REC </t>
  </si>
  <si>
    <t>Detalles</t>
  </si>
  <si>
    <t>Presupuesto Ley</t>
  </si>
  <si>
    <t>Presupuesto Modif.</t>
  </si>
  <si>
    <t>Recaudado</t>
  </si>
  <si>
    <t>%  Rec.</t>
  </si>
  <si>
    <t>RECURSOS PROPIOS</t>
  </si>
  <si>
    <t xml:space="preserve">       IMPRESOS Y FORMULARIOS</t>
  </si>
  <si>
    <t xml:space="preserve">       PRODUCTOS PROCESADOS</t>
  </si>
  <si>
    <t>2.  DERECHOS</t>
  </si>
  <si>
    <t xml:space="preserve">       BIENESTAR ESTUDIANTIL</t>
  </si>
  <si>
    <t xml:space="preserve">       MATRÍCULAS Y LABORATORIOS</t>
  </si>
  <si>
    <t xml:space="preserve">      OTROS SERV. GESTION INST.</t>
  </si>
  <si>
    <t>3.  TASAS</t>
  </si>
  <si>
    <t xml:space="preserve">       EXPEDICIÓN DE CARNETS</t>
  </si>
  <si>
    <t xml:space="preserve">       CERTIFICADOS Y DIPLOMAS</t>
  </si>
  <si>
    <t xml:space="preserve">       OTROS SERV. DE AUTOGESTIÓN</t>
  </si>
  <si>
    <t xml:space="preserve">       OTROS INGRESOS VARIOS</t>
  </si>
  <si>
    <t xml:space="preserve">       GOBIRNO CENTRAL</t>
  </si>
  <si>
    <t xml:space="preserve">      MINISTERIO DE EDUCACIÓN</t>
  </si>
  <si>
    <t>1.  INGRESOS POR VETA. DE BIENES Y SERV.</t>
  </si>
  <si>
    <t>EJECUCIÓN PRESUPUESTARIA DE FUNCIONAMIENTO E INVERSIÓN</t>
  </si>
  <si>
    <t>EJEC. %</t>
  </si>
  <si>
    <t xml:space="preserve">   D.  SALDO FINAL EN CAJA</t>
  </si>
  <si>
    <t>FLUJO PRESUPUESTARIOS DE INGRESOS Y GASTOS</t>
  </si>
  <si>
    <t>EJECUCIÓN  %</t>
  </si>
  <si>
    <t>MODIF.</t>
  </si>
  <si>
    <t>ASIG.</t>
  </si>
  <si>
    <t>EJEC %</t>
  </si>
  <si>
    <t>EJECUCIÓN DE GASTO DE FUNCIONAMIENTO A NIVEL DE PROGRAMA</t>
  </si>
  <si>
    <t>EJECUCION DEL GASTO DE FUNCIONAMIENTO A NIVEL DE PROGRAMAS</t>
  </si>
  <si>
    <t>ADMINISTRACIÓN</t>
  </si>
  <si>
    <t>OTROS SERVICIOS PERS.</t>
  </si>
  <si>
    <t>OTROS GASTOS OPERATIVOS</t>
  </si>
  <si>
    <t>DOCENCIA</t>
  </si>
  <si>
    <t>PROGRAMA</t>
  </si>
  <si>
    <t>PRESUP. LEY</t>
  </si>
  <si>
    <t>PRESUP. MODIF.</t>
  </si>
  <si>
    <t>DEV. ASIG. %</t>
  </si>
  <si>
    <t>DEV.  PAG.  %</t>
  </si>
  <si>
    <t>PROGRAMA DE DOCENCIA</t>
  </si>
  <si>
    <t>PROGRAMA DE ADMINISTRACIÓN</t>
  </si>
  <si>
    <t>PROGRAMA DE INVESTIGACIÓN</t>
  </si>
  <si>
    <t>187.01.001.0000.100</t>
  </si>
  <si>
    <t>187.01.001.0000.105</t>
  </si>
  <si>
    <t>105</t>
  </si>
  <si>
    <t>187.01.050.0000.690</t>
  </si>
  <si>
    <t>INGRESOS DE UNACHI</t>
  </si>
  <si>
    <t xml:space="preserve">      SALDO DE CAJA Y BANCO</t>
  </si>
  <si>
    <t>Ingresos Propios</t>
  </si>
  <si>
    <t>Aporte del Estado</t>
  </si>
  <si>
    <t>Saldo en Caja Capital</t>
  </si>
  <si>
    <t>A.</t>
  </si>
  <si>
    <t>No tributarios</t>
  </si>
  <si>
    <t>Renta de Activos</t>
  </si>
  <si>
    <t>1.</t>
  </si>
  <si>
    <t>2.</t>
  </si>
  <si>
    <t>Transferencias</t>
  </si>
  <si>
    <t>3.</t>
  </si>
  <si>
    <t>Tasas y Derechos</t>
  </si>
  <si>
    <t xml:space="preserve">4. </t>
  </si>
  <si>
    <t>Ingresos Varios</t>
  </si>
  <si>
    <t>B.</t>
  </si>
  <si>
    <t>II.</t>
  </si>
  <si>
    <t>I.</t>
  </si>
  <si>
    <t>Impresos y Formularios</t>
  </si>
  <si>
    <t>Productos Procesados</t>
  </si>
  <si>
    <t>Binestar Estudiantil</t>
  </si>
  <si>
    <t>Matrículas y Laboratorios</t>
  </si>
  <si>
    <t>Otros Servicios de Gest. Inst.</t>
  </si>
  <si>
    <t xml:space="preserve">Expedición de Carnets </t>
  </si>
  <si>
    <t>Certificados y Diplomas</t>
  </si>
  <si>
    <t>Otros Servicios de Autogestión</t>
  </si>
  <si>
    <t>Otros Ingresos Varios</t>
  </si>
  <si>
    <t>C.</t>
  </si>
  <si>
    <t xml:space="preserve">II. </t>
  </si>
  <si>
    <t>T O T A L . . .</t>
  </si>
  <si>
    <t>III.</t>
  </si>
  <si>
    <t>Saldo de Caja y Banco</t>
  </si>
  <si>
    <t>Transf. de Capital</t>
  </si>
  <si>
    <t>REL.</t>
  </si>
  <si>
    <t>ABS.</t>
  </si>
  <si>
    <t xml:space="preserve">RECURSOS PRESUPUESTARIOS Y SU FINANCIACIÓN </t>
  </si>
  <si>
    <t>COMPONENETES DEL PRESUPUESTO DE INGRESOS</t>
  </si>
  <si>
    <t>EJE. %</t>
  </si>
  <si>
    <t>PRESUPUESTO POR FUENTE DE FINANCIAMIENTO</t>
  </si>
  <si>
    <t xml:space="preserve">EJETUTADO </t>
  </si>
  <si>
    <t>EJEC / ASIG</t>
  </si>
  <si>
    <t>DETALLE DE EJECUCIÓN DE GASTOS CORRIENTES</t>
  </si>
  <si>
    <t>% EJEC / ASIG</t>
  </si>
  <si>
    <t>TRANS. CORRIENTES</t>
  </si>
  <si>
    <t>COMPROMISO ACUMULADO</t>
  </si>
  <si>
    <t>DISPIBLE</t>
  </si>
  <si>
    <t>187.01.050.0000.002</t>
  </si>
  <si>
    <t>187.01.050.0000.132</t>
  </si>
  <si>
    <t>187.01.050.0000.305</t>
  </si>
  <si>
    <t>187.01.050.0000.300</t>
  </si>
  <si>
    <t>187.01.050.0000.622</t>
  </si>
  <si>
    <t>002</t>
  </si>
  <si>
    <t>132</t>
  </si>
  <si>
    <t>622</t>
  </si>
  <si>
    <t>305</t>
  </si>
  <si>
    <t>187.1</t>
  </si>
  <si>
    <t>187.1.1</t>
  </si>
  <si>
    <t>CONSTRUCCIÓN Y REHABILITACIÓN</t>
  </si>
  <si>
    <t>187.1.1.703.01</t>
  </si>
  <si>
    <t>CONSTRUCCION Y REHABILITACIÓN</t>
  </si>
  <si>
    <t>MOBILIARIO DE OFICINA</t>
  </si>
  <si>
    <t>EQUIPO DE COMPUTACIÓN</t>
  </si>
  <si>
    <t>187.1.1.703.01.21</t>
  </si>
  <si>
    <t>MANTENIMIENTO DE INSTALACIONES DEL CAMPUS</t>
  </si>
  <si>
    <t>187.1.1.703.01.21.189</t>
  </si>
  <si>
    <t>OTROS MANTENIMIENTOS Y REPARACIONES</t>
  </si>
  <si>
    <t>OTROS MATERIALES DE CONSTRUCCIÓN</t>
  </si>
  <si>
    <t>187.1.1.703.01.23</t>
  </si>
  <si>
    <t>MEJORAMIENTO DEL SISTEMA ELÉCTRICO DE LA UNACHI</t>
  </si>
  <si>
    <t>MANTENIMIENTO Y REPARACIONES DE EDIFICIO</t>
  </si>
  <si>
    <t>187.1.1.703.01.23.259</t>
  </si>
  <si>
    <t>MANTENIMIENTO DE INSTALACIONES</t>
  </si>
  <si>
    <t>187.1.1.703.02</t>
  </si>
  <si>
    <t>CONSTRUCCIÓN CENTRO REGIONAL Y EXTENSIONES</t>
  </si>
  <si>
    <t>187.1.1.703.02.06</t>
  </si>
  <si>
    <t>EDIFICIO EXTENSIÓN DE BOQUETE</t>
  </si>
  <si>
    <t>187.1.1.703.02.06.512</t>
  </si>
  <si>
    <t>187.1.2….</t>
  </si>
  <si>
    <t>EQUIPAMIENTO</t>
  </si>
  <si>
    <t>187.1.2.703.01</t>
  </si>
  <si>
    <t>EQUIPAMIENTO CAMPUS, CENTROS Y EXTENSIONES FAC. ENFERM.</t>
  </si>
  <si>
    <t>187.1.2.703.01.07</t>
  </si>
  <si>
    <t>FACULTAD DE ENFERMERÍA</t>
  </si>
  <si>
    <t>187.1.2.703.01.07.320</t>
  </si>
  <si>
    <t>EQUIPO EDUCACIONAL Y RECREATIVO</t>
  </si>
  <si>
    <t>187.1.2.703.01.09</t>
  </si>
  <si>
    <t>IMPRENTA UNIVERSITARIA</t>
  </si>
  <si>
    <t>187.1.2.703.01.09.239</t>
  </si>
  <si>
    <t>OTROS PRODUCTOS DE PAPEL Y CARTÓN</t>
  </si>
  <si>
    <t>ÚTILES Y MATERIALES DE OFICINA</t>
  </si>
  <si>
    <t>MAQUINARIA Y EQUIPOS VARIOS</t>
  </si>
  <si>
    <t>EDIFICIO PARA EDUCACIÓN</t>
  </si>
  <si>
    <t>IMPRESIÓN ENCADERNACIÓN Y OTROS</t>
  </si>
  <si>
    <t>OTROS PRODUCTOS QUÍMICOS</t>
  </si>
  <si>
    <t>187.1.3…</t>
  </si>
  <si>
    <t>INVESTIGACIÓN,  EQUIPAMIENTO Y MANTENIMIENTO</t>
  </si>
  <si>
    <t>PARQUE CIENTÍFICO DE INVESTIGACIÓN Y DESARROLLO</t>
  </si>
  <si>
    <t>PERSONAL TRANSITORIO PARA INVERSIÓN</t>
  </si>
  <si>
    <t>CUOTA PATRONAL DE SEGURO SOCIAL</t>
  </si>
  <si>
    <t>CUOTA PATRONAL DE SEGURO EDUCATIVO</t>
  </si>
  <si>
    <t>CUOTA PATRONAL DE RIESGO PROFESIONAL</t>
  </si>
  <si>
    <t>CUOTA PATRONAL PARA EL FDO. COMPEM.</t>
  </si>
  <si>
    <t>187.1.3.703.01.01.314</t>
  </si>
  <si>
    <t>TERRESTRE</t>
  </si>
  <si>
    <t>DE RECURSOS TECNOLÓGICOS - TIC</t>
  </si>
  <si>
    <t>SERVICIOS DE TRANSMISIÓN DE DATOS</t>
  </si>
  <si>
    <t>OTROS SERVICIOS COMERCIALES Y FINANCIEROS</t>
  </si>
  <si>
    <t>DE UNIDADES DE INVESTIGACIÓN</t>
  </si>
  <si>
    <t>VIÁTICOS DENTRO DEL PAÍS</t>
  </si>
  <si>
    <t>VIÁTICOS EN EL EXTERIOR</t>
  </si>
  <si>
    <t>TRANSPORTE DENTRO DEL PAÍS</t>
  </si>
  <si>
    <t>TRANSPORTE DE O PARA EL EXTERIOR</t>
  </si>
  <si>
    <t>ALIMENTOS PARA CONSUMO HUMANO</t>
  </si>
  <si>
    <t>187.1.3.703.01.08.211</t>
  </si>
  <si>
    <t>OTROS TEXTILES Y VESTUARIOS</t>
  </si>
  <si>
    <t>187.1.3.703.01.08.249</t>
  </si>
  <si>
    <t>MATERIALES Y SUMINISTROS DE COMPUTACIÓN</t>
  </si>
  <si>
    <t>ÚTILES MÉDICOS Y DE LABORATORIOS</t>
  </si>
  <si>
    <t>187.1.3.703.01.08.275</t>
  </si>
  <si>
    <t>ÚTILES Y MATERIALES DIVERSOS</t>
  </si>
  <si>
    <t>PARA ACTIVIDADES DE INVESTIGACIÓN</t>
  </si>
  <si>
    <t>OTROS ÚTILES Y MATERIALES</t>
  </si>
  <si>
    <t>187.1.3.703.01.09.623</t>
  </si>
  <si>
    <t>BECAS DE POST-GRADOS</t>
  </si>
  <si>
    <t>187.1.3.703.01.09.624</t>
  </si>
  <si>
    <t>CAPACITACIÓN Y ESTUDIO</t>
  </si>
  <si>
    <t>DE EDIFICIO DE BIBLIOTECA DE LA UNACHI</t>
  </si>
  <si>
    <t>DE BIBLIOTECAS DE LAS UNIDADES ACADÉMICAS</t>
  </si>
  <si>
    <t>SERVICIOS COMERCIALES Y FINANCIEROS</t>
  </si>
  <si>
    <t>MAQUINARIAS Y EQUIPOS VARIOS</t>
  </si>
  <si>
    <t>DEL EDIFICIO DE POST-GRADO</t>
  </si>
  <si>
    <t>3 = (1 + 2)</t>
  </si>
  <si>
    <t>5 = ( 6 + 7)</t>
  </si>
  <si>
    <t>14 = ( 5 - 8 )</t>
  </si>
  <si>
    <t>15 = ( 4 - 8 )</t>
  </si>
  <si>
    <r>
      <t xml:space="preserve">    </t>
    </r>
    <r>
      <rPr>
        <sz val="10"/>
        <rFont val="MS Sans Serif"/>
        <family val="2"/>
      </rPr>
      <t>1-Administraciòn General</t>
    </r>
  </si>
  <si>
    <r>
      <t xml:space="preserve">    </t>
    </r>
    <r>
      <rPr>
        <sz val="10"/>
        <rFont val="MS Sans Serif"/>
        <family val="2"/>
      </rPr>
      <t>2-Educaciòn  Superior</t>
    </r>
  </si>
  <si>
    <t>% R.</t>
  </si>
  <si>
    <t>Absoluta</t>
  </si>
  <si>
    <t>EJECUCIÓN  JUNIO</t>
  </si>
  <si>
    <t>187.01.001.0000.623</t>
  </si>
  <si>
    <t>Preparado por:_______________________</t>
  </si>
  <si>
    <t>PRESUPUESTO DE INGRESOS Y GASTOS</t>
  </si>
  <si>
    <t>(EN MILES DE DE BALBOAS)</t>
  </si>
  <si>
    <t>TOTAL DE INGRESOS I + II</t>
  </si>
  <si>
    <t xml:space="preserve">I.  </t>
  </si>
  <si>
    <t>a.</t>
  </si>
  <si>
    <t>Ingresos No Tributarios</t>
  </si>
  <si>
    <t>Transferencias de Capital (MEDUCA)</t>
  </si>
  <si>
    <t>Saldo en Caja y Banco</t>
  </si>
  <si>
    <t>TOTAL DE EGRESOS  I + II</t>
  </si>
  <si>
    <t>FUNCIONAMIENTO  (A + B)</t>
  </si>
  <si>
    <t>OPERACIONES</t>
  </si>
  <si>
    <t>Inversión Financiera</t>
  </si>
  <si>
    <t>TRANSFERENCIA CORRIENTES</t>
  </si>
  <si>
    <t>Construcción de Edificios (Edificaciones)</t>
  </si>
  <si>
    <t>Equipamiento</t>
  </si>
  <si>
    <t>Investigación</t>
  </si>
  <si>
    <t>RECAU/COMP.</t>
  </si>
  <si>
    <t>% Anual</t>
  </si>
  <si>
    <t>187.01.050.0000.219</t>
  </si>
  <si>
    <t>187.01.001.0000.665</t>
  </si>
  <si>
    <t xml:space="preserve">       GOBIERNO CENTRAL</t>
  </si>
  <si>
    <t>AL 31 DE OCTUBRE DE 2013</t>
  </si>
  <si>
    <t>AL 31 DE OCTUBRE DE 2013  (EN BALBOAS)</t>
  </si>
  <si>
    <t>CUADRO No. 6   PRESUPUESTO POR FUENTE DE FINANCIAMIENTO:  2013</t>
  </si>
  <si>
    <t>A L 31 DE OCTUBRE DE 2013</t>
  </si>
  <si>
    <t>CUADRO No. 9    DETALLE DE LAS TRANSFERENCIAS:  2013</t>
  </si>
  <si>
    <t>DR.</t>
  </si>
  <si>
    <t>CR.</t>
  </si>
  <si>
    <t>DR</t>
  </si>
  <si>
    <t>CR</t>
  </si>
  <si>
    <t>187.01.050.0000.080</t>
  </si>
  <si>
    <t>187.01.050.0000.090</t>
  </si>
  <si>
    <t>187.01.050.0000.105</t>
  </si>
  <si>
    <t>187.01.050.0000.101</t>
  </si>
  <si>
    <t>187.01.050.0000.102</t>
  </si>
  <si>
    <t>101</t>
  </si>
  <si>
    <t>102</t>
  </si>
  <si>
    <t>187.01.050.0000.162</t>
  </si>
  <si>
    <t>187.01.050.0000.184</t>
  </si>
  <si>
    <t>162</t>
  </si>
  <si>
    <t>184</t>
  </si>
  <si>
    <t>187.01.050.0000.276</t>
  </si>
  <si>
    <t>276</t>
  </si>
  <si>
    <t>187.02.050.0000.010</t>
  </si>
  <si>
    <t>187.02.050.0000.013</t>
  </si>
  <si>
    <t>187.1.2.703.01.09.189</t>
  </si>
  <si>
    <t>187.1.3.703.01.08.203</t>
  </si>
  <si>
    <t>MODIFICACIONES</t>
  </si>
  <si>
    <t>CRÉDITOS Y TRASLADOS</t>
  </si>
  <si>
    <t>187.02.050.0000.198</t>
  </si>
  <si>
    <t>187.1.2.703.01.09.269</t>
  </si>
  <si>
    <t>187.1.2.703.01.09.380</t>
  </si>
  <si>
    <t xml:space="preserve">gestión </t>
  </si>
  <si>
    <t>autogestión</t>
  </si>
  <si>
    <t>187.01.001.0000.140</t>
  </si>
  <si>
    <t>187.01.001.0000.141</t>
  </si>
  <si>
    <t>187.01.001.0000.142</t>
  </si>
  <si>
    <t>187.01.001.0000.143</t>
  </si>
  <si>
    <t>187.01.001.0000.150</t>
  </si>
  <si>
    <t>187.01.001.0000.151</t>
  </si>
  <si>
    <t>187.01.001.0000.152</t>
  </si>
  <si>
    <t>187.01.001.0000.153</t>
  </si>
  <si>
    <t>187.01.001-2</t>
  </si>
  <si>
    <t>187.01.001.0000.200</t>
  </si>
  <si>
    <t>187.01.001.0000.201</t>
  </si>
  <si>
    <t>187.01.001.0000.260</t>
  </si>
  <si>
    <t>187.01.001.0000.269</t>
  </si>
  <si>
    <t>187.01.001.0000.270</t>
  </si>
  <si>
    <t>187.02.001.0000.019</t>
  </si>
  <si>
    <t>019</t>
  </si>
  <si>
    <t>187.1.3.703.01.09.619</t>
  </si>
  <si>
    <t>187.01.050.0000.692</t>
  </si>
  <si>
    <t>692</t>
  </si>
  <si>
    <t>187.1.2.703.01.09.265</t>
  </si>
  <si>
    <t>187.1.1.703.01.21.199</t>
  </si>
  <si>
    <t>187.1.3.703.01.12.512</t>
  </si>
  <si>
    <t>187.01.001.0000.002</t>
  </si>
  <si>
    <t>187.01.050.0000.194</t>
  </si>
  <si>
    <t>187.1.3.703.01.08.214</t>
  </si>
  <si>
    <t>187.1.3.703.01.01.171</t>
  </si>
  <si>
    <t>187.1.3.703.01.01.350</t>
  </si>
  <si>
    <t>187.1.3.703.01.01.189</t>
  </si>
  <si>
    <t>187.1.3.703.01.01.370</t>
  </si>
  <si>
    <t>187.01.001.0000.180</t>
  </si>
  <si>
    <t>187.01.001.0000.189</t>
  </si>
  <si>
    <t>187.02.050.0000.190</t>
  </si>
  <si>
    <t>187.1.3.703.01.08.212</t>
  </si>
  <si>
    <t>187.1.3.703.01.01.309</t>
  </si>
  <si>
    <t>96 A 98 %</t>
  </si>
  <si>
    <t>PERSONAL TRANSITORIO</t>
  </si>
  <si>
    <t>TOTAL FUNCIONAMIENTO</t>
  </si>
  <si>
    <t>TOTAL UNACHI</t>
  </si>
  <si>
    <t>187.01.001.0000.170</t>
  </si>
  <si>
    <t>187.01.001.0000.171</t>
  </si>
  <si>
    <t>187.1.3.703.01.07.119</t>
  </si>
  <si>
    <t>187.01.001.0000.160</t>
  </si>
  <si>
    <t>187.01.001.0000.164</t>
  </si>
  <si>
    <t>187.01.001.0000.109</t>
  </si>
  <si>
    <t>187.01.001.0000.169</t>
  </si>
  <si>
    <t>AL 31 DE ENERO DE 2015</t>
  </si>
  <si>
    <t>187.01.050.0000.209</t>
  </si>
  <si>
    <t>209</t>
  </si>
  <si>
    <t>187.01.050.0000.244</t>
  </si>
  <si>
    <t>187.01.050.0000.246</t>
  </si>
  <si>
    <t>244</t>
  </si>
  <si>
    <t>246</t>
  </si>
  <si>
    <t>187.01.050.0000.301</t>
  </si>
  <si>
    <t>301</t>
  </si>
  <si>
    <t>187.01.050.0000.331</t>
  </si>
  <si>
    <t>331</t>
  </si>
  <si>
    <t>187.01.001.0000.331</t>
  </si>
  <si>
    <t>187.01.050.0000.662</t>
  </si>
  <si>
    <t>187.01.050.0000.663</t>
  </si>
  <si>
    <t>662</t>
  </si>
  <si>
    <t>663</t>
  </si>
  <si>
    <t>187.03.050</t>
  </si>
  <si>
    <t>187.03.050-0</t>
  </si>
  <si>
    <t>187.03.050.0000.013</t>
  </si>
  <si>
    <t>187.03.050.0000.010</t>
  </si>
  <si>
    <t>187.1.1.703.01.21.512</t>
  </si>
  <si>
    <t>187.1.1.703.01.32</t>
  </si>
  <si>
    <t>187.1.1.703.01.32.512</t>
  </si>
  <si>
    <t>ADQUISICION DE TERRENO</t>
  </si>
  <si>
    <t>EDIFICIOS PARA EDUCACION</t>
  </si>
  <si>
    <t>DE EDIFICIO DE UNA VILLA UNIVERSITARIA</t>
  </si>
  <si>
    <t xml:space="preserve">       AL 31 DE ENERO DE 2015</t>
  </si>
  <si>
    <t>SEGÚN GRUPO A ENERO  DE 2015</t>
  </si>
  <si>
    <t>EJECUCIÓN AL 31 DE ENERO DE 2015</t>
  </si>
  <si>
    <t>DE LA UNIVERSIDAD AUTÓNOMA DE CHIRIQUÍ AL 31 DE ENERO DE 2015</t>
  </si>
  <si>
    <t>187.01.050.0000.614</t>
  </si>
  <si>
    <t>187.01.050.0000.170</t>
  </si>
  <si>
    <t>187.01.050.0000.171</t>
  </si>
  <si>
    <t>187.01.001.0000.275</t>
  </si>
  <si>
    <t>187.01.001.0000.239</t>
  </si>
  <si>
    <t>187.01.001.0000.230</t>
  </si>
  <si>
    <t>187.01.001.0000.290</t>
  </si>
  <si>
    <t>187.01.001.0000.293</t>
  </si>
  <si>
    <t>187.1.3.703.01.13.189</t>
  </si>
  <si>
    <t>187.02.001.0000.002</t>
  </si>
  <si>
    <t>187.1.1.703.01.08</t>
  </si>
  <si>
    <t>187.1.1.703.01.08.512</t>
  </si>
  <si>
    <t>187.1.1.703.02.01</t>
  </si>
  <si>
    <t>187.1.1.703.02.01.512</t>
  </si>
  <si>
    <t>187.1.1.703.02.04</t>
  </si>
  <si>
    <t>187.1.1.703.02.04.512</t>
  </si>
  <si>
    <t>187.1.1.703.02.05</t>
  </si>
  <si>
    <t>187.1.1.703.02.05.512</t>
  </si>
  <si>
    <t>187.1.1.703.02.26</t>
  </si>
  <si>
    <t>187.1.1.703.02.26.512</t>
  </si>
  <si>
    <t>187.1.3.703.01.08.143</t>
  </si>
  <si>
    <t>187.1.3.703.01.08.153</t>
  </si>
  <si>
    <t>187.1.3.703.01.08.619</t>
  </si>
  <si>
    <t>187.1.3.703.01.08.692</t>
  </si>
  <si>
    <t>187.01.050.0000.613</t>
  </si>
  <si>
    <t>613</t>
  </si>
  <si>
    <t>187.01.050.0000.619</t>
  </si>
  <si>
    <t>187.01.001.0000.250</t>
  </si>
  <si>
    <t>187.01.001.0000.259</t>
  </si>
  <si>
    <t>187.01.001.0000.279</t>
  </si>
  <si>
    <t>187.1.3.703.01.08.314</t>
  </si>
  <si>
    <t>187.1.3.703.01.12.320</t>
  </si>
  <si>
    <t>187.01.050.0000.664</t>
  </si>
  <si>
    <t>664</t>
  </si>
  <si>
    <t>187.1.1.703.02.07</t>
  </si>
  <si>
    <t>187.1.1.703.02.07.512</t>
  </si>
  <si>
    <t>AUDITORIO CRUBA</t>
  </si>
  <si>
    <t>DE 12 AULAS PARA EL CRUBA</t>
  </si>
  <si>
    <t>CENTRO DE IDIOMAS DE CRUBA</t>
  </si>
  <si>
    <t>ESTACIONAMIENTOS DEL CRUBA</t>
  </si>
  <si>
    <t>DEL CENTRO DE INVESTIGACION DE CRUBA</t>
  </si>
  <si>
    <t>OTROS ÚTILES DE OFICINA</t>
  </si>
  <si>
    <t>187.1.2.703.01.18</t>
  </si>
  <si>
    <t>187.1.2.703.01.18.213</t>
  </si>
  <si>
    <t>187.1.2.703.01.18.275</t>
  </si>
  <si>
    <t>187.1.2.703.01.18.320</t>
  </si>
  <si>
    <t>187.1.2.703.01.18.350</t>
  </si>
  <si>
    <t>187.1.2.703.01.18.370</t>
  </si>
  <si>
    <t>187.1.2.703.01.18.380</t>
  </si>
  <si>
    <t>ÚTILES DE OFICINA</t>
  </si>
  <si>
    <t>187.1.2.703.01.12</t>
  </si>
  <si>
    <t>187.1.2.703.01.12.309</t>
  </si>
  <si>
    <t>MAQUINARIA Y EQUIPOS</t>
  </si>
  <si>
    <t>DE LA RADIO UNIVERSITARIA</t>
  </si>
  <si>
    <t>EQUIPO DE OFICINA</t>
  </si>
  <si>
    <t>EQUIPO VARIOS</t>
  </si>
  <si>
    <t>187.1.3.703.01.21</t>
  </si>
  <si>
    <t>187.1.3.703.01.21.239</t>
  </si>
  <si>
    <t>ADECUACIÓN DE LAS COLECCIONES BIBLIOGRÁFICAS DE ACUERDO A LA OFERTA ACADÉMICA</t>
  </si>
  <si>
    <t>EQUIPAMIENTO DE LA BIBLIOTECA Y SALON DE CONFERENCIA DE COMUNICACIÓN SOCIAL</t>
  </si>
  <si>
    <t>187.1.3.703.01.07.214</t>
  </si>
  <si>
    <t>187.1.2.703.01.12.189</t>
  </si>
  <si>
    <t>187.1.1.703.01.21.350</t>
  </si>
  <si>
    <t>187.1.1.703.01.21.370</t>
  </si>
  <si>
    <t>187.01.050.0000.632</t>
  </si>
  <si>
    <t>187.01.050.0000.630</t>
  </si>
  <si>
    <t>630</t>
  </si>
  <si>
    <t>632</t>
  </si>
  <si>
    <t>187.1.3.703.01.09.692</t>
  </si>
  <si>
    <t>187.02.050.0000.092</t>
  </si>
  <si>
    <t>187.02.050.0000.090</t>
  </si>
  <si>
    <t>665</t>
  </si>
  <si>
    <t>187.1.2.703.01.09.279</t>
  </si>
  <si>
    <t>187.01.001.0000.624</t>
  </si>
  <si>
    <t>187.1.1.703.02.26.169</t>
  </si>
  <si>
    <t>187.1.1.703.02.26.320</t>
  </si>
  <si>
    <t>187.1.1.703.02.26.350</t>
  </si>
  <si>
    <t>187.01.050.0000.694</t>
  </si>
  <si>
    <t>694</t>
  </si>
  <si>
    <t>187.1.1.703.01.21.201</t>
  </si>
  <si>
    <t>187.01.050.0000.419</t>
  </si>
  <si>
    <t>187.01.050.0000.410</t>
  </si>
  <si>
    <t>410</t>
  </si>
  <si>
    <t>419</t>
  </si>
  <si>
    <t>187.1.1.703.02.26.279</t>
  </si>
  <si>
    <t>187.1.1.703.01.21.259</t>
  </si>
  <si>
    <t>187.1.1.703.01.41</t>
  </si>
  <si>
    <t>187.1.1.703.01.41.512</t>
  </si>
  <si>
    <t>187.1.1.703.02.24</t>
  </si>
  <si>
    <t>187.1.1.703.02.24.512</t>
  </si>
  <si>
    <t>187.1.2.703.01.09.340</t>
  </si>
  <si>
    <t>187.1.2.703.01.09.350</t>
  </si>
  <si>
    <t>187.1.3.703.01.09.370</t>
  </si>
  <si>
    <t>187.1.3.703.01.22</t>
  </si>
  <si>
    <t>187.1.3.703.01.22.512</t>
  </si>
  <si>
    <t>CONSTRUCCIÓN DEL EDIFICIO DE LA FACULTAD DE MEDICINA</t>
  </si>
  <si>
    <t>EDIFICOS PARA EDUCACIÓN</t>
  </si>
  <si>
    <t>CONSTRUCCIÓN DE AUDITORIOS PARA CRUTA Y CRUCHIO</t>
  </si>
  <si>
    <t>CONSTRUCCIÓN DE INST. PARA MEJORAR EL ACCESO A PERSONAS DISCAPACITADAS</t>
  </si>
  <si>
    <t>AÑO 2017</t>
  </si>
  <si>
    <t>PRESUPUESTO 2017</t>
  </si>
  <si>
    <t>8187000002</t>
  </si>
  <si>
    <t>Vo. Bo. por: ______________________________</t>
  </si>
  <si>
    <t>AÑO : 2017</t>
  </si>
  <si>
    <t>8187000003</t>
  </si>
  <si>
    <t>8187000006</t>
  </si>
  <si>
    <t>8187000008</t>
  </si>
  <si>
    <t>Jefa de Presupuesto</t>
  </si>
  <si>
    <t xml:space="preserve">                          M.Sc. Iris Fuentes</t>
  </si>
  <si>
    <t xml:space="preserve">               M.Sc. José Candanedo</t>
  </si>
  <si>
    <t>Revisado por:__________________________</t>
  </si>
  <si>
    <t>8187000009</t>
  </si>
  <si>
    <t>8187000010</t>
  </si>
  <si>
    <t>8187000011</t>
  </si>
  <si>
    <t>187.01.050.0000.494</t>
  </si>
  <si>
    <t>187.01.050.0000.490</t>
  </si>
  <si>
    <t>490</t>
  </si>
  <si>
    <t>494</t>
  </si>
  <si>
    <t>8187000012</t>
  </si>
  <si>
    <t>Vo. Bo. por:_________________________</t>
  </si>
  <si>
    <t>Revisado por:_______________________</t>
  </si>
  <si>
    <t>RESULTADOS PRESUPUEST.</t>
  </si>
  <si>
    <t>TOTAL DE GASTOS</t>
  </si>
  <si>
    <t>Transferencia de Capital</t>
  </si>
  <si>
    <t>Inversiones Financieras</t>
  </si>
  <si>
    <t>Inversiones Físicas</t>
  </si>
  <si>
    <t>Servicio de la Deuda</t>
  </si>
  <si>
    <t xml:space="preserve">Transferencias Corrientes     </t>
  </si>
  <si>
    <t>Asignaciones Globales</t>
  </si>
  <si>
    <t>Servicios No personales</t>
  </si>
  <si>
    <t>Devengado</t>
  </si>
  <si>
    <t>Compromisos</t>
  </si>
  <si>
    <t>Presup. Modif.</t>
  </si>
  <si>
    <t>Modif.</t>
  </si>
  <si>
    <t>Presu. Autor.</t>
  </si>
  <si>
    <t>Gastos</t>
  </si>
  <si>
    <t>Total de Ingresos</t>
  </si>
  <si>
    <t>Menos Saldo Final en Caja</t>
  </si>
  <si>
    <t>Otros Recursos de Capital</t>
  </si>
  <si>
    <t>Recursos del Crédito</t>
  </si>
  <si>
    <t>Recursos del Patrimonio</t>
  </si>
  <si>
    <t>Otros Ingresos</t>
  </si>
  <si>
    <t>Ingresos no Tributarios</t>
  </si>
  <si>
    <t>Ingresos Tributarios</t>
  </si>
  <si>
    <t>Saldo Inicial en Caja</t>
  </si>
  <si>
    <t>Anual</t>
  </si>
  <si>
    <t>Fecha</t>
  </si>
  <si>
    <t>a la fecha</t>
  </si>
  <si>
    <t>Ley Modific.</t>
  </si>
  <si>
    <t>Autorizado</t>
  </si>
  <si>
    <t>Descripción</t>
  </si>
  <si>
    <t>Saldo</t>
  </si>
  <si>
    <t>Saldo a la</t>
  </si>
  <si>
    <t>Ejecutado</t>
  </si>
  <si>
    <t>Presupuesto</t>
  </si>
  <si>
    <t>Entidad: UNIVERSIDAD AUTÓNOMA DE CHIRIQUÍ</t>
  </si>
  <si>
    <t>ESTADO DE INGRESOS Y GASTOS PRESUPUESTARIOS</t>
  </si>
  <si>
    <t xml:space="preserve"> </t>
  </si>
  <si>
    <t xml:space="preserve">                 ENTIDADES DESCENTRALIZADAS</t>
  </si>
  <si>
    <t>CONTRALORÍA  GENERAL  DE  LA  REPÚBLICA</t>
  </si>
  <si>
    <t>8187000014</t>
  </si>
  <si>
    <t>8187000015</t>
  </si>
  <si>
    <t>8187000016</t>
  </si>
  <si>
    <t>8187000017</t>
  </si>
  <si>
    <t>8187000019</t>
  </si>
  <si>
    <t>8187000020</t>
  </si>
  <si>
    <t>8187000021</t>
  </si>
  <si>
    <t>8187000024</t>
  </si>
  <si>
    <t>8187000025</t>
  </si>
  <si>
    <t>8187000026</t>
  </si>
  <si>
    <t>8187000027</t>
  </si>
  <si>
    <t>8187000030</t>
  </si>
  <si>
    <t>187.1.1.703.01.21.151</t>
  </si>
  <si>
    <t>187.1.1.703.01.21.169</t>
  </si>
  <si>
    <t>187.1.1.703.01.21.309</t>
  </si>
  <si>
    <t>8187000031</t>
  </si>
  <si>
    <t>8187000033</t>
  </si>
  <si>
    <t>8187000034</t>
  </si>
  <si>
    <t>8187000035</t>
  </si>
  <si>
    <t>187.1.3.703.01.23</t>
  </si>
  <si>
    <t>187.1.3.703.01.23.512</t>
  </si>
  <si>
    <t>Construcción de Aulas de Clases del Campus Central</t>
  </si>
  <si>
    <t>8187000036</t>
  </si>
  <si>
    <t>8187000037</t>
  </si>
  <si>
    <t>8187000038</t>
  </si>
  <si>
    <t>8187000039</t>
  </si>
  <si>
    <t>8187000041</t>
  </si>
  <si>
    <t>8187000042</t>
  </si>
  <si>
    <t>8187000043</t>
  </si>
  <si>
    <t>187.01.050.0000.092</t>
  </si>
  <si>
    <t>8187000044</t>
  </si>
  <si>
    <t>8187000045</t>
  </si>
  <si>
    <t>8187000046</t>
  </si>
  <si>
    <t>8187000047</t>
  </si>
  <si>
    <t>8187000048</t>
  </si>
  <si>
    <t>8187000049</t>
  </si>
  <si>
    <t>8187000050</t>
  </si>
  <si>
    <t>8187000051</t>
  </si>
  <si>
    <t>8187000053</t>
  </si>
  <si>
    <t>8187000054</t>
  </si>
  <si>
    <t>8187000055</t>
  </si>
  <si>
    <t>8187000056</t>
  </si>
  <si>
    <t>8187000059</t>
  </si>
  <si>
    <t>8187000060</t>
  </si>
  <si>
    <t>8187000061</t>
  </si>
  <si>
    <t>8187000062</t>
  </si>
  <si>
    <t>8187000063</t>
  </si>
  <si>
    <t>187.1.1.703.02.29</t>
  </si>
  <si>
    <t>187.1.1.703.02.29.402</t>
  </si>
  <si>
    <t>8187000066</t>
  </si>
  <si>
    <t>8187000065</t>
  </si>
  <si>
    <t>8187000067</t>
  </si>
  <si>
    <t>8187000068</t>
  </si>
  <si>
    <t>187.1.2.703.01.19</t>
  </si>
  <si>
    <t>187.1.2.703.01.19.370</t>
  </si>
  <si>
    <t>187.1.2.703.01.19.320</t>
  </si>
  <si>
    <t xml:space="preserve">                       M.Sc. Iris Fuentes</t>
  </si>
  <si>
    <t xml:space="preserve">                   Prof. José Candanedo</t>
  </si>
  <si>
    <t xml:space="preserve">                   Director General de Planificación </t>
  </si>
  <si>
    <t xml:space="preserve">                  Director General de Planificación </t>
  </si>
  <si>
    <t>8187000069</t>
  </si>
  <si>
    <t>8187000070</t>
  </si>
  <si>
    <t>8187000071</t>
  </si>
  <si>
    <t>8187000073</t>
  </si>
  <si>
    <t>8187000074</t>
  </si>
  <si>
    <t>187.1.2.703.01.19.189</t>
  </si>
  <si>
    <t>8187000077</t>
  </si>
  <si>
    <t>8187000075</t>
  </si>
  <si>
    <t>8187000076</t>
  </si>
  <si>
    <r>
      <t xml:space="preserve">Preparado por:  </t>
    </r>
    <r>
      <rPr>
        <b/>
        <i/>
        <sz val="10"/>
        <rFont val="Arial"/>
        <family val="2"/>
      </rPr>
      <t>Lic. Sugely Castillo</t>
    </r>
  </si>
  <si>
    <t xml:space="preserve">                        M.Sc. Sugely Castillo</t>
  </si>
  <si>
    <t xml:space="preserve">                         Planificador Evaluador III</t>
  </si>
  <si>
    <t xml:space="preserve">                        Jefa de Presupuesto</t>
  </si>
  <si>
    <t xml:space="preserve">                   M.Sc. Sugely Castillo</t>
  </si>
  <si>
    <t xml:space="preserve">                       Planificador Evaluador III</t>
  </si>
  <si>
    <t>187.1.2.703.01.19.239</t>
  </si>
  <si>
    <t>187.1.2.703.01.19.279</t>
  </si>
  <si>
    <t>187.1.2.703.01.19.350</t>
  </si>
  <si>
    <t>187.1.2.703.01.19.380</t>
  </si>
  <si>
    <t>8187000078</t>
  </si>
  <si>
    <t>8187000079</t>
  </si>
  <si>
    <t>187.1.2.703.01.19.169</t>
  </si>
  <si>
    <t>187.1.2.703.01.19.309</t>
  </si>
  <si>
    <t>187.1.2.703.01.19.512</t>
  </si>
  <si>
    <t>8187000080</t>
  </si>
  <si>
    <t>187.1.3.703.01.22.279</t>
  </si>
  <si>
    <t>187.1.3.703.01.22.339</t>
  </si>
  <si>
    <t>8187000081</t>
  </si>
  <si>
    <t>8187000082</t>
  </si>
  <si>
    <t>8187000083</t>
  </si>
  <si>
    <t>8187000084</t>
  </si>
  <si>
    <t>8187000085</t>
  </si>
  <si>
    <t>8187000086</t>
  </si>
  <si>
    <t>8187000087</t>
  </si>
  <si>
    <t>8187000088</t>
  </si>
  <si>
    <t>AL 30 DE SEPTIEMBRE DE 2017</t>
  </si>
  <si>
    <t>% SEPT.</t>
  </si>
  <si>
    <t>8187000090</t>
  </si>
  <si>
    <t>8187000092</t>
  </si>
  <si>
    <t>8187000094</t>
  </si>
  <si>
    <t>8187000096</t>
  </si>
  <si>
    <t>8187000097</t>
  </si>
  <si>
    <t>OCTUBRE 2017</t>
  </si>
  <si>
    <t>ASIG. OCTUBRE</t>
  </si>
  <si>
    <t>REC. OCTUBRE</t>
  </si>
  <si>
    <t>CORRESPONDIENTE AL MES DE OCTUBRE DE 2017</t>
  </si>
  <si>
    <t>Correspondiente desde el  1 de Enero al 31 de Octubre de 2017</t>
  </si>
  <si>
    <t>8187000102</t>
  </si>
  <si>
    <t>8187000103</t>
  </si>
  <si>
    <t>8187000104</t>
  </si>
  <si>
    <t>8187000105</t>
  </si>
  <si>
    <t>187.01.001.0000.619</t>
  </si>
  <si>
    <t>8187000108</t>
  </si>
  <si>
    <t>8187000110</t>
  </si>
  <si>
    <t>8187000111</t>
  </si>
  <si>
    <t>187.1.2.703.01.19.339</t>
  </si>
  <si>
    <t>8187000112</t>
  </si>
  <si>
    <t>8187000113</t>
  </si>
  <si>
    <t>Perìodo:  DEL 1 DE ENERO AL 31 DE OCTUBRE DE 2017</t>
  </si>
  <si>
    <t>8187000114</t>
  </si>
  <si>
    <t>8187000115</t>
  </si>
  <si>
    <t>8187000116</t>
  </si>
  <si>
    <t>8187000118</t>
  </si>
  <si>
    <t>187.1.2.703.01.19.314</t>
  </si>
  <si>
    <t>8187000098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</si>
</sst>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.00_ ;_ * \-#,##0.00_ ;_ * &quot;-&quot;??_ ;_ @_ "/>
    <numFmt numFmtId="165" formatCode="mmmm\-yy"/>
    <numFmt numFmtId="166" formatCode="0.0%"/>
  </numFmts>
  <fonts count="95">
    <font>
      <sz val="10"/>
      <name val="MS Sans Serif"/>
    </font>
    <font>
      <sz val="10"/>
      <name val="Arial"/>
      <family val="2"/>
    </font>
    <font>
      <sz val="9"/>
      <name val="MS Sans Serif"/>
      <family val="2"/>
    </font>
    <font>
      <sz val="8.5"/>
      <name val="MS Sans Serif"/>
      <family val="2"/>
    </font>
    <font>
      <b/>
      <sz val="9"/>
      <name val="MS Sans Serif"/>
      <family val="2"/>
    </font>
    <font>
      <b/>
      <sz val="10"/>
      <name val="MS Sans Serif"/>
      <family val="2"/>
    </font>
    <font>
      <b/>
      <sz val="10"/>
      <name val="MS Sans Serif"/>
      <family val="2"/>
    </font>
    <font>
      <b/>
      <sz val="9"/>
      <name val="Times New Roman"/>
      <family val="1"/>
    </font>
    <font>
      <b/>
      <sz val="10"/>
      <name val="CG Omega"/>
    </font>
    <font>
      <sz val="10"/>
      <name val="CG Omega"/>
      <family val="2"/>
    </font>
    <font>
      <b/>
      <sz val="8"/>
      <name val="MS Sans Serif"/>
      <family val="2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10"/>
      <color indexed="16"/>
      <name val="Times New Roman"/>
      <family val="1"/>
    </font>
    <font>
      <sz val="9"/>
      <name val="Times New Roman"/>
      <family val="1"/>
    </font>
    <font>
      <sz val="10"/>
      <name val="Times New Roman"/>
      <family val="1"/>
    </font>
    <font>
      <sz val="8"/>
      <name val="Times New Roman"/>
      <family val="1"/>
    </font>
    <font>
      <b/>
      <sz val="10"/>
      <color indexed="12"/>
      <name val="Times New Roman"/>
      <family val="1"/>
    </font>
    <font>
      <b/>
      <sz val="10"/>
      <name val="Times New Roman"/>
      <family val="1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.5"/>
      <name val="MS Sans Serif"/>
      <family val="2"/>
    </font>
    <font>
      <b/>
      <sz val="8.5"/>
      <name val="MS Sans Serif"/>
      <family val="2"/>
    </font>
    <font>
      <b/>
      <sz val="10"/>
      <name val="Arial"/>
      <family val="2"/>
    </font>
    <font>
      <sz val="10"/>
      <name val="Lucida Sans Unicode"/>
      <family val="2"/>
    </font>
    <font>
      <sz val="10"/>
      <name val="MS Sans Serif"/>
      <family val="2"/>
    </font>
    <font>
      <b/>
      <sz val="10"/>
      <color indexed="8"/>
      <name val="Arial"/>
      <family val="2"/>
    </font>
    <font>
      <b/>
      <sz val="9"/>
      <color indexed="12"/>
      <name val="Times New Roman"/>
      <family val="1"/>
    </font>
    <font>
      <b/>
      <sz val="10"/>
      <color indexed="12"/>
      <name val="MS Sans Serif"/>
      <family val="2"/>
    </font>
    <font>
      <b/>
      <sz val="9"/>
      <color indexed="14"/>
      <name val="MS Sans Serif"/>
      <family val="2"/>
    </font>
    <font>
      <sz val="10"/>
      <name val="MS Sans Serif"/>
      <family val="2"/>
    </font>
    <font>
      <b/>
      <sz val="9"/>
      <color indexed="12"/>
      <name val="MS Sans Serif"/>
      <family val="2"/>
    </font>
    <font>
      <b/>
      <sz val="11"/>
      <name val="Arial"/>
      <family val="2"/>
    </font>
    <font>
      <b/>
      <sz val="10"/>
      <color indexed="12"/>
      <name val="Arial"/>
      <family val="2"/>
    </font>
    <font>
      <sz val="10"/>
      <color indexed="12"/>
      <name val="MS Sans Serif"/>
      <family val="2"/>
    </font>
    <font>
      <sz val="9"/>
      <color indexed="12"/>
      <name val="Times New Roman"/>
      <family val="1"/>
    </font>
    <font>
      <b/>
      <sz val="12"/>
      <name val="Arial"/>
      <family val="2"/>
    </font>
    <font>
      <b/>
      <sz val="9"/>
      <name val="Arial"/>
      <family val="2"/>
    </font>
    <font>
      <b/>
      <sz val="9"/>
      <color indexed="12"/>
      <name val="Arial"/>
      <family val="2"/>
    </font>
    <font>
      <b/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12"/>
      <color indexed="12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b/>
      <sz val="8.5"/>
      <name val="MS Sans Serif"/>
      <family val="2"/>
    </font>
    <font>
      <sz val="8"/>
      <name val="MS Sans Serif"/>
      <family val="2"/>
    </font>
    <font>
      <b/>
      <sz val="12"/>
      <name val="MS Sans Serif"/>
      <family val="2"/>
    </font>
    <font>
      <sz val="12"/>
      <name val="MS Sans Serif"/>
      <family val="2"/>
    </font>
    <font>
      <sz val="12"/>
      <name val="MS Sans Serif"/>
      <family val="2"/>
    </font>
    <font>
      <b/>
      <sz val="12"/>
      <name val="MS Sans Serif"/>
      <family val="2"/>
    </font>
    <font>
      <sz val="13.5"/>
      <name val="MS Sans Serif"/>
      <family val="2"/>
    </font>
    <font>
      <b/>
      <sz val="13.5"/>
      <name val="MS Sans Serif"/>
      <family val="2"/>
    </font>
    <font>
      <b/>
      <sz val="10"/>
      <color indexed="10"/>
      <name val="MS Sans Serif"/>
      <family val="2"/>
    </font>
    <font>
      <sz val="10"/>
      <color indexed="8"/>
      <name val="Arial"/>
      <family val="2"/>
    </font>
    <font>
      <b/>
      <sz val="9"/>
      <name val="MS Sans Serif"/>
      <family val="2"/>
    </font>
    <font>
      <sz val="9"/>
      <name val="MS Sans Serif"/>
      <family val="2"/>
    </font>
    <font>
      <b/>
      <sz val="12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1"/>
      <color indexed="8"/>
      <name val="Calibri"/>
      <family val="2"/>
    </font>
    <font>
      <b/>
      <sz val="10"/>
      <name val="MS Sans Serif"/>
      <family val="2"/>
    </font>
    <font>
      <b/>
      <sz val="8"/>
      <name val="MS Sans Serif"/>
      <family val="2"/>
    </font>
    <font>
      <sz val="11"/>
      <name val="Arial"/>
      <family val="2"/>
    </font>
    <font>
      <b/>
      <sz val="10"/>
      <name val="MS Sans Serif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sz val="10"/>
      <color theme="1"/>
      <name val="Arial"/>
      <family val="2"/>
    </font>
    <font>
      <b/>
      <sz val="10"/>
      <color rgb="FF0000FF"/>
      <name val="Arial"/>
      <family val="2"/>
    </font>
    <font>
      <b/>
      <sz val="11"/>
      <color rgb="FF0000FF"/>
      <name val="Arial"/>
      <family val="2"/>
    </font>
    <font>
      <b/>
      <sz val="9"/>
      <color rgb="FF0000FF"/>
      <name val="Times New Roman"/>
      <family val="1"/>
    </font>
    <font>
      <b/>
      <sz val="10"/>
      <color rgb="FF0000FF"/>
      <name val="CG Omega"/>
      <family val="2"/>
    </font>
    <font>
      <sz val="10"/>
      <color rgb="FF0000FF"/>
      <name val="CG Omega"/>
    </font>
    <font>
      <b/>
      <sz val="10"/>
      <color rgb="FF0000FF"/>
      <name val="Times New Roman"/>
      <family val="1"/>
    </font>
    <font>
      <b/>
      <sz val="10"/>
      <color rgb="FF0000FF"/>
      <name val="MS Sans Serif"/>
      <family val="2"/>
    </font>
    <font>
      <b/>
      <sz val="8"/>
      <color rgb="FF0000FF"/>
      <name val="Arial"/>
      <family val="2"/>
    </font>
    <font>
      <b/>
      <sz val="9"/>
      <color rgb="FF0000FF"/>
      <name val="Arial"/>
      <family val="2"/>
    </font>
    <font>
      <b/>
      <sz val="9"/>
      <color rgb="FF0000FF"/>
      <name val="MS Sans Serif"/>
      <family val="2"/>
    </font>
    <font>
      <b/>
      <sz val="12"/>
      <color rgb="FFFF000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9"/>
      <color rgb="FFFF0000"/>
      <name val="MS Sans Serif"/>
      <family val="2"/>
    </font>
    <font>
      <b/>
      <sz val="8"/>
      <color rgb="FFFF0000"/>
      <name val="Arial"/>
      <family val="2"/>
    </font>
    <font>
      <b/>
      <sz val="10"/>
      <color rgb="FFFF0000"/>
      <name val="Arial"/>
      <family val="2"/>
    </font>
    <font>
      <b/>
      <sz val="12"/>
      <color rgb="FF0000FF"/>
      <name val="Times New Roman"/>
      <family val="1"/>
    </font>
    <font>
      <b/>
      <sz val="12"/>
      <color rgb="FF0000FF"/>
      <name val="Arial"/>
      <family val="2"/>
    </font>
    <font>
      <b/>
      <sz val="8"/>
      <color rgb="FFFF0000"/>
      <name val="MS Sans Serif"/>
      <family val="2"/>
    </font>
    <font>
      <b/>
      <sz val="12"/>
      <color rgb="FFFF0000"/>
      <name val="Times New Roman"/>
      <family val="1"/>
    </font>
    <font>
      <sz val="10"/>
      <color rgb="FFFF0000"/>
      <name val="Arial"/>
      <family val="2"/>
    </font>
    <font>
      <sz val="10"/>
      <color rgb="FF0000FF"/>
      <name val="MS Sans Serif"/>
      <family val="2"/>
    </font>
    <font>
      <b/>
      <sz val="12"/>
      <color theme="0"/>
      <name val="Arial"/>
      <family val="2"/>
    </font>
    <font>
      <b/>
      <sz val="11"/>
      <name val="Arial Rounded MT Bold"/>
      <family val="2"/>
    </font>
    <font>
      <b/>
      <sz val="11"/>
      <name val="Times New Roman"/>
      <family val="1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43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26"/>
      </patternFill>
    </fill>
    <fill>
      <patternFill patternType="solid">
        <fgColor indexed="13"/>
        <bgColor indexed="26"/>
      </patternFill>
    </fill>
    <fill>
      <patternFill patternType="solid">
        <fgColor indexed="41"/>
        <bgColor indexed="26"/>
      </patternFill>
    </fill>
    <fill>
      <patternFill patternType="solid">
        <fgColor indexed="42"/>
        <bgColor indexed="27"/>
      </patternFill>
    </fill>
    <fill>
      <patternFill patternType="solid">
        <fgColor indexed="47"/>
        <b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6"/>
        <bgColor indexed="26"/>
      </patternFill>
    </fill>
    <fill>
      <patternFill patternType="solid">
        <fgColor indexed="46"/>
        <bgColor indexed="27"/>
      </patternFill>
    </fill>
    <fill>
      <patternFill patternType="solid">
        <fgColor indexed="49"/>
        <bgColor indexed="26"/>
      </patternFill>
    </fill>
    <fill>
      <patternFill patternType="solid">
        <fgColor indexed="29"/>
        <bgColor indexed="26"/>
      </patternFill>
    </fill>
    <fill>
      <patternFill patternType="solid">
        <fgColor indexed="27"/>
        <b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27"/>
        <bgColor indexed="41"/>
      </patternFill>
    </fill>
    <fill>
      <patternFill patternType="solid">
        <fgColor indexed="44"/>
        <bgColor indexed="64"/>
      </patternFill>
    </fill>
    <fill>
      <patternFill patternType="solid">
        <fgColor theme="3" tint="0.59999389629810485"/>
        <bgColor indexed="26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41"/>
      </patternFill>
    </fill>
    <fill>
      <patternFill patternType="solid">
        <fgColor rgb="FF66FFFF"/>
        <bgColor indexed="26"/>
      </patternFill>
    </fill>
    <fill>
      <patternFill patternType="solid">
        <fgColor rgb="FF00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59999389629810485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99"/>
        <bgColor indexed="26"/>
      </patternFill>
    </fill>
    <fill>
      <patternFill patternType="solid">
        <fgColor rgb="FFFFFF00"/>
        <bgColor indexed="26"/>
      </patternFill>
    </fill>
  </fills>
  <borders count="207">
    <border>
      <left/>
      <right/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 style="thin">
        <color indexed="8"/>
      </right>
      <top style="double">
        <color indexed="8"/>
      </top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/>
      <diagonal/>
    </border>
    <border>
      <left/>
      <right style="thin">
        <color indexed="8"/>
      </right>
      <top/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/>
      <right style="thin">
        <color indexed="8"/>
      </right>
      <top style="thin">
        <color indexed="8"/>
      </top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/>
      <top style="thin">
        <color indexed="8"/>
      </top>
      <bottom style="double">
        <color indexed="8"/>
      </bottom>
      <diagonal/>
    </border>
    <border>
      <left style="hair">
        <color indexed="8"/>
      </left>
      <right style="hair">
        <color indexed="8"/>
      </right>
      <top style="double">
        <color indexed="8"/>
      </top>
      <bottom style="double">
        <color indexed="8"/>
      </bottom>
      <diagonal/>
    </border>
    <border>
      <left style="double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double">
        <color indexed="8"/>
      </top>
      <bottom style="double">
        <color indexed="8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8"/>
      </right>
      <top style="double">
        <color indexed="8"/>
      </top>
      <bottom style="double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double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 style="double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 style="thin">
        <color indexed="8"/>
      </right>
      <top style="double">
        <color indexed="8"/>
      </top>
      <bottom style="thin">
        <color indexed="8"/>
      </bottom>
      <diagonal/>
    </border>
    <border>
      <left style="double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/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/>
      <diagonal/>
    </border>
    <border>
      <left/>
      <right style="double">
        <color indexed="8"/>
      </right>
      <top/>
      <bottom style="double">
        <color indexed="8"/>
      </bottom>
      <diagonal/>
    </border>
    <border>
      <left style="hair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 style="double">
        <color indexed="8"/>
      </bottom>
      <diagonal/>
    </border>
    <border>
      <left/>
      <right style="medium">
        <color indexed="8"/>
      </right>
      <top/>
      <bottom style="double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hair">
        <color indexed="8"/>
      </left>
      <right/>
      <top style="hair">
        <color indexed="8"/>
      </top>
      <bottom style="double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/>
      <bottom style="double">
        <color indexed="8"/>
      </bottom>
      <diagonal/>
    </border>
    <border>
      <left style="thin">
        <color indexed="8"/>
      </left>
      <right style="double">
        <color indexed="8"/>
      </right>
      <top/>
      <bottom style="double">
        <color indexed="8"/>
      </bottom>
      <diagonal/>
    </border>
    <border>
      <left style="hair">
        <color indexed="8"/>
      </left>
      <right style="medium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hair">
        <color indexed="8"/>
      </left>
      <right style="thin">
        <color indexed="8"/>
      </right>
      <top style="double">
        <color indexed="8"/>
      </top>
      <bottom style="double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8"/>
      </left>
      <right/>
      <top style="double">
        <color indexed="8"/>
      </top>
      <bottom style="hair">
        <color indexed="8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medium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hair">
        <color indexed="8"/>
      </bottom>
      <diagonal/>
    </border>
    <border>
      <left style="thick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/>
      <right style="thick">
        <color indexed="8"/>
      </right>
      <top style="thin">
        <color indexed="8"/>
      </top>
      <bottom style="double">
        <color indexed="8"/>
      </bottom>
      <diagonal/>
    </border>
    <border>
      <left style="thick">
        <color indexed="8"/>
      </left>
      <right style="hair">
        <color indexed="8"/>
      </right>
      <top style="double">
        <color indexed="8"/>
      </top>
      <bottom style="double">
        <color indexed="8"/>
      </bottom>
      <diagonal/>
    </border>
    <border>
      <left style="hair">
        <color indexed="8"/>
      </left>
      <right style="thick">
        <color indexed="8"/>
      </right>
      <top style="double">
        <color indexed="8"/>
      </top>
      <bottom style="double">
        <color indexed="8"/>
      </bottom>
      <diagonal/>
    </border>
    <border>
      <left style="thick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 style="double">
        <color indexed="8"/>
      </top>
      <bottom/>
      <diagonal/>
    </border>
    <border>
      <left style="thin">
        <color indexed="8"/>
      </left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8"/>
      </left>
      <right/>
      <top style="double">
        <color indexed="8"/>
      </top>
      <bottom style="thin">
        <color indexed="8"/>
      </bottom>
      <diagonal/>
    </border>
    <border>
      <left/>
      <right/>
      <top style="double">
        <color indexed="8"/>
      </top>
      <bottom style="thin">
        <color indexed="8"/>
      </bottom>
      <diagonal/>
    </border>
    <border>
      <left style="thick">
        <color indexed="8"/>
      </left>
      <right style="thin">
        <color indexed="8"/>
      </right>
      <top style="double">
        <color indexed="8"/>
      </top>
      <bottom/>
      <diagonal/>
    </border>
    <border>
      <left style="thin">
        <color indexed="8"/>
      </left>
      <right style="thick">
        <color indexed="8"/>
      </right>
      <top style="double">
        <color indexed="8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double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medium">
        <color rgb="FFFF0000"/>
      </bottom>
      <diagonal/>
    </border>
    <border>
      <left style="thin">
        <color indexed="64"/>
      </left>
      <right style="thin">
        <color indexed="64"/>
      </right>
      <top/>
      <bottom style="medium">
        <color rgb="FFFF0000"/>
      </bottom>
      <diagonal/>
    </border>
    <border>
      <left style="double">
        <color indexed="64"/>
      </left>
      <right style="thin">
        <color indexed="64"/>
      </right>
      <top/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 style="thick">
        <color rgb="FFFF0000"/>
      </bottom>
      <diagonal/>
    </border>
    <border>
      <left style="thin">
        <color indexed="64"/>
      </left>
      <right style="thin">
        <color indexed="64"/>
      </right>
      <top style="medium">
        <color indexed="10"/>
      </top>
      <bottom style="thick">
        <color rgb="FFFF0000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/>
      <top style="hair">
        <color indexed="8"/>
      </top>
      <bottom/>
      <diagonal/>
    </border>
    <border>
      <left style="thick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thick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/>
      <bottom/>
      <diagonal/>
    </border>
    <border>
      <left/>
      <right/>
      <top style="hair">
        <color indexed="8"/>
      </top>
      <bottom/>
      <diagonal/>
    </border>
    <border>
      <left style="medium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medium">
        <color indexed="8"/>
      </right>
      <top style="hair">
        <color indexed="8"/>
      </top>
      <bottom/>
      <diagonal/>
    </border>
    <border>
      <left style="medium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medium">
        <color indexed="8"/>
      </right>
      <top style="hair">
        <color indexed="8"/>
      </top>
      <bottom style="double">
        <color indexed="8"/>
      </bottom>
      <diagonal/>
    </border>
    <border>
      <left/>
      <right style="thick">
        <color indexed="8"/>
      </right>
      <top style="hair">
        <color indexed="8"/>
      </top>
      <bottom style="hair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double">
        <color indexed="8"/>
      </left>
      <right style="hair">
        <color indexed="8"/>
      </right>
      <top style="hair">
        <color indexed="8"/>
      </top>
      <bottom/>
      <diagonal/>
    </border>
  </borders>
  <cellStyleXfs count="13">
    <xf numFmtId="0" fontId="0" fillId="0" borderId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0" fontId="1" fillId="0" borderId="0"/>
    <xf numFmtId="0" fontId="43" fillId="0" borderId="0"/>
    <xf numFmtId="0" fontId="61" fillId="0" borderId="0"/>
    <xf numFmtId="0" fontId="43" fillId="0" borderId="0"/>
    <xf numFmtId="0" fontId="43" fillId="0" borderId="0"/>
    <xf numFmtId="0" fontId="26" fillId="0" borderId="0"/>
    <xf numFmtId="0" fontId="26" fillId="0" borderId="0"/>
    <xf numFmtId="0" fontId="31" fillId="0" borderId="0"/>
    <xf numFmtId="9" fontId="1" fillId="0" borderId="0" applyFill="0" applyBorder="0" applyAlignment="0" applyProtection="0"/>
    <xf numFmtId="9" fontId="43" fillId="0" borderId="0" applyFill="0" applyBorder="0" applyAlignment="0" applyProtection="0"/>
  </cellStyleXfs>
  <cellXfs count="1133">
    <xf numFmtId="0" fontId="0" fillId="0" borderId="0" xfId="0"/>
    <xf numFmtId="49" fontId="2" fillId="2" borderId="0" xfId="0" applyNumberFormat="1" applyFont="1" applyFill="1"/>
    <xf numFmtId="0" fontId="3" fillId="2" borderId="0" xfId="0" applyFont="1" applyFill="1"/>
    <xf numFmtId="0" fontId="2" fillId="2" borderId="0" xfId="0" applyFont="1" applyFill="1"/>
    <xf numFmtId="0" fontId="4" fillId="3" borderId="0" xfId="0" applyFont="1" applyFill="1"/>
    <xf numFmtId="0" fontId="4" fillId="2" borderId="0" xfId="0" applyFont="1" applyFill="1"/>
    <xf numFmtId="0" fontId="10" fillId="2" borderId="0" xfId="0" applyFont="1" applyFill="1"/>
    <xf numFmtId="4" fontId="7" fillId="2" borderId="0" xfId="0" applyNumberFormat="1" applyFont="1" applyFill="1" applyBorder="1"/>
    <xf numFmtId="0" fontId="7" fillId="2" borderId="0" xfId="0" applyFont="1" applyFill="1"/>
    <xf numFmtId="0" fontId="11" fillId="2" borderId="0" xfId="0" applyFont="1" applyFill="1"/>
    <xf numFmtId="0" fontId="14" fillId="2" borderId="0" xfId="0" applyFont="1" applyFill="1"/>
    <xf numFmtId="0" fontId="0" fillId="2" borderId="0" xfId="0" applyFill="1"/>
    <xf numFmtId="0" fontId="19" fillId="2" borderId="0" xfId="0" applyFont="1" applyFill="1"/>
    <xf numFmtId="4" fontId="0" fillId="2" borderId="0" xfId="0" applyNumberFormat="1" applyFill="1"/>
    <xf numFmtId="0" fontId="0" fillId="2" borderId="0" xfId="0" applyFill="1" applyBorder="1"/>
    <xf numFmtId="0" fontId="22" fillId="2" borderId="0" xfId="0" applyFont="1" applyFill="1"/>
    <xf numFmtId="0" fontId="18" fillId="2" borderId="0" xfId="0" applyFont="1" applyFill="1" applyBorder="1"/>
    <xf numFmtId="0" fontId="23" fillId="2" borderId="0" xfId="0" applyFont="1" applyFill="1"/>
    <xf numFmtId="0" fontId="24" fillId="2" borderId="0" xfId="0" applyFont="1" applyFill="1"/>
    <xf numFmtId="0" fontId="24" fillId="0" borderId="0" xfId="0" applyFont="1"/>
    <xf numFmtId="0" fontId="25" fillId="2" borderId="3" xfId="0" applyFont="1" applyFill="1" applyBorder="1"/>
    <xf numFmtId="0" fontId="0" fillId="2" borderId="3" xfId="0" applyFont="1" applyFill="1" applyBorder="1"/>
    <xf numFmtId="0" fontId="6" fillId="0" borderId="0" xfId="0" applyFont="1"/>
    <xf numFmtId="166" fontId="0" fillId="2" borderId="0" xfId="0" applyNumberFormat="1" applyFill="1"/>
    <xf numFmtId="4" fontId="0" fillId="0" borderId="0" xfId="0" applyNumberFormat="1"/>
    <xf numFmtId="0" fontId="15" fillId="2" borderId="0" xfId="0" applyFont="1" applyFill="1" applyBorder="1"/>
    <xf numFmtId="4" fontId="19" fillId="2" borderId="0" xfId="0" applyNumberFormat="1" applyFont="1" applyFill="1" applyBorder="1"/>
    <xf numFmtId="4" fontId="19" fillId="2" borderId="0" xfId="0" applyNumberFormat="1" applyFont="1" applyFill="1"/>
    <xf numFmtId="4" fontId="27" fillId="2" borderId="0" xfId="0" applyNumberFormat="1" applyFont="1" applyFill="1" applyBorder="1"/>
    <xf numFmtId="0" fontId="0" fillId="4" borderId="0" xfId="0" applyFill="1"/>
    <xf numFmtId="49" fontId="4" fillId="2" borderId="0" xfId="0" applyNumberFormat="1" applyFont="1" applyFill="1" applyAlignment="1">
      <alignment horizontal="center"/>
    </xf>
    <xf numFmtId="0" fontId="17" fillId="2" borderId="0" xfId="0" applyFont="1" applyFill="1"/>
    <xf numFmtId="4" fontId="7" fillId="5" borderId="0" xfId="0" applyNumberFormat="1" applyFont="1" applyFill="1" applyBorder="1"/>
    <xf numFmtId="0" fontId="14" fillId="6" borderId="0" xfId="0" applyFont="1" applyFill="1"/>
    <xf numFmtId="0" fontId="32" fillId="2" borderId="0" xfId="0" applyFont="1" applyFill="1"/>
    <xf numFmtId="4" fontId="28" fillId="2" borderId="0" xfId="0" applyNumberFormat="1" applyFont="1" applyFill="1" applyBorder="1"/>
    <xf numFmtId="0" fontId="28" fillId="2" borderId="0" xfId="0" applyFont="1" applyFill="1"/>
    <xf numFmtId="4" fontId="28" fillId="2" borderId="0" xfId="0" applyNumberFormat="1" applyFont="1" applyFill="1"/>
    <xf numFmtId="0" fontId="31" fillId="2" borderId="0" xfId="10" applyFill="1"/>
    <xf numFmtId="0" fontId="31" fillId="0" borderId="0" xfId="10"/>
    <xf numFmtId="4" fontId="5" fillId="2" borderId="0" xfId="10" applyNumberFormat="1" applyFont="1" applyFill="1"/>
    <xf numFmtId="4" fontId="31" fillId="2" borderId="0" xfId="10" applyNumberFormat="1" applyFill="1"/>
    <xf numFmtId="4" fontId="19" fillId="2" borderId="4" xfId="10" applyNumberFormat="1" applyFont="1" applyFill="1" applyBorder="1"/>
    <xf numFmtId="0" fontId="5" fillId="0" borderId="0" xfId="10" applyFont="1"/>
    <xf numFmtId="0" fontId="15" fillId="2" borderId="0" xfId="10" applyFont="1" applyFill="1" applyBorder="1"/>
    <xf numFmtId="4" fontId="19" fillId="2" borderId="0" xfId="10" applyNumberFormat="1" applyFont="1" applyFill="1" applyBorder="1"/>
    <xf numFmtId="4" fontId="19" fillId="2" borderId="0" xfId="10" applyNumberFormat="1" applyFont="1" applyFill="1"/>
    <xf numFmtId="4" fontId="1" fillId="2" borderId="0" xfId="10" applyNumberFormat="1" applyFont="1" applyFill="1"/>
    <xf numFmtId="3" fontId="19" fillId="2" borderId="0" xfId="10" applyNumberFormat="1" applyFont="1" applyFill="1"/>
    <xf numFmtId="4" fontId="34" fillId="2" borderId="0" xfId="10" applyNumberFormat="1" applyFont="1" applyFill="1"/>
    <xf numFmtId="4" fontId="34" fillId="2" borderId="0" xfId="10" applyNumberFormat="1" applyFont="1" applyFill="1" applyBorder="1" applyAlignment="1">
      <alignment horizontal="center"/>
    </xf>
    <xf numFmtId="4" fontId="31" fillId="0" borderId="0" xfId="10" applyNumberFormat="1"/>
    <xf numFmtId="4" fontId="5" fillId="0" borderId="0" xfId="10" applyNumberFormat="1" applyFont="1"/>
    <xf numFmtId="4" fontId="34" fillId="2" borderId="0" xfId="0" applyNumberFormat="1" applyFont="1" applyFill="1"/>
    <xf numFmtId="3" fontId="19" fillId="2" borderId="0" xfId="0" applyNumberFormat="1" applyFont="1" applyFill="1"/>
    <xf numFmtId="0" fontId="13" fillId="3" borderId="0" xfId="0" applyFont="1" applyFill="1"/>
    <xf numFmtId="0" fontId="17" fillId="3" borderId="0" xfId="0" applyFont="1" applyFill="1"/>
    <xf numFmtId="0" fontId="36" fillId="2" borderId="0" xfId="0" applyFont="1" applyFill="1"/>
    <xf numFmtId="0" fontId="37" fillId="2" borderId="5" xfId="0" applyFont="1" applyFill="1" applyBorder="1" applyAlignment="1">
      <alignment horizontal="center"/>
    </xf>
    <xf numFmtId="4" fontId="20" fillId="2" borderId="5" xfId="0" applyNumberFormat="1" applyFont="1" applyFill="1" applyBorder="1" applyAlignment="1">
      <alignment horizontal="center"/>
    </xf>
    <xf numFmtId="0" fontId="38" fillId="2" borderId="0" xfId="0" applyFont="1" applyFill="1"/>
    <xf numFmtId="0" fontId="39" fillId="2" borderId="0" xfId="0" applyFont="1" applyFill="1"/>
    <xf numFmtId="4" fontId="38" fillId="2" borderId="6" xfId="0" applyNumberFormat="1" applyFont="1" applyFill="1" applyBorder="1" applyAlignment="1">
      <alignment horizontal="center"/>
    </xf>
    <xf numFmtId="4" fontId="38" fillId="2" borderId="7" xfId="0" applyNumberFormat="1" applyFont="1" applyFill="1" applyBorder="1" applyAlignment="1">
      <alignment horizontal="center"/>
    </xf>
    <xf numFmtId="4" fontId="38" fillId="2" borderId="8" xfId="0" applyNumberFormat="1" applyFont="1" applyFill="1" applyBorder="1" applyAlignment="1">
      <alignment horizontal="center"/>
    </xf>
    <xf numFmtId="4" fontId="38" fillId="2" borderId="5" xfId="0" applyNumberFormat="1" applyFont="1" applyFill="1" applyBorder="1" applyAlignment="1">
      <alignment horizontal="center"/>
    </xf>
    <xf numFmtId="4" fontId="38" fillId="2" borderId="9" xfId="0" applyNumberFormat="1" applyFont="1" applyFill="1" applyBorder="1" applyAlignment="1">
      <alignment horizontal="center"/>
    </xf>
    <xf numFmtId="4" fontId="38" fillId="2" borderId="10" xfId="0" applyNumberFormat="1" applyFont="1" applyFill="1" applyBorder="1" applyAlignment="1">
      <alignment horizontal="center"/>
    </xf>
    <xf numFmtId="49" fontId="38" fillId="2" borderId="11" xfId="0" applyNumberFormat="1" applyFont="1" applyFill="1" applyBorder="1" applyAlignment="1">
      <alignment horizontal="center"/>
    </xf>
    <xf numFmtId="49" fontId="24" fillId="2" borderId="12" xfId="0" applyNumberFormat="1" applyFont="1" applyFill="1" applyBorder="1" applyAlignment="1">
      <alignment horizontal="center"/>
    </xf>
    <xf numFmtId="49" fontId="24" fillId="2" borderId="13" xfId="0" applyNumberFormat="1" applyFont="1" applyFill="1" applyBorder="1" applyAlignment="1">
      <alignment horizontal="center"/>
    </xf>
    <xf numFmtId="49" fontId="38" fillId="2" borderId="14" xfId="0" applyNumberFormat="1" applyFont="1" applyFill="1" applyBorder="1"/>
    <xf numFmtId="0" fontId="24" fillId="2" borderId="15" xfId="0" applyFont="1" applyFill="1" applyBorder="1"/>
    <xf numFmtId="4" fontId="43" fillId="2" borderId="15" xfId="0" applyNumberFormat="1" applyFont="1" applyFill="1" applyBorder="1"/>
    <xf numFmtId="4" fontId="24" fillId="2" borderId="15" xfId="0" applyNumberFormat="1" applyFont="1" applyFill="1" applyBorder="1"/>
    <xf numFmtId="49" fontId="24" fillId="2" borderId="14" xfId="0" applyNumberFormat="1" applyFont="1" applyFill="1" applyBorder="1" applyAlignment="1">
      <alignment horizontal="center"/>
    </xf>
    <xf numFmtId="49" fontId="43" fillId="2" borderId="14" xfId="0" applyNumberFormat="1" applyFont="1" applyFill="1" applyBorder="1" applyAlignment="1">
      <alignment horizontal="center"/>
    </xf>
    <xf numFmtId="0" fontId="43" fillId="2" borderId="15" xfId="0" applyFont="1" applyFill="1" applyBorder="1"/>
    <xf numFmtId="4" fontId="24" fillId="2" borderId="15" xfId="0" applyNumberFormat="1" applyFont="1" applyFill="1" applyBorder="1" applyProtection="1"/>
    <xf numFmtId="0" fontId="24" fillId="2" borderId="15" xfId="0" applyFont="1" applyFill="1" applyBorder="1" applyAlignment="1">
      <alignment horizontal="left"/>
    </xf>
    <xf numFmtId="49" fontId="38" fillId="2" borderId="14" xfId="0" applyNumberFormat="1" applyFont="1" applyFill="1" applyBorder="1" applyAlignment="1">
      <alignment horizontal="left"/>
    </xf>
    <xf numFmtId="49" fontId="38" fillId="3" borderId="14" xfId="0" applyNumberFormat="1" applyFont="1" applyFill="1" applyBorder="1" applyAlignment="1">
      <alignment horizontal="left"/>
    </xf>
    <xf numFmtId="0" fontId="24" fillId="3" borderId="15" xfId="0" applyFont="1" applyFill="1" applyBorder="1"/>
    <xf numFmtId="4" fontId="24" fillId="3" borderId="15" xfId="0" applyNumberFormat="1" applyFont="1" applyFill="1" applyBorder="1"/>
    <xf numFmtId="49" fontId="38" fillId="7" borderId="14" xfId="0" applyNumberFormat="1" applyFont="1" applyFill="1" applyBorder="1"/>
    <xf numFmtId="4" fontId="24" fillId="7" borderId="15" xfId="0" applyNumberFormat="1" applyFont="1" applyFill="1" applyBorder="1"/>
    <xf numFmtId="49" fontId="44" fillId="2" borderId="14" xfId="0" applyNumberFormat="1" applyFont="1" applyFill="1" applyBorder="1" applyAlignment="1">
      <alignment horizontal="left"/>
    </xf>
    <xf numFmtId="4" fontId="43" fillId="2" borderId="15" xfId="0" applyNumberFormat="1" applyFont="1" applyFill="1" applyBorder="1" applyProtection="1"/>
    <xf numFmtId="0" fontId="43" fillId="2" borderId="15" xfId="0" applyFont="1" applyFill="1" applyBorder="1" applyAlignment="1">
      <alignment horizontal="left"/>
    </xf>
    <xf numFmtId="4" fontId="43" fillId="2" borderId="15" xfId="0" applyNumberFormat="1" applyFont="1" applyFill="1" applyBorder="1" applyProtection="1">
      <protection locked="0"/>
    </xf>
    <xf numFmtId="4" fontId="24" fillId="2" borderId="15" xfId="0" applyNumberFormat="1" applyFont="1" applyFill="1" applyBorder="1" applyProtection="1">
      <protection locked="0"/>
    </xf>
    <xf numFmtId="49" fontId="44" fillId="2" borderId="14" xfId="0" applyNumberFormat="1" applyFont="1" applyFill="1" applyBorder="1"/>
    <xf numFmtId="49" fontId="38" fillId="8" borderId="14" xfId="0" applyNumberFormat="1" applyFont="1" applyFill="1" applyBorder="1"/>
    <xf numFmtId="4" fontId="24" fillId="8" borderId="15" xfId="0" applyNumberFormat="1" applyFont="1" applyFill="1" applyBorder="1"/>
    <xf numFmtId="49" fontId="38" fillId="7" borderId="14" xfId="0" applyNumberFormat="1" applyFont="1" applyFill="1" applyBorder="1" applyAlignment="1">
      <alignment horizontal="left"/>
    </xf>
    <xf numFmtId="49" fontId="38" fillId="2" borderId="14" xfId="0" applyNumberFormat="1" applyFont="1" applyFill="1" applyBorder="1" applyAlignment="1">
      <alignment horizontal="center"/>
    </xf>
    <xf numFmtId="49" fontId="38" fillId="8" borderId="14" xfId="0" applyNumberFormat="1" applyFont="1" applyFill="1" applyBorder="1" applyAlignment="1">
      <alignment horizontal="left"/>
    </xf>
    <xf numFmtId="4" fontId="24" fillId="5" borderId="15" xfId="0" applyNumberFormat="1" applyFont="1" applyFill="1" applyBorder="1"/>
    <xf numFmtId="0" fontId="43" fillId="2" borderId="0" xfId="0" applyFont="1" applyFill="1" applyBorder="1"/>
    <xf numFmtId="0" fontId="24" fillId="2" borderId="0" xfId="0" applyFont="1" applyFill="1" applyBorder="1"/>
    <xf numFmtId="4" fontId="43" fillId="2" borderId="0" xfId="0" applyNumberFormat="1" applyFont="1" applyFill="1" applyBorder="1"/>
    <xf numFmtId="0" fontId="22" fillId="2" borderId="0" xfId="0" applyFont="1" applyFill="1" applyBorder="1"/>
    <xf numFmtId="4" fontId="24" fillId="2" borderId="16" xfId="0" applyNumberFormat="1" applyFont="1" applyFill="1" applyBorder="1"/>
    <xf numFmtId="49" fontId="24" fillId="2" borderId="17" xfId="0" applyNumberFormat="1" applyFont="1" applyFill="1" applyBorder="1" applyAlignment="1">
      <alignment horizontal="center"/>
    </xf>
    <xf numFmtId="4" fontId="43" fillId="2" borderId="16" xfId="0" applyNumberFormat="1" applyFont="1" applyFill="1" applyBorder="1"/>
    <xf numFmtId="4" fontId="24" fillId="3" borderId="16" xfId="0" applyNumberFormat="1" applyFont="1" applyFill="1" applyBorder="1"/>
    <xf numFmtId="4" fontId="0" fillId="4" borderId="0" xfId="0" applyNumberFormat="1" applyFill="1"/>
    <xf numFmtId="4" fontId="6" fillId="4" borderId="0" xfId="0" applyNumberFormat="1" applyFont="1" applyFill="1"/>
    <xf numFmtId="4" fontId="5" fillId="4" borderId="0" xfId="0" applyNumberFormat="1" applyFont="1" applyFill="1" applyAlignment="1">
      <alignment horizontal="right"/>
    </xf>
    <xf numFmtId="4" fontId="19" fillId="2" borderId="0" xfId="10" applyNumberFormat="1" applyFont="1" applyFill="1" applyAlignment="1">
      <alignment horizontal="center"/>
    </xf>
    <xf numFmtId="49" fontId="4" fillId="9" borderId="18" xfId="0" applyNumberFormat="1" applyFont="1" applyFill="1" applyBorder="1" applyAlignment="1">
      <alignment horizontal="center"/>
    </xf>
    <xf numFmtId="0" fontId="5" fillId="9" borderId="19" xfId="0" applyFont="1" applyFill="1" applyBorder="1" applyAlignment="1">
      <alignment horizontal="center"/>
    </xf>
    <xf numFmtId="0" fontId="46" fillId="3" borderId="20" xfId="0" applyFont="1" applyFill="1" applyBorder="1" applyAlignment="1">
      <alignment horizontal="center"/>
    </xf>
    <xf numFmtId="0" fontId="5" fillId="3" borderId="20" xfId="0" applyFont="1" applyFill="1" applyBorder="1" applyAlignment="1">
      <alignment horizontal="center"/>
    </xf>
    <xf numFmtId="49" fontId="5" fillId="9" borderId="21" xfId="0" applyNumberFormat="1" applyFont="1" applyFill="1" applyBorder="1" applyAlignment="1">
      <alignment horizontal="center"/>
    </xf>
    <xf numFmtId="49" fontId="5" fillId="9" borderId="22" xfId="0" applyNumberFormat="1" applyFont="1" applyFill="1" applyBorder="1" applyAlignment="1">
      <alignment horizontal="center"/>
    </xf>
    <xf numFmtId="49" fontId="5" fillId="3" borderId="21" xfId="0" applyNumberFormat="1" applyFont="1" applyFill="1" applyBorder="1" applyAlignment="1">
      <alignment horizontal="center"/>
    </xf>
    <xf numFmtId="0" fontId="35" fillId="4" borderId="23" xfId="0" applyFont="1" applyFill="1" applyBorder="1" applyAlignment="1">
      <alignment horizontal="center" vertical="center" textRotation="180" wrapText="1"/>
    </xf>
    <xf numFmtId="0" fontId="35" fillId="4" borderId="24" xfId="0" applyFont="1" applyFill="1" applyBorder="1" applyAlignment="1">
      <alignment horizontal="center" vertical="center" wrapText="1"/>
    </xf>
    <xf numFmtId="49" fontId="5" fillId="2" borderId="25" xfId="0" applyNumberFormat="1" applyFont="1" applyFill="1" applyBorder="1" applyAlignment="1">
      <alignment horizontal="center"/>
    </xf>
    <xf numFmtId="49" fontId="5" fillId="2" borderId="26" xfId="0" applyNumberFormat="1" applyFont="1" applyFill="1" applyBorder="1" applyAlignment="1">
      <alignment horizontal="center"/>
    </xf>
    <xf numFmtId="49" fontId="17" fillId="7" borderId="27" xfId="0" applyNumberFormat="1" applyFont="1" applyFill="1" applyBorder="1" applyAlignment="1">
      <alignment horizontal="center"/>
    </xf>
    <xf numFmtId="4" fontId="11" fillId="7" borderId="26" xfId="0" applyNumberFormat="1" applyFont="1" applyFill="1" applyBorder="1"/>
    <xf numFmtId="0" fontId="35" fillId="4" borderId="28" xfId="0" applyFont="1" applyFill="1" applyBorder="1" applyAlignment="1">
      <alignment horizontal="center" vertical="center" textRotation="180" wrapText="1"/>
    </xf>
    <xf numFmtId="0" fontId="35" fillId="4" borderId="29" xfId="0" applyFont="1" applyFill="1" applyBorder="1" applyAlignment="1">
      <alignment horizontal="center" vertical="center" wrapText="1"/>
    </xf>
    <xf numFmtId="49" fontId="5" fillId="2" borderId="29" xfId="0" applyNumberFormat="1" applyFont="1" applyFill="1" applyBorder="1" applyAlignment="1">
      <alignment horizontal="center"/>
    </xf>
    <xf numFmtId="49" fontId="17" fillId="2" borderId="28" xfId="0" applyNumberFormat="1" applyFont="1" applyFill="1" applyBorder="1" applyAlignment="1">
      <alignment horizontal="center"/>
    </xf>
    <xf numFmtId="4" fontId="15" fillId="2" borderId="29" xfId="0" applyNumberFormat="1" applyFont="1" applyFill="1" applyBorder="1"/>
    <xf numFmtId="4" fontId="11" fillId="2" borderId="24" xfId="0" applyNumberFormat="1" applyFont="1" applyFill="1" applyBorder="1"/>
    <xf numFmtId="4" fontId="11" fillId="2" borderId="29" xfId="0" applyNumberFormat="1" applyFont="1" applyFill="1" applyBorder="1"/>
    <xf numFmtId="4" fontId="11" fillId="2" borderId="30" xfId="0" applyNumberFormat="1" applyFont="1" applyFill="1" applyBorder="1"/>
    <xf numFmtId="49" fontId="29" fillId="2" borderId="28" xfId="0" applyNumberFormat="1" applyFont="1" applyFill="1" applyBorder="1" applyAlignment="1">
      <alignment horizontal="center"/>
    </xf>
    <xf numFmtId="49" fontId="17" fillId="2" borderId="31" xfId="0" applyNumberFormat="1" applyFont="1" applyFill="1" applyBorder="1" applyAlignment="1">
      <alignment horizontal="center"/>
    </xf>
    <xf numFmtId="4" fontId="11" fillId="2" borderId="30" xfId="0" applyNumberFormat="1" applyFont="1" applyFill="1" applyBorder="1" applyAlignment="1">
      <alignment horizontal="center"/>
    </xf>
    <xf numFmtId="49" fontId="17" fillId="2" borderId="23" xfId="0" applyNumberFormat="1" applyFont="1" applyFill="1" applyBorder="1" applyAlignment="1">
      <alignment horizontal="center"/>
    </xf>
    <xf numFmtId="49" fontId="17" fillId="5" borderId="27" xfId="0" applyNumberFormat="1" applyFont="1" applyFill="1" applyBorder="1" applyAlignment="1">
      <alignment horizontal="center"/>
    </xf>
    <xf numFmtId="4" fontId="11" fillId="5" borderId="26" xfId="0" applyNumberFormat="1" applyFont="1" applyFill="1" applyBorder="1"/>
    <xf numFmtId="0" fontId="11" fillId="2" borderId="29" xfId="0" applyFont="1" applyFill="1" applyBorder="1"/>
    <xf numFmtId="4" fontId="15" fillId="2" borderId="30" xfId="0" applyNumberFormat="1" applyFont="1" applyFill="1" applyBorder="1"/>
    <xf numFmtId="4" fontId="15" fillId="2" borderId="24" xfId="0" applyNumberFormat="1" applyFont="1" applyFill="1" applyBorder="1"/>
    <xf numFmtId="0" fontId="15" fillId="2" borderId="29" xfId="0" applyFont="1" applyFill="1" applyBorder="1"/>
    <xf numFmtId="0" fontId="11" fillId="2" borderId="30" xfId="0" applyFont="1" applyFill="1" applyBorder="1"/>
    <xf numFmtId="49" fontId="17" fillId="9" borderId="27" xfId="0" applyNumberFormat="1" applyFont="1" applyFill="1" applyBorder="1" applyAlignment="1">
      <alignment horizontal="center"/>
    </xf>
    <xf numFmtId="0" fontId="11" fillId="9" borderId="26" xfId="0" applyFont="1" applyFill="1" applyBorder="1"/>
    <xf numFmtId="4" fontId="11" fillId="9" borderId="26" xfId="0" applyNumberFormat="1" applyFont="1" applyFill="1" applyBorder="1"/>
    <xf numFmtId="0" fontId="11" fillId="2" borderId="24" xfId="0" applyFont="1" applyFill="1" applyBorder="1"/>
    <xf numFmtId="49" fontId="17" fillId="3" borderId="27" xfId="0" applyNumberFormat="1" applyFont="1" applyFill="1" applyBorder="1" applyAlignment="1">
      <alignment horizontal="center"/>
    </xf>
    <xf numFmtId="4" fontId="11" fillId="3" borderId="26" xfId="0" applyNumberFormat="1" applyFont="1" applyFill="1" applyBorder="1"/>
    <xf numFmtId="0" fontId="31" fillId="2" borderId="29" xfId="0" applyFont="1" applyFill="1" applyBorder="1"/>
    <xf numFmtId="0" fontId="15" fillId="2" borderId="30" xfId="0" applyFont="1" applyFill="1" applyBorder="1"/>
    <xf numFmtId="0" fontId="11" fillId="7" borderId="26" xfId="0" applyFont="1" applyFill="1" applyBorder="1"/>
    <xf numFmtId="49" fontId="17" fillId="2" borderId="0" xfId="0" applyNumberFormat="1" applyFont="1" applyFill="1" applyAlignment="1">
      <alignment horizontal="center"/>
    </xf>
    <xf numFmtId="4" fontId="11" fillId="2" borderId="0" xfId="0" applyNumberFormat="1" applyFont="1" applyFill="1"/>
    <xf numFmtId="49" fontId="24" fillId="2" borderId="32" xfId="0" applyNumberFormat="1" applyFont="1" applyFill="1" applyBorder="1" applyAlignment="1">
      <alignment horizontal="center"/>
    </xf>
    <xf numFmtId="4" fontId="43" fillId="2" borderId="33" xfId="0" applyNumberFormat="1" applyFont="1" applyFill="1" applyBorder="1"/>
    <xf numFmtId="4" fontId="24" fillId="2" borderId="33" xfId="0" applyNumberFormat="1" applyFont="1" applyFill="1" applyBorder="1"/>
    <xf numFmtId="4" fontId="24" fillId="2" borderId="33" xfId="0" applyNumberFormat="1" applyFont="1" applyFill="1" applyBorder="1" applyProtection="1"/>
    <xf numFmtId="4" fontId="43" fillId="2" borderId="33" xfId="0" applyNumberFormat="1" applyFont="1" applyFill="1" applyBorder="1" applyProtection="1">
      <protection locked="0"/>
    </xf>
    <xf numFmtId="49" fontId="44" fillId="2" borderId="34" xfId="0" applyNumberFormat="1" applyFont="1" applyFill="1" applyBorder="1" applyAlignment="1">
      <alignment horizontal="left"/>
    </xf>
    <xf numFmtId="0" fontId="43" fillId="2" borderId="35" xfId="0" applyFont="1" applyFill="1" applyBorder="1"/>
    <xf numFmtId="4" fontId="24" fillId="2" borderId="35" xfId="0" applyNumberFormat="1" applyFont="1" applyFill="1" applyBorder="1"/>
    <xf numFmtId="0" fontId="26" fillId="4" borderId="0" xfId="0" applyFont="1" applyFill="1"/>
    <xf numFmtId="0" fontId="6" fillId="4" borderId="0" xfId="0" applyFont="1" applyFill="1"/>
    <xf numFmtId="0" fontId="24" fillId="0" borderId="36" xfId="0" applyFont="1" applyBorder="1"/>
    <xf numFmtId="4" fontId="24" fillId="0" borderId="36" xfId="0" applyNumberFormat="1" applyFont="1" applyBorder="1"/>
    <xf numFmtId="0" fontId="0" fillId="0" borderId="20" xfId="0" applyBorder="1"/>
    <xf numFmtId="4" fontId="0" fillId="0" borderId="20" xfId="0" applyNumberFormat="1" applyBorder="1"/>
    <xf numFmtId="0" fontId="24" fillId="10" borderId="37" xfId="0" applyFont="1" applyFill="1" applyBorder="1" applyAlignment="1">
      <alignment horizontal="center"/>
    </xf>
    <xf numFmtId="0" fontId="24" fillId="4" borderId="38" xfId="0" applyFont="1" applyFill="1" applyBorder="1"/>
    <xf numFmtId="4" fontId="24" fillId="4" borderId="39" xfId="0" applyNumberFormat="1" applyFont="1" applyFill="1" applyBorder="1"/>
    <xf numFmtId="166" fontId="24" fillId="4" borderId="40" xfId="0" applyNumberFormat="1" applyFont="1" applyFill="1" applyBorder="1" applyAlignment="1">
      <alignment horizontal="center"/>
    </xf>
    <xf numFmtId="0" fontId="0" fillId="4" borderId="0" xfId="0" applyFill="1" applyBorder="1"/>
    <xf numFmtId="4" fontId="0" fillId="4" borderId="41" xfId="0" applyNumberFormat="1" applyFill="1" applyBorder="1"/>
    <xf numFmtId="166" fontId="0" fillId="4" borderId="42" xfId="0" applyNumberFormat="1" applyFill="1" applyBorder="1" applyAlignment="1">
      <alignment horizontal="center"/>
    </xf>
    <xf numFmtId="0" fontId="24" fillId="4" borderId="0" xfId="0" applyFont="1" applyFill="1" applyBorder="1"/>
    <xf numFmtId="4" fontId="24" fillId="4" borderId="41" xfId="0" applyNumberFormat="1" applyFont="1" applyFill="1" applyBorder="1"/>
    <xf numFmtId="0" fontId="0" fillId="4" borderId="43" xfId="0" applyFill="1" applyBorder="1"/>
    <xf numFmtId="4" fontId="0" fillId="4" borderId="44" xfId="0" applyNumberFormat="1" applyFill="1" applyBorder="1"/>
    <xf numFmtId="166" fontId="0" fillId="4" borderId="45" xfId="0" applyNumberFormat="1" applyFill="1" applyBorder="1" applyAlignment="1">
      <alignment horizontal="center"/>
    </xf>
    <xf numFmtId="0" fontId="24" fillId="4" borderId="46" xfId="0" applyFont="1" applyFill="1" applyBorder="1"/>
    <xf numFmtId="0" fontId="0" fillId="4" borderId="47" xfId="0" applyFill="1" applyBorder="1"/>
    <xf numFmtId="0" fontId="24" fillId="4" borderId="47" xfId="0" applyFont="1" applyFill="1" applyBorder="1"/>
    <xf numFmtId="0" fontId="0" fillId="4" borderId="48" xfId="0" applyFill="1" applyBorder="1"/>
    <xf numFmtId="4" fontId="31" fillId="4" borderId="0" xfId="0" applyNumberFormat="1" applyFont="1" applyFill="1"/>
    <xf numFmtId="4" fontId="24" fillId="10" borderId="37" xfId="0" applyNumberFormat="1" applyFont="1" applyFill="1" applyBorder="1" applyAlignment="1">
      <alignment horizontal="center"/>
    </xf>
    <xf numFmtId="4" fontId="31" fillId="4" borderId="41" xfId="0" applyNumberFormat="1" applyFont="1" applyFill="1" applyBorder="1"/>
    <xf numFmtId="4" fontId="31" fillId="4" borderId="44" xfId="0" applyNumberFormat="1" applyFont="1" applyFill="1" applyBorder="1"/>
    <xf numFmtId="166" fontId="24" fillId="4" borderId="49" xfId="0" applyNumberFormat="1" applyFont="1" applyFill="1" applyBorder="1" applyAlignment="1">
      <alignment horizontal="center"/>
    </xf>
    <xf numFmtId="4" fontId="6" fillId="4" borderId="41" xfId="0" applyNumberFormat="1" applyFont="1" applyFill="1" applyBorder="1"/>
    <xf numFmtId="0" fontId="48" fillId="4" borderId="0" xfId="0" applyFont="1" applyFill="1" applyAlignment="1">
      <alignment horizontal="center"/>
    </xf>
    <xf numFmtId="0" fontId="43" fillId="4" borderId="0" xfId="0" applyFont="1" applyFill="1" applyBorder="1"/>
    <xf numFmtId="4" fontId="43" fillId="4" borderId="41" xfId="0" applyNumberFormat="1" applyFont="1" applyFill="1" applyBorder="1"/>
    <xf numFmtId="166" fontId="43" fillId="4" borderId="49" xfId="0" applyNumberFormat="1" applyFont="1" applyFill="1" applyBorder="1" applyAlignment="1">
      <alignment horizontal="center"/>
    </xf>
    <xf numFmtId="4" fontId="5" fillId="4" borderId="41" xfId="0" applyNumberFormat="1" applyFont="1" applyFill="1" applyBorder="1"/>
    <xf numFmtId="166" fontId="5" fillId="4" borderId="42" xfId="0" applyNumberFormat="1" applyFont="1" applyFill="1" applyBorder="1" applyAlignment="1">
      <alignment horizontal="center"/>
    </xf>
    <xf numFmtId="0" fontId="24" fillId="11" borderId="50" xfId="0" applyFont="1" applyFill="1" applyBorder="1" applyAlignment="1">
      <alignment horizontal="center" vertical="center" wrapText="1"/>
    </xf>
    <xf numFmtId="0" fontId="24" fillId="11" borderId="50" xfId="0" applyFont="1" applyFill="1" applyBorder="1" applyAlignment="1">
      <alignment horizontal="center"/>
    </xf>
    <xf numFmtId="0" fontId="24" fillId="11" borderId="51" xfId="0" applyFont="1" applyFill="1" applyBorder="1" applyAlignment="1">
      <alignment horizontal="center" vertical="center" wrapText="1"/>
    </xf>
    <xf numFmtId="0" fontId="24" fillId="11" borderId="52" xfId="0" applyFont="1" applyFill="1" applyBorder="1" applyAlignment="1">
      <alignment horizontal="center" vertical="center" wrapText="1"/>
    </xf>
    <xf numFmtId="0" fontId="0" fillId="0" borderId="53" xfId="0" applyBorder="1" applyAlignment="1">
      <alignment vertical="center"/>
    </xf>
    <xf numFmtId="0" fontId="0" fillId="0" borderId="54" xfId="0" applyBorder="1" applyAlignment="1">
      <alignment vertical="center"/>
    </xf>
    <xf numFmtId="0" fontId="0" fillId="0" borderId="55" xfId="0" applyBorder="1" applyAlignment="1">
      <alignment vertical="center"/>
    </xf>
    <xf numFmtId="0" fontId="6" fillId="0" borderId="54" xfId="0" applyFont="1" applyBorder="1" applyAlignment="1">
      <alignment horizontal="center" vertical="center"/>
    </xf>
    <xf numFmtId="4" fontId="49" fillId="0" borderId="21" xfId="0" applyNumberFormat="1" applyFont="1" applyBorder="1" applyAlignment="1">
      <alignment vertical="center"/>
    </xf>
    <xf numFmtId="4" fontId="49" fillId="0" borderId="20" xfId="0" applyNumberFormat="1" applyFont="1" applyBorder="1" applyAlignment="1">
      <alignment vertical="center"/>
    </xf>
    <xf numFmtId="4" fontId="49" fillId="0" borderId="56" xfId="0" applyNumberFormat="1" applyFont="1" applyBorder="1" applyAlignment="1">
      <alignment vertical="center"/>
    </xf>
    <xf numFmtId="4" fontId="48" fillId="0" borderId="56" xfId="0" applyNumberFormat="1" applyFont="1" applyBorder="1" applyAlignment="1">
      <alignment vertical="center"/>
    </xf>
    <xf numFmtId="4" fontId="48" fillId="0" borderId="57" xfId="0" applyNumberFormat="1" applyFont="1" applyBorder="1" applyAlignment="1">
      <alignment vertical="center"/>
    </xf>
    <xf numFmtId="0" fontId="6" fillId="4" borderId="55" xfId="0" applyFont="1" applyFill="1" applyBorder="1" applyAlignment="1">
      <alignment horizontal="center"/>
    </xf>
    <xf numFmtId="4" fontId="50" fillId="4" borderId="20" xfId="0" applyNumberFormat="1" applyFont="1" applyFill="1" applyBorder="1"/>
    <xf numFmtId="4" fontId="48" fillId="4" borderId="20" xfId="0" applyNumberFormat="1" applyFont="1" applyFill="1" applyBorder="1"/>
    <xf numFmtId="4" fontId="48" fillId="4" borderId="58" xfId="0" applyNumberFormat="1" applyFont="1" applyFill="1" applyBorder="1"/>
    <xf numFmtId="0" fontId="49" fillId="4" borderId="55" xfId="0" applyFont="1" applyFill="1" applyBorder="1"/>
    <xf numFmtId="0" fontId="51" fillId="4" borderId="55" xfId="0" applyFont="1" applyFill="1" applyBorder="1" applyAlignment="1">
      <alignment horizontal="center"/>
    </xf>
    <xf numFmtId="0" fontId="51" fillId="4" borderId="59" xfId="0" applyFont="1" applyFill="1" applyBorder="1"/>
    <xf numFmtId="166" fontId="48" fillId="4" borderId="60" xfId="0" applyNumberFormat="1" applyFont="1" applyFill="1" applyBorder="1" applyAlignment="1">
      <alignment horizontal="center"/>
    </xf>
    <xf numFmtId="4" fontId="6" fillId="0" borderId="0" xfId="0" applyNumberFormat="1" applyFont="1"/>
    <xf numFmtId="0" fontId="0" fillId="0" borderId="0" xfId="0" applyAlignment="1">
      <alignment wrapText="1"/>
    </xf>
    <xf numFmtId="0" fontId="48" fillId="0" borderId="36" xfId="0" applyFont="1" applyBorder="1" applyAlignment="1">
      <alignment horizontal="center"/>
    </xf>
    <xf numFmtId="4" fontId="48" fillId="0" borderId="36" xfId="0" applyNumberFormat="1" applyFont="1" applyBorder="1"/>
    <xf numFmtId="0" fontId="50" fillId="0" borderId="20" xfId="0" applyFont="1" applyBorder="1"/>
    <xf numFmtId="4" fontId="50" fillId="0" borderId="20" xfId="0" applyNumberFormat="1" applyFont="1" applyBorder="1"/>
    <xf numFmtId="166" fontId="50" fillId="0" borderId="20" xfId="0" applyNumberFormat="1" applyFont="1" applyBorder="1" applyAlignment="1">
      <alignment horizontal="center"/>
    </xf>
    <xf numFmtId="166" fontId="48" fillId="0" borderId="21" xfId="0" applyNumberFormat="1" applyFont="1" applyBorder="1" applyAlignment="1">
      <alignment horizontal="center"/>
    </xf>
    <xf numFmtId="166" fontId="48" fillId="0" borderId="56" xfId="0" applyNumberFormat="1" applyFont="1" applyBorder="1" applyAlignment="1">
      <alignment horizontal="center"/>
    </xf>
    <xf numFmtId="166" fontId="48" fillId="0" borderId="20" xfId="0" applyNumberFormat="1" applyFont="1" applyBorder="1" applyAlignment="1">
      <alignment horizontal="center"/>
    </xf>
    <xf numFmtId="0" fontId="6" fillId="11" borderId="50" xfId="0" applyFont="1" applyFill="1" applyBorder="1" applyAlignment="1">
      <alignment horizontal="center"/>
    </xf>
    <xf numFmtId="0" fontId="50" fillId="0" borderId="20" xfId="0" applyFont="1" applyBorder="1" applyAlignment="1">
      <alignment horizontal="center"/>
    </xf>
    <xf numFmtId="0" fontId="0" fillId="4" borderId="42" xfId="0" applyFill="1" applyBorder="1"/>
    <xf numFmtId="4" fontId="6" fillId="4" borderId="20" xfId="0" applyNumberFormat="1" applyFont="1" applyFill="1" applyBorder="1" applyAlignment="1">
      <alignment horizontal="center"/>
    </xf>
    <xf numFmtId="0" fontId="24" fillId="11" borderId="61" xfId="0" applyFont="1" applyFill="1" applyBorder="1" applyAlignment="1">
      <alignment horizontal="center" vertical="center" wrapText="1"/>
    </xf>
    <xf numFmtId="166" fontId="24" fillId="0" borderId="36" xfId="0" applyNumberFormat="1" applyFont="1" applyBorder="1" applyAlignment="1">
      <alignment horizontal="center"/>
    </xf>
    <xf numFmtId="166" fontId="24" fillId="0" borderId="20" xfId="0" applyNumberFormat="1" applyFont="1" applyBorder="1" applyAlignment="1">
      <alignment horizontal="center"/>
    </xf>
    <xf numFmtId="4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0" fontId="6" fillId="4" borderId="0" xfId="0" applyFont="1" applyFill="1" applyBorder="1"/>
    <xf numFmtId="0" fontId="6" fillId="4" borderId="0" xfId="0" applyFont="1" applyFill="1" applyBorder="1" applyAlignment="1">
      <alignment horizontal="center"/>
    </xf>
    <xf numFmtId="4" fontId="0" fillId="4" borderId="62" xfId="0" applyNumberFormat="1" applyFill="1" applyBorder="1"/>
    <xf numFmtId="0" fontId="6" fillId="4" borderId="47" xfId="0" applyFont="1" applyFill="1" applyBorder="1"/>
    <xf numFmtId="0" fontId="6" fillId="4" borderId="42" xfId="0" applyFont="1" applyFill="1" applyBorder="1"/>
    <xf numFmtId="4" fontId="6" fillId="4" borderId="62" xfId="0" applyNumberFormat="1" applyFont="1" applyFill="1" applyBorder="1"/>
    <xf numFmtId="0" fontId="6" fillId="4" borderId="47" xfId="0" applyFont="1" applyFill="1" applyBorder="1" applyAlignment="1">
      <alignment horizontal="center"/>
    </xf>
    <xf numFmtId="0" fontId="6" fillId="4" borderId="42" xfId="0" applyFont="1" applyFill="1" applyBorder="1" applyAlignment="1">
      <alignment horizontal="center"/>
    </xf>
    <xf numFmtId="4" fontId="0" fillId="4" borderId="63" xfId="0" applyNumberFormat="1" applyFill="1" applyBorder="1"/>
    <xf numFmtId="0" fontId="0" fillId="4" borderId="64" xfId="0" applyFill="1" applyBorder="1"/>
    <xf numFmtId="0" fontId="0" fillId="4" borderId="65" xfId="0" applyFill="1" applyBorder="1"/>
    <xf numFmtId="0" fontId="54" fillId="4" borderId="0" xfId="0" applyFont="1" applyFill="1"/>
    <xf numFmtId="166" fontId="31" fillId="2" borderId="0" xfId="10" applyNumberFormat="1" applyFill="1"/>
    <xf numFmtId="166" fontId="5" fillId="2" borderId="0" xfId="10" applyNumberFormat="1" applyFont="1" applyFill="1"/>
    <xf numFmtId="0" fontId="31" fillId="4" borderId="0" xfId="10" applyFill="1"/>
    <xf numFmtId="0" fontId="5" fillId="4" borderId="0" xfId="10" applyFont="1" applyFill="1"/>
    <xf numFmtId="4" fontId="31" fillId="4" borderId="0" xfId="10" applyNumberFormat="1" applyFill="1"/>
    <xf numFmtId="0" fontId="31" fillId="12" borderId="0" xfId="10" applyFill="1"/>
    <xf numFmtId="4" fontId="31" fillId="13" borderId="0" xfId="10" applyNumberFormat="1" applyFill="1"/>
    <xf numFmtId="4" fontId="24" fillId="13" borderId="66" xfId="10" applyNumberFormat="1" applyFont="1" applyFill="1" applyBorder="1" applyAlignment="1">
      <alignment horizontal="center"/>
    </xf>
    <xf numFmtId="0" fontId="24" fillId="13" borderId="0" xfId="10" applyNumberFormat="1" applyFont="1" applyFill="1" applyBorder="1" applyAlignment="1">
      <alignment horizontal="center"/>
    </xf>
    <xf numFmtId="4" fontId="33" fillId="13" borderId="4" xfId="10" applyNumberFormat="1" applyFont="1" applyFill="1" applyBorder="1"/>
    <xf numFmtId="4" fontId="1" fillId="13" borderId="0" xfId="10" applyNumberFormat="1" applyFont="1" applyFill="1" applyBorder="1"/>
    <xf numFmtId="4" fontId="19" fillId="13" borderId="0" xfId="10" applyNumberFormat="1" applyFont="1" applyFill="1" applyBorder="1"/>
    <xf numFmtId="4" fontId="1" fillId="13" borderId="0" xfId="10" applyNumberFormat="1" applyFont="1" applyFill="1"/>
    <xf numFmtId="4" fontId="31" fillId="12" borderId="0" xfId="10" applyNumberFormat="1" applyFill="1"/>
    <xf numFmtId="4" fontId="5" fillId="12" borderId="0" xfId="10" applyNumberFormat="1" applyFont="1" applyFill="1"/>
    <xf numFmtId="49" fontId="19" fillId="2" borderId="14" xfId="0" applyNumberFormat="1" applyFont="1" applyFill="1" applyBorder="1" applyAlignment="1">
      <alignment horizontal="center"/>
    </xf>
    <xf numFmtId="4" fontId="19" fillId="2" borderId="15" xfId="0" applyNumberFormat="1" applyFont="1" applyFill="1" applyBorder="1"/>
    <xf numFmtId="4" fontId="19" fillId="13" borderId="67" xfId="10" applyNumberFormat="1" applyFont="1" applyFill="1" applyBorder="1" applyAlignment="1">
      <alignment horizontal="center"/>
    </xf>
    <xf numFmtId="4" fontId="5" fillId="13" borderId="0" xfId="10" applyNumberFormat="1" applyFont="1" applyFill="1"/>
    <xf numFmtId="49" fontId="38" fillId="14" borderId="14" xfId="0" applyNumberFormat="1" applyFont="1" applyFill="1" applyBorder="1"/>
    <xf numFmtId="0" fontId="43" fillId="13" borderId="15" xfId="0" applyFont="1" applyFill="1" applyBorder="1"/>
    <xf numFmtId="4" fontId="24" fillId="13" borderId="15" xfId="0" applyNumberFormat="1" applyFont="1" applyFill="1" applyBorder="1"/>
    <xf numFmtId="0" fontId="14" fillId="13" borderId="0" xfId="0" applyFont="1" applyFill="1"/>
    <xf numFmtId="0" fontId="28" fillId="13" borderId="0" xfId="0" applyFont="1" applyFill="1"/>
    <xf numFmtId="0" fontId="36" fillId="15" borderId="0" xfId="0" applyFont="1" applyFill="1"/>
    <xf numFmtId="0" fontId="28" fillId="15" borderId="0" xfId="0" applyFont="1" applyFill="1"/>
    <xf numFmtId="0" fontId="11" fillId="15" borderId="0" xfId="0" applyFont="1" applyFill="1"/>
    <xf numFmtId="0" fontId="43" fillId="2" borderId="3" xfId="0" applyFont="1" applyFill="1" applyBorder="1"/>
    <xf numFmtId="4" fontId="55" fillId="0" borderId="15" xfId="0" applyNumberFormat="1" applyFont="1" applyBorder="1"/>
    <xf numFmtId="4" fontId="19" fillId="2" borderId="67" xfId="10" applyNumberFormat="1" applyFont="1" applyFill="1" applyBorder="1" applyAlignment="1">
      <alignment horizontal="center"/>
    </xf>
    <xf numFmtId="4" fontId="19" fillId="2" borderId="66" xfId="10" applyNumberFormat="1" applyFont="1" applyFill="1" applyBorder="1" applyAlignment="1">
      <alignment horizontal="center"/>
    </xf>
    <xf numFmtId="0" fontId="19" fillId="2" borderId="0" xfId="10" applyNumberFormat="1" applyFont="1" applyFill="1" applyBorder="1" applyAlignment="1">
      <alignment horizontal="center"/>
    </xf>
    <xf numFmtId="49" fontId="19" fillId="2" borderId="13" xfId="0" applyNumberFormat="1" applyFont="1" applyFill="1" applyBorder="1" applyAlignment="1">
      <alignment horizontal="center"/>
    </xf>
    <xf numFmtId="4" fontId="19" fillId="2" borderId="15" xfId="0" applyNumberFormat="1" applyFont="1" applyFill="1" applyBorder="1" applyProtection="1"/>
    <xf numFmtId="4" fontId="19" fillId="7" borderId="15" xfId="0" applyNumberFormat="1" applyFont="1" applyFill="1" applyBorder="1"/>
    <xf numFmtId="4" fontId="19" fillId="2" borderId="15" xfId="0" applyNumberFormat="1" applyFont="1" applyFill="1" applyBorder="1" applyProtection="1">
      <protection locked="0"/>
    </xf>
    <xf numFmtId="4" fontId="19" fillId="8" borderId="15" xfId="0" applyNumberFormat="1" applyFont="1" applyFill="1" applyBorder="1"/>
    <xf numFmtId="4" fontId="19" fillId="13" borderId="15" xfId="0" applyNumberFormat="1" applyFont="1" applyFill="1" applyBorder="1"/>
    <xf numFmtId="49" fontId="38" fillId="17" borderId="14" xfId="0" applyNumberFormat="1" applyFont="1" applyFill="1" applyBorder="1" applyAlignment="1">
      <alignment horizontal="left"/>
    </xf>
    <xf numFmtId="4" fontId="24" fillId="17" borderId="15" xfId="0" applyNumberFormat="1" applyFont="1" applyFill="1" applyBorder="1"/>
    <xf numFmtId="49" fontId="38" fillId="3" borderId="70" xfId="0" applyNumberFormat="1" applyFont="1" applyFill="1" applyBorder="1"/>
    <xf numFmtId="0" fontId="24" fillId="3" borderId="71" xfId="0" applyFont="1" applyFill="1" applyBorder="1"/>
    <xf numFmtId="4" fontId="24" fillId="3" borderId="71" xfId="0" applyNumberFormat="1" applyFont="1" applyFill="1" applyBorder="1"/>
    <xf numFmtId="4" fontId="24" fillId="3" borderId="72" xfId="0" applyNumberFormat="1" applyFont="1" applyFill="1" applyBorder="1"/>
    <xf numFmtId="4" fontId="24" fillId="3" borderId="73" xfId="0" applyNumberFormat="1" applyFont="1" applyFill="1" applyBorder="1"/>
    <xf numFmtId="4" fontId="24" fillId="3" borderId="74" xfId="0" applyNumberFormat="1" applyFont="1" applyFill="1" applyBorder="1"/>
    <xf numFmtId="4" fontId="19" fillId="3" borderId="73" xfId="0" applyNumberFormat="1" applyFont="1" applyFill="1" applyBorder="1"/>
    <xf numFmtId="4" fontId="23" fillId="2" borderId="0" xfId="10" applyNumberFormat="1" applyFont="1" applyFill="1"/>
    <xf numFmtId="4" fontId="38" fillId="2" borderId="75" xfId="0" applyNumberFormat="1" applyFont="1" applyFill="1" applyBorder="1" applyAlignment="1">
      <alignment horizontal="center"/>
    </xf>
    <xf numFmtId="4" fontId="38" fillId="2" borderId="76" xfId="0" applyNumberFormat="1" applyFont="1" applyFill="1" applyBorder="1" applyAlignment="1">
      <alignment horizontal="center"/>
    </xf>
    <xf numFmtId="49" fontId="19" fillId="2" borderId="77" xfId="0" applyNumberFormat="1" applyFont="1" applyFill="1" applyBorder="1" applyAlignment="1">
      <alignment horizontal="center"/>
    </xf>
    <xf numFmtId="4" fontId="19" fillId="2" borderId="78" xfId="10" applyNumberFormat="1" applyFont="1" applyFill="1" applyBorder="1" applyAlignment="1">
      <alignment horizontal="center"/>
    </xf>
    <xf numFmtId="4" fontId="19" fillId="2" borderId="79" xfId="10" applyNumberFormat="1" applyFont="1" applyFill="1" applyBorder="1" applyAlignment="1">
      <alignment horizontal="center"/>
    </xf>
    <xf numFmtId="4" fontId="19" fillId="2" borderId="67" xfId="0" applyNumberFormat="1" applyFont="1" applyFill="1" applyBorder="1" applyAlignment="1">
      <alignment horizontal="center"/>
    </xf>
    <xf numFmtId="3" fontId="19" fillId="2" borderId="67" xfId="0" applyNumberFormat="1" applyFont="1" applyFill="1" applyBorder="1" applyAlignment="1">
      <alignment horizontal="center"/>
    </xf>
    <xf numFmtId="4" fontId="19" fillId="2" borderId="80" xfId="10" applyNumberFormat="1" applyFont="1" applyFill="1" applyBorder="1" applyAlignment="1">
      <alignment horizontal="center"/>
    </xf>
    <xf numFmtId="4" fontId="19" fillId="2" borderId="81" xfId="10" applyNumberFormat="1" applyFont="1" applyFill="1" applyBorder="1" applyAlignment="1">
      <alignment horizontal="center"/>
    </xf>
    <xf numFmtId="4" fontId="19" fillId="2" borderId="66" xfId="0" applyNumberFormat="1" applyFont="1" applyFill="1" applyBorder="1" applyAlignment="1">
      <alignment horizontal="center"/>
    </xf>
    <xf numFmtId="3" fontId="19" fillId="2" borderId="66" xfId="0" applyNumberFormat="1" applyFont="1" applyFill="1" applyBorder="1" applyAlignment="1">
      <alignment horizontal="center"/>
    </xf>
    <xf numFmtId="0" fontId="43" fillId="2" borderId="0" xfId="10" applyFont="1" applyFill="1" applyBorder="1" applyAlignment="1">
      <alignment horizontal="center" vertical="center"/>
    </xf>
    <xf numFmtId="0" fontId="19" fillId="2" borderId="0" xfId="0" applyNumberFormat="1" applyFont="1" applyFill="1" applyBorder="1" applyAlignment="1">
      <alignment horizontal="center"/>
    </xf>
    <xf numFmtId="3" fontId="19" fillId="2" borderId="0" xfId="0" applyNumberFormat="1" applyFont="1" applyFill="1" applyBorder="1" applyAlignment="1">
      <alignment horizontal="center"/>
    </xf>
    <xf numFmtId="0" fontId="19" fillId="2" borderId="4" xfId="10" applyFont="1" applyFill="1" applyBorder="1"/>
    <xf numFmtId="0" fontId="43" fillId="2" borderId="0" xfId="10" applyFont="1" applyFill="1" applyBorder="1"/>
    <xf numFmtId="4" fontId="43" fillId="2" borderId="0" xfId="10" applyNumberFormat="1" applyFont="1" applyFill="1" applyBorder="1"/>
    <xf numFmtId="0" fontId="19" fillId="2" borderId="0" xfId="10" applyFont="1" applyFill="1" applyBorder="1"/>
    <xf numFmtId="4" fontId="19" fillId="4" borderId="0" xfId="0" applyNumberFormat="1" applyFont="1" applyFill="1" applyAlignment="1" applyProtection="1">
      <alignment horizontal="right"/>
      <protection locked="0"/>
    </xf>
    <xf numFmtId="4" fontId="43" fillId="4" borderId="0" xfId="0" applyNumberFormat="1" applyFont="1" applyFill="1" applyProtection="1">
      <protection locked="0"/>
    </xf>
    <xf numFmtId="4" fontId="19" fillId="4" borderId="0" xfId="0" applyNumberFormat="1" applyFont="1" applyFill="1" applyAlignment="1">
      <alignment horizontal="right"/>
    </xf>
    <xf numFmtId="4" fontId="43" fillId="2" borderId="0" xfId="0" applyNumberFormat="1" applyFont="1" applyFill="1"/>
    <xf numFmtId="4" fontId="43" fillId="2" borderId="0" xfId="10" applyNumberFormat="1" applyFont="1" applyFill="1"/>
    <xf numFmtId="0" fontId="19" fillId="2" borderId="0" xfId="10" applyFont="1" applyFill="1" applyBorder="1" applyAlignment="1">
      <alignment horizontal="left"/>
    </xf>
    <xf numFmtId="49" fontId="17" fillId="16" borderId="27" xfId="0" applyNumberFormat="1" applyFont="1" applyFill="1" applyBorder="1" applyAlignment="1">
      <alignment horizontal="center"/>
    </xf>
    <xf numFmtId="4" fontId="11" fillId="16" borderId="26" xfId="0" applyNumberFormat="1" applyFont="1" applyFill="1" applyBorder="1" applyAlignment="1">
      <alignment horizontal="right"/>
    </xf>
    <xf numFmtId="4" fontId="11" fillId="16" borderId="26" xfId="0" applyNumberFormat="1" applyFont="1" applyFill="1" applyBorder="1"/>
    <xf numFmtId="4" fontId="55" fillId="0" borderId="82" xfId="0" applyNumberFormat="1" applyFont="1" applyBorder="1"/>
    <xf numFmtId="0" fontId="5" fillId="4" borderId="0" xfId="0" applyFont="1" applyFill="1" applyBorder="1" applyAlignment="1">
      <alignment horizontal="center"/>
    </xf>
    <xf numFmtId="9" fontId="1" fillId="2" borderId="0" xfId="11" applyFill="1" applyBorder="1" applyAlignment="1">
      <alignment horizontal="center"/>
    </xf>
    <xf numFmtId="9" fontId="1" fillId="2" borderId="0" xfId="11" applyFill="1" applyAlignment="1">
      <alignment horizontal="center"/>
    </xf>
    <xf numFmtId="9" fontId="19" fillId="2" borderId="4" xfId="11" applyFont="1" applyFill="1" applyBorder="1" applyAlignment="1">
      <alignment horizontal="center"/>
    </xf>
    <xf numFmtId="9" fontId="19" fillId="2" borderId="0" xfId="11" applyFont="1" applyFill="1" applyBorder="1" applyAlignment="1">
      <alignment horizontal="center"/>
    </xf>
    <xf numFmtId="9" fontId="1" fillId="4" borderId="0" xfId="11" applyFill="1" applyAlignment="1" applyProtection="1">
      <alignment horizontal="center"/>
      <protection locked="0"/>
    </xf>
    <xf numFmtId="9" fontId="1" fillId="0" borderId="0" xfId="11" applyAlignment="1">
      <alignment horizontal="center"/>
    </xf>
    <xf numFmtId="166" fontId="24" fillId="4" borderId="42" xfId="0" applyNumberFormat="1" applyFont="1" applyFill="1" applyBorder="1" applyAlignment="1">
      <alignment horizontal="center"/>
    </xf>
    <xf numFmtId="166" fontId="0" fillId="4" borderId="49" xfId="0" applyNumberFormat="1" applyFill="1" applyBorder="1" applyAlignment="1">
      <alignment horizontal="center"/>
    </xf>
    <xf numFmtId="0" fontId="0" fillId="4" borderId="83" xfId="0" applyFill="1" applyBorder="1"/>
    <xf numFmtId="0" fontId="5" fillId="4" borderId="20" xfId="0" applyFont="1" applyFill="1" applyBorder="1"/>
    <xf numFmtId="3" fontId="5" fillId="4" borderId="20" xfId="0" applyNumberFormat="1" applyFont="1" applyFill="1" applyBorder="1"/>
    <xf numFmtId="9" fontId="5" fillId="4" borderId="20" xfId="0" applyNumberFormat="1" applyFont="1" applyFill="1" applyBorder="1" applyAlignment="1">
      <alignment horizontal="center"/>
    </xf>
    <xf numFmtId="0" fontId="5" fillId="4" borderId="0" xfId="0" applyFont="1" applyFill="1"/>
    <xf numFmtId="0" fontId="0" fillId="4" borderId="20" xfId="0" applyFill="1" applyBorder="1"/>
    <xf numFmtId="3" fontId="0" fillId="4" borderId="20" xfId="0" applyNumberFormat="1" applyFill="1" applyBorder="1"/>
    <xf numFmtId="9" fontId="0" fillId="4" borderId="20" xfId="0" applyNumberFormat="1" applyFill="1" applyBorder="1" applyAlignment="1">
      <alignment horizontal="center"/>
    </xf>
    <xf numFmtId="0" fontId="26" fillId="4" borderId="20" xfId="0" applyFont="1" applyFill="1" applyBorder="1"/>
    <xf numFmtId="3" fontId="26" fillId="4" borderId="20" xfId="0" applyNumberFormat="1" applyFont="1" applyFill="1" applyBorder="1"/>
    <xf numFmtId="0" fontId="0" fillId="4" borderId="84" xfId="0" applyFill="1" applyBorder="1"/>
    <xf numFmtId="166" fontId="5" fillId="4" borderId="85" xfId="0" applyNumberFormat="1" applyFont="1" applyFill="1" applyBorder="1" applyAlignment="1">
      <alignment horizontal="center"/>
    </xf>
    <xf numFmtId="166" fontId="5" fillId="4" borderId="86" xfId="0" applyNumberFormat="1" applyFont="1" applyFill="1" applyBorder="1" applyAlignment="1">
      <alignment horizontal="center"/>
    </xf>
    <xf numFmtId="166" fontId="5" fillId="4" borderId="0" xfId="0" applyNumberFormat="1" applyFont="1" applyFill="1" applyBorder="1" applyAlignment="1">
      <alignment horizontal="center"/>
    </xf>
    <xf numFmtId="0" fontId="5" fillId="4" borderId="0" xfId="0" applyFont="1" applyFill="1" applyBorder="1"/>
    <xf numFmtId="9" fontId="5" fillId="4" borderId="85" xfId="0" applyNumberFormat="1" applyFont="1" applyFill="1" applyBorder="1" applyAlignment="1">
      <alignment horizontal="center"/>
    </xf>
    <xf numFmtId="3" fontId="0" fillId="4" borderId="0" xfId="0" applyNumberFormat="1" applyFill="1"/>
    <xf numFmtId="9" fontId="43" fillId="4" borderId="0" xfId="11" applyFont="1" applyFill="1"/>
    <xf numFmtId="0" fontId="59" fillId="4" borderId="0" xfId="0" applyFont="1" applyFill="1"/>
    <xf numFmtId="9" fontId="59" fillId="4" borderId="0" xfId="11" applyFont="1" applyFill="1"/>
    <xf numFmtId="0" fontId="60" fillId="4" borderId="87" xfId="0" applyFont="1" applyFill="1" applyBorder="1" applyAlignment="1">
      <alignment horizontal="center" vertical="center" wrapText="1"/>
    </xf>
    <xf numFmtId="0" fontId="60" fillId="4" borderId="87" xfId="0" applyFont="1" applyFill="1" applyBorder="1" applyAlignment="1">
      <alignment vertical="center" wrapText="1"/>
    </xf>
    <xf numFmtId="9" fontId="60" fillId="4" borderId="87" xfId="11" applyFont="1" applyFill="1" applyBorder="1" applyAlignment="1">
      <alignment horizontal="center" vertical="center" wrapText="1"/>
    </xf>
    <xf numFmtId="3" fontId="60" fillId="4" borderId="26" xfId="0" applyNumberFormat="1" applyFont="1" applyFill="1" applyBorder="1"/>
    <xf numFmtId="9" fontId="60" fillId="4" borderId="26" xfId="11" applyFont="1" applyFill="1" applyBorder="1" applyAlignment="1">
      <alignment horizontal="center"/>
    </xf>
    <xf numFmtId="0" fontId="59" fillId="4" borderId="88" xfId="0" applyFont="1" applyFill="1" applyBorder="1"/>
    <xf numFmtId="0" fontId="59" fillId="4" borderId="0" xfId="0" applyFont="1" applyFill="1" applyBorder="1"/>
    <xf numFmtId="3" fontId="59" fillId="4" borderId="0" xfId="0" applyNumberFormat="1" applyFont="1" applyFill="1" applyBorder="1"/>
    <xf numFmtId="9" fontId="59" fillId="4" borderId="0" xfId="11" applyFont="1" applyFill="1" applyBorder="1"/>
    <xf numFmtId="0" fontId="60" fillId="4" borderId="89" xfId="0" applyFont="1" applyFill="1" applyBorder="1"/>
    <xf numFmtId="0" fontId="60" fillId="4" borderId="90" xfId="0" applyFont="1" applyFill="1" applyBorder="1"/>
    <xf numFmtId="0" fontId="60" fillId="4" borderId="91" xfId="0" applyFont="1" applyFill="1" applyBorder="1"/>
    <xf numFmtId="0" fontId="60" fillId="4" borderId="92" xfId="0" applyFont="1" applyFill="1" applyBorder="1"/>
    <xf numFmtId="0" fontId="60" fillId="4" borderId="93" xfId="0" applyFont="1" applyFill="1" applyBorder="1"/>
    <xf numFmtId="0" fontId="60" fillId="4" borderId="94" xfId="0" applyFont="1" applyFill="1" applyBorder="1"/>
    <xf numFmtId="3" fontId="60" fillId="4" borderId="24" xfId="0" applyNumberFormat="1" applyFont="1" applyFill="1" applyBorder="1"/>
    <xf numFmtId="9" fontId="60" fillId="4" borderId="24" xfId="11" applyFont="1" applyFill="1" applyBorder="1" applyAlignment="1">
      <alignment horizontal="center"/>
    </xf>
    <xf numFmtId="0" fontId="59" fillId="4" borderId="95" xfId="0" applyFont="1" applyFill="1" applyBorder="1"/>
    <xf numFmtId="0" fontId="59" fillId="4" borderId="96" xfId="0" applyFont="1" applyFill="1" applyBorder="1"/>
    <xf numFmtId="0" fontId="59" fillId="4" borderId="97" xfId="0" applyFont="1" applyFill="1" applyBorder="1"/>
    <xf numFmtId="3" fontId="59" fillId="4" borderId="29" xfId="0" applyNumberFormat="1" applyFont="1" applyFill="1" applyBorder="1"/>
    <xf numFmtId="9" fontId="59" fillId="4" borderId="29" xfId="11" applyFont="1" applyFill="1" applyBorder="1"/>
    <xf numFmtId="0" fontId="59" fillId="4" borderId="98" xfId="0" applyFont="1" applyFill="1" applyBorder="1"/>
    <xf numFmtId="3" fontId="59" fillId="4" borderId="98" xfId="0" applyNumberFormat="1" applyFont="1" applyFill="1" applyBorder="1"/>
    <xf numFmtId="9" fontId="59" fillId="4" borderId="98" xfId="11" applyFont="1" applyFill="1" applyBorder="1"/>
    <xf numFmtId="4" fontId="59" fillId="4" borderId="98" xfId="0" applyNumberFormat="1" applyFont="1" applyFill="1" applyBorder="1"/>
    <xf numFmtId="0" fontId="21" fillId="2" borderId="0" xfId="10" applyFont="1" applyFill="1" applyBorder="1"/>
    <xf numFmtId="0" fontId="24" fillId="17" borderId="15" xfId="0" applyFont="1" applyFill="1" applyBorder="1"/>
    <xf numFmtId="0" fontId="28" fillId="17" borderId="0" xfId="0" applyFont="1" applyFill="1"/>
    <xf numFmtId="0" fontId="11" fillId="17" borderId="0" xfId="0" applyFont="1" applyFill="1"/>
    <xf numFmtId="4" fontId="19" fillId="2" borderId="16" xfId="0" applyNumberFormat="1" applyFont="1" applyFill="1" applyBorder="1"/>
    <xf numFmtId="4" fontId="19" fillId="2" borderId="33" xfId="0" applyNumberFormat="1" applyFont="1" applyFill="1" applyBorder="1"/>
    <xf numFmtId="0" fontId="5" fillId="18" borderId="99" xfId="0" applyFont="1" applyFill="1" applyBorder="1" applyAlignment="1">
      <alignment horizontal="center"/>
    </xf>
    <xf numFmtId="0" fontId="5" fillId="18" borderId="100" xfId="0" applyFont="1" applyFill="1" applyBorder="1" applyAlignment="1">
      <alignment horizontal="center" wrapText="1"/>
    </xf>
    <xf numFmtId="0" fontId="5" fillId="18" borderId="100" xfId="0" applyFont="1" applyFill="1" applyBorder="1" applyAlignment="1">
      <alignment horizontal="center" vertical="center" wrapText="1"/>
    </xf>
    <xf numFmtId="0" fontId="0" fillId="4" borderId="45" xfId="0" applyFill="1" applyBorder="1"/>
    <xf numFmtId="0" fontId="0" fillId="4" borderId="56" xfId="0" applyFill="1" applyBorder="1"/>
    <xf numFmtId="0" fontId="5" fillId="4" borderId="45" xfId="0" applyFont="1" applyFill="1" applyBorder="1"/>
    <xf numFmtId="3" fontId="5" fillId="4" borderId="56" xfId="0" applyNumberFormat="1" applyFont="1" applyFill="1" applyBorder="1"/>
    <xf numFmtId="9" fontId="1" fillId="4" borderId="0" xfId="11" applyNumberFormat="1" applyFill="1"/>
    <xf numFmtId="9" fontId="5" fillId="18" borderId="101" xfId="0" applyNumberFormat="1" applyFont="1" applyFill="1" applyBorder="1" applyAlignment="1">
      <alignment horizontal="center" vertical="center" wrapText="1"/>
    </xf>
    <xf numFmtId="9" fontId="1" fillId="4" borderId="102" xfId="11" applyNumberFormat="1" applyFill="1" applyBorder="1"/>
    <xf numFmtId="9" fontId="19" fillId="4" borderId="20" xfId="11" applyNumberFormat="1" applyFont="1" applyFill="1" applyBorder="1" applyAlignment="1">
      <alignment horizontal="center"/>
    </xf>
    <xf numFmtId="9" fontId="1" fillId="4" borderId="56" xfId="11" applyNumberFormat="1" applyFill="1" applyBorder="1"/>
    <xf numFmtId="9" fontId="1" fillId="4" borderId="20" xfId="11" applyNumberFormat="1" applyFill="1" applyBorder="1"/>
    <xf numFmtId="0" fontId="24" fillId="18" borderId="36" xfId="0" applyFont="1" applyFill="1" applyBorder="1" applyAlignment="1">
      <alignment horizontal="center"/>
    </xf>
    <xf numFmtId="0" fontId="24" fillId="18" borderId="37" xfId="0" applyFont="1" applyFill="1" applyBorder="1" applyAlignment="1">
      <alignment horizontal="center"/>
    </xf>
    <xf numFmtId="0" fontId="19" fillId="18" borderId="37" xfId="0" applyFont="1" applyFill="1" applyBorder="1" applyAlignment="1">
      <alignment horizontal="center"/>
    </xf>
    <xf numFmtId="0" fontId="26" fillId="0" borderId="0" xfId="0" applyFont="1"/>
    <xf numFmtId="4" fontId="0" fillId="4" borderId="0" xfId="0" applyNumberFormat="1" applyFill="1" applyAlignment="1">
      <alignment horizontal="right"/>
    </xf>
    <xf numFmtId="0" fontId="0" fillId="4" borderId="41" xfId="0" applyFill="1" applyBorder="1" applyAlignment="1">
      <alignment horizontal="center" vertical="center" wrapText="1"/>
    </xf>
    <xf numFmtId="0" fontId="5" fillId="4" borderId="41" xfId="0" applyFont="1" applyFill="1" applyBorder="1" applyAlignment="1">
      <alignment horizontal="center"/>
    </xf>
    <xf numFmtId="4" fontId="5" fillId="4" borderId="41" xfId="0" applyNumberFormat="1" applyFont="1" applyFill="1" applyBorder="1" applyAlignment="1">
      <alignment horizontal="right" vertical="center" wrapText="1"/>
    </xf>
    <xf numFmtId="4" fontId="0" fillId="4" borderId="41" xfId="0" applyNumberFormat="1" applyFill="1" applyBorder="1" applyAlignment="1">
      <alignment horizontal="right"/>
    </xf>
    <xf numFmtId="0" fontId="0" fillId="4" borderId="52" xfId="0" applyFill="1" applyBorder="1"/>
    <xf numFmtId="4" fontId="0" fillId="4" borderId="52" xfId="0" applyNumberFormat="1" applyFill="1" applyBorder="1" applyAlignment="1">
      <alignment horizontal="right"/>
    </xf>
    <xf numFmtId="0" fontId="5" fillId="18" borderId="50" xfId="0" applyFont="1" applyFill="1" applyBorder="1" applyAlignment="1">
      <alignment horizontal="center"/>
    </xf>
    <xf numFmtId="0" fontId="0" fillId="4" borderId="103" xfId="0" applyFill="1" applyBorder="1"/>
    <xf numFmtId="0" fontId="0" fillId="4" borderId="61" xfId="0" applyFill="1" applyBorder="1"/>
    <xf numFmtId="0" fontId="0" fillId="4" borderId="104" xfId="0" applyFill="1" applyBorder="1"/>
    <xf numFmtId="0" fontId="26" fillId="4" borderId="47" xfId="0" applyFont="1" applyFill="1" applyBorder="1"/>
    <xf numFmtId="0" fontId="26" fillId="4" borderId="0" xfId="0" applyFont="1" applyFill="1" applyBorder="1"/>
    <xf numFmtId="0" fontId="26" fillId="4" borderId="104" xfId="0" applyFont="1" applyFill="1" applyBorder="1"/>
    <xf numFmtId="0" fontId="0" fillId="4" borderId="105" xfId="0" applyFill="1" applyBorder="1"/>
    <xf numFmtId="0" fontId="0" fillId="4" borderId="106" xfId="0" applyFill="1" applyBorder="1"/>
    <xf numFmtId="49" fontId="0" fillId="4" borderId="0" xfId="0" applyNumberFormat="1" applyFill="1"/>
    <xf numFmtId="49" fontId="0" fillId="4" borderId="61" xfId="0" applyNumberFormat="1" applyFill="1" applyBorder="1"/>
    <xf numFmtId="49" fontId="26" fillId="4" borderId="0" xfId="0" applyNumberFormat="1" applyFont="1" applyFill="1" applyBorder="1"/>
    <xf numFmtId="49" fontId="0" fillId="4" borderId="105" xfId="0" applyNumberFormat="1" applyFill="1" applyBorder="1"/>
    <xf numFmtId="0" fontId="5" fillId="4" borderId="47" xfId="0" applyFont="1" applyFill="1" applyBorder="1"/>
    <xf numFmtId="49" fontId="5" fillId="4" borderId="0" xfId="0" applyNumberFormat="1" applyFont="1" applyFill="1" applyBorder="1"/>
    <xf numFmtId="0" fontId="5" fillId="4" borderId="104" xfId="0" applyFont="1" applyFill="1" applyBorder="1"/>
    <xf numFmtId="4" fontId="5" fillId="4" borderId="41" xfId="0" applyNumberFormat="1" applyFont="1" applyFill="1" applyBorder="1" applyAlignment="1">
      <alignment horizontal="right"/>
    </xf>
    <xf numFmtId="9" fontId="19" fillId="4" borderId="41" xfId="11" applyFont="1" applyFill="1" applyBorder="1" applyAlignment="1">
      <alignment horizontal="center" vertical="center" wrapText="1"/>
    </xf>
    <xf numFmtId="9" fontId="19" fillId="4" borderId="0" xfId="11" applyFont="1" applyFill="1" applyAlignment="1">
      <alignment horizontal="center"/>
    </xf>
    <xf numFmtId="9" fontId="19" fillId="4" borderId="41" xfId="11" applyFont="1" applyFill="1" applyBorder="1" applyAlignment="1">
      <alignment horizontal="center"/>
    </xf>
    <xf numFmtId="9" fontId="19" fillId="4" borderId="52" xfId="11" applyFont="1" applyFill="1" applyBorder="1" applyAlignment="1">
      <alignment horizontal="center"/>
    </xf>
    <xf numFmtId="9" fontId="48" fillId="4" borderId="57" xfId="0" applyNumberFormat="1" applyFont="1" applyFill="1" applyBorder="1" applyAlignment="1">
      <alignment horizontal="center"/>
    </xf>
    <xf numFmtId="9" fontId="50" fillId="4" borderId="57" xfId="0" applyNumberFormat="1" applyFont="1" applyFill="1" applyBorder="1" applyAlignment="1">
      <alignment horizontal="center"/>
    </xf>
    <xf numFmtId="0" fontId="0" fillId="4" borderId="103" xfId="0" applyFill="1" applyBorder="1" applyAlignment="1">
      <alignment horizontal="center" vertical="center" wrapText="1"/>
    </xf>
    <xf numFmtId="9" fontId="43" fillId="4" borderId="107" xfId="11" applyFont="1" applyFill="1" applyBorder="1" applyAlignment="1">
      <alignment horizontal="center"/>
    </xf>
    <xf numFmtId="9" fontId="43" fillId="4" borderId="104" xfId="11" applyFont="1" applyFill="1" applyBorder="1" applyAlignment="1">
      <alignment horizontal="center" vertical="center" wrapText="1"/>
    </xf>
    <xf numFmtId="0" fontId="0" fillId="4" borderId="47" xfId="0" applyFill="1" applyBorder="1" applyAlignment="1">
      <alignment horizontal="center" vertical="center" wrapText="1"/>
    </xf>
    <xf numFmtId="9" fontId="43" fillId="4" borderId="104" xfId="11" applyFont="1" applyFill="1" applyBorder="1" applyAlignment="1">
      <alignment horizontal="center"/>
    </xf>
    <xf numFmtId="9" fontId="43" fillId="4" borderId="106" xfId="11" applyFont="1" applyFill="1" applyBorder="1" applyAlignment="1">
      <alignment horizontal="right"/>
    </xf>
    <xf numFmtId="9" fontId="43" fillId="4" borderId="0" xfId="11" applyFont="1" applyFill="1" applyAlignment="1">
      <alignment horizontal="right"/>
    </xf>
    <xf numFmtId="0" fontId="0" fillId="4" borderId="0" xfId="0" applyFill="1" applyAlignment="1">
      <alignment horizontal="right"/>
    </xf>
    <xf numFmtId="0" fontId="5" fillId="4" borderId="47" xfId="0" applyFont="1" applyFill="1" applyBorder="1" applyAlignment="1">
      <alignment horizontal="center" vertical="center" wrapText="1"/>
    </xf>
    <xf numFmtId="9" fontId="19" fillId="4" borderId="104" xfId="11" applyFont="1" applyFill="1" applyBorder="1" applyAlignment="1">
      <alignment horizontal="center" vertical="center" wrapText="1"/>
    </xf>
    <xf numFmtId="4" fontId="5" fillId="4" borderId="0" xfId="0" applyNumberFormat="1" applyFont="1" applyFill="1"/>
    <xf numFmtId="0" fontId="0" fillId="4" borderId="51" xfId="0" applyFill="1" applyBorder="1" applyAlignment="1">
      <alignment horizontal="center" vertical="center" wrapText="1"/>
    </xf>
    <xf numFmtId="4" fontId="0" fillId="4" borderId="41" xfId="0" applyNumberFormat="1" applyFill="1" applyBorder="1" applyAlignment="1">
      <alignment horizontal="right" vertical="center" wrapText="1"/>
    </xf>
    <xf numFmtId="9" fontId="43" fillId="4" borderId="0" xfId="11" applyFont="1" applyFill="1" applyAlignment="1">
      <alignment horizontal="center"/>
    </xf>
    <xf numFmtId="4" fontId="48" fillId="4" borderId="0" xfId="0" applyNumberFormat="1" applyFont="1" applyFill="1" applyBorder="1"/>
    <xf numFmtId="9" fontId="37" fillId="4" borderId="104" xfId="11" applyFont="1" applyFill="1" applyBorder="1" applyAlignment="1">
      <alignment horizontal="center"/>
    </xf>
    <xf numFmtId="9" fontId="37" fillId="4" borderId="106" xfId="11" applyFont="1" applyFill="1" applyBorder="1" applyAlignment="1">
      <alignment horizontal="center"/>
    </xf>
    <xf numFmtId="0" fontId="5" fillId="4" borderId="51" xfId="0" applyFont="1" applyFill="1" applyBorder="1" applyAlignment="1">
      <alignment horizontal="center"/>
    </xf>
    <xf numFmtId="0" fontId="48" fillId="4" borderId="41" xfId="0" applyFont="1" applyFill="1" applyBorder="1" applyAlignment="1">
      <alignment horizontal="center"/>
    </xf>
    <xf numFmtId="4" fontId="48" fillId="4" borderId="41" xfId="0" applyNumberFormat="1" applyFont="1" applyFill="1" applyBorder="1"/>
    <xf numFmtId="0" fontId="48" fillId="4" borderId="41" xfId="0" applyFont="1" applyFill="1" applyBorder="1"/>
    <xf numFmtId="0" fontId="48" fillId="4" borderId="52" xfId="0" applyFont="1" applyFill="1" applyBorder="1"/>
    <xf numFmtId="0" fontId="6" fillId="4" borderId="51" xfId="0" applyFont="1" applyFill="1" applyBorder="1" applyAlignment="1">
      <alignment horizontal="center"/>
    </xf>
    <xf numFmtId="4" fontId="48" fillId="4" borderId="51" xfId="0" applyNumberFormat="1" applyFont="1" applyFill="1" applyBorder="1"/>
    <xf numFmtId="9" fontId="6" fillId="4" borderId="51" xfId="0" applyNumberFormat="1" applyFont="1" applyFill="1" applyBorder="1" applyAlignment="1">
      <alignment horizontal="center"/>
    </xf>
    <xf numFmtId="0" fontId="0" fillId="4" borderId="41" xfId="0" applyFill="1" applyBorder="1"/>
    <xf numFmtId="4" fontId="50" fillId="4" borderId="41" xfId="0" applyNumberFormat="1" applyFont="1" applyFill="1" applyBorder="1"/>
    <xf numFmtId="9" fontId="6" fillId="4" borderId="41" xfId="0" applyNumberFormat="1" applyFont="1" applyFill="1" applyBorder="1" applyAlignment="1">
      <alignment horizontal="center"/>
    </xf>
    <xf numFmtId="4" fontId="50" fillId="4" borderId="52" xfId="0" applyNumberFormat="1" applyFont="1" applyFill="1" applyBorder="1"/>
    <xf numFmtId="9" fontId="6" fillId="4" borderId="52" xfId="0" applyNumberFormat="1" applyFont="1" applyFill="1" applyBorder="1" applyAlignment="1">
      <alignment horizontal="center"/>
    </xf>
    <xf numFmtId="4" fontId="57" fillId="4" borderId="41" xfId="0" applyNumberFormat="1" applyFont="1" applyFill="1" applyBorder="1"/>
    <xf numFmtId="4" fontId="56" fillId="4" borderId="41" xfId="0" applyNumberFormat="1" applyFont="1" applyFill="1" applyBorder="1"/>
    <xf numFmtId="0" fontId="56" fillId="4" borderId="47" xfId="0" applyFont="1" applyFill="1" applyBorder="1" applyAlignment="1">
      <alignment horizontal="center"/>
    </xf>
    <xf numFmtId="4" fontId="56" fillId="4" borderId="0" xfId="0" applyNumberFormat="1" applyFont="1" applyFill="1" applyBorder="1"/>
    <xf numFmtId="166" fontId="56" fillId="4" borderId="0" xfId="0" applyNumberFormat="1" applyFont="1" applyFill="1" applyBorder="1" applyAlignment="1">
      <alignment horizontal="center"/>
    </xf>
    <xf numFmtId="9" fontId="56" fillId="4" borderId="104" xfId="0" applyNumberFormat="1" applyFont="1" applyFill="1" applyBorder="1" applyAlignment="1">
      <alignment horizontal="center"/>
    </xf>
    <xf numFmtId="0" fontId="56" fillId="4" borderId="64" xfId="0" applyFont="1" applyFill="1" applyBorder="1" applyAlignment="1">
      <alignment horizontal="center"/>
    </xf>
    <xf numFmtId="4" fontId="48" fillId="4" borderId="105" xfId="0" applyNumberFormat="1" applyFont="1" applyFill="1" applyBorder="1"/>
    <xf numFmtId="4" fontId="56" fillId="4" borderId="105" xfId="0" applyNumberFormat="1" applyFont="1" applyFill="1" applyBorder="1"/>
    <xf numFmtId="166" fontId="56" fillId="4" borderId="105" xfId="0" applyNumberFormat="1" applyFont="1" applyFill="1" applyBorder="1" applyAlignment="1">
      <alignment horizontal="center"/>
    </xf>
    <xf numFmtId="9" fontId="56" fillId="4" borderId="106" xfId="0" applyNumberFormat="1" applyFont="1" applyFill="1" applyBorder="1" applyAlignment="1">
      <alignment horizontal="center"/>
    </xf>
    <xf numFmtId="4" fontId="50" fillId="4" borderId="47" xfId="0" applyNumberFormat="1" applyFont="1" applyFill="1" applyBorder="1"/>
    <xf numFmtId="4" fontId="56" fillId="4" borderId="52" xfId="0" applyNumberFormat="1" applyFont="1" applyFill="1" applyBorder="1"/>
    <xf numFmtId="4" fontId="5" fillId="4" borderId="47" xfId="0" applyNumberFormat="1" applyFont="1" applyFill="1" applyBorder="1"/>
    <xf numFmtId="4" fontId="5" fillId="4" borderId="104" xfId="0" applyNumberFormat="1" applyFont="1" applyFill="1" applyBorder="1"/>
    <xf numFmtId="166" fontId="5" fillId="4" borderId="41" xfId="0" applyNumberFormat="1" applyFont="1" applyFill="1" applyBorder="1" applyAlignment="1">
      <alignment horizontal="center"/>
    </xf>
    <xf numFmtId="0" fontId="3" fillId="4" borderId="41" xfId="0" applyFont="1" applyFill="1" applyBorder="1" applyAlignment="1">
      <alignment horizontal="left"/>
    </xf>
    <xf numFmtId="9" fontId="5" fillId="4" borderId="104" xfId="0" applyNumberFormat="1" applyFont="1" applyFill="1" applyBorder="1" applyAlignment="1">
      <alignment horizontal="center"/>
    </xf>
    <xf numFmtId="166" fontId="56" fillId="4" borderId="104" xfId="0" applyNumberFormat="1" applyFont="1" applyFill="1" applyBorder="1" applyAlignment="1">
      <alignment horizontal="center"/>
    </xf>
    <xf numFmtId="166" fontId="56" fillId="4" borderId="106" xfId="0" applyNumberFormat="1" applyFont="1" applyFill="1" applyBorder="1" applyAlignment="1">
      <alignment horizontal="center"/>
    </xf>
    <xf numFmtId="4" fontId="2" fillId="4" borderId="41" xfId="0" applyNumberFormat="1" applyFont="1" applyFill="1" applyBorder="1"/>
    <xf numFmtId="166" fontId="2" fillId="4" borderId="41" xfId="0" applyNumberFormat="1" applyFont="1" applyFill="1" applyBorder="1" applyAlignment="1">
      <alignment horizontal="center"/>
    </xf>
    <xf numFmtId="49" fontId="19" fillId="2" borderId="0" xfId="0" applyNumberFormat="1" applyFont="1" applyFill="1" applyBorder="1"/>
    <xf numFmtId="49" fontId="17" fillId="2" borderId="108" xfId="0" applyNumberFormat="1" applyFont="1" applyFill="1" applyBorder="1" applyAlignment="1">
      <alignment horizontal="center"/>
    </xf>
    <xf numFmtId="4" fontId="15" fillId="2" borderId="109" xfId="0" applyNumberFormat="1" applyFont="1" applyFill="1" applyBorder="1"/>
    <xf numFmtId="4" fontId="19" fillId="22" borderId="15" xfId="0" applyNumberFormat="1" applyFont="1" applyFill="1" applyBorder="1"/>
    <xf numFmtId="4" fontId="24" fillId="22" borderId="15" xfId="0" applyNumberFormat="1" applyFont="1" applyFill="1" applyBorder="1"/>
    <xf numFmtId="4" fontId="43" fillId="22" borderId="15" xfId="0" applyNumberFormat="1" applyFont="1" applyFill="1" applyBorder="1" applyProtection="1">
      <protection locked="0"/>
    </xf>
    <xf numFmtId="4" fontId="11" fillId="22" borderId="0" xfId="0" applyNumberFormat="1" applyFont="1" applyFill="1" applyBorder="1"/>
    <xf numFmtId="4" fontId="24" fillId="22" borderId="110" xfId="0" applyNumberFormat="1" applyFont="1" applyFill="1" applyBorder="1"/>
    <xf numFmtId="0" fontId="28" fillId="22" borderId="0" xfId="0" applyFont="1" applyFill="1"/>
    <xf numFmtId="4" fontId="24" fillId="22" borderId="0" xfId="0" applyNumberFormat="1" applyFont="1" applyFill="1" applyBorder="1"/>
    <xf numFmtId="4" fontId="55" fillId="23" borderId="15" xfId="0" applyNumberFormat="1" applyFont="1" applyFill="1" applyBorder="1"/>
    <xf numFmtId="0" fontId="36" fillId="22" borderId="0" xfId="0" applyFont="1" applyFill="1"/>
    <xf numFmtId="4" fontId="19" fillId="22" borderId="35" xfId="0" applyNumberFormat="1" applyFont="1" applyFill="1" applyBorder="1"/>
    <xf numFmtId="4" fontId="24" fillId="22" borderId="35" xfId="0" applyNumberFormat="1" applyFont="1" applyFill="1" applyBorder="1"/>
    <xf numFmtId="4" fontId="43" fillId="22" borderId="35" xfId="0" applyNumberFormat="1" applyFont="1" applyFill="1" applyBorder="1" applyProtection="1">
      <protection locked="0"/>
    </xf>
    <xf numFmtId="4" fontId="43" fillId="22" borderId="111" xfId="0" applyNumberFormat="1" applyFont="1" applyFill="1" applyBorder="1" applyProtection="1">
      <protection locked="0"/>
    </xf>
    <xf numFmtId="0" fontId="32" fillId="22" borderId="0" xfId="0" applyFont="1" applyFill="1"/>
    <xf numFmtId="0" fontId="43" fillId="22" borderId="0" xfId="0" applyFont="1" applyFill="1" applyBorder="1"/>
    <xf numFmtId="0" fontId="24" fillId="22" borderId="0" xfId="0" applyFont="1" applyFill="1" applyBorder="1"/>
    <xf numFmtId="4" fontId="19" fillId="22" borderId="0" xfId="0" applyNumberFormat="1" applyFont="1" applyFill="1" applyBorder="1"/>
    <xf numFmtId="4" fontId="43" fillId="22" borderId="0" xfId="0" applyNumberFormat="1" applyFont="1" applyFill="1" applyBorder="1"/>
    <xf numFmtId="0" fontId="14" fillId="22" borderId="110" xfId="0" applyFont="1" applyFill="1" applyBorder="1"/>
    <xf numFmtId="0" fontId="14" fillId="22" borderId="0" xfId="0" applyFont="1" applyFill="1"/>
    <xf numFmtId="0" fontId="66" fillId="21" borderId="15" xfId="0" applyFont="1" applyFill="1" applyBorder="1"/>
    <xf numFmtId="4" fontId="67" fillId="21" borderId="15" xfId="0" applyNumberFormat="1" applyFont="1" applyFill="1" applyBorder="1"/>
    <xf numFmtId="0" fontId="68" fillId="2" borderId="15" xfId="0" applyFont="1" applyFill="1" applyBorder="1"/>
    <xf numFmtId="4" fontId="69" fillId="2" borderId="15" xfId="0" applyNumberFormat="1" applyFont="1" applyFill="1" applyBorder="1"/>
    <xf numFmtId="0" fontId="66" fillId="19" borderId="15" xfId="0" applyFont="1" applyFill="1" applyBorder="1"/>
    <xf numFmtId="4" fontId="67" fillId="19" borderId="15" xfId="0" applyNumberFormat="1" applyFont="1" applyFill="1" applyBorder="1"/>
    <xf numFmtId="0" fontId="68" fillId="22" borderId="15" xfId="0" applyFont="1" applyFill="1" applyBorder="1"/>
    <xf numFmtId="4" fontId="67" fillId="22" borderId="15" xfId="0" applyNumberFormat="1" applyFont="1" applyFill="1" applyBorder="1" applyProtection="1">
      <protection locked="0"/>
    </xf>
    <xf numFmtId="0" fontId="66" fillId="22" borderId="15" xfId="0" applyFont="1" applyFill="1" applyBorder="1"/>
    <xf numFmtId="0" fontId="38" fillId="22" borderId="0" xfId="0" applyFont="1" applyFill="1" applyBorder="1"/>
    <xf numFmtId="0" fontId="38" fillId="22" borderId="110" xfId="0" applyFont="1" applyFill="1" applyBorder="1"/>
    <xf numFmtId="0" fontId="40" fillId="22" borderId="110" xfId="0" applyFont="1" applyFill="1" applyBorder="1"/>
    <xf numFmtId="0" fontId="30" fillId="22" borderId="0" xfId="0" applyFont="1" applyFill="1" applyBorder="1"/>
    <xf numFmtId="0" fontId="30" fillId="22" borderId="110" xfId="0" applyFont="1" applyFill="1" applyBorder="1"/>
    <xf numFmtId="0" fontId="2" fillId="22" borderId="0" xfId="0" applyFont="1" applyFill="1" applyBorder="1"/>
    <xf numFmtId="0" fontId="2" fillId="22" borderId="110" xfId="0" applyFont="1" applyFill="1" applyBorder="1"/>
    <xf numFmtId="49" fontId="4" fillId="22" borderId="0" xfId="0" applyNumberFormat="1" applyFont="1" applyFill="1" applyBorder="1" applyAlignment="1">
      <alignment horizontal="center"/>
    </xf>
    <xf numFmtId="49" fontId="4" fillId="22" borderId="110" xfId="0" applyNumberFormat="1" applyFont="1" applyFill="1" applyBorder="1" applyAlignment="1">
      <alignment horizontal="center"/>
    </xf>
    <xf numFmtId="4" fontId="8" fillId="22" borderId="0" xfId="0" applyNumberFormat="1" applyFont="1" applyFill="1" applyBorder="1"/>
    <xf numFmtId="4" fontId="8" fillId="22" borderId="110" xfId="0" applyNumberFormat="1" applyFont="1" applyFill="1" applyBorder="1"/>
    <xf numFmtId="4" fontId="9" fillId="22" borderId="0" xfId="0" applyNumberFormat="1" applyFont="1" applyFill="1" applyBorder="1"/>
    <xf numFmtId="4" fontId="9" fillId="22" borderId="110" xfId="0" applyNumberFormat="1" applyFont="1" applyFill="1" applyBorder="1"/>
    <xf numFmtId="4" fontId="11" fillId="22" borderId="110" xfId="0" applyNumberFormat="1" applyFont="1" applyFill="1" applyBorder="1"/>
    <xf numFmtId="4" fontId="12" fillId="22" borderId="110" xfId="0" applyNumberFormat="1" applyFont="1" applyFill="1" applyBorder="1"/>
    <xf numFmtId="4" fontId="7" fillId="22" borderId="110" xfId="0" applyNumberFormat="1" applyFont="1" applyFill="1" applyBorder="1"/>
    <xf numFmtId="4" fontId="16" fillId="22" borderId="110" xfId="0" applyNumberFormat="1" applyFont="1" applyFill="1" applyBorder="1"/>
    <xf numFmtId="0" fontId="38" fillId="22" borderId="112" xfId="0" applyFont="1" applyFill="1" applyBorder="1"/>
    <xf numFmtId="0" fontId="30" fillId="22" borderId="112" xfId="0" applyFont="1" applyFill="1" applyBorder="1"/>
    <xf numFmtId="0" fontId="2" fillId="22" borderId="112" xfId="0" applyFont="1" applyFill="1" applyBorder="1"/>
    <xf numFmtId="4" fontId="11" fillId="22" borderId="112" xfId="0" applyNumberFormat="1" applyFont="1" applyFill="1" applyBorder="1"/>
    <xf numFmtId="0" fontId="70" fillId="2" borderId="0" xfId="0" applyFont="1" applyFill="1"/>
    <xf numFmtId="4" fontId="70" fillId="2" borderId="5" xfId="0" applyNumberFormat="1" applyFont="1" applyFill="1" applyBorder="1" applyAlignment="1">
      <alignment horizontal="right"/>
    </xf>
    <xf numFmtId="4" fontId="70" fillId="2" borderId="0" xfId="0" applyNumberFormat="1" applyFont="1" applyFill="1" applyAlignment="1"/>
    <xf numFmtId="4" fontId="71" fillId="2" borderId="0" xfId="0" applyNumberFormat="1" applyFont="1" applyFill="1" applyAlignment="1">
      <alignment horizontal="right"/>
    </xf>
    <xf numFmtId="4" fontId="72" fillId="2" borderId="6" xfId="0" applyNumberFormat="1" applyFont="1" applyFill="1" applyBorder="1" applyAlignment="1">
      <alignment horizontal="center"/>
    </xf>
    <xf numFmtId="4" fontId="72" fillId="2" borderId="7" xfId="0" applyNumberFormat="1" applyFont="1" applyFill="1" applyBorder="1" applyAlignment="1">
      <alignment horizontal="center"/>
    </xf>
    <xf numFmtId="4" fontId="72" fillId="2" borderId="75" xfId="0" applyNumberFormat="1" applyFont="1" applyFill="1" applyBorder="1" applyAlignment="1">
      <alignment horizontal="center"/>
    </xf>
    <xf numFmtId="4" fontId="72" fillId="2" borderId="8" xfId="0" applyNumberFormat="1" applyFont="1" applyFill="1" applyBorder="1" applyAlignment="1">
      <alignment horizontal="center"/>
    </xf>
    <xf numFmtId="4" fontId="72" fillId="2" borderId="113" xfId="0" applyNumberFormat="1" applyFont="1" applyFill="1" applyBorder="1" applyAlignment="1">
      <alignment horizontal="center"/>
    </xf>
    <xf numFmtId="4" fontId="72" fillId="2" borderId="114" xfId="0" applyNumberFormat="1" applyFont="1" applyFill="1" applyBorder="1" applyAlignment="1">
      <alignment horizontal="center"/>
    </xf>
    <xf numFmtId="49" fontId="73" fillId="2" borderId="1" xfId="0" applyNumberFormat="1" applyFont="1" applyFill="1" applyBorder="1" applyAlignment="1">
      <alignment horizontal="center"/>
    </xf>
    <xf numFmtId="4" fontId="74" fillId="2" borderId="97" xfId="0" applyNumberFormat="1" applyFont="1" applyFill="1" applyBorder="1"/>
    <xf numFmtId="4" fontId="70" fillId="2" borderId="33" xfId="0" applyNumberFormat="1" applyFont="1" applyFill="1" applyBorder="1"/>
    <xf numFmtId="4" fontId="70" fillId="2" borderId="15" xfId="0" applyNumberFormat="1" applyFont="1" applyFill="1" applyBorder="1"/>
    <xf numFmtId="4" fontId="70" fillId="3" borderId="15" xfId="0" applyNumberFormat="1" applyFont="1" applyFill="1" applyBorder="1"/>
    <xf numFmtId="4" fontId="70" fillId="7" borderId="15" xfId="0" applyNumberFormat="1" applyFont="1" applyFill="1" applyBorder="1"/>
    <xf numFmtId="4" fontId="70" fillId="8" borderId="15" xfId="0" applyNumberFormat="1" applyFont="1" applyFill="1" applyBorder="1"/>
    <xf numFmtId="4" fontId="70" fillId="22" borderId="15" xfId="0" applyNumberFormat="1" applyFont="1" applyFill="1" applyBorder="1"/>
    <xf numFmtId="4" fontId="75" fillId="22" borderId="0" xfId="0" applyNumberFormat="1" applyFont="1" applyFill="1" applyBorder="1"/>
    <xf numFmtId="4" fontId="75" fillId="22" borderId="71" xfId="0" applyNumberFormat="1" applyFont="1" applyFill="1" applyBorder="1"/>
    <xf numFmtId="0" fontId="76" fillId="2" borderId="0" xfId="0" applyFont="1" applyFill="1"/>
    <xf numFmtId="49" fontId="44" fillId="22" borderId="14" xfId="0" applyNumberFormat="1" applyFont="1" applyFill="1" applyBorder="1" applyAlignment="1">
      <alignment horizontal="left"/>
    </xf>
    <xf numFmtId="49" fontId="38" fillId="22" borderId="14" xfId="0" applyNumberFormat="1" applyFont="1" applyFill="1" applyBorder="1" applyAlignment="1">
      <alignment horizontal="left"/>
    </xf>
    <xf numFmtId="0" fontId="19" fillId="2" borderId="15" xfId="0" applyFont="1" applyFill="1" applyBorder="1"/>
    <xf numFmtId="4" fontId="77" fillId="2" borderId="5" xfId="0" applyNumberFormat="1" applyFont="1" applyFill="1" applyBorder="1" applyAlignment="1">
      <alignment horizontal="center"/>
    </xf>
    <xf numFmtId="4" fontId="78" fillId="2" borderId="6" xfId="0" applyNumberFormat="1" applyFont="1" applyFill="1" applyBorder="1" applyAlignment="1">
      <alignment horizontal="center"/>
    </xf>
    <xf numFmtId="4" fontId="78" fillId="2" borderId="8" xfId="0" applyNumberFormat="1" applyFont="1" applyFill="1" applyBorder="1" applyAlignment="1">
      <alignment horizontal="center"/>
    </xf>
    <xf numFmtId="49" fontId="70" fillId="2" borderId="17" xfId="0" applyNumberFormat="1" applyFont="1" applyFill="1" applyBorder="1" applyAlignment="1">
      <alignment horizontal="center"/>
    </xf>
    <xf numFmtId="4" fontId="70" fillId="2" borderId="15" xfId="0" applyNumberFormat="1" applyFont="1" applyFill="1" applyBorder="1" applyProtection="1"/>
    <xf numFmtId="4" fontId="70" fillId="13" borderId="15" xfId="0" applyNumberFormat="1" applyFont="1" applyFill="1" applyBorder="1"/>
    <xf numFmtId="4" fontId="70" fillId="19" borderId="15" xfId="0" applyNumberFormat="1" applyFont="1" applyFill="1" applyBorder="1"/>
    <xf numFmtId="4" fontId="70" fillId="22" borderId="15" xfId="0" applyNumberFormat="1" applyFont="1" applyFill="1" applyBorder="1" applyProtection="1">
      <protection locked="0"/>
    </xf>
    <xf numFmtId="4" fontId="70" fillId="2" borderId="15" xfId="0" applyNumberFormat="1" applyFont="1" applyFill="1" applyBorder="1" applyProtection="1">
      <protection locked="0"/>
    </xf>
    <xf numFmtId="4" fontId="70" fillId="22" borderId="35" xfId="0" applyNumberFormat="1" applyFont="1" applyFill="1" applyBorder="1"/>
    <xf numFmtId="0" fontId="70" fillId="22" borderId="0" xfId="0" applyFont="1" applyFill="1" applyBorder="1"/>
    <xf numFmtId="0" fontId="79" fillId="2" borderId="0" xfId="0" applyFont="1" applyFill="1"/>
    <xf numFmtId="4" fontId="67" fillId="19" borderId="16" xfId="0" applyNumberFormat="1" applyFont="1" applyFill="1" applyBorder="1"/>
    <xf numFmtId="4" fontId="67" fillId="22" borderId="16" xfId="0" applyNumberFormat="1" applyFont="1" applyFill="1" applyBorder="1" applyProtection="1">
      <protection locked="0"/>
    </xf>
    <xf numFmtId="4" fontId="24" fillId="22" borderId="16" xfId="0" applyNumberFormat="1" applyFont="1" applyFill="1" applyBorder="1"/>
    <xf numFmtId="4" fontId="24" fillId="2" borderId="115" xfId="0" applyNumberFormat="1" applyFont="1" applyFill="1" applyBorder="1"/>
    <xf numFmtId="0" fontId="66" fillId="24" borderId="15" xfId="0" applyFont="1" applyFill="1" applyBorder="1"/>
    <xf numFmtId="4" fontId="67" fillId="24" borderId="15" xfId="0" applyNumberFormat="1" applyFont="1" applyFill="1" applyBorder="1"/>
    <xf numFmtId="49" fontId="38" fillId="25" borderId="14" xfId="0" applyNumberFormat="1" applyFont="1" applyFill="1" applyBorder="1"/>
    <xf numFmtId="4" fontId="24" fillId="25" borderId="15" xfId="0" applyNumberFormat="1" applyFont="1" applyFill="1" applyBorder="1"/>
    <xf numFmtId="49" fontId="70" fillId="2" borderId="13" xfId="0" applyNumberFormat="1" applyFont="1" applyFill="1" applyBorder="1" applyAlignment="1">
      <alignment horizontal="center"/>
    </xf>
    <xf numFmtId="4" fontId="70" fillId="3" borderId="71" xfId="0" applyNumberFormat="1" applyFont="1" applyFill="1" applyBorder="1"/>
    <xf numFmtId="0" fontId="70" fillId="2" borderId="116" xfId="0" applyFont="1" applyFill="1" applyBorder="1"/>
    <xf numFmtId="4" fontId="80" fillId="2" borderId="117" xfId="0" applyNumberFormat="1" applyFont="1" applyFill="1" applyBorder="1" applyAlignment="1">
      <alignment horizontal="right"/>
    </xf>
    <xf numFmtId="4" fontId="80" fillId="2" borderId="62" xfId="0" applyNumberFormat="1" applyFont="1" applyFill="1" applyBorder="1" applyAlignment="1">
      <alignment horizontal="right"/>
    </xf>
    <xf numFmtId="4" fontId="80" fillId="2" borderId="177" xfId="0" applyNumberFormat="1" applyFont="1" applyFill="1" applyBorder="1" applyAlignment="1">
      <alignment horizontal="right"/>
    </xf>
    <xf numFmtId="4" fontId="80" fillId="2" borderId="178" xfId="0" applyNumberFormat="1" applyFont="1" applyFill="1" applyBorder="1" applyAlignment="1"/>
    <xf numFmtId="4" fontId="70" fillId="0" borderId="15" xfId="0" applyNumberFormat="1" applyFont="1" applyBorder="1" applyAlignment="1"/>
    <xf numFmtId="4" fontId="70" fillId="0" borderId="15" xfId="0" applyNumberFormat="1" applyFont="1" applyBorder="1"/>
    <xf numFmtId="4" fontId="70" fillId="23" borderId="15" xfId="0" applyNumberFormat="1" applyFont="1" applyFill="1" applyBorder="1"/>
    <xf numFmtId="4" fontId="24" fillId="2" borderId="14" xfId="0" applyNumberFormat="1" applyFont="1" applyFill="1" applyBorder="1"/>
    <xf numFmtId="49" fontId="19" fillId="2" borderId="118" xfId="0" applyNumberFormat="1" applyFont="1" applyFill="1" applyBorder="1" applyAlignment="1">
      <alignment horizontal="center"/>
    </xf>
    <xf numFmtId="49" fontId="19" fillId="2" borderId="32" xfId="0" applyNumberFormat="1" applyFont="1" applyFill="1" applyBorder="1" applyAlignment="1">
      <alignment horizontal="center"/>
    </xf>
    <xf numFmtId="0" fontId="19" fillId="2" borderId="119" xfId="0" applyFont="1" applyFill="1" applyBorder="1"/>
    <xf numFmtId="0" fontId="19" fillId="2" borderId="120" xfId="0" applyFont="1" applyFill="1" applyBorder="1" applyAlignment="1">
      <alignment horizontal="center"/>
    </xf>
    <xf numFmtId="0" fontId="19" fillId="2" borderId="121" xfId="0" applyFont="1" applyFill="1" applyBorder="1" applyAlignment="1">
      <alignment horizontal="center"/>
    </xf>
    <xf numFmtId="0" fontId="19" fillId="2" borderId="2" xfId="0" applyFont="1" applyFill="1" applyBorder="1" applyAlignment="1">
      <alignment horizontal="center"/>
    </xf>
    <xf numFmtId="0" fontId="0" fillId="2" borderId="122" xfId="0" applyFont="1" applyFill="1" applyBorder="1"/>
    <xf numFmtId="0" fontId="19" fillId="2" borderId="123" xfId="0" applyFont="1" applyFill="1" applyBorder="1" applyAlignment="1">
      <alignment horizontal="center"/>
    </xf>
    <xf numFmtId="0" fontId="19" fillId="2" borderId="124" xfId="0" applyFont="1" applyFill="1" applyBorder="1"/>
    <xf numFmtId="4" fontId="19" fillId="2" borderId="124" xfId="0" applyNumberFormat="1" applyFont="1" applyFill="1" applyBorder="1"/>
    <xf numFmtId="0" fontId="19" fillId="2" borderId="3" xfId="0" applyFont="1" applyFill="1" applyBorder="1"/>
    <xf numFmtId="4" fontId="19" fillId="2" borderId="3" xfId="0" applyNumberFormat="1" applyFont="1" applyFill="1" applyBorder="1"/>
    <xf numFmtId="4" fontId="0" fillId="2" borderId="3" xfId="0" applyNumberFormat="1" applyFont="1" applyFill="1" applyBorder="1"/>
    <xf numFmtId="0" fontId="0" fillId="2" borderId="0" xfId="0" applyFont="1" applyFill="1"/>
    <xf numFmtId="4" fontId="0" fillId="2" borderId="0" xfId="0" applyNumberFormat="1" applyFont="1" applyFill="1"/>
    <xf numFmtId="0" fontId="26" fillId="2" borderId="0" xfId="0" applyFont="1" applyFill="1" applyBorder="1"/>
    <xf numFmtId="0" fontId="26" fillId="2" borderId="0" xfId="0" applyFont="1" applyFill="1"/>
    <xf numFmtId="49" fontId="81" fillId="21" borderId="14" xfId="0" applyNumberFormat="1" applyFont="1" applyFill="1" applyBorder="1" applyAlignment="1">
      <alignment horizontal="left"/>
    </xf>
    <xf numFmtId="49" fontId="82" fillId="2" borderId="14" xfId="0" applyNumberFormat="1" applyFont="1" applyFill="1" applyBorder="1" applyAlignment="1">
      <alignment horizontal="left"/>
    </xf>
    <xf numFmtId="49" fontId="81" fillId="19" borderId="14" xfId="0" applyNumberFormat="1" applyFont="1" applyFill="1" applyBorder="1" applyAlignment="1">
      <alignment horizontal="left"/>
    </xf>
    <xf numFmtId="49" fontId="81" fillId="24" borderId="14" xfId="0" applyNumberFormat="1" applyFont="1" applyFill="1" applyBorder="1" applyAlignment="1">
      <alignment horizontal="left"/>
    </xf>
    <xf numFmtId="49" fontId="82" fillId="22" borderId="14" xfId="0" applyNumberFormat="1" applyFont="1" applyFill="1" applyBorder="1" applyAlignment="1">
      <alignment horizontal="left"/>
    </xf>
    <xf numFmtId="49" fontId="81" fillId="22" borderId="14" xfId="0" applyNumberFormat="1" applyFont="1" applyFill="1" applyBorder="1" applyAlignment="1">
      <alignment horizontal="left"/>
    </xf>
    <xf numFmtId="9" fontId="19" fillId="2" borderId="0" xfId="11" applyFont="1" applyFill="1" applyAlignment="1">
      <alignment horizontal="center"/>
    </xf>
    <xf numFmtId="0" fontId="5" fillId="26" borderId="50" xfId="0" applyFont="1" applyFill="1" applyBorder="1" applyAlignment="1">
      <alignment horizontal="center"/>
    </xf>
    <xf numFmtId="0" fontId="0" fillId="4" borderId="51" xfId="0" applyFill="1" applyBorder="1"/>
    <xf numFmtId="9" fontId="19" fillId="4" borderId="41" xfId="11" applyFont="1" applyFill="1" applyBorder="1" applyAlignment="1">
      <alignment vertical="center"/>
    </xf>
    <xf numFmtId="9" fontId="19" fillId="4" borderId="41" xfId="11" applyFont="1" applyFill="1" applyBorder="1" applyAlignment="1"/>
    <xf numFmtId="9" fontId="19" fillId="4" borderId="52" xfId="11" applyFont="1" applyFill="1" applyBorder="1" applyAlignment="1"/>
    <xf numFmtId="4" fontId="5" fillId="4" borderId="41" xfId="0" applyNumberFormat="1" applyFont="1" applyFill="1" applyBorder="1" applyAlignment="1">
      <alignment horizontal="right" wrapText="1"/>
    </xf>
    <xf numFmtId="4" fontId="0" fillId="4" borderId="41" xfId="0" applyNumberFormat="1" applyFont="1" applyFill="1" applyBorder="1" applyAlignment="1">
      <alignment horizontal="right" vertical="center" wrapText="1"/>
    </xf>
    <xf numFmtId="9" fontId="19" fillId="26" borderId="50" xfId="11" applyFont="1" applyFill="1" applyBorder="1" applyAlignment="1">
      <alignment horizontal="center"/>
    </xf>
    <xf numFmtId="0" fontId="6" fillId="26" borderId="20" xfId="0" applyFont="1" applyFill="1" applyBorder="1" applyAlignment="1">
      <alignment horizontal="center"/>
    </xf>
    <xf numFmtId="9" fontId="19" fillId="26" borderId="51" xfId="11" applyFont="1" applyFill="1" applyBorder="1" applyAlignment="1">
      <alignment horizontal="center"/>
    </xf>
    <xf numFmtId="9" fontId="19" fillId="26" borderId="52" xfId="11" applyFont="1" applyFill="1" applyBorder="1" applyAlignment="1">
      <alignment horizontal="center"/>
    </xf>
    <xf numFmtId="9" fontId="43" fillId="26" borderId="50" xfId="11" applyFont="1" applyFill="1" applyBorder="1" applyAlignment="1">
      <alignment horizontal="center"/>
    </xf>
    <xf numFmtId="0" fontId="6" fillId="26" borderId="50" xfId="0" applyFont="1" applyFill="1" applyBorder="1" applyAlignment="1">
      <alignment horizontal="center"/>
    </xf>
    <xf numFmtId="0" fontId="4" fillId="26" borderId="50" xfId="0" applyFont="1" applyFill="1" applyBorder="1" applyAlignment="1">
      <alignment horizontal="center" vertical="center" wrapText="1"/>
    </xf>
    <xf numFmtId="0" fontId="56" fillId="26" borderId="50" xfId="0" applyFont="1" applyFill="1" applyBorder="1" applyAlignment="1">
      <alignment horizontal="center" vertical="center" wrapText="1"/>
    </xf>
    <xf numFmtId="4" fontId="83" fillId="22" borderId="0" xfId="0" applyNumberFormat="1" applyFont="1" applyFill="1" applyBorder="1"/>
    <xf numFmtId="4" fontId="1" fillId="2" borderId="0" xfId="11" applyNumberFormat="1" applyFill="1" applyBorder="1" applyAlignment="1">
      <alignment horizontal="right"/>
    </xf>
    <xf numFmtId="4" fontId="1" fillId="2" borderId="0" xfId="11" applyNumberFormat="1" applyFill="1" applyAlignment="1">
      <alignment horizontal="right"/>
    </xf>
    <xf numFmtId="4" fontId="19" fillId="2" borderId="0" xfId="11" applyNumberFormat="1" applyFont="1" applyFill="1" applyBorder="1" applyAlignment="1">
      <alignment horizontal="right" vertical="center" wrapText="1"/>
    </xf>
    <xf numFmtId="4" fontId="5" fillId="0" borderId="0" xfId="0" applyNumberFormat="1" applyFont="1" applyBorder="1" applyAlignment="1">
      <alignment horizontal="right" vertical="center" wrapText="1"/>
    </xf>
    <xf numFmtId="4" fontId="19" fillId="2" borderId="0" xfId="11" applyNumberFormat="1" applyFont="1" applyFill="1" applyBorder="1" applyAlignment="1">
      <alignment horizontal="right"/>
    </xf>
    <xf numFmtId="4" fontId="1" fillId="4" borderId="0" xfId="11" applyNumberFormat="1" applyFill="1" applyAlignment="1" applyProtection="1">
      <alignment horizontal="right"/>
      <protection locked="0"/>
    </xf>
    <xf numFmtId="4" fontId="19" fillId="2" borderId="0" xfId="10" applyNumberFormat="1" applyFont="1" applyFill="1" applyBorder="1" applyAlignment="1">
      <alignment horizontal="right"/>
    </xf>
    <xf numFmtId="4" fontId="1" fillId="0" borderId="0" xfId="11" applyNumberFormat="1" applyAlignment="1">
      <alignment horizontal="right"/>
    </xf>
    <xf numFmtId="0" fontId="3" fillId="2" borderId="0" xfId="0" applyFont="1" applyFill="1" applyBorder="1"/>
    <xf numFmtId="0" fontId="62" fillId="0" borderId="0" xfId="0" applyFont="1"/>
    <xf numFmtId="0" fontId="0" fillId="23" borderId="0" xfId="0" applyFill="1"/>
    <xf numFmtId="4" fontId="0" fillId="23" borderId="0" xfId="0" applyNumberFormat="1" applyFill="1"/>
    <xf numFmtId="9" fontId="19" fillId="0" borderId="0" xfId="11" applyFont="1" applyAlignment="1">
      <alignment horizontal="center"/>
    </xf>
    <xf numFmtId="9" fontId="19" fillId="23" borderId="38" xfId="11" applyFont="1" applyFill="1" applyBorder="1" applyAlignment="1">
      <alignment horizontal="center"/>
    </xf>
    <xf numFmtId="9" fontId="19" fillId="23" borderId="125" xfId="11" applyFont="1" applyFill="1" applyBorder="1" applyAlignment="1">
      <alignment horizontal="center"/>
    </xf>
    <xf numFmtId="9" fontId="19" fillId="23" borderId="56" xfId="11" applyFont="1" applyFill="1" applyBorder="1" applyAlignment="1">
      <alignment horizontal="center"/>
    </xf>
    <xf numFmtId="9" fontId="19" fillId="23" borderId="20" xfId="11" applyFont="1" applyFill="1" applyBorder="1" applyAlignment="1">
      <alignment horizontal="center"/>
    </xf>
    <xf numFmtId="9" fontId="19" fillId="23" borderId="126" xfId="11" applyFont="1" applyFill="1" applyBorder="1" applyAlignment="1">
      <alignment horizontal="center"/>
    </xf>
    <xf numFmtId="9" fontId="19" fillId="23" borderId="62" xfId="11" applyFont="1" applyFill="1" applyBorder="1" applyAlignment="1">
      <alignment horizontal="center"/>
    </xf>
    <xf numFmtId="9" fontId="19" fillId="27" borderId="125" xfId="11" applyFont="1" applyFill="1" applyBorder="1" applyAlignment="1">
      <alignment horizontal="center"/>
    </xf>
    <xf numFmtId="9" fontId="19" fillId="23" borderId="0" xfId="11" applyFont="1" applyFill="1" applyAlignment="1">
      <alignment horizontal="center"/>
    </xf>
    <xf numFmtId="4" fontId="63" fillId="22" borderId="0" xfId="0" applyNumberFormat="1" applyFont="1" applyFill="1" applyBorder="1"/>
    <xf numFmtId="9" fontId="33" fillId="27" borderId="100" xfId="11" applyFont="1" applyFill="1" applyBorder="1" applyAlignment="1">
      <alignment horizontal="center"/>
    </xf>
    <xf numFmtId="9" fontId="33" fillId="27" borderId="87" xfId="11" applyFont="1" applyFill="1" applyBorder="1" applyAlignment="1">
      <alignment horizontal="center"/>
    </xf>
    <xf numFmtId="4" fontId="70" fillId="25" borderId="15" xfId="0" applyNumberFormat="1" applyFont="1" applyFill="1" applyBorder="1"/>
    <xf numFmtId="4" fontId="19" fillId="3" borderId="127" xfId="0" applyNumberFormat="1" applyFont="1" applyFill="1" applyBorder="1"/>
    <xf numFmtId="4" fontId="24" fillId="25" borderId="16" xfId="0" applyNumberFormat="1" applyFont="1" applyFill="1" applyBorder="1"/>
    <xf numFmtId="4" fontId="19" fillId="2" borderId="16" xfId="0" applyNumberFormat="1" applyFont="1" applyFill="1" applyBorder="1" applyProtection="1"/>
    <xf numFmtId="4" fontId="19" fillId="5" borderId="16" xfId="0" applyNumberFormat="1" applyFont="1" applyFill="1" applyBorder="1"/>
    <xf numFmtId="4" fontId="19" fillId="13" borderId="16" xfId="0" applyNumberFormat="1" applyFont="1" applyFill="1" applyBorder="1"/>
    <xf numFmtId="4" fontId="19" fillId="7" borderId="16" xfId="0" applyNumberFormat="1" applyFont="1" applyFill="1" applyBorder="1"/>
    <xf numFmtId="4" fontId="19" fillId="22" borderId="16" xfId="0" applyNumberFormat="1" applyFont="1" applyFill="1" applyBorder="1"/>
    <xf numFmtId="4" fontId="24" fillId="22" borderId="111" xfId="0" applyNumberFormat="1" applyFont="1" applyFill="1" applyBorder="1"/>
    <xf numFmtId="4" fontId="24" fillId="25" borderId="33" xfId="0" applyNumberFormat="1" applyFont="1" applyFill="1" applyBorder="1"/>
    <xf numFmtId="4" fontId="8" fillId="22" borderId="128" xfId="0" applyNumberFormat="1" applyFont="1" applyFill="1" applyBorder="1"/>
    <xf numFmtId="4" fontId="9" fillId="22" borderId="128" xfId="0" applyNumberFormat="1" applyFont="1" applyFill="1" applyBorder="1"/>
    <xf numFmtId="4" fontId="24" fillId="25" borderId="128" xfId="0" applyNumberFormat="1" applyFont="1" applyFill="1" applyBorder="1"/>
    <xf numFmtId="4" fontId="24" fillId="25" borderId="0" xfId="0" applyNumberFormat="1" applyFont="1" applyFill="1" applyBorder="1"/>
    <xf numFmtId="4" fontId="24" fillId="25" borderId="110" xfId="0" applyNumberFormat="1" applyFont="1" applyFill="1" applyBorder="1"/>
    <xf numFmtId="4" fontId="11" fillId="22" borderId="128" xfId="0" applyNumberFormat="1" applyFont="1" applyFill="1" applyBorder="1"/>
    <xf numFmtId="4" fontId="24" fillId="22" borderId="128" xfId="0" applyNumberFormat="1" applyFont="1" applyFill="1" applyBorder="1"/>
    <xf numFmtId="4" fontId="84" fillId="2" borderId="5" xfId="0" applyNumberFormat="1" applyFont="1" applyFill="1" applyBorder="1" applyAlignment="1">
      <alignment horizontal="center"/>
    </xf>
    <xf numFmtId="49" fontId="85" fillId="2" borderId="13" xfId="0" applyNumberFormat="1" applyFont="1" applyFill="1" applyBorder="1" applyAlignment="1">
      <alignment horizontal="center"/>
    </xf>
    <xf numFmtId="4" fontId="85" fillId="3" borderId="71" xfId="0" applyNumberFormat="1" applyFont="1" applyFill="1" applyBorder="1"/>
    <xf numFmtId="4" fontId="85" fillId="2" borderId="15" xfId="0" applyNumberFormat="1" applyFont="1" applyFill="1" applyBorder="1"/>
    <xf numFmtId="4" fontId="85" fillId="25" borderId="15" xfId="0" applyNumberFormat="1" applyFont="1" applyFill="1" applyBorder="1"/>
    <xf numFmtId="4" fontId="85" fillId="2" borderId="15" xfId="0" applyNumberFormat="1" applyFont="1" applyFill="1" applyBorder="1" applyProtection="1"/>
    <xf numFmtId="4" fontId="85" fillId="3" borderId="15" xfId="0" applyNumberFormat="1" applyFont="1" applyFill="1" applyBorder="1"/>
    <xf numFmtId="4" fontId="85" fillId="7" borderId="15" xfId="0" applyNumberFormat="1" applyFont="1" applyFill="1" applyBorder="1"/>
    <xf numFmtId="4" fontId="85" fillId="8" borderId="15" xfId="0" applyNumberFormat="1" applyFont="1" applyFill="1" applyBorder="1"/>
    <xf numFmtId="4" fontId="85" fillId="13" borderId="15" xfId="0" applyNumberFormat="1" applyFont="1" applyFill="1" applyBorder="1"/>
    <xf numFmtId="4" fontId="85" fillId="17" borderId="15" xfId="0" applyNumberFormat="1" applyFont="1" applyFill="1" applyBorder="1"/>
    <xf numFmtId="4" fontId="85" fillId="21" borderId="15" xfId="0" applyNumberFormat="1" applyFont="1" applyFill="1" applyBorder="1"/>
    <xf numFmtId="4" fontId="85" fillId="19" borderId="15" xfId="0" applyNumberFormat="1" applyFont="1" applyFill="1" applyBorder="1"/>
    <xf numFmtId="4" fontId="85" fillId="24" borderId="15" xfId="0" applyNumberFormat="1" applyFont="1" applyFill="1" applyBorder="1"/>
    <xf numFmtId="4" fontId="85" fillId="22" borderId="15" xfId="0" applyNumberFormat="1" applyFont="1" applyFill="1" applyBorder="1" applyProtection="1">
      <protection locked="0"/>
    </xf>
    <xf numFmtId="4" fontId="85" fillId="22" borderId="15" xfId="0" applyNumberFormat="1" applyFont="1" applyFill="1" applyBorder="1"/>
    <xf numFmtId="4" fontId="85" fillId="22" borderId="35" xfId="0" applyNumberFormat="1" applyFont="1" applyFill="1" applyBorder="1"/>
    <xf numFmtId="0" fontId="85" fillId="22" borderId="0" xfId="0" applyFont="1" applyFill="1" applyBorder="1"/>
    <xf numFmtId="0" fontId="83" fillId="2" borderId="0" xfId="0" applyFont="1" applyFill="1"/>
    <xf numFmtId="4" fontId="86" fillId="29" borderId="112" xfId="0" applyNumberFormat="1" applyFont="1" applyFill="1" applyBorder="1"/>
    <xf numFmtId="0" fontId="70" fillId="2" borderId="129" xfId="0" applyFont="1" applyFill="1" applyBorder="1" applyAlignment="1">
      <alignment horizontal="center"/>
    </xf>
    <xf numFmtId="0" fontId="70" fillId="2" borderId="130" xfId="0" applyFont="1" applyFill="1" applyBorder="1" applyAlignment="1">
      <alignment horizontal="left"/>
    </xf>
    <xf numFmtId="0" fontId="70" fillId="2" borderId="130" xfId="0" applyFont="1" applyFill="1" applyBorder="1" applyAlignment="1">
      <alignment horizontal="center"/>
    </xf>
    <xf numFmtId="0" fontId="70" fillId="2" borderId="131" xfId="0" applyFont="1" applyFill="1" applyBorder="1" applyAlignment="1">
      <alignment horizontal="center"/>
    </xf>
    <xf numFmtId="4" fontId="87" fillId="2" borderId="112" xfId="0" applyNumberFormat="1" applyFont="1" applyFill="1" applyBorder="1" applyAlignment="1">
      <alignment horizontal="right"/>
    </xf>
    <xf numFmtId="9" fontId="19" fillId="4" borderId="0" xfId="11" applyFont="1" applyFill="1" applyAlignment="1" applyProtection="1">
      <alignment horizontal="center"/>
      <protection locked="0"/>
    </xf>
    <xf numFmtId="4" fontId="19" fillId="4" borderId="0" xfId="11" applyNumberFormat="1" applyFont="1" applyFill="1" applyAlignment="1" applyProtection="1">
      <alignment horizontal="right"/>
      <protection locked="0"/>
    </xf>
    <xf numFmtId="4" fontId="5" fillId="4" borderId="0" xfId="10" applyNumberFormat="1" applyFont="1" applyFill="1"/>
    <xf numFmtId="4" fontId="19" fillId="25" borderId="15" xfId="0" applyNumberFormat="1" applyFont="1" applyFill="1" applyBorder="1"/>
    <xf numFmtId="4" fontId="19" fillId="3" borderId="15" xfId="0" applyNumberFormat="1" applyFont="1" applyFill="1" applyBorder="1"/>
    <xf numFmtId="4" fontId="19" fillId="19" borderId="15" xfId="0" applyNumberFormat="1" applyFont="1" applyFill="1" applyBorder="1"/>
    <xf numFmtId="4" fontId="19" fillId="22" borderId="132" xfId="0" applyNumberFormat="1" applyFont="1" applyFill="1" applyBorder="1" applyProtection="1">
      <protection locked="0"/>
    </xf>
    <xf numFmtId="4" fontId="19" fillId="22" borderId="15" xfId="0" applyNumberFormat="1" applyFont="1" applyFill="1" applyBorder="1" applyProtection="1">
      <protection locked="0"/>
    </xf>
    <xf numFmtId="0" fontId="38" fillId="2" borderId="0" xfId="0" applyFont="1" applyFill="1" applyAlignment="1">
      <alignment horizontal="center"/>
    </xf>
    <xf numFmtId="4" fontId="41" fillId="2" borderId="0" xfId="0" applyNumberFormat="1" applyFont="1" applyFill="1" applyAlignment="1">
      <alignment horizontal="center"/>
    </xf>
    <xf numFmtId="4" fontId="4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4" fontId="10" fillId="2" borderId="0" xfId="0" applyNumberFormat="1" applyFont="1" applyFill="1" applyAlignment="1">
      <alignment horizontal="center"/>
    </xf>
    <xf numFmtId="4" fontId="88" fillId="2" borderId="0" xfId="0" applyNumberFormat="1" applyFont="1" applyFill="1" applyAlignment="1">
      <alignment horizontal="center"/>
    </xf>
    <xf numFmtId="4" fontId="89" fillId="29" borderId="179" xfId="0" applyNumberFormat="1" applyFont="1" applyFill="1" applyBorder="1"/>
    <xf numFmtId="4" fontId="89" fillId="29" borderId="180" xfId="0" applyNumberFormat="1" applyFont="1" applyFill="1" applyBorder="1"/>
    <xf numFmtId="4" fontId="89" fillId="29" borderId="181" xfId="0" applyNumberFormat="1" applyFont="1" applyFill="1" applyBorder="1"/>
    <xf numFmtId="4" fontId="90" fillId="2" borderId="15" xfId="0" applyNumberFormat="1" applyFont="1" applyFill="1" applyBorder="1"/>
    <xf numFmtId="4" fontId="19" fillId="22" borderId="133" xfId="0" applyNumberFormat="1" applyFont="1" applyFill="1" applyBorder="1" applyProtection="1">
      <protection locked="0"/>
    </xf>
    <xf numFmtId="4" fontId="19" fillId="22" borderId="134" xfId="0" applyNumberFormat="1" applyFont="1" applyFill="1" applyBorder="1" applyProtection="1">
      <protection locked="0"/>
    </xf>
    <xf numFmtId="4" fontId="19" fillId="2" borderId="133" xfId="0" applyNumberFormat="1" applyFont="1" applyFill="1" applyBorder="1"/>
    <xf numFmtId="4" fontId="19" fillId="2" borderId="134" xfId="0" applyNumberFormat="1" applyFont="1" applyFill="1" applyBorder="1"/>
    <xf numFmtId="4" fontId="19" fillId="22" borderId="133" xfId="0" applyNumberFormat="1" applyFont="1" applyFill="1" applyBorder="1"/>
    <xf numFmtId="4" fontId="19" fillId="22" borderId="134" xfId="0" applyNumberFormat="1" applyFont="1" applyFill="1" applyBorder="1"/>
    <xf numFmtId="4" fontId="38" fillId="2" borderId="135" xfId="0" applyNumberFormat="1" applyFont="1" applyFill="1" applyBorder="1" applyAlignment="1">
      <alignment horizontal="center"/>
    </xf>
    <xf numFmtId="4" fontId="38" fillId="2" borderId="136" xfId="0" applyNumberFormat="1" applyFont="1" applyFill="1" applyBorder="1" applyAlignment="1">
      <alignment horizontal="center"/>
    </xf>
    <xf numFmtId="49" fontId="19" fillId="2" borderId="137" xfId="0" applyNumberFormat="1" applyFont="1" applyFill="1" applyBorder="1" applyAlignment="1">
      <alignment horizontal="center"/>
    </xf>
    <xf numFmtId="49" fontId="19" fillId="2" borderId="138" xfId="0" applyNumberFormat="1" applyFont="1" applyFill="1" applyBorder="1" applyAlignment="1">
      <alignment horizontal="center"/>
    </xf>
    <xf numFmtId="4" fontId="19" fillId="3" borderId="139" xfId="0" applyNumberFormat="1" applyFont="1" applyFill="1" applyBorder="1"/>
    <xf numFmtId="4" fontId="19" fillId="3" borderId="140" xfId="0" applyNumberFormat="1" applyFont="1" applyFill="1" applyBorder="1"/>
    <xf numFmtId="4" fontId="19" fillId="19" borderId="133" xfId="0" applyNumberFormat="1" applyFont="1" applyFill="1" applyBorder="1"/>
    <xf numFmtId="4" fontId="19" fillId="19" borderId="134" xfId="0" applyNumberFormat="1" applyFont="1" applyFill="1" applyBorder="1"/>
    <xf numFmtId="0" fontId="19" fillId="27" borderId="20" xfId="0" applyFont="1" applyFill="1" applyBorder="1" applyAlignment="1">
      <alignment horizontal="center"/>
    </xf>
    <xf numFmtId="0" fontId="43" fillId="0" borderId="0" xfId="0" applyFont="1"/>
    <xf numFmtId="0" fontId="33" fillId="27" borderId="87" xfId="0" applyFont="1" applyFill="1" applyBorder="1"/>
    <xf numFmtId="0" fontId="64" fillId="27" borderId="87" xfId="0" applyFont="1" applyFill="1" applyBorder="1"/>
    <xf numFmtId="4" fontId="33" fillId="27" borderId="87" xfId="0" applyNumberFormat="1" applyFont="1" applyFill="1" applyBorder="1"/>
    <xf numFmtId="0" fontId="43" fillId="23" borderId="0" xfId="0" applyFont="1" applyFill="1" applyBorder="1"/>
    <xf numFmtId="4" fontId="43" fillId="23" borderId="38" xfId="0" applyNumberFormat="1" applyFont="1" applyFill="1" applyBorder="1"/>
    <xf numFmtId="0" fontId="19" fillId="23" borderId="141" xfId="0" applyFont="1" applyFill="1" applyBorder="1"/>
    <xf numFmtId="0" fontId="19" fillId="23" borderId="90" xfId="0" applyFont="1" applyFill="1" applyBorder="1"/>
    <xf numFmtId="4" fontId="19" fillId="23" borderId="125" xfId="0" applyNumberFormat="1" applyFont="1" applyFill="1" applyBorder="1"/>
    <xf numFmtId="0" fontId="19" fillId="23" borderId="142" xfId="0" applyFont="1" applyFill="1" applyBorder="1"/>
    <xf numFmtId="0" fontId="19" fillId="23" borderId="43" xfId="0" applyFont="1" applyFill="1" applyBorder="1"/>
    <xf numFmtId="4" fontId="19" fillId="23" borderId="56" xfId="0" applyNumberFormat="1" applyFont="1" applyFill="1" applyBorder="1"/>
    <xf numFmtId="0" fontId="43" fillId="23" borderId="143" xfId="0" applyFont="1" applyFill="1" applyBorder="1"/>
    <xf numFmtId="0" fontId="43" fillId="23" borderId="144" xfId="0" applyFont="1" applyFill="1" applyBorder="1"/>
    <xf numFmtId="4" fontId="43" fillId="23" borderId="20" xfId="0" applyNumberFormat="1" applyFont="1" applyFill="1" applyBorder="1"/>
    <xf numFmtId="0" fontId="43" fillId="23" borderId="145" xfId="0" applyFont="1" applyFill="1" applyBorder="1"/>
    <xf numFmtId="0" fontId="43" fillId="23" borderId="146" xfId="0" applyFont="1" applyFill="1" applyBorder="1"/>
    <xf numFmtId="4" fontId="43" fillId="23" borderId="126" xfId="0" applyNumberFormat="1" applyFont="1" applyFill="1" applyBorder="1"/>
    <xf numFmtId="0" fontId="43" fillId="23" borderId="142" xfId="0" applyFont="1" applyFill="1" applyBorder="1"/>
    <xf numFmtId="0" fontId="43" fillId="23" borderId="43" xfId="0" applyFont="1" applyFill="1" applyBorder="1"/>
    <xf numFmtId="4" fontId="43" fillId="23" borderId="56" xfId="0" applyNumberFormat="1" applyFont="1" applyFill="1" applyBorder="1"/>
    <xf numFmtId="0" fontId="19" fillId="27" borderId="147" xfId="0" applyFont="1" applyFill="1" applyBorder="1"/>
    <xf numFmtId="4" fontId="33" fillId="27" borderId="100" xfId="0" applyNumberFormat="1" applyFont="1" applyFill="1" applyBorder="1"/>
    <xf numFmtId="0" fontId="43" fillId="23" borderId="112" xfId="0" applyFont="1" applyFill="1" applyBorder="1"/>
    <xf numFmtId="4" fontId="43" fillId="23" borderId="62" xfId="0" applyNumberFormat="1" applyFont="1" applyFill="1" applyBorder="1"/>
    <xf numFmtId="0" fontId="19" fillId="27" borderId="141" xfId="0" applyFont="1" applyFill="1" applyBorder="1"/>
    <xf numFmtId="0" fontId="19" fillId="27" borderId="90" xfId="0" applyFont="1" applyFill="1" applyBorder="1"/>
    <xf numFmtId="4" fontId="19" fillId="27" borderId="125" xfId="0" applyNumberFormat="1" applyFont="1" applyFill="1" applyBorder="1"/>
    <xf numFmtId="0" fontId="19" fillId="23" borderId="143" xfId="0" applyFont="1" applyFill="1" applyBorder="1"/>
    <xf numFmtId="0" fontId="19" fillId="23" borderId="144" xfId="0" applyFont="1" applyFill="1" applyBorder="1"/>
    <xf numFmtId="4" fontId="19" fillId="23" borderId="20" xfId="0" applyNumberFormat="1" applyFont="1" applyFill="1" applyBorder="1"/>
    <xf numFmtId="0" fontId="19" fillId="23" borderId="145" xfId="0" applyFont="1" applyFill="1" applyBorder="1"/>
    <xf numFmtId="0" fontId="19" fillId="23" borderId="146" xfId="0" applyFont="1" applyFill="1" applyBorder="1"/>
    <xf numFmtId="4" fontId="19" fillId="23" borderId="126" xfId="0" applyNumberFormat="1" applyFont="1" applyFill="1" applyBorder="1"/>
    <xf numFmtId="9" fontId="1" fillId="0" borderId="0" xfId="11"/>
    <xf numFmtId="9" fontId="19" fillId="0" borderId="62" xfId="11" applyFont="1" applyBorder="1" applyAlignment="1">
      <alignment horizontal="center"/>
    </xf>
    <xf numFmtId="0" fontId="43" fillId="0" borderId="62" xfId="0" applyFont="1" applyBorder="1"/>
    <xf numFmtId="4" fontId="43" fillId="23" borderId="130" xfId="0" applyNumberFormat="1" applyFont="1" applyFill="1" applyBorder="1"/>
    <xf numFmtId="4" fontId="19" fillId="23" borderId="148" xfId="0" applyNumberFormat="1" applyFont="1" applyFill="1" applyBorder="1"/>
    <xf numFmtId="9" fontId="19" fillId="27" borderId="100" xfId="11" applyFont="1" applyFill="1" applyBorder="1" applyAlignment="1">
      <alignment horizontal="center"/>
    </xf>
    <xf numFmtId="4" fontId="33" fillId="27" borderId="149" xfId="0" applyNumberFormat="1" applyFont="1" applyFill="1" applyBorder="1"/>
    <xf numFmtId="4" fontId="19" fillId="27" borderId="148" xfId="0" applyNumberFormat="1" applyFont="1" applyFill="1" applyBorder="1"/>
    <xf numFmtId="4" fontId="19" fillId="23" borderId="19" xfId="0" applyNumberFormat="1" applyFont="1" applyFill="1" applyBorder="1"/>
    <xf numFmtId="0" fontId="65" fillId="23" borderId="0" xfId="0" applyFont="1" applyFill="1"/>
    <xf numFmtId="4" fontId="19" fillId="23" borderId="20" xfId="0" applyNumberFormat="1" applyFont="1" applyFill="1" applyBorder="1" applyAlignment="1">
      <alignment horizontal="center"/>
    </xf>
    <xf numFmtId="9" fontId="60" fillId="4" borderId="89" xfId="11" applyFont="1" applyFill="1" applyBorder="1" applyAlignment="1">
      <alignment horizontal="center"/>
    </xf>
    <xf numFmtId="3" fontId="60" fillId="4" borderId="0" xfId="0" applyNumberFormat="1" applyFont="1" applyFill="1" applyBorder="1"/>
    <xf numFmtId="3" fontId="5" fillId="4" borderId="0" xfId="0" applyNumberFormat="1" applyFont="1" applyFill="1" applyBorder="1"/>
    <xf numFmtId="9" fontId="60" fillId="4" borderId="92" xfId="11" applyFont="1" applyFill="1" applyBorder="1" applyAlignment="1">
      <alignment horizontal="center"/>
    </xf>
    <xf numFmtId="9" fontId="59" fillId="4" borderId="95" xfId="11" applyFont="1" applyFill="1" applyBorder="1"/>
    <xf numFmtId="0" fontId="60" fillId="23" borderId="87" xfId="0" applyFont="1" applyFill="1" applyBorder="1" applyAlignment="1">
      <alignment horizontal="center" vertical="center" wrapText="1"/>
    </xf>
    <xf numFmtId="0" fontId="60" fillId="23" borderId="87" xfId="0" applyFont="1" applyFill="1" applyBorder="1" applyAlignment="1">
      <alignment vertical="center" wrapText="1"/>
    </xf>
    <xf numFmtId="9" fontId="60" fillId="23" borderId="87" xfId="11" applyFont="1" applyFill="1" applyBorder="1" applyAlignment="1">
      <alignment horizontal="center" vertical="center" wrapText="1"/>
    </xf>
    <xf numFmtId="0" fontId="60" fillId="4" borderId="96" xfId="0" applyFont="1" applyFill="1" applyBorder="1"/>
    <xf numFmtId="3" fontId="59" fillId="4" borderId="24" xfId="0" applyNumberFormat="1" applyFont="1" applyFill="1" applyBorder="1"/>
    <xf numFmtId="3" fontId="59" fillId="23" borderId="29" xfId="0" applyNumberFormat="1" applyFont="1" applyFill="1" applyBorder="1"/>
    <xf numFmtId="9" fontId="60" fillId="23" borderId="24" xfId="11" applyFont="1" applyFill="1" applyBorder="1" applyAlignment="1">
      <alignment horizontal="center"/>
    </xf>
    <xf numFmtId="9" fontId="60" fillId="23" borderId="92" xfId="11" applyFont="1" applyFill="1" applyBorder="1" applyAlignment="1">
      <alignment horizontal="center"/>
    </xf>
    <xf numFmtId="4" fontId="19" fillId="2" borderId="150" xfId="0" applyNumberFormat="1" applyFont="1" applyFill="1" applyBorder="1"/>
    <xf numFmtId="0" fontId="37" fillId="2" borderId="0" xfId="0" applyFont="1" applyFill="1" applyBorder="1" applyAlignment="1"/>
    <xf numFmtId="165" fontId="19" fillId="2" borderId="0" xfId="0" quotePrefix="1" applyNumberFormat="1" applyFont="1" applyFill="1" applyBorder="1" applyAlignment="1"/>
    <xf numFmtId="165" fontId="24" fillId="2" borderId="0" xfId="0" applyNumberFormat="1" applyFont="1" applyFill="1" applyBorder="1" applyAlignment="1"/>
    <xf numFmtId="4" fontId="24" fillId="2" borderId="82" xfId="0" applyNumberFormat="1" applyFont="1" applyFill="1" applyBorder="1"/>
    <xf numFmtId="4" fontId="92" fillId="2" borderId="5" xfId="0" applyNumberFormat="1" applyFont="1" applyFill="1" applyBorder="1" applyAlignment="1">
      <alignment horizontal="center"/>
    </xf>
    <xf numFmtId="4" fontId="20" fillId="22" borderId="5" xfId="0" applyNumberFormat="1" applyFont="1" applyFill="1" applyBorder="1" applyAlignment="1">
      <alignment horizontal="center"/>
    </xf>
    <xf numFmtId="4" fontId="70" fillId="32" borderId="33" xfId="0" applyNumberFormat="1" applyFont="1" applyFill="1" applyBorder="1"/>
    <xf numFmtId="4" fontId="67" fillId="19" borderId="132" xfId="0" applyNumberFormat="1" applyFont="1" applyFill="1" applyBorder="1"/>
    <xf numFmtId="4" fontId="67" fillId="19" borderId="115" xfId="0" applyNumberFormat="1" applyFont="1" applyFill="1" applyBorder="1"/>
    <xf numFmtId="4" fontId="70" fillId="32" borderId="15" xfId="0" applyNumberFormat="1" applyFont="1" applyFill="1" applyBorder="1"/>
    <xf numFmtId="4" fontId="69" fillId="22" borderId="15" xfId="0" applyNumberFormat="1" applyFont="1" applyFill="1" applyBorder="1" applyProtection="1">
      <protection locked="0"/>
    </xf>
    <xf numFmtId="4" fontId="67" fillId="22" borderId="182" xfId="0" applyNumberFormat="1" applyFont="1" applyFill="1" applyBorder="1" applyProtection="1">
      <protection locked="0"/>
    </xf>
    <xf numFmtId="4" fontId="70" fillId="2" borderId="182" xfId="0" applyNumberFormat="1" applyFont="1" applyFill="1" applyBorder="1"/>
    <xf numFmtId="4" fontId="70" fillId="22" borderId="182" xfId="0" applyNumberFormat="1" applyFont="1" applyFill="1" applyBorder="1" applyProtection="1">
      <protection locked="0"/>
    </xf>
    <xf numFmtId="4" fontId="43" fillId="2" borderId="182" xfId="0" applyNumberFormat="1" applyFont="1" applyFill="1" applyBorder="1" applyProtection="1">
      <protection locked="0"/>
    </xf>
    <xf numFmtId="4" fontId="19" fillId="2" borderId="184" xfId="0" applyNumberFormat="1" applyFont="1" applyFill="1" applyBorder="1"/>
    <xf numFmtId="4" fontId="19" fillId="2" borderId="182" xfId="0" applyNumberFormat="1" applyFont="1" applyFill="1" applyBorder="1"/>
    <xf numFmtId="4" fontId="19" fillId="2" borderId="185" xfId="0" applyNumberFormat="1" applyFont="1" applyFill="1" applyBorder="1"/>
    <xf numFmtId="4" fontId="67" fillId="22" borderId="183" xfId="0" applyNumberFormat="1" applyFont="1" applyFill="1" applyBorder="1" applyProtection="1">
      <protection locked="0"/>
    </xf>
    <xf numFmtId="4" fontId="70" fillId="3" borderId="186" xfId="0" applyNumberFormat="1" applyFont="1" applyFill="1" applyBorder="1"/>
    <xf numFmtId="4" fontId="70" fillId="19" borderId="182" xfId="0" applyNumberFormat="1" applyFont="1" applyFill="1" applyBorder="1"/>
    <xf numFmtId="4" fontId="24" fillId="25" borderId="82" xfId="0" applyNumberFormat="1" applyFont="1" applyFill="1" applyBorder="1"/>
    <xf numFmtId="4" fontId="24" fillId="2" borderId="82" xfId="0" applyNumberFormat="1" applyFont="1" applyFill="1" applyBorder="1" applyProtection="1"/>
    <xf numFmtId="4" fontId="19" fillId="2" borderId="82" xfId="0" applyNumberFormat="1" applyFont="1" applyFill="1" applyBorder="1"/>
    <xf numFmtId="4" fontId="24" fillId="3" borderId="82" xfId="0" applyNumberFormat="1" applyFont="1" applyFill="1" applyBorder="1"/>
    <xf numFmtId="4" fontId="24" fillId="7" borderId="82" xfId="0" applyNumberFormat="1" applyFont="1" applyFill="1" applyBorder="1"/>
    <xf numFmtId="4" fontId="43" fillId="2" borderId="82" xfId="0" applyNumberFormat="1" applyFont="1" applyFill="1" applyBorder="1"/>
    <xf numFmtId="4" fontId="43" fillId="2" borderId="82" xfId="0" applyNumberFormat="1" applyFont="1" applyFill="1" applyBorder="1" applyProtection="1"/>
    <xf numFmtId="4" fontId="43" fillId="2" borderId="82" xfId="0" applyNumberFormat="1" applyFont="1" applyFill="1" applyBorder="1" applyProtection="1">
      <protection locked="0"/>
    </xf>
    <xf numFmtId="4" fontId="24" fillId="8" borderId="82" xfId="0" applyNumberFormat="1" applyFont="1" applyFill="1" applyBorder="1"/>
    <xf numFmtId="4" fontId="24" fillId="2" borderId="82" xfId="0" applyNumberFormat="1" applyFont="1" applyFill="1" applyBorder="1" applyProtection="1">
      <protection locked="0"/>
    </xf>
    <xf numFmtId="4" fontId="24" fillId="13" borderId="82" xfId="0" applyNumberFormat="1" applyFont="1" applyFill="1" applyBorder="1"/>
    <xf numFmtId="4" fontId="70" fillId="8" borderId="82" xfId="0" applyNumberFormat="1" applyFont="1" applyFill="1" applyBorder="1"/>
    <xf numFmtId="4" fontId="24" fillId="17" borderId="82" xfId="0" applyNumberFormat="1" applyFont="1" applyFill="1" applyBorder="1"/>
    <xf numFmtId="4" fontId="67" fillId="21" borderId="82" xfId="0" applyNumberFormat="1" applyFont="1" applyFill="1" applyBorder="1"/>
    <xf numFmtId="4" fontId="69" fillId="2" borderId="82" xfId="0" applyNumberFormat="1" applyFont="1" applyFill="1" applyBorder="1"/>
    <xf numFmtId="4" fontId="67" fillId="19" borderId="82" xfId="0" applyNumberFormat="1" applyFont="1" applyFill="1" applyBorder="1"/>
    <xf numFmtId="4" fontId="67" fillId="24" borderId="82" xfId="0" applyNumberFormat="1" applyFont="1" applyFill="1" applyBorder="1"/>
    <xf numFmtId="4" fontId="67" fillId="22" borderId="82" xfId="0" applyNumberFormat="1" applyFont="1" applyFill="1" applyBorder="1" applyProtection="1">
      <protection locked="0"/>
    </xf>
    <xf numFmtId="4" fontId="24" fillId="22" borderId="82" xfId="0" applyNumberFormat="1" applyFont="1" applyFill="1" applyBorder="1"/>
    <xf numFmtId="4" fontId="43" fillId="22" borderId="82" xfId="0" applyNumberFormat="1" applyFont="1" applyFill="1" applyBorder="1" applyProtection="1">
      <protection locked="0"/>
    </xf>
    <xf numFmtId="4" fontId="43" fillId="2" borderId="187" xfId="0" applyNumberFormat="1" applyFont="1" applyFill="1" applyBorder="1" applyProtection="1">
      <protection locked="0"/>
    </xf>
    <xf numFmtId="4" fontId="27" fillId="28" borderId="15" xfId="0" applyNumberFormat="1" applyFont="1" applyFill="1" applyBorder="1"/>
    <xf numFmtId="4" fontId="55" fillId="30" borderId="15" xfId="0" applyNumberFormat="1" applyFont="1" applyFill="1" applyBorder="1"/>
    <xf numFmtId="4" fontId="70" fillId="30" borderId="15" xfId="0" applyNumberFormat="1" applyFont="1" applyFill="1" applyBorder="1"/>
    <xf numFmtId="4" fontId="55" fillId="27" borderId="15" xfId="0" applyNumberFormat="1" applyFont="1" applyFill="1" applyBorder="1"/>
    <xf numFmtId="4" fontId="55" fillId="31" borderId="15" xfId="0" applyNumberFormat="1" applyFont="1" applyFill="1" applyBorder="1"/>
    <xf numFmtId="4" fontId="55" fillId="28" borderId="15" xfId="0" applyNumberFormat="1" applyFont="1" applyFill="1" applyBorder="1"/>
    <xf numFmtId="4" fontId="1" fillId="2" borderId="15" xfId="0" applyNumberFormat="1" applyFont="1" applyFill="1" applyBorder="1" applyProtection="1">
      <protection locked="0"/>
    </xf>
    <xf numFmtId="4" fontId="55" fillId="0" borderId="15" xfId="0" applyNumberFormat="1" applyFont="1" applyBorder="1" applyAlignment="1"/>
    <xf numFmtId="4" fontId="67" fillId="22" borderId="132" xfId="0" applyNumberFormat="1" applyFont="1" applyFill="1" applyBorder="1" applyProtection="1">
      <protection locked="0"/>
    </xf>
    <xf numFmtId="4" fontId="67" fillId="22" borderId="115" xfId="0" applyNumberFormat="1" applyFont="1" applyFill="1" applyBorder="1" applyProtection="1">
      <protection locked="0"/>
    </xf>
    <xf numFmtId="4" fontId="19" fillId="2" borderId="132" xfId="0" applyNumberFormat="1" applyFont="1" applyFill="1" applyBorder="1"/>
    <xf numFmtId="4" fontId="19" fillId="2" borderId="115" xfId="0" applyNumberFormat="1" applyFont="1" applyFill="1" applyBorder="1"/>
    <xf numFmtId="4" fontId="19" fillId="2" borderId="188" xfId="0" applyNumberFormat="1" applyFont="1" applyFill="1" applyBorder="1"/>
    <xf numFmtId="4" fontId="19" fillId="2" borderId="189" xfId="0" applyNumberFormat="1" applyFont="1" applyFill="1" applyBorder="1"/>
    <xf numFmtId="4" fontId="19" fillId="22" borderId="190" xfId="0" applyNumberFormat="1" applyFont="1" applyFill="1" applyBorder="1"/>
    <xf numFmtId="4" fontId="19" fillId="22" borderId="191" xfId="0" applyNumberFormat="1" applyFont="1" applyFill="1" applyBorder="1"/>
    <xf numFmtId="4" fontId="1" fillId="2" borderId="82" xfId="0" applyNumberFormat="1" applyFont="1" applyFill="1" applyBorder="1" applyProtection="1">
      <protection locked="0"/>
    </xf>
    <xf numFmtId="4" fontId="19" fillId="2" borderId="192" xfId="0" applyNumberFormat="1" applyFont="1" applyFill="1" applyBorder="1"/>
    <xf numFmtId="4" fontId="19" fillId="25" borderId="132" xfId="0" applyNumberFormat="1" applyFont="1" applyFill="1" applyBorder="1"/>
    <xf numFmtId="4" fontId="19" fillId="25" borderId="115" xfId="0" applyNumberFormat="1" applyFont="1" applyFill="1" applyBorder="1"/>
    <xf numFmtId="4" fontId="19" fillId="2" borderId="132" xfId="0" applyNumberFormat="1" applyFont="1" applyFill="1" applyBorder="1" applyProtection="1"/>
    <xf numFmtId="4" fontId="19" fillId="2" borderId="115" xfId="0" applyNumberFormat="1" applyFont="1" applyFill="1" applyBorder="1" applyProtection="1"/>
    <xf numFmtId="4" fontId="24" fillId="2" borderId="132" xfId="0" applyNumberFormat="1" applyFont="1" applyFill="1" applyBorder="1"/>
    <xf numFmtId="4" fontId="19" fillId="3" borderId="132" xfId="0" applyNumberFormat="1" applyFont="1" applyFill="1" applyBorder="1"/>
    <xf numFmtId="4" fontId="19" fillId="3" borderId="115" xfId="0" applyNumberFormat="1" applyFont="1" applyFill="1" applyBorder="1"/>
    <xf numFmtId="4" fontId="19" fillId="7" borderId="132" xfId="0" applyNumberFormat="1" applyFont="1" applyFill="1" applyBorder="1"/>
    <xf numFmtId="4" fontId="19" fillId="7" borderId="115" xfId="0" applyNumberFormat="1" applyFont="1" applyFill="1" applyBorder="1"/>
    <xf numFmtId="4" fontId="19" fillId="22" borderId="115" xfId="0" applyNumberFormat="1" applyFont="1" applyFill="1" applyBorder="1" applyProtection="1">
      <protection locked="0"/>
    </xf>
    <xf numFmtId="4" fontId="19" fillId="8" borderId="132" xfId="0" applyNumberFormat="1" applyFont="1" applyFill="1" applyBorder="1"/>
    <xf numFmtId="4" fontId="19" fillId="8" borderId="115" xfId="0" applyNumberFormat="1" applyFont="1" applyFill="1" applyBorder="1"/>
    <xf numFmtId="4" fontId="19" fillId="13" borderId="132" xfId="0" applyNumberFormat="1" applyFont="1" applyFill="1" applyBorder="1"/>
    <xf numFmtId="4" fontId="19" fillId="13" borderId="115" xfId="0" applyNumberFormat="1" applyFont="1" applyFill="1" applyBorder="1"/>
    <xf numFmtId="4" fontId="24" fillId="17" borderId="132" xfId="0" applyNumberFormat="1" applyFont="1" applyFill="1" applyBorder="1"/>
    <xf numFmtId="4" fontId="24" fillId="17" borderId="115" xfId="0" applyNumberFormat="1" applyFont="1" applyFill="1" applyBorder="1"/>
    <xf numFmtId="4" fontId="67" fillId="21" borderId="132" xfId="0" applyNumberFormat="1" applyFont="1" applyFill="1" applyBorder="1"/>
    <xf numFmtId="4" fontId="67" fillId="21" borderId="115" xfId="0" applyNumberFormat="1" applyFont="1" applyFill="1" applyBorder="1"/>
    <xf numFmtId="4" fontId="69" fillId="2" borderId="132" xfId="0" applyNumberFormat="1" applyFont="1" applyFill="1" applyBorder="1"/>
    <xf numFmtId="4" fontId="69" fillId="2" borderId="115" xfId="0" applyNumberFormat="1" applyFont="1" applyFill="1" applyBorder="1"/>
    <xf numFmtId="4" fontId="67" fillId="24" borderId="132" xfId="0" applyNumberFormat="1" applyFont="1" applyFill="1" applyBorder="1"/>
    <xf numFmtId="4" fontId="67" fillId="24" borderId="115" xfId="0" applyNumberFormat="1" applyFont="1" applyFill="1" applyBorder="1"/>
    <xf numFmtId="4" fontId="19" fillId="22" borderId="132" xfId="0" applyNumberFormat="1" applyFont="1" applyFill="1" applyBorder="1"/>
    <xf numFmtId="4" fontId="19" fillId="22" borderId="115" xfId="0" applyNumberFormat="1" applyFont="1" applyFill="1" applyBorder="1"/>
    <xf numFmtId="4" fontId="19" fillId="19" borderId="132" xfId="0" applyNumberFormat="1" applyFont="1" applyFill="1" applyBorder="1"/>
    <xf numFmtId="4" fontId="19" fillId="19" borderId="115" xfId="0" applyNumberFormat="1" applyFont="1" applyFill="1" applyBorder="1"/>
    <xf numFmtId="2" fontId="4" fillId="22" borderId="0" xfId="0" applyNumberFormat="1" applyFont="1" applyFill="1" applyBorder="1" applyAlignment="1">
      <alignment horizontal="center"/>
    </xf>
    <xf numFmtId="4" fontId="34" fillId="33" borderId="0" xfId="10" applyNumberFormat="1" applyFont="1" applyFill="1"/>
    <xf numFmtId="4" fontId="1" fillId="23" borderId="38" xfId="0" applyNumberFormat="1" applyFont="1" applyFill="1" applyBorder="1"/>
    <xf numFmtId="4" fontId="1" fillId="23" borderId="20" xfId="0" applyNumberFormat="1" applyFont="1" applyFill="1" applyBorder="1"/>
    <xf numFmtId="4" fontId="1" fillId="23" borderId="126" xfId="0" applyNumberFormat="1" applyFont="1" applyFill="1" applyBorder="1"/>
    <xf numFmtId="4" fontId="1" fillId="23" borderId="56" xfId="0" applyNumberFormat="1" applyFont="1" applyFill="1" applyBorder="1"/>
    <xf numFmtId="4" fontId="1" fillId="23" borderId="62" xfId="0" applyNumberFormat="1" applyFont="1" applyFill="1" applyBorder="1"/>
    <xf numFmtId="1" fontId="19" fillId="27" borderId="100" xfId="11" quotePrefix="1" applyNumberFormat="1" applyFont="1" applyFill="1" applyBorder="1" applyAlignment="1">
      <alignment horizontal="center"/>
    </xf>
    <xf numFmtId="4" fontId="85" fillId="2" borderId="0" xfId="10" applyNumberFormat="1" applyFont="1" applyFill="1"/>
    <xf numFmtId="4" fontId="70" fillId="23" borderId="15" xfId="0" applyNumberFormat="1" applyFont="1" applyFill="1" applyBorder="1" applyAlignment="1"/>
    <xf numFmtId="4" fontId="19" fillId="8" borderId="82" xfId="0" applyNumberFormat="1" applyFont="1" applyFill="1" applyBorder="1"/>
    <xf numFmtId="0" fontId="0" fillId="2" borderId="0" xfId="0" applyFont="1" applyFill="1" applyBorder="1"/>
    <xf numFmtId="4" fontId="0" fillId="2" borderId="0" xfId="0" applyNumberFormat="1" applyFont="1" applyFill="1" applyBorder="1"/>
    <xf numFmtId="4" fontId="19" fillId="2" borderId="82" xfId="0" applyNumberFormat="1" applyFont="1" applyFill="1" applyBorder="1" applyProtection="1">
      <protection locked="0"/>
    </xf>
    <xf numFmtId="9" fontId="1" fillId="2" borderId="0" xfId="11" applyFill="1"/>
    <xf numFmtId="0" fontId="15" fillId="2" borderId="0" xfId="0" applyFont="1" applyFill="1"/>
    <xf numFmtId="0" fontId="11" fillId="2" borderId="0" xfId="0" applyFont="1" applyFill="1" applyBorder="1"/>
    <xf numFmtId="4" fontId="0" fillId="2" borderId="0" xfId="0" applyNumberFormat="1" applyFill="1" applyBorder="1"/>
    <xf numFmtId="4" fontId="0" fillId="2" borderId="193" xfId="0" applyNumberFormat="1" applyFill="1" applyBorder="1"/>
    <xf numFmtId="0" fontId="0" fillId="2" borderId="193" xfId="0" applyFill="1" applyBorder="1"/>
    <xf numFmtId="4" fontId="21" fillId="2" borderId="194" xfId="0" applyNumberFormat="1" applyFont="1" applyFill="1" applyBorder="1"/>
    <xf numFmtId="0" fontId="20" fillId="2" borderId="195" xfId="0" applyFont="1" applyFill="1" applyBorder="1" applyAlignment="1">
      <alignment horizontal="center"/>
    </xf>
    <xf numFmtId="4" fontId="20" fillId="2" borderId="194" xfId="0" applyNumberFormat="1" applyFont="1" applyFill="1" applyBorder="1"/>
    <xf numFmtId="4" fontId="38" fillId="2" borderId="194" xfId="0" applyNumberFormat="1" applyFont="1" applyFill="1" applyBorder="1"/>
    <xf numFmtId="4" fontId="21" fillId="2" borderId="1" xfId="0" applyNumberFormat="1" applyFont="1" applyFill="1" applyBorder="1"/>
    <xf numFmtId="4" fontId="21" fillId="2" borderId="196" xfId="0" applyNumberFormat="1" applyFont="1" applyFill="1" applyBorder="1"/>
    <xf numFmtId="4" fontId="21" fillId="2" borderId="197" xfId="0" applyNumberFormat="1" applyFont="1" applyFill="1" applyBorder="1"/>
    <xf numFmtId="4" fontId="21" fillId="2" borderId="197" xfId="0" applyNumberFormat="1" applyFont="1" applyFill="1" applyBorder="1" applyAlignment="1">
      <alignment horizontal="right"/>
    </xf>
    <xf numFmtId="0" fontId="21" fillId="2" borderId="2" xfId="0" applyFont="1" applyFill="1" applyBorder="1"/>
    <xf numFmtId="0" fontId="21" fillId="2" borderId="195" xfId="0" applyFont="1" applyFill="1" applyBorder="1"/>
    <xf numFmtId="0" fontId="21" fillId="2" borderId="3" xfId="0" applyFont="1" applyFill="1" applyBorder="1"/>
    <xf numFmtId="4" fontId="20" fillId="2" borderId="194" xfId="0" applyNumberFormat="1" applyFont="1" applyFill="1" applyBorder="1" applyAlignment="1">
      <alignment horizontal="center"/>
    </xf>
    <xf numFmtId="0" fontId="20" fillId="2" borderId="2" xfId="0" applyFont="1" applyFill="1" applyBorder="1" applyAlignment="1">
      <alignment horizontal="center"/>
    </xf>
    <xf numFmtId="4" fontId="38" fillId="2" borderId="69" xfId="0" applyNumberFormat="1" applyFont="1" applyFill="1" applyBorder="1"/>
    <xf numFmtId="0" fontId="38" fillId="2" borderId="68" xfId="0" applyFont="1" applyFill="1" applyBorder="1" applyAlignment="1">
      <alignment horizontal="center"/>
    </xf>
    <xf numFmtId="4" fontId="21" fillId="2" borderId="198" xfId="0" applyNumberFormat="1" applyFont="1" applyFill="1" applyBorder="1"/>
    <xf numFmtId="4" fontId="21" fillId="2" borderId="199" xfId="0" applyNumberFormat="1" applyFont="1" applyFill="1" applyBorder="1"/>
    <xf numFmtId="4" fontId="21" fillId="2" borderId="0" xfId="0" applyNumberFormat="1" applyFont="1" applyFill="1" applyBorder="1"/>
    <xf numFmtId="4" fontId="21" fillId="2" borderId="200" xfId="0" applyNumberFormat="1" applyFont="1" applyFill="1" applyBorder="1"/>
    <xf numFmtId="4" fontId="21" fillId="2" borderId="201" xfId="0" applyNumberFormat="1" applyFont="1" applyFill="1" applyBorder="1"/>
    <xf numFmtId="2" fontId="21" fillId="2" borderId="194" xfId="0" applyNumberFormat="1" applyFont="1" applyFill="1" applyBorder="1"/>
    <xf numFmtId="0" fontId="21" fillId="2" borderId="194" xfId="0" applyFont="1" applyFill="1" applyBorder="1"/>
    <xf numFmtId="0" fontId="21" fillId="2" borderId="201" xfId="0" applyFont="1" applyFill="1" applyBorder="1"/>
    <xf numFmtId="0" fontId="21" fillId="2" borderId="197" xfId="0" applyFont="1" applyFill="1" applyBorder="1"/>
    <xf numFmtId="0" fontId="21" fillId="2" borderId="0" xfId="0" applyFont="1" applyFill="1" applyBorder="1"/>
    <xf numFmtId="0" fontId="21" fillId="2" borderId="199" xfId="0" applyFont="1" applyFill="1" applyBorder="1"/>
    <xf numFmtId="0" fontId="20" fillId="2" borderId="202" xfId="0" applyFont="1" applyFill="1" applyBorder="1" applyAlignment="1">
      <alignment horizontal="center"/>
    </xf>
    <xf numFmtId="0" fontId="20" fillId="2" borderId="204" xfId="0" applyFont="1" applyFill="1" applyBorder="1" applyAlignment="1">
      <alignment horizontal="center"/>
    </xf>
    <xf numFmtId="0" fontId="20" fillId="2" borderId="203" xfId="0" applyFont="1" applyFill="1" applyBorder="1" applyAlignment="1">
      <alignment horizontal="center"/>
    </xf>
    <xf numFmtId="0" fontId="0" fillId="2" borderId="0" xfId="0" applyFill="1" applyAlignment="1"/>
    <xf numFmtId="0" fontId="0" fillId="2" borderId="0" xfId="0" applyFont="1" applyFill="1" applyAlignment="1">
      <alignment horizontal="center"/>
    </xf>
    <xf numFmtId="4" fontId="67" fillId="8" borderId="15" xfId="0" applyNumberFormat="1" applyFont="1" applyFill="1" applyBorder="1"/>
    <xf numFmtId="4" fontId="67" fillId="8" borderId="82" xfId="0" applyNumberFormat="1" applyFont="1" applyFill="1" applyBorder="1"/>
    <xf numFmtId="49" fontId="82" fillId="22" borderId="206" xfId="0" applyNumberFormat="1" applyFont="1" applyFill="1" applyBorder="1" applyAlignment="1">
      <alignment horizontal="left"/>
    </xf>
    <xf numFmtId="0" fontId="68" fillId="22" borderId="182" xfId="0" applyFont="1" applyFill="1" applyBorder="1"/>
    <xf numFmtId="4" fontId="24" fillId="2" borderId="182" xfId="0" applyNumberFormat="1" applyFont="1" applyFill="1" applyBorder="1"/>
    <xf numFmtId="4" fontId="85" fillId="2" borderId="182" xfId="0" applyNumberFormat="1" applyFont="1" applyFill="1" applyBorder="1"/>
    <xf numFmtId="4" fontId="70" fillId="2" borderId="182" xfId="0" applyNumberFormat="1" applyFont="1" applyFill="1" applyBorder="1" applyProtection="1">
      <protection locked="0"/>
    </xf>
    <xf numFmtId="4" fontId="55" fillId="0" borderId="182" xfId="0" applyNumberFormat="1" applyFont="1" applyBorder="1"/>
    <xf numFmtId="4" fontId="70" fillId="0" borderId="182" xfId="0" applyNumberFormat="1" applyFont="1" applyBorder="1"/>
    <xf numFmtId="4" fontId="55" fillId="23" borderId="182" xfId="0" applyNumberFormat="1" applyFont="1" applyFill="1" applyBorder="1"/>
    <xf numFmtId="4" fontId="19" fillId="2" borderId="183" xfId="0" applyNumberFormat="1" applyFont="1" applyFill="1" applyBorder="1"/>
    <xf numFmtId="4" fontId="38" fillId="2" borderId="0" xfId="0" applyNumberFormat="1" applyFont="1" applyFill="1" applyBorder="1" applyAlignment="1"/>
    <xf numFmtId="4" fontId="1" fillId="2" borderId="33" xfId="0" applyNumberFormat="1" applyFont="1" applyFill="1" applyBorder="1" applyProtection="1">
      <protection locked="0"/>
    </xf>
    <xf numFmtId="0" fontId="2" fillId="2" borderId="0" xfId="0" applyFont="1" applyFill="1"/>
    <xf numFmtId="0" fontId="20" fillId="2" borderId="196" xfId="0" applyFont="1" applyFill="1" applyBorder="1" applyAlignment="1">
      <alignment horizontal="center"/>
    </xf>
    <xf numFmtId="0" fontId="20" fillId="2" borderId="1" xfId="0" applyFont="1" applyFill="1" applyBorder="1" applyAlignment="1">
      <alignment horizontal="center"/>
    </xf>
    <xf numFmtId="0" fontId="20" fillId="2" borderId="194" xfId="0" applyFont="1" applyFill="1" applyBorder="1" applyAlignment="1">
      <alignment horizontal="center"/>
    </xf>
    <xf numFmtId="0" fontId="70" fillId="2" borderId="160" xfId="0" applyFont="1" applyFill="1" applyBorder="1" applyAlignment="1">
      <alignment horizontal="center" vertical="center" wrapText="1"/>
    </xf>
    <xf numFmtId="0" fontId="91" fillId="0" borderId="161" xfId="0" applyFont="1" applyBorder="1" applyAlignment="1">
      <alignment horizontal="center" vertical="center" wrapText="1"/>
    </xf>
    <xf numFmtId="4" fontId="38" fillId="22" borderId="112" xfId="0" applyNumberFormat="1" applyFont="1" applyFill="1" applyBorder="1" applyAlignment="1">
      <alignment horizontal="center"/>
    </xf>
    <xf numFmtId="4" fontId="38" fillId="22" borderId="0" xfId="0" applyNumberFormat="1" applyFont="1" applyFill="1" applyBorder="1" applyAlignment="1">
      <alignment horizontal="center"/>
    </xf>
    <xf numFmtId="4" fontId="38" fillId="22" borderId="110" xfId="0" applyNumberFormat="1" applyFont="1" applyFill="1" applyBorder="1" applyAlignment="1">
      <alignment horizontal="center"/>
    </xf>
    <xf numFmtId="4" fontId="40" fillId="22" borderId="112" xfId="0" applyNumberFormat="1" applyFont="1" applyFill="1" applyBorder="1" applyAlignment="1">
      <alignment horizontal="center"/>
    </xf>
    <xf numFmtId="0" fontId="40" fillId="22" borderId="0" xfId="0" applyFont="1" applyFill="1" applyBorder="1" applyAlignment="1">
      <alignment horizontal="center"/>
    </xf>
    <xf numFmtId="4" fontId="38" fillId="2" borderId="7" xfId="0" applyNumberFormat="1" applyFont="1" applyFill="1" applyBorder="1" applyAlignment="1">
      <alignment horizontal="center" vertical="center" wrapText="1"/>
    </xf>
    <xf numFmtId="0" fontId="0" fillId="0" borderId="113" xfId="0" applyBorder="1" applyAlignment="1">
      <alignment horizontal="center" vertical="center" wrapText="1"/>
    </xf>
    <xf numFmtId="4" fontId="38" fillId="2" borderId="68" xfId="0" applyNumberFormat="1" applyFont="1" applyFill="1" applyBorder="1" applyAlignment="1">
      <alignment horizontal="center"/>
    </xf>
    <xf numFmtId="4" fontId="72" fillId="2" borderId="151" xfId="0" applyNumberFormat="1" applyFont="1" applyFill="1" applyBorder="1" applyAlignment="1">
      <alignment horizontal="center"/>
    </xf>
    <xf numFmtId="4" fontId="72" fillId="2" borderId="6" xfId="0" applyNumberFormat="1" applyFont="1" applyFill="1" applyBorder="1" applyAlignment="1">
      <alignment horizontal="center"/>
    </xf>
    <xf numFmtId="4" fontId="72" fillId="2" borderId="152" xfId="0" applyNumberFormat="1" applyFont="1" applyFill="1" applyBorder="1" applyAlignment="1">
      <alignment horizontal="center"/>
    </xf>
    <xf numFmtId="4" fontId="72" fillId="2" borderId="8" xfId="0" applyNumberFormat="1" applyFont="1" applyFill="1" applyBorder="1" applyAlignment="1">
      <alignment horizontal="center"/>
    </xf>
    <xf numFmtId="0" fontId="39" fillId="2" borderId="0" xfId="0" applyFont="1" applyFill="1" applyAlignment="1">
      <alignment horizontal="center"/>
    </xf>
    <xf numFmtId="0" fontId="38" fillId="2" borderId="0" xfId="0" applyFont="1" applyFill="1"/>
    <xf numFmtId="49" fontId="4" fillId="9" borderId="53" xfId="0" applyNumberFormat="1" applyFont="1" applyFill="1" applyBorder="1" applyAlignment="1">
      <alignment horizontal="center" vertical="center" textRotation="180" wrapText="1"/>
    </xf>
    <xf numFmtId="0" fontId="31" fillId="0" borderId="49" xfId="0" applyFont="1" applyBorder="1" applyAlignment="1">
      <alignment horizontal="center" vertical="center" textRotation="180" wrapText="1"/>
    </xf>
    <xf numFmtId="0" fontId="31" fillId="0" borderId="159" xfId="0" applyFont="1" applyBorder="1" applyAlignment="1">
      <alignment horizontal="center" vertical="center" textRotation="180" wrapText="1"/>
    </xf>
    <xf numFmtId="49" fontId="4" fillId="9" borderId="21" xfId="0" applyNumberFormat="1" applyFont="1" applyFill="1" applyBorder="1" applyAlignment="1">
      <alignment horizontal="center" vertical="center" wrapText="1"/>
    </xf>
    <xf numFmtId="0" fontId="31" fillId="0" borderId="62" xfId="0" applyFont="1" applyBorder="1" applyAlignment="1">
      <alignment horizontal="center" vertical="center" wrapText="1"/>
    </xf>
    <xf numFmtId="0" fontId="31" fillId="0" borderId="63" xfId="0" applyFont="1" applyBorder="1" applyAlignment="1">
      <alignment horizontal="center" vertical="center" wrapText="1"/>
    </xf>
    <xf numFmtId="49" fontId="4" fillId="7" borderId="36" xfId="0" applyNumberFormat="1" applyFont="1" applyFill="1" applyBorder="1" applyAlignment="1">
      <alignment horizontal="center"/>
    </xf>
    <xf numFmtId="0" fontId="2" fillId="2" borderId="0" xfId="0" applyFont="1" applyFill="1"/>
    <xf numFmtId="4" fontId="38" fillId="2" borderId="7" xfId="0" applyNumberFormat="1" applyFont="1" applyFill="1" applyBorder="1" applyAlignment="1">
      <alignment horizontal="center"/>
    </xf>
    <xf numFmtId="4" fontId="38" fillId="2" borderId="157" xfId="0" applyNumberFormat="1" applyFont="1" applyFill="1" applyBorder="1" applyAlignment="1">
      <alignment horizontal="center"/>
    </xf>
    <xf numFmtId="4" fontId="38" fillId="2" borderId="158" xfId="0" applyNumberFormat="1" applyFont="1" applyFill="1" applyBorder="1" applyAlignment="1">
      <alignment horizontal="center"/>
    </xf>
    <xf numFmtId="4" fontId="38" fillId="2" borderId="6" xfId="0" applyNumberFormat="1" applyFont="1" applyFill="1" applyBorder="1" applyAlignment="1">
      <alignment horizontal="center"/>
    </xf>
    <xf numFmtId="4" fontId="38" fillId="2" borderId="155" xfId="0" applyNumberFormat="1" applyFont="1" applyFill="1" applyBorder="1" applyAlignment="1">
      <alignment horizontal="center"/>
    </xf>
    <xf numFmtId="49" fontId="78" fillId="2" borderId="12" xfId="0" applyNumberFormat="1" applyFont="1" applyFill="1" applyBorder="1" applyAlignment="1">
      <alignment horizontal="center"/>
    </xf>
    <xf numFmtId="49" fontId="78" fillId="2" borderId="10" xfId="0" applyNumberFormat="1" applyFont="1" applyFill="1" applyBorder="1" applyAlignment="1">
      <alignment horizontal="center"/>
    </xf>
    <xf numFmtId="4" fontId="78" fillId="2" borderId="7" xfId="0" applyNumberFormat="1" applyFont="1" applyFill="1" applyBorder="1" applyAlignment="1">
      <alignment horizontal="center" vertical="center" wrapText="1"/>
    </xf>
    <xf numFmtId="0" fontId="76" fillId="0" borderId="113" xfId="0" applyFont="1" applyBorder="1" applyAlignment="1">
      <alignment horizontal="center" vertical="center" wrapText="1"/>
    </xf>
    <xf numFmtId="4" fontId="38" fillId="29" borderId="156" xfId="0" applyNumberFormat="1" applyFont="1" applyFill="1" applyBorder="1" applyAlignment="1">
      <alignment horizontal="center"/>
    </xf>
    <xf numFmtId="4" fontId="38" fillId="29" borderId="69" xfId="0" applyNumberFormat="1" applyFont="1" applyFill="1" applyBorder="1" applyAlignment="1">
      <alignment horizontal="center"/>
    </xf>
    <xf numFmtId="49" fontId="38" fillId="2" borderId="153" xfId="0" applyNumberFormat="1" applyFont="1" applyFill="1" applyBorder="1" applyAlignment="1">
      <alignment vertical="center" wrapText="1"/>
    </xf>
    <xf numFmtId="0" fontId="24" fillId="2" borderId="154" xfId="0" applyFont="1" applyFill="1" applyBorder="1" applyAlignment="1">
      <alignment horizontal="center" vertical="center" wrapText="1"/>
    </xf>
    <xf numFmtId="4" fontId="38" fillId="2" borderId="69" xfId="0" applyNumberFormat="1" applyFont="1" applyFill="1" applyBorder="1" applyAlignment="1">
      <alignment horizontal="center"/>
    </xf>
    <xf numFmtId="49" fontId="78" fillId="33" borderId="12" xfId="0" applyNumberFormat="1" applyFont="1" applyFill="1" applyBorder="1" applyAlignment="1">
      <alignment horizontal="center"/>
    </xf>
    <xf numFmtId="49" fontId="78" fillId="33" borderId="10" xfId="0" applyNumberFormat="1" applyFont="1" applyFill="1" applyBorder="1" applyAlignment="1">
      <alignment horizontal="center"/>
    </xf>
    <xf numFmtId="49" fontId="78" fillId="22" borderId="12" xfId="0" applyNumberFormat="1" applyFont="1" applyFill="1" applyBorder="1" applyAlignment="1">
      <alignment horizontal="center"/>
    </xf>
    <xf numFmtId="49" fontId="78" fillId="22" borderId="10" xfId="0" applyNumberFormat="1" applyFont="1" applyFill="1" applyBorder="1" applyAlignment="1">
      <alignment horizontal="center"/>
    </xf>
    <xf numFmtId="4" fontId="77" fillId="29" borderId="12" xfId="0" applyNumberFormat="1" applyFont="1" applyFill="1" applyBorder="1" applyAlignment="1">
      <alignment horizontal="center"/>
    </xf>
    <xf numFmtId="4" fontId="77" fillId="29" borderId="10" xfId="0" applyNumberFormat="1" applyFont="1" applyFill="1" applyBorder="1" applyAlignment="1">
      <alignment horizontal="center"/>
    </xf>
    <xf numFmtId="49" fontId="78" fillId="0" borderId="12" xfId="0" applyNumberFormat="1" applyFont="1" applyFill="1" applyBorder="1" applyAlignment="1">
      <alignment horizontal="center"/>
    </xf>
    <xf numFmtId="49" fontId="78" fillId="0" borderId="10" xfId="0" applyNumberFormat="1" applyFont="1" applyFill="1" applyBorder="1" applyAlignment="1">
      <alignment horizontal="center"/>
    </xf>
    <xf numFmtId="4" fontId="21" fillId="2" borderId="203" xfId="0" applyNumberFormat="1" applyFont="1" applyFill="1" applyBorder="1" applyAlignment="1">
      <alignment horizontal="center"/>
    </xf>
    <xf numFmtId="4" fontId="21" fillId="2" borderId="202" xfId="0" applyNumberFormat="1" applyFont="1" applyFill="1" applyBorder="1" applyAlignment="1">
      <alignment horizontal="center"/>
    </xf>
    <xf numFmtId="0" fontId="20" fillId="2" borderId="201" xfId="0" applyFont="1" applyFill="1" applyBorder="1" applyAlignment="1">
      <alignment horizontal="center"/>
    </xf>
    <xf numFmtId="0" fontId="20" fillId="2" borderId="194" xfId="0" applyFont="1" applyFill="1" applyBorder="1" applyAlignment="1">
      <alignment horizontal="center"/>
    </xf>
    <xf numFmtId="4" fontId="21" fillId="2" borderId="201" xfId="0" applyNumberFormat="1" applyFont="1" applyFill="1" applyBorder="1" applyAlignment="1">
      <alignment horizontal="center"/>
    </xf>
    <xf numFmtId="4" fontId="21" fillId="2" borderId="194" xfId="0" applyNumberFormat="1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0" fontId="20" fillId="2" borderId="196" xfId="0" applyFont="1" applyFill="1" applyBorder="1" applyAlignment="1">
      <alignment horizontal="center"/>
    </xf>
    <xf numFmtId="0" fontId="94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/>
    </xf>
    <xf numFmtId="0" fontId="20" fillId="2" borderId="205" xfId="0" applyFont="1" applyFill="1" applyBorder="1" applyAlignment="1">
      <alignment horizontal="center"/>
    </xf>
    <xf numFmtId="0" fontId="20" fillId="2" borderId="1" xfId="0" applyFont="1" applyFill="1" applyBorder="1" applyAlignment="1">
      <alignment horizontal="center"/>
    </xf>
    <xf numFmtId="0" fontId="19" fillId="2" borderId="0" xfId="0" applyFont="1" applyFill="1" applyBorder="1" applyAlignment="1">
      <alignment horizontal="center"/>
    </xf>
    <xf numFmtId="0" fontId="24" fillId="2" borderId="0" xfId="0" applyFont="1" applyFill="1" applyBorder="1" applyAlignment="1">
      <alignment horizontal="center"/>
    </xf>
    <xf numFmtId="4" fontId="19" fillId="13" borderId="67" xfId="10" applyNumberFormat="1" applyFont="1" applyFill="1" applyBorder="1" applyAlignment="1">
      <alignment horizontal="center" vertical="center" shrinkToFit="1"/>
    </xf>
    <xf numFmtId="0" fontId="0" fillId="0" borderId="66" xfId="0" applyBorder="1" applyAlignment="1">
      <alignment horizontal="center" vertical="center" shrinkToFit="1"/>
    </xf>
    <xf numFmtId="0" fontId="19" fillId="2" borderId="0" xfId="10" applyFont="1" applyFill="1" applyBorder="1" applyAlignment="1">
      <alignment horizontal="center"/>
    </xf>
    <xf numFmtId="0" fontId="24" fillId="2" borderId="0" xfId="10" applyFont="1" applyFill="1" applyBorder="1" applyAlignment="1">
      <alignment horizontal="center"/>
    </xf>
    <xf numFmtId="0" fontId="19" fillId="2" borderId="162" xfId="10" applyFont="1" applyFill="1" applyBorder="1" applyAlignment="1">
      <alignment horizontal="center" vertical="center"/>
    </xf>
    <xf numFmtId="9" fontId="19" fillId="2" borderId="67" xfId="11" applyFont="1" applyFill="1" applyBorder="1" applyAlignment="1">
      <alignment horizontal="center" vertical="center" wrapText="1"/>
    </xf>
    <xf numFmtId="0" fontId="5" fillId="0" borderId="66" xfId="0" applyFont="1" applyBorder="1" applyAlignment="1">
      <alignment horizontal="center" vertical="center" wrapText="1"/>
    </xf>
    <xf numFmtId="0" fontId="60" fillId="4" borderId="89" xfId="0" applyFont="1" applyFill="1" applyBorder="1" applyAlignment="1">
      <alignment horizontal="center"/>
    </xf>
    <xf numFmtId="0" fontId="60" fillId="4" borderId="90" xfId="0" applyFont="1" applyFill="1" applyBorder="1" applyAlignment="1">
      <alignment horizontal="center"/>
    </xf>
    <xf numFmtId="0" fontId="60" fillId="4" borderId="91" xfId="0" applyFont="1" applyFill="1" applyBorder="1" applyAlignment="1">
      <alignment horizontal="center"/>
    </xf>
    <xf numFmtId="0" fontId="58" fillId="4" borderId="0" xfId="0" applyFont="1" applyFill="1" applyAlignment="1">
      <alignment horizontal="center"/>
    </xf>
    <xf numFmtId="0" fontId="60" fillId="23" borderId="87" xfId="0" applyFont="1" applyFill="1" applyBorder="1" applyAlignment="1">
      <alignment horizontal="center" vertical="center" wrapText="1"/>
    </xf>
    <xf numFmtId="0" fontId="93" fillId="0" borderId="0" xfId="0" applyFont="1" applyAlignment="1">
      <alignment horizontal="center"/>
    </xf>
    <xf numFmtId="9" fontId="19" fillId="27" borderId="126" xfId="11" applyFont="1" applyFill="1" applyBorder="1" applyAlignment="1">
      <alignment horizontal="center" vertical="center" wrapText="1"/>
    </xf>
    <xf numFmtId="9" fontId="19" fillId="27" borderId="56" xfId="11" applyFont="1" applyFill="1" applyBorder="1" applyAlignment="1">
      <alignment horizontal="center" vertical="center" wrapText="1"/>
    </xf>
    <xf numFmtId="0" fontId="19" fillId="27" borderId="126" xfId="0" applyFont="1" applyFill="1" applyBorder="1" applyAlignment="1">
      <alignment horizontal="center" vertical="center" wrapText="1"/>
    </xf>
    <xf numFmtId="0" fontId="19" fillId="27" borderId="56" xfId="0" applyFont="1" applyFill="1" applyBorder="1" applyAlignment="1">
      <alignment horizontal="center" vertical="center" wrapText="1"/>
    </xf>
    <xf numFmtId="9" fontId="19" fillId="23" borderId="126" xfId="11" applyFont="1" applyFill="1" applyBorder="1" applyAlignment="1">
      <alignment horizontal="center" vertical="center"/>
    </xf>
    <xf numFmtId="9" fontId="19" fillId="23" borderId="62" xfId="11" applyFont="1" applyFill="1" applyBorder="1" applyAlignment="1">
      <alignment horizontal="center" vertical="center"/>
    </xf>
    <xf numFmtId="9" fontId="19" fillId="23" borderId="56" xfId="11" applyFont="1" applyFill="1" applyBorder="1" applyAlignment="1">
      <alignment horizontal="center" vertical="center"/>
    </xf>
    <xf numFmtId="9" fontId="1" fillId="0" borderId="112" xfId="11" applyBorder="1" applyAlignment="1">
      <alignment horizontal="center" vertical="center"/>
    </xf>
    <xf numFmtId="0" fontId="33" fillId="27" borderId="143" xfId="0" applyFont="1" applyFill="1" applyBorder="1" applyAlignment="1">
      <alignment horizontal="center"/>
    </xf>
    <xf numFmtId="0" fontId="33" fillId="27" borderId="144" xfId="0" applyFont="1" applyFill="1" applyBorder="1" applyAlignment="1">
      <alignment horizontal="center"/>
    </xf>
    <xf numFmtId="0" fontId="33" fillId="27" borderId="19" xfId="0" applyFont="1" applyFill="1" applyBorder="1" applyAlignment="1">
      <alignment horizontal="center"/>
    </xf>
    <xf numFmtId="0" fontId="19" fillId="27" borderId="145" xfId="0" applyFont="1" applyFill="1" applyBorder="1" applyAlignment="1">
      <alignment horizontal="center" vertical="center" wrapText="1"/>
    </xf>
    <xf numFmtId="0" fontId="19" fillId="27" borderId="146" xfId="0" applyFont="1" applyFill="1" applyBorder="1" applyAlignment="1">
      <alignment horizontal="center" vertical="center" wrapText="1"/>
    </xf>
    <xf numFmtId="0" fontId="19" fillId="27" borderId="163" xfId="0" applyFont="1" applyFill="1" applyBorder="1" applyAlignment="1">
      <alignment horizontal="center" vertical="center" wrapText="1"/>
    </xf>
    <xf numFmtId="0" fontId="19" fillId="27" borderId="142" xfId="0" applyFont="1" applyFill="1" applyBorder="1" applyAlignment="1">
      <alignment horizontal="center" vertical="center" wrapText="1"/>
    </xf>
    <xf numFmtId="0" fontId="19" fillId="27" borderId="43" xfId="0" applyFont="1" applyFill="1" applyBorder="1" applyAlignment="1">
      <alignment horizontal="center" vertical="center" wrapText="1"/>
    </xf>
    <xf numFmtId="0" fontId="19" fillId="27" borderId="45" xfId="0" applyFont="1" applyFill="1" applyBorder="1" applyAlignment="1">
      <alignment horizontal="center" vertical="center" wrapText="1"/>
    </xf>
    <xf numFmtId="9" fontId="37" fillId="27" borderId="126" xfId="11" applyFont="1" applyFill="1" applyBorder="1" applyAlignment="1">
      <alignment horizontal="center" vertical="center"/>
    </xf>
    <xf numFmtId="9" fontId="37" fillId="27" borderId="56" xfId="11" applyFont="1" applyFill="1" applyBorder="1" applyAlignment="1">
      <alignment horizontal="center" vertical="center"/>
    </xf>
    <xf numFmtId="0" fontId="5" fillId="26" borderId="103" xfId="0" applyFont="1" applyFill="1" applyBorder="1" applyAlignment="1">
      <alignment horizontal="center" vertical="center" wrapText="1"/>
    </xf>
    <xf numFmtId="0" fontId="5" fillId="26" borderId="61" xfId="0" applyFont="1" applyFill="1" applyBorder="1" applyAlignment="1">
      <alignment horizontal="center" vertical="center" wrapText="1"/>
    </xf>
    <xf numFmtId="0" fontId="5" fillId="26" borderId="107" xfId="0" applyFont="1" applyFill="1" applyBorder="1" applyAlignment="1">
      <alignment horizontal="center" vertical="center" wrapText="1"/>
    </xf>
    <xf numFmtId="0" fontId="0" fillId="26" borderId="64" xfId="0" applyFill="1" applyBorder="1" applyAlignment="1">
      <alignment vertical="center" wrapText="1"/>
    </xf>
    <xf numFmtId="0" fontId="0" fillId="26" borderId="105" xfId="0" applyFill="1" applyBorder="1" applyAlignment="1">
      <alignment vertical="center" wrapText="1"/>
    </xf>
    <xf numFmtId="0" fontId="0" fillId="26" borderId="106" xfId="0" applyFill="1" applyBorder="1" applyAlignment="1">
      <alignment vertical="center" wrapText="1"/>
    </xf>
    <xf numFmtId="0" fontId="5" fillId="26" borderId="50" xfId="0" applyFont="1" applyFill="1" applyBorder="1" applyAlignment="1">
      <alignment horizontal="center"/>
    </xf>
    <xf numFmtId="49" fontId="5" fillId="4" borderId="47" xfId="0" applyNumberFormat="1" applyFont="1" applyFill="1" applyBorder="1" applyAlignment="1">
      <alignment horizontal="center"/>
    </xf>
    <xf numFmtId="49" fontId="5" fillId="4" borderId="0" xfId="0" applyNumberFormat="1" applyFont="1" applyFill="1" applyBorder="1" applyAlignment="1">
      <alignment horizontal="center"/>
    </xf>
    <xf numFmtId="49" fontId="5" fillId="4" borderId="104" xfId="0" applyNumberFormat="1" applyFont="1" applyFill="1" applyBorder="1" applyAlignment="1">
      <alignment horizontal="center"/>
    </xf>
    <xf numFmtId="0" fontId="5" fillId="18" borderId="103" xfId="0" applyFont="1" applyFill="1" applyBorder="1" applyAlignment="1">
      <alignment horizontal="center" vertical="center" wrapText="1"/>
    </xf>
    <xf numFmtId="0" fontId="5" fillId="18" borderId="61" xfId="0" applyFont="1" applyFill="1" applyBorder="1" applyAlignment="1">
      <alignment horizontal="center" vertical="center" wrapText="1"/>
    </xf>
    <xf numFmtId="0" fontId="5" fillId="18" borderId="107" xfId="0" applyFont="1" applyFill="1" applyBorder="1" applyAlignment="1">
      <alignment horizontal="center" vertical="center" wrapText="1"/>
    </xf>
    <xf numFmtId="0" fontId="0" fillId="18" borderId="64" xfId="0" applyFill="1" applyBorder="1" applyAlignment="1">
      <alignment vertical="center" wrapText="1"/>
    </xf>
    <xf numFmtId="0" fontId="0" fillId="18" borderId="105" xfId="0" applyFill="1" applyBorder="1" applyAlignment="1">
      <alignment vertical="center" wrapText="1"/>
    </xf>
    <xf numFmtId="0" fontId="0" fillId="18" borderId="106" xfId="0" applyFill="1" applyBorder="1" applyAlignment="1">
      <alignment vertical="center" wrapText="1"/>
    </xf>
    <xf numFmtId="0" fontId="5" fillId="18" borderId="50" xfId="0" applyFont="1" applyFill="1" applyBorder="1" applyAlignment="1">
      <alignment horizontal="center"/>
    </xf>
    <xf numFmtId="0" fontId="5" fillId="4" borderId="47" xfId="0" applyFont="1" applyFill="1" applyBorder="1" applyAlignment="1">
      <alignment horizontal="center"/>
    </xf>
    <xf numFmtId="0" fontId="5" fillId="4" borderId="0" xfId="0" applyFont="1" applyFill="1" applyBorder="1" applyAlignment="1">
      <alignment horizontal="center"/>
    </xf>
    <xf numFmtId="0" fontId="5" fillId="26" borderId="51" xfId="0" applyFont="1" applyFill="1" applyBorder="1" applyAlignment="1">
      <alignment horizontal="center"/>
    </xf>
    <xf numFmtId="0" fontId="5" fillId="26" borderId="103" xfId="0" applyFont="1" applyFill="1" applyBorder="1" applyAlignment="1">
      <alignment horizontal="center" vertical="center"/>
    </xf>
    <xf numFmtId="0" fontId="5" fillId="26" borderId="61" xfId="0" applyFont="1" applyFill="1" applyBorder="1" applyAlignment="1">
      <alignment horizontal="center" vertical="center"/>
    </xf>
    <xf numFmtId="0" fontId="5" fillId="26" borderId="64" xfId="0" applyFont="1" applyFill="1" applyBorder="1" applyAlignment="1">
      <alignment horizontal="center" vertical="center"/>
    </xf>
    <xf numFmtId="0" fontId="5" fillId="26" borderId="105" xfId="0" applyFont="1" applyFill="1" applyBorder="1" applyAlignment="1">
      <alignment horizontal="center" vertical="center"/>
    </xf>
    <xf numFmtId="0" fontId="5" fillId="26" borderId="51" xfId="0" applyFont="1" applyFill="1" applyBorder="1" applyAlignment="1">
      <alignment horizontal="center" vertical="center"/>
    </xf>
    <xf numFmtId="0" fontId="5" fillId="26" borderId="52" xfId="0" applyFont="1" applyFill="1" applyBorder="1" applyAlignment="1">
      <alignment horizontal="center" vertical="center"/>
    </xf>
    <xf numFmtId="0" fontId="5" fillId="26" borderId="51" xfId="0" applyFont="1" applyFill="1" applyBorder="1" applyAlignment="1">
      <alignment horizontal="center" vertical="center" wrapText="1"/>
    </xf>
    <xf numFmtId="0" fontId="0" fillId="0" borderId="52" xfId="0" applyBorder="1" applyAlignment="1">
      <alignment horizontal="center" vertical="center" wrapText="1"/>
    </xf>
    <xf numFmtId="9" fontId="19" fillId="26" borderId="50" xfId="11" applyFont="1" applyFill="1" applyBorder="1" applyAlignment="1">
      <alignment horizontal="center"/>
    </xf>
    <xf numFmtId="0" fontId="5" fillId="26" borderId="164" xfId="0" applyFont="1" applyFill="1" applyBorder="1" applyAlignment="1">
      <alignment horizontal="center"/>
    </xf>
    <xf numFmtId="0" fontId="5" fillId="26" borderId="165" xfId="0" applyFont="1" applyFill="1" applyBorder="1" applyAlignment="1">
      <alignment horizontal="center"/>
    </xf>
    <xf numFmtId="0" fontId="5" fillId="26" borderId="166" xfId="0" applyFont="1" applyFill="1" applyBorder="1" applyAlignment="1">
      <alignment horizontal="center" vertical="center" wrapText="1"/>
    </xf>
    <xf numFmtId="0" fontId="6" fillId="26" borderId="57" xfId="0" applyFont="1" applyFill="1" applyBorder="1" applyAlignment="1">
      <alignment horizontal="center" vertical="center" wrapText="1"/>
    </xf>
    <xf numFmtId="0" fontId="6" fillId="26" borderId="36" xfId="0" applyFont="1" applyFill="1" applyBorder="1" applyAlignment="1">
      <alignment horizontal="center" vertical="center" wrapText="1"/>
    </xf>
    <xf numFmtId="0" fontId="6" fillId="26" borderId="20" xfId="0" applyFont="1" applyFill="1" applyBorder="1" applyAlignment="1">
      <alignment horizontal="center" vertical="center" wrapText="1"/>
    </xf>
    <xf numFmtId="0" fontId="48" fillId="4" borderId="0" xfId="0" applyFont="1" applyFill="1" applyAlignment="1">
      <alignment horizontal="center"/>
    </xf>
    <xf numFmtId="0" fontId="6" fillId="26" borderId="36" xfId="0" applyFont="1" applyFill="1" applyBorder="1" applyAlignment="1">
      <alignment horizontal="center"/>
    </xf>
    <xf numFmtId="0" fontId="5" fillId="26" borderId="50" xfId="0" applyFont="1" applyFill="1" applyBorder="1" applyAlignment="1">
      <alignment horizontal="center" vertical="center" wrapText="1"/>
    </xf>
    <xf numFmtId="0" fontId="6" fillId="26" borderId="50" xfId="0" applyFont="1" applyFill="1" applyBorder="1" applyAlignment="1">
      <alignment horizontal="center" vertical="center" wrapText="1"/>
    </xf>
    <xf numFmtId="0" fontId="52" fillId="4" borderId="0" xfId="0" applyFont="1" applyFill="1" applyAlignment="1">
      <alignment horizontal="center"/>
    </xf>
    <xf numFmtId="0" fontId="6" fillId="26" borderId="50" xfId="0" applyFont="1" applyFill="1" applyBorder="1" applyAlignment="1">
      <alignment horizontal="center"/>
    </xf>
    <xf numFmtId="0" fontId="56" fillId="26" borderId="53" xfId="0" applyFont="1" applyFill="1" applyBorder="1" applyAlignment="1">
      <alignment horizontal="center" vertical="center" wrapText="1"/>
    </xf>
    <xf numFmtId="0" fontId="56" fillId="26" borderId="159" xfId="0" applyFont="1" applyFill="1" applyBorder="1" applyAlignment="1">
      <alignment horizontal="center" vertical="center" wrapText="1"/>
    </xf>
    <xf numFmtId="0" fontId="56" fillId="26" borderId="103" xfId="0" applyFont="1" applyFill="1" applyBorder="1" applyAlignment="1">
      <alignment horizontal="center" vertical="center"/>
    </xf>
    <xf numFmtId="0" fontId="56" fillId="26" borderId="61" xfId="0" applyFont="1" applyFill="1" applyBorder="1" applyAlignment="1">
      <alignment horizontal="center" vertical="center"/>
    </xf>
    <xf numFmtId="0" fontId="56" fillId="26" borderId="107" xfId="0" applyFont="1" applyFill="1" applyBorder="1" applyAlignment="1">
      <alignment horizontal="center" vertical="center"/>
    </xf>
    <xf numFmtId="0" fontId="4" fillId="26" borderId="167" xfId="0" applyFont="1" applyFill="1" applyBorder="1" applyAlignment="1">
      <alignment horizontal="center" vertical="center" wrapText="1"/>
    </xf>
    <xf numFmtId="0" fontId="56" fillId="26" borderId="168" xfId="0" applyFont="1" applyFill="1" applyBorder="1" applyAlignment="1">
      <alignment horizontal="center" vertical="center" wrapText="1"/>
    </xf>
    <xf numFmtId="0" fontId="6" fillId="26" borderId="169" xfId="0" applyFont="1" applyFill="1" applyBorder="1" applyAlignment="1">
      <alignment horizontal="center" vertical="center" wrapText="1"/>
    </xf>
    <xf numFmtId="0" fontId="6" fillId="26" borderId="170" xfId="0" applyFont="1" applyFill="1" applyBorder="1" applyAlignment="1">
      <alignment horizontal="center" vertical="center" wrapText="1"/>
    </xf>
    <xf numFmtId="0" fontId="4" fillId="26" borderId="51" xfId="0" applyFont="1" applyFill="1" applyBorder="1" applyAlignment="1">
      <alignment horizontal="center" vertical="center" wrapText="1"/>
    </xf>
    <xf numFmtId="0" fontId="56" fillId="26" borderId="52" xfId="0" applyFont="1" applyFill="1" applyBorder="1" applyAlignment="1">
      <alignment horizontal="center" vertical="center" wrapText="1"/>
    </xf>
    <xf numFmtId="0" fontId="56" fillId="26" borderId="51" xfId="0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/>
    </xf>
    <xf numFmtId="0" fontId="53" fillId="4" borderId="47" xfId="0" applyFont="1" applyFill="1" applyBorder="1" applyAlignment="1">
      <alignment horizontal="center"/>
    </xf>
    <xf numFmtId="0" fontId="53" fillId="4" borderId="42" xfId="0" applyFont="1" applyFill="1" applyBorder="1" applyAlignment="1">
      <alignment horizontal="center"/>
    </xf>
    <xf numFmtId="0" fontId="6" fillId="4" borderId="0" xfId="0" applyFont="1" applyFill="1" applyBorder="1" applyAlignment="1">
      <alignment horizontal="center"/>
    </xf>
    <xf numFmtId="0" fontId="6" fillId="4" borderId="171" xfId="0" applyFont="1" applyFill="1" applyBorder="1" applyAlignment="1">
      <alignment horizontal="center" vertical="center" wrapText="1"/>
    </xf>
    <xf numFmtId="0" fontId="6" fillId="4" borderId="163" xfId="0" applyFont="1" applyFill="1" applyBorder="1" applyAlignment="1">
      <alignment horizontal="center" vertical="center" wrapText="1"/>
    </xf>
    <xf numFmtId="0" fontId="0" fillId="0" borderId="48" xfId="0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166" fontId="5" fillId="4" borderId="172" xfId="0" applyNumberFormat="1" applyFont="1" applyFill="1" applyBorder="1" applyAlignment="1">
      <alignment horizontal="center" vertical="center" wrapText="1"/>
    </xf>
    <xf numFmtId="166" fontId="5" fillId="4" borderId="173" xfId="0" applyNumberFormat="1" applyFont="1" applyFill="1" applyBorder="1" applyAlignment="1">
      <alignment horizontal="center" vertical="center" wrapText="1"/>
    </xf>
    <xf numFmtId="4" fontId="6" fillId="4" borderId="143" xfId="0" applyNumberFormat="1" applyFont="1" applyFill="1" applyBorder="1" applyAlignment="1">
      <alignment horizontal="center"/>
    </xf>
    <xf numFmtId="4" fontId="6" fillId="4" borderId="19" xfId="0" applyNumberFormat="1" applyFont="1" applyFill="1" applyBorder="1" applyAlignment="1">
      <alignment horizontal="center"/>
    </xf>
    <xf numFmtId="4" fontId="6" fillId="4" borderId="144" xfId="0" applyNumberFormat="1" applyFont="1" applyFill="1" applyBorder="1" applyAlignment="1">
      <alignment horizontal="center"/>
    </xf>
    <xf numFmtId="0" fontId="24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4" fillId="11" borderId="50" xfId="0" applyFont="1" applyFill="1" applyBorder="1" applyAlignment="1">
      <alignment horizontal="center" vertical="center" wrapText="1"/>
    </xf>
    <xf numFmtId="0" fontId="24" fillId="11" borderId="50" xfId="0" applyFont="1" applyFill="1" applyBorder="1" applyAlignment="1">
      <alignment horizontal="center"/>
    </xf>
    <xf numFmtId="0" fontId="24" fillId="11" borderId="51" xfId="0" applyFont="1" applyFill="1" applyBorder="1" applyAlignment="1">
      <alignment horizontal="center" vertical="center" wrapText="1"/>
    </xf>
    <xf numFmtId="0" fontId="24" fillId="11" borderId="52" xfId="0" applyFont="1" applyFill="1" applyBorder="1" applyAlignment="1">
      <alignment horizontal="center" vertical="center" wrapText="1"/>
    </xf>
    <xf numFmtId="0" fontId="24" fillId="11" borderId="103" xfId="0" applyFont="1" applyFill="1" applyBorder="1" applyAlignment="1">
      <alignment horizontal="center" vertical="center" wrapText="1"/>
    </xf>
    <xf numFmtId="0" fontId="24" fillId="11" borderId="107" xfId="0" applyFont="1" applyFill="1" applyBorder="1" applyAlignment="1">
      <alignment horizontal="center" vertical="center" wrapText="1"/>
    </xf>
    <xf numFmtId="0" fontId="24" fillId="11" borderId="64" xfId="0" applyFont="1" applyFill="1" applyBorder="1" applyAlignment="1">
      <alignment horizontal="center" vertical="center" wrapText="1"/>
    </xf>
    <xf numFmtId="0" fontId="24" fillId="11" borderId="106" xfId="0" applyFont="1" applyFill="1" applyBorder="1" applyAlignment="1">
      <alignment horizontal="center" vertical="center" wrapText="1"/>
    </xf>
    <xf numFmtId="0" fontId="19" fillId="4" borderId="0" xfId="0" applyFont="1" applyFill="1" applyAlignment="1">
      <alignment horizontal="center"/>
    </xf>
    <xf numFmtId="0" fontId="24" fillId="4" borderId="0" xfId="0" applyFont="1" applyFill="1" applyAlignment="1">
      <alignment horizontal="center"/>
    </xf>
    <xf numFmtId="0" fontId="24" fillId="18" borderId="103" xfId="0" applyFont="1" applyFill="1" applyBorder="1" applyAlignment="1">
      <alignment horizontal="center" vertical="center" wrapText="1"/>
    </xf>
    <xf numFmtId="0" fontId="24" fillId="18" borderId="22" xfId="0" applyFont="1" applyFill="1" applyBorder="1" applyAlignment="1">
      <alignment horizontal="center" vertical="center" wrapText="1"/>
    </xf>
    <xf numFmtId="0" fontId="24" fillId="18" borderId="174" xfId="0" applyFont="1" applyFill="1" applyBorder="1" applyAlignment="1">
      <alignment horizontal="center" vertical="center" wrapText="1"/>
    </xf>
    <xf numFmtId="0" fontId="24" fillId="18" borderId="175" xfId="0" applyFont="1" applyFill="1" applyBorder="1" applyAlignment="1">
      <alignment horizontal="center" vertical="center" wrapText="1"/>
    </xf>
    <xf numFmtId="0" fontId="24" fillId="18" borderId="36" xfId="0" applyFont="1" applyFill="1" applyBorder="1" applyAlignment="1">
      <alignment horizontal="center"/>
    </xf>
    <xf numFmtId="0" fontId="24" fillId="10" borderId="103" xfId="0" applyFont="1" applyFill="1" applyBorder="1" applyAlignment="1">
      <alignment horizontal="center" vertical="center" wrapText="1"/>
    </xf>
    <xf numFmtId="0" fontId="24" fillId="10" borderId="22" xfId="0" applyFont="1" applyFill="1" applyBorder="1" applyAlignment="1">
      <alignment horizontal="center" vertical="center" wrapText="1"/>
    </xf>
    <xf numFmtId="0" fontId="24" fillId="10" borderId="174" xfId="0" applyFont="1" applyFill="1" applyBorder="1" applyAlignment="1">
      <alignment horizontal="center" vertical="center" wrapText="1"/>
    </xf>
    <xf numFmtId="0" fontId="24" fillId="10" borderId="175" xfId="0" applyFont="1" applyFill="1" applyBorder="1" applyAlignment="1">
      <alignment horizontal="center" vertical="center" wrapText="1"/>
    </xf>
    <xf numFmtId="0" fontId="24" fillId="10" borderId="36" xfId="0" applyFont="1" applyFill="1" applyBorder="1" applyAlignment="1">
      <alignment horizontal="center"/>
    </xf>
    <xf numFmtId="0" fontId="6" fillId="11" borderId="50" xfId="0" applyFont="1" applyFill="1" applyBorder="1" applyAlignment="1">
      <alignment horizontal="center"/>
    </xf>
    <xf numFmtId="0" fontId="6" fillId="11" borderId="50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20" borderId="53" xfId="0" applyFont="1" applyFill="1" applyBorder="1" applyAlignment="1">
      <alignment horizontal="center" vertical="center" wrapText="1"/>
    </xf>
    <xf numFmtId="0" fontId="6" fillId="20" borderId="159" xfId="0" applyFont="1" applyFill="1" applyBorder="1" applyAlignment="1">
      <alignment horizontal="center" vertical="center" wrapText="1"/>
    </xf>
    <xf numFmtId="0" fontId="6" fillId="20" borderId="21" xfId="0" applyFont="1" applyFill="1" applyBorder="1" applyAlignment="1">
      <alignment horizontal="center" vertical="center" wrapText="1"/>
    </xf>
    <xf numFmtId="0" fontId="6" fillId="20" borderId="63" xfId="0" applyFont="1" applyFill="1" applyBorder="1" applyAlignment="1">
      <alignment horizontal="center" vertical="center" wrapText="1"/>
    </xf>
    <xf numFmtId="0" fontId="6" fillId="20" borderId="176" xfId="0" applyFont="1" applyFill="1" applyBorder="1" applyAlignment="1">
      <alignment horizontal="center" vertical="center" wrapText="1"/>
    </xf>
    <xf numFmtId="0" fontId="6" fillId="20" borderId="86" xfId="0" applyFont="1" applyFill="1" applyBorder="1" applyAlignment="1">
      <alignment horizontal="center" vertical="center" wrapText="1"/>
    </xf>
  </cellXfs>
  <cellStyles count="13">
    <cellStyle name="Millares 2" xfId="1"/>
    <cellStyle name="Millares 2 2" xfId="2"/>
    <cellStyle name="Normal" xfId="0" builtinId="0"/>
    <cellStyle name="Normal 2" xfId="3"/>
    <cellStyle name="Normal 2 2" xfId="4"/>
    <cellStyle name="Normal 2 3" xfId="5"/>
    <cellStyle name="Normal 2_HOJA ASIG" xfId="6"/>
    <cellStyle name="Normal 3" xfId="7"/>
    <cellStyle name="Normal 4" xfId="8"/>
    <cellStyle name="Normal 5" xfId="9"/>
    <cellStyle name="Normal_Ejecución Presupuestaria Diciembre_2007" xfId="10"/>
    <cellStyle name="Porcentaje" xfId="11" builtinId="5"/>
    <cellStyle name="Porcentaje 2" xfId="12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CCC"/>
      <rgbColor rgb="00FFCC99"/>
      <rgbColor rgb="003333CC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hartsheet" Target="chartsheets/sheet3.xml"/><Relationship Id="rId33" Type="http://schemas.openxmlformats.org/officeDocument/2006/relationships/externalLink" Target="externalLinks/externalLink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hartsheet" Target="chartsheets/sheet2.xml"/><Relationship Id="rId32" Type="http://schemas.openxmlformats.org/officeDocument/2006/relationships/externalLink" Target="externalLinks/externalLink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hartsheet" Target="chartsheets/sheet1.xml"/><Relationship Id="rId28" Type="http://schemas.openxmlformats.org/officeDocument/2006/relationships/worksheet" Target="worksheets/sheet25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4.xml"/><Relationship Id="rId30" Type="http://schemas.openxmlformats.org/officeDocument/2006/relationships/worksheet" Target="worksheets/sheet27.xml"/><Relationship Id="rId35" Type="http://schemas.openxmlformats.org/officeDocument/2006/relationships/theme" Target="theme/them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A"/>
              <a:t>Distribución del Presupuesto Ley 2015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explosion val="25"/>
          <c:dPt>
            <c:idx val="1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Lbls>
            <c:dLbl>
              <c:idx val="0"/>
              <c:layout>
                <c:manualLayout>
                  <c:x val="-0.18297606387710477"/>
                  <c:y val="-0.28161313480780853"/>
                </c:manualLayout>
              </c:layout>
              <c:tx>
                <c:rich>
                  <a:bodyPr/>
                  <a:lstStyle/>
                  <a:p>
                    <a:r>
                      <a:rPr lang="en-US" sz="1000" b="1"/>
                      <a:t>FUNCIONAMIENTO
86%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b="1"/>
                      <a:t>INVERSIÓN
14%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'GRAFICA 1'!$A$3:$A$4</c:f>
              <c:strCache>
                <c:ptCount val="2"/>
                <c:pt idx="0">
                  <c:v>FUNCIONAMIENTO</c:v>
                </c:pt>
                <c:pt idx="1">
                  <c:v>INVERSIÓN</c:v>
                </c:pt>
              </c:strCache>
            </c:strRef>
          </c:cat>
          <c:val>
            <c:numRef>
              <c:f>'GRAFICA 1'!$B$3:$B$4</c:f>
              <c:numCache>
                <c:formatCode>#,##0.00</c:formatCode>
                <c:ptCount val="2"/>
                <c:pt idx="0">
                  <c:v>52782700</c:v>
                </c:pt>
                <c:pt idx="1">
                  <c:v>5000000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/>
              <a:t>GRÁFICA 1.  DISTRIBUCIÓN PORCENTUAL DEL PRESUPUESTO LEY PARA 
    LA UNIVERSIDAD AUTÓNOMA DE CHIRIQUÍ.   AÑO 2013</a:t>
            </a:r>
          </a:p>
        </c:rich>
      </c:tx>
      <c:layout>
        <c:manualLayout>
          <c:xMode val="edge"/>
          <c:yMode val="edge"/>
          <c:x val="0.2275249927092447"/>
          <c:y val="0.12724306520508466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753607103218647"/>
          <c:y val="0.21859706362153344"/>
          <c:w val="0.56603773584905659"/>
          <c:h val="0.5611745513866232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C0C0C0"/>
                </a:gs>
                <a:gs pos="100000">
                  <a:srgbClr val="9999FF"/>
                </a:gs>
              </a:gsLst>
              <a:path path="rect">
                <a:fillToRect l="50000" t="50000" r="50000" b="50000"/>
              </a:path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gradFill rotWithShape="0">
                <a:gsLst>
                  <a:gs pos="0">
                    <a:srgbClr val="008000"/>
                  </a:gs>
                  <a:gs pos="100000">
                    <a:srgbClr val="99CC00"/>
                  </a:gs>
                </a:gsLst>
                <a:path path="rect">
                  <a:fillToRect l="50000" t="50000" r="50000" b="50000"/>
                </a:path>
              </a:gra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invertIfNegative val="0"/>
            <c:bubble3D val="0"/>
            <c:spPr>
              <a:gradFill rotWithShape="0">
                <a:gsLst>
                  <a:gs pos="0">
                    <a:srgbClr val="FF6600"/>
                  </a:gs>
                  <a:gs pos="100000">
                    <a:srgbClr val="FFFF99"/>
                  </a:gs>
                </a:gsLst>
                <a:path path="rect">
                  <a:fillToRect l="50000" t="50000" r="50000" b="50000"/>
                </a:path>
              </a:gra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1"/>
              <c:tx>
                <c:rich>
                  <a:bodyPr/>
                  <a:lstStyle/>
                  <a:p>
                    <a:pPr>
                      <a:defRPr sz="950" b="1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PA"/>
                      <a:t>93%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950" b="1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PA"/>
                      <a:t>7%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'Cuadro 1'!$E$10:$E$12</c:f>
              <c:numCache>
                <c:formatCode>0.0%</c:formatCode>
                <c:ptCount val="3"/>
                <c:pt idx="0">
                  <c:v>1</c:v>
                </c:pt>
                <c:pt idx="1">
                  <c:v>0.91346891024476184</c:v>
                </c:pt>
                <c:pt idx="2">
                  <c:v>8.6531089755238155E-2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158720"/>
        <c:axId val="42160512"/>
      </c:barChart>
      <c:catAx>
        <c:axId val="42158720"/>
        <c:scaling>
          <c:orientation val="minMax"/>
        </c:scaling>
        <c:delete val="1"/>
        <c:axPos val="b"/>
        <c:majorTickMark val="out"/>
        <c:minorTickMark val="none"/>
        <c:tickLblPos val="nextTo"/>
        <c:crossAx val="42160512"/>
        <c:crosses val="autoZero"/>
        <c:auto val="1"/>
        <c:lblAlgn val="ctr"/>
        <c:lblOffset val="100"/>
        <c:noMultiLvlLbl val="0"/>
      </c:catAx>
      <c:valAx>
        <c:axId val="4216051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158720"/>
        <c:crosses val="autoZero"/>
        <c:crossBetween val="between"/>
      </c:valAx>
      <c:spPr>
        <a:gradFill rotWithShape="0">
          <a:gsLst>
            <a:gs pos="0">
              <a:srgbClr val="FFFFFF"/>
            </a:gs>
            <a:gs pos="100000">
              <a:srgbClr val="CCFFFF"/>
            </a:gs>
          </a:gsLst>
          <a:path path="rect">
            <a:fillToRect l="50000" t="50000" r="50000" b="50000"/>
          </a:path>
        </a:gradFill>
        <a:ln w="12700">
          <a:solidFill>
            <a:srgbClr val="CCFFFF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/>
              <a:t>GRÁFICA 2.  FUENTE DEL FINANCIAMIENTO DEL PRESUPUESTO DE FUNCIONAMIENTO 
DE LA UNIVERSIDAD AUTÓNOMA DE CHIRIQUÍ EN PORCENTAJE.  AÑO 2010</a:t>
            </a:r>
          </a:p>
        </c:rich>
      </c:tx>
      <c:layout>
        <c:manualLayout>
          <c:xMode val="edge"/>
          <c:yMode val="edge"/>
          <c:x val="0.19533846602508023"/>
          <c:y val="0.10766712984406361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196448390677027"/>
          <c:y val="0.19575856443719414"/>
          <c:w val="0.57269700332963369"/>
          <c:h val="0.613376835236541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00FFFF"/>
                  </a:gs>
                  <a:gs pos="100000">
                    <a:srgbClr val="CCFFFF"/>
                  </a:gs>
                </a:gsLst>
                <a:path path="rect">
                  <a:fillToRect l="50000" t="50000" r="50000" b="50000"/>
                </a:path>
              </a:gra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invertIfNegative val="0"/>
            <c:bubble3D val="0"/>
            <c:spPr>
              <a:gradFill rotWithShape="0">
                <a:gsLst>
                  <a:gs pos="0">
                    <a:srgbClr val="339966"/>
                  </a:gs>
                  <a:gs pos="100000">
                    <a:srgbClr val="CCFFCC"/>
                  </a:gs>
                </a:gsLst>
                <a:path path="rect">
                  <a:fillToRect l="50000" t="50000" r="50000" b="50000"/>
                </a:path>
              </a:gra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invertIfNegative val="0"/>
            <c:bubble3D val="0"/>
            <c:spPr>
              <a:gradFill rotWithShape="0">
                <a:gsLst>
                  <a:gs pos="0">
                    <a:srgbClr val="00FF00"/>
                  </a:gs>
                  <a:gs pos="100000">
                    <a:srgbClr val="CCFFFF"/>
                  </a:gs>
                </a:gsLst>
                <a:path path="rect">
                  <a:fillToRect l="50000" t="50000" r="50000" b="50000"/>
                </a:path>
              </a:gra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'Cuadro 1'!$J$10:$J$12</c:f>
              <c:numCache>
                <c:formatCode>0.0%</c:formatCode>
                <c:ptCount val="3"/>
                <c:pt idx="0">
                  <c:v>1</c:v>
                </c:pt>
                <c:pt idx="1">
                  <c:v>0.81520832651993325</c:v>
                </c:pt>
                <c:pt idx="2">
                  <c:v>0.18479167348006673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865984"/>
        <c:axId val="41867520"/>
      </c:barChart>
      <c:catAx>
        <c:axId val="41865984"/>
        <c:scaling>
          <c:orientation val="minMax"/>
        </c:scaling>
        <c:delete val="1"/>
        <c:axPos val="b"/>
        <c:majorTickMark val="out"/>
        <c:minorTickMark val="none"/>
        <c:tickLblPos val="nextTo"/>
        <c:crossAx val="41867520"/>
        <c:crosses val="autoZero"/>
        <c:auto val="1"/>
        <c:lblAlgn val="ctr"/>
        <c:lblOffset val="100"/>
        <c:noMultiLvlLbl val="0"/>
      </c:catAx>
      <c:valAx>
        <c:axId val="4186752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1865984"/>
        <c:crosses val="autoZero"/>
        <c:crossBetween val="between"/>
      </c:valAx>
      <c:spPr>
        <a:gradFill rotWithShape="0">
          <a:gsLst>
            <a:gs pos="0">
              <a:srgbClr val="FFFFFF"/>
            </a:gs>
            <a:gs pos="100000">
              <a:srgbClr val="99CCFF"/>
            </a:gs>
          </a:gsLst>
          <a:path path="rect">
            <a:fillToRect l="50000" t="50000" r="50000" b="50000"/>
          </a:path>
        </a:gradFill>
        <a:ln w="12700">
          <a:solidFill>
            <a:srgbClr val="99CCFF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/>
              <a:t>GRÁFICA 3.  DETALLE DE INGRESOS EN CONCEPTO DE MATRÍCULA 2010</a:t>
            </a:r>
          </a:p>
        </c:rich>
      </c:tx>
      <c:layout>
        <c:manualLayout>
          <c:xMode val="edge"/>
          <c:yMode val="edge"/>
          <c:x val="0.19755823855351415"/>
          <c:y val="6.52529463228861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200887902330743"/>
          <c:y val="0.13703099510603589"/>
          <c:w val="0.53163152053274143"/>
          <c:h val="0.78140293637846658"/>
        </c:manualLayout>
      </c:layout>
      <c:pieChart>
        <c:varyColors val="1"/>
        <c:ser>
          <c:idx val="0"/>
          <c:order val="0"/>
          <c:spPr>
            <a:gradFill rotWithShape="0">
              <a:gsLst>
                <a:gs pos="0">
                  <a:srgbClr val="99CCFF"/>
                </a:gs>
                <a:gs pos="100000">
                  <a:srgbClr val="FF99CC"/>
                </a:gs>
              </a:gsLst>
              <a:path path="rect">
                <a:fillToRect l="50000" t="50000" r="50000" b="50000"/>
              </a:path>
            </a:gradFill>
            <a:ln w="12700">
              <a:solidFill>
                <a:srgbClr val="000000"/>
              </a:solidFill>
              <a:prstDash val="solid"/>
            </a:ln>
          </c:spPr>
          <c:explosion val="6"/>
          <c:dPt>
            <c:idx val="0"/>
            <c:bubble3D val="0"/>
            <c:spPr>
              <a:gradFill rotWithShape="0">
                <a:gsLst>
                  <a:gs pos="0">
                    <a:srgbClr val="99CCFF"/>
                  </a:gs>
                  <a:gs pos="100000">
                    <a:srgbClr val="CCCCFF"/>
                  </a:gs>
                </a:gsLst>
                <a:path path="rect">
                  <a:fillToRect l="50000" t="50000" r="50000" b="50000"/>
                </a:path>
              </a:gra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gradFill rotWithShape="0">
                <a:gsLst>
                  <a:gs pos="0">
                    <a:srgbClr val="99CCFF"/>
                  </a:gs>
                  <a:gs pos="100000">
                    <a:srgbClr val="CCFFFF"/>
                  </a:gs>
                </a:gsLst>
                <a:path path="rect">
                  <a:fillToRect l="50000" t="50000" r="50000" b="50000"/>
                </a:path>
              </a:gra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gradFill rotWithShape="0">
                <a:gsLst>
                  <a:gs pos="0">
                    <a:srgbClr val="FFFF99"/>
                  </a:gs>
                  <a:gs pos="100000">
                    <a:srgbClr val="FF99CC"/>
                  </a:gs>
                </a:gsLst>
                <a:path path="rect">
                  <a:fillToRect l="50000" t="50000" r="50000" b="50000"/>
                </a:path>
              </a:gra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0.10125016039661709"/>
                  <c:y val="0.14354419275531746"/>
                </c:manualLayout>
              </c:layout>
              <c:numFmt formatCode="#,##0.00" sourceLinked="0"/>
              <c:spPr>
                <a:noFill/>
                <a:ln w="25400">
                  <a:noFill/>
                </a:ln>
              </c:spPr>
              <c:txPr>
                <a:bodyPr rot="-18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8963671161526563"/>
                  <c:y val="-0.22997675045921054"/>
                </c:manualLayout>
              </c:layout>
              <c:numFmt formatCode="#,##0.00" sourceLinked="0"/>
              <c:spPr>
                <a:noFill/>
                <a:ln w="25400">
                  <a:noFill/>
                </a:ln>
              </c:spPr>
              <c:txPr>
                <a:bodyPr rot="-18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 rot="-2700000" vert="horz"/>
                  <a:lstStyle/>
                  <a:p>
                    <a:pPr algn="ctr">
                      <a:defRPr sz="800" b="1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s-PA"/>
                      <a:t>MAESTRÍAS 
Y POSTGRADOS,
 646,668.77</a:t>
                    </a:r>
                  </a:p>
                </c:rich>
              </c:tx>
              <c:numFmt formatCode="#,##0.00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#,##0.00" sourceLinked="0"/>
            <c:spPr>
              <a:noFill/>
              <a:ln w="25400">
                <a:noFill/>
              </a:ln>
            </c:spPr>
            <c:txPr>
              <a:bodyPr rot="-180000" vert="horz" wrap="square" lIns="38100" tIns="19050" rIns="38100" bIns="19050" anchor="ctr">
                <a:spAutoFit/>
              </a:bodyPr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'CUADRO DE MAT'!$A$6:$A$8</c:f>
              <c:strCache>
                <c:ptCount val="3"/>
                <c:pt idx="0">
                  <c:v>I   SEMESTRE</c:v>
                </c:pt>
                <c:pt idx="1">
                  <c:v>II  SEMESTRE</c:v>
                </c:pt>
                <c:pt idx="2">
                  <c:v>MAESTRÍAS Y POSTGRADOS</c:v>
                </c:pt>
              </c:strCache>
            </c:strRef>
          </c:cat>
          <c:val>
            <c:numRef>
              <c:f>'CUADRO DE MAT'!$B$6:$B$8</c:f>
              <c:numCache>
                <c:formatCode>#,##0.00</c:formatCode>
                <c:ptCount val="3"/>
                <c:pt idx="0">
                  <c:v>345948.5</c:v>
                </c:pt>
                <c:pt idx="1">
                  <c:v>265647.5</c:v>
                </c:pt>
                <c:pt idx="2">
                  <c:v>1919350.3199999998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1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2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14" workbookViewId="0"/>
  </sheetViews>
  <pageMargins left="0.75" right="0.75" top="1" bottom="1" header="0" footer="0"/>
  <pageSetup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14" workbookViewId="0"/>
  </sheetViews>
  <pageMargins left="0.75" right="0.75" top="1" bottom="1" header="0" footer="0"/>
  <pageSetup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14" workbookViewId="0"/>
  </sheetViews>
  <pageMargins left="0.75" right="0.75" top="1" bottom="1" header="0" footer="0"/>
  <pageSetup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180974</xdr:colOff>
      <xdr:row>6</xdr:row>
      <xdr:rowOff>52386</xdr:rowOff>
    </xdr:from>
    <xdr:to>
      <xdr:col>6</xdr:col>
      <xdr:colOff>704850</xdr:colOff>
      <xdr:row>26</xdr:row>
      <xdr:rowOff>19049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29300"/>
    <xdr:graphicFrame macro="">
      <xdr:nvGraphicFramePr>
        <xdr:cNvPr id="2" name="Gráfico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0.277</cdr:x>
      <cdr:y>0.791</cdr:y>
    </cdr:from>
    <cdr:to>
      <cdr:x>0.37475</cdr:x>
      <cdr:y>0.84125</cdr:y>
    </cdr:to>
    <cdr:sp macro="" textlink="">
      <cdr:nvSpPr>
        <cdr:cNvPr id="20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77221" y="4618511"/>
          <a:ext cx="838893" cy="2934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0" anchor="t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Total Presupuesto</a:t>
          </a:r>
        </a:p>
      </cdr:txBody>
    </cdr:sp>
  </cdr:relSizeAnchor>
  <cdr:relSizeAnchor xmlns:cdr="http://schemas.openxmlformats.org/drawingml/2006/chartDrawing">
    <cdr:from>
      <cdr:x>0.45473</cdr:x>
      <cdr:y>0.7995</cdr:y>
    </cdr:from>
    <cdr:to>
      <cdr:x>0.55494</cdr:x>
      <cdr:y>0.82997</cdr:y>
    </cdr:to>
    <cdr:sp macro="" textlink="">
      <cdr:nvSpPr>
        <cdr:cNvPr id="205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2466" y="4668142"/>
          <a:ext cx="860034" cy="17791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Funcionamiento</a:t>
          </a:r>
        </a:p>
      </cdr:txBody>
    </cdr:sp>
  </cdr:relSizeAnchor>
  <cdr:relSizeAnchor xmlns:cdr="http://schemas.openxmlformats.org/drawingml/2006/chartDrawing">
    <cdr:from>
      <cdr:x>0.65584</cdr:x>
      <cdr:y>0.7995</cdr:y>
    </cdr:from>
    <cdr:to>
      <cdr:x>0.74034</cdr:x>
      <cdr:y>0.834</cdr:y>
    </cdr:to>
    <cdr:sp macro="" textlink="">
      <cdr:nvSpPr>
        <cdr:cNvPr id="2051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8466" y="4668141"/>
          <a:ext cx="725181" cy="201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Inversión</a:t>
          </a:r>
        </a:p>
      </cdr:txBody>
    </cdr:sp>
  </cdr:relSizeAnchor>
  <cdr:relSizeAnchor xmlns:cdr="http://schemas.openxmlformats.org/drawingml/2006/chartDrawing">
    <cdr:from>
      <cdr:x>0.277</cdr:x>
      <cdr:y>0.791</cdr:y>
    </cdr:from>
    <cdr:to>
      <cdr:x>0.37475</cdr:x>
      <cdr:y>0.84125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77221" y="4618511"/>
          <a:ext cx="838893" cy="2934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0" anchor="t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Total Presupuesto</a:t>
          </a:r>
        </a:p>
      </cdr:txBody>
    </cdr:sp>
  </cdr:relSizeAnchor>
  <cdr:relSizeAnchor xmlns:cdr="http://schemas.openxmlformats.org/drawingml/2006/chartDrawing">
    <cdr:from>
      <cdr:x>0.45473</cdr:x>
      <cdr:y>0.7995</cdr:y>
    </cdr:from>
    <cdr:to>
      <cdr:x>0.55494</cdr:x>
      <cdr:y>0.82997</cdr:y>
    </cdr:to>
    <cdr:sp macro="" textlink="">
      <cdr:nvSpPr>
        <cdr:cNvPr id="3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2466" y="4668142"/>
          <a:ext cx="860034" cy="17791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Funcionamiento</a:t>
          </a:r>
        </a:p>
      </cdr:txBody>
    </cdr:sp>
  </cdr:relSizeAnchor>
  <cdr:relSizeAnchor xmlns:cdr="http://schemas.openxmlformats.org/drawingml/2006/chartDrawing">
    <cdr:from>
      <cdr:x>0.65584</cdr:x>
      <cdr:y>0.7995</cdr:y>
    </cdr:from>
    <cdr:to>
      <cdr:x>0.74034</cdr:x>
      <cdr:y>0.834</cdr:y>
    </cdr:to>
    <cdr:sp macro="" textlink="">
      <cdr:nvSpPr>
        <cdr:cNvPr id="4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8466" y="4668141"/>
          <a:ext cx="725181" cy="201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800" b="1" i="0" strike="noStrike">
              <a:solidFill>
                <a:srgbClr val="000000"/>
              </a:solidFill>
              <a:latin typeface="Arial"/>
              <a:cs typeface="Arial"/>
            </a:rPr>
            <a:t>Inversión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29300"/>
    <xdr:graphicFrame macro="">
      <xdr:nvGraphicFramePr>
        <xdr:cNvPr id="2" name="Gráfico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0.28525</cdr:x>
      <cdr:y>0.81225</cdr:y>
    </cdr:from>
    <cdr:to>
      <cdr:x>0.40275</cdr:x>
      <cdr:y>0.858</cdr:y>
    </cdr:to>
    <cdr:sp macro="" textlink="">
      <cdr:nvSpPr>
        <cdr:cNvPr id="5124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48023" y="4742586"/>
          <a:ext cx="1008388" cy="2671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825" b="1" i="0" strike="noStrike">
              <a:solidFill>
                <a:srgbClr val="000000"/>
              </a:solidFill>
              <a:latin typeface="Arial"/>
              <a:cs typeface="Arial"/>
            </a:rPr>
            <a:t>Presupuesto de</a:t>
          </a:r>
        </a:p>
        <a:p xmlns:a="http://schemas.openxmlformats.org/drawingml/2006/main">
          <a:pPr algn="l" rtl="1">
            <a:defRPr sz="1000"/>
          </a:pPr>
          <a:r>
            <a:rPr lang="es-ES" sz="825" b="1" i="0" strike="noStrike">
              <a:solidFill>
                <a:srgbClr val="000000"/>
              </a:solidFill>
              <a:latin typeface="Arial"/>
              <a:cs typeface="Arial"/>
            </a:rPr>
            <a:t>Funcionamiento</a:t>
          </a:r>
        </a:p>
      </cdr:txBody>
    </cdr:sp>
  </cdr:relSizeAnchor>
  <cdr:relSizeAnchor xmlns:cdr="http://schemas.openxmlformats.org/drawingml/2006/chartDrawing">
    <cdr:from>
      <cdr:x>0.47375</cdr:x>
      <cdr:y>0.81225</cdr:y>
    </cdr:from>
    <cdr:to>
      <cdr:x>0.56425</cdr:x>
      <cdr:y>0.858</cdr:y>
    </cdr:to>
    <cdr:sp macro="" textlink="">
      <cdr:nvSpPr>
        <cdr:cNvPr id="5125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65734" y="4742586"/>
          <a:ext cx="776674" cy="2671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0" anchor="t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ES" sz="825" b="1" i="0" strike="noStrike">
              <a:solidFill>
                <a:srgbClr val="000000"/>
              </a:solidFill>
              <a:latin typeface="Arial"/>
              <a:cs typeface="Arial"/>
            </a:rPr>
            <a:t>Aporte del</a:t>
          </a:r>
        </a:p>
        <a:p xmlns:a="http://schemas.openxmlformats.org/drawingml/2006/main">
          <a:pPr algn="ctr" rtl="1">
            <a:defRPr sz="1000"/>
          </a:pPr>
          <a:r>
            <a:rPr lang="es-ES" sz="825" b="1" i="0" strike="noStrike">
              <a:solidFill>
                <a:srgbClr val="000000"/>
              </a:solidFill>
              <a:latin typeface="Arial"/>
              <a:cs typeface="Arial"/>
            </a:rPr>
            <a:t>Estado</a:t>
          </a:r>
        </a:p>
      </cdr:txBody>
    </cdr:sp>
  </cdr:relSizeAnchor>
  <cdr:relSizeAnchor xmlns:cdr="http://schemas.openxmlformats.org/drawingml/2006/chartDrawing">
    <cdr:from>
      <cdr:x>0.68275</cdr:x>
      <cdr:y>0.819</cdr:y>
    </cdr:from>
    <cdr:to>
      <cdr:x>0.74975</cdr:x>
      <cdr:y>0.8505</cdr:y>
    </cdr:to>
    <cdr:sp macro="" textlink="">
      <cdr:nvSpPr>
        <cdr:cNvPr id="5126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9378" y="4781998"/>
          <a:ext cx="574995" cy="1839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825" b="1" i="0" strike="noStrike">
              <a:solidFill>
                <a:srgbClr val="000000"/>
              </a:solidFill>
              <a:latin typeface="Arial"/>
              <a:cs typeface="Arial"/>
            </a:rPr>
            <a:t>UNACHI</a:t>
          </a:r>
        </a:p>
      </cdr:txBody>
    </cdr:sp>
  </cdr:relSizeAnchor>
  <cdr:relSizeAnchor xmlns:cdr="http://schemas.openxmlformats.org/drawingml/2006/chartDrawing">
    <cdr:from>
      <cdr:x>0.28525</cdr:x>
      <cdr:y>0.81225</cdr:y>
    </cdr:from>
    <cdr:to>
      <cdr:x>0.40275</cdr:x>
      <cdr:y>0.858</cdr:y>
    </cdr:to>
    <cdr:sp macro="" textlink="">
      <cdr:nvSpPr>
        <cdr:cNvPr id="2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48023" y="4742586"/>
          <a:ext cx="1008388" cy="2671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825" b="1" i="0" strike="noStrike">
              <a:solidFill>
                <a:srgbClr val="000000"/>
              </a:solidFill>
              <a:latin typeface="Arial"/>
              <a:cs typeface="Arial"/>
            </a:rPr>
            <a:t>Presupuesto de</a:t>
          </a:r>
        </a:p>
        <a:p xmlns:a="http://schemas.openxmlformats.org/drawingml/2006/main">
          <a:pPr algn="l" rtl="1">
            <a:defRPr sz="1000"/>
          </a:pPr>
          <a:r>
            <a:rPr lang="es-ES" sz="825" b="1" i="0" strike="noStrike">
              <a:solidFill>
                <a:srgbClr val="000000"/>
              </a:solidFill>
              <a:latin typeface="Arial"/>
              <a:cs typeface="Arial"/>
            </a:rPr>
            <a:t>Funcionamiento</a:t>
          </a:r>
        </a:p>
      </cdr:txBody>
    </cdr:sp>
  </cdr:relSizeAnchor>
  <cdr:relSizeAnchor xmlns:cdr="http://schemas.openxmlformats.org/drawingml/2006/chartDrawing">
    <cdr:from>
      <cdr:x>0.47375</cdr:x>
      <cdr:y>0.81225</cdr:y>
    </cdr:from>
    <cdr:to>
      <cdr:x>0.56425</cdr:x>
      <cdr:y>0.858</cdr:y>
    </cdr:to>
    <cdr:sp macro="" textlink="">
      <cdr:nvSpPr>
        <cdr:cNvPr id="3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65734" y="4742586"/>
          <a:ext cx="776674" cy="2671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0" anchor="t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ES" sz="825" b="1" i="0" strike="noStrike">
              <a:solidFill>
                <a:srgbClr val="000000"/>
              </a:solidFill>
              <a:latin typeface="Arial"/>
              <a:cs typeface="Arial"/>
            </a:rPr>
            <a:t>Aporte del</a:t>
          </a:r>
        </a:p>
        <a:p xmlns:a="http://schemas.openxmlformats.org/drawingml/2006/main">
          <a:pPr algn="ctr" rtl="1">
            <a:defRPr sz="1000"/>
          </a:pPr>
          <a:r>
            <a:rPr lang="es-ES" sz="825" b="1" i="0" strike="noStrike">
              <a:solidFill>
                <a:srgbClr val="000000"/>
              </a:solidFill>
              <a:latin typeface="Arial"/>
              <a:cs typeface="Arial"/>
            </a:rPr>
            <a:t>Estado</a:t>
          </a:r>
        </a:p>
      </cdr:txBody>
    </cdr:sp>
  </cdr:relSizeAnchor>
  <cdr:relSizeAnchor xmlns:cdr="http://schemas.openxmlformats.org/drawingml/2006/chartDrawing">
    <cdr:from>
      <cdr:x>0.68275</cdr:x>
      <cdr:y>0.819</cdr:y>
    </cdr:from>
    <cdr:to>
      <cdr:x>0.74975</cdr:x>
      <cdr:y>0.8505</cdr:y>
    </cdr:to>
    <cdr:sp macro="" textlink="">
      <cdr:nvSpPr>
        <cdr:cNvPr id="4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9378" y="4781998"/>
          <a:ext cx="574995" cy="1839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825" b="1" i="0" strike="noStrike">
              <a:solidFill>
                <a:srgbClr val="000000"/>
              </a:solidFill>
              <a:latin typeface="Arial"/>
              <a:cs typeface="Arial"/>
            </a:rPr>
            <a:t>UNACHI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29300"/>
    <xdr:graphicFrame macro="">
      <xdr:nvGraphicFramePr>
        <xdr:cNvPr id="2" name="Gráfico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ESUGASTRE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ugey/Desktop/PRESUPUESTO%202016/Ejecuci&#243;n%20Presupuestaria%202016/Ejecuci&#243;n%20Presupuestaria%20de%20Diciembre%20201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ugey/Desktop/PRESUPUESTO%202015/EJECUCI&#211;N%20PRESUPUESTARIA%202015/Ejecuci&#243;n%20Presupuestaria%20de%20Diciembre%2020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Ejecuci&#243;n%20Febrero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ptiembre"/>
      <sheetName val="julio"/>
      <sheetName val="agosto"/>
      <sheetName val="Octubre"/>
      <sheetName val="diciembre"/>
      <sheetName val="nov I"/>
      <sheetName val="noviembre"/>
    </sheetNames>
    <sheetDataSet>
      <sheetData sheetId="0" refreshError="1">
        <row r="50">
          <cell r="B50" t="str">
            <v>GASTOS DE SSEGURO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jeto"/>
      <sheetName val="Resumen"/>
      <sheetName val="Contraloría"/>
      <sheetName val="INGRESOS"/>
      <sheetName val="PROGRAMA"/>
      <sheetName val="cuadro asamblea"/>
      <sheetName val="Cuadro 1-1-12"/>
      <sheetName val="GRAFICA 1"/>
      <sheetName val="Cuadro 1-13"/>
      <sheetName val="cuadro 2 -13"/>
      <sheetName val="cuadr3-13"/>
      <sheetName val="Cuadro 3-13"/>
      <sheetName val="Cuadro 4-12"/>
      <sheetName val="cuadro 5-13"/>
      <sheetName val="cuadro 6-13"/>
      <sheetName val="cuadro 7-13"/>
      <sheetName val="CUADRO 8-13"/>
      <sheetName val="ING"/>
      <sheetName val="Hoja3"/>
      <sheetName val="FLUJO"/>
      <sheetName val="Cuadro 1"/>
      <sheetName val="CUADRO DE MAT"/>
      <sheetName val="Gráfico1"/>
      <sheetName val="Gráfico2"/>
      <sheetName val="Gráfico3"/>
      <sheetName val="COMP ING"/>
      <sheetName val="Cuadro 3"/>
      <sheetName val="Cuadro 6"/>
      <sheetName val="Cuadro 7"/>
      <sheetName val="Cuadro 9"/>
    </sheetNames>
    <sheetDataSet>
      <sheetData sheetId="0"/>
      <sheetData sheetId="1">
        <row r="22">
          <cell r="B22">
            <v>42879000</v>
          </cell>
        </row>
        <row r="23">
          <cell r="B23">
            <v>1585200</v>
          </cell>
        </row>
        <row r="24">
          <cell r="B24">
            <v>503600</v>
          </cell>
        </row>
        <row r="25">
          <cell r="B25">
            <v>507400</v>
          </cell>
        </row>
        <row r="27">
          <cell r="B27">
            <v>156100</v>
          </cell>
        </row>
        <row r="30">
          <cell r="B30">
            <v>420500</v>
          </cell>
        </row>
      </sheetData>
      <sheetData sheetId="2">
        <row r="16">
          <cell r="B16">
            <v>875100</v>
          </cell>
        </row>
        <row r="17">
          <cell r="B17">
            <v>288100</v>
          </cell>
        </row>
        <row r="18">
          <cell r="B18">
            <v>3836800</v>
          </cell>
        </row>
      </sheetData>
      <sheetData sheetId="3">
        <row r="15">
          <cell r="D15">
            <v>877500</v>
          </cell>
        </row>
        <row r="21">
          <cell r="C21">
            <v>42051800</v>
          </cell>
        </row>
        <row r="27">
          <cell r="C27">
            <v>2828700</v>
          </cell>
        </row>
        <row r="38">
          <cell r="C38">
            <v>293800</v>
          </cell>
        </row>
        <row r="53">
          <cell r="C53">
            <v>5000000</v>
          </cell>
        </row>
        <row r="58">
          <cell r="D5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jeto"/>
      <sheetName val="Resumen"/>
      <sheetName val="Contraloría"/>
      <sheetName val="INGRESOS"/>
      <sheetName val="PROGRAMA"/>
      <sheetName val="cuadro asamblea"/>
      <sheetName val="Cuadro 1-1-12"/>
      <sheetName val="GRAFICA 1"/>
      <sheetName val="Cuadro 1-13"/>
      <sheetName val="cuadro 2 -13"/>
      <sheetName val="cuadr3-13"/>
      <sheetName val="Cuadro 3-13"/>
      <sheetName val="Cuadro 4-12"/>
      <sheetName val="cuadro 5-13"/>
      <sheetName val="cuadro 6-13"/>
      <sheetName val="cuadro 7-13"/>
      <sheetName val="CUADRO 8-13"/>
      <sheetName val="ING"/>
      <sheetName val="Hoja3"/>
      <sheetName val="FLUJO"/>
      <sheetName val="Cuadro 1"/>
      <sheetName val="CUADRO DE MAT"/>
      <sheetName val="Gráfico1"/>
      <sheetName val="Gráfico2"/>
      <sheetName val="Gráfico3"/>
      <sheetName val="COMP ING"/>
      <sheetName val="Cuadro 3"/>
      <sheetName val="Cuadro 6"/>
      <sheetName val="Cuadro 7"/>
      <sheetName val="Cuadro 9"/>
    </sheetNames>
    <sheetDataSet>
      <sheetData sheetId="0"/>
      <sheetData sheetId="1">
        <row r="27">
          <cell r="B27">
            <v>147100</v>
          </cell>
        </row>
      </sheetData>
      <sheetData sheetId="2"/>
      <sheetData sheetId="3">
        <row r="58">
          <cell r="D5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</sheetNames>
    <sheetDataSet>
      <sheetData sheetId="0">
        <row r="10">
          <cell r="B10">
            <v>0</v>
          </cell>
          <cell r="D10">
            <v>0</v>
          </cell>
          <cell r="E10">
            <v>0</v>
          </cell>
          <cell r="H10">
            <v>0</v>
          </cell>
        </row>
        <row r="12">
          <cell r="H12">
            <v>850878.92999999993</v>
          </cell>
        </row>
        <row r="14">
          <cell r="D14">
            <v>48782700</v>
          </cell>
          <cell r="E14">
            <v>9073900</v>
          </cell>
          <cell r="H14">
            <v>9073900</v>
          </cell>
        </row>
        <row r="16">
          <cell r="H16">
            <v>0</v>
          </cell>
        </row>
        <row r="18">
          <cell r="B18">
            <v>5000000</v>
          </cell>
          <cell r="D18">
            <v>5000000</v>
          </cell>
          <cell r="E18">
            <v>1036077</v>
          </cell>
          <cell r="H18">
            <v>0</v>
          </cell>
        </row>
        <row r="22">
          <cell r="B22">
            <v>48594100</v>
          </cell>
          <cell r="D22">
            <v>48594100</v>
          </cell>
          <cell r="E22">
            <v>9370342</v>
          </cell>
          <cell r="F22">
            <v>9031485.7800000012</v>
          </cell>
          <cell r="G22">
            <v>7597830.04</v>
          </cell>
          <cell r="H22">
            <v>7597830.04</v>
          </cell>
        </row>
        <row r="23">
          <cell r="B23">
            <v>2236300</v>
          </cell>
          <cell r="D23">
            <v>2249300</v>
          </cell>
          <cell r="E23">
            <v>526229</v>
          </cell>
          <cell r="F23">
            <v>492160.48</v>
          </cell>
          <cell r="G23">
            <v>137774.75999999998</v>
          </cell>
          <cell r="H23">
            <v>137774.75999999998</v>
          </cell>
        </row>
        <row r="24">
          <cell r="B24">
            <v>542000</v>
          </cell>
          <cell r="D24">
            <v>542000</v>
          </cell>
          <cell r="E24">
            <v>138938</v>
          </cell>
          <cell r="F24">
            <v>137338</v>
          </cell>
          <cell r="G24">
            <v>33166.839999999997</v>
          </cell>
          <cell r="H24">
            <v>33166.839999999997</v>
          </cell>
        </row>
        <row r="25">
          <cell r="B25">
            <v>559000</v>
          </cell>
          <cell r="D25">
            <v>546000</v>
          </cell>
          <cell r="E25">
            <v>187000</v>
          </cell>
          <cell r="F25">
            <v>137000</v>
          </cell>
          <cell r="G25">
            <v>7352.95</v>
          </cell>
          <cell r="H25">
            <v>7352.95</v>
          </cell>
        </row>
        <row r="26">
          <cell r="D26">
            <v>0</v>
          </cell>
          <cell r="E26">
            <v>0</v>
          </cell>
          <cell r="G26">
            <v>0</v>
          </cell>
          <cell r="H26">
            <v>0</v>
          </cell>
        </row>
        <row r="27">
          <cell r="B27">
            <v>236000</v>
          </cell>
          <cell r="D27">
            <v>236000</v>
          </cell>
          <cell r="E27">
            <v>60157</v>
          </cell>
          <cell r="F27">
            <v>54157</v>
          </cell>
          <cell r="G27">
            <v>24484.2</v>
          </cell>
          <cell r="H27">
            <v>24484.2</v>
          </cell>
        </row>
        <row r="28">
          <cell r="E28">
            <v>0</v>
          </cell>
          <cell r="H28">
            <v>0</v>
          </cell>
        </row>
        <row r="29">
          <cell r="E29">
            <v>0</v>
          </cell>
          <cell r="H29">
            <v>0</v>
          </cell>
        </row>
        <row r="30">
          <cell r="B30">
            <v>615300</v>
          </cell>
          <cell r="D30">
            <v>615300</v>
          </cell>
          <cell r="E30">
            <v>123060</v>
          </cell>
          <cell r="F30">
            <v>72637.67</v>
          </cell>
          <cell r="G30">
            <v>41678.089999999997</v>
          </cell>
          <cell r="H30">
            <v>41678.089999999997</v>
          </cell>
        </row>
        <row r="31">
          <cell r="D31">
            <v>5000000</v>
          </cell>
          <cell r="E31">
            <v>2736157</v>
          </cell>
          <cell r="G31">
            <v>60921.729999999996</v>
          </cell>
          <cell r="H31">
            <v>60921.729999999996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M871"/>
  <sheetViews>
    <sheetView zoomScaleNormal="100" workbookViewId="0">
      <pane xSplit="2" ySplit="10" topLeftCell="C840" activePane="bottomRight" state="frozen"/>
      <selection pane="topRight" activeCell="C1" sqref="C1"/>
      <selection pane="bottomLeft" activeCell="A11" sqref="A11"/>
      <selection pane="bottomRight" sqref="A1:JT871"/>
    </sheetView>
  </sheetViews>
  <sheetFormatPr baseColWidth="10" defaultRowHeight="12.75"/>
  <cols>
    <col min="1" max="1" width="23.7109375" style="1" customWidth="1"/>
    <col min="2" max="2" width="0.140625" style="2" customWidth="1"/>
    <col min="3" max="3" width="12.7109375" style="5" customWidth="1"/>
    <col min="4" max="4" width="12.28515625" style="571" hidden="1" customWidth="1"/>
    <col min="5" max="5" width="12.28515625" style="690" hidden="1" customWidth="1"/>
    <col min="6" max="6" width="12.28515625" style="571" hidden="1" customWidth="1"/>
    <col min="7" max="7" width="12.28515625" style="690" hidden="1" customWidth="1"/>
    <col min="8" max="8" width="12.28515625" style="571" hidden="1" customWidth="1"/>
    <col min="9" max="9" width="12.28515625" style="690" hidden="1" customWidth="1"/>
    <col min="10" max="10" width="12.28515625" style="571" hidden="1" customWidth="1"/>
    <col min="11" max="11" width="12.28515625" style="690" hidden="1" customWidth="1"/>
    <col min="12" max="12" width="12.28515625" style="571" hidden="1" customWidth="1"/>
    <col min="13" max="13" width="12.28515625" style="690" hidden="1" customWidth="1"/>
    <col min="14" max="14" width="12.28515625" style="571" hidden="1" customWidth="1"/>
    <col min="15" max="15" width="12.28515625" style="690" hidden="1" customWidth="1"/>
    <col min="16" max="16" width="12.28515625" style="571" hidden="1" customWidth="1"/>
    <col min="17" max="17" width="12.28515625" style="690" hidden="1" customWidth="1"/>
    <col min="18" max="18" width="12.28515625" style="571" hidden="1" customWidth="1"/>
    <col min="19" max="19" width="12.28515625" style="690" hidden="1" customWidth="1"/>
    <col min="20" max="20" width="12.28515625" style="571" hidden="1" customWidth="1"/>
    <col min="21" max="21" width="12.28515625" style="690" hidden="1" customWidth="1"/>
    <col min="22" max="22" width="12.28515625" style="571" hidden="1" customWidth="1"/>
    <col min="23" max="23" width="12.28515625" style="690" hidden="1" customWidth="1"/>
    <col min="24" max="24" width="12.28515625" style="571" hidden="1" customWidth="1"/>
    <col min="25" max="25" width="12.28515625" style="690" hidden="1" customWidth="1"/>
    <col min="26" max="26" width="12.28515625" style="571" hidden="1" customWidth="1"/>
    <col min="27" max="27" width="12.28515625" style="690" hidden="1" customWidth="1"/>
    <col min="28" max="28" width="12.28515625" style="571" hidden="1" customWidth="1"/>
    <col min="29" max="29" width="12.28515625" style="690" hidden="1" customWidth="1"/>
    <col min="30" max="30" width="12.28515625" style="571" hidden="1" customWidth="1"/>
    <col min="31" max="31" width="12.28515625" style="690" hidden="1" customWidth="1"/>
    <col min="32" max="32" width="12.28515625" style="571" hidden="1" customWidth="1"/>
    <col min="33" max="33" width="12.28515625" style="690" hidden="1" customWidth="1"/>
    <col min="34" max="34" width="12.28515625" style="571" hidden="1" customWidth="1"/>
    <col min="35" max="35" width="12.28515625" style="690" hidden="1" customWidth="1"/>
    <col min="36" max="36" width="12.28515625" style="571" hidden="1" customWidth="1"/>
    <col min="37" max="37" width="12.28515625" style="690" hidden="1" customWidth="1"/>
    <col min="38" max="38" width="12.28515625" style="571" hidden="1" customWidth="1"/>
    <col min="39" max="39" width="12.28515625" style="690" hidden="1" customWidth="1"/>
    <col min="40" max="40" width="12.28515625" style="571" hidden="1" customWidth="1"/>
    <col min="41" max="41" width="12.28515625" style="690" hidden="1" customWidth="1"/>
    <col min="42" max="42" width="12.28515625" style="571" hidden="1" customWidth="1"/>
    <col min="43" max="43" width="12.28515625" style="690" hidden="1" customWidth="1"/>
    <col min="44" max="44" width="12.28515625" style="571" hidden="1" customWidth="1"/>
    <col min="45" max="45" width="12.28515625" style="690" hidden="1" customWidth="1"/>
    <col min="46" max="46" width="12.28515625" style="571" hidden="1" customWidth="1"/>
    <col min="47" max="47" width="12.28515625" style="690" hidden="1" customWidth="1"/>
    <col min="48" max="48" width="12.28515625" style="571" hidden="1" customWidth="1"/>
    <col min="49" max="49" width="12.28515625" style="690" hidden="1" customWidth="1"/>
    <col min="50" max="50" width="12.28515625" style="571" hidden="1" customWidth="1"/>
    <col min="51" max="51" width="12.28515625" style="690" hidden="1" customWidth="1"/>
    <col min="52" max="52" width="12.28515625" style="571" hidden="1" customWidth="1"/>
    <col min="53" max="53" width="12.28515625" style="690" hidden="1" customWidth="1"/>
    <col min="54" max="54" width="12.28515625" style="571" hidden="1" customWidth="1"/>
    <col min="55" max="55" width="12.28515625" style="690" hidden="1" customWidth="1"/>
    <col min="56" max="56" width="12.28515625" style="571" hidden="1" customWidth="1"/>
    <col min="57" max="57" width="12.28515625" style="690" hidden="1" customWidth="1"/>
    <col min="58" max="58" width="12.28515625" style="571" hidden="1" customWidth="1"/>
    <col min="59" max="59" width="12.28515625" style="690" hidden="1" customWidth="1"/>
    <col min="60" max="60" width="12.28515625" style="571" hidden="1" customWidth="1"/>
    <col min="61" max="61" width="12.28515625" style="690" hidden="1" customWidth="1"/>
    <col min="62" max="62" width="12.28515625" style="571" hidden="1" customWidth="1"/>
    <col min="63" max="63" width="12.28515625" style="690" hidden="1" customWidth="1"/>
    <col min="64" max="64" width="12.28515625" style="571" hidden="1" customWidth="1"/>
    <col min="65" max="65" width="12.28515625" style="690" hidden="1" customWidth="1"/>
    <col min="66" max="66" width="12.28515625" style="571" hidden="1" customWidth="1"/>
    <col min="67" max="67" width="12.28515625" style="690" hidden="1" customWidth="1"/>
    <col min="68" max="68" width="12.28515625" style="571" hidden="1" customWidth="1"/>
    <col min="69" max="69" width="12.28515625" style="690" hidden="1" customWidth="1"/>
    <col min="70" max="70" width="12.28515625" style="571" hidden="1" customWidth="1"/>
    <col min="71" max="71" width="12.28515625" style="690" hidden="1" customWidth="1"/>
    <col min="72" max="72" width="12.28515625" style="571" hidden="1" customWidth="1"/>
    <col min="73" max="73" width="12.28515625" style="690" hidden="1" customWidth="1"/>
    <col min="74" max="74" width="12.28515625" style="571" hidden="1" customWidth="1"/>
    <col min="75" max="75" width="12.28515625" style="690" hidden="1" customWidth="1"/>
    <col min="76" max="76" width="12.28515625" style="571" hidden="1" customWidth="1"/>
    <col min="77" max="77" width="12.28515625" style="690" hidden="1" customWidth="1"/>
    <col min="78" max="78" width="12.28515625" style="571" hidden="1" customWidth="1"/>
    <col min="79" max="79" width="12.28515625" style="690" hidden="1" customWidth="1"/>
    <col min="80" max="80" width="12.28515625" style="571" hidden="1" customWidth="1"/>
    <col min="81" max="81" width="12.28515625" style="690" hidden="1" customWidth="1"/>
    <col min="82" max="82" width="12.28515625" style="571" hidden="1" customWidth="1"/>
    <col min="83" max="83" width="12.28515625" style="690" hidden="1" customWidth="1"/>
    <col min="84" max="84" width="12.28515625" style="571" hidden="1" customWidth="1"/>
    <col min="85" max="85" width="12.28515625" style="690" hidden="1" customWidth="1"/>
    <col min="86" max="86" width="12.28515625" style="571" hidden="1" customWidth="1"/>
    <col min="87" max="87" width="12.28515625" style="690" hidden="1" customWidth="1"/>
    <col min="88" max="88" width="12.28515625" style="571" hidden="1" customWidth="1"/>
    <col min="89" max="89" width="12.28515625" style="690" hidden="1" customWidth="1"/>
    <col min="90" max="90" width="12.28515625" style="571" hidden="1" customWidth="1"/>
    <col min="91" max="91" width="12.28515625" style="690" hidden="1" customWidth="1"/>
    <col min="92" max="92" width="12.28515625" style="571" hidden="1" customWidth="1"/>
    <col min="93" max="93" width="12.28515625" style="690" hidden="1" customWidth="1"/>
    <col min="94" max="94" width="12.28515625" style="571" hidden="1" customWidth="1"/>
    <col min="95" max="95" width="12.28515625" style="690" hidden="1" customWidth="1"/>
    <col min="96" max="96" width="12.28515625" style="571" hidden="1" customWidth="1"/>
    <col min="97" max="97" width="12.28515625" style="690" hidden="1" customWidth="1"/>
    <col min="98" max="98" width="12.28515625" style="571" hidden="1" customWidth="1"/>
    <col min="99" max="99" width="12.28515625" style="690" hidden="1" customWidth="1"/>
    <col min="100" max="100" width="12.28515625" style="571" hidden="1" customWidth="1"/>
    <col min="101" max="101" width="12.28515625" style="690" hidden="1" customWidth="1"/>
    <col min="102" max="102" width="12.28515625" style="571" hidden="1" customWidth="1"/>
    <col min="103" max="103" width="12.28515625" style="690" hidden="1" customWidth="1"/>
    <col min="104" max="104" width="12.28515625" style="571" hidden="1" customWidth="1"/>
    <col min="105" max="105" width="12.28515625" style="690" hidden="1" customWidth="1"/>
    <col min="106" max="106" width="12.28515625" style="571" hidden="1" customWidth="1"/>
    <col min="107" max="107" width="12.28515625" style="690" hidden="1" customWidth="1"/>
    <col min="108" max="108" width="12.28515625" style="571" hidden="1" customWidth="1"/>
    <col min="109" max="109" width="12.28515625" style="690" hidden="1" customWidth="1"/>
    <col min="110" max="110" width="12.28515625" style="571" hidden="1" customWidth="1"/>
    <col min="111" max="111" width="12.28515625" style="690" hidden="1" customWidth="1"/>
    <col min="112" max="112" width="12.28515625" style="571" hidden="1" customWidth="1"/>
    <col min="113" max="113" width="12.28515625" style="690" hidden="1" customWidth="1"/>
    <col min="114" max="114" width="12.28515625" style="571" hidden="1" customWidth="1"/>
    <col min="115" max="115" width="12.28515625" style="690" hidden="1" customWidth="1"/>
    <col min="116" max="116" width="12.28515625" style="571" hidden="1" customWidth="1"/>
    <col min="117" max="117" width="12.28515625" style="690" hidden="1" customWidth="1"/>
    <col min="118" max="118" width="12.28515625" style="571" hidden="1" customWidth="1"/>
    <col min="119" max="119" width="12.28515625" style="690" hidden="1" customWidth="1"/>
    <col min="120" max="120" width="12.28515625" style="571" hidden="1" customWidth="1"/>
    <col min="121" max="121" width="12.28515625" style="690" hidden="1" customWidth="1"/>
    <col min="122" max="122" width="12.28515625" style="571" hidden="1" customWidth="1"/>
    <col min="123" max="123" width="12.28515625" style="690" hidden="1" customWidth="1"/>
    <col min="124" max="124" width="12.28515625" style="571" hidden="1" customWidth="1"/>
    <col min="125" max="125" width="12.28515625" style="690" hidden="1" customWidth="1"/>
    <col min="126" max="126" width="12.28515625" style="571" hidden="1" customWidth="1"/>
    <col min="127" max="127" width="12.28515625" style="690" hidden="1" customWidth="1"/>
    <col min="128" max="128" width="12.28515625" style="571" hidden="1" customWidth="1"/>
    <col min="129" max="129" width="12.28515625" style="690" hidden="1" customWidth="1"/>
    <col min="130" max="130" width="12.28515625" style="571" hidden="1" customWidth="1"/>
    <col min="131" max="131" width="12.28515625" style="690" hidden="1" customWidth="1"/>
    <col min="132" max="132" width="12.28515625" style="571" hidden="1" customWidth="1"/>
    <col min="133" max="133" width="12.28515625" style="690" hidden="1" customWidth="1"/>
    <col min="134" max="134" width="12.28515625" style="571" hidden="1" customWidth="1"/>
    <col min="135" max="135" width="12.28515625" style="690" hidden="1" customWidth="1"/>
    <col min="136" max="136" width="12.28515625" style="571" hidden="1" customWidth="1"/>
    <col min="137" max="137" width="12.28515625" style="690" hidden="1" customWidth="1"/>
    <col min="138" max="138" width="12.28515625" style="571" hidden="1" customWidth="1"/>
    <col min="139" max="139" width="12.28515625" style="690" hidden="1" customWidth="1"/>
    <col min="140" max="140" width="12.28515625" style="571" hidden="1" customWidth="1"/>
    <col min="141" max="141" width="12.28515625" style="690" hidden="1" customWidth="1"/>
    <col min="142" max="142" width="12.28515625" style="571" hidden="1" customWidth="1"/>
    <col min="143" max="143" width="12.28515625" style="690" hidden="1" customWidth="1"/>
    <col min="144" max="144" width="12.28515625" style="571" hidden="1" customWidth="1"/>
    <col min="145" max="145" width="12.28515625" style="690" hidden="1" customWidth="1"/>
    <col min="146" max="146" width="12.28515625" style="571" hidden="1" customWidth="1"/>
    <col min="147" max="147" width="12.28515625" style="690" hidden="1" customWidth="1"/>
    <col min="148" max="148" width="12.28515625" style="571" hidden="1" customWidth="1"/>
    <col min="149" max="149" width="12.28515625" style="690" hidden="1" customWidth="1"/>
    <col min="150" max="150" width="12.28515625" style="571" hidden="1" customWidth="1"/>
    <col min="151" max="151" width="12.28515625" style="690" hidden="1" customWidth="1"/>
    <col min="152" max="152" width="12.28515625" style="571" hidden="1" customWidth="1"/>
    <col min="153" max="153" width="12.28515625" style="690" hidden="1" customWidth="1"/>
    <col min="154" max="154" width="12.28515625" style="571" hidden="1" customWidth="1"/>
    <col min="155" max="155" width="12.28515625" style="690" hidden="1" customWidth="1"/>
    <col min="156" max="156" width="12.28515625" style="571" hidden="1" customWidth="1"/>
    <col min="157" max="157" width="12.28515625" style="690" hidden="1" customWidth="1"/>
    <col min="158" max="158" width="12.28515625" style="571" hidden="1" customWidth="1"/>
    <col min="159" max="159" width="12.28515625" style="690" hidden="1" customWidth="1"/>
    <col min="160" max="160" width="12.28515625" style="571" hidden="1" customWidth="1"/>
    <col min="161" max="161" width="12.28515625" style="690" hidden="1" customWidth="1"/>
    <col min="162" max="162" width="12.28515625" style="571" hidden="1" customWidth="1"/>
    <col min="163" max="163" width="12.28515625" style="690" hidden="1" customWidth="1"/>
    <col min="164" max="164" width="12.28515625" style="571" hidden="1" customWidth="1"/>
    <col min="165" max="165" width="12.28515625" style="690" hidden="1" customWidth="1"/>
    <col min="166" max="166" width="12.28515625" style="571" hidden="1" customWidth="1"/>
    <col min="167" max="167" width="12.28515625" style="690" hidden="1" customWidth="1"/>
    <col min="168" max="168" width="12.28515625" style="571" hidden="1" customWidth="1"/>
    <col min="169" max="169" width="12.28515625" style="690" hidden="1" customWidth="1"/>
    <col min="170" max="170" width="12.28515625" style="571" hidden="1" customWidth="1"/>
    <col min="171" max="171" width="12.28515625" style="690" hidden="1" customWidth="1"/>
    <col min="172" max="172" width="12.28515625" style="571" hidden="1" customWidth="1"/>
    <col min="173" max="173" width="12.28515625" style="690" hidden="1" customWidth="1"/>
    <col min="174" max="174" width="12.28515625" style="571" hidden="1" customWidth="1"/>
    <col min="175" max="175" width="12.28515625" style="690" hidden="1" customWidth="1"/>
    <col min="176" max="176" width="12.28515625" style="571" hidden="1" customWidth="1"/>
    <col min="177" max="177" width="12.28515625" style="690" hidden="1" customWidth="1"/>
    <col min="178" max="178" width="12.28515625" style="571" hidden="1" customWidth="1"/>
    <col min="179" max="179" width="12.28515625" style="690" hidden="1" customWidth="1"/>
    <col min="180" max="180" width="12.28515625" style="571" hidden="1" customWidth="1"/>
    <col min="181" max="181" width="12.28515625" style="690" hidden="1" customWidth="1"/>
    <col min="182" max="182" width="12.28515625" style="571" hidden="1" customWidth="1"/>
    <col min="183" max="183" width="12.28515625" style="690" hidden="1" customWidth="1"/>
    <col min="184" max="184" width="12.28515625" style="571" hidden="1" customWidth="1"/>
    <col min="185" max="185" width="12.28515625" style="690" hidden="1" customWidth="1"/>
    <col min="186" max="186" width="12.28515625" style="571" hidden="1" customWidth="1"/>
    <col min="187" max="187" width="12.28515625" style="690" hidden="1" customWidth="1"/>
    <col min="188" max="188" width="12.28515625" style="571" hidden="1" customWidth="1"/>
    <col min="189" max="189" width="12.28515625" style="690" hidden="1" customWidth="1"/>
    <col min="190" max="190" width="12.28515625" style="571" hidden="1" customWidth="1"/>
    <col min="191" max="191" width="12.28515625" style="690" hidden="1" customWidth="1"/>
    <col min="192" max="192" width="12.28515625" style="571" hidden="1" customWidth="1"/>
    <col min="193" max="193" width="12.28515625" style="690" hidden="1" customWidth="1"/>
    <col min="194" max="194" width="12.28515625" style="571" hidden="1" customWidth="1"/>
    <col min="195" max="195" width="12.28515625" style="690" hidden="1" customWidth="1"/>
    <col min="196" max="196" width="12.28515625" style="571" hidden="1" customWidth="1"/>
    <col min="197" max="197" width="12.28515625" style="690" hidden="1" customWidth="1"/>
    <col min="198" max="198" width="12.85546875" style="571" customWidth="1"/>
    <col min="199" max="199" width="13.42578125" style="690" customWidth="1"/>
    <col min="200" max="201" width="13.140625" style="5" customWidth="1"/>
    <col min="202" max="202" width="13.140625" style="571" hidden="1" customWidth="1"/>
    <col min="203" max="204" width="13.140625" style="5" hidden="1" customWidth="1"/>
    <col min="205" max="206" width="13.140625" style="571" hidden="1" customWidth="1"/>
    <col min="207" max="214" width="13.140625" style="5" hidden="1" customWidth="1"/>
    <col min="215" max="215" width="13.5703125" style="5" customWidth="1"/>
    <col min="216" max="216" width="11" style="3" hidden="1" customWidth="1"/>
    <col min="217" max="217" width="12.85546875" style="3" hidden="1" customWidth="1"/>
    <col min="218" max="218" width="11.85546875" style="3" hidden="1" customWidth="1"/>
    <col min="219" max="219" width="12.140625" style="3" hidden="1" customWidth="1"/>
    <col min="220" max="220" width="13.42578125" style="3" hidden="1" customWidth="1"/>
    <col min="221" max="221" width="12" style="3" hidden="1" customWidth="1"/>
    <col min="222" max="222" width="11.42578125" style="3" hidden="1" customWidth="1"/>
    <col min="223" max="223" width="13.28515625" style="3" hidden="1" customWidth="1"/>
    <col min="224" max="224" width="11.5703125" style="3" hidden="1" customWidth="1"/>
    <col min="225" max="225" width="12.85546875" style="3" hidden="1" customWidth="1"/>
    <col min="226" max="226" width="11.42578125" style="3" hidden="1" customWidth="1"/>
    <col min="227" max="227" width="13.5703125" style="3" hidden="1" customWidth="1"/>
    <col min="228" max="228" width="11.140625" style="3" hidden="1" customWidth="1"/>
    <col min="229" max="229" width="11.85546875" style="3" hidden="1" customWidth="1"/>
    <col min="230" max="230" width="11.42578125" style="3" hidden="1" customWidth="1"/>
    <col min="231" max="231" width="12.28515625" style="3" hidden="1" customWidth="1"/>
    <col min="232" max="232" width="11.42578125" style="3" hidden="1" customWidth="1"/>
    <col min="233" max="233" width="12" style="3" hidden="1" customWidth="1"/>
    <col min="234" max="234" width="11.42578125" style="3" customWidth="1"/>
    <col min="235" max="235" width="12.140625" style="3" customWidth="1"/>
    <col min="236" max="236" width="11.42578125" style="3" hidden="1" customWidth="1"/>
    <col min="237" max="237" width="12.85546875" style="3" hidden="1" customWidth="1"/>
    <col min="238" max="238" width="11.42578125" style="3" hidden="1" customWidth="1"/>
    <col min="239" max="239" width="12.42578125" style="3" hidden="1" customWidth="1"/>
    <col min="240" max="240" width="13.140625" style="4" customWidth="1"/>
    <col min="241" max="241" width="13.7109375" style="4" customWidth="1"/>
    <col min="242" max="242" width="13.42578125" style="4" customWidth="1"/>
    <col min="243" max="243" width="12.85546875" style="3" hidden="1" customWidth="1"/>
    <col min="244" max="244" width="12.7109375" style="3" hidden="1" customWidth="1"/>
    <col min="245" max="246" width="12.42578125" style="3" hidden="1" customWidth="1"/>
    <col min="247" max="247" width="12.7109375" style="3" hidden="1" customWidth="1"/>
    <col min="248" max="248" width="12.28515625" style="3" hidden="1" customWidth="1"/>
    <col min="249" max="249" width="12.7109375" style="3" hidden="1" customWidth="1"/>
    <col min="250" max="250" width="12" style="3" hidden="1" customWidth="1"/>
    <col min="251" max="252" width="12.140625" style="3" hidden="1" customWidth="1"/>
    <col min="253" max="253" width="12.5703125" style="3" hidden="1" customWidth="1"/>
    <col min="254" max="254" width="12.85546875" style="3" hidden="1" customWidth="1"/>
    <col min="255" max="256" width="11.7109375" style="3" hidden="1" customWidth="1"/>
    <col min="257" max="258" width="11.85546875" style="3" hidden="1" customWidth="1"/>
    <col min="259" max="259" width="11.5703125" style="3" hidden="1" customWidth="1"/>
    <col min="260" max="260" width="11.85546875" style="3" hidden="1" customWidth="1"/>
    <col min="261" max="261" width="12.42578125" style="3" hidden="1" customWidth="1"/>
    <col min="262" max="262" width="13" style="3" hidden="1" customWidth="1"/>
    <col min="263" max="263" width="12.85546875" style="3" hidden="1" customWidth="1"/>
    <col min="264" max="264" width="11.7109375" style="3" hidden="1" customWidth="1"/>
    <col min="265" max="265" width="12" style="3" hidden="1" customWidth="1"/>
    <col min="266" max="266" width="11.85546875" style="3" hidden="1" customWidth="1"/>
    <col min="267" max="268" width="12.85546875" style="3" hidden="1" customWidth="1"/>
    <col min="269" max="269" width="12.42578125" style="3" hidden="1" customWidth="1"/>
    <col min="270" max="270" width="12.28515625" style="3" customWidth="1"/>
    <col min="271" max="271" width="12.85546875" style="3" customWidth="1"/>
    <col min="272" max="272" width="12.7109375" style="3" customWidth="1"/>
    <col min="273" max="273" width="13.140625" style="3" hidden="1" customWidth="1"/>
    <col min="274" max="274" width="12.7109375" style="3" hidden="1" customWidth="1"/>
    <col min="275" max="276" width="12.140625" style="3" hidden="1" customWidth="1"/>
    <col min="277" max="278" width="13.5703125" style="3" hidden="1" customWidth="1"/>
    <col min="279" max="279" width="14.85546875" style="5" customWidth="1"/>
    <col min="280" max="280" width="14.28515625" style="5" customWidth="1"/>
    <col min="281" max="281" width="2.140625" style="534" customWidth="1"/>
    <col min="282" max="282" width="18.85546875" style="520" customWidth="1"/>
    <col min="283" max="283" width="3.5703125" style="521" customWidth="1"/>
    <col min="284" max="284" width="16.140625" style="556" customWidth="1"/>
    <col min="285" max="285" width="15" style="556" customWidth="1"/>
    <col min="286" max="287" width="15.42578125" style="556" customWidth="1"/>
    <col min="288" max="288" width="14.42578125" style="556" customWidth="1"/>
    <col min="289" max="289" width="14.7109375" style="708" customWidth="1"/>
    <col min="290" max="290" width="11.42578125" style="34"/>
    <col min="291" max="291" width="34.85546875" style="34" customWidth="1"/>
    <col min="292" max="292" width="16.140625" style="34" customWidth="1"/>
    <col min="293" max="293" width="14.85546875" style="34" customWidth="1"/>
    <col min="294" max="294" width="12.5703125" style="34" customWidth="1"/>
    <col min="295" max="295" width="11.7109375" style="34" customWidth="1"/>
    <col min="296" max="296" width="14" style="34" customWidth="1"/>
    <col min="297" max="297" width="14.85546875" style="34" customWidth="1"/>
    <col min="298" max="16384" width="11.42578125" style="3"/>
  </cols>
  <sheetData>
    <row r="1" spans="1:299" s="60" customFormat="1" ht="16.5" thickBot="1">
      <c r="A1" s="789" t="s">
        <v>0</v>
      </c>
      <c r="B1" s="789"/>
      <c r="C1" s="789"/>
      <c r="D1" s="789"/>
      <c r="E1" s="789"/>
      <c r="F1" s="789"/>
      <c r="G1" s="789"/>
      <c r="H1" s="789"/>
      <c r="I1" s="789"/>
      <c r="J1" s="789"/>
      <c r="K1" s="789"/>
      <c r="L1" s="789"/>
      <c r="M1" s="789"/>
      <c r="N1" s="789"/>
      <c r="O1" s="789"/>
      <c r="P1" s="789"/>
      <c r="Q1" s="789"/>
      <c r="R1" s="789"/>
      <c r="S1" s="789"/>
      <c r="T1" s="789"/>
      <c r="U1" s="789"/>
      <c r="V1" s="789"/>
      <c r="W1" s="789"/>
      <c r="X1" s="789"/>
      <c r="Y1" s="789"/>
      <c r="Z1" s="789"/>
      <c r="AA1" s="789"/>
      <c r="AB1" s="789"/>
      <c r="AC1" s="789"/>
      <c r="AD1" s="789"/>
      <c r="AE1" s="789"/>
      <c r="AF1" s="789"/>
      <c r="AG1" s="789"/>
      <c r="AH1" s="789"/>
      <c r="AI1" s="789"/>
      <c r="AJ1" s="789"/>
      <c r="AK1" s="789"/>
      <c r="AL1" s="789"/>
      <c r="AM1" s="789"/>
      <c r="AN1" s="789"/>
      <c r="AO1" s="789"/>
      <c r="AP1" s="789"/>
      <c r="AQ1" s="789"/>
      <c r="AR1" s="789"/>
      <c r="AS1" s="789"/>
      <c r="AT1" s="789"/>
      <c r="AU1" s="789"/>
      <c r="AV1" s="789"/>
      <c r="AW1" s="789"/>
      <c r="AX1" s="789"/>
      <c r="AY1" s="789"/>
      <c r="AZ1" s="789"/>
      <c r="BA1" s="789"/>
      <c r="BB1" s="789"/>
      <c r="BC1" s="789"/>
      <c r="BD1" s="789"/>
      <c r="BE1" s="789"/>
      <c r="BF1" s="789"/>
      <c r="BG1" s="789"/>
      <c r="BH1" s="789"/>
      <c r="BI1" s="789"/>
      <c r="BJ1" s="789"/>
      <c r="BK1" s="789"/>
      <c r="BL1" s="789"/>
      <c r="BM1" s="789"/>
      <c r="BN1" s="789"/>
      <c r="BO1" s="789"/>
      <c r="BP1" s="789"/>
      <c r="BQ1" s="789"/>
      <c r="BR1" s="789"/>
      <c r="BS1" s="789"/>
      <c r="BT1" s="789"/>
      <c r="BU1" s="789"/>
      <c r="BV1" s="789"/>
      <c r="BW1" s="789"/>
      <c r="BX1" s="789"/>
      <c r="BY1" s="789"/>
      <c r="BZ1" s="789"/>
      <c r="CA1" s="789"/>
      <c r="CB1" s="789"/>
      <c r="CC1" s="789"/>
      <c r="CD1" s="789"/>
      <c r="CE1" s="789"/>
      <c r="CF1" s="789"/>
      <c r="CG1" s="789"/>
      <c r="CH1" s="789"/>
      <c r="CI1" s="789"/>
      <c r="CJ1" s="789"/>
      <c r="CK1" s="789"/>
      <c r="CL1" s="789"/>
      <c r="CM1" s="789"/>
      <c r="CN1" s="789"/>
      <c r="CO1" s="789"/>
      <c r="CP1" s="789"/>
      <c r="CQ1" s="789"/>
      <c r="CR1" s="789"/>
      <c r="CS1" s="789"/>
      <c r="CT1" s="789"/>
      <c r="CU1" s="789"/>
      <c r="CV1" s="789"/>
      <c r="CW1" s="789"/>
      <c r="CX1" s="789"/>
      <c r="CY1" s="789"/>
      <c r="CZ1" s="789"/>
      <c r="DA1" s="789"/>
      <c r="DB1" s="789"/>
      <c r="DC1" s="789"/>
      <c r="DD1" s="789"/>
      <c r="DE1" s="789"/>
      <c r="DF1" s="789"/>
      <c r="DG1" s="789"/>
      <c r="DH1" s="789"/>
      <c r="DI1" s="789"/>
      <c r="DJ1" s="789"/>
      <c r="DK1" s="789"/>
      <c r="DL1" s="789"/>
      <c r="DM1" s="789"/>
      <c r="DN1" s="789"/>
      <c r="DO1" s="789"/>
      <c r="DP1" s="789"/>
      <c r="DQ1" s="789"/>
      <c r="DR1" s="789"/>
      <c r="DS1" s="789"/>
      <c r="DT1" s="789"/>
      <c r="DU1" s="789"/>
      <c r="DV1" s="789"/>
      <c r="DW1" s="789"/>
      <c r="DX1" s="789"/>
      <c r="DY1" s="789"/>
      <c r="DZ1" s="789"/>
      <c r="EA1" s="789"/>
      <c r="EB1" s="789"/>
      <c r="EC1" s="789"/>
      <c r="ED1" s="789"/>
      <c r="EE1" s="789"/>
      <c r="EF1" s="789"/>
      <c r="EG1" s="789"/>
      <c r="EH1" s="789"/>
      <c r="EI1" s="789"/>
      <c r="EJ1" s="789"/>
      <c r="EK1" s="789"/>
      <c r="EL1" s="789"/>
      <c r="EM1" s="789"/>
      <c r="EN1" s="789"/>
      <c r="EO1" s="789"/>
      <c r="EP1" s="789"/>
      <c r="EQ1" s="789"/>
      <c r="ER1" s="789"/>
      <c r="ES1" s="789"/>
      <c r="ET1" s="789"/>
      <c r="EU1" s="789"/>
      <c r="EV1" s="789"/>
      <c r="EW1" s="789"/>
      <c r="EX1" s="789"/>
      <c r="EY1" s="789"/>
      <c r="EZ1" s="789"/>
      <c r="FA1" s="789"/>
      <c r="FB1" s="789"/>
      <c r="FC1" s="789"/>
      <c r="FD1" s="789"/>
      <c r="FE1" s="789"/>
      <c r="FF1" s="789"/>
      <c r="FG1" s="789"/>
      <c r="FH1" s="789"/>
      <c r="FI1" s="789"/>
      <c r="FJ1" s="789"/>
      <c r="FK1" s="789"/>
      <c r="FL1" s="789"/>
      <c r="FM1" s="789"/>
      <c r="FN1" s="789"/>
      <c r="FO1" s="789"/>
      <c r="FP1" s="789"/>
      <c r="FQ1" s="789"/>
      <c r="FR1" s="789"/>
      <c r="FS1" s="789"/>
      <c r="FT1" s="789"/>
      <c r="FU1" s="789"/>
      <c r="FV1" s="789"/>
      <c r="FW1" s="789"/>
      <c r="FX1" s="789"/>
      <c r="FY1" s="789"/>
      <c r="FZ1" s="789"/>
      <c r="GA1" s="789"/>
      <c r="GB1" s="789"/>
      <c r="GC1" s="789"/>
      <c r="GD1" s="789"/>
      <c r="GE1" s="789"/>
      <c r="GF1" s="789"/>
      <c r="GG1" s="789"/>
      <c r="GH1" s="789"/>
      <c r="GI1" s="789"/>
      <c r="GJ1" s="789"/>
      <c r="GK1" s="789"/>
      <c r="GL1" s="789"/>
      <c r="GM1" s="789"/>
      <c r="GN1" s="789"/>
      <c r="GO1" s="789"/>
      <c r="GP1" s="789"/>
      <c r="GQ1" s="789"/>
      <c r="GR1" s="789"/>
      <c r="GS1" s="789"/>
      <c r="GT1" s="789"/>
      <c r="GU1" s="789"/>
      <c r="GV1" s="789"/>
      <c r="GW1" s="789"/>
      <c r="GX1" s="789"/>
      <c r="GY1" s="789"/>
      <c r="GZ1" s="789"/>
      <c r="HA1" s="789"/>
      <c r="HB1" s="789"/>
      <c r="HC1" s="789"/>
      <c r="HD1" s="789"/>
      <c r="HE1" s="789"/>
      <c r="HF1" s="789"/>
      <c r="HG1" s="789"/>
      <c r="HH1" s="789"/>
      <c r="HI1" s="789"/>
      <c r="HJ1" s="789"/>
      <c r="HK1" s="789"/>
      <c r="HL1" s="789"/>
      <c r="HM1" s="789"/>
      <c r="HN1" s="789"/>
      <c r="HO1" s="789"/>
      <c r="HP1" s="789"/>
      <c r="HQ1" s="789"/>
      <c r="HR1" s="789"/>
      <c r="HS1" s="789"/>
      <c r="HT1" s="789"/>
      <c r="HU1" s="789"/>
      <c r="HV1" s="789"/>
      <c r="HW1" s="789"/>
      <c r="HX1" s="789"/>
      <c r="HY1" s="789"/>
      <c r="HZ1" s="789"/>
      <c r="IA1" s="789"/>
      <c r="IB1" s="789"/>
      <c r="IC1" s="789"/>
      <c r="ID1" s="789"/>
      <c r="IE1" s="789"/>
      <c r="IF1" s="789"/>
      <c r="IG1" s="789"/>
      <c r="IH1" s="789"/>
      <c r="II1" s="789"/>
      <c r="IJ1" s="789"/>
      <c r="IK1" s="789"/>
      <c r="IL1" s="789"/>
      <c r="IM1" s="789"/>
      <c r="IN1" s="789"/>
      <c r="IO1" s="789"/>
      <c r="IP1" s="789"/>
      <c r="IQ1" s="789"/>
      <c r="IR1" s="789"/>
      <c r="IS1" s="789"/>
      <c r="IT1" s="789"/>
      <c r="IU1" s="789"/>
      <c r="IV1" s="789"/>
      <c r="IW1" s="789"/>
      <c r="IX1" s="789"/>
      <c r="IY1" s="789"/>
      <c r="IZ1" s="789"/>
      <c r="JA1" s="789"/>
      <c r="JB1" s="789"/>
      <c r="JC1" s="789"/>
      <c r="JD1" s="789"/>
      <c r="JE1" s="789"/>
      <c r="JF1" s="789"/>
      <c r="JG1" s="789"/>
      <c r="JH1" s="789"/>
      <c r="JI1" s="789"/>
      <c r="JJ1" s="789"/>
      <c r="JK1" s="789"/>
      <c r="JL1" s="789"/>
      <c r="JM1" s="789"/>
      <c r="JN1" s="789"/>
      <c r="JO1" s="789"/>
      <c r="JP1" s="789"/>
      <c r="JQ1" s="789"/>
      <c r="JR1" s="789"/>
      <c r="JS1" s="789"/>
      <c r="JT1" s="789"/>
      <c r="JU1" s="532"/>
      <c r="JV1" s="515"/>
      <c r="JW1" s="515"/>
      <c r="JX1" s="582"/>
      <c r="JY1" s="536"/>
      <c r="JZ1" s="536"/>
      <c r="KA1" s="536"/>
      <c r="KB1" s="536"/>
      <c r="KC1" s="705"/>
      <c r="KD1" s="61" t="s">
        <v>548</v>
      </c>
      <c r="KE1" s="61"/>
      <c r="KF1" s="61"/>
      <c r="KG1" s="61"/>
      <c r="KH1" s="61"/>
      <c r="KI1" s="61"/>
      <c r="KJ1" s="61"/>
      <c r="KK1" s="61"/>
    </row>
    <row r="2" spans="1:299" s="60" customFormat="1" ht="16.5" thickTop="1">
      <c r="A2" s="789" t="s">
        <v>1</v>
      </c>
      <c r="B2" s="789"/>
      <c r="C2" s="789"/>
      <c r="D2" s="789"/>
      <c r="E2" s="789"/>
      <c r="F2" s="789"/>
      <c r="G2" s="789"/>
      <c r="H2" s="789"/>
      <c r="I2" s="789"/>
      <c r="J2" s="789"/>
      <c r="K2" s="789"/>
      <c r="L2" s="789"/>
      <c r="M2" s="789"/>
      <c r="N2" s="789"/>
      <c r="O2" s="789"/>
      <c r="P2" s="789"/>
      <c r="Q2" s="789"/>
      <c r="R2" s="789"/>
      <c r="S2" s="789"/>
      <c r="T2" s="789"/>
      <c r="U2" s="789"/>
      <c r="V2" s="789"/>
      <c r="W2" s="789"/>
      <c r="X2" s="789"/>
      <c r="Y2" s="789"/>
      <c r="Z2" s="789"/>
      <c r="AA2" s="789"/>
      <c r="AB2" s="789"/>
      <c r="AC2" s="789"/>
      <c r="AD2" s="789"/>
      <c r="AE2" s="789"/>
      <c r="AF2" s="789"/>
      <c r="AG2" s="789"/>
      <c r="AH2" s="789"/>
      <c r="AI2" s="789"/>
      <c r="AJ2" s="789"/>
      <c r="AK2" s="789"/>
      <c r="AL2" s="789"/>
      <c r="AM2" s="789"/>
      <c r="AN2" s="789"/>
      <c r="AO2" s="789"/>
      <c r="AP2" s="789"/>
      <c r="AQ2" s="789"/>
      <c r="AR2" s="789"/>
      <c r="AS2" s="789"/>
      <c r="AT2" s="789"/>
      <c r="AU2" s="789"/>
      <c r="AV2" s="789"/>
      <c r="AW2" s="789"/>
      <c r="AX2" s="789"/>
      <c r="AY2" s="789"/>
      <c r="AZ2" s="789"/>
      <c r="BA2" s="789"/>
      <c r="BB2" s="789"/>
      <c r="BC2" s="789"/>
      <c r="BD2" s="789"/>
      <c r="BE2" s="789"/>
      <c r="BF2" s="789"/>
      <c r="BG2" s="789"/>
      <c r="BH2" s="789"/>
      <c r="BI2" s="789"/>
      <c r="BJ2" s="789"/>
      <c r="BK2" s="789"/>
      <c r="BL2" s="789"/>
      <c r="BM2" s="789"/>
      <c r="BN2" s="789"/>
      <c r="BO2" s="789"/>
      <c r="BP2" s="789"/>
      <c r="BQ2" s="789"/>
      <c r="BR2" s="789"/>
      <c r="BS2" s="789"/>
      <c r="BT2" s="789"/>
      <c r="BU2" s="789"/>
      <c r="BV2" s="789"/>
      <c r="BW2" s="789"/>
      <c r="BX2" s="789"/>
      <c r="BY2" s="789"/>
      <c r="BZ2" s="789"/>
      <c r="CA2" s="789"/>
      <c r="CB2" s="789"/>
      <c r="CC2" s="789"/>
      <c r="CD2" s="789"/>
      <c r="CE2" s="789"/>
      <c r="CF2" s="789"/>
      <c r="CG2" s="789"/>
      <c r="CH2" s="789"/>
      <c r="CI2" s="789"/>
      <c r="CJ2" s="789"/>
      <c r="CK2" s="789"/>
      <c r="CL2" s="789"/>
      <c r="CM2" s="789"/>
      <c r="CN2" s="789"/>
      <c r="CO2" s="789"/>
      <c r="CP2" s="789"/>
      <c r="CQ2" s="789"/>
      <c r="CR2" s="789"/>
      <c r="CS2" s="789"/>
      <c r="CT2" s="789"/>
      <c r="CU2" s="789"/>
      <c r="CV2" s="789"/>
      <c r="CW2" s="789"/>
      <c r="CX2" s="789"/>
      <c r="CY2" s="789"/>
      <c r="CZ2" s="789"/>
      <c r="DA2" s="789"/>
      <c r="DB2" s="789"/>
      <c r="DC2" s="789"/>
      <c r="DD2" s="789"/>
      <c r="DE2" s="789"/>
      <c r="DF2" s="789"/>
      <c r="DG2" s="789"/>
      <c r="DH2" s="789"/>
      <c r="DI2" s="789"/>
      <c r="DJ2" s="789"/>
      <c r="DK2" s="789"/>
      <c r="DL2" s="789"/>
      <c r="DM2" s="789"/>
      <c r="DN2" s="789"/>
      <c r="DO2" s="789"/>
      <c r="DP2" s="789"/>
      <c r="DQ2" s="789"/>
      <c r="DR2" s="789"/>
      <c r="DS2" s="789"/>
      <c r="DT2" s="789"/>
      <c r="DU2" s="789"/>
      <c r="DV2" s="789"/>
      <c r="DW2" s="789"/>
      <c r="DX2" s="789"/>
      <c r="DY2" s="789"/>
      <c r="DZ2" s="789"/>
      <c r="EA2" s="789"/>
      <c r="EB2" s="789"/>
      <c r="EC2" s="789"/>
      <c r="ED2" s="789"/>
      <c r="EE2" s="789"/>
      <c r="EF2" s="789"/>
      <c r="EG2" s="789"/>
      <c r="EH2" s="789"/>
      <c r="EI2" s="789"/>
      <c r="EJ2" s="789"/>
      <c r="EK2" s="789"/>
      <c r="EL2" s="789"/>
      <c r="EM2" s="789"/>
      <c r="EN2" s="789"/>
      <c r="EO2" s="789"/>
      <c r="EP2" s="789"/>
      <c r="EQ2" s="789"/>
      <c r="ER2" s="789"/>
      <c r="ES2" s="789"/>
      <c r="ET2" s="789"/>
      <c r="EU2" s="789"/>
      <c r="EV2" s="789"/>
      <c r="EW2" s="789"/>
      <c r="EX2" s="789"/>
      <c r="EY2" s="789"/>
      <c r="EZ2" s="789"/>
      <c r="FA2" s="789"/>
      <c r="FB2" s="789"/>
      <c r="FC2" s="789"/>
      <c r="FD2" s="789"/>
      <c r="FE2" s="789"/>
      <c r="FF2" s="789"/>
      <c r="FG2" s="789"/>
      <c r="FH2" s="789"/>
      <c r="FI2" s="789"/>
      <c r="FJ2" s="789"/>
      <c r="FK2" s="789"/>
      <c r="FL2" s="789"/>
      <c r="FM2" s="789"/>
      <c r="FN2" s="789"/>
      <c r="FO2" s="789"/>
      <c r="FP2" s="789"/>
      <c r="FQ2" s="789"/>
      <c r="FR2" s="789"/>
      <c r="FS2" s="789"/>
      <c r="FT2" s="789"/>
      <c r="FU2" s="789"/>
      <c r="FV2" s="789"/>
      <c r="FW2" s="789"/>
      <c r="FX2" s="789"/>
      <c r="FY2" s="789"/>
      <c r="FZ2" s="789"/>
      <c r="GA2" s="789"/>
      <c r="GB2" s="789"/>
      <c r="GC2" s="789"/>
      <c r="GD2" s="789"/>
      <c r="GE2" s="789"/>
      <c r="GF2" s="789"/>
      <c r="GG2" s="789"/>
      <c r="GH2" s="789"/>
      <c r="GI2" s="789"/>
      <c r="GJ2" s="789"/>
      <c r="GK2" s="789"/>
      <c r="GL2" s="789"/>
      <c r="GM2" s="789"/>
      <c r="GN2" s="789"/>
      <c r="GO2" s="789"/>
      <c r="GP2" s="789"/>
      <c r="GQ2" s="789"/>
      <c r="GR2" s="789"/>
      <c r="GS2" s="789"/>
      <c r="GT2" s="789"/>
      <c r="GU2" s="789"/>
      <c r="GV2" s="789"/>
      <c r="GW2" s="789"/>
      <c r="GX2" s="789"/>
      <c r="GY2" s="789"/>
      <c r="GZ2" s="789"/>
      <c r="HA2" s="789"/>
      <c r="HB2" s="789"/>
      <c r="HC2" s="789"/>
      <c r="HD2" s="789"/>
      <c r="HE2" s="789"/>
      <c r="HF2" s="789"/>
      <c r="HG2" s="789"/>
      <c r="HH2" s="789"/>
      <c r="HI2" s="789"/>
      <c r="HJ2" s="789"/>
      <c r="HK2" s="789"/>
      <c r="HL2" s="789"/>
      <c r="HM2" s="789"/>
      <c r="HN2" s="789"/>
      <c r="HO2" s="789"/>
      <c r="HP2" s="789"/>
      <c r="HQ2" s="789"/>
      <c r="HR2" s="789"/>
      <c r="HS2" s="789"/>
      <c r="HT2" s="789"/>
      <c r="HU2" s="789"/>
      <c r="HV2" s="789"/>
      <c r="HW2" s="789"/>
      <c r="HX2" s="789"/>
      <c r="HY2" s="789"/>
      <c r="HZ2" s="789"/>
      <c r="IA2" s="789"/>
      <c r="IB2" s="789"/>
      <c r="IC2" s="789"/>
      <c r="ID2" s="789"/>
      <c r="IE2" s="789"/>
      <c r="IF2" s="789"/>
      <c r="IG2" s="789"/>
      <c r="IH2" s="789"/>
      <c r="II2" s="789"/>
      <c r="IJ2" s="789"/>
      <c r="IK2" s="789"/>
      <c r="IL2" s="789"/>
      <c r="IM2" s="789"/>
      <c r="IN2" s="789"/>
      <c r="IO2" s="789"/>
      <c r="IP2" s="789"/>
      <c r="IQ2" s="789"/>
      <c r="IR2" s="789"/>
      <c r="IS2" s="789"/>
      <c r="IT2" s="789"/>
      <c r="IU2" s="789"/>
      <c r="IV2" s="789"/>
      <c r="IW2" s="789"/>
      <c r="IX2" s="789"/>
      <c r="IY2" s="789"/>
      <c r="IZ2" s="789"/>
      <c r="JA2" s="789"/>
      <c r="JB2" s="789"/>
      <c r="JC2" s="789"/>
      <c r="JD2" s="789"/>
      <c r="JE2" s="789"/>
      <c r="JF2" s="789"/>
      <c r="JG2" s="789"/>
      <c r="JH2" s="789"/>
      <c r="JI2" s="789"/>
      <c r="JJ2" s="789"/>
      <c r="JK2" s="789"/>
      <c r="JL2" s="789"/>
      <c r="JM2" s="789"/>
      <c r="JN2" s="789"/>
      <c r="JO2" s="789"/>
      <c r="JP2" s="789"/>
      <c r="JQ2" s="789"/>
      <c r="JR2" s="789"/>
      <c r="JS2" s="789"/>
      <c r="JT2" s="789"/>
      <c r="JU2" s="945"/>
      <c r="JV2" s="946"/>
      <c r="JW2" s="947"/>
      <c r="JX2" s="692" t="s">
        <v>2</v>
      </c>
      <c r="JY2" s="693" t="s">
        <v>3</v>
      </c>
      <c r="JZ2" s="694" t="s">
        <v>457</v>
      </c>
      <c r="KA2" s="695" t="s">
        <v>457</v>
      </c>
      <c r="KB2" s="943"/>
      <c r="KC2" s="705"/>
      <c r="KD2" s="61" t="s">
        <v>549</v>
      </c>
      <c r="KE2" s="61"/>
      <c r="KF2" s="61"/>
      <c r="KG2" s="61"/>
      <c r="KH2" s="61"/>
      <c r="KI2" s="61"/>
      <c r="KJ2" s="61"/>
      <c r="KK2" s="61"/>
    </row>
    <row r="3" spans="1:299" s="60" customFormat="1" ht="15.75">
      <c r="A3" s="789" t="s">
        <v>4</v>
      </c>
      <c r="B3" s="789"/>
      <c r="C3" s="789"/>
      <c r="D3" s="789"/>
      <c r="E3" s="789"/>
      <c r="F3" s="789"/>
      <c r="G3" s="789"/>
      <c r="H3" s="789"/>
      <c r="I3" s="789"/>
      <c r="J3" s="789"/>
      <c r="K3" s="789"/>
      <c r="L3" s="789"/>
      <c r="M3" s="789"/>
      <c r="N3" s="789"/>
      <c r="O3" s="789"/>
      <c r="P3" s="789"/>
      <c r="Q3" s="789"/>
      <c r="R3" s="789"/>
      <c r="S3" s="789"/>
      <c r="T3" s="789"/>
      <c r="U3" s="789"/>
      <c r="V3" s="789"/>
      <c r="W3" s="789"/>
      <c r="X3" s="789"/>
      <c r="Y3" s="789"/>
      <c r="Z3" s="789"/>
      <c r="AA3" s="789"/>
      <c r="AB3" s="789"/>
      <c r="AC3" s="789"/>
      <c r="AD3" s="789"/>
      <c r="AE3" s="789"/>
      <c r="AF3" s="789"/>
      <c r="AG3" s="789"/>
      <c r="AH3" s="789"/>
      <c r="AI3" s="789"/>
      <c r="AJ3" s="789"/>
      <c r="AK3" s="789"/>
      <c r="AL3" s="789"/>
      <c r="AM3" s="789"/>
      <c r="AN3" s="789"/>
      <c r="AO3" s="789"/>
      <c r="AP3" s="789"/>
      <c r="AQ3" s="789"/>
      <c r="AR3" s="789"/>
      <c r="AS3" s="789"/>
      <c r="AT3" s="789"/>
      <c r="AU3" s="789"/>
      <c r="AV3" s="789"/>
      <c r="AW3" s="789"/>
      <c r="AX3" s="789"/>
      <c r="AY3" s="789"/>
      <c r="AZ3" s="789"/>
      <c r="BA3" s="789"/>
      <c r="BB3" s="789"/>
      <c r="BC3" s="789"/>
      <c r="BD3" s="789"/>
      <c r="BE3" s="789"/>
      <c r="BF3" s="789"/>
      <c r="BG3" s="789"/>
      <c r="BH3" s="789"/>
      <c r="BI3" s="789"/>
      <c r="BJ3" s="789"/>
      <c r="BK3" s="789"/>
      <c r="BL3" s="789"/>
      <c r="BM3" s="789"/>
      <c r="BN3" s="789"/>
      <c r="BO3" s="789"/>
      <c r="BP3" s="789"/>
      <c r="BQ3" s="789"/>
      <c r="BR3" s="789"/>
      <c r="BS3" s="789"/>
      <c r="BT3" s="789"/>
      <c r="BU3" s="789"/>
      <c r="BV3" s="789"/>
      <c r="BW3" s="789"/>
      <c r="BX3" s="789"/>
      <c r="BY3" s="789"/>
      <c r="BZ3" s="789"/>
      <c r="CA3" s="789"/>
      <c r="CB3" s="789"/>
      <c r="CC3" s="789"/>
      <c r="CD3" s="789"/>
      <c r="CE3" s="789"/>
      <c r="CF3" s="789"/>
      <c r="CG3" s="789"/>
      <c r="CH3" s="789"/>
      <c r="CI3" s="789"/>
      <c r="CJ3" s="789"/>
      <c r="CK3" s="789"/>
      <c r="CL3" s="789"/>
      <c r="CM3" s="789"/>
      <c r="CN3" s="789"/>
      <c r="CO3" s="789"/>
      <c r="CP3" s="789"/>
      <c r="CQ3" s="789"/>
      <c r="CR3" s="789"/>
      <c r="CS3" s="789"/>
      <c r="CT3" s="789"/>
      <c r="CU3" s="789"/>
      <c r="CV3" s="789"/>
      <c r="CW3" s="789"/>
      <c r="CX3" s="789"/>
      <c r="CY3" s="789"/>
      <c r="CZ3" s="789"/>
      <c r="DA3" s="789"/>
      <c r="DB3" s="789"/>
      <c r="DC3" s="789"/>
      <c r="DD3" s="789"/>
      <c r="DE3" s="789"/>
      <c r="DF3" s="789"/>
      <c r="DG3" s="789"/>
      <c r="DH3" s="789"/>
      <c r="DI3" s="789"/>
      <c r="DJ3" s="789"/>
      <c r="DK3" s="789"/>
      <c r="DL3" s="789"/>
      <c r="DM3" s="789"/>
      <c r="DN3" s="789"/>
      <c r="DO3" s="789"/>
      <c r="DP3" s="789"/>
      <c r="DQ3" s="789"/>
      <c r="DR3" s="789"/>
      <c r="DS3" s="789"/>
      <c r="DT3" s="789"/>
      <c r="DU3" s="789"/>
      <c r="DV3" s="789"/>
      <c r="DW3" s="789"/>
      <c r="DX3" s="789"/>
      <c r="DY3" s="789"/>
      <c r="DZ3" s="789"/>
      <c r="EA3" s="789"/>
      <c r="EB3" s="789"/>
      <c r="EC3" s="789"/>
      <c r="ED3" s="789"/>
      <c r="EE3" s="789"/>
      <c r="EF3" s="789"/>
      <c r="EG3" s="789"/>
      <c r="EH3" s="789"/>
      <c r="EI3" s="789"/>
      <c r="EJ3" s="789"/>
      <c r="EK3" s="789"/>
      <c r="EL3" s="789"/>
      <c r="EM3" s="789"/>
      <c r="EN3" s="789"/>
      <c r="EO3" s="789"/>
      <c r="EP3" s="789"/>
      <c r="EQ3" s="789"/>
      <c r="ER3" s="789"/>
      <c r="ES3" s="789"/>
      <c r="ET3" s="789"/>
      <c r="EU3" s="789"/>
      <c r="EV3" s="789"/>
      <c r="EW3" s="789"/>
      <c r="EX3" s="789"/>
      <c r="EY3" s="789"/>
      <c r="EZ3" s="789"/>
      <c r="FA3" s="789"/>
      <c r="FB3" s="789"/>
      <c r="FC3" s="789"/>
      <c r="FD3" s="789"/>
      <c r="FE3" s="789"/>
      <c r="FF3" s="789"/>
      <c r="FG3" s="789"/>
      <c r="FH3" s="789"/>
      <c r="FI3" s="789"/>
      <c r="FJ3" s="789"/>
      <c r="FK3" s="789"/>
      <c r="FL3" s="789"/>
      <c r="FM3" s="789"/>
      <c r="FN3" s="789"/>
      <c r="FO3" s="789"/>
      <c r="FP3" s="789"/>
      <c r="FQ3" s="789"/>
      <c r="FR3" s="789"/>
      <c r="FS3" s="789"/>
      <c r="FT3" s="789"/>
      <c r="FU3" s="789"/>
      <c r="FV3" s="789"/>
      <c r="FW3" s="789"/>
      <c r="FX3" s="789"/>
      <c r="FY3" s="789"/>
      <c r="FZ3" s="789"/>
      <c r="GA3" s="789"/>
      <c r="GB3" s="789"/>
      <c r="GC3" s="789"/>
      <c r="GD3" s="789"/>
      <c r="GE3" s="789"/>
      <c r="GF3" s="789"/>
      <c r="GG3" s="789"/>
      <c r="GH3" s="789"/>
      <c r="GI3" s="789"/>
      <c r="GJ3" s="789"/>
      <c r="GK3" s="789"/>
      <c r="GL3" s="789"/>
      <c r="GM3" s="789"/>
      <c r="GN3" s="789"/>
      <c r="GO3" s="789"/>
      <c r="GP3" s="789"/>
      <c r="GQ3" s="789"/>
      <c r="GR3" s="789"/>
      <c r="GS3" s="789"/>
      <c r="GT3" s="789"/>
      <c r="GU3" s="789"/>
      <c r="GV3" s="789"/>
      <c r="GW3" s="789"/>
      <c r="GX3" s="789"/>
      <c r="GY3" s="789"/>
      <c r="GZ3" s="789"/>
      <c r="HA3" s="789"/>
      <c r="HB3" s="789"/>
      <c r="HC3" s="789"/>
      <c r="HD3" s="789"/>
      <c r="HE3" s="789"/>
      <c r="HF3" s="789"/>
      <c r="HG3" s="789"/>
      <c r="HH3" s="789"/>
      <c r="HI3" s="789"/>
      <c r="HJ3" s="789"/>
      <c r="HK3" s="789"/>
      <c r="HL3" s="789"/>
      <c r="HM3" s="789"/>
      <c r="HN3" s="789"/>
      <c r="HO3" s="789"/>
      <c r="HP3" s="789"/>
      <c r="HQ3" s="789"/>
      <c r="HR3" s="789"/>
      <c r="HS3" s="789"/>
      <c r="HT3" s="789"/>
      <c r="HU3" s="789"/>
      <c r="HV3" s="789"/>
      <c r="HW3" s="789"/>
      <c r="HX3" s="789"/>
      <c r="HY3" s="789"/>
      <c r="HZ3" s="789"/>
      <c r="IA3" s="789"/>
      <c r="IB3" s="789"/>
      <c r="IC3" s="789"/>
      <c r="ID3" s="789"/>
      <c r="IE3" s="789"/>
      <c r="IF3" s="789"/>
      <c r="IG3" s="789"/>
      <c r="IH3" s="789"/>
      <c r="II3" s="789"/>
      <c r="IJ3" s="789"/>
      <c r="IK3" s="789"/>
      <c r="IL3" s="789"/>
      <c r="IM3" s="789"/>
      <c r="IN3" s="789"/>
      <c r="IO3" s="789"/>
      <c r="IP3" s="789"/>
      <c r="IQ3" s="789"/>
      <c r="IR3" s="789"/>
      <c r="IS3" s="789"/>
      <c r="IT3" s="789"/>
      <c r="IU3" s="789"/>
      <c r="IV3" s="789"/>
      <c r="IW3" s="789"/>
      <c r="IX3" s="789"/>
      <c r="IY3" s="789"/>
      <c r="IZ3" s="789"/>
      <c r="JA3" s="789"/>
      <c r="JB3" s="789"/>
      <c r="JC3" s="789"/>
      <c r="JD3" s="789"/>
      <c r="JE3" s="789"/>
      <c r="JF3" s="789"/>
      <c r="JG3" s="789"/>
      <c r="JH3" s="789"/>
      <c r="JI3" s="789"/>
      <c r="JJ3" s="789"/>
      <c r="JK3" s="789"/>
      <c r="JL3" s="789"/>
      <c r="JM3" s="789"/>
      <c r="JN3" s="789"/>
      <c r="JO3" s="789"/>
      <c r="JP3" s="789"/>
      <c r="JQ3" s="789"/>
      <c r="JR3" s="789"/>
      <c r="JS3" s="789"/>
      <c r="JT3" s="789"/>
      <c r="JU3" s="945"/>
      <c r="JV3" s="946"/>
      <c r="JW3" s="947"/>
      <c r="JX3" s="583">
        <f>SUM(JX364,JX609)</f>
        <v>4053979.7</v>
      </c>
      <c r="JY3" s="584">
        <f>INGRESOS!S13</f>
        <v>4053979.6999999997</v>
      </c>
      <c r="JZ3" s="584">
        <f>JY3-JX3</f>
        <v>0</v>
      </c>
      <c r="KA3" s="696"/>
      <c r="KB3" s="944"/>
      <c r="KC3" s="706"/>
      <c r="KD3" s="61" t="s">
        <v>4</v>
      </c>
      <c r="KE3" s="61"/>
      <c r="KF3" s="61"/>
      <c r="KG3" s="61"/>
      <c r="KH3" s="61"/>
      <c r="KI3" s="61"/>
      <c r="KJ3" s="61"/>
      <c r="KK3" s="61"/>
    </row>
    <row r="4" spans="1:299" s="60" customFormat="1" ht="16.5" thickBot="1">
      <c r="A4" s="789" t="s">
        <v>5</v>
      </c>
      <c r="B4" s="789"/>
      <c r="C4" s="789"/>
      <c r="D4" s="789"/>
      <c r="E4" s="789"/>
      <c r="F4" s="789"/>
      <c r="G4" s="789"/>
      <c r="H4" s="789"/>
      <c r="I4" s="789"/>
      <c r="J4" s="789"/>
      <c r="K4" s="789"/>
      <c r="L4" s="789"/>
      <c r="M4" s="789"/>
      <c r="N4" s="789"/>
      <c r="O4" s="789"/>
      <c r="P4" s="789"/>
      <c r="Q4" s="789"/>
      <c r="R4" s="789"/>
      <c r="S4" s="789"/>
      <c r="T4" s="789"/>
      <c r="U4" s="789"/>
      <c r="V4" s="789"/>
      <c r="W4" s="789"/>
      <c r="X4" s="789"/>
      <c r="Y4" s="789"/>
      <c r="Z4" s="789"/>
      <c r="AA4" s="789"/>
      <c r="AB4" s="789"/>
      <c r="AC4" s="789"/>
      <c r="AD4" s="789"/>
      <c r="AE4" s="789"/>
      <c r="AF4" s="789"/>
      <c r="AG4" s="789"/>
      <c r="AH4" s="789"/>
      <c r="AI4" s="789"/>
      <c r="AJ4" s="789"/>
      <c r="AK4" s="789"/>
      <c r="AL4" s="789"/>
      <c r="AM4" s="789"/>
      <c r="AN4" s="789"/>
      <c r="AO4" s="789"/>
      <c r="AP4" s="789"/>
      <c r="AQ4" s="789"/>
      <c r="AR4" s="789"/>
      <c r="AS4" s="789"/>
      <c r="AT4" s="789"/>
      <c r="AU4" s="789"/>
      <c r="AV4" s="789"/>
      <c r="AW4" s="789"/>
      <c r="AX4" s="789"/>
      <c r="AY4" s="789"/>
      <c r="AZ4" s="789"/>
      <c r="BA4" s="789"/>
      <c r="BB4" s="789"/>
      <c r="BC4" s="789"/>
      <c r="BD4" s="789"/>
      <c r="BE4" s="789"/>
      <c r="BF4" s="789"/>
      <c r="BG4" s="789"/>
      <c r="BH4" s="789"/>
      <c r="BI4" s="789"/>
      <c r="BJ4" s="789"/>
      <c r="BK4" s="789"/>
      <c r="BL4" s="789"/>
      <c r="BM4" s="789"/>
      <c r="BN4" s="789"/>
      <c r="BO4" s="789"/>
      <c r="BP4" s="789"/>
      <c r="BQ4" s="789"/>
      <c r="BR4" s="789"/>
      <c r="BS4" s="789"/>
      <c r="BT4" s="789"/>
      <c r="BU4" s="789"/>
      <c r="BV4" s="789"/>
      <c r="BW4" s="789"/>
      <c r="BX4" s="789"/>
      <c r="BY4" s="789"/>
      <c r="BZ4" s="789"/>
      <c r="CA4" s="789"/>
      <c r="CB4" s="789"/>
      <c r="CC4" s="789"/>
      <c r="CD4" s="789"/>
      <c r="CE4" s="789"/>
      <c r="CF4" s="789"/>
      <c r="CG4" s="789"/>
      <c r="CH4" s="789"/>
      <c r="CI4" s="789"/>
      <c r="CJ4" s="789"/>
      <c r="CK4" s="789"/>
      <c r="CL4" s="789"/>
      <c r="CM4" s="789"/>
      <c r="CN4" s="789"/>
      <c r="CO4" s="789"/>
      <c r="CP4" s="789"/>
      <c r="CQ4" s="789"/>
      <c r="CR4" s="789"/>
      <c r="CS4" s="789"/>
      <c r="CT4" s="789"/>
      <c r="CU4" s="789"/>
      <c r="CV4" s="789"/>
      <c r="CW4" s="789"/>
      <c r="CX4" s="789"/>
      <c r="CY4" s="789"/>
      <c r="CZ4" s="789"/>
      <c r="DA4" s="789"/>
      <c r="DB4" s="789"/>
      <c r="DC4" s="789"/>
      <c r="DD4" s="789"/>
      <c r="DE4" s="789"/>
      <c r="DF4" s="789"/>
      <c r="DG4" s="789"/>
      <c r="DH4" s="789"/>
      <c r="DI4" s="789"/>
      <c r="DJ4" s="789"/>
      <c r="DK4" s="789"/>
      <c r="DL4" s="789"/>
      <c r="DM4" s="789"/>
      <c r="DN4" s="789"/>
      <c r="DO4" s="789"/>
      <c r="DP4" s="789"/>
      <c r="DQ4" s="789"/>
      <c r="DR4" s="789"/>
      <c r="DS4" s="789"/>
      <c r="DT4" s="789"/>
      <c r="DU4" s="789"/>
      <c r="DV4" s="789"/>
      <c r="DW4" s="789"/>
      <c r="DX4" s="789"/>
      <c r="DY4" s="789"/>
      <c r="DZ4" s="789"/>
      <c r="EA4" s="789"/>
      <c r="EB4" s="789"/>
      <c r="EC4" s="789"/>
      <c r="ED4" s="789"/>
      <c r="EE4" s="789"/>
      <c r="EF4" s="789"/>
      <c r="EG4" s="789"/>
      <c r="EH4" s="789"/>
      <c r="EI4" s="789"/>
      <c r="EJ4" s="789"/>
      <c r="EK4" s="789"/>
      <c r="EL4" s="789"/>
      <c r="EM4" s="789"/>
      <c r="EN4" s="789"/>
      <c r="EO4" s="789"/>
      <c r="EP4" s="789"/>
      <c r="EQ4" s="789"/>
      <c r="ER4" s="789"/>
      <c r="ES4" s="789"/>
      <c r="ET4" s="789"/>
      <c r="EU4" s="789"/>
      <c r="EV4" s="789"/>
      <c r="EW4" s="789"/>
      <c r="EX4" s="789"/>
      <c r="EY4" s="789"/>
      <c r="EZ4" s="789"/>
      <c r="FA4" s="789"/>
      <c r="FB4" s="789"/>
      <c r="FC4" s="789"/>
      <c r="FD4" s="789"/>
      <c r="FE4" s="789"/>
      <c r="FF4" s="789"/>
      <c r="FG4" s="789"/>
      <c r="FH4" s="789"/>
      <c r="FI4" s="789"/>
      <c r="FJ4" s="789"/>
      <c r="FK4" s="789"/>
      <c r="FL4" s="789"/>
      <c r="FM4" s="789"/>
      <c r="FN4" s="789"/>
      <c r="FO4" s="789"/>
      <c r="FP4" s="789"/>
      <c r="FQ4" s="789"/>
      <c r="FR4" s="789"/>
      <c r="FS4" s="789"/>
      <c r="FT4" s="789"/>
      <c r="FU4" s="789"/>
      <c r="FV4" s="789"/>
      <c r="FW4" s="789"/>
      <c r="FX4" s="789"/>
      <c r="FY4" s="789"/>
      <c r="FZ4" s="789"/>
      <c r="GA4" s="789"/>
      <c r="GB4" s="789"/>
      <c r="GC4" s="789"/>
      <c r="GD4" s="789"/>
      <c r="GE4" s="789"/>
      <c r="GF4" s="789"/>
      <c r="GG4" s="789"/>
      <c r="GH4" s="789"/>
      <c r="GI4" s="789"/>
      <c r="GJ4" s="789"/>
      <c r="GK4" s="789"/>
      <c r="GL4" s="789"/>
      <c r="GM4" s="789"/>
      <c r="GN4" s="789"/>
      <c r="GO4" s="789"/>
      <c r="GP4" s="789"/>
      <c r="GQ4" s="789"/>
      <c r="GR4" s="789"/>
      <c r="GS4" s="789"/>
      <c r="GT4" s="789"/>
      <c r="GU4" s="789"/>
      <c r="GV4" s="789"/>
      <c r="GW4" s="789"/>
      <c r="GX4" s="789"/>
      <c r="GY4" s="789"/>
      <c r="GZ4" s="789"/>
      <c r="HA4" s="789"/>
      <c r="HB4" s="789"/>
      <c r="HC4" s="789"/>
      <c r="HD4" s="789"/>
      <c r="HE4" s="789"/>
      <c r="HF4" s="789"/>
      <c r="HG4" s="789"/>
      <c r="HH4" s="789"/>
      <c r="HI4" s="789"/>
      <c r="HJ4" s="789"/>
      <c r="HK4" s="789"/>
      <c r="HL4" s="789"/>
      <c r="HM4" s="789"/>
      <c r="HN4" s="789"/>
      <c r="HO4" s="789"/>
      <c r="HP4" s="789"/>
      <c r="HQ4" s="789"/>
      <c r="HR4" s="789"/>
      <c r="HS4" s="789"/>
      <c r="HT4" s="789"/>
      <c r="HU4" s="937"/>
      <c r="HV4" s="789"/>
      <c r="HW4" s="789"/>
      <c r="HX4" s="789"/>
      <c r="HY4" s="789"/>
      <c r="HZ4" s="789"/>
      <c r="IA4" s="789"/>
      <c r="IB4" s="789"/>
      <c r="IC4" s="789"/>
      <c r="ID4" s="789"/>
      <c r="IE4" s="789"/>
      <c r="IF4" s="789"/>
      <c r="IG4" s="789"/>
      <c r="IH4" s="789"/>
      <c r="II4" s="789"/>
      <c r="IJ4" s="789"/>
      <c r="IK4" s="789"/>
      <c r="IL4" s="789"/>
      <c r="IM4" s="789"/>
      <c r="IN4" s="789"/>
      <c r="IO4" s="789"/>
      <c r="IP4" s="789"/>
      <c r="IQ4" s="789"/>
      <c r="IR4" s="789"/>
      <c r="IS4" s="789"/>
      <c r="IT4" s="789"/>
      <c r="IU4" s="789"/>
      <c r="IV4" s="789"/>
      <c r="IW4" s="789"/>
      <c r="IX4" s="789"/>
      <c r="IY4" s="789"/>
      <c r="IZ4" s="789"/>
      <c r="JA4" s="789"/>
      <c r="JB4" s="789"/>
      <c r="JC4" s="789"/>
      <c r="JD4" s="789"/>
      <c r="JE4" s="789"/>
      <c r="JF4" s="789"/>
      <c r="JG4" s="789"/>
      <c r="JH4" s="789"/>
      <c r="JI4" s="789"/>
      <c r="JJ4" s="789"/>
      <c r="JK4" s="789"/>
      <c r="JL4" s="789"/>
      <c r="JM4" s="789"/>
      <c r="JN4" s="789"/>
      <c r="JO4" s="789"/>
      <c r="JP4" s="789"/>
      <c r="JQ4" s="789"/>
      <c r="JR4" s="789"/>
      <c r="JS4" s="789"/>
      <c r="JT4" s="789"/>
      <c r="JU4" s="948"/>
      <c r="JV4" s="949"/>
      <c r="JW4" s="517"/>
      <c r="JX4" s="585">
        <f>SUM(JX242,JX577,JX630)</f>
        <v>0</v>
      </c>
      <c r="JY4" s="586">
        <v>0</v>
      </c>
      <c r="JZ4" s="584">
        <f>JY4-JX4</f>
        <v>0</v>
      </c>
      <c r="KA4" s="696"/>
      <c r="KB4" s="944"/>
      <c r="KC4" s="707"/>
      <c r="KD4" s="61" t="s">
        <v>550</v>
      </c>
      <c r="KE4" s="61"/>
      <c r="KF4" s="61"/>
      <c r="KG4" s="61"/>
      <c r="KH4" s="61"/>
      <c r="KI4" s="61"/>
      <c r="KJ4" s="61"/>
      <c r="KK4" s="61"/>
    </row>
    <row r="5" spans="1:299" ht="15.75" customHeight="1" thickBot="1">
      <c r="A5" s="790" t="s">
        <v>1412</v>
      </c>
      <c r="B5" s="791"/>
      <c r="C5" s="791"/>
      <c r="D5" s="791"/>
      <c r="E5" s="791"/>
      <c r="F5" s="791"/>
      <c r="G5" s="791"/>
      <c r="H5" s="791"/>
      <c r="I5" s="791"/>
      <c r="J5" s="791"/>
      <c r="K5" s="791"/>
      <c r="L5" s="791"/>
      <c r="M5" s="791"/>
      <c r="N5" s="791"/>
      <c r="O5" s="791"/>
      <c r="P5" s="791"/>
      <c r="Q5" s="791"/>
      <c r="R5" s="791"/>
      <c r="S5" s="791"/>
      <c r="T5" s="791"/>
      <c r="U5" s="791"/>
      <c r="V5" s="791"/>
      <c r="W5" s="791"/>
      <c r="X5" s="791"/>
      <c r="Y5" s="791"/>
      <c r="Z5" s="791"/>
      <c r="AA5" s="791"/>
      <c r="AB5" s="791"/>
      <c r="AC5" s="791"/>
      <c r="AD5" s="791"/>
      <c r="AE5" s="791"/>
      <c r="AF5" s="791"/>
      <c r="AG5" s="791"/>
      <c r="AH5" s="791"/>
      <c r="AI5" s="791"/>
      <c r="AJ5" s="791"/>
      <c r="AK5" s="791"/>
      <c r="AL5" s="791"/>
      <c r="AM5" s="791"/>
      <c r="AN5" s="791"/>
      <c r="AO5" s="791"/>
      <c r="AP5" s="791"/>
      <c r="AQ5" s="791"/>
      <c r="AR5" s="791"/>
      <c r="AS5" s="791"/>
      <c r="AT5" s="791"/>
      <c r="AU5" s="791"/>
      <c r="AV5" s="791"/>
      <c r="AW5" s="791"/>
      <c r="AX5" s="791"/>
      <c r="AY5" s="791"/>
      <c r="AZ5" s="791"/>
      <c r="BA5" s="791"/>
      <c r="BB5" s="791"/>
      <c r="BC5" s="791"/>
      <c r="BD5" s="791"/>
      <c r="BE5" s="791"/>
      <c r="BF5" s="791"/>
      <c r="BG5" s="791"/>
      <c r="BH5" s="791"/>
      <c r="BI5" s="791"/>
      <c r="BJ5" s="791"/>
      <c r="BK5" s="791"/>
      <c r="BL5" s="791"/>
      <c r="BM5" s="791"/>
      <c r="BN5" s="791"/>
      <c r="BO5" s="791"/>
      <c r="BP5" s="791"/>
      <c r="BQ5" s="791"/>
      <c r="BR5" s="791"/>
      <c r="BS5" s="791"/>
      <c r="BT5" s="791"/>
      <c r="BU5" s="791"/>
      <c r="BV5" s="791"/>
      <c r="BW5" s="791"/>
      <c r="BX5" s="791"/>
      <c r="BY5" s="791"/>
      <c r="BZ5" s="791"/>
      <c r="CA5" s="791"/>
      <c r="CB5" s="791"/>
      <c r="CC5" s="791"/>
      <c r="CD5" s="791"/>
      <c r="CE5" s="791"/>
      <c r="CF5" s="791"/>
      <c r="CG5" s="791"/>
      <c r="CH5" s="791"/>
      <c r="CI5" s="791"/>
      <c r="CJ5" s="791"/>
      <c r="CK5" s="791"/>
      <c r="CL5" s="791"/>
      <c r="CM5" s="791"/>
      <c r="CN5" s="791"/>
      <c r="CO5" s="791"/>
      <c r="CP5" s="791"/>
      <c r="CQ5" s="791"/>
      <c r="CR5" s="791"/>
      <c r="CS5" s="791"/>
      <c r="CT5" s="791"/>
      <c r="CU5" s="791"/>
      <c r="CV5" s="791"/>
      <c r="CW5" s="791"/>
      <c r="CX5" s="791"/>
      <c r="CY5" s="791"/>
      <c r="CZ5" s="791"/>
      <c r="DA5" s="791"/>
      <c r="DB5" s="791"/>
      <c r="DC5" s="791"/>
      <c r="DD5" s="791"/>
      <c r="DE5" s="791"/>
      <c r="DF5" s="791"/>
      <c r="DG5" s="791"/>
      <c r="DH5" s="791"/>
      <c r="DI5" s="791"/>
      <c r="DJ5" s="791"/>
      <c r="DK5" s="791"/>
      <c r="DL5" s="791"/>
      <c r="DM5" s="791"/>
      <c r="DN5" s="791"/>
      <c r="DO5" s="791"/>
      <c r="DP5" s="791"/>
      <c r="DQ5" s="791"/>
      <c r="DR5" s="791"/>
      <c r="DS5" s="791"/>
      <c r="DT5" s="791"/>
      <c r="DU5" s="791"/>
      <c r="DV5" s="791"/>
      <c r="DW5" s="791"/>
      <c r="DX5" s="791"/>
      <c r="DY5" s="791"/>
      <c r="DZ5" s="791"/>
      <c r="EA5" s="791"/>
      <c r="EB5" s="791"/>
      <c r="EC5" s="791"/>
      <c r="ED5" s="791"/>
      <c r="EE5" s="791"/>
      <c r="EF5" s="791"/>
      <c r="EG5" s="791"/>
      <c r="EH5" s="791"/>
      <c r="EI5" s="791"/>
      <c r="EJ5" s="791"/>
      <c r="EK5" s="791"/>
      <c r="EL5" s="791"/>
      <c r="EM5" s="791"/>
      <c r="EN5" s="791"/>
      <c r="EO5" s="791"/>
      <c r="EP5" s="791"/>
      <c r="EQ5" s="791"/>
      <c r="ER5" s="791"/>
      <c r="ES5" s="791"/>
      <c r="ET5" s="791"/>
      <c r="EU5" s="791"/>
      <c r="EV5" s="791"/>
      <c r="EW5" s="791"/>
      <c r="EX5" s="791"/>
      <c r="EY5" s="791"/>
      <c r="EZ5" s="791"/>
      <c r="FA5" s="791"/>
      <c r="FB5" s="791"/>
      <c r="FC5" s="791"/>
      <c r="FD5" s="791"/>
      <c r="FE5" s="791"/>
      <c r="FF5" s="791"/>
      <c r="FG5" s="791"/>
      <c r="FH5" s="791"/>
      <c r="FI5" s="791"/>
      <c r="FJ5" s="791"/>
      <c r="FK5" s="791"/>
      <c r="FL5" s="791"/>
      <c r="FM5" s="791"/>
      <c r="FN5" s="791"/>
      <c r="FO5" s="791"/>
      <c r="FP5" s="791"/>
      <c r="FQ5" s="791"/>
      <c r="FR5" s="791"/>
      <c r="FS5" s="791"/>
      <c r="FT5" s="791"/>
      <c r="FU5" s="791"/>
      <c r="FV5" s="791"/>
      <c r="FW5" s="791"/>
      <c r="FX5" s="791"/>
      <c r="FY5" s="791"/>
      <c r="FZ5" s="791"/>
      <c r="GA5" s="791"/>
      <c r="GB5" s="791"/>
      <c r="GC5" s="791"/>
      <c r="GD5" s="791"/>
      <c r="GE5" s="791"/>
      <c r="GF5" s="791"/>
      <c r="GG5" s="791"/>
      <c r="GH5" s="791"/>
      <c r="GI5" s="791"/>
      <c r="GJ5" s="791"/>
      <c r="GK5" s="791"/>
      <c r="GL5" s="791"/>
      <c r="GM5" s="791"/>
      <c r="GN5" s="791"/>
      <c r="GO5" s="791"/>
      <c r="GP5" s="791"/>
      <c r="GQ5" s="791"/>
      <c r="GR5" s="791"/>
      <c r="GS5" s="791"/>
      <c r="GT5" s="791"/>
      <c r="GU5" s="791"/>
      <c r="GV5" s="791"/>
      <c r="GW5" s="791"/>
      <c r="GX5" s="791"/>
      <c r="GY5" s="791"/>
      <c r="GZ5" s="791"/>
      <c r="HA5" s="791"/>
      <c r="HB5" s="791"/>
      <c r="HC5" s="791"/>
      <c r="HD5" s="791"/>
      <c r="HE5" s="791"/>
      <c r="HF5" s="791"/>
      <c r="HG5" s="791"/>
      <c r="HH5" s="791"/>
      <c r="HI5" s="791"/>
      <c r="HJ5" s="791"/>
      <c r="HK5" s="791"/>
      <c r="HL5" s="791"/>
      <c r="HM5" s="791"/>
      <c r="HN5" s="791"/>
      <c r="HO5" s="791"/>
      <c r="HP5" s="791"/>
      <c r="HQ5" s="791"/>
      <c r="HR5" s="791"/>
      <c r="HS5" s="791"/>
      <c r="HT5" s="791"/>
      <c r="HU5" s="791"/>
      <c r="HV5" s="791"/>
      <c r="HW5" s="791"/>
      <c r="HX5" s="791"/>
      <c r="HY5" s="791"/>
      <c r="HZ5" s="791"/>
      <c r="IA5" s="791"/>
      <c r="IB5" s="791"/>
      <c r="IC5" s="791"/>
      <c r="ID5" s="791"/>
      <c r="IE5" s="791"/>
      <c r="IF5" s="791"/>
      <c r="IG5" s="791"/>
      <c r="IH5" s="791"/>
      <c r="II5" s="791"/>
      <c r="IJ5" s="791"/>
      <c r="IK5" s="791"/>
      <c r="IL5" s="791"/>
      <c r="IM5" s="791"/>
      <c r="IN5" s="791"/>
      <c r="IO5" s="791"/>
      <c r="IP5" s="791"/>
      <c r="IQ5" s="791"/>
      <c r="IR5" s="791"/>
      <c r="IS5" s="791"/>
      <c r="IT5" s="791"/>
      <c r="IU5" s="791"/>
      <c r="IV5" s="791"/>
      <c r="IW5" s="791"/>
      <c r="IX5" s="791"/>
      <c r="IY5" s="791"/>
      <c r="IZ5" s="791"/>
      <c r="JA5" s="791"/>
      <c r="JB5" s="791"/>
      <c r="JC5" s="791"/>
      <c r="JD5" s="791"/>
      <c r="JE5" s="791"/>
      <c r="JF5" s="791"/>
      <c r="JG5" s="791"/>
      <c r="JH5" s="791"/>
      <c r="JI5" s="791"/>
      <c r="JJ5" s="791"/>
      <c r="JK5" s="791"/>
      <c r="JL5" s="791"/>
      <c r="JM5" s="791"/>
      <c r="JN5" s="791"/>
      <c r="JO5" s="791"/>
      <c r="JP5" s="791"/>
      <c r="JQ5" s="791"/>
      <c r="JR5" s="791"/>
      <c r="JS5" s="791"/>
      <c r="JT5" s="791"/>
      <c r="JU5" s="533"/>
      <c r="JV5" s="518"/>
      <c r="JW5" s="519"/>
      <c r="JX5" s="711">
        <f>SUM(JX3:JX4)</f>
        <v>4053979.7</v>
      </c>
      <c r="JY5" s="712">
        <f>SUM(JY3:JY4)</f>
        <v>4053979.6999999997</v>
      </c>
      <c r="JZ5" s="713">
        <f>SUM(JZ3:JZ4)</f>
        <v>0</v>
      </c>
      <c r="KA5" s="691"/>
      <c r="KB5" s="944"/>
      <c r="KD5" s="61"/>
      <c r="KE5" s="61"/>
      <c r="KF5" s="61"/>
      <c r="KG5" s="61"/>
      <c r="KH5" s="61"/>
      <c r="KI5" s="61"/>
      <c r="KJ5" s="61"/>
      <c r="KK5" s="61"/>
    </row>
    <row r="6" spans="1:299" s="60" customFormat="1" ht="16.5" customHeight="1" thickTop="1" thickBot="1">
      <c r="A6" s="58"/>
      <c r="B6" s="58"/>
      <c r="C6" s="793"/>
      <c r="D6" s="560"/>
      <c r="E6" s="672"/>
      <c r="F6" s="560"/>
      <c r="G6" s="672"/>
      <c r="H6" s="560"/>
      <c r="I6" s="672"/>
      <c r="J6" s="560"/>
      <c r="K6" s="672"/>
      <c r="L6" s="560"/>
      <c r="M6" s="672"/>
      <c r="N6" s="560"/>
      <c r="O6" s="672"/>
      <c r="P6" s="560"/>
      <c r="Q6" s="672"/>
      <c r="R6" s="560"/>
      <c r="S6" s="672"/>
      <c r="T6" s="560"/>
      <c r="U6" s="672"/>
      <c r="V6" s="560"/>
      <c r="W6" s="672"/>
      <c r="X6" s="560"/>
      <c r="Y6" s="672"/>
      <c r="Z6" s="560"/>
      <c r="AA6" s="672"/>
      <c r="AB6" s="560"/>
      <c r="AC6" s="672"/>
      <c r="AD6" s="560"/>
      <c r="AE6" s="672"/>
      <c r="AF6" s="560"/>
      <c r="AG6" s="672"/>
      <c r="AH6" s="560"/>
      <c r="AI6" s="672"/>
      <c r="AJ6" s="560"/>
      <c r="AK6" s="672"/>
      <c r="AL6" s="560"/>
      <c r="AM6" s="672"/>
      <c r="AN6" s="560"/>
      <c r="AO6" s="672"/>
      <c r="AP6" s="560"/>
      <c r="AQ6" s="672"/>
      <c r="AR6" s="560"/>
      <c r="AS6" s="672"/>
      <c r="AT6" s="560"/>
      <c r="AU6" s="672"/>
      <c r="AV6" s="560"/>
      <c r="AW6" s="672"/>
      <c r="AX6" s="560"/>
      <c r="AY6" s="672"/>
      <c r="AZ6" s="560"/>
      <c r="BA6" s="672"/>
      <c r="BB6" s="560"/>
      <c r="BC6" s="672"/>
      <c r="BD6" s="560"/>
      <c r="BE6" s="672"/>
      <c r="BF6" s="560"/>
      <c r="BG6" s="672"/>
      <c r="BH6" s="560"/>
      <c r="BI6" s="672"/>
      <c r="BJ6" s="560"/>
      <c r="BK6" s="672"/>
      <c r="BL6" s="560"/>
      <c r="BM6" s="672"/>
      <c r="BN6" s="560"/>
      <c r="BO6" s="672"/>
      <c r="BP6" s="560"/>
      <c r="BQ6" s="672"/>
      <c r="BR6" s="560"/>
      <c r="BS6" s="672"/>
      <c r="BT6" s="560"/>
      <c r="BU6" s="672"/>
      <c r="BV6" s="560"/>
      <c r="BW6" s="672"/>
      <c r="BX6" s="560"/>
      <c r="BY6" s="672"/>
      <c r="BZ6" s="560"/>
      <c r="CA6" s="672"/>
      <c r="CB6" s="560"/>
      <c r="CC6" s="672"/>
      <c r="CD6" s="560"/>
      <c r="CE6" s="672"/>
      <c r="CF6" s="560"/>
      <c r="CG6" s="672"/>
      <c r="CH6" s="560"/>
      <c r="CI6" s="672"/>
      <c r="CJ6" s="560"/>
      <c r="CK6" s="672"/>
      <c r="CL6" s="560"/>
      <c r="CM6" s="672"/>
      <c r="CN6" s="560"/>
      <c r="CO6" s="672"/>
      <c r="CP6" s="560"/>
      <c r="CQ6" s="672"/>
      <c r="CR6" s="560"/>
      <c r="CS6" s="672"/>
      <c r="CT6" s="560"/>
      <c r="CU6" s="672"/>
      <c r="CV6" s="560"/>
      <c r="CW6" s="672"/>
      <c r="CX6" s="560"/>
      <c r="CY6" s="672"/>
      <c r="CZ6" s="560"/>
      <c r="DA6" s="672"/>
      <c r="DB6" s="560"/>
      <c r="DC6" s="672"/>
      <c r="DD6" s="560"/>
      <c r="DE6" s="672"/>
      <c r="DF6" s="560"/>
      <c r="DG6" s="672"/>
      <c r="DH6" s="560"/>
      <c r="DI6" s="672"/>
      <c r="DJ6" s="560"/>
      <c r="DK6" s="672"/>
      <c r="DL6" s="560"/>
      <c r="DM6" s="672"/>
      <c r="DN6" s="560"/>
      <c r="DO6" s="672"/>
      <c r="DP6" s="560"/>
      <c r="DQ6" s="672"/>
      <c r="DR6" s="560"/>
      <c r="DS6" s="672"/>
      <c r="DT6" s="560"/>
      <c r="DU6" s="672"/>
      <c r="DV6" s="560"/>
      <c r="DW6" s="672"/>
      <c r="DX6" s="560"/>
      <c r="DY6" s="672"/>
      <c r="DZ6" s="560"/>
      <c r="EA6" s="672"/>
      <c r="EB6" s="560"/>
      <c r="EC6" s="672"/>
      <c r="ED6" s="560"/>
      <c r="EE6" s="672"/>
      <c r="EF6" s="560"/>
      <c r="EG6" s="672"/>
      <c r="EH6" s="560"/>
      <c r="EI6" s="672"/>
      <c r="EJ6" s="560"/>
      <c r="EK6" s="672"/>
      <c r="EL6" s="560"/>
      <c r="EM6" s="672"/>
      <c r="EN6" s="560"/>
      <c r="EO6" s="672"/>
      <c r="EP6" s="560"/>
      <c r="EQ6" s="672"/>
      <c r="ER6" s="560"/>
      <c r="ES6" s="672"/>
      <c r="ET6" s="560"/>
      <c r="EU6" s="672"/>
      <c r="EV6" s="560"/>
      <c r="EW6" s="672"/>
      <c r="EX6" s="560"/>
      <c r="EY6" s="672"/>
      <c r="EZ6" s="560"/>
      <c r="FA6" s="672"/>
      <c r="FB6" s="560"/>
      <c r="FC6" s="672"/>
      <c r="FD6" s="560"/>
      <c r="FE6" s="672"/>
      <c r="FF6" s="560"/>
      <c r="FG6" s="672"/>
      <c r="FH6" s="560"/>
      <c r="FI6" s="672"/>
      <c r="FJ6" s="560"/>
      <c r="FK6" s="672"/>
      <c r="FL6" s="560"/>
      <c r="FM6" s="672"/>
      <c r="FN6" s="560"/>
      <c r="FO6" s="672"/>
      <c r="FP6" s="560"/>
      <c r="FQ6" s="672"/>
      <c r="FR6" s="560"/>
      <c r="FS6" s="672"/>
      <c r="FT6" s="560"/>
      <c r="FU6" s="672"/>
      <c r="FV6" s="560"/>
      <c r="FW6" s="672"/>
      <c r="FX6" s="560"/>
      <c r="FY6" s="672"/>
      <c r="FZ6" s="560"/>
      <c r="GA6" s="672"/>
      <c r="GB6" s="560"/>
      <c r="GC6" s="672"/>
      <c r="GD6" s="560"/>
      <c r="GE6" s="672"/>
      <c r="GF6" s="560"/>
      <c r="GG6" s="672"/>
      <c r="GH6" s="560"/>
      <c r="GI6" s="672"/>
      <c r="GJ6" s="560"/>
      <c r="GK6" s="672"/>
      <c r="GL6" s="560"/>
      <c r="GM6" s="672"/>
      <c r="GN6" s="560"/>
      <c r="GO6" s="672"/>
      <c r="GP6" s="560"/>
      <c r="GQ6" s="672"/>
      <c r="GR6" s="58"/>
      <c r="GS6" s="59"/>
      <c r="GT6" s="560"/>
      <c r="GU6" s="59"/>
      <c r="GV6" s="59"/>
      <c r="GW6" s="560"/>
      <c r="GX6" s="560"/>
      <c r="GY6" s="59"/>
      <c r="GZ6" s="59"/>
      <c r="HA6" s="59"/>
      <c r="HB6" s="59"/>
      <c r="HC6" s="59"/>
      <c r="HD6" s="59"/>
      <c r="HE6" s="59"/>
      <c r="HF6" s="59"/>
      <c r="HG6" s="59"/>
      <c r="HH6" s="59"/>
      <c r="HI6" s="59"/>
      <c r="HJ6" s="59"/>
      <c r="HK6" s="59"/>
      <c r="HL6" s="59"/>
      <c r="HM6" s="59"/>
      <c r="HN6" s="794"/>
      <c r="HO6" s="794"/>
      <c r="HP6" s="794"/>
      <c r="HQ6" s="794"/>
      <c r="HR6" s="59"/>
      <c r="HS6" s="794"/>
      <c r="HT6" s="59"/>
      <c r="HU6" s="59"/>
      <c r="HV6" s="59"/>
      <c r="HW6" s="59"/>
      <c r="HX6" s="59"/>
      <c r="HY6" s="59"/>
      <c r="HZ6" s="59"/>
      <c r="IA6" s="59"/>
      <c r="IB6" s="59"/>
      <c r="IC6" s="59"/>
      <c r="ID6" s="59"/>
      <c r="IE6" s="59"/>
      <c r="IF6" s="58"/>
      <c r="IG6" s="58"/>
      <c r="IH6" s="58"/>
      <c r="II6" s="58"/>
      <c r="IJ6" s="58"/>
      <c r="IK6" s="58"/>
      <c r="IL6" s="58"/>
      <c r="IM6" s="58"/>
      <c r="IN6" s="58"/>
      <c r="IO6" s="58"/>
      <c r="IP6" s="58"/>
      <c r="IQ6" s="58"/>
      <c r="IR6" s="58"/>
      <c r="IS6" s="58"/>
      <c r="IT6" s="58"/>
      <c r="IU6" s="58"/>
      <c r="IV6" s="58"/>
      <c r="IW6" s="58"/>
      <c r="IX6" s="58"/>
      <c r="IY6" s="58"/>
      <c r="IZ6" s="58"/>
      <c r="JA6" s="58"/>
      <c r="JB6" s="58"/>
      <c r="JC6" s="58"/>
      <c r="JD6" s="58"/>
      <c r="JE6" s="58"/>
      <c r="JF6" s="58"/>
      <c r="JG6" s="58"/>
      <c r="JH6" s="58"/>
      <c r="JI6" s="58"/>
      <c r="JJ6" s="58"/>
      <c r="JK6" s="58"/>
      <c r="JL6" s="58"/>
      <c r="JM6" s="58"/>
      <c r="JN6" s="58"/>
      <c r="JO6" s="58"/>
      <c r="JP6" s="58"/>
      <c r="JQ6" s="58"/>
      <c r="JR6" s="58"/>
      <c r="JS6" s="58"/>
      <c r="JT6" s="58"/>
      <c r="JU6" s="532"/>
      <c r="JV6" s="515"/>
      <c r="JW6" s="516"/>
      <c r="JX6" s="537"/>
      <c r="JY6" s="538">
        <f>JY12</f>
        <v>44141882</v>
      </c>
      <c r="JZ6" s="539"/>
      <c r="KA6" s="539"/>
      <c r="KB6" s="539"/>
      <c r="KC6" s="705"/>
      <c r="KD6" s="957" t="s">
        <v>551</v>
      </c>
      <c r="KE6" s="957"/>
      <c r="KF6" s="957"/>
      <c r="KG6" s="957"/>
      <c r="KH6" s="957"/>
      <c r="KI6" s="957"/>
      <c r="KJ6" s="957"/>
      <c r="KK6" s="957"/>
      <c r="KL6" s="958"/>
      <c r="KM6" s="958"/>
    </row>
    <row r="7" spans="1:299" ht="15.75" customHeight="1" thickTop="1" thickBot="1">
      <c r="A7" s="978" t="s">
        <v>7</v>
      </c>
      <c r="B7" s="979" t="s">
        <v>8</v>
      </c>
      <c r="C7" s="62" t="s">
        <v>6</v>
      </c>
      <c r="D7" s="976"/>
      <c r="E7" s="976"/>
      <c r="F7" s="976"/>
      <c r="G7" s="976"/>
      <c r="H7" s="976"/>
      <c r="I7" s="976"/>
      <c r="J7" s="976"/>
      <c r="K7" s="976"/>
      <c r="L7" s="976"/>
      <c r="M7" s="976"/>
      <c r="N7" s="976"/>
      <c r="O7" s="976"/>
      <c r="P7" s="976"/>
      <c r="Q7" s="976"/>
      <c r="R7" s="976"/>
      <c r="S7" s="976"/>
      <c r="T7" s="976"/>
      <c r="U7" s="976"/>
      <c r="V7" s="976"/>
      <c r="W7" s="976"/>
      <c r="X7" s="976"/>
      <c r="Y7" s="976"/>
      <c r="Z7" s="976"/>
      <c r="AA7" s="976"/>
      <c r="AB7" s="976"/>
      <c r="AC7" s="976"/>
      <c r="AD7" s="976"/>
      <c r="AE7" s="976"/>
      <c r="AF7" s="976"/>
      <c r="AG7" s="976"/>
      <c r="AH7" s="976"/>
      <c r="AI7" s="976"/>
      <c r="AJ7" s="976"/>
      <c r="AK7" s="976"/>
      <c r="AL7" s="976"/>
      <c r="AM7" s="976"/>
      <c r="AN7" s="976"/>
      <c r="AO7" s="976"/>
      <c r="AP7" s="976"/>
      <c r="AQ7" s="976"/>
      <c r="AR7" s="976"/>
      <c r="AS7" s="976"/>
      <c r="AT7" s="976"/>
      <c r="AU7" s="976"/>
      <c r="AV7" s="976"/>
      <c r="AW7" s="976"/>
      <c r="AX7" s="976"/>
      <c r="AY7" s="976"/>
      <c r="AZ7" s="976"/>
      <c r="BA7" s="976"/>
      <c r="BB7" s="976"/>
      <c r="BC7" s="976"/>
      <c r="BD7" s="976"/>
      <c r="BE7" s="976"/>
      <c r="BF7" s="976"/>
      <c r="BG7" s="976"/>
      <c r="BH7" s="976"/>
      <c r="BI7" s="976"/>
      <c r="BJ7" s="976"/>
      <c r="BK7" s="976"/>
      <c r="BL7" s="976"/>
      <c r="BM7" s="976"/>
      <c r="BN7" s="976"/>
      <c r="BO7" s="976"/>
      <c r="BP7" s="976"/>
      <c r="BQ7" s="976"/>
      <c r="BR7" s="976"/>
      <c r="BS7" s="976"/>
      <c r="BT7" s="976"/>
      <c r="BU7" s="976"/>
      <c r="BV7" s="976"/>
      <c r="BW7" s="976"/>
      <c r="BX7" s="976"/>
      <c r="BY7" s="976"/>
      <c r="BZ7" s="976"/>
      <c r="CA7" s="976"/>
      <c r="CB7" s="976"/>
      <c r="CC7" s="976"/>
      <c r="CD7" s="976"/>
      <c r="CE7" s="976"/>
      <c r="CF7" s="976"/>
      <c r="CG7" s="976"/>
      <c r="CH7" s="976"/>
      <c r="CI7" s="976"/>
      <c r="CJ7" s="976"/>
      <c r="CK7" s="976"/>
      <c r="CL7" s="976"/>
      <c r="CM7" s="976"/>
      <c r="CN7" s="976"/>
      <c r="CO7" s="976"/>
      <c r="CP7" s="976"/>
      <c r="CQ7" s="976"/>
      <c r="CR7" s="976"/>
      <c r="CS7" s="976"/>
      <c r="CT7" s="976"/>
      <c r="CU7" s="976"/>
      <c r="CV7" s="976"/>
      <c r="CW7" s="976"/>
      <c r="CX7" s="976"/>
      <c r="CY7" s="976"/>
      <c r="CZ7" s="976"/>
      <c r="DA7" s="976"/>
      <c r="DB7" s="976"/>
      <c r="DC7" s="976"/>
      <c r="DD7" s="976"/>
      <c r="DE7" s="976"/>
      <c r="DF7" s="976"/>
      <c r="DG7" s="976"/>
      <c r="DH7" s="976"/>
      <c r="DI7" s="976"/>
      <c r="DJ7" s="976"/>
      <c r="DK7" s="976"/>
      <c r="DL7" s="976"/>
      <c r="DM7" s="976"/>
      <c r="DN7" s="976"/>
      <c r="DO7" s="976"/>
      <c r="DP7" s="976"/>
      <c r="DQ7" s="976"/>
      <c r="DR7" s="976"/>
      <c r="DS7" s="976"/>
      <c r="DT7" s="976"/>
      <c r="DU7" s="976"/>
      <c r="DV7" s="976"/>
      <c r="DW7" s="976"/>
      <c r="DX7" s="976"/>
      <c r="DY7" s="976"/>
      <c r="DZ7" s="976"/>
      <c r="EA7" s="976"/>
      <c r="EB7" s="976"/>
      <c r="EC7" s="976"/>
      <c r="ED7" s="976"/>
      <c r="EE7" s="976"/>
      <c r="EF7" s="976"/>
      <c r="EG7" s="976"/>
      <c r="EH7" s="976"/>
      <c r="EI7" s="976"/>
      <c r="EJ7" s="976"/>
      <c r="EK7" s="976"/>
      <c r="EL7" s="976"/>
      <c r="EM7" s="976"/>
      <c r="EN7" s="976"/>
      <c r="EO7" s="976"/>
      <c r="EP7" s="976"/>
      <c r="EQ7" s="976"/>
      <c r="ER7" s="976"/>
      <c r="ES7" s="976"/>
      <c r="ET7" s="976"/>
      <c r="EU7" s="976"/>
      <c r="EV7" s="976"/>
      <c r="EW7" s="976"/>
      <c r="EX7" s="976"/>
      <c r="EY7" s="976"/>
      <c r="EZ7" s="976"/>
      <c r="FA7" s="976"/>
      <c r="FB7" s="976"/>
      <c r="FC7" s="976"/>
      <c r="FD7" s="976"/>
      <c r="FE7" s="976"/>
      <c r="FF7" s="976"/>
      <c r="FG7" s="976"/>
      <c r="FH7" s="976"/>
      <c r="FI7" s="976"/>
      <c r="FJ7" s="976"/>
      <c r="FK7" s="976"/>
      <c r="FL7" s="976"/>
      <c r="FM7" s="976"/>
      <c r="FN7" s="976"/>
      <c r="FO7" s="976"/>
      <c r="FP7" s="976"/>
      <c r="FQ7" s="976"/>
      <c r="FR7" s="976"/>
      <c r="FS7" s="976"/>
      <c r="FT7" s="976"/>
      <c r="FU7" s="976"/>
      <c r="FV7" s="976"/>
      <c r="FW7" s="976"/>
      <c r="FX7" s="976"/>
      <c r="FY7" s="976"/>
      <c r="FZ7" s="976"/>
      <c r="GA7" s="976"/>
      <c r="GB7" s="976"/>
      <c r="GC7" s="976"/>
      <c r="GD7" s="976"/>
      <c r="GE7" s="976"/>
      <c r="GF7" s="976"/>
      <c r="GG7" s="976"/>
      <c r="GH7" s="976"/>
      <c r="GI7" s="976"/>
      <c r="GJ7" s="976"/>
      <c r="GK7" s="976"/>
      <c r="GL7" s="976"/>
      <c r="GM7" s="976"/>
      <c r="GN7" s="976"/>
      <c r="GO7" s="976"/>
      <c r="GP7" s="976"/>
      <c r="GQ7" s="977"/>
      <c r="GR7" s="63" t="s">
        <v>6</v>
      </c>
      <c r="GS7" s="62" t="s">
        <v>9</v>
      </c>
      <c r="GT7" s="561" t="s">
        <v>37</v>
      </c>
      <c r="GU7" s="950" t="s">
        <v>11</v>
      </c>
      <c r="GV7" s="950" t="s">
        <v>12</v>
      </c>
      <c r="GW7" s="974" t="s">
        <v>13</v>
      </c>
      <c r="GX7" s="974" t="s">
        <v>14</v>
      </c>
      <c r="GY7" s="950" t="s">
        <v>15</v>
      </c>
      <c r="GZ7" s="950" t="s">
        <v>16</v>
      </c>
      <c r="HA7" s="950" t="s">
        <v>17</v>
      </c>
      <c r="HB7" s="950" t="s">
        <v>18</v>
      </c>
      <c r="HC7" s="950" t="s">
        <v>19</v>
      </c>
      <c r="HD7" s="950" t="s">
        <v>20</v>
      </c>
      <c r="HE7" s="950" t="s">
        <v>21</v>
      </c>
      <c r="HF7" s="950" t="s">
        <v>22</v>
      </c>
      <c r="HG7" s="62" t="s">
        <v>10</v>
      </c>
      <c r="HH7" s="971" t="s">
        <v>11</v>
      </c>
      <c r="HI7" s="980"/>
      <c r="HJ7" s="952" t="s">
        <v>12</v>
      </c>
      <c r="HK7" s="952"/>
      <c r="HL7" s="952" t="s">
        <v>13</v>
      </c>
      <c r="HM7" s="952"/>
      <c r="HN7" s="952" t="s">
        <v>14</v>
      </c>
      <c r="HO7" s="952"/>
      <c r="HP7" s="952" t="s">
        <v>15</v>
      </c>
      <c r="HQ7" s="952"/>
      <c r="HR7" s="952" t="s">
        <v>16</v>
      </c>
      <c r="HS7" s="952"/>
      <c r="HT7" s="952" t="s">
        <v>17</v>
      </c>
      <c r="HU7" s="952"/>
      <c r="HV7" s="952" t="s">
        <v>18</v>
      </c>
      <c r="HW7" s="952"/>
      <c r="HX7" s="952" t="s">
        <v>19</v>
      </c>
      <c r="HY7" s="952"/>
      <c r="HZ7" s="952" t="s">
        <v>20</v>
      </c>
      <c r="IA7" s="952"/>
      <c r="IB7" s="952" t="s">
        <v>21</v>
      </c>
      <c r="IC7" s="952"/>
      <c r="ID7" s="971" t="s">
        <v>22</v>
      </c>
      <c r="IE7" s="971"/>
      <c r="IF7" s="968" t="s">
        <v>23</v>
      </c>
      <c r="IG7" s="967"/>
      <c r="IH7" s="969"/>
      <c r="II7" s="970" t="s">
        <v>464</v>
      </c>
      <c r="IJ7" s="967"/>
      <c r="IK7" s="967"/>
      <c r="IL7" s="967" t="s">
        <v>24</v>
      </c>
      <c r="IM7" s="967"/>
      <c r="IN7" s="967"/>
      <c r="IO7" s="967" t="s">
        <v>25</v>
      </c>
      <c r="IP7" s="967"/>
      <c r="IQ7" s="967"/>
      <c r="IR7" s="967" t="s">
        <v>26</v>
      </c>
      <c r="IS7" s="967"/>
      <c r="IT7" s="967"/>
      <c r="IU7" s="967" t="s">
        <v>27</v>
      </c>
      <c r="IV7" s="967"/>
      <c r="IW7" s="967"/>
      <c r="IX7" s="967" t="s">
        <v>1018</v>
      </c>
      <c r="IY7" s="967"/>
      <c r="IZ7" s="967"/>
      <c r="JA7" s="967" t="s">
        <v>28</v>
      </c>
      <c r="JB7" s="967"/>
      <c r="JC7" s="967"/>
      <c r="JD7" s="967" t="s">
        <v>29</v>
      </c>
      <c r="JE7" s="967"/>
      <c r="JF7" s="967"/>
      <c r="JG7" s="967" t="s">
        <v>30</v>
      </c>
      <c r="JH7" s="967"/>
      <c r="JI7" s="967"/>
      <c r="JJ7" s="967" t="s">
        <v>31</v>
      </c>
      <c r="JK7" s="967"/>
      <c r="JL7" s="967"/>
      <c r="JM7" s="967" t="s">
        <v>32</v>
      </c>
      <c r="JN7" s="967"/>
      <c r="JO7" s="967"/>
      <c r="JP7" s="967" t="s">
        <v>33</v>
      </c>
      <c r="JQ7" s="967"/>
      <c r="JR7" s="967"/>
      <c r="JS7" s="63" t="s">
        <v>35</v>
      </c>
      <c r="JT7" s="295" t="s">
        <v>35</v>
      </c>
      <c r="JU7" s="520"/>
      <c r="JV7" s="652">
        <f>INGRESOS!S10</f>
        <v>53195861.700000003</v>
      </c>
      <c r="JX7" s="540" t="s">
        <v>36</v>
      </c>
      <c r="JY7" s="541" t="s">
        <v>36</v>
      </c>
      <c r="JZ7" s="953" t="s">
        <v>1069</v>
      </c>
      <c r="KA7" s="954"/>
      <c r="KB7" s="542" t="s">
        <v>37</v>
      </c>
      <c r="KD7" s="959" t="s">
        <v>517</v>
      </c>
      <c r="KE7" s="962" t="s">
        <v>518</v>
      </c>
      <c r="KF7" s="110"/>
      <c r="KG7" s="111" t="s">
        <v>519</v>
      </c>
      <c r="KH7" s="965" t="s">
        <v>829</v>
      </c>
      <c r="KI7" s="965"/>
      <c r="KJ7" s="965"/>
      <c r="KK7" s="965"/>
      <c r="KL7" s="966"/>
      <c r="KM7" s="966"/>
    </row>
    <row r="8" spans="1:299" ht="12.75" customHeight="1" thickTop="1" thickBot="1">
      <c r="A8" s="978"/>
      <c r="B8" s="979"/>
      <c r="C8" s="64" t="s">
        <v>38</v>
      </c>
      <c r="D8" s="972" t="s">
        <v>1251</v>
      </c>
      <c r="E8" s="973"/>
      <c r="F8" s="972" t="s">
        <v>1254</v>
      </c>
      <c r="G8" s="973"/>
      <c r="H8" s="972" t="s">
        <v>1255</v>
      </c>
      <c r="I8" s="973"/>
      <c r="J8" s="972" t="s">
        <v>1256</v>
      </c>
      <c r="K8" s="973"/>
      <c r="L8" s="972" t="s">
        <v>1261</v>
      </c>
      <c r="M8" s="973"/>
      <c r="N8" s="972" t="s">
        <v>1262</v>
      </c>
      <c r="O8" s="973"/>
      <c r="P8" s="972" t="s">
        <v>1263</v>
      </c>
      <c r="Q8" s="973"/>
      <c r="R8" s="972" t="s">
        <v>1268</v>
      </c>
      <c r="S8" s="973"/>
      <c r="T8" s="972" t="s">
        <v>1310</v>
      </c>
      <c r="U8" s="973"/>
      <c r="V8" s="972" t="s">
        <v>1311</v>
      </c>
      <c r="W8" s="973"/>
      <c r="X8" s="972" t="s">
        <v>1312</v>
      </c>
      <c r="Y8" s="973"/>
      <c r="Z8" s="972" t="s">
        <v>1313</v>
      </c>
      <c r="AA8" s="973"/>
      <c r="AB8" s="972" t="s">
        <v>1314</v>
      </c>
      <c r="AC8" s="973"/>
      <c r="AD8" s="972" t="s">
        <v>1315</v>
      </c>
      <c r="AE8" s="973"/>
      <c r="AF8" s="972" t="s">
        <v>1316</v>
      </c>
      <c r="AG8" s="973"/>
      <c r="AH8" s="972" t="s">
        <v>1317</v>
      </c>
      <c r="AI8" s="973"/>
      <c r="AJ8" s="972" t="s">
        <v>1318</v>
      </c>
      <c r="AK8" s="973"/>
      <c r="AL8" s="972" t="s">
        <v>1319</v>
      </c>
      <c r="AM8" s="973"/>
      <c r="AN8" s="972" t="s">
        <v>1320</v>
      </c>
      <c r="AO8" s="973"/>
      <c r="AP8" s="972" t="s">
        <v>1321</v>
      </c>
      <c r="AQ8" s="973"/>
      <c r="AR8" s="972" t="s">
        <v>1325</v>
      </c>
      <c r="AS8" s="973"/>
      <c r="AT8" s="972" t="s">
        <v>1326</v>
      </c>
      <c r="AU8" s="973"/>
      <c r="AV8" s="972" t="s">
        <v>1327</v>
      </c>
      <c r="AW8" s="973"/>
      <c r="AX8" s="972" t="s">
        <v>1328</v>
      </c>
      <c r="AY8" s="973"/>
      <c r="AZ8" s="972" t="s">
        <v>1332</v>
      </c>
      <c r="BA8" s="973"/>
      <c r="BB8" s="972" t="s">
        <v>1333</v>
      </c>
      <c r="BC8" s="973"/>
      <c r="BD8" s="972" t="s">
        <v>1334</v>
      </c>
      <c r="BE8" s="973"/>
      <c r="BF8" s="972" t="s">
        <v>1335</v>
      </c>
      <c r="BG8" s="973"/>
      <c r="BH8" s="972" t="s">
        <v>1336</v>
      </c>
      <c r="BI8" s="973"/>
      <c r="BJ8" s="972" t="s">
        <v>1337</v>
      </c>
      <c r="BK8" s="973"/>
      <c r="BL8" s="972" t="s">
        <v>1338</v>
      </c>
      <c r="BM8" s="973"/>
      <c r="BN8" s="972" t="s">
        <v>1340</v>
      </c>
      <c r="BO8" s="973"/>
      <c r="BP8" s="972" t="s">
        <v>1341</v>
      </c>
      <c r="BQ8" s="973"/>
      <c r="BR8" s="972" t="s">
        <v>1342</v>
      </c>
      <c r="BS8" s="973"/>
      <c r="BT8" s="972" t="s">
        <v>1343</v>
      </c>
      <c r="BU8" s="973"/>
      <c r="BV8" s="972" t="s">
        <v>1344</v>
      </c>
      <c r="BW8" s="973"/>
      <c r="BX8" s="972" t="s">
        <v>1345</v>
      </c>
      <c r="BY8" s="973"/>
      <c r="BZ8" s="972" t="s">
        <v>1346</v>
      </c>
      <c r="CA8" s="973"/>
      <c r="CB8" s="972" t="s">
        <v>1347</v>
      </c>
      <c r="CC8" s="973"/>
      <c r="CD8" s="972" t="s">
        <v>1348</v>
      </c>
      <c r="CE8" s="973"/>
      <c r="CF8" s="972" t="s">
        <v>1349</v>
      </c>
      <c r="CG8" s="973"/>
      <c r="CH8" s="972" t="s">
        <v>1350</v>
      </c>
      <c r="CI8" s="973"/>
      <c r="CJ8" s="972" t="s">
        <v>1351</v>
      </c>
      <c r="CK8" s="973"/>
      <c r="CL8" s="972" t="s">
        <v>1352</v>
      </c>
      <c r="CM8" s="973"/>
      <c r="CN8" s="972" t="s">
        <v>1353</v>
      </c>
      <c r="CO8" s="973"/>
      <c r="CP8" s="972" t="s">
        <v>1354</v>
      </c>
      <c r="CQ8" s="973"/>
      <c r="CR8" s="972" t="s">
        <v>1355</v>
      </c>
      <c r="CS8" s="973"/>
      <c r="CT8" s="972" t="s">
        <v>1356</v>
      </c>
      <c r="CU8" s="973"/>
      <c r="CV8" s="981" t="s">
        <v>1360</v>
      </c>
      <c r="CW8" s="982"/>
      <c r="CX8" s="972" t="s">
        <v>1359</v>
      </c>
      <c r="CY8" s="973"/>
      <c r="CZ8" s="983" t="s">
        <v>1361</v>
      </c>
      <c r="DA8" s="984"/>
      <c r="DB8" s="983" t="s">
        <v>1362</v>
      </c>
      <c r="DC8" s="984"/>
      <c r="DD8" s="972" t="s">
        <v>1370</v>
      </c>
      <c r="DE8" s="973"/>
      <c r="DF8" s="972" t="s">
        <v>1371</v>
      </c>
      <c r="DG8" s="973"/>
      <c r="DH8" s="972" t="s">
        <v>1372</v>
      </c>
      <c r="DI8" s="973"/>
      <c r="DJ8" s="972" t="s">
        <v>1373</v>
      </c>
      <c r="DK8" s="973"/>
      <c r="DL8" s="972" t="s">
        <v>1374</v>
      </c>
      <c r="DM8" s="973"/>
      <c r="DN8" s="987" t="s">
        <v>1377</v>
      </c>
      <c r="DO8" s="988"/>
      <c r="DP8" s="987" t="s">
        <v>1378</v>
      </c>
      <c r="DQ8" s="988"/>
      <c r="DR8" s="972" t="s">
        <v>1376</v>
      </c>
      <c r="DS8" s="973"/>
      <c r="DT8" s="972" t="s">
        <v>1389</v>
      </c>
      <c r="DU8" s="973"/>
      <c r="DV8" s="972" t="s">
        <v>1390</v>
      </c>
      <c r="DW8" s="973"/>
      <c r="DX8" s="972" t="s">
        <v>1394</v>
      </c>
      <c r="DY8" s="973"/>
      <c r="DZ8" s="972" t="s">
        <v>1397</v>
      </c>
      <c r="EA8" s="973"/>
      <c r="EB8" s="972" t="s">
        <v>1398</v>
      </c>
      <c r="EC8" s="973"/>
      <c r="ED8" s="972" t="s">
        <v>1399</v>
      </c>
      <c r="EE8" s="973"/>
      <c r="EF8" s="972" t="s">
        <v>1400</v>
      </c>
      <c r="EG8" s="973"/>
      <c r="EH8" s="972" t="s">
        <v>1401</v>
      </c>
      <c r="EI8" s="973"/>
      <c r="EJ8" s="972" t="s">
        <v>1402</v>
      </c>
      <c r="EK8" s="973"/>
      <c r="EL8" s="972" t="s">
        <v>1403</v>
      </c>
      <c r="EM8" s="973"/>
      <c r="EN8" s="972" t="s">
        <v>1404</v>
      </c>
      <c r="EO8" s="973"/>
      <c r="EP8" s="981" t="s">
        <v>1434</v>
      </c>
      <c r="EQ8" s="982"/>
      <c r="ER8" s="972" t="s">
        <v>1407</v>
      </c>
      <c r="ES8" s="973"/>
      <c r="ET8" s="972" t="s">
        <v>1408</v>
      </c>
      <c r="EU8" s="973"/>
      <c r="EV8" s="972" t="s">
        <v>1409</v>
      </c>
      <c r="EW8" s="973"/>
      <c r="EX8" s="972" t="s">
        <v>1410</v>
      </c>
      <c r="EY8" s="973"/>
      <c r="EZ8" s="972" t="s">
        <v>1411</v>
      </c>
      <c r="FA8" s="973"/>
      <c r="FB8" s="972" t="s">
        <v>1417</v>
      </c>
      <c r="FC8" s="973"/>
      <c r="FD8" s="972" t="s">
        <v>1418</v>
      </c>
      <c r="FE8" s="973"/>
      <c r="FF8" s="972" t="s">
        <v>1419</v>
      </c>
      <c r="FG8" s="973"/>
      <c r="FH8" s="972" t="s">
        <v>1420</v>
      </c>
      <c r="FI8" s="973"/>
      <c r="FJ8" s="972" t="s">
        <v>1422</v>
      </c>
      <c r="FK8" s="973"/>
      <c r="FL8" s="972" t="s">
        <v>1423</v>
      </c>
      <c r="FM8" s="973"/>
      <c r="FN8" s="972" t="s">
        <v>1424</v>
      </c>
      <c r="FO8" s="973"/>
      <c r="FP8" s="972" t="s">
        <v>1426</v>
      </c>
      <c r="FQ8" s="973"/>
      <c r="FR8" s="972" t="s">
        <v>1427</v>
      </c>
      <c r="FS8" s="973"/>
      <c r="FT8" s="972" t="s">
        <v>1429</v>
      </c>
      <c r="FU8" s="973"/>
      <c r="FV8" s="972" t="s">
        <v>1430</v>
      </c>
      <c r="FW8" s="973"/>
      <c r="FX8" s="972" t="s">
        <v>1431</v>
      </c>
      <c r="FY8" s="973"/>
      <c r="FZ8" s="972" t="s">
        <v>1432</v>
      </c>
      <c r="GA8" s="973"/>
      <c r="GB8" s="972"/>
      <c r="GC8" s="973"/>
      <c r="GD8" s="972"/>
      <c r="GE8" s="973"/>
      <c r="GF8" s="972"/>
      <c r="GG8" s="973"/>
      <c r="GH8" s="972"/>
      <c r="GI8" s="973"/>
      <c r="GJ8" s="972"/>
      <c r="GK8" s="973"/>
      <c r="GL8" s="972"/>
      <c r="GM8" s="973"/>
      <c r="GN8" s="972"/>
      <c r="GO8" s="973"/>
      <c r="GP8" s="985" t="s">
        <v>1068</v>
      </c>
      <c r="GQ8" s="986"/>
      <c r="GR8" s="64" t="s">
        <v>39</v>
      </c>
      <c r="GS8" s="64" t="s">
        <v>40</v>
      </c>
      <c r="GT8" s="562" t="s">
        <v>477</v>
      </c>
      <c r="GU8" s="951"/>
      <c r="GV8" s="951"/>
      <c r="GW8" s="975"/>
      <c r="GX8" s="975"/>
      <c r="GY8" s="951"/>
      <c r="GZ8" s="951"/>
      <c r="HA8" s="951"/>
      <c r="HB8" s="951"/>
      <c r="HC8" s="951"/>
      <c r="HD8" s="951"/>
      <c r="HE8" s="951"/>
      <c r="HF8" s="951"/>
      <c r="HG8" s="64" t="s">
        <v>41</v>
      </c>
      <c r="HH8" s="64" t="s">
        <v>42</v>
      </c>
      <c r="HI8" s="64" t="s">
        <v>43</v>
      </c>
      <c r="HJ8" s="64" t="s">
        <v>42</v>
      </c>
      <c r="HK8" s="64" t="s">
        <v>43</v>
      </c>
      <c r="HL8" s="64" t="s">
        <v>42</v>
      </c>
      <c r="HM8" s="64" t="s">
        <v>43</v>
      </c>
      <c r="HN8" s="64" t="s">
        <v>42</v>
      </c>
      <c r="HO8" s="64" t="s">
        <v>43</v>
      </c>
      <c r="HP8" s="64" t="s">
        <v>42</v>
      </c>
      <c r="HQ8" s="64" t="s">
        <v>43</v>
      </c>
      <c r="HR8" s="64" t="s">
        <v>42</v>
      </c>
      <c r="HS8" s="64" t="s">
        <v>43</v>
      </c>
      <c r="HT8" s="64" t="s">
        <v>42</v>
      </c>
      <c r="HU8" s="64" t="s">
        <v>43</v>
      </c>
      <c r="HV8" s="64" t="s">
        <v>42</v>
      </c>
      <c r="HW8" s="64" t="s">
        <v>43</v>
      </c>
      <c r="HX8" s="64" t="s">
        <v>42</v>
      </c>
      <c r="HY8" s="64" t="s">
        <v>43</v>
      </c>
      <c r="HZ8" s="64" t="s">
        <v>42</v>
      </c>
      <c r="IA8" s="64" t="s">
        <v>43</v>
      </c>
      <c r="IB8" s="64" t="s">
        <v>42</v>
      </c>
      <c r="IC8" s="64" t="s">
        <v>43</v>
      </c>
      <c r="ID8" s="64" t="s">
        <v>42</v>
      </c>
      <c r="IE8" s="65" t="s">
        <v>43</v>
      </c>
      <c r="IF8" s="721" t="s">
        <v>44</v>
      </c>
      <c r="IG8" s="67" t="s">
        <v>45</v>
      </c>
      <c r="IH8" s="722" t="s">
        <v>46</v>
      </c>
      <c r="II8" s="67" t="s">
        <v>44</v>
      </c>
      <c r="IJ8" s="67" t="s">
        <v>45</v>
      </c>
      <c r="IK8" s="67" t="s">
        <v>46</v>
      </c>
      <c r="IL8" s="66" t="s">
        <v>44</v>
      </c>
      <c r="IM8" s="67" t="s">
        <v>45</v>
      </c>
      <c r="IN8" s="67" t="s">
        <v>46</v>
      </c>
      <c r="IO8" s="66" t="s">
        <v>44</v>
      </c>
      <c r="IP8" s="67" t="s">
        <v>45</v>
      </c>
      <c r="IQ8" s="67" t="s">
        <v>46</v>
      </c>
      <c r="IR8" s="66" t="s">
        <v>44</v>
      </c>
      <c r="IS8" s="67" t="s">
        <v>45</v>
      </c>
      <c r="IT8" s="67" t="s">
        <v>46</v>
      </c>
      <c r="IU8" s="66" t="s">
        <v>44</v>
      </c>
      <c r="IV8" s="67" t="s">
        <v>45</v>
      </c>
      <c r="IW8" s="67" t="s">
        <v>46</v>
      </c>
      <c r="IX8" s="66" t="s">
        <v>44</v>
      </c>
      <c r="IY8" s="67" t="s">
        <v>45</v>
      </c>
      <c r="IZ8" s="67" t="s">
        <v>46</v>
      </c>
      <c r="JA8" s="66" t="s">
        <v>44</v>
      </c>
      <c r="JB8" s="67" t="s">
        <v>45</v>
      </c>
      <c r="JC8" s="67" t="s">
        <v>46</v>
      </c>
      <c r="JD8" s="66" t="s">
        <v>44</v>
      </c>
      <c r="JE8" s="67" t="s">
        <v>45</v>
      </c>
      <c r="JF8" s="67" t="s">
        <v>46</v>
      </c>
      <c r="JG8" s="66" t="s">
        <v>44</v>
      </c>
      <c r="JH8" s="67" t="s">
        <v>45</v>
      </c>
      <c r="JI8" s="67" t="s">
        <v>46</v>
      </c>
      <c r="JJ8" s="66" t="s">
        <v>44</v>
      </c>
      <c r="JK8" s="67" t="s">
        <v>45</v>
      </c>
      <c r="JL8" s="67" t="s">
        <v>46</v>
      </c>
      <c r="JM8" s="66" t="s">
        <v>44</v>
      </c>
      <c r="JN8" s="67" t="s">
        <v>45</v>
      </c>
      <c r="JO8" s="67" t="s">
        <v>46</v>
      </c>
      <c r="JP8" s="66" t="s">
        <v>44</v>
      </c>
      <c r="JQ8" s="67" t="s">
        <v>45</v>
      </c>
      <c r="JR8" s="67" t="s">
        <v>46</v>
      </c>
      <c r="JS8" s="64" t="s">
        <v>47</v>
      </c>
      <c r="JT8" s="296" t="s">
        <v>9</v>
      </c>
      <c r="JU8" s="520"/>
      <c r="JV8" s="630">
        <f>JV7-KB10</f>
        <v>0</v>
      </c>
      <c r="JX8" s="543" t="s">
        <v>42</v>
      </c>
      <c r="JY8" s="544" t="s">
        <v>43</v>
      </c>
      <c r="JZ8" s="955"/>
      <c r="KA8" s="956"/>
      <c r="KB8" s="545" t="s">
        <v>456</v>
      </c>
      <c r="KD8" s="960"/>
      <c r="KE8" s="963"/>
      <c r="KF8" s="111" t="s">
        <v>519</v>
      </c>
      <c r="KG8" s="111" t="s">
        <v>477</v>
      </c>
      <c r="KH8" s="112" t="s">
        <v>556</v>
      </c>
      <c r="KI8" s="113" t="s">
        <v>34</v>
      </c>
      <c r="KJ8" s="113" t="s">
        <v>520</v>
      </c>
      <c r="KK8" s="112" t="s">
        <v>521</v>
      </c>
    </row>
    <row r="9" spans="1:299" s="30" customFormat="1" ht="14.25" customHeight="1" thickTop="1" thickBot="1">
      <c r="A9" s="68"/>
      <c r="B9" s="69"/>
      <c r="C9" s="70">
        <v>1</v>
      </c>
      <c r="D9" s="580" t="s">
        <v>1049</v>
      </c>
      <c r="E9" s="673" t="s">
        <v>1050</v>
      </c>
      <c r="F9" s="580" t="s">
        <v>1049</v>
      </c>
      <c r="G9" s="673" t="s">
        <v>1050</v>
      </c>
      <c r="H9" s="580" t="s">
        <v>1049</v>
      </c>
      <c r="I9" s="673" t="s">
        <v>1050</v>
      </c>
      <c r="J9" s="580" t="s">
        <v>1049</v>
      </c>
      <c r="K9" s="673" t="s">
        <v>1050</v>
      </c>
      <c r="L9" s="580" t="s">
        <v>1049</v>
      </c>
      <c r="M9" s="673" t="s">
        <v>1050</v>
      </c>
      <c r="N9" s="580" t="s">
        <v>1049</v>
      </c>
      <c r="O9" s="673" t="s">
        <v>1050</v>
      </c>
      <c r="P9" s="580" t="s">
        <v>1049</v>
      </c>
      <c r="Q9" s="673" t="s">
        <v>1050</v>
      </c>
      <c r="R9" s="580" t="s">
        <v>1049</v>
      </c>
      <c r="S9" s="673" t="s">
        <v>1050</v>
      </c>
      <c r="T9" s="580" t="s">
        <v>1049</v>
      </c>
      <c r="U9" s="673" t="s">
        <v>1050</v>
      </c>
      <c r="V9" s="580" t="s">
        <v>1049</v>
      </c>
      <c r="W9" s="673" t="s">
        <v>1050</v>
      </c>
      <c r="X9" s="580" t="s">
        <v>1049</v>
      </c>
      <c r="Y9" s="673" t="s">
        <v>1050</v>
      </c>
      <c r="Z9" s="580" t="s">
        <v>1049</v>
      </c>
      <c r="AA9" s="673" t="s">
        <v>1050</v>
      </c>
      <c r="AB9" s="580" t="s">
        <v>1049</v>
      </c>
      <c r="AC9" s="673" t="s">
        <v>1050</v>
      </c>
      <c r="AD9" s="580" t="s">
        <v>1049</v>
      </c>
      <c r="AE9" s="673" t="s">
        <v>1050</v>
      </c>
      <c r="AF9" s="580" t="s">
        <v>1049</v>
      </c>
      <c r="AG9" s="673" t="s">
        <v>1050</v>
      </c>
      <c r="AH9" s="580" t="s">
        <v>1049</v>
      </c>
      <c r="AI9" s="673" t="s">
        <v>1050</v>
      </c>
      <c r="AJ9" s="580" t="s">
        <v>1049</v>
      </c>
      <c r="AK9" s="673" t="s">
        <v>1050</v>
      </c>
      <c r="AL9" s="580" t="s">
        <v>1049</v>
      </c>
      <c r="AM9" s="673" t="s">
        <v>1050</v>
      </c>
      <c r="AN9" s="580" t="s">
        <v>1049</v>
      </c>
      <c r="AO9" s="673" t="s">
        <v>1050</v>
      </c>
      <c r="AP9" s="580" t="s">
        <v>1049</v>
      </c>
      <c r="AQ9" s="673" t="s">
        <v>1050</v>
      </c>
      <c r="AR9" s="580" t="s">
        <v>1049</v>
      </c>
      <c r="AS9" s="673" t="s">
        <v>1050</v>
      </c>
      <c r="AT9" s="580" t="s">
        <v>1049</v>
      </c>
      <c r="AU9" s="673" t="s">
        <v>1050</v>
      </c>
      <c r="AV9" s="580" t="s">
        <v>1049</v>
      </c>
      <c r="AW9" s="673" t="s">
        <v>1050</v>
      </c>
      <c r="AX9" s="580" t="s">
        <v>1049</v>
      </c>
      <c r="AY9" s="673" t="s">
        <v>1050</v>
      </c>
      <c r="AZ9" s="580" t="s">
        <v>1049</v>
      </c>
      <c r="BA9" s="673" t="s">
        <v>1050</v>
      </c>
      <c r="BB9" s="580" t="s">
        <v>1049</v>
      </c>
      <c r="BC9" s="673" t="s">
        <v>1050</v>
      </c>
      <c r="BD9" s="580" t="s">
        <v>1049</v>
      </c>
      <c r="BE9" s="673" t="s">
        <v>1050</v>
      </c>
      <c r="BF9" s="580" t="s">
        <v>1049</v>
      </c>
      <c r="BG9" s="673" t="s">
        <v>1050</v>
      </c>
      <c r="BH9" s="580" t="s">
        <v>1049</v>
      </c>
      <c r="BI9" s="673" t="s">
        <v>1050</v>
      </c>
      <c r="BJ9" s="580" t="s">
        <v>1049</v>
      </c>
      <c r="BK9" s="673" t="s">
        <v>1050</v>
      </c>
      <c r="BL9" s="580" t="s">
        <v>1049</v>
      </c>
      <c r="BM9" s="673" t="s">
        <v>1050</v>
      </c>
      <c r="BN9" s="580" t="s">
        <v>1049</v>
      </c>
      <c r="BO9" s="673" t="s">
        <v>1050</v>
      </c>
      <c r="BP9" s="580" t="s">
        <v>1049</v>
      </c>
      <c r="BQ9" s="673" t="s">
        <v>1050</v>
      </c>
      <c r="BR9" s="580" t="s">
        <v>1049</v>
      </c>
      <c r="BS9" s="673" t="s">
        <v>1050</v>
      </c>
      <c r="BT9" s="580" t="s">
        <v>1049</v>
      </c>
      <c r="BU9" s="673" t="s">
        <v>1050</v>
      </c>
      <c r="BV9" s="580" t="s">
        <v>1049</v>
      </c>
      <c r="BW9" s="673" t="s">
        <v>1050</v>
      </c>
      <c r="BX9" s="580" t="s">
        <v>1049</v>
      </c>
      <c r="BY9" s="673" t="s">
        <v>1050</v>
      </c>
      <c r="BZ9" s="580" t="s">
        <v>1049</v>
      </c>
      <c r="CA9" s="673" t="s">
        <v>1050</v>
      </c>
      <c r="CB9" s="580" t="s">
        <v>1049</v>
      </c>
      <c r="CC9" s="673" t="s">
        <v>1050</v>
      </c>
      <c r="CD9" s="580" t="s">
        <v>1049</v>
      </c>
      <c r="CE9" s="673" t="s">
        <v>1050</v>
      </c>
      <c r="CF9" s="580" t="s">
        <v>1049</v>
      </c>
      <c r="CG9" s="673" t="s">
        <v>1050</v>
      </c>
      <c r="CH9" s="580" t="s">
        <v>1049</v>
      </c>
      <c r="CI9" s="673" t="s">
        <v>1050</v>
      </c>
      <c r="CJ9" s="580" t="s">
        <v>1049</v>
      </c>
      <c r="CK9" s="673" t="s">
        <v>1050</v>
      </c>
      <c r="CL9" s="580" t="s">
        <v>1049</v>
      </c>
      <c r="CM9" s="673" t="s">
        <v>1050</v>
      </c>
      <c r="CN9" s="580" t="s">
        <v>1049</v>
      </c>
      <c r="CO9" s="673" t="s">
        <v>1050</v>
      </c>
      <c r="CP9" s="580" t="s">
        <v>1049</v>
      </c>
      <c r="CQ9" s="673" t="s">
        <v>1050</v>
      </c>
      <c r="CR9" s="580" t="s">
        <v>1049</v>
      </c>
      <c r="CS9" s="673" t="s">
        <v>1050</v>
      </c>
      <c r="CT9" s="580" t="s">
        <v>1049</v>
      </c>
      <c r="CU9" s="673" t="s">
        <v>1050</v>
      </c>
      <c r="CV9" s="580" t="s">
        <v>1049</v>
      </c>
      <c r="CW9" s="673" t="s">
        <v>1050</v>
      </c>
      <c r="CX9" s="580" t="s">
        <v>1049</v>
      </c>
      <c r="CY9" s="673" t="s">
        <v>1050</v>
      </c>
      <c r="CZ9" s="580" t="s">
        <v>1049</v>
      </c>
      <c r="DA9" s="673" t="s">
        <v>1050</v>
      </c>
      <c r="DB9" s="580" t="s">
        <v>1049</v>
      </c>
      <c r="DC9" s="673" t="s">
        <v>1050</v>
      </c>
      <c r="DD9" s="580" t="s">
        <v>1049</v>
      </c>
      <c r="DE9" s="673" t="s">
        <v>1050</v>
      </c>
      <c r="DF9" s="580" t="s">
        <v>1049</v>
      </c>
      <c r="DG9" s="673" t="s">
        <v>1050</v>
      </c>
      <c r="DH9" s="580" t="s">
        <v>1049</v>
      </c>
      <c r="DI9" s="673" t="s">
        <v>1050</v>
      </c>
      <c r="DJ9" s="580" t="s">
        <v>1049</v>
      </c>
      <c r="DK9" s="673" t="s">
        <v>1050</v>
      </c>
      <c r="DL9" s="580" t="s">
        <v>1049</v>
      </c>
      <c r="DM9" s="673" t="s">
        <v>1050</v>
      </c>
      <c r="DN9" s="580" t="s">
        <v>1049</v>
      </c>
      <c r="DO9" s="673" t="s">
        <v>1050</v>
      </c>
      <c r="DP9" s="580" t="s">
        <v>1049</v>
      </c>
      <c r="DQ9" s="673" t="s">
        <v>1050</v>
      </c>
      <c r="DR9" s="580" t="s">
        <v>1049</v>
      </c>
      <c r="DS9" s="673" t="s">
        <v>1050</v>
      </c>
      <c r="DT9" s="580" t="s">
        <v>1049</v>
      </c>
      <c r="DU9" s="673" t="s">
        <v>1050</v>
      </c>
      <c r="DV9" s="580" t="s">
        <v>1049</v>
      </c>
      <c r="DW9" s="673" t="s">
        <v>1050</v>
      </c>
      <c r="DX9" s="580" t="s">
        <v>1049</v>
      </c>
      <c r="DY9" s="673" t="s">
        <v>1050</v>
      </c>
      <c r="DZ9" s="580" t="s">
        <v>1049</v>
      </c>
      <c r="EA9" s="673" t="s">
        <v>1050</v>
      </c>
      <c r="EB9" s="580" t="s">
        <v>1049</v>
      </c>
      <c r="EC9" s="673" t="s">
        <v>1050</v>
      </c>
      <c r="ED9" s="580" t="s">
        <v>1049</v>
      </c>
      <c r="EE9" s="673" t="s">
        <v>1050</v>
      </c>
      <c r="EF9" s="580" t="s">
        <v>1049</v>
      </c>
      <c r="EG9" s="673" t="s">
        <v>1050</v>
      </c>
      <c r="EH9" s="580" t="s">
        <v>1049</v>
      </c>
      <c r="EI9" s="673" t="s">
        <v>1050</v>
      </c>
      <c r="EJ9" s="580" t="s">
        <v>1049</v>
      </c>
      <c r="EK9" s="673" t="s">
        <v>1050</v>
      </c>
      <c r="EL9" s="580" t="s">
        <v>1049</v>
      </c>
      <c r="EM9" s="673" t="s">
        <v>1050</v>
      </c>
      <c r="EN9" s="580" t="s">
        <v>1049</v>
      </c>
      <c r="EO9" s="673" t="s">
        <v>1050</v>
      </c>
      <c r="EP9" s="580" t="s">
        <v>1049</v>
      </c>
      <c r="EQ9" s="673" t="s">
        <v>1050</v>
      </c>
      <c r="ER9" s="580" t="s">
        <v>1049</v>
      </c>
      <c r="ES9" s="673" t="s">
        <v>1050</v>
      </c>
      <c r="ET9" s="580" t="s">
        <v>1049</v>
      </c>
      <c r="EU9" s="673" t="s">
        <v>1050</v>
      </c>
      <c r="EV9" s="580" t="s">
        <v>1049</v>
      </c>
      <c r="EW9" s="673" t="s">
        <v>1050</v>
      </c>
      <c r="EX9" s="580" t="s">
        <v>1049</v>
      </c>
      <c r="EY9" s="673" t="s">
        <v>1050</v>
      </c>
      <c r="EZ9" s="580" t="s">
        <v>1049</v>
      </c>
      <c r="FA9" s="673" t="s">
        <v>1050</v>
      </c>
      <c r="FB9" s="580" t="s">
        <v>1049</v>
      </c>
      <c r="FC9" s="673" t="s">
        <v>1050</v>
      </c>
      <c r="FD9" s="580" t="s">
        <v>1049</v>
      </c>
      <c r="FE9" s="673" t="s">
        <v>1050</v>
      </c>
      <c r="FF9" s="580" t="s">
        <v>1049</v>
      </c>
      <c r="FG9" s="673" t="s">
        <v>1050</v>
      </c>
      <c r="FH9" s="580" t="s">
        <v>1049</v>
      </c>
      <c r="FI9" s="673" t="s">
        <v>1050</v>
      </c>
      <c r="FJ9" s="580" t="s">
        <v>1049</v>
      </c>
      <c r="FK9" s="673" t="s">
        <v>1050</v>
      </c>
      <c r="FL9" s="580" t="s">
        <v>1049</v>
      </c>
      <c r="FM9" s="673" t="s">
        <v>1050</v>
      </c>
      <c r="FN9" s="580" t="s">
        <v>1049</v>
      </c>
      <c r="FO9" s="673" t="s">
        <v>1050</v>
      </c>
      <c r="FP9" s="580" t="s">
        <v>1049</v>
      </c>
      <c r="FQ9" s="673" t="s">
        <v>1050</v>
      </c>
      <c r="FR9" s="580" t="s">
        <v>1049</v>
      </c>
      <c r="FS9" s="673" t="s">
        <v>1050</v>
      </c>
      <c r="FT9" s="580" t="s">
        <v>1049</v>
      </c>
      <c r="FU9" s="673" t="s">
        <v>1050</v>
      </c>
      <c r="FV9" s="580" t="s">
        <v>1049</v>
      </c>
      <c r="FW9" s="673" t="s">
        <v>1050</v>
      </c>
      <c r="FX9" s="580" t="s">
        <v>1049</v>
      </c>
      <c r="FY9" s="673" t="s">
        <v>1050</v>
      </c>
      <c r="FZ9" s="580" t="s">
        <v>1049</v>
      </c>
      <c r="GA9" s="673" t="s">
        <v>1050</v>
      </c>
      <c r="GB9" s="580" t="s">
        <v>1049</v>
      </c>
      <c r="GC9" s="673" t="s">
        <v>1050</v>
      </c>
      <c r="GD9" s="580" t="s">
        <v>1049</v>
      </c>
      <c r="GE9" s="673" t="s">
        <v>1050</v>
      </c>
      <c r="GF9" s="580" t="s">
        <v>1049</v>
      </c>
      <c r="GG9" s="673" t="s">
        <v>1050</v>
      </c>
      <c r="GH9" s="580" t="s">
        <v>1049</v>
      </c>
      <c r="GI9" s="673" t="s">
        <v>1050</v>
      </c>
      <c r="GJ9" s="580" t="s">
        <v>1049</v>
      </c>
      <c r="GK9" s="673" t="s">
        <v>1050</v>
      </c>
      <c r="GL9" s="580" t="s">
        <v>1049</v>
      </c>
      <c r="GM9" s="673" t="s">
        <v>1050</v>
      </c>
      <c r="GN9" s="580" t="s">
        <v>1049</v>
      </c>
      <c r="GO9" s="673" t="s">
        <v>1050</v>
      </c>
      <c r="GP9" s="580" t="s">
        <v>1047</v>
      </c>
      <c r="GQ9" s="673" t="s">
        <v>1048</v>
      </c>
      <c r="GR9" s="279" t="s">
        <v>1010</v>
      </c>
      <c r="GS9" s="279" t="s">
        <v>197</v>
      </c>
      <c r="GT9" s="563"/>
      <c r="GU9" s="103"/>
      <c r="GV9" s="103"/>
      <c r="GW9" s="563"/>
      <c r="GX9" s="563"/>
      <c r="GY9" s="103"/>
      <c r="GZ9" s="103"/>
      <c r="HA9" s="103"/>
      <c r="HB9" s="103"/>
      <c r="HC9" s="103"/>
      <c r="HD9" s="103"/>
      <c r="HE9" s="103"/>
      <c r="HF9" s="103"/>
      <c r="HG9" s="591" t="s">
        <v>1011</v>
      </c>
      <c r="HH9" s="153" t="s">
        <v>458</v>
      </c>
      <c r="HI9" s="70" t="s">
        <v>511</v>
      </c>
      <c r="HJ9" s="153" t="s">
        <v>458</v>
      </c>
      <c r="HK9" s="70" t="s">
        <v>511</v>
      </c>
      <c r="HL9" s="153" t="s">
        <v>458</v>
      </c>
      <c r="HM9" s="70" t="s">
        <v>511</v>
      </c>
      <c r="HN9" s="592" t="s">
        <v>203</v>
      </c>
      <c r="HO9" s="279" t="s">
        <v>458</v>
      </c>
      <c r="HP9" s="153" t="s">
        <v>458</v>
      </c>
      <c r="HQ9" s="70" t="s">
        <v>511</v>
      </c>
      <c r="HR9" s="153" t="s">
        <v>458</v>
      </c>
      <c r="HS9" s="70" t="s">
        <v>511</v>
      </c>
      <c r="HT9" s="153" t="s">
        <v>458</v>
      </c>
      <c r="HU9" s="70" t="s">
        <v>511</v>
      </c>
      <c r="HV9" s="153" t="s">
        <v>458</v>
      </c>
      <c r="HW9" s="70" t="s">
        <v>511</v>
      </c>
      <c r="HX9" s="153" t="s">
        <v>458</v>
      </c>
      <c r="HY9" s="70" t="s">
        <v>511</v>
      </c>
      <c r="HZ9" s="153" t="s">
        <v>458</v>
      </c>
      <c r="IA9" s="70" t="s">
        <v>511</v>
      </c>
      <c r="IB9" s="153" t="s">
        <v>458</v>
      </c>
      <c r="IC9" s="70" t="s">
        <v>511</v>
      </c>
      <c r="ID9" s="70" t="s">
        <v>203</v>
      </c>
      <c r="IE9" s="103" t="s">
        <v>458</v>
      </c>
      <c r="IF9" s="723" t="s">
        <v>511</v>
      </c>
      <c r="IG9" s="279" t="s">
        <v>509</v>
      </c>
      <c r="IH9" s="724" t="s">
        <v>512</v>
      </c>
      <c r="II9" s="153" t="s">
        <v>460</v>
      </c>
      <c r="IJ9" s="70" t="s">
        <v>461</v>
      </c>
      <c r="IK9" s="70" t="s">
        <v>513</v>
      </c>
      <c r="IL9" s="279" t="s">
        <v>460</v>
      </c>
      <c r="IM9" s="279" t="s">
        <v>461</v>
      </c>
      <c r="IN9" s="279" t="s">
        <v>513</v>
      </c>
      <c r="IO9" s="279" t="s">
        <v>460</v>
      </c>
      <c r="IP9" s="279" t="s">
        <v>461</v>
      </c>
      <c r="IQ9" s="279" t="s">
        <v>513</v>
      </c>
      <c r="IR9" s="279" t="s">
        <v>459</v>
      </c>
      <c r="IS9" s="279" t="s">
        <v>460</v>
      </c>
      <c r="IT9" s="279" t="s">
        <v>461</v>
      </c>
      <c r="IU9" s="279" t="s">
        <v>460</v>
      </c>
      <c r="IV9" s="279" t="s">
        <v>461</v>
      </c>
      <c r="IW9" s="279" t="s">
        <v>513</v>
      </c>
      <c r="IX9" s="279" t="s">
        <v>460</v>
      </c>
      <c r="IY9" s="279" t="s">
        <v>461</v>
      </c>
      <c r="IZ9" s="279" t="s">
        <v>513</v>
      </c>
      <c r="JA9" s="279" t="s">
        <v>460</v>
      </c>
      <c r="JB9" s="279" t="s">
        <v>461</v>
      </c>
      <c r="JC9" s="279" t="s">
        <v>513</v>
      </c>
      <c r="JD9" s="279" t="s">
        <v>460</v>
      </c>
      <c r="JE9" s="279" t="s">
        <v>461</v>
      </c>
      <c r="JF9" s="279" t="s">
        <v>513</v>
      </c>
      <c r="JG9" s="279" t="s">
        <v>460</v>
      </c>
      <c r="JH9" s="279" t="s">
        <v>461</v>
      </c>
      <c r="JI9" s="279" t="s">
        <v>513</v>
      </c>
      <c r="JJ9" s="279" t="s">
        <v>460</v>
      </c>
      <c r="JK9" s="279" t="s">
        <v>461</v>
      </c>
      <c r="JL9" s="279" t="s">
        <v>513</v>
      </c>
      <c r="JM9" s="279" t="s">
        <v>460</v>
      </c>
      <c r="JN9" s="279" t="s">
        <v>461</v>
      </c>
      <c r="JO9" s="279" t="s">
        <v>513</v>
      </c>
      <c r="JP9" s="279" t="s">
        <v>460</v>
      </c>
      <c r="JQ9" s="279" t="s">
        <v>461</v>
      </c>
      <c r="JR9" s="279" t="s">
        <v>513</v>
      </c>
      <c r="JS9" s="279" t="s">
        <v>1012</v>
      </c>
      <c r="JT9" s="297" t="s">
        <v>1013</v>
      </c>
      <c r="JU9" s="522"/>
      <c r="JV9" s="875"/>
      <c r="JW9" s="523"/>
      <c r="JX9" s="546"/>
      <c r="JY9" s="546"/>
      <c r="JZ9" s="546" t="s">
        <v>1049</v>
      </c>
      <c r="KA9" s="546" t="s">
        <v>1050</v>
      </c>
      <c r="KB9" s="546"/>
      <c r="KD9" s="961"/>
      <c r="KE9" s="964"/>
      <c r="KF9" s="114" t="s">
        <v>516</v>
      </c>
      <c r="KG9" s="115" t="s">
        <v>522</v>
      </c>
      <c r="KH9" s="116" t="s">
        <v>124</v>
      </c>
      <c r="KI9" s="116" t="s">
        <v>451</v>
      </c>
      <c r="KJ9" s="116" t="s">
        <v>523</v>
      </c>
      <c r="KK9" s="116" t="s">
        <v>510</v>
      </c>
    </row>
    <row r="10" spans="1:299" s="6" customFormat="1" ht="17.25" customHeight="1" thickTop="1" thickBot="1">
      <c r="A10" s="287"/>
      <c r="B10" s="288" t="s">
        <v>48</v>
      </c>
      <c r="C10" s="289">
        <f t="shared" ref="C10:BN10" si="0">C12+C658</f>
        <v>57782700</v>
      </c>
      <c r="D10" s="581">
        <f t="shared" ref="D10:E10" si="1">D12+D658</f>
        <v>6453</v>
      </c>
      <c r="E10" s="674">
        <f t="shared" si="1"/>
        <v>-6453</v>
      </c>
      <c r="F10" s="581">
        <f t="shared" ref="F10:G10" si="2">F12+F658</f>
        <v>13000</v>
      </c>
      <c r="G10" s="674">
        <f t="shared" si="2"/>
        <v>-13000</v>
      </c>
      <c r="H10" s="581">
        <f t="shared" ref="H10:I10" si="3">H12+H658</f>
        <v>30000</v>
      </c>
      <c r="I10" s="674">
        <f t="shared" si="3"/>
        <v>-30000</v>
      </c>
      <c r="J10" s="581">
        <f t="shared" ref="J10:K10" si="4">J12+J658</f>
        <v>227500</v>
      </c>
      <c r="K10" s="674">
        <f t="shared" si="4"/>
        <v>-227500</v>
      </c>
      <c r="L10" s="581">
        <f t="shared" ref="L10:M10" si="5">L12+L658</f>
        <v>30000</v>
      </c>
      <c r="M10" s="674">
        <f t="shared" si="5"/>
        <v>-30000</v>
      </c>
      <c r="N10" s="581">
        <f t="shared" ref="N10:O10" si="6">N12+N658</f>
        <v>186132</v>
      </c>
      <c r="O10" s="674">
        <f t="shared" si="6"/>
        <v>-186132</v>
      </c>
      <c r="P10" s="581">
        <f t="shared" ref="P10:Q10" si="7">P12+P658</f>
        <v>0</v>
      </c>
      <c r="Q10" s="674">
        <f t="shared" si="7"/>
        <v>-3724</v>
      </c>
      <c r="R10" s="581">
        <f t="shared" ref="R10:S10" si="8">R12+R658</f>
        <v>25212</v>
      </c>
      <c r="S10" s="674">
        <f t="shared" si="8"/>
        <v>-25212</v>
      </c>
      <c r="T10" s="581">
        <f t="shared" ref="T10:U10" si="9">T12+T658</f>
        <v>201300</v>
      </c>
      <c r="U10" s="674">
        <f t="shared" si="9"/>
        <v>-201300</v>
      </c>
      <c r="V10" s="581">
        <f t="shared" ref="V10:W10" si="10">V12+V658</f>
        <v>48700</v>
      </c>
      <c r="W10" s="674">
        <f t="shared" si="10"/>
        <v>-48700</v>
      </c>
      <c r="X10" s="581">
        <f t="shared" ref="X10:Y10" si="11">X12+X658</f>
        <v>10000</v>
      </c>
      <c r="Y10" s="674">
        <f t="shared" si="11"/>
        <v>-10000</v>
      </c>
      <c r="Z10" s="581">
        <f t="shared" ref="Z10:AA10" si="12">Z12+Z658</f>
        <v>266314</v>
      </c>
      <c r="AA10" s="674">
        <f t="shared" si="12"/>
        <v>-266314</v>
      </c>
      <c r="AB10" s="581">
        <f t="shared" ref="AB10:AC10" si="13">AB12+AB658</f>
        <v>128901</v>
      </c>
      <c r="AC10" s="674">
        <f t="shared" si="13"/>
        <v>-128901</v>
      </c>
      <c r="AD10" s="581">
        <f t="shared" ref="AD10:AE10" si="14">AD12+AD658</f>
        <v>7000</v>
      </c>
      <c r="AE10" s="674">
        <f t="shared" si="14"/>
        <v>-7000</v>
      </c>
      <c r="AF10" s="581">
        <f t="shared" ref="AF10:AG10" si="15">AF12+AF658</f>
        <v>20000</v>
      </c>
      <c r="AG10" s="674">
        <f t="shared" si="15"/>
        <v>-20000</v>
      </c>
      <c r="AH10" s="581">
        <f t="shared" ref="AH10:AI10" si="16">AH12+AH658</f>
        <v>123000</v>
      </c>
      <c r="AI10" s="674">
        <f t="shared" si="16"/>
        <v>-123000</v>
      </c>
      <c r="AJ10" s="581">
        <f t="shared" ref="AJ10:AK10" si="17">AJ12+AJ658</f>
        <v>299000</v>
      </c>
      <c r="AK10" s="674">
        <f t="shared" si="17"/>
        <v>-299000</v>
      </c>
      <c r="AL10" s="581">
        <f t="shared" ref="AL10:AM10" si="18">AL12+AL658</f>
        <v>5400</v>
      </c>
      <c r="AM10" s="674">
        <f t="shared" si="18"/>
        <v>-5400</v>
      </c>
      <c r="AN10" s="581">
        <f t="shared" ref="AN10:AO10" si="19">AN12+AN658</f>
        <v>125000</v>
      </c>
      <c r="AO10" s="674">
        <f t="shared" si="19"/>
        <v>-125000</v>
      </c>
      <c r="AP10" s="581">
        <f t="shared" ref="AP10:AQ10" si="20">AP12+AP658</f>
        <v>269095</v>
      </c>
      <c r="AQ10" s="674">
        <f t="shared" si="20"/>
        <v>-269095</v>
      </c>
      <c r="AR10" s="581">
        <f t="shared" ref="AR10:AS10" si="21">AR12+AR658</f>
        <v>8480</v>
      </c>
      <c r="AS10" s="674">
        <f t="shared" si="21"/>
        <v>-8480</v>
      </c>
      <c r="AT10" s="581">
        <f t="shared" ref="AT10:AU10" si="22">AT12+AT658</f>
        <v>299000</v>
      </c>
      <c r="AU10" s="674">
        <f t="shared" si="22"/>
        <v>-299000</v>
      </c>
      <c r="AV10" s="581">
        <f t="shared" ref="AV10:AW10" si="23">AV12+AV658</f>
        <v>78684</v>
      </c>
      <c r="AW10" s="674">
        <f t="shared" si="23"/>
        <v>-78684</v>
      </c>
      <c r="AX10" s="581">
        <f t="shared" ref="AX10:AY10" si="24">AX12+AX658</f>
        <v>298905</v>
      </c>
      <c r="AY10" s="674">
        <f t="shared" si="24"/>
        <v>-298905</v>
      </c>
      <c r="AZ10" s="581">
        <f t="shared" si="0"/>
        <v>35000</v>
      </c>
      <c r="BA10" s="674">
        <f t="shared" si="0"/>
        <v>-35000</v>
      </c>
      <c r="BB10" s="581">
        <f t="shared" si="0"/>
        <v>290000</v>
      </c>
      <c r="BC10" s="674">
        <f t="shared" si="0"/>
        <v>-290000</v>
      </c>
      <c r="BD10" s="581">
        <f t="shared" si="0"/>
        <v>32000</v>
      </c>
      <c r="BE10" s="674">
        <f t="shared" si="0"/>
        <v>-32000</v>
      </c>
      <c r="BF10" s="581">
        <f t="shared" si="0"/>
        <v>39000</v>
      </c>
      <c r="BG10" s="674">
        <f t="shared" si="0"/>
        <v>-39000</v>
      </c>
      <c r="BH10" s="581">
        <f t="shared" si="0"/>
        <v>27000</v>
      </c>
      <c r="BI10" s="674">
        <f t="shared" si="0"/>
        <v>-27000</v>
      </c>
      <c r="BJ10" s="581">
        <f t="shared" si="0"/>
        <v>3000</v>
      </c>
      <c r="BK10" s="674">
        <f t="shared" si="0"/>
        <v>-3000</v>
      </c>
      <c r="BL10" s="581">
        <f t="shared" si="0"/>
        <v>6599</v>
      </c>
      <c r="BM10" s="674">
        <f t="shared" si="0"/>
        <v>-6599</v>
      </c>
      <c r="BN10" s="581">
        <f t="shared" si="0"/>
        <v>5000</v>
      </c>
      <c r="BO10" s="674">
        <f t="shared" ref="BO10" si="25">BO12+BO658</f>
        <v>-5000</v>
      </c>
      <c r="BP10" s="581">
        <f t="shared" ref="BP10:BQ10" si="26">BP12+BP658</f>
        <v>20000</v>
      </c>
      <c r="BQ10" s="674">
        <f t="shared" si="26"/>
        <v>-20000</v>
      </c>
      <c r="BR10" s="581">
        <f t="shared" ref="BR10:BS10" si="27">BR12+BR658</f>
        <v>116922</v>
      </c>
      <c r="BS10" s="674">
        <f t="shared" si="27"/>
        <v>-116922</v>
      </c>
      <c r="BT10" s="581">
        <f t="shared" ref="BT10:BU10" si="28">BT12+BT658</f>
        <v>231000</v>
      </c>
      <c r="BU10" s="674">
        <f t="shared" si="28"/>
        <v>-231000</v>
      </c>
      <c r="BV10" s="581">
        <f t="shared" ref="BV10:BW10" si="29">BV12+BV658</f>
        <v>7480</v>
      </c>
      <c r="BW10" s="674">
        <f t="shared" si="29"/>
        <v>-7480</v>
      </c>
      <c r="BX10" s="581">
        <f t="shared" ref="BX10:BY10" si="30">BX12+BX658</f>
        <v>12012</v>
      </c>
      <c r="BY10" s="674">
        <f t="shared" si="30"/>
        <v>-12012</v>
      </c>
      <c r="BZ10" s="581">
        <f t="shared" ref="BZ10:CA10" si="31">BZ12+BZ658</f>
        <v>1775</v>
      </c>
      <c r="CA10" s="674">
        <f t="shared" si="31"/>
        <v>-1775</v>
      </c>
      <c r="CB10" s="581">
        <f t="shared" ref="CB10:DZ10" si="32">CB12+CB658</f>
        <v>15000</v>
      </c>
      <c r="CC10" s="674">
        <f t="shared" si="32"/>
        <v>-15000</v>
      </c>
      <c r="CD10" s="581">
        <f t="shared" si="32"/>
        <v>4800</v>
      </c>
      <c r="CE10" s="674">
        <f t="shared" si="32"/>
        <v>-4800</v>
      </c>
      <c r="CF10" s="581">
        <f t="shared" si="32"/>
        <v>175263</v>
      </c>
      <c r="CG10" s="674">
        <f t="shared" si="32"/>
        <v>-175263</v>
      </c>
      <c r="CH10" s="581">
        <f t="shared" si="32"/>
        <v>13000</v>
      </c>
      <c r="CI10" s="674">
        <f t="shared" si="32"/>
        <v>-13000</v>
      </c>
      <c r="CJ10" s="581">
        <f t="shared" si="32"/>
        <v>299968</v>
      </c>
      <c r="CK10" s="674">
        <f t="shared" si="32"/>
        <v>-299968</v>
      </c>
      <c r="CL10" s="581">
        <f t="shared" si="32"/>
        <v>18000</v>
      </c>
      <c r="CM10" s="674">
        <f t="shared" si="32"/>
        <v>-18000</v>
      </c>
      <c r="CN10" s="581">
        <f t="shared" si="32"/>
        <v>7566</v>
      </c>
      <c r="CO10" s="674">
        <f t="shared" si="32"/>
        <v>-7566</v>
      </c>
      <c r="CP10" s="581">
        <f t="shared" si="32"/>
        <v>20655</v>
      </c>
      <c r="CQ10" s="674">
        <f t="shared" si="32"/>
        <v>-20655</v>
      </c>
      <c r="CR10" s="581">
        <f t="shared" si="32"/>
        <v>65854</v>
      </c>
      <c r="CS10" s="674">
        <f t="shared" si="32"/>
        <v>-65854</v>
      </c>
      <c r="CT10" s="581">
        <f t="shared" si="32"/>
        <v>3000</v>
      </c>
      <c r="CU10" s="674">
        <f t="shared" si="32"/>
        <v>-3000</v>
      </c>
      <c r="CV10" s="581">
        <f t="shared" si="32"/>
        <v>4500</v>
      </c>
      <c r="CW10" s="674">
        <f t="shared" si="32"/>
        <v>-4500</v>
      </c>
      <c r="CX10" s="581">
        <f t="shared" si="32"/>
        <v>100000</v>
      </c>
      <c r="CY10" s="674">
        <f t="shared" si="32"/>
        <v>-100000</v>
      </c>
      <c r="CZ10" s="581">
        <f t="shared" si="32"/>
        <v>39000</v>
      </c>
      <c r="DA10" s="674">
        <f t="shared" si="32"/>
        <v>-39000</v>
      </c>
      <c r="DB10" s="581">
        <f t="shared" si="32"/>
        <v>133000</v>
      </c>
      <c r="DC10" s="674">
        <f t="shared" si="32"/>
        <v>-133000</v>
      </c>
      <c r="DD10" s="581">
        <f t="shared" si="32"/>
        <v>11072</v>
      </c>
      <c r="DE10" s="674">
        <f t="shared" si="32"/>
        <v>-11072</v>
      </c>
      <c r="DF10" s="581">
        <f t="shared" si="32"/>
        <v>100000</v>
      </c>
      <c r="DG10" s="674">
        <f t="shared" si="32"/>
        <v>-100000</v>
      </c>
      <c r="DH10" s="581">
        <f t="shared" si="32"/>
        <v>21000</v>
      </c>
      <c r="DI10" s="674">
        <f t="shared" si="32"/>
        <v>-21000</v>
      </c>
      <c r="DJ10" s="581">
        <f t="shared" si="32"/>
        <v>12000</v>
      </c>
      <c r="DK10" s="674">
        <f t="shared" si="32"/>
        <v>-12000</v>
      </c>
      <c r="DL10" s="581">
        <f t="shared" si="32"/>
        <v>45400</v>
      </c>
      <c r="DM10" s="674">
        <f t="shared" si="32"/>
        <v>-45400</v>
      </c>
      <c r="DN10" s="581">
        <f t="shared" si="32"/>
        <v>230937</v>
      </c>
      <c r="DO10" s="674">
        <f t="shared" si="32"/>
        <v>-230937</v>
      </c>
      <c r="DP10" s="581">
        <f t="shared" si="32"/>
        <v>54600</v>
      </c>
      <c r="DQ10" s="674">
        <f t="shared" si="32"/>
        <v>-54600</v>
      </c>
      <c r="DR10" s="581">
        <f t="shared" si="32"/>
        <v>62929</v>
      </c>
      <c r="DS10" s="674">
        <f t="shared" si="32"/>
        <v>-62929</v>
      </c>
      <c r="DT10" s="581">
        <f t="shared" si="32"/>
        <v>9485</v>
      </c>
      <c r="DU10" s="674">
        <f t="shared" si="32"/>
        <v>-9485</v>
      </c>
      <c r="DV10" s="581">
        <f t="shared" si="32"/>
        <v>44000</v>
      </c>
      <c r="DW10" s="674">
        <f t="shared" si="32"/>
        <v>-44000</v>
      </c>
      <c r="DX10" s="581">
        <f t="shared" si="32"/>
        <v>130371</v>
      </c>
      <c r="DY10" s="674">
        <f t="shared" si="32"/>
        <v>-130371</v>
      </c>
      <c r="DZ10" s="581">
        <f t="shared" si="32"/>
        <v>25843</v>
      </c>
      <c r="EA10" s="674">
        <f t="shared" ref="EA10" si="33">EA12+EA658</f>
        <v>-25843</v>
      </c>
      <c r="EB10" s="581">
        <f t="shared" ref="EB10:HB10" si="34">EB12+EB658</f>
        <v>3660</v>
      </c>
      <c r="EC10" s="674">
        <f t="shared" si="34"/>
        <v>-3660</v>
      </c>
      <c r="ED10" s="581">
        <f t="shared" si="34"/>
        <v>48000</v>
      </c>
      <c r="EE10" s="674">
        <f t="shared" si="34"/>
        <v>-48000</v>
      </c>
      <c r="EF10" s="581">
        <f t="shared" si="34"/>
        <v>102272</v>
      </c>
      <c r="EG10" s="674">
        <f t="shared" si="34"/>
        <v>-102272</v>
      </c>
      <c r="EH10" s="581">
        <f t="shared" si="34"/>
        <v>290000</v>
      </c>
      <c r="EI10" s="674">
        <f t="shared" si="34"/>
        <v>-290000</v>
      </c>
      <c r="EJ10" s="581">
        <f t="shared" si="34"/>
        <v>52500</v>
      </c>
      <c r="EK10" s="674">
        <f t="shared" si="34"/>
        <v>-52500</v>
      </c>
      <c r="EL10" s="581">
        <f t="shared" si="34"/>
        <v>19500</v>
      </c>
      <c r="EM10" s="674">
        <f t="shared" si="34"/>
        <v>-19500</v>
      </c>
      <c r="EN10" s="581">
        <f t="shared" si="34"/>
        <v>49219</v>
      </c>
      <c r="EO10" s="674">
        <f t="shared" si="34"/>
        <v>-49219</v>
      </c>
      <c r="EP10" s="581">
        <f t="shared" si="34"/>
        <v>210000</v>
      </c>
      <c r="EQ10" s="674">
        <f t="shared" si="34"/>
        <v>-210000</v>
      </c>
      <c r="ER10" s="581">
        <f t="shared" si="34"/>
        <v>49219</v>
      </c>
      <c r="ES10" s="674">
        <f t="shared" si="34"/>
        <v>-49219</v>
      </c>
      <c r="ET10" s="581">
        <f t="shared" si="34"/>
        <v>11000</v>
      </c>
      <c r="EU10" s="674">
        <f t="shared" si="34"/>
        <v>-11000</v>
      </c>
      <c r="EV10" s="581">
        <f t="shared" si="34"/>
        <v>1803</v>
      </c>
      <c r="EW10" s="674">
        <f t="shared" si="34"/>
        <v>-1803</v>
      </c>
      <c r="EX10" s="581">
        <f t="shared" si="34"/>
        <v>25600</v>
      </c>
      <c r="EY10" s="674">
        <f t="shared" si="34"/>
        <v>-25600</v>
      </c>
      <c r="EZ10" s="581">
        <f t="shared" si="34"/>
        <v>15400</v>
      </c>
      <c r="FA10" s="674">
        <f t="shared" si="34"/>
        <v>-15400</v>
      </c>
      <c r="FB10" s="581">
        <f t="shared" si="34"/>
        <v>21946</v>
      </c>
      <c r="FC10" s="674">
        <f t="shared" si="34"/>
        <v>-21946</v>
      </c>
      <c r="FD10" s="581">
        <f t="shared" si="34"/>
        <v>10600</v>
      </c>
      <c r="FE10" s="674">
        <f t="shared" si="34"/>
        <v>-10600</v>
      </c>
      <c r="FF10" s="581">
        <f t="shared" si="34"/>
        <v>2940</v>
      </c>
      <c r="FG10" s="674">
        <f t="shared" si="34"/>
        <v>-2940</v>
      </c>
      <c r="FH10" s="581">
        <f t="shared" si="34"/>
        <v>4200</v>
      </c>
      <c r="FI10" s="674">
        <f t="shared" si="34"/>
        <v>-4200</v>
      </c>
      <c r="FJ10" s="581">
        <f t="shared" si="34"/>
        <v>5000</v>
      </c>
      <c r="FK10" s="674">
        <f t="shared" si="34"/>
        <v>-5000</v>
      </c>
      <c r="FL10" s="581">
        <f t="shared" si="34"/>
        <v>41500</v>
      </c>
      <c r="FM10" s="674">
        <f t="shared" si="34"/>
        <v>-41500</v>
      </c>
      <c r="FN10" s="581">
        <f t="shared" si="34"/>
        <v>78166</v>
      </c>
      <c r="FO10" s="674">
        <f t="shared" si="34"/>
        <v>-78166</v>
      </c>
      <c r="FP10" s="581">
        <f t="shared" si="34"/>
        <v>10000</v>
      </c>
      <c r="FQ10" s="674">
        <f t="shared" si="34"/>
        <v>-10000</v>
      </c>
      <c r="FR10" s="581">
        <f t="shared" si="34"/>
        <v>68715</v>
      </c>
      <c r="FS10" s="674">
        <f t="shared" si="34"/>
        <v>-68715</v>
      </c>
      <c r="FT10" s="581">
        <f t="shared" si="34"/>
        <v>10857</v>
      </c>
      <c r="FU10" s="674">
        <f t="shared" si="34"/>
        <v>-10857</v>
      </c>
      <c r="FV10" s="581">
        <f t="shared" si="34"/>
        <v>6976</v>
      </c>
      <c r="FW10" s="674">
        <f t="shared" si="34"/>
        <v>-6976</v>
      </c>
      <c r="FX10" s="581">
        <f t="shared" ref="FX10:GK10" si="35">FX12+FX658</f>
        <v>6703</v>
      </c>
      <c r="FY10" s="674">
        <f t="shared" si="35"/>
        <v>-6703</v>
      </c>
      <c r="FZ10" s="581">
        <f t="shared" ref="FZ10:GI10" si="36">FZ12+FZ658</f>
        <v>299000</v>
      </c>
      <c r="GA10" s="674">
        <f t="shared" si="36"/>
        <v>-299000</v>
      </c>
      <c r="GB10" s="581">
        <f t="shared" si="36"/>
        <v>0</v>
      </c>
      <c r="GC10" s="674">
        <f t="shared" si="36"/>
        <v>0</v>
      </c>
      <c r="GD10" s="581">
        <f t="shared" si="36"/>
        <v>0</v>
      </c>
      <c r="GE10" s="674">
        <f t="shared" si="36"/>
        <v>0</v>
      </c>
      <c r="GF10" s="581">
        <f t="shared" si="36"/>
        <v>0</v>
      </c>
      <c r="GG10" s="674">
        <f t="shared" si="36"/>
        <v>0</v>
      </c>
      <c r="GH10" s="581">
        <f t="shared" si="36"/>
        <v>0</v>
      </c>
      <c r="GI10" s="674">
        <f t="shared" si="36"/>
        <v>0</v>
      </c>
      <c r="GJ10" s="581">
        <f t="shared" si="35"/>
        <v>0</v>
      </c>
      <c r="GK10" s="674">
        <f t="shared" si="35"/>
        <v>0</v>
      </c>
      <c r="GL10" s="581">
        <f t="shared" si="34"/>
        <v>0</v>
      </c>
      <c r="GM10" s="674">
        <f t="shared" si="34"/>
        <v>0</v>
      </c>
      <c r="GN10" s="581">
        <f t="shared" ref="GN10:GO10" si="37">GN12+GN658</f>
        <v>0</v>
      </c>
      <c r="GO10" s="674">
        <f t="shared" si="37"/>
        <v>0</v>
      </c>
      <c r="GP10" s="289">
        <f t="shared" si="34"/>
        <v>6629607</v>
      </c>
      <c r="GQ10" s="674">
        <f t="shared" si="34"/>
        <v>-6629607</v>
      </c>
      <c r="GR10" s="289">
        <f t="shared" si="34"/>
        <v>57782700</v>
      </c>
      <c r="GS10" s="289">
        <f t="shared" si="34"/>
        <v>53047580</v>
      </c>
      <c r="GT10" s="289">
        <f t="shared" si="34"/>
        <v>57752900</v>
      </c>
      <c r="GU10" s="289">
        <f>GU12+GU658</f>
        <v>6264070</v>
      </c>
      <c r="GV10" s="289">
        <f t="shared" ref="GV10:HA10" si="38">GV12+GV658</f>
        <v>6877813</v>
      </c>
      <c r="GW10" s="289">
        <f t="shared" si="38"/>
        <v>4894598</v>
      </c>
      <c r="GX10" s="289">
        <f t="shared" si="38"/>
        <v>5562057</v>
      </c>
      <c r="GY10" s="289">
        <f t="shared" si="38"/>
        <v>5478093</v>
      </c>
      <c r="GZ10" s="289">
        <f t="shared" si="38"/>
        <v>4902544</v>
      </c>
      <c r="HA10" s="289">
        <f t="shared" si="38"/>
        <v>5002302</v>
      </c>
      <c r="HB10" s="290">
        <f t="shared" si="34"/>
        <v>4934814</v>
      </c>
      <c r="HC10" s="290">
        <f t="shared" ref="HC10:JN10" si="39">HC12+HC658</f>
        <v>4575694</v>
      </c>
      <c r="HD10" s="290">
        <f t="shared" si="39"/>
        <v>4555595</v>
      </c>
      <c r="HE10" s="290">
        <f t="shared" si="39"/>
        <v>4735120</v>
      </c>
      <c r="HF10" s="290">
        <f t="shared" si="39"/>
        <v>0</v>
      </c>
      <c r="HG10" s="291">
        <f t="shared" si="39"/>
        <v>53195861.700000003</v>
      </c>
      <c r="HH10" s="290">
        <f t="shared" si="39"/>
        <v>529807.52</v>
      </c>
      <c r="HI10" s="289">
        <f t="shared" si="39"/>
        <v>0</v>
      </c>
      <c r="HJ10" s="289">
        <f t="shared" si="39"/>
        <v>321071.41000000003</v>
      </c>
      <c r="HK10" s="289">
        <f t="shared" si="39"/>
        <v>9073900</v>
      </c>
      <c r="HL10" s="289">
        <f t="shared" si="39"/>
        <v>474362.23000000004</v>
      </c>
      <c r="HM10" s="289">
        <f t="shared" si="39"/>
        <v>5368529</v>
      </c>
      <c r="HN10" s="289">
        <f t="shared" si="39"/>
        <v>410343.79</v>
      </c>
      <c r="HO10" s="289">
        <f t="shared" si="39"/>
        <v>5792427</v>
      </c>
      <c r="HP10" s="289">
        <f t="shared" si="39"/>
        <v>377643.68</v>
      </c>
      <c r="HQ10" s="289">
        <f t="shared" si="39"/>
        <v>4332452</v>
      </c>
      <c r="HR10" s="289">
        <f t="shared" si="39"/>
        <v>296152.11</v>
      </c>
      <c r="HS10" s="289">
        <f t="shared" si="39"/>
        <v>4432452</v>
      </c>
      <c r="HT10" s="289">
        <f t="shared" si="39"/>
        <v>252926.45999999996</v>
      </c>
      <c r="HU10" s="289">
        <f t="shared" si="39"/>
        <v>5800326</v>
      </c>
      <c r="HV10" s="289">
        <f t="shared" si="39"/>
        <v>779319.59000000008</v>
      </c>
      <c r="HW10" s="289">
        <f t="shared" si="39"/>
        <v>4075352</v>
      </c>
      <c r="HX10" s="289">
        <f t="shared" si="39"/>
        <v>421105.17</v>
      </c>
      <c r="HY10" s="289">
        <f t="shared" si="39"/>
        <v>4897918</v>
      </c>
      <c r="HZ10" s="289">
        <f t="shared" si="39"/>
        <v>191247.74</v>
      </c>
      <c r="IA10" s="289">
        <f t="shared" si="39"/>
        <v>5368526</v>
      </c>
      <c r="IB10" s="289">
        <f t="shared" si="39"/>
        <v>0</v>
      </c>
      <c r="IC10" s="289">
        <f t="shared" si="39"/>
        <v>0</v>
      </c>
      <c r="ID10" s="289">
        <f t="shared" si="39"/>
        <v>0</v>
      </c>
      <c r="IE10" s="292">
        <f t="shared" si="39"/>
        <v>0</v>
      </c>
      <c r="IF10" s="725">
        <f t="shared" si="39"/>
        <v>44768236.809999995</v>
      </c>
      <c r="IG10" s="293">
        <f t="shared" si="39"/>
        <v>44768236.809999995</v>
      </c>
      <c r="IH10" s="726">
        <f t="shared" si="39"/>
        <v>44768236.809999995</v>
      </c>
      <c r="II10" s="290">
        <f t="shared" si="39"/>
        <v>3120935.04</v>
      </c>
      <c r="IJ10" s="289">
        <f t="shared" si="39"/>
        <v>3120935.04</v>
      </c>
      <c r="IK10" s="289">
        <f t="shared" si="39"/>
        <v>3120935.04</v>
      </c>
      <c r="IL10" s="289">
        <f t="shared" si="39"/>
        <v>4782273.5700000012</v>
      </c>
      <c r="IM10" s="289">
        <f t="shared" si="39"/>
        <v>4782273.5700000012</v>
      </c>
      <c r="IN10" s="289">
        <f t="shared" si="39"/>
        <v>4782273.5700000012</v>
      </c>
      <c r="IO10" s="289">
        <f t="shared" si="39"/>
        <v>2739976.8</v>
      </c>
      <c r="IP10" s="289">
        <f t="shared" si="39"/>
        <v>2739976.8</v>
      </c>
      <c r="IQ10" s="289">
        <f t="shared" si="39"/>
        <v>2739976.8</v>
      </c>
      <c r="IR10" s="289">
        <f t="shared" si="39"/>
        <v>6066089.9100000001</v>
      </c>
      <c r="IS10" s="289">
        <f t="shared" si="39"/>
        <v>6066089.9100000001</v>
      </c>
      <c r="IT10" s="289">
        <f t="shared" si="39"/>
        <v>6066089.9100000001</v>
      </c>
      <c r="IU10" s="289">
        <f t="shared" si="39"/>
        <v>4452612.8</v>
      </c>
      <c r="IV10" s="289">
        <f t="shared" si="39"/>
        <v>4452612.8</v>
      </c>
      <c r="IW10" s="289">
        <f t="shared" si="39"/>
        <v>4452612.8</v>
      </c>
      <c r="IX10" s="289">
        <f t="shared" si="39"/>
        <v>4590646.26</v>
      </c>
      <c r="IY10" s="289">
        <f t="shared" si="39"/>
        <v>4590646.26</v>
      </c>
      <c r="IZ10" s="289">
        <f t="shared" si="39"/>
        <v>4590646.26</v>
      </c>
      <c r="JA10" s="289">
        <f t="shared" si="39"/>
        <v>4531807.4099999992</v>
      </c>
      <c r="JB10" s="289">
        <f t="shared" si="39"/>
        <v>4531807.4099999992</v>
      </c>
      <c r="JC10" s="289">
        <f t="shared" si="39"/>
        <v>4531807.4099999992</v>
      </c>
      <c r="JD10" s="289">
        <f t="shared" si="39"/>
        <v>4881922.72</v>
      </c>
      <c r="JE10" s="289">
        <f t="shared" si="39"/>
        <v>4881922.72</v>
      </c>
      <c r="JF10" s="289">
        <f t="shared" si="39"/>
        <v>4881922.72</v>
      </c>
      <c r="JG10" s="289">
        <f t="shared" si="39"/>
        <v>4757085.5600000005</v>
      </c>
      <c r="JH10" s="289">
        <f t="shared" si="39"/>
        <v>4756840.5600000005</v>
      </c>
      <c r="JI10" s="289">
        <f t="shared" si="39"/>
        <v>4756840.5600000005</v>
      </c>
      <c r="JJ10" s="289">
        <f t="shared" si="39"/>
        <v>4844886.7399999984</v>
      </c>
      <c r="JK10" s="289">
        <f t="shared" si="39"/>
        <v>4845131.7399999984</v>
      </c>
      <c r="JL10" s="289">
        <f t="shared" si="39"/>
        <v>4845131.7399999984</v>
      </c>
      <c r="JM10" s="289">
        <f t="shared" si="39"/>
        <v>0</v>
      </c>
      <c r="JN10" s="289">
        <f t="shared" si="39"/>
        <v>0</v>
      </c>
      <c r="JO10" s="289">
        <f t="shared" ref="JO10:JT10" si="40">JO12+JO658</f>
        <v>0</v>
      </c>
      <c r="JP10" s="289">
        <f t="shared" si="40"/>
        <v>0</v>
      </c>
      <c r="JQ10" s="289">
        <f t="shared" si="40"/>
        <v>0</v>
      </c>
      <c r="JR10" s="289">
        <f t="shared" si="40"/>
        <v>0</v>
      </c>
      <c r="JS10" s="289">
        <f t="shared" si="40"/>
        <v>8427624.8900000006</v>
      </c>
      <c r="JT10" s="656">
        <f t="shared" si="40"/>
        <v>8279343.1900000004</v>
      </c>
      <c r="JU10" s="665"/>
      <c r="JV10" s="524"/>
      <c r="JW10" s="525"/>
      <c r="JX10" s="581">
        <f>JX12+JX658</f>
        <v>4053979.7</v>
      </c>
      <c r="JY10" s="581">
        <f>JY12+JY658</f>
        <v>49141882</v>
      </c>
      <c r="JZ10" s="581">
        <f>GP10</f>
        <v>6629607</v>
      </c>
      <c r="KA10" s="581">
        <f>GQ10</f>
        <v>-6629607</v>
      </c>
      <c r="KB10" s="581">
        <f>KB12+KB658</f>
        <v>53195861.700000003</v>
      </c>
      <c r="KC10" s="709">
        <f t="shared" ref="KC10:KC73" si="41">HG10-KB10</f>
        <v>0</v>
      </c>
      <c r="KD10" s="117"/>
      <c r="KE10" s="118"/>
      <c r="KF10" s="119"/>
      <c r="KG10" s="119"/>
      <c r="KH10" s="120"/>
      <c r="KI10" s="120"/>
      <c r="KJ10" s="120"/>
      <c r="KK10" s="120"/>
    </row>
    <row r="11" spans="1:299" s="5" customFormat="1" ht="13.5" thickBot="1">
      <c r="A11" s="590"/>
      <c r="B11" s="72"/>
      <c r="C11" s="74"/>
      <c r="D11" s="549"/>
      <c r="E11" s="675"/>
      <c r="F11" s="549"/>
      <c r="G11" s="675"/>
      <c r="H11" s="549"/>
      <c r="I11" s="675"/>
      <c r="J11" s="549"/>
      <c r="K11" s="675"/>
      <c r="L11" s="549"/>
      <c r="M11" s="675"/>
      <c r="N11" s="549"/>
      <c r="O11" s="675"/>
      <c r="P11" s="549"/>
      <c r="Q11" s="675"/>
      <c r="R11" s="549"/>
      <c r="S11" s="675"/>
      <c r="T11" s="549"/>
      <c r="U11" s="675"/>
      <c r="V11" s="549"/>
      <c r="W11" s="675"/>
      <c r="X11" s="549"/>
      <c r="Y11" s="675"/>
      <c r="Z11" s="549"/>
      <c r="AA11" s="675"/>
      <c r="AB11" s="549"/>
      <c r="AC11" s="675"/>
      <c r="AD11" s="549"/>
      <c r="AE11" s="675"/>
      <c r="AF11" s="549"/>
      <c r="AG11" s="675"/>
      <c r="AH11" s="549"/>
      <c r="AI11" s="675"/>
      <c r="AJ11" s="549"/>
      <c r="AK11" s="675"/>
      <c r="AL11" s="549"/>
      <c r="AM11" s="675"/>
      <c r="AN11" s="549"/>
      <c r="AO11" s="675"/>
      <c r="AP11" s="549"/>
      <c r="AQ11" s="675"/>
      <c r="AR11" s="549"/>
      <c r="AS11" s="675"/>
      <c r="AT11" s="549"/>
      <c r="AU11" s="675"/>
      <c r="AV11" s="549"/>
      <c r="AW11" s="675"/>
      <c r="AX11" s="549"/>
      <c r="AY11" s="675"/>
      <c r="AZ11" s="549"/>
      <c r="BA11" s="675"/>
      <c r="BB11" s="549"/>
      <c r="BC11" s="675"/>
      <c r="BD11" s="549"/>
      <c r="BE11" s="675"/>
      <c r="BF11" s="549"/>
      <c r="BG11" s="675"/>
      <c r="BH11" s="549"/>
      <c r="BI11" s="675"/>
      <c r="BJ11" s="549"/>
      <c r="BK11" s="675"/>
      <c r="BL11" s="549"/>
      <c r="BM11" s="675"/>
      <c r="BN11" s="549"/>
      <c r="BO11" s="675"/>
      <c r="BP11" s="549"/>
      <c r="BQ11" s="675"/>
      <c r="BR11" s="549"/>
      <c r="BS11" s="675"/>
      <c r="BT11" s="549"/>
      <c r="BU11" s="675"/>
      <c r="BV11" s="549"/>
      <c r="BW11" s="675"/>
      <c r="BX11" s="549"/>
      <c r="BY11" s="675"/>
      <c r="BZ11" s="549"/>
      <c r="CA11" s="675"/>
      <c r="CB11" s="549"/>
      <c r="CC11" s="675"/>
      <c r="CD11" s="549"/>
      <c r="CE11" s="675"/>
      <c r="CF11" s="549"/>
      <c r="CG11" s="675"/>
      <c r="CH11" s="549"/>
      <c r="CI11" s="675"/>
      <c r="CJ11" s="549"/>
      <c r="CK11" s="675"/>
      <c r="CL11" s="549"/>
      <c r="CM11" s="675"/>
      <c r="CN11" s="549"/>
      <c r="CO11" s="675"/>
      <c r="CP11" s="549"/>
      <c r="CQ11" s="675"/>
      <c r="CR11" s="549"/>
      <c r="CS11" s="675"/>
      <c r="CT11" s="549"/>
      <c r="CU11" s="675"/>
      <c r="CV11" s="549"/>
      <c r="CW11" s="675"/>
      <c r="CX11" s="549"/>
      <c r="CY11" s="675"/>
      <c r="CZ11" s="549"/>
      <c r="DA11" s="675"/>
      <c r="DB11" s="549"/>
      <c r="DC11" s="675"/>
      <c r="DD11" s="549"/>
      <c r="DE11" s="675"/>
      <c r="DF11" s="549"/>
      <c r="DG11" s="675"/>
      <c r="DH11" s="549"/>
      <c r="DI11" s="675"/>
      <c r="DJ11" s="549"/>
      <c r="DK11" s="675"/>
      <c r="DL11" s="549"/>
      <c r="DM11" s="675"/>
      <c r="DN11" s="549"/>
      <c r="DO11" s="675"/>
      <c r="DP11" s="549"/>
      <c r="DQ11" s="675"/>
      <c r="DR11" s="549"/>
      <c r="DS11" s="675"/>
      <c r="DT11" s="549"/>
      <c r="DU11" s="675"/>
      <c r="DV11" s="549"/>
      <c r="DW11" s="675"/>
      <c r="DX11" s="549"/>
      <c r="DY11" s="675"/>
      <c r="DZ11" s="549"/>
      <c r="EA11" s="675"/>
      <c r="EB11" s="549"/>
      <c r="EC11" s="675"/>
      <c r="ED11" s="549"/>
      <c r="EE11" s="675"/>
      <c r="EF11" s="549"/>
      <c r="EG11" s="675"/>
      <c r="EH11" s="549"/>
      <c r="EI11" s="675"/>
      <c r="EJ11" s="549"/>
      <c r="EK11" s="675"/>
      <c r="EL11" s="549"/>
      <c r="EM11" s="675"/>
      <c r="EN11" s="549"/>
      <c r="EO11" s="675"/>
      <c r="EP11" s="549"/>
      <c r="EQ11" s="675"/>
      <c r="ER11" s="549"/>
      <c r="ES11" s="675"/>
      <c r="ET11" s="549"/>
      <c r="EU11" s="675"/>
      <c r="EV11" s="549"/>
      <c r="EW11" s="675"/>
      <c r="EX11" s="549"/>
      <c r="EY11" s="675"/>
      <c r="EZ11" s="549"/>
      <c r="FA11" s="675"/>
      <c r="FB11" s="549"/>
      <c r="FC11" s="675"/>
      <c r="FD11" s="549"/>
      <c r="FE11" s="675"/>
      <c r="FF11" s="549"/>
      <c r="FG11" s="675"/>
      <c r="FH11" s="549"/>
      <c r="FI11" s="675"/>
      <c r="FJ11" s="549"/>
      <c r="FK11" s="675"/>
      <c r="FL11" s="549"/>
      <c r="FM11" s="675"/>
      <c r="FN11" s="549"/>
      <c r="FO11" s="675"/>
      <c r="FP11" s="549"/>
      <c r="FQ11" s="675"/>
      <c r="FR11" s="549"/>
      <c r="FS11" s="675"/>
      <c r="FT11" s="549"/>
      <c r="FU11" s="675"/>
      <c r="FV11" s="549"/>
      <c r="FW11" s="675"/>
      <c r="FX11" s="549"/>
      <c r="FY11" s="675"/>
      <c r="FZ11" s="549"/>
      <c r="GA11" s="675"/>
      <c r="GB11" s="549"/>
      <c r="GC11" s="675"/>
      <c r="GD11" s="549"/>
      <c r="GE11" s="675"/>
      <c r="GF11" s="549"/>
      <c r="GG11" s="675"/>
      <c r="GH11" s="549"/>
      <c r="GI11" s="675"/>
      <c r="GJ11" s="549"/>
      <c r="GK11" s="675"/>
      <c r="GL11" s="549"/>
      <c r="GM11" s="675"/>
      <c r="GN11" s="549"/>
      <c r="GO11" s="675"/>
      <c r="GP11" s="74"/>
      <c r="GQ11" s="675"/>
      <c r="GR11" s="74"/>
      <c r="GS11" s="155"/>
      <c r="GT11" s="548"/>
      <c r="GU11" s="154"/>
      <c r="GV11" s="154"/>
      <c r="GW11" s="548"/>
      <c r="GX11" s="548"/>
      <c r="GY11" s="154"/>
      <c r="GZ11" s="154"/>
      <c r="HA11" s="154"/>
      <c r="HB11" s="154"/>
      <c r="HC11" s="154"/>
      <c r="HD11" s="154"/>
      <c r="HE11" s="154"/>
      <c r="HF11" s="154"/>
      <c r="HG11" s="74"/>
      <c r="HH11" s="154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104"/>
      <c r="IF11" s="717"/>
      <c r="IG11" s="263"/>
      <c r="IH11" s="718"/>
      <c r="II11" s="154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  <c r="JD11" s="73"/>
      <c r="JE11" s="73"/>
      <c r="JF11" s="73"/>
      <c r="JG11" s="73"/>
      <c r="JH11" s="73"/>
      <c r="JI11" s="73"/>
      <c r="JJ11" s="73"/>
      <c r="JK11" s="73"/>
      <c r="JL11" s="73"/>
      <c r="JM11" s="73"/>
      <c r="JN11" s="73"/>
      <c r="JO11" s="73"/>
      <c r="JP11" s="73"/>
      <c r="JQ11" s="73"/>
      <c r="JR11" s="73"/>
      <c r="JS11" s="74"/>
      <c r="JT11" s="382"/>
      <c r="JU11" s="666"/>
      <c r="JV11" s="526"/>
      <c r="JW11" s="527"/>
      <c r="JX11" s="547"/>
      <c r="JY11" s="547"/>
      <c r="JZ11" s="581">
        <f t="shared" ref="JZ11:JZ74" si="42">GP11</f>
        <v>0</v>
      </c>
      <c r="KA11" s="581">
        <f t="shared" ref="KA11:KA74" si="43">GQ11</f>
        <v>0</v>
      </c>
      <c r="KB11" s="547"/>
      <c r="KC11" s="709">
        <f t="shared" si="41"/>
        <v>0</v>
      </c>
      <c r="KD11" s="121"/>
      <c r="KE11" s="122" t="s">
        <v>678</v>
      </c>
      <c r="KF11" s="122" t="e">
        <f>KF26+KF27+KF35</f>
        <v>#REF!</v>
      </c>
      <c r="KG11" s="122">
        <f>SUM(KG13,KG21,KG27,KG33)</f>
        <v>53362525</v>
      </c>
      <c r="KH11" s="122">
        <f>SUM(KH13,KH21,KH27,KH33)</f>
        <v>47634958</v>
      </c>
      <c r="KI11" s="122" t="e">
        <f>KI26+KI27+KI35</f>
        <v>#REF!</v>
      </c>
      <c r="KJ11" s="122" t="e">
        <f>KJ26+KJ27+KJ35</f>
        <v>#REF!</v>
      </c>
      <c r="KK11" s="122" t="e">
        <f>KK26+KK27+KK35</f>
        <v>#REF!</v>
      </c>
    </row>
    <row r="12" spans="1:299" s="7" customFormat="1" ht="19.5" customHeight="1" thickBot="1">
      <c r="A12" s="578"/>
      <c r="B12" s="579" t="s">
        <v>49</v>
      </c>
      <c r="C12" s="579">
        <f>SUM(C14,C44,C104,C199,C210,C172)</f>
        <v>52782700</v>
      </c>
      <c r="D12" s="655">
        <f t="shared" ref="D12:E12" si="44">SUM(D14,D44,D104,D199,D210,D172)</f>
        <v>6453</v>
      </c>
      <c r="E12" s="676">
        <f t="shared" si="44"/>
        <v>-6453</v>
      </c>
      <c r="F12" s="655">
        <f t="shared" ref="F12:G12" si="45">SUM(F14,F44,F104,F199,F210,F172)</f>
        <v>13000</v>
      </c>
      <c r="G12" s="676">
        <f t="shared" si="45"/>
        <v>-13000</v>
      </c>
      <c r="H12" s="655">
        <f t="shared" ref="H12:AS12" si="46">SUM(H14,H44,H104,H199,H210,H172)</f>
        <v>30000</v>
      </c>
      <c r="I12" s="676">
        <f t="shared" si="46"/>
        <v>-30000</v>
      </c>
      <c r="J12" s="655">
        <f t="shared" si="46"/>
        <v>0</v>
      </c>
      <c r="K12" s="676">
        <f t="shared" si="46"/>
        <v>0</v>
      </c>
      <c r="L12" s="655">
        <f t="shared" si="46"/>
        <v>30000</v>
      </c>
      <c r="M12" s="676">
        <f t="shared" si="46"/>
        <v>-30000</v>
      </c>
      <c r="N12" s="655">
        <f t="shared" si="46"/>
        <v>0</v>
      </c>
      <c r="O12" s="676">
        <f t="shared" si="46"/>
        <v>0</v>
      </c>
      <c r="P12" s="655">
        <f t="shared" si="46"/>
        <v>0</v>
      </c>
      <c r="Q12" s="676">
        <f t="shared" si="46"/>
        <v>-3724</v>
      </c>
      <c r="R12" s="655">
        <f t="shared" si="46"/>
        <v>25212</v>
      </c>
      <c r="S12" s="676">
        <f t="shared" si="46"/>
        <v>-25212</v>
      </c>
      <c r="T12" s="655">
        <f t="shared" si="46"/>
        <v>0</v>
      </c>
      <c r="U12" s="676">
        <f t="shared" si="46"/>
        <v>0</v>
      </c>
      <c r="V12" s="655">
        <f t="shared" si="46"/>
        <v>48700</v>
      </c>
      <c r="W12" s="676">
        <f t="shared" si="46"/>
        <v>-48700</v>
      </c>
      <c r="X12" s="655">
        <f t="shared" si="46"/>
        <v>10000</v>
      </c>
      <c r="Y12" s="676">
        <f t="shared" si="46"/>
        <v>-10000</v>
      </c>
      <c r="Z12" s="655">
        <f t="shared" si="46"/>
        <v>0</v>
      </c>
      <c r="AA12" s="676">
        <f t="shared" si="46"/>
        <v>0</v>
      </c>
      <c r="AB12" s="655">
        <f t="shared" si="46"/>
        <v>0</v>
      </c>
      <c r="AC12" s="676">
        <f t="shared" si="46"/>
        <v>0</v>
      </c>
      <c r="AD12" s="655">
        <f t="shared" si="46"/>
        <v>7000</v>
      </c>
      <c r="AE12" s="676">
        <f t="shared" si="46"/>
        <v>-7000</v>
      </c>
      <c r="AF12" s="655">
        <f t="shared" si="46"/>
        <v>20000</v>
      </c>
      <c r="AG12" s="676">
        <f t="shared" si="46"/>
        <v>-20000</v>
      </c>
      <c r="AH12" s="655">
        <f t="shared" si="46"/>
        <v>123000</v>
      </c>
      <c r="AI12" s="676">
        <f t="shared" si="46"/>
        <v>-123000</v>
      </c>
      <c r="AJ12" s="655">
        <f t="shared" si="46"/>
        <v>299000</v>
      </c>
      <c r="AK12" s="676">
        <f t="shared" si="46"/>
        <v>-299000</v>
      </c>
      <c r="AL12" s="655">
        <f t="shared" si="46"/>
        <v>5400</v>
      </c>
      <c r="AM12" s="676">
        <f t="shared" si="46"/>
        <v>-5400</v>
      </c>
      <c r="AN12" s="655">
        <f t="shared" si="46"/>
        <v>125000</v>
      </c>
      <c r="AO12" s="676">
        <f t="shared" si="46"/>
        <v>-125000</v>
      </c>
      <c r="AP12" s="655">
        <f t="shared" si="46"/>
        <v>0</v>
      </c>
      <c r="AQ12" s="676">
        <f t="shared" si="46"/>
        <v>0</v>
      </c>
      <c r="AR12" s="655">
        <f t="shared" si="46"/>
        <v>8480</v>
      </c>
      <c r="AS12" s="676">
        <f t="shared" si="46"/>
        <v>-8480</v>
      </c>
      <c r="AT12" s="655">
        <f t="shared" ref="AT12:AU12" si="47">SUM(AT14,AT44,AT104,AT199,AT210,AT172)</f>
        <v>299000</v>
      </c>
      <c r="AU12" s="676">
        <f t="shared" si="47"/>
        <v>-299000</v>
      </c>
      <c r="AV12" s="655">
        <f t="shared" ref="AV12:AW12" si="48">SUM(AV14,AV44,AV104,AV199,AV210,AV172)</f>
        <v>78684</v>
      </c>
      <c r="AW12" s="676">
        <f t="shared" si="48"/>
        <v>-78684</v>
      </c>
      <c r="AX12" s="655">
        <f t="shared" ref="AX12:AY12" si="49">SUM(AX14,AX44,AX104,AX199,AX210,AX172)</f>
        <v>0</v>
      </c>
      <c r="AY12" s="676">
        <f t="shared" si="49"/>
        <v>0</v>
      </c>
      <c r="AZ12" s="655">
        <f t="shared" ref="AZ12:BA12" si="50">SUM(AZ14,AZ44,AZ104,AZ199,AZ210,AZ172)</f>
        <v>35000</v>
      </c>
      <c r="BA12" s="676">
        <f t="shared" si="50"/>
        <v>-35000</v>
      </c>
      <c r="BB12" s="655">
        <f t="shared" ref="BB12:BC12" si="51">SUM(BB14,BB44,BB104,BB199,BB210,BB172)</f>
        <v>0</v>
      </c>
      <c r="BC12" s="676">
        <f t="shared" si="51"/>
        <v>0</v>
      </c>
      <c r="BD12" s="655">
        <f t="shared" ref="BD12:BE12" si="52">SUM(BD14,BD44,BD104,BD199,BD210,BD172)</f>
        <v>32000</v>
      </c>
      <c r="BE12" s="676">
        <f t="shared" si="52"/>
        <v>-32000</v>
      </c>
      <c r="BF12" s="655">
        <f t="shared" ref="BF12:BG12" si="53">SUM(BF14,BF44,BF104,BF199,BF210,BF172)</f>
        <v>39000</v>
      </c>
      <c r="BG12" s="676">
        <f t="shared" si="53"/>
        <v>-39000</v>
      </c>
      <c r="BH12" s="655">
        <f t="shared" ref="BH12:BI12" si="54">SUM(BH14,BH44,BH104,BH199,BH210,BH172)</f>
        <v>27000</v>
      </c>
      <c r="BI12" s="676">
        <f t="shared" si="54"/>
        <v>-27000</v>
      </c>
      <c r="BJ12" s="655">
        <f t="shared" ref="BJ12:BK12" si="55">SUM(BJ14,BJ44,BJ104,BJ199,BJ210,BJ172)</f>
        <v>3000</v>
      </c>
      <c r="BK12" s="676">
        <f t="shared" si="55"/>
        <v>-3000</v>
      </c>
      <c r="BL12" s="655">
        <f t="shared" ref="BL12:BS12" si="56">SUM(BL14,BL44,BL104,BL199,BL210,BL172)</f>
        <v>6599</v>
      </c>
      <c r="BM12" s="676">
        <f t="shared" si="56"/>
        <v>-6599</v>
      </c>
      <c r="BN12" s="655">
        <f t="shared" si="56"/>
        <v>5000</v>
      </c>
      <c r="BO12" s="676">
        <f t="shared" si="56"/>
        <v>-5000</v>
      </c>
      <c r="BP12" s="655">
        <f t="shared" si="56"/>
        <v>20000</v>
      </c>
      <c r="BQ12" s="676">
        <f t="shared" si="56"/>
        <v>-20000</v>
      </c>
      <c r="BR12" s="655">
        <f t="shared" si="56"/>
        <v>0</v>
      </c>
      <c r="BS12" s="676">
        <f t="shared" si="56"/>
        <v>0</v>
      </c>
      <c r="BT12" s="655">
        <f t="shared" ref="BT12:BU12" si="57">SUM(BT14,BT44,BT104,BT199,BT210,BT172)</f>
        <v>0</v>
      </c>
      <c r="BU12" s="676">
        <f t="shared" si="57"/>
        <v>0</v>
      </c>
      <c r="BV12" s="655">
        <f t="shared" ref="BV12:BW12" si="58">SUM(BV14,BV44,BV104,BV199,BV210,BV172)</f>
        <v>7480</v>
      </c>
      <c r="BW12" s="676">
        <f t="shared" si="58"/>
        <v>-7480</v>
      </c>
      <c r="BX12" s="655">
        <f t="shared" ref="BX12:BY12" si="59">SUM(BX14,BX44,BX104,BX199,BX210,BX172)</f>
        <v>0</v>
      </c>
      <c r="BY12" s="676">
        <f t="shared" si="59"/>
        <v>0</v>
      </c>
      <c r="BZ12" s="655">
        <f t="shared" ref="BZ12:CA12" si="60">SUM(BZ14,BZ44,BZ104,BZ199,BZ210,BZ172)</f>
        <v>1775</v>
      </c>
      <c r="CA12" s="676">
        <f t="shared" si="60"/>
        <v>-1775</v>
      </c>
      <c r="CB12" s="655">
        <f t="shared" ref="CB12:CE12" si="61">SUM(CB14,CB44,CB104,CB199,CB210,CB172)</f>
        <v>15000</v>
      </c>
      <c r="CC12" s="676">
        <f t="shared" si="61"/>
        <v>-15000</v>
      </c>
      <c r="CD12" s="655">
        <f t="shared" si="61"/>
        <v>4800</v>
      </c>
      <c r="CE12" s="676">
        <f t="shared" si="61"/>
        <v>-4800</v>
      </c>
      <c r="CF12" s="655">
        <f t="shared" ref="CF12:CQ12" si="62">SUM(CF14,CF44,CF104,CF199,CF210,CF172)</f>
        <v>0</v>
      </c>
      <c r="CG12" s="676">
        <f t="shared" si="62"/>
        <v>0</v>
      </c>
      <c r="CH12" s="655">
        <f t="shared" si="62"/>
        <v>13000</v>
      </c>
      <c r="CI12" s="676">
        <f t="shared" si="62"/>
        <v>-13000</v>
      </c>
      <c r="CJ12" s="655">
        <f t="shared" si="62"/>
        <v>299968</v>
      </c>
      <c r="CK12" s="676">
        <f t="shared" si="62"/>
        <v>-299968</v>
      </c>
      <c r="CL12" s="655">
        <f t="shared" si="62"/>
        <v>18000</v>
      </c>
      <c r="CM12" s="676">
        <f t="shared" si="62"/>
        <v>-18000</v>
      </c>
      <c r="CN12" s="655">
        <f t="shared" si="62"/>
        <v>7566</v>
      </c>
      <c r="CO12" s="676">
        <f t="shared" si="62"/>
        <v>-7566</v>
      </c>
      <c r="CP12" s="655">
        <f t="shared" si="62"/>
        <v>20655</v>
      </c>
      <c r="CQ12" s="676">
        <f t="shared" si="62"/>
        <v>-20655</v>
      </c>
      <c r="CR12" s="655">
        <f t="shared" ref="CR12:CY12" si="63">SUM(CR14,CR44,CR104,CR199,CR210,CR172)</f>
        <v>0</v>
      </c>
      <c r="CS12" s="676">
        <f t="shared" si="63"/>
        <v>0</v>
      </c>
      <c r="CT12" s="655">
        <f t="shared" si="63"/>
        <v>0</v>
      </c>
      <c r="CU12" s="676">
        <f t="shared" si="63"/>
        <v>0</v>
      </c>
      <c r="CV12" s="655">
        <f t="shared" si="63"/>
        <v>4500</v>
      </c>
      <c r="CW12" s="676">
        <f t="shared" si="63"/>
        <v>-4500</v>
      </c>
      <c r="CX12" s="655">
        <f t="shared" si="63"/>
        <v>0</v>
      </c>
      <c r="CY12" s="676">
        <f t="shared" si="63"/>
        <v>0</v>
      </c>
      <c r="CZ12" s="655">
        <f t="shared" ref="CZ12:DI12" si="64">SUM(CZ14,CZ44,CZ104,CZ199,CZ210,CZ172)</f>
        <v>39000</v>
      </c>
      <c r="DA12" s="676">
        <f t="shared" si="64"/>
        <v>-39000</v>
      </c>
      <c r="DB12" s="655">
        <f t="shared" si="64"/>
        <v>0</v>
      </c>
      <c r="DC12" s="676">
        <f t="shared" si="64"/>
        <v>0</v>
      </c>
      <c r="DD12" s="655">
        <f t="shared" si="64"/>
        <v>0</v>
      </c>
      <c r="DE12" s="676">
        <f t="shared" si="64"/>
        <v>0</v>
      </c>
      <c r="DF12" s="655">
        <f t="shared" si="64"/>
        <v>100000</v>
      </c>
      <c r="DG12" s="676">
        <f t="shared" si="64"/>
        <v>-100000</v>
      </c>
      <c r="DH12" s="655">
        <f t="shared" si="64"/>
        <v>21000</v>
      </c>
      <c r="DI12" s="676">
        <f t="shared" si="64"/>
        <v>-21000</v>
      </c>
      <c r="DJ12" s="655">
        <f t="shared" ref="DJ12:DK12" si="65">SUM(DJ14,DJ44,DJ104,DJ199,DJ210,DJ172)</f>
        <v>12000</v>
      </c>
      <c r="DK12" s="676">
        <f t="shared" si="65"/>
        <v>-12000</v>
      </c>
      <c r="DL12" s="655">
        <f t="shared" ref="DL12:DM12" si="66">SUM(DL14,DL44,DL104,DL199,DL210,DL172)</f>
        <v>0</v>
      </c>
      <c r="DM12" s="676">
        <f t="shared" si="66"/>
        <v>0</v>
      </c>
      <c r="DN12" s="655">
        <f t="shared" ref="DN12:DW12" si="67">SUM(DN14,DN44,DN104,DN199,DN210,DN172)</f>
        <v>0</v>
      </c>
      <c r="DO12" s="676">
        <f t="shared" si="67"/>
        <v>0</v>
      </c>
      <c r="DP12" s="655">
        <f t="shared" si="67"/>
        <v>54600</v>
      </c>
      <c r="DQ12" s="676">
        <f t="shared" si="67"/>
        <v>-54600</v>
      </c>
      <c r="DR12" s="655">
        <f t="shared" si="67"/>
        <v>0</v>
      </c>
      <c r="DS12" s="676">
        <f t="shared" si="67"/>
        <v>0</v>
      </c>
      <c r="DT12" s="655">
        <f t="shared" si="67"/>
        <v>9485</v>
      </c>
      <c r="DU12" s="676">
        <f t="shared" si="67"/>
        <v>-9485</v>
      </c>
      <c r="DV12" s="655">
        <f t="shared" si="67"/>
        <v>0</v>
      </c>
      <c r="DW12" s="676">
        <f t="shared" si="67"/>
        <v>0</v>
      </c>
      <c r="DX12" s="655">
        <f t="shared" ref="DX12:EG12" si="68">SUM(DX14,DX44,DX104,DX199,DX210,DX172)</f>
        <v>0</v>
      </c>
      <c r="DY12" s="676">
        <f t="shared" si="68"/>
        <v>0</v>
      </c>
      <c r="DZ12" s="655">
        <f t="shared" si="68"/>
        <v>0</v>
      </c>
      <c r="EA12" s="676">
        <f t="shared" si="68"/>
        <v>0</v>
      </c>
      <c r="EB12" s="655">
        <f t="shared" si="68"/>
        <v>3660</v>
      </c>
      <c r="EC12" s="676">
        <f t="shared" si="68"/>
        <v>-3660</v>
      </c>
      <c r="ED12" s="655">
        <f t="shared" si="68"/>
        <v>48000</v>
      </c>
      <c r="EE12" s="676">
        <f t="shared" si="68"/>
        <v>-48000</v>
      </c>
      <c r="EF12" s="655">
        <f t="shared" si="68"/>
        <v>102272</v>
      </c>
      <c r="EG12" s="676">
        <f t="shared" si="68"/>
        <v>-102272</v>
      </c>
      <c r="EH12" s="655">
        <f t="shared" ref="EH12:EM12" si="69">SUM(EH14,EH44,EH104,EH199,EH210,EH172)</f>
        <v>290000</v>
      </c>
      <c r="EI12" s="676">
        <f t="shared" si="69"/>
        <v>-290000</v>
      </c>
      <c r="EJ12" s="655">
        <f t="shared" si="69"/>
        <v>52500</v>
      </c>
      <c r="EK12" s="676">
        <f t="shared" si="69"/>
        <v>-52500</v>
      </c>
      <c r="EL12" s="655">
        <f t="shared" si="69"/>
        <v>19500</v>
      </c>
      <c r="EM12" s="676">
        <f t="shared" si="69"/>
        <v>-19500</v>
      </c>
      <c r="EN12" s="655">
        <f t="shared" ref="EN12:EO12" si="70">SUM(EN14,EN44,EN104,EN199,EN210,EN172)</f>
        <v>0</v>
      </c>
      <c r="EO12" s="676">
        <f t="shared" si="70"/>
        <v>0</v>
      </c>
      <c r="EP12" s="655">
        <f t="shared" ref="EP12:FA12" si="71">SUM(EP14,EP44,EP104,EP199,EP210,EP172)</f>
        <v>210000</v>
      </c>
      <c r="EQ12" s="676">
        <f t="shared" si="71"/>
        <v>-210000</v>
      </c>
      <c r="ER12" s="655">
        <f t="shared" si="71"/>
        <v>0</v>
      </c>
      <c r="ES12" s="676">
        <f t="shared" si="71"/>
        <v>0</v>
      </c>
      <c r="ET12" s="655">
        <f t="shared" si="71"/>
        <v>11000</v>
      </c>
      <c r="EU12" s="676">
        <f t="shared" si="71"/>
        <v>-11000</v>
      </c>
      <c r="EV12" s="655">
        <f t="shared" ref="EV12:EW12" si="72">SUM(EV14,EV44,EV104,EV199,EV210,EV172)</f>
        <v>1803</v>
      </c>
      <c r="EW12" s="676">
        <f t="shared" si="72"/>
        <v>-1803</v>
      </c>
      <c r="EX12" s="655">
        <f t="shared" si="71"/>
        <v>25600</v>
      </c>
      <c r="EY12" s="676">
        <f t="shared" si="71"/>
        <v>-25600</v>
      </c>
      <c r="EZ12" s="655">
        <f t="shared" si="71"/>
        <v>15400</v>
      </c>
      <c r="FA12" s="676">
        <f t="shared" si="71"/>
        <v>-15400</v>
      </c>
      <c r="FB12" s="655">
        <f t="shared" ref="FB12:FC12" si="73">SUM(FB14,FB44,FB104,FB199,FB210,FB172)</f>
        <v>0</v>
      </c>
      <c r="FC12" s="676">
        <f t="shared" si="73"/>
        <v>0</v>
      </c>
      <c r="FD12" s="655">
        <f t="shared" ref="FD12:FE12" si="74">SUM(FD14,FD44,FD104,FD199,FD210,FD172)</f>
        <v>10600</v>
      </c>
      <c r="FE12" s="676">
        <f t="shared" si="74"/>
        <v>-10600</v>
      </c>
      <c r="FF12" s="655">
        <f t="shared" ref="FF12:FG12" si="75">SUM(FF14,FF44,FF104,FF199,FF210,FF172)</f>
        <v>2940</v>
      </c>
      <c r="FG12" s="676">
        <f t="shared" si="75"/>
        <v>-2940</v>
      </c>
      <c r="FH12" s="655">
        <f t="shared" ref="FH12:FI12" si="76">SUM(FH14,FH44,FH104,FH199,FH210,FH172)</f>
        <v>4200</v>
      </c>
      <c r="FI12" s="676">
        <f t="shared" si="76"/>
        <v>-4200</v>
      </c>
      <c r="FJ12" s="655">
        <f t="shared" ref="FJ12:FK12" si="77">SUM(FJ14,FJ44,FJ104,FJ199,FJ210,FJ172)</f>
        <v>5000</v>
      </c>
      <c r="FK12" s="676">
        <f t="shared" si="77"/>
        <v>-5000</v>
      </c>
      <c r="FL12" s="655">
        <f t="shared" ref="FL12:FM12" si="78">SUM(FL14,FL44,FL104,FL199,FL210,FL172)</f>
        <v>41500</v>
      </c>
      <c r="FM12" s="676">
        <f t="shared" si="78"/>
        <v>-41500</v>
      </c>
      <c r="FN12" s="655">
        <f t="shared" ref="FN12:FO12" si="79">SUM(FN14,FN44,FN104,FN199,FN210,FN172)</f>
        <v>0</v>
      </c>
      <c r="FO12" s="676">
        <f t="shared" si="79"/>
        <v>0</v>
      </c>
      <c r="FP12" s="655">
        <f t="shared" ref="FP12:FQ12" si="80">SUM(FP14,FP44,FP104,FP199,FP210,FP172)</f>
        <v>10000</v>
      </c>
      <c r="FQ12" s="676">
        <f t="shared" si="80"/>
        <v>-10000</v>
      </c>
      <c r="FR12" s="655">
        <f t="shared" ref="FR12:FS12" si="81">SUM(FR14,FR44,FR104,FR199,FR210,FR172)</f>
        <v>68715</v>
      </c>
      <c r="FS12" s="676">
        <f t="shared" si="81"/>
        <v>-68715</v>
      </c>
      <c r="FT12" s="655">
        <f t="shared" ref="FT12:FU12" si="82">SUM(FT14,FT44,FT104,FT199,FT210,FT172)</f>
        <v>10857</v>
      </c>
      <c r="FU12" s="676">
        <f t="shared" si="82"/>
        <v>-10857</v>
      </c>
      <c r="FV12" s="655">
        <f t="shared" ref="FV12:GK12" si="83">SUM(FV14,FV44,FV104,FV199,FV210,FV172)</f>
        <v>6976</v>
      </c>
      <c r="FW12" s="676">
        <f t="shared" si="83"/>
        <v>-6976</v>
      </c>
      <c r="FX12" s="655">
        <f t="shared" si="83"/>
        <v>6703</v>
      </c>
      <c r="FY12" s="676">
        <f t="shared" si="83"/>
        <v>-6703</v>
      </c>
      <c r="FZ12" s="655">
        <f t="shared" ref="FZ12:GI12" si="84">SUM(FZ14,FZ44,FZ104,FZ199,FZ210,FZ172)</f>
        <v>0</v>
      </c>
      <c r="GA12" s="676">
        <f t="shared" si="84"/>
        <v>0</v>
      </c>
      <c r="GB12" s="655">
        <f t="shared" si="84"/>
        <v>0</v>
      </c>
      <c r="GC12" s="676">
        <f t="shared" si="84"/>
        <v>0</v>
      </c>
      <c r="GD12" s="655">
        <f t="shared" si="84"/>
        <v>0</v>
      </c>
      <c r="GE12" s="676">
        <f t="shared" si="84"/>
        <v>0</v>
      </c>
      <c r="GF12" s="655">
        <f t="shared" si="84"/>
        <v>0</v>
      </c>
      <c r="GG12" s="676">
        <f t="shared" si="84"/>
        <v>0</v>
      </c>
      <c r="GH12" s="655">
        <f t="shared" si="84"/>
        <v>0</v>
      </c>
      <c r="GI12" s="676">
        <f t="shared" si="84"/>
        <v>0</v>
      </c>
      <c r="GJ12" s="655">
        <f t="shared" si="83"/>
        <v>0</v>
      </c>
      <c r="GK12" s="676">
        <f t="shared" si="83"/>
        <v>0</v>
      </c>
      <c r="GL12" s="655">
        <f t="shared" ref="GL12:GM12" si="85">SUM(GL14,GL44,GL104,GL199,GL210,GL172)</f>
        <v>0</v>
      </c>
      <c r="GM12" s="676">
        <f t="shared" si="85"/>
        <v>0</v>
      </c>
      <c r="GN12" s="655">
        <f t="shared" ref="GN12:GO12" si="86">SUM(GN14,GN44,GN104,GN199,GN210,GN172)</f>
        <v>0</v>
      </c>
      <c r="GO12" s="676">
        <f t="shared" si="86"/>
        <v>0</v>
      </c>
      <c r="GP12" s="579">
        <f>SUM(GP14,GP44,GP104,GP199,GP210,GP172)</f>
        <v>2876307</v>
      </c>
      <c r="GQ12" s="676">
        <f>SUM(GQ14,GQ44,GQ104,GQ199,GQ210,GQ172)</f>
        <v>-2876307</v>
      </c>
      <c r="GR12" s="579">
        <f>SUM(GR14,GR44,GR104,GR199,GR210,GR172)</f>
        <v>52782700</v>
      </c>
      <c r="GS12" s="579">
        <f>SUM(GS14,GS44,GS104,GS199,GS210,GS172)</f>
        <v>48047580</v>
      </c>
      <c r="GT12" s="579">
        <f t="shared" ref="GT12:HK12" si="87">SUM(GT14,GT44,GT104,GT199,GT210,GT172)</f>
        <v>52752900</v>
      </c>
      <c r="GU12" s="579">
        <f>SUM(GU14,GU44,GU104,GU199,GU210,GU172)</f>
        <v>5227993</v>
      </c>
      <c r="GV12" s="579">
        <f t="shared" si="87"/>
        <v>5177733</v>
      </c>
      <c r="GW12" s="579">
        <f t="shared" si="87"/>
        <v>4845718</v>
      </c>
      <c r="GX12" s="579">
        <f t="shared" si="87"/>
        <v>4757942</v>
      </c>
      <c r="GY12" s="579">
        <f t="shared" si="87"/>
        <v>4636543</v>
      </c>
      <c r="GZ12" s="579">
        <f t="shared" si="87"/>
        <v>4727544</v>
      </c>
      <c r="HA12" s="579">
        <f t="shared" si="87"/>
        <v>4635643</v>
      </c>
      <c r="HB12" s="579">
        <f t="shared" si="87"/>
        <v>4934814</v>
      </c>
      <c r="HC12" s="579">
        <f t="shared" si="87"/>
        <v>4575694</v>
      </c>
      <c r="HD12" s="579">
        <f t="shared" si="87"/>
        <v>4527956</v>
      </c>
      <c r="HE12" s="579">
        <f t="shared" si="87"/>
        <v>4735120</v>
      </c>
      <c r="HF12" s="579">
        <f t="shared" si="87"/>
        <v>0</v>
      </c>
      <c r="HG12" s="579">
        <f>SUM(HG14,HG44,HG104,HG199,HG210,HG172)</f>
        <v>48195861.700000003</v>
      </c>
      <c r="HH12" s="579">
        <f t="shared" si="87"/>
        <v>529807.52</v>
      </c>
      <c r="HI12" s="579">
        <f t="shared" si="87"/>
        <v>0</v>
      </c>
      <c r="HJ12" s="579">
        <f t="shared" si="87"/>
        <v>321071.41000000003</v>
      </c>
      <c r="HK12" s="579">
        <f t="shared" si="87"/>
        <v>9073900</v>
      </c>
      <c r="HL12" s="579">
        <f t="shared" ref="HL12:JT12" si="88">SUM(HL14,HL44,HL104,HL199,HL210,HL172)</f>
        <v>474362.23000000004</v>
      </c>
      <c r="HM12" s="579">
        <f t="shared" si="88"/>
        <v>4332452</v>
      </c>
      <c r="HN12" s="579">
        <f t="shared" si="88"/>
        <v>410343.79</v>
      </c>
      <c r="HO12" s="579">
        <f t="shared" si="88"/>
        <v>4332452</v>
      </c>
      <c r="HP12" s="579">
        <f t="shared" si="88"/>
        <v>377643.68</v>
      </c>
      <c r="HQ12" s="579">
        <f t="shared" si="88"/>
        <v>4332452</v>
      </c>
      <c r="HR12" s="579">
        <f t="shared" si="88"/>
        <v>296152.11</v>
      </c>
      <c r="HS12" s="579">
        <f t="shared" si="88"/>
        <v>4432452</v>
      </c>
      <c r="HT12" s="579">
        <f>SUM(HT14,HT44,HT104,HT199,HT210,HT172)</f>
        <v>252926.45999999996</v>
      </c>
      <c r="HU12" s="579">
        <f t="shared" si="88"/>
        <v>4332452</v>
      </c>
      <c r="HV12" s="579">
        <f t="shared" si="88"/>
        <v>779319.59000000008</v>
      </c>
      <c r="HW12" s="579">
        <f t="shared" si="88"/>
        <v>4075352</v>
      </c>
      <c r="HX12" s="579">
        <f t="shared" si="88"/>
        <v>421105.17</v>
      </c>
      <c r="HY12" s="579">
        <f t="shared" si="88"/>
        <v>4897918</v>
      </c>
      <c r="HZ12" s="579">
        <f t="shared" si="88"/>
        <v>191247.74</v>
      </c>
      <c r="IA12" s="579">
        <f t="shared" si="88"/>
        <v>4332452</v>
      </c>
      <c r="IB12" s="579">
        <f t="shared" si="88"/>
        <v>0</v>
      </c>
      <c r="IC12" s="579">
        <f t="shared" si="88"/>
        <v>0</v>
      </c>
      <c r="ID12" s="579">
        <f t="shared" si="88"/>
        <v>0</v>
      </c>
      <c r="IE12" s="810">
        <f t="shared" si="88"/>
        <v>0</v>
      </c>
      <c r="IF12" s="849">
        <f>SUM(IF14,IF44,IF104,IF199,IF210,IF172)</f>
        <v>43072855.309999995</v>
      </c>
      <c r="IG12" s="700">
        <f t="shared" si="88"/>
        <v>43072855.309999995</v>
      </c>
      <c r="IH12" s="850">
        <f t="shared" si="88"/>
        <v>43072855.309999995</v>
      </c>
      <c r="II12" s="664">
        <f t="shared" si="88"/>
        <v>3106123.04</v>
      </c>
      <c r="IJ12" s="579">
        <f t="shared" si="88"/>
        <v>3106123.04</v>
      </c>
      <c r="IK12" s="579">
        <f t="shared" si="88"/>
        <v>3106123.04</v>
      </c>
      <c r="IL12" s="579">
        <f t="shared" si="88"/>
        <v>4736163.8400000008</v>
      </c>
      <c r="IM12" s="579">
        <f t="shared" si="88"/>
        <v>4736163.8400000008</v>
      </c>
      <c r="IN12" s="579">
        <f t="shared" si="88"/>
        <v>4736163.8400000008</v>
      </c>
      <c r="IO12" s="579">
        <f t="shared" si="88"/>
        <v>2560017.7599999998</v>
      </c>
      <c r="IP12" s="579">
        <f t="shared" si="88"/>
        <v>2560017.7599999998</v>
      </c>
      <c r="IQ12" s="579">
        <f t="shared" si="88"/>
        <v>2560017.7599999998</v>
      </c>
      <c r="IR12" s="579">
        <f t="shared" si="88"/>
        <v>5498472.6699999999</v>
      </c>
      <c r="IS12" s="579">
        <f t="shared" si="88"/>
        <v>5498472.6699999999</v>
      </c>
      <c r="IT12" s="579">
        <f t="shared" si="88"/>
        <v>5498472.6699999999</v>
      </c>
      <c r="IU12" s="579">
        <f t="shared" si="88"/>
        <v>4401777.13</v>
      </c>
      <c r="IV12" s="579">
        <f t="shared" si="88"/>
        <v>4401777.13</v>
      </c>
      <c r="IW12" s="579">
        <f t="shared" si="88"/>
        <v>4401777.13</v>
      </c>
      <c r="IX12" s="579">
        <f t="shared" si="88"/>
        <v>4565467.58</v>
      </c>
      <c r="IY12" s="579">
        <f t="shared" si="88"/>
        <v>4565467.58</v>
      </c>
      <c r="IZ12" s="579">
        <f t="shared" si="88"/>
        <v>4565467.58</v>
      </c>
      <c r="JA12" s="579">
        <f t="shared" si="88"/>
        <v>4293163.2299999995</v>
      </c>
      <c r="JB12" s="579">
        <f t="shared" si="88"/>
        <v>4293163.2299999995</v>
      </c>
      <c r="JC12" s="579">
        <f t="shared" si="88"/>
        <v>4293163.2299999995</v>
      </c>
      <c r="JD12" s="579">
        <f t="shared" si="88"/>
        <v>4851719.29</v>
      </c>
      <c r="JE12" s="579">
        <f t="shared" si="88"/>
        <v>4851719.29</v>
      </c>
      <c r="JF12" s="579">
        <f t="shared" si="88"/>
        <v>4851719.29</v>
      </c>
      <c r="JG12" s="579">
        <f t="shared" si="88"/>
        <v>4429173.6500000004</v>
      </c>
      <c r="JH12" s="579">
        <f t="shared" si="88"/>
        <v>4428928.6500000004</v>
      </c>
      <c r="JI12" s="579">
        <f t="shared" si="88"/>
        <v>4428928.6500000004</v>
      </c>
      <c r="JJ12" s="579">
        <f t="shared" si="88"/>
        <v>4630777.1199999982</v>
      </c>
      <c r="JK12" s="579">
        <f t="shared" si="88"/>
        <v>4631022.1199999982</v>
      </c>
      <c r="JL12" s="579">
        <f t="shared" si="88"/>
        <v>4631022.1199999982</v>
      </c>
      <c r="JM12" s="579">
        <f t="shared" si="88"/>
        <v>0</v>
      </c>
      <c r="JN12" s="579">
        <f t="shared" si="88"/>
        <v>0</v>
      </c>
      <c r="JO12" s="579">
        <f t="shared" si="88"/>
        <v>0</v>
      </c>
      <c r="JP12" s="579">
        <f t="shared" si="88"/>
        <v>0</v>
      </c>
      <c r="JQ12" s="579">
        <f t="shared" si="88"/>
        <v>0</v>
      </c>
      <c r="JR12" s="579">
        <f t="shared" si="88"/>
        <v>0</v>
      </c>
      <c r="JS12" s="579">
        <f t="shared" si="88"/>
        <v>5123006.3900000006</v>
      </c>
      <c r="JT12" s="657">
        <f t="shared" si="88"/>
        <v>4974724.6900000004</v>
      </c>
      <c r="JU12" s="667"/>
      <c r="JV12" s="668"/>
      <c r="JW12" s="669"/>
      <c r="JX12" s="655">
        <f>SUM(JX14,JX44,JX104,JX199,JX210,JX172)</f>
        <v>4053979.7</v>
      </c>
      <c r="JY12" s="655">
        <f>SUM(JY14,JY44,JY104,JY199,JY210,JY172)</f>
        <v>44141882</v>
      </c>
      <c r="JZ12" s="581">
        <f t="shared" si="42"/>
        <v>2876307</v>
      </c>
      <c r="KA12" s="581">
        <f t="shared" si="43"/>
        <v>-2876307</v>
      </c>
      <c r="KB12" s="655">
        <f>SUM(KB14,KB44,KB104,KB199,KB210,KB172)</f>
        <v>48195861.700000003</v>
      </c>
      <c r="KC12" s="709">
        <f t="shared" si="41"/>
        <v>0</v>
      </c>
      <c r="KD12" s="123"/>
      <c r="KE12" s="124"/>
      <c r="KF12" s="125"/>
      <c r="KG12" s="125"/>
      <c r="KH12" s="125"/>
      <c r="KI12" s="125"/>
      <c r="KJ12" s="125"/>
      <c r="KK12" s="125"/>
    </row>
    <row r="13" spans="1:299" s="7" customFormat="1" ht="13.5" customHeight="1" thickBot="1">
      <c r="A13" s="71"/>
      <c r="B13" s="74"/>
      <c r="C13" s="74"/>
      <c r="D13" s="549"/>
      <c r="E13" s="675"/>
      <c r="F13" s="549"/>
      <c r="G13" s="675"/>
      <c r="H13" s="549"/>
      <c r="I13" s="675"/>
      <c r="J13" s="549"/>
      <c r="K13" s="675"/>
      <c r="L13" s="549"/>
      <c r="M13" s="675"/>
      <c r="N13" s="549"/>
      <c r="O13" s="675"/>
      <c r="P13" s="549"/>
      <c r="Q13" s="675"/>
      <c r="R13" s="549"/>
      <c r="S13" s="675"/>
      <c r="T13" s="549"/>
      <c r="U13" s="675"/>
      <c r="V13" s="549"/>
      <c r="W13" s="675"/>
      <c r="X13" s="549"/>
      <c r="Y13" s="675"/>
      <c r="Z13" s="549"/>
      <c r="AA13" s="675"/>
      <c r="AB13" s="549"/>
      <c r="AC13" s="675"/>
      <c r="AD13" s="549"/>
      <c r="AE13" s="675"/>
      <c r="AF13" s="549"/>
      <c r="AG13" s="675"/>
      <c r="AH13" s="549"/>
      <c r="AI13" s="675"/>
      <c r="AJ13" s="549"/>
      <c r="AK13" s="675"/>
      <c r="AL13" s="549"/>
      <c r="AM13" s="675"/>
      <c r="AN13" s="549"/>
      <c r="AO13" s="675"/>
      <c r="AP13" s="549"/>
      <c r="AQ13" s="675"/>
      <c r="AR13" s="549"/>
      <c r="AS13" s="675"/>
      <c r="AT13" s="549"/>
      <c r="AU13" s="675"/>
      <c r="AV13" s="549"/>
      <c r="AW13" s="675"/>
      <c r="AX13" s="549"/>
      <c r="AY13" s="675"/>
      <c r="AZ13" s="549"/>
      <c r="BA13" s="675"/>
      <c r="BB13" s="549"/>
      <c r="BC13" s="675"/>
      <c r="BD13" s="549"/>
      <c r="BE13" s="675"/>
      <c r="BF13" s="549"/>
      <c r="BG13" s="675"/>
      <c r="BH13" s="549"/>
      <c r="BI13" s="675"/>
      <c r="BJ13" s="549"/>
      <c r="BK13" s="675"/>
      <c r="BL13" s="549"/>
      <c r="BM13" s="675"/>
      <c r="BN13" s="549"/>
      <c r="BO13" s="675"/>
      <c r="BP13" s="549"/>
      <c r="BQ13" s="675"/>
      <c r="BR13" s="549"/>
      <c r="BS13" s="675"/>
      <c r="BT13" s="549"/>
      <c r="BU13" s="675"/>
      <c r="BV13" s="549"/>
      <c r="BW13" s="675"/>
      <c r="BX13" s="549"/>
      <c r="BY13" s="675"/>
      <c r="BZ13" s="549"/>
      <c r="CA13" s="675"/>
      <c r="CB13" s="549"/>
      <c r="CC13" s="675"/>
      <c r="CD13" s="549"/>
      <c r="CE13" s="675"/>
      <c r="CF13" s="549"/>
      <c r="CG13" s="675"/>
      <c r="CH13" s="549"/>
      <c r="CI13" s="675"/>
      <c r="CJ13" s="549"/>
      <c r="CK13" s="675"/>
      <c r="CL13" s="549"/>
      <c r="CM13" s="675"/>
      <c r="CN13" s="549"/>
      <c r="CO13" s="675"/>
      <c r="CP13" s="549"/>
      <c r="CQ13" s="675"/>
      <c r="CR13" s="549"/>
      <c r="CS13" s="675"/>
      <c r="CT13" s="549"/>
      <c r="CU13" s="675"/>
      <c r="CV13" s="549"/>
      <c r="CW13" s="675"/>
      <c r="CX13" s="549"/>
      <c r="CY13" s="675"/>
      <c r="CZ13" s="549"/>
      <c r="DA13" s="675"/>
      <c r="DB13" s="549"/>
      <c r="DC13" s="675"/>
      <c r="DD13" s="549"/>
      <c r="DE13" s="675"/>
      <c r="DF13" s="549"/>
      <c r="DG13" s="675"/>
      <c r="DH13" s="549"/>
      <c r="DI13" s="675"/>
      <c r="DJ13" s="549"/>
      <c r="DK13" s="675"/>
      <c r="DL13" s="549"/>
      <c r="DM13" s="675"/>
      <c r="DN13" s="549"/>
      <c r="DO13" s="675"/>
      <c r="DP13" s="549"/>
      <c r="DQ13" s="675"/>
      <c r="DR13" s="549"/>
      <c r="DS13" s="675"/>
      <c r="DT13" s="549"/>
      <c r="DU13" s="675"/>
      <c r="DV13" s="549"/>
      <c r="DW13" s="675"/>
      <c r="DX13" s="549"/>
      <c r="DY13" s="675"/>
      <c r="DZ13" s="549"/>
      <c r="EA13" s="675"/>
      <c r="EB13" s="549"/>
      <c r="EC13" s="675"/>
      <c r="ED13" s="549"/>
      <c r="EE13" s="675"/>
      <c r="EF13" s="549"/>
      <c r="EG13" s="675"/>
      <c r="EH13" s="549"/>
      <c r="EI13" s="675"/>
      <c r="EJ13" s="549"/>
      <c r="EK13" s="675"/>
      <c r="EL13" s="549"/>
      <c r="EM13" s="675"/>
      <c r="EN13" s="549"/>
      <c r="EO13" s="675"/>
      <c r="EP13" s="549"/>
      <c r="EQ13" s="675"/>
      <c r="ER13" s="549"/>
      <c r="ES13" s="675"/>
      <c r="ET13" s="549"/>
      <c r="EU13" s="675"/>
      <c r="EV13" s="549"/>
      <c r="EW13" s="675"/>
      <c r="EX13" s="549"/>
      <c r="EY13" s="675"/>
      <c r="EZ13" s="549"/>
      <c r="FA13" s="675"/>
      <c r="FB13" s="549"/>
      <c r="FC13" s="675"/>
      <c r="FD13" s="549"/>
      <c r="FE13" s="675"/>
      <c r="FF13" s="549"/>
      <c r="FG13" s="675"/>
      <c r="FH13" s="549"/>
      <c r="FI13" s="675"/>
      <c r="FJ13" s="549"/>
      <c r="FK13" s="675"/>
      <c r="FL13" s="549"/>
      <c r="FM13" s="675"/>
      <c r="FN13" s="549"/>
      <c r="FO13" s="675"/>
      <c r="FP13" s="549"/>
      <c r="FQ13" s="675"/>
      <c r="FR13" s="549"/>
      <c r="FS13" s="675"/>
      <c r="FT13" s="549"/>
      <c r="FU13" s="675"/>
      <c r="FV13" s="549"/>
      <c r="FW13" s="675"/>
      <c r="FX13" s="549"/>
      <c r="FY13" s="675"/>
      <c r="FZ13" s="549"/>
      <c r="GA13" s="675"/>
      <c r="GB13" s="549"/>
      <c r="GC13" s="675"/>
      <c r="GD13" s="549"/>
      <c r="GE13" s="675"/>
      <c r="GF13" s="549"/>
      <c r="GG13" s="675"/>
      <c r="GH13" s="549"/>
      <c r="GI13" s="675"/>
      <c r="GJ13" s="549"/>
      <c r="GK13" s="675"/>
      <c r="GL13" s="549"/>
      <c r="GM13" s="675"/>
      <c r="GN13" s="549"/>
      <c r="GO13" s="675"/>
      <c r="GP13" s="74"/>
      <c r="GQ13" s="675"/>
      <c r="GR13" s="74"/>
      <c r="GS13" s="74"/>
      <c r="GT13" s="549"/>
      <c r="GU13" s="74"/>
      <c r="GV13" s="74"/>
      <c r="GW13" s="549"/>
      <c r="GX13" s="549"/>
      <c r="GY13" s="74"/>
      <c r="GZ13" s="74"/>
      <c r="HA13" s="74"/>
      <c r="HB13" s="74"/>
      <c r="HC13" s="74"/>
      <c r="HD13" s="74"/>
      <c r="HE13" s="74"/>
      <c r="HF13" s="74"/>
      <c r="HG13" s="74"/>
      <c r="HH13" s="74"/>
      <c r="HI13" s="74"/>
      <c r="HJ13" s="74"/>
      <c r="HK13" s="74"/>
      <c r="HL13" s="74"/>
      <c r="HM13" s="74"/>
      <c r="HN13" s="74"/>
      <c r="HO13" s="74"/>
      <c r="HP13" s="74"/>
      <c r="HQ13" s="74"/>
      <c r="HR13" s="74"/>
      <c r="HS13" s="74"/>
      <c r="HT13" s="74"/>
      <c r="HU13" s="74"/>
      <c r="HV13" s="74"/>
      <c r="HW13" s="74"/>
      <c r="HX13" s="74"/>
      <c r="HY13" s="74"/>
      <c r="HZ13" s="74"/>
      <c r="IA13" s="74"/>
      <c r="IB13" s="74"/>
      <c r="IC13" s="74"/>
      <c r="ID13" s="74"/>
      <c r="IE13" s="792"/>
      <c r="IF13" s="841"/>
      <c r="IG13" s="263"/>
      <c r="IH13" s="842"/>
      <c r="II13" s="155"/>
      <c r="IJ13" s="74"/>
      <c r="IK13" s="74"/>
      <c r="IL13" s="74"/>
      <c r="IM13" s="74"/>
      <c r="IN13" s="74"/>
      <c r="IO13" s="74"/>
      <c r="IP13" s="74"/>
      <c r="IQ13" s="74"/>
      <c r="IR13" s="74"/>
      <c r="IS13" s="74"/>
      <c r="IT13" s="74"/>
      <c r="IU13" s="74"/>
      <c r="IV13" s="74"/>
      <c r="IW13" s="74"/>
      <c r="IX13" s="74"/>
      <c r="IY13" s="74"/>
      <c r="IZ13" s="74"/>
      <c r="JA13" s="74"/>
      <c r="JB13" s="74"/>
      <c r="JC13" s="74"/>
      <c r="JD13" s="74"/>
      <c r="JE13" s="74"/>
      <c r="JF13" s="74"/>
      <c r="JG13" s="74"/>
      <c r="JH13" s="74"/>
      <c r="JI13" s="74"/>
      <c r="JJ13" s="74"/>
      <c r="JK13" s="74"/>
      <c r="JL13" s="74"/>
      <c r="JM13" s="74"/>
      <c r="JN13" s="74"/>
      <c r="JO13" s="74"/>
      <c r="JP13" s="74"/>
      <c r="JQ13" s="74"/>
      <c r="JR13" s="74"/>
      <c r="JS13" s="74"/>
      <c r="JT13" s="382"/>
      <c r="JU13" s="671"/>
      <c r="JV13" s="492"/>
      <c r="JW13" s="490"/>
      <c r="JX13" s="549"/>
      <c r="JY13" s="549"/>
      <c r="JZ13" s="581">
        <f t="shared" si="42"/>
        <v>0</v>
      </c>
      <c r="KA13" s="581">
        <f t="shared" si="43"/>
        <v>0</v>
      </c>
      <c r="KB13" s="549"/>
      <c r="KC13" s="709">
        <f t="shared" si="41"/>
        <v>0</v>
      </c>
      <c r="KD13" s="121"/>
      <c r="KE13" s="122" t="s">
        <v>524</v>
      </c>
      <c r="KF13" s="122">
        <f t="shared" ref="KF13:KK13" si="89">SUM(KF14:KF20)</f>
        <v>41222600</v>
      </c>
      <c r="KG13" s="122">
        <f t="shared" si="89"/>
        <v>39622970</v>
      </c>
      <c r="KH13" s="122">
        <f t="shared" si="89"/>
        <v>35765632</v>
      </c>
      <c r="KI13" s="122" t="e">
        <f t="shared" si="89"/>
        <v>#REF!</v>
      </c>
      <c r="KJ13" s="122">
        <f t="shared" si="89"/>
        <v>39622970</v>
      </c>
      <c r="KK13" s="122">
        <f t="shared" si="89"/>
        <v>35640181</v>
      </c>
    </row>
    <row r="14" spans="1:299" s="7" customFormat="1" ht="15" customHeight="1">
      <c r="A14" s="75">
        <v>0</v>
      </c>
      <c r="B14" s="74" t="s">
        <v>50</v>
      </c>
      <c r="C14" s="74">
        <f t="shared" ref="C14:AM14" si="90">SUM(C16,C21,C26,C28,C30,C36)+C38</f>
        <v>48594100</v>
      </c>
      <c r="D14" s="549">
        <f t="shared" si="90"/>
        <v>6453</v>
      </c>
      <c r="E14" s="675">
        <f t="shared" si="90"/>
        <v>-6453</v>
      </c>
      <c r="F14" s="549">
        <f t="shared" si="90"/>
        <v>0</v>
      </c>
      <c r="G14" s="675">
        <f t="shared" si="90"/>
        <v>0</v>
      </c>
      <c r="H14" s="549">
        <f t="shared" si="90"/>
        <v>30000</v>
      </c>
      <c r="I14" s="675">
        <f t="shared" si="90"/>
        <v>-30000</v>
      </c>
      <c r="J14" s="549">
        <f t="shared" si="90"/>
        <v>0</v>
      </c>
      <c r="K14" s="675">
        <f t="shared" si="90"/>
        <v>0</v>
      </c>
      <c r="L14" s="549">
        <f t="shared" si="90"/>
        <v>30000</v>
      </c>
      <c r="M14" s="675">
        <f t="shared" si="90"/>
        <v>-30000</v>
      </c>
      <c r="N14" s="549">
        <f t="shared" si="90"/>
        <v>0</v>
      </c>
      <c r="O14" s="675">
        <f t="shared" si="90"/>
        <v>0</v>
      </c>
      <c r="P14" s="549">
        <f t="shared" si="90"/>
        <v>0</v>
      </c>
      <c r="Q14" s="675">
        <f t="shared" si="90"/>
        <v>0</v>
      </c>
      <c r="R14" s="549">
        <f t="shared" si="90"/>
        <v>25212</v>
      </c>
      <c r="S14" s="675">
        <f t="shared" si="90"/>
        <v>-25212</v>
      </c>
      <c r="T14" s="549">
        <f t="shared" si="90"/>
        <v>0</v>
      </c>
      <c r="U14" s="675">
        <f t="shared" si="90"/>
        <v>0</v>
      </c>
      <c r="V14" s="549">
        <f t="shared" si="90"/>
        <v>0</v>
      </c>
      <c r="W14" s="675">
        <f t="shared" si="90"/>
        <v>0</v>
      </c>
      <c r="X14" s="549">
        <f t="shared" si="90"/>
        <v>0</v>
      </c>
      <c r="Y14" s="675">
        <f t="shared" si="90"/>
        <v>0</v>
      </c>
      <c r="Z14" s="549">
        <f t="shared" si="90"/>
        <v>0</v>
      </c>
      <c r="AA14" s="675">
        <f t="shared" si="90"/>
        <v>0</v>
      </c>
      <c r="AB14" s="549">
        <f t="shared" si="90"/>
        <v>0</v>
      </c>
      <c r="AC14" s="675">
        <f t="shared" si="90"/>
        <v>0</v>
      </c>
      <c r="AD14" s="549">
        <f t="shared" ref="AD14:AK14" si="91">SUM(AD16,AD21,AD26,AD28,AD30,AD36)+AD38</f>
        <v>0</v>
      </c>
      <c r="AE14" s="675">
        <f t="shared" si="91"/>
        <v>0</v>
      </c>
      <c r="AF14" s="549">
        <f t="shared" si="91"/>
        <v>0</v>
      </c>
      <c r="AG14" s="675">
        <f t="shared" si="91"/>
        <v>0</v>
      </c>
      <c r="AH14" s="549">
        <f t="shared" si="91"/>
        <v>0</v>
      </c>
      <c r="AI14" s="675">
        <f t="shared" si="91"/>
        <v>0</v>
      </c>
      <c r="AJ14" s="549">
        <f t="shared" si="91"/>
        <v>299000</v>
      </c>
      <c r="AK14" s="675">
        <f t="shared" si="91"/>
        <v>-299000</v>
      </c>
      <c r="AL14" s="549">
        <f t="shared" si="90"/>
        <v>5400</v>
      </c>
      <c r="AM14" s="675">
        <f t="shared" si="90"/>
        <v>-5400</v>
      </c>
      <c r="AN14" s="549">
        <f t="shared" ref="AN14:AS14" si="92">SUM(AN16,AN21,AN26,AN28,AN30,AN36)+AN38</f>
        <v>0</v>
      </c>
      <c r="AO14" s="675">
        <f t="shared" si="92"/>
        <v>-125000</v>
      </c>
      <c r="AP14" s="549">
        <f t="shared" si="92"/>
        <v>0</v>
      </c>
      <c r="AQ14" s="675">
        <f t="shared" si="92"/>
        <v>0</v>
      </c>
      <c r="AR14" s="549">
        <f t="shared" si="92"/>
        <v>0</v>
      </c>
      <c r="AS14" s="675">
        <f t="shared" si="92"/>
        <v>-8480</v>
      </c>
      <c r="AT14" s="549">
        <f t="shared" ref="AT14:AU14" si="93">SUM(AT16,AT21,AT26,AT28,AT30,AT36)+AT38</f>
        <v>299000</v>
      </c>
      <c r="AU14" s="675">
        <f t="shared" si="93"/>
        <v>-299000</v>
      </c>
      <c r="AV14" s="549">
        <f t="shared" ref="AV14:AW14" si="94">SUM(AV16,AV21,AV26,AV28,AV30,AV36)+AV38</f>
        <v>78684</v>
      </c>
      <c r="AW14" s="675">
        <f t="shared" si="94"/>
        <v>-78684</v>
      </c>
      <c r="AX14" s="549">
        <f t="shared" ref="AX14:AY14" si="95">SUM(AX16,AX21,AX26,AX28,AX30,AX36)+AX38</f>
        <v>0</v>
      </c>
      <c r="AY14" s="675">
        <f t="shared" si="95"/>
        <v>0</v>
      </c>
      <c r="AZ14" s="549">
        <f t="shared" ref="AZ14:BA14" si="96">SUM(AZ16,AZ21,AZ26,AZ28,AZ30,AZ36)+AZ38</f>
        <v>0</v>
      </c>
      <c r="BA14" s="675">
        <f t="shared" si="96"/>
        <v>0</v>
      </c>
      <c r="BB14" s="549">
        <f t="shared" ref="BB14:BC14" si="97">SUM(BB16,BB21,BB26,BB28,BB30,BB36)+BB38</f>
        <v>0</v>
      </c>
      <c r="BC14" s="675">
        <f t="shared" si="97"/>
        <v>0</v>
      </c>
      <c r="BD14" s="549">
        <f t="shared" ref="BD14:BE14" si="98">SUM(BD16,BD21,BD26,BD28,BD30,BD36)+BD38</f>
        <v>0</v>
      </c>
      <c r="BE14" s="675">
        <f t="shared" si="98"/>
        <v>0</v>
      </c>
      <c r="BF14" s="549">
        <f t="shared" ref="BF14:BG14" si="99">SUM(BF16,BF21,BF26,BF28,BF30,BF36)+BF38</f>
        <v>0</v>
      </c>
      <c r="BG14" s="675">
        <f t="shared" si="99"/>
        <v>0</v>
      </c>
      <c r="BH14" s="549">
        <f t="shared" ref="BH14:BI14" si="100">SUM(BH16,BH21,BH26,BH28,BH30,BH36)+BH38</f>
        <v>0</v>
      </c>
      <c r="BI14" s="675">
        <f t="shared" si="100"/>
        <v>0</v>
      </c>
      <c r="BJ14" s="549">
        <f t="shared" ref="BJ14:BK14" si="101">SUM(BJ16,BJ21,BJ26,BJ28,BJ30,BJ36)+BJ38</f>
        <v>3000</v>
      </c>
      <c r="BK14" s="675">
        <f t="shared" si="101"/>
        <v>-3000</v>
      </c>
      <c r="BL14" s="549">
        <f t="shared" ref="BL14:BS14" si="102">SUM(BL16,BL21,BL26,BL28,BL30,BL36)+BL38</f>
        <v>3417</v>
      </c>
      <c r="BM14" s="675">
        <f t="shared" si="102"/>
        <v>0</v>
      </c>
      <c r="BN14" s="549">
        <f t="shared" si="102"/>
        <v>0</v>
      </c>
      <c r="BO14" s="675">
        <f t="shared" si="102"/>
        <v>0</v>
      </c>
      <c r="BP14" s="549">
        <f t="shared" si="102"/>
        <v>0</v>
      </c>
      <c r="BQ14" s="675">
        <f t="shared" si="102"/>
        <v>0</v>
      </c>
      <c r="BR14" s="549">
        <f t="shared" si="102"/>
        <v>0</v>
      </c>
      <c r="BS14" s="675">
        <f t="shared" si="102"/>
        <v>0</v>
      </c>
      <c r="BT14" s="549">
        <f t="shared" ref="BT14:BU14" si="103">SUM(BT16,BT21,BT26,BT28,BT30,BT36)+BT38</f>
        <v>0</v>
      </c>
      <c r="BU14" s="675">
        <f t="shared" si="103"/>
        <v>0</v>
      </c>
      <c r="BV14" s="549">
        <f t="shared" ref="BV14:BW14" si="104">SUM(BV16,BV21,BV26,BV28,BV30,BV36)+BV38</f>
        <v>0</v>
      </c>
      <c r="BW14" s="675">
        <f t="shared" si="104"/>
        <v>-7480</v>
      </c>
      <c r="BX14" s="549">
        <f t="shared" ref="BX14:BY14" si="105">SUM(BX16,BX21,BX26,BX28,BX30,BX36)+BX38</f>
        <v>0</v>
      </c>
      <c r="BY14" s="675">
        <f t="shared" si="105"/>
        <v>0</v>
      </c>
      <c r="BZ14" s="549">
        <f t="shared" ref="BZ14:CA14" si="106">SUM(BZ16,BZ21,BZ26,BZ28,BZ30,BZ36)+BZ38</f>
        <v>0</v>
      </c>
      <c r="CA14" s="675">
        <f t="shared" si="106"/>
        <v>0</v>
      </c>
      <c r="CB14" s="549">
        <f t="shared" ref="CB14:CE14" si="107">SUM(CB16,CB21,CB26,CB28,CB30,CB36)+CB38</f>
        <v>0</v>
      </c>
      <c r="CC14" s="675">
        <f t="shared" si="107"/>
        <v>0</v>
      </c>
      <c r="CD14" s="549">
        <f t="shared" si="107"/>
        <v>4800</v>
      </c>
      <c r="CE14" s="675">
        <f t="shared" si="107"/>
        <v>-4800</v>
      </c>
      <c r="CF14" s="549">
        <f t="shared" ref="CF14:CQ14" si="108">SUM(CF16,CF21,CF26,CF28,CF30,CF36)+CF38</f>
        <v>0</v>
      </c>
      <c r="CG14" s="675">
        <f t="shared" si="108"/>
        <v>0</v>
      </c>
      <c r="CH14" s="549">
        <f t="shared" si="108"/>
        <v>0</v>
      </c>
      <c r="CI14" s="675">
        <f t="shared" si="108"/>
        <v>0</v>
      </c>
      <c r="CJ14" s="549">
        <f t="shared" si="108"/>
        <v>0</v>
      </c>
      <c r="CK14" s="675">
        <f t="shared" si="108"/>
        <v>0</v>
      </c>
      <c r="CL14" s="549">
        <f t="shared" si="108"/>
        <v>0</v>
      </c>
      <c r="CM14" s="675">
        <f t="shared" si="108"/>
        <v>0</v>
      </c>
      <c r="CN14" s="549">
        <f t="shared" si="108"/>
        <v>7566</v>
      </c>
      <c r="CO14" s="675">
        <f t="shared" si="108"/>
        <v>-7566</v>
      </c>
      <c r="CP14" s="549">
        <f t="shared" si="108"/>
        <v>20655</v>
      </c>
      <c r="CQ14" s="675">
        <f t="shared" si="108"/>
        <v>-20655</v>
      </c>
      <c r="CR14" s="549">
        <f t="shared" ref="CR14:CY14" si="109">SUM(CR16,CR21,CR26,CR28,CR30,CR36)+CR38</f>
        <v>0</v>
      </c>
      <c r="CS14" s="675">
        <f t="shared" si="109"/>
        <v>0</v>
      </c>
      <c r="CT14" s="549">
        <f t="shared" si="109"/>
        <v>0</v>
      </c>
      <c r="CU14" s="675">
        <f t="shared" si="109"/>
        <v>0</v>
      </c>
      <c r="CV14" s="549">
        <f t="shared" si="109"/>
        <v>4500</v>
      </c>
      <c r="CW14" s="675">
        <f t="shared" si="109"/>
        <v>-4500</v>
      </c>
      <c r="CX14" s="549">
        <f t="shared" si="109"/>
        <v>0</v>
      </c>
      <c r="CY14" s="675">
        <f t="shared" si="109"/>
        <v>0</v>
      </c>
      <c r="CZ14" s="549">
        <f t="shared" ref="CZ14:DG14" si="110">SUM(CZ16,CZ21,CZ26,CZ28,CZ30,CZ36)+CZ38</f>
        <v>0</v>
      </c>
      <c r="DA14" s="675">
        <f t="shared" si="110"/>
        <v>0</v>
      </c>
      <c r="DB14" s="549">
        <f t="shared" si="110"/>
        <v>0</v>
      </c>
      <c r="DC14" s="675">
        <f t="shared" si="110"/>
        <v>0</v>
      </c>
      <c r="DD14" s="549">
        <f t="shared" si="110"/>
        <v>0</v>
      </c>
      <c r="DE14" s="675">
        <f t="shared" si="110"/>
        <v>0</v>
      </c>
      <c r="DF14" s="549">
        <f t="shared" si="110"/>
        <v>0</v>
      </c>
      <c r="DG14" s="675">
        <f t="shared" si="110"/>
        <v>0</v>
      </c>
      <c r="DH14" s="549">
        <f t="shared" ref="DH14:DM14" si="111">SUM(DH16,DH21,DH26,DH28,DH30,DH36)+DH38</f>
        <v>0</v>
      </c>
      <c r="DI14" s="675">
        <f t="shared" si="111"/>
        <v>0</v>
      </c>
      <c r="DJ14" s="549">
        <f t="shared" si="111"/>
        <v>0</v>
      </c>
      <c r="DK14" s="675">
        <f t="shared" si="111"/>
        <v>0</v>
      </c>
      <c r="DL14" s="549">
        <f t="shared" si="111"/>
        <v>0</v>
      </c>
      <c r="DM14" s="675">
        <f t="shared" si="111"/>
        <v>0</v>
      </c>
      <c r="DN14" s="549">
        <f t="shared" ref="DN14:DW14" si="112">SUM(DN16,DN21,DN26,DN28,DN30,DN36)+DN38</f>
        <v>0</v>
      </c>
      <c r="DO14" s="675">
        <f t="shared" si="112"/>
        <v>0</v>
      </c>
      <c r="DP14" s="549">
        <f t="shared" si="112"/>
        <v>54600</v>
      </c>
      <c r="DQ14" s="675">
        <f t="shared" si="112"/>
        <v>0</v>
      </c>
      <c r="DR14" s="549">
        <f t="shared" si="112"/>
        <v>0</v>
      </c>
      <c r="DS14" s="675">
        <f t="shared" si="112"/>
        <v>0</v>
      </c>
      <c r="DT14" s="549">
        <f t="shared" si="112"/>
        <v>9485</v>
      </c>
      <c r="DU14" s="675">
        <f t="shared" si="112"/>
        <v>-9485</v>
      </c>
      <c r="DV14" s="549">
        <f t="shared" si="112"/>
        <v>0</v>
      </c>
      <c r="DW14" s="675">
        <f t="shared" si="112"/>
        <v>0</v>
      </c>
      <c r="DX14" s="549">
        <f t="shared" ref="DX14:EG14" si="113">SUM(DX16,DX21,DX26,DX28,DX30,DX36)+DX38</f>
        <v>0</v>
      </c>
      <c r="DY14" s="675">
        <f t="shared" si="113"/>
        <v>0</v>
      </c>
      <c r="DZ14" s="549">
        <f t="shared" si="113"/>
        <v>0</v>
      </c>
      <c r="EA14" s="675">
        <f t="shared" si="113"/>
        <v>0</v>
      </c>
      <c r="EB14" s="549">
        <f t="shared" si="113"/>
        <v>3660</v>
      </c>
      <c r="EC14" s="675">
        <f t="shared" si="113"/>
        <v>-3660</v>
      </c>
      <c r="ED14" s="549">
        <f t="shared" si="113"/>
        <v>0</v>
      </c>
      <c r="EE14" s="675">
        <f t="shared" si="113"/>
        <v>-48000</v>
      </c>
      <c r="EF14" s="549">
        <f t="shared" si="113"/>
        <v>65995</v>
      </c>
      <c r="EG14" s="675">
        <f t="shared" si="113"/>
        <v>-102272</v>
      </c>
      <c r="EH14" s="549">
        <f t="shared" ref="EH14:EM14" si="114">SUM(EH16,EH21,EH26,EH28,EH30,EH36)+EH38</f>
        <v>290000</v>
      </c>
      <c r="EI14" s="675">
        <f t="shared" si="114"/>
        <v>-290000</v>
      </c>
      <c r="EJ14" s="549">
        <f t="shared" si="114"/>
        <v>0</v>
      </c>
      <c r="EK14" s="675">
        <f t="shared" si="114"/>
        <v>-52500</v>
      </c>
      <c r="EL14" s="549">
        <f t="shared" si="114"/>
        <v>0</v>
      </c>
      <c r="EM14" s="675">
        <f t="shared" si="114"/>
        <v>0</v>
      </c>
      <c r="EN14" s="549">
        <f t="shared" ref="EN14:EO14" si="115">SUM(EN16,EN21,EN26,EN28,EN30,EN36)+EN38</f>
        <v>0</v>
      </c>
      <c r="EO14" s="675">
        <f t="shared" si="115"/>
        <v>0</v>
      </c>
      <c r="EP14" s="549">
        <f t="shared" ref="EP14:FA14" si="116">SUM(EP16,EP21,EP26,EP28,EP30,EP36)+EP38</f>
        <v>210000</v>
      </c>
      <c r="EQ14" s="675">
        <f t="shared" si="116"/>
        <v>-210000</v>
      </c>
      <c r="ER14" s="549">
        <f t="shared" si="116"/>
        <v>0</v>
      </c>
      <c r="ES14" s="675">
        <f t="shared" si="116"/>
        <v>0</v>
      </c>
      <c r="ET14" s="549">
        <f t="shared" si="116"/>
        <v>0</v>
      </c>
      <c r="EU14" s="675">
        <f t="shared" si="116"/>
        <v>0</v>
      </c>
      <c r="EV14" s="549">
        <f t="shared" ref="EV14:EW14" si="117">SUM(EV16,EV21,EV26,EV28,EV30,EV36)+EV38</f>
        <v>0</v>
      </c>
      <c r="EW14" s="675">
        <f t="shared" si="117"/>
        <v>0</v>
      </c>
      <c r="EX14" s="549">
        <f t="shared" si="116"/>
        <v>0</v>
      </c>
      <c r="EY14" s="675">
        <f t="shared" si="116"/>
        <v>-25600</v>
      </c>
      <c r="EZ14" s="549">
        <f t="shared" si="116"/>
        <v>0</v>
      </c>
      <c r="FA14" s="675">
        <f t="shared" si="116"/>
        <v>-15400</v>
      </c>
      <c r="FB14" s="549">
        <f t="shared" ref="FB14:FC14" si="118">SUM(FB16,FB21,FB26,FB28,FB30,FB36)+FB38</f>
        <v>0</v>
      </c>
      <c r="FC14" s="675">
        <f t="shared" si="118"/>
        <v>0</v>
      </c>
      <c r="FD14" s="549">
        <f t="shared" ref="FD14:FE14" si="119">SUM(FD16,FD21,FD26,FD28,FD30,FD36)+FD38</f>
        <v>0</v>
      </c>
      <c r="FE14" s="675">
        <f t="shared" si="119"/>
        <v>0</v>
      </c>
      <c r="FF14" s="549">
        <f t="shared" ref="FF14:FG14" si="120">SUM(FF16,FF21,FF26,FF28,FF30,FF36)+FF38</f>
        <v>1800</v>
      </c>
      <c r="FG14" s="675">
        <f t="shared" si="120"/>
        <v>0</v>
      </c>
      <c r="FH14" s="549">
        <f t="shared" ref="FH14:FI14" si="121">SUM(FH16,FH21,FH26,FH28,FH30,FH36)+FH38</f>
        <v>0</v>
      </c>
      <c r="FI14" s="675">
        <f t="shared" si="121"/>
        <v>-4200</v>
      </c>
      <c r="FJ14" s="549">
        <f t="shared" ref="FJ14:FK14" si="122">SUM(FJ16,FJ21,FJ26,FJ28,FJ30,FJ36)+FJ38</f>
        <v>0</v>
      </c>
      <c r="FK14" s="675">
        <f t="shared" si="122"/>
        <v>0</v>
      </c>
      <c r="FL14" s="549">
        <f t="shared" ref="FL14:FM14" si="123">SUM(FL16,FL21,FL26,FL28,FL30,FL36)+FL38</f>
        <v>0</v>
      </c>
      <c r="FM14" s="675">
        <f t="shared" si="123"/>
        <v>0</v>
      </c>
      <c r="FN14" s="549">
        <f t="shared" ref="FN14:FO14" si="124">SUM(FN16,FN21,FN26,FN28,FN30,FN36)+FN38</f>
        <v>0</v>
      </c>
      <c r="FO14" s="675">
        <f t="shared" si="124"/>
        <v>0</v>
      </c>
      <c r="FP14" s="549">
        <f t="shared" ref="FP14:FQ14" si="125">SUM(FP16,FP21,FP26,FP28,FP30,FP36)+FP38</f>
        <v>10000</v>
      </c>
      <c r="FQ14" s="675">
        <f t="shared" si="125"/>
        <v>-10000</v>
      </c>
      <c r="FR14" s="549">
        <f t="shared" ref="FR14:FS14" si="126">SUM(FR16,FR21,FR26,FR28,FR30,FR36)+FR38</f>
        <v>0</v>
      </c>
      <c r="FS14" s="675">
        <f t="shared" si="126"/>
        <v>0</v>
      </c>
      <c r="FT14" s="549">
        <f t="shared" ref="FT14:FU14" si="127">SUM(FT16,FT21,FT26,FT28,FT30,FT36)+FT38</f>
        <v>0</v>
      </c>
      <c r="FU14" s="675">
        <f t="shared" si="127"/>
        <v>0</v>
      </c>
      <c r="FV14" s="549">
        <f t="shared" ref="FV14:GK14" si="128">SUM(FV16,FV21,FV26,FV28,FV30,FV36)+FV38</f>
        <v>6976</v>
      </c>
      <c r="FW14" s="675">
        <f t="shared" si="128"/>
        <v>-6976</v>
      </c>
      <c r="FX14" s="549">
        <f t="shared" si="128"/>
        <v>0</v>
      </c>
      <c r="FY14" s="675">
        <f t="shared" si="128"/>
        <v>0</v>
      </c>
      <c r="FZ14" s="549">
        <f t="shared" ref="FZ14:GI14" si="129">SUM(FZ16,FZ21,FZ26,FZ28,FZ30,FZ36)+FZ38</f>
        <v>0</v>
      </c>
      <c r="GA14" s="675">
        <f t="shared" si="129"/>
        <v>0</v>
      </c>
      <c r="GB14" s="549">
        <f t="shared" si="129"/>
        <v>0</v>
      </c>
      <c r="GC14" s="675">
        <f t="shared" si="129"/>
        <v>0</v>
      </c>
      <c r="GD14" s="549">
        <f t="shared" si="129"/>
        <v>0</v>
      </c>
      <c r="GE14" s="675">
        <f t="shared" si="129"/>
        <v>0</v>
      </c>
      <c r="GF14" s="549">
        <f t="shared" si="129"/>
        <v>0</v>
      </c>
      <c r="GG14" s="675">
        <f t="shared" si="129"/>
        <v>0</v>
      </c>
      <c r="GH14" s="549">
        <f t="shared" si="129"/>
        <v>0</v>
      </c>
      <c r="GI14" s="675">
        <f t="shared" si="129"/>
        <v>0</v>
      </c>
      <c r="GJ14" s="549">
        <f t="shared" si="128"/>
        <v>0</v>
      </c>
      <c r="GK14" s="675">
        <f t="shared" si="128"/>
        <v>0</v>
      </c>
      <c r="GL14" s="549">
        <f t="shared" ref="GL14:GR14" si="130">SUM(GL16,GL21,GL26,GL28,GL30,GL36)+GL38</f>
        <v>0</v>
      </c>
      <c r="GM14" s="675">
        <f t="shared" si="130"/>
        <v>0</v>
      </c>
      <c r="GN14" s="549">
        <f t="shared" ref="GN14:GO14" si="131">SUM(GN16,GN21,GN26,GN28,GN30,GN36)+GN38</f>
        <v>0</v>
      </c>
      <c r="GO14" s="675">
        <f t="shared" si="131"/>
        <v>0</v>
      </c>
      <c r="GP14" s="74">
        <f t="shared" si="130"/>
        <v>1470203</v>
      </c>
      <c r="GQ14" s="675">
        <f t="shared" si="130"/>
        <v>-1733323</v>
      </c>
      <c r="GR14" s="74">
        <f t="shared" si="130"/>
        <v>48330980</v>
      </c>
      <c r="GS14" s="74">
        <f>SUM(GS16,GS21,GS26,GS28,GS30,GS36)+GS38</f>
        <v>43743966</v>
      </c>
      <c r="GT14" s="549">
        <f t="shared" ref="GT14:HT14" si="132">SUM(GT16,GT21,GT26,GT28,GT30,GT36)+GT38</f>
        <v>48330980</v>
      </c>
      <c r="GU14" s="74">
        <f>SUM(GU16,GU21,GU26,GU28,GU30,GU36)+GU38</f>
        <v>4639044</v>
      </c>
      <c r="GV14" s="74">
        <f t="shared" si="132"/>
        <v>4731298</v>
      </c>
      <c r="GW14" s="549">
        <f t="shared" si="132"/>
        <v>4327551</v>
      </c>
      <c r="GX14" s="549">
        <f t="shared" si="132"/>
        <v>4264976</v>
      </c>
      <c r="GY14" s="74">
        <f t="shared" si="132"/>
        <v>4264976</v>
      </c>
      <c r="GZ14" s="74">
        <f t="shared" si="132"/>
        <v>4364977</v>
      </c>
      <c r="HA14" s="74">
        <f t="shared" si="132"/>
        <v>4264977</v>
      </c>
      <c r="HB14" s="74">
        <f t="shared" si="132"/>
        <v>4618604</v>
      </c>
      <c r="HC14" s="74">
        <f t="shared" si="132"/>
        <v>4259833</v>
      </c>
      <c r="HD14" s="74">
        <f t="shared" si="132"/>
        <v>4270850</v>
      </c>
      <c r="HE14" s="74">
        <f t="shared" si="132"/>
        <v>4587014</v>
      </c>
      <c r="HF14" s="74">
        <f t="shared" si="132"/>
        <v>0</v>
      </c>
      <c r="HG14" s="74">
        <f>SUM(HG16,HG21,HG26,HG28,HG30,HG36)+HG38</f>
        <v>43839976.700000003</v>
      </c>
      <c r="HH14" s="74">
        <f t="shared" si="132"/>
        <v>70610</v>
      </c>
      <c r="HI14" s="74">
        <f t="shared" si="132"/>
        <v>0</v>
      </c>
      <c r="HJ14" s="74">
        <f t="shared" si="132"/>
        <v>79169.78</v>
      </c>
      <c r="HK14" s="74">
        <f t="shared" si="132"/>
        <v>8881706</v>
      </c>
      <c r="HL14" s="74">
        <f t="shared" si="132"/>
        <v>66798</v>
      </c>
      <c r="HM14" s="74">
        <f t="shared" si="132"/>
        <v>4236618</v>
      </c>
      <c r="HN14" s="74">
        <f t="shared" si="132"/>
        <v>84426.11</v>
      </c>
      <c r="HO14" s="74">
        <f t="shared" si="132"/>
        <v>4236618</v>
      </c>
      <c r="HP14" s="74">
        <f t="shared" si="132"/>
        <v>80173.47</v>
      </c>
      <c r="HQ14" s="74">
        <f t="shared" si="132"/>
        <v>4238618</v>
      </c>
      <c r="HR14" s="74">
        <f t="shared" si="132"/>
        <v>100817</v>
      </c>
      <c r="HS14" s="74">
        <f t="shared" si="132"/>
        <v>4334618</v>
      </c>
      <c r="HT14" s="74">
        <f t="shared" si="132"/>
        <v>100817</v>
      </c>
      <c r="HU14" s="74">
        <f t="shared" ref="HU14:IZ14" si="133">SUM(HU16,HU21,HU26,HU28,HU30,HU36)+HU38</f>
        <v>4236618</v>
      </c>
      <c r="HV14" s="74">
        <f t="shared" si="133"/>
        <v>94684.18</v>
      </c>
      <c r="HW14" s="74">
        <f t="shared" si="133"/>
        <v>3979788</v>
      </c>
      <c r="HX14" s="74">
        <f t="shared" si="133"/>
        <v>167679.47</v>
      </c>
      <c r="HY14" s="74">
        <f t="shared" si="133"/>
        <v>4801814</v>
      </c>
      <c r="HZ14" s="74">
        <f t="shared" si="133"/>
        <v>66822.69</v>
      </c>
      <c r="IA14" s="74">
        <f t="shared" si="133"/>
        <v>4236618</v>
      </c>
      <c r="IB14" s="74">
        <f t="shared" si="133"/>
        <v>0</v>
      </c>
      <c r="IC14" s="74">
        <f t="shared" si="133"/>
        <v>0</v>
      </c>
      <c r="ID14" s="74">
        <f t="shared" si="133"/>
        <v>0</v>
      </c>
      <c r="IE14" s="792">
        <f t="shared" si="133"/>
        <v>0</v>
      </c>
      <c r="IF14" s="841">
        <f>SUM(IF16,IF21,IF26,IF28,IF30,IF36)+IF38</f>
        <v>39679524.399999999</v>
      </c>
      <c r="IG14" s="263">
        <f t="shared" si="133"/>
        <v>39679524.399999999</v>
      </c>
      <c r="IH14" s="842">
        <f t="shared" si="133"/>
        <v>39679524.399999999</v>
      </c>
      <c r="II14" s="155">
        <f t="shared" si="133"/>
        <v>3053295.44</v>
      </c>
      <c r="IJ14" s="74">
        <f t="shared" si="133"/>
        <v>3053295.44</v>
      </c>
      <c r="IK14" s="74">
        <f t="shared" si="133"/>
        <v>3053295.44</v>
      </c>
      <c r="IL14" s="74">
        <f t="shared" si="133"/>
        <v>4544534.6000000006</v>
      </c>
      <c r="IM14" s="74">
        <f t="shared" si="133"/>
        <v>4544534.6000000006</v>
      </c>
      <c r="IN14" s="74">
        <f t="shared" si="133"/>
        <v>4544534.6000000006</v>
      </c>
      <c r="IO14" s="74">
        <f t="shared" si="133"/>
        <v>2393289.6799999997</v>
      </c>
      <c r="IP14" s="74">
        <f t="shared" si="133"/>
        <v>2393289.6799999997</v>
      </c>
      <c r="IQ14" s="74">
        <f t="shared" si="133"/>
        <v>2393289.6799999997</v>
      </c>
      <c r="IR14" s="74">
        <f t="shared" si="133"/>
        <v>5324552.84</v>
      </c>
      <c r="IS14" s="74">
        <f t="shared" si="133"/>
        <v>5324552.84</v>
      </c>
      <c r="IT14" s="74">
        <f t="shared" si="133"/>
        <v>5324552.84</v>
      </c>
      <c r="IU14" s="74">
        <f t="shared" si="133"/>
        <v>3906658.55</v>
      </c>
      <c r="IV14" s="74">
        <f t="shared" si="133"/>
        <v>3906658.55</v>
      </c>
      <c r="IW14" s="74">
        <f t="shared" si="133"/>
        <v>3906658.55</v>
      </c>
      <c r="IX14" s="74">
        <f t="shared" si="133"/>
        <v>4119823.1300000004</v>
      </c>
      <c r="IY14" s="74">
        <f t="shared" si="133"/>
        <v>4119823.1300000004</v>
      </c>
      <c r="IZ14" s="74">
        <f t="shared" si="133"/>
        <v>4119823.1300000004</v>
      </c>
      <c r="JA14" s="74">
        <f t="shared" ref="JA14:JT14" si="134">SUM(JA16,JA21,JA26,JA28,JA30,JA36)+JA38</f>
        <v>3983815.1999999997</v>
      </c>
      <c r="JB14" s="74">
        <f t="shared" si="134"/>
        <v>3983815.1999999997</v>
      </c>
      <c r="JC14" s="74">
        <f t="shared" si="134"/>
        <v>3983815.1999999997</v>
      </c>
      <c r="JD14" s="74">
        <f t="shared" si="134"/>
        <v>4188111.5900000003</v>
      </c>
      <c r="JE14" s="74">
        <f t="shared" si="134"/>
        <v>4188111.5900000003</v>
      </c>
      <c r="JF14" s="74">
        <f t="shared" si="134"/>
        <v>4188111.5900000003</v>
      </c>
      <c r="JG14" s="74">
        <f t="shared" si="134"/>
        <v>4012910.18</v>
      </c>
      <c r="JH14" s="74">
        <f t="shared" si="134"/>
        <v>4012910.18</v>
      </c>
      <c r="JI14" s="74">
        <f t="shared" si="134"/>
        <v>4012910.18</v>
      </c>
      <c r="JJ14" s="74">
        <f t="shared" si="134"/>
        <v>4152533.1899999976</v>
      </c>
      <c r="JK14" s="74">
        <f t="shared" si="134"/>
        <v>4152533.1899999976</v>
      </c>
      <c r="JL14" s="74">
        <f t="shared" si="134"/>
        <v>4152533.1899999976</v>
      </c>
      <c r="JM14" s="74">
        <f t="shared" si="134"/>
        <v>0</v>
      </c>
      <c r="JN14" s="74">
        <f t="shared" si="134"/>
        <v>0</v>
      </c>
      <c r="JO14" s="74">
        <f t="shared" si="134"/>
        <v>0</v>
      </c>
      <c r="JP14" s="74">
        <f t="shared" si="134"/>
        <v>0</v>
      </c>
      <c r="JQ14" s="74">
        <f t="shared" si="134"/>
        <v>0</v>
      </c>
      <c r="JR14" s="74">
        <f t="shared" si="134"/>
        <v>0</v>
      </c>
      <c r="JS14" s="74">
        <f t="shared" si="134"/>
        <v>4160452.3000000012</v>
      </c>
      <c r="JT14" s="382">
        <f t="shared" si="134"/>
        <v>4064441.600000001</v>
      </c>
      <c r="JU14" s="671"/>
      <c r="JV14" s="875"/>
      <c r="JW14" s="490"/>
      <c r="JX14" s="549">
        <f>SUM(JX16,JX21,JX26,JX28,JX30,JX36)+JX38</f>
        <v>911997.7</v>
      </c>
      <c r="JY14" s="549">
        <f>SUM(JY16,JY21,JY26,JY28,JY30,JY36)+JY38</f>
        <v>43183016</v>
      </c>
      <c r="JZ14" s="581">
        <f t="shared" si="42"/>
        <v>1470203</v>
      </c>
      <c r="KA14" s="581">
        <f t="shared" si="43"/>
        <v>-1733323</v>
      </c>
      <c r="KB14" s="549">
        <f>SUM(KB16,KB21,KB26,KB28,KB30,KB36)+KB38</f>
        <v>43839976.700000003</v>
      </c>
      <c r="KC14" s="709">
        <f t="shared" si="41"/>
        <v>0</v>
      </c>
      <c r="KD14" s="126" t="s">
        <v>53</v>
      </c>
      <c r="KE14" s="127" t="s">
        <v>525</v>
      </c>
      <c r="KF14" s="127">
        <f>$C$247+$C$582+$C$635</f>
        <v>33878600</v>
      </c>
      <c r="KG14" s="127">
        <f>GR247+GR582+GR635</f>
        <v>32611980</v>
      </c>
      <c r="KH14" s="127">
        <f>GS247+GS582+GS635+67049</f>
        <v>29634908</v>
      </c>
      <c r="KI14" s="127" t="e">
        <f>#REF!+#REF!+#REF!+$GQ$247+$GQ$582+$GQ$635</f>
        <v>#REF!</v>
      </c>
      <c r="KJ14" s="127">
        <f>$GR$247+$GR$582+$GR$635</f>
        <v>32611980</v>
      </c>
      <c r="KK14" s="127">
        <f>$HG$247+$HG$582+$HG$635</f>
        <v>29509457</v>
      </c>
    </row>
    <row r="15" spans="1:299" ht="14.25" customHeight="1">
      <c r="A15" s="76"/>
      <c r="B15" s="77"/>
      <c r="C15" s="78"/>
      <c r="D15" s="564"/>
      <c r="E15" s="677"/>
      <c r="F15" s="564"/>
      <c r="G15" s="677"/>
      <c r="H15" s="564"/>
      <c r="I15" s="677"/>
      <c r="J15" s="564"/>
      <c r="K15" s="677"/>
      <c r="L15" s="564"/>
      <c r="M15" s="677"/>
      <c r="N15" s="564"/>
      <c r="O15" s="677"/>
      <c r="P15" s="564"/>
      <c r="Q15" s="677"/>
      <c r="R15" s="564"/>
      <c r="S15" s="677"/>
      <c r="T15" s="564"/>
      <c r="U15" s="677"/>
      <c r="V15" s="564"/>
      <c r="W15" s="677"/>
      <c r="X15" s="564"/>
      <c r="Y15" s="677"/>
      <c r="Z15" s="564"/>
      <c r="AA15" s="677"/>
      <c r="AB15" s="564"/>
      <c r="AC15" s="677"/>
      <c r="AD15" s="564"/>
      <c r="AE15" s="677"/>
      <c r="AF15" s="564"/>
      <c r="AG15" s="677"/>
      <c r="AH15" s="564"/>
      <c r="AI15" s="677"/>
      <c r="AJ15" s="564"/>
      <c r="AK15" s="677"/>
      <c r="AL15" s="564"/>
      <c r="AM15" s="677"/>
      <c r="AN15" s="564"/>
      <c r="AO15" s="677"/>
      <c r="AP15" s="564"/>
      <c r="AQ15" s="677"/>
      <c r="AR15" s="564"/>
      <c r="AS15" s="677"/>
      <c r="AT15" s="564"/>
      <c r="AU15" s="677"/>
      <c r="AV15" s="564"/>
      <c r="AW15" s="677"/>
      <c r="AX15" s="564"/>
      <c r="AY15" s="677"/>
      <c r="AZ15" s="564"/>
      <c r="BA15" s="677"/>
      <c r="BB15" s="564"/>
      <c r="BC15" s="677"/>
      <c r="BD15" s="564"/>
      <c r="BE15" s="677"/>
      <c r="BF15" s="564"/>
      <c r="BG15" s="677"/>
      <c r="BH15" s="564"/>
      <c r="BI15" s="677"/>
      <c r="BJ15" s="564"/>
      <c r="BK15" s="677"/>
      <c r="BL15" s="564"/>
      <c r="BM15" s="677"/>
      <c r="BN15" s="564"/>
      <c r="BO15" s="677"/>
      <c r="BP15" s="564"/>
      <c r="BQ15" s="677"/>
      <c r="BR15" s="564"/>
      <c r="BS15" s="677"/>
      <c r="BT15" s="564"/>
      <c r="BU15" s="677"/>
      <c r="BV15" s="564"/>
      <c r="BW15" s="677"/>
      <c r="BX15" s="564"/>
      <c r="BY15" s="677"/>
      <c r="BZ15" s="564"/>
      <c r="CA15" s="677"/>
      <c r="CB15" s="564"/>
      <c r="CC15" s="677"/>
      <c r="CD15" s="564"/>
      <c r="CE15" s="677"/>
      <c r="CF15" s="564"/>
      <c r="CG15" s="677"/>
      <c r="CH15" s="564"/>
      <c r="CI15" s="677"/>
      <c r="CJ15" s="564"/>
      <c r="CK15" s="677"/>
      <c r="CL15" s="564"/>
      <c r="CM15" s="677"/>
      <c r="CN15" s="564"/>
      <c r="CO15" s="677"/>
      <c r="CP15" s="564"/>
      <c r="CQ15" s="677"/>
      <c r="CR15" s="564"/>
      <c r="CS15" s="677"/>
      <c r="CT15" s="564"/>
      <c r="CU15" s="677"/>
      <c r="CV15" s="564"/>
      <c r="CW15" s="677"/>
      <c r="CX15" s="564"/>
      <c r="CY15" s="677"/>
      <c r="CZ15" s="564"/>
      <c r="DA15" s="677"/>
      <c r="DB15" s="564"/>
      <c r="DC15" s="677"/>
      <c r="DD15" s="564"/>
      <c r="DE15" s="677"/>
      <c r="DF15" s="564"/>
      <c r="DG15" s="677"/>
      <c r="DH15" s="564"/>
      <c r="DI15" s="677"/>
      <c r="DJ15" s="564"/>
      <c r="DK15" s="677"/>
      <c r="DL15" s="564"/>
      <c r="DM15" s="677"/>
      <c r="DN15" s="564"/>
      <c r="DO15" s="677"/>
      <c r="DP15" s="564"/>
      <c r="DQ15" s="677"/>
      <c r="DR15" s="564"/>
      <c r="DS15" s="677"/>
      <c r="DT15" s="564"/>
      <c r="DU15" s="677"/>
      <c r="DV15" s="564"/>
      <c r="DW15" s="677"/>
      <c r="DX15" s="564"/>
      <c r="DY15" s="677"/>
      <c r="DZ15" s="564"/>
      <c r="EA15" s="677"/>
      <c r="EB15" s="564"/>
      <c r="EC15" s="677"/>
      <c r="ED15" s="564"/>
      <c r="EE15" s="677"/>
      <c r="EF15" s="564"/>
      <c r="EG15" s="677"/>
      <c r="EH15" s="564"/>
      <c r="EI15" s="677"/>
      <c r="EJ15" s="564"/>
      <c r="EK15" s="677"/>
      <c r="EL15" s="564"/>
      <c r="EM15" s="677"/>
      <c r="EN15" s="564"/>
      <c r="EO15" s="677"/>
      <c r="EP15" s="564"/>
      <c r="EQ15" s="677"/>
      <c r="ER15" s="564"/>
      <c r="ES15" s="677"/>
      <c r="ET15" s="564"/>
      <c r="EU15" s="677"/>
      <c r="EV15" s="564"/>
      <c r="EW15" s="677"/>
      <c r="EX15" s="564"/>
      <c r="EY15" s="677"/>
      <c r="EZ15" s="564"/>
      <c r="FA15" s="677"/>
      <c r="FB15" s="564"/>
      <c r="FC15" s="677"/>
      <c r="FD15" s="564"/>
      <c r="FE15" s="677"/>
      <c r="FF15" s="564"/>
      <c r="FG15" s="677"/>
      <c r="FH15" s="564"/>
      <c r="FI15" s="677"/>
      <c r="FJ15" s="564"/>
      <c r="FK15" s="677"/>
      <c r="FL15" s="564"/>
      <c r="FM15" s="677"/>
      <c r="FN15" s="564"/>
      <c r="FO15" s="677"/>
      <c r="FP15" s="564"/>
      <c r="FQ15" s="677"/>
      <c r="FR15" s="564"/>
      <c r="FS15" s="677"/>
      <c r="FT15" s="564"/>
      <c r="FU15" s="677"/>
      <c r="FV15" s="564"/>
      <c r="FW15" s="677"/>
      <c r="FX15" s="564"/>
      <c r="FY15" s="677"/>
      <c r="FZ15" s="564"/>
      <c r="GA15" s="677"/>
      <c r="GB15" s="564"/>
      <c r="GC15" s="677"/>
      <c r="GD15" s="564"/>
      <c r="GE15" s="677"/>
      <c r="GF15" s="564"/>
      <c r="GG15" s="677"/>
      <c r="GH15" s="564"/>
      <c r="GI15" s="677"/>
      <c r="GJ15" s="564"/>
      <c r="GK15" s="677"/>
      <c r="GL15" s="564"/>
      <c r="GM15" s="677"/>
      <c r="GN15" s="564"/>
      <c r="GO15" s="677"/>
      <c r="GP15" s="78"/>
      <c r="GQ15" s="677"/>
      <c r="GR15" s="78"/>
      <c r="GS15" s="78"/>
      <c r="GT15" s="564"/>
      <c r="GU15" s="78"/>
      <c r="GV15" s="78"/>
      <c r="GW15" s="564"/>
      <c r="GX15" s="564"/>
      <c r="GY15" s="78"/>
      <c r="GZ15" s="78"/>
      <c r="HA15" s="78"/>
      <c r="HB15" s="78"/>
      <c r="HC15" s="78"/>
      <c r="HD15" s="78"/>
      <c r="HE15" s="78"/>
      <c r="HF15" s="78"/>
      <c r="HG15" s="78"/>
      <c r="HH15" s="78"/>
      <c r="HI15" s="78"/>
      <c r="HJ15" s="78"/>
      <c r="HK15" s="78"/>
      <c r="HL15" s="78"/>
      <c r="HM15" s="78"/>
      <c r="HN15" s="78"/>
      <c r="HO15" s="78"/>
      <c r="HP15" s="78"/>
      <c r="HQ15" s="78"/>
      <c r="HR15" s="78"/>
      <c r="HS15" s="78"/>
      <c r="HT15" s="78"/>
      <c r="HU15" s="78"/>
      <c r="HV15" s="78"/>
      <c r="HW15" s="78"/>
      <c r="HX15" s="78"/>
      <c r="HY15" s="78"/>
      <c r="HZ15" s="78"/>
      <c r="IA15" s="78"/>
      <c r="IB15" s="78"/>
      <c r="IC15" s="78"/>
      <c r="ID15" s="78"/>
      <c r="IE15" s="811"/>
      <c r="IF15" s="851"/>
      <c r="IG15" s="280"/>
      <c r="IH15" s="852"/>
      <c r="II15" s="156"/>
      <c r="IJ15" s="78"/>
      <c r="IK15" s="78"/>
      <c r="IL15" s="78"/>
      <c r="IM15" s="78"/>
      <c r="IN15" s="78"/>
      <c r="IO15" s="78"/>
      <c r="IP15" s="78"/>
      <c r="IQ15" s="78"/>
      <c r="IR15" s="78"/>
      <c r="IS15" s="78"/>
      <c r="IT15" s="78"/>
      <c r="IU15" s="78"/>
      <c r="IV15" s="78"/>
      <c r="IW15" s="78"/>
      <c r="IX15" s="78"/>
      <c r="IY15" s="78"/>
      <c r="IZ15" s="78"/>
      <c r="JA15" s="78"/>
      <c r="JB15" s="78"/>
      <c r="JC15" s="78"/>
      <c r="JD15" s="78"/>
      <c r="JE15" s="78"/>
      <c r="JF15" s="78"/>
      <c r="JG15" s="78"/>
      <c r="JH15" s="78"/>
      <c r="JI15" s="78"/>
      <c r="JJ15" s="78"/>
      <c r="JK15" s="78"/>
      <c r="JL15" s="78"/>
      <c r="JM15" s="78"/>
      <c r="JN15" s="78"/>
      <c r="JO15" s="78"/>
      <c r="JP15" s="78"/>
      <c r="JQ15" s="78"/>
      <c r="JR15" s="78"/>
      <c r="JS15" s="78"/>
      <c r="JT15" s="658"/>
      <c r="JU15" s="671"/>
      <c r="JV15" s="492"/>
      <c r="JW15" s="490"/>
      <c r="JX15" s="564"/>
      <c r="JY15" s="564"/>
      <c r="JZ15" s="581">
        <f t="shared" si="42"/>
        <v>0</v>
      </c>
      <c r="KA15" s="581">
        <f t="shared" si="43"/>
        <v>0</v>
      </c>
      <c r="KB15" s="564"/>
      <c r="KC15" s="709">
        <f t="shared" si="41"/>
        <v>0</v>
      </c>
      <c r="KD15" s="126" t="s">
        <v>55</v>
      </c>
      <c r="KE15" s="127" t="s">
        <v>526</v>
      </c>
      <c r="KF15" s="127">
        <f>C249+C583</f>
        <v>0</v>
      </c>
      <c r="KG15" s="127">
        <f>GR583</f>
        <v>0</v>
      </c>
      <c r="KH15" s="127">
        <f>GS583</f>
        <v>0</v>
      </c>
      <c r="KI15" s="127" t="e">
        <f>#REF!+GQ583+#REF!+GQ249</f>
        <v>#REF!</v>
      </c>
      <c r="KJ15" s="127">
        <f>GR583+GR249</f>
        <v>0</v>
      </c>
      <c r="KK15" s="127">
        <f>HG583+HG249</f>
        <v>0</v>
      </c>
    </row>
    <row r="16" spans="1:299" s="8" customFormat="1">
      <c r="A16" s="75" t="s">
        <v>51</v>
      </c>
      <c r="B16" s="79" t="s">
        <v>52</v>
      </c>
      <c r="C16" s="78">
        <f>SUM(C17:C19)</f>
        <v>34507600</v>
      </c>
      <c r="D16" s="564">
        <f t="shared" ref="D16:E16" si="135">SUM(D17:D19)</f>
        <v>0</v>
      </c>
      <c r="E16" s="677">
        <f t="shared" si="135"/>
        <v>-6453</v>
      </c>
      <c r="F16" s="564">
        <f t="shared" ref="F16:G16" si="136">SUM(F17:F19)</f>
        <v>0</v>
      </c>
      <c r="G16" s="677">
        <f t="shared" si="136"/>
        <v>0</v>
      </c>
      <c r="H16" s="564">
        <f t="shared" ref="H16:AM16" si="137">SUM(H17:H19)</f>
        <v>0</v>
      </c>
      <c r="I16" s="677">
        <f t="shared" si="137"/>
        <v>-30000</v>
      </c>
      <c r="J16" s="564">
        <f t="shared" si="137"/>
        <v>0</v>
      </c>
      <c r="K16" s="677">
        <f t="shared" si="137"/>
        <v>0</v>
      </c>
      <c r="L16" s="564">
        <f t="shared" si="137"/>
        <v>0</v>
      </c>
      <c r="M16" s="677">
        <f t="shared" si="137"/>
        <v>-30000</v>
      </c>
      <c r="N16" s="564">
        <f t="shared" si="137"/>
        <v>0</v>
      </c>
      <c r="O16" s="677">
        <f t="shared" si="137"/>
        <v>0</v>
      </c>
      <c r="P16" s="564">
        <f t="shared" si="137"/>
        <v>0</v>
      </c>
      <c r="Q16" s="677">
        <f t="shared" si="137"/>
        <v>0</v>
      </c>
      <c r="R16" s="564">
        <f t="shared" si="137"/>
        <v>0</v>
      </c>
      <c r="S16" s="677">
        <f t="shared" si="137"/>
        <v>-25212</v>
      </c>
      <c r="T16" s="564">
        <f t="shared" si="137"/>
        <v>0</v>
      </c>
      <c r="U16" s="677">
        <f t="shared" si="137"/>
        <v>0</v>
      </c>
      <c r="V16" s="564">
        <f t="shared" si="137"/>
        <v>0</v>
      </c>
      <c r="W16" s="677">
        <f t="shared" si="137"/>
        <v>0</v>
      </c>
      <c r="X16" s="564">
        <f t="shared" si="137"/>
        <v>0</v>
      </c>
      <c r="Y16" s="677">
        <f t="shared" si="137"/>
        <v>0</v>
      </c>
      <c r="Z16" s="564">
        <f t="shared" si="137"/>
        <v>0</v>
      </c>
      <c r="AA16" s="677">
        <f t="shared" si="137"/>
        <v>0</v>
      </c>
      <c r="AB16" s="564">
        <f t="shared" si="137"/>
        <v>0</v>
      </c>
      <c r="AC16" s="677">
        <f t="shared" si="137"/>
        <v>0</v>
      </c>
      <c r="AD16" s="564">
        <f t="shared" ref="AD16:AK16" si="138">SUM(AD17:AD19)</f>
        <v>0</v>
      </c>
      <c r="AE16" s="677">
        <f t="shared" si="138"/>
        <v>0</v>
      </c>
      <c r="AF16" s="564">
        <f t="shared" si="138"/>
        <v>0</v>
      </c>
      <c r="AG16" s="677">
        <f t="shared" si="138"/>
        <v>0</v>
      </c>
      <c r="AH16" s="564">
        <f t="shared" si="138"/>
        <v>0</v>
      </c>
      <c r="AI16" s="677">
        <f t="shared" si="138"/>
        <v>0</v>
      </c>
      <c r="AJ16" s="564">
        <f t="shared" si="138"/>
        <v>0</v>
      </c>
      <c r="AK16" s="677">
        <f t="shared" si="138"/>
        <v>-212584</v>
      </c>
      <c r="AL16" s="564">
        <f t="shared" si="137"/>
        <v>0</v>
      </c>
      <c r="AM16" s="677">
        <f t="shared" si="137"/>
        <v>-5400</v>
      </c>
      <c r="AN16" s="564">
        <f t="shared" ref="AN16:AS16" si="139">SUM(AN17:AN19)</f>
        <v>0</v>
      </c>
      <c r="AO16" s="677">
        <f t="shared" si="139"/>
        <v>0</v>
      </c>
      <c r="AP16" s="564">
        <f t="shared" si="139"/>
        <v>0</v>
      </c>
      <c r="AQ16" s="677">
        <f t="shared" si="139"/>
        <v>0</v>
      </c>
      <c r="AR16" s="564">
        <f t="shared" si="139"/>
        <v>0</v>
      </c>
      <c r="AS16" s="677">
        <f t="shared" si="139"/>
        <v>0</v>
      </c>
      <c r="AT16" s="564">
        <f t="shared" ref="AT16:AU16" si="140">SUM(AT17:AT19)</f>
        <v>0</v>
      </c>
      <c r="AU16" s="677">
        <f t="shared" si="140"/>
        <v>-299000</v>
      </c>
      <c r="AV16" s="564">
        <f t="shared" ref="AV16:AW16" si="141">SUM(AV17:AV19)</f>
        <v>0</v>
      </c>
      <c r="AW16" s="677">
        <f t="shared" si="141"/>
        <v>-45649</v>
      </c>
      <c r="AX16" s="564">
        <f t="shared" ref="AX16:AY16" si="142">SUM(AX17:AX19)</f>
        <v>0</v>
      </c>
      <c r="AY16" s="677">
        <f t="shared" si="142"/>
        <v>0</v>
      </c>
      <c r="AZ16" s="564">
        <f t="shared" ref="AZ16:BA16" si="143">SUM(AZ17:AZ19)</f>
        <v>0</v>
      </c>
      <c r="BA16" s="677">
        <f t="shared" si="143"/>
        <v>0</v>
      </c>
      <c r="BB16" s="564">
        <f t="shared" ref="BB16:BC16" si="144">SUM(BB17:BB19)</f>
        <v>0</v>
      </c>
      <c r="BC16" s="677">
        <f t="shared" si="144"/>
        <v>0</v>
      </c>
      <c r="BD16" s="564">
        <f t="shared" ref="BD16:BE16" si="145">SUM(BD17:BD19)</f>
        <v>0</v>
      </c>
      <c r="BE16" s="677">
        <f t="shared" si="145"/>
        <v>0</v>
      </c>
      <c r="BF16" s="564">
        <f t="shared" ref="BF16:BG16" si="146">SUM(BF17:BF19)</f>
        <v>0</v>
      </c>
      <c r="BG16" s="677">
        <f t="shared" si="146"/>
        <v>0</v>
      </c>
      <c r="BH16" s="564">
        <f t="shared" ref="BH16:BI16" si="147">SUM(BH17:BH19)</f>
        <v>0</v>
      </c>
      <c r="BI16" s="677">
        <f t="shared" si="147"/>
        <v>0</v>
      </c>
      <c r="BJ16" s="564">
        <f t="shared" ref="BJ16:BK16" si="148">SUM(BJ17:BJ19)</f>
        <v>0</v>
      </c>
      <c r="BK16" s="677">
        <f t="shared" si="148"/>
        <v>-3000</v>
      </c>
      <c r="BL16" s="564">
        <f t="shared" ref="BL16:BS16" si="149">SUM(BL17:BL19)</f>
        <v>0</v>
      </c>
      <c r="BM16" s="677">
        <f t="shared" si="149"/>
        <v>0</v>
      </c>
      <c r="BN16" s="564">
        <f t="shared" si="149"/>
        <v>0</v>
      </c>
      <c r="BO16" s="677">
        <f t="shared" si="149"/>
        <v>0</v>
      </c>
      <c r="BP16" s="564">
        <f t="shared" si="149"/>
        <v>0</v>
      </c>
      <c r="BQ16" s="677">
        <f t="shared" si="149"/>
        <v>0</v>
      </c>
      <c r="BR16" s="564">
        <f t="shared" si="149"/>
        <v>0</v>
      </c>
      <c r="BS16" s="677">
        <f t="shared" si="149"/>
        <v>0</v>
      </c>
      <c r="BT16" s="564">
        <f t="shared" ref="BT16:BU16" si="150">SUM(BT17:BT19)</f>
        <v>0</v>
      </c>
      <c r="BU16" s="677">
        <f t="shared" si="150"/>
        <v>0</v>
      </c>
      <c r="BV16" s="564">
        <f t="shared" ref="BV16:BW16" si="151">SUM(BV17:BV19)</f>
        <v>0</v>
      </c>
      <c r="BW16" s="677">
        <f t="shared" si="151"/>
        <v>0</v>
      </c>
      <c r="BX16" s="564">
        <f t="shared" ref="BX16:BY16" si="152">SUM(BX17:BX19)</f>
        <v>0</v>
      </c>
      <c r="BY16" s="677">
        <f t="shared" si="152"/>
        <v>0</v>
      </c>
      <c r="BZ16" s="564">
        <f t="shared" ref="BZ16:CA16" si="153">SUM(BZ17:BZ19)</f>
        <v>0</v>
      </c>
      <c r="CA16" s="677">
        <f t="shared" si="153"/>
        <v>0</v>
      </c>
      <c r="CB16" s="564">
        <f t="shared" ref="CB16:CE16" si="154">SUM(CB17:CB19)</f>
        <v>0</v>
      </c>
      <c r="CC16" s="677">
        <f t="shared" si="154"/>
        <v>0</v>
      </c>
      <c r="CD16" s="564">
        <f t="shared" si="154"/>
        <v>0</v>
      </c>
      <c r="CE16" s="677">
        <f t="shared" si="154"/>
        <v>-4800</v>
      </c>
      <c r="CF16" s="564">
        <f t="shared" ref="CF16:CQ16" si="155">SUM(CF17:CF19)</f>
        <v>0</v>
      </c>
      <c r="CG16" s="677">
        <f t="shared" si="155"/>
        <v>0</v>
      </c>
      <c r="CH16" s="564">
        <f t="shared" si="155"/>
        <v>0</v>
      </c>
      <c r="CI16" s="677">
        <f t="shared" si="155"/>
        <v>0</v>
      </c>
      <c r="CJ16" s="564">
        <f t="shared" si="155"/>
        <v>0</v>
      </c>
      <c r="CK16" s="677">
        <f t="shared" si="155"/>
        <v>0</v>
      </c>
      <c r="CL16" s="564">
        <f t="shared" si="155"/>
        <v>0</v>
      </c>
      <c r="CM16" s="677">
        <f t="shared" si="155"/>
        <v>0</v>
      </c>
      <c r="CN16" s="564">
        <f t="shared" si="155"/>
        <v>0</v>
      </c>
      <c r="CO16" s="677">
        <f t="shared" si="155"/>
        <v>-7566</v>
      </c>
      <c r="CP16" s="564">
        <f t="shared" si="155"/>
        <v>20655</v>
      </c>
      <c r="CQ16" s="677">
        <f t="shared" si="155"/>
        <v>0</v>
      </c>
      <c r="CR16" s="564">
        <f t="shared" ref="CR16:CY16" si="156">SUM(CR17:CR19)</f>
        <v>0</v>
      </c>
      <c r="CS16" s="677">
        <f t="shared" si="156"/>
        <v>0</v>
      </c>
      <c r="CT16" s="564">
        <f t="shared" si="156"/>
        <v>0</v>
      </c>
      <c r="CU16" s="677">
        <f t="shared" si="156"/>
        <v>0</v>
      </c>
      <c r="CV16" s="564">
        <f t="shared" si="156"/>
        <v>0</v>
      </c>
      <c r="CW16" s="677">
        <f t="shared" si="156"/>
        <v>-4500</v>
      </c>
      <c r="CX16" s="564">
        <f t="shared" si="156"/>
        <v>0</v>
      </c>
      <c r="CY16" s="677">
        <f t="shared" si="156"/>
        <v>0</v>
      </c>
      <c r="CZ16" s="564">
        <f t="shared" ref="CZ16:DG16" si="157">SUM(CZ17:CZ19)</f>
        <v>0</v>
      </c>
      <c r="DA16" s="677">
        <f t="shared" si="157"/>
        <v>0</v>
      </c>
      <c r="DB16" s="564">
        <f t="shared" si="157"/>
        <v>0</v>
      </c>
      <c r="DC16" s="677">
        <f t="shared" si="157"/>
        <v>0</v>
      </c>
      <c r="DD16" s="564">
        <f t="shared" si="157"/>
        <v>0</v>
      </c>
      <c r="DE16" s="677">
        <f t="shared" si="157"/>
        <v>0</v>
      </c>
      <c r="DF16" s="564">
        <f t="shared" si="157"/>
        <v>0</v>
      </c>
      <c r="DG16" s="677">
        <f t="shared" si="157"/>
        <v>0</v>
      </c>
      <c r="DH16" s="564">
        <f t="shared" ref="DH16:DM16" si="158">SUM(DH17:DH19)</f>
        <v>0</v>
      </c>
      <c r="DI16" s="677">
        <f t="shared" si="158"/>
        <v>0</v>
      </c>
      <c r="DJ16" s="564">
        <f t="shared" si="158"/>
        <v>0</v>
      </c>
      <c r="DK16" s="677">
        <f t="shared" si="158"/>
        <v>0</v>
      </c>
      <c r="DL16" s="564">
        <f t="shared" si="158"/>
        <v>0</v>
      </c>
      <c r="DM16" s="677">
        <f t="shared" si="158"/>
        <v>0</v>
      </c>
      <c r="DN16" s="564">
        <f t="shared" ref="DN16:DT16" si="159">SUM(DN17:DN19)</f>
        <v>0</v>
      </c>
      <c r="DO16" s="677">
        <f t="shared" si="159"/>
        <v>0</v>
      </c>
      <c r="DP16" s="564">
        <f t="shared" si="159"/>
        <v>0</v>
      </c>
      <c r="DQ16" s="677">
        <f t="shared" si="159"/>
        <v>0</v>
      </c>
      <c r="DR16" s="564">
        <f t="shared" si="159"/>
        <v>0</v>
      </c>
      <c r="DS16" s="677">
        <f t="shared" si="159"/>
        <v>0</v>
      </c>
      <c r="DT16" s="564">
        <f t="shared" si="159"/>
        <v>9485</v>
      </c>
      <c r="DU16" s="677">
        <f>SUM(DU17:DU18)</f>
        <v>-9485</v>
      </c>
      <c r="DV16" s="564">
        <f t="shared" ref="DV16" si="160">SUM(DV17:DV19)</f>
        <v>0</v>
      </c>
      <c r="DW16" s="677">
        <f>SUM(DW17:DW18)</f>
        <v>0</v>
      </c>
      <c r="DX16" s="564">
        <f t="shared" ref="DX16" si="161">SUM(DX17:DX19)</f>
        <v>0</v>
      </c>
      <c r="DY16" s="677">
        <f>SUM(DY17:DY18)</f>
        <v>0</v>
      </c>
      <c r="DZ16" s="564">
        <f t="shared" ref="DZ16" si="162">SUM(DZ17:DZ19)</f>
        <v>0</v>
      </c>
      <c r="EA16" s="677">
        <f>SUM(EA17:EA18)</f>
        <v>0</v>
      </c>
      <c r="EB16" s="564">
        <f t="shared" ref="EB16" si="163">SUM(EB17:EB19)</f>
        <v>3660</v>
      </c>
      <c r="EC16" s="677">
        <f>SUM(EC17:EC18)</f>
        <v>0</v>
      </c>
      <c r="ED16" s="564">
        <f t="shared" ref="ED16" si="164">SUM(ED17:ED19)</f>
        <v>0</v>
      </c>
      <c r="EE16" s="677">
        <f>SUM(EE17:EE18)</f>
        <v>0</v>
      </c>
      <c r="EF16" s="564">
        <f t="shared" ref="EF16" si="165">SUM(EF17:EF19)</f>
        <v>0</v>
      </c>
      <c r="EG16" s="677">
        <f>SUM(EG17:EG18)</f>
        <v>-65995</v>
      </c>
      <c r="EH16" s="564">
        <f t="shared" ref="EH16" si="166">SUM(EH17:EH19)</f>
        <v>0</v>
      </c>
      <c r="EI16" s="677">
        <f>SUM(EI17:EI18)</f>
        <v>-290000</v>
      </c>
      <c r="EJ16" s="564">
        <f t="shared" ref="EJ16" si="167">SUM(EJ17:EJ19)</f>
        <v>0</v>
      </c>
      <c r="EK16" s="677">
        <f>SUM(EK17:EK18)</f>
        <v>-52500</v>
      </c>
      <c r="EL16" s="564">
        <f t="shared" ref="EL16" si="168">SUM(EL17:EL19)</f>
        <v>0</v>
      </c>
      <c r="EM16" s="677">
        <f>SUM(EM17:EM18)</f>
        <v>0</v>
      </c>
      <c r="EN16" s="564">
        <f t="shared" ref="EN16" si="169">SUM(EN17:EN19)</f>
        <v>0</v>
      </c>
      <c r="EO16" s="677">
        <f>SUM(EO17:EO18)</f>
        <v>0</v>
      </c>
      <c r="EP16" s="564">
        <f t="shared" ref="EP16" si="170">SUM(EP17:EP19)</f>
        <v>0</v>
      </c>
      <c r="EQ16" s="677">
        <f>SUM(EQ17:EQ18)</f>
        <v>-210000</v>
      </c>
      <c r="ER16" s="564">
        <f t="shared" ref="ER16" si="171">SUM(ER17:ER19)</f>
        <v>0</v>
      </c>
      <c r="ES16" s="677">
        <f>SUM(ES17:ES18)</f>
        <v>0</v>
      </c>
      <c r="ET16" s="564">
        <f t="shared" ref="ET16" si="172">SUM(ET17:ET19)</f>
        <v>0</v>
      </c>
      <c r="EU16" s="677">
        <f>SUM(EU17:EU18)</f>
        <v>0</v>
      </c>
      <c r="EV16" s="564">
        <f t="shared" ref="EV16" si="173">SUM(EV17:EV19)</f>
        <v>0</v>
      </c>
      <c r="EW16" s="677">
        <f>SUM(EW17:EW18)</f>
        <v>0</v>
      </c>
      <c r="EX16" s="564">
        <f t="shared" ref="EX16" si="174">SUM(EX17:EX19)</f>
        <v>0</v>
      </c>
      <c r="EY16" s="677">
        <f>SUM(EY17:EY18)</f>
        <v>0</v>
      </c>
      <c r="EZ16" s="564">
        <f t="shared" ref="EZ16" si="175">SUM(EZ17:EZ19)</f>
        <v>0</v>
      </c>
      <c r="FA16" s="677">
        <f>SUM(FA17:FA18)</f>
        <v>0</v>
      </c>
      <c r="FB16" s="564">
        <f t="shared" ref="FB16" si="176">SUM(FB17:FB19)</f>
        <v>0</v>
      </c>
      <c r="FC16" s="677">
        <f>SUM(FC17:FC18)</f>
        <v>0</v>
      </c>
      <c r="FD16" s="564">
        <f t="shared" ref="FD16" si="177">SUM(FD17:FD19)</f>
        <v>0</v>
      </c>
      <c r="FE16" s="677">
        <f>SUM(FE17:FE18)</f>
        <v>0</v>
      </c>
      <c r="FF16" s="564">
        <f t="shared" ref="FF16" si="178">SUM(FF17:FF19)</f>
        <v>0</v>
      </c>
      <c r="FG16" s="677">
        <f>SUM(FG17:FG18)</f>
        <v>0</v>
      </c>
      <c r="FH16" s="564">
        <f t="shared" ref="FH16" si="179">SUM(FH17:FH19)</f>
        <v>0</v>
      </c>
      <c r="FI16" s="677">
        <f>SUM(FI17:FI18)</f>
        <v>0</v>
      </c>
      <c r="FJ16" s="564">
        <f t="shared" ref="FJ16" si="180">SUM(FJ17:FJ19)</f>
        <v>0</v>
      </c>
      <c r="FK16" s="677">
        <f>SUM(FK17:FK18)</f>
        <v>0</v>
      </c>
      <c r="FL16" s="564">
        <f t="shared" ref="FL16" si="181">SUM(FL17:FL19)</f>
        <v>0</v>
      </c>
      <c r="FM16" s="677">
        <f>SUM(FM17:FM18)</f>
        <v>0</v>
      </c>
      <c r="FN16" s="564">
        <f t="shared" ref="FN16" si="182">SUM(FN17:FN19)</f>
        <v>0</v>
      </c>
      <c r="FO16" s="677">
        <f>SUM(FO17:FO18)</f>
        <v>0</v>
      </c>
      <c r="FP16" s="564">
        <f t="shared" ref="FP16" si="183">SUM(FP17:FP19)</f>
        <v>0</v>
      </c>
      <c r="FQ16" s="677">
        <f>SUM(FQ17:FQ18)</f>
        <v>-10000</v>
      </c>
      <c r="FR16" s="564">
        <f t="shared" ref="FR16" si="184">SUM(FR17:FR19)</f>
        <v>0</v>
      </c>
      <c r="FS16" s="677">
        <f>SUM(FS17:FS18)</f>
        <v>0</v>
      </c>
      <c r="FT16" s="564">
        <f t="shared" ref="FT16" si="185">SUM(FT17:FT19)</f>
        <v>0</v>
      </c>
      <c r="FU16" s="677">
        <f>SUM(FU17:FU18)</f>
        <v>0</v>
      </c>
      <c r="FV16" s="564">
        <f t="shared" ref="FV16" si="186">SUM(FV17:FV19)</f>
        <v>0</v>
      </c>
      <c r="FW16" s="677">
        <f>SUM(FW17:FW18)</f>
        <v>-6976</v>
      </c>
      <c r="FX16" s="564">
        <f t="shared" ref="FX16" si="187">SUM(FX17:FX19)</f>
        <v>0</v>
      </c>
      <c r="FY16" s="677">
        <f>SUM(FY17:FY18)</f>
        <v>0</v>
      </c>
      <c r="FZ16" s="564">
        <f t="shared" ref="FZ16" si="188">SUM(FZ17:FZ19)</f>
        <v>0</v>
      </c>
      <c r="GA16" s="677">
        <f>SUM(GA17:GA18)</f>
        <v>0</v>
      </c>
      <c r="GB16" s="564">
        <f t="shared" ref="GB16" si="189">SUM(GB17:GB19)</f>
        <v>0</v>
      </c>
      <c r="GC16" s="677">
        <f>SUM(GC17:GC18)</f>
        <v>0</v>
      </c>
      <c r="GD16" s="564">
        <f t="shared" ref="GD16" si="190">SUM(GD17:GD19)</f>
        <v>0</v>
      </c>
      <c r="GE16" s="677">
        <f>SUM(GE17:GE18)</f>
        <v>0</v>
      </c>
      <c r="GF16" s="564">
        <f t="shared" ref="GF16" si="191">SUM(GF17:GF19)</f>
        <v>0</v>
      </c>
      <c r="GG16" s="677">
        <f>SUM(GG17:GG18)</f>
        <v>0</v>
      </c>
      <c r="GH16" s="564">
        <f t="shared" ref="GH16" si="192">SUM(GH17:GH19)</f>
        <v>0</v>
      </c>
      <c r="GI16" s="677">
        <f>SUM(GI17:GI18)</f>
        <v>0</v>
      </c>
      <c r="GJ16" s="564">
        <f t="shared" ref="GJ16" si="193">SUM(GJ17:GJ19)</f>
        <v>0</v>
      </c>
      <c r="GK16" s="677">
        <f>SUM(GK17:GK18)</f>
        <v>0</v>
      </c>
      <c r="GL16" s="564">
        <f t="shared" ref="GL16" si="194">SUM(GL17:GL19)</f>
        <v>0</v>
      </c>
      <c r="GM16" s="677">
        <f>SUM(GM17:GM18)</f>
        <v>0</v>
      </c>
      <c r="GN16" s="564">
        <f t="shared" ref="GN16" si="195">SUM(GN17:GN19)</f>
        <v>0</v>
      </c>
      <c r="GO16" s="677">
        <f>SUM(GO17:GO18)</f>
        <v>0</v>
      </c>
      <c r="GP16" s="78">
        <f>SUM(GP17:GP19)</f>
        <v>33800</v>
      </c>
      <c r="GQ16" s="677">
        <f>SUM(GQ17:GQ19)</f>
        <v>-1319120</v>
      </c>
      <c r="GR16" s="78">
        <f t="shared" ref="GR16" si="196">SUM(GR17:GR19)</f>
        <v>33222280</v>
      </c>
      <c r="GS16" s="78">
        <f>SUM(GS17:GS19)</f>
        <v>30120978</v>
      </c>
      <c r="GT16" s="564">
        <f t="shared" ref="GT16:HT16" si="197">SUM(GT17:GT19)</f>
        <v>33222280</v>
      </c>
      <c r="GU16" s="78">
        <f>SUM(GU17:GU19)</f>
        <v>3315264</v>
      </c>
      <c r="GV16" s="78">
        <f t="shared" ref="GV16:HA16" si="198">SUM(GV17:GV19)</f>
        <v>3200891</v>
      </c>
      <c r="GW16" s="78">
        <f t="shared" si="198"/>
        <v>3150211</v>
      </c>
      <c r="GX16" s="78">
        <f t="shared" si="198"/>
        <v>3105154</v>
      </c>
      <c r="GY16" s="78">
        <f t="shared" si="198"/>
        <v>3105154</v>
      </c>
      <c r="GZ16" s="78">
        <f t="shared" si="198"/>
        <v>3105155</v>
      </c>
      <c r="HA16" s="78">
        <f t="shared" si="198"/>
        <v>3105155</v>
      </c>
      <c r="HB16" s="78">
        <f t="shared" si="197"/>
        <v>3116708</v>
      </c>
      <c r="HC16" s="78">
        <f t="shared" si="197"/>
        <v>3101303</v>
      </c>
      <c r="HD16" s="78">
        <f t="shared" si="197"/>
        <v>3101303</v>
      </c>
      <c r="HE16" s="78">
        <f t="shared" si="197"/>
        <v>3101302</v>
      </c>
      <c r="HF16" s="78">
        <f t="shared" si="197"/>
        <v>0</v>
      </c>
      <c r="HG16" s="78">
        <f>SUM(HG17:HG19)</f>
        <v>30173737.699999999</v>
      </c>
      <c r="HH16" s="78">
        <f t="shared" si="197"/>
        <v>57190</v>
      </c>
      <c r="HI16" s="78">
        <f t="shared" si="197"/>
        <v>0</v>
      </c>
      <c r="HJ16" s="78">
        <f t="shared" si="197"/>
        <v>57181</v>
      </c>
      <c r="HK16" s="78">
        <f t="shared" si="197"/>
        <v>6084191</v>
      </c>
      <c r="HL16" s="78">
        <f t="shared" si="197"/>
        <v>57181</v>
      </c>
      <c r="HM16" s="78">
        <f t="shared" si="197"/>
        <v>3076122</v>
      </c>
      <c r="HN16" s="78">
        <f t="shared" si="197"/>
        <v>57181</v>
      </c>
      <c r="HO16" s="78">
        <f t="shared" si="197"/>
        <v>3086788</v>
      </c>
      <c r="HP16" s="78">
        <f t="shared" si="197"/>
        <v>57181</v>
      </c>
      <c r="HQ16" s="78">
        <f t="shared" si="197"/>
        <v>3092214</v>
      </c>
      <c r="HR16" s="78">
        <f t="shared" si="197"/>
        <v>57181</v>
      </c>
      <c r="HS16" s="78">
        <f t="shared" si="197"/>
        <v>3088214</v>
      </c>
      <c r="HT16" s="78">
        <f t="shared" si="197"/>
        <v>57181</v>
      </c>
      <c r="HU16" s="78">
        <f t="shared" ref="HU16:IZ16" si="199">SUM(HU17:HU19)</f>
        <v>3090214</v>
      </c>
      <c r="HV16" s="78">
        <f t="shared" si="199"/>
        <v>109694.62</v>
      </c>
      <c r="HW16" s="78">
        <f t="shared" si="199"/>
        <v>2496843</v>
      </c>
      <c r="HX16" s="78">
        <f t="shared" si="199"/>
        <v>90844.38</v>
      </c>
      <c r="HY16" s="78">
        <f t="shared" si="199"/>
        <v>3681002</v>
      </c>
      <c r="HZ16" s="78">
        <f t="shared" si="199"/>
        <v>53980.7</v>
      </c>
      <c r="IA16" s="78">
        <f t="shared" si="199"/>
        <v>3080489</v>
      </c>
      <c r="IB16" s="78">
        <f t="shared" si="199"/>
        <v>0</v>
      </c>
      <c r="IC16" s="78">
        <f t="shared" si="199"/>
        <v>0</v>
      </c>
      <c r="ID16" s="78">
        <f t="shared" si="199"/>
        <v>0</v>
      </c>
      <c r="IE16" s="811">
        <f t="shared" si="199"/>
        <v>0</v>
      </c>
      <c r="IF16" s="851">
        <f t="shared" si="199"/>
        <v>27189858.859999999</v>
      </c>
      <c r="IG16" s="280">
        <f t="shared" si="199"/>
        <v>27189858.859999999</v>
      </c>
      <c r="IH16" s="852">
        <f t="shared" si="199"/>
        <v>27189858.859999999</v>
      </c>
      <c r="II16" s="156">
        <f t="shared" si="199"/>
        <v>2550228.4699999997</v>
      </c>
      <c r="IJ16" s="78">
        <f t="shared" si="199"/>
        <v>2550228.4699999997</v>
      </c>
      <c r="IK16" s="78">
        <f t="shared" si="199"/>
        <v>2550228.4699999997</v>
      </c>
      <c r="IL16" s="78">
        <f t="shared" si="199"/>
        <v>2659868.9500000002</v>
      </c>
      <c r="IM16" s="78">
        <f t="shared" si="199"/>
        <v>2659868.9500000002</v>
      </c>
      <c r="IN16" s="78">
        <f t="shared" si="199"/>
        <v>2659868.9500000002</v>
      </c>
      <c r="IO16" s="78">
        <f t="shared" si="199"/>
        <v>1529617.0699999998</v>
      </c>
      <c r="IP16" s="78">
        <f t="shared" si="199"/>
        <v>1529617.0699999998</v>
      </c>
      <c r="IQ16" s="78">
        <f t="shared" si="199"/>
        <v>1529617.0699999998</v>
      </c>
      <c r="IR16" s="78">
        <f t="shared" si="199"/>
        <v>3775371.34</v>
      </c>
      <c r="IS16" s="78">
        <f t="shared" si="199"/>
        <v>3775371.34</v>
      </c>
      <c r="IT16" s="78">
        <f t="shared" si="199"/>
        <v>3775371.34</v>
      </c>
      <c r="IU16" s="78">
        <f t="shared" si="199"/>
        <v>2619628.5399999996</v>
      </c>
      <c r="IV16" s="78">
        <f t="shared" si="199"/>
        <v>2619628.5399999996</v>
      </c>
      <c r="IW16" s="78">
        <f t="shared" si="199"/>
        <v>2619628.5399999996</v>
      </c>
      <c r="IX16" s="78">
        <f t="shared" si="199"/>
        <v>2895958.66</v>
      </c>
      <c r="IY16" s="78">
        <f t="shared" si="199"/>
        <v>2895958.66</v>
      </c>
      <c r="IZ16" s="78">
        <f t="shared" si="199"/>
        <v>2895958.66</v>
      </c>
      <c r="JA16" s="78">
        <f t="shared" ref="JA16:JT16" si="200">SUM(JA17:JA19)</f>
        <v>2796554.0799999991</v>
      </c>
      <c r="JB16" s="78">
        <f t="shared" si="200"/>
        <v>2796554.0799999991</v>
      </c>
      <c r="JC16" s="78">
        <f t="shared" si="200"/>
        <v>2796554.0799999991</v>
      </c>
      <c r="JD16" s="78">
        <f t="shared" si="200"/>
        <v>2758257.52</v>
      </c>
      <c r="JE16" s="78">
        <f t="shared" si="200"/>
        <v>2758257.52</v>
      </c>
      <c r="JF16" s="78">
        <f t="shared" si="200"/>
        <v>2758257.52</v>
      </c>
      <c r="JG16" s="78">
        <f t="shared" si="200"/>
        <v>2633933.3700000006</v>
      </c>
      <c r="JH16" s="78">
        <f t="shared" si="200"/>
        <v>2633933.3700000006</v>
      </c>
      <c r="JI16" s="78">
        <f t="shared" si="200"/>
        <v>2633933.3700000006</v>
      </c>
      <c r="JJ16" s="78">
        <f t="shared" si="200"/>
        <v>2970440.859999998</v>
      </c>
      <c r="JK16" s="78">
        <f t="shared" si="200"/>
        <v>2970440.859999998</v>
      </c>
      <c r="JL16" s="78">
        <f t="shared" si="200"/>
        <v>2970440.859999998</v>
      </c>
      <c r="JM16" s="78">
        <f t="shared" si="200"/>
        <v>0</v>
      </c>
      <c r="JN16" s="78">
        <f t="shared" si="200"/>
        <v>0</v>
      </c>
      <c r="JO16" s="78">
        <f t="shared" si="200"/>
        <v>0</v>
      </c>
      <c r="JP16" s="78">
        <f t="shared" si="200"/>
        <v>0</v>
      </c>
      <c r="JQ16" s="78">
        <f t="shared" si="200"/>
        <v>0</v>
      </c>
      <c r="JR16" s="78">
        <f t="shared" si="200"/>
        <v>0</v>
      </c>
      <c r="JS16" s="78">
        <f t="shared" si="200"/>
        <v>2983878.8400000017</v>
      </c>
      <c r="JT16" s="658">
        <f t="shared" si="200"/>
        <v>2931119.1400000015</v>
      </c>
      <c r="JU16" s="671"/>
      <c r="JV16" s="492"/>
      <c r="JW16" s="490"/>
      <c r="JX16" s="564">
        <f>SUM(JX17:JX19)</f>
        <v>654795.69999999995</v>
      </c>
      <c r="JY16" s="564">
        <f>SUM(JY17:JY19)</f>
        <v>30776077</v>
      </c>
      <c r="JZ16" s="581">
        <f t="shared" si="42"/>
        <v>33800</v>
      </c>
      <c r="KA16" s="581">
        <f t="shared" si="43"/>
        <v>-1319120</v>
      </c>
      <c r="KB16" s="564">
        <f>SUM(KB17:KB19)</f>
        <v>30173737.699999999</v>
      </c>
      <c r="KC16" s="709">
        <f t="shared" si="41"/>
        <v>0</v>
      </c>
      <c r="KD16" s="126" t="s">
        <v>59</v>
      </c>
      <c r="KE16" s="127" t="s">
        <v>527</v>
      </c>
      <c r="KF16" s="127">
        <f>C252+C586+C638</f>
        <v>5530000</v>
      </c>
      <c r="KG16" s="127">
        <f>GR252+GR586+GR638</f>
        <v>5347734</v>
      </c>
      <c r="KH16" s="127">
        <f>GS252+GS586+GS638</f>
        <v>4855988</v>
      </c>
      <c r="KI16" s="127" t="e">
        <f>#REF!+#REF!+#REF!+GQ252+GQ586+GQ638</f>
        <v>#REF!</v>
      </c>
      <c r="KJ16" s="127">
        <f>GR252+GR586+GR638</f>
        <v>5347734</v>
      </c>
      <c r="KK16" s="127">
        <f>HG252+HG586+HG638</f>
        <v>4855988</v>
      </c>
    </row>
    <row r="17" spans="1:297" s="8" customFormat="1">
      <c r="A17" s="75" t="s">
        <v>53</v>
      </c>
      <c r="B17" s="79" t="s">
        <v>54</v>
      </c>
      <c r="C17" s="74">
        <f t="shared" ref="C17:BP17" si="201">SUM(C247,C582,C635)</f>
        <v>33878600</v>
      </c>
      <c r="D17" s="549">
        <f t="shared" si="201"/>
        <v>0</v>
      </c>
      <c r="E17" s="675">
        <f t="shared" si="201"/>
        <v>-6453</v>
      </c>
      <c r="F17" s="549">
        <f t="shared" si="201"/>
        <v>0</v>
      </c>
      <c r="G17" s="675">
        <f t="shared" si="201"/>
        <v>0</v>
      </c>
      <c r="H17" s="549">
        <f t="shared" si="201"/>
        <v>0</v>
      </c>
      <c r="I17" s="675">
        <f t="shared" si="201"/>
        <v>-30000</v>
      </c>
      <c r="J17" s="549">
        <f t="shared" si="201"/>
        <v>0</v>
      </c>
      <c r="K17" s="675">
        <f t="shared" si="201"/>
        <v>0</v>
      </c>
      <c r="L17" s="549">
        <f t="shared" si="201"/>
        <v>0</v>
      </c>
      <c r="M17" s="675">
        <f t="shared" si="201"/>
        <v>-30000</v>
      </c>
      <c r="N17" s="549">
        <f t="shared" si="201"/>
        <v>0</v>
      </c>
      <c r="O17" s="675">
        <f t="shared" si="201"/>
        <v>0</v>
      </c>
      <c r="P17" s="549">
        <f t="shared" si="201"/>
        <v>0</v>
      </c>
      <c r="Q17" s="675">
        <f t="shared" si="201"/>
        <v>0</v>
      </c>
      <c r="R17" s="549">
        <f t="shared" si="201"/>
        <v>0</v>
      </c>
      <c r="S17" s="675">
        <f t="shared" si="201"/>
        <v>-25212</v>
      </c>
      <c r="T17" s="549">
        <f t="shared" si="201"/>
        <v>0</v>
      </c>
      <c r="U17" s="675">
        <f t="shared" si="201"/>
        <v>0</v>
      </c>
      <c r="V17" s="549">
        <f t="shared" si="201"/>
        <v>0</v>
      </c>
      <c r="W17" s="675">
        <f t="shared" si="201"/>
        <v>0</v>
      </c>
      <c r="X17" s="549">
        <f t="shared" si="201"/>
        <v>0</v>
      </c>
      <c r="Y17" s="675">
        <f t="shared" si="201"/>
        <v>0</v>
      </c>
      <c r="Z17" s="549">
        <f t="shared" si="201"/>
        <v>0</v>
      </c>
      <c r="AA17" s="675">
        <f t="shared" si="201"/>
        <v>0</v>
      </c>
      <c r="AB17" s="549">
        <f t="shared" si="201"/>
        <v>0</v>
      </c>
      <c r="AC17" s="675">
        <f t="shared" si="201"/>
        <v>0</v>
      </c>
      <c r="AD17" s="549">
        <f t="shared" si="201"/>
        <v>0</v>
      </c>
      <c r="AE17" s="675">
        <f t="shared" si="201"/>
        <v>0</v>
      </c>
      <c r="AF17" s="549">
        <f t="shared" si="201"/>
        <v>0</v>
      </c>
      <c r="AG17" s="675">
        <f t="shared" si="201"/>
        <v>0</v>
      </c>
      <c r="AH17" s="549">
        <f t="shared" si="201"/>
        <v>0</v>
      </c>
      <c r="AI17" s="675">
        <f t="shared" si="201"/>
        <v>0</v>
      </c>
      <c r="AJ17" s="549">
        <f t="shared" si="201"/>
        <v>0</v>
      </c>
      <c r="AK17" s="675">
        <f t="shared" si="201"/>
        <v>-212584</v>
      </c>
      <c r="AL17" s="549">
        <f t="shared" si="201"/>
        <v>0</v>
      </c>
      <c r="AM17" s="675">
        <f t="shared" si="201"/>
        <v>-5400</v>
      </c>
      <c r="AN17" s="549">
        <f t="shared" si="201"/>
        <v>0</v>
      </c>
      <c r="AO17" s="675">
        <f t="shared" si="201"/>
        <v>0</v>
      </c>
      <c r="AP17" s="549">
        <f t="shared" si="201"/>
        <v>0</v>
      </c>
      <c r="AQ17" s="675">
        <f t="shared" si="201"/>
        <v>0</v>
      </c>
      <c r="AR17" s="549">
        <f t="shared" si="201"/>
        <v>0</v>
      </c>
      <c r="AS17" s="675">
        <f t="shared" si="201"/>
        <v>0</v>
      </c>
      <c r="AT17" s="549">
        <f t="shared" ref="AT17:AU17" si="202">SUM(AT247,AT582,AT635)</f>
        <v>0</v>
      </c>
      <c r="AU17" s="675">
        <f t="shared" si="202"/>
        <v>-299000</v>
      </c>
      <c r="AV17" s="549">
        <f t="shared" ref="AV17:AW17" si="203">SUM(AV247,AV582,AV635)</f>
        <v>0</v>
      </c>
      <c r="AW17" s="675">
        <f t="shared" si="203"/>
        <v>-45649</v>
      </c>
      <c r="AX17" s="549">
        <f t="shared" ref="AX17:AY17" si="204">SUM(AX247,AX582,AX635)</f>
        <v>0</v>
      </c>
      <c r="AY17" s="675">
        <f t="shared" si="204"/>
        <v>0</v>
      </c>
      <c r="AZ17" s="549">
        <f t="shared" ref="AZ17:BA17" si="205">SUM(AZ247,AZ582,AZ635)</f>
        <v>0</v>
      </c>
      <c r="BA17" s="675">
        <f t="shared" si="205"/>
        <v>0</v>
      </c>
      <c r="BB17" s="549">
        <f t="shared" ref="BB17:BC17" si="206">SUM(BB247,BB582,BB635)</f>
        <v>0</v>
      </c>
      <c r="BC17" s="675">
        <f t="shared" si="206"/>
        <v>0</v>
      </c>
      <c r="BD17" s="549">
        <f t="shared" ref="BD17:BE17" si="207">SUM(BD247,BD582,BD635)</f>
        <v>0</v>
      </c>
      <c r="BE17" s="675">
        <f t="shared" si="207"/>
        <v>0</v>
      </c>
      <c r="BF17" s="549">
        <f t="shared" ref="BF17:BG17" si="208">SUM(BF247,BF582,BF635)</f>
        <v>0</v>
      </c>
      <c r="BG17" s="675">
        <f t="shared" si="208"/>
        <v>0</v>
      </c>
      <c r="BH17" s="549">
        <f t="shared" ref="BH17:BI17" si="209">SUM(BH247,BH582,BH635)</f>
        <v>0</v>
      </c>
      <c r="BI17" s="675">
        <f t="shared" si="209"/>
        <v>0</v>
      </c>
      <c r="BJ17" s="549">
        <f t="shared" ref="BJ17:BK17" si="210">SUM(BJ247,BJ582,BJ635)</f>
        <v>0</v>
      </c>
      <c r="BK17" s="675">
        <f t="shared" si="210"/>
        <v>-3000</v>
      </c>
      <c r="BL17" s="549">
        <f t="shared" si="201"/>
        <v>0</v>
      </c>
      <c r="BM17" s="675">
        <f t="shared" si="201"/>
        <v>0</v>
      </c>
      <c r="BN17" s="549">
        <f t="shared" si="201"/>
        <v>0</v>
      </c>
      <c r="BO17" s="675">
        <f t="shared" si="201"/>
        <v>0</v>
      </c>
      <c r="BP17" s="549">
        <f t="shared" si="201"/>
        <v>0</v>
      </c>
      <c r="BQ17" s="675">
        <f t="shared" ref="BQ17" si="211">SUM(BQ247,BQ582,BQ635)</f>
        <v>0</v>
      </c>
      <c r="BR17" s="549">
        <f t="shared" ref="BR17:BS17" si="212">SUM(BR247,BR582,BR635)</f>
        <v>0</v>
      </c>
      <c r="BS17" s="675">
        <f t="shared" si="212"/>
        <v>0</v>
      </c>
      <c r="BT17" s="549">
        <f t="shared" ref="BT17:BU17" si="213">SUM(BT247,BT582,BT635)</f>
        <v>0</v>
      </c>
      <c r="BU17" s="675">
        <f t="shared" si="213"/>
        <v>0</v>
      </c>
      <c r="BV17" s="549">
        <f t="shared" ref="BV17:BW17" si="214">SUM(BV247,BV582,BV635)</f>
        <v>0</v>
      </c>
      <c r="BW17" s="675">
        <f t="shared" si="214"/>
        <v>0</v>
      </c>
      <c r="BX17" s="549">
        <f t="shared" ref="BX17:BY17" si="215">SUM(BX247,BX582,BX635)</f>
        <v>0</v>
      </c>
      <c r="BY17" s="675">
        <f t="shared" si="215"/>
        <v>0</v>
      </c>
      <c r="BZ17" s="549">
        <f t="shared" ref="BZ17:CA17" si="216">SUM(BZ247,BZ582,BZ635)</f>
        <v>0</v>
      </c>
      <c r="CA17" s="675">
        <f t="shared" si="216"/>
        <v>0</v>
      </c>
      <c r="CB17" s="549">
        <f t="shared" ref="CB17:DU17" si="217">SUM(CB247,CB582,CB635)</f>
        <v>0</v>
      </c>
      <c r="CC17" s="675">
        <f t="shared" si="217"/>
        <v>0</v>
      </c>
      <c r="CD17" s="549">
        <f t="shared" si="217"/>
        <v>0</v>
      </c>
      <c r="CE17" s="675">
        <f t="shared" si="217"/>
        <v>-4800</v>
      </c>
      <c r="CF17" s="549">
        <f t="shared" si="217"/>
        <v>0</v>
      </c>
      <c r="CG17" s="675">
        <f t="shared" si="217"/>
        <v>0</v>
      </c>
      <c r="CH17" s="549">
        <f t="shared" si="217"/>
        <v>0</v>
      </c>
      <c r="CI17" s="675">
        <f t="shared" si="217"/>
        <v>0</v>
      </c>
      <c r="CJ17" s="549">
        <f t="shared" si="217"/>
        <v>0</v>
      </c>
      <c r="CK17" s="675">
        <f t="shared" si="217"/>
        <v>0</v>
      </c>
      <c r="CL17" s="549">
        <f t="shared" si="217"/>
        <v>0</v>
      </c>
      <c r="CM17" s="675">
        <f t="shared" si="217"/>
        <v>0</v>
      </c>
      <c r="CN17" s="549">
        <f t="shared" si="217"/>
        <v>0</v>
      </c>
      <c r="CO17" s="675">
        <f t="shared" si="217"/>
        <v>-7566</v>
      </c>
      <c r="CP17" s="549">
        <f t="shared" si="217"/>
        <v>0</v>
      </c>
      <c r="CQ17" s="675">
        <f t="shared" si="217"/>
        <v>0</v>
      </c>
      <c r="CR17" s="549">
        <f t="shared" si="217"/>
        <v>0</v>
      </c>
      <c r="CS17" s="675">
        <f t="shared" si="217"/>
        <v>0</v>
      </c>
      <c r="CT17" s="549">
        <f t="shared" si="217"/>
        <v>0</v>
      </c>
      <c r="CU17" s="675">
        <f t="shared" si="217"/>
        <v>0</v>
      </c>
      <c r="CV17" s="549">
        <f t="shared" si="217"/>
        <v>0</v>
      </c>
      <c r="CW17" s="675">
        <f t="shared" si="217"/>
        <v>-4500</v>
      </c>
      <c r="CX17" s="549">
        <f t="shared" si="217"/>
        <v>0</v>
      </c>
      <c r="CY17" s="675">
        <f t="shared" si="217"/>
        <v>0</v>
      </c>
      <c r="CZ17" s="549">
        <f t="shared" si="217"/>
        <v>0</v>
      </c>
      <c r="DA17" s="675">
        <f t="shared" si="217"/>
        <v>0</v>
      </c>
      <c r="DB17" s="549">
        <f t="shared" si="217"/>
        <v>0</v>
      </c>
      <c r="DC17" s="675">
        <f t="shared" si="217"/>
        <v>0</v>
      </c>
      <c r="DD17" s="549">
        <f t="shared" si="217"/>
        <v>0</v>
      </c>
      <c r="DE17" s="675">
        <f t="shared" si="217"/>
        <v>0</v>
      </c>
      <c r="DF17" s="549">
        <f t="shared" si="217"/>
        <v>0</v>
      </c>
      <c r="DG17" s="675">
        <f t="shared" si="217"/>
        <v>0</v>
      </c>
      <c r="DH17" s="549">
        <f t="shared" si="217"/>
        <v>0</v>
      </c>
      <c r="DI17" s="675">
        <f t="shared" si="217"/>
        <v>0</v>
      </c>
      <c r="DJ17" s="549">
        <f t="shared" si="217"/>
        <v>0</v>
      </c>
      <c r="DK17" s="675">
        <f t="shared" si="217"/>
        <v>0</v>
      </c>
      <c r="DL17" s="549">
        <f t="shared" si="217"/>
        <v>0</v>
      </c>
      <c r="DM17" s="675">
        <f t="shared" si="217"/>
        <v>0</v>
      </c>
      <c r="DN17" s="549">
        <f t="shared" si="217"/>
        <v>0</v>
      </c>
      <c r="DO17" s="675">
        <f t="shared" si="217"/>
        <v>0</v>
      </c>
      <c r="DP17" s="549">
        <f t="shared" si="217"/>
        <v>0</v>
      </c>
      <c r="DQ17" s="675">
        <f t="shared" si="217"/>
        <v>0</v>
      </c>
      <c r="DR17" s="549">
        <f t="shared" si="217"/>
        <v>0</v>
      </c>
      <c r="DS17" s="675">
        <f t="shared" si="217"/>
        <v>0</v>
      </c>
      <c r="DT17" s="549">
        <f t="shared" si="217"/>
        <v>0</v>
      </c>
      <c r="DU17" s="675">
        <f t="shared" si="217"/>
        <v>-9485</v>
      </c>
      <c r="DV17" s="549">
        <f t="shared" ref="DV17:GG17" si="218">SUM(DV247,DV582,DV635)</f>
        <v>0</v>
      </c>
      <c r="DW17" s="675">
        <f t="shared" si="218"/>
        <v>0</v>
      </c>
      <c r="DX17" s="549">
        <f t="shared" si="218"/>
        <v>0</v>
      </c>
      <c r="DY17" s="675">
        <f t="shared" si="218"/>
        <v>0</v>
      </c>
      <c r="DZ17" s="549">
        <f t="shared" si="218"/>
        <v>0</v>
      </c>
      <c r="EA17" s="675">
        <f t="shared" si="218"/>
        <v>0</v>
      </c>
      <c r="EB17" s="549">
        <f t="shared" si="218"/>
        <v>0</v>
      </c>
      <c r="EC17" s="675">
        <f t="shared" si="218"/>
        <v>0</v>
      </c>
      <c r="ED17" s="549">
        <f t="shared" si="218"/>
        <v>0</v>
      </c>
      <c r="EE17" s="675">
        <f t="shared" si="218"/>
        <v>0</v>
      </c>
      <c r="EF17" s="549">
        <f t="shared" si="218"/>
        <v>0</v>
      </c>
      <c r="EG17" s="675">
        <f t="shared" si="218"/>
        <v>-65995</v>
      </c>
      <c r="EH17" s="549">
        <f t="shared" si="218"/>
        <v>0</v>
      </c>
      <c r="EI17" s="675">
        <f t="shared" si="218"/>
        <v>-290000</v>
      </c>
      <c r="EJ17" s="549">
        <f t="shared" si="218"/>
        <v>0</v>
      </c>
      <c r="EK17" s="675">
        <f t="shared" si="218"/>
        <v>0</v>
      </c>
      <c r="EL17" s="549">
        <f t="shared" si="218"/>
        <v>0</v>
      </c>
      <c r="EM17" s="675">
        <f t="shared" si="218"/>
        <v>0</v>
      </c>
      <c r="EN17" s="549">
        <f t="shared" si="218"/>
        <v>0</v>
      </c>
      <c r="EO17" s="675">
        <f t="shared" si="218"/>
        <v>0</v>
      </c>
      <c r="EP17" s="549">
        <f t="shared" si="218"/>
        <v>0</v>
      </c>
      <c r="EQ17" s="675">
        <f t="shared" si="218"/>
        <v>-210000</v>
      </c>
      <c r="ER17" s="549">
        <f t="shared" si="218"/>
        <v>0</v>
      </c>
      <c r="ES17" s="675">
        <f t="shared" si="218"/>
        <v>0</v>
      </c>
      <c r="ET17" s="549">
        <f t="shared" si="218"/>
        <v>0</v>
      </c>
      <c r="EU17" s="675">
        <f t="shared" si="218"/>
        <v>0</v>
      </c>
      <c r="EV17" s="549">
        <f t="shared" si="218"/>
        <v>0</v>
      </c>
      <c r="EW17" s="675">
        <f t="shared" si="218"/>
        <v>0</v>
      </c>
      <c r="EX17" s="549">
        <f t="shared" si="218"/>
        <v>0</v>
      </c>
      <c r="EY17" s="675">
        <f t="shared" si="218"/>
        <v>0</v>
      </c>
      <c r="EZ17" s="549">
        <f t="shared" si="218"/>
        <v>0</v>
      </c>
      <c r="FA17" s="675">
        <f t="shared" si="218"/>
        <v>0</v>
      </c>
      <c r="FB17" s="549">
        <f t="shared" si="218"/>
        <v>0</v>
      </c>
      <c r="FC17" s="675">
        <f t="shared" si="218"/>
        <v>0</v>
      </c>
      <c r="FD17" s="549">
        <f t="shared" si="218"/>
        <v>0</v>
      </c>
      <c r="FE17" s="675">
        <f t="shared" si="218"/>
        <v>0</v>
      </c>
      <c r="FF17" s="549">
        <f t="shared" si="218"/>
        <v>0</v>
      </c>
      <c r="FG17" s="675">
        <f t="shared" si="218"/>
        <v>0</v>
      </c>
      <c r="FH17" s="549">
        <f t="shared" si="218"/>
        <v>0</v>
      </c>
      <c r="FI17" s="675">
        <f t="shared" si="218"/>
        <v>0</v>
      </c>
      <c r="FJ17" s="549">
        <f t="shared" si="218"/>
        <v>0</v>
      </c>
      <c r="FK17" s="675">
        <f t="shared" si="218"/>
        <v>0</v>
      </c>
      <c r="FL17" s="549">
        <f t="shared" si="218"/>
        <v>0</v>
      </c>
      <c r="FM17" s="675">
        <f t="shared" si="218"/>
        <v>0</v>
      </c>
      <c r="FN17" s="549">
        <f t="shared" si="218"/>
        <v>0</v>
      </c>
      <c r="FO17" s="675">
        <f t="shared" si="218"/>
        <v>0</v>
      </c>
      <c r="FP17" s="549">
        <f t="shared" si="218"/>
        <v>0</v>
      </c>
      <c r="FQ17" s="675">
        <f t="shared" si="218"/>
        <v>-10000</v>
      </c>
      <c r="FR17" s="549">
        <f t="shared" si="218"/>
        <v>0</v>
      </c>
      <c r="FS17" s="675">
        <f t="shared" si="218"/>
        <v>0</v>
      </c>
      <c r="FT17" s="549">
        <f t="shared" si="218"/>
        <v>0</v>
      </c>
      <c r="FU17" s="675">
        <f t="shared" si="218"/>
        <v>0</v>
      </c>
      <c r="FV17" s="549">
        <f t="shared" si="218"/>
        <v>0</v>
      </c>
      <c r="FW17" s="675">
        <f t="shared" si="218"/>
        <v>-6976</v>
      </c>
      <c r="FX17" s="549">
        <f t="shared" si="218"/>
        <v>0</v>
      </c>
      <c r="FY17" s="675">
        <f t="shared" si="218"/>
        <v>0</v>
      </c>
      <c r="FZ17" s="549">
        <f t="shared" si="218"/>
        <v>0</v>
      </c>
      <c r="GA17" s="675">
        <f t="shared" si="218"/>
        <v>0</v>
      </c>
      <c r="GB17" s="549">
        <f t="shared" si="218"/>
        <v>0</v>
      </c>
      <c r="GC17" s="675">
        <f t="shared" si="218"/>
        <v>0</v>
      </c>
      <c r="GD17" s="549">
        <f t="shared" si="218"/>
        <v>0</v>
      </c>
      <c r="GE17" s="675">
        <f t="shared" si="218"/>
        <v>0</v>
      </c>
      <c r="GF17" s="549">
        <f t="shared" si="218"/>
        <v>0</v>
      </c>
      <c r="GG17" s="675">
        <f t="shared" si="218"/>
        <v>0</v>
      </c>
      <c r="GH17" s="549">
        <f t="shared" ref="GH17:GO17" si="219">SUM(GH247,GH582,GH635)</f>
        <v>0</v>
      </c>
      <c r="GI17" s="675">
        <f t="shared" si="219"/>
        <v>0</v>
      </c>
      <c r="GJ17" s="549">
        <f t="shared" si="219"/>
        <v>0</v>
      </c>
      <c r="GK17" s="675">
        <f t="shared" si="219"/>
        <v>0</v>
      </c>
      <c r="GL17" s="549">
        <f t="shared" si="219"/>
        <v>0</v>
      </c>
      <c r="GM17" s="675">
        <f t="shared" si="219"/>
        <v>0</v>
      </c>
      <c r="GN17" s="549">
        <f t="shared" si="219"/>
        <v>0</v>
      </c>
      <c r="GO17" s="675">
        <f t="shared" si="219"/>
        <v>0</v>
      </c>
      <c r="GP17" s="74">
        <f t="shared" ref="GP17:HV17" si="220">SUM(GP247,GP582,GP635)</f>
        <v>0</v>
      </c>
      <c r="GQ17" s="675">
        <f t="shared" si="220"/>
        <v>-1266620</v>
      </c>
      <c r="GR17" s="74">
        <f t="shared" si="220"/>
        <v>32611980</v>
      </c>
      <c r="GS17" s="74">
        <f>SUM(GS247,GS582,GS635)</f>
        <v>29567859</v>
      </c>
      <c r="GT17" s="549">
        <f t="shared" si="220"/>
        <v>32611980</v>
      </c>
      <c r="GU17" s="74">
        <f>SUM(GU247,GU582,GU635)</f>
        <v>3258074</v>
      </c>
      <c r="GV17" s="74">
        <f t="shared" ref="GV17:HA17" si="221">SUM(GV247,GV582,GV635)</f>
        <v>3143710</v>
      </c>
      <c r="GW17" s="74">
        <f t="shared" si="221"/>
        <v>3093030</v>
      </c>
      <c r="GX17" s="74">
        <f t="shared" si="221"/>
        <v>3047973</v>
      </c>
      <c r="GY17" s="74">
        <f t="shared" si="221"/>
        <v>3047973</v>
      </c>
      <c r="GZ17" s="74">
        <f t="shared" si="221"/>
        <v>3047974</v>
      </c>
      <c r="HA17" s="74">
        <f t="shared" si="221"/>
        <v>3047974</v>
      </c>
      <c r="HB17" s="74">
        <f t="shared" si="220"/>
        <v>3059527</v>
      </c>
      <c r="HC17" s="74">
        <f t="shared" si="220"/>
        <v>3044122</v>
      </c>
      <c r="HD17" s="74">
        <f t="shared" si="220"/>
        <v>3044122</v>
      </c>
      <c r="HE17" s="74">
        <f t="shared" si="220"/>
        <v>3044121</v>
      </c>
      <c r="HF17" s="74">
        <f t="shared" si="220"/>
        <v>0</v>
      </c>
      <c r="HG17" s="74">
        <f t="shared" si="220"/>
        <v>29509457</v>
      </c>
      <c r="HH17" s="74">
        <f t="shared" si="220"/>
        <v>0</v>
      </c>
      <c r="HI17" s="74">
        <f t="shared" si="220"/>
        <v>0</v>
      </c>
      <c r="HJ17" s="74">
        <f t="shared" si="220"/>
        <v>0</v>
      </c>
      <c r="HK17" s="74">
        <f t="shared" si="220"/>
        <v>6084191</v>
      </c>
      <c r="HL17" s="74">
        <f t="shared" si="220"/>
        <v>0</v>
      </c>
      <c r="HM17" s="74">
        <f t="shared" si="220"/>
        <v>3076122</v>
      </c>
      <c r="HN17" s="74">
        <f t="shared" si="220"/>
        <v>0</v>
      </c>
      <c r="HO17" s="74">
        <f t="shared" si="220"/>
        <v>3086788</v>
      </c>
      <c r="HP17" s="74">
        <f t="shared" si="220"/>
        <v>0</v>
      </c>
      <c r="HQ17" s="74">
        <f t="shared" si="220"/>
        <v>3092214</v>
      </c>
      <c r="HR17" s="74">
        <f t="shared" si="220"/>
        <v>0</v>
      </c>
      <c r="HS17" s="74">
        <f t="shared" si="220"/>
        <v>3088214</v>
      </c>
      <c r="HT17" s="74">
        <f t="shared" si="220"/>
        <v>0</v>
      </c>
      <c r="HU17" s="74">
        <f t="shared" si="220"/>
        <v>3090214</v>
      </c>
      <c r="HV17" s="74">
        <f t="shared" si="220"/>
        <v>0</v>
      </c>
      <c r="HW17" s="74">
        <f t="shared" ref="HW17:JT17" si="222">SUM(HW247,HW582,HW635)</f>
        <v>2496843</v>
      </c>
      <c r="HX17" s="74">
        <f t="shared" si="222"/>
        <v>0</v>
      </c>
      <c r="HY17" s="74">
        <f t="shared" si="222"/>
        <v>3681002</v>
      </c>
      <c r="HZ17" s="74">
        <f t="shared" si="222"/>
        <v>0</v>
      </c>
      <c r="IA17" s="74">
        <f t="shared" si="222"/>
        <v>3080489</v>
      </c>
      <c r="IB17" s="74">
        <f t="shared" si="222"/>
        <v>0</v>
      </c>
      <c r="IC17" s="74">
        <f t="shared" si="222"/>
        <v>0</v>
      </c>
      <c r="ID17" s="74">
        <f t="shared" si="222"/>
        <v>0</v>
      </c>
      <c r="IE17" s="792">
        <f t="shared" si="222"/>
        <v>0</v>
      </c>
      <c r="IF17" s="841">
        <f t="shared" si="222"/>
        <v>26724108.16</v>
      </c>
      <c r="IG17" s="263">
        <f t="shared" si="222"/>
        <v>26724108.16</v>
      </c>
      <c r="IH17" s="842">
        <f t="shared" si="222"/>
        <v>26724108.16</v>
      </c>
      <c r="II17" s="155">
        <f t="shared" si="222"/>
        <v>2516045.3299999996</v>
      </c>
      <c r="IJ17" s="74">
        <f t="shared" si="222"/>
        <v>2516045.3299999996</v>
      </c>
      <c r="IK17" s="74">
        <f t="shared" si="222"/>
        <v>2516045.3299999996</v>
      </c>
      <c r="IL17" s="74">
        <f t="shared" si="222"/>
        <v>2622201.4500000002</v>
      </c>
      <c r="IM17" s="74">
        <f t="shared" si="222"/>
        <v>2622201.4500000002</v>
      </c>
      <c r="IN17" s="74">
        <f t="shared" si="222"/>
        <v>2622201.4500000002</v>
      </c>
      <c r="IO17" s="74">
        <f t="shared" si="222"/>
        <v>1510983.3199999998</v>
      </c>
      <c r="IP17" s="74">
        <f t="shared" si="222"/>
        <v>1510983.3199999998</v>
      </c>
      <c r="IQ17" s="74">
        <f t="shared" si="222"/>
        <v>1510983.3199999998</v>
      </c>
      <c r="IR17" s="74">
        <f t="shared" si="222"/>
        <v>3722700.52</v>
      </c>
      <c r="IS17" s="74">
        <f t="shared" si="222"/>
        <v>3722700.52</v>
      </c>
      <c r="IT17" s="74">
        <f t="shared" si="222"/>
        <v>3722700.52</v>
      </c>
      <c r="IU17" s="74">
        <f t="shared" si="222"/>
        <v>2568798.7199999997</v>
      </c>
      <c r="IV17" s="74">
        <f t="shared" si="222"/>
        <v>2568798.7199999997</v>
      </c>
      <c r="IW17" s="74">
        <f t="shared" si="222"/>
        <v>2568798.7199999997</v>
      </c>
      <c r="IX17" s="74">
        <f t="shared" si="222"/>
        <v>2850213.65</v>
      </c>
      <c r="IY17" s="74">
        <f t="shared" si="222"/>
        <v>2850213.65</v>
      </c>
      <c r="IZ17" s="74">
        <f t="shared" si="222"/>
        <v>2850213.65</v>
      </c>
      <c r="JA17" s="74">
        <f t="shared" si="222"/>
        <v>2748003.1399999992</v>
      </c>
      <c r="JB17" s="74">
        <f t="shared" si="222"/>
        <v>2748003.1399999992</v>
      </c>
      <c r="JC17" s="74">
        <f t="shared" si="222"/>
        <v>2748003.1399999992</v>
      </c>
      <c r="JD17" s="74">
        <f t="shared" si="222"/>
        <v>2705704.93</v>
      </c>
      <c r="JE17" s="74">
        <f t="shared" si="222"/>
        <v>2705704.93</v>
      </c>
      <c r="JF17" s="74">
        <f t="shared" si="222"/>
        <v>2705704.93</v>
      </c>
      <c r="JG17" s="74">
        <f t="shared" si="222"/>
        <v>2570582.9100000006</v>
      </c>
      <c r="JH17" s="74">
        <f t="shared" si="222"/>
        <v>2570582.9100000006</v>
      </c>
      <c r="JI17" s="74">
        <f t="shared" si="222"/>
        <v>2570582.9100000006</v>
      </c>
      <c r="JJ17" s="74">
        <f t="shared" si="222"/>
        <v>2908874.1899999981</v>
      </c>
      <c r="JK17" s="74">
        <f t="shared" si="222"/>
        <v>2908874.1899999981</v>
      </c>
      <c r="JL17" s="74">
        <f t="shared" si="222"/>
        <v>2908874.1899999981</v>
      </c>
      <c r="JM17" s="74">
        <f t="shared" si="222"/>
        <v>0</v>
      </c>
      <c r="JN17" s="74">
        <f t="shared" si="222"/>
        <v>0</v>
      </c>
      <c r="JO17" s="74">
        <f t="shared" si="222"/>
        <v>0</v>
      </c>
      <c r="JP17" s="74">
        <f t="shared" si="222"/>
        <v>0</v>
      </c>
      <c r="JQ17" s="74">
        <f t="shared" si="222"/>
        <v>0</v>
      </c>
      <c r="JR17" s="74">
        <f t="shared" si="222"/>
        <v>0</v>
      </c>
      <c r="JS17" s="74">
        <f t="shared" si="222"/>
        <v>2785348.8400000017</v>
      </c>
      <c r="JT17" s="382">
        <f t="shared" si="222"/>
        <v>2843750.8400000017</v>
      </c>
      <c r="JU17" s="671"/>
      <c r="JV17" s="492"/>
      <c r="JW17" s="490"/>
      <c r="JX17" s="549">
        <f>SUM(JX247,JX582,JX635)</f>
        <v>0</v>
      </c>
      <c r="JY17" s="549">
        <f>SUM(JY247,JY582,JY635)</f>
        <v>30776077</v>
      </c>
      <c r="JZ17" s="581">
        <f t="shared" si="42"/>
        <v>0</v>
      </c>
      <c r="KA17" s="581">
        <f t="shared" si="43"/>
        <v>-1266620</v>
      </c>
      <c r="KB17" s="549">
        <f>SUM(KB247,KB582,KB635)</f>
        <v>29509457</v>
      </c>
      <c r="KC17" s="709">
        <f t="shared" si="41"/>
        <v>0</v>
      </c>
      <c r="KD17" s="126" t="s">
        <v>61</v>
      </c>
      <c r="KE17" s="127" t="s">
        <v>528</v>
      </c>
      <c r="KF17" s="127">
        <f>C253+C587+C639</f>
        <v>670500</v>
      </c>
      <c r="KG17" s="127">
        <f>GR253+GR587+GR639</f>
        <v>645427</v>
      </c>
      <c r="KH17" s="127">
        <f>GS253+GS587+GS639</f>
        <v>585127</v>
      </c>
      <c r="KI17" s="127" t="e">
        <f>#REF!+#REF!+#REF!+GQ253+GQ587+GQ639</f>
        <v>#REF!</v>
      </c>
      <c r="KJ17" s="127">
        <f>GR253+GR587+GR639</f>
        <v>645427</v>
      </c>
      <c r="KK17" s="127">
        <f>HG253+HG587+HG639</f>
        <v>585127</v>
      </c>
    </row>
    <row r="18" spans="1:297" s="8" customFormat="1">
      <c r="A18" s="75" t="s">
        <v>930</v>
      </c>
      <c r="B18" s="79" t="s">
        <v>1110</v>
      </c>
      <c r="C18" s="74">
        <f t="shared" ref="C18" si="223">C369</f>
        <v>629000</v>
      </c>
      <c r="D18" s="549">
        <f t="shared" ref="D18:E18" si="224">D369+D583</f>
        <v>0</v>
      </c>
      <c r="E18" s="675">
        <f t="shared" si="224"/>
        <v>0</v>
      </c>
      <c r="F18" s="549">
        <f t="shared" ref="F18:G18" si="225">F369+F583</f>
        <v>0</v>
      </c>
      <c r="G18" s="675">
        <f t="shared" si="225"/>
        <v>0</v>
      </c>
      <c r="H18" s="549">
        <f t="shared" ref="H18:I18" si="226">H369+H583</f>
        <v>0</v>
      </c>
      <c r="I18" s="675">
        <f t="shared" si="226"/>
        <v>0</v>
      </c>
      <c r="J18" s="549">
        <f t="shared" ref="J18:K18" si="227">J369+J583</f>
        <v>0</v>
      </c>
      <c r="K18" s="675">
        <f t="shared" si="227"/>
        <v>0</v>
      </c>
      <c r="L18" s="549">
        <f t="shared" ref="L18:M18" si="228">L369+L583</f>
        <v>0</v>
      </c>
      <c r="M18" s="675">
        <f t="shared" si="228"/>
        <v>0</v>
      </c>
      <c r="N18" s="549">
        <f t="shared" ref="N18:O18" si="229">N369+N583</f>
        <v>0</v>
      </c>
      <c r="O18" s="675">
        <f t="shared" si="229"/>
        <v>0</v>
      </c>
      <c r="P18" s="549">
        <f t="shared" ref="P18:Q18" si="230">P369+P583</f>
        <v>0</v>
      </c>
      <c r="Q18" s="675">
        <f t="shared" si="230"/>
        <v>0</v>
      </c>
      <c r="R18" s="549">
        <f t="shared" ref="R18:S18" si="231">R369+R583</f>
        <v>0</v>
      </c>
      <c r="S18" s="675">
        <f t="shared" si="231"/>
        <v>0</v>
      </c>
      <c r="T18" s="549">
        <f t="shared" ref="T18:U18" si="232">T369+T583</f>
        <v>0</v>
      </c>
      <c r="U18" s="675">
        <f t="shared" si="232"/>
        <v>0</v>
      </c>
      <c r="V18" s="549">
        <f t="shared" ref="V18:W18" si="233">V369+V583</f>
        <v>0</v>
      </c>
      <c r="W18" s="675">
        <f t="shared" si="233"/>
        <v>0</v>
      </c>
      <c r="X18" s="549">
        <f t="shared" ref="X18:Y18" si="234">X369+X583</f>
        <v>0</v>
      </c>
      <c r="Y18" s="675">
        <f t="shared" si="234"/>
        <v>0</v>
      </c>
      <c r="Z18" s="549">
        <f t="shared" ref="Z18:AA18" si="235">Z369+Z583</f>
        <v>0</v>
      </c>
      <c r="AA18" s="675">
        <f t="shared" si="235"/>
        <v>0</v>
      </c>
      <c r="AB18" s="549">
        <f t="shared" ref="AB18:AC18" si="236">AB369+AB583</f>
        <v>0</v>
      </c>
      <c r="AC18" s="675">
        <f t="shared" si="236"/>
        <v>0</v>
      </c>
      <c r="AD18" s="549">
        <f t="shared" ref="AD18:AE18" si="237">AD369+AD583</f>
        <v>0</v>
      </c>
      <c r="AE18" s="675">
        <f t="shared" si="237"/>
        <v>0</v>
      </c>
      <c r="AF18" s="549">
        <f t="shared" ref="AF18:AI18" si="238">AF369+AF583</f>
        <v>0</v>
      </c>
      <c r="AG18" s="675">
        <f t="shared" si="238"/>
        <v>0</v>
      </c>
      <c r="AH18" s="549">
        <f t="shared" si="238"/>
        <v>0</v>
      </c>
      <c r="AI18" s="675">
        <f t="shared" si="238"/>
        <v>0</v>
      </c>
      <c r="AJ18" s="549">
        <f t="shared" ref="AJ18:AK18" si="239">AJ369+AJ583</f>
        <v>0</v>
      </c>
      <c r="AK18" s="675">
        <f t="shared" si="239"/>
        <v>0</v>
      </c>
      <c r="AL18" s="549">
        <f t="shared" ref="AL18:AM18" si="240">AL369+AL583</f>
        <v>0</v>
      </c>
      <c r="AM18" s="675">
        <f t="shared" si="240"/>
        <v>0</v>
      </c>
      <c r="AN18" s="549">
        <f t="shared" ref="AN18:AO18" si="241">AN369+AN583</f>
        <v>0</v>
      </c>
      <c r="AO18" s="675">
        <f t="shared" si="241"/>
        <v>0</v>
      </c>
      <c r="AP18" s="549">
        <f t="shared" ref="AP18:AQ18" si="242">AP369+AP583</f>
        <v>0</v>
      </c>
      <c r="AQ18" s="675">
        <f t="shared" si="242"/>
        <v>0</v>
      </c>
      <c r="AR18" s="549">
        <f t="shared" ref="AR18:AS18" si="243">AR369+AR583</f>
        <v>0</v>
      </c>
      <c r="AS18" s="675">
        <f t="shared" si="243"/>
        <v>0</v>
      </c>
      <c r="AT18" s="549">
        <f t="shared" ref="AT18:AU18" si="244">AT369+AT583</f>
        <v>0</v>
      </c>
      <c r="AU18" s="675">
        <f t="shared" si="244"/>
        <v>0</v>
      </c>
      <c r="AV18" s="549">
        <f t="shared" ref="AV18:AW18" si="245">AV369+AV583</f>
        <v>0</v>
      </c>
      <c r="AW18" s="675">
        <f t="shared" si="245"/>
        <v>0</v>
      </c>
      <c r="AX18" s="549">
        <f t="shared" ref="AX18:AY18" si="246">AX369+AX583</f>
        <v>0</v>
      </c>
      <c r="AY18" s="675">
        <f t="shared" si="246"/>
        <v>0</v>
      </c>
      <c r="AZ18" s="549">
        <f t="shared" ref="AZ18:BA18" si="247">AZ369+AZ583</f>
        <v>0</v>
      </c>
      <c r="BA18" s="675">
        <f t="shared" si="247"/>
        <v>0</v>
      </c>
      <c r="BB18" s="549">
        <f t="shared" ref="BB18:BC18" si="248">BB369+BB583</f>
        <v>0</v>
      </c>
      <c r="BC18" s="675">
        <f t="shared" si="248"/>
        <v>0</v>
      </c>
      <c r="BD18" s="549">
        <f t="shared" ref="BD18:BE18" si="249">BD369+BD583</f>
        <v>0</v>
      </c>
      <c r="BE18" s="675">
        <f t="shared" si="249"/>
        <v>0</v>
      </c>
      <c r="BF18" s="549">
        <f t="shared" ref="BF18:BG18" si="250">BF369+BF583</f>
        <v>0</v>
      </c>
      <c r="BG18" s="675">
        <f t="shared" si="250"/>
        <v>0</v>
      </c>
      <c r="BH18" s="549">
        <f t="shared" ref="BH18:BI18" si="251">BH369+BH583</f>
        <v>0</v>
      </c>
      <c r="BI18" s="675">
        <f t="shared" si="251"/>
        <v>0</v>
      </c>
      <c r="BJ18" s="549">
        <f t="shared" ref="BJ18:BK18" si="252">BJ369+BJ583</f>
        <v>0</v>
      </c>
      <c r="BK18" s="675">
        <f t="shared" si="252"/>
        <v>0</v>
      </c>
      <c r="BL18" s="549">
        <f t="shared" ref="BL18:BM18" si="253">BL369+BL583</f>
        <v>0</v>
      </c>
      <c r="BM18" s="675">
        <f t="shared" si="253"/>
        <v>0</v>
      </c>
      <c r="BN18" s="549">
        <f t="shared" ref="BN18:BO18" si="254">BN369+BN583</f>
        <v>0</v>
      </c>
      <c r="BO18" s="675">
        <f t="shared" si="254"/>
        <v>0</v>
      </c>
      <c r="BP18" s="549">
        <f t="shared" ref="BP18:BQ18" si="255">BP369+BP583</f>
        <v>0</v>
      </c>
      <c r="BQ18" s="675">
        <f t="shared" si="255"/>
        <v>0</v>
      </c>
      <c r="BR18" s="549">
        <f t="shared" ref="BR18:BS18" si="256">BR369+BR583</f>
        <v>0</v>
      </c>
      <c r="BS18" s="675">
        <f t="shared" si="256"/>
        <v>0</v>
      </c>
      <c r="BT18" s="549">
        <f t="shared" ref="BT18:BU18" si="257">BT369+BT583</f>
        <v>0</v>
      </c>
      <c r="BU18" s="675">
        <f t="shared" si="257"/>
        <v>0</v>
      </c>
      <c r="BV18" s="549">
        <f t="shared" ref="BV18:BW18" si="258">BV369+BV583</f>
        <v>0</v>
      </c>
      <c r="BW18" s="675">
        <f t="shared" si="258"/>
        <v>0</v>
      </c>
      <c r="BX18" s="549">
        <f t="shared" ref="BX18:BY18" si="259">BX369+BX583</f>
        <v>0</v>
      </c>
      <c r="BY18" s="675">
        <f t="shared" si="259"/>
        <v>0</v>
      </c>
      <c r="BZ18" s="549">
        <f t="shared" ref="BZ18:CA18" si="260">BZ369+BZ583</f>
        <v>0</v>
      </c>
      <c r="CA18" s="675">
        <f t="shared" si="260"/>
        <v>0</v>
      </c>
      <c r="CB18" s="549">
        <f t="shared" ref="CB18:CS18" si="261">CB369+CB583</f>
        <v>0</v>
      </c>
      <c r="CC18" s="675">
        <f t="shared" si="261"/>
        <v>0</v>
      </c>
      <c r="CD18" s="549">
        <f t="shared" si="261"/>
        <v>0</v>
      </c>
      <c r="CE18" s="675">
        <f t="shared" si="261"/>
        <v>0</v>
      </c>
      <c r="CF18" s="549">
        <f t="shared" si="261"/>
        <v>0</v>
      </c>
      <c r="CG18" s="675">
        <f t="shared" si="261"/>
        <v>0</v>
      </c>
      <c r="CH18" s="549">
        <f t="shared" si="261"/>
        <v>0</v>
      </c>
      <c r="CI18" s="675">
        <f t="shared" si="261"/>
        <v>0</v>
      </c>
      <c r="CJ18" s="549">
        <f t="shared" si="261"/>
        <v>0</v>
      </c>
      <c r="CK18" s="675">
        <f t="shared" si="261"/>
        <v>0</v>
      </c>
      <c r="CL18" s="549">
        <f t="shared" si="261"/>
        <v>0</v>
      </c>
      <c r="CM18" s="675">
        <f t="shared" si="261"/>
        <v>0</v>
      </c>
      <c r="CN18" s="549">
        <f t="shared" si="261"/>
        <v>0</v>
      </c>
      <c r="CO18" s="675">
        <f t="shared" si="261"/>
        <v>0</v>
      </c>
      <c r="CP18" s="549">
        <f t="shared" si="261"/>
        <v>20655</v>
      </c>
      <c r="CQ18" s="675">
        <f t="shared" si="261"/>
        <v>0</v>
      </c>
      <c r="CR18" s="549">
        <f t="shared" si="261"/>
        <v>0</v>
      </c>
      <c r="CS18" s="675">
        <f t="shared" si="261"/>
        <v>0</v>
      </c>
      <c r="CT18" s="549">
        <f t="shared" ref="CT18:DS18" si="262">CT369+CT583</f>
        <v>0</v>
      </c>
      <c r="CU18" s="675">
        <f t="shared" si="262"/>
        <v>0</v>
      </c>
      <c r="CV18" s="549">
        <f t="shared" si="262"/>
        <v>0</v>
      </c>
      <c r="CW18" s="675">
        <f t="shared" si="262"/>
        <v>0</v>
      </c>
      <c r="CX18" s="549">
        <f t="shared" si="262"/>
        <v>0</v>
      </c>
      <c r="CY18" s="675">
        <f t="shared" si="262"/>
        <v>0</v>
      </c>
      <c r="CZ18" s="549">
        <f t="shared" si="262"/>
        <v>0</v>
      </c>
      <c r="DA18" s="675">
        <f t="shared" si="262"/>
        <v>0</v>
      </c>
      <c r="DB18" s="549">
        <f t="shared" si="262"/>
        <v>0</v>
      </c>
      <c r="DC18" s="675">
        <f t="shared" si="262"/>
        <v>0</v>
      </c>
      <c r="DD18" s="549">
        <f t="shared" si="262"/>
        <v>0</v>
      </c>
      <c r="DE18" s="675">
        <f t="shared" si="262"/>
        <v>0</v>
      </c>
      <c r="DF18" s="549">
        <f t="shared" si="262"/>
        <v>0</v>
      </c>
      <c r="DG18" s="675">
        <f t="shared" si="262"/>
        <v>0</v>
      </c>
      <c r="DH18" s="549">
        <f t="shared" si="262"/>
        <v>0</v>
      </c>
      <c r="DI18" s="675">
        <f t="shared" si="262"/>
        <v>0</v>
      </c>
      <c r="DJ18" s="549">
        <f t="shared" si="262"/>
        <v>0</v>
      </c>
      <c r="DK18" s="675">
        <f t="shared" si="262"/>
        <v>0</v>
      </c>
      <c r="DL18" s="549">
        <f t="shared" si="262"/>
        <v>0</v>
      </c>
      <c r="DM18" s="675">
        <f t="shared" si="262"/>
        <v>0</v>
      </c>
      <c r="DN18" s="549">
        <f t="shared" si="262"/>
        <v>0</v>
      </c>
      <c r="DO18" s="675">
        <f t="shared" si="262"/>
        <v>0</v>
      </c>
      <c r="DP18" s="549">
        <f t="shared" si="262"/>
        <v>0</v>
      </c>
      <c r="DQ18" s="675">
        <f t="shared" si="262"/>
        <v>0</v>
      </c>
      <c r="DR18" s="549">
        <f t="shared" si="262"/>
        <v>0</v>
      </c>
      <c r="DS18" s="675">
        <f t="shared" si="262"/>
        <v>0</v>
      </c>
      <c r="DT18" s="549">
        <f t="shared" ref="DT18:EY18" si="263">DT369+DT583+DT248</f>
        <v>9485</v>
      </c>
      <c r="DU18" s="675">
        <f t="shared" si="263"/>
        <v>0</v>
      </c>
      <c r="DV18" s="549">
        <f t="shared" si="263"/>
        <v>0</v>
      </c>
      <c r="DW18" s="675">
        <f t="shared" si="263"/>
        <v>0</v>
      </c>
      <c r="DX18" s="549">
        <f t="shared" si="263"/>
        <v>0</v>
      </c>
      <c r="DY18" s="675">
        <f t="shared" si="263"/>
        <v>0</v>
      </c>
      <c r="DZ18" s="549">
        <f t="shared" si="263"/>
        <v>0</v>
      </c>
      <c r="EA18" s="675">
        <f t="shared" si="263"/>
        <v>0</v>
      </c>
      <c r="EB18" s="549">
        <f t="shared" si="263"/>
        <v>3660</v>
      </c>
      <c r="EC18" s="675">
        <f t="shared" si="263"/>
        <v>0</v>
      </c>
      <c r="ED18" s="549">
        <f t="shared" si="263"/>
        <v>0</v>
      </c>
      <c r="EE18" s="675">
        <f t="shared" si="263"/>
        <v>0</v>
      </c>
      <c r="EF18" s="549">
        <f t="shared" si="263"/>
        <v>0</v>
      </c>
      <c r="EG18" s="675">
        <f t="shared" si="263"/>
        <v>0</v>
      </c>
      <c r="EH18" s="549">
        <f t="shared" si="263"/>
        <v>0</v>
      </c>
      <c r="EI18" s="675">
        <f t="shared" si="263"/>
        <v>0</v>
      </c>
      <c r="EJ18" s="549">
        <f t="shared" si="263"/>
        <v>0</v>
      </c>
      <c r="EK18" s="675">
        <f t="shared" si="263"/>
        <v>-52500</v>
      </c>
      <c r="EL18" s="549">
        <f t="shared" si="263"/>
        <v>0</v>
      </c>
      <c r="EM18" s="675">
        <f t="shared" si="263"/>
        <v>0</v>
      </c>
      <c r="EN18" s="549">
        <f t="shared" si="263"/>
        <v>0</v>
      </c>
      <c r="EO18" s="675">
        <f t="shared" si="263"/>
        <v>0</v>
      </c>
      <c r="EP18" s="549">
        <f t="shared" si="263"/>
        <v>0</v>
      </c>
      <c r="EQ18" s="675">
        <f t="shared" si="263"/>
        <v>0</v>
      </c>
      <c r="ER18" s="549">
        <f t="shared" si="263"/>
        <v>0</v>
      </c>
      <c r="ES18" s="675">
        <f t="shared" si="263"/>
        <v>0</v>
      </c>
      <c r="ET18" s="549">
        <f t="shared" si="263"/>
        <v>0</v>
      </c>
      <c r="EU18" s="675">
        <f t="shared" si="263"/>
        <v>0</v>
      </c>
      <c r="EV18" s="549">
        <f t="shared" si="263"/>
        <v>0</v>
      </c>
      <c r="EW18" s="675">
        <f t="shared" si="263"/>
        <v>0</v>
      </c>
      <c r="EX18" s="549">
        <f t="shared" si="263"/>
        <v>0</v>
      </c>
      <c r="EY18" s="675">
        <f t="shared" si="263"/>
        <v>0</v>
      </c>
      <c r="EZ18" s="549">
        <f t="shared" ref="EZ18:GE18" si="264">EZ369+EZ583+EZ248</f>
        <v>0</v>
      </c>
      <c r="FA18" s="675">
        <f t="shared" si="264"/>
        <v>0</v>
      </c>
      <c r="FB18" s="549">
        <f t="shared" si="264"/>
        <v>0</v>
      </c>
      <c r="FC18" s="675">
        <f t="shared" si="264"/>
        <v>0</v>
      </c>
      <c r="FD18" s="549">
        <f t="shared" si="264"/>
        <v>0</v>
      </c>
      <c r="FE18" s="675">
        <f t="shared" si="264"/>
        <v>0</v>
      </c>
      <c r="FF18" s="549">
        <f t="shared" si="264"/>
        <v>0</v>
      </c>
      <c r="FG18" s="675">
        <f t="shared" si="264"/>
        <v>0</v>
      </c>
      <c r="FH18" s="549">
        <f t="shared" si="264"/>
        <v>0</v>
      </c>
      <c r="FI18" s="675">
        <f t="shared" si="264"/>
        <v>0</v>
      </c>
      <c r="FJ18" s="549">
        <f t="shared" si="264"/>
        <v>0</v>
      </c>
      <c r="FK18" s="675">
        <f t="shared" si="264"/>
        <v>0</v>
      </c>
      <c r="FL18" s="549">
        <f t="shared" si="264"/>
        <v>0</v>
      </c>
      <c r="FM18" s="675">
        <f t="shared" si="264"/>
        <v>0</v>
      </c>
      <c r="FN18" s="549">
        <f t="shared" si="264"/>
        <v>0</v>
      </c>
      <c r="FO18" s="675">
        <f t="shared" si="264"/>
        <v>0</v>
      </c>
      <c r="FP18" s="549">
        <f t="shared" si="264"/>
        <v>0</v>
      </c>
      <c r="FQ18" s="675">
        <f t="shared" si="264"/>
        <v>0</v>
      </c>
      <c r="FR18" s="549">
        <f t="shared" si="264"/>
        <v>0</v>
      </c>
      <c r="FS18" s="675">
        <f t="shared" si="264"/>
        <v>0</v>
      </c>
      <c r="FT18" s="549">
        <f t="shared" si="264"/>
        <v>0</v>
      </c>
      <c r="FU18" s="675">
        <f t="shared" si="264"/>
        <v>0</v>
      </c>
      <c r="FV18" s="549">
        <f t="shared" si="264"/>
        <v>0</v>
      </c>
      <c r="FW18" s="675">
        <f t="shared" si="264"/>
        <v>0</v>
      </c>
      <c r="FX18" s="549">
        <f t="shared" si="264"/>
        <v>0</v>
      </c>
      <c r="FY18" s="675">
        <f t="shared" si="264"/>
        <v>0</v>
      </c>
      <c r="FZ18" s="549">
        <f t="shared" si="264"/>
        <v>0</v>
      </c>
      <c r="GA18" s="675">
        <f t="shared" si="264"/>
        <v>0</v>
      </c>
      <c r="GB18" s="549">
        <f t="shared" si="264"/>
        <v>0</v>
      </c>
      <c r="GC18" s="675">
        <f t="shared" si="264"/>
        <v>0</v>
      </c>
      <c r="GD18" s="549">
        <f t="shared" si="264"/>
        <v>0</v>
      </c>
      <c r="GE18" s="675">
        <f t="shared" si="264"/>
        <v>0</v>
      </c>
      <c r="GF18" s="549">
        <f t="shared" ref="GF18:GO18" si="265">GF369+GF583+GF248</f>
        <v>0</v>
      </c>
      <c r="GG18" s="675">
        <f t="shared" si="265"/>
        <v>0</v>
      </c>
      <c r="GH18" s="549">
        <f t="shared" si="265"/>
        <v>0</v>
      </c>
      <c r="GI18" s="675">
        <f t="shared" si="265"/>
        <v>0</v>
      </c>
      <c r="GJ18" s="549">
        <f t="shared" si="265"/>
        <v>0</v>
      </c>
      <c r="GK18" s="675">
        <f t="shared" si="265"/>
        <v>0</v>
      </c>
      <c r="GL18" s="549">
        <f t="shared" si="265"/>
        <v>0</v>
      </c>
      <c r="GM18" s="675">
        <f t="shared" si="265"/>
        <v>0</v>
      </c>
      <c r="GN18" s="549">
        <f t="shared" si="265"/>
        <v>0</v>
      </c>
      <c r="GO18" s="675">
        <f t="shared" si="265"/>
        <v>0</v>
      </c>
      <c r="GP18" s="74">
        <f>GP369+GP248+GP583</f>
        <v>33800</v>
      </c>
      <c r="GQ18" s="675">
        <f>GQ369+GQ248+GQ583</f>
        <v>-52500</v>
      </c>
      <c r="GR18" s="74">
        <f>GR369+GR248+GR583</f>
        <v>610300</v>
      </c>
      <c r="GS18" s="74">
        <f>GS369+GS248+GS583</f>
        <v>553119</v>
      </c>
      <c r="GT18" s="549">
        <f t="shared" ref="GT18:GU18" si="266">GT369+GT248</f>
        <v>610300</v>
      </c>
      <c r="GU18" s="74">
        <f t="shared" si="266"/>
        <v>57190</v>
      </c>
      <c r="GV18" s="74">
        <f t="shared" ref="GV18:HF18" si="267">GV369</f>
        <v>57181</v>
      </c>
      <c r="GW18" s="74">
        <f t="shared" si="267"/>
        <v>57181</v>
      </c>
      <c r="GX18" s="74">
        <f t="shared" si="267"/>
        <v>57181</v>
      </c>
      <c r="GY18" s="74">
        <f t="shared" si="267"/>
        <v>57181</v>
      </c>
      <c r="GZ18" s="74">
        <f t="shared" si="267"/>
        <v>57181</v>
      </c>
      <c r="HA18" s="74">
        <f t="shared" si="267"/>
        <v>57181</v>
      </c>
      <c r="HB18" s="74">
        <f t="shared" si="267"/>
        <v>57181</v>
      </c>
      <c r="HC18" s="74">
        <f t="shared" si="267"/>
        <v>57181</v>
      </c>
      <c r="HD18" s="74">
        <f t="shared" si="267"/>
        <v>57181</v>
      </c>
      <c r="HE18" s="74">
        <f t="shared" si="267"/>
        <v>57181</v>
      </c>
      <c r="HF18" s="74">
        <f t="shared" si="267"/>
        <v>0</v>
      </c>
      <c r="HG18" s="74">
        <f>HG369+HG248+HG583</f>
        <v>664280.69999999995</v>
      </c>
      <c r="HH18" s="74">
        <f t="shared" ref="HH18:JS18" si="268">HH369+HH248+HH583</f>
        <v>57190</v>
      </c>
      <c r="HI18" s="74">
        <f t="shared" si="268"/>
        <v>0</v>
      </c>
      <c r="HJ18" s="74">
        <f t="shared" si="268"/>
        <v>57181</v>
      </c>
      <c r="HK18" s="74">
        <f t="shared" si="268"/>
        <v>0</v>
      </c>
      <c r="HL18" s="74">
        <f t="shared" si="268"/>
        <v>57181</v>
      </c>
      <c r="HM18" s="74">
        <f t="shared" si="268"/>
        <v>0</v>
      </c>
      <c r="HN18" s="74">
        <f t="shared" si="268"/>
        <v>57181</v>
      </c>
      <c r="HO18" s="74">
        <f t="shared" si="268"/>
        <v>0</v>
      </c>
      <c r="HP18" s="74">
        <f t="shared" si="268"/>
        <v>57181</v>
      </c>
      <c r="HQ18" s="74">
        <f t="shared" si="268"/>
        <v>0</v>
      </c>
      <c r="HR18" s="74">
        <f t="shared" si="268"/>
        <v>57181</v>
      </c>
      <c r="HS18" s="74">
        <f t="shared" si="268"/>
        <v>0</v>
      </c>
      <c r="HT18" s="74">
        <f t="shared" si="268"/>
        <v>57181</v>
      </c>
      <c r="HU18" s="74">
        <f t="shared" si="268"/>
        <v>0</v>
      </c>
      <c r="HV18" s="74">
        <f t="shared" si="268"/>
        <v>109694.62</v>
      </c>
      <c r="HW18" s="74">
        <f t="shared" si="268"/>
        <v>0</v>
      </c>
      <c r="HX18" s="74">
        <f t="shared" si="268"/>
        <v>90844.38</v>
      </c>
      <c r="HY18" s="74">
        <f t="shared" si="268"/>
        <v>0</v>
      </c>
      <c r="HZ18" s="74">
        <f t="shared" si="268"/>
        <v>53980.7</v>
      </c>
      <c r="IA18" s="74">
        <f t="shared" si="268"/>
        <v>0</v>
      </c>
      <c r="IB18" s="74">
        <f t="shared" si="268"/>
        <v>0</v>
      </c>
      <c r="IC18" s="74">
        <f t="shared" si="268"/>
        <v>0</v>
      </c>
      <c r="ID18" s="74">
        <f t="shared" si="268"/>
        <v>0</v>
      </c>
      <c r="IE18" s="792">
        <f t="shared" si="268"/>
        <v>0</v>
      </c>
      <c r="IF18" s="841">
        <f t="shared" si="268"/>
        <v>465750.7</v>
      </c>
      <c r="IG18" s="263">
        <f t="shared" si="268"/>
        <v>465750.7</v>
      </c>
      <c r="IH18" s="842">
        <f t="shared" si="268"/>
        <v>465750.7</v>
      </c>
      <c r="II18" s="155">
        <f t="shared" si="268"/>
        <v>34183.14</v>
      </c>
      <c r="IJ18" s="74">
        <f t="shared" si="268"/>
        <v>34183.14</v>
      </c>
      <c r="IK18" s="74">
        <f t="shared" si="268"/>
        <v>34183.14</v>
      </c>
      <c r="IL18" s="74">
        <f t="shared" si="268"/>
        <v>37667.5</v>
      </c>
      <c r="IM18" s="74">
        <f t="shared" si="268"/>
        <v>37667.5</v>
      </c>
      <c r="IN18" s="74">
        <f t="shared" si="268"/>
        <v>37667.5</v>
      </c>
      <c r="IO18" s="74">
        <f t="shared" si="268"/>
        <v>18633.75</v>
      </c>
      <c r="IP18" s="74">
        <f t="shared" si="268"/>
        <v>18633.75</v>
      </c>
      <c r="IQ18" s="74">
        <f t="shared" si="268"/>
        <v>18633.75</v>
      </c>
      <c r="IR18" s="74">
        <f t="shared" si="268"/>
        <v>52670.819999999992</v>
      </c>
      <c r="IS18" s="74">
        <f t="shared" si="268"/>
        <v>52670.819999999992</v>
      </c>
      <c r="IT18" s="74">
        <f t="shared" si="268"/>
        <v>52670.819999999992</v>
      </c>
      <c r="IU18" s="74">
        <f t="shared" si="268"/>
        <v>50829.820000000007</v>
      </c>
      <c r="IV18" s="74">
        <f t="shared" si="268"/>
        <v>50829.820000000007</v>
      </c>
      <c r="IW18" s="74">
        <f t="shared" si="268"/>
        <v>50829.820000000007</v>
      </c>
      <c r="IX18" s="74">
        <f t="shared" si="268"/>
        <v>45745.010000000009</v>
      </c>
      <c r="IY18" s="74">
        <f t="shared" si="268"/>
        <v>45745.010000000009</v>
      </c>
      <c r="IZ18" s="74">
        <f t="shared" si="268"/>
        <v>45745.010000000009</v>
      </c>
      <c r="JA18" s="74">
        <f t="shared" si="268"/>
        <v>48550.939999999973</v>
      </c>
      <c r="JB18" s="74">
        <f t="shared" si="268"/>
        <v>48550.939999999973</v>
      </c>
      <c r="JC18" s="74">
        <f t="shared" si="268"/>
        <v>48550.939999999973</v>
      </c>
      <c r="JD18" s="74">
        <f t="shared" si="268"/>
        <v>52552.590000000026</v>
      </c>
      <c r="JE18" s="74">
        <f t="shared" si="268"/>
        <v>52552.590000000026</v>
      </c>
      <c r="JF18" s="74">
        <f t="shared" si="268"/>
        <v>52552.590000000026</v>
      </c>
      <c r="JG18" s="74">
        <f t="shared" si="268"/>
        <v>63350.460000000021</v>
      </c>
      <c r="JH18" s="74">
        <f t="shared" si="268"/>
        <v>63350.460000000021</v>
      </c>
      <c r="JI18" s="74">
        <f t="shared" si="268"/>
        <v>63350.460000000021</v>
      </c>
      <c r="JJ18" s="74">
        <f t="shared" si="268"/>
        <v>61566.669999999984</v>
      </c>
      <c r="JK18" s="74">
        <f t="shared" si="268"/>
        <v>61566.669999999984</v>
      </c>
      <c r="JL18" s="74">
        <f t="shared" si="268"/>
        <v>61566.669999999984</v>
      </c>
      <c r="JM18" s="74">
        <f t="shared" si="268"/>
        <v>0</v>
      </c>
      <c r="JN18" s="74">
        <f t="shared" si="268"/>
        <v>0</v>
      </c>
      <c r="JO18" s="74">
        <f t="shared" si="268"/>
        <v>0</v>
      </c>
      <c r="JP18" s="74">
        <f t="shared" si="268"/>
        <v>0</v>
      </c>
      <c r="JQ18" s="74">
        <f t="shared" si="268"/>
        <v>0</v>
      </c>
      <c r="JR18" s="74">
        <f t="shared" si="268"/>
        <v>0</v>
      </c>
      <c r="JS18" s="74">
        <f t="shared" si="268"/>
        <v>198529.99999999994</v>
      </c>
      <c r="JT18" s="382">
        <f t="shared" ref="JT18" si="269">JT369+JT248+JT583</f>
        <v>87368.299999999988</v>
      </c>
      <c r="JU18" s="671"/>
      <c r="JV18" s="492"/>
      <c r="JW18" s="490"/>
      <c r="JX18" s="549">
        <f>JX369+JX248+JX583</f>
        <v>654795.69999999995</v>
      </c>
      <c r="JY18" s="549">
        <f>JY369+JY248+JY583</f>
        <v>0</v>
      </c>
      <c r="JZ18" s="581">
        <f>JZ369+JZ248+JZ583</f>
        <v>33800</v>
      </c>
      <c r="KA18" s="581">
        <f>KA369+KA248+KA583</f>
        <v>-52500</v>
      </c>
      <c r="KB18" s="549">
        <f>KB369+KB248+KB583</f>
        <v>664280.69999999995</v>
      </c>
      <c r="KC18" s="709">
        <f t="shared" si="41"/>
        <v>0</v>
      </c>
      <c r="KD18" s="126"/>
      <c r="KE18" s="127"/>
      <c r="KF18" s="127"/>
      <c r="KG18" s="127"/>
      <c r="KH18" s="127"/>
      <c r="KI18" s="127"/>
      <c r="KJ18" s="127"/>
      <c r="KK18" s="127"/>
    </row>
    <row r="19" spans="1:297" s="8" customFormat="1" ht="12.75" hidden="1" customHeight="1">
      <c r="A19" s="75" t="s">
        <v>55</v>
      </c>
      <c r="B19" s="72" t="s">
        <v>56</v>
      </c>
      <c r="C19" s="74">
        <f>C583+C249</f>
        <v>0</v>
      </c>
      <c r="D19" s="549">
        <f t="shared" ref="D19:E19" si="270">D249</f>
        <v>0</v>
      </c>
      <c r="E19" s="675">
        <f t="shared" si="270"/>
        <v>0</v>
      </c>
      <c r="F19" s="549">
        <f t="shared" ref="F19:G19" si="271">F249</f>
        <v>0</v>
      </c>
      <c r="G19" s="675">
        <f t="shared" si="271"/>
        <v>0</v>
      </c>
      <c r="H19" s="549">
        <f t="shared" ref="H19:I19" si="272">H249</f>
        <v>0</v>
      </c>
      <c r="I19" s="675">
        <f t="shared" si="272"/>
        <v>0</v>
      </c>
      <c r="J19" s="549">
        <f t="shared" ref="J19:K19" si="273">J249</f>
        <v>0</v>
      </c>
      <c r="K19" s="675">
        <f t="shared" si="273"/>
        <v>0</v>
      </c>
      <c r="L19" s="549">
        <f t="shared" ref="L19:M19" si="274">L249</f>
        <v>0</v>
      </c>
      <c r="M19" s="675">
        <f t="shared" si="274"/>
        <v>0</v>
      </c>
      <c r="N19" s="549">
        <f t="shared" ref="N19:O19" si="275">N249</f>
        <v>0</v>
      </c>
      <c r="O19" s="675">
        <f t="shared" si="275"/>
        <v>0</v>
      </c>
      <c r="P19" s="549">
        <f t="shared" ref="P19:Q19" si="276">P249</f>
        <v>0</v>
      </c>
      <c r="Q19" s="675">
        <f t="shared" si="276"/>
        <v>0</v>
      </c>
      <c r="R19" s="549">
        <f t="shared" ref="R19:S19" si="277">R249</f>
        <v>0</v>
      </c>
      <c r="S19" s="675">
        <f t="shared" si="277"/>
        <v>0</v>
      </c>
      <c r="T19" s="549">
        <f t="shared" ref="T19:U19" si="278">T249</f>
        <v>0</v>
      </c>
      <c r="U19" s="675">
        <f t="shared" si="278"/>
        <v>0</v>
      </c>
      <c r="V19" s="549">
        <f t="shared" ref="V19:W19" si="279">V249</f>
        <v>0</v>
      </c>
      <c r="W19" s="675">
        <f t="shared" si="279"/>
        <v>0</v>
      </c>
      <c r="X19" s="549">
        <f t="shared" ref="X19:Y19" si="280">X249</f>
        <v>0</v>
      </c>
      <c r="Y19" s="675">
        <f t="shared" si="280"/>
        <v>0</v>
      </c>
      <c r="Z19" s="549">
        <f t="shared" ref="Z19:AA19" si="281">Z249</f>
        <v>0</v>
      </c>
      <c r="AA19" s="675">
        <f t="shared" si="281"/>
        <v>0</v>
      </c>
      <c r="AB19" s="549">
        <f t="shared" ref="AB19:AC19" si="282">AB249</f>
        <v>0</v>
      </c>
      <c r="AC19" s="675">
        <f t="shared" si="282"/>
        <v>0</v>
      </c>
      <c r="AD19" s="549">
        <f t="shared" ref="AD19:AE19" si="283">AD249</f>
        <v>0</v>
      </c>
      <c r="AE19" s="675">
        <f t="shared" si="283"/>
        <v>0</v>
      </c>
      <c r="AF19" s="549">
        <f t="shared" ref="AF19:AI19" si="284">AF249</f>
        <v>0</v>
      </c>
      <c r="AG19" s="675">
        <f t="shared" si="284"/>
        <v>0</v>
      </c>
      <c r="AH19" s="549">
        <f t="shared" si="284"/>
        <v>0</v>
      </c>
      <c r="AI19" s="675">
        <f t="shared" si="284"/>
        <v>0</v>
      </c>
      <c r="AJ19" s="549">
        <f t="shared" ref="AJ19:AK19" si="285">AJ249</f>
        <v>0</v>
      </c>
      <c r="AK19" s="675">
        <f t="shared" si="285"/>
        <v>0</v>
      </c>
      <c r="AL19" s="549">
        <f t="shared" ref="AL19:AM19" si="286">AL249</f>
        <v>0</v>
      </c>
      <c r="AM19" s="675">
        <f t="shared" si="286"/>
        <v>0</v>
      </c>
      <c r="AN19" s="549">
        <f t="shared" ref="AN19:AO19" si="287">AN249</f>
        <v>0</v>
      </c>
      <c r="AO19" s="675">
        <f t="shared" si="287"/>
        <v>0</v>
      </c>
      <c r="AP19" s="549">
        <f t="shared" ref="AP19:AQ19" si="288">AP249</f>
        <v>0</v>
      </c>
      <c r="AQ19" s="675">
        <f t="shared" si="288"/>
        <v>0</v>
      </c>
      <c r="AR19" s="549">
        <f t="shared" ref="AR19:AS19" si="289">AR249</f>
        <v>0</v>
      </c>
      <c r="AS19" s="675">
        <f t="shared" si="289"/>
        <v>0</v>
      </c>
      <c r="AT19" s="549">
        <f t="shared" ref="AT19:AU19" si="290">AT249</f>
        <v>0</v>
      </c>
      <c r="AU19" s="675">
        <f t="shared" si="290"/>
        <v>0</v>
      </c>
      <c r="AV19" s="549">
        <f t="shared" ref="AV19:AW19" si="291">AV249</f>
        <v>0</v>
      </c>
      <c r="AW19" s="675">
        <f t="shared" si="291"/>
        <v>0</v>
      </c>
      <c r="AX19" s="549">
        <f t="shared" ref="AX19:AY19" si="292">AX249</f>
        <v>0</v>
      </c>
      <c r="AY19" s="675">
        <f t="shared" si="292"/>
        <v>0</v>
      </c>
      <c r="AZ19" s="549">
        <f t="shared" ref="AZ19:BA19" si="293">AZ249</f>
        <v>0</v>
      </c>
      <c r="BA19" s="675">
        <f t="shared" si="293"/>
        <v>0</v>
      </c>
      <c r="BB19" s="549">
        <f t="shared" ref="BB19:BC19" si="294">BB249</f>
        <v>0</v>
      </c>
      <c r="BC19" s="675">
        <f t="shared" si="294"/>
        <v>0</v>
      </c>
      <c r="BD19" s="549">
        <f t="shared" ref="BD19:BE19" si="295">BD249</f>
        <v>0</v>
      </c>
      <c r="BE19" s="675">
        <f t="shared" si="295"/>
        <v>0</v>
      </c>
      <c r="BF19" s="549">
        <f t="shared" ref="BF19:BG19" si="296">BF249</f>
        <v>0</v>
      </c>
      <c r="BG19" s="675">
        <f t="shared" si="296"/>
        <v>0</v>
      </c>
      <c r="BH19" s="549">
        <f t="shared" ref="BH19:BI19" si="297">BH249</f>
        <v>0</v>
      </c>
      <c r="BI19" s="675">
        <f t="shared" si="297"/>
        <v>0</v>
      </c>
      <c r="BJ19" s="549">
        <f t="shared" ref="BJ19:BK19" si="298">BJ249</f>
        <v>0</v>
      </c>
      <c r="BK19" s="675">
        <f t="shared" si="298"/>
        <v>0</v>
      </c>
      <c r="BL19" s="549">
        <f t="shared" ref="BL19:BM19" si="299">BL249</f>
        <v>0</v>
      </c>
      <c r="BM19" s="675">
        <f t="shared" si="299"/>
        <v>0</v>
      </c>
      <c r="BN19" s="549">
        <f t="shared" ref="BN19:BO19" si="300">BN249</f>
        <v>0</v>
      </c>
      <c r="BO19" s="675">
        <f t="shared" si="300"/>
        <v>0</v>
      </c>
      <c r="BP19" s="549">
        <f t="shared" ref="BP19:BQ19" si="301">BP249</f>
        <v>0</v>
      </c>
      <c r="BQ19" s="675">
        <f t="shared" si="301"/>
        <v>0</v>
      </c>
      <c r="BR19" s="549">
        <f t="shared" ref="BR19:BS19" si="302">BR249</f>
        <v>0</v>
      </c>
      <c r="BS19" s="675">
        <f t="shared" si="302"/>
        <v>0</v>
      </c>
      <c r="BT19" s="549">
        <f t="shared" ref="BT19:BU19" si="303">BT249</f>
        <v>0</v>
      </c>
      <c r="BU19" s="675">
        <f t="shared" si="303"/>
        <v>0</v>
      </c>
      <c r="BV19" s="549">
        <f t="shared" ref="BV19:BW19" si="304">BV249</f>
        <v>0</v>
      </c>
      <c r="BW19" s="675">
        <f t="shared" si="304"/>
        <v>0</v>
      </c>
      <c r="BX19" s="549">
        <f t="shared" ref="BX19:BY19" si="305">BX249</f>
        <v>0</v>
      </c>
      <c r="BY19" s="675">
        <f t="shared" si="305"/>
        <v>0</v>
      </c>
      <c r="BZ19" s="549">
        <f t="shared" ref="BZ19:CA19" si="306">BZ249</f>
        <v>0</v>
      </c>
      <c r="CA19" s="675">
        <f t="shared" si="306"/>
        <v>0</v>
      </c>
      <c r="CB19" s="549">
        <f t="shared" ref="CB19:CS19" si="307">CB249</f>
        <v>0</v>
      </c>
      <c r="CC19" s="675">
        <f t="shared" si="307"/>
        <v>0</v>
      </c>
      <c r="CD19" s="549">
        <f t="shared" si="307"/>
        <v>0</v>
      </c>
      <c r="CE19" s="675">
        <f t="shared" si="307"/>
        <v>0</v>
      </c>
      <c r="CF19" s="549">
        <f t="shared" si="307"/>
        <v>0</v>
      </c>
      <c r="CG19" s="675">
        <f t="shared" si="307"/>
        <v>0</v>
      </c>
      <c r="CH19" s="549">
        <f t="shared" si="307"/>
        <v>0</v>
      </c>
      <c r="CI19" s="675">
        <f t="shared" si="307"/>
        <v>0</v>
      </c>
      <c r="CJ19" s="549">
        <f t="shared" si="307"/>
        <v>0</v>
      </c>
      <c r="CK19" s="675">
        <f t="shared" si="307"/>
        <v>0</v>
      </c>
      <c r="CL19" s="549">
        <f t="shared" si="307"/>
        <v>0</v>
      </c>
      <c r="CM19" s="675">
        <f t="shared" si="307"/>
        <v>0</v>
      </c>
      <c r="CN19" s="549">
        <f t="shared" si="307"/>
        <v>0</v>
      </c>
      <c r="CO19" s="675">
        <f t="shared" si="307"/>
        <v>0</v>
      </c>
      <c r="CP19" s="549">
        <f t="shared" si="307"/>
        <v>0</v>
      </c>
      <c r="CQ19" s="675">
        <f t="shared" si="307"/>
        <v>0</v>
      </c>
      <c r="CR19" s="549">
        <f t="shared" si="307"/>
        <v>0</v>
      </c>
      <c r="CS19" s="675">
        <f t="shared" si="307"/>
        <v>0</v>
      </c>
      <c r="CT19" s="549">
        <f t="shared" ref="CT19:DY19" si="308">CT249</f>
        <v>0</v>
      </c>
      <c r="CU19" s="675">
        <f t="shared" si="308"/>
        <v>0</v>
      </c>
      <c r="CV19" s="549">
        <f t="shared" si="308"/>
        <v>0</v>
      </c>
      <c r="CW19" s="675">
        <f t="shared" si="308"/>
        <v>0</v>
      </c>
      <c r="CX19" s="549">
        <f t="shared" si="308"/>
        <v>0</v>
      </c>
      <c r="CY19" s="675">
        <f t="shared" si="308"/>
        <v>0</v>
      </c>
      <c r="CZ19" s="549">
        <f t="shared" si="308"/>
        <v>0</v>
      </c>
      <c r="DA19" s="675">
        <f t="shared" si="308"/>
        <v>0</v>
      </c>
      <c r="DB19" s="549">
        <f t="shared" si="308"/>
        <v>0</v>
      </c>
      <c r="DC19" s="675">
        <f t="shared" si="308"/>
        <v>0</v>
      </c>
      <c r="DD19" s="549">
        <f t="shared" si="308"/>
        <v>0</v>
      </c>
      <c r="DE19" s="675">
        <f t="shared" si="308"/>
        <v>0</v>
      </c>
      <c r="DF19" s="549">
        <f t="shared" si="308"/>
        <v>0</v>
      </c>
      <c r="DG19" s="675">
        <f t="shared" si="308"/>
        <v>0</v>
      </c>
      <c r="DH19" s="549">
        <f t="shared" si="308"/>
        <v>0</v>
      </c>
      <c r="DI19" s="675">
        <f t="shared" si="308"/>
        <v>0</v>
      </c>
      <c r="DJ19" s="549">
        <f t="shared" si="308"/>
        <v>0</v>
      </c>
      <c r="DK19" s="675">
        <f t="shared" si="308"/>
        <v>0</v>
      </c>
      <c r="DL19" s="549">
        <f t="shared" si="308"/>
        <v>0</v>
      </c>
      <c r="DM19" s="675">
        <f t="shared" si="308"/>
        <v>0</v>
      </c>
      <c r="DN19" s="549">
        <f t="shared" si="308"/>
        <v>0</v>
      </c>
      <c r="DO19" s="675">
        <f t="shared" si="308"/>
        <v>0</v>
      </c>
      <c r="DP19" s="549">
        <f t="shared" si="308"/>
        <v>0</v>
      </c>
      <c r="DQ19" s="675">
        <f t="shared" si="308"/>
        <v>0</v>
      </c>
      <c r="DR19" s="549">
        <f t="shared" si="308"/>
        <v>0</v>
      </c>
      <c r="DS19" s="675">
        <f t="shared" si="308"/>
        <v>0</v>
      </c>
      <c r="DT19" s="549">
        <f t="shared" si="308"/>
        <v>0</v>
      </c>
      <c r="DU19" s="675">
        <f t="shared" si="308"/>
        <v>0</v>
      </c>
      <c r="DV19" s="549">
        <f t="shared" si="308"/>
        <v>0</v>
      </c>
      <c r="DW19" s="675">
        <f t="shared" si="308"/>
        <v>0</v>
      </c>
      <c r="DX19" s="549">
        <f t="shared" si="308"/>
        <v>0</v>
      </c>
      <c r="DY19" s="675">
        <f t="shared" si="308"/>
        <v>0</v>
      </c>
      <c r="DZ19" s="549">
        <f t="shared" ref="DZ19:FE19" si="309">DZ249</f>
        <v>0</v>
      </c>
      <c r="EA19" s="675">
        <f t="shared" si="309"/>
        <v>0</v>
      </c>
      <c r="EB19" s="549">
        <f t="shared" si="309"/>
        <v>0</v>
      </c>
      <c r="EC19" s="675">
        <f t="shared" si="309"/>
        <v>0</v>
      </c>
      <c r="ED19" s="549">
        <f t="shared" si="309"/>
        <v>0</v>
      </c>
      <c r="EE19" s="675">
        <f t="shared" si="309"/>
        <v>0</v>
      </c>
      <c r="EF19" s="549">
        <f t="shared" si="309"/>
        <v>0</v>
      </c>
      <c r="EG19" s="675">
        <f t="shared" si="309"/>
        <v>0</v>
      </c>
      <c r="EH19" s="549">
        <f t="shared" si="309"/>
        <v>0</v>
      </c>
      <c r="EI19" s="675">
        <f t="shared" si="309"/>
        <v>0</v>
      </c>
      <c r="EJ19" s="549">
        <f t="shared" si="309"/>
        <v>0</v>
      </c>
      <c r="EK19" s="675">
        <f t="shared" si="309"/>
        <v>0</v>
      </c>
      <c r="EL19" s="549">
        <f t="shared" si="309"/>
        <v>0</v>
      </c>
      <c r="EM19" s="675">
        <f t="shared" si="309"/>
        <v>0</v>
      </c>
      <c r="EN19" s="549">
        <f t="shared" si="309"/>
        <v>0</v>
      </c>
      <c r="EO19" s="675">
        <f t="shared" si="309"/>
        <v>0</v>
      </c>
      <c r="EP19" s="549">
        <f t="shared" si="309"/>
        <v>0</v>
      </c>
      <c r="EQ19" s="675">
        <f t="shared" si="309"/>
        <v>0</v>
      </c>
      <c r="ER19" s="549">
        <f t="shared" si="309"/>
        <v>0</v>
      </c>
      <c r="ES19" s="675">
        <f t="shared" si="309"/>
        <v>0</v>
      </c>
      <c r="ET19" s="549">
        <f t="shared" si="309"/>
        <v>0</v>
      </c>
      <c r="EU19" s="675">
        <f t="shared" si="309"/>
        <v>0</v>
      </c>
      <c r="EV19" s="549">
        <f t="shared" si="309"/>
        <v>0</v>
      </c>
      <c r="EW19" s="675">
        <f t="shared" si="309"/>
        <v>0</v>
      </c>
      <c r="EX19" s="549">
        <f t="shared" si="309"/>
        <v>0</v>
      </c>
      <c r="EY19" s="675">
        <f t="shared" si="309"/>
        <v>0</v>
      </c>
      <c r="EZ19" s="549">
        <f t="shared" si="309"/>
        <v>0</v>
      </c>
      <c r="FA19" s="675">
        <f t="shared" si="309"/>
        <v>0</v>
      </c>
      <c r="FB19" s="549">
        <f t="shared" si="309"/>
        <v>0</v>
      </c>
      <c r="FC19" s="675">
        <f t="shared" si="309"/>
        <v>0</v>
      </c>
      <c r="FD19" s="549">
        <f t="shared" si="309"/>
        <v>0</v>
      </c>
      <c r="FE19" s="675">
        <f t="shared" si="309"/>
        <v>0</v>
      </c>
      <c r="FF19" s="549">
        <f t="shared" ref="FF19:GS19" si="310">FF249</f>
        <v>0</v>
      </c>
      <c r="FG19" s="675">
        <f t="shared" si="310"/>
        <v>0</v>
      </c>
      <c r="FH19" s="549">
        <f t="shared" si="310"/>
        <v>0</v>
      </c>
      <c r="FI19" s="675">
        <f t="shared" si="310"/>
        <v>0</v>
      </c>
      <c r="FJ19" s="549">
        <f t="shared" si="310"/>
        <v>0</v>
      </c>
      <c r="FK19" s="675">
        <f t="shared" si="310"/>
        <v>0</v>
      </c>
      <c r="FL19" s="549">
        <f t="shared" ref="FL19:FM19" si="311">FL249</f>
        <v>0</v>
      </c>
      <c r="FM19" s="675">
        <f t="shared" si="311"/>
        <v>0</v>
      </c>
      <c r="FN19" s="549">
        <f t="shared" ref="FN19:FO19" si="312">FN249</f>
        <v>0</v>
      </c>
      <c r="FO19" s="675">
        <f t="shared" si="312"/>
        <v>0</v>
      </c>
      <c r="FP19" s="549">
        <f t="shared" ref="FP19:FQ19" si="313">FP249</f>
        <v>0</v>
      </c>
      <c r="FQ19" s="675">
        <f t="shared" si="313"/>
        <v>0</v>
      </c>
      <c r="FR19" s="549">
        <f t="shared" ref="FR19:FS19" si="314">FR249</f>
        <v>0</v>
      </c>
      <c r="FS19" s="675">
        <f t="shared" si="314"/>
        <v>0</v>
      </c>
      <c r="FT19" s="549">
        <f t="shared" ref="FT19:FU19" si="315">FT249</f>
        <v>0</v>
      </c>
      <c r="FU19" s="675">
        <f t="shared" si="315"/>
        <v>0</v>
      </c>
      <c r="FV19" s="549">
        <f t="shared" ref="FV19:GK19" si="316">FV249</f>
        <v>0</v>
      </c>
      <c r="FW19" s="675">
        <f t="shared" si="316"/>
        <v>0</v>
      </c>
      <c r="FX19" s="549">
        <f t="shared" si="316"/>
        <v>0</v>
      </c>
      <c r="FY19" s="675">
        <f t="shared" si="316"/>
        <v>0</v>
      </c>
      <c r="FZ19" s="549">
        <f t="shared" ref="FZ19:GI19" si="317">FZ249</f>
        <v>0</v>
      </c>
      <c r="GA19" s="675">
        <f t="shared" si="317"/>
        <v>0</v>
      </c>
      <c r="GB19" s="549">
        <f t="shared" si="317"/>
        <v>0</v>
      </c>
      <c r="GC19" s="675">
        <f t="shared" si="317"/>
        <v>0</v>
      </c>
      <c r="GD19" s="549">
        <f t="shared" si="317"/>
        <v>0</v>
      </c>
      <c r="GE19" s="675">
        <f t="shared" si="317"/>
        <v>0</v>
      </c>
      <c r="GF19" s="549">
        <f t="shared" si="317"/>
        <v>0</v>
      </c>
      <c r="GG19" s="675">
        <f t="shared" si="317"/>
        <v>0</v>
      </c>
      <c r="GH19" s="549">
        <f t="shared" si="317"/>
        <v>0</v>
      </c>
      <c r="GI19" s="675">
        <f t="shared" si="317"/>
        <v>0</v>
      </c>
      <c r="GJ19" s="549">
        <f t="shared" si="316"/>
        <v>0</v>
      </c>
      <c r="GK19" s="675">
        <f t="shared" si="316"/>
        <v>0</v>
      </c>
      <c r="GL19" s="549">
        <f t="shared" ref="GL19:GM19" si="318">GL249</f>
        <v>0</v>
      </c>
      <c r="GM19" s="675">
        <f t="shared" si="318"/>
        <v>0</v>
      </c>
      <c r="GN19" s="549">
        <f t="shared" ref="GN19:GO19" si="319">GN249</f>
        <v>0</v>
      </c>
      <c r="GO19" s="675">
        <f t="shared" si="319"/>
        <v>0</v>
      </c>
      <c r="GP19" s="74">
        <f t="shared" si="310"/>
        <v>0</v>
      </c>
      <c r="GQ19" s="675">
        <f t="shared" si="310"/>
        <v>0</v>
      </c>
      <c r="GR19" s="74">
        <f t="shared" si="310"/>
        <v>0</v>
      </c>
      <c r="GS19" s="74">
        <f t="shared" si="310"/>
        <v>0</v>
      </c>
      <c r="GT19" s="549">
        <f t="shared" ref="GT19:HW19" si="320">GT249+GT583</f>
        <v>0</v>
      </c>
      <c r="GU19" s="74">
        <f t="shared" si="320"/>
        <v>0</v>
      </c>
      <c r="GV19" s="74">
        <f t="shared" si="320"/>
        <v>0</v>
      </c>
      <c r="GW19" s="549">
        <f t="shared" si="320"/>
        <v>0</v>
      </c>
      <c r="GX19" s="549">
        <f t="shared" si="320"/>
        <v>0</v>
      </c>
      <c r="GY19" s="74">
        <f t="shared" si="320"/>
        <v>0</v>
      </c>
      <c r="GZ19" s="74">
        <f t="shared" si="320"/>
        <v>0</v>
      </c>
      <c r="HA19" s="74">
        <f t="shared" si="320"/>
        <v>0</v>
      </c>
      <c r="HB19" s="74">
        <f t="shared" si="320"/>
        <v>0</v>
      </c>
      <c r="HC19" s="74">
        <f t="shared" si="320"/>
        <v>0</v>
      </c>
      <c r="HD19" s="74">
        <f t="shared" si="320"/>
        <v>0</v>
      </c>
      <c r="HE19" s="74">
        <f t="shared" si="320"/>
        <v>0</v>
      </c>
      <c r="HF19" s="74">
        <f t="shared" si="320"/>
        <v>0</v>
      </c>
      <c r="HG19" s="74">
        <f>HG249</f>
        <v>0</v>
      </c>
      <c r="HH19" s="74">
        <f t="shared" si="320"/>
        <v>0</v>
      </c>
      <c r="HI19" s="74">
        <f t="shared" si="320"/>
        <v>0</v>
      </c>
      <c r="HJ19" s="74">
        <f t="shared" si="320"/>
        <v>0</v>
      </c>
      <c r="HK19" s="74">
        <f t="shared" si="320"/>
        <v>0</v>
      </c>
      <c r="HL19" s="74">
        <f t="shared" si="320"/>
        <v>0</v>
      </c>
      <c r="HM19" s="74">
        <f t="shared" si="320"/>
        <v>0</v>
      </c>
      <c r="HN19" s="74">
        <f t="shared" si="320"/>
        <v>0</v>
      </c>
      <c r="HO19" s="74">
        <f t="shared" si="320"/>
        <v>0</v>
      </c>
      <c r="HP19" s="74">
        <f>HP249</f>
        <v>0</v>
      </c>
      <c r="HQ19" s="74">
        <f>HQ249</f>
        <v>0</v>
      </c>
      <c r="HR19" s="74">
        <f t="shared" si="320"/>
        <v>0</v>
      </c>
      <c r="HS19" s="74">
        <f t="shared" si="320"/>
        <v>0</v>
      </c>
      <c r="HT19" s="74">
        <f t="shared" si="320"/>
        <v>0</v>
      </c>
      <c r="HU19" s="74">
        <f t="shared" si="320"/>
        <v>0</v>
      </c>
      <c r="HV19" s="74">
        <f t="shared" si="320"/>
        <v>0</v>
      </c>
      <c r="HW19" s="74">
        <f t="shared" si="320"/>
        <v>0</v>
      </c>
      <c r="HX19" s="74">
        <f t="shared" ref="HX19:JR19" si="321">HX249+HX583</f>
        <v>0</v>
      </c>
      <c r="HY19" s="74">
        <f t="shared" si="321"/>
        <v>0</v>
      </c>
      <c r="HZ19" s="74">
        <f t="shared" si="321"/>
        <v>0</v>
      </c>
      <c r="IA19" s="74">
        <f t="shared" si="321"/>
        <v>0</v>
      </c>
      <c r="IB19" s="74">
        <f t="shared" si="321"/>
        <v>0</v>
      </c>
      <c r="IC19" s="74">
        <f t="shared" si="321"/>
        <v>0</v>
      </c>
      <c r="ID19" s="74">
        <f t="shared" si="321"/>
        <v>0</v>
      </c>
      <c r="IE19" s="792">
        <f t="shared" si="321"/>
        <v>0</v>
      </c>
      <c r="IF19" s="841">
        <f>IF249</f>
        <v>0</v>
      </c>
      <c r="IG19" s="263">
        <f>IG249</f>
        <v>0</v>
      </c>
      <c r="IH19" s="842">
        <f>IH249</f>
        <v>0</v>
      </c>
      <c r="II19" s="155">
        <f t="shared" si="321"/>
        <v>0</v>
      </c>
      <c r="IJ19" s="74">
        <f t="shared" si="321"/>
        <v>0</v>
      </c>
      <c r="IK19" s="74">
        <f t="shared" si="321"/>
        <v>0</v>
      </c>
      <c r="IL19" s="74">
        <f t="shared" si="321"/>
        <v>0</v>
      </c>
      <c r="IM19" s="74">
        <f t="shared" si="321"/>
        <v>0</v>
      </c>
      <c r="IN19" s="74">
        <f t="shared" si="321"/>
        <v>0</v>
      </c>
      <c r="IO19" s="74">
        <f t="shared" si="321"/>
        <v>0</v>
      </c>
      <c r="IP19" s="74">
        <f t="shared" si="321"/>
        <v>0</v>
      </c>
      <c r="IQ19" s="74">
        <f t="shared" si="321"/>
        <v>0</v>
      </c>
      <c r="IR19" s="74">
        <f t="shared" si="321"/>
        <v>0</v>
      </c>
      <c r="IS19" s="74">
        <f t="shared" si="321"/>
        <v>0</v>
      </c>
      <c r="IT19" s="74">
        <f t="shared" si="321"/>
        <v>0</v>
      </c>
      <c r="IU19" s="74">
        <f>IU249</f>
        <v>0</v>
      </c>
      <c r="IV19" s="74">
        <f>IV249</f>
        <v>0</v>
      </c>
      <c r="IW19" s="74">
        <f>IW249</f>
        <v>0</v>
      </c>
      <c r="IX19" s="74">
        <f t="shared" si="321"/>
        <v>0</v>
      </c>
      <c r="IY19" s="74">
        <f t="shared" si="321"/>
        <v>0</v>
      </c>
      <c r="IZ19" s="74">
        <f t="shared" si="321"/>
        <v>0</v>
      </c>
      <c r="JA19" s="74">
        <f t="shared" si="321"/>
        <v>0</v>
      </c>
      <c r="JB19" s="74">
        <f t="shared" si="321"/>
        <v>0</v>
      </c>
      <c r="JC19" s="74">
        <f t="shared" si="321"/>
        <v>0</v>
      </c>
      <c r="JD19" s="74">
        <f t="shared" si="321"/>
        <v>0</v>
      </c>
      <c r="JE19" s="74">
        <f t="shared" si="321"/>
        <v>0</v>
      </c>
      <c r="JF19" s="74">
        <f t="shared" si="321"/>
        <v>0</v>
      </c>
      <c r="JG19" s="74">
        <f t="shared" si="321"/>
        <v>0</v>
      </c>
      <c r="JH19" s="74">
        <f t="shared" si="321"/>
        <v>0</v>
      </c>
      <c r="JI19" s="74">
        <f t="shared" si="321"/>
        <v>0</v>
      </c>
      <c r="JJ19" s="74">
        <f t="shared" si="321"/>
        <v>0</v>
      </c>
      <c r="JK19" s="74">
        <f t="shared" si="321"/>
        <v>0</v>
      </c>
      <c r="JL19" s="74">
        <f t="shared" si="321"/>
        <v>0</v>
      </c>
      <c r="JM19" s="74">
        <f t="shared" si="321"/>
        <v>0</v>
      </c>
      <c r="JN19" s="74">
        <f t="shared" si="321"/>
        <v>0</v>
      </c>
      <c r="JO19" s="74">
        <f t="shared" si="321"/>
        <v>0</v>
      </c>
      <c r="JP19" s="74">
        <f t="shared" si="321"/>
        <v>0</v>
      </c>
      <c r="JQ19" s="74">
        <f t="shared" si="321"/>
        <v>0</v>
      </c>
      <c r="JR19" s="74">
        <f t="shared" si="321"/>
        <v>0</v>
      </c>
      <c r="JS19" s="74">
        <f>JS249</f>
        <v>0</v>
      </c>
      <c r="JT19" s="102">
        <f>JT249</f>
        <v>0</v>
      </c>
      <c r="JU19" s="671"/>
      <c r="JV19" s="492"/>
      <c r="JW19" s="490"/>
      <c r="JX19" s="549">
        <f>JX249</f>
        <v>0</v>
      </c>
      <c r="JY19" s="549">
        <f>JY249</f>
        <v>0</v>
      </c>
      <c r="JZ19" s="581">
        <f>GP19</f>
        <v>0</v>
      </c>
      <c r="KA19" s="581">
        <f>GQ19</f>
        <v>0</v>
      </c>
      <c r="KB19" s="549">
        <f>KB249</f>
        <v>0</v>
      </c>
      <c r="KC19" s="709">
        <f t="shared" si="41"/>
        <v>0</v>
      </c>
      <c r="KD19" s="126" t="s">
        <v>63</v>
      </c>
      <c r="KE19" s="127" t="s">
        <v>529</v>
      </c>
      <c r="KF19" s="127">
        <f>C255+C641</f>
        <v>218400</v>
      </c>
      <c r="KG19" s="127">
        <f>GR255+GR641</f>
        <v>213987</v>
      </c>
      <c r="KH19" s="127">
        <f>GS255+GS641</f>
        <v>194133</v>
      </c>
      <c r="KI19" s="127" t="e">
        <f>#REF!+#REF!+GQ255+GQ641</f>
        <v>#REF!</v>
      </c>
      <c r="KJ19" s="127">
        <f>GR255+GR641</f>
        <v>213987</v>
      </c>
      <c r="KK19" s="127">
        <f>HG255+HG641</f>
        <v>194133</v>
      </c>
    </row>
    <row r="20" spans="1:297" s="8" customFormat="1" ht="13.5" thickBot="1">
      <c r="A20" s="75"/>
      <c r="B20" s="72"/>
      <c r="C20" s="74"/>
      <c r="D20" s="549"/>
      <c r="E20" s="675"/>
      <c r="F20" s="549"/>
      <c r="G20" s="675"/>
      <c r="H20" s="549"/>
      <c r="I20" s="675"/>
      <c r="J20" s="549"/>
      <c r="K20" s="675"/>
      <c r="L20" s="549"/>
      <c r="M20" s="675"/>
      <c r="N20" s="549"/>
      <c r="O20" s="675"/>
      <c r="P20" s="549"/>
      <c r="Q20" s="675"/>
      <c r="R20" s="549"/>
      <c r="S20" s="675"/>
      <c r="T20" s="549"/>
      <c r="U20" s="675"/>
      <c r="V20" s="549"/>
      <c r="W20" s="675"/>
      <c r="X20" s="549"/>
      <c r="Y20" s="675"/>
      <c r="Z20" s="549"/>
      <c r="AA20" s="675"/>
      <c r="AB20" s="549"/>
      <c r="AC20" s="675"/>
      <c r="AD20" s="549"/>
      <c r="AE20" s="675"/>
      <c r="AF20" s="549"/>
      <c r="AG20" s="675"/>
      <c r="AH20" s="549"/>
      <c r="AI20" s="675"/>
      <c r="AJ20" s="549"/>
      <c r="AK20" s="675"/>
      <c r="AL20" s="549"/>
      <c r="AM20" s="675"/>
      <c r="AN20" s="549"/>
      <c r="AO20" s="675"/>
      <c r="AP20" s="549"/>
      <c r="AQ20" s="675"/>
      <c r="AR20" s="549"/>
      <c r="AS20" s="675"/>
      <c r="AT20" s="549"/>
      <c r="AU20" s="675"/>
      <c r="AV20" s="549"/>
      <c r="AW20" s="675"/>
      <c r="AX20" s="549"/>
      <c r="AY20" s="675"/>
      <c r="AZ20" s="549"/>
      <c r="BA20" s="675"/>
      <c r="BB20" s="549"/>
      <c r="BC20" s="675"/>
      <c r="BD20" s="549"/>
      <c r="BE20" s="675"/>
      <c r="BF20" s="549"/>
      <c r="BG20" s="675"/>
      <c r="BH20" s="549"/>
      <c r="BI20" s="675"/>
      <c r="BJ20" s="549"/>
      <c r="BK20" s="675"/>
      <c r="BL20" s="549"/>
      <c r="BM20" s="675"/>
      <c r="BN20" s="549"/>
      <c r="BO20" s="675"/>
      <c r="BP20" s="549"/>
      <c r="BQ20" s="675"/>
      <c r="BR20" s="549"/>
      <c r="BS20" s="675"/>
      <c r="BT20" s="549"/>
      <c r="BU20" s="675"/>
      <c r="BV20" s="549"/>
      <c r="BW20" s="675"/>
      <c r="BX20" s="549"/>
      <c r="BY20" s="675"/>
      <c r="BZ20" s="549"/>
      <c r="CA20" s="675"/>
      <c r="CB20" s="549"/>
      <c r="CC20" s="675"/>
      <c r="CD20" s="549"/>
      <c r="CE20" s="675"/>
      <c r="CF20" s="549"/>
      <c r="CG20" s="675"/>
      <c r="CH20" s="549"/>
      <c r="CI20" s="675"/>
      <c r="CJ20" s="549"/>
      <c r="CK20" s="675"/>
      <c r="CL20" s="549"/>
      <c r="CM20" s="675"/>
      <c r="CN20" s="549"/>
      <c r="CO20" s="675"/>
      <c r="CP20" s="549"/>
      <c r="CQ20" s="675"/>
      <c r="CR20" s="549"/>
      <c r="CS20" s="675"/>
      <c r="CT20" s="549"/>
      <c r="CU20" s="675"/>
      <c r="CV20" s="549"/>
      <c r="CW20" s="675"/>
      <c r="CX20" s="549"/>
      <c r="CY20" s="675"/>
      <c r="CZ20" s="549"/>
      <c r="DA20" s="675"/>
      <c r="DB20" s="549"/>
      <c r="DC20" s="675"/>
      <c r="DD20" s="549"/>
      <c r="DE20" s="675"/>
      <c r="DF20" s="549"/>
      <c r="DG20" s="675"/>
      <c r="DH20" s="549"/>
      <c r="DI20" s="675"/>
      <c r="DJ20" s="549"/>
      <c r="DK20" s="675"/>
      <c r="DL20" s="549"/>
      <c r="DM20" s="675"/>
      <c r="DN20" s="549"/>
      <c r="DO20" s="675"/>
      <c r="DP20" s="549"/>
      <c r="DQ20" s="675"/>
      <c r="DR20" s="549"/>
      <c r="DS20" s="675"/>
      <c r="DT20" s="549"/>
      <c r="DU20" s="675"/>
      <c r="DV20" s="549"/>
      <c r="DW20" s="675"/>
      <c r="DX20" s="549"/>
      <c r="DY20" s="675"/>
      <c r="DZ20" s="549"/>
      <c r="EA20" s="675"/>
      <c r="EB20" s="549"/>
      <c r="EC20" s="675"/>
      <c r="ED20" s="549"/>
      <c r="EE20" s="675"/>
      <c r="EF20" s="549"/>
      <c r="EG20" s="675"/>
      <c r="EH20" s="549"/>
      <c r="EI20" s="675"/>
      <c r="EJ20" s="549"/>
      <c r="EK20" s="675"/>
      <c r="EL20" s="549"/>
      <c r="EM20" s="675"/>
      <c r="EN20" s="549"/>
      <c r="EO20" s="675"/>
      <c r="EP20" s="549"/>
      <c r="EQ20" s="675"/>
      <c r="ER20" s="549"/>
      <c r="ES20" s="675"/>
      <c r="ET20" s="549"/>
      <c r="EU20" s="675"/>
      <c r="EV20" s="549"/>
      <c r="EW20" s="675"/>
      <c r="EX20" s="549"/>
      <c r="EY20" s="675"/>
      <c r="EZ20" s="549"/>
      <c r="FA20" s="675"/>
      <c r="FB20" s="549"/>
      <c r="FC20" s="675"/>
      <c r="FD20" s="549"/>
      <c r="FE20" s="675"/>
      <c r="FF20" s="549"/>
      <c r="FG20" s="675"/>
      <c r="FH20" s="549"/>
      <c r="FI20" s="675"/>
      <c r="FJ20" s="549"/>
      <c r="FK20" s="675"/>
      <c r="FL20" s="549"/>
      <c r="FM20" s="675"/>
      <c r="FN20" s="549"/>
      <c r="FO20" s="675"/>
      <c r="FP20" s="549"/>
      <c r="FQ20" s="675"/>
      <c r="FR20" s="549"/>
      <c r="FS20" s="675"/>
      <c r="FT20" s="549"/>
      <c r="FU20" s="675"/>
      <c r="FV20" s="549"/>
      <c r="FW20" s="675"/>
      <c r="FX20" s="549"/>
      <c r="FY20" s="675"/>
      <c r="FZ20" s="549"/>
      <c r="GA20" s="675"/>
      <c r="GB20" s="549"/>
      <c r="GC20" s="675"/>
      <c r="GD20" s="549"/>
      <c r="GE20" s="675"/>
      <c r="GF20" s="549"/>
      <c r="GG20" s="675"/>
      <c r="GH20" s="549"/>
      <c r="GI20" s="675"/>
      <c r="GJ20" s="549"/>
      <c r="GK20" s="675"/>
      <c r="GL20" s="549"/>
      <c r="GM20" s="675"/>
      <c r="GN20" s="549"/>
      <c r="GO20" s="675"/>
      <c r="GP20" s="74"/>
      <c r="GQ20" s="675"/>
      <c r="GR20" s="74"/>
      <c r="GS20" s="74"/>
      <c r="GT20" s="549"/>
      <c r="GU20" s="74"/>
      <c r="GV20" s="74"/>
      <c r="GW20" s="549"/>
      <c r="GX20" s="549"/>
      <c r="GY20" s="74"/>
      <c r="GZ20" s="74"/>
      <c r="HA20" s="74"/>
      <c r="HB20" s="74"/>
      <c r="HC20" s="74"/>
      <c r="HD20" s="74"/>
      <c r="HE20" s="74"/>
      <c r="HF20" s="74"/>
      <c r="HG20" s="74"/>
      <c r="HH20" s="74"/>
      <c r="HI20" s="74"/>
      <c r="HJ20" s="74"/>
      <c r="HK20" s="74"/>
      <c r="HL20" s="74"/>
      <c r="HM20" s="74"/>
      <c r="HN20" s="74"/>
      <c r="HO20" s="74"/>
      <c r="HP20" s="74"/>
      <c r="HQ20" s="74"/>
      <c r="HR20" s="74"/>
      <c r="HS20" s="74"/>
      <c r="HT20" s="74"/>
      <c r="HU20" s="74"/>
      <c r="HV20" s="74"/>
      <c r="HW20" s="74"/>
      <c r="HX20" s="74"/>
      <c r="HY20" s="74"/>
      <c r="HZ20" s="74"/>
      <c r="IA20" s="74"/>
      <c r="IB20" s="74"/>
      <c r="IC20" s="74"/>
      <c r="ID20" s="74"/>
      <c r="IE20" s="792"/>
      <c r="IF20" s="841"/>
      <c r="IG20" s="263"/>
      <c r="IH20" s="842"/>
      <c r="II20" s="155"/>
      <c r="IJ20" s="74"/>
      <c r="IK20" s="74"/>
      <c r="IL20" s="74"/>
      <c r="IM20" s="74"/>
      <c r="IN20" s="74"/>
      <c r="IO20" s="74"/>
      <c r="IP20" s="74"/>
      <c r="IQ20" s="74"/>
      <c r="IR20" s="74"/>
      <c r="IS20" s="74"/>
      <c r="IT20" s="74"/>
      <c r="IU20" s="74"/>
      <c r="IV20" s="74"/>
      <c r="IW20" s="74"/>
      <c r="IX20" s="74"/>
      <c r="IY20" s="74"/>
      <c r="IZ20" s="74"/>
      <c r="JA20" s="74"/>
      <c r="JB20" s="74"/>
      <c r="JC20" s="74"/>
      <c r="JD20" s="74"/>
      <c r="JE20" s="74"/>
      <c r="JF20" s="74"/>
      <c r="JG20" s="74"/>
      <c r="JH20" s="74"/>
      <c r="JI20" s="74"/>
      <c r="JJ20" s="74"/>
      <c r="JK20" s="74"/>
      <c r="JL20" s="74"/>
      <c r="JM20" s="74"/>
      <c r="JN20" s="74"/>
      <c r="JO20" s="74"/>
      <c r="JP20" s="74"/>
      <c r="JQ20" s="74"/>
      <c r="JR20" s="74"/>
      <c r="JS20" s="74"/>
      <c r="JT20" s="382"/>
      <c r="JU20" s="671"/>
      <c r="JV20" s="492"/>
      <c r="JW20" s="490"/>
      <c r="JX20" s="549"/>
      <c r="JY20" s="549"/>
      <c r="JZ20" s="581">
        <f t="shared" si="42"/>
        <v>0</v>
      </c>
      <c r="KA20" s="581">
        <f t="shared" si="43"/>
        <v>0</v>
      </c>
      <c r="KB20" s="549"/>
      <c r="KC20" s="709">
        <f t="shared" si="41"/>
        <v>0</v>
      </c>
      <c r="KD20" s="126" t="s">
        <v>65</v>
      </c>
      <c r="KE20" s="127" t="s">
        <v>66</v>
      </c>
      <c r="KF20" s="127">
        <f>C257+C590+C643</f>
        <v>925100</v>
      </c>
      <c r="KG20" s="127">
        <f>GR257+GR590+GR643</f>
        <v>803842</v>
      </c>
      <c r="KH20" s="127">
        <f>GS257+GS590+GS643</f>
        <v>495476</v>
      </c>
      <c r="KI20" s="127" t="e">
        <f>#REF!+#REF!+#REF!+GQ257+GQ590+GQ643</f>
        <v>#REF!</v>
      </c>
      <c r="KJ20" s="127">
        <f>GR257+GR590+GR643</f>
        <v>803842</v>
      </c>
      <c r="KK20" s="127">
        <f>HG257+HG590+HG643</f>
        <v>495476</v>
      </c>
    </row>
    <row r="21" spans="1:297" s="8" customFormat="1" ht="13.5" thickBot="1">
      <c r="A21" s="75" t="s">
        <v>57</v>
      </c>
      <c r="B21" s="72" t="s">
        <v>58</v>
      </c>
      <c r="C21" s="74">
        <f t="shared" ref="C21" si="322">SUM(C22:C24)</f>
        <v>6433300</v>
      </c>
      <c r="D21" s="549">
        <f t="shared" ref="D21:E21" si="323">SUM(D22:D24)</f>
        <v>0</v>
      </c>
      <c r="E21" s="675">
        <f t="shared" si="323"/>
        <v>0</v>
      </c>
      <c r="F21" s="549">
        <f t="shared" ref="F21:G21" si="324">SUM(F22:F24)</f>
        <v>0</v>
      </c>
      <c r="G21" s="675">
        <f t="shared" si="324"/>
        <v>0</v>
      </c>
      <c r="H21" s="549">
        <f t="shared" ref="H21:I21" si="325">SUM(H22:H24)</f>
        <v>0</v>
      </c>
      <c r="I21" s="675">
        <f t="shared" si="325"/>
        <v>0</v>
      </c>
      <c r="J21" s="549">
        <f t="shared" ref="J21:K21" si="326">SUM(J22:J24)</f>
        <v>0</v>
      </c>
      <c r="K21" s="675">
        <f t="shared" si="326"/>
        <v>0</v>
      </c>
      <c r="L21" s="549">
        <f t="shared" ref="L21:M21" si="327">SUM(L22:L24)</f>
        <v>0</v>
      </c>
      <c r="M21" s="675">
        <f t="shared" si="327"/>
        <v>0</v>
      </c>
      <c r="N21" s="549">
        <f t="shared" ref="N21:O21" si="328">SUM(N22:N24)</f>
        <v>0</v>
      </c>
      <c r="O21" s="675">
        <f t="shared" si="328"/>
        <v>0</v>
      </c>
      <c r="P21" s="549">
        <f t="shared" ref="P21:Q21" si="329">SUM(P22:P24)</f>
        <v>0</v>
      </c>
      <c r="Q21" s="675">
        <f t="shared" si="329"/>
        <v>0</v>
      </c>
      <c r="R21" s="549">
        <f t="shared" ref="R21:S21" si="330">SUM(R22:R24)</f>
        <v>25212</v>
      </c>
      <c r="S21" s="675">
        <f t="shared" si="330"/>
        <v>0</v>
      </c>
      <c r="T21" s="549">
        <f t="shared" ref="T21:U21" si="331">SUM(T22:T24)</f>
        <v>0</v>
      </c>
      <c r="U21" s="675">
        <f t="shared" si="331"/>
        <v>0</v>
      </c>
      <c r="V21" s="549">
        <f t="shared" ref="V21:W21" si="332">SUM(V22:V24)</f>
        <v>0</v>
      </c>
      <c r="W21" s="675">
        <f t="shared" si="332"/>
        <v>0</v>
      </c>
      <c r="X21" s="549">
        <f t="shared" ref="X21:Y21" si="333">SUM(X22:X24)</f>
        <v>0</v>
      </c>
      <c r="Y21" s="675">
        <f t="shared" si="333"/>
        <v>0</v>
      </c>
      <c r="Z21" s="549">
        <f t="shared" ref="Z21:AA21" si="334">SUM(Z22:Z24)</f>
        <v>0</v>
      </c>
      <c r="AA21" s="675">
        <f t="shared" si="334"/>
        <v>0</v>
      </c>
      <c r="AB21" s="549">
        <f t="shared" ref="AB21:AC21" si="335">SUM(AB22:AB24)</f>
        <v>0</v>
      </c>
      <c r="AC21" s="675">
        <f t="shared" si="335"/>
        <v>0</v>
      </c>
      <c r="AD21" s="549">
        <f t="shared" ref="AD21:AE21" si="336">SUM(AD22:AD24)</f>
        <v>0</v>
      </c>
      <c r="AE21" s="675">
        <f t="shared" si="336"/>
        <v>0</v>
      </c>
      <c r="AF21" s="549">
        <f t="shared" ref="AF21:AI21" si="337">SUM(AF22:AF24)</f>
        <v>0</v>
      </c>
      <c r="AG21" s="675">
        <f t="shared" si="337"/>
        <v>0</v>
      </c>
      <c r="AH21" s="549">
        <f t="shared" si="337"/>
        <v>0</v>
      </c>
      <c r="AI21" s="675">
        <f t="shared" si="337"/>
        <v>0</v>
      </c>
      <c r="AJ21" s="549">
        <f t="shared" ref="AJ21:AK21" si="338">SUM(AJ22:AJ24)</f>
        <v>0</v>
      </c>
      <c r="AK21" s="675">
        <f t="shared" si="338"/>
        <v>-86416</v>
      </c>
      <c r="AL21" s="549">
        <f t="shared" ref="AL21:AM21" si="339">SUM(AL22:AL24)</f>
        <v>5400</v>
      </c>
      <c r="AM21" s="675">
        <f t="shared" si="339"/>
        <v>0</v>
      </c>
      <c r="AN21" s="549">
        <f t="shared" ref="AN21:AO21" si="340">SUM(AN22:AN24)</f>
        <v>0</v>
      </c>
      <c r="AO21" s="675">
        <f t="shared" si="340"/>
        <v>-53492</v>
      </c>
      <c r="AP21" s="549">
        <f t="shared" ref="AP21:AQ21" si="341">SUM(AP22:AP24)</f>
        <v>0</v>
      </c>
      <c r="AQ21" s="675">
        <f t="shared" si="341"/>
        <v>0</v>
      </c>
      <c r="AR21" s="549">
        <f t="shared" ref="AR21:AS21" si="342">SUM(AR22:AR24)</f>
        <v>0</v>
      </c>
      <c r="AS21" s="675">
        <f t="shared" si="342"/>
        <v>-8480</v>
      </c>
      <c r="AT21" s="549">
        <f t="shared" ref="AT21:AU21" si="343">SUM(AT22:AT24)</f>
        <v>0</v>
      </c>
      <c r="AU21" s="675">
        <f t="shared" si="343"/>
        <v>0</v>
      </c>
      <c r="AV21" s="549">
        <f t="shared" ref="AV21:AW21" si="344">SUM(AV22:AV24)</f>
        <v>0</v>
      </c>
      <c r="AW21" s="675">
        <f t="shared" si="344"/>
        <v>-31072</v>
      </c>
      <c r="AX21" s="549">
        <f t="shared" ref="AX21:AY21" si="345">SUM(AX22:AX24)</f>
        <v>0</v>
      </c>
      <c r="AY21" s="675">
        <f t="shared" si="345"/>
        <v>0</v>
      </c>
      <c r="AZ21" s="549">
        <f t="shared" ref="AZ21:BA21" si="346">SUM(AZ22:AZ24)</f>
        <v>0</v>
      </c>
      <c r="BA21" s="675">
        <f t="shared" si="346"/>
        <v>0</v>
      </c>
      <c r="BB21" s="549">
        <f t="shared" ref="BB21:BC21" si="347">SUM(BB22:BB24)</f>
        <v>0</v>
      </c>
      <c r="BC21" s="675">
        <f t="shared" si="347"/>
        <v>0</v>
      </c>
      <c r="BD21" s="549">
        <f t="shared" ref="BD21:BE21" si="348">SUM(BD22:BD24)</f>
        <v>0</v>
      </c>
      <c r="BE21" s="675">
        <f t="shared" si="348"/>
        <v>0</v>
      </c>
      <c r="BF21" s="549">
        <f t="shared" ref="BF21:BG21" si="349">SUM(BF22:BF24)</f>
        <v>0</v>
      </c>
      <c r="BG21" s="675">
        <f t="shared" si="349"/>
        <v>0</v>
      </c>
      <c r="BH21" s="549">
        <f t="shared" ref="BH21:BI21" si="350">SUM(BH22:BH24)</f>
        <v>0</v>
      </c>
      <c r="BI21" s="675">
        <f t="shared" si="350"/>
        <v>0</v>
      </c>
      <c r="BJ21" s="549">
        <f t="shared" ref="BJ21:BK21" si="351">SUM(BJ22:BJ24)</f>
        <v>0</v>
      </c>
      <c r="BK21" s="675">
        <f t="shared" si="351"/>
        <v>0</v>
      </c>
      <c r="BL21" s="549">
        <f t="shared" ref="BL21:BS21" si="352">SUM(BL22:BL24)</f>
        <v>0</v>
      </c>
      <c r="BM21" s="675">
        <f t="shared" si="352"/>
        <v>0</v>
      </c>
      <c r="BN21" s="549">
        <f t="shared" si="352"/>
        <v>0</v>
      </c>
      <c r="BO21" s="675">
        <f t="shared" si="352"/>
        <v>0</v>
      </c>
      <c r="BP21" s="549">
        <f t="shared" si="352"/>
        <v>0</v>
      </c>
      <c r="BQ21" s="675">
        <f t="shared" si="352"/>
        <v>0</v>
      </c>
      <c r="BR21" s="549">
        <f t="shared" si="352"/>
        <v>0</v>
      </c>
      <c r="BS21" s="675">
        <f t="shared" si="352"/>
        <v>0</v>
      </c>
      <c r="BT21" s="549">
        <f t="shared" ref="BT21:BU21" si="353">SUM(BT22:BT24)</f>
        <v>0</v>
      </c>
      <c r="BU21" s="675">
        <f t="shared" si="353"/>
        <v>0</v>
      </c>
      <c r="BV21" s="549">
        <f t="shared" ref="BV21:BW21" si="354">SUM(BV22:BV24)</f>
        <v>0</v>
      </c>
      <c r="BW21" s="675">
        <f t="shared" si="354"/>
        <v>-7480</v>
      </c>
      <c r="BX21" s="549">
        <f t="shared" ref="BX21:BY21" si="355">SUM(BX22:BX24)</f>
        <v>0</v>
      </c>
      <c r="BY21" s="675">
        <f t="shared" si="355"/>
        <v>0</v>
      </c>
      <c r="BZ21" s="549">
        <f t="shared" ref="BZ21:CA21" si="356">SUM(BZ22:BZ24)</f>
        <v>0</v>
      </c>
      <c r="CA21" s="675">
        <f t="shared" si="356"/>
        <v>0</v>
      </c>
      <c r="CB21" s="549">
        <f t="shared" ref="CB21:CE21" si="357">SUM(CB22:CB24)</f>
        <v>0</v>
      </c>
      <c r="CC21" s="675">
        <f t="shared" si="357"/>
        <v>0</v>
      </c>
      <c r="CD21" s="549">
        <f t="shared" si="357"/>
        <v>4800</v>
      </c>
      <c r="CE21" s="675">
        <f t="shared" si="357"/>
        <v>0</v>
      </c>
      <c r="CF21" s="549">
        <f t="shared" ref="CF21:CQ21" si="358">SUM(CF22:CF24)</f>
        <v>0</v>
      </c>
      <c r="CG21" s="675">
        <f t="shared" si="358"/>
        <v>0</v>
      </c>
      <c r="CH21" s="549">
        <f t="shared" si="358"/>
        <v>0</v>
      </c>
      <c r="CI21" s="675">
        <f t="shared" si="358"/>
        <v>0</v>
      </c>
      <c r="CJ21" s="549">
        <f t="shared" si="358"/>
        <v>0</v>
      </c>
      <c r="CK21" s="675">
        <f t="shared" si="358"/>
        <v>0</v>
      </c>
      <c r="CL21" s="549">
        <f t="shared" si="358"/>
        <v>0</v>
      </c>
      <c r="CM21" s="675">
        <f t="shared" si="358"/>
        <v>0</v>
      </c>
      <c r="CN21" s="549">
        <f t="shared" si="358"/>
        <v>7566</v>
      </c>
      <c r="CO21" s="675">
        <f t="shared" si="358"/>
        <v>0</v>
      </c>
      <c r="CP21" s="549">
        <f t="shared" si="358"/>
        <v>0</v>
      </c>
      <c r="CQ21" s="675">
        <f t="shared" si="358"/>
        <v>0</v>
      </c>
      <c r="CR21" s="549">
        <f t="shared" ref="CR21:CY21" si="359">SUM(CR22:CR24)</f>
        <v>0</v>
      </c>
      <c r="CS21" s="675">
        <f t="shared" si="359"/>
        <v>0</v>
      </c>
      <c r="CT21" s="549">
        <f t="shared" si="359"/>
        <v>0</v>
      </c>
      <c r="CU21" s="675">
        <f t="shared" si="359"/>
        <v>0</v>
      </c>
      <c r="CV21" s="549">
        <f t="shared" si="359"/>
        <v>4500</v>
      </c>
      <c r="CW21" s="675">
        <f t="shared" si="359"/>
        <v>0</v>
      </c>
      <c r="CX21" s="549">
        <f t="shared" si="359"/>
        <v>0</v>
      </c>
      <c r="CY21" s="675">
        <f t="shared" si="359"/>
        <v>0</v>
      </c>
      <c r="CZ21" s="549">
        <f t="shared" ref="CZ21:DM21" si="360">SUM(CZ22:CZ24)</f>
        <v>0</v>
      </c>
      <c r="DA21" s="675">
        <f t="shared" si="360"/>
        <v>0</v>
      </c>
      <c r="DB21" s="549">
        <f t="shared" si="360"/>
        <v>0</v>
      </c>
      <c r="DC21" s="675">
        <f t="shared" si="360"/>
        <v>0</v>
      </c>
      <c r="DD21" s="549">
        <f t="shared" si="360"/>
        <v>0</v>
      </c>
      <c r="DE21" s="675">
        <f t="shared" si="360"/>
        <v>0</v>
      </c>
      <c r="DF21" s="549">
        <f t="shared" si="360"/>
        <v>0</v>
      </c>
      <c r="DG21" s="675">
        <f t="shared" si="360"/>
        <v>0</v>
      </c>
      <c r="DH21" s="549">
        <f t="shared" si="360"/>
        <v>0</v>
      </c>
      <c r="DI21" s="675">
        <f t="shared" si="360"/>
        <v>0</v>
      </c>
      <c r="DJ21" s="549">
        <f t="shared" si="360"/>
        <v>0</v>
      </c>
      <c r="DK21" s="675">
        <f t="shared" si="360"/>
        <v>0</v>
      </c>
      <c r="DL21" s="549">
        <f t="shared" si="360"/>
        <v>0</v>
      </c>
      <c r="DM21" s="675">
        <f t="shared" si="360"/>
        <v>0</v>
      </c>
      <c r="DN21" s="549">
        <f t="shared" ref="DN21:DW21" si="361">SUM(DN22:DN24)</f>
        <v>0</v>
      </c>
      <c r="DO21" s="675">
        <f t="shared" si="361"/>
        <v>0</v>
      </c>
      <c r="DP21" s="549">
        <f t="shared" si="361"/>
        <v>54600</v>
      </c>
      <c r="DQ21" s="675">
        <f t="shared" si="361"/>
        <v>0</v>
      </c>
      <c r="DR21" s="549">
        <f t="shared" si="361"/>
        <v>0</v>
      </c>
      <c r="DS21" s="675">
        <f t="shared" si="361"/>
        <v>0</v>
      </c>
      <c r="DT21" s="549">
        <f t="shared" si="361"/>
        <v>0</v>
      </c>
      <c r="DU21" s="675">
        <f t="shared" si="361"/>
        <v>0</v>
      </c>
      <c r="DV21" s="549">
        <f t="shared" si="361"/>
        <v>0</v>
      </c>
      <c r="DW21" s="675">
        <f t="shared" si="361"/>
        <v>0</v>
      </c>
      <c r="DX21" s="549">
        <f t="shared" ref="DX21:EG21" si="362">SUM(DX22:DX24)</f>
        <v>0</v>
      </c>
      <c r="DY21" s="675">
        <f t="shared" si="362"/>
        <v>0</v>
      </c>
      <c r="DZ21" s="549">
        <f t="shared" si="362"/>
        <v>0</v>
      </c>
      <c r="EA21" s="675">
        <f t="shared" si="362"/>
        <v>0</v>
      </c>
      <c r="EB21" s="549">
        <f t="shared" si="362"/>
        <v>0</v>
      </c>
      <c r="EC21" s="675">
        <f t="shared" si="362"/>
        <v>0</v>
      </c>
      <c r="ED21" s="549">
        <f t="shared" si="362"/>
        <v>0</v>
      </c>
      <c r="EE21" s="675">
        <f t="shared" si="362"/>
        <v>0</v>
      </c>
      <c r="EF21" s="549">
        <f t="shared" si="362"/>
        <v>0</v>
      </c>
      <c r="EG21" s="675">
        <f t="shared" si="362"/>
        <v>-36277</v>
      </c>
      <c r="EH21" s="549">
        <f t="shared" ref="EH21:EM21" si="363">SUM(EH22:EH24)</f>
        <v>0</v>
      </c>
      <c r="EI21" s="675">
        <f t="shared" si="363"/>
        <v>0</v>
      </c>
      <c r="EJ21" s="549">
        <f t="shared" si="363"/>
        <v>0</v>
      </c>
      <c r="EK21" s="675">
        <f t="shared" si="363"/>
        <v>0</v>
      </c>
      <c r="EL21" s="549">
        <f t="shared" si="363"/>
        <v>0</v>
      </c>
      <c r="EM21" s="675">
        <f t="shared" si="363"/>
        <v>0</v>
      </c>
      <c r="EN21" s="549">
        <f t="shared" ref="EN21:EO21" si="364">SUM(EN22:EN24)</f>
        <v>0</v>
      </c>
      <c r="EO21" s="675">
        <f t="shared" si="364"/>
        <v>0</v>
      </c>
      <c r="EP21" s="549">
        <f t="shared" ref="EP21:FA21" si="365">SUM(EP22:EP24)</f>
        <v>0</v>
      </c>
      <c r="EQ21" s="675">
        <f t="shared" si="365"/>
        <v>0</v>
      </c>
      <c r="ER21" s="549">
        <f t="shared" si="365"/>
        <v>0</v>
      </c>
      <c r="ES21" s="675">
        <f t="shared" si="365"/>
        <v>0</v>
      </c>
      <c r="ET21" s="549">
        <f t="shared" si="365"/>
        <v>0</v>
      </c>
      <c r="EU21" s="675">
        <f t="shared" si="365"/>
        <v>0</v>
      </c>
      <c r="EV21" s="549">
        <f t="shared" ref="EV21:EW21" si="366">SUM(EV22:EV24)</f>
        <v>0</v>
      </c>
      <c r="EW21" s="675">
        <f t="shared" si="366"/>
        <v>0</v>
      </c>
      <c r="EX21" s="549">
        <f t="shared" si="365"/>
        <v>0</v>
      </c>
      <c r="EY21" s="675">
        <f t="shared" si="365"/>
        <v>-25600</v>
      </c>
      <c r="EZ21" s="549">
        <f t="shared" si="365"/>
        <v>0</v>
      </c>
      <c r="FA21" s="675">
        <f t="shared" si="365"/>
        <v>0</v>
      </c>
      <c r="FB21" s="549">
        <f t="shared" ref="FB21:FC21" si="367">SUM(FB22:FB24)</f>
        <v>0</v>
      </c>
      <c r="FC21" s="675">
        <f t="shared" si="367"/>
        <v>0</v>
      </c>
      <c r="FD21" s="549">
        <f t="shared" ref="FD21:FE21" si="368">SUM(FD22:FD24)</f>
        <v>0</v>
      </c>
      <c r="FE21" s="675">
        <f t="shared" si="368"/>
        <v>0</v>
      </c>
      <c r="FF21" s="549">
        <f t="shared" ref="FF21:FG21" si="369">SUM(FF22:FF24)</f>
        <v>0</v>
      </c>
      <c r="FG21" s="675">
        <f t="shared" si="369"/>
        <v>0</v>
      </c>
      <c r="FH21" s="549">
        <f t="shared" ref="FH21:FI21" si="370">SUM(FH22:FH24)</f>
        <v>0</v>
      </c>
      <c r="FI21" s="675">
        <f t="shared" si="370"/>
        <v>0</v>
      </c>
      <c r="FJ21" s="549">
        <f t="shared" ref="FJ21:FK21" si="371">SUM(FJ22:FJ24)</f>
        <v>0</v>
      </c>
      <c r="FK21" s="675">
        <f t="shared" si="371"/>
        <v>0</v>
      </c>
      <c r="FL21" s="549">
        <f t="shared" ref="FL21:FM21" si="372">SUM(FL22:FL24)</f>
        <v>0</v>
      </c>
      <c r="FM21" s="675">
        <f t="shared" si="372"/>
        <v>0</v>
      </c>
      <c r="FN21" s="549">
        <f t="shared" ref="FN21:FO21" si="373">SUM(FN22:FN24)</f>
        <v>0</v>
      </c>
      <c r="FO21" s="675">
        <f t="shared" si="373"/>
        <v>0</v>
      </c>
      <c r="FP21" s="549">
        <f t="shared" ref="FP21:FQ21" si="374">SUM(FP22:FP24)</f>
        <v>0</v>
      </c>
      <c r="FQ21" s="675">
        <f t="shared" si="374"/>
        <v>0</v>
      </c>
      <c r="FR21" s="549">
        <f t="shared" ref="FR21:FS21" si="375">SUM(FR22:FR24)</f>
        <v>0</v>
      </c>
      <c r="FS21" s="675">
        <f t="shared" si="375"/>
        <v>0</v>
      </c>
      <c r="FT21" s="549">
        <f t="shared" ref="FT21:FU21" si="376">SUM(FT22:FT24)</f>
        <v>0</v>
      </c>
      <c r="FU21" s="675">
        <f t="shared" si="376"/>
        <v>0</v>
      </c>
      <c r="FV21" s="549">
        <f t="shared" ref="FV21:GK21" si="377">SUM(FV22:FV24)</f>
        <v>0</v>
      </c>
      <c r="FW21" s="675">
        <f t="shared" si="377"/>
        <v>0</v>
      </c>
      <c r="FX21" s="549">
        <f t="shared" si="377"/>
        <v>0</v>
      </c>
      <c r="FY21" s="675">
        <f t="shared" si="377"/>
        <v>0</v>
      </c>
      <c r="FZ21" s="549">
        <f t="shared" ref="FZ21:GI21" si="378">SUM(FZ22:FZ24)</f>
        <v>0</v>
      </c>
      <c r="GA21" s="675">
        <f t="shared" si="378"/>
        <v>0</v>
      </c>
      <c r="GB21" s="549">
        <f t="shared" si="378"/>
        <v>0</v>
      </c>
      <c r="GC21" s="675">
        <f t="shared" si="378"/>
        <v>0</v>
      </c>
      <c r="GD21" s="549">
        <f t="shared" si="378"/>
        <v>0</v>
      </c>
      <c r="GE21" s="675">
        <f t="shared" si="378"/>
        <v>0</v>
      </c>
      <c r="GF21" s="549">
        <f t="shared" si="378"/>
        <v>0</v>
      </c>
      <c r="GG21" s="675">
        <f t="shared" si="378"/>
        <v>0</v>
      </c>
      <c r="GH21" s="549">
        <f t="shared" si="378"/>
        <v>0</v>
      </c>
      <c r="GI21" s="675">
        <f t="shared" si="378"/>
        <v>0</v>
      </c>
      <c r="GJ21" s="549">
        <f t="shared" si="377"/>
        <v>0</v>
      </c>
      <c r="GK21" s="675">
        <f t="shared" si="377"/>
        <v>0</v>
      </c>
      <c r="GL21" s="549">
        <f t="shared" ref="GL21:GM21" si="379">SUM(GL22:GL24)</f>
        <v>0</v>
      </c>
      <c r="GM21" s="675">
        <f t="shared" si="379"/>
        <v>0</v>
      </c>
      <c r="GN21" s="549">
        <f t="shared" ref="GN21:GO21" si="380">SUM(GN22:GN24)</f>
        <v>0</v>
      </c>
      <c r="GO21" s="675">
        <f t="shared" si="380"/>
        <v>0</v>
      </c>
      <c r="GP21" s="74">
        <f>SUM(GP22:GP24)</f>
        <v>102078</v>
      </c>
      <c r="GQ21" s="675">
        <f>SUM(GQ22:GQ24)</f>
        <v>-248817</v>
      </c>
      <c r="GR21" s="74">
        <f t="shared" ref="GR21:HK21" si="381">SUM(GR22:GR24)</f>
        <v>6286561</v>
      </c>
      <c r="GS21" s="74">
        <f>SUM(GS22:GS24)</f>
        <v>5713352</v>
      </c>
      <c r="GT21" s="74">
        <f t="shared" si="381"/>
        <v>6286561</v>
      </c>
      <c r="GU21" s="74">
        <f>SUM(GU22:GU24)</f>
        <v>638380</v>
      </c>
      <c r="GV21" s="74">
        <f t="shared" ref="GV21:HA21" si="382">SUM(GV22:GV24)</f>
        <v>606885</v>
      </c>
      <c r="GW21" s="74">
        <f t="shared" si="382"/>
        <v>592020</v>
      </c>
      <c r="GX21" s="74">
        <f t="shared" si="382"/>
        <v>574502</v>
      </c>
      <c r="GY21" s="74">
        <f t="shared" si="382"/>
        <v>574502</v>
      </c>
      <c r="GZ21" s="74">
        <f t="shared" si="382"/>
        <v>574502</v>
      </c>
      <c r="HA21" s="74">
        <f t="shared" si="382"/>
        <v>574502</v>
      </c>
      <c r="HB21" s="74">
        <f t="shared" si="381"/>
        <v>578377</v>
      </c>
      <c r="HC21" s="74">
        <f t="shared" si="381"/>
        <v>573210</v>
      </c>
      <c r="HD21" s="74">
        <f t="shared" si="381"/>
        <v>573211</v>
      </c>
      <c r="HE21" s="74">
        <f t="shared" si="381"/>
        <v>573209</v>
      </c>
      <c r="HF21" s="74">
        <f t="shared" si="381"/>
        <v>0</v>
      </c>
      <c r="HG21" s="74">
        <f>SUM(HG22:HG24)</f>
        <v>5726770</v>
      </c>
      <c r="HH21" s="74">
        <f t="shared" si="381"/>
        <v>13420</v>
      </c>
      <c r="HI21" s="74">
        <f t="shared" si="381"/>
        <v>0</v>
      </c>
      <c r="HJ21" s="74">
        <f t="shared" si="381"/>
        <v>13008.890000000001</v>
      </c>
      <c r="HK21" s="74">
        <f t="shared" si="381"/>
        <v>1218427</v>
      </c>
      <c r="HL21" s="74">
        <f t="shared" ref="HL21:JT21" si="383">SUM(HL22:HL24)</f>
        <v>9617</v>
      </c>
      <c r="HM21" s="74">
        <f t="shared" si="383"/>
        <v>578602</v>
      </c>
      <c r="HN21" s="74">
        <f t="shared" si="383"/>
        <v>27245.11</v>
      </c>
      <c r="HO21" s="74">
        <f t="shared" si="383"/>
        <v>561084</v>
      </c>
      <c r="HP21" s="74">
        <f t="shared" si="383"/>
        <v>22992.47</v>
      </c>
      <c r="HQ21" s="74">
        <f t="shared" si="383"/>
        <v>561084</v>
      </c>
      <c r="HR21" s="74">
        <f t="shared" si="383"/>
        <v>43636</v>
      </c>
      <c r="HS21" s="74">
        <f t="shared" si="383"/>
        <v>561084</v>
      </c>
      <c r="HT21" s="74">
        <f t="shared" si="383"/>
        <v>43636</v>
      </c>
      <c r="HU21" s="74">
        <f t="shared" si="383"/>
        <v>561084</v>
      </c>
      <c r="HV21" s="74">
        <f t="shared" si="383"/>
        <v>-25955.47</v>
      </c>
      <c r="HW21" s="74">
        <f t="shared" si="383"/>
        <v>589259</v>
      </c>
      <c r="HX21" s="74">
        <f t="shared" si="383"/>
        <v>54600</v>
      </c>
      <c r="HY21" s="74">
        <f t="shared" si="383"/>
        <v>535492</v>
      </c>
      <c r="HZ21" s="74">
        <f t="shared" si="383"/>
        <v>0</v>
      </c>
      <c r="IA21" s="74">
        <f t="shared" si="383"/>
        <v>559793</v>
      </c>
      <c r="IB21" s="74">
        <f t="shared" si="383"/>
        <v>0</v>
      </c>
      <c r="IC21" s="74">
        <f t="shared" si="383"/>
        <v>0</v>
      </c>
      <c r="ID21" s="74">
        <f t="shared" si="383"/>
        <v>0</v>
      </c>
      <c r="IE21" s="792">
        <f t="shared" si="383"/>
        <v>0</v>
      </c>
      <c r="IF21" s="841">
        <f t="shared" si="383"/>
        <v>5119491.4499999993</v>
      </c>
      <c r="IG21" s="263">
        <f t="shared" si="383"/>
        <v>5119491.4499999993</v>
      </c>
      <c r="IH21" s="842">
        <f t="shared" si="383"/>
        <v>5119491.4499999993</v>
      </c>
      <c r="II21" s="155">
        <f t="shared" si="383"/>
        <v>470652.74</v>
      </c>
      <c r="IJ21" s="74">
        <f t="shared" si="383"/>
        <v>470652.74</v>
      </c>
      <c r="IK21" s="74">
        <f t="shared" si="383"/>
        <v>470652.74</v>
      </c>
      <c r="IL21" s="74">
        <f t="shared" si="383"/>
        <v>487677.08</v>
      </c>
      <c r="IM21" s="74">
        <f t="shared" si="383"/>
        <v>487677.08</v>
      </c>
      <c r="IN21" s="74">
        <f t="shared" si="383"/>
        <v>487677.08</v>
      </c>
      <c r="IO21" s="74">
        <f t="shared" si="383"/>
        <v>242552.53000000003</v>
      </c>
      <c r="IP21" s="74">
        <f t="shared" si="383"/>
        <v>242552.53000000003</v>
      </c>
      <c r="IQ21" s="74">
        <f t="shared" si="383"/>
        <v>242552.53000000003</v>
      </c>
      <c r="IR21" s="74">
        <f t="shared" si="383"/>
        <v>870865.82</v>
      </c>
      <c r="IS21" s="74">
        <f t="shared" si="383"/>
        <v>870865.82</v>
      </c>
      <c r="IT21" s="74">
        <f t="shared" si="383"/>
        <v>870865.82</v>
      </c>
      <c r="IU21" s="74">
        <f t="shared" si="383"/>
        <v>495446.70000000007</v>
      </c>
      <c r="IV21" s="74">
        <f t="shared" si="383"/>
        <v>495446.70000000007</v>
      </c>
      <c r="IW21" s="74">
        <f t="shared" si="383"/>
        <v>495446.70000000007</v>
      </c>
      <c r="IX21" s="74">
        <f t="shared" si="383"/>
        <v>486232.0199999999</v>
      </c>
      <c r="IY21" s="74">
        <f t="shared" si="383"/>
        <v>486232.0199999999</v>
      </c>
      <c r="IZ21" s="74">
        <f t="shared" si="383"/>
        <v>486232.0199999999</v>
      </c>
      <c r="JA21" s="74">
        <f t="shared" si="383"/>
        <v>519823.87000000023</v>
      </c>
      <c r="JB21" s="74">
        <f t="shared" si="383"/>
        <v>519823.87000000023</v>
      </c>
      <c r="JC21" s="74">
        <f t="shared" si="383"/>
        <v>519823.87000000023</v>
      </c>
      <c r="JD21" s="74">
        <f t="shared" si="383"/>
        <v>496966.02000000008</v>
      </c>
      <c r="JE21" s="74">
        <f t="shared" si="383"/>
        <v>496966.02000000008</v>
      </c>
      <c r="JF21" s="74">
        <f t="shared" si="383"/>
        <v>496966.02000000008</v>
      </c>
      <c r="JG21" s="74">
        <f t="shared" si="383"/>
        <v>541538.40999999945</v>
      </c>
      <c r="JH21" s="74">
        <f t="shared" si="383"/>
        <v>541538.40999999945</v>
      </c>
      <c r="JI21" s="74">
        <f t="shared" si="383"/>
        <v>541538.40999999945</v>
      </c>
      <c r="JJ21" s="74">
        <f t="shared" si="383"/>
        <v>507736.26000000024</v>
      </c>
      <c r="JK21" s="74">
        <f t="shared" si="383"/>
        <v>507736.26000000024</v>
      </c>
      <c r="JL21" s="74">
        <f t="shared" si="383"/>
        <v>507736.26000000024</v>
      </c>
      <c r="JM21" s="74">
        <f t="shared" si="383"/>
        <v>0</v>
      </c>
      <c r="JN21" s="74">
        <f t="shared" si="383"/>
        <v>0</v>
      </c>
      <c r="JO21" s="74">
        <f t="shared" si="383"/>
        <v>0</v>
      </c>
      <c r="JP21" s="74">
        <f t="shared" si="383"/>
        <v>0</v>
      </c>
      <c r="JQ21" s="74">
        <f t="shared" si="383"/>
        <v>0</v>
      </c>
      <c r="JR21" s="74">
        <f t="shared" si="383"/>
        <v>0</v>
      </c>
      <c r="JS21" s="74">
        <f t="shared" si="383"/>
        <v>607278.54999999993</v>
      </c>
      <c r="JT21" s="74">
        <f t="shared" si="383"/>
        <v>593860.54999999993</v>
      </c>
      <c r="JU21" s="671"/>
      <c r="JV21" s="492"/>
      <c r="JW21" s="490"/>
      <c r="JX21" s="74">
        <f>SUM(JX22:JX24)</f>
        <v>202200</v>
      </c>
      <c r="JY21" s="74">
        <f>SUM(JY22:JY24)</f>
        <v>5725909</v>
      </c>
      <c r="JZ21" s="581">
        <f t="shared" si="42"/>
        <v>102078</v>
      </c>
      <c r="KA21" s="581">
        <f t="shared" si="43"/>
        <v>-248817</v>
      </c>
      <c r="KB21" s="74">
        <f>SUM(KB22:KB24)</f>
        <v>5726770</v>
      </c>
      <c r="KC21" s="709">
        <f t="shared" si="41"/>
        <v>0</v>
      </c>
      <c r="KD21" s="121"/>
      <c r="KE21" s="122" t="s">
        <v>530</v>
      </c>
      <c r="KF21" s="122">
        <f>SUM(KF22:KF25)</f>
        <v>6420200</v>
      </c>
      <c r="KG21" s="122">
        <f>SUM(KG22:KG28)</f>
        <v>8642118</v>
      </c>
      <c r="KH21" s="122">
        <f>SUM(KH22:KH28)</f>
        <v>6775616</v>
      </c>
      <c r="KI21" s="122" t="e">
        <f>SUM(KI22:KI25)</f>
        <v>#REF!</v>
      </c>
      <c r="KJ21" s="122">
        <f>SUM(KJ22:KJ25)</f>
        <v>7754525</v>
      </c>
      <c r="KK21" s="122">
        <f>SUM(KK22:KK25)</f>
        <v>7200075</v>
      </c>
    </row>
    <row r="22" spans="1:297" s="8" customFormat="1">
      <c r="A22" s="75" t="s">
        <v>59</v>
      </c>
      <c r="B22" s="72" t="s">
        <v>60</v>
      </c>
      <c r="C22" s="74">
        <f t="shared" ref="C22:BP22" si="384">SUM(C252,C586,C638)</f>
        <v>5530000</v>
      </c>
      <c r="D22" s="549">
        <f t="shared" si="384"/>
        <v>0</v>
      </c>
      <c r="E22" s="675">
        <f t="shared" si="384"/>
        <v>0</v>
      </c>
      <c r="F22" s="549">
        <f t="shared" si="384"/>
        <v>0</v>
      </c>
      <c r="G22" s="675">
        <f t="shared" si="384"/>
        <v>0</v>
      </c>
      <c r="H22" s="549">
        <f t="shared" si="384"/>
        <v>0</v>
      </c>
      <c r="I22" s="675">
        <f t="shared" si="384"/>
        <v>0</v>
      </c>
      <c r="J22" s="549">
        <f t="shared" si="384"/>
        <v>0</v>
      </c>
      <c r="K22" s="675">
        <f t="shared" si="384"/>
        <v>0</v>
      </c>
      <c r="L22" s="549">
        <f t="shared" si="384"/>
        <v>0</v>
      </c>
      <c r="M22" s="675">
        <f t="shared" si="384"/>
        <v>0</v>
      </c>
      <c r="N22" s="549">
        <f t="shared" si="384"/>
        <v>0</v>
      </c>
      <c r="O22" s="675">
        <f t="shared" si="384"/>
        <v>0</v>
      </c>
      <c r="P22" s="549">
        <f t="shared" si="384"/>
        <v>0</v>
      </c>
      <c r="Q22" s="675">
        <f t="shared" si="384"/>
        <v>0</v>
      </c>
      <c r="R22" s="549">
        <f t="shared" si="384"/>
        <v>0</v>
      </c>
      <c r="S22" s="675">
        <f t="shared" si="384"/>
        <v>0</v>
      </c>
      <c r="T22" s="549">
        <f t="shared" si="384"/>
        <v>0</v>
      </c>
      <c r="U22" s="675">
        <f t="shared" si="384"/>
        <v>0</v>
      </c>
      <c r="V22" s="549">
        <f t="shared" si="384"/>
        <v>0</v>
      </c>
      <c r="W22" s="675">
        <f t="shared" si="384"/>
        <v>0</v>
      </c>
      <c r="X22" s="549">
        <f t="shared" si="384"/>
        <v>0</v>
      </c>
      <c r="Y22" s="675">
        <f t="shared" si="384"/>
        <v>0</v>
      </c>
      <c r="Z22" s="549">
        <f t="shared" si="384"/>
        <v>0</v>
      </c>
      <c r="AA22" s="675">
        <f t="shared" si="384"/>
        <v>0</v>
      </c>
      <c r="AB22" s="549">
        <f t="shared" si="384"/>
        <v>0</v>
      </c>
      <c r="AC22" s="675">
        <f t="shared" si="384"/>
        <v>0</v>
      </c>
      <c r="AD22" s="549">
        <f t="shared" si="384"/>
        <v>0</v>
      </c>
      <c r="AE22" s="675">
        <f t="shared" si="384"/>
        <v>0</v>
      </c>
      <c r="AF22" s="549">
        <f t="shared" si="384"/>
        <v>0</v>
      </c>
      <c r="AG22" s="675">
        <f t="shared" si="384"/>
        <v>0</v>
      </c>
      <c r="AH22" s="549">
        <f t="shared" si="384"/>
        <v>0</v>
      </c>
      <c r="AI22" s="675">
        <f t="shared" si="384"/>
        <v>0</v>
      </c>
      <c r="AJ22" s="549">
        <f t="shared" si="384"/>
        <v>0</v>
      </c>
      <c r="AK22" s="675">
        <f t="shared" si="384"/>
        <v>-47160</v>
      </c>
      <c r="AL22" s="549">
        <f t="shared" si="384"/>
        <v>0</v>
      </c>
      <c r="AM22" s="675">
        <f t="shared" si="384"/>
        <v>0</v>
      </c>
      <c r="AN22" s="549">
        <f t="shared" si="384"/>
        <v>0</v>
      </c>
      <c r="AO22" s="675">
        <f t="shared" si="384"/>
        <v>-49845</v>
      </c>
      <c r="AP22" s="549">
        <f t="shared" si="384"/>
        <v>0</v>
      </c>
      <c r="AQ22" s="675">
        <f t="shared" si="384"/>
        <v>0</v>
      </c>
      <c r="AR22" s="549">
        <f t="shared" si="384"/>
        <v>0</v>
      </c>
      <c r="AS22" s="675">
        <f t="shared" si="384"/>
        <v>-8480</v>
      </c>
      <c r="AT22" s="549">
        <f t="shared" ref="AT22:AU22" si="385">SUM(AT252,AT586,AT638)</f>
        <v>0</v>
      </c>
      <c r="AU22" s="675">
        <f t="shared" si="385"/>
        <v>0</v>
      </c>
      <c r="AV22" s="549">
        <f t="shared" ref="AV22:AW22" si="386">SUM(AV252,AV586,AV638)</f>
        <v>0</v>
      </c>
      <c r="AW22" s="675">
        <f t="shared" si="386"/>
        <v>-13843</v>
      </c>
      <c r="AX22" s="549">
        <f t="shared" ref="AX22:AY22" si="387">SUM(AX252,AX586,AX638)</f>
        <v>0</v>
      </c>
      <c r="AY22" s="675">
        <f t="shared" si="387"/>
        <v>0</v>
      </c>
      <c r="AZ22" s="549">
        <f t="shared" ref="AZ22:BA22" si="388">SUM(AZ252,AZ586,AZ638)</f>
        <v>0</v>
      </c>
      <c r="BA22" s="675">
        <f t="shared" si="388"/>
        <v>0</v>
      </c>
      <c r="BB22" s="549">
        <f t="shared" ref="BB22:BC22" si="389">SUM(BB252,BB586,BB638)</f>
        <v>0</v>
      </c>
      <c r="BC22" s="675">
        <f t="shared" si="389"/>
        <v>0</v>
      </c>
      <c r="BD22" s="549">
        <f t="shared" ref="BD22:BE22" si="390">SUM(BD252,BD586,BD638)</f>
        <v>0</v>
      </c>
      <c r="BE22" s="675">
        <f t="shared" si="390"/>
        <v>0</v>
      </c>
      <c r="BF22" s="549">
        <f t="shared" ref="BF22:BG22" si="391">SUM(BF252,BF586,BF638)</f>
        <v>0</v>
      </c>
      <c r="BG22" s="675">
        <f t="shared" si="391"/>
        <v>0</v>
      </c>
      <c r="BH22" s="549">
        <f t="shared" ref="BH22:BI22" si="392">SUM(BH252,BH586,BH638)</f>
        <v>0</v>
      </c>
      <c r="BI22" s="675">
        <f t="shared" si="392"/>
        <v>0</v>
      </c>
      <c r="BJ22" s="549">
        <f t="shared" ref="BJ22:BK22" si="393">SUM(BJ252,BJ586,BJ638)</f>
        <v>0</v>
      </c>
      <c r="BK22" s="675">
        <f t="shared" si="393"/>
        <v>0</v>
      </c>
      <c r="BL22" s="549">
        <f t="shared" si="384"/>
        <v>0</v>
      </c>
      <c r="BM22" s="675">
        <f t="shared" si="384"/>
        <v>0</v>
      </c>
      <c r="BN22" s="549">
        <f t="shared" si="384"/>
        <v>0</v>
      </c>
      <c r="BO22" s="675">
        <f t="shared" si="384"/>
        <v>0</v>
      </c>
      <c r="BP22" s="549">
        <f t="shared" si="384"/>
        <v>0</v>
      </c>
      <c r="BQ22" s="675">
        <f t="shared" ref="BQ22" si="394">SUM(BQ252,BQ586,BQ638)</f>
        <v>0</v>
      </c>
      <c r="BR22" s="549">
        <f t="shared" ref="BR22:BS22" si="395">SUM(BR252,BR586,BR638)</f>
        <v>0</v>
      </c>
      <c r="BS22" s="675">
        <f t="shared" si="395"/>
        <v>0</v>
      </c>
      <c r="BT22" s="549">
        <f t="shared" ref="BT22:BU22" si="396">SUM(BT252,BT586,BT638)</f>
        <v>0</v>
      </c>
      <c r="BU22" s="675">
        <f t="shared" si="396"/>
        <v>0</v>
      </c>
      <c r="BV22" s="549">
        <f t="shared" ref="BV22:BW22" si="397">SUM(BV252,BV586,BV638)</f>
        <v>0</v>
      </c>
      <c r="BW22" s="675">
        <f t="shared" si="397"/>
        <v>-7480</v>
      </c>
      <c r="BX22" s="549">
        <f t="shared" ref="BX22:BY22" si="398">SUM(BX252,BX586,BX638)</f>
        <v>0</v>
      </c>
      <c r="BY22" s="675">
        <f t="shared" si="398"/>
        <v>0</v>
      </c>
      <c r="BZ22" s="549">
        <f t="shared" ref="BZ22:CA22" si="399">SUM(BZ252,BZ586,BZ638)</f>
        <v>0</v>
      </c>
      <c r="CA22" s="675">
        <f t="shared" si="399"/>
        <v>0</v>
      </c>
      <c r="CB22" s="549">
        <f t="shared" ref="CB22:EC22" si="400">SUM(CB252,CB586,CB638)</f>
        <v>0</v>
      </c>
      <c r="CC22" s="675">
        <f t="shared" si="400"/>
        <v>0</v>
      </c>
      <c r="CD22" s="549">
        <f t="shared" si="400"/>
        <v>0</v>
      </c>
      <c r="CE22" s="675">
        <f t="shared" si="400"/>
        <v>0</v>
      </c>
      <c r="CF22" s="549">
        <f t="shared" si="400"/>
        <v>0</v>
      </c>
      <c r="CG22" s="675">
        <f t="shared" si="400"/>
        <v>0</v>
      </c>
      <c r="CH22" s="549">
        <f t="shared" si="400"/>
        <v>0</v>
      </c>
      <c r="CI22" s="675">
        <f t="shared" si="400"/>
        <v>0</v>
      </c>
      <c r="CJ22" s="549">
        <f t="shared" si="400"/>
        <v>0</v>
      </c>
      <c r="CK22" s="675">
        <f t="shared" si="400"/>
        <v>0</v>
      </c>
      <c r="CL22" s="549">
        <f t="shared" si="400"/>
        <v>0</v>
      </c>
      <c r="CM22" s="675">
        <f t="shared" si="400"/>
        <v>0</v>
      </c>
      <c r="CN22" s="549">
        <f t="shared" si="400"/>
        <v>0</v>
      </c>
      <c r="CO22" s="675">
        <f t="shared" si="400"/>
        <v>0</v>
      </c>
      <c r="CP22" s="549">
        <f t="shared" si="400"/>
        <v>0</v>
      </c>
      <c r="CQ22" s="675">
        <f t="shared" si="400"/>
        <v>0</v>
      </c>
      <c r="CR22" s="549">
        <f t="shared" si="400"/>
        <v>0</v>
      </c>
      <c r="CS22" s="675">
        <f t="shared" si="400"/>
        <v>0</v>
      </c>
      <c r="CT22" s="549">
        <f t="shared" si="400"/>
        <v>0</v>
      </c>
      <c r="CU22" s="675">
        <f t="shared" si="400"/>
        <v>0</v>
      </c>
      <c r="CV22" s="549">
        <f t="shared" si="400"/>
        <v>0</v>
      </c>
      <c r="CW22" s="675">
        <f t="shared" si="400"/>
        <v>0</v>
      </c>
      <c r="CX22" s="549">
        <f t="shared" si="400"/>
        <v>0</v>
      </c>
      <c r="CY22" s="675">
        <f t="shared" si="400"/>
        <v>0</v>
      </c>
      <c r="CZ22" s="549">
        <f t="shared" si="400"/>
        <v>0</v>
      </c>
      <c r="DA22" s="675">
        <f t="shared" si="400"/>
        <v>0</v>
      </c>
      <c r="DB22" s="549">
        <f t="shared" si="400"/>
        <v>0</v>
      </c>
      <c r="DC22" s="675">
        <f t="shared" si="400"/>
        <v>0</v>
      </c>
      <c r="DD22" s="549">
        <f t="shared" si="400"/>
        <v>0</v>
      </c>
      <c r="DE22" s="675">
        <f t="shared" si="400"/>
        <v>0</v>
      </c>
      <c r="DF22" s="549">
        <f t="shared" si="400"/>
        <v>0</v>
      </c>
      <c r="DG22" s="675">
        <f t="shared" si="400"/>
        <v>0</v>
      </c>
      <c r="DH22" s="549">
        <f t="shared" si="400"/>
        <v>0</v>
      </c>
      <c r="DI22" s="675">
        <f t="shared" si="400"/>
        <v>0</v>
      </c>
      <c r="DJ22" s="549">
        <f t="shared" si="400"/>
        <v>0</v>
      </c>
      <c r="DK22" s="675">
        <f t="shared" si="400"/>
        <v>0</v>
      </c>
      <c r="DL22" s="549">
        <f t="shared" si="400"/>
        <v>0</v>
      </c>
      <c r="DM22" s="675">
        <f t="shared" si="400"/>
        <v>0</v>
      </c>
      <c r="DN22" s="549">
        <f t="shared" si="400"/>
        <v>0</v>
      </c>
      <c r="DO22" s="675">
        <f t="shared" si="400"/>
        <v>0</v>
      </c>
      <c r="DP22" s="549">
        <f t="shared" si="400"/>
        <v>0</v>
      </c>
      <c r="DQ22" s="675">
        <f t="shared" si="400"/>
        <v>0</v>
      </c>
      <c r="DR22" s="549">
        <f t="shared" si="400"/>
        <v>0</v>
      </c>
      <c r="DS22" s="675">
        <f t="shared" si="400"/>
        <v>0</v>
      </c>
      <c r="DT22" s="549">
        <f t="shared" si="400"/>
        <v>0</v>
      </c>
      <c r="DU22" s="675">
        <f t="shared" si="400"/>
        <v>0</v>
      </c>
      <c r="DV22" s="549">
        <f t="shared" si="400"/>
        <v>0</v>
      </c>
      <c r="DW22" s="675">
        <f t="shared" si="400"/>
        <v>0</v>
      </c>
      <c r="DX22" s="549">
        <f t="shared" si="400"/>
        <v>0</v>
      </c>
      <c r="DY22" s="675">
        <f t="shared" si="400"/>
        <v>0</v>
      </c>
      <c r="DZ22" s="549">
        <f t="shared" si="400"/>
        <v>0</v>
      </c>
      <c r="EA22" s="675">
        <f t="shared" si="400"/>
        <v>0</v>
      </c>
      <c r="EB22" s="549">
        <f t="shared" si="400"/>
        <v>0</v>
      </c>
      <c r="EC22" s="675">
        <f t="shared" si="400"/>
        <v>0</v>
      </c>
      <c r="ED22" s="549">
        <f t="shared" ref="ED22:EE22" si="401">SUM(ED252,ED586,ED638)</f>
        <v>0</v>
      </c>
      <c r="EE22" s="675">
        <f t="shared" si="401"/>
        <v>0</v>
      </c>
      <c r="EF22" s="549">
        <f t="shared" ref="EF22:HV22" si="402">SUM(EF252,EF586,EF638)</f>
        <v>0</v>
      </c>
      <c r="EG22" s="675">
        <f t="shared" si="402"/>
        <v>-29858</v>
      </c>
      <c r="EH22" s="549">
        <f t="shared" si="402"/>
        <v>0</v>
      </c>
      <c r="EI22" s="675">
        <f t="shared" si="402"/>
        <v>0</v>
      </c>
      <c r="EJ22" s="549">
        <f t="shared" si="402"/>
        <v>0</v>
      </c>
      <c r="EK22" s="675">
        <f t="shared" si="402"/>
        <v>0</v>
      </c>
      <c r="EL22" s="549">
        <f t="shared" si="402"/>
        <v>0</v>
      </c>
      <c r="EM22" s="675">
        <f t="shared" si="402"/>
        <v>0</v>
      </c>
      <c r="EN22" s="549">
        <f t="shared" si="402"/>
        <v>0</v>
      </c>
      <c r="EO22" s="675">
        <f t="shared" si="402"/>
        <v>0</v>
      </c>
      <c r="EP22" s="549">
        <f t="shared" si="402"/>
        <v>0</v>
      </c>
      <c r="EQ22" s="675">
        <f t="shared" si="402"/>
        <v>0</v>
      </c>
      <c r="ER22" s="549">
        <f t="shared" si="402"/>
        <v>0</v>
      </c>
      <c r="ES22" s="675">
        <f t="shared" si="402"/>
        <v>0</v>
      </c>
      <c r="ET22" s="549">
        <f t="shared" si="402"/>
        <v>0</v>
      </c>
      <c r="EU22" s="675">
        <f t="shared" si="402"/>
        <v>0</v>
      </c>
      <c r="EV22" s="549">
        <f t="shared" si="402"/>
        <v>0</v>
      </c>
      <c r="EW22" s="675">
        <f t="shared" si="402"/>
        <v>0</v>
      </c>
      <c r="EX22" s="549">
        <f t="shared" si="402"/>
        <v>0</v>
      </c>
      <c r="EY22" s="675">
        <f t="shared" si="402"/>
        <v>-25600</v>
      </c>
      <c r="EZ22" s="549">
        <f t="shared" si="402"/>
        <v>0</v>
      </c>
      <c r="FA22" s="675">
        <f t="shared" si="402"/>
        <v>0</v>
      </c>
      <c r="FB22" s="549">
        <f t="shared" si="402"/>
        <v>0</v>
      </c>
      <c r="FC22" s="675">
        <f t="shared" si="402"/>
        <v>0</v>
      </c>
      <c r="FD22" s="549">
        <f t="shared" si="402"/>
        <v>0</v>
      </c>
      <c r="FE22" s="675">
        <f t="shared" si="402"/>
        <v>0</v>
      </c>
      <c r="FF22" s="549">
        <f t="shared" si="402"/>
        <v>0</v>
      </c>
      <c r="FG22" s="675">
        <f t="shared" si="402"/>
        <v>0</v>
      </c>
      <c r="FH22" s="549">
        <f t="shared" si="402"/>
        <v>0</v>
      </c>
      <c r="FI22" s="675">
        <f t="shared" si="402"/>
        <v>0</v>
      </c>
      <c r="FJ22" s="549">
        <f t="shared" si="402"/>
        <v>0</v>
      </c>
      <c r="FK22" s="675">
        <f t="shared" si="402"/>
        <v>0</v>
      </c>
      <c r="FL22" s="549">
        <f t="shared" ref="FL22:FM22" si="403">SUM(FL252,FL586,FL638)</f>
        <v>0</v>
      </c>
      <c r="FM22" s="675">
        <f t="shared" si="403"/>
        <v>0</v>
      </c>
      <c r="FN22" s="549">
        <f t="shared" ref="FN22:FO22" si="404">SUM(FN252,FN586,FN638)</f>
        <v>0</v>
      </c>
      <c r="FO22" s="675">
        <f t="shared" si="404"/>
        <v>0</v>
      </c>
      <c r="FP22" s="549">
        <f t="shared" ref="FP22:FQ22" si="405">SUM(FP252,FP586,FP638)</f>
        <v>0</v>
      </c>
      <c r="FQ22" s="675">
        <f t="shared" si="405"/>
        <v>0</v>
      </c>
      <c r="FR22" s="549">
        <f t="shared" ref="FR22:FS22" si="406">SUM(FR252,FR586,FR638)</f>
        <v>0</v>
      </c>
      <c r="FS22" s="675">
        <f t="shared" si="406"/>
        <v>0</v>
      </c>
      <c r="FT22" s="549">
        <f t="shared" ref="FT22:FU22" si="407">SUM(FT252,FT586,FT638)</f>
        <v>0</v>
      </c>
      <c r="FU22" s="675">
        <f t="shared" si="407"/>
        <v>0</v>
      </c>
      <c r="FV22" s="549">
        <f t="shared" ref="FV22:GK22" si="408">SUM(FV252,FV586,FV638)</f>
        <v>0</v>
      </c>
      <c r="FW22" s="675">
        <f t="shared" si="408"/>
        <v>0</v>
      </c>
      <c r="FX22" s="549">
        <f t="shared" si="408"/>
        <v>0</v>
      </c>
      <c r="FY22" s="675">
        <f t="shared" si="408"/>
        <v>0</v>
      </c>
      <c r="FZ22" s="549">
        <f t="shared" ref="FZ22:GI22" si="409">SUM(FZ252,FZ586,FZ638)</f>
        <v>0</v>
      </c>
      <c r="GA22" s="675">
        <f t="shared" si="409"/>
        <v>0</v>
      </c>
      <c r="GB22" s="549">
        <f t="shared" si="409"/>
        <v>0</v>
      </c>
      <c r="GC22" s="675">
        <f t="shared" si="409"/>
        <v>0</v>
      </c>
      <c r="GD22" s="549">
        <f t="shared" si="409"/>
        <v>0</v>
      </c>
      <c r="GE22" s="675">
        <f t="shared" si="409"/>
        <v>0</v>
      </c>
      <c r="GF22" s="549">
        <f t="shared" si="409"/>
        <v>0</v>
      </c>
      <c r="GG22" s="675">
        <f t="shared" si="409"/>
        <v>0</v>
      </c>
      <c r="GH22" s="549">
        <f t="shared" si="409"/>
        <v>0</v>
      </c>
      <c r="GI22" s="675">
        <f t="shared" si="409"/>
        <v>0</v>
      </c>
      <c r="GJ22" s="549">
        <f t="shared" si="408"/>
        <v>0</v>
      </c>
      <c r="GK22" s="675">
        <f t="shared" si="408"/>
        <v>0</v>
      </c>
      <c r="GL22" s="549">
        <f t="shared" ref="GL22:GM22" si="410">SUM(GL252,GL586,GL638)</f>
        <v>0</v>
      </c>
      <c r="GM22" s="675">
        <f t="shared" si="410"/>
        <v>0</v>
      </c>
      <c r="GN22" s="549">
        <f t="shared" ref="GN22:GO22" si="411">SUM(GN252,GN586,GN638)</f>
        <v>0</v>
      </c>
      <c r="GO22" s="675">
        <f t="shared" si="411"/>
        <v>0</v>
      </c>
      <c r="GP22" s="74">
        <f t="shared" si="402"/>
        <v>0</v>
      </c>
      <c r="GQ22" s="675">
        <f>SUM(GQ252,GQ586,GQ638)</f>
        <v>-182266</v>
      </c>
      <c r="GR22" s="74">
        <f t="shared" si="402"/>
        <v>5347734</v>
      </c>
      <c r="GS22" s="74">
        <f t="shared" si="402"/>
        <v>4855988</v>
      </c>
      <c r="GT22" s="549">
        <f t="shared" si="402"/>
        <v>5347734</v>
      </c>
      <c r="GU22" s="74">
        <f>SUM(GU252,GU586,GU638)</f>
        <v>556250</v>
      </c>
      <c r="GV22" s="74">
        <f t="shared" si="402"/>
        <v>524768</v>
      </c>
      <c r="GW22" s="549">
        <f t="shared" si="402"/>
        <v>504666</v>
      </c>
      <c r="GX22" s="549">
        <f t="shared" si="402"/>
        <v>493040</v>
      </c>
      <c r="GY22" s="74">
        <f t="shared" si="402"/>
        <v>493040</v>
      </c>
      <c r="GZ22" s="74">
        <f t="shared" si="402"/>
        <v>493040</v>
      </c>
      <c r="HA22" s="74">
        <f t="shared" si="402"/>
        <v>493040</v>
      </c>
      <c r="HB22" s="74">
        <f t="shared" si="402"/>
        <v>496915</v>
      </c>
      <c r="HC22" s="74">
        <f t="shared" si="402"/>
        <v>491747</v>
      </c>
      <c r="HD22" s="74">
        <f t="shared" si="402"/>
        <v>491748</v>
      </c>
      <c r="HE22" s="74">
        <f t="shared" si="402"/>
        <v>491746</v>
      </c>
      <c r="HF22" s="74">
        <f t="shared" si="402"/>
        <v>0</v>
      </c>
      <c r="HG22" s="74">
        <f t="shared" si="402"/>
        <v>4855988</v>
      </c>
      <c r="HH22" s="74">
        <f t="shared" si="402"/>
        <v>0</v>
      </c>
      <c r="HI22" s="74">
        <f t="shared" si="402"/>
        <v>0</v>
      </c>
      <c r="HJ22" s="74">
        <f t="shared" si="402"/>
        <v>0</v>
      </c>
      <c r="HK22" s="74">
        <f t="shared" si="402"/>
        <v>1081018</v>
      </c>
      <c r="HL22" s="74">
        <f t="shared" si="402"/>
        <v>0</v>
      </c>
      <c r="HM22" s="74">
        <f t="shared" si="402"/>
        <v>504666</v>
      </c>
      <c r="HN22" s="74">
        <f t="shared" si="402"/>
        <v>0</v>
      </c>
      <c r="HO22" s="74">
        <f t="shared" si="402"/>
        <v>493040</v>
      </c>
      <c r="HP22" s="74">
        <f t="shared" si="402"/>
        <v>0</v>
      </c>
      <c r="HQ22" s="74">
        <f t="shared" si="402"/>
        <v>493040</v>
      </c>
      <c r="HR22" s="74">
        <f t="shared" si="402"/>
        <v>0</v>
      </c>
      <c r="HS22" s="74">
        <f t="shared" si="402"/>
        <v>493040</v>
      </c>
      <c r="HT22" s="74">
        <f t="shared" si="402"/>
        <v>0</v>
      </c>
      <c r="HU22" s="74">
        <f t="shared" si="402"/>
        <v>493040</v>
      </c>
      <c r="HV22" s="74">
        <f t="shared" si="402"/>
        <v>0</v>
      </c>
      <c r="HW22" s="74">
        <f t="shared" ref="HW22:JT22" si="412">SUM(HW252,HW586,HW638)</f>
        <v>496915</v>
      </c>
      <c r="HX22" s="74">
        <f t="shared" si="412"/>
        <v>0</v>
      </c>
      <c r="HY22" s="74">
        <f t="shared" si="412"/>
        <v>491747</v>
      </c>
      <c r="HZ22" s="74">
        <f t="shared" si="412"/>
        <v>0</v>
      </c>
      <c r="IA22" s="74">
        <f t="shared" si="412"/>
        <v>491748</v>
      </c>
      <c r="IB22" s="74">
        <f t="shared" si="412"/>
        <v>0</v>
      </c>
      <c r="IC22" s="74">
        <f t="shared" si="412"/>
        <v>0</v>
      </c>
      <c r="ID22" s="74">
        <f t="shared" si="412"/>
        <v>0</v>
      </c>
      <c r="IE22" s="792">
        <f t="shared" si="412"/>
        <v>0</v>
      </c>
      <c r="IF22" s="841">
        <f t="shared" si="412"/>
        <v>4398697.6499999994</v>
      </c>
      <c r="IG22" s="263">
        <f t="shared" si="412"/>
        <v>4398697.6499999994</v>
      </c>
      <c r="IH22" s="842">
        <f t="shared" si="412"/>
        <v>4398697.6499999994</v>
      </c>
      <c r="II22" s="155">
        <f t="shared" si="412"/>
        <v>415893.63</v>
      </c>
      <c r="IJ22" s="74">
        <f t="shared" si="412"/>
        <v>415893.63</v>
      </c>
      <c r="IK22" s="74">
        <f t="shared" si="412"/>
        <v>415893.63</v>
      </c>
      <c r="IL22" s="74">
        <f t="shared" si="412"/>
        <v>431182.5</v>
      </c>
      <c r="IM22" s="74">
        <f t="shared" si="412"/>
        <v>431182.5</v>
      </c>
      <c r="IN22" s="74">
        <f t="shared" si="412"/>
        <v>431182.5</v>
      </c>
      <c r="IO22" s="74">
        <f t="shared" si="412"/>
        <v>214278.26</v>
      </c>
      <c r="IP22" s="74">
        <f t="shared" si="412"/>
        <v>214278.26</v>
      </c>
      <c r="IQ22" s="74">
        <f t="shared" si="412"/>
        <v>214278.26</v>
      </c>
      <c r="IR22" s="74">
        <f t="shared" si="412"/>
        <v>734782.59</v>
      </c>
      <c r="IS22" s="74">
        <f t="shared" si="412"/>
        <v>734782.59</v>
      </c>
      <c r="IT22" s="74">
        <f t="shared" si="412"/>
        <v>734782.59</v>
      </c>
      <c r="IU22" s="74">
        <f t="shared" si="412"/>
        <v>435545.70000000007</v>
      </c>
      <c r="IV22" s="74">
        <f t="shared" si="412"/>
        <v>435545.70000000007</v>
      </c>
      <c r="IW22" s="74">
        <f t="shared" si="412"/>
        <v>435545.70000000007</v>
      </c>
      <c r="IX22" s="74">
        <f t="shared" si="412"/>
        <v>436182.84999999986</v>
      </c>
      <c r="IY22" s="74">
        <f t="shared" si="412"/>
        <v>436182.84999999986</v>
      </c>
      <c r="IZ22" s="74">
        <f t="shared" si="412"/>
        <v>436182.84999999986</v>
      </c>
      <c r="JA22" s="74">
        <f t="shared" si="412"/>
        <v>433833.37000000023</v>
      </c>
      <c r="JB22" s="74">
        <f t="shared" si="412"/>
        <v>433833.37000000023</v>
      </c>
      <c r="JC22" s="74">
        <f t="shared" si="412"/>
        <v>433833.37000000023</v>
      </c>
      <c r="JD22" s="74">
        <f t="shared" si="412"/>
        <v>431339.7300000001</v>
      </c>
      <c r="JE22" s="74">
        <f t="shared" si="412"/>
        <v>431339.7300000001</v>
      </c>
      <c r="JF22" s="74">
        <f t="shared" si="412"/>
        <v>431339.7300000001</v>
      </c>
      <c r="JG22" s="74">
        <f t="shared" si="412"/>
        <v>433439.75999999954</v>
      </c>
      <c r="JH22" s="74">
        <f t="shared" si="412"/>
        <v>433439.75999999954</v>
      </c>
      <c r="JI22" s="74">
        <f t="shared" si="412"/>
        <v>433439.75999999954</v>
      </c>
      <c r="JJ22" s="74">
        <f t="shared" si="412"/>
        <v>432219.26000000024</v>
      </c>
      <c r="JK22" s="74">
        <f t="shared" si="412"/>
        <v>432219.26000000024</v>
      </c>
      <c r="JL22" s="74">
        <f t="shared" si="412"/>
        <v>432219.26000000024</v>
      </c>
      <c r="JM22" s="74">
        <f t="shared" si="412"/>
        <v>0</v>
      </c>
      <c r="JN22" s="74">
        <f t="shared" si="412"/>
        <v>0</v>
      </c>
      <c r="JO22" s="74">
        <f t="shared" si="412"/>
        <v>0</v>
      </c>
      <c r="JP22" s="74">
        <f t="shared" si="412"/>
        <v>0</v>
      </c>
      <c r="JQ22" s="74">
        <f t="shared" si="412"/>
        <v>0</v>
      </c>
      <c r="JR22" s="74">
        <f t="shared" si="412"/>
        <v>0</v>
      </c>
      <c r="JS22" s="74">
        <f t="shared" si="412"/>
        <v>457290.35</v>
      </c>
      <c r="JT22" s="382">
        <f t="shared" si="412"/>
        <v>457290.35</v>
      </c>
      <c r="JU22" s="671"/>
      <c r="JV22" s="492"/>
      <c r="JW22" s="490"/>
      <c r="JX22" s="549">
        <f>SUM(JX252,JX586,JX638)</f>
        <v>0</v>
      </c>
      <c r="JY22" s="549">
        <f>SUM(JY252,JY586,JY638)</f>
        <v>5038254</v>
      </c>
      <c r="JZ22" s="581">
        <f t="shared" si="42"/>
        <v>0</v>
      </c>
      <c r="KA22" s="581">
        <f t="shared" si="43"/>
        <v>-182266</v>
      </c>
      <c r="KB22" s="549">
        <f>SUM(KB252,KB586,KB638)</f>
        <v>4855988</v>
      </c>
      <c r="KC22" s="709">
        <f t="shared" si="41"/>
        <v>0</v>
      </c>
      <c r="KD22" s="126" t="s">
        <v>67</v>
      </c>
      <c r="KE22" s="127" t="s">
        <v>531</v>
      </c>
      <c r="KF22" s="127">
        <f>C259+C592+C645</f>
        <v>6220200</v>
      </c>
      <c r="KG22" s="127">
        <f>GR259+GR592+GR645</f>
        <v>6220200</v>
      </c>
      <c r="KH22" s="127">
        <f>GS259+GS592+GS645</f>
        <v>5665750</v>
      </c>
      <c r="KI22" s="127" t="e">
        <f>#REF!+#REF!+#REF!+GQ259+GQ592+GQ645</f>
        <v>#REF!</v>
      </c>
      <c r="KJ22" s="127">
        <f>GR259+GR592+GR645</f>
        <v>6220200</v>
      </c>
      <c r="KK22" s="127">
        <f>HG259+HG592+HG645</f>
        <v>5665750</v>
      </c>
    </row>
    <row r="23" spans="1:297" s="8" customFormat="1">
      <c r="A23" s="75" t="s">
        <v>61</v>
      </c>
      <c r="B23" s="72" t="s">
        <v>62</v>
      </c>
      <c r="C23" s="74">
        <f t="shared" ref="C23:AS23" si="413">SUM(C253,C587,C639,C614)+C656</f>
        <v>818100</v>
      </c>
      <c r="D23" s="74">
        <f t="shared" si="413"/>
        <v>0</v>
      </c>
      <c r="E23" s="74">
        <f t="shared" si="413"/>
        <v>0</v>
      </c>
      <c r="F23" s="74">
        <f t="shared" si="413"/>
        <v>0</v>
      </c>
      <c r="G23" s="74">
        <f t="shared" si="413"/>
        <v>0</v>
      </c>
      <c r="H23" s="74">
        <f t="shared" si="413"/>
        <v>0</v>
      </c>
      <c r="I23" s="74">
        <f t="shared" si="413"/>
        <v>0</v>
      </c>
      <c r="J23" s="74">
        <f t="shared" si="413"/>
        <v>0</v>
      </c>
      <c r="K23" s="74">
        <f t="shared" si="413"/>
        <v>0</v>
      </c>
      <c r="L23" s="74">
        <f t="shared" si="413"/>
        <v>0</v>
      </c>
      <c r="M23" s="74">
        <f t="shared" si="413"/>
        <v>0</v>
      </c>
      <c r="N23" s="74">
        <f t="shared" si="413"/>
        <v>0</v>
      </c>
      <c r="O23" s="74">
        <f t="shared" si="413"/>
        <v>0</v>
      </c>
      <c r="P23" s="74">
        <f t="shared" si="413"/>
        <v>0</v>
      </c>
      <c r="Q23" s="74">
        <f t="shared" si="413"/>
        <v>0</v>
      </c>
      <c r="R23" s="74">
        <f t="shared" si="413"/>
        <v>25212</v>
      </c>
      <c r="S23" s="74">
        <f t="shared" si="413"/>
        <v>0</v>
      </c>
      <c r="T23" s="74">
        <f t="shared" si="413"/>
        <v>0</v>
      </c>
      <c r="U23" s="74">
        <f t="shared" si="413"/>
        <v>0</v>
      </c>
      <c r="V23" s="74">
        <f t="shared" si="413"/>
        <v>0</v>
      </c>
      <c r="W23" s="74">
        <f t="shared" si="413"/>
        <v>0</v>
      </c>
      <c r="X23" s="74">
        <f t="shared" si="413"/>
        <v>0</v>
      </c>
      <c r="Y23" s="74">
        <f t="shared" si="413"/>
        <v>0</v>
      </c>
      <c r="Z23" s="74">
        <f t="shared" si="413"/>
        <v>0</v>
      </c>
      <c r="AA23" s="74">
        <f t="shared" si="413"/>
        <v>0</v>
      </c>
      <c r="AB23" s="74">
        <f t="shared" si="413"/>
        <v>0</v>
      </c>
      <c r="AC23" s="74">
        <f t="shared" si="413"/>
        <v>0</v>
      </c>
      <c r="AD23" s="74">
        <f t="shared" si="413"/>
        <v>0</v>
      </c>
      <c r="AE23" s="74">
        <f t="shared" si="413"/>
        <v>0</v>
      </c>
      <c r="AF23" s="74">
        <f t="shared" si="413"/>
        <v>0</v>
      </c>
      <c r="AG23" s="74">
        <f t="shared" si="413"/>
        <v>0</v>
      </c>
      <c r="AH23" s="74">
        <f t="shared" si="413"/>
        <v>0</v>
      </c>
      <c r="AI23" s="74">
        <f t="shared" si="413"/>
        <v>0</v>
      </c>
      <c r="AJ23" s="74">
        <f t="shared" si="413"/>
        <v>0</v>
      </c>
      <c r="AK23" s="74">
        <f t="shared" si="413"/>
        <v>-39256</v>
      </c>
      <c r="AL23" s="74">
        <f t="shared" si="413"/>
        <v>0</v>
      </c>
      <c r="AM23" s="74">
        <f t="shared" si="413"/>
        <v>0</v>
      </c>
      <c r="AN23" s="74">
        <f t="shared" si="413"/>
        <v>0</v>
      </c>
      <c r="AO23" s="74">
        <f t="shared" si="413"/>
        <v>-3647</v>
      </c>
      <c r="AP23" s="74">
        <f t="shared" si="413"/>
        <v>0</v>
      </c>
      <c r="AQ23" s="74">
        <f t="shared" si="413"/>
        <v>0</v>
      </c>
      <c r="AR23" s="74">
        <f t="shared" si="413"/>
        <v>0</v>
      </c>
      <c r="AS23" s="74">
        <f t="shared" si="413"/>
        <v>0</v>
      </c>
      <c r="AT23" s="74">
        <f t="shared" ref="AT23:AU23" si="414">SUM(AT253,AT587,AT639,AT614)+AT656</f>
        <v>0</v>
      </c>
      <c r="AU23" s="74">
        <f t="shared" si="414"/>
        <v>0</v>
      </c>
      <c r="AV23" s="74">
        <f t="shared" ref="AV23:AW23" si="415">SUM(AV253,AV587,AV639,AV614)+AV656</f>
        <v>0</v>
      </c>
      <c r="AW23" s="74">
        <f t="shared" si="415"/>
        <v>-11829</v>
      </c>
      <c r="AX23" s="74">
        <f t="shared" ref="AX23:AY23" si="416">SUM(AX253,AX587,AX639,AX614)+AX656</f>
        <v>0</v>
      </c>
      <c r="AY23" s="74">
        <f t="shared" si="416"/>
        <v>0</v>
      </c>
      <c r="AZ23" s="74">
        <f t="shared" ref="AZ23:BA23" si="417">SUM(AZ253,AZ587,AZ639,AZ614)+AZ656</f>
        <v>0</v>
      </c>
      <c r="BA23" s="74">
        <f t="shared" si="417"/>
        <v>0</v>
      </c>
      <c r="BB23" s="74">
        <f t="shared" ref="BB23:BC23" si="418">SUM(BB253,BB587,BB639,BB614)+BB656</f>
        <v>0</v>
      </c>
      <c r="BC23" s="74">
        <f t="shared" si="418"/>
        <v>0</v>
      </c>
      <c r="BD23" s="74">
        <f t="shared" ref="BD23:BE23" si="419">SUM(BD253,BD587,BD639,BD614)+BD656</f>
        <v>0</v>
      </c>
      <c r="BE23" s="74">
        <f t="shared" si="419"/>
        <v>0</v>
      </c>
      <c r="BF23" s="74">
        <f t="shared" ref="BF23:BG23" si="420">SUM(BF253,BF587,BF639,BF614)+BF656</f>
        <v>0</v>
      </c>
      <c r="BG23" s="74">
        <f t="shared" si="420"/>
        <v>0</v>
      </c>
      <c r="BH23" s="74">
        <f t="shared" ref="BH23:BI23" si="421">SUM(BH253,BH587,BH639,BH614)+BH656</f>
        <v>0</v>
      </c>
      <c r="BI23" s="74">
        <f t="shared" si="421"/>
        <v>0</v>
      </c>
      <c r="BJ23" s="74">
        <f t="shared" ref="BJ23:BK23" si="422">SUM(BJ253,BJ587,BJ639,BJ614)+BJ656</f>
        <v>0</v>
      </c>
      <c r="BK23" s="74">
        <f t="shared" si="422"/>
        <v>0</v>
      </c>
      <c r="BL23" s="74">
        <f t="shared" ref="BL23:BS23" si="423">SUM(BL253,BL587,BL639,BL614)+BL656</f>
        <v>0</v>
      </c>
      <c r="BM23" s="74">
        <f t="shared" si="423"/>
        <v>0</v>
      </c>
      <c r="BN23" s="74">
        <f t="shared" si="423"/>
        <v>0</v>
      </c>
      <c r="BO23" s="74">
        <f t="shared" si="423"/>
        <v>0</v>
      </c>
      <c r="BP23" s="74">
        <f t="shared" si="423"/>
        <v>0</v>
      </c>
      <c r="BQ23" s="74">
        <f t="shared" si="423"/>
        <v>0</v>
      </c>
      <c r="BR23" s="74">
        <f t="shared" si="423"/>
        <v>0</v>
      </c>
      <c r="BS23" s="74">
        <f t="shared" si="423"/>
        <v>0</v>
      </c>
      <c r="BT23" s="74">
        <f t="shared" ref="BT23:BU23" si="424">SUM(BT253,BT587,BT639,BT614)+BT656</f>
        <v>0</v>
      </c>
      <c r="BU23" s="74">
        <f t="shared" si="424"/>
        <v>0</v>
      </c>
      <c r="BV23" s="74">
        <f t="shared" ref="BV23:BW23" si="425">SUM(BV253,BV587,BV639,BV614)+BV656</f>
        <v>0</v>
      </c>
      <c r="BW23" s="74">
        <f t="shared" si="425"/>
        <v>0</v>
      </c>
      <c r="BX23" s="74">
        <f t="shared" ref="BX23:BY23" si="426">SUM(BX253,BX587,BX639,BX614)+BX656</f>
        <v>0</v>
      </c>
      <c r="BY23" s="74">
        <f t="shared" si="426"/>
        <v>0</v>
      </c>
      <c r="BZ23" s="74">
        <f t="shared" ref="BZ23:CA23" si="427">SUM(BZ253,BZ587,BZ639,BZ614)+BZ656</f>
        <v>0</v>
      </c>
      <c r="CA23" s="74">
        <f t="shared" si="427"/>
        <v>0</v>
      </c>
      <c r="CB23" s="74">
        <f t="shared" ref="CB23:EC23" si="428">SUM(CB253,CB587,CB639,CB614)+CB656</f>
        <v>0</v>
      </c>
      <c r="CC23" s="74">
        <f t="shared" si="428"/>
        <v>0</v>
      </c>
      <c r="CD23" s="74">
        <f t="shared" si="428"/>
        <v>0</v>
      </c>
      <c r="CE23" s="74">
        <f t="shared" si="428"/>
        <v>0</v>
      </c>
      <c r="CF23" s="74">
        <f t="shared" si="428"/>
        <v>0</v>
      </c>
      <c r="CG23" s="74">
        <f t="shared" si="428"/>
        <v>0</v>
      </c>
      <c r="CH23" s="74">
        <f t="shared" si="428"/>
        <v>0</v>
      </c>
      <c r="CI23" s="74">
        <f t="shared" si="428"/>
        <v>0</v>
      </c>
      <c r="CJ23" s="74">
        <f t="shared" si="428"/>
        <v>0</v>
      </c>
      <c r="CK23" s="74">
        <f t="shared" si="428"/>
        <v>0</v>
      </c>
      <c r="CL23" s="74">
        <f t="shared" si="428"/>
        <v>0</v>
      </c>
      <c r="CM23" s="74">
        <f t="shared" si="428"/>
        <v>0</v>
      </c>
      <c r="CN23" s="74">
        <f t="shared" si="428"/>
        <v>6366</v>
      </c>
      <c r="CO23" s="74">
        <f t="shared" si="428"/>
        <v>0</v>
      </c>
      <c r="CP23" s="74">
        <f t="shared" si="428"/>
        <v>0</v>
      </c>
      <c r="CQ23" s="74">
        <f t="shared" si="428"/>
        <v>0</v>
      </c>
      <c r="CR23" s="74">
        <f t="shared" si="428"/>
        <v>0</v>
      </c>
      <c r="CS23" s="74">
        <f t="shared" si="428"/>
        <v>0</v>
      </c>
      <c r="CT23" s="74">
        <f t="shared" si="428"/>
        <v>0</v>
      </c>
      <c r="CU23" s="74">
        <f t="shared" si="428"/>
        <v>0</v>
      </c>
      <c r="CV23" s="74">
        <f t="shared" si="428"/>
        <v>4500</v>
      </c>
      <c r="CW23" s="74">
        <f t="shared" si="428"/>
        <v>0</v>
      </c>
      <c r="CX23" s="74">
        <f t="shared" si="428"/>
        <v>0</v>
      </c>
      <c r="CY23" s="74">
        <f t="shared" si="428"/>
        <v>0</v>
      </c>
      <c r="CZ23" s="74">
        <f t="shared" si="428"/>
        <v>0</v>
      </c>
      <c r="DA23" s="74">
        <f t="shared" si="428"/>
        <v>0</v>
      </c>
      <c r="DB23" s="74">
        <f t="shared" si="428"/>
        <v>0</v>
      </c>
      <c r="DC23" s="74">
        <f t="shared" si="428"/>
        <v>0</v>
      </c>
      <c r="DD23" s="74">
        <f t="shared" si="428"/>
        <v>0</v>
      </c>
      <c r="DE23" s="74">
        <f t="shared" si="428"/>
        <v>0</v>
      </c>
      <c r="DF23" s="74">
        <f t="shared" si="428"/>
        <v>0</v>
      </c>
      <c r="DG23" s="74">
        <f t="shared" si="428"/>
        <v>0</v>
      </c>
      <c r="DH23" s="74">
        <f t="shared" si="428"/>
        <v>0</v>
      </c>
      <c r="DI23" s="74">
        <f t="shared" si="428"/>
        <v>0</v>
      </c>
      <c r="DJ23" s="74">
        <f t="shared" si="428"/>
        <v>0</v>
      </c>
      <c r="DK23" s="74">
        <f t="shared" si="428"/>
        <v>0</v>
      </c>
      <c r="DL23" s="74">
        <f t="shared" si="428"/>
        <v>0</v>
      </c>
      <c r="DM23" s="74">
        <f t="shared" si="428"/>
        <v>0</v>
      </c>
      <c r="DN23" s="74">
        <f t="shared" si="428"/>
        <v>0</v>
      </c>
      <c r="DO23" s="74">
        <f t="shared" si="428"/>
        <v>0</v>
      </c>
      <c r="DP23" s="74">
        <f t="shared" si="428"/>
        <v>54600</v>
      </c>
      <c r="DQ23" s="74">
        <f t="shared" si="428"/>
        <v>0</v>
      </c>
      <c r="DR23" s="74">
        <f t="shared" si="428"/>
        <v>0</v>
      </c>
      <c r="DS23" s="74">
        <f t="shared" si="428"/>
        <v>0</v>
      </c>
      <c r="DT23" s="74">
        <f t="shared" si="428"/>
        <v>0</v>
      </c>
      <c r="DU23" s="74">
        <f t="shared" si="428"/>
        <v>0</v>
      </c>
      <c r="DV23" s="74">
        <f t="shared" si="428"/>
        <v>0</v>
      </c>
      <c r="DW23" s="74">
        <f t="shared" si="428"/>
        <v>0</v>
      </c>
      <c r="DX23" s="74">
        <f t="shared" si="428"/>
        <v>0</v>
      </c>
      <c r="DY23" s="74">
        <f t="shared" si="428"/>
        <v>0</v>
      </c>
      <c r="DZ23" s="74">
        <f t="shared" si="428"/>
        <v>0</v>
      </c>
      <c r="EA23" s="74">
        <f t="shared" si="428"/>
        <v>0</v>
      </c>
      <c r="EB23" s="74">
        <f t="shared" si="428"/>
        <v>0</v>
      </c>
      <c r="EC23" s="74">
        <f t="shared" si="428"/>
        <v>0</v>
      </c>
      <c r="ED23" s="74">
        <f t="shared" ref="ED23:EE23" si="429">SUM(ED253,ED587,ED639,ED614)+ED656</f>
        <v>0</v>
      </c>
      <c r="EE23" s="74">
        <f t="shared" si="429"/>
        <v>0</v>
      </c>
      <c r="EF23" s="74">
        <f t="shared" ref="EF23:HV23" si="430">SUM(EF253,EF587,EF639,EF614)+EF656</f>
        <v>0</v>
      </c>
      <c r="EG23" s="74">
        <f t="shared" si="430"/>
        <v>-6419</v>
      </c>
      <c r="EH23" s="74">
        <f t="shared" si="430"/>
        <v>0</v>
      </c>
      <c r="EI23" s="74">
        <f t="shared" si="430"/>
        <v>0</v>
      </c>
      <c r="EJ23" s="74">
        <f t="shared" si="430"/>
        <v>0</v>
      </c>
      <c r="EK23" s="74">
        <f t="shared" si="430"/>
        <v>0</v>
      </c>
      <c r="EL23" s="74">
        <f t="shared" si="430"/>
        <v>0</v>
      </c>
      <c r="EM23" s="74">
        <f t="shared" si="430"/>
        <v>0</v>
      </c>
      <c r="EN23" s="74">
        <f t="shared" si="430"/>
        <v>0</v>
      </c>
      <c r="EO23" s="74">
        <f t="shared" si="430"/>
        <v>0</v>
      </c>
      <c r="EP23" s="74">
        <f t="shared" si="430"/>
        <v>0</v>
      </c>
      <c r="EQ23" s="74">
        <f t="shared" si="430"/>
        <v>0</v>
      </c>
      <c r="ER23" s="74">
        <f t="shared" si="430"/>
        <v>0</v>
      </c>
      <c r="ES23" s="74">
        <f t="shared" si="430"/>
        <v>0</v>
      </c>
      <c r="ET23" s="74">
        <f t="shared" si="430"/>
        <v>0</v>
      </c>
      <c r="EU23" s="74">
        <f t="shared" si="430"/>
        <v>0</v>
      </c>
      <c r="EV23" s="74">
        <f t="shared" si="430"/>
        <v>0</v>
      </c>
      <c r="EW23" s="74">
        <f t="shared" si="430"/>
        <v>0</v>
      </c>
      <c r="EX23" s="74">
        <f t="shared" si="430"/>
        <v>0</v>
      </c>
      <c r="EY23" s="74">
        <f t="shared" si="430"/>
        <v>0</v>
      </c>
      <c r="EZ23" s="74">
        <f t="shared" si="430"/>
        <v>0</v>
      </c>
      <c r="FA23" s="74">
        <f t="shared" si="430"/>
        <v>0</v>
      </c>
      <c r="FB23" s="74">
        <f t="shared" si="430"/>
        <v>0</v>
      </c>
      <c r="FC23" s="74">
        <f t="shared" si="430"/>
        <v>0</v>
      </c>
      <c r="FD23" s="74">
        <f t="shared" si="430"/>
        <v>0</v>
      </c>
      <c r="FE23" s="74">
        <f t="shared" si="430"/>
        <v>0</v>
      </c>
      <c r="FF23" s="74">
        <f t="shared" si="430"/>
        <v>0</v>
      </c>
      <c r="FG23" s="74">
        <f t="shared" si="430"/>
        <v>0</v>
      </c>
      <c r="FH23" s="74">
        <f t="shared" si="430"/>
        <v>0</v>
      </c>
      <c r="FI23" s="74">
        <f t="shared" si="430"/>
        <v>0</v>
      </c>
      <c r="FJ23" s="74">
        <f t="shared" si="430"/>
        <v>0</v>
      </c>
      <c r="FK23" s="74">
        <f t="shared" si="430"/>
        <v>0</v>
      </c>
      <c r="FL23" s="74">
        <f t="shared" ref="FL23:FM23" si="431">SUM(FL253,FL587,FL639,FL614)+FL656</f>
        <v>0</v>
      </c>
      <c r="FM23" s="74">
        <f t="shared" si="431"/>
        <v>0</v>
      </c>
      <c r="FN23" s="74">
        <f t="shared" ref="FN23:FO23" si="432">SUM(FN253,FN587,FN639,FN614)+FN656</f>
        <v>0</v>
      </c>
      <c r="FO23" s="74">
        <f t="shared" si="432"/>
        <v>0</v>
      </c>
      <c r="FP23" s="74">
        <f t="shared" ref="FP23:FQ23" si="433">SUM(FP253,FP587,FP639,FP614)+FP656</f>
        <v>0</v>
      </c>
      <c r="FQ23" s="74">
        <f t="shared" si="433"/>
        <v>0</v>
      </c>
      <c r="FR23" s="74">
        <f t="shared" ref="FR23:FS23" si="434">SUM(FR253,FR587,FR639,FR614)+FR656</f>
        <v>0</v>
      </c>
      <c r="FS23" s="74">
        <f t="shared" si="434"/>
        <v>0</v>
      </c>
      <c r="FT23" s="74">
        <f t="shared" ref="FT23:FU23" si="435">SUM(FT253,FT587,FT639,FT614)+FT656</f>
        <v>0</v>
      </c>
      <c r="FU23" s="74">
        <f t="shared" si="435"/>
        <v>0</v>
      </c>
      <c r="FV23" s="74">
        <f t="shared" ref="FV23:GK23" si="436">SUM(FV253,FV587,FV639,FV614)+FV656</f>
        <v>0</v>
      </c>
      <c r="FW23" s="74">
        <f t="shared" si="436"/>
        <v>0</v>
      </c>
      <c r="FX23" s="74">
        <f t="shared" si="436"/>
        <v>0</v>
      </c>
      <c r="FY23" s="74">
        <f t="shared" si="436"/>
        <v>0</v>
      </c>
      <c r="FZ23" s="74">
        <f t="shared" ref="FZ23:GI23" si="437">SUM(FZ253,FZ587,FZ639,FZ614)+FZ656</f>
        <v>0</v>
      </c>
      <c r="GA23" s="74">
        <f t="shared" si="437"/>
        <v>0</v>
      </c>
      <c r="GB23" s="74">
        <f t="shared" si="437"/>
        <v>0</v>
      </c>
      <c r="GC23" s="74">
        <f t="shared" si="437"/>
        <v>0</v>
      </c>
      <c r="GD23" s="74">
        <f t="shared" si="437"/>
        <v>0</v>
      </c>
      <c r="GE23" s="74">
        <f t="shared" si="437"/>
        <v>0</v>
      </c>
      <c r="GF23" s="74">
        <f t="shared" si="437"/>
        <v>0</v>
      </c>
      <c r="GG23" s="74">
        <f t="shared" si="437"/>
        <v>0</v>
      </c>
      <c r="GH23" s="74">
        <f t="shared" si="437"/>
        <v>0</v>
      </c>
      <c r="GI23" s="74">
        <f t="shared" si="437"/>
        <v>0</v>
      </c>
      <c r="GJ23" s="74">
        <f t="shared" si="436"/>
        <v>0</v>
      </c>
      <c r="GK23" s="74">
        <f t="shared" si="436"/>
        <v>0</v>
      </c>
      <c r="GL23" s="74">
        <f t="shared" ref="GL23:GM23" si="438">SUM(GL253,GL587,GL639,GL614)+GL656</f>
        <v>0</v>
      </c>
      <c r="GM23" s="74">
        <f t="shared" si="438"/>
        <v>0</v>
      </c>
      <c r="GN23" s="74">
        <f t="shared" ref="GN23:GO23" si="439">SUM(GN253,GN587,GN639,GN614)+GN656</f>
        <v>0</v>
      </c>
      <c r="GO23" s="74">
        <f t="shared" si="439"/>
        <v>0</v>
      </c>
      <c r="GP23" s="74">
        <f t="shared" si="430"/>
        <v>90678</v>
      </c>
      <c r="GQ23" s="675">
        <f t="shared" si="430"/>
        <v>-61151</v>
      </c>
      <c r="GR23" s="74">
        <f>SUM(GR253,GR587,GR639,GR614)+GR656</f>
        <v>847627</v>
      </c>
      <c r="GS23" s="74">
        <f t="shared" si="430"/>
        <v>773909</v>
      </c>
      <c r="GT23" s="74">
        <f t="shared" si="430"/>
        <v>847627</v>
      </c>
      <c r="GU23" s="74">
        <f>SUM(GU253,GU587,GU639,GU614)+GU656</f>
        <v>74380</v>
      </c>
      <c r="GV23" s="74">
        <f t="shared" si="430"/>
        <v>74372</v>
      </c>
      <c r="GW23" s="74">
        <f t="shared" si="430"/>
        <v>79609</v>
      </c>
      <c r="GX23" s="74">
        <f t="shared" si="430"/>
        <v>73717</v>
      </c>
      <c r="GY23" s="74">
        <f t="shared" si="430"/>
        <v>73717</v>
      </c>
      <c r="GZ23" s="74">
        <f t="shared" si="430"/>
        <v>73717</v>
      </c>
      <c r="HA23" s="74">
        <f t="shared" si="430"/>
        <v>73717</v>
      </c>
      <c r="HB23" s="74">
        <f t="shared" si="430"/>
        <v>73717</v>
      </c>
      <c r="HC23" s="74">
        <f t="shared" si="430"/>
        <v>73718</v>
      </c>
      <c r="HD23" s="74">
        <f t="shared" si="430"/>
        <v>73718</v>
      </c>
      <c r="HE23" s="74">
        <f t="shared" si="430"/>
        <v>73718</v>
      </c>
      <c r="HF23" s="74">
        <f t="shared" si="430"/>
        <v>0</v>
      </c>
      <c r="HG23" s="74">
        <f t="shared" si="430"/>
        <v>787327</v>
      </c>
      <c r="HH23" s="74">
        <f t="shared" si="430"/>
        <v>13420</v>
      </c>
      <c r="HI23" s="74">
        <f t="shared" si="430"/>
        <v>0</v>
      </c>
      <c r="HJ23" s="74">
        <f t="shared" si="430"/>
        <v>13008.890000000001</v>
      </c>
      <c r="HK23" s="74">
        <f t="shared" si="430"/>
        <v>121914</v>
      </c>
      <c r="HL23" s="74">
        <f t="shared" si="430"/>
        <v>9617</v>
      </c>
      <c r="HM23" s="74">
        <f t="shared" si="430"/>
        <v>66191</v>
      </c>
      <c r="HN23" s="74">
        <f t="shared" si="430"/>
        <v>27245.11</v>
      </c>
      <c r="HO23" s="74">
        <f t="shared" si="430"/>
        <v>60299</v>
      </c>
      <c r="HP23" s="74">
        <f t="shared" si="430"/>
        <v>22992.47</v>
      </c>
      <c r="HQ23" s="74">
        <f t="shared" si="430"/>
        <v>60299</v>
      </c>
      <c r="HR23" s="74">
        <f t="shared" si="430"/>
        <v>43636</v>
      </c>
      <c r="HS23" s="74">
        <f t="shared" si="430"/>
        <v>60299</v>
      </c>
      <c r="HT23" s="74">
        <f t="shared" si="430"/>
        <v>43636</v>
      </c>
      <c r="HU23" s="74">
        <f t="shared" si="430"/>
        <v>60299</v>
      </c>
      <c r="HV23" s="74">
        <f t="shared" si="430"/>
        <v>-25955.47</v>
      </c>
      <c r="HW23" s="74">
        <f t="shared" ref="HW23:JT23" si="440">SUM(HW253,HW587,HW639,HW614)+HW656</f>
        <v>84599</v>
      </c>
      <c r="HX23" s="74">
        <f t="shared" si="440"/>
        <v>54600</v>
      </c>
      <c r="HY23" s="74">
        <f t="shared" si="440"/>
        <v>36000</v>
      </c>
      <c r="HZ23" s="74">
        <f t="shared" si="440"/>
        <v>0</v>
      </c>
      <c r="IA23" s="74">
        <f t="shared" si="440"/>
        <v>60300</v>
      </c>
      <c r="IB23" s="74">
        <f t="shared" si="440"/>
        <v>0</v>
      </c>
      <c r="IC23" s="74">
        <f t="shared" si="440"/>
        <v>0</v>
      </c>
      <c r="ID23" s="74">
        <f t="shared" si="440"/>
        <v>0</v>
      </c>
      <c r="IE23" s="792">
        <f t="shared" si="440"/>
        <v>0</v>
      </c>
      <c r="IF23" s="853">
        <f t="shared" si="440"/>
        <v>641753.80000000005</v>
      </c>
      <c r="IG23" s="74">
        <f t="shared" si="440"/>
        <v>641753.80000000005</v>
      </c>
      <c r="IH23" s="575">
        <f t="shared" si="440"/>
        <v>641753.80000000005</v>
      </c>
      <c r="II23" s="155">
        <f t="shared" si="440"/>
        <v>47659.11</v>
      </c>
      <c r="IJ23" s="74">
        <f t="shared" si="440"/>
        <v>47659.11</v>
      </c>
      <c r="IK23" s="74">
        <f t="shared" si="440"/>
        <v>47659.11</v>
      </c>
      <c r="IL23" s="74">
        <f t="shared" si="440"/>
        <v>49394.58</v>
      </c>
      <c r="IM23" s="74">
        <f t="shared" si="440"/>
        <v>49394.58</v>
      </c>
      <c r="IN23" s="74">
        <f t="shared" si="440"/>
        <v>49394.58</v>
      </c>
      <c r="IO23" s="74">
        <f t="shared" si="440"/>
        <v>24724.270000000004</v>
      </c>
      <c r="IP23" s="74">
        <f t="shared" si="440"/>
        <v>24724.270000000004</v>
      </c>
      <c r="IQ23" s="74">
        <f t="shared" si="440"/>
        <v>24724.270000000004</v>
      </c>
      <c r="IR23" s="74">
        <f t="shared" si="440"/>
        <v>125433.22999999998</v>
      </c>
      <c r="IS23" s="74">
        <f t="shared" si="440"/>
        <v>125433.22999999998</v>
      </c>
      <c r="IT23" s="74">
        <f t="shared" si="440"/>
        <v>125433.22999999998</v>
      </c>
      <c r="IU23" s="74">
        <f t="shared" si="440"/>
        <v>52801</v>
      </c>
      <c r="IV23" s="74">
        <f t="shared" si="440"/>
        <v>52801</v>
      </c>
      <c r="IW23" s="74">
        <f t="shared" si="440"/>
        <v>52801</v>
      </c>
      <c r="IX23" s="74">
        <f t="shared" si="440"/>
        <v>41189.170000000013</v>
      </c>
      <c r="IY23" s="74">
        <f t="shared" si="440"/>
        <v>41189.170000000013</v>
      </c>
      <c r="IZ23" s="74">
        <f t="shared" si="440"/>
        <v>41189.170000000013</v>
      </c>
      <c r="JA23" s="74">
        <f t="shared" si="440"/>
        <v>79090.499999999985</v>
      </c>
      <c r="JB23" s="74">
        <f t="shared" si="440"/>
        <v>79090.499999999985</v>
      </c>
      <c r="JC23" s="74">
        <f t="shared" si="440"/>
        <v>79090.499999999985</v>
      </c>
      <c r="JD23" s="74">
        <f t="shared" si="440"/>
        <v>56179.620000000024</v>
      </c>
      <c r="JE23" s="74">
        <f t="shared" si="440"/>
        <v>56179.620000000024</v>
      </c>
      <c r="JF23" s="74">
        <f t="shared" si="440"/>
        <v>56179.620000000024</v>
      </c>
      <c r="JG23" s="74">
        <f t="shared" si="440"/>
        <v>98465.319999999992</v>
      </c>
      <c r="JH23" s="74">
        <f t="shared" si="440"/>
        <v>98465.319999999992</v>
      </c>
      <c r="JI23" s="74">
        <f t="shared" si="440"/>
        <v>98465.319999999992</v>
      </c>
      <c r="JJ23" s="74">
        <f t="shared" si="440"/>
        <v>66817.000000000015</v>
      </c>
      <c r="JK23" s="74">
        <f t="shared" si="440"/>
        <v>66817.000000000015</v>
      </c>
      <c r="JL23" s="74">
        <f t="shared" si="440"/>
        <v>66817.000000000015</v>
      </c>
      <c r="JM23" s="74">
        <f t="shared" si="440"/>
        <v>0</v>
      </c>
      <c r="JN23" s="74">
        <f t="shared" si="440"/>
        <v>0</v>
      </c>
      <c r="JO23" s="74">
        <f t="shared" si="440"/>
        <v>0</v>
      </c>
      <c r="JP23" s="74">
        <f t="shared" si="440"/>
        <v>0</v>
      </c>
      <c r="JQ23" s="74">
        <f t="shared" si="440"/>
        <v>0</v>
      </c>
      <c r="JR23" s="74">
        <f t="shared" si="440"/>
        <v>0</v>
      </c>
      <c r="JS23" s="74">
        <f t="shared" si="440"/>
        <v>145573.19999999998</v>
      </c>
      <c r="JT23" s="74">
        <f t="shared" si="440"/>
        <v>132155.19999999998</v>
      </c>
      <c r="JU23" s="671"/>
      <c r="JV23" s="492"/>
      <c r="JW23" s="490"/>
      <c r="JX23" s="549">
        <f>SUM(JX253,JX587,JX639,JX614, JX656)</f>
        <v>202200</v>
      </c>
      <c r="JY23" s="549">
        <f>SUM(JY253,JY587,JY639,JY614, JY656)</f>
        <v>610200</v>
      </c>
      <c r="JZ23" s="581">
        <f t="shared" si="42"/>
        <v>90678</v>
      </c>
      <c r="KA23" s="581">
        <f t="shared" si="43"/>
        <v>-61151</v>
      </c>
      <c r="KB23" s="549">
        <f>SUM(KB253,KB587,KB639,KB614, KB656)</f>
        <v>787327</v>
      </c>
      <c r="KC23" s="709">
        <f t="shared" si="41"/>
        <v>0</v>
      </c>
      <c r="KD23" s="126" t="s">
        <v>77</v>
      </c>
      <c r="KE23" s="127" t="s">
        <v>532</v>
      </c>
      <c r="KF23" s="127">
        <f>C598+C265</f>
        <v>200000</v>
      </c>
      <c r="KG23" s="127">
        <f>GR598</f>
        <v>1016156</v>
      </c>
      <c r="KH23" s="127">
        <f>GS598</f>
        <v>1016156</v>
      </c>
      <c r="KI23" s="127" t="e">
        <f>#REF!+GQ598+#REF!+GQ265</f>
        <v>#REF!</v>
      </c>
      <c r="KJ23" s="127">
        <f>GR598+GR265</f>
        <v>1287700</v>
      </c>
      <c r="KK23" s="127">
        <f>HG598+HG265</f>
        <v>1287700</v>
      </c>
    </row>
    <row r="24" spans="1:297" s="8" customFormat="1">
      <c r="A24" s="262" t="s">
        <v>1090</v>
      </c>
      <c r="B24" s="72"/>
      <c r="C24" s="74">
        <f t="shared" ref="C24:AS24" si="441">C588</f>
        <v>85200</v>
      </c>
      <c r="D24" s="549">
        <f t="shared" si="441"/>
        <v>0</v>
      </c>
      <c r="E24" s="675">
        <f t="shared" si="441"/>
        <v>0</v>
      </c>
      <c r="F24" s="549">
        <f t="shared" si="441"/>
        <v>0</v>
      </c>
      <c r="G24" s="675">
        <f t="shared" si="441"/>
        <v>0</v>
      </c>
      <c r="H24" s="549">
        <f t="shared" si="441"/>
        <v>0</v>
      </c>
      <c r="I24" s="675">
        <f t="shared" si="441"/>
        <v>0</v>
      </c>
      <c r="J24" s="549">
        <f t="shared" si="441"/>
        <v>0</v>
      </c>
      <c r="K24" s="675">
        <f t="shared" si="441"/>
        <v>0</v>
      </c>
      <c r="L24" s="549">
        <f t="shared" si="441"/>
        <v>0</v>
      </c>
      <c r="M24" s="675">
        <f t="shared" si="441"/>
        <v>0</v>
      </c>
      <c r="N24" s="549">
        <f t="shared" si="441"/>
        <v>0</v>
      </c>
      <c r="O24" s="675">
        <f t="shared" si="441"/>
        <v>0</v>
      </c>
      <c r="P24" s="549">
        <f t="shared" si="441"/>
        <v>0</v>
      </c>
      <c r="Q24" s="675">
        <f t="shared" si="441"/>
        <v>0</v>
      </c>
      <c r="R24" s="549">
        <f t="shared" si="441"/>
        <v>0</v>
      </c>
      <c r="S24" s="675">
        <f t="shared" si="441"/>
        <v>0</v>
      </c>
      <c r="T24" s="549">
        <f t="shared" si="441"/>
        <v>0</v>
      </c>
      <c r="U24" s="675">
        <f t="shared" si="441"/>
        <v>0</v>
      </c>
      <c r="V24" s="549">
        <f t="shared" si="441"/>
        <v>0</v>
      </c>
      <c r="W24" s="675">
        <f t="shared" si="441"/>
        <v>0</v>
      </c>
      <c r="X24" s="549">
        <f t="shared" si="441"/>
        <v>0</v>
      </c>
      <c r="Y24" s="675">
        <f t="shared" si="441"/>
        <v>0</v>
      </c>
      <c r="Z24" s="549">
        <f t="shared" si="441"/>
        <v>0</v>
      </c>
      <c r="AA24" s="675">
        <f t="shared" si="441"/>
        <v>0</v>
      </c>
      <c r="AB24" s="549">
        <f t="shared" si="441"/>
        <v>0</v>
      </c>
      <c r="AC24" s="675">
        <f t="shared" si="441"/>
        <v>0</v>
      </c>
      <c r="AD24" s="549">
        <f t="shared" si="441"/>
        <v>0</v>
      </c>
      <c r="AE24" s="675">
        <f t="shared" si="441"/>
        <v>0</v>
      </c>
      <c r="AF24" s="549">
        <f t="shared" si="441"/>
        <v>0</v>
      </c>
      <c r="AG24" s="675">
        <f t="shared" si="441"/>
        <v>0</v>
      </c>
      <c r="AH24" s="549">
        <f t="shared" si="441"/>
        <v>0</v>
      </c>
      <c r="AI24" s="675">
        <f t="shared" si="441"/>
        <v>0</v>
      </c>
      <c r="AJ24" s="549">
        <f t="shared" si="441"/>
        <v>0</v>
      </c>
      <c r="AK24" s="675">
        <f t="shared" si="441"/>
        <v>0</v>
      </c>
      <c r="AL24" s="549">
        <f t="shared" si="441"/>
        <v>5400</v>
      </c>
      <c r="AM24" s="675">
        <f t="shared" si="441"/>
        <v>0</v>
      </c>
      <c r="AN24" s="549">
        <f t="shared" si="441"/>
        <v>0</v>
      </c>
      <c r="AO24" s="675">
        <f t="shared" si="441"/>
        <v>0</v>
      </c>
      <c r="AP24" s="549">
        <f t="shared" si="441"/>
        <v>0</v>
      </c>
      <c r="AQ24" s="675">
        <f t="shared" si="441"/>
        <v>0</v>
      </c>
      <c r="AR24" s="549">
        <f t="shared" si="441"/>
        <v>0</v>
      </c>
      <c r="AS24" s="675">
        <f t="shared" si="441"/>
        <v>0</v>
      </c>
      <c r="AT24" s="549">
        <f t="shared" ref="AT24:AU24" si="442">AT588</f>
        <v>0</v>
      </c>
      <c r="AU24" s="675">
        <f t="shared" si="442"/>
        <v>0</v>
      </c>
      <c r="AV24" s="549">
        <f t="shared" ref="AV24:AW24" si="443">AV588</f>
        <v>0</v>
      </c>
      <c r="AW24" s="675">
        <f t="shared" si="443"/>
        <v>-5400</v>
      </c>
      <c r="AX24" s="549">
        <f t="shared" ref="AX24:AY24" si="444">AX588</f>
        <v>0</v>
      </c>
      <c r="AY24" s="675">
        <f t="shared" si="444"/>
        <v>0</v>
      </c>
      <c r="AZ24" s="549">
        <f t="shared" ref="AZ24:BA24" si="445">AZ588</f>
        <v>0</v>
      </c>
      <c r="BA24" s="675">
        <f t="shared" si="445"/>
        <v>0</v>
      </c>
      <c r="BB24" s="549">
        <f t="shared" ref="BB24:BC24" si="446">BB588</f>
        <v>0</v>
      </c>
      <c r="BC24" s="675">
        <f t="shared" si="446"/>
        <v>0</v>
      </c>
      <c r="BD24" s="549">
        <f t="shared" ref="BD24:BE24" si="447">BD588</f>
        <v>0</v>
      </c>
      <c r="BE24" s="675">
        <f t="shared" si="447"/>
        <v>0</v>
      </c>
      <c r="BF24" s="549">
        <f t="shared" ref="BF24:BG24" si="448">BF588</f>
        <v>0</v>
      </c>
      <c r="BG24" s="675">
        <f t="shared" si="448"/>
        <v>0</v>
      </c>
      <c r="BH24" s="549">
        <f t="shared" ref="BH24:BI24" si="449">BH588</f>
        <v>0</v>
      </c>
      <c r="BI24" s="675">
        <f t="shared" si="449"/>
        <v>0</v>
      </c>
      <c r="BJ24" s="549">
        <f t="shared" ref="BJ24:BK24" si="450">BJ588</f>
        <v>0</v>
      </c>
      <c r="BK24" s="675">
        <f t="shared" si="450"/>
        <v>0</v>
      </c>
      <c r="BL24" s="549">
        <f t="shared" ref="BL24:BS24" si="451">BL588</f>
        <v>0</v>
      </c>
      <c r="BM24" s="675">
        <f t="shared" si="451"/>
        <v>0</v>
      </c>
      <c r="BN24" s="549">
        <f t="shared" si="451"/>
        <v>0</v>
      </c>
      <c r="BO24" s="675">
        <f t="shared" si="451"/>
        <v>0</v>
      </c>
      <c r="BP24" s="549">
        <f t="shared" si="451"/>
        <v>0</v>
      </c>
      <c r="BQ24" s="675">
        <f t="shared" si="451"/>
        <v>0</v>
      </c>
      <c r="BR24" s="549">
        <f t="shared" si="451"/>
        <v>0</v>
      </c>
      <c r="BS24" s="675">
        <f t="shared" si="451"/>
        <v>0</v>
      </c>
      <c r="BT24" s="549">
        <f t="shared" ref="BT24:BU24" si="452">BT588</f>
        <v>0</v>
      </c>
      <c r="BU24" s="675">
        <f t="shared" si="452"/>
        <v>0</v>
      </c>
      <c r="BV24" s="549">
        <f t="shared" ref="BV24:BW24" si="453">BV588</f>
        <v>0</v>
      </c>
      <c r="BW24" s="675">
        <f t="shared" si="453"/>
        <v>0</v>
      </c>
      <c r="BX24" s="549">
        <f t="shared" ref="BX24:BY24" si="454">BX588</f>
        <v>0</v>
      </c>
      <c r="BY24" s="675">
        <f t="shared" si="454"/>
        <v>0</v>
      </c>
      <c r="BZ24" s="549">
        <f t="shared" ref="BZ24:CA24" si="455">BZ588</f>
        <v>0</v>
      </c>
      <c r="CA24" s="675">
        <f t="shared" si="455"/>
        <v>0</v>
      </c>
      <c r="CB24" s="549">
        <f t="shared" ref="CB24:CE24" si="456">CB588</f>
        <v>0</v>
      </c>
      <c r="CC24" s="675">
        <f t="shared" si="456"/>
        <v>0</v>
      </c>
      <c r="CD24" s="549">
        <f t="shared" si="456"/>
        <v>4800</v>
      </c>
      <c r="CE24" s="675">
        <f t="shared" si="456"/>
        <v>0</v>
      </c>
      <c r="CF24" s="549">
        <f t="shared" ref="CF24:CQ24" si="457">CF588</f>
        <v>0</v>
      </c>
      <c r="CG24" s="675">
        <f t="shared" si="457"/>
        <v>0</v>
      </c>
      <c r="CH24" s="549">
        <f t="shared" si="457"/>
        <v>0</v>
      </c>
      <c r="CI24" s="675">
        <f t="shared" si="457"/>
        <v>0</v>
      </c>
      <c r="CJ24" s="549">
        <f t="shared" si="457"/>
        <v>0</v>
      </c>
      <c r="CK24" s="675">
        <f t="shared" si="457"/>
        <v>0</v>
      </c>
      <c r="CL24" s="549">
        <f t="shared" si="457"/>
        <v>0</v>
      </c>
      <c r="CM24" s="675">
        <f t="shared" si="457"/>
        <v>0</v>
      </c>
      <c r="CN24" s="549">
        <f t="shared" si="457"/>
        <v>1200</v>
      </c>
      <c r="CO24" s="675">
        <f t="shared" si="457"/>
        <v>0</v>
      </c>
      <c r="CP24" s="549">
        <f t="shared" si="457"/>
        <v>0</v>
      </c>
      <c r="CQ24" s="675">
        <f t="shared" si="457"/>
        <v>0</v>
      </c>
      <c r="CR24" s="549">
        <f t="shared" ref="CR24:CY24" si="458">CR588</f>
        <v>0</v>
      </c>
      <c r="CS24" s="675">
        <f t="shared" si="458"/>
        <v>0</v>
      </c>
      <c r="CT24" s="549">
        <f t="shared" si="458"/>
        <v>0</v>
      </c>
      <c r="CU24" s="675">
        <f t="shared" si="458"/>
        <v>0</v>
      </c>
      <c r="CV24" s="549">
        <f t="shared" si="458"/>
        <v>0</v>
      </c>
      <c r="CW24" s="675">
        <f t="shared" si="458"/>
        <v>0</v>
      </c>
      <c r="CX24" s="549">
        <f t="shared" si="458"/>
        <v>0</v>
      </c>
      <c r="CY24" s="675">
        <f t="shared" si="458"/>
        <v>0</v>
      </c>
      <c r="CZ24" s="549">
        <f t="shared" ref="CZ24:DM24" si="459">CZ588</f>
        <v>0</v>
      </c>
      <c r="DA24" s="675">
        <f t="shared" si="459"/>
        <v>0</v>
      </c>
      <c r="DB24" s="549">
        <f t="shared" si="459"/>
        <v>0</v>
      </c>
      <c r="DC24" s="675">
        <f t="shared" si="459"/>
        <v>0</v>
      </c>
      <c r="DD24" s="549">
        <f t="shared" si="459"/>
        <v>0</v>
      </c>
      <c r="DE24" s="675">
        <f t="shared" si="459"/>
        <v>0</v>
      </c>
      <c r="DF24" s="549">
        <f t="shared" si="459"/>
        <v>0</v>
      </c>
      <c r="DG24" s="675">
        <f t="shared" si="459"/>
        <v>0</v>
      </c>
      <c r="DH24" s="549">
        <f t="shared" si="459"/>
        <v>0</v>
      </c>
      <c r="DI24" s="675">
        <f t="shared" si="459"/>
        <v>0</v>
      </c>
      <c r="DJ24" s="549">
        <f t="shared" si="459"/>
        <v>0</v>
      </c>
      <c r="DK24" s="675">
        <f t="shared" si="459"/>
        <v>0</v>
      </c>
      <c r="DL24" s="549">
        <f t="shared" si="459"/>
        <v>0</v>
      </c>
      <c r="DM24" s="675">
        <f t="shared" si="459"/>
        <v>0</v>
      </c>
      <c r="DN24" s="549">
        <f t="shared" ref="DN24:DW24" si="460">DN588</f>
        <v>0</v>
      </c>
      <c r="DO24" s="675">
        <f t="shared" si="460"/>
        <v>0</v>
      </c>
      <c r="DP24" s="549">
        <f t="shared" si="460"/>
        <v>0</v>
      </c>
      <c r="DQ24" s="675">
        <f t="shared" si="460"/>
        <v>0</v>
      </c>
      <c r="DR24" s="549">
        <f t="shared" si="460"/>
        <v>0</v>
      </c>
      <c r="DS24" s="675">
        <f t="shared" si="460"/>
        <v>0</v>
      </c>
      <c r="DT24" s="549">
        <f t="shared" si="460"/>
        <v>0</v>
      </c>
      <c r="DU24" s="675">
        <f t="shared" si="460"/>
        <v>0</v>
      </c>
      <c r="DV24" s="549">
        <f t="shared" si="460"/>
        <v>0</v>
      </c>
      <c r="DW24" s="675">
        <f t="shared" si="460"/>
        <v>0</v>
      </c>
      <c r="DX24" s="549">
        <f t="shared" ref="DX24:EG24" si="461">DX588</f>
        <v>0</v>
      </c>
      <c r="DY24" s="675">
        <f t="shared" si="461"/>
        <v>0</v>
      </c>
      <c r="DZ24" s="549">
        <f t="shared" si="461"/>
        <v>0</v>
      </c>
      <c r="EA24" s="675">
        <f t="shared" si="461"/>
        <v>0</v>
      </c>
      <c r="EB24" s="549">
        <f t="shared" si="461"/>
        <v>0</v>
      </c>
      <c r="EC24" s="675">
        <f t="shared" si="461"/>
        <v>0</v>
      </c>
      <c r="ED24" s="549">
        <f t="shared" si="461"/>
        <v>0</v>
      </c>
      <c r="EE24" s="675">
        <f t="shared" si="461"/>
        <v>0</v>
      </c>
      <c r="EF24" s="549">
        <f t="shared" si="461"/>
        <v>0</v>
      </c>
      <c r="EG24" s="675">
        <f t="shared" si="461"/>
        <v>0</v>
      </c>
      <c r="EH24" s="549">
        <f t="shared" ref="EH24:EM24" si="462">EH588</f>
        <v>0</v>
      </c>
      <c r="EI24" s="675">
        <f t="shared" si="462"/>
        <v>0</v>
      </c>
      <c r="EJ24" s="549">
        <f t="shared" si="462"/>
        <v>0</v>
      </c>
      <c r="EK24" s="675">
        <f t="shared" si="462"/>
        <v>0</v>
      </c>
      <c r="EL24" s="549">
        <f t="shared" si="462"/>
        <v>0</v>
      </c>
      <c r="EM24" s="675">
        <f t="shared" si="462"/>
        <v>0</v>
      </c>
      <c r="EN24" s="549">
        <f t="shared" ref="EN24:EO24" si="463">EN588</f>
        <v>0</v>
      </c>
      <c r="EO24" s="675">
        <f t="shared" si="463"/>
        <v>0</v>
      </c>
      <c r="EP24" s="549">
        <f t="shared" ref="EP24:FA24" si="464">EP588</f>
        <v>0</v>
      </c>
      <c r="EQ24" s="675">
        <f t="shared" si="464"/>
        <v>0</v>
      </c>
      <c r="ER24" s="549">
        <f t="shared" si="464"/>
        <v>0</v>
      </c>
      <c r="ES24" s="675">
        <f t="shared" si="464"/>
        <v>0</v>
      </c>
      <c r="ET24" s="549">
        <f t="shared" si="464"/>
        <v>0</v>
      </c>
      <c r="EU24" s="675">
        <f t="shared" si="464"/>
        <v>0</v>
      </c>
      <c r="EV24" s="549">
        <f t="shared" ref="EV24:EW24" si="465">EV588</f>
        <v>0</v>
      </c>
      <c r="EW24" s="675">
        <f t="shared" si="465"/>
        <v>0</v>
      </c>
      <c r="EX24" s="549">
        <f t="shared" si="464"/>
        <v>0</v>
      </c>
      <c r="EY24" s="675">
        <f t="shared" si="464"/>
        <v>0</v>
      </c>
      <c r="EZ24" s="549">
        <f t="shared" si="464"/>
        <v>0</v>
      </c>
      <c r="FA24" s="675">
        <f t="shared" si="464"/>
        <v>0</v>
      </c>
      <c r="FB24" s="549">
        <f t="shared" ref="FB24:FC24" si="466">FB588</f>
        <v>0</v>
      </c>
      <c r="FC24" s="675">
        <f t="shared" si="466"/>
        <v>0</v>
      </c>
      <c r="FD24" s="549">
        <f t="shared" ref="FD24:FE24" si="467">FD588</f>
        <v>0</v>
      </c>
      <c r="FE24" s="675">
        <f t="shared" si="467"/>
        <v>0</v>
      </c>
      <c r="FF24" s="549">
        <f t="shared" ref="FF24:FG24" si="468">FF588</f>
        <v>0</v>
      </c>
      <c r="FG24" s="675">
        <f t="shared" si="468"/>
        <v>0</v>
      </c>
      <c r="FH24" s="549">
        <f t="shared" ref="FH24:FI24" si="469">FH588</f>
        <v>0</v>
      </c>
      <c r="FI24" s="675">
        <f t="shared" si="469"/>
        <v>0</v>
      </c>
      <c r="FJ24" s="549">
        <f t="shared" ref="FJ24:FK24" si="470">FJ588</f>
        <v>0</v>
      </c>
      <c r="FK24" s="675">
        <f t="shared" si="470"/>
        <v>0</v>
      </c>
      <c r="FL24" s="549">
        <f t="shared" ref="FL24:FM24" si="471">FL588</f>
        <v>0</v>
      </c>
      <c r="FM24" s="675">
        <f t="shared" si="471"/>
        <v>0</v>
      </c>
      <c r="FN24" s="549">
        <f t="shared" ref="FN24:FO24" si="472">FN588</f>
        <v>0</v>
      </c>
      <c r="FO24" s="675">
        <f t="shared" si="472"/>
        <v>0</v>
      </c>
      <c r="FP24" s="549">
        <f t="shared" ref="FP24:FQ24" si="473">FP588</f>
        <v>0</v>
      </c>
      <c r="FQ24" s="675">
        <f t="shared" si="473"/>
        <v>0</v>
      </c>
      <c r="FR24" s="549">
        <f t="shared" ref="FR24:FS24" si="474">FR588</f>
        <v>0</v>
      </c>
      <c r="FS24" s="675">
        <f t="shared" si="474"/>
        <v>0</v>
      </c>
      <c r="FT24" s="549">
        <f t="shared" ref="FT24:FU24" si="475">FT588</f>
        <v>0</v>
      </c>
      <c r="FU24" s="675">
        <f t="shared" si="475"/>
        <v>0</v>
      </c>
      <c r="FV24" s="549">
        <f t="shared" ref="FV24:GK24" si="476">FV588</f>
        <v>0</v>
      </c>
      <c r="FW24" s="675">
        <f t="shared" si="476"/>
        <v>0</v>
      </c>
      <c r="FX24" s="549">
        <f t="shared" si="476"/>
        <v>0</v>
      </c>
      <c r="FY24" s="675">
        <f t="shared" si="476"/>
        <v>0</v>
      </c>
      <c r="FZ24" s="549">
        <f t="shared" ref="FZ24:GI24" si="477">FZ588</f>
        <v>0</v>
      </c>
      <c r="GA24" s="675">
        <f t="shared" si="477"/>
        <v>0</v>
      </c>
      <c r="GB24" s="549">
        <f t="shared" si="477"/>
        <v>0</v>
      </c>
      <c r="GC24" s="675">
        <f t="shared" si="477"/>
        <v>0</v>
      </c>
      <c r="GD24" s="549">
        <f t="shared" si="477"/>
        <v>0</v>
      </c>
      <c r="GE24" s="675">
        <f t="shared" si="477"/>
        <v>0</v>
      </c>
      <c r="GF24" s="549">
        <f t="shared" si="477"/>
        <v>0</v>
      </c>
      <c r="GG24" s="675">
        <f t="shared" si="477"/>
        <v>0</v>
      </c>
      <c r="GH24" s="549">
        <f t="shared" si="477"/>
        <v>0</v>
      </c>
      <c r="GI24" s="675">
        <f t="shared" si="477"/>
        <v>0</v>
      </c>
      <c r="GJ24" s="549">
        <f t="shared" si="476"/>
        <v>0</v>
      </c>
      <c r="GK24" s="675">
        <f t="shared" si="476"/>
        <v>0</v>
      </c>
      <c r="GL24" s="549">
        <f t="shared" ref="GL24:GQ24" si="478">GL588</f>
        <v>0</v>
      </c>
      <c r="GM24" s="675">
        <f t="shared" si="478"/>
        <v>0</v>
      </c>
      <c r="GN24" s="549">
        <f t="shared" ref="GN24:GO24" si="479">GN588</f>
        <v>0</v>
      </c>
      <c r="GO24" s="675">
        <f t="shared" si="479"/>
        <v>0</v>
      </c>
      <c r="GP24" s="74">
        <f t="shared" si="478"/>
        <v>11400</v>
      </c>
      <c r="GQ24" s="675">
        <f t="shared" si="478"/>
        <v>-5400</v>
      </c>
      <c r="GR24" s="74">
        <f t="shared" ref="GR24:HK24" si="480">GR588</f>
        <v>91200</v>
      </c>
      <c r="GS24" s="74">
        <f t="shared" si="480"/>
        <v>83455</v>
      </c>
      <c r="GT24" s="74">
        <f t="shared" si="480"/>
        <v>91200</v>
      </c>
      <c r="GU24" s="74">
        <f t="shared" si="480"/>
        <v>7750</v>
      </c>
      <c r="GV24" s="74">
        <f t="shared" si="480"/>
        <v>7745</v>
      </c>
      <c r="GW24" s="74">
        <f t="shared" si="480"/>
        <v>7745</v>
      </c>
      <c r="GX24" s="74">
        <f t="shared" si="480"/>
        <v>7745</v>
      </c>
      <c r="GY24" s="74">
        <f t="shared" si="480"/>
        <v>7745</v>
      </c>
      <c r="GZ24" s="74">
        <f t="shared" si="480"/>
        <v>7745</v>
      </c>
      <c r="HA24" s="74">
        <f t="shared" si="480"/>
        <v>7745</v>
      </c>
      <c r="HB24" s="74">
        <f t="shared" si="480"/>
        <v>7745</v>
      </c>
      <c r="HC24" s="74">
        <f t="shared" si="480"/>
        <v>7745</v>
      </c>
      <c r="HD24" s="74">
        <f t="shared" si="480"/>
        <v>7745</v>
      </c>
      <c r="HE24" s="74">
        <f t="shared" si="480"/>
        <v>7745</v>
      </c>
      <c r="HF24" s="74">
        <f t="shared" si="480"/>
        <v>0</v>
      </c>
      <c r="HG24" s="74">
        <f t="shared" si="480"/>
        <v>83455</v>
      </c>
      <c r="HH24" s="74">
        <f t="shared" si="480"/>
        <v>0</v>
      </c>
      <c r="HI24" s="74">
        <f t="shared" si="480"/>
        <v>0</v>
      </c>
      <c r="HJ24" s="74">
        <f t="shared" si="480"/>
        <v>0</v>
      </c>
      <c r="HK24" s="74">
        <f t="shared" si="480"/>
        <v>15495</v>
      </c>
      <c r="HL24" s="74">
        <f t="shared" ref="HL24:JT24" si="481">HL588</f>
        <v>0</v>
      </c>
      <c r="HM24" s="74">
        <f t="shared" si="481"/>
        <v>7745</v>
      </c>
      <c r="HN24" s="74">
        <f t="shared" si="481"/>
        <v>0</v>
      </c>
      <c r="HO24" s="74">
        <f t="shared" si="481"/>
        <v>7745</v>
      </c>
      <c r="HP24" s="74">
        <f t="shared" si="481"/>
        <v>0</v>
      </c>
      <c r="HQ24" s="74">
        <f t="shared" si="481"/>
        <v>7745</v>
      </c>
      <c r="HR24" s="74">
        <f t="shared" si="481"/>
        <v>0</v>
      </c>
      <c r="HS24" s="74">
        <f t="shared" si="481"/>
        <v>7745</v>
      </c>
      <c r="HT24" s="74">
        <f t="shared" si="481"/>
        <v>0</v>
      </c>
      <c r="HU24" s="74">
        <f t="shared" si="481"/>
        <v>7745</v>
      </c>
      <c r="HV24" s="74">
        <f t="shared" si="481"/>
        <v>0</v>
      </c>
      <c r="HW24" s="74">
        <f t="shared" si="481"/>
        <v>7745</v>
      </c>
      <c r="HX24" s="74">
        <f t="shared" si="481"/>
        <v>0</v>
      </c>
      <c r="HY24" s="74">
        <f t="shared" si="481"/>
        <v>7745</v>
      </c>
      <c r="HZ24" s="74">
        <f t="shared" si="481"/>
        <v>0</v>
      </c>
      <c r="IA24" s="74">
        <f t="shared" si="481"/>
        <v>7745</v>
      </c>
      <c r="IB24" s="74">
        <f t="shared" si="481"/>
        <v>0</v>
      </c>
      <c r="IC24" s="74">
        <f t="shared" si="481"/>
        <v>0</v>
      </c>
      <c r="ID24" s="74">
        <f t="shared" si="481"/>
        <v>0</v>
      </c>
      <c r="IE24" s="792">
        <f t="shared" si="481"/>
        <v>0</v>
      </c>
      <c r="IF24" s="841">
        <f t="shared" si="481"/>
        <v>79040</v>
      </c>
      <c r="IG24" s="263">
        <f t="shared" si="481"/>
        <v>79040</v>
      </c>
      <c r="IH24" s="842">
        <f t="shared" si="481"/>
        <v>79040</v>
      </c>
      <c r="II24" s="155">
        <f t="shared" si="481"/>
        <v>7100</v>
      </c>
      <c r="IJ24" s="74">
        <f t="shared" si="481"/>
        <v>7100</v>
      </c>
      <c r="IK24" s="74">
        <f t="shared" si="481"/>
        <v>7100</v>
      </c>
      <c r="IL24" s="74">
        <f t="shared" si="481"/>
        <v>7100</v>
      </c>
      <c r="IM24" s="74">
        <f t="shared" si="481"/>
        <v>7100</v>
      </c>
      <c r="IN24" s="74">
        <f t="shared" si="481"/>
        <v>7100</v>
      </c>
      <c r="IO24" s="74">
        <f t="shared" si="481"/>
        <v>3550</v>
      </c>
      <c r="IP24" s="74">
        <f t="shared" si="481"/>
        <v>3550</v>
      </c>
      <c r="IQ24" s="74">
        <f t="shared" si="481"/>
        <v>3550</v>
      </c>
      <c r="IR24" s="74">
        <f t="shared" si="481"/>
        <v>10650</v>
      </c>
      <c r="IS24" s="74">
        <f t="shared" si="481"/>
        <v>10650</v>
      </c>
      <c r="IT24" s="74">
        <f t="shared" si="481"/>
        <v>10650</v>
      </c>
      <c r="IU24" s="74">
        <f t="shared" si="481"/>
        <v>7100</v>
      </c>
      <c r="IV24" s="74">
        <f t="shared" si="481"/>
        <v>7100</v>
      </c>
      <c r="IW24" s="74">
        <f t="shared" si="481"/>
        <v>7100</v>
      </c>
      <c r="IX24" s="74">
        <f t="shared" si="481"/>
        <v>8860</v>
      </c>
      <c r="IY24" s="74">
        <f t="shared" si="481"/>
        <v>8860</v>
      </c>
      <c r="IZ24" s="74">
        <f t="shared" si="481"/>
        <v>8860</v>
      </c>
      <c r="JA24" s="74">
        <f t="shared" si="481"/>
        <v>6900</v>
      </c>
      <c r="JB24" s="74">
        <f t="shared" si="481"/>
        <v>6900</v>
      </c>
      <c r="JC24" s="74">
        <f t="shared" si="481"/>
        <v>6900</v>
      </c>
      <c r="JD24" s="74">
        <f t="shared" si="481"/>
        <v>9446.6699999999983</v>
      </c>
      <c r="JE24" s="74">
        <f t="shared" si="481"/>
        <v>9446.6699999999983</v>
      </c>
      <c r="JF24" s="74">
        <f t="shared" si="481"/>
        <v>9446.6699999999983</v>
      </c>
      <c r="JG24" s="74">
        <f t="shared" si="481"/>
        <v>9633.3300000000017</v>
      </c>
      <c r="JH24" s="74">
        <f t="shared" si="481"/>
        <v>9633.3300000000017</v>
      </c>
      <c r="JI24" s="74">
        <f t="shared" si="481"/>
        <v>9633.3300000000017</v>
      </c>
      <c r="JJ24" s="74">
        <f t="shared" si="481"/>
        <v>8700</v>
      </c>
      <c r="JK24" s="74">
        <f t="shared" si="481"/>
        <v>8700</v>
      </c>
      <c r="JL24" s="74">
        <f t="shared" si="481"/>
        <v>8700</v>
      </c>
      <c r="JM24" s="74">
        <f t="shared" si="481"/>
        <v>0</v>
      </c>
      <c r="JN24" s="74">
        <f t="shared" si="481"/>
        <v>0</v>
      </c>
      <c r="JO24" s="74">
        <f t="shared" si="481"/>
        <v>0</v>
      </c>
      <c r="JP24" s="74">
        <f t="shared" si="481"/>
        <v>0</v>
      </c>
      <c r="JQ24" s="74">
        <f t="shared" si="481"/>
        <v>0</v>
      </c>
      <c r="JR24" s="74">
        <f t="shared" si="481"/>
        <v>0</v>
      </c>
      <c r="JS24" s="74">
        <f t="shared" si="481"/>
        <v>4415</v>
      </c>
      <c r="JT24" s="74">
        <f t="shared" si="481"/>
        <v>4415</v>
      </c>
      <c r="JU24" s="671"/>
      <c r="JV24" s="492"/>
      <c r="JW24" s="490"/>
      <c r="JX24" s="74">
        <f>JX588</f>
        <v>0</v>
      </c>
      <c r="JY24" s="74">
        <f>JY588</f>
        <v>77455</v>
      </c>
      <c r="JZ24" s="581">
        <f t="shared" si="42"/>
        <v>11400</v>
      </c>
      <c r="KA24" s="581">
        <f t="shared" si="43"/>
        <v>-5400</v>
      </c>
      <c r="KB24" s="74">
        <f>KB588</f>
        <v>83455</v>
      </c>
      <c r="KC24" s="709">
        <f t="shared" si="41"/>
        <v>0</v>
      </c>
      <c r="KD24" s="126"/>
      <c r="KE24" s="127"/>
      <c r="KF24" s="127"/>
      <c r="KG24" s="127"/>
      <c r="KH24" s="127"/>
      <c r="KI24" s="127"/>
      <c r="KJ24" s="127"/>
      <c r="KK24" s="127"/>
    </row>
    <row r="25" spans="1:297" s="8" customFormat="1" ht="13.5" thickBot="1">
      <c r="A25" s="75"/>
      <c r="B25" s="72"/>
      <c r="C25" s="74"/>
      <c r="D25" s="549"/>
      <c r="E25" s="675"/>
      <c r="F25" s="549"/>
      <c r="G25" s="675"/>
      <c r="H25" s="549"/>
      <c r="I25" s="675"/>
      <c r="J25" s="549"/>
      <c r="K25" s="675"/>
      <c r="L25" s="549"/>
      <c r="M25" s="675"/>
      <c r="N25" s="549"/>
      <c r="O25" s="675"/>
      <c r="P25" s="549"/>
      <c r="Q25" s="675"/>
      <c r="R25" s="549"/>
      <c r="S25" s="675"/>
      <c r="T25" s="549"/>
      <c r="U25" s="675"/>
      <c r="V25" s="549"/>
      <c r="W25" s="675"/>
      <c r="X25" s="549"/>
      <c r="Y25" s="675"/>
      <c r="Z25" s="549"/>
      <c r="AA25" s="675"/>
      <c r="AB25" s="549"/>
      <c r="AC25" s="675"/>
      <c r="AD25" s="549"/>
      <c r="AE25" s="675"/>
      <c r="AF25" s="549"/>
      <c r="AG25" s="675"/>
      <c r="AH25" s="549"/>
      <c r="AI25" s="675"/>
      <c r="AJ25" s="549"/>
      <c r="AK25" s="675"/>
      <c r="AL25" s="549"/>
      <c r="AM25" s="675"/>
      <c r="AN25" s="549"/>
      <c r="AO25" s="675"/>
      <c r="AP25" s="549"/>
      <c r="AQ25" s="675"/>
      <c r="AR25" s="549"/>
      <c r="AS25" s="675"/>
      <c r="AT25" s="549"/>
      <c r="AU25" s="675"/>
      <c r="AV25" s="549"/>
      <c r="AW25" s="675"/>
      <c r="AX25" s="549"/>
      <c r="AY25" s="675"/>
      <c r="AZ25" s="549"/>
      <c r="BA25" s="675"/>
      <c r="BB25" s="549"/>
      <c r="BC25" s="675"/>
      <c r="BD25" s="549"/>
      <c r="BE25" s="675"/>
      <c r="BF25" s="549"/>
      <c r="BG25" s="675"/>
      <c r="BH25" s="549"/>
      <c r="BI25" s="675"/>
      <c r="BJ25" s="549"/>
      <c r="BK25" s="675"/>
      <c r="BL25" s="549"/>
      <c r="BM25" s="675"/>
      <c r="BN25" s="549"/>
      <c r="BO25" s="675"/>
      <c r="BP25" s="549"/>
      <c r="BQ25" s="675"/>
      <c r="BR25" s="549"/>
      <c r="BS25" s="675"/>
      <c r="BT25" s="549"/>
      <c r="BU25" s="675"/>
      <c r="BV25" s="549"/>
      <c r="BW25" s="675"/>
      <c r="BX25" s="549"/>
      <c r="BY25" s="675"/>
      <c r="BZ25" s="549"/>
      <c r="CA25" s="675"/>
      <c r="CB25" s="549"/>
      <c r="CC25" s="675"/>
      <c r="CD25" s="549"/>
      <c r="CE25" s="675"/>
      <c r="CF25" s="549"/>
      <c r="CG25" s="675"/>
      <c r="CH25" s="549"/>
      <c r="CI25" s="675"/>
      <c r="CJ25" s="549"/>
      <c r="CK25" s="675"/>
      <c r="CL25" s="549"/>
      <c r="CM25" s="675"/>
      <c r="CN25" s="549"/>
      <c r="CO25" s="675"/>
      <c r="CP25" s="549"/>
      <c r="CQ25" s="675"/>
      <c r="CR25" s="549"/>
      <c r="CS25" s="675"/>
      <c r="CT25" s="549"/>
      <c r="CU25" s="675"/>
      <c r="CV25" s="549"/>
      <c r="CW25" s="675"/>
      <c r="CX25" s="549"/>
      <c r="CY25" s="675"/>
      <c r="CZ25" s="549"/>
      <c r="DA25" s="675"/>
      <c r="DB25" s="549"/>
      <c r="DC25" s="675"/>
      <c r="DD25" s="549"/>
      <c r="DE25" s="675"/>
      <c r="DF25" s="549"/>
      <c r="DG25" s="675"/>
      <c r="DH25" s="549"/>
      <c r="DI25" s="675"/>
      <c r="DJ25" s="549"/>
      <c r="DK25" s="675"/>
      <c r="DL25" s="549"/>
      <c r="DM25" s="675"/>
      <c r="DN25" s="549"/>
      <c r="DO25" s="675"/>
      <c r="DP25" s="549"/>
      <c r="DQ25" s="675"/>
      <c r="DR25" s="549"/>
      <c r="DS25" s="675"/>
      <c r="DT25" s="549"/>
      <c r="DU25" s="675"/>
      <c r="DV25" s="549"/>
      <c r="DW25" s="675"/>
      <c r="DX25" s="549"/>
      <c r="DY25" s="675"/>
      <c r="DZ25" s="549"/>
      <c r="EA25" s="675"/>
      <c r="EB25" s="549"/>
      <c r="EC25" s="675"/>
      <c r="ED25" s="549"/>
      <c r="EE25" s="675"/>
      <c r="EF25" s="549"/>
      <c r="EG25" s="675"/>
      <c r="EH25" s="549"/>
      <c r="EI25" s="675"/>
      <c r="EJ25" s="549"/>
      <c r="EK25" s="675"/>
      <c r="EL25" s="549"/>
      <c r="EM25" s="675"/>
      <c r="EN25" s="549"/>
      <c r="EO25" s="675"/>
      <c r="EP25" s="549"/>
      <c r="EQ25" s="675"/>
      <c r="ER25" s="549"/>
      <c r="ES25" s="675"/>
      <c r="ET25" s="549"/>
      <c r="EU25" s="675"/>
      <c r="EV25" s="549"/>
      <c r="EW25" s="675"/>
      <c r="EX25" s="549"/>
      <c r="EY25" s="675"/>
      <c r="EZ25" s="549"/>
      <c r="FA25" s="675"/>
      <c r="FB25" s="549"/>
      <c r="FC25" s="675"/>
      <c r="FD25" s="549"/>
      <c r="FE25" s="675"/>
      <c r="FF25" s="549"/>
      <c r="FG25" s="675"/>
      <c r="FH25" s="549"/>
      <c r="FI25" s="675"/>
      <c r="FJ25" s="549"/>
      <c r="FK25" s="675"/>
      <c r="FL25" s="549"/>
      <c r="FM25" s="675"/>
      <c r="FN25" s="549"/>
      <c r="FO25" s="675"/>
      <c r="FP25" s="549"/>
      <c r="FQ25" s="675"/>
      <c r="FR25" s="549"/>
      <c r="FS25" s="675"/>
      <c r="FT25" s="549"/>
      <c r="FU25" s="675"/>
      <c r="FV25" s="549"/>
      <c r="FW25" s="675"/>
      <c r="FX25" s="549"/>
      <c r="FY25" s="675"/>
      <c r="FZ25" s="549"/>
      <c r="GA25" s="675"/>
      <c r="GB25" s="549"/>
      <c r="GC25" s="675"/>
      <c r="GD25" s="549"/>
      <c r="GE25" s="675"/>
      <c r="GF25" s="549"/>
      <c r="GG25" s="675"/>
      <c r="GH25" s="549"/>
      <c r="GI25" s="675"/>
      <c r="GJ25" s="549"/>
      <c r="GK25" s="675"/>
      <c r="GL25" s="549"/>
      <c r="GM25" s="675"/>
      <c r="GN25" s="549"/>
      <c r="GO25" s="675"/>
      <c r="GP25" s="74"/>
      <c r="GQ25" s="675"/>
      <c r="GR25" s="74"/>
      <c r="GS25" s="74"/>
      <c r="GT25" s="549"/>
      <c r="GU25" s="74"/>
      <c r="GV25" s="74"/>
      <c r="GW25" s="549"/>
      <c r="GX25" s="549"/>
      <c r="GY25" s="74"/>
      <c r="GZ25" s="74"/>
      <c r="HA25" s="74"/>
      <c r="HB25" s="74"/>
      <c r="HC25" s="74"/>
      <c r="HD25" s="74"/>
      <c r="HE25" s="74"/>
      <c r="HF25" s="74"/>
      <c r="HG25" s="74"/>
      <c r="HH25" s="74"/>
      <c r="HI25" s="74"/>
      <c r="HJ25" s="74"/>
      <c r="HK25" s="74"/>
      <c r="HL25" s="74"/>
      <c r="HM25" s="74"/>
      <c r="HN25" s="74"/>
      <c r="HO25" s="74"/>
      <c r="HP25" s="74"/>
      <c r="HQ25" s="74"/>
      <c r="HR25" s="74"/>
      <c r="HS25" s="74"/>
      <c r="HT25" s="74"/>
      <c r="HU25" s="74"/>
      <c r="HV25" s="74"/>
      <c r="HW25" s="74"/>
      <c r="HX25" s="74"/>
      <c r="HY25" s="74"/>
      <c r="HZ25" s="74"/>
      <c r="IA25" s="74"/>
      <c r="IB25" s="74"/>
      <c r="IC25" s="74"/>
      <c r="ID25" s="74"/>
      <c r="IE25" s="792"/>
      <c r="IF25" s="841"/>
      <c r="IG25" s="263"/>
      <c r="IH25" s="842"/>
      <c r="II25" s="155"/>
      <c r="IJ25" s="74"/>
      <c r="IK25" s="74"/>
      <c r="IL25" s="74"/>
      <c r="IM25" s="74"/>
      <c r="IN25" s="74"/>
      <c r="IO25" s="74"/>
      <c r="IP25" s="74"/>
      <c r="IQ25" s="74"/>
      <c r="IR25" s="74"/>
      <c r="IS25" s="74"/>
      <c r="IT25" s="74"/>
      <c r="IU25" s="74"/>
      <c r="IV25" s="74"/>
      <c r="IW25" s="74"/>
      <c r="IX25" s="74"/>
      <c r="IY25" s="74"/>
      <c r="IZ25" s="74"/>
      <c r="JA25" s="74"/>
      <c r="JB25" s="74"/>
      <c r="JC25" s="74"/>
      <c r="JD25" s="74"/>
      <c r="JE25" s="74"/>
      <c r="JF25" s="74"/>
      <c r="JG25" s="74"/>
      <c r="JH25" s="74"/>
      <c r="JI25" s="74"/>
      <c r="JJ25" s="74"/>
      <c r="JK25" s="74"/>
      <c r="JL25" s="74"/>
      <c r="JM25" s="74"/>
      <c r="JN25" s="74"/>
      <c r="JO25" s="74"/>
      <c r="JP25" s="74"/>
      <c r="JQ25" s="74"/>
      <c r="JR25" s="74"/>
      <c r="JS25" s="74"/>
      <c r="JT25" s="382"/>
      <c r="JU25" s="671"/>
      <c r="JV25" s="492"/>
      <c r="JW25" s="490"/>
      <c r="JX25" s="549"/>
      <c r="JY25" s="549"/>
      <c r="JZ25" s="581">
        <f t="shared" si="42"/>
        <v>0</v>
      </c>
      <c r="KA25" s="581">
        <f t="shared" si="43"/>
        <v>0</v>
      </c>
      <c r="KB25" s="549"/>
      <c r="KC25" s="709">
        <f t="shared" si="41"/>
        <v>0</v>
      </c>
      <c r="KD25" s="126" t="s">
        <v>533</v>
      </c>
      <c r="KE25" s="127" t="s">
        <v>534</v>
      </c>
      <c r="KF25" s="127">
        <v>0</v>
      </c>
      <c r="KG25" s="127">
        <f>GR38</f>
        <v>246625</v>
      </c>
      <c r="KH25" s="127">
        <v>0</v>
      </c>
      <c r="KI25" s="127" t="e">
        <f>#REF!</f>
        <v>#REF!</v>
      </c>
      <c r="KJ25" s="127">
        <f>GR38</f>
        <v>246625</v>
      </c>
      <c r="KK25" s="127">
        <f>HG38</f>
        <v>246625</v>
      </c>
    </row>
    <row r="26" spans="1:297" s="8" customFormat="1" ht="13.5" thickBot="1">
      <c r="A26" s="75" t="s">
        <v>63</v>
      </c>
      <c r="B26" s="72" t="s">
        <v>64</v>
      </c>
      <c r="C26" s="74">
        <f t="shared" ref="C26:BP26" si="482">SUM(C255,C641)</f>
        <v>218400</v>
      </c>
      <c r="D26" s="549">
        <f t="shared" si="482"/>
        <v>0</v>
      </c>
      <c r="E26" s="675">
        <f t="shared" si="482"/>
        <v>0</v>
      </c>
      <c r="F26" s="549">
        <f t="shared" si="482"/>
        <v>0</v>
      </c>
      <c r="G26" s="675">
        <f t="shared" si="482"/>
        <v>0</v>
      </c>
      <c r="H26" s="549">
        <f t="shared" si="482"/>
        <v>0</v>
      </c>
      <c r="I26" s="675">
        <f t="shared" si="482"/>
        <v>0</v>
      </c>
      <c r="J26" s="549">
        <f t="shared" si="482"/>
        <v>0</v>
      </c>
      <c r="K26" s="675">
        <f t="shared" si="482"/>
        <v>0</v>
      </c>
      <c r="L26" s="549">
        <f t="shared" si="482"/>
        <v>0</v>
      </c>
      <c r="M26" s="675">
        <f t="shared" si="482"/>
        <v>0</v>
      </c>
      <c r="N26" s="549">
        <f t="shared" si="482"/>
        <v>0</v>
      </c>
      <c r="O26" s="675">
        <f t="shared" si="482"/>
        <v>0</v>
      </c>
      <c r="P26" s="549">
        <f t="shared" si="482"/>
        <v>0</v>
      </c>
      <c r="Q26" s="675">
        <f t="shared" si="482"/>
        <v>0</v>
      </c>
      <c r="R26" s="549">
        <f t="shared" si="482"/>
        <v>0</v>
      </c>
      <c r="S26" s="675">
        <f t="shared" si="482"/>
        <v>0</v>
      </c>
      <c r="T26" s="549">
        <f t="shared" si="482"/>
        <v>0</v>
      </c>
      <c r="U26" s="675">
        <f t="shared" si="482"/>
        <v>0</v>
      </c>
      <c r="V26" s="549">
        <f t="shared" si="482"/>
        <v>0</v>
      </c>
      <c r="W26" s="675">
        <f t="shared" si="482"/>
        <v>0</v>
      </c>
      <c r="X26" s="549">
        <f t="shared" si="482"/>
        <v>0</v>
      </c>
      <c r="Y26" s="675">
        <f t="shared" si="482"/>
        <v>0</v>
      </c>
      <c r="Z26" s="549">
        <f t="shared" si="482"/>
        <v>0</v>
      </c>
      <c r="AA26" s="675">
        <f t="shared" si="482"/>
        <v>0</v>
      </c>
      <c r="AB26" s="549">
        <f t="shared" si="482"/>
        <v>0</v>
      </c>
      <c r="AC26" s="675">
        <f t="shared" si="482"/>
        <v>0</v>
      </c>
      <c r="AD26" s="549">
        <f t="shared" si="482"/>
        <v>0</v>
      </c>
      <c r="AE26" s="675">
        <f t="shared" si="482"/>
        <v>0</v>
      </c>
      <c r="AF26" s="549">
        <f t="shared" si="482"/>
        <v>0</v>
      </c>
      <c r="AG26" s="675">
        <f t="shared" si="482"/>
        <v>0</v>
      </c>
      <c r="AH26" s="549">
        <f t="shared" si="482"/>
        <v>0</v>
      </c>
      <c r="AI26" s="675">
        <f t="shared" si="482"/>
        <v>0</v>
      </c>
      <c r="AJ26" s="549">
        <f t="shared" si="482"/>
        <v>0</v>
      </c>
      <c r="AK26" s="675">
        <f t="shared" si="482"/>
        <v>0</v>
      </c>
      <c r="AL26" s="549">
        <f t="shared" si="482"/>
        <v>0</v>
      </c>
      <c r="AM26" s="675">
        <f t="shared" si="482"/>
        <v>0</v>
      </c>
      <c r="AN26" s="549">
        <f t="shared" si="482"/>
        <v>0</v>
      </c>
      <c r="AO26" s="675">
        <f t="shared" si="482"/>
        <v>-2450</v>
      </c>
      <c r="AP26" s="549">
        <f t="shared" si="482"/>
        <v>0</v>
      </c>
      <c r="AQ26" s="675">
        <f t="shared" si="482"/>
        <v>0</v>
      </c>
      <c r="AR26" s="549">
        <f t="shared" si="482"/>
        <v>0</v>
      </c>
      <c r="AS26" s="675">
        <f t="shared" si="482"/>
        <v>0</v>
      </c>
      <c r="AT26" s="549">
        <f t="shared" ref="AT26:AU26" si="483">SUM(AT255,AT641)</f>
        <v>0</v>
      </c>
      <c r="AU26" s="675">
        <f t="shared" si="483"/>
        <v>0</v>
      </c>
      <c r="AV26" s="549">
        <f t="shared" ref="AV26:AW26" si="484">SUM(AV255,AV641)</f>
        <v>0</v>
      </c>
      <c r="AW26" s="675">
        <f t="shared" si="484"/>
        <v>-1963</v>
      </c>
      <c r="AX26" s="549">
        <f t="shared" ref="AX26:AY26" si="485">SUM(AX255,AX641)</f>
        <v>0</v>
      </c>
      <c r="AY26" s="675">
        <f t="shared" si="485"/>
        <v>0</v>
      </c>
      <c r="AZ26" s="549">
        <f t="shared" ref="AZ26:BA26" si="486">SUM(AZ255,AZ641)</f>
        <v>0</v>
      </c>
      <c r="BA26" s="675">
        <f t="shared" si="486"/>
        <v>0</v>
      </c>
      <c r="BB26" s="549">
        <f t="shared" ref="BB26:BC26" si="487">SUM(BB255,BB641)</f>
        <v>0</v>
      </c>
      <c r="BC26" s="675">
        <f t="shared" si="487"/>
        <v>0</v>
      </c>
      <c r="BD26" s="549">
        <f t="shared" ref="BD26:BE26" si="488">SUM(BD255,BD641)</f>
        <v>0</v>
      </c>
      <c r="BE26" s="675">
        <f t="shared" si="488"/>
        <v>0</v>
      </c>
      <c r="BF26" s="549">
        <f t="shared" ref="BF26:BG26" si="489">SUM(BF255,BF641)</f>
        <v>0</v>
      </c>
      <c r="BG26" s="675">
        <f t="shared" si="489"/>
        <v>0</v>
      </c>
      <c r="BH26" s="549">
        <f t="shared" ref="BH26:BI26" si="490">SUM(BH255,BH641)</f>
        <v>0</v>
      </c>
      <c r="BI26" s="675">
        <f t="shared" si="490"/>
        <v>0</v>
      </c>
      <c r="BJ26" s="549">
        <f t="shared" ref="BJ26:BK26" si="491">SUM(BJ255,BJ641)</f>
        <v>0</v>
      </c>
      <c r="BK26" s="675">
        <f t="shared" si="491"/>
        <v>0</v>
      </c>
      <c r="BL26" s="549">
        <f t="shared" si="482"/>
        <v>0</v>
      </c>
      <c r="BM26" s="675">
        <f t="shared" si="482"/>
        <v>0</v>
      </c>
      <c r="BN26" s="549">
        <f t="shared" si="482"/>
        <v>0</v>
      </c>
      <c r="BO26" s="675">
        <f t="shared" si="482"/>
        <v>0</v>
      </c>
      <c r="BP26" s="549">
        <f t="shared" si="482"/>
        <v>0</v>
      </c>
      <c r="BQ26" s="675">
        <f t="shared" ref="BQ26" si="492">SUM(BQ255,BQ641)</f>
        <v>0</v>
      </c>
      <c r="BR26" s="549">
        <f t="shared" ref="BR26:BS26" si="493">SUM(BR255,BR641)</f>
        <v>0</v>
      </c>
      <c r="BS26" s="675">
        <f t="shared" si="493"/>
        <v>0</v>
      </c>
      <c r="BT26" s="549">
        <f t="shared" ref="BT26:BU26" si="494">SUM(BT255,BT641)</f>
        <v>0</v>
      </c>
      <c r="BU26" s="675">
        <f t="shared" si="494"/>
        <v>0</v>
      </c>
      <c r="BV26" s="549">
        <f t="shared" ref="BV26:BW26" si="495">SUM(BV255,BV641)</f>
        <v>0</v>
      </c>
      <c r="BW26" s="675">
        <f t="shared" si="495"/>
        <v>0</v>
      </c>
      <c r="BX26" s="549">
        <f t="shared" ref="BX26:BY26" si="496">SUM(BX255,BX641)</f>
        <v>0</v>
      </c>
      <c r="BY26" s="675">
        <f t="shared" si="496"/>
        <v>0</v>
      </c>
      <c r="BZ26" s="549">
        <f t="shared" ref="BZ26:CA26" si="497">SUM(BZ255,BZ641)</f>
        <v>0</v>
      </c>
      <c r="CA26" s="675">
        <f t="shared" si="497"/>
        <v>0</v>
      </c>
      <c r="CB26" s="549">
        <f t="shared" ref="CB26:EC26" si="498">SUM(CB255,CB641)</f>
        <v>0</v>
      </c>
      <c r="CC26" s="675">
        <f t="shared" si="498"/>
        <v>0</v>
      </c>
      <c r="CD26" s="549">
        <f t="shared" si="498"/>
        <v>0</v>
      </c>
      <c r="CE26" s="675">
        <f t="shared" si="498"/>
        <v>0</v>
      </c>
      <c r="CF26" s="549">
        <f t="shared" si="498"/>
        <v>0</v>
      </c>
      <c r="CG26" s="675">
        <f t="shared" si="498"/>
        <v>0</v>
      </c>
      <c r="CH26" s="549">
        <f t="shared" si="498"/>
        <v>0</v>
      </c>
      <c r="CI26" s="675">
        <f t="shared" si="498"/>
        <v>0</v>
      </c>
      <c r="CJ26" s="549">
        <f t="shared" si="498"/>
        <v>0</v>
      </c>
      <c r="CK26" s="675">
        <f t="shared" si="498"/>
        <v>0</v>
      </c>
      <c r="CL26" s="549">
        <f t="shared" si="498"/>
        <v>0</v>
      </c>
      <c r="CM26" s="675">
        <f t="shared" si="498"/>
        <v>0</v>
      </c>
      <c r="CN26" s="549">
        <f t="shared" si="498"/>
        <v>0</v>
      </c>
      <c r="CO26" s="675">
        <f t="shared" si="498"/>
        <v>0</v>
      </c>
      <c r="CP26" s="549">
        <f t="shared" si="498"/>
        <v>0</v>
      </c>
      <c r="CQ26" s="675">
        <f t="shared" si="498"/>
        <v>0</v>
      </c>
      <c r="CR26" s="549">
        <f t="shared" si="498"/>
        <v>0</v>
      </c>
      <c r="CS26" s="675">
        <f t="shared" si="498"/>
        <v>0</v>
      </c>
      <c r="CT26" s="549">
        <f t="shared" si="498"/>
        <v>0</v>
      </c>
      <c r="CU26" s="675">
        <f t="shared" si="498"/>
        <v>0</v>
      </c>
      <c r="CV26" s="549">
        <f t="shared" si="498"/>
        <v>0</v>
      </c>
      <c r="CW26" s="675">
        <f t="shared" si="498"/>
        <v>0</v>
      </c>
      <c r="CX26" s="549">
        <f t="shared" si="498"/>
        <v>0</v>
      </c>
      <c r="CY26" s="675">
        <f t="shared" si="498"/>
        <v>0</v>
      </c>
      <c r="CZ26" s="549">
        <f t="shared" si="498"/>
        <v>0</v>
      </c>
      <c r="DA26" s="675">
        <f t="shared" si="498"/>
        <v>0</v>
      </c>
      <c r="DB26" s="549">
        <f t="shared" si="498"/>
        <v>0</v>
      </c>
      <c r="DC26" s="675">
        <f t="shared" si="498"/>
        <v>0</v>
      </c>
      <c r="DD26" s="549">
        <f t="shared" si="498"/>
        <v>0</v>
      </c>
      <c r="DE26" s="675">
        <f t="shared" si="498"/>
        <v>0</v>
      </c>
      <c r="DF26" s="549">
        <f t="shared" si="498"/>
        <v>0</v>
      </c>
      <c r="DG26" s="675">
        <f t="shared" si="498"/>
        <v>0</v>
      </c>
      <c r="DH26" s="549">
        <f t="shared" si="498"/>
        <v>0</v>
      </c>
      <c r="DI26" s="675">
        <f t="shared" si="498"/>
        <v>0</v>
      </c>
      <c r="DJ26" s="549">
        <f t="shared" si="498"/>
        <v>0</v>
      </c>
      <c r="DK26" s="675">
        <f t="shared" si="498"/>
        <v>0</v>
      </c>
      <c r="DL26" s="549">
        <f t="shared" si="498"/>
        <v>0</v>
      </c>
      <c r="DM26" s="675">
        <f t="shared" si="498"/>
        <v>0</v>
      </c>
      <c r="DN26" s="549">
        <f t="shared" si="498"/>
        <v>0</v>
      </c>
      <c r="DO26" s="675">
        <f t="shared" si="498"/>
        <v>0</v>
      </c>
      <c r="DP26" s="549">
        <f t="shared" si="498"/>
        <v>0</v>
      </c>
      <c r="DQ26" s="675">
        <f t="shared" si="498"/>
        <v>0</v>
      </c>
      <c r="DR26" s="549">
        <f t="shared" si="498"/>
        <v>0</v>
      </c>
      <c r="DS26" s="675">
        <f t="shared" si="498"/>
        <v>0</v>
      </c>
      <c r="DT26" s="549">
        <f t="shared" si="498"/>
        <v>0</v>
      </c>
      <c r="DU26" s="675">
        <f t="shared" si="498"/>
        <v>0</v>
      </c>
      <c r="DV26" s="549">
        <f t="shared" si="498"/>
        <v>0</v>
      </c>
      <c r="DW26" s="675">
        <f t="shared" si="498"/>
        <v>0</v>
      </c>
      <c r="DX26" s="549">
        <f t="shared" si="498"/>
        <v>0</v>
      </c>
      <c r="DY26" s="675">
        <f t="shared" si="498"/>
        <v>0</v>
      </c>
      <c r="DZ26" s="549">
        <f t="shared" si="498"/>
        <v>0</v>
      </c>
      <c r="EA26" s="675">
        <f t="shared" si="498"/>
        <v>0</v>
      </c>
      <c r="EB26" s="549">
        <f t="shared" si="498"/>
        <v>0</v>
      </c>
      <c r="EC26" s="675">
        <f t="shared" si="498"/>
        <v>0</v>
      </c>
      <c r="ED26" s="549">
        <f t="shared" ref="ED26:EE26" si="499">SUM(ED255,ED641)</f>
        <v>0</v>
      </c>
      <c r="EE26" s="675">
        <f t="shared" si="499"/>
        <v>0</v>
      </c>
      <c r="EF26" s="549">
        <f t="shared" ref="EF26:HV26" si="500">SUM(EF255,EF641)</f>
        <v>0</v>
      </c>
      <c r="EG26" s="675">
        <f t="shared" si="500"/>
        <v>0</v>
      </c>
      <c r="EH26" s="549">
        <f t="shared" si="500"/>
        <v>0</v>
      </c>
      <c r="EI26" s="675">
        <f t="shared" si="500"/>
        <v>0</v>
      </c>
      <c r="EJ26" s="549">
        <f t="shared" si="500"/>
        <v>0</v>
      </c>
      <c r="EK26" s="675">
        <f t="shared" si="500"/>
        <v>0</v>
      </c>
      <c r="EL26" s="549">
        <f t="shared" si="500"/>
        <v>0</v>
      </c>
      <c r="EM26" s="675">
        <f t="shared" si="500"/>
        <v>0</v>
      </c>
      <c r="EN26" s="549">
        <f t="shared" si="500"/>
        <v>0</v>
      </c>
      <c r="EO26" s="675">
        <f t="shared" si="500"/>
        <v>0</v>
      </c>
      <c r="EP26" s="549">
        <f t="shared" si="500"/>
        <v>0</v>
      </c>
      <c r="EQ26" s="675">
        <f t="shared" si="500"/>
        <v>0</v>
      </c>
      <c r="ER26" s="549">
        <f t="shared" si="500"/>
        <v>0</v>
      </c>
      <c r="ES26" s="675">
        <f t="shared" si="500"/>
        <v>0</v>
      </c>
      <c r="ET26" s="549">
        <f t="shared" si="500"/>
        <v>0</v>
      </c>
      <c r="EU26" s="675">
        <f t="shared" si="500"/>
        <v>0</v>
      </c>
      <c r="EV26" s="549">
        <f t="shared" si="500"/>
        <v>0</v>
      </c>
      <c r="EW26" s="675">
        <f t="shared" si="500"/>
        <v>0</v>
      </c>
      <c r="EX26" s="549">
        <f t="shared" si="500"/>
        <v>0</v>
      </c>
      <c r="EY26" s="675">
        <f t="shared" si="500"/>
        <v>0</v>
      </c>
      <c r="EZ26" s="549">
        <f t="shared" si="500"/>
        <v>0</v>
      </c>
      <c r="FA26" s="675">
        <f t="shared" si="500"/>
        <v>0</v>
      </c>
      <c r="FB26" s="549">
        <f t="shared" si="500"/>
        <v>0</v>
      </c>
      <c r="FC26" s="675">
        <f t="shared" si="500"/>
        <v>0</v>
      </c>
      <c r="FD26" s="549">
        <f t="shared" si="500"/>
        <v>0</v>
      </c>
      <c r="FE26" s="675">
        <f t="shared" si="500"/>
        <v>0</v>
      </c>
      <c r="FF26" s="549">
        <f t="shared" si="500"/>
        <v>0</v>
      </c>
      <c r="FG26" s="675">
        <f t="shared" si="500"/>
        <v>0</v>
      </c>
      <c r="FH26" s="549">
        <f t="shared" si="500"/>
        <v>0</v>
      </c>
      <c r="FI26" s="675">
        <f t="shared" si="500"/>
        <v>0</v>
      </c>
      <c r="FJ26" s="549">
        <f t="shared" si="500"/>
        <v>0</v>
      </c>
      <c r="FK26" s="675">
        <f t="shared" si="500"/>
        <v>0</v>
      </c>
      <c r="FL26" s="549">
        <f t="shared" ref="FL26:FM26" si="501">SUM(FL255,FL641)</f>
        <v>0</v>
      </c>
      <c r="FM26" s="675">
        <f t="shared" si="501"/>
        <v>0</v>
      </c>
      <c r="FN26" s="549">
        <f t="shared" ref="FN26:FO26" si="502">SUM(FN255,FN641)</f>
        <v>0</v>
      </c>
      <c r="FO26" s="675">
        <f t="shared" si="502"/>
        <v>0</v>
      </c>
      <c r="FP26" s="549">
        <f t="shared" ref="FP26:FQ26" si="503">SUM(FP255,FP641)</f>
        <v>0</v>
      </c>
      <c r="FQ26" s="675">
        <f t="shared" si="503"/>
        <v>0</v>
      </c>
      <c r="FR26" s="549">
        <f t="shared" ref="FR26:FS26" si="504">SUM(FR255,FR641)</f>
        <v>0</v>
      </c>
      <c r="FS26" s="675">
        <f t="shared" si="504"/>
        <v>0</v>
      </c>
      <c r="FT26" s="549">
        <f t="shared" ref="FT26:FU26" si="505">SUM(FT255,FT641)</f>
        <v>0</v>
      </c>
      <c r="FU26" s="675">
        <f t="shared" si="505"/>
        <v>0</v>
      </c>
      <c r="FV26" s="549">
        <f t="shared" ref="FV26:GK26" si="506">SUM(FV255,FV641)</f>
        <v>0</v>
      </c>
      <c r="FW26" s="675">
        <f t="shared" si="506"/>
        <v>0</v>
      </c>
      <c r="FX26" s="549">
        <f t="shared" si="506"/>
        <v>0</v>
      </c>
      <c r="FY26" s="675">
        <f t="shared" si="506"/>
        <v>0</v>
      </c>
      <c r="FZ26" s="549">
        <f t="shared" ref="FZ26:GI26" si="507">SUM(FZ255,FZ641)</f>
        <v>0</v>
      </c>
      <c r="GA26" s="675">
        <f t="shared" si="507"/>
        <v>0</v>
      </c>
      <c r="GB26" s="549">
        <f t="shared" si="507"/>
        <v>0</v>
      </c>
      <c r="GC26" s="675">
        <f t="shared" si="507"/>
        <v>0</v>
      </c>
      <c r="GD26" s="549">
        <f t="shared" si="507"/>
        <v>0</v>
      </c>
      <c r="GE26" s="675">
        <f t="shared" si="507"/>
        <v>0</v>
      </c>
      <c r="GF26" s="549">
        <f t="shared" si="507"/>
        <v>0</v>
      </c>
      <c r="GG26" s="675">
        <f t="shared" si="507"/>
        <v>0</v>
      </c>
      <c r="GH26" s="549">
        <f t="shared" si="507"/>
        <v>0</v>
      </c>
      <c r="GI26" s="675">
        <f t="shared" si="507"/>
        <v>0</v>
      </c>
      <c r="GJ26" s="549">
        <f t="shared" si="506"/>
        <v>0</v>
      </c>
      <c r="GK26" s="675">
        <f t="shared" si="506"/>
        <v>0</v>
      </c>
      <c r="GL26" s="549">
        <f t="shared" ref="GL26:GM26" si="508">SUM(GL255,GL641)</f>
        <v>0</v>
      </c>
      <c r="GM26" s="675">
        <f t="shared" si="508"/>
        <v>0</v>
      </c>
      <c r="GN26" s="549">
        <f t="shared" ref="GN26:GO26" si="509">SUM(GN255,GN641)</f>
        <v>0</v>
      </c>
      <c r="GO26" s="675">
        <f t="shared" si="509"/>
        <v>0</v>
      </c>
      <c r="GP26" s="74">
        <f t="shared" si="500"/>
        <v>0</v>
      </c>
      <c r="GQ26" s="675">
        <f t="shared" si="500"/>
        <v>-4413</v>
      </c>
      <c r="GR26" s="74">
        <f t="shared" si="500"/>
        <v>213987</v>
      </c>
      <c r="GS26" s="74">
        <f t="shared" si="500"/>
        <v>194133</v>
      </c>
      <c r="GT26" s="549">
        <f t="shared" si="500"/>
        <v>213987</v>
      </c>
      <c r="GU26" s="74">
        <f>SUM(GU255,GU641)</f>
        <v>19860</v>
      </c>
      <c r="GV26" s="74">
        <f t="shared" si="500"/>
        <v>19854</v>
      </c>
      <c r="GW26" s="549">
        <f t="shared" si="500"/>
        <v>19854</v>
      </c>
      <c r="GX26" s="549">
        <f t="shared" si="500"/>
        <v>19854</v>
      </c>
      <c r="GY26" s="74">
        <f t="shared" si="500"/>
        <v>19854</v>
      </c>
      <c r="GZ26" s="74">
        <f t="shared" si="500"/>
        <v>19854</v>
      </c>
      <c r="HA26" s="74">
        <f t="shared" si="500"/>
        <v>19854</v>
      </c>
      <c r="HB26" s="74">
        <f t="shared" si="500"/>
        <v>19854</v>
      </c>
      <c r="HC26" s="74">
        <f t="shared" si="500"/>
        <v>19854</v>
      </c>
      <c r="HD26" s="74">
        <f t="shared" si="500"/>
        <v>19854</v>
      </c>
      <c r="HE26" s="74">
        <f t="shared" si="500"/>
        <v>19854</v>
      </c>
      <c r="HF26" s="74">
        <f t="shared" si="500"/>
        <v>0</v>
      </c>
      <c r="HG26" s="74">
        <f t="shared" si="500"/>
        <v>194133</v>
      </c>
      <c r="HH26" s="74">
        <f t="shared" si="500"/>
        <v>0</v>
      </c>
      <c r="HI26" s="74">
        <f t="shared" si="500"/>
        <v>0</v>
      </c>
      <c r="HJ26" s="74">
        <f t="shared" si="500"/>
        <v>0</v>
      </c>
      <c r="HK26" s="74">
        <f t="shared" si="500"/>
        <v>39714</v>
      </c>
      <c r="HL26" s="74">
        <f t="shared" si="500"/>
        <v>0</v>
      </c>
      <c r="HM26" s="74">
        <f t="shared" si="500"/>
        <v>19854</v>
      </c>
      <c r="HN26" s="74">
        <f t="shared" si="500"/>
        <v>0</v>
      </c>
      <c r="HO26" s="74">
        <f t="shared" si="500"/>
        <v>19854</v>
      </c>
      <c r="HP26" s="74">
        <f t="shared" si="500"/>
        <v>0</v>
      </c>
      <c r="HQ26" s="74">
        <f t="shared" si="500"/>
        <v>19854</v>
      </c>
      <c r="HR26" s="74">
        <f t="shared" si="500"/>
        <v>0</v>
      </c>
      <c r="HS26" s="74">
        <f t="shared" si="500"/>
        <v>19854</v>
      </c>
      <c r="HT26" s="74">
        <f t="shared" si="500"/>
        <v>0</v>
      </c>
      <c r="HU26" s="74">
        <f t="shared" si="500"/>
        <v>19854</v>
      </c>
      <c r="HV26" s="74">
        <f t="shared" si="500"/>
        <v>0</v>
      </c>
      <c r="HW26" s="74">
        <f t="shared" ref="HW26:JT26" si="510">SUM(HW255,HW641)</f>
        <v>19854</v>
      </c>
      <c r="HX26" s="74">
        <f t="shared" si="510"/>
        <v>0</v>
      </c>
      <c r="HY26" s="74">
        <f t="shared" si="510"/>
        <v>19854</v>
      </c>
      <c r="HZ26" s="74">
        <f t="shared" si="510"/>
        <v>0</v>
      </c>
      <c r="IA26" s="74">
        <f t="shared" si="510"/>
        <v>19854</v>
      </c>
      <c r="IB26" s="74">
        <f t="shared" si="510"/>
        <v>0</v>
      </c>
      <c r="IC26" s="74">
        <f t="shared" si="510"/>
        <v>0</v>
      </c>
      <c r="ID26" s="74">
        <f t="shared" si="510"/>
        <v>0</v>
      </c>
      <c r="IE26" s="792">
        <f t="shared" si="510"/>
        <v>0</v>
      </c>
      <c r="IF26" s="841">
        <f t="shared" si="510"/>
        <v>171586.7</v>
      </c>
      <c r="IG26" s="263">
        <f t="shared" si="510"/>
        <v>171586.7</v>
      </c>
      <c r="IH26" s="842">
        <f t="shared" si="510"/>
        <v>171586.7</v>
      </c>
      <c r="II26" s="155">
        <f t="shared" si="510"/>
        <v>16750</v>
      </c>
      <c r="IJ26" s="74">
        <f t="shared" si="510"/>
        <v>16750</v>
      </c>
      <c r="IK26" s="74">
        <f t="shared" si="510"/>
        <v>16750</v>
      </c>
      <c r="IL26" s="74">
        <f t="shared" si="510"/>
        <v>17200</v>
      </c>
      <c r="IM26" s="74">
        <f t="shared" si="510"/>
        <v>17200</v>
      </c>
      <c r="IN26" s="74">
        <f t="shared" si="510"/>
        <v>17200</v>
      </c>
      <c r="IO26" s="74">
        <f t="shared" si="510"/>
        <v>8600</v>
      </c>
      <c r="IP26" s="74">
        <f t="shared" si="510"/>
        <v>8600</v>
      </c>
      <c r="IQ26" s="74">
        <f t="shared" si="510"/>
        <v>8600</v>
      </c>
      <c r="IR26" s="74">
        <f t="shared" si="510"/>
        <v>25836.67</v>
      </c>
      <c r="IS26" s="74">
        <f t="shared" si="510"/>
        <v>25836.67</v>
      </c>
      <c r="IT26" s="74">
        <f t="shared" si="510"/>
        <v>25836.67</v>
      </c>
      <c r="IU26" s="74">
        <f t="shared" si="510"/>
        <v>17200</v>
      </c>
      <c r="IV26" s="74">
        <f t="shared" si="510"/>
        <v>17200</v>
      </c>
      <c r="IW26" s="74">
        <f t="shared" si="510"/>
        <v>17200</v>
      </c>
      <c r="IX26" s="74">
        <f t="shared" si="510"/>
        <v>17200</v>
      </c>
      <c r="IY26" s="74">
        <f t="shared" si="510"/>
        <v>17200</v>
      </c>
      <c r="IZ26" s="74">
        <f t="shared" si="510"/>
        <v>17200</v>
      </c>
      <c r="JA26" s="74">
        <f t="shared" si="510"/>
        <v>17200</v>
      </c>
      <c r="JB26" s="74">
        <f t="shared" si="510"/>
        <v>17200</v>
      </c>
      <c r="JC26" s="74">
        <f t="shared" si="510"/>
        <v>17200</v>
      </c>
      <c r="JD26" s="74">
        <f t="shared" si="510"/>
        <v>17200</v>
      </c>
      <c r="JE26" s="74">
        <f t="shared" si="510"/>
        <v>17200</v>
      </c>
      <c r="JF26" s="74">
        <f t="shared" si="510"/>
        <v>17200</v>
      </c>
      <c r="JG26" s="74">
        <f t="shared" si="510"/>
        <v>17200.000000000015</v>
      </c>
      <c r="JH26" s="74">
        <f t="shared" si="510"/>
        <v>17200.000000000015</v>
      </c>
      <c r="JI26" s="74">
        <f t="shared" si="510"/>
        <v>17200.000000000015</v>
      </c>
      <c r="JJ26" s="74">
        <f t="shared" si="510"/>
        <v>17200.03</v>
      </c>
      <c r="JK26" s="74">
        <f t="shared" si="510"/>
        <v>17200.03</v>
      </c>
      <c r="JL26" s="74">
        <f t="shared" si="510"/>
        <v>17200.03</v>
      </c>
      <c r="JM26" s="74">
        <f t="shared" si="510"/>
        <v>0</v>
      </c>
      <c r="JN26" s="74">
        <f t="shared" si="510"/>
        <v>0</v>
      </c>
      <c r="JO26" s="74">
        <f t="shared" si="510"/>
        <v>0</v>
      </c>
      <c r="JP26" s="74">
        <f t="shared" si="510"/>
        <v>0</v>
      </c>
      <c r="JQ26" s="74">
        <f t="shared" si="510"/>
        <v>0</v>
      </c>
      <c r="JR26" s="74">
        <f t="shared" si="510"/>
        <v>0</v>
      </c>
      <c r="JS26" s="74">
        <f t="shared" si="510"/>
        <v>22546.299999999988</v>
      </c>
      <c r="JT26" s="382">
        <f t="shared" si="510"/>
        <v>22546.299999999988</v>
      </c>
      <c r="JU26" s="671"/>
      <c r="JV26" s="492"/>
      <c r="JW26" s="490"/>
      <c r="JX26" s="549">
        <f>SUM(JX255,JX641)</f>
        <v>0</v>
      </c>
      <c r="JY26" s="549">
        <f>SUM(JY255,JY641)</f>
        <v>198546</v>
      </c>
      <c r="JZ26" s="581">
        <f t="shared" si="42"/>
        <v>0</v>
      </c>
      <c r="KA26" s="581">
        <f t="shared" si="43"/>
        <v>-4413</v>
      </c>
      <c r="KB26" s="549">
        <f>SUM(KB255,KB641)</f>
        <v>194133</v>
      </c>
      <c r="KC26" s="709">
        <f t="shared" si="41"/>
        <v>0</v>
      </c>
      <c r="KD26" s="319"/>
      <c r="KE26" s="320" t="s">
        <v>828</v>
      </c>
      <c r="KF26" s="321">
        <f>KF21+KF13</f>
        <v>47642800</v>
      </c>
      <c r="KG26" s="321"/>
      <c r="KH26" s="321"/>
      <c r="KI26" s="321" t="e">
        <f>KI21+KI13</f>
        <v>#REF!</v>
      </c>
      <c r="KJ26" s="321">
        <f>KJ21+KJ13</f>
        <v>47377495</v>
      </c>
      <c r="KK26" s="321">
        <f>KK21+KK13</f>
        <v>42840256</v>
      </c>
    </row>
    <row r="27" spans="1:297" s="8" customFormat="1" ht="13.5" thickBot="1">
      <c r="A27" s="75"/>
      <c r="B27" s="72"/>
      <c r="C27" s="74"/>
      <c r="D27" s="549"/>
      <c r="E27" s="675"/>
      <c r="F27" s="549"/>
      <c r="G27" s="675"/>
      <c r="H27" s="549"/>
      <c r="I27" s="675"/>
      <c r="J27" s="549"/>
      <c r="K27" s="675"/>
      <c r="L27" s="549"/>
      <c r="M27" s="675"/>
      <c r="N27" s="549"/>
      <c r="O27" s="675"/>
      <c r="P27" s="549"/>
      <c r="Q27" s="675"/>
      <c r="R27" s="549"/>
      <c r="S27" s="675"/>
      <c r="T27" s="549"/>
      <c r="U27" s="675"/>
      <c r="V27" s="549"/>
      <c r="W27" s="675"/>
      <c r="X27" s="549"/>
      <c r="Y27" s="675"/>
      <c r="Z27" s="549"/>
      <c r="AA27" s="675"/>
      <c r="AB27" s="549"/>
      <c r="AC27" s="675"/>
      <c r="AD27" s="549"/>
      <c r="AE27" s="675"/>
      <c r="AF27" s="549"/>
      <c r="AG27" s="675"/>
      <c r="AH27" s="549"/>
      <c r="AI27" s="675"/>
      <c r="AJ27" s="549"/>
      <c r="AK27" s="675"/>
      <c r="AL27" s="549"/>
      <c r="AM27" s="675"/>
      <c r="AN27" s="549"/>
      <c r="AO27" s="675"/>
      <c r="AP27" s="549"/>
      <c r="AQ27" s="675"/>
      <c r="AR27" s="549"/>
      <c r="AS27" s="675"/>
      <c r="AT27" s="549"/>
      <c r="AU27" s="675"/>
      <c r="AV27" s="549"/>
      <c r="AW27" s="675"/>
      <c r="AX27" s="549"/>
      <c r="AY27" s="675"/>
      <c r="AZ27" s="549"/>
      <c r="BA27" s="675"/>
      <c r="BB27" s="549"/>
      <c r="BC27" s="675"/>
      <c r="BD27" s="549"/>
      <c r="BE27" s="675"/>
      <c r="BF27" s="549"/>
      <c r="BG27" s="675"/>
      <c r="BH27" s="549"/>
      <c r="BI27" s="675"/>
      <c r="BJ27" s="549"/>
      <c r="BK27" s="675"/>
      <c r="BL27" s="549"/>
      <c r="BM27" s="675"/>
      <c r="BN27" s="549"/>
      <c r="BO27" s="675"/>
      <c r="BP27" s="549"/>
      <c r="BQ27" s="675"/>
      <c r="BR27" s="549"/>
      <c r="BS27" s="675"/>
      <c r="BT27" s="549"/>
      <c r="BU27" s="675"/>
      <c r="BV27" s="549"/>
      <c r="BW27" s="675"/>
      <c r="BX27" s="549"/>
      <c r="BY27" s="675"/>
      <c r="BZ27" s="549"/>
      <c r="CA27" s="675"/>
      <c r="CB27" s="549"/>
      <c r="CC27" s="675"/>
      <c r="CD27" s="549"/>
      <c r="CE27" s="675"/>
      <c r="CF27" s="549"/>
      <c r="CG27" s="675"/>
      <c r="CH27" s="549"/>
      <c r="CI27" s="675"/>
      <c r="CJ27" s="549"/>
      <c r="CK27" s="675"/>
      <c r="CL27" s="549"/>
      <c r="CM27" s="675"/>
      <c r="CN27" s="549"/>
      <c r="CO27" s="675"/>
      <c r="CP27" s="549"/>
      <c r="CQ27" s="675"/>
      <c r="CR27" s="549"/>
      <c r="CS27" s="675"/>
      <c r="CT27" s="549"/>
      <c r="CU27" s="675"/>
      <c r="CV27" s="549"/>
      <c r="CW27" s="675"/>
      <c r="CX27" s="549"/>
      <c r="CY27" s="675"/>
      <c r="CZ27" s="549"/>
      <c r="DA27" s="675"/>
      <c r="DB27" s="549"/>
      <c r="DC27" s="675"/>
      <c r="DD27" s="549"/>
      <c r="DE27" s="675"/>
      <c r="DF27" s="549"/>
      <c r="DG27" s="675"/>
      <c r="DH27" s="549"/>
      <c r="DI27" s="675"/>
      <c r="DJ27" s="549"/>
      <c r="DK27" s="675"/>
      <c r="DL27" s="549"/>
      <c r="DM27" s="675"/>
      <c r="DN27" s="549"/>
      <c r="DO27" s="675"/>
      <c r="DP27" s="549"/>
      <c r="DQ27" s="675"/>
      <c r="DR27" s="549"/>
      <c r="DS27" s="675"/>
      <c r="DT27" s="549"/>
      <c r="DU27" s="675"/>
      <c r="DV27" s="549"/>
      <c r="DW27" s="675"/>
      <c r="DX27" s="549"/>
      <c r="DY27" s="675"/>
      <c r="DZ27" s="549"/>
      <c r="EA27" s="675"/>
      <c r="EB27" s="549"/>
      <c r="EC27" s="675"/>
      <c r="ED27" s="549"/>
      <c r="EE27" s="675"/>
      <c r="EF27" s="549"/>
      <c r="EG27" s="675"/>
      <c r="EH27" s="549"/>
      <c r="EI27" s="675"/>
      <c r="EJ27" s="549"/>
      <c r="EK27" s="675"/>
      <c r="EL27" s="549"/>
      <c r="EM27" s="675"/>
      <c r="EN27" s="549"/>
      <c r="EO27" s="675"/>
      <c r="EP27" s="549"/>
      <c r="EQ27" s="675"/>
      <c r="ER27" s="549"/>
      <c r="ES27" s="675"/>
      <c r="ET27" s="549"/>
      <c r="EU27" s="675"/>
      <c r="EV27" s="549"/>
      <c r="EW27" s="675"/>
      <c r="EX27" s="549"/>
      <c r="EY27" s="675"/>
      <c r="EZ27" s="549"/>
      <c r="FA27" s="675"/>
      <c r="FB27" s="549"/>
      <c r="FC27" s="675"/>
      <c r="FD27" s="549"/>
      <c r="FE27" s="675"/>
      <c r="FF27" s="549"/>
      <c r="FG27" s="675"/>
      <c r="FH27" s="549"/>
      <c r="FI27" s="675"/>
      <c r="FJ27" s="549"/>
      <c r="FK27" s="675"/>
      <c r="FL27" s="549"/>
      <c r="FM27" s="675"/>
      <c r="FN27" s="549"/>
      <c r="FO27" s="675"/>
      <c r="FP27" s="549"/>
      <c r="FQ27" s="675"/>
      <c r="FR27" s="549"/>
      <c r="FS27" s="675"/>
      <c r="FT27" s="549"/>
      <c r="FU27" s="675"/>
      <c r="FV27" s="549"/>
      <c r="FW27" s="675"/>
      <c r="FX27" s="549"/>
      <c r="FY27" s="675"/>
      <c r="FZ27" s="549"/>
      <c r="GA27" s="675"/>
      <c r="GB27" s="549"/>
      <c r="GC27" s="675"/>
      <c r="GD27" s="549"/>
      <c r="GE27" s="675"/>
      <c r="GF27" s="549"/>
      <c r="GG27" s="675"/>
      <c r="GH27" s="549"/>
      <c r="GI27" s="675"/>
      <c r="GJ27" s="549"/>
      <c r="GK27" s="675"/>
      <c r="GL27" s="549"/>
      <c r="GM27" s="675"/>
      <c r="GN27" s="549"/>
      <c r="GO27" s="675"/>
      <c r="GP27" s="74"/>
      <c r="GQ27" s="675"/>
      <c r="GR27" s="74"/>
      <c r="GS27" s="74"/>
      <c r="GT27" s="549"/>
      <c r="GU27" s="74"/>
      <c r="GV27" s="74"/>
      <c r="GW27" s="549"/>
      <c r="GX27" s="549"/>
      <c r="GY27" s="74"/>
      <c r="GZ27" s="74"/>
      <c r="HA27" s="74"/>
      <c r="HB27" s="74"/>
      <c r="HC27" s="74"/>
      <c r="HD27" s="74"/>
      <c r="HE27" s="74"/>
      <c r="HF27" s="74"/>
      <c r="HG27" s="74"/>
      <c r="HH27" s="74"/>
      <c r="HI27" s="74"/>
      <c r="HJ27" s="74"/>
      <c r="HK27" s="74"/>
      <c r="HL27" s="74"/>
      <c r="HM27" s="74"/>
      <c r="HN27" s="74"/>
      <c r="HO27" s="74"/>
      <c r="HP27" s="74"/>
      <c r="HQ27" s="74"/>
      <c r="HR27" s="74"/>
      <c r="HS27" s="74"/>
      <c r="HT27" s="74"/>
      <c r="HU27" s="74"/>
      <c r="HV27" s="74"/>
      <c r="HW27" s="74"/>
      <c r="HX27" s="74"/>
      <c r="HY27" s="74"/>
      <c r="HZ27" s="74"/>
      <c r="IA27" s="74"/>
      <c r="IB27" s="74"/>
      <c r="IC27" s="74"/>
      <c r="ID27" s="74"/>
      <c r="IE27" s="792"/>
      <c r="IF27" s="841"/>
      <c r="IG27" s="263"/>
      <c r="IH27" s="842"/>
      <c r="II27" s="155"/>
      <c r="IJ27" s="74"/>
      <c r="IK27" s="74"/>
      <c r="IL27" s="74"/>
      <c r="IM27" s="74"/>
      <c r="IN27" s="74"/>
      <c r="IO27" s="74"/>
      <c r="IP27" s="74"/>
      <c r="IQ27" s="74"/>
      <c r="IR27" s="74"/>
      <c r="IS27" s="74"/>
      <c r="IT27" s="74"/>
      <c r="IU27" s="74"/>
      <c r="IV27" s="74"/>
      <c r="IW27" s="74"/>
      <c r="IX27" s="74"/>
      <c r="IY27" s="74"/>
      <c r="IZ27" s="74"/>
      <c r="JA27" s="74"/>
      <c r="JB27" s="74"/>
      <c r="JC27" s="74"/>
      <c r="JD27" s="74"/>
      <c r="JE27" s="74"/>
      <c r="JF27" s="74"/>
      <c r="JG27" s="74"/>
      <c r="JH27" s="74"/>
      <c r="JI27" s="74"/>
      <c r="JJ27" s="74"/>
      <c r="JK27" s="74"/>
      <c r="JL27" s="74"/>
      <c r="JM27" s="74"/>
      <c r="JN27" s="74"/>
      <c r="JO27" s="74"/>
      <c r="JP27" s="74"/>
      <c r="JQ27" s="74"/>
      <c r="JR27" s="74"/>
      <c r="JS27" s="74"/>
      <c r="JT27" s="382"/>
      <c r="JU27" s="671"/>
      <c r="JV27" s="492"/>
      <c r="JW27" s="490"/>
      <c r="JX27" s="549"/>
      <c r="JY27" s="549"/>
      <c r="JZ27" s="581">
        <f t="shared" si="42"/>
        <v>0</v>
      </c>
      <c r="KA27" s="581">
        <f t="shared" si="43"/>
        <v>0</v>
      </c>
      <c r="KB27" s="549"/>
      <c r="KC27" s="709">
        <f t="shared" si="41"/>
        <v>0</v>
      </c>
      <c r="KD27" s="121"/>
      <c r="KE27" s="122" t="s">
        <v>535</v>
      </c>
      <c r="KF27" s="122" t="e">
        <f>SUM(KF28:KF31)</f>
        <v>#REF!</v>
      </c>
      <c r="KG27" s="122">
        <f>SUM(KG31:KG31)</f>
        <v>97437</v>
      </c>
      <c r="KH27" s="122">
        <f>SUM(KH31:KH31)</f>
        <v>93710</v>
      </c>
      <c r="KI27" s="122" t="e">
        <f>SUM(KI28:KI31)</f>
        <v>#REF!</v>
      </c>
      <c r="KJ27" s="122" t="e">
        <f>SUM(KJ28:KJ31)</f>
        <v>#REF!</v>
      </c>
      <c r="KK27" s="122" t="e">
        <f>SUM(KK28:KK31)</f>
        <v>#REF!</v>
      </c>
    </row>
    <row r="28" spans="1:297" s="8" customFormat="1">
      <c r="A28" s="75" t="s">
        <v>65</v>
      </c>
      <c r="B28" s="72" t="s">
        <v>66</v>
      </c>
      <c r="C28" s="74">
        <f t="shared" ref="C28:BP28" si="511">SUM(C257,C371,C590,C643)</f>
        <v>1014600</v>
      </c>
      <c r="D28" s="549">
        <f t="shared" si="511"/>
        <v>0</v>
      </c>
      <c r="E28" s="675">
        <f t="shared" si="511"/>
        <v>0</v>
      </c>
      <c r="F28" s="549">
        <f t="shared" si="511"/>
        <v>0</v>
      </c>
      <c r="G28" s="675">
        <f t="shared" si="511"/>
        <v>0</v>
      </c>
      <c r="H28" s="549">
        <f t="shared" si="511"/>
        <v>0</v>
      </c>
      <c r="I28" s="675">
        <f t="shared" si="511"/>
        <v>0</v>
      </c>
      <c r="J28" s="549">
        <f t="shared" si="511"/>
        <v>0</v>
      </c>
      <c r="K28" s="675">
        <f t="shared" si="511"/>
        <v>0</v>
      </c>
      <c r="L28" s="549">
        <f t="shared" si="511"/>
        <v>0</v>
      </c>
      <c r="M28" s="675">
        <f t="shared" si="511"/>
        <v>0</v>
      </c>
      <c r="N28" s="549">
        <f t="shared" si="511"/>
        <v>0</v>
      </c>
      <c r="O28" s="675">
        <f t="shared" si="511"/>
        <v>0</v>
      </c>
      <c r="P28" s="549">
        <f t="shared" si="511"/>
        <v>0</v>
      </c>
      <c r="Q28" s="675">
        <f t="shared" si="511"/>
        <v>0</v>
      </c>
      <c r="R28" s="549">
        <f t="shared" si="511"/>
        <v>0</v>
      </c>
      <c r="S28" s="675">
        <f t="shared" si="511"/>
        <v>0</v>
      </c>
      <c r="T28" s="549">
        <f t="shared" si="511"/>
        <v>0</v>
      </c>
      <c r="U28" s="675">
        <f t="shared" si="511"/>
        <v>0</v>
      </c>
      <c r="V28" s="549">
        <f t="shared" si="511"/>
        <v>0</v>
      </c>
      <c r="W28" s="675">
        <f t="shared" si="511"/>
        <v>0</v>
      </c>
      <c r="X28" s="549">
        <f t="shared" si="511"/>
        <v>0</v>
      </c>
      <c r="Y28" s="675">
        <f t="shared" si="511"/>
        <v>0</v>
      </c>
      <c r="Z28" s="549">
        <f t="shared" si="511"/>
        <v>0</v>
      </c>
      <c r="AA28" s="675">
        <f t="shared" si="511"/>
        <v>0</v>
      </c>
      <c r="AB28" s="549">
        <f t="shared" si="511"/>
        <v>0</v>
      </c>
      <c r="AC28" s="675">
        <f t="shared" si="511"/>
        <v>0</v>
      </c>
      <c r="AD28" s="549">
        <f t="shared" si="511"/>
        <v>0</v>
      </c>
      <c r="AE28" s="675">
        <f t="shared" si="511"/>
        <v>0</v>
      </c>
      <c r="AF28" s="549">
        <f t="shared" si="511"/>
        <v>0</v>
      </c>
      <c r="AG28" s="675">
        <f t="shared" si="511"/>
        <v>0</v>
      </c>
      <c r="AH28" s="549">
        <f t="shared" si="511"/>
        <v>0</v>
      </c>
      <c r="AI28" s="675">
        <f t="shared" si="511"/>
        <v>0</v>
      </c>
      <c r="AJ28" s="549">
        <f t="shared" si="511"/>
        <v>0</v>
      </c>
      <c r="AK28" s="675">
        <f t="shared" si="511"/>
        <v>0</v>
      </c>
      <c r="AL28" s="549">
        <f t="shared" si="511"/>
        <v>0</v>
      </c>
      <c r="AM28" s="675">
        <f t="shared" si="511"/>
        <v>0</v>
      </c>
      <c r="AN28" s="549">
        <f t="shared" si="511"/>
        <v>0</v>
      </c>
      <c r="AO28" s="675">
        <f t="shared" si="511"/>
        <v>-69058</v>
      </c>
      <c r="AP28" s="549">
        <f t="shared" si="511"/>
        <v>0</v>
      </c>
      <c r="AQ28" s="675">
        <f t="shared" si="511"/>
        <v>0</v>
      </c>
      <c r="AR28" s="549">
        <f t="shared" si="511"/>
        <v>0</v>
      </c>
      <c r="AS28" s="675">
        <f t="shared" si="511"/>
        <v>0</v>
      </c>
      <c r="AT28" s="549">
        <f t="shared" ref="AT28:AU28" si="512">SUM(AT257,AT371,AT590,AT643)</f>
        <v>0</v>
      </c>
      <c r="AU28" s="675">
        <f t="shared" si="512"/>
        <v>0</v>
      </c>
      <c r="AV28" s="549">
        <f t="shared" ref="AV28:AW28" si="513">SUM(AV257,AV371,AV590,AV643)</f>
        <v>0</v>
      </c>
      <c r="AW28" s="675">
        <f t="shared" si="513"/>
        <v>0</v>
      </c>
      <c r="AX28" s="549">
        <f t="shared" ref="AX28:AY28" si="514">SUM(AX257,AX371,AX590,AX643)</f>
        <v>0</v>
      </c>
      <c r="AY28" s="675">
        <f t="shared" si="514"/>
        <v>0</v>
      </c>
      <c r="AZ28" s="549">
        <f t="shared" ref="AZ28:BA28" si="515">SUM(AZ257,AZ371,AZ590,AZ643)</f>
        <v>0</v>
      </c>
      <c r="BA28" s="675">
        <f t="shared" si="515"/>
        <v>0</v>
      </c>
      <c r="BB28" s="549">
        <f t="shared" ref="BB28:BC28" si="516">SUM(BB257,BB371,BB590,BB643)</f>
        <v>0</v>
      </c>
      <c r="BC28" s="675">
        <f t="shared" si="516"/>
        <v>0</v>
      </c>
      <c r="BD28" s="549">
        <f t="shared" ref="BD28:BE28" si="517">SUM(BD257,BD371,BD590,BD643)</f>
        <v>0</v>
      </c>
      <c r="BE28" s="675">
        <f t="shared" si="517"/>
        <v>0</v>
      </c>
      <c r="BF28" s="549">
        <f t="shared" ref="BF28:BG28" si="518">SUM(BF257,BF371,BF590,BF643)</f>
        <v>0</v>
      </c>
      <c r="BG28" s="675">
        <f t="shared" si="518"/>
        <v>0</v>
      </c>
      <c r="BH28" s="549">
        <f t="shared" ref="BH28:BI28" si="519">SUM(BH257,BH371,BH590,BH643)</f>
        <v>0</v>
      </c>
      <c r="BI28" s="675">
        <f t="shared" si="519"/>
        <v>0</v>
      </c>
      <c r="BJ28" s="549">
        <f t="shared" ref="BJ28:BK28" si="520">SUM(BJ257,BJ371,BJ590,BJ643)</f>
        <v>0</v>
      </c>
      <c r="BK28" s="675">
        <f t="shared" si="520"/>
        <v>0</v>
      </c>
      <c r="BL28" s="549">
        <f t="shared" si="511"/>
        <v>0</v>
      </c>
      <c r="BM28" s="675">
        <f t="shared" si="511"/>
        <v>0</v>
      </c>
      <c r="BN28" s="549">
        <f t="shared" si="511"/>
        <v>0</v>
      </c>
      <c r="BO28" s="675">
        <f t="shared" si="511"/>
        <v>0</v>
      </c>
      <c r="BP28" s="549">
        <f t="shared" si="511"/>
        <v>0</v>
      </c>
      <c r="BQ28" s="675">
        <f t="shared" ref="BQ28" si="521">SUM(BQ257,BQ371,BQ590,BQ643)</f>
        <v>0</v>
      </c>
      <c r="BR28" s="549">
        <f t="shared" ref="BR28:BS28" si="522">SUM(BR257,BR371,BR590,BR643)</f>
        <v>0</v>
      </c>
      <c r="BS28" s="675">
        <f t="shared" si="522"/>
        <v>0</v>
      </c>
      <c r="BT28" s="549">
        <f t="shared" ref="BT28:BU28" si="523">SUM(BT257,BT371,BT590,BT643)</f>
        <v>0</v>
      </c>
      <c r="BU28" s="675">
        <f t="shared" si="523"/>
        <v>0</v>
      </c>
      <c r="BV28" s="549">
        <f t="shared" ref="BV28:BW28" si="524">SUM(BV257,BV371,BV590,BV643)</f>
        <v>0</v>
      </c>
      <c r="BW28" s="675">
        <f t="shared" si="524"/>
        <v>0</v>
      </c>
      <c r="BX28" s="549">
        <f t="shared" ref="BX28:BY28" si="525">SUM(BX257,BX371,BX590,BX643)</f>
        <v>0</v>
      </c>
      <c r="BY28" s="675">
        <f t="shared" si="525"/>
        <v>0</v>
      </c>
      <c r="BZ28" s="549">
        <f t="shared" ref="BZ28:CA28" si="526">SUM(BZ257,BZ371,BZ590,BZ643)</f>
        <v>0</v>
      </c>
      <c r="CA28" s="675">
        <f t="shared" si="526"/>
        <v>0</v>
      </c>
      <c r="CB28" s="549">
        <f t="shared" ref="CB28:EC28" si="527">SUM(CB257,CB371,CB590,CB643)</f>
        <v>0</v>
      </c>
      <c r="CC28" s="675">
        <f t="shared" si="527"/>
        <v>0</v>
      </c>
      <c r="CD28" s="549">
        <f t="shared" si="527"/>
        <v>0</v>
      </c>
      <c r="CE28" s="675">
        <f t="shared" si="527"/>
        <v>0</v>
      </c>
      <c r="CF28" s="549">
        <f t="shared" si="527"/>
        <v>0</v>
      </c>
      <c r="CG28" s="675">
        <f t="shared" si="527"/>
        <v>0</v>
      </c>
      <c r="CH28" s="549">
        <f t="shared" si="527"/>
        <v>0</v>
      </c>
      <c r="CI28" s="675">
        <f t="shared" si="527"/>
        <v>0</v>
      </c>
      <c r="CJ28" s="549">
        <f t="shared" si="527"/>
        <v>0</v>
      </c>
      <c r="CK28" s="675">
        <f t="shared" si="527"/>
        <v>0</v>
      </c>
      <c r="CL28" s="549">
        <f t="shared" si="527"/>
        <v>0</v>
      </c>
      <c r="CM28" s="675">
        <f t="shared" si="527"/>
        <v>0</v>
      </c>
      <c r="CN28" s="549">
        <f t="shared" si="527"/>
        <v>0</v>
      </c>
      <c r="CO28" s="675">
        <f t="shared" si="527"/>
        <v>0</v>
      </c>
      <c r="CP28" s="549">
        <f t="shared" si="527"/>
        <v>0</v>
      </c>
      <c r="CQ28" s="675">
        <f t="shared" si="527"/>
        <v>-20655</v>
      </c>
      <c r="CR28" s="549">
        <f t="shared" si="527"/>
        <v>0</v>
      </c>
      <c r="CS28" s="675">
        <f t="shared" si="527"/>
        <v>0</v>
      </c>
      <c r="CT28" s="549">
        <f t="shared" si="527"/>
        <v>0</v>
      </c>
      <c r="CU28" s="675">
        <f t="shared" si="527"/>
        <v>0</v>
      </c>
      <c r="CV28" s="549">
        <f t="shared" si="527"/>
        <v>0</v>
      </c>
      <c r="CW28" s="675">
        <f t="shared" si="527"/>
        <v>0</v>
      </c>
      <c r="CX28" s="549">
        <f t="shared" si="527"/>
        <v>0</v>
      </c>
      <c r="CY28" s="675">
        <f t="shared" si="527"/>
        <v>0</v>
      </c>
      <c r="CZ28" s="549">
        <f t="shared" si="527"/>
        <v>0</v>
      </c>
      <c r="DA28" s="675">
        <f t="shared" si="527"/>
        <v>0</v>
      </c>
      <c r="DB28" s="549">
        <f t="shared" si="527"/>
        <v>0</v>
      </c>
      <c r="DC28" s="675">
        <f t="shared" si="527"/>
        <v>0</v>
      </c>
      <c r="DD28" s="549">
        <f t="shared" si="527"/>
        <v>0</v>
      </c>
      <c r="DE28" s="675">
        <f t="shared" si="527"/>
        <v>0</v>
      </c>
      <c r="DF28" s="549">
        <f t="shared" si="527"/>
        <v>0</v>
      </c>
      <c r="DG28" s="675">
        <f t="shared" si="527"/>
        <v>0</v>
      </c>
      <c r="DH28" s="549">
        <f t="shared" si="527"/>
        <v>0</v>
      </c>
      <c r="DI28" s="675">
        <f t="shared" si="527"/>
        <v>0</v>
      </c>
      <c r="DJ28" s="549">
        <f t="shared" si="527"/>
        <v>0</v>
      </c>
      <c r="DK28" s="675">
        <f t="shared" si="527"/>
        <v>0</v>
      </c>
      <c r="DL28" s="549">
        <f t="shared" si="527"/>
        <v>0</v>
      </c>
      <c r="DM28" s="675">
        <f t="shared" si="527"/>
        <v>0</v>
      </c>
      <c r="DN28" s="549">
        <f t="shared" si="527"/>
        <v>0</v>
      </c>
      <c r="DO28" s="675">
        <f t="shared" si="527"/>
        <v>0</v>
      </c>
      <c r="DP28" s="549">
        <f t="shared" si="527"/>
        <v>0</v>
      </c>
      <c r="DQ28" s="675">
        <f t="shared" si="527"/>
        <v>0</v>
      </c>
      <c r="DR28" s="549">
        <f t="shared" si="527"/>
        <v>0</v>
      </c>
      <c r="DS28" s="675">
        <f t="shared" si="527"/>
        <v>0</v>
      </c>
      <c r="DT28" s="549">
        <f t="shared" si="527"/>
        <v>0</v>
      </c>
      <c r="DU28" s="675">
        <f t="shared" si="527"/>
        <v>0</v>
      </c>
      <c r="DV28" s="549">
        <f t="shared" si="527"/>
        <v>0</v>
      </c>
      <c r="DW28" s="675">
        <f t="shared" si="527"/>
        <v>0</v>
      </c>
      <c r="DX28" s="549">
        <f t="shared" si="527"/>
        <v>0</v>
      </c>
      <c r="DY28" s="675">
        <f t="shared" si="527"/>
        <v>0</v>
      </c>
      <c r="DZ28" s="549">
        <f t="shared" si="527"/>
        <v>0</v>
      </c>
      <c r="EA28" s="675">
        <f t="shared" si="527"/>
        <v>0</v>
      </c>
      <c r="EB28" s="549">
        <f t="shared" si="527"/>
        <v>0</v>
      </c>
      <c r="EC28" s="675">
        <f t="shared" si="527"/>
        <v>-3660</v>
      </c>
      <c r="ED28" s="549">
        <f t="shared" ref="ED28:EE28" si="528">SUM(ED257,ED371,ED590,ED643)</f>
        <v>0</v>
      </c>
      <c r="EE28" s="675">
        <f t="shared" si="528"/>
        <v>-48000</v>
      </c>
      <c r="EF28" s="549">
        <f t="shared" ref="EF28:HV28" si="529">SUM(EF257,EF371,EF590,EF643)</f>
        <v>0</v>
      </c>
      <c r="EG28" s="675">
        <f t="shared" si="529"/>
        <v>0</v>
      </c>
      <c r="EH28" s="549">
        <f t="shared" si="529"/>
        <v>0</v>
      </c>
      <c r="EI28" s="675">
        <f t="shared" si="529"/>
        <v>0</v>
      </c>
      <c r="EJ28" s="549">
        <f t="shared" si="529"/>
        <v>0</v>
      </c>
      <c r="EK28" s="675">
        <f t="shared" si="529"/>
        <v>0</v>
      </c>
      <c r="EL28" s="549">
        <f t="shared" si="529"/>
        <v>0</v>
      </c>
      <c r="EM28" s="675">
        <f t="shared" si="529"/>
        <v>0</v>
      </c>
      <c r="EN28" s="549">
        <f t="shared" si="529"/>
        <v>0</v>
      </c>
      <c r="EO28" s="675">
        <f t="shared" si="529"/>
        <v>0</v>
      </c>
      <c r="EP28" s="549">
        <f t="shared" si="529"/>
        <v>0</v>
      </c>
      <c r="EQ28" s="675">
        <f t="shared" si="529"/>
        <v>0</v>
      </c>
      <c r="ER28" s="549">
        <f t="shared" si="529"/>
        <v>0</v>
      </c>
      <c r="ES28" s="675">
        <f t="shared" si="529"/>
        <v>0</v>
      </c>
      <c r="ET28" s="549">
        <f t="shared" si="529"/>
        <v>0</v>
      </c>
      <c r="EU28" s="675">
        <f t="shared" si="529"/>
        <v>0</v>
      </c>
      <c r="EV28" s="549">
        <f t="shared" si="529"/>
        <v>0</v>
      </c>
      <c r="EW28" s="675">
        <f t="shared" si="529"/>
        <v>0</v>
      </c>
      <c r="EX28" s="549">
        <f t="shared" si="529"/>
        <v>0</v>
      </c>
      <c r="EY28" s="675">
        <f t="shared" si="529"/>
        <v>0</v>
      </c>
      <c r="EZ28" s="549">
        <f t="shared" si="529"/>
        <v>0</v>
      </c>
      <c r="FA28" s="675">
        <f t="shared" si="529"/>
        <v>-15400</v>
      </c>
      <c r="FB28" s="549">
        <f t="shared" si="529"/>
        <v>0</v>
      </c>
      <c r="FC28" s="675">
        <f t="shared" si="529"/>
        <v>0</v>
      </c>
      <c r="FD28" s="549">
        <f t="shared" si="529"/>
        <v>0</v>
      </c>
      <c r="FE28" s="675">
        <f t="shared" si="529"/>
        <v>0</v>
      </c>
      <c r="FF28" s="549">
        <f t="shared" si="529"/>
        <v>0</v>
      </c>
      <c r="FG28" s="675">
        <f t="shared" si="529"/>
        <v>0</v>
      </c>
      <c r="FH28" s="549">
        <f t="shared" si="529"/>
        <v>0</v>
      </c>
      <c r="FI28" s="675">
        <f t="shared" si="529"/>
        <v>-4200</v>
      </c>
      <c r="FJ28" s="549">
        <f t="shared" si="529"/>
        <v>0</v>
      </c>
      <c r="FK28" s="675">
        <f t="shared" si="529"/>
        <v>0</v>
      </c>
      <c r="FL28" s="549">
        <f t="shared" ref="FL28:FM28" si="530">SUM(FL257,FL371,FL590,FL643)</f>
        <v>0</v>
      </c>
      <c r="FM28" s="675">
        <f t="shared" si="530"/>
        <v>0</v>
      </c>
      <c r="FN28" s="549">
        <f t="shared" ref="FN28:FO28" si="531">SUM(FN257,FN371,FN590,FN643)</f>
        <v>0</v>
      </c>
      <c r="FO28" s="675">
        <f t="shared" si="531"/>
        <v>0</v>
      </c>
      <c r="FP28" s="549">
        <f t="shared" ref="FP28:FQ28" si="532">SUM(FP257,FP371,FP590,FP643)</f>
        <v>0</v>
      </c>
      <c r="FQ28" s="675">
        <f t="shared" si="532"/>
        <v>0</v>
      </c>
      <c r="FR28" s="549">
        <f t="shared" ref="FR28:FS28" si="533">SUM(FR257,FR371,FR590,FR643)</f>
        <v>0</v>
      </c>
      <c r="FS28" s="675">
        <f t="shared" si="533"/>
        <v>0</v>
      </c>
      <c r="FT28" s="549">
        <f t="shared" ref="FT28:FU28" si="534">SUM(FT257,FT371,FT590,FT643)</f>
        <v>0</v>
      </c>
      <c r="FU28" s="675">
        <f t="shared" si="534"/>
        <v>0</v>
      </c>
      <c r="FV28" s="549">
        <f t="shared" ref="FV28:GK28" si="535">SUM(FV257,FV371,FV590,FV643)</f>
        <v>0</v>
      </c>
      <c r="FW28" s="675">
        <f t="shared" si="535"/>
        <v>0</v>
      </c>
      <c r="FX28" s="549">
        <f t="shared" si="535"/>
        <v>0</v>
      </c>
      <c r="FY28" s="675">
        <f t="shared" si="535"/>
        <v>0</v>
      </c>
      <c r="FZ28" s="549">
        <f t="shared" ref="FZ28:GI28" si="536">SUM(FZ257,FZ371,FZ590,FZ643)</f>
        <v>0</v>
      </c>
      <c r="GA28" s="675">
        <f t="shared" si="536"/>
        <v>0</v>
      </c>
      <c r="GB28" s="549">
        <f t="shared" si="536"/>
        <v>0</v>
      </c>
      <c r="GC28" s="675">
        <f t="shared" si="536"/>
        <v>0</v>
      </c>
      <c r="GD28" s="549">
        <f t="shared" si="536"/>
        <v>0</v>
      </c>
      <c r="GE28" s="675">
        <f t="shared" si="536"/>
        <v>0</v>
      </c>
      <c r="GF28" s="549">
        <f t="shared" si="536"/>
        <v>0</v>
      </c>
      <c r="GG28" s="675">
        <f t="shared" si="536"/>
        <v>0</v>
      </c>
      <c r="GH28" s="549">
        <f t="shared" si="536"/>
        <v>0</v>
      </c>
      <c r="GI28" s="675">
        <f t="shared" si="536"/>
        <v>0</v>
      </c>
      <c r="GJ28" s="549">
        <f t="shared" si="535"/>
        <v>0</v>
      </c>
      <c r="GK28" s="675">
        <f t="shared" si="535"/>
        <v>0</v>
      </c>
      <c r="GL28" s="549">
        <f t="shared" ref="GL28:GM28" si="537">SUM(GL257,GL371,GL590,GL643)</f>
        <v>0</v>
      </c>
      <c r="GM28" s="675">
        <f t="shared" si="537"/>
        <v>0</v>
      </c>
      <c r="GN28" s="549">
        <f t="shared" ref="GN28:GO28" si="538">SUM(GN257,GN371,GN590,GN643)</f>
        <v>0</v>
      </c>
      <c r="GO28" s="675">
        <f t="shared" si="538"/>
        <v>0</v>
      </c>
      <c r="GP28" s="74">
        <f t="shared" si="529"/>
        <v>0</v>
      </c>
      <c r="GQ28" s="675">
        <f t="shared" si="529"/>
        <v>-160973</v>
      </c>
      <c r="GR28" s="74">
        <f t="shared" si="529"/>
        <v>853627</v>
      </c>
      <c r="GS28" s="74">
        <f t="shared" si="529"/>
        <v>515428</v>
      </c>
      <c r="GT28" s="549">
        <f t="shared" si="529"/>
        <v>853627</v>
      </c>
      <c r="GU28" s="74">
        <f>SUM(GU257,GU371,GU590,GU643)</f>
        <v>0</v>
      </c>
      <c r="GV28" s="74">
        <f t="shared" si="529"/>
        <v>338202</v>
      </c>
      <c r="GW28" s="549">
        <f t="shared" si="529"/>
        <v>0</v>
      </c>
      <c r="GX28" s="549">
        <f t="shared" si="529"/>
        <v>0</v>
      </c>
      <c r="GY28" s="74">
        <f t="shared" si="529"/>
        <v>0</v>
      </c>
      <c r="GZ28" s="74">
        <f t="shared" si="529"/>
        <v>0</v>
      </c>
      <c r="HA28" s="74">
        <f t="shared" si="529"/>
        <v>0</v>
      </c>
      <c r="HB28" s="74">
        <f t="shared" si="529"/>
        <v>338199</v>
      </c>
      <c r="HC28" s="74">
        <f t="shared" si="529"/>
        <v>0</v>
      </c>
      <c r="HD28" s="74">
        <f t="shared" si="529"/>
        <v>0</v>
      </c>
      <c r="HE28" s="74">
        <f t="shared" si="529"/>
        <v>338199</v>
      </c>
      <c r="HF28" s="74">
        <f t="shared" si="529"/>
        <v>0</v>
      </c>
      <c r="HG28" s="74">
        <f t="shared" si="529"/>
        <v>545261</v>
      </c>
      <c r="HH28" s="74">
        <f t="shared" si="529"/>
        <v>0</v>
      </c>
      <c r="HI28" s="74">
        <f t="shared" si="529"/>
        <v>0</v>
      </c>
      <c r="HJ28" s="74">
        <f t="shared" si="529"/>
        <v>8979.89</v>
      </c>
      <c r="HK28" s="74">
        <f t="shared" si="529"/>
        <v>308368</v>
      </c>
      <c r="HL28" s="74">
        <f t="shared" si="529"/>
        <v>0</v>
      </c>
      <c r="HM28" s="74">
        <f t="shared" si="529"/>
        <v>0</v>
      </c>
      <c r="HN28" s="74">
        <f t="shared" si="529"/>
        <v>0</v>
      </c>
      <c r="HO28" s="74">
        <f t="shared" si="529"/>
        <v>0</v>
      </c>
      <c r="HP28" s="74">
        <f t="shared" si="529"/>
        <v>0</v>
      </c>
      <c r="HQ28" s="74">
        <f t="shared" si="529"/>
        <v>0</v>
      </c>
      <c r="HR28" s="74">
        <f t="shared" si="529"/>
        <v>0</v>
      </c>
      <c r="HS28" s="74">
        <f t="shared" si="529"/>
        <v>0</v>
      </c>
      <c r="HT28" s="74">
        <f t="shared" si="529"/>
        <v>0</v>
      </c>
      <c r="HU28" s="74">
        <f t="shared" si="529"/>
        <v>0</v>
      </c>
      <c r="HV28" s="74">
        <f t="shared" si="529"/>
        <v>10945.03</v>
      </c>
      <c r="HW28" s="74">
        <f t="shared" ref="HW28:JT28" si="539">SUM(HW257,HW371,HW590,HW643)</f>
        <v>308366</v>
      </c>
      <c r="HX28" s="74">
        <f t="shared" si="539"/>
        <v>22235.09</v>
      </c>
      <c r="HY28" s="74">
        <f t="shared" si="539"/>
        <v>0</v>
      </c>
      <c r="HZ28" s="74">
        <f t="shared" si="539"/>
        <v>7624.989999999998</v>
      </c>
      <c r="IA28" s="74">
        <f t="shared" si="539"/>
        <v>0</v>
      </c>
      <c r="IB28" s="74">
        <f t="shared" si="539"/>
        <v>0</v>
      </c>
      <c r="IC28" s="74">
        <f t="shared" si="539"/>
        <v>0</v>
      </c>
      <c r="ID28" s="74">
        <f t="shared" si="539"/>
        <v>0</v>
      </c>
      <c r="IE28" s="792">
        <f t="shared" si="539"/>
        <v>0</v>
      </c>
      <c r="IF28" s="841">
        <f t="shared" si="539"/>
        <v>511862.24000000005</v>
      </c>
      <c r="IG28" s="263">
        <f t="shared" si="539"/>
        <v>511862.24000000005</v>
      </c>
      <c r="IH28" s="842">
        <f t="shared" si="539"/>
        <v>511862.24000000005</v>
      </c>
      <c r="II28" s="155">
        <f t="shared" si="539"/>
        <v>0</v>
      </c>
      <c r="IJ28" s="74">
        <f t="shared" si="539"/>
        <v>0</v>
      </c>
      <c r="IK28" s="74">
        <f t="shared" si="539"/>
        <v>0</v>
      </c>
      <c r="IL28" s="74">
        <f t="shared" si="539"/>
        <v>248288.96000000002</v>
      </c>
      <c r="IM28" s="74">
        <f t="shared" si="539"/>
        <v>248288.96000000002</v>
      </c>
      <c r="IN28" s="74">
        <f t="shared" si="539"/>
        <v>248288.96000000002</v>
      </c>
      <c r="IO28" s="74">
        <f t="shared" si="539"/>
        <v>0</v>
      </c>
      <c r="IP28" s="74">
        <f t="shared" si="539"/>
        <v>0</v>
      </c>
      <c r="IQ28" s="74">
        <f t="shared" si="539"/>
        <v>0</v>
      </c>
      <c r="IR28" s="74">
        <f t="shared" si="539"/>
        <v>0</v>
      </c>
      <c r="IS28" s="74">
        <f t="shared" si="539"/>
        <v>0</v>
      </c>
      <c r="IT28" s="74">
        <f t="shared" si="539"/>
        <v>0</v>
      </c>
      <c r="IU28" s="74">
        <f t="shared" si="539"/>
        <v>0</v>
      </c>
      <c r="IV28" s="74">
        <f t="shared" si="539"/>
        <v>0</v>
      </c>
      <c r="IW28" s="74">
        <f t="shared" si="539"/>
        <v>0</v>
      </c>
      <c r="IX28" s="74">
        <f t="shared" si="539"/>
        <v>0</v>
      </c>
      <c r="IY28" s="74">
        <f t="shared" si="539"/>
        <v>0</v>
      </c>
      <c r="IZ28" s="74">
        <f t="shared" si="539"/>
        <v>0</v>
      </c>
      <c r="JA28" s="74">
        <f t="shared" si="539"/>
        <v>0</v>
      </c>
      <c r="JB28" s="74">
        <f t="shared" si="539"/>
        <v>0</v>
      </c>
      <c r="JC28" s="74">
        <f t="shared" si="539"/>
        <v>0</v>
      </c>
      <c r="JD28" s="74">
        <f t="shared" si="539"/>
        <v>263573.28000000003</v>
      </c>
      <c r="JE28" s="74">
        <f t="shared" si="539"/>
        <v>263573.28000000003</v>
      </c>
      <c r="JF28" s="74">
        <f t="shared" si="539"/>
        <v>263573.28000000003</v>
      </c>
      <c r="JG28" s="74">
        <f t="shared" si="539"/>
        <v>0</v>
      </c>
      <c r="JH28" s="74">
        <f t="shared" si="539"/>
        <v>0</v>
      </c>
      <c r="JI28" s="74">
        <f t="shared" si="539"/>
        <v>0</v>
      </c>
      <c r="JJ28" s="74">
        <f t="shared" si="539"/>
        <v>0</v>
      </c>
      <c r="JK28" s="74">
        <f t="shared" si="539"/>
        <v>0</v>
      </c>
      <c r="JL28" s="74">
        <f t="shared" si="539"/>
        <v>0</v>
      </c>
      <c r="JM28" s="74">
        <f t="shared" si="539"/>
        <v>0</v>
      </c>
      <c r="JN28" s="74">
        <f t="shared" si="539"/>
        <v>0</v>
      </c>
      <c r="JO28" s="74">
        <f t="shared" si="539"/>
        <v>0</v>
      </c>
      <c r="JP28" s="74">
        <f t="shared" si="539"/>
        <v>0</v>
      </c>
      <c r="JQ28" s="74">
        <f t="shared" si="539"/>
        <v>0</v>
      </c>
      <c r="JR28" s="74">
        <f t="shared" si="539"/>
        <v>0</v>
      </c>
      <c r="JS28" s="74">
        <f t="shared" si="539"/>
        <v>33398.75999999998</v>
      </c>
      <c r="JT28" s="382">
        <f t="shared" si="539"/>
        <v>3565.7599999999866</v>
      </c>
      <c r="JU28" s="671"/>
      <c r="JV28" s="492"/>
      <c r="JW28" s="490"/>
      <c r="JX28" s="549">
        <f>SUM(JX257,JX371,JX590,JX643)</f>
        <v>49784.999999999993</v>
      </c>
      <c r="JY28" s="549">
        <f>SUM(JY257,JY371,JY590,JY643)</f>
        <v>616734</v>
      </c>
      <c r="JZ28" s="581">
        <f t="shared" si="42"/>
        <v>0</v>
      </c>
      <c r="KA28" s="581">
        <f t="shared" si="43"/>
        <v>-160973</v>
      </c>
      <c r="KB28" s="549">
        <f>SUM(KB257,KB371,KB590,KB643)</f>
        <v>545261</v>
      </c>
      <c r="KC28" s="709">
        <f t="shared" si="41"/>
        <v>0</v>
      </c>
      <c r="KD28" s="126" t="s">
        <v>522</v>
      </c>
      <c r="KE28" s="127" t="s">
        <v>677</v>
      </c>
      <c r="KF28" s="127">
        <f>$C$273+$C$626</f>
        <v>1013700</v>
      </c>
      <c r="KG28" s="127">
        <f>GR273</f>
        <v>1061700</v>
      </c>
      <c r="KH28" s="127"/>
      <c r="KI28" s="127" t="e">
        <f>#REF!+GQ273+#REF!+GQ626</f>
        <v>#REF!</v>
      </c>
      <c r="KJ28" s="127">
        <f>$GR$273+GR626</f>
        <v>1064615</v>
      </c>
      <c r="KK28" s="127">
        <f>$HG$273+HG626</f>
        <v>972508</v>
      </c>
    </row>
    <row r="29" spans="1:297" s="8" customFormat="1">
      <c r="A29" s="75"/>
      <c r="B29" s="72"/>
      <c r="C29" s="74"/>
      <c r="D29" s="549"/>
      <c r="E29" s="675"/>
      <c r="F29" s="549"/>
      <c r="G29" s="675"/>
      <c r="H29" s="549"/>
      <c r="I29" s="675"/>
      <c r="J29" s="549"/>
      <c r="K29" s="675"/>
      <c r="L29" s="549"/>
      <c r="M29" s="675"/>
      <c r="N29" s="549"/>
      <c r="O29" s="675"/>
      <c r="P29" s="549"/>
      <c r="Q29" s="675"/>
      <c r="R29" s="549"/>
      <c r="S29" s="675"/>
      <c r="T29" s="549"/>
      <c r="U29" s="675"/>
      <c r="V29" s="549"/>
      <c r="W29" s="675"/>
      <c r="X29" s="549"/>
      <c r="Y29" s="675"/>
      <c r="Z29" s="549"/>
      <c r="AA29" s="675"/>
      <c r="AB29" s="549"/>
      <c r="AC29" s="675"/>
      <c r="AD29" s="549"/>
      <c r="AE29" s="675"/>
      <c r="AF29" s="549"/>
      <c r="AG29" s="675"/>
      <c r="AH29" s="549"/>
      <c r="AI29" s="675"/>
      <c r="AJ29" s="549"/>
      <c r="AK29" s="675"/>
      <c r="AL29" s="549"/>
      <c r="AM29" s="675"/>
      <c r="AN29" s="549"/>
      <c r="AO29" s="675"/>
      <c r="AP29" s="549"/>
      <c r="AQ29" s="675"/>
      <c r="AR29" s="549"/>
      <c r="AS29" s="675"/>
      <c r="AT29" s="549"/>
      <c r="AU29" s="675"/>
      <c r="AV29" s="549"/>
      <c r="AW29" s="675"/>
      <c r="AX29" s="549"/>
      <c r="AY29" s="675"/>
      <c r="AZ29" s="549"/>
      <c r="BA29" s="675"/>
      <c r="BB29" s="549"/>
      <c r="BC29" s="675"/>
      <c r="BD29" s="549"/>
      <c r="BE29" s="675"/>
      <c r="BF29" s="549"/>
      <c r="BG29" s="675"/>
      <c r="BH29" s="549"/>
      <c r="BI29" s="675"/>
      <c r="BJ29" s="549"/>
      <c r="BK29" s="675"/>
      <c r="BL29" s="549"/>
      <c r="BM29" s="675"/>
      <c r="BN29" s="549"/>
      <c r="BO29" s="675"/>
      <c r="BP29" s="549"/>
      <c r="BQ29" s="675"/>
      <c r="BR29" s="549"/>
      <c r="BS29" s="675"/>
      <c r="BT29" s="549"/>
      <c r="BU29" s="675"/>
      <c r="BV29" s="549"/>
      <c r="BW29" s="675"/>
      <c r="BX29" s="549"/>
      <c r="BY29" s="675"/>
      <c r="BZ29" s="549"/>
      <c r="CA29" s="675"/>
      <c r="CB29" s="549"/>
      <c r="CC29" s="675"/>
      <c r="CD29" s="549"/>
      <c r="CE29" s="675"/>
      <c r="CF29" s="549"/>
      <c r="CG29" s="675"/>
      <c r="CH29" s="549"/>
      <c r="CI29" s="675"/>
      <c r="CJ29" s="549"/>
      <c r="CK29" s="675"/>
      <c r="CL29" s="549"/>
      <c r="CM29" s="675"/>
      <c r="CN29" s="549"/>
      <c r="CO29" s="675"/>
      <c r="CP29" s="549"/>
      <c r="CQ29" s="675"/>
      <c r="CR29" s="549"/>
      <c r="CS29" s="675"/>
      <c r="CT29" s="549"/>
      <c r="CU29" s="675"/>
      <c r="CV29" s="549"/>
      <c r="CW29" s="675"/>
      <c r="CX29" s="549"/>
      <c r="CY29" s="675"/>
      <c r="CZ29" s="549"/>
      <c r="DA29" s="675"/>
      <c r="DB29" s="549"/>
      <c r="DC29" s="675"/>
      <c r="DD29" s="549"/>
      <c r="DE29" s="675"/>
      <c r="DF29" s="549"/>
      <c r="DG29" s="675"/>
      <c r="DH29" s="549"/>
      <c r="DI29" s="675"/>
      <c r="DJ29" s="549"/>
      <c r="DK29" s="675"/>
      <c r="DL29" s="549"/>
      <c r="DM29" s="675"/>
      <c r="DN29" s="549"/>
      <c r="DO29" s="675"/>
      <c r="DP29" s="549"/>
      <c r="DQ29" s="675"/>
      <c r="DR29" s="549"/>
      <c r="DS29" s="675"/>
      <c r="DT29" s="549"/>
      <c r="DU29" s="675"/>
      <c r="DV29" s="549"/>
      <c r="DW29" s="675"/>
      <c r="DX29" s="549"/>
      <c r="DY29" s="675"/>
      <c r="DZ29" s="549"/>
      <c r="EA29" s="675"/>
      <c r="EB29" s="549"/>
      <c r="EC29" s="675"/>
      <c r="ED29" s="549"/>
      <c r="EE29" s="675"/>
      <c r="EF29" s="549"/>
      <c r="EG29" s="675"/>
      <c r="EH29" s="549"/>
      <c r="EI29" s="675"/>
      <c r="EJ29" s="549"/>
      <c r="EK29" s="675"/>
      <c r="EL29" s="549"/>
      <c r="EM29" s="675"/>
      <c r="EN29" s="549"/>
      <c r="EO29" s="675"/>
      <c r="EP29" s="549"/>
      <c r="EQ29" s="675"/>
      <c r="ER29" s="549"/>
      <c r="ES29" s="675"/>
      <c r="ET29" s="549"/>
      <c r="EU29" s="675"/>
      <c r="EV29" s="549"/>
      <c r="EW29" s="675"/>
      <c r="EX29" s="549"/>
      <c r="EY29" s="675"/>
      <c r="EZ29" s="549"/>
      <c r="FA29" s="675"/>
      <c r="FB29" s="549"/>
      <c r="FC29" s="675"/>
      <c r="FD29" s="549"/>
      <c r="FE29" s="675"/>
      <c r="FF29" s="549"/>
      <c r="FG29" s="675"/>
      <c r="FH29" s="549"/>
      <c r="FI29" s="675"/>
      <c r="FJ29" s="549"/>
      <c r="FK29" s="675"/>
      <c r="FL29" s="549"/>
      <c r="FM29" s="675"/>
      <c r="FN29" s="549"/>
      <c r="FO29" s="675"/>
      <c r="FP29" s="549"/>
      <c r="FQ29" s="675"/>
      <c r="FR29" s="549"/>
      <c r="FS29" s="675"/>
      <c r="FT29" s="549"/>
      <c r="FU29" s="675"/>
      <c r="FV29" s="549"/>
      <c r="FW29" s="675"/>
      <c r="FX29" s="549"/>
      <c r="FY29" s="675"/>
      <c r="FZ29" s="549"/>
      <c r="GA29" s="675"/>
      <c r="GB29" s="549"/>
      <c r="GC29" s="675"/>
      <c r="GD29" s="549"/>
      <c r="GE29" s="675"/>
      <c r="GF29" s="549"/>
      <c r="GG29" s="675"/>
      <c r="GH29" s="549"/>
      <c r="GI29" s="675"/>
      <c r="GJ29" s="549"/>
      <c r="GK29" s="675"/>
      <c r="GL29" s="549"/>
      <c r="GM29" s="675"/>
      <c r="GN29" s="549"/>
      <c r="GO29" s="675"/>
      <c r="GP29" s="74"/>
      <c r="GQ29" s="675"/>
      <c r="GR29" s="74"/>
      <c r="GS29" s="74"/>
      <c r="GT29" s="549"/>
      <c r="GU29" s="74"/>
      <c r="GV29" s="74"/>
      <c r="GW29" s="549"/>
      <c r="GX29" s="549"/>
      <c r="GY29" s="74"/>
      <c r="GZ29" s="74"/>
      <c r="HA29" s="74"/>
      <c r="HB29" s="74"/>
      <c r="HC29" s="74"/>
      <c r="HD29" s="74"/>
      <c r="HE29" s="74"/>
      <c r="HF29" s="74"/>
      <c r="HG29" s="74"/>
      <c r="HH29" s="74"/>
      <c r="HI29" s="74"/>
      <c r="HJ29" s="74"/>
      <c r="HK29" s="74"/>
      <c r="HL29" s="74"/>
      <c r="HM29" s="74"/>
      <c r="HN29" s="74"/>
      <c r="HO29" s="74"/>
      <c r="HP29" s="74"/>
      <c r="HQ29" s="74"/>
      <c r="HR29" s="74"/>
      <c r="HS29" s="74"/>
      <c r="HT29" s="74"/>
      <c r="HU29" s="74"/>
      <c r="HV29" s="74"/>
      <c r="HW29" s="74"/>
      <c r="HX29" s="74"/>
      <c r="HY29" s="74"/>
      <c r="HZ29" s="74"/>
      <c r="IA29" s="74"/>
      <c r="IB29" s="74"/>
      <c r="IC29" s="74"/>
      <c r="ID29" s="74"/>
      <c r="IE29" s="792"/>
      <c r="IF29" s="841"/>
      <c r="IG29" s="263"/>
      <c r="IH29" s="842"/>
      <c r="II29" s="155"/>
      <c r="IJ29" s="74"/>
      <c r="IK29" s="74"/>
      <c r="IL29" s="74"/>
      <c r="IM29" s="74"/>
      <c r="IN29" s="74"/>
      <c r="IO29" s="74"/>
      <c r="IP29" s="74"/>
      <c r="IQ29" s="74"/>
      <c r="IR29" s="74"/>
      <c r="IS29" s="74"/>
      <c r="IT29" s="74"/>
      <c r="IU29" s="74"/>
      <c r="IV29" s="74"/>
      <c r="IW29" s="74"/>
      <c r="IX29" s="74"/>
      <c r="IY29" s="74"/>
      <c r="IZ29" s="74"/>
      <c r="JA29" s="74"/>
      <c r="JB29" s="74"/>
      <c r="JC29" s="74"/>
      <c r="JD29" s="74"/>
      <c r="JE29" s="74"/>
      <c r="JF29" s="74"/>
      <c r="JG29" s="74"/>
      <c r="JH29" s="74"/>
      <c r="JI29" s="74"/>
      <c r="JJ29" s="74"/>
      <c r="JK29" s="74"/>
      <c r="JL29" s="74"/>
      <c r="JM29" s="74"/>
      <c r="JN29" s="74"/>
      <c r="JO29" s="74"/>
      <c r="JP29" s="74"/>
      <c r="JQ29" s="74"/>
      <c r="JR29" s="74"/>
      <c r="JS29" s="74"/>
      <c r="JT29" s="382"/>
      <c r="JU29" s="671"/>
      <c r="JV29" s="492"/>
      <c r="JW29" s="490"/>
      <c r="JX29" s="549"/>
      <c r="JY29" s="549"/>
      <c r="JZ29" s="581">
        <f t="shared" si="42"/>
        <v>0</v>
      </c>
      <c r="KA29" s="581">
        <f t="shared" si="43"/>
        <v>0</v>
      </c>
      <c r="KB29" s="549"/>
      <c r="KC29" s="709">
        <f t="shared" si="41"/>
        <v>0</v>
      </c>
      <c r="KD29" s="126" t="s">
        <v>124</v>
      </c>
      <c r="KE29" s="127" t="s">
        <v>125</v>
      </c>
      <c r="KF29" s="127" t="e">
        <f>#REF!</f>
        <v>#REF!</v>
      </c>
      <c r="KG29" s="127"/>
      <c r="KH29" s="127"/>
      <c r="KI29" s="127" t="e">
        <f>#REF!+#REF!</f>
        <v>#REF!</v>
      </c>
      <c r="KJ29" s="127" t="e">
        <f>#REF!</f>
        <v>#REF!</v>
      </c>
      <c r="KK29" s="127" t="e">
        <f>#REF!</f>
        <v>#REF!</v>
      </c>
    </row>
    <row r="30" spans="1:297" s="8" customFormat="1">
      <c r="A30" s="75" t="s">
        <v>67</v>
      </c>
      <c r="B30" s="72" t="s">
        <v>68</v>
      </c>
      <c r="C30" s="74">
        <f t="shared" ref="C30" si="540">SUM(C31:C34)</f>
        <v>6220200</v>
      </c>
      <c r="D30" s="549">
        <f t="shared" ref="D30:E30" si="541">SUM(D31:D34)</f>
        <v>0</v>
      </c>
      <c r="E30" s="675">
        <f t="shared" si="541"/>
        <v>0</v>
      </c>
      <c r="F30" s="549">
        <f t="shared" ref="F30:G30" si="542">SUM(F31:F34)</f>
        <v>0</v>
      </c>
      <c r="G30" s="675">
        <f t="shared" si="542"/>
        <v>0</v>
      </c>
      <c r="H30" s="549">
        <f t="shared" ref="H30:I30" si="543">SUM(H31:H34)</f>
        <v>0</v>
      </c>
      <c r="I30" s="675">
        <f t="shared" si="543"/>
        <v>0</v>
      </c>
      <c r="J30" s="549">
        <f t="shared" ref="J30:K30" si="544">SUM(J31:J34)</f>
        <v>0</v>
      </c>
      <c r="K30" s="675">
        <f t="shared" si="544"/>
        <v>0</v>
      </c>
      <c r="L30" s="549">
        <f t="shared" ref="L30:M30" si="545">SUM(L31:L34)</f>
        <v>0</v>
      </c>
      <c r="M30" s="675">
        <f t="shared" si="545"/>
        <v>0</v>
      </c>
      <c r="N30" s="549">
        <f t="shared" ref="N30:O30" si="546">SUM(N31:N34)</f>
        <v>0</v>
      </c>
      <c r="O30" s="675">
        <f t="shared" si="546"/>
        <v>0</v>
      </c>
      <c r="P30" s="549">
        <f t="shared" ref="P30:Q30" si="547">SUM(P31:P34)</f>
        <v>0</v>
      </c>
      <c r="Q30" s="675">
        <f t="shared" si="547"/>
        <v>0</v>
      </c>
      <c r="R30" s="549">
        <f t="shared" ref="R30:S30" si="548">SUM(R31:R34)</f>
        <v>0</v>
      </c>
      <c r="S30" s="675">
        <f t="shared" si="548"/>
        <v>0</v>
      </c>
      <c r="T30" s="549">
        <f t="shared" ref="T30:U30" si="549">SUM(T31:T34)</f>
        <v>0</v>
      </c>
      <c r="U30" s="675">
        <f t="shared" si="549"/>
        <v>0</v>
      </c>
      <c r="V30" s="549">
        <f t="shared" ref="V30:W30" si="550">SUM(V31:V34)</f>
        <v>0</v>
      </c>
      <c r="W30" s="675">
        <f t="shared" si="550"/>
        <v>0</v>
      </c>
      <c r="X30" s="549">
        <f t="shared" ref="X30:Y30" si="551">SUM(X31:X34)</f>
        <v>0</v>
      </c>
      <c r="Y30" s="675">
        <f t="shared" si="551"/>
        <v>0</v>
      </c>
      <c r="Z30" s="549">
        <f t="shared" ref="Z30:AA30" si="552">SUM(Z31:Z34)</f>
        <v>0</v>
      </c>
      <c r="AA30" s="675">
        <f t="shared" si="552"/>
        <v>0</v>
      </c>
      <c r="AB30" s="549">
        <f t="shared" ref="AB30:AC30" si="553">SUM(AB31:AB34)</f>
        <v>0</v>
      </c>
      <c r="AC30" s="675">
        <f t="shared" si="553"/>
        <v>0</v>
      </c>
      <c r="AD30" s="549">
        <f t="shared" ref="AD30:AK30" si="554">SUM(AD31:AD34)</f>
        <v>0</v>
      </c>
      <c r="AE30" s="675">
        <f t="shared" si="554"/>
        <v>0</v>
      </c>
      <c r="AF30" s="549">
        <f t="shared" si="554"/>
        <v>0</v>
      </c>
      <c r="AG30" s="675">
        <f t="shared" si="554"/>
        <v>0</v>
      </c>
      <c r="AH30" s="549">
        <f t="shared" si="554"/>
        <v>0</v>
      </c>
      <c r="AI30" s="675">
        <f t="shared" si="554"/>
        <v>0</v>
      </c>
      <c r="AJ30" s="549">
        <f t="shared" si="554"/>
        <v>0</v>
      </c>
      <c r="AK30" s="675">
        <f t="shared" si="554"/>
        <v>0</v>
      </c>
      <c r="AL30" s="549">
        <f t="shared" ref="AL30:AM30" si="555">SUM(AL31:AL34)</f>
        <v>0</v>
      </c>
      <c r="AM30" s="675">
        <f t="shared" si="555"/>
        <v>0</v>
      </c>
      <c r="AN30" s="549">
        <f t="shared" ref="AN30:AS30" si="556">SUM(AN31:AN34)</f>
        <v>0</v>
      </c>
      <c r="AO30" s="675">
        <f t="shared" si="556"/>
        <v>0</v>
      </c>
      <c r="AP30" s="549">
        <f t="shared" si="556"/>
        <v>0</v>
      </c>
      <c r="AQ30" s="675">
        <f t="shared" si="556"/>
        <v>0</v>
      </c>
      <c r="AR30" s="549">
        <f t="shared" si="556"/>
        <v>0</v>
      </c>
      <c r="AS30" s="675">
        <f t="shared" si="556"/>
        <v>0</v>
      </c>
      <c r="AT30" s="549">
        <f t="shared" ref="AT30:AU30" si="557">SUM(AT31:AT34)</f>
        <v>0</v>
      </c>
      <c r="AU30" s="675">
        <f t="shared" si="557"/>
        <v>0</v>
      </c>
      <c r="AV30" s="549">
        <f t="shared" ref="AV30:AW30" si="558">SUM(AV31:AV34)</f>
        <v>0</v>
      </c>
      <c r="AW30" s="675">
        <f t="shared" si="558"/>
        <v>0</v>
      </c>
      <c r="AX30" s="549">
        <f t="shared" ref="AX30:AY30" si="559">SUM(AX31:AX34)</f>
        <v>0</v>
      </c>
      <c r="AY30" s="675">
        <f t="shared" si="559"/>
        <v>0</v>
      </c>
      <c r="AZ30" s="549">
        <f t="shared" ref="AZ30:BA30" si="560">SUM(AZ31:AZ34)</f>
        <v>0</v>
      </c>
      <c r="BA30" s="675">
        <f t="shared" si="560"/>
        <v>0</v>
      </c>
      <c r="BB30" s="549">
        <f t="shared" ref="BB30:BC30" si="561">SUM(BB31:BB34)</f>
        <v>0</v>
      </c>
      <c r="BC30" s="675">
        <f t="shared" si="561"/>
        <v>0</v>
      </c>
      <c r="BD30" s="549">
        <f t="shared" ref="BD30:BE30" si="562">SUM(BD31:BD34)</f>
        <v>0</v>
      </c>
      <c r="BE30" s="675">
        <f t="shared" si="562"/>
        <v>0</v>
      </c>
      <c r="BF30" s="549">
        <f t="shared" ref="BF30:BG30" si="563">SUM(BF31:BF34)</f>
        <v>0</v>
      </c>
      <c r="BG30" s="675">
        <f t="shared" si="563"/>
        <v>0</v>
      </c>
      <c r="BH30" s="549">
        <f t="shared" ref="BH30:BI30" si="564">SUM(BH31:BH34)</f>
        <v>0</v>
      </c>
      <c r="BI30" s="675">
        <f t="shared" si="564"/>
        <v>0</v>
      </c>
      <c r="BJ30" s="549">
        <f t="shared" ref="BJ30:BK30" si="565">SUM(BJ31:BJ34)</f>
        <v>0</v>
      </c>
      <c r="BK30" s="675">
        <f t="shared" si="565"/>
        <v>0</v>
      </c>
      <c r="BL30" s="549">
        <f t="shared" ref="BL30:BS30" si="566">SUM(BL31:BL34)</f>
        <v>0</v>
      </c>
      <c r="BM30" s="675">
        <f t="shared" si="566"/>
        <v>0</v>
      </c>
      <c r="BN30" s="549">
        <f t="shared" si="566"/>
        <v>0</v>
      </c>
      <c r="BO30" s="675">
        <f t="shared" si="566"/>
        <v>0</v>
      </c>
      <c r="BP30" s="549">
        <f t="shared" si="566"/>
        <v>0</v>
      </c>
      <c r="BQ30" s="675">
        <f t="shared" si="566"/>
        <v>0</v>
      </c>
      <c r="BR30" s="549">
        <f t="shared" si="566"/>
        <v>0</v>
      </c>
      <c r="BS30" s="675">
        <f t="shared" si="566"/>
        <v>0</v>
      </c>
      <c r="BT30" s="549">
        <f t="shared" ref="BT30:BU30" si="567">SUM(BT31:BT34)</f>
        <v>0</v>
      </c>
      <c r="BU30" s="675">
        <f t="shared" si="567"/>
        <v>0</v>
      </c>
      <c r="BV30" s="549">
        <f t="shared" ref="BV30:BW30" si="568">SUM(BV31:BV34)</f>
        <v>0</v>
      </c>
      <c r="BW30" s="675">
        <f t="shared" si="568"/>
        <v>0</v>
      </c>
      <c r="BX30" s="549">
        <f t="shared" ref="BX30:BY30" si="569">SUM(BX31:BX34)</f>
        <v>0</v>
      </c>
      <c r="BY30" s="675">
        <f t="shared" si="569"/>
        <v>0</v>
      </c>
      <c r="BZ30" s="549">
        <f t="shared" ref="BZ30:CA30" si="570">SUM(BZ31:BZ34)</f>
        <v>0</v>
      </c>
      <c r="CA30" s="675">
        <f t="shared" si="570"/>
        <v>0</v>
      </c>
      <c r="CB30" s="549">
        <f t="shared" ref="CB30:CE30" si="571">SUM(CB31:CB34)</f>
        <v>0</v>
      </c>
      <c r="CC30" s="675">
        <f t="shared" si="571"/>
        <v>0</v>
      </c>
      <c r="CD30" s="549">
        <f t="shared" si="571"/>
        <v>0</v>
      </c>
      <c r="CE30" s="675">
        <f t="shared" si="571"/>
        <v>0</v>
      </c>
      <c r="CF30" s="549">
        <f t="shared" ref="CF30:CQ30" si="572">SUM(CF31:CF34)</f>
        <v>0</v>
      </c>
      <c r="CG30" s="675">
        <f t="shared" si="572"/>
        <v>0</v>
      </c>
      <c r="CH30" s="549">
        <f t="shared" si="572"/>
        <v>0</v>
      </c>
      <c r="CI30" s="675">
        <f t="shared" si="572"/>
        <v>0</v>
      </c>
      <c r="CJ30" s="549">
        <f t="shared" si="572"/>
        <v>0</v>
      </c>
      <c r="CK30" s="675">
        <f t="shared" si="572"/>
        <v>0</v>
      </c>
      <c r="CL30" s="549">
        <f t="shared" si="572"/>
        <v>0</v>
      </c>
      <c r="CM30" s="675">
        <f t="shared" si="572"/>
        <v>0</v>
      </c>
      <c r="CN30" s="549">
        <f t="shared" si="572"/>
        <v>0</v>
      </c>
      <c r="CO30" s="675">
        <f t="shared" si="572"/>
        <v>0</v>
      </c>
      <c r="CP30" s="549">
        <f t="shared" si="572"/>
        <v>0</v>
      </c>
      <c r="CQ30" s="675">
        <f t="shared" si="572"/>
        <v>0</v>
      </c>
      <c r="CR30" s="549">
        <f t="shared" ref="CR30:CY30" si="573">SUM(CR31:CR34)</f>
        <v>0</v>
      </c>
      <c r="CS30" s="675">
        <f t="shared" si="573"/>
        <v>0</v>
      </c>
      <c r="CT30" s="549">
        <f t="shared" si="573"/>
        <v>0</v>
      </c>
      <c r="CU30" s="675">
        <f t="shared" si="573"/>
        <v>0</v>
      </c>
      <c r="CV30" s="549">
        <f t="shared" si="573"/>
        <v>0</v>
      </c>
      <c r="CW30" s="675">
        <f t="shared" si="573"/>
        <v>0</v>
      </c>
      <c r="CX30" s="549">
        <f t="shared" si="573"/>
        <v>0</v>
      </c>
      <c r="CY30" s="675">
        <f t="shared" si="573"/>
        <v>0</v>
      </c>
      <c r="CZ30" s="549">
        <f t="shared" ref="CZ30:DI30" si="574">SUM(CZ31:CZ34)</f>
        <v>0</v>
      </c>
      <c r="DA30" s="675">
        <f t="shared" si="574"/>
        <v>0</v>
      </c>
      <c r="DB30" s="549">
        <f t="shared" si="574"/>
        <v>0</v>
      </c>
      <c r="DC30" s="675">
        <f t="shared" si="574"/>
        <v>0</v>
      </c>
      <c r="DD30" s="549">
        <f t="shared" si="574"/>
        <v>0</v>
      </c>
      <c r="DE30" s="675">
        <f t="shared" si="574"/>
        <v>0</v>
      </c>
      <c r="DF30" s="549">
        <f t="shared" si="574"/>
        <v>0</v>
      </c>
      <c r="DG30" s="675">
        <f t="shared" si="574"/>
        <v>0</v>
      </c>
      <c r="DH30" s="549">
        <f t="shared" si="574"/>
        <v>0</v>
      </c>
      <c r="DI30" s="675">
        <f t="shared" si="574"/>
        <v>0</v>
      </c>
      <c r="DJ30" s="549">
        <f t="shared" ref="DJ30:DK30" si="575">SUM(DJ31:DJ34)</f>
        <v>0</v>
      </c>
      <c r="DK30" s="675">
        <f t="shared" si="575"/>
        <v>0</v>
      </c>
      <c r="DL30" s="549">
        <f t="shared" ref="DL30:DM30" si="576">SUM(DL31:DL34)</f>
        <v>0</v>
      </c>
      <c r="DM30" s="675">
        <f t="shared" si="576"/>
        <v>0</v>
      </c>
      <c r="DN30" s="549">
        <f t="shared" ref="DN30:DW30" si="577">SUM(DN31:DN34)</f>
        <v>0</v>
      </c>
      <c r="DO30" s="675">
        <f t="shared" si="577"/>
        <v>0</v>
      </c>
      <c r="DP30" s="549">
        <f t="shared" si="577"/>
        <v>0</v>
      </c>
      <c r="DQ30" s="675">
        <f t="shared" si="577"/>
        <v>0</v>
      </c>
      <c r="DR30" s="549">
        <f t="shared" si="577"/>
        <v>0</v>
      </c>
      <c r="DS30" s="675">
        <f t="shared" si="577"/>
        <v>0</v>
      </c>
      <c r="DT30" s="549">
        <f t="shared" si="577"/>
        <v>0</v>
      </c>
      <c r="DU30" s="675">
        <f t="shared" si="577"/>
        <v>0</v>
      </c>
      <c r="DV30" s="549">
        <f t="shared" si="577"/>
        <v>0</v>
      </c>
      <c r="DW30" s="675">
        <f t="shared" si="577"/>
        <v>0</v>
      </c>
      <c r="DX30" s="549">
        <f t="shared" ref="DX30:EG30" si="578">SUM(DX31:DX34)</f>
        <v>0</v>
      </c>
      <c r="DY30" s="675">
        <f t="shared" si="578"/>
        <v>0</v>
      </c>
      <c r="DZ30" s="549">
        <f t="shared" si="578"/>
        <v>0</v>
      </c>
      <c r="EA30" s="675">
        <f t="shared" si="578"/>
        <v>0</v>
      </c>
      <c r="EB30" s="549">
        <f t="shared" si="578"/>
        <v>0</v>
      </c>
      <c r="EC30" s="675">
        <f t="shared" si="578"/>
        <v>0</v>
      </c>
      <c r="ED30" s="549">
        <f t="shared" si="578"/>
        <v>0</v>
      </c>
      <c r="EE30" s="675">
        <f t="shared" si="578"/>
        <v>0</v>
      </c>
      <c r="EF30" s="549">
        <f t="shared" si="578"/>
        <v>0</v>
      </c>
      <c r="EG30" s="675">
        <f t="shared" si="578"/>
        <v>0</v>
      </c>
      <c r="EH30" s="549">
        <f t="shared" ref="EH30:EM30" si="579">SUM(EH31:EH34)</f>
        <v>0</v>
      </c>
      <c r="EI30" s="675">
        <f t="shared" si="579"/>
        <v>0</v>
      </c>
      <c r="EJ30" s="549">
        <f t="shared" si="579"/>
        <v>0</v>
      </c>
      <c r="EK30" s="675">
        <f t="shared" si="579"/>
        <v>0</v>
      </c>
      <c r="EL30" s="549">
        <f t="shared" si="579"/>
        <v>0</v>
      </c>
      <c r="EM30" s="675">
        <f t="shared" si="579"/>
        <v>0</v>
      </c>
      <c r="EN30" s="549">
        <f t="shared" ref="EN30:EO30" si="580">SUM(EN31:EN34)</f>
        <v>0</v>
      </c>
      <c r="EO30" s="675">
        <f t="shared" si="580"/>
        <v>0</v>
      </c>
      <c r="EP30" s="549">
        <f t="shared" ref="EP30:FA30" si="581">SUM(EP31:EP34)</f>
        <v>0</v>
      </c>
      <c r="EQ30" s="675">
        <f t="shared" si="581"/>
        <v>0</v>
      </c>
      <c r="ER30" s="549">
        <f t="shared" si="581"/>
        <v>0</v>
      </c>
      <c r="ES30" s="675">
        <f t="shared" si="581"/>
        <v>0</v>
      </c>
      <c r="ET30" s="549">
        <f t="shared" si="581"/>
        <v>0</v>
      </c>
      <c r="EU30" s="675">
        <f t="shared" si="581"/>
        <v>0</v>
      </c>
      <c r="EV30" s="549">
        <f t="shared" ref="EV30:EW30" si="582">SUM(EV31:EV34)</f>
        <v>0</v>
      </c>
      <c r="EW30" s="675">
        <f t="shared" si="582"/>
        <v>0</v>
      </c>
      <c r="EX30" s="549">
        <f t="shared" si="581"/>
        <v>0</v>
      </c>
      <c r="EY30" s="675">
        <f t="shared" si="581"/>
        <v>0</v>
      </c>
      <c r="EZ30" s="549">
        <f t="shared" si="581"/>
        <v>0</v>
      </c>
      <c r="FA30" s="675">
        <f t="shared" si="581"/>
        <v>0</v>
      </c>
      <c r="FB30" s="549">
        <f t="shared" ref="FB30:FC30" si="583">SUM(FB31:FB34)</f>
        <v>0</v>
      </c>
      <c r="FC30" s="675">
        <f t="shared" si="583"/>
        <v>0</v>
      </c>
      <c r="FD30" s="549">
        <f t="shared" ref="FD30:FE30" si="584">SUM(FD31:FD34)</f>
        <v>0</v>
      </c>
      <c r="FE30" s="675">
        <f t="shared" si="584"/>
        <v>0</v>
      </c>
      <c r="FF30" s="549">
        <f t="shared" ref="FF30:FG30" si="585">SUM(FF31:FF34)</f>
        <v>0</v>
      </c>
      <c r="FG30" s="675">
        <f t="shared" si="585"/>
        <v>0</v>
      </c>
      <c r="FH30" s="549">
        <f t="shared" ref="FH30:FI30" si="586">SUM(FH31:FH34)</f>
        <v>0</v>
      </c>
      <c r="FI30" s="675">
        <f t="shared" si="586"/>
        <v>0</v>
      </c>
      <c r="FJ30" s="549">
        <f t="shared" ref="FJ30:FK30" si="587">SUM(FJ31:FJ34)</f>
        <v>0</v>
      </c>
      <c r="FK30" s="675">
        <f t="shared" si="587"/>
        <v>0</v>
      </c>
      <c r="FL30" s="549">
        <f t="shared" ref="FL30:FM30" si="588">SUM(FL31:FL34)</f>
        <v>0</v>
      </c>
      <c r="FM30" s="675">
        <f t="shared" si="588"/>
        <v>0</v>
      </c>
      <c r="FN30" s="549">
        <f t="shared" ref="FN30:FO30" si="589">SUM(FN31:FN34)</f>
        <v>0</v>
      </c>
      <c r="FO30" s="675">
        <f t="shared" si="589"/>
        <v>0</v>
      </c>
      <c r="FP30" s="549">
        <f t="shared" ref="FP30:FQ30" si="590">SUM(FP31:FP34)</f>
        <v>0</v>
      </c>
      <c r="FQ30" s="675">
        <f t="shared" si="590"/>
        <v>0</v>
      </c>
      <c r="FR30" s="549">
        <f t="shared" ref="FR30:FS30" si="591">SUM(FR31:FR34)</f>
        <v>0</v>
      </c>
      <c r="FS30" s="675">
        <f t="shared" si="591"/>
        <v>0</v>
      </c>
      <c r="FT30" s="549">
        <f t="shared" ref="FT30:FU30" si="592">SUM(FT31:FT34)</f>
        <v>0</v>
      </c>
      <c r="FU30" s="675">
        <f t="shared" si="592"/>
        <v>0</v>
      </c>
      <c r="FV30" s="549">
        <f t="shared" ref="FV30:GK30" si="593">SUM(FV31:FV34)</f>
        <v>0</v>
      </c>
      <c r="FW30" s="675">
        <f t="shared" si="593"/>
        <v>0</v>
      </c>
      <c r="FX30" s="549">
        <f t="shared" si="593"/>
        <v>0</v>
      </c>
      <c r="FY30" s="675">
        <f t="shared" si="593"/>
        <v>0</v>
      </c>
      <c r="FZ30" s="549">
        <f t="shared" ref="FZ30:GI30" si="594">SUM(FZ31:FZ34)</f>
        <v>0</v>
      </c>
      <c r="GA30" s="675">
        <f t="shared" si="594"/>
        <v>0</v>
      </c>
      <c r="GB30" s="549">
        <f t="shared" si="594"/>
        <v>0</v>
      </c>
      <c r="GC30" s="675">
        <f t="shared" si="594"/>
        <v>0</v>
      </c>
      <c r="GD30" s="549">
        <f t="shared" si="594"/>
        <v>0</v>
      </c>
      <c r="GE30" s="675">
        <f t="shared" si="594"/>
        <v>0</v>
      </c>
      <c r="GF30" s="549">
        <f t="shared" si="594"/>
        <v>0</v>
      </c>
      <c r="GG30" s="675">
        <f t="shared" si="594"/>
        <v>0</v>
      </c>
      <c r="GH30" s="549">
        <f t="shared" si="594"/>
        <v>0</v>
      </c>
      <c r="GI30" s="675">
        <f t="shared" si="594"/>
        <v>0</v>
      </c>
      <c r="GJ30" s="549">
        <f t="shared" si="593"/>
        <v>0</v>
      </c>
      <c r="GK30" s="675">
        <f t="shared" si="593"/>
        <v>0</v>
      </c>
      <c r="GL30" s="549">
        <f t="shared" ref="GL30:GQ30" si="595">SUM(GL31:GL34)</f>
        <v>0</v>
      </c>
      <c r="GM30" s="675">
        <f t="shared" si="595"/>
        <v>0</v>
      </c>
      <c r="GN30" s="549">
        <f t="shared" ref="GN30:GO30" si="596">SUM(GN31:GN34)</f>
        <v>0</v>
      </c>
      <c r="GO30" s="675">
        <f t="shared" si="596"/>
        <v>0</v>
      </c>
      <c r="GP30" s="74">
        <f t="shared" si="595"/>
        <v>0</v>
      </c>
      <c r="GQ30" s="675">
        <f t="shared" si="595"/>
        <v>0</v>
      </c>
      <c r="GR30" s="74">
        <f t="shared" ref="GR30:HG30" si="597">SUM(GR31:GR34)</f>
        <v>6220200</v>
      </c>
      <c r="GS30" s="74">
        <f>SUM(GS31:GS34)</f>
        <v>5665750</v>
      </c>
      <c r="GT30" s="549">
        <f t="shared" si="597"/>
        <v>6220200</v>
      </c>
      <c r="GU30" s="74">
        <f>SUM(GU31:GU34)</f>
        <v>565540</v>
      </c>
      <c r="GV30" s="74">
        <f t="shared" ref="GV30:HA30" si="598">SUM(GV31:GV34)</f>
        <v>565466</v>
      </c>
      <c r="GW30" s="74">
        <f t="shared" si="598"/>
        <v>565466</v>
      </c>
      <c r="GX30" s="74">
        <f t="shared" si="598"/>
        <v>565466</v>
      </c>
      <c r="GY30" s="74">
        <f t="shared" si="598"/>
        <v>565466</v>
      </c>
      <c r="GZ30" s="74">
        <f t="shared" si="598"/>
        <v>565466</v>
      </c>
      <c r="HA30" s="74">
        <f t="shared" si="598"/>
        <v>565466</v>
      </c>
      <c r="HB30" s="74">
        <f t="shared" si="597"/>
        <v>565466</v>
      </c>
      <c r="HC30" s="74">
        <f t="shared" si="597"/>
        <v>565466</v>
      </c>
      <c r="HD30" s="74">
        <f t="shared" si="597"/>
        <v>576482</v>
      </c>
      <c r="HE30" s="74">
        <f t="shared" si="597"/>
        <v>554450</v>
      </c>
      <c r="HF30" s="74">
        <f t="shared" si="597"/>
        <v>0</v>
      </c>
      <c r="HG30" s="74">
        <f t="shared" si="597"/>
        <v>5665750</v>
      </c>
      <c r="HH30" s="74">
        <f t="shared" ref="HH30:HU30" si="599">SUM(HH31:HH34)</f>
        <v>0</v>
      </c>
      <c r="HI30" s="74">
        <f t="shared" si="599"/>
        <v>0</v>
      </c>
      <c r="HJ30" s="74">
        <f t="shared" si="599"/>
        <v>0</v>
      </c>
      <c r="HK30" s="74">
        <f t="shared" si="599"/>
        <v>1131006</v>
      </c>
      <c r="HL30" s="74">
        <f t="shared" si="599"/>
        <v>0</v>
      </c>
      <c r="HM30" s="74">
        <f t="shared" si="599"/>
        <v>562040</v>
      </c>
      <c r="HN30" s="74">
        <f t="shared" si="599"/>
        <v>0</v>
      </c>
      <c r="HO30" s="74">
        <f t="shared" si="599"/>
        <v>568892</v>
      </c>
      <c r="HP30" s="74">
        <f t="shared" si="599"/>
        <v>0</v>
      </c>
      <c r="HQ30" s="74">
        <f t="shared" si="599"/>
        <v>565466</v>
      </c>
      <c r="HR30" s="74">
        <f t="shared" si="599"/>
        <v>0</v>
      </c>
      <c r="HS30" s="74">
        <f t="shared" si="599"/>
        <v>565466</v>
      </c>
      <c r="HT30" s="74">
        <f t="shared" si="599"/>
        <v>0</v>
      </c>
      <c r="HU30" s="74">
        <f t="shared" si="599"/>
        <v>565466</v>
      </c>
      <c r="HV30" s="74">
        <f t="shared" ref="HV30:IZ30" si="600">SUM(HV31:HV34)</f>
        <v>0</v>
      </c>
      <c r="HW30" s="74">
        <f t="shared" si="600"/>
        <v>565466</v>
      </c>
      <c r="HX30" s="74">
        <f t="shared" si="600"/>
        <v>0</v>
      </c>
      <c r="HY30" s="74">
        <f t="shared" si="600"/>
        <v>565466</v>
      </c>
      <c r="HZ30" s="74">
        <f t="shared" si="600"/>
        <v>0</v>
      </c>
      <c r="IA30" s="74">
        <f t="shared" si="600"/>
        <v>576482</v>
      </c>
      <c r="IB30" s="74">
        <f t="shared" si="600"/>
        <v>0</v>
      </c>
      <c r="IC30" s="74">
        <f t="shared" si="600"/>
        <v>0</v>
      </c>
      <c r="ID30" s="74">
        <f t="shared" si="600"/>
        <v>0</v>
      </c>
      <c r="IE30" s="792">
        <f t="shared" si="600"/>
        <v>0</v>
      </c>
      <c r="IF30" s="841">
        <f t="shared" si="600"/>
        <v>5586742.6500000004</v>
      </c>
      <c r="IG30" s="263">
        <f t="shared" si="600"/>
        <v>5586742.6500000004</v>
      </c>
      <c r="IH30" s="842">
        <f t="shared" si="600"/>
        <v>5586742.6500000004</v>
      </c>
      <c r="II30" s="155">
        <f t="shared" si="600"/>
        <v>4389.18</v>
      </c>
      <c r="IJ30" s="74">
        <f t="shared" si="600"/>
        <v>4389.18</v>
      </c>
      <c r="IK30" s="74">
        <f t="shared" si="600"/>
        <v>4389.18</v>
      </c>
      <c r="IL30" s="74">
        <f t="shared" si="600"/>
        <v>1113059.7</v>
      </c>
      <c r="IM30" s="74">
        <f t="shared" si="600"/>
        <v>1113059.7</v>
      </c>
      <c r="IN30" s="74">
        <f t="shared" si="600"/>
        <v>1113059.7</v>
      </c>
      <c r="IO30" s="74">
        <f t="shared" si="600"/>
        <v>554450</v>
      </c>
      <c r="IP30" s="74">
        <f t="shared" si="600"/>
        <v>554450</v>
      </c>
      <c r="IQ30" s="74">
        <f t="shared" si="600"/>
        <v>554450</v>
      </c>
      <c r="IR30" s="74">
        <f t="shared" si="600"/>
        <v>559053.03</v>
      </c>
      <c r="IS30" s="74">
        <f t="shared" si="600"/>
        <v>559053.03</v>
      </c>
      <c r="IT30" s="74">
        <f t="shared" si="600"/>
        <v>559053.03</v>
      </c>
      <c r="IU30" s="74">
        <f t="shared" si="600"/>
        <v>558760.79</v>
      </c>
      <c r="IV30" s="74">
        <f t="shared" si="600"/>
        <v>558760.79</v>
      </c>
      <c r="IW30" s="74">
        <f t="shared" si="600"/>
        <v>558760.79</v>
      </c>
      <c r="IX30" s="74">
        <f t="shared" si="600"/>
        <v>559100.59</v>
      </c>
      <c r="IY30" s="74">
        <f t="shared" si="600"/>
        <v>559100.59</v>
      </c>
      <c r="IZ30" s="74">
        <f t="shared" si="600"/>
        <v>559100.59</v>
      </c>
      <c r="JA30" s="74">
        <f t="shared" ref="JA30:JT30" si="601">SUM(JA31:JA34)</f>
        <v>559732.28</v>
      </c>
      <c r="JB30" s="74">
        <f t="shared" si="601"/>
        <v>559732.28</v>
      </c>
      <c r="JC30" s="74">
        <f t="shared" si="601"/>
        <v>559732.28</v>
      </c>
      <c r="JD30" s="74">
        <f t="shared" si="601"/>
        <v>559446.6</v>
      </c>
      <c r="JE30" s="74">
        <f t="shared" si="601"/>
        <v>559446.6</v>
      </c>
      <c r="JF30" s="74">
        <f t="shared" si="601"/>
        <v>559446.6</v>
      </c>
      <c r="JG30" s="74">
        <f t="shared" si="601"/>
        <v>559299.93999999994</v>
      </c>
      <c r="JH30" s="74">
        <f t="shared" si="601"/>
        <v>559299.93999999994</v>
      </c>
      <c r="JI30" s="74">
        <f t="shared" si="601"/>
        <v>559299.93999999994</v>
      </c>
      <c r="JJ30" s="74">
        <f t="shared" si="601"/>
        <v>559450.54</v>
      </c>
      <c r="JK30" s="74">
        <f t="shared" si="601"/>
        <v>559450.54</v>
      </c>
      <c r="JL30" s="74">
        <f t="shared" si="601"/>
        <v>559450.54</v>
      </c>
      <c r="JM30" s="74">
        <f t="shared" si="601"/>
        <v>0</v>
      </c>
      <c r="JN30" s="74">
        <f t="shared" si="601"/>
        <v>0</v>
      </c>
      <c r="JO30" s="74">
        <f t="shared" si="601"/>
        <v>0</v>
      </c>
      <c r="JP30" s="74">
        <f t="shared" si="601"/>
        <v>0</v>
      </c>
      <c r="JQ30" s="74">
        <f t="shared" si="601"/>
        <v>0</v>
      </c>
      <c r="JR30" s="74">
        <f t="shared" si="601"/>
        <v>0</v>
      </c>
      <c r="JS30" s="74">
        <f t="shared" si="601"/>
        <v>79007.350000000006</v>
      </c>
      <c r="JT30" s="382">
        <f t="shared" si="601"/>
        <v>79007.350000000006</v>
      </c>
      <c r="JU30" s="671"/>
      <c r="JV30" s="492"/>
      <c r="JW30" s="490"/>
      <c r="JX30" s="549">
        <f>SUM(JX31:JX34)</f>
        <v>0</v>
      </c>
      <c r="JY30" s="549">
        <f>SUM(JY31:JY34)</f>
        <v>5665750</v>
      </c>
      <c r="JZ30" s="581">
        <f t="shared" si="42"/>
        <v>0</v>
      </c>
      <c r="KA30" s="581">
        <f t="shared" si="43"/>
        <v>0</v>
      </c>
      <c r="KB30" s="549">
        <f>SUM(KB31:KB34)</f>
        <v>5665750</v>
      </c>
      <c r="KC30" s="709">
        <f t="shared" si="41"/>
        <v>0</v>
      </c>
      <c r="KD30" s="126" t="s">
        <v>451</v>
      </c>
      <c r="KE30" s="127" t="s">
        <v>536</v>
      </c>
      <c r="KF30" s="127">
        <f>$C$329</f>
        <v>0</v>
      </c>
      <c r="KG30" s="127"/>
      <c r="KH30" s="127"/>
      <c r="KI30" s="127" t="e">
        <f>#REF!+GQ329</f>
        <v>#REF!</v>
      </c>
      <c r="KJ30" s="127">
        <f>$GR$329</f>
        <v>125000</v>
      </c>
      <c r="KK30" s="127">
        <f>$HG$329</f>
        <v>125000</v>
      </c>
    </row>
    <row r="31" spans="1:297" s="8" customFormat="1">
      <c r="A31" s="75" t="s">
        <v>69</v>
      </c>
      <c r="B31" s="72" t="s">
        <v>70</v>
      </c>
      <c r="C31" s="74">
        <f t="shared" ref="C31:BP31" si="602">C260+C593+C646</f>
        <v>5236200</v>
      </c>
      <c r="D31" s="549">
        <f t="shared" si="602"/>
        <v>0</v>
      </c>
      <c r="E31" s="675">
        <f t="shared" si="602"/>
        <v>0</v>
      </c>
      <c r="F31" s="549">
        <f t="shared" si="602"/>
        <v>0</v>
      </c>
      <c r="G31" s="675">
        <f t="shared" si="602"/>
        <v>0</v>
      </c>
      <c r="H31" s="549">
        <f t="shared" si="602"/>
        <v>0</v>
      </c>
      <c r="I31" s="675">
        <f t="shared" si="602"/>
        <v>0</v>
      </c>
      <c r="J31" s="549">
        <f t="shared" si="602"/>
        <v>0</v>
      </c>
      <c r="K31" s="675">
        <f t="shared" si="602"/>
        <v>0</v>
      </c>
      <c r="L31" s="549">
        <f t="shared" si="602"/>
        <v>0</v>
      </c>
      <c r="M31" s="675">
        <f t="shared" si="602"/>
        <v>0</v>
      </c>
      <c r="N31" s="549">
        <f t="shared" si="602"/>
        <v>0</v>
      </c>
      <c r="O31" s="675">
        <f t="shared" si="602"/>
        <v>0</v>
      </c>
      <c r="P31" s="549">
        <f t="shared" si="602"/>
        <v>0</v>
      </c>
      <c r="Q31" s="675">
        <f t="shared" si="602"/>
        <v>0</v>
      </c>
      <c r="R31" s="549">
        <f t="shared" si="602"/>
        <v>0</v>
      </c>
      <c r="S31" s="675">
        <f t="shared" si="602"/>
        <v>0</v>
      </c>
      <c r="T31" s="549">
        <f t="shared" si="602"/>
        <v>0</v>
      </c>
      <c r="U31" s="675">
        <f t="shared" si="602"/>
        <v>0</v>
      </c>
      <c r="V31" s="549">
        <f t="shared" si="602"/>
        <v>0</v>
      </c>
      <c r="W31" s="675">
        <f t="shared" si="602"/>
        <v>0</v>
      </c>
      <c r="X31" s="549">
        <f t="shared" si="602"/>
        <v>0</v>
      </c>
      <c r="Y31" s="675">
        <f t="shared" si="602"/>
        <v>0</v>
      </c>
      <c r="Z31" s="549">
        <f t="shared" si="602"/>
        <v>0</v>
      </c>
      <c r="AA31" s="675">
        <f t="shared" si="602"/>
        <v>0</v>
      </c>
      <c r="AB31" s="549">
        <f t="shared" si="602"/>
        <v>0</v>
      </c>
      <c r="AC31" s="675">
        <f t="shared" si="602"/>
        <v>0</v>
      </c>
      <c r="AD31" s="549">
        <f t="shared" si="602"/>
        <v>0</v>
      </c>
      <c r="AE31" s="675">
        <f t="shared" si="602"/>
        <v>0</v>
      </c>
      <c r="AF31" s="549">
        <f t="shared" si="602"/>
        <v>0</v>
      </c>
      <c r="AG31" s="675">
        <f t="shared" si="602"/>
        <v>0</v>
      </c>
      <c r="AH31" s="549">
        <f t="shared" si="602"/>
        <v>0</v>
      </c>
      <c r="AI31" s="675">
        <f t="shared" si="602"/>
        <v>0</v>
      </c>
      <c r="AJ31" s="549">
        <f t="shared" si="602"/>
        <v>0</v>
      </c>
      <c r="AK31" s="675">
        <f t="shared" si="602"/>
        <v>0</v>
      </c>
      <c r="AL31" s="549">
        <f t="shared" si="602"/>
        <v>0</v>
      </c>
      <c r="AM31" s="675">
        <f t="shared" si="602"/>
        <v>0</v>
      </c>
      <c r="AN31" s="549">
        <f t="shared" si="602"/>
        <v>0</v>
      </c>
      <c r="AO31" s="675">
        <f t="shared" si="602"/>
        <v>0</v>
      </c>
      <c r="AP31" s="549">
        <f t="shared" si="602"/>
        <v>0</v>
      </c>
      <c r="AQ31" s="675">
        <f t="shared" si="602"/>
        <v>0</v>
      </c>
      <c r="AR31" s="549">
        <f t="shared" si="602"/>
        <v>0</v>
      </c>
      <c r="AS31" s="675">
        <f t="shared" si="602"/>
        <v>0</v>
      </c>
      <c r="AT31" s="549">
        <f t="shared" ref="AT31:AU31" si="603">AT260+AT593+AT646</f>
        <v>0</v>
      </c>
      <c r="AU31" s="675">
        <f t="shared" si="603"/>
        <v>0</v>
      </c>
      <c r="AV31" s="549">
        <f t="shared" ref="AV31:AW31" si="604">AV260+AV593+AV646</f>
        <v>0</v>
      </c>
      <c r="AW31" s="675">
        <f t="shared" si="604"/>
        <v>0</v>
      </c>
      <c r="AX31" s="549">
        <f t="shared" ref="AX31:AY31" si="605">AX260+AX593+AX646</f>
        <v>0</v>
      </c>
      <c r="AY31" s="675">
        <f t="shared" si="605"/>
        <v>0</v>
      </c>
      <c r="AZ31" s="549">
        <f t="shared" ref="AZ31:BA31" si="606">AZ260+AZ593+AZ646</f>
        <v>0</v>
      </c>
      <c r="BA31" s="675">
        <f t="shared" si="606"/>
        <v>0</v>
      </c>
      <c r="BB31" s="549">
        <f t="shared" ref="BB31:BC31" si="607">BB260+BB593+BB646</f>
        <v>0</v>
      </c>
      <c r="BC31" s="675">
        <f t="shared" si="607"/>
        <v>0</v>
      </c>
      <c r="BD31" s="549">
        <f t="shared" ref="BD31:BE31" si="608">BD260+BD593+BD646</f>
        <v>0</v>
      </c>
      <c r="BE31" s="675">
        <f t="shared" si="608"/>
        <v>0</v>
      </c>
      <c r="BF31" s="549">
        <f t="shared" ref="BF31:BG31" si="609">BF260+BF593+BF646</f>
        <v>0</v>
      </c>
      <c r="BG31" s="675">
        <f t="shared" si="609"/>
        <v>0</v>
      </c>
      <c r="BH31" s="549">
        <f t="shared" ref="BH31:BI31" si="610">BH260+BH593+BH646</f>
        <v>0</v>
      </c>
      <c r="BI31" s="675">
        <f t="shared" si="610"/>
        <v>0</v>
      </c>
      <c r="BJ31" s="549">
        <f t="shared" ref="BJ31:BK31" si="611">BJ260+BJ593+BJ646</f>
        <v>0</v>
      </c>
      <c r="BK31" s="675">
        <f t="shared" si="611"/>
        <v>0</v>
      </c>
      <c r="BL31" s="549">
        <f t="shared" si="602"/>
        <v>0</v>
      </c>
      <c r="BM31" s="675">
        <f t="shared" si="602"/>
        <v>0</v>
      </c>
      <c r="BN31" s="549">
        <f t="shared" si="602"/>
        <v>0</v>
      </c>
      <c r="BO31" s="675">
        <f t="shared" si="602"/>
        <v>0</v>
      </c>
      <c r="BP31" s="549">
        <f t="shared" si="602"/>
        <v>0</v>
      </c>
      <c r="BQ31" s="675">
        <f t="shared" ref="BQ31" si="612">BQ260+BQ593+BQ646</f>
        <v>0</v>
      </c>
      <c r="BR31" s="549">
        <f t="shared" ref="BR31:BS31" si="613">BR260+BR593+BR646</f>
        <v>0</v>
      </c>
      <c r="BS31" s="675">
        <f t="shared" si="613"/>
        <v>0</v>
      </c>
      <c r="BT31" s="549">
        <f t="shared" ref="BT31:BU31" si="614">BT260+BT593+BT646</f>
        <v>0</v>
      </c>
      <c r="BU31" s="675">
        <f t="shared" si="614"/>
        <v>0</v>
      </c>
      <c r="BV31" s="549">
        <f t="shared" ref="BV31:BW31" si="615">BV260+BV593+BV646</f>
        <v>0</v>
      </c>
      <c r="BW31" s="675">
        <f t="shared" si="615"/>
        <v>0</v>
      </c>
      <c r="BX31" s="549">
        <f t="shared" ref="BX31:BY31" si="616">BX260+BX593+BX646</f>
        <v>0</v>
      </c>
      <c r="BY31" s="675">
        <f t="shared" si="616"/>
        <v>0</v>
      </c>
      <c r="BZ31" s="549">
        <f t="shared" ref="BZ31:CA31" si="617">BZ260+BZ593+BZ646</f>
        <v>0</v>
      </c>
      <c r="CA31" s="675">
        <f t="shared" si="617"/>
        <v>0</v>
      </c>
      <c r="CB31" s="549">
        <f t="shared" ref="CB31:EC31" si="618">CB260+CB593+CB646</f>
        <v>0</v>
      </c>
      <c r="CC31" s="675">
        <f t="shared" si="618"/>
        <v>0</v>
      </c>
      <c r="CD31" s="549">
        <f t="shared" si="618"/>
        <v>0</v>
      </c>
      <c r="CE31" s="675">
        <f t="shared" si="618"/>
        <v>0</v>
      </c>
      <c r="CF31" s="549">
        <f t="shared" si="618"/>
        <v>0</v>
      </c>
      <c r="CG31" s="675">
        <f t="shared" si="618"/>
        <v>0</v>
      </c>
      <c r="CH31" s="549">
        <f t="shared" si="618"/>
        <v>0</v>
      </c>
      <c r="CI31" s="675">
        <f t="shared" si="618"/>
        <v>0</v>
      </c>
      <c r="CJ31" s="549">
        <f t="shared" si="618"/>
        <v>0</v>
      </c>
      <c r="CK31" s="675">
        <f t="shared" si="618"/>
        <v>0</v>
      </c>
      <c r="CL31" s="549">
        <f t="shared" si="618"/>
        <v>0</v>
      </c>
      <c r="CM31" s="675">
        <f t="shared" si="618"/>
        <v>0</v>
      </c>
      <c r="CN31" s="549">
        <f t="shared" si="618"/>
        <v>0</v>
      </c>
      <c r="CO31" s="675">
        <f t="shared" si="618"/>
        <v>0</v>
      </c>
      <c r="CP31" s="549">
        <f t="shared" si="618"/>
        <v>0</v>
      </c>
      <c r="CQ31" s="675">
        <f t="shared" si="618"/>
        <v>0</v>
      </c>
      <c r="CR31" s="549">
        <f t="shared" si="618"/>
        <v>0</v>
      </c>
      <c r="CS31" s="675">
        <f t="shared" si="618"/>
        <v>0</v>
      </c>
      <c r="CT31" s="549">
        <f t="shared" si="618"/>
        <v>0</v>
      </c>
      <c r="CU31" s="675">
        <f t="shared" si="618"/>
        <v>0</v>
      </c>
      <c r="CV31" s="549">
        <f t="shared" si="618"/>
        <v>0</v>
      </c>
      <c r="CW31" s="675">
        <f t="shared" si="618"/>
        <v>0</v>
      </c>
      <c r="CX31" s="549">
        <f t="shared" si="618"/>
        <v>0</v>
      </c>
      <c r="CY31" s="675">
        <f t="shared" si="618"/>
        <v>0</v>
      </c>
      <c r="CZ31" s="549">
        <f t="shared" si="618"/>
        <v>0</v>
      </c>
      <c r="DA31" s="675">
        <f t="shared" si="618"/>
        <v>0</v>
      </c>
      <c r="DB31" s="549">
        <f t="shared" si="618"/>
        <v>0</v>
      </c>
      <c r="DC31" s="675">
        <f t="shared" si="618"/>
        <v>0</v>
      </c>
      <c r="DD31" s="549">
        <f t="shared" si="618"/>
        <v>0</v>
      </c>
      <c r="DE31" s="675">
        <f t="shared" si="618"/>
        <v>0</v>
      </c>
      <c r="DF31" s="549">
        <f t="shared" si="618"/>
        <v>0</v>
      </c>
      <c r="DG31" s="675">
        <f t="shared" si="618"/>
        <v>0</v>
      </c>
      <c r="DH31" s="549">
        <f t="shared" si="618"/>
        <v>0</v>
      </c>
      <c r="DI31" s="675">
        <f t="shared" si="618"/>
        <v>0</v>
      </c>
      <c r="DJ31" s="549">
        <f t="shared" si="618"/>
        <v>0</v>
      </c>
      <c r="DK31" s="675">
        <f t="shared" si="618"/>
        <v>0</v>
      </c>
      <c r="DL31" s="549">
        <f t="shared" si="618"/>
        <v>0</v>
      </c>
      <c r="DM31" s="675">
        <f t="shared" si="618"/>
        <v>0</v>
      </c>
      <c r="DN31" s="549">
        <f t="shared" si="618"/>
        <v>0</v>
      </c>
      <c r="DO31" s="675">
        <f t="shared" si="618"/>
        <v>0</v>
      </c>
      <c r="DP31" s="549">
        <f t="shared" si="618"/>
        <v>0</v>
      </c>
      <c r="DQ31" s="675">
        <f t="shared" si="618"/>
        <v>0</v>
      </c>
      <c r="DR31" s="549">
        <f t="shared" si="618"/>
        <v>0</v>
      </c>
      <c r="DS31" s="675">
        <f t="shared" si="618"/>
        <v>0</v>
      </c>
      <c r="DT31" s="549">
        <f t="shared" si="618"/>
        <v>0</v>
      </c>
      <c r="DU31" s="675">
        <f t="shared" si="618"/>
        <v>0</v>
      </c>
      <c r="DV31" s="549">
        <f t="shared" si="618"/>
        <v>0</v>
      </c>
      <c r="DW31" s="675">
        <f t="shared" si="618"/>
        <v>0</v>
      </c>
      <c r="DX31" s="549">
        <f t="shared" si="618"/>
        <v>0</v>
      </c>
      <c r="DY31" s="675">
        <f t="shared" si="618"/>
        <v>0</v>
      </c>
      <c r="DZ31" s="549">
        <f t="shared" si="618"/>
        <v>0</v>
      </c>
      <c r="EA31" s="675">
        <f t="shared" si="618"/>
        <v>0</v>
      </c>
      <c r="EB31" s="549">
        <f t="shared" si="618"/>
        <v>0</v>
      </c>
      <c r="EC31" s="675">
        <f t="shared" si="618"/>
        <v>0</v>
      </c>
      <c r="ED31" s="549">
        <f t="shared" ref="ED31:EE31" si="619">ED260+ED593+ED646</f>
        <v>0</v>
      </c>
      <c r="EE31" s="675">
        <f t="shared" si="619"/>
        <v>0</v>
      </c>
      <c r="EF31" s="549">
        <f t="shared" ref="EF31:HV31" si="620">EF260+EF593+EF646</f>
        <v>0</v>
      </c>
      <c r="EG31" s="675">
        <f t="shared" si="620"/>
        <v>0</v>
      </c>
      <c r="EH31" s="549">
        <f t="shared" si="620"/>
        <v>0</v>
      </c>
      <c r="EI31" s="675">
        <f t="shared" si="620"/>
        <v>0</v>
      </c>
      <c r="EJ31" s="549">
        <f t="shared" si="620"/>
        <v>0</v>
      </c>
      <c r="EK31" s="675">
        <f t="shared" si="620"/>
        <v>0</v>
      </c>
      <c r="EL31" s="549">
        <f t="shared" si="620"/>
        <v>0</v>
      </c>
      <c r="EM31" s="675">
        <f t="shared" si="620"/>
        <v>0</v>
      </c>
      <c r="EN31" s="549">
        <f t="shared" si="620"/>
        <v>0</v>
      </c>
      <c r="EO31" s="675">
        <f t="shared" si="620"/>
        <v>0</v>
      </c>
      <c r="EP31" s="549">
        <f t="shared" si="620"/>
        <v>0</v>
      </c>
      <c r="EQ31" s="675">
        <f t="shared" si="620"/>
        <v>0</v>
      </c>
      <c r="ER31" s="549">
        <f t="shared" si="620"/>
        <v>0</v>
      </c>
      <c r="ES31" s="675">
        <f t="shared" si="620"/>
        <v>0</v>
      </c>
      <c r="ET31" s="549">
        <f t="shared" si="620"/>
        <v>0</v>
      </c>
      <c r="EU31" s="675">
        <f t="shared" si="620"/>
        <v>0</v>
      </c>
      <c r="EV31" s="549">
        <f t="shared" si="620"/>
        <v>0</v>
      </c>
      <c r="EW31" s="675">
        <f t="shared" si="620"/>
        <v>0</v>
      </c>
      <c r="EX31" s="549">
        <f t="shared" si="620"/>
        <v>0</v>
      </c>
      <c r="EY31" s="675">
        <f t="shared" si="620"/>
        <v>0</v>
      </c>
      <c r="EZ31" s="549">
        <f t="shared" si="620"/>
        <v>0</v>
      </c>
      <c r="FA31" s="675">
        <f t="shared" si="620"/>
        <v>0</v>
      </c>
      <c r="FB31" s="549">
        <f t="shared" si="620"/>
        <v>0</v>
      </c>
      <c r="FC31" s="675">
        <f t="shared" si="620"/>
        <v>0</v>
      </c>
      <c r="FD31" s="549">
        <f t="shared" si="620"/>
        <v>0</v>
      </c>
      <c r="FE31" s="675">
        <f t="shared" si="620"/>
        <v>0</v>
      </c>
      <c r="FF31" s="549">
        <f t="shared" si="620"/>
        <v>0</v>
      </c>
      <c r="FG31" s="675">
        <f t="shared" si="620"/>
        <v>0</v>
      </c>
      <c r="FH31" s="549">
        <f t="shared" si="620"/>
        <v>0</v>
      </c>
      <c r="FI31" s="675">
        <f t="shared" si="620"/>
        <v>0</v>
      </c>
      <c r="FJ31" s="549">
        <f t="shared" si="620"/>
        <v>0</v>
      </c>
      <c r="FK31" s="675">
        <f t="shared" si="620"/>
        <v>0</v>
      </c>
      <c r="FL31" s="549">
        <f t="shared" ref="FL31:FM31" si="621">FL260+FL593+FL646</f>
        <v>0</v>
      </c>
      <c r="FM31" s="675">
        <f t="shared" si="621"/>
        <v>0</v>
      </c>
      <c r="FN31" s="549">
        <f t="shared" ref="FN31:FO31" si="622">FN260+FN593+FN646</f>
        <v>0</v>
      </c>
      <c r="FO31" s="675">
        <f t="shared" si="622"/>
        <v>0</v>
      </c>
      <c r="FP31" s="549">
        <f t="shared" ref="FP31:FQ31" si="623">FP260+FP593+FP646</f>
        <v>0</v>
      </c>
      <c r="FQ31" s="675">
        <f t="shared" si="623"/>
        <v>0</v>
      </c>
      <c r="FR31" s="549">
        <f t="shared" ref="FR31:FS31" si="624">FR260+FR593+FR646</f>
        <v>0</v>
      </c>
      <c r="FS31" s="675">
        <f t="shared" si="624"/>
        <v>0</v>
      </c>
      <c r="FT31" s="549">
        <f t="shared" ref="FT31:FU31" si="625">FT260+FT593+FT646</f>
        <v>0</v>
      </c>
      <c r="FU31" s="675">
        <f t="shared" si="625"/>
        <v>0</v>
      </c>
      <c r="FV31" s="549">
        <f t="shared" ref="FV31:GK31" si="626">FV260+FV593+FV646</f>
        <v>0</v>
      </c>
      <c r="FW31" s="675">
        <f t="shared" si="626"/>
        <v>0</v>
      </c>
      <c r="FX31" s="549">
        <f t="shared" si="626"/>
        <v>0</v>
      </c>
      <c r="FY31" s="675">
        <f t="shared" si="626"/>
        <v>0</v>
      </c>
      <c r="FZ31" s="549">
        <f t="shared" ref="FZ31:GI31" si="627">FZ260+FZ593+FZ646</f>
        <v>0</v>
      </c>
      <c r="GA31" s="675">
        <f t="shared" si="627"/>
        <v>0</v>
      </c>
      <c r="GB31" s="549">
        <f t="shared" si="627"/>
        <v>0</v>
      </c>
      <c r="GC31" s="675">
        <f t="shared" si="627"/>
        <v>0</v>
      </c>
      <c r="GD31" s="549">
        <f t="shared" si="627"/>
        <v>0</v>
      </c>
      <c r="GE31" s="675">
        <f t="shared" si="627"/>
        <v>0</v>
      </c>
      <c r="GF31" s="549">
        <f t="shared" si="627"/>
        <v>0</v>
      </c>
      <c r="GG31" s="675">
        <f t="shared" si="627"/>
        <v>0</v>
      </c>
      <c r="GH31" s="549">
        <f t="shared" si="627"/>
        <v>0</v>
      </c>
      <c r="GI31" s="675">
        <f t="shared" si="627"/>
        <v>0</v>
      </c>
      <c r="GJ31" s="549">
        <f t="shared" si="626"/>
        <v>0</v>
      </c>
      <c r="GK31" s="675">
        <f t="shared" si="626"/>
        <v>0</v>
      </c>
      <c r="GL31" s="549">
        <f t="shared" ref="GL31:GM31" si="628">GL260+GL593+GL646</f>
        <v>0</v>
      </c>
      <c r="GM31" s="675">
        <f t="shared" si="628"/>
        <v>0</v>
      </c>
      <c r="GN31" s="549">
        <f t="shared" ref="GN31:GO31" si="629">GN260+GN593+GN646</f>
        <v>0</v>
      </c>
      <c r="GO31" s="675">
        <f t="shared" si="629"/>
        <v>0</v>
      </c>
      <c r="GP31" s="74">
        <f t="shared" si="620"/>
        <v>0</v>
      </c>
      <c r="GQ31" s="675">
        <f t="shared" si="620"/>
        <v>0</v>
      </c>
      <c r="GR31" s="74">
        <f t="shared" si="620"/>
        <v>5236200</v>
      </c>
      <c r="GS31" s="74">
        <f>GS260+GS593+GS646</f>
        <v>4760183</v>
      </c>
      <c r="GT31" s="549">
        <f t="shared" si="620"/>
        <v>5236200</v>
      </c>
      <c r="GU31" s="74">
        <f t="shared" si="620"/>
        <v>476030</v>
      </c>
      <c r="GV31" s="74">
        <f t="shared" si="620"/>
        <v>476017</v>
      </c>
      <c r="GW31" s="549">
        <f t="shared" si="620"/>
        <v>476017</v>
      </c>
      <c r="GX31" s="549">
        <f t="shared" si="620"/>
        <v>476017</v>
      </c>
      <c r="GY31" s="74">
        <f t="shared" si="620"/>
        <v>476017</v>
      </c>
      <c r="GZ31" s="74">
        <f t="shared" si="620"/>
        <v>476017</v>
      </c>
      <c r="HA31" s="74">
        <f t="shared" si="620"/>
        <v>476017</v>
      </c>
      <c r="HB31" s="74">
        <f t="shared" si="620"/>
        <v>476017</v>
      </c>
      <c r="HC31" s="74">
        <f t="shared" si="620"/>
        <v>476017</v>
      </c>
      <c r="HD31" s="74">
        <f t="shared" si="620"/>
        <v>476017</v>
      </c>
      <c r="HE31" s="74">
        <f t="shared" si="620"/>
        <v>476017</v>
      </c>
      <c r="HF31" s="74">
        <f t="shared" si="620"/>
        <v>0</v>
      </c>
      <c r="HG31" s="74">
        <f t="shared" si="620"/>
        <v>4760183</v>
      </c>
      <c r="HH31" s="74">
        <f t="shared" si="620"/>
        <v>0</v>
      </c>
      <c r="HI31" s="74">
        <f t="shared" si="620"/>
        <v>0</v>
      </c>
      <c r="HJ31" s="74">
        <f t="shared" si="620"/>
        <v>0</v>
      </c>
      <c r="HK31" s="74">
        <f t="shared" si="620"/>
        <v>952047</v>
      </c>
      <c r="HL31" s="74">
        <f t="shared" si="620"/>
        <v>0</v>
      </c>
      <c r="HM31" s="74">
        <f t="shared" si="620"/>
        <v>476017</v>
      </c>
      <c r="HN31" s="74">
        <f t="shared" si="620"/>
        <v>0</v>
      </c>
      <c r="HO31" s="74">
        <f t="shared" si="620"/>
        <v>476017</v>
      </c>
      <c r="HP31" s="74">
        <f t="shared" si="620"/>
        <v>0</v>
      </c>
      <c r="HQ31" s="74">
        <f t="shared" si="620"/>
        <v>476017</v>
      </c>
      <c r="HR31" s="74">
        <f t="shared" si="620"/>
        <v>0</v>
      </c>
      <c r="HS31" s="74">
        <f t="shared" si="620"/>
        <v>476017</v>
      </c>
      <c r="HT31" s="74">
        <f t="shared" si="620"/>
        <v>0</v>
      </c>
      <c r="HU31" s="74">
        <f t="shared" si="620"/>
        <v>476017</v>
      </c>
      <c r="HV31" s="74">
        <f t="shared" si="620"/>
        <v>0</v>
      </c>
      <c r="HW31" s="74">
        <f t="shared" ref="HW31:JT31" si="630">HW260+HW593+HW646</f>
        <v>476017</v>
      </c>
      <c r="HX31" s="74">
        <f t="shared" si="630"/>
        <v>0</v>
      </c>
      <c r="HY31" s="74">
        <f t="shared" si="630"/>
        <v>476017</v>
      </c>
      <c r="HZ31" s="74">
        <f t="shared" si="630"/>
        <v>0</v>
      </c>
      <c r="IA31" s="74">
        <f t="shared" si="630"/>
        <v>476017</v>
      </c>
      <c r="IB31" s="74">
        <f t="shared" si="630"/>
        <v>0</v>
      </c>
      <c r="IC31" s="74">
        <f t="shared" si="630"/>
        <v>0</v>
      </c>
      <c r="ID31" s="74">
        <f t="shared" si="630"/>
        <v>0</v>
      </c>
      <c r="IE31" s="792">
        <f t="shared" si="630"/>
        <v>0</v>
      </c>
      <c r="IF31" s="841">
        <f t="shared" si="630"/>
        <v>4760183</v>
      </c>
      <c r="IG31" s="263">
        <f t="shared" si="630"/>
        <v>4760183</v>
      </c>
      <c r="IH31" s="842">
        <f t="shared" si="630"/>
        <v>4760183</v>
      </c>
      <c r="II31" s="155">
        <f t="shared" si="630"/>
        <v>0</v>
      </c>
      <c r="IJ31" s="74">
        <f t="shared" si="630"/>
        <v>0</v>
      </c>
      <c r="IK31" s="74">
        <f t="shared" si="630"/>
        <v>0</v>
      </c>
      <c r="IL31" s="74">
        <f t="shared" si="630"/>
        <v>952047</v>
      </c>
      <c r="IM31" s="74">
        <f t="shared" si="630"/>
        <v>952047</v>
      </c>
      <c r="IN31" s="74">
        <f t="shared" si="630"/>
        <v>952047</v>
      </c>
      <c r="IO31" s="74">
        <f t="shared" si="630"/>
        <v>476017</v>
      </c>
      <c r="IP31" s="74">
        <f t="shared" si="630"/>
        <v>476017</v>
      </c>
      <c r="IQ31" s="74">
        <f t="shared" si="630"/>
        <v>476017</v>
      </c>
      <c r="IR31" s="74">
        <f t="shared" si="630"/>
        <v>476017</v>
      </c>
      <c r="IS31" s="74">
        <f t="shared" si="630"/>
        <v>476017</v>
      </c>
      <c r="IT31" s="74">
        <f t="shared" si="630"/>
        <v>476017</v>
      </c>
      <c r="IU31" s="74">
        <f t="shared" si="630"/>
        <v>476017</v>
      </c>
      <c r="IV31" s="74">
        <f t="shared" si="630"/>
        <v>476017</v>
      </c>
      <c r="IW31" s="74">
        <f t="shared" si="630"/>
        <v>476017</v>
      </c>
      <c r="IX31" s="74">
        <f t="shared" si="630"/>
        <v>476017</v>
      </c>
      <c r="IY31" s="74">
        <f t="shared" si="630"/>
        <v>476017</v>
      </c>
      <c r="IZ31" s="74">
        <f t="shared" si="630"/>
        <v>476017</v>
      </c>
      <c r="JA31" s="74">
        <f t="shared" si="630"/>
        <v>476017</v>
      </c>
      <c r="JB31" s="74">
        <f t="shared" si="630"/>
        <v>476017</v>
      </c>
      <c r="JC31" s="74">
        <f t="shared" si="630"/>
        <v>476017</v>
      </c>
      <c r="JD31" s="74">
        <f t="shared" si="630"/>
        <v>476017</v>
      </c>
      <c r="JE31" s="74">
        <f t="shared" si="630"/>
        <v>476017</v>
      </c>
      <c r="JF31" s="74">
        <f t="shared" si="630"/>
        <v>476017</v>
      </c>
      <c r="JG31" s="74">
        <f t="shared" si="630"/>
        <v>476017</v>
      </c>
      <c r="JH31" s="74">
        <f t="shared" si="630"/>
        <v>476017</v>
      </c>
      <c r="JI31" s="74">
        <f t="shared" si="630"/>
        <v>476017</v>
      </c>
      <c r="JJ31" s="74">
        <f t="shared" si="630"/>
        <v>476017</v>
      </c>
      <c r="JK31" s="74">
        <f t="shared" si="630"/>
        <v>476017</v>
      </c>
      <c r="JL31" s="74">
        <f t="shared" si="630"/>
        <v>476017</v>
      </c>
      <c r="JM31" s="74">
        <f t="shared" si="630"/>
        <v>0</v>
      </c>
      <c r="JN31" s="74">
        <f t="shared" si="630"/>
        <v>0</v>
      </c>
      <c r="JO31" s="74">
        <f t="shared" si="630"/>
        <v>0</v>
      </c>
      <c r="JP31" s="74">
        <f t="shared" si="630"/>
        <v>0</v>
      </c>
      <c r="JQ31" s="74">
        <f t="shared" si="630"/>
        <v>0</v>
      </c>
      <c r="JR31" s="74">
        <f t="shared" si="630"/>
        <v>0</v>
      </c>
      <c r="JS31" s="74">
        <f t="shared" si="630"/>
        <v>0</v>
      </c>
      <c r="JT31" s="102">
        <f t="shared" si="630"/>
        <v>0</v>
      </c>
      <c r="JU31" s="671"/>
      <c r="JV31" s="492"/>
      <c r="JW31" s="490"/>
      <c r="JX31" s="549">
        <f>JX260+JX593+JX646</f>
        <v>0</v>
      </c>
      <c r="JY31" s="549">
        <f>JY260+JY593+JY646</f>
        <v>4760183</v>
      </c>
      <c r="JZ31" s="581">
        <f t="shared" si="42"/>
        <v>0</v>
      </c>
      <c r="KA31" s="581">
        <f t="shared" si="43"/>
        <v>0</v>
      </c>
      <c r="KB31" s="549">
        <f>KB260+KB593+KB646</f>
        <v>4760183</v>
      </c>
      <c r="KC31" s="709">
        <f t="shared" si="41"/>
        <v>0</v>
      </c>
      <c r="KD31" s="126" t="s">
        <v>203</v>
      </c>
      <c r="KE31" s="127" t="s">
        <v>408</v>
      </c>
      <c r="KF31" s="127">
        <f>$C$347</f>
        <v>41000</v>
      </c>
      <c r="KG31" s="127">
        <f>GR347</f>
        <v>97437</v>
      </c>
      <c r="KH31" s="127">
        <f>GS347</f>
        <v>93710</v>
      </c>
      <c r="KI31" s="127" t="e">
        <f>#REF!+GQ347</f>
        <v>#REF!</v>
      </c>
      <c r="KJ31" s="127">
        <f>$GR$347</f>
        <v>97437</v>
      </c>
      <c r="KK31" s="127">
        <f>$HG$347</f>
        <v>93710</v>
      </c>
    </row>
    <row r="32" spans="1:297" s="8" customFormat="1" ht="13.5" thickBot="1">
      <c r="A32" s="75" t="s">
        <v>71</v>
      </c>
      <c r="B32" s="72" t="s">
        <v>72</v>
      </c>
      <c r="C32" s="74">
        <f t="shared" ref="C32:BP32" si="631">SUM(C261,C594,C647)</f>
        <v>641000</v>
      </c>
      <c r="D32" s="549">
        <f t="shared" si="631"/>
        <v>0</v>
      </c>
      <c r="E32" s="675">
        <f t="shared" si="631"/>
        <v>0</v>
      </c>
      <c r="F32" s="549">
        <f t="shared" si="631"/>
        <v>0</v>
      </c>
      <c r="G32" s="675">
        <f t="shared" si="631"/>
        <v>0</v>
      </c>
      <c r="H32" s="549">
        <f t="shared" si="631"/>
        <v>0</v>
      </c>
      <c r="I32" s="675">
        <f t="shared" si="631"/>
        <v>0</v>
      </c>
      <c r="J32" s="549">
        <f t="shared" si="631"/>
        <v>0</v>
      </c>
      <c r="K32" s="675">
        <f t="shared" si="631"/>
        <v>0</v>
      </c>
      <c r="L32" s="549">
        <f t="shared" si="631"/>
        <v>0</v>
      </c>
      <c r="M32" s="675">
        <f t="shared" si="631"/>
        <v>0</v>
      </c>
      <c r="N32" s="549">
        <f t="shared" si="631"/>
        <v>0</v>
      </c>
      <c r="O32" s="675">
        <f t="shared" si="631"/>
        <v>0</v>
      </c>
      <c r="P32" s="549">
        <f t="shared" si="631"/>
        <v>0</v>
      </c>
      <c r="Q32" s="675">
        <f t="shared" si="631"/>
        <v>0</v>
      </c>
      <c r="R32" s="549">
        <f t="shared" si="631"/>
        <v>0</v>
      </c>
      <c r="S32" s="675">
        <f t="shared" si="631"/>
        <v>0</v>
      </c>
      <c r="T32" s="549">
        <f t="shared" si="631"/>
        <v>0</v>
      </c>
      <c r="U32" s="675">
        <f t="shared" si="631"/>
        <v>0</v>
      </c>
      <c r="V32" s="549">
        <f t="shared" si="631"/>
        <v>0</v>
      </c>
      <c r="W32" s="675">
        <f t="shared" si="631"/>
        <v>0</v>
      </c>
      <c r="X32" s="549">
        <f t="shared" si="631"/>
        <v>0</v>
      </c>
      <c r="Y32" s="675">
        <f t="shared" si="631"/>
        <v>0</v>
      </c>
      <c r="Z32" s="549">
        <f t="shared" si="631"/>
        <v>0</v>
      </c>
      <c r="AA32" s="675">
        <f t="shared" si="631"/>
        <v>0</v>
      </c>
      <c r="AB32" s="549">
        <f t="shared" si="631"/>
        <v>0</v>
      </c>
      <c r="AC32" s="675">
        <f t="shared" si="631"/>
        <v>0</v>
      </c>
      <c r="AD32" s="549">
        <f t="shared" si="631"/>
        <v>0</v>
      </c>
      <c r="AE32" s="675">
        <f t="shared" si="631"/>
        <v>0</v>
      </c>
      <c r="AF32" s="549">
        <f t="shared" si="631"/>
        <v>0</v>
      </c>
      <c r="AG32" s="675">
        <f t="shared" si="631"/>
        <v>0</v>
      </c>
      <c r="AH32" s="549">
        <f t="shared" si="631"/>
        <v>0</v>
      </c>
      <c r="AI32" s="675">
        <f t="shared" si="631"/>
        <v>0</v>
      </c>
      <c r="AJ32" s="549">
        <f t="shared" si="631"/>
        <v>0</v>
      </c>
      <c r="AK32" s="675">
        <f t="shared" si="631"/>
        <v>0</v>
      </c>
      <c r="AL32" s="549">
        <f t="shared" si="631"/>
        <v>0</v>
      </c>
      <c r="AM32" s="675">
        <f t="shared" si="631"/>
        <v>0</v>
      </c>
      <c r="AN32" s="549">
        <f t="shared" si="631"/>
        <v>0</v>
      </c>
      <c r="AO32" s="675">
        <f t="shared" si="631"/>
        <v>0</v>
      </c>
      <c r="AP32" s="549">
        <f t="shared" si="631"/>
        <v>0</v>
      </c>
      <c r="AQ32" s="675">
        <f t="shared" si="631"/>
        <v>0</v>
      </c>
      <c r="AR32" s="549">
        <f t="shared" si="631"/>
        <v>0</v>
      </c>
      <c r="AS32" s="675">
        <f t="shared" si="631"/>
        <v>0</v>
      </c>
      <c r="AT32" s="549">
        <f t="shared" ref="AT32:AU32" si="632">SUM(AT261,AT594,AT647)</f>
        <v>0</v>
      </c>
      <c r="AU32" s="675">
        <f t="shared" si="632"/>
        <v>0</v>
      </c>
      <c r="AV32" s="549">
        <f t="shared" ref="AV32:AW32" si="633">SUM(AV261,AV594,AV647)</f>
        <v>0</v>
      </c>
      <c r="AW32" s="675">
        <f t="shared" si="633"/>
        <v>0</v>
      </c>
      <c r="AX32" s="549">
        <f t="shared" ref="AX32:AY32" si="634">SUM(AX261,AX594,AX647)</f>
        <v>0</v>
      </c>
      <c r="AY32" s="675">
        <f t="shared" si="634"/>
        <v>0</v>
      </c>
      <c r="AZ32" s="549">
        <f t="shared" ref="AZ32:BA32" si="635">SUM(AZ261,AZ594,AZ647)</f>
        <v>0</v>
      </c>
      <c r="BA32" s="675">
        <f t="shared" si="635"/>
        <v>0</v>
      </c>
      <c r="BB32" s="549">
        <f t="shared" ref="BB32:BC32" si="636">SUM(BB261,BB594,BB647)</f>
        <v>0</v>
      </c>
      <c r="BC32" s="675">
        <f t="shared" si="636"/>
        <v>0</v>
      </c>
      <c r="BD32" s="549">
        <f t="shared" ref="BD32:BE32" si="637">SUM(BD261,BD594,BD647)</f>
        <v>0</v>
      </c>
      <c r="BE32" s="675">
        <f t="shared" si="637"/>
        <v>0</v>
      </c>
      <c r="BF32" s="549">
        <f t="shared" ref="BF32:BG32" si="638">SUM(BF261,BF594,BF647)</f>
        <v>0</v>
      </c>
      <c r="BG32" s="675">
        <f t="shared" si="638"/>
        <v>0</v>
      </c>
      <c r="BH32" s="549">
        <f t="shared" ref="BH32:BI32" si="639">SUM(BH261,BH594,BH647)</f>
        <v>0</v>
      </c>
      <c r="BI32" s="675">
        <f t="shared" si="639"/>
        <v>0</v>
      </c>
      <c r="BJ32" s="549">
        <f t="shared" ref="BJ32:BK32" si="640">SUM(BJ261,BJ594,BJ647)</f>
        <v>0</v>
      </c>
      <c r="BK32" s="675">
        <f t="shared" si="640"/>
        <v>0</v>
      </c>
      <c r="BL32" s="549">
        <f t="shared" si="631"/>
        <v>0</v>
      </c>
      <c r="BM32" s="675">
        <f t="shared" si="631"/>
        <v>0</v>
      </c>
      <c r="BN32" s="549">
        <f t="shared" si="631"/>
        <v>0</v>
      </c>
      <c r="BO32" s="675">
        <f t="shared" si="631"/>
        <v>0</v>
      </c>
      <c r="BP32" s="549">
        <f t="shared" si="631"/>
        <v>0</v>
      </c>
      <c r="BQ32" s="675">
        <f t="shared" ref="BQ32" si="641">SUM(BQ261,BQ594,BQ647)</f>
        <v>0</v>
      </c>
      <c r="BR32" s="549">
        <f t="shared" ref="BR32:BS32" si="642">SUM(BR261,BR594,BR647)</f>
        <v>0</v>
      </c>
      <c r="BS32" s="675">
        <f t="shared" si="642"/>
        <v>0</v>
      </c>
      <c r="BT32" s="549">
        <f t="shared" ref="BT32:BU32" si="643">SUM(BT261,BT594,BT647)</f>
        <v>0</v>
      </c>
      <c r="BU32" s="675">
        <f t="shared" si="643"/>
        <v>0</v>
      </c>
      <c r="BV32" s="549">
        <f t="shared" ref="BV32:BW32" si="644">SUM(BV261,BV594,BV647)</f>
        <v>0</v>
      </c>
      <c r="BW32" s="675">
        <f t="shared" si="644"/>
        <v>0</v>
      </c>
      <c r="BX32" s="549">
        <f t="shared" ref="BX32:BY32" si="645">SUM(BX261,BX594,BX647)</f>
        <v>0</v>
      </c>
      <c r="BY32" s="675">
        <f t="shared" si="645"/>
        <v>0</v>
      </c>
      <c r="BZ32" s="549">
        <f t="shared" ref="BZ32:CA32" si="646">SUM(BZ261,BZ594,BZ647)</f>
        <v>0</v>
      </c>
      <c r="CA32" s="675">
        <f t="shared" si="646"/>
        <v>0</v>
      </c>
      <c r="CB32" s="549">
        <f t="shared" ref="CB32:EC32" si="647">SUM(CB261,CB594,CB647)</f>
        <v>0</v>
      </c>
      <c r="CC32" s="675">
        <f t="shared" si="647"/>
        <v>0</v>
      </c>
      <c r="CD32" s="549">
        <f t="shared" si="647"/>
        <v>0</v>
      </c>
      <c r="CE32" s="675">
        <f t="shared" si="647"/>
        <v>0</v>
      </c>
      <c r="CF32" s="549">
        <f t="shared" si="647"/>
        <v>0</v>
      </c>
      <c r="CG32" s="675">
        <f t="shared" si="647"/>
        <v>0</v>
      </c>
      <c r="CH32" s="549">
        <f t="shared" si="647"/>
        <v>0</v>
      </c>
      <c r="CI32" s="675">
        <f t="shared" si="647"/>
        <v>0</v>
      </c>
      <c r="CJ32" s="549">
        <f t="shared" si="647"/>
        <v>0</v>
      </c>
      <c r="CK32" s="675">
        <f t="shared" si="647"/>
        <v>0</v>
      </c>
      <c r="CL32" s="549">
        <f t="shared" si="647"/>
        <v>0</v>
      </c>
      <c r="CM32" s="675">
        <f t="shared" si="647"/>
        <v>0</v>
      </c>
      <c r="CN32" s="549">
        <f t="shared" si="647"/>
        <v>0</v>
      </c>
      <c r="CO32" s="675">
        <f t="shared" si="647"/>
        <v>0</v>
      </c>
      <c r="CP32" s="549">
        <f t="shared" si="647"/>
        <v>0</v>
      </c>
      <c r="CQ32" s="675">
        <f t="shared" si="647"/>
        <v>0</v>
      </c>
      <c r="CR32" s="549">
        <f t="shared" si="647"/>
        <v>0</v>
      </c>
      <c r="CS32" s="675">
        <f t="shared" si="647"/>
        <v>0</v>
      </c>
      <c r="CT32" s="549">
        <f t="shared" si="647"/>
        <v>0</v>
      </c>
      <c r="CU32" s="675">
        <f t="shared" si="647"/>
        <v>0</v>
      </c>
      <c r="CV32" s="549">
        <f t="shared" si="647"/>
        <v>0</v>
      </c>
      <c r="CW32" s="675">
        <f t="shared" si="647"/>
        <v>0</v>
      </c>
      <c r="CX32" s="549">
        <f t="shared" si="647"/>
        <v>0</v>
      </c>
      <c r="CY32" s="675">
        <f t="shared" si="647"/>
        <v>0</v>
      </c>
      <c r="CZ32" s="549">
        <f t="shared" si="647"/>
        <v>0</v>
      </c>
      <c r="DA32" s="675">
        <f t="shared" si="647"/>
        <v>0</v>
      </c>
      <c r="DB32" s="549">
        <f t="shared" si="647"/>
        <v>0</v>
      </c>
      <c r="DC32" s="675">
        <f t="shared" si="647"/>
        <v>0</v>
      </c>
      <c r="DD32" s="549">
        <f t="shared" si="647"/>
        <v>0</v>
      </c>
      <c r="DE32" s="675">
        <f t="shared" si="647"/>
        <v>0</v>
      </c>
      <c r="DF32" s="549">
        <f t="shared" si="647"/>
        <v>0</v>
      </c>
      <c r="DG32" s="675">
        <f t="shared" si="647"/>
        <v>0</v>
      </c>
      <c r="DH32" s="549">
        <f t="shared" si="647"/>
        <v>0</v>
      </c>
      <c r="DI32" s="675">
        <f t="shared" si="647"/>
        <v>0</v>
      </c>
      <c r="DJ32" s="549">
        <f t="shared" si="647"/>
        <v>0</v>
      </c>
      <c r="DK32" s="675">
        <f t="shared" si="647"/>
        <v>0</v>
      </c>
      <c r="DL32" s="549">
        <f t="shared" si="647"/>
        <v>0</v>
      </c>
      <c r="DM32" s="675">
        <f t="shared" si="647"/>
        <v>0</v>
      </c>
      <c r="DN32" s="549">
        <f t="shared" si="647"/>
        <v>0</v>
      </c>
      <c r="DO32" s="675">
        <f t="shared" si="647"/>
        <v>0</v>
      </c>
      <c r="DP32" s="549">
        <f t="shared" si="647"/>
        <v>0</v>
      </c>
      <c r="DQ32" s="675">
        <f t="shared" si="647"/>
        <v>0</v>
      </c>
      <c r="DR32" s="549">
        <f t="shared" si="647"/>
        <v>0</v>
      </c>
      <c r="DS32" s="675">
        <f t="shared" si="647"/>
        <v>0</v>
      </c>
      <c r="DT32" s="549">
        <f t="shared" si="647"/>
        <v>0</v>
      </c>
      <c r="DU32" s="675">
        <f t="shared" si="647"/>
        <v>0</v>
      </c>
      <c r="DV32" s="549">
        <f t="shared" si="647"/>
        <v>0</v>
      </c>
      <c r="DW32" s="675">
        <f t="shared" si="647"/>
        <v>0</v>
      </c>
      <c r="DX32" s="549">
        <f t="shared" si="647"/>
        <v>0</v>
      </c>
      <c r="DY32" s="675">
        <f t="shared" si="647"/>
        <v>0</v>
      </c>
      <c r="DZ32" s="549">
        <f t="shared" si="647"/>
        <v>0</v>
      </c>
      <c r="EA32" s="675">
        <f t="shared" si="647"/>
        <v>0</v>
      </c>
      <c r="EB32" s="549">
        <f t="shared" si="647"/>
        <v>0</v>
      </c>
      <c r="EC32" s="675">
        <f t="shared" si="647"/>
        <v>0</v>
      </c>
      <c r="ED32" s="549">
        <f t="shared" ref="ED32:EE32" si="648">SUM(ED261,ED594,ED647)</f>
        <v>0</v>
      </c>
      <c r="EE32" s="675">
        <f t="shared" si="648"/>
        <v>0</v>
      </c>
      <c r="EF32" s="549">
        <f t="shared" ref="EF32:HV32" si="649">SUM(EF261,EF594,EF647)</f>
        <v>0</v>
      </c>
      <c r="EG32" s="675">
        <f t="shared" si="649"/>
        <v>0</v>
      </c>
      <c r="EH32" s="549">
        <f t="shared" si="649"/>
        <v>0</v>
      </c>
      <c r="EI32" s="675">
        <f t="shared" si="649"/>
        <v>0</v>
      </c>
      <c r="EJ32" s="549">
        <f t="shared" si="649"/>
        <v>0</v>
      </c>
      <c r="EK32" s="675">
        <f t="shared" si="649"/>
        <v>0</v>
      </c>
      <c r="EL32" s="549">
        <f t="shared" si="649"/>
        <v>0</v>
      </c>
      <c r="EM32" s="675">
        <f t="shared" si="649"/>
        <v>0</v>
      </c>
      <c r="EN32" s="549">
        <f t="shared" si="649"/>
        <v>0</v>
      </c>
      <c r="EO32" s="675">
        <f t="shared" si="649"/>
        <v>0</v>
      </c>
      <c r="EP32" s="549">
        <f t="shared" si="649"/>
        <v>0</v>
      </c>
      <c r="EQ32" s="675">
        <f t="shared" si="649"/>
        <v>0</v>
      </c>
      <c r="ER32" s="549">
        <f t="shared" si="649"/>
        <v>0</v>
      </c>
      <c r="ES32" s="675">
        <f t="shared" si="649"/>
        <v>0</v>
      </c>
      <c r="ET32" s="549">
        <f t="shared" si="649"/>
        <v>0</v>
      </c>
      <c r="EU32" s="675">
        <f t="shared" si="649"/>
        <v>0</v>
      </c>
      <c r="EV32" s="549">
        <f t="shared" si="649"/>
        <v>0</v>
      </c>
      <c r="EW32" s="675">
        <f t="shared" si="649"/>
        <v>0</v>
      </c>
      <c r="EX32" s="549">
        <f t="shared" si="649"/>
        <v>0</v>
      </c>
      <c r="EY32" s="675">
        <f t="shared" si="649"/>
        <v>0</v>
      </c>
      <c r="EZ32" s="549">
        <f t="shared" si="649"/>
        <v>0</v>
      </c>
      <c r="FA32" s="675">
        <f t="shared" si="649"/>
        <v>0</v>
      </c>
      <c r="FB32" s="549">
        <f t="shared" si="649"/>
        <v>0</v>
      </c>
      <c r="FC32" s="675">
        <f t="shared" si="649"/>
        <v>0</v>
      </c>
      <c r="FD32" s="549">
        <f t="shared" si="649"/>
        <v>0</v>
      </c>
      <c r="FE32" s="675">
        <f t="shared" si="649"/>
        <v>0</v>
      </c>
      <c r="FF32" s="549">
        <f t="shared" si="649"/>
        <v>0</v>
      </c>
      <c r="FG32" s="675">
        <f t="shared" si="649"/>
        <v>0</v>
      </c>
      <c r="FH32" s="549">
        <f t="shared" si="649"/>
        <v>0</v>
      </c>
      <c r="FI32" s="675">
        <f t="shared" si="649"/>
        <v>0</v>
      </c>
      <c r="FJ32" s="549">
        <f t="shared" si="649"/>
        <v>0</v>
      </c>
      <c r="FK32" s="675">
        <f t="shared" si="649"/>
        <v>0</v>
      </c>
      <c r="FL32" s="549">
        <f t="shared" ref="FL32:FM32" si="650">SUM(FL261,FL594,FL647)</f>
        <v>0</v>
      </c>
      <c r="FM32" s="675">
        <f t="shared" si="650"/>
        <v>0</v>
      </c>
      <c r="FN32" s="549">
        <f t="shared" ref="FN32:FO32" si="651">SUM(FN261,FN594,FN647)</f>
        <v>0</v>
      </c>
      <c r="FO32" s="675">
        <f t="shared" si="651"/>
        <v>0</v>
      </c>
      <c r="FP32" s="549">
        <f t="shared" ref="FP32:FQ32" si="652">SUM(FP261,FP594,FP647)</f>
        <v>0</v>
      </c>
      <c r="FQ32" s="675">
        <f t="shared" si="652"/>
        <v>0</v>
      </c>
      <c r="FR32" s="549">
        <f t="shared" ref="FR32:FS32" si="653">SUM(FR261,FR594,FR647)</f>
        <v>0</v>
      </c>
      <c r="FS32" s="675">
        <f t="shared" si="653"/>
        <v>0</v>
      </c>
      <c r="FT32" s="549">
        <f t="shared" ref="FT32:FU32" si="654">SUM(FT261,FT594,FT647)</f>
        <v>0</v>
      </c>
      <c r="FU32" s="675">
        <f t="shared" si="654"/>
        <v>0</v>
      </c>
      <c r="FV32" s="549">
        <f t="shared" ref="FV32:GK32" si="655">SUM(FV261,FV594,FV647)</f>
        <v>0</v>
      </c>
      <c r="FW32" s="675">
        <f t="shared" si="655"/>
        <v>0</v>
      </c>
      <c r="FX32" s="549">
        <f t="shared" si="655"/>
        <v>0</v>
      </c>
      <c r="FY32" s="675">
        <f t="shared" si="655"/>
        <v>0</v>
      </c>
      <c r="FZ32" s="549">
        <f t="shared" ref="FZ32:GI32" si="656">SUM(FZ261,FZ594,FZ647)</f>
        <v>0</v>
      </c>
      <c r="GA32" s="675">
        <f t="shared" si="656"/>
        <v>0</v>
      </c>
      <c r="GB32" s="549">
        <f t="shared" si="656"/>
        <v>0</v>
      </c>
      <c r="GC32" s="675">
        <f t="shared" si="656"/>
        <v>0</v>
      </c>
      <c r="GD32" s="549">
        <f t="shared" si="656"/>
        <v>0</v>
      </c>
      <c r="GE32" s="675">
        <f t="shared" si="656"/>
        <v>0</v>
      </c>
      <c r="GF32" s="549">
        <f t="shared" si="656"/>
        <v>0</v>
      </c>
      <c r="GG32" s="675">
        <f t="shared" si="656"/>
        <v>0</v>
      </c>
      <c r="GH32" s="549">
        <f t="shared" si="656"/>
        <v>0</v>
      </c>
      <c r="GI32" s="675">
        <f t="shared" si="656"/>
        <v>0</v>
      </c>
      <c r="GJ32" s="549">
        <f t="shared" si="655"/>
        <v>0</v>
      </c>
      <c r="GK32" s="675">
        <f t="shared" si="655"/>
        <v>0</v>
      </c>
      <c r="GL32" s="549">
        <f t="shared" ref="GL32:GM32" si="657">SUM(GL261,GL594,GL647)</f>
        <v>0</v>
      </c>
      <c r="GM32" s="675">
        <f t="shared" si="657"/>
        <v>0</v>
      </c>
      <c r="GN32" s="549">
        <f t="shared" ref="GN32:GO32" si="658">SUM(GN261,GN594,GN647)</f>
        <v>0</v>
      </c>
      <c r="GO32" s="675">
        <f t="shared" si="658"/>
        <v>0</v>
      </c>
      <c r="GP32" s="74">
        <f t="shared" si="649"/>
        <v>0</v>
      </c>
      <c r="GQ32" s="675">
        <f t="shared" si="649"/>
        <v>0</v>
      </c>
      <c r="GR32" s="74">
        <f t="shared" si="649"/>
        <v>641000</v>
      </c>
      <c r="GS32" s="74">
        <f t="shared" si="649"/>
        <v>582729</v>
      </c>
      <c r="GT32" s="549">
        <f t="shared" si="649"/>
        <v>641000</v>
      </c>
      <c r="GU32" s="74">
        <f t="shared" si="649"/>
        <v>58290</v>
      </c>
      <c r="GV32" s="74">
        <f t="shared" si="649"/>
        <v>58271</v>
      </c>
      <c r="GW32" s="549">
        <f t="shared" si="649"/>
        <v>58271</v>
      </c>
      <c r="GX32" s="549">
        <f t="shared" si="649"/>
        <v>58271</v>
      </c>
      <c r="GY32" s="74">
        <f t="shared" si="649"/>
        <v>58271</v>
      </c>
      <c r="GZ32" s="74">
        <f t="shared" si="649"/>
        <v>58271</v>
      </c>
      <c r="HA32" s="74">
        <f t="shared" si="649"/>
        <v>58271</v>
      </c>
      <c r="HB32" s="74">
        <f t="shared" si="649"/>
        <v>58271</v>
      </c>
      <c r="HC32" s="74">
        <f t="shared" si="649"/>
        <v>58271</v>
      </c>
      <c r="HD32" s="74">
        <f t="shared" si="649"/>
        <v>58271</v>
      </c>
      <c r="HE32" s="74">
        <f t="shared" si="649"/>
        <v>58271</v>
      </c>
      <c r="HF32" s="74">
        <f t="shared" si="649"/>
        <v>0</v>
      </c>
      <c r="HG32" s="74">
        <f t="shared" si="649"/>
        <v>582729</v>
      </c>
      <c r="HH32" s="74">
        <f t="shared" si="649"/>
        <v>0</v>
      </c>
      <c r="HI32" s="74">
        <f t="shared" si="649"/>
        <v>0</v>
      </c>
      <c r="HJ32" s="74">
        <f t="shared" si="649"/>
        <v>0</v>
      </c>
      <c r="HK32" s="74">
        <f t="shared" si="649"/>
        <v>116561</v>
      </c>
      <c r="HL32" s="74">
        <f t="shared" si="649"/>
        <v>0</v>
      </c>
      <c r="HM32" s="74">
        <f t="shared" si="649"/>
        <v>58271</v>
      </c>
      <c r="HN32" s="74">
        <f t="shared" si="649"/>
        <v>0</v>
      </c>
      <c r="HO32" s="74">
        <f t="shared" si="649"/>
        <v>58271</v>
      </c>
      <c r="HP32" s="74">
        <f t="shared" si="649"/>
        <v>0</v>
      </c>
      <c r="HQ32" s="74">
        <f t="shared" si="649"/>
        <v>58271</v>
      </c>
      <c r="HR32" s="74">
        <f t="shared" si="649"/>
        <v>0</v>
      </c>
      <c r="HS32" s="74">
        <f t="shared" si="649"/>
        <v>58271</v>
      </c>
      <c r="HT32" s="74">
        <f t="shared" si="649"/>
        <v>0</v>
      </c>
      <c r="HU32" s="74">
        <f t="shared" si="649"/>
        <v>58271</v>
      </c>
      <c r="HV32" s="74">
        <f t="shared" si="649"/>
        <v>0</v>
      </c>
      <c r="HW32" s="74">
        <f t="shared" ref="HW32:JT32" si="659">SUM(HW261,HW594,HW647)</f>
        <v>58271</v>
      </c>
      <c r="HX32" s="74">
        <f t="shared" si="659"/>
        <v>0</v>
      </c>
      <c r="HY32" s="74">
        <f t="shared" si="659"/>
        <v>58271</v>
      </c>
      <c r="HZ32" s="74">
        <f t="shared" si="659"/>
        <v>0</v>
      </c>
      <c r="IA32" s="74">
        <f t="shared" si="659"/>
        <v>58271</v>
      </c>
      <c r="IB32" s="74">
        <f t="shared" si="659"/>
        <v>0</v>
      </c>
      <c r="IC32" s="74">
        <f t="shared" si="659"/>
        <v>0</v>
      </c>
      <c r="ID32" s="74">
        <f t="shared" si="659"/>
        <v>0</v>
      </c>
      <c r="IE32" s="792">
        <f t="shared" si="659"/>
        <v>0</v>
      </c>
      <c r="IF32" s="841">
        <f t="shared" si="659"/>
        <v>582729</v>
      </c>
      <c r="IG32" s="263">
        <f t="shared" si="659"/>
        <v>582729</v>
      </c>
      <c r="IH32" s="842">
        <f t="shared" si="659"/>
        <v>582729</v>
      </c>
      <c r="II32" s="155">
        <f t="shared" si="659"/>
        <v>0</v>
      </c>
      <c r="IJ32" s="74">
        <f t="shared" si="659"/>
        <v>0</v>
      </c>
      <c r="IK32" s="74">
        <f t="shared" si="659"/>
        <v>0</v>
      </c>
      <c r="IL32" s="74">
        <f t="shared" si="659"/>
        <v>116561</v>
      </c>
      <c r="IM32" s="74">
        <f t="shared" si="659"/>
        <v>116561</v>
      </c>
      <c r="IN32" s="74">
        <f t="shared" si="659"/>
        <v>116561</v>
      </c>
      <c r="IO32" s="74">
        <f t="shared" si="659"/>
        <v>58271</v>
      </c>
      <c r="IP32" s="74">
        <f t="shared" si="659"/>
        <v>58271</v>
      </c>
      <c r="IQ32" s="74">
        <f t="shared" si="659"/>
        <v>58271</v>
      </c>
      <c r="IR32" s="74">
        <f t="shared" si="659"/>
        <v>58271</v>
      </c>
      <c r="IS32" s="74">
        <f t="shared" si="659"/>
        <v>58271</v>
      </c>
      <c r="IT32" s="74">
        <f t="shared" si="659"/>
        <v>58271</v>
      </c>
      <c r="IU32" s="74">
        <f t="shared" si="659"/>
        <v>58271</v>
      </c>
      <c r="IV32" s="74">
        <f t="shared" si="659"/>
        <v>58271</v>
      </c>
      <c r="IW32" s="74">
        <f t="shared" si="659"/>
        <v>58271</v>
      </c>
      <c r="IX32" s="74">
        <f t="shared" si="659"/>
        <v>58271</v>
      </c>
      <c r="IY32" s="74">
        <f t="shared" si="659"/>
        <v>58271</v>
      </c>
      <c r="IZ32" s="74">
        <f t="shared" si="659"/>
        <v>58271</v>
      </c>
      <c r="JA32" s="74">
        <f t="shared" si="659"/>
        <v>58271</v>
      </c>
      <c r="JB32" s="74">
        <f t="shared" si="659"/>
        <v>58271</v>
      </c>
      <c r="JC32" s="74">
        <f t="shared" si="659"/>
        <v>58271</v>
      </c>
      <c r="JD32" s="74">
        <f t="shared" si="659"/>
        <v>58271</v>
      </c>
      <c r="JE32" s="74">
        <f t="shared" si="659"/>
        <v>58271</v>
      </c>
      <c r="JF32" s="74">
        <f t="shared" si="659"/>
        <v>58271</v>
      </c>
      <c r="JG32" s="74">
        <f t="shared" si="659"/>
        <v>58271</v>
      </c>
      <c r="JH32" s="74">
        <f t="shared" si="659"/>
        <v>58271</v>
      </c>
      <c r="JI32" s="74">
        <f t="shared" si="659"/>
        <v>58271</v>
      </c>
      <c r="JJ32" s="74">
        <f t="shared" si="659"/>
        <v>58271</v>
      </c>
      <c r="JK32" s="74">
        <f t="shared" si="659"/>
        <v>58271</v>
      </c>
      <c r="JL32" s="74">
        <f t="shared" si="659"/>
        <v>58271</v>
      </c>
      <c r="JM32" s="74">
        <f t="shared" si="659"/>
        <v>0</v>
      </c>
      <c r="JN32" s="74">
        <f t="shared" si="659"/>
        <v>0</v>
      </c>
      <c r="JO32" s="74">
        <f t="shared" si="659"/>
        <v>0</v>
      </c>
      <c r="JP32" s="74">
        <f t="shared" si="659"/>
        <v>0</v>
      </c>
      <c r="JQ32" s="74">
        <f t="shared" si="659"/>
        <v>0</v>
      </c>
      <c r="JR32" s="74">
        <f t="shared" si="659"/>
        <v>0</v>
      </c>
      <c r="JS32" s="74">
        <f t="shared" si="659"/>
        <v>0</v>
      </c>
      <c r="JT32" s="102">
        <f t="shared" si="659"/>
        <v>0</v>
      </c>
      <c r="JU32" s="671"/>
      <c r="JV32" s="492"/>
      <c r="JW32" s="490"/>
      <c r="JX32" s="549">
        <f t="shared" ref="JX32:JY34" si="660">SUM(JX261,JX594,JX647)</f>
        <v>0</v>
      </c>
      <c r="JY32" s="549">
        <f t="shared" si="660"/>
        <v>582729</v>
      </c>
      <c r="JZ32" s="581">
        <f t="shared" si="42"/>
        <v>0</v>
      </c>
      <c r="KA32" s="581">
        <f t="shared" si="43"/>
        <v>0</v>
      </c>
      <c r="KB32" s="549">
        <f>SUM(KB261,KB594,KB647)</f>
        <v>582729</v>
      </c>
      <c r="KC32" s="709">
        <f t="shared" si="41"/>
        <v>0</v>
      </c>
      <c r="KD32" s="132"/>
      <c r="KE32" s="133"/>
      <c r="KF32" s="130"/>
      <c r="KG32" s="130"/>
      <c r="KH32" s="130"/>
      <c r="KI32" s="130"/>
      <c r="KJ32" s="130"/>
      <c r="KK32" s="130"/>
    </row>
    <row r="33" spans="1:297" s="8" customFormat="1" ht="13.5" thickBot="1">
      <c r="A33" s="75" t="s">
        <v>73</v>
      </c>
      <c r="B33" s="72" t="s">
        <v>74</v>
      </c>
      <c r="C33" s="74">
        <f t="shared" ref="C33:BP33" si="661">SUM(C262,C595,C648)</f>
        <v>221800</v>
      </c>
      <c r="D33" s="549">
        <f t="shared" si="661"/>
        <v>0</v>
      </c>
      <c r="E33" s="675">
        <f t="shared" si="661"/>
        <v>0</v>
      </c>
      <c r="F33" s="549">
        <f t="shared" si="661"/>
        <v>0</v>
      </c>
      <c r="G33" s="675">
        <f t="shared" si="661"/>
        <v>0</v>
      </c>
      <c r="H33" s="549">
        <f t="shared" si="661"/>
        <v>0</v>
      </c>
      <c r="I33" s="675">
        <f t="shared" si="661"/>
        <v>0</v>
      </c>
      <c r="J33" s="549">
        <f t="shared" si="661"/>
        <v>0</v>
      </c>
      <c r="K33" s="675">
        <f t="shared" si="661"/>
        <v>0</v>
      </c>
      <c r="L33" s="549">
        <f t="shared" si="661"/>
        <v>0</v>
      </c>
      <c r="M33" s="675">
        <f t="shared" si="661"/>
        <v>0</v>
      </c>
      <c r="N33" s="549">
        <f t="shared" si="661"/>
        <v>0</v>
      </c>
      <c r="O33" s="675">
        <f t="shared" si="661"/>
        <v>0</v>
      </c>
      <c r="P33" s="549">
        <f t="shared" si="661"/>
        <v>0</v>
      </c>
      <c r="Q33" s="675">
        <f t="shared" si="661"/>
        <v>0</v>
      </c>
      <c r="R33" s="549">
        <f t="shared" si="661"/>
        <v>0</v>
      </c>
      <c r="S33" s="675">
        <f t="shared" si="661"/>
        <v>0</v>
      </c>
      <c r="T33" s="549">
        <f t="shared" si="661"/>
        <v>0</v>
      </c>
      <c r="U33" s="675">
        <f t="shared" si="661"/>
        <v>0</v>
      </c>
      <c r="V33" s="549">
        <f t="shared" si="661"/>
        <v>0</v>
      </c>
      <c r="W33" s="675">
        <f t="shared" si="661"/>
        <v>0</v>
      </c>
      <c r="X33" s="549">
        <f t="shared" si="661"/>
        <v>0</v>
      </c>
      <c r="Y33" s="675">
        <f t="shared" si="661"/>
        <v>0</v>
      </c>
      <c r="Z33" s="549">
        <f t="shared" si="661"/>
        <v>0</v>
      </c>
      <c r="AA33" s="675">
        <f t="shared" si="661"/>
        <v>0</v>
      </c>
      <c r="AB33" s="549">
        <f t="shared" si="661"/>
        <v>0</v>
      </c>
      <c r="AC33" s="675">
        <f t="shared" si="661"/>
        <v>0</v>
      </c>
      <c r="AD33" s="549">
        <f t="shared" si="661"/>
        <v>0</v>
      </c>
      <c r="AE33" s="675">
        <f t="shared" si="661"/>
        <v>0</v>
      </c>
      <c r="AF33" s="549">
        <f t="shared" si="661"/>
        <v>0</v>
      </c>
      <c r="AG33" s="675">
        <f t="shared" si="661"/>
        <v>0</v>
      </c>
      <c r="AH33" s="549">
        <f t="shared" si="661"/>
        <v>0</v>
      </c>
      <c r="AI33" s="675">
        <f t="shared" si="661"/>
        <v>0</v>
      </c>
      <c r="AJ33" s="549">
        <f t="shared" si="661"/>
        <v>0</v>
      </c>
      <c r="AK33" s="675">
        <f t="shared" si="661"/>
        <v>0</v>
      </c>
      <c r="AL33" s="549">
        <f t="shared" si="661"/>
        <v>0</v>
      </c>
      <c r="AM33" s="675">
        <f t="shared" si="661"/>
        <v>0</v>
      </c>
      <c r="AN33" s="549">
        <f t="shared" si="661"/>
        <v>0</v>
      </c>
      <c r="AO33" s="675">
        <f t="shared" si="661"/>
        <v>0</v>
      </c>
      <c r="AP33" s="549">
        <f t="shared" si="661"/>
        <v>0</v>
      </c>
      <c r="AQ33" s="675">
        <f t="shared" si="661"/>
        <v>0</v>
      </c>
      <c r="AR33" s="549">
        <f t="shared" si="661"/>
        <v>0</v>
      </c>
      <c r="AS33" s="675">
        <f t="shared" si="661"/>
        <v>0</v>
      </c>
      <c r="AT33" s="549">
        <f t="shared" ref="AT33:AU33" si="662">SUM(AT262,AT595,AT648)</f>
        <v>0</v>
      </c>
      <c r="AU33" s="675">
        <f t="shared" si="662"/>
        <v>0</v>
      </c>
      <c r="AV33" s="549">
        <f t="shared" ref="AV33:AW33" si="663">SUM(AV262,AV595,AV648)</f>
        <v>0</v>
      </c>
      <c r="AW33" s="675">
        <f t="shared" si="663"/>
        <v>0</v>
      </c>
      <c r="AX33" s="549">
        <f t="shared" ref="AX33:AY33" si="664">SUM(AX262,AX595,AX648)</f>
        <v>0</v>
      </c>
      <c r="AY33" s="675">
        <f t="shared" si="664"/>
        <v>0</v>
      </c>
      <c r="AZ33" s="549">
        <f t="shared" ref="AZ33:BA33" si="665">SUM(AZ262,AZ595,AZ648)</f>
        <v>0</v>
      </c>
      <c r="BA33" s="675">
        <f t="shared" si="665"/>
        <v>0</v>
      </c>
      <c r="BB33" s="549">
        <f t="shared" ref="BB33:BC33" si="666">SUM(BB262,BB595,BB648)</f>
        <v>0</v>
      </c>
      <c r="BC33" s="675">
        <f t="shared" si="666"/>
        <v>0</v>
      </c>
      <c r="BD33" s="549">
        <f t="shared" ref="BD33:BE33" si="667">SUM(BD262,BD595,BD648)</f>
        <v>0</v>
      </c>
      <c r="BE33" s="675">
        <f t="shared" si="667"/>
        <v>0</v>
      </c>
      <c r="BF33" s="549">
        <f t="shared" ref="BF33:BG33" si="668">SUM(BF262,BF595,BF648)</f>
        <v>0</v>
      </c>
      <c r="BG33" s="675">
        <f t="shared" si="668"/>
        <v>0</v>
      </c>
      <c r="BH33" s="549">
        <f t="shared" ref="BH33:BI33" si="669">SUM(BH262,BH595,BH648)</f>
        <v>0</v>
      </c>
      <c r="BI33" s="675">
        <f t="shared" si="669"/>
        <v>0</v>
      </c>
      <c r="BJ33" s="549">
        <f t="shared" ref="BJ33:BK33" si="670">SUM(BJ262,BJ595,BJ648)</f>
        <v>0</v>
      </c>
      <c r="BK33" s="675">
        <f t="shared" si="670"/>
        <v>0</v>
      </c>
      <c r="BL33" s="549">
        <f t="shared" si="661"/>
        <v>0</v>
      </c>
      <c r="BM33" s="675">
        <f t="shared" si="661"/>
        <v>0</v>
      </c>
      <c r="BN33" s="549">
        <f t="shared" si="661"/>
        <v>0</v>
      </c>
      <c r="BO33" s="675">
        <f t="shared" si="661"/>
        <v>0</v>
      </c>
      <c r="BP33" s="549">
        <f t="shared" si="661"/>
        <v>0</v>
      </c>
      <c r="BQ33" s="675">
        <f t="shared" ref="BQ33" si="671">SUM(BQ262,BQ595,BQ648)</f>
        <v>0</v>
      </c>
      <c r="BR33" s="549">
        <f t="shared" ref="BR33:BS33" si="672">SUM(BR262,BR595,BR648)</f>
        <v>0</v>
      </c>
      <c r="BS33" s="675">
        <f t="shared" si="672"/>
        <v>0</v>
      </c>
      <c r="BT33" s="549">
        <f t="shared" ref="BT33:BU33" si="673">SUM(BT262,BT595,BT648)</f>
        <v>0</v>
      </c>
      <c r="BU33" s="675">
        <f t="shared" si="673"/>
        <v>0</v>
      </c>
      <c r="BV33" s="549">
        <f t="shared" ref="BV33:BW33" si="674">SUM(BV262,BV595,BV648)</f>
        <v>0</v>
      </c>
      <c r="BW33" s="675">
        <f t="shared" si="674"/>
        <v>0</v>
      </c>
      <c r="BX33" s="549">
        <f t="shared" ref="BX33:BY33" si="675">SUM(BX262,BX595,BX648)</f>
        <v>0</v>
      </c>
      <c r="BY33" s="675">
        <f t="shared" si="675"/>
        <v>0</v>
      </c>
      <c r="BZ33" s="549">
        <f t="shared" ref="BZ33:CA33" si="676">SUM(BZ262,BZ595,BZ648)</f>
        <v>0</v>
      </c>
      <c r="CA33" s="675">
        <f t="shared" si="676"/>
        <v>0</v>
      </c>
      <c r="CB33" s="549">
        <f t="shared" ref="CB33:EC33" si="677">SUM(CB262,CB595,CB648)</f>
        <v>0</v>
      </c>
      <c r="CC33" s="675">
        <f t="shared" si="677"/>
        <v>0</v>
      </c>
      <c r="CD33" s="549">
        <f t="shared" si="677"/>
        <v>0</v>
      </c>
      <c r="CE33" s="675">
        <f t="shared" si="677"/>
        <v>0</v>
      </c>
      <c r="CF33" s="549">
        <f t="shared" si="677"/>
        <v>0</v>
      </c>
      <c r="CG33" s="675">
        <f t="shared" si="677"/>
        <v>0</v>
      </c>
      <c r="CH33" s="549">
        <f t="shared" si="677"/>
        <v>0</v>
      </c>
      <c r="CI33" s="675">
        <f t="shared" si="677"/>
        <v>0</v>
      </c>
      <c r="CJ33" s="549">
        <f t="shared" si="677"/>
        <v>0</v>
      </c>
      <c r="CK33" s="675">
        <f t="shared" si="677"/>
        <v>0</v>
      </c>
      <c r="CL33" s="549">
        <f t="shared" si="677"/>
        <v>0</v>
      </c>
      <c r="CM33" s="675">
        <f t="shared" si="677"/>
        <v>0</v>
      </c>
      <c r="CN33" s="549">
        <f t="shared" si="677"/>
        <v>0</v>
      </c>
      <c r="CO33" s="675">
        <f t="shared" si="677"/>
        <v>0</v>
      </c>
      <c r="CP33" s="549">
        <f t="shared" si="677"/>
        <v>0</v>
      </c>
      <c r="CQ33" s="675">
        <f t="shared" si="677"/>
        <v>0</v>
      </c>
      <c r="CR33" s="549">
        <f t="shared" si="677"/>
        <v>0</v>
      </c>
      <c r="CS33" s="675">
        <f t="shared" si="677"/>
        <v>0</v>
      </c>
      <c r="CT33" s="549">
        <f t="shared" si="677"/>
        <v>0</v>
      </c>
      <c r="CU33" s="675">
        <f t="shared" si="677"/>
        <v>0</v>
      </c>
      <c r="CV33" s="549">
        <f t="shared" si="677"/>
        <v>0</v>
      </c>
      <c r="CW33" s="675">
        <f t="shared" si="677"/>
        <v>0</v>
      </c>
      <c r="CX33" s="549">
        <f t="shared" si="677"/>
        <v>0</v>
      </c>
      <c r="CY33" s="675">
        <f t="shared" si="677"/>
        <v>0</v>
      </c>
      <c r="CZ33" s="549">
        <f t="shared" si="677"/>
        <v>0</v>
      </c>
      <c r="DA33" s="675">
        <f t="shared" si="677"/>
        <v>0</v>
      </c>
      <c r="DB33" s="549">
        <f t="shared" si="677"/>
        <v>0</v>
      </c>
      <c r="DC33" s="675">
        <f t="shared" si="677"/>
        <v>0</v>
      </c>
      <c r="DD33" s="549">
        <f t="shared" si="677"/>
        <v>0</v>
      </c>
      <c r="DE33" s="675">
        <f t="shared" si="677"/>
        <v>0</v>
      </c>
      <c r="DF33" s="549">
        <f t="shared" si="677"/>
        <v>0</v>
      </c>
      <c r="DG33" s="675">
        <f t="shared" si="677"/>
        <v>0</v>
      </c>
      <c r="DH33" s="549">
        <f t="shared" si="677"/>
        <v>0</v>
      </c>
      <c r="DI33" s="675">
        <f t="shared" si="677"/>
        <v>0</v>
      </c>
      <c r="DJ33" s="549">
        <f t="shared" si="677"/>
        <v>0</v>
      </c>
      <c r="DK33" s="675">
        <f t="shared" si="677"/>
        <v>0</v>
      </c>
      <c r="DL33" s="549">
        <f t="shared" si="677"/>
        <v>0</v>
      </c>
      <c r="DM33" s="675">
        <f t="shared" si="677"/>
        <v>0</v>
      </c>
      <c r="DN33" s="549">
        <f t="shared" si="677"/>
        <v>0</v>
      </c>
      <c r="DO33" s="675">
        <f t="shared" si="677"/>
        <v>0</v>
      </c>
      <c r="DP33" s="549">
        <f t="shared" si="677"/>
        <v>0</v>
      </c>
      <c r="DQ33" s="675">
        <f t="shared" si="677"/>
        <v>0</v>
      </c>
      <c r="DR33" s="549">
        <f t="shared" si="677"/>
        <v>0</v>
      </c>
      <c r="DS33" s="675">
        <f t="shared" si="677"/>
        <v>0</v>
      </c>
      <c r="DT33" s="549">
        <f t="shared" si="677"/>
        <v>0</v>
      </c>
      <c r="DU33" s="675">
        <f t="shared" si="677"/>
        <v>0</v>
      </c>
      <c r="DV33" s="549">
        <f t="shared" si="677"/>
        <v>0</v>
      </c>
      <c r="DW33" s="675">
        <f t="shared" si="677"/>
        <v>0</v>
      </c>
      <c r="DX33" s="549">
        <f t="shared" si="677"/>
        <v>0</v>
      </c>
      <c r="DY33" s="675">
        <f t="shared" si="677"/>
        <v>0</v>
      </c>
      <c r="DZ33" s="549">
        <f t="shared" si="677"/>
        <v>0</v>
      </c>
      <c r="EA33" s="675">
        <f t="shared" si="677"/>
        <v>0</v>
      </c>
      <c r="EB33" s="549">
        <f t="shared" si="677"/>
        <v>0</v>
      </c>
      <c r="EC33" s="675">
        <f t="shared" si="677"/>
        <v>0</v>
      </c>
      <c r="ED33" s="549">
        <f t="shared" ref="ED33:EE33" si="678">SUM(ED262,ED595,ED648)</f>
        <v>0</v>
      </c>
      <c r="EE33" s="675">
        <f t="shared" si="678"/>
        <v>0</v>
      </c>
      <c r="EF33" s="549">
        <f t="shared" ref="EF33:HV33" si="679">SUM(EF262,EF595,EF648)</f>
        <v>0</v>
      </c>
      <c r="EG33" s="675">
        <f t="shared" si="679"/>
        <v>0</v>
      </c>
      <c r="EH33" s="549">
        <f t="shared" si="679"/>
        <v>0</v>
      </c>
      <c r="EI33" s="675">
        <f t="shared" si="679"/>
        <v>0</v>
      </c>
      <c r="EJ33" s="549">
        <f t="shared" si="679"/>
        <v>0</v>
      </c>
      <c r="EK33" s="675">
        <f t="shared" si="679"/>
        <v>0</v>
      </c>
      <c r="EL33" s="549">
        <f t="shared" si="679"/>
        <v>0</v>
      </c>
      <c r="EM33" s="675">
        <f t="shared" si="679"/>
        <v>0</v>
      </c>
      <c r="EN33" s="549">
        <f t="shared" si="679"/>
        <v>0</v>
      </c>
      <c r="EO33" s="675">
        <f t="shared" si="679"/>
        <v>0</v>
      </c>
      <c r="EP33" s="549">
        <f t="shared" si="679"/>
        <v>0</v>
      </c>
      <c r="EQ33" s="675">
        <f t="shared" si="679"/>
        <v>0</v>
      </c>
      <c r="ER33" s="549">
        <f t="shared" si="679"/>
        <v>0</v>
      </c>
      <c r="ES33" s="675">
        <f t="shared" si="679"/>
        <v>0</v>
      </c>
      <c r="ET33" s="549">
        <f t="shared" si="679"/>
        <v>0</v>
      </c>
      <c r="EU33" s="675">
        <f t="shared" si="679"/>
        <v>0</v>
      </c>
      <c r="EV33" s="549">
        <f t="shared" si="679"/>
        <v>0</v>
      </c>
      <c r="EW33" s="675">
        <f t="shared" si="679"/>
        <v>0</v>
      </c>
      <c r="EX33" s="549">
        <f t="shared" si="679"/>
        <v>0</v>
      </c>
      <c r="EY33" s="675">
        <f t="shared" si="679"/>
        <v>0</v>
      </c>
      <c r="EZ33" s="549">
        <f t="shared" si="679"/>
        <v>0</v>
      </c>
      <c r="FA33" s="675">
        <f t="shared" si="679"/>
        <v>0</v>
      </c>
      <c r="FB33" s="549">
        <f t="shared" si="679"/>
        <v>0</v>
      </c>
      <c r="FC33" s="675">
        <f t="shared" si="679"/>
        <v>0</v>
      </c>
      <c r="FD33" s="549">
        <f t="shared" si="679"/>
        <v>0</v>
      </c>
      <c r="FE33" s="675">
        <f t="shared" si="679"/>
        <v>0</v>
      </c>
      <c r="FF33" s="549">
        <f t="shared" si="679"/>
        <v>0</v>
      </c>
      <c r="FG33" s="675">
        <f t="shared" si="679"/>
        <v>0</v>
      </c>
      <c r="FH33" s="549">
        <f t="shared" si="679"/>
        <v>0</v>
      </c>
      <c r="FI33" s="675">
        <f t="shared" si="679"/>
        <v>0</v>
      </c>
      <c r="FJ33" s="549">
        <f t="shared" si="679"/>
        <v>0</v>
      </c>
      <c r="FK33" s="675">
        <f t="shared" si="679"/>
        <v>0</v>
      </c>
      <c r="FL33" s="549">
        <f t="shared" ref="FL33:FM33" si="680">SUM(FL262,FL595,FL648)</f>
        <v>0</v>
      </c>
      <c r="FM33" s="675">
        <f t="shared" si="680"/>
        <v>0</v>
      </c>
      <c r="FN33" s="549">
        <f t="shared" ref="FN33:FO33" si="681">SUM(FN262,FN595,FN648)</f>
        <v>0</v>
      </c>
      <c r="FO33" s="675">
        <f t="shared" si="681"/>
        <v>0</v>
      </c>
      <c r="FP33" s="549">
        <f t="shared" ref="FP33:FQ33" si="682">SUM(FP262,FP595,FP648)</f>
        <v>0</v>
      </c>
      <c r="FQ33" s="675">
        <f t="shared" si="682"/>
        <v>0</v>
      </c>
      <c r="FR33" s="549">
        <f t="shared" ref="FR33:FS33" si="683">SUM(FR262,FR595,FR648)</f>
        <v>0</v>
      </c>
      <c r="FS33" s="675">
        <f t="shared" si="683"/>
        <v>0</v>
      </c>
      <c r="FT33" s="549">
        <f t="shared" ref="FT33:FU33" si="684">SUM(FT262,FT595,FT648)</f>
        <v>0</v>
      </c>
      <c r="FU33" s="675">
        <f t="shared" si="684"/>
        <v>0</v>
      </c>
      <c r="FV33" s="549">
        <f t="shared" ref="FV33:GK33" si="685">SUM(FV262,FV595,FV648)</f>
        <v>0</v>
      </c>
      <c r="FW33" s="675">
        <f t="shared" si="685"/>
        <v>0</v>
      </c>
      <c r="FX33" s="549">
        <f t="shared" si="685"/>
        <v>0</v>
      </c>
      <c r="FY33" s="675">
        <f t="shared" si="685"/>
        <v>0</v>
      </c>
      <c r="FZ33" s="549">
        <f t="shared" ref="FZ33:GI33" si="686">SUM(FZ262,FZ595,FZ648)</f>
        <v>0</v>
      </c>
      <c r="GA33" s="675">
        <f t="shared" si="686"/>
        <v>0</v>
      </c>
      <c r="GB33" s="549">
        <f t="shared" si="686"/>
        <v>0</v>
      </c>
      <c r="GC33" s="675">
        <f t="shared" si="686"/>
        <v>0</v>
      </c>
      <c r="GD33" s="549">
        <f t="shared" si="686"/>
        <v>0</v>
      </c>
      <c r="GE33" s="675">
        <f t="shared" si="686"/>
        <v>0</v>
      </c>
      <c r="GF33" s="549">
        <f t="shared" si="686"/>
        <v>0</v>
      </c>
      <c r="GG33" s="675">
        <f t="shared" si="686"/>
        <v>0</v>
      </c>
      <c r="GH33" s="549">
        <f t="shared" si="686"/>
        <v>0</v>
      </c>
      <c r="GI33" s="675">
        <f t="shared" si="686"/>
        <v>0</v>
      </c>
      <c r="GJ33" s="549">
        <f t="shared" si="685"/>
        <v>0</v>
      </c>
      <c r="GK33" s="675">
        <f t="shared" si="685"/>
        <v>0</v>
      </c>
      <c r="GL33" s="549">
        <f t="shared" ref="GL33:GM33" si="687">SUM(GL262,GL595,GL648)</f>
        <v>0</v>
      </c>
      <c r="GM33" s="675">
        <f t="shared" si="687"/>
        <v>0</v>
      </c>
      <c r="GN33" s="549">
        <f t="shared" ref="GN33:GO33" si="688">SUM(GN262,GN595,GN648)</f>
        <v>0</v>
      </c>
      <c r="GO33" s="675">
        <f t="shared" si="688"/>
        <v>0</v>
      </c>
      <c r="GP33" s="74">
        <f t="shared" si="679"/>
        <v>0</v>
      </c>
      <c r="GQ33" s="675">
        <f t="shared" si="679"/>
        <v>0</v>
      </c>
      <c r="GR33" s="74">
        <f t="shared" si="679"/>
        <v>221800</v>
      </c>
      <c r="GS33" s="74">
        <f t="shared" si="679"/>
        <v>201638</v>
      </c>
      <c r="GT33" s="549">
        <f t="shared" si="679"/>
        <v>221800</v>
      </c>
      <c r="GU33" s="74">
        <f t="shared" si="679"/>
        <v>20180</v>
      </c>
      <c r="GV33" s="74">
        <f t="shared" si="679"/>
        <v>20162</v>
      </c>
      <c r="GW33" s="549">
        <f t="shared" si="679"/>
        <v>20162</v>
      </c>
      <c r="GX33" s="549">
        <f t="shared" si="679"/>
        <v>20162</v>
      </c>
      <c r="GY33" s="74">
        <f t="shared" si="679"/>
        <v>20162</v>
      </c>
      <c r="GZ33" s="74">
        <f t="shared" si="679"/>
        <v>20162</v>
      </c>
      <c r="HA33" s="74">
        <f t="shared" si="679"/>
        <v>20162</v>
      </c>
      <c r="HB33" s="74">
        <f t="shared" si="679"/>
        <v>20162</v>
      </c>
      <c r="HC33" s="74">
        <f t="shared" si="679"/>
        <v>20162</v>
      </c>
      <c r="HD33" s="74">
        <f t="shared" si="679"/>
        <v>20162</v>
      </c>
      <c r="HE33" s="74">
        <f t="shared" si="679"/>
        <v>20162</v>
      </c>
      <c r="HF33" s="74">
        <f t="shared" si="679"/>
        <v>0</v>
      </c>
      <c r="HG33" s="74">
        <f t="shared" si="679"/>
        <v>201638</v>
      </c>
      <c r="HH33" s="74">
        <f t="shared" si="679"/>
        <v>0</v>
      </c>
      <c r="HI33" s="74">
        <f t="shared" si="679"/>
        <v>0</v>
      </c>
      <c r="HJ33" s="74">
        <f t="shared" si="679"/>
        <v>0</v>
      </c>
      <c r="HK33" s="74">
        <f t="shared" si="679"/>
        <v>40342</v>
      </c>
      <c r="HL33" s="74">
        <f t="shared" si="679"/>
        <v>0</v>
      </c>
      <c r="HM33" s="74">
        <f t="shared" si="679"/>
        <v>20162</v>
      </c>
      <c r="HN33" s="74">
        <f t="shared" si="679"/>
        <v>0</v>
      </c>
      <c r="HO33" s="74">
        <f t="shared" si="679"/>
        <v>20162</v>
      </c>
      <c r="HP33" s="74">
        <f t="shared" si="679"/>
        <v>0</v>
      </c>
      <c r="HQ33" s="74">
        <f t="shared" si="679"/>
        <v>20162</v>
      </c>
      <c r="HR33" s="74">
        <f t="shared" si="679"/>
        <v>0</v>
      </c>
      <c r="HS33" s="74">
        <f t="shared" si="679"/>
        <v>20162</v>
      </c>
      <c r="HT33" s="74">
        <f t="shared" si="679"/>
        <v>0</v>
      </c>
      <c r="HU33" s="74">
        <f t="shared" si="679"/>
        <v>20162</v>
      </c>
      <c r="HV33" s="74">
        <f t="shared" si="679"/>
        <v>0</v>
      </c>
      <c r="HW33" s="74">
        <f t="shared" ref="HW33:JT33" si="689">SUM(HW262,HW595,HW648)</f>
        <v>20162</v>
      </c>
      <c r="HX33" s="74">
        <f t="shared" si="689"/>
        <v>0</v>
      </c>
      <c r="HY33" s="74">
        <f t="shared" si="689"/>
        <v>20162</v>
      </c>
      <c r="HZ33" s="74">
        <f t="shared" si="689"/>
        <v>0</v>
      </c>
      <c r="IA33" s="74">
        <f t="shared" si="689"/>
        <v>20162</v>
      </c>
      <c r="IB33" s="74">
        <f t="shared" si="689"/>
        <v>0</v>
      </c>
      <c r="IC33" s="74">
        <f t="shared" si="689"/>
        <v>0</v>
      </c>
      <c r="ID33" s="74">
        <f t="shared" si="689"/>
        <v>0</v>
      </c>
      <c r="IE33" s="792">
        <f t="shared" si="689"/>
        <v>0</v>
      </c>
      <c r="IF33" s="841">
        <f t="shared" si="689"/>
        <v>201638</v>
      </c>
      <c r="IG33" s="263">
        <f t="shared" si="689"/>
        <v>201638</v>
      </c>
      <c r="IH33" s="842">
        <f t="shared" si="689"/>
        <v>201638</v>
      </c>
      <c r="II33" s="155">
        <f t="shared" si="689"/>
        <v>0</v>
      </c>
      <c r="IJ33" s="74">
        <f t="shared" si="689"/>
        <v>0</v>
      </c>
      <c r="IK33" s="74">
        <f t="shared" si="689"/>
        <v>0</v>
      </c>
      <c r="IL33" s="74">
        <f t="shared" si="689"/>
        <v>40342</v>
      </c>
      <c r="IM33" s="74">
        <f t="shared" si="689"/>
        <v>40342</v>
      </c>
      <c r="IN33" s="74">
        <f t="shared" si="689"/>
        <v>40342</v>
      </c>
      <c r="IO33" s="74">
        <f t="shared" si="689"/>
        <v>20162</v>
      </c>
      <c r="IP33" s="74">
        <f t="shared" si="689"/>
        <v>20162</v>
      </c>
      <c r="IQ33" s="74">
        <f t="shared" si="689"/>
        <v>20162</v>
      </c>
      <c r="IR33" s="74">
        <f t="shared" si="689"/>
        <v>20162</v>
      </c>
      <c r="IS33" s="74">
        <f t="shared" si="689"/>
        <v>20162</v>
      </c>
      <c r="IT33" s="74">
        <f t="shared" si="689"/>
        <v>20162</v>
      </c>
      <c r="IU33" s="74">
        <f t="shared" si="689"/>
        <v>20162</v>
      </c>
      <c r="IV33" s="74">
        <f t="shared" si="689"/>
        <v>20162</v>
      </c>
      <c r="IW33" s="74">
        <f t="shared" si="689"/>
        <v>20162</v>
      </c>
      <c r="IX33" s="74">
        <f t="shared" si="689"/>
        <v>20162</v>
      </c>
      <c r="IY33" s="74">
        <f t="shared" si="689"/>
        <v>20162</v>
      </c>
      <c r="IZ33" s="74">
        <f t="shared" si="689"/>
        <v>20162</v>
      </c>
      <c r="JA33" s="74">
        <f t="shared" si="689"/>
        <v>20162</v>
      </c>
      <c r="JB33" s="74">
        <f t="shared" si="689"/>
        <v>20162</v>
      </c>
      <c r="JC33" s="74">
        <f t="shared" si="689"/>
        <v>20162</v>
      </c>
      <c r="JD33" s="74">
        <f t="shared" si="689"/>
        <v>20162</v>
      </c>
      <c r="JE33" s="74">
        <f t="shared" si="689"/>
        <v>20162</v>
      </c>
      <c r="JF33" s="74">
        <f t="shared" si="689"/>
        <v>20162</v>
      </c>
      <c r="JG33" s="74">
        <f t="shared" si="689"/>
        <v>20162</v>
      </c>
      <c r="JH33" s="74">
        <f t="shared" si="689"/>
        <v>20162</v>
      </c>
      <c r="JI33" s="74">
        <f t="shared" si="689"/>
        <v>20162</v>
      </c>
      <c r="JJ33" s="74">
        <f t="shared" si="689"/>
        <v>20162</v>
      </c>
      <c r="JK33" s="74">
        <f t="shared" si="689"/>
        <v>20162</v>
      </c>
      <c r="JL33" s="74">
        <f t="shared" si="689"/>
        <v>20162</v>
      </c>
      <c r="JM33" s="74">
        <f t="shared" si="689"/>
        <v>0</v>
      </c>
      <c r="JN33" s="74">
        <f t="shared" si="689"/>
        <v>0</v>
      </c>
      <c r="JO33" s="74">
        <f t="shared" si="689"/>
        <v>0</v>
      </c>
      <c r="JP33" s="74">
        <f t="shared" si="689"/>
        <v>0</v>
      </c>
      <c r="JQ33" s="74">
        <f t="shared" si="689"/>
        <v>0</v>
      </c>
      <c r="JR33" s="74">
        <f t="shared" si="689"/>
        <v>0</v>
      </c>
      <c r="JS33" s="74">
        <f t="shared" si="689"/>
        <v>0</v>
      </c>
      <c r="JT33" s="102">
        <f t="shared" si="689"/>
        <v>0</v>
      </c>
      <c r="JU33" s="671"/>
      <c r="JV33" s="492"/>
      <c r="JW33" s="490"/>
      <c r="JX33" s="549">
        <f t="shared" si="660"/>
        <v>0</v>
      </c>
      <c r="JY33" s="549">
        <f t="shared" si="660"/>
        <v>201638</v>
      </c>
      <c r="JZ33" s="581">
        <f t="shared" si="42"/>
        <v>0</v>
      </c>
      <c r="KA33" s="581">
        <f t="shared" si="43"/>
        <v>0</v>
      </c>
      <c r="KB33" s="549">
        <f>SUM(KB262,KB595,KB648)</f>
        <v>201638</v>
      </c>
      <c r="KC33" s="709">
        <f t="shared" si="41"/>
        <v>0</v>
      </c>
      <c r="KD33" s="121" t="s">
        <v>510</v>
      </c>
      <c r="KE33" s="122" t="s">
        <v>539</v>
      </c>
      <c r="KF33" s="122">
        <f>C658</f>
        <v>5000000</v>
      </c>
      <c r="KG33" s="122">
        <f>GR658</f>
        <v>5000000</v>
      </c>
      <c r="KH33" s="122">
        <f>GS658</f>
        <v>5000000</v>
      </c>
      <c r="KI33" s="122" t="e">
        <f>#REF!+GQ658</f>
        <v>#REF!</v>
      </c>
      <c r="KJ33" s="122">
        <f>GR658</f>
        <v>5000000</v>
      </c>
      <c r="KK33" s="122">
        <f>HG658</f>
        <v>5000000</v>
      </c>
    </row>
    <row r="34" spans="1:297" s="8" customFormat="1" ht="13.5" thickBot="1">
      <c r="A34" s="75" t="s">
        <v>75</v>
      </c>
      <c r="B34" s="72" t="s">
        <v>76</v>
      </c>
      <c r="C34" s="74">
        <f t="shared" ref="C34:BP34" si="690">SUM(C263,C596,C649)</f>
        <v>121200</v>
      </c>
      <c r="D34" s="549">
        <f t="shared" si="690"/>
        <v>0</v>
      </c>
      <c r="E34" s="675">
        <f t="shared" si="690"/>
        <v>0</v>
      </c>
      <c r="F34" s="549">
        <f t="shared" si="690"/>
        <v>0</v>
      </c>
      <c r="G34" s="675">
        <f t="shared" si="690"/>
        <v>0</v>
      </c>
      <c r="H34" s="549">
        <f t="shared" si="690"/>
        <v>0</v>
      </c>
      <c r="I34" s="675">
        <f t="shared" si="690"/>
        <v>0</v>
      </c>
      <c r="J34" s="549">
        <f t="shared" si="690"/>
        <v>0</v>
      </c>
      <c r="K34" s="675">
        <f t="shared" si="690"/>
        <v>0</v>
      </c>
      <c r="L34" s="549">
        <f t="shared" si="690"/>
        <v>0</v>
      </c>
      <c r="M34" s="675">
        <f t="shared" si="690"/>
        <v>0</v>
      </c>
      <c r="N34" s="549">
        <f t="shared" si="690"/>
        <v>0</v>
      </c>
      <c r="O34" s="675">
        <f t="shared" si="690"/>
        <v>0</v>
      </c>
      <c r="P34" s="549">
        <f t="shared" si="690"/>
        <v>0</v>
      </c>
      <c r="Q34" s="675">
        <f t="shared" si="690"/>
        <v>0</v>
      </c>
      <c r="R34" s="549">
        <f t="shared" si="690"/>
        <v>0</v>
      </c>
      <c r="S34" s="675">
        <f t="shared" si="690"/>
        <v>0</v>
      </c>
      <c r="T34" s="549">
        <f t="shared" si="690"/>
        <v>0</v>
      </c>
      <c r="U34" s="675">
        <f t="shared" si="690"/>
        <v>0</v>
      </c>
      <c r="V34" s="549">
        <f t="shared" si="690"/>
        <v>0</v>
      </c>
      <c r="W34" s="675">
        <f t="shared" si="690"/>
        <v>0</v>
      </c>
      <c r="X34" s="549">
        <f t="shared" si="690"/>
        <v>0</v>
      </c>
      <c r="Y34" s="675">
        <f t="shared" si="690"/>
        <v>0</v>
      </c>
      <c r="Z34" s="549">
        <f t="shared" si="690"/>
        <v>0</v>
      </c>
      <c r="AA34" s="675">
        <f t="shared" si="690"/>
        <v>0</v>
      </c>
      <c r="AB34" s="549">
        <f t="shared" si="690"/>
        <v>0</v>
      </c>
      <c r="AC34" s="675">
        <f t="shared" si="690"/>
        <v>0</v>
      </c>
      <c r="AD34" s="549">
        <f t="shared" si="690"/>
        <v>0</v>
      </c>
      <c r="AE34" s="675">
        <f t="shared" si="690"/>
        <v>0</v>
      </c>
      <c r="AF34" s="549">
        <f t="shared" si="690"/>
        <v>0</v>
      </c>
      <c r="AG34" s="675">
        <f t="shared" si="690"/>
        <v>0</v>
      </c>
      <c r="AH34" s="549">
        <f t="shared" si="690"/>
        <v>0</v>
      </c>
      <c r="AI34" s="675">
        <f t="shared" si="690"/>
        <v>0</v>
      </c>
      <c r="AJ34" s="549">
        <f t="shared" si="690"/>
        <v>0</v>
      </c>
      <c r="AK34" s="675">
        <f t="shared" si="690"/>
        <v>0</v>
      </c>
      <c r="AL34" s="549">
        <f t="shared" si="690"/>
        <v>0</v>
      </c>
      <c r="AM34" s="675">
        <f t="shared" si="690"/>
        <v>0</v>
      </c>
      <c r="AN34" s="549">
        <f t="shared" si="690"/>
        <v>0</v>
      </c>
      <c r="AO34" s="675">
        <f t="shared" si="690"/>
        <v>0</v>
      </c>
      <c r="AP34" s="549">
        <f t="shared" si="690"/>
        <v>0</v>
      </c>
      <c r="AQ34" s="675">
        <f t="shared" si="690"/>
        <v>0</v>
      </c>
      <c r="AR34" s="549">
        <f t="shared" si="690"/>
        <v>0</v>
      </c>
      <c r="AS34" s="675">
        <f t="shared" si="690"/>
        <v>0</v>
      </c>
      <c r="AT34" s="549">
        <f t="shared" ref="AT34:AU34" si="691">SUM(AT263,AT596,AT649)</f>
        <v>0</v>
      </c>
      <c r="AU34" s="675">
        <f t="shared" si="691"/>
        <v>0</v>
      </c>
      <c r="AV34" s="549">
        <f t="shared" ref="AV34:AW34" si="692">SUM(AV263,AV596,AV649)</f>
        <v>0</v>
      </c>
      <c r="AW34" s="675">
        <f t="shared" si="692"/>
        <v>0</v>
      </c>
      <c r="AX34" s="549">
        <f t="shared" ref="AX34:AY34" si="693">SUM(AX263,AX596,AX649)</f>
        <v>0</v>
      </c>
      <c r="AY34" s="675">
        <f t="shared" si="693"/>
        <v>0</v>
      </c>
      <c r="AZ34" s="549">
        <f t="shared" ref="AZ34:BA34" si="694">SUM(AZ263,AZ596,AZ649)</f>
        <v>0</v>
      </c>
      <c r="BA34" s="675">
        <f t="shared" si="694"/>
        <v>0</v>
      </c>
      <c r="BB34" s="549">
        <f t="shared" ref="BB34:BC34" si="695">SUM(BB263,BB596,BB649)</f>
        <v>0</v>
      </c>
      <c r="BC34" s="675">
        <f t="shared" si="695"/>
        <v>0</v>
      </c>
      <c r="BD34" s="549">
        <f t="shared" ref="BD34:BE34" si="696">SUM(BD263,BD596,BD649)</f>
        <v>0</v>
      </c>
      <c r="BE34" s="675">
        <f t="shared" si="696"/>
        <v>0</v>
      </c>
      <c r="BF34" s="549">
        <f t="shared" ref="BF34:BG34" si="697">SUM(BF263,BF596,BF649)</f>
        <v>0</v>
      </c>
      <c r="BG34" s="675">
        <f t="shared" si="697"/>
        <v>0</v>
      </c>
      <c r="BH34" s="549">
        <f t="shared" ref="BH34:BI34" si="698">SUM(BH263,BH596,BH649)</f>
        <v>0</v>
      </c>
      <c r="BI34" s="675">
        <f t="shared" si="698"/>
        <v>0</v>
      </c>
      <c r="BJ34" s="549">
        <f t="shared" ref="BJ34:BK34" si="699">SUM(BJ263,BJ596,BJ649)</f>
        <v>0</v>
      </c>
      <c r="BK34" s="675">
        <f t="shared" si="699"/>
        <v>0</v>
      </c>
      <c r="BL34" s="549">
        <f t="shared" si="690"/>
        <v>0</v>
      </c>
      <c r="BM34" s="675">
        <f t="shared" si="690"/>
        <v>0</v>
      </c>
      <c r="BN34" s="549">
        <f t="shared" si="690"/>
        <v>0</v>
      </c>
      <c r="BO34" s="675">
        <f t="shared" si="690"/>
        <v>0</v>
      </c>
      <c r="BP34" s="549">
        <f t="shared" si="690"/>
        <v>0</v>
      </c>
      <c r="BQ34" s="675">
        <f t="shared" ref="BQ34" si="700">SUM(BQ263,BQ596,BQ649)</f>
        <v>0</v>
      </c>
      <c r="BR34" s="549">
        <f t="shared" ref="BR34:BS34" si="701">SUM(BR263,BR596,BR649)</f>
        <v>0</v>
      </c>
      <c r="BS34" s="675">
        <f t="shared" si="701"/>
        <v>0</v>
      </c>
      <c r="BT34" s="549">
        <f t="shared" ref="BT34:BU34" si="702">SUM(BT263,BT596,BT649)</f>
        <v>0</v>
      </c>
      <c r="BU34" s="675">
        <f t="shared" si="702"/>
        <v>0</v>
      </c>
      <c r="BV34" s="549">
        <f t="shared" ref="BV34:BW34" si="703">SUM(BV263,BV596,BV649)</f>
        <v>0</v>
      </c>
      <c r="BW34" s="675">
        <f t="shared" si="703"/>
        <v>0</v>
      </c>
      <c r="BX34" s="549">
        <f t="shared" ref="BX34:BY34" si="704">SUM(BX263,BX596,BX649)</f>
        <v>0</v>
      </c>
      <c r="BY34" s="675">
        <f t="shared" si="704"/>
        <v>0</v>
      </c>
      <c r="BZ34" s="549">
        <f t="shared" ref="BZ34:CA34" si="705">SUM(BZ263,BZ596,BZ649)</f>
        <v>0</v>
      </c>
      <c r="CA34" s="675">
        <f t="shared" si="705"/>
        <v>0</v>
      </c>
      <c r="CB34" s="549">
        <f t="shared" ref="CB34:EC34" si="706">SUM(CB263,CB596,CB649)</f>
        <v>0</v>
      </c>
      <c r="CC34" s="675">
        <f t="shared" si="706"/>
        <v>0</v>
      </c>
      <c r="CD34" s="549">
        <f t="shared" si="706"/>
        <v>0</v>
      </c>
      <c r="CE34" s="675">
        <f t="shared" si="706"/>
        <v>0</v>
      </c>
      <c r="CF34" s="549">
        <f t="shared" si="706"/>
        <v>0</v>
      </c>
      <c r="CG34" s="675">
        <f t="shared" si="706"/>
        <v>0</v>
      </c>
      <c r="CH34" s="549">
        <f t="shared" si="706"/>
        <v>0</v>
      </c>
      <c r="CI34" s="675">
        <f t="shared" si="706"/>
        <v>0</v>
      </c>
      <c r="CJ34" s="549">
        <f t="shared" si="706"/>
        <v>0</v>
      </c>
      <c r="CK34" s="675">
        <f t="shared" si="706"/>
        <v>0</v>
      </c>
      <c r="CL34" s="549">
        <f t="shared" si="706"/>
        <v>0</v>
      </c>
      <c r="CM34" s="675">
        <f t="shared" si="706"/>
        <v>0</v>
      </c>
      <c r="CN34" s="549">
        <f t="shared" si="706"/>
        <v>0</v>
      </c>
      <c r="CO34" s="675">
        <f t="shared" si="706"/>
        <v>0</v>
      </c>
      <c r="CP34" s="549">
        <f t="shared" si="706"/>
        <v>0</v>
      </c>
      <c r="CQ34" s="675">
        <f t="shared" si="706"/>
        <v>0</v>
      </c>
      <c r="CR34" s="549">
        <f t="shared" si="706"/>
        <v>0</v>
      </c>
      <c r="CS34" s="675">
        <f t="shared" si="706"/>
        <v>0</v>
      </c>
      <c r="CT34" s="549">
        <f t="shared" si="706"/>
        <v>0</v>
      </c>
      <c r="CU34" s="675">
        <f t="shared" si="706"/>
        <v>0</v>
      </c>
      <c r="CV34" s="549">
        <f t="shared" si="706"/>
        <v>0</v>
      </c>
      <c r="CW34" s="675">
        <f t="shared" si="706"/>
        <v>0</v>
      </c>
      <c r="CX34" s="549">
        <f t="shared" si="706"/>
        <v>0</v>
      </c>
      <c r="CY34" s="675">
        <f t="shared" si="706"/>
        <v>0</v>
      </c>
      <c r="CZ34" s="549">
        <f t="shared" si="706"/>
        <v>0</v>
      </c>
      <c r="DA34" s="675">
        <f t="shared" si="706"/>
        <v>0</v>
      </c>
      <c r="DB34" s="549">
        <f t="shared" si="706"/>
        <v>0</v>
      </c>
      <c r="DC34" s="675">
        <f t="shared" si="706"/>
        <v>0</v>
      </c>
      <c r="DD34" s="549">
        <f t="shared" si="706"/>
        <v>0</v>
      </c>
      <c r="DE34" s="675">
        <f t="shared" si="706"/>
        <v>0</v>
      </c>
      <c r="DF34" s="549">
        <f t="shared" si="706"/>
        <v>0</v>
      </c>
      <c r="DG34" s="675">
        <f t="shared" si="706"/>
        <v>0</v>
      </c>
      <c r="DH34" s="549">
        <f t="shared" si="706"/>
        <v>0</v>
      </c>
      <c r="DI34" s="675">
        <f t="shared" si="706"/>
        <v>0</v>
      </c>
      <c r="DJ34" s="549">
        <f t="shared" si="706"/>
        <v>0</v>
      </c>
      <c r="DK34" s="675">
        <f t="shared" si="706"/>
        <v>0</v>
      </c>
      <c r="DL34" s="549">
        <f t="shared" si="706"/>
        <v>0</v>
      </c>
      <c r="DM34" s="675">
        <f t="shared" si="706"/>
        <v>0</v>
      </c>
      <c r="DN34" s="549">
        <f t="shared" si="706"/>
        <v>0</v>
      </c>
      <c r="DO34" s="675">
        <f t="shared" si="706"/>
        <v>0</v>
      </c>
      <c r="DP34" s="549">
        <f t="shared" si="706"/>
        <v>0</v>
      </c>
      <c r="DQ34" s="675">
        <f t="shared" si="706"/>
        <v>0</v>
      </c>
      <c r="DR34" s="549">
        <f t="shared" si="706"/>
        <v>0</v>
      </c>
      <c r="DS34" s="675">
        <f t="shared" si="706"/>
        <v>0</v>
      </c>
      <c r="DT34" s="549">
        <f t="shared" si="706"/>
        <v>0</v>
      </c>
      <c r="DU34" s="675">
        <f t="shared" si="706"/>
        <v>0</v>
      </c>
      <c r="DV34" s="549">
        <f t="shared" si="706"/>
        <v>0</v>
      </c>
      <c r="DW34" s="675">
        <f t="shared" si="706"/>
        <v>0</v>
      </c>
      <c r="DX34" s="549">
        <f t="shared" si="706"/>
        <v>0</v>
      </c>
      <c r="DY34" s="675">
        <f t="shared" si="706"/>
        <v>0</v>
      </c>
      <c r="DZ34" s="549">
        <f t="shared" si="706"/>
        <v>0</v>
      </c>
      <c r="EA34" s="675">
        <f t="shared" si="706"/>
        <v>0</v>
      </c>
      <c r="EB34" s="549">
        <f t="shared" si="706"/>
        <v>0</v>
      </c>
      <c r="EC34" s="675">
        <f t="shared" si="706"/>
        <v>0</v>
      </c>
      <c r="ED34" s="549">
        <f t="shared" ref="ED34:EE34" si="707">SUM(ED263,ED596,ED649)</f>
        <v>0</v>
      </c>
      <c r="EE34" s="675">
        <f t="shared" si="707"/>
        <v>0</v>
      </c>
      <c r="EF34" s="549">
        <f t="shared" ref="EF34:HV34" si="708">SUM(EF263,EF596,EF649)</f>
        <v>0</v>
      </c>
      <c r="EG34" s="675">
        <f t="shared" si="708"/>
        <v>0</v>
      </c>
      <c r="EH34" s="549">
        <f t="shared" si="708"/>
        <v>0</v>
      </c>
      <c r="EI34" s="675">
        <f t="shared" si="708"/>
        <v>0</v>
      </c>
      <c r="EJ34" s="549">
        <f t="shared" si="708"/>
        <v>0</v>
      </c>
      <c r="EK34" s="675">
        <f t="shared" si="708"/>
        <v>0</v>
      </c>
      <c r="EL34" s="549">
        <f t="shared" si="708"/>
        <v>0</v>
      </c>
      <c r="EM34" s="675">
        <f t="shared" si="708"/>
        <v>0</v>
      </c>
      <c r="EN34" s="549">
        <f t="shared" si="708"/>
        <v>0</v>
      </c>
      <c r="EO34" s="675">
        <f t="shared" si="708"/>
        <v>0</v>
      </c>
      <c r="EP34" s="549">
        <f t="shared" si="708"/>
        <v>0</v>
      </c>
      <c r="EQ34" s="675">
        <f t="shared" si="708"/>
        <v>0</v>
      </c>
      <c r="ER34" s="549">
        <f t="shared" si="708"/>
        <v>0</v>
      </c>
      <c r="ES34" s="675">
        <f t="shared" si="708"/>
        <v>0</v>
      </c>
      <c r="ET34" s="549">
        <f t="shared" si="708"/>
        <v>0</v>
      </c>
      <c r="EU34" s="675">
        <f t="shared" si="708"/>
        <v>0</v>
      </c>
      <c r="EV34" s="549">
        <f t="shared" si="708"/>
        <v>0</v>
      </c>
      <c r="EW34" s="675">
        <f t="shared" si="708"/>
        <v>0</v>
      </c>
      <c r="EX34" s="549">
        <f t="shared" si="708"/>
        <v>0</v>
      </c>
      <c r="EY34" s="675">
        <f t="shared" si="708"/>
        <v>0</v>
      </c>
      <c r="EZ34" s="549">
        <f t="shared" si="708"/>
        <v>0</v>
      </c>
      <c r="FA34" s="675">
        <f t="shared" si="708"/>
        <v>0</v>
      </c>
      <c r="FB34" s="549">
        <f t="shared" si="708"/>
        <v>0</v>
      </c>
      <c r="FC34" s="675">
        <f t="shared" si="708"/>
        <v>0</v>
      </c>
      <c r="FD34" s="549">
        <f t="shared" si="708"/>
        <v>0</v>
      </c>
      <c r="FE34" s="675">
        <f t="shared" si="708"/>
        <v>0</v>
      </c>
      <c r="FF34" s="549">
        <f t="shared" si="708"/>
        <v>0</v>
      </c>
      <c r="FG34" s="675">
        <f t="shared" si="708"/>
        <v>0</v>
      </c>
      <c r="FH34" s="549">
        <f t="shared" si="708"/>
        <v>0</v>
      </c>
      <c r="FI34" s="675">
        <f t="shared" si="708"/>
        <v>0</v>
      </c>
      <c r="FJ34" s="549">
        <f t="shared" si="708"/>
        <v>0</v>
      </c>
      <c r="FK34" s="675">
        <f t="shared" si="708"/>
        <v>0</v>
      </c>
      <c r="FL34" s="549">
        <f t="shared" ref="FL34:FM34" si="709">SUM(FL263,FL596,FL649)</f>
        <v>0</v>
      </c>
      <c r="FM34" s="675">
        <f t="shared" si="709"/>
        <v>0</v>
      </c>
      <c r="FN34" s="549">
        <f t="shared" ref="FN34:FO34" si="710">SUM(FN263,FN596,FN649)</f>
        <v>0</v>
      </c>
      <c r="FO34" s="675">
        <f t="shared" si="710"/>
        <v>0</v>
      </c>
      <c r="FP34" s="549">
        <f t="shared" ref="FP34:FQ34" si="711">SUM(FP263,FP596,FP649)</f>
        <v>0</v>
      </c>
      <c r="FQ34" s="675">
        <f t="shared" si="711"/>
        <v>0</v>
      </c>
      <c r="FR34" s="549">
        <f t="shared" ref="FR34:FS34" si="712">SUM(FR263,FR596,FR649)</f>
        <v>0</v>
      </c>
      <c r="FS34" s="675">
        <f t="shared" si="712"/>
        <v>0</v>
      </c>
      <c r="FT34" s="549">
        <f t="shared" ref="FT34:FU34" si="713">SUM(FT263,FT596,FT649)</f>
        <v>0</v>
      </c>
      <c r="FU34" s="675">
        <f t="shared" si="713"/>
        <v>0</v>
      </c>
      <c r="FV34" s="549">
        <f t="shared" ref="FV34:GK34" si="714">SUM(FV263,FV596,FV649)</f>
        <v>0</v>
      </c>
      <c r="FW34" s="675">
        <f t="shared" si="714"/>
        <v>0</v>
      </c>
      <c r="FX34" s="549">
        <f t="shared" si="714"/>
        <v>0</v>
      </c>
      <c r="FY34" s="675">
        <f t="shared" si="714"/>
        <v>0</v>
      </c>
      <c r="FZ34" s="549">
        <f t="shared" ref="FZ34:GI34" si="715">SUM(FZ263,FZ596,FZ649)</f>
        <v>0</v>
      </c>
      <c r="GA34" s="675">
        <f t="shared" si="715"/>
        <v>0</v>
      </c>
      <c r="GB34" s="549">
        <f t="shared" si="715"/>
        <v>0</v>
      </c>
      <c r="GC34" s="675">
        <f t="shared" si="715"/>
        <v>0</v>
      </c>
      <c r="GD34" s="549">
        <f t="shared" si="715"/>
        <v>0</v>
      </c>
      <c r="GE34" s="675">
        <f t="shared" si="715"/>
        <v>0</v>
      </c>
      <c r="GF34" s="549">
        <f t="shared" si="715"/>
        <v>0</v>
      </c>
      <c r="GG34" s="675">
        <f t="shared" si="715"/>
        <v>0</v>
      </c>
      <c r="GH34" s="549">
        <f t="shared" si="715"/>
        <v>0</v>
      </c>
      <c r="GI34" s="675">
        <f t="shared" si="715"/>
        <v>0</v>
      </c>
      <c r="GJ34" s="549">
        <f t="shared" si="714"/>
        <v>0</v>
      </c>
      <c r="GK34" s="675">
        <f t="shared" si="714"/>
        <v>0</v>
      </c>
      <c r="GL34" s="549">
        <f t="shared" ref="GL34:GM34" si="716">SUM(GL263,GL596,GL649)</f>
        <v>0</v>
      </c>
      <c r="GM34" s="675">
        <f t="shared" si="716"/>
        <v>0</v>
      </c>
      <c r="GN34" s="549">
        <f t="shared" ref="GN34:GO34" si="717">SUM(GN263,GN596,GN649)</f>
        <v>0</v>
      </c>
      <c r="GO34" s="675">
        <f t="shared" si="717"/>
        <v>0</v>
      </c>
      <c r="GP34" s="74">
        <f t="shared" si="708"/>
        <v>0</v>
      </c>
      <c r="GQ34" s="675">
        <f t="shared" si="708"/>
        <v>0</v>
      </c>
      <c r="GR34" s="74">
        <f t="shared" si="708"/>
        <v>121200</v>
      </c>
      <c r="GS34" s="74">
        <f t="shared" si="708"/>
        <v>121200</v>
      </c>
      <c r="GT34" s="549">
        <f t="shared" si="708"/>
        <v>121200</v>
      </c>
      <c r="GU34" s="74">
        <f t="shared" si="708"/>
        <v>11040</v>
      </c>
      <c r="GV34" s="74">
        <f t="shared" si="708"/>
        <v>11016</v>
      </c>
      <c r="GW34" s="549">
        <f t="shared" si="708"/>
        <v>11016</v>
      </c>
      <c r="GX34" s="549">
        <f t="shared" si="708"/>
        <v>11016</v>
      </c>
      <c r="GY34" s="74">
        <f t="shared" si="708"/>
        <v>11016</v>
      </c>
      <c r="GZ34" s="74">
        <f t="shared" si="708"/>
        <v>11016</v>
      </c>
      <c r="HA34" s="74">
        <f t="shared" si="708"/>
        <v>11016</v>
      </c>
      <c r="HB34" s="74">
        <f t="shared" si="708"/>
        <v>11016</v>
      </c>
      <c r="HC34" s="74">
        <f t="shared" si="708"/>
        <v>11016</v>
      </c>
      <c r="HD34" s="74">
        <f t="shared" si="708"/>
        <v>22032</v>
      </c>
      <c r="HE34" s="74">
        <f t="shared" si="708"/>
        <v>0</v>
      </c>
      <c r="HF34" s="74">
        <f t="shared" si="708"/>
        <v>0</v>
      </c>
      <c r="HG34" s="74">
        <f t="shared" si="708"/>
        <v>121200</v>
      </c>
      <c r="HH34" s="74">
        <f t="shared" si="708"/>
        <v>0</v>
      </c>
      <c r="HI34" s="74">
        <f t="shared" si="708"/>
        <v>0</v>
      </c>
      <c r="HJ34" s="74">
        <f t="shared" si="708"/>
        <v>0</v>
      </c>
      <c r="HK34" s="74">
        <f t="shared" si="708"/>
        <v>22056</v>
      </c>
      <c r="HL34" s="74">
        <f t="shared" si="708"/>
        <v>0</v>
      </c>
      <c r="HM34" s="74">
        <f t="shared" si="708"/>
        <v>7590</v>
      </c>
      <c r="HN34" s="74">
        <f t="shared" si="708"/>
        <v>0</v>
      </c>
      <c r="HO34" s="74">
        <f t="shared" si="708"/>
        <v>14442</v>
      </c>
      <c r="HP34" s="74">
        <f t="shared" si="708"/>
        <v>0</v>
      </c>
      <c r="HQ34" s="74">
        <f t="shared" si="708"/>
        <v>11016</v>
      </c>
      <c r="HR34" s="74">
        <f t="shared" si="708"/>
        <v>0</v>
      </c>
      <c r="HS34" s="74">
        <f t="shared" si="708"/>
        <v>11016</v>
      </c>
      <c r="HT34" s="74">
        <f t="shared" si="708"/>
        <v>0</v>
      </c>
      <c r="HU34" s="74">
        <f t="shared" si="708"/>
        <v>11015.999999999996</v>
      </c>
      <c r="HV34" s="74">
        <f t="shared" si="708"/>
        <v>0</v>
      </c>
      <c r="HW34" s="74">
        <f t="shared" ref="HW34:JT34" si="718">SUM(HW263,HW596,HW649)</f>
        <v>11015.999999999996</v>
      </c>
      <c r="HX34" s="74">
        <f t="shared" si="718"/>
        <v>0</v>
      </c>
      <c r="HY34" s="74">
        <f t="shared" si="718"/>
        <v>11016</v>
      </c>
      <c r="HZ34" s="74">
        <f t="shared" si="718"/>
        <v>0</v>
      </c>
      <c r="IA34" s="74">
        <f t="shared" si="718"/>
        <v>22032</v>
      </c>
      <c r="IB34" s="74">
        <f t="shared" si="718"/>
        <v>0</v>
      </c>
      <c r="IC34" s="74">
        <f t="shared" si="718"/>
        <v>0</v>
      </c>
      <c r="ID34" s="74">
        <f t="shared" si="718"/>
        <v>0</v>
      </c>
      <c r="IE34" s="792">
        <f t="shared" si="718"/>
        <v>0</v>
      </c>
      <c r="IF34" s="841">
        <f t="shared" si="718"/>
        <v>42192.65</v>
      </c>
      <c r="IG34" s="263">
        <f t="shared" si="718"/>
        <v>42192.65</v>
      </c>
      <c r="IH34" s="842">
        <f t="shared" si="718"/>
        <v>42192.65</v>
      </c>
      <c r="II34" s="155">
        <f t="shared" si="718"/>
        <v>4389.18</v>
      </c>
      <c r="IJ34" s="74">
        <f t="shared" si="718"/>
        <v>4389.18</v>
      </c>
      <c r="IK34" s="74">
        <f t="shared" si="718"/>
        <v>4389.18</v>
      </c>
      <c r="IL34" s="74">
        <f t="shared" si="718"/>
        <v>4109.7</v>
      </c>
      <c r="IM34" s="74">
        <f t="shared" si="718"/>
        <v>4109.7</v>
      </c>
      <c r="IN34" s="74">
        <f t="shared" si="718"/>
        <v>4109.7</v>
      </c>
      <c r="IO34" s="74">
        <f t="shared" si="718"/>
        <v>0</v>
      </c>
      <c r="IP34" s="74">
        <f t="shared" si="718"/>
        <v>0</v>
      </c>
      <c r="IQ34" s="74">
        <f t="shared" si="718"/>
        <v>0</v>
      </c>
      <c r="IR34" s="74">
        <f t="shared" si="718"/>
        <v>4603.03</v>
      </c>
      <c r="IS34" s="74">
        <f t="shared" si="718"/>
        <v>4603.03</v>
      </c>
      <c r="IT34" s="74">
        <f t="shared" si="718"/>
        <v>4603.03</v>
      </c>
      <c r="IU34" s="74">
        <f t="shared" si="718"/>
        <v>4310.7900000000009</v>
      </c>
      <c r="IV34" s="74">
        <f t="shared" si="718"/>
        <v>4310.7900000000009</v>
      </c>
      <c r="IW34" s="74">
        <f t="shared" si="718"/>
        <v>4310.7900000000009</v>
      </c>
      <c r="IX34" s="74">
        <f t="shared" si="718"/>
        <v>4650.5899999999983</v>
      </c>
      <c r="IY34" s="74">
        <f t="shared" si="718"/>
        <v>4650.5899999999983</v>
      </c>
      <c r="IZ34" s="74">
        <f t="shared" si="718"/>
        <v>4650.5899999999983</v>
      </c>
      <c r="JA34" s="74">
        <f t="shared" si="718"/>
        <v>5282.2800000000007</v>
      </c>
      <c r="JB34" s="74">
        <f t="shared" si="718"/>
        <v>5282.2800000000007</v>
      </c>
      <c r="JC34" s="74">
        <f t="shared" si="718"/>
        <v>5282.2800000000007</v>
      </c>
      <c r="JD34" s="74">
        <f t="shared" si="718"/>
        <v>4996.5999999999985</v>
      </c>
      <c r="JE34" s="74">
        <f t="shared" si="718"/>
        <v>4996.5999999999985</v>
      </c>
      <c r="JF34" s="74">
        <f t="shared" si="718"/>
        <v>4996.5999999999985</v>
      </c>
      <c r="JG34" s="74">
        <f t="shared" si="718"/>
        <v>4849.9400000000023</v>
      </c>
      <c r="JH34" s="74">
        <f t="shared" si="718"/>
        <v>4849.9400000000023</v>
      </c>
      <c r="JI34" s="74">
        <f t="shared" si="718"/>
        <v>4849.9400000000023</v>
      </c>
      <c r="JJ34" s="74">
        <f t="shared" si="718"/>
        <v>5000.5400000000009</v>
      </c>
      <c r="JK34" s="74">
        <f t="shared" si="718"/>
        <v>5000.5400000000009</v>
      </c>
      <c r="JL34" s="74">
        <f t="shared" si="718"/>
        <v>5000.5400000000009</v>
      </c>
      <c r="JM34" s="74">
        <f t="shared" si="718"/>
        <v>0</v>
      </c>
      <c r="JN34" s="74">
        <f t="shared" si="718"/>
        <v>0</v>
      </c>
      <c r="JO34" s="74">
        <f t="shared" si="718"/>
        <v>0</v>
      </c>
      <c r="JP34" s="74">
        <f t="shared" si="718"/>
        <v>0</v>
      </c>
      <c r="JQ34" s="74">
        <f t="shared" si="718"/>
        <v>0</v>
      </c>
      <c r="JR34" s="74">
        <f t="shared" si="718"/>
        <v>0</v>
      </c>
      <c r="JS34" s="74">
        <f t="shared" si="718"/>
        <v>79007.350000000006</v>
      </c>
      <c r="JT34" s="102">
        <f t="shared" si="718"/>
        <v>79007.350000000006</v>
      </c>
      <c r="JU34" s="671"/>
      <c r="JV34" s="492"/>
      <c r="JW34" s="490"/>
      <c r="JX34" s="549">
        <f t="shared" si="660"/>
        <v>0</v>
      </c>
      <c r="JY34" s="549">
        <f t="shared" si="660"/>
        <v>121200</v>
      </c>
      <c r="JZ34" s="581">
        <f t="shared" si="42"/>
        <v>0</v>
      </c>
      <c r="KA34" s="581">
        <f t="shared" si="43"/>
        <v>0</v>
      </c>
      <c r="KB34" s="549">
        <f>SUM(KB263,KB596,KB649)</f>
        <v>121200</v>
      </c>
      <c r="KC34" s="709">
        <f t="shared" si="41"/>
        <v>0</v>
      </c>
      <c r="KD34" s="134"/>
      <c r="KE34" s="128"/>
      <c r="KF34" s="128"/>
      <c r="KG34" s="128"/>
      <c r="KH34" s="128"/>
      <c r="KI34" s="128"/>
      <c r="KJ34" s="128"/>
      <c r="KK34" s="128"/>
    </row>
    <row r="35" spans="1:297" s="8" customFormat="1" ht="13.5" thickBot="1">
      <c r="A35" s="75"/>
      <c r="B35" s="72"/>
      <c r="C35" s="74"/>
      <c r="D35" s="549"/>
      <c r="E35" s="675"/>
      <c r="F35" s="549"/>
      <c r="G35" s="675"/>
      <c r="H35" s="549"/>
      <c r="I35" s="675"/>
      <c r="J35" s="549"/>
      <c r="K35" s="675"/>
      <c r="L35" s="549"/>
      <c r="M35" s="675"/>
      <c r="N35" s="549"/>
      <c r="O35" s="675"/>
      <c r="P35" s="549"/>
      <c r="Q35" s="675"/>
      <c r="R35" s="549"/>
      <c r="S35" s="675"/>
      <c r="T35" s="549"/>
      <c r="U35" s="675"/>
      <c r="V35" s="549"/>
      <c r="W35" s="675"/>
      <c r="X35" s="549"/>
      <c r="Y35" s="675"/>
      <c r="Z35" s="549"/>
      <c r="AA35" s="675"/>
      <c r="AB35" s="549"/>
      <c r="AC35" s="675"/>
      <c r="AD35" s="549"/>
      <c r="AE35" s="675"/>
      <c r="AF35" s="549"/>
      <c r="AG35" s="675"/>
      <c r="AH35" s="549"/>
      <c r="AI35" s="675"/>
      <c r="AJ35" s="549"/>
      <c r="AK35" s="675"/>
      <c r="AL35" s="549"/>
      <c r="AM35" s="675"/>
      <c r="AN35" s="549"/>
      <c r="AO35" s="675"/>
      <c r="AP35" s="549"/>
      <c r="AQ35" s="675"/>
      <c r="AR35" s="549"/>
      <c r="AS35" s="675"/>
      <c r="AT35" s="549"/>
      <c r="AU35" s="675"/>
      <c r="AV35" s="549"/>
      <c r="AW35" s="675"/>
      <c r="AX35" s="549"/>
      <c r="AY35" s="675"/>
      <c r="AZ35" s="549"/>
      <c r="BA35" s="675"/>
      <c r="BB35" s="549"/>
      <c r="BC35" s="675"/>
      <c r="BD35" s="549"/>
      <c r="BE35" s="675"/>
      <c r="BF35" s="549"/>
      <c r="BG35" s="675"/>
      <c r="BH35" s="549"/>
      <c r="BI35" s="675"/>
      <c r="BJ35" s="549"/>
      <c r="BK35" s="675"/>
      <c r="BL35" s="549"/>
      <c r="BM35" s="675"/>
      <c r="BN35" s="549"/>
      <c r="BO35" s="675"/>
      <c r="BP35" s="549"/>
      <c r="BQ35" s="675"/>
      <c r="BR35" s="549"/>
      <c r="BS35" s="675"/>
      <c r="BT35" s="549"/>
      <c r="BU35" s="675"/>
      <c r="BV35" s="549"/>
      <c r="BW35" s="675"/>
      <c r="BX35" s="549"/>
      <c r="BY35" s="675"/>
      <c r="BZ35" s="549"/>
      <c r="CA35" s="675"/>
      <c r="CB35" s="549"/>
      <c r="CC35" s="675"/>
      <c r="CD35" s="549"/>
      <c r="CE35" s="675"/>
      <c r="CF35" s="549"/>
      <c r="CG35" s="675"/>
      <c r="CH35" s="549"/>
      <c r="CI35" s="675"/>
      <c r="CJ35" s="549"/>
      <c r="CK35" s="675"/>
      <c r="CL35" s="549"/>
      <c r="CM35" s="675"/>
      <c r="CN35" s="549"/>
      <c r="CO35" s="675"/>
      <c r="CP35" s="549"/>
      <c r="CQ35" s="675"/>
      <c r="CR35" s="549"/>
      <c r="CS35" s="675"/>
      <c r="CT35" s="549"/>
      <c r="CU35" s="675"/>
      <c r="CV35" s="549"/>
      <c r="CW35" s="675"/>
      <c r="CX35" s="549"/>
      <c r="CY35" s="675"/>
      <c r="CZ35" s="549"/>
      <c r="DA35" s="675"/>
      <c r="DB35" s="549"/>
      <c r="DC35" s="675"/>
      <c r="DD35" s="549"/>
      <c r="DE35" s="675"/>
      <c r="DF35" s="549"/>
      <c r="DG35" s="675"/>
      <c r="DH35" s="549"/>
      <c r="DI35" s="675"/>
      <c r="DJ35" s="549"/>
      <c r="DK35" s="675"/>
      <c r="DL35" s="549"/>
      <c r="DM35" s="675"/>
      <c r="DN35" s="549"/>
      <c r="DO35" s="675"/>
      <c r="DP35" s="549"/>
      <c r="DQ35" s="675"/>
      <c r="DR35" s="549"/>
      <c r="DS35" s="675"/>
      <c r="DT35" s="549"/>
      <c r="DU35" s="675"/>
      <c r="DV35" s="549"/>
      <c r="DW35" s="675"/>
      <c r="DX35" s="549"/>
      <c r="DY35" s="675"/>
      <c r="DZ35" s="549"/>
      <c r="EA35" s="675"/>
      <c r="EB35" s="549"/>
      <c r="EC35" s="675"/>
      <c r="ED35" s="549"/>
      <c r="EE35" s="675"/>
      <c r="EF35" s="549"/>
      <c r="EG35" s="675"/>
      <c r="EH35" s="549"/>
      <c r="EI35" s="675"/>
      <c r="EJ35" s="549"/>
      <c r="EK35" s="675"/>
      <c r="EL35" s="549"/>
      <c r="EM35" s="675"/>
      <c r="EN35" s="549"/>
      <c r="EO35" s="675"/>
      <c r="EP35" s="549"/>
      <c r="EQ35" s="675"/>
      <c r="ER35" s="549"/>
      <c r="ES35" s="675"/>
      <c r="ET35" s="549"/>
      <c r="EU35" s="675"/>
      <c r="EV35" s="549"/>
      <c r="EW35" s="675"/>
      <c r="EX35" s="549"/>
      <c r="EY35" s="675"/>
      <c r="EZ35" s="549"/>
      <c r="FA35" s="675"/>
      <c r="FB35" s="549"/>
      <c r="FC35" s="675"/>
      <c r="FD35" s="549"/>
      <c r="FE35" s="675"/>
      <c r="FF35" s="549"/>
      <c r="FG35" s="675"/>
      <c r="FH35" s="549"/>
      <c r="FI35" s="675"/>
      <c r="FJ35" s="549"/>
      <c r="FK35" s="675"/>
      <c r="FL35" s="549"/>
      <c r="FM35" s="675"/>
      <c r="FN35" s="549"/>
      <c r="FO35" s="675"/>
      <c r="FP35" s="549"/>
      <c r="FQ35" s="675"/>
      <c r="FR35" s="549"/>
      <c r="FS35" s="675"/>
      <c r="FT35" s="549"/>
      <c r="FU35" s="675"/>
      <c r="FV35" s="549"/>
      <c r="FW35" s="675"/>
      <c r="FX35" s="549"/>
      <c r="FY35" s="675"/>
      <c r="FZ35" s="549"/>
      <c r="GA35" s="675"/>
      <c r="GB35" s="549"/>
      <c r="GC35" s="675"/>
      <c r="GD35" s="549"/>
      <c r="GE35" s="675"/>
      <c r="GF35" s="549"/>
      <c r="GG35" s="675"/>
      <c r="GH35" s="549"/>
      <c r="GI35" s="675"/>
      <c r="GJ35" s="549"/>
      <c r="GK35" s="675"/>
      <c r="GL35" s="549"/>
      <c r="GM35" s="675"/>
      <c r="GN35" s="549"/>
      <c r="GO35" s="675"/>
      <c r="GP35" s="74"/>
      <c r="GQ35" s="675"/>
      <c r="GR35" s="74"/>
      <c r="GS35" s="74"/>
      <c r="GT35" s="549"/>
      <c r="GU35" s="74"/>
      <c r="GV35" s="74"/>
      <c r="GW35" s="549"/>
      <c r="GX35" s="549"/>
      <c r="GY35" s="74"/>
      <c r="GZ35" s="74"/>
      <c r="HA35" s="74"/>
      <c r="HB35" s="74"/>
      <c r="HC35" s="74"/>
      <c r="HD35" s="74"/>
      <c r="HE35" s="74"/>
      <c r="HF35" s="74"/>
      <c r="HG35" s="74"/>
      <c r="HH35" s="74"/>
      <c r="HI35" s="74"/>
      <c r="HJ35" s="74"/>
      <c r="HK35" s="74"/>
      <c r="HL35" s="74"/>
      <c r="HM35" s="74"/>
      <c r="HN35" s="74"/>
      <c r="HO35" s="74"/>
      <c r="HP35" s="74"/>
      <c r="HQ35" s="74"/>
      <c r="HR35" s="74"/>
      <c r="HS35" s="74"/>
      <c r="HT35" s="74"/>
      <c r="HU35" s="74"/>
      <c r="HV35" s="74"/>
      <c r="HW35" s="74"/>
      <c r="HX35" s="74"/>
      <c r="HY35" s="74"/>
      <c r="HZ35" s="74"/>
      <c r="IA35" s="74"/>
      <c r="IB35" s="74"/>
      <c r="IC35" s="74"/>
      <c r="ID35" s="74"/>
      <c r="IE35" s="792"/>
      <c r="IF35" s="841"/>
      <c r="IG35" s="263"/>
      <c r="IH35" s="842"/>
      <c r="II35" s="155"/>
      <c r="IJ35" s="74"/>
      <c r="IK35" s="74"/>
      <c r="IL35" s="74"/>
      <c r="IM35" s="74"/>
      <c r="IN35" s="74"/>
      <c r="IO35" s="74"/>
      <c r="IP35" s="74"/>
      <c r="IQ35" s="74"/>
      <c r="IR35" s="74"/>
      <c r="IS35" s="74"/>
      <c r="IT35" s="74"/>
      <c r="IU35" s="74"/>
      <c r="IV35" s="74"/>
      <c r="IW35" s="74"/>
      <c r="IX35" s="74"/>
      <c r="IY35" s="74"/>
      <c r="IZ35" s="74"/>
      <c r="JA35" s="74"/>
      <c r="JB35" s="74"/>
      <c r="JC35" s="74"/>
      <c r="JD35" s="74"/>
      <c r="JE35" s="74"/>
      <c r="JF35" s="74"/>
      <c r="JG35" s="74"/>
      <c r="JH35" s="74"/>
      <c r="JI35" s="74"/>
      <c r="JJ35" s="74"/>
      <c r="JK35" s="74"/>
      <c r="JL35" s="74"/>
      <c r="JM35" s="74"/>
      <c r="JN35" s="74"/>
      <c r="JO35" s="74"/>
      <c r="JP35" s="74"/>
      <c r="JQ35" s="74"/>
      <c r="JR35" s="74"/>
      <c r="JS35" s="74"/>
      <c r="JT35" s="102"/>
      <c r="JU35" s="671"/>
      <c r="JV35" s="492"/>
      <c r="JW35" s="490"/>
      <c r="JX35" s="549"/>
      <c r="JY35" s="549"/>
      <c r="JZ35" s="581">
        <f t="shared" si="42"/>
        <v>0</v>
      </c>
      <c r="KA35" s="581">
        <f t="shared" si="43"/>
        <v>0</v>
      </c>
      <c r="KB35" s="549"/>
      <c r="KC35" s="709">
        <f t="shared" si="41"/>
        <v>0</v>
      </c>
      <c r="KD35" s="135"/>
      <c r="KE35" s="136" t="s">
        <v>540</v>
      </c>
      <c r="KF35" s="136" t="e">
        <f t="shared" ref="KF35:KK35" si="719">SUM(KF37,KF41)</f>
        <v>#REF!</v>
      </c>
      <c r="KG35" s="136" t="e">
        <f t="shared" si="719"/>
        <v>#REF!</v>
      </c>
      <c r="KH35" s="136" t="e">
        <f t="shared" si="719"/>
        <v>#REF!</v>
      </c>
      <c r="KI35" s="136" t="e">
        <f t="shared" si="719"/>
        <v>#REF!</v>
      </c>
      <c r="KJ35" s="136" t="e">
        <f t="shared" si="719"/>
        <v>#REF!</v>
      </c>
      <c r="KK35" s="136" t="e">
        <f t="shared" si="719"/>
        <v>#REF!</v>
      </c>
    </row>
    <row r="36" spans="1:297" s="8" customFormat="1" ht="13.5" thickBot="1">
      <c r="A36" s="75" t="s">
        <v>77</v>
      </c>
      <c r="B36" s="72" t="s">
        <v>78</v>
      </c>
      <c r="C36" s="74">
        <f>SUM(C598)+C265+C373</f>
        <v>200000</v>
      </c>
      <c r="D36" s="549">
        <f t="shared" ref="D36:E36" si="720">SUM(D598)+D616+D265+D373</f>
        <v>0</v>
      </c>
      <c r="E36" s="675">
        <f t="shared" si="720"/>
        <v>0</v>
      </c>
      <c r="F36" s="549">
        <f t="shared" ref="F36:G36" si="721">SUM(F598)+F616+F265+F373</f>
        <v>0</v>
      </c>
      <c r="G36" s="675">
        <f t="shared" si="721"/>
        <v>0</v>
      </c>
      <c r="H36" s="549">
        <f t="shared" ref="H36:I36" si="722">SUM(H598)+H616+H265+H373</f>
        <v>0</v>
      </c>
      <c r="I36" s="675">
        <f t="shared" si="722"/>
        <v>0</v>
      </c>
      <c r="J36" s="549">
        <f t="shared" ref="J36:K36" si="723">SUM(J598)+J616+J265+J373</f>
        <v>0</v>
      </c>
      <c r="K36" s="675">
        <f t="shared" si="723"/>
        <v>0</v>
      </c>
      <c r="L36" s="549">
        <f t="shared" ref="L36:M36" si="724">SUM(L598)+L616+L265+L373</f>
        <v>0</v>
      </c>
      <c r="M36" s="675">
        <f t="shared" si="724"/>
        <v>0</v>
      </c>
      <c r="N36" s="549">
        <f t="shared" ref="N36:O36" si="725">SUM(N598)+N616+N265+N373</f>
        <v>0</v>
      </c>
      <c r="O36" s="675">
        <f t="shared" si="725"/>
        <v>0</v>
      </c>
      <c r="P36" s="549">
        <f t="shared" ref="P36:Q36" si="726">SUM(P598)+P616+P265+P373</f>
        <v>0</v>
      </c>
      <c r="Q36" s="675">
        <f t="shared" si="726"/>
        <v>0</v>
      </c>
      <c r="R36" s="549">
        <f t="shared" ref="R36:S36" si="727">SUM(R598)+R616+R265+R373</f>
        <v>0</v>
      </c>
      <c r="S36" s="675">
        <f t="shared" si="727"/>
        <v>0</v>
      </c>
      <c r="T36" s="549">
        <f t="shared" ref="T36:U36" si="728">SUM(T598)+T616+T265+T373</f>
        <v>0</v>
      </c>
      <c r="U36" s="675">
        <f t="shared" si="728"/>
        <v>0</v>
      </c>
      <c r="V36" s="549">
        <f t="shared" ref="V36:W36" si="729">SUM(V598)+V616+V265+V373</f>
        <v>0</v>
      </c>
      <c r="W36" s="675">
        <f t="shared" si="729"/>
        <v>0</v>
      </c>
      <c r="X36" s="549">
        <f t="shared" ref="X36:Y36" si="730">SUM(X598)+X616+X265+X373</f>
        <v>0</v>
      </c>
      <c r="Y36" s="675">
        <f t="shared" si="730"/>
        <v>0</v>
      </c>
      <c r="Z36" s="549">
        <f t="shared" ref="Z36:AA36" si="731">SUM(Z598)+Z616+Z265+Z373</f>
        <v>0</v>
      </c>
      <c r="AA36" s="675">
        <f t="shared" si="731"/>
        <v>0</v>
      </c>
      <c r="AB36" s="549">
        <f t="shared" ref="AB36:AC36" si="732">SUM(AB598)+AB616+AB265+AB373</f>
        <v>0</v>
      </c>
      <c r="AC36" s="675">
        <f t="shared" si="732"/>
        <v>0</v>
      </c>
      <c r="AD36" s="549">
        <f t="shared" ref="AD36:AE36" si="733">SUM(AD598)+AD616+AD265+AD373</f>
        <v>0</v>
      </c>
      <c r="AE36" s="675">
        <f t="shared" si="733"/>
        <v>0</v>
      </c>
      <c r="AF36" s="549">
        <f t="shared" ref="AF36:AI36" si="734">SUM(AF598)+AF616+AF265+AF373</f>
        <v>0</v>
      </c>
      <c r="AG36" s="675">
        <f t="shared" si="734"/>
        <v>0</v>
      </c>
      <c r="AH36" s="549">
        <f t="shared" si="734"/>
        <v>0</v>
      </c>
      <c r="AI36" s="675">
        <f t="shared" si="734"/>
        <v>0</v>
      </c>
      <c r="AJ36" s="549">
        <f>SUM(AJ598)+AJ616+AJ265+AJ373</f>
        <v>288700</v>
      </c>
      <c r="AK36" s="675">
        <f t="shared" ref="AK36" si="735">SUM(AK598)+AK616+AK265+AK373</f>
        <v>0</v>
      </c>
      <c r="AL36" s="549">
        <f t="shared" ref="AL36:AM36" si="736">SUM(AL598)+AL616+AL265+AL373</f>
        <v>0</v>
      </c>
      <c r="AM36" s="675">
        <f t="shared" si="736"/>
        <v>0</v>
      </c>
      <c r="AN36" s="549">
        <f t="shared" ref="AN36:AO36" si="737">SUM(AN598)+AN616+AN265+AN373</f>
        <v>0</v>
      </c>
      <c r="AO36" s="675">
        <f t="shared" si="737"/>
        <v>0</v>
      </c>
      <c r="AP36" s="549">
        <f t="shared" ref="AP36:AQ36" si="738">SUM(AP598)+AP616+AP265+AP373</f>
        <v>0</v>
      </c>
      <c r="AQ36" s="675">
        <f t="shared" si="738"/>
        <v>0</v>
      </c>
      <c r="AR36" s="549">
        <f t="shared" ref="AR36:AS36" si="739">SUM(AR598)+AR616+AR265+AR373</f>
        <v>0</v>
      </c>
      <c r="AS36" s="675">
        <f t="shared" si="739"/>
        <v>0</v>
      </c>
      <c r="AT36" s="549">
        <f t="shared" ref="AT36:AU36" si="740">SUM(AT598)+AT616+AT265+AT373</f>
        <v>299000</v>
      </c>
      <c r="AU36" s="675">
        <f t="shared" si="740"/>
        <v>0</v>
      </c>
      <c r="AV36" s="549">
        <f t="shared" ref="AV36:AW36" si="741">SUM(AV598)+AV616+AV265+AV373</f>
        <v>0</v>
      </c>
      <c r="AW36" s="675">
        <f t="shared" si="741"/>
        <v>0</v>
      </c>
      <c r="AX36" s="549">
        <f t="shared" ref="AX36:AY36" si="742">SUM(AX598)+AX616+AX265+AX373</f>
        <v>0</v>
      </c>
      <c r="AY36" s="675">
        <f t="shared" si="742"/>
        <v>0</v>
      </c>
      <c r="AZ36" s="549">
        <f t="shared" ref="AZ36:BA36" si="743">SUM(AZ598)+AZ616+AZ265+AZ373</f>
        <v>0</v>
      </c>
      <c r="BA36" s="675">
        <f t="shared" si="743"/>
        <v>0</v>
      </c>
      <c r="BB36" s="549">
        <f t="shared" ref="BB36:BC36" si="744">SUM(BB598)+BB616+BB265+BB373</f>
        <v>0</v>
      </c>
      <c r="BC36" s="675">
        <f t="shared" si="744"/>
        <v>0</v>
      </c>
      <c r="BD36" s="549">
        <f t="shared" ref="BD36:BE36" si="745">SUM(BD598)+BD616+BD265+BD373</f>
        <v>0</v>
      </c>
      <c r="BE36" s="675">
        <f t="shared" si="745"/>
        <v>0</v>
      </c>
      <c r="BF36" s="549">
        <f t="shared" ref="BF36:BG36" si="746">SUM(BF598)+BF616+BF265+BF373</f>
        <v>0</v>
      </c>
      <c r="BG36" s="675">
        <f t="shared" si="746"/>
        <v>0</v>
      </c>
      <c r="BH36" s="549">
        <f t="shared" ref="BH36:BI36" si="747">SUM(BH598)+BH616+BH265+BH373</f>
        <v>0</v>
      </c>
      <c r="BI36" s="675">
        <f t="shared" si="747"/>
        <v>0</v>
      </c>
      <c r="BJ36" s="549">
        <f t="shared" ref="BJ36:BK36" si="748">SUM(BJ598)+BJ616+BJ265+BJ373</f>
        <v>0</v>
      </c>
      <c r="BK36" s="675">
        <f t="shared" si="748"/>
        <v>0</v>
      </c>
      <c r="BL36" s="549">
        <f t="shared" ref="BL36:BM36" si="749">SUM(BL598)+BL616+BL265+BL373</f>
        <v>0</v>
      </c>
      <c r="BM36" s="675">
        <f t="shared" si="749"/>
        <v>0</v>
      </c>
      <c r="BN36" s="549">
        <f t="shared" ref="BN36:BO36" si="750">SUM(BN598)+BN616+BN265+BN373</f>
        <v>0</v>
      </c>
      <c r="BO36" s="675">
        <f t="shared" si="750"/>
        <v>0</v>
      </c>
      <c r="BP36" s="549">
        <f t="shared" ref="BP36:BQ36" si="751">SUM(BP598)+BP616+BP265+BP373</f>
        <v>0</v>
      </c>
      <c r="BQ36" s="675">
        <f t="shared" si="751"/>
        <v>0</v>
      </c>
      <c r="BR36" s="549">
        <f t="shared" ref="BR36:BS36" si="752">SUM(BR598)+BR616+BR265+BR373</f>
        <v>0</v>
      </c>
      <c r="BS36" s="675">
        <f t="shared" si="752"/>
        <v>0</v>
      </c>
      <c r="BT36" s="549">
        <f t="shared" ref="BT36:BU36" si="753">SUM(BT598)+BT616+BT265+BT373</f>
        <v>0</v>
      </c>
      <c r="BU36" s="675">
        <f t="shared" si="753"/>
        <v>0</v>
      </c>
      <c r="BV36" s="549">
        <f t="shared" ref="BV36:BW36" si="754">SUM(BV598)+BV616+BV265+BV373</f>
        <v>0</v>
      </c>
      <c r="BW36" s="675">
        <f t="shared" si="754"/>
        <v>0</v>
      </c>
      <c r="BX36" s="549">
        <f t="shared" ref="BX36:BY36" si="755">SUM(BX598)+BX616+BX265+BX373</f>
        <v>0</v>
      </c>
      <c r="BY36" s="675">
        <f t="shared" si="755"/>
        <v>0</v>
      </c>
      <c r="BZ36" s="549">
        <f t="shared" ref="BZ36:CA36" si="756">SUM(BZ598)+BZ616+BZ265+BZ373</f>
        <v>0</v>
      </c>
      <c r="CA36" s="675">
        <f t="shared" si="756"/>
        <v>0</v>
      </c>
      <c r="CB36" s="549">
        <f t="shared" ref="CB36:CC36" si="757">SUM(CB598)+CB616+CB265+CB373</f>
        <v>0</v>
      </c>
      <c r="CC36" s="675">
        <f t="shared" si="757"/>
        <v>0</v>
      </c>
      <c r="CD36" s="549">
        <f t="shared" ref="CD36:CE36" si="758">SUM(CD598)+CD616+CD265+CD373</f>
        <v>0</v>
      </c>
      <c r="CE36" s="675">
        <f t="shared" si="758"/>
        <v>0</v>
      </c>
      <c r="CF36" s="549">
        <f t="shared" ref="CF36:CG36" si="759">SUM(CF598)+CF616+CF265+CF373</f>
        <v>0</v>
      </c>
      <c r="CG36" s="675">
        <f t="shared" si="759"/>
        <v>0</v>
      </c>
      <c r="CH36" s="549">
        <f t="shared" ref="CH36:CI36" si="760">SUM(CH598)+CH616+CH265+CH373</f>
        <v>0</v>
      </c>
      <c r="CI36" s="675">
        <f t="shared" si="760"/>
        <v>0</v>
      </c>
      <c r="CJ36" s="549">
        <f t="shared" ref="CJ36:CK36" si="761">SUM(CJ598)+CJ616+CJ265+CJ373</f>
        <v>0</v>
      </c>
      <c r="CK36" s="675">
        <f t="shared" si="761"/>
        <v>0</v>
      </c>
      <c r="CL36" s="549">
        <f t="shared" ref="CL36:CM36" si="762">SUM(CL598)+CL616+CL265+CL373</f>
        <v>0</v>
      </c>
      <c r="CM36" s="675">
        <f t="shared" si="762"/>
        <v>0</v>
      </c>
      <c r="CN36" s="549">
        <f t="shared" ref="CN36:CO36" si="763">SUM(CN598)+CN616+CN265+CN373</f>
        <v>0</v>
      </c>
      <c r="CO36" s="675">
        <f t="shared" si="763"/>
        <v>0</v>
      </c>
      <c r="CP36" s="549">
        <f t="shared" ref="CP36:CQ36" si="764">SUM(CP598)+CP616+CP265+CP373</f>
        <v>0</v>
      </c>
      <c r="CQ36" s="675">
        <f t="shared" si="764"/>
        <v>0</v>
      </c>
      <c r="CR36" s="549">
        <f t="shared" ref="CR36:CS36" si="765">SUM(CR598)+CR616+CR265+CR373</f>
        <v>0</v>
      </c>
      <c r="CS36" s="675">
        <f t="shared" si="765"/>
        <v>0</v>
      </c>
      <c r="CT36" s="549">
        <f t="shared" ref="CT36:CU36" si="766">SUM(CT598)+CT616+CT265+CT373</f>
        <v>0</v>
      </c>
      <c r="CU36" s="675">
        <f t="shared" si="766"/>
        <v>0</v>
      </c>
      <c r="CV36" s="549">
        <f t="shared" ref="CV36:CW36" si="767">SUM(CV598)+CV616+CV265+CV373</f>
        <v>0</v>
      </c>
      <c r="CW36" s="675">
        <f t="shared" si="767"/>
        <v>0</v>
      </c>
      <c r="CX36" s="549">
        <f t="shared" ref="CX36:CY36" si="768">SUM(CX598)+CX616+CX265+CX373</f>
        <v>0</v>
      </c>
      <c r="CY36" s="675">
        <f t="shared" si="768"/>
        <v>0</v>
      </c>
      <c r="CZ36" s="549">
        <f t="shared" ref="CZ36:DA36" si="769">SUM(CZ598)+CZ616+CZ265+CZ373</f>
        <v>0</v>
      </c>
      <c r="DA36" s="675">
        <f t="shared" si="769"/>
        <v>0</v>
      </c>
      <c r="DB36" s="549">
        <f t="shared" ref="DB36:DC36" si="770">SUM(DB598)+DB616+DB265+DB373</f>
        <v>0</v>
      </c>
      <c r="DC36" s="675">
        <f t="shared" si="770"/>
        <v>0</v>
      </c>
      <c r="DD36" s="549">
        <f t="shared" ref="DD36:DE36" si="771">SUM(DD598)+DD616+DD265+DD373</f>
        <v>0</v>
      </c>
      <c r="DE36" s="675">
        <f t="shared" si="771"/>
        <v>0</v>
      </c>
      <c r="DF36" s="549">
        <f t="shared" ref="DF36:DG36" si="772">SUM(DF598)+DF616+DF265+DF373</f>
        <v>0</v>
      </c>
      <c r="DG36" s="675">
        <f t="shared" si="772"/>
        <v>0</v>
      </c>
      <c r="DH36" s="549">
        <f t="shared" ref="DH36:DI36" si="773">SUM(DH598)+DH616+DH265+DH373</f>
        <v>0</v>
      </c>
      <c r="DI36" s="675">
        <f t="shared" si="773"/>
        <v>0</v>
      </c>
      <c r="DJ36" s="549">
        <f t="shared" ref="DJ36:DK36" si="774">SUM(DJ598)+DJ616+DJ265+DJ373</f>
        <v>0</v>
      </c>
      <c r="DK36" s="675">
        <f t="shared" si="774"/>
        <v>0</v>
      </c>
      <c r="DL36" s="549">
        <f t="shared" ref="DL36:DM36" si="775">SUM(DL598)+DL616+DL265+DL373</f>
        <v>0</v>
      </c>
      <c r="DM36" s="675">
        <f t="shared" si="775"/>
        <v>0</v>
      </c>
      <c r="DN36" s="549">
        <f t="shared" ref="DN36:DO36" si="776">SUM(DN598)+DN616+DN265+DN373</f>
        <v>0</v>
      </c>
      <c r="DO36" s="675">
        <f t="shared" si="776"/>
        <v>0</v>
      </c>
      <c r="DP36" s="549">
        <f t="shared" ref="DP36:DQ36" si="777">SUM(DP598)+DP616+DP265+DP373</f>
        <v>0</v>
      </c>
      <c r="DQ36" s="675">
        <f t="shared" si="777"/>
        <v>0</v>
      </c>
      <c r="DR36" s="549">
        <f t="shared" ref="DR36:DS36" si="778">SUM(DR598)+DR616+DR265+DR373</f>
        <v>0</v>
      </c>
      <c r="DS36" s="675">
        <f t="shared" si="778"/>
        <v>0</v>
      </c>
      <c r="DT36" s="549">
        <f t="shared" ref="DT36:DU36" si="779">SUM(DT598)+DT616+DT265+DT373</f>
        <v>0</v>
      </c>
      <c r="DU36" s="675">
        <f t="shared" si="779"/>
        <v>0</v>
      </c>
      <c r="DV36" s="549">
        <f t="shared" ref="DV36:DW36" si="780">SUM(DV598)+DV616+DV265+DV373</f>
        <v>0</v>
      </c>
      <c r="DW36" s="675">
        <f t="shared" si="780"/>
        <v>0</v>
      </c>
      <c r="DX36" s="549">
        <f t="shared" ref="DX36:DY36" si="781">SUM(DX598)+DX616+DX265+DX373</f>
        <v>0</v>
      </c>
      <c r="DY36" s="675">
        <f t="shared" si="781"/>
        <v>0</v>
      </c>
      <c r="DZ36" s="549">
        <f t="shared" ref="DZ36:EA36" si="782">SUM(DZ598)+DZ616+DZ265+DZ373</f>
        <v>0</v>
      </c>
      <c r="EA36" s="675">
        <f t="shared" si="782"/>
        <v>0</v>
      </c>
      <c r="EB36" s="549">
        <f t="shared" ref="EB36:EC36" si="783">SUM(EB598)+EB616+EB265+EB373</f>
        <v>0</v>
      </c>
      <c r="EC36" s="675">
        <f t="shared" si="783"/>
        <v>0</v>
      </c>
      <c r="ED36" s="549">
        <f t="shared" ref="ED36:EE36" si="784">SUM(ED598)+ED616+ED265+ED373</f>
        <v>0</v>
      </c>
      <c r="EE36" s="675">
        <f t="shared" si="784"/>
        <v>0</v>
      </c>
      <c r="EF36" s="549">
        <f t="shared" ref="EF36:EG36" si="785">SUM(EF598)+EF616+EF265+EF373</f>
        <v>0</v>
      </c>
      <c r="EG36" s="675">
        <f t="shared" si="785"/>
        <v>0</v>
      </c>
      <c r="EH36" s="549">
        <f t="shared" ref="EH36:EI36" si="786">SUM(EH598)+EH616+EH265+EH373</f>
        <v>290000</v>
      </c>
      <c r="EI36" s="675">
        <f t="shared" si="786"/>
        <v>0</v>
      </c>
      <c r="EJ36" s="549">
        <f t="shared" ref="EJ36:EK36" si="787">SUM(EJ598)+EJ616+EJ265+EJ373</f>
        <v>0</v>
      </c>
      <c r="EK36" s="675">
        <f t="shared" si="787"/>
        <v>0</v>
      </c>
      <c r="EL36" s="549">
        <f t="shared" ref="EL36:EM36" si="788">SUM(EL598)+EL616+EL265+EL373</f>
        <v>0</v>
      </c>
      <c r="EM36" s="675">
        <f t="shared" si="788"/>
        <v>0</v>
      </c>
      <c r="EN36" s="549">
        <f t="shared" ref="EN36:EO36" si="789">SUM(EN598)+EN616+EN265+EN373</f>
        <v>0</v>
      </c>
      <c r="EO36" s="675">
        <f t="shared" si="789"/>
        <v>0</v>
      </c>
      <c r="EP36" s="549">
        <f t="shared" ref="EP36:EQ36" si="790">SUM(EP598)+EP616+EP265+EP373</f>
        <v>210000</v>
      </c>
      <c r="EQ36" s="675">
        <f t="shared" si="790"/>
        <v>0</v>
      </c>
      <c r="ER36" s="549">
        <f t="shared" ref="ER36:ES36" si="791">SUM(ER598)+ER616+ER265+ER373</f>
        <v>0</v>
      </c>
      <c r="ES36" s="675">
        <f t="shared" si="791"/>
        <v>0</v>
      </c>
      <c r="ET36" s="549">
        <f t="shared" ref="ET36:EU36" si="792">SUM(ET598)+ET616+ET265+ET373</f>
        <v>0</v>
      </c>
      <c r="EU36" s="675">
        <f t="shared" si="792"/>
        <v>0</v>
      </c>
      <c r="EV36" s="549">
        <f t="shared" ref="EV36:EW36" si="793">SUM(EV598)+EV616+EV265+EV373</f>
        <v>0</v>
      </c>
      <c r="EW36" s="675">
        <f t="shared" si="793"/>
        <v>0</v>
      </c>
      <c r="EX36" s="549">
        <f t="shared" ref="EX36:EY36" si="794">SUM(EX598)+EX616+EX265+EX373</f>
        <v>0</v>
      </c>
      <c r="EY36" s="675">
        <f t="shared" si="794"/>
        <v>0</v>
      </c>
      <c r="EZ36" s="549">
        <f t="shared" ref="EZ36:FA36" si="795">SUM(EZ598)+EZ616+EZ265+EZ373</f>
        <v>0</v>
      </c>
      <c r="FA36" s="675">
        <f t="shared" si="795"/>
        <v>0</v>
      </c>
      <c r="FB36" s="549">
        <f t="shared" ref="FB36:FC36" si="796">SUM(FB598)+FB616+FB265+FB373</f>
        <v>0</v>
      </c>
      <c r="FC36" s="675">
        <f t="shared" si="796"/>
        <v>0</v>
      </c>
      <c r="FD36" s="549">
        <f t="shared" ref="FD36:FE36" si="797">SUM(FD598)+FD616+FD265+FD373</f>
        <v>0</v>
      </c>
      <c r="FE36" s="675">
        <f t="shared" si="797"/>
        <v>0</v>
      </c>
      <c r="FF36" s="549">
        <f t="shared" ref="FF36:FG36" si="798">SUM(FF598)+FF616+FF265+FF373</f>
        <v>0</v>
      </c>
      <c r="FG36" s="675">
        <f t="shared" si="798"/>
        <v>0</v>
      </c>
      <c r="FH36" s="549">
        <f t="shared" ref="FH36:FI36" si="799">SUM(FH598)+FH616+FH265+FH373</f>
        <v>0</v>
      </c>
      <c r="FI36" s="675">
        <f t="shared" si="799"/>
        <v>0</v>
      </c>
      <c r="FJ36" s="549">
        <f t="shared" ref="FJ36:FK36" si="800">SUM(FJ598)+FJ616+FJ265+FJ373</f>
        <v>0</v>
      </c>
      <c r="FK36" s="675">
        <f t="shared" si="800"/>
        <v>0</v>
      </c>
      <c r="FL36" s="549">
        <f t="shared" ref="FL36:FM36" si="801">SUM(FL598)+FL616+FL265+FL373</f>
        <v>0</v>
      </c>
      <c r="FM36" s="675">
        <f t="shared" si="801"/>
        <v>0</v>
      </c>
      <c r="FN36" s="549">
        <f t="shared" ref="FN36:FO36" si="802">SUM(FN598)+FN616+FN265+FN373</f>
        <v>0</v>
      </c>
      <c r="FO36" s="675">
        <f t="shared" si="802"/>
        <v>0</v>
      </c>
      <c r="FP36" s="549">
        <f t="shared" ref="FP36:FQ36" si="803">SUM(FP598)+FP616+FP265+FP373</f>
        <v>0</v>
      </c>
      <c r="FQ36" s="675">
        <f t="shared" si="803"/>
        <v>0</v>
      </c>
      <c r="FR36" s="549">
        <f t="shared" ref="FR36:FS36" si="804">SUM(FR598)+FR616+FR265+FR373</f>
        <v>0</v>
      </c>
      <c r="FS36" s="675">
        <f t="shared" si="804"/>
        <v>0</v>
      </c>
      <c r="FT36" s="549">
        <f t="shared" ref="FT36:FU36" si="805">SUM(FT598)+FT616+FT265+FT373</f>
        <v>0</v>
      </c>
      <c r="FU36" s="675">
        <f t="shared" si="805"/>
        <v>0</v>
      </c>
      <c r="FV36" s="549">
        <f t="shared" ref="FV36:FW36" si="806">SUM(FV598)+FV616+FV265+FV373</f>
        <v>0</v>
      </c>
      <c r="FW36" s="675">
        <f t="shared" si="806"/>
        <v>0</v>
      </c>
      <c r="FX36" s="549">
        <f t="shared" ref="FX36:FY36" si="807">SUM(FX598)+FX616+FX265+FX373</f>
        <v>0</v>
      </c>
      <c r="FY36" s="675">
        <f t="shared" si="807"/>
        <v>0</v>
      </c>
      <c r="FZ36" s="549">
        <f t="shared" ref="FZ36:GA36" si="808">SUM(FZ598)+FZ616+FZ265+FZ373</f>
        <v>0</v>
      </c>
      <c r="GA36" s="675">
        <f t="shared" si="808"/>
        <v>0</v>
      </c>
      <c r="GB36" s="549">
        <f t="shared" ref="GB36:GC36" si="809">SUM(GB598)+GB616+GB265+GB373</f>
        <v>0</v>
      </c>
      <c r="GC36" s="675">
        <f t="shared" si="809"/>
        <v>0</v>
      </c>
      <c r="GD36" s="549">
        <f t="shared" ref="GD36:GE36" si="810">SUM(GD598)+GD616+GD265+GD373</f>
        <v>0</v>
      </c>
      <c r="GE36" s="675">
        <f t="shared" si="810"/>
        <v>0</v>
      </c>
      <c r="GF36" s="549">
        <f t="shared" ref="GF36:GG36" si="811">SUM(GF598)+GF616+GF265+GF373</f>
        <v>0</v>
      </c>
      <c r="GG36" s="675">
        <f t="shared" si="811"/>
        <v>0</v>
      </c>
      <c r="GH36" s="549">
        <f t="shared" ref="GH36:GI36" si="812">SUM(GH598)+GH616+GH265+GH373</f>
        <v>0</v>
      </c>
      <c r="GI36" s="675">
        <f t="shared" si="812"/>
        <v>0</v>
      </c>
      <c r="GJ36" s="549">
        <f t="shared" ref="GJ36:GK36" si="813">SUM(GJ598)+GJ616+GJ265+GJ373</f>
        <v>0</v>
      </c>
      <c r="GK36" s="675">
        <f t="shared" si="813"/>
        <v>0</v>
      </c>
      <c r="GL36" s="549">
        <f t="shared" ref="GL36:GM36" si="814">SUM(GL598)+GL616+GL265+GL373</f>
        <v>0</v>
      </c>
      <c r="GM36" s="675">
        <f t="shared" si="814"/>
        <v>0</v>
      </c>
      <c r="GN36" s="549">
        <f t="shared" ref="GN36:GO36" si="815">SUM(GN598)+GN616+GN265+GN373</f>
        <v>0</v>
      </c>
      <c r="GO36" s="675">
        <f t="shared" si="815"/>
        <v>0</v>
      </c>
      <c r="GP36" s="74">
        <f>SUM(GP598)+GP265+GP373</f>
        <v>1087700</v>
      </c>
      <c r="GQ36" s="675">
        <f>SUM(GQ598)+GQ265+GQ373</f>
        <v>0</v>
      </c>
      <c r="GR36" s="74">
        <f>SUM(GR598)+GR265+GR373</f>
        <v>1287700</v>
      </c>
      <c r="GS36" s="74">
        <f t="shared" ref="GS36:JD36" si="816">SUM(GS598)+GS265+GS373</f>
        <v>1287700</v>
      </c>
      <c r="GT36" s="74">
        <f t="shared" si="816"/>
        <v>1287700</v>
      </c>
      <c r="GU36" s="74">
        <f>SUM(GU598)+GU265+GU373</f>
        <v>100000</v>
      </c>
      <c r="GV36" s="74">
        <f t="shared" si="816"/>
        <v>0</v>
      </c>
      <c r="GW36" s="74">
        <f t="shared" si="816"/>
        <v>0</v>
      </c>
      <c r="GX36" s="74">
        <f t="shared" si="816"/>
        <v>0</v>
      </c>
      <c r="GY36" s="74">
        <f t="shared" si="816"/>
        <v>0</v>
      </c>
      <c r="GZ36" s="74">
        <f t="shared" si="816"/>
        <v>100000</v>
      </c>
      <c r="HA36" s="74">
        <f t="shared" si="816"/>
        <v>0</v>
      </c>
      <c r="HB36" s="74">
        <f t="shared" si="816"/>
        <v>0</v>
      </c>
      <c r="HC36" s="74">
        <f t="shared" si="816"/>
        <v>0</v>
      </c>
      <c r="HD36" s="74">
        <f t="shared" si="816"/>
        <v>0</v>
      </c>
      <c r="HE36" s="74">
        <f t="shared" si="816"/>
        <v>0</v>
      </c>
      <c r="HF36" s="74">
        <f t="shared" si="816"/>
        <v>0</v>
      </c>
      <c r="HG36" s="74">
        <f t="shared" si="816"/>
        <v>1287700</v>
      </c>
      <c r="HH36" s="74">
        <f t="shared" si="816"/>
        <v>0</v>
      </c>
      <c r="HI36" s="74">
        <f t="shared" si="816"/>
        <v>0</v>
      </c>
      <c r="HJ36" s="74">
        <f t="shared" si="816"/>
        <v>0</v>
      </c>
      <c r="HK36" s="74">
        <f t="shared" si="816"/>
        <v>100000</v>
      </c>
      <c r="HL36" s="74">
        <f t="shared" si="816"/>
        <v>0</v>
      </c>
      <c r="HM36" s="74">
        <f t="shared" si="816"/>
        <v>0</v>
      </c>
      <c r="HN36" s="74">
        <f t="shared" si="816"/>
        <v>0</v>
      </c>
      <c r="HO36" s="74">
        <f t="shared" si="816"/>
        <v>0</v>
      </c>
      <c r="HP36" s="74">
        <f t="shared" si="816"/>
        <v>0</v>
      </c>
      <c r="HQ36" s="74">
        <f t="shared" si="816"/>
        <v>0</v>
      </c>
      <c r="HR36" s="74">
        <f t="shared" si="816"/>
        <v>0</v>
      </c>
      <c r="HS36" s="74">
        <f t="shared" si="816"/>
        <v>100000</v>
      </c>
      <c r="HT36" s="74">
        <f t="shared" si="816"/>
        <v>0</v>
      </c>
      <c r="HU36" s="74">
        <f t="shared" si="816"/>
        <v>0</v>
      </c>
      <c r="HV36" s="74">
        <f t="shared" si="816"/>
        <v>0</v>
      </c>
      <c r="HW36" s="74">
        <f t="shared" si="816"/>
        <v>0</v>
      </c>
      <c r="HX36" s="74">
        <f t="shared" si="816"/>
        <v>0</v>
      </c>
      <c r="HY36" s="74">
        <f t="shared" si="816"/>
        <v>0</v>
      </c>
      <c r="HZ36" s="74">
        <f t="shared" si="816"/>
        <v>0</v>
      </c>
      <c r="IA36" s="74">
        <f t="shared" si="816"/>
        <v>0</v>
      </c>
      <c r="IB36" s="74">
        <f t="shared" si="816"/>
        <v>0</v>
      </c>
      <c r="IC36" s="74">
        <f t="shared" si="816"/>
        <v>0</v>
      </c>
      <c r="ID36" s="74">
        <f t="shared" si="816"/>
        <v>0</v>
      </c>
      <c r="IE36" s="74">
        <f t="shared" si="816"/>
        <v>0</v>
      </c>
      <c r="IF36" s="841">
        <f t="shared" si="816"/>
        <v>875047.32</v>
      </c>
      <c r="IG36" s="263">
        <f t="shared" si="816"/>
        <v>875047.32</v>
      </c>
      <c r="IH36" s="842">
        <f t="shared" si="816"/>
        <v>875047.32</v>
      </c>
      <c r="II36" s="74">
        <f t="shared" si="816"/>
        <v>11275.05</v>
      </c>
      <c r="IJ36" s="74">
        <f t="shared" si="816"/>
        <v>11275.05</v>
      </c>
      <c r="IK36" s="74">
        <f t="shared" si="816"/>
        <v>11275.05</v>
      </c>
      <c r="IL36" s="74">
        <f t="shared" si="816"/>
        <v>11986.91</v>
      </c>
      <c r="IM36" s="74">
        <f t="shared" si="816"/>
        <v>11986.91</v>
      </c>
      <c r="IN36" s="74">
        <f t="shared" si="816"/>
        <v>11986.91</v>
      </c>
      <c r="IO36" s="74">
        <f t="shared" si="816"/>
        <v>16778.43</v>
      </c>
      <c r="IP36" s="74">
        <f t="shared" si="816"/>
        <v>16778.43</v>
      </c>
      <c r="IQ36" s="74">
        <f t="shared" si="816"/>
        <v>16778.43</v>
      </c>
      <c r="IR36" s="74">
        <f t="shared" si="816"/>
        <v>92253.13</v>
      </c>
      <c r="IS36" s="74">
        <f t="shared" si="816"/>
        <v>92253.13</v>
      </c>
      <c r="IT36" s="74">
        <f t="shared" si="816"/>
        <v>92253.13</v>
      </c>
      <c r="IU36" s="74">
        <f t="shared" si="816"/>
        <v>173070.69</v>
      </c>
      <c r="IV36" s="74">
        <f t="shared" si="816"/>
        <v>173070.69</v>
      </c>
      <c r="IW36" s="74">
        <f t="shared" si="816"/>
        <v>173070.69</v>
      </c>
      <c r="IX36" s="74">
        <f t="shared" si="816"/>
        <v>132508.65999999997</v>
      </c>
      <c r="IY36" s="74">
        <f t="shared" si="816"/>
        <v>132508.65999999997</v>
      </c>
      <c r="IZ36" s="74">
        <f t="shared" si="816"/>
        <v>132508.65999999997</v>
      </c>
      <c r="JA36" s="74">
        <f t="shared" si="816"/>
        <v>69249.72000000003</v>
      </c>
      <c r="JB36" s="74">
        <f t="shared" si="816"/>
        <v>69249.72000000003</v>
      </c>
      <c r="JC36" s="74">
        <f t="shared" si="816"/>
        <v>69249.72000000003</v>
      </c>
      <c r="JD36" s="74">
        <f t="shared" si="816"/>
        <v>92668.169999999984</v>
      </c>
      <c r="JE36" s="74">
        <f t="shared" ref="JE36:JT36" si="817">SUM(JE598)+JE265+JE373</f>
        <v>92668.169999999984</v>
      </c>
      <c r="JF36" s="74">
        <f t="shared" si="817"/>
        <v>92668.169999999984</v>
      </c>
      <c r="JG36" s="74">
        <f t="shared" si="817"/>
        <v>205970.07</v>
      </c>
      <c r="JH36" s="74">
        <f t="shared" si="817"/>
        <v>205970.07</v>
      </c>
      <c r="JI36" s="74">
        <f t="shared" si="817"/>
        <v>205970.07</v>
      </c>
      <c r="JJ36" s="74">
        <f t="shared" si="817"/>
        <v>69286.489999999991</v>
      </c>
      <c r="JK36" s="74">
        <f t="shared" si="817"/>
        <v>69286.489999999991</v>
      </c>
      <c r="JL36" s="74">
        <f t="shared" si="817"/>
        <v>69286.489999999991</v>
      </c>
      <c r="JM36" s="74">
        <f t="shared" si="817"/>
        <v>0</v>
      </c>
      <c r="JN36" s="74">
        <f t="shared" si="817"/>
        <v>0</v>
      </c>
      <c r="JO36" s="74">
        <f t="shared" si="817"/>
        <v>0</v>
      </c>
      <c r="JP36" s="74">
        <f t="shared" si="817"/>
        <v>0</v>
      </c>
      <c r="JQ36" s="74">
        <f t="shared" si="817"/>
        <v>0</v>
      </c>
      <c r="JR36" s="74">
        <f t="shared" si="817"/>
        <v>0</v>
      </c>
      <c r="JS36" s="74">
        <f t="shared" si="817"/>
        <v>412652.68</v>
      </c>
      <c r="JT36" s="74">
        <f t="shared" si="817"/>
        <v>412652.68</v>
      </c>
      <c r="JU36" s="671"/>
      <c r="JV36" s="492"/>
      <c r="JW36" s="490"/>
      <c r="JX36" s="549">
        <f>SUM(JX598)+JX616+JX265+JX373</f>
        <v>0</v>
      </c>
      <c r="JY36" s="549">
        <f>SUM(JY598)+JY616+JY265+JY373</f>
        <v>200000</v>
      </c>
      <c r="JZ36" s="581">
        <f t="shared" si="42"/>
        <v>1087700</v>
      </c>
      <c r="KA36" s="581">
        <f t="shared" si="43"/>
        <v>0</v>
      </c>
      <c r="KB36" s="549">
        <f>SUM(KB598)+KB616+KB265+KB373</f>
        <v>1287700</v>
      </c>
      <c r="KC36" s="709">
        <f t="shared" si="41"/>
        <v>0</v>
      </c>
      <c r="KD36" s="126"/>
      <c r="KE36" s="137"/>
      <c r="KF36" s="129"/>
      <c r="KG36" s="129"/>
      <c r="KH36" s="129"/>
      <c r="KI36" s="129"/>
      <c r="KJ36" s="129"/>
      <c r="KK36" s="129"/>
    </row>
    <row r="37" spans="1:297" s="8" customFormat="1" ht="13.5" thickBot="1">
      <c r="A37" s="75"/>
      <c r="B37" s="72"/>
      <c r="C37" s="74"/>
      <c r="D37" s="549"/>
      <c r="E37" s="675"/>
      <c r="F37" s="549"/>
      <c r="G37" s="675"/>
      <c r="H37" s="549"/>
      <c r="I37" s="675"/>
      <c r="J37" s="549"/>
      <c r="K37" s="675"/>
      <c r="L37" s="549"/>
      <c r="M37" s="675"/>
      <c r="N37" s="549"/>
      <c r="O37" s="675"/>
      <c r="P37" s="549"/>
      <c r="Q37" s="675"/>
      <c r="R37" s="549"/>
      <c r="S37" s="675"/>
      <c r="T37" s="549"/>
      <c r="U37" s="675"/>
      <c r="V37" s="549"/>
      <c r="W37" s="675"/>
      <c r="X37" s="549"/>
      <c r="Y37" s="675"/>
      <c r="Z37" s="549"/>
      <c r="AA37" s="675"/>
      <c r="AB37" s="549"/>
      <c r="AC37" s="675"/>
      <c r="AD37" s="549"/>
      <c r="AE37" s="675"/>
      <c r="AF37" s="549"/>
      <c r="AG37" s="675"/>
      <c r="AH37" s="549"/>
      <c r="AI37" s="675"/>
      <c r="AJ37" s="549"/>
      <c r="AK37" s="675"/>
      <c r="AL37" s="549"/>
      <c r="AM37" s="675"/>
      <c r="AN37" s="549"/>
      <c r="AO37" s="675"/>
      <c r="AP37" s="549"/>
      <c r="AQ37" s="675"/>
      <c r="AR37" s="549"/>
      <c r="AS37" s="675"/>
      <c r="AT37" s="549"/>
      <c r="AU37" s="675"/>
      <c r="AV37" s="549"/>
      <c r="AW37" s="675"/>
      <c r="AX37" s="549"/>
      <c r="AY37" s="675"/>
      <c r="AZ37" s="549"/>
      <c r="BA37" s="675"/>
      <c r="BB37" s="549"/>
      <c r="BC37" s="675"/>
      <c r="BD37" s="549"/>
      <c r="BE37" s="675"/>
      <c r="BF37" s="549"/>
      <c r="BG37" s="675"/>
      <c r="BH37" s="549"/>
      <c r="BI37" s="675"/>
      <c r="BJ37" s="549"/>
      <c r="BK37" s="675"/>
      <c r="BL37" s="549"/>
      <c r="BM37" s="675"/>
      <c r="BN37" s="549"/>
      <c r="BO37" s="675"/>
      <c r="BP37" s="549"/>
      <c r="BQ37" s="675"/>
      <c r="BR37" s="549"/>
      <c r="BS37" s="675"/>
      <c r="BT37" s="549"/>
      <c r="BU37" s="675"/>
      <c r="BV37" s="549"/>
      <c r="BW37" s="675"/>
      <c r="BX37" s="549"/>
      <c r="BY37" s="675"/>
      <c r="BZ37" s="549"/>
      <c r="CA37" s="675"/>
      <c r="CB37" s="549"/>
      <c r="CC37" s="675"/>
      <c r="CD37" s="549"/>
      <c r="CE37" s="675"/>
      <c r="CF37" s="549"/>
      <c r="CG37" s="675"/>
      <c r="CH37" s="549"/>
      <c r="CI37" s="675"/>
      <c r="CJ37" s="549"/>
      <c r="CK37" s="675"/>
      <c r="CL37" s="549"/>
      <c r="CM37" s="675"/>
      <c r="CN37" s="549"/>
      <c r="CO37" s="675"/>
      <c r="CP37" s="549"/>
      <c r="CQ37" s="675"/>
      <c r="CR37" s="549"/>
      <c r="CS37" s="675"/>
      <c r="CT37" s="549"/>
      <c r="CU37" s="675"/>
      <c r="CV37" s="549"/>
      <c r="CW37" s="675"/>
      <c r="CX37" s="549"/>
      <c r="CY37" s="675"/>
      <c r="CZ37" s="549"/>
      <c r="DA37" s="675"/>
      <c r="DB37" s="549"/>
      <c r="DC37" s="675"/>
      <c r="DD37" s="549"/>
      <c r="DE37" s="675"/>
      <c r="DF37" s="549"/>
      <c r="DG37" s="675"/>
      <c r="DH37" s="549"/>
      <c r="DI37" s="675"/>
      <c r="DJ37" s="549"/>
      <c r="DK37" s="675"/>
      <c r="DL37" s="549"/>
      <c r="DM37" s="675"/>
      <c r="DN37" s="549"/>
      <c r="DO37" s="675"/>
      <c r="DP37" s="549"/>
      <c r="DQ37" s="675"/>
      <c r="DR37" s="549"/>
      <c r="DS37" s="675"/>
      <c r="DT37" s="549"/>
      <c r="DU37" s="675"/>
      <c r="DV37" s="549"/>
      <c r="DW37" s="675"/>
      <c r="DX37" s="549"/>
      <c r="DY37" s="675"/>
      <c r="DZ37" s="549"/>
      <c r="EA37" s="675"/>
      <c r="EB37" s="549"/>
      <c r="EC37" s="675"/>
      <c r="ED37" s="549"/>
      <c r="EE37" s="675"/>
      <c r="EF37" s="549"/>
      <c r="EG37" s="675"/>
      <c r="EH37" s="549"/>
      <c r="EI37" s="675"/>
      <c r="EJ37" s="549"/>
      <c r="EK37" s="675"/>
      <c r="EL37" s="549"/>
      <c r="EM37" s="675"/>
      <c r="EN37" s="549"/>
      <c r="EO37" s="675"/>
      <c r="EP37" s="549"/>
      <c r="EQ37" s="675"/>
      <c r="ER37" s="549"/>
      <c r="ES37" s="675"/>
      <c r="ET37" s="549"/>
      <c r="EU37" s="675"/>
      <c r="EV37" s="549"/>
      <c r="EW37" s="675"/>
      <c r="EX37" s="549"/>
      <c r="EY37" s="675"/>
      <c r="EZ37" s="549"/>
      <c r="FA37" s="675"/>
      <c r="FB37" s="549"/>
      <c r="FC37" s="675"/>
      <c r="FD37" s="549"/>
      <c r="FE37" s="675"/>
      <c r="FF37" s="549"/>
      <c r="FG37" s="675"/>
      <c r="FH37" s="549"/>
      <c r="FI37" s="675"/>
      <c r="FJ37" s="549"/>
      <c r="FK37" s="675"/>
      <c r="FL37" s="549"/>
      <c r="FM37" s="675"/>
      <c r="FN37" s="549"/>
      <c r="FO37" s="675"/>
      <c r="FP37" s="549"/>
      <c r="FQ37" s="675"/>
      <c r="FR37" s="549"/>
      <c r="FS37" s="675"/>
      <c r="FT37" s="549"/>
      <c r="FU37" s="675"/>
      <c r="FV37" s="549"/>
      <c r="FW37" s="675"/>
      <c r="FX37" s="549"/>
      <c r="FY37" s="675"/>
      <c r="FZ37" s="549"/>
      <c r="GA37" s="675"/>
      <c r="GB37" s="549"/>
      <c r="GC37" s="675"/>
      <c r="GD37" s="549"/>
      <c r="GE37" s="675"/>
      <c r="GF37" s="549"/>
      <c r="GG37" s="675"/>
      <c r="GH37" s="549"/>
      <c r="GI37" s="675"/>
      <c r="GJ37" s="549"/>
      <c r="GK37" s="675"/>
      <c r="GL37" s="549"/>
      <c r="GM37" s="675"/>
      <c r="GN37" s="549"/>
      <c r="GO37" s="675"/>
      <c r="GP37" s="74"/>
      <c r="GQ37" s="675"/>
      <c r="GR37" s="74"/>
      <c r="GS37" s="74"/>
      <c r="GT37" s="549"/>
      <c r="GU37" s="74"/>
      <c r="GV37" s="74"/>
      <c r="GW37" s="549"/>
      <c r="GX37" s="549"/>
      <c r="GY37" s="74"/>
      <c r="GZ37" s="74"/>
      <c r="HA37" s="74"/>
      <c r="HB37" s="74"/>
      <c r="HC37" s="74"/>
      <c r="HD37" s="74"/>
      <c r="HE37" s="74"/>
      <c r="HF37" s="74"/>
      <c r="HG37" s="74"/>
      <c r="HH37" s="74"/>
      <c r="HI37" s="74"/>
      <c r="HJ37" s="74"/>
      <c r="HK37" s="74"/>
      <c r="HL37" s="74"/>
      <c r="HM37" s="74"/>
      <c r="HN37" s="74"/>
      <c r="HO37" s="74"/>
      <c r="HP37" s="74"/>
      <c r="HQ37" s="74"/>
      <c r="HR37" s="74"/>
      <c r="HS37" s="74"/>
      <c r="HT37" s="74"/>
      <c r="HU37" s="74"/>
      <c r="HV37" s="74"/>
      <c r="HW37" s="74"/>
      <c r="HX37" s="74"/>
      <c r="HY37" s="74"/>
      <c r="HZ37" s="74"/>
      <c r="IA37" s="74"/>
      <c r="IB37" s="74"/>
      <c r="IC37" s="74"/>
      <c r="ID37" s="74"/>
      <c r="IE37" s="792"/>
      <c r="IF37" s="841"/>
      <c r="IG37" s="263"/>
      <c r="IH37" s="842"/>
      <c r="II37" s="155"/>
      <c r="IJ37" s="74"/>
      <c r="IK37" s="74"/>
      <c r="IL37" s="74"/>
      <c r="IM37" s="74"/>
      <c r="IN37" s="74"/>
      <c r="IO37" s="74"/>
      <c r="IP37" s="74"/>
      <c r="IQ37" s="74"/>
      <c r="IR37" s="74"/>
      <c r="IS37" s="74"/>
      <c r="IT37" s="74"/>
      <c r="IU37" s="74"/>
      <c r="IV37" s="74"/>
      <c r="IW37" s="74"/>
      <c r="IX37" s="74"/>
      <c r="IY37" s="74"/>
      <c r="IZ37" s="74"/>
      <c r="JA37" s="74"/>
      <c r="JB37" s="74"/>
      <c r="JC37" s="74"/>
      <c r="JD37" s="74"/>
      <c r="JE37" s="74"/>
      <c r="JF37" s="74"/>
      <c r="JG37" s="74"/>
      <c r="JH37" s="74"/>
      <c r="JI37" s="74"/>
      <c r="JJ37" s="74"/>
      <c r="JK37" s="74"/>
      <c r="JL37" s="74"/>
      <c r="JM37" s="74"/>
      <c r="JN37" s="74"/>
      <c r="JO37" s="74"/>
      <c r="JP37" s="74"/>
      <c r="JQ37" s="74"/>
      <c r="JR37" s="74"/>
      <c r="JS37" s="74"/>
      <c r="JT37" s="102"/>
      <c r="JU37" s="671"/>
      <c r="JV37" s="492"/>
      <c r="JW37" s="490"/>
      <c r="JX37" s="549"/>
      <c r="JY37" s="549"/>
      <c r="JZ37" s="581">
        <f t="shared" si="42"/>
        <v>0</v>
      </c>
      <c r="KA37" s="581">
        <f t="shared" si="43"/>
        <v>0</v>
      </c>
      <c r="KB37" s="549"/>
      <c r="KC37" s="709">
        <f t="shared" si="41"/>
        <v>0</v>
      </c>
      <c r="KD37" s="135"/>
      <c r="KE37" s="136" t="s">
        <v>541</v>
      </c>
      <c r="KF37" s="136" t="e">
        <f>SUM(KF38:KF40)</f>
        <v>#REF!</v>
      </c>
      <c r="KG37" s="136" t="e">
        <f>SUM(KG39:KG40)</f>
        <v>#REF!</v>
      </c>
      <c r="KH37" s="136" t="e">
        <f>SUM(KH39:KH40)</f>
        <v>#REF!</v>
      </c>
      <c r="KI37" s="136" t="e">
        <f>SUM(KI38:KI40)</f>
        <v>#REF!</v>
      </c>
      <c r="KJ37" s="136" t="e">
        <f>SUM(KJ38:KJ40)</f>
        <v>#REF!</v>
      </c>
      <c r="KK37" s="136" t="e">
        <f>SUM(KK38:KK40)</f>
        <v>#REF!</v>
      </c>
    </row>
    <row r="38" spans="1:297" s="8" customFormat="1">
      <c r="A38" s="75" t="s">
        <v>533</v>
      </c>
      <c r="B38" s="72"/>
      <c r="C38" s="74">
        <f t="shared" ref="C38:E38" si="818">SUM(C39:C42)</f>
        <v>0</v>
      </c>
      <c r="D38" s="549">
        <f t="shared" si="818"/>
        <v>6453</v>
      </c>
      <c r="E38" s="675">
        <f t="shared" si="818"/>
        <v>0</v>
      </c>
      <c r="F38" s="549">
        <f t="shared" ref="F38:G38" si="819">SUM(F39:F42)</f>
        <v>0</v>
      </c>
      <c r="G38" s="675">
        <f t="shared" si="819"/>
        <v>0</v>
      </c>
      <c r="H38" s="549">
        <f t="shared" ref="H38:I38" si="820">SUM(H39:H42)</f>
        <v>30000</v>
      </c>
      <c r="I38" s="675">
        <f t="shared" si="820"/>
        <v>0</v>
      </c>
      <c r="J38" s="549">
        <f t="shared" ref="J38:K38" si="821">SUM(J39:J42)</f>
        <v>0</v>
      </c>
      <c r="K38" s="675">
        <f t="shared" si="821"/>
        <v>0</v>
      </c>
      <c r="L38" s="549">
        <f t="shared" ref="L38:M38" si="822">SUM(L39:L42)</f>
        <v>30000</v>
      </c>
      <c r="M38" s="675">
        <f t="shared" si="822"/>
        <v>0</v>
      </c>
      <c r="N38" s="549">
        <f t="shared" ref="N38:O38" si="823">SUM(N39:N42)</f>
        <v>0</v>
      </c>
      <c r="O38" s="675">
        <f t="shared" si="823"/>
        <v>0</v>
      </c>
      <c r="P38" s="549">
        <f t="shared" ref="P38:Q38" si="824">SUM(P39:P42)</f>
        <v>0</v>
      </c>
      <c r="Q38" s="675">
        <f t="shared" si="824"/>
        <v>0</v>
      </c>
      <c r="R38" s="549">
        <f t="shared" ref="R38:S38" si="825">SUM(R39:R42)</f>
        <v>0</v>
      </c>
      <c r="S38" s="675">
        <f t="shared" si="825"/>
        <v>0</v>
      </c>
      <c r="T38" s="549">
        <f t="shared" ref="T38:U38" si="826">SUM(T39:T42)</f>
        <v>0</v>
      </c>
      <c r="U38" s="675">
        <f t="shared" si="826"/>
        <v>0</v>
      </c>
      <c r="V38" s="549">
        <f t="shared" ref="V38:W38" si="827">SUM(V39:V42)</f>
        <v>0</v>
      </c>
      <c r="W38" s="675">
        <f t="shared" si="827"/>
        <v>0</v>
      </c>
      <c r="X38" s="549">
        <f t="shared" ref="X38:Y38" si="828">SUM(X39:X42)</f>
        <v>0</v>
      </c>
      <c r="Y38" s="675">
        <f t="shared" si="828"/>
        <v>0</v>
      </c>
      <c r="Z38" s="549">
        <f t="shared" ref="Z38:AA38" si="829">SUM(Z39:Z42)</f>
        <v>0</v>
      </c>
      <c r="AA38" s="675">
        <f t="shared" si="829"/>
        <v>0</v>
      </c>
      <c r="AB38" s="549">
        <f t="shared" ref="AB38:AC38" si="830">SUM(AB39:AB42)</f>
        <v>0</v>
      </c>
      <c r="AC38" s="675">
        <f t="shared" si="830"/>
        <v>0</v>
      </c>
      <c r="AD38" s="549">
        <f t="shared" ref="AD38:AE38" si="831">SUM(AD39:AD42)</f>
        <v>0</v>
      </c>
      <c r="AE38" s="675">
        <f t="shared" si="831"/>
        <v>0</v>
      </c>
      <c r="AF38" s="549">
        <f t="shared" ref="AF38:AI38" si="832">SUM(AF39:AF42)</f>
        <v>0</v>
      </c>
      <c r="AG38" s="675">
        <f t="shared" si="832"/>
        <v>0</v>
      </c>
      <c r="AH38" s="549">
        <f t="shared" si="832"/>
        <v>0</v>
      </c>
      <c r="AI38" s="675">
        <f t="shared" si="832"/>
        <v>0</v>
      </c>
      <c r="AJ38" s="549">
        <f t="shared" ref="AJ38:AK38" si="833">SUM(AJ39:AJ42)</f>
        <v>10300</v>
      </c>
      <c r="AK38" s="675">
        <f t="shared" si="833"/>
        <v>0</v>
      </c>
      <c r="AL38" s="549">
        <f t="shared" ref="AL38:AM38" si="834">SUM(AL39:AL42)</f>
        <v>0</v>
      </c>
      <c r="AM38" s="675">
        <f t="shared" si="834"/>
        <v>0</v>
      </c>
      <c r="AN38" s="549">
        <f t="shared" ref="AN38:AO38" si="835">SUM(AN39:AN42)</f>
        <v>0</v>
      </c>
      <c r="AO38" s="675">
        <f t="shared" si="835"/>
        <v>0</v>
      </c>
      <c r="AP38" s="549">
        <f t="shared" ref="AP38:AQ38" si="836">SUM(AP39:AP42)</f>
        <v>0</v>
      </c>
      <c r="AQ38" s="675">
        <f t="shared" si="836"/>
        <v>0</v>
      </c>
      <c r="AR38" s="549">
        <f t="shared" ref="AR38:AS38" si="837">SUM(AR39:AR42)</f>
        <v>0</v>
      </c>
      <c r="AS38" s="675">
        <f t="shared" si="837"/>
        <v>0</v>
      </c>
      <c r="AT38" s="549">
        <f t="shared" ref="AT38:AU38" si="838">SUM(AT39:AT42)</f>
        <v>0</v>
      </c>
      <c r="AU38" s="675">
        <f t="shared" si="838"/>
        <v>0</v>
      </c>
      <c r="AV38" s="549">
        <f t="shared" ref="AV38:AW38" si="839">SUM(AV39:AV42)</f>
        <v>78684</v>
      </c>
      <c r="AW38" s="675">
        <f t="shared" si="839"/>
        <v>0</v>
      </c>
      <c r="AX38" s="549">
        <f t="shared" ref="AX38:AY38" si="840">SUM(AX39:AX42)</f>
        <v>0</v>
      </c>
      <c r="AY38" s="675">
        <f t="shared" si="840"/>
        <v>0</v>
      </c>
      <c r="AZ38" s="549">
        <f t="shared" ref="AZ38:BA38" si="841">SUM(AZ39:AZ42)</f>
        <v>0</v>
      </c>
      <c r="BA38" s="675">
        <f t="shared" si="841"/>
        <v>0</v>
      </c>
      <c r="BB38" s="549">
        <f t="shared" ref="BB38:BC38" si="842">SUM(BB39:BB42)</f>
        <v>0</v>
      </c>
      <c r="BC38" s="675">
        <f t="shared" si="842"/>
        <v>0</v>
      </c>
      <c r="BD38" s="549">
        <f t="shared" ref="BD38:BE38" si="843">SUM(BD39:BD42)</f>
        <v>0</v>
      </c>
      <c r="BE38" s="675">
        <f t="shared" si="843"/>
        <v>0</v>
      </c>
      <c r="BF38" s="549">
        <f t="shared" ref="BF38:BG38" si="844">SUM(BF39:BF42)</f>
        <v>0</v>
      </c>
      <c r="BG38" s="675">
        <f t="shared" si="844"/>
        <v>0</v>
      </c>
      <c r="BH38" s="549">
        <f t="shared" ref="BH38:BI38" si="845">SUM(BH39:BH42)</f>
        <v>0</v>
      </c>
      <c r="BI38" s="675">
        <f t="shared" si="845"/>
        <v>0</v>
      </c>
      <c r="BJ38" s="549">
        <f t="shared" ref="BJ38:BK38" si="846">SUM(BJ39:BJ42)</f>
        <v>3000</v>
      </c>
      <c r="BK38" s="675">
        <f t="shared" si="846"/>
        <v>0</v>
      </c>
      <c r="BL38" s="549">
        <f t="shared" ref="BL38:BM38" si="847">SUM(BL39:BL42)</f>
        <v>3417</v>
      </c>
      <c r="BM38" s="675">
        <f t="shared" si="847"/>
        <v>0</v>
      </c>
      <c r="BN38" s="549">
        <f t="shared" ref="BN38:BO38" si="848">SUM(BN39:BN42)</f>
        <v>0</v>
      </c>
      <c r="BO38" s="675">
        <f t="shared" si="848"/>
        <v>0</v>
      </c>
      <c r="BP38" s="549">
        <f t="shared" ref="BP38:BQ38" si="849">SUM(BP39:BP42)</f>
        <v>0</v>
      </c>
      <c r="BQ38" s="675">
        <f t="shared" si="849"/>
        <v>0</v>
      </c>
      <c r="BR38" s="549">
        <f t="shared" ref="BR38:BS38" si="850">SUM(BR39:BR42)</f>
        <v>0</v>
      </c>
      <c r="BS38" s="675">
        <f t="shared" si="850"/>
        <v>0</v>
      </c>
      <c r="BT38" s="549">
        <f t="shared" ref="BT38:BU38" si="851">SUM(BT39:BT42)</f>
        <v>0</v>
      </c>
      <c r="BU38" s="675">
        <f t="shared" si="851"/>
        <v>0</v>
      </c>
      <c r="BV38" s="549">
        <f t="shared" ref="BV38:BW38" si="852">SUM(BV39:BV42)</f>
        <v>0</v>
      </c>
      <c r="BW38" s="675">
        <f t="shared" si="852"/>
        <v>0</v>
      </c>
      <c r="BX38" s="549">
        <f t="shared" ref="BX38:BY38" si="853">SUM(BX39:BX42)</f>
        <v>0</v>
      </c>
      <c r="BY38" s="675">
        <f t="shared" si="853"/>
        <v>0</v>
      </c>
      <c r="BZ38" s="549">
        <f t="shared" ref="BZ38:CA38" si="854">SUM(BZ39:BZ42)</f>
        <v>0</v>
      </c>
      <c r="CA38" s="675">
        <f t="shared" si="854"/>
        <v>0</v>
      </c>
      <c r="CB38" s="549">
        <f t="shared" ref="CB38:CC38" si="855">SUM(CB39:CB42)</f>
        <v>0</v>
      </c>
      <c r="CC38" s="675">
        <f t="shared" si="855"/>
        <v>0</v>
      </c>
      <c r="CD38" s="549">
        <f t="shared" ref="CD38:CE38" si="856">SUM(CD39:CD42)</f>
        <v>0</v>
      </c>
      <c r="CE38" s="675">
        <f t="shared" si="856"/>
        <v>0</v>
      </c>
      <c r="CF38" s="549">
        <f t="shared" ref="CF38:CG38" si="857">SUM(CF39:CF42)</f>
        <v>0</v>
      </c>
      <c r="CG38" s="675">
        <f t="shared" si="857"/>
        <v>0</v>
      </c>
      <c r="CH38" s="549">
        <f t="shared" ref="CH38:CI38" si="858">SUM(CH39:CH42)</f>
        <v>0</v>
      </c>
      <c r="CI38" s="675">
        <f t="shared" si="858"/>
        <v>0</v>
      </c>
      <c r="CJ38" s="549">
        <f t="shared" ref="CJ38:CK38" si="859">SUM(CJ39:CJ42)</f>
        <v>0</v>
      </c>
      <c r="CK38" s="675">
        <f t="shared" si="859"/>
        <v>0</v>
      </c>
      <c r="CL38" s="549">
        <f t="shared" ref="CL38:CM38" si="860">SUM(CL39:CL42)</f>
        <v>0</v>
      </c>
      <c r="CM38" s="675">
        <f t="shared" si="860"/>
        <v>0</v>
      </c>
      <c r="CN38" s="549">
        <f t="shared" ref="CN38:CO38" si="861">SUM(CN39:CN42)</f>
        <v>0</v>
      </c>
      <c r="CO38" s="675">
        <f t="shared" si="861"/>
        <v>0</v>
      </c>
      <c r="CP38" s="549">
        <f t="shared" ref="CP38:CQ38" si="862">SUM(CP39:CP42)</f>
        <v>0</v>
      </c>
      <c r="CQ38" s="675">
        <f t="shared" si="862"/>
        <v>0</v>
      </c>
      <c r="CR38" s="549">
        <f t="shared" ref="CR38:CS38" si="863">SUM(CR39:CR42)</f>
        <v>0</v>
      </c>
      <c r="CS38" s="675">
        <f t="shared" si="863"/>
        <v>0</v>
      </c>
      <c r="CT38" s="549">
        <f t="shared" ref="CT38:CU38" si="864">SUM(CT39:CT42)</f>
        <v>0</v>
      </c>
      <c r="CU38" s="675">
        <f t="shared" si="864"/>
        <v>0</v>
      </c>
      <c r="CV38" s="549">
        <f t="shared" ref="CV38:CW38" si="865">SUM(CV39:CV42)</f>
        <v>0</v>
      </c>
      <c r="CW38" s="675">
        <f t="shared" si="865"/>
        <v>0</v>
      </c>
      <c r="CX38" s="549">
        <f t="shared" ref="CX38:CY38" si="866">SUM(CX39:CX42)</f>
        <v>0</v>
      </c>
      <c r="CY38" s="675">
        <f t="shared" si="866"/>
        <v>0</v>
      </c>
      <c r="CZ38" s="549">
        <f t="shared" ref="CZ38:DI38" si="867">SUM(CZ39:CZ42)</f>
        <v>0</v>
      </c>
      <c r="DA38" s="675">
        <f t="shared" si="867"/>
        <v>0</v>
      </c>
      <c r="DB38" s="549">
        <f t="shared" si="867"/>
        <v>0</v>
      </c>
      <c r="DC38" s="675">
        <f t="shared" si="867"/>
        <v>0</v>
      </c>
      <c r="DD38" s="549">
        <f t="shared" si="867"/>
        <v>0</v>
      </c>
      <c r="DE38" s="675">
        <f t="shared" si="867"/>
        <v>0</v>
      </c>
      <c r="DF38" s="549">
        <f t="shared" si="867"/>
        <v>0</v>
      </c>
      <c r="DG38" s="675">
        <f t="shared" si="867"/>
        <v>0</v>
      </c>
      <c r="DH38" s="549">
        <f t="shared" si="867"/>
        <v>0</v>
      </c>
      <c r="DI38" s="675">
        <f t="shared" si="867"/>
        <v>0</v>
      </c>
      <c r="DJ38" s="549">
        <f t="shared" ref="DJ38:DK38" si="868">SUM(DJ39:DJ42)</f>
        <v>0</v>
      </c>
      <c r="DK38" s="675">
        <f t="shared" si="868"/>
        <v>0</v>
      </c>
      <c r="DL38" s="549">
        <f t="shared" ref="DL38:DM38" si="869">SUM(DL39:DL42)</f>
        <v>0</v>
      </c>
      <c r="DM38" s="675">
        <f t="shared" si="869"/>
        <v>0</v>
      </c>
      <c r="DN38" s="549">
        <f t="shared" ref="DN38:DW38" si="870">SUM(DN39:DN42)</f>
        <v>0</v>
      </c>
      <c r="DO38" s="675">
        <f t="shared" si="870"/>
        <v>0</v>
      </c>
      <c r="DP38" s="549">
        <f t="shared" si="870"/>
        <v>0</v>
      </c>
      <c r="DQ38" s="675">
        <f t="shared" si="870"/>
        <v>0</v>
      </c>
      <c r="DR38" s="549">
        <f t="shared" si="870"/>
        <v>0</v>
      </c>
      <c r="DS38" s="675">
        <f t="shared" si="870"/>
        <v>0</v>
      </c>
      <c r="DT38" s="549">
        <f t="shared" si="870"/>
        <v>0</v>
      </c>
      <c r="DU38" s="675">
        <f t="shared" si="870"/>
        <v>0</v>
      </c>
      <c r="DV38" s="549">
        <f t="shared" si="870"/>
        <v>0</v>
      </c>
      <c r="DW38" s="675">
        <f t="shared" si="870"/>
        <v>0</v>
      </c>
      <c r="DX38" s="549">
        <f t="shared" ref="DX38:EG38" si="871">SUM(DX39:DX42)</f>
        <v>0</v>
      </c>
      <c r="DY38" s="675">
        <f t="shared" si="871"/>
        <v>0</v>
      </c>
      <c r="DZ38" s="549">
        <f t="shared" si="871"/>
        <v>0</v>
      </c>
      <c r="EA38" s="675">
        <f t="shared" si="871"/>
        <v>0</v>
      </c>
      <c r="EB38" s="549">
        <f t="shared" si="871"/>
        <v>0</v>
      </c>
      <c r="EC38" s="675">
        <f t="shared" si="871"/>
        <v>0</v>
      </c>
      <c r="ED38" s="549">
        <f t="shared" si="871"/>
        <v>0</v>
      </c>
      <c r="EE38" s="675">
        <f t="shared" si="871"/>
        <v>0</v>
      </c>
      <c r="EF38" s="549">
        <f t="shared" si="871"/>
        <v>65995</v>
      </c>
      <c r="EG38" s="675">
        <f t="shared" si="871"/>
        <v>0</v>
      </c>
      <c r="EH38" s="549">
        <f t="shared" ref="EH38:EM38" si="872">SUM(EH39:EH42)</f>
        <v>0</v>
      </c>
      <c r="EI38" s="675">
        <f t="shared" si="872"/>
        <v>0</v>
      </c>
      <c r="EJ38" s="549">
        <f t="shared" si="872"/>
        <v>0</v>
      </c>
      <c r="EK38" s="675">
        <f t="shared" si="872"/>
        <v>0</v>
      </c>
      <c r="EL38" s="549">
        <f t="shared" si="872"/>
        <v>0</v>
      </c>
      <c r="EM38" s="675">
        <f t="shared" si="872"/>
        <v>0</v>
      </c>
      <c r="EN38" s="549">
        <f t="shared" ref="EN38:EO38" si="873">SUM(EN39:EN42)</f>
        <v>0</v>
      </c>
      <c r="EO38" s="675">
        <f t="shared" si="873"/>
        <v>0</v>
      </c>
      <c r="EP38" s="549">
        <f t="shared" ref="EP38:FA38" si="874">SUM(EP39:EP42)</f>
        <v>0</v>
      </c>
      <c r="EQ38" s="675">
        <f t="shared" si="874"/>
        <v>0</v>
      </c>
      <c r="ER38" s="549">
        <f t="shared" si="874"/>
        <v>0</v>
      </c>
      <c r="ES38" s="675">
        <f t="shared" si="874"/>
        <v>0</v>
      </c>
      <c r="ET38" s="549">
        <f t="shared" si="874"/>
        <v>0</v>
      </c>
      <c r="EU38" s="675">
        <f t="shared" si="874"/>
        <v>0</v>
      </c>
      <c r="EV38" s="549">
        <f t="shared" ref="EV38:EW38" si="875">SUM(EV39:EV42)</f>
        <v>0</v>
      </c>
      <c r="EW38" s="675">
        <f t="shared" si="875"/>
        <v>0</v>
      </c>
      <c r="EX38" s="549">
        <f t="shared" si="874"/>
        <v>0</v>
      </c>
      <c r="EY38" s="675">
        <f t="shared" si="874"/>
        <v>0</v>
      </c>
      <c r="EZ38" s="549">
        <f t="shared" si="874"/>
        <v>0</v>
      </c>
      <c r="FA38" s="675">
        <f t="shared" si="874"/>
        <v>0</v>
      </c>
      <c r="FB38" s="549">
        <f t="shared" ref="FB38:FC38" si="876">SUM(FB39:FB42)</f>
        <v>0</v>
      </c>
      <c r="FC38" s="675">
        <f t="shared" si="876"/>
        <v>0</v>
      </c>
      <c r="FD38" s="549">
        <f t="shared" ref="FD38:FE38" si="877">SUM(FD39:FD42)</f>
        <v>0</v>
      </c>
      <c r="FE38" s="675">
        <f t="shared" si="877"/>
        <v>0</v>
      </c>
      <c r="FF38" s="549">
        <f t="shared" ref="FF38:FG38" si="878">SUM(FF39:FF42)</f>
        <v>1800</v>
      </c>
      <c r="FG38" s="675">
        <f t="shared" si="878"/>
        <v>0</v>
      </c>
      <c r="FH38" s="549">
        <f t="shared" ref="FH38:FI38" si="879">SUM(FH39:FH42)</f>
        <v>0</v>
      </c>
      <c r="FI38" s="675">
        <f t="shared" si="879"/>
        <v>0</v>
      </c>
      <c r="FJ38" s="549">
        <f t="shared" ref="FJ38:FK38" si="880">SUM(FJ39:FJ42)</f>
        <v>0</v>
      </c>
      <c r="FK38" s="675">
        <f t="shared" si="880"/>
        <v>0</v>
      </c>
      <c r="FL38" s="549">
        <f t="shared" ref="FL38:FM38" si="881">SUM(FL39:FL42)</f>
        <v>0</v>
      </c>
      <c r="FM38" s="675">
        <f t="shared" si="881"/>
        <v>0</v>
      </c>
      <c r="FN38" s="549">
        <f t="shared" ref="FN38:FO38" si="882">SUM(FN39:FN42)</f>
        <v>0</v>
      </c>
      <c r="FO38" s="675">
        <f t="shared" si="882"/>
        <v>0</v>
      </c>
      <c r="FP38" s="549">
        <f t="shared" ref="FP38:FQ38" si="883">SUM(FP39:FP42)</f>
        <v>10000</v>
      </c>
      <c r="FQ38" s="675">
        <f t="shared" si="883"/>
        <v>0</v>
      </c>
      <c r="FR38" s="549">
        <f t="shared" ref="FR38:FS38" si="884">SUM(FR39:FR42)</f>
        <v>0</v>
      </c>
      <c r="FS38" s="675">
        <f t="shared" si="884"/>
        <v>0</v>
      </c>
      <c r="FT38" s="549">
        <f t="shared" ref="FT38:FU38" si="885">SUM(FT39:FT42)</f>
        <v>0</v>
      </c>
      <c r="FU38" s="675">
        <f t="shared" si="885"/>
        <v>0</v>
      </c>
      <c r="FV38" s="549">
        <f t="shared" ref="FV38:GK38" si="886">SUM(FV39:FV42)</f>
        <v>6976</v>
      </c>
      <c r="FW38" s="675">
        <f t="shared" si="886"/>
        <v>0</v>
      </c>
      <c r="FX38" s="549">
        <f t="shared" si="886"/>
        <v>0</v>
      </c>
      <c r="FY38" s="675">
        <f t="shared" si="886"/>
        <v>0</v>
      </c>
      <c r="FZ38" s="549">
        <f t="shared" ref="FZ38:GI38" si="887">SUM(FZ39:FZ42)</f>
        <v>0</v>
      </c>
      <c r="GA38" s="675">
        <f t="shared" si="887"/>
        <v>0</v>
      </c>
      <c r="GB38" s="549">
        <f t="shared" si="887"/>
        <v>0</v>
      </c>
      <c r="GC38" s="675">
        <f t="shared" si="887"/>
        <v>0</v>
      </c>
      <c r="GD38" s="549">
        <f t="shared" si="887"/>
        <v>0</v>
      </c>
      <c r="GE38" s="675">
        <f t="shared" si="887"/>
        <v>0</v>
      </c>
      <c r="GF38" s="549">
        <f t="shared" si="887"/>
        <v>0</v>
      </c>
      <c r="GG38" s="675">
        <f t="shared" si="887"/>
        <v>0</v>
      </c>
      <c r="GH38" s="549">
        <f t="shared" si="887"/>
        <v>0</v>
      </c>
      <c r="GI38" s="675">
        <f t="shared" si="887"/>
        <v>0</v>
      </c>
      <c r="GJ38" s="549">
        <f t="shared" si="886"/>
        <v>0</v>
      </c>
      <c r="GK38" s="675">
        <f t="shared" si="886"/>
        <v>0</v>
      </c>
      <c r="GL38" s="549">
        <f t="shared" ref="GL38:GQ38" si="888">SUM(GL39:GL42)</f>
        <v>0</v>
      </c>
      <c r="GM38" s="675">
        <f t="shared" si="888"/>
        <v>0</v>
      </c>
      <c r="GN38" s="549">
        <f t="shared" ref="GN38:GO38" si="889">SUM(GN39:GN42)</f>
        <v>0</v>
      </c>
      <c r="GO38" s="675">
        <f t="shared" si="889"/>
        <v>0</v>
      </c>
      <c r="GP38" s="74">
        <f t="shared" si="888"/>
        <v>246625</v>
      </c>
      <c r="GQ38" s="675">
        <f t="shared" si="888"/>
        <v>0</v>
      </c>
      <c r="GR38" s="74">
        <f t="shared" ref="GR38:HJ38" si="890">SUM(GR39:GR42)</f>
        <v>246625</v>
      </c>
      <c r="GS38" s="74">
        <f>SUM(GS39:GS42)</f>
        <v>246625</v>
      </c>
      <c r="GT38" s="549">
        <f t="shared" si="890"/>
        <v>246625</v>
      </c>
      <c r="GU38" s="74">
        <f>SUM(GU39:GU42)</f>
        <v>0</v>
      </c>
      <c r="GV38" s="74">
        <f t="shared" ref="GV38:HA38" si="891">SUM(GV39:GV42)</f>
        <v>0</v>
      </c>
      <c r="GW38" s="74">
        <f t="shared" si="891"/>
        <v>0</v>
      </c>
      <c r="GX38" s="74">
        <f t="shared" si="891"/>
        <v>0</v>
      </c>
      <c r="GY38" s="74">
        <f t="shared" si="891"/>
        <v>0</v>
      </c>
      <c r="GZ38" s="74">
        <f t="shared" si="891"/>
        <v>0</v>
      </c>
      <c r="HA38" s="74">
        <f t="shared" si="891"/>
        <v>0</v>
      </c>
      <c r="HB38" s="74">
        <f t="shared" si="890"/>
        <v>0</v>
      </c>
      <c r="HC38" s="74">
        <f t="shared" si="890"/>
        <v>0</v>
      </c>
      <c r="HD38" s="74">
        <f t="shared" si="890"/>
        <v>0</v>
      </c>
      <c r="HE38" s="74">
        <f t="shared" si="890"/>
        <v>0</v>
      </c>
      <c r="HF38" s="74">
        <f t="shared" si="890"/>
        <v>0</v>
      </c>
      <c r="HG38" s="74">
        <f t="shared" si="890"/>
        <v>246625</v>
      </c>
      <c r="HH38" s="74">
        <f t="shared" si="890"/>
        <v>0</v>
      </c>
      <c r="HI38" s="74">
        <f t="shared" si="890"/>
        <v>0</v>
      </c>
      <c r="HJ38" s="74">
        <f t="shared" si="890"/>
        <v>0</v>
      </c>
      <c r="HK38" s="74">
        <f t="shared" ref="HK38:IP38" si="892">SUM(HK39:HK42)</f>
        <v>0</v>
      </c>
      <c r="HL38" s="74">
        <f t="shared" si="892"/>
        <v>0</v>
      </c>
      <c r="HM38" s="74">
        <f t="shared" si="892"/>
        <v>0</v>
      </c>
      <c r="HN38" s="74">
        <f t="shared" si="892"/>
        <v>0</v>
      </c>
      <c r="HO38" s="74">
        <f t="shared" si="892"/>
        <v>0</v>
      </c>
      <c r="HP38" s="74">
        <f t="shared" si="892"/>
        <v>0</v>
      </c>
      <c r="HQ38" s="74">
        <f t="shared" si="892"/>
        <v>0</v>
      </c>
      <c r="HR38" s="74">
        <f t="shared" si="892"/>
        <v>0</v>
      </c>
      <c r="HS38" s="74">
        <f t="shared" si="892"/>
        <v>0</v>
      </c>
      <c r="HT38" s="74">
        <f t="shared" si="892"/>
        <v>0</v>
      </c>
      <c r="HU38" s="74">
        <f t="shared" si="892"/>
        <v>0</v>
      </c>
      <c r="HV38" s="74">
        <f t="shared" si="892"/>
        <v>0</v>
      </c>
      <c r="HW38" s="74">
        <f t="shared" si="892"/>
        <v>0</v>
      </c>
      <c r="HX38" s="74">
        <f t="shared" si="892"/>
        <v>0</v>
      </c>
      <c r="HY38" s="74">
        <f t="shared" si="892"/>
        <v>0</v>
      </c>
      <c r="HZ38" s="74">
        <f t="shared" si="892"/>
        <v>5217</v>
      </c>
      <c r="IA38" s="74">
        <f t="shared" si="892"/>
        <v>0</v>
      </c>
      <c r="IB38" s="74">
        <f t="shared" si="892"/>
        <v>0</v>
      </c>
      <c r="IC38" s="74">
        <f t="shared" si="892"/>
        <v>0</v>
      </c>
      <c r="ID38" s="74">
        <f t="shared" si="892"/>
        <v>0</v>
      </c>
      <c r="IE38" s="792">
        <f t="shared" si="892"/>
        <v>0</v>
      </c>
      <c r="IF38" s="841">
        <f t="shared" si="892"/>
        <v>224935.18</v>
      </c>
      <c r="IG38" s="263">
        <f t="shared" si="892"/>
        <v>224935.18</v>
      </c>
      <c r="IH38" s="842">
        <f t="shared" si="892"/>
        <v>224935.18</v>
      </c>
      <c r="II38" s="155">
        <f t="shared" si="892"/>
        <v>0</v>
      </c>
      <c r="IJ38" s="74">
        <f t="shared" si="892"/>
        <v>0</v>
      </c>
      <c r="IK38" s="74">
        <f t="shared" si="892"/>
        <v>0</v>
      </c>
      <c r="IL38" s="74">
        <f t="shared" si="892"/>
        <v>6453</v>
      </c>
      <c r="IM38" s="74">
        <f t="shared" si="892"/>
        <v>6453</v>
      </c>
      <c r="IN38" s="74">
        <f t="shared" si="892"/>
        <v>6453</v>
      </c>
      <c r="IO38" s="74">
        <f t="shared" si="892"/>
        <v>41291.649999999994</v>
      </c>
      <c r="IP38" s="74">
        <f t="shared" si="892"/>
        <v>41291.649999999994</v>
      </c>
      <c r="IQ38" s="74">
        <f t="shared" ref="IQ38:JT38" si="893">SUM(IQ39:IQ42)</f>
        <v>41291.649999999994</v>
      </c>
      <c r="IR38" s="74">
        <f t="shared" si="893"/>
        <v>1172.8500000000022</v>
      </c>
      <c r="IS38" s="74">
        <f t="shared" si="893"/>
        <v>1172.8500000000022</v>
      </c>
      <c r="IT38" s="74">
        <f t="shared" si="893"/>
        <v>1172.8500000000022</v>
      </c>
      <c r="IU38" s="74">
        <f t="shared" si="893"/>
        <v>42551.83</v>
      </c>
      <c r="IV38" s="74">
        <f t="shared" si="893"/>
        <v>42551.83</v>
      </c>
      <c r="IW38" s="74">
        <f t="shared" si="893"/>
        <v>42551.83</v>
      </c>
      <c r="IX38" s="74">
        <f t="shared" si="893"/>
        <v>28823.199999999997</v>
      </c>
      <c r="IY38" s="74">
        <f t="shared" si="893"/>
        <v>28823.199999999997</v>
      </c>
      <c r="IZ38" s="74">
        <f t="shared" si="893"/>
        <v>28823.199999999997</v>
      </c>
      <c r="JA38" s="74">
        <f t="shared" si="893"/>
        <v>21255.25</v>
      </c>
      <c r="JB38" s="74">
        <f t="shared" si="893"/>
        <v>21255.25</v>
      </c>
      <c r="JC38" s="74">
        <f t="shared" si="893"/>
        <v>21255.25</v>
      </c>
      <c r="JD38" s="74">
        <f t="shared" si="893"/>
        <v>0</v>
      </c>
      <c r="JE38" s="74">
        <f t="shared" si="893"/>
        <v>0</v>
      </c>
      <c r="JF38" s="74">
        <f t="shared" si="893"/>
        <v>0</v>
      </c>
      <c r="JG38" s="74">
        <f t="shared" si="893"/>
        <v>54968.390000000007</v>
      </c>
      <c r="JH38" s="74">
        <f t="shared" si="893"/>
        <v>54968.390000000007</v>
      </c>
      <c r="JI38" s="74">
        <f t="shared" si="893"/>
        <v>54968.390000000007</v>
      </c>
      <c r="JJ38" s="74">
        <f t="shared" si="893"/>
        <v>28419.009999999995</v>
      </c>
      <c r="JK38" s="74">
        <f t="shared" si="893"/>
        <v>28419.009999999995</v>
      </c>
      <c r="JL38" s="74">
        <f t="shared" si="893"/>
        <v>28419.009999999995</v>
      </c>
      <c r="JM38" s="74">
        <f t="shared" si="893"/>
        <v>0</v>
      </c>
      <c r="JN38" s="74">
        <f t="shared" si="893"/>
        <v>0</v>
      </c>
      <c r="JO38" s="74">
        <f t="shared" si="893"/>
        <v>0</v>
      </c>
      <c r="JP38" s="74">
        <f t="shared" si="893"/>
        <v>0</v>
      </c>
      <c r="JQ38" s="74">
        <f t="shared" si="893"/>
        <v>0</v>
      </c>
      <c r="JR38" s="74">
        <f t="shared" si="893"/>
        <v>0</v>
      </c>
      <c r="JS38" s="74">
        <f t="shared" si="893"/>
        <v>21689.82</v>
      </c>
      <c r="JT38" s="102">
        <f t="shared" si="893"/>
        <v>21689.82</v>
      </c>
      <c r="JU38" s="671"/>
      <c r="JV38" s="492"/>
      <c r="JW38" s="490"/>
      <c r="JX38" s="549">
        <f>SUM(JX39:JX42)</f>
        <v>5217</v>
      </c>
      <c r="JY38" s="549">
        <f>SUM(JY39:JY42)</f>
        <v>0</v>
      </c>
      <c r="JZ38" s="581">
        <f t="shared" si="42"/>
        <v>246625</v>
      </c>
      <c r="KA38" s="581">
        <f t="shared" si="43"/>
        <v>0</v>
      </c>
      <c r="KB38" s="549">
        <f>SUM(KB39:KB42)</f>
        <v>246625</v>
      </c>
      <c r="KC38" s="709">
        <f t="shared" si="41"/>
        <v>0</v>
      </c>
      <c r="KD38" s="126" t="s">
        <v>55</v>
      </c>
      <c r="KE38" s="127" t="s">
        <v>526</v>
      </c>
      <c r="KF38" s="127" t="e">
        <f>$C$369+$C$614+#REF!</f>
        <v>#REF!</v>
      </c>
      <c r="KG38" s="127"/>
      <c r="KH38" s="127"/>
      <c r="KI38" s="127" t="e">
        <f>#REF!+#REF!+#REF!+$GQ$369+$GQ$614+#REF!</f>
        <v>#REF!</v>
      </c>
      <c r="KJ38" s="127" t="e">
        <f>$GR$369+$GR$614+#REF!</f>
        <v>#REF!</v>
      </c>
      <c r="KK38" s="127" t="e">
        <f>$HG$369+$HG$614+#REF!</f>
        <v>#REF!</v>
      </c>
    </row>
    <row r="39" spans="1:297" s="8" customFormat="1">
      <c r="A39" s="75" t="s">
        <v>79</v>
      </c>
      <c r="B39" s="72"/>
      <c r="C39" s="74">
        <f>C268+C601+C572</f>
        <v>0</v>
      </c>
      <c r="D39" s="74">
        <f t="shared" ref="D39:BI39" si="894">D268+D601+D572</f>
        <v>6453</v>
      </c>
      <c r="E39" s="74">
        <f t="shared" si="894"/>
        <v>0</v>
      </c>
      <c r="F39" s="74">
        <f t="shared" si="894"/>
        <v>0</v>
      </c>
      <c r="G39" s="74">
        <f t="shared" si="894"/>
        <v>0</v>
      </c>
      <c r="H39" s="74">
        <f t="shared" si="894"/>
        <v>30000</v>
      </c>
      <c r="I39" s="74">
        <f t="shared" si="894"/>
        <v>0</v>
      </c>
      <c r="J39" s="74">
        <f t="shared" si="894"/>
        <v>0</v>
      </c>
      <c r="K39" s="74">
        <f t="shared" si="894"/>
        <v>0</v>
      </c>
      <c r="L39" s="74">
        <f t="shared" si="894"/>
        <v>30000</v>
      </c>
      <c r="M39" s="74">
        <f t="shared" si="894"/>
        <v>0</v>
      </c>
      <c r="N39" s="74">
        <f t="shared" si="894"/>
        <v>0</v>
      </c>
      <c r="O39" s="74">
        <f t="shared" si="894"/>
        <v>0</v>
      </c>
      <c r="P39" s="74">
        <f t="shared" si="894"/>
        <v>0</v>
      </c>
      <c r="Q39" s="74">
        <f t="shared" si="894"/>
        <v>0</v>
      </c>
      <c r="R39" s="74">
        <f t="shared" si="894"/>
        <v>0</v>
      </c>
      <c r="S39" s="74">
        <f t="shared" si="894"/>
        <v>0</v>
      </c>
      <c r="T39" s="74">
        <f t="shared" si="894"/>
        <v>0</v>
      </c>
      <c r="U39" s="74">
        <f t="shared" si="894"/>
        <v>0</v>
      </c>
      <c r="V39" s="74">
        <f t="shared" si="894"/>
        <v>0</v>
      </c>
      <c r="W39" s="74">
        <f t="shared" si="894"/>
        <v>0</v>
      </c>
      <c r="X39" s="74">
        <f t="shared" si="894"/>
        <v>0</v>
      </c>
      <c r="Y39" s="74">
        <f t="shared" si="894"/>
        <v>0</v>
      </c>
      <c r="Z39" s="74">
        <f t="shared" si="894"/>
        <v>0</v>
      </c>
      <c r="AA39" s="74">
        <f t="shared" si="894"/>
        <v>0</v>
      </c>
      <c r="AB39" s="74">
        <f t="shared" si="894"/>
        <v>0</v>
      </c>
      <c r="AC39" s="74">
        <f t="shared" si="894"/>
        <v>0</v>
      </c>
      <c r="AD39" s="74">
        <f t="shared" si="894"/>
        <v>0</v>
      </c>
      <c r="AE39" s="74">
        <f t="shared" si="894"/>
        <v>0</v>
      </c>
      <c r="AF39" s="74">
        <f t="shared" si="894"/>
        <v>0</v>
      </c>
      <c r="AG39" s="74">
        <f t="shared" si="894"/>
        <v>0</v>
      </c>
      <c r="AH39" s="74">
        <f t="shared" si="894"/>
        <v>0</v>
      </c>
      <c r="AI39" s="74">
        <f t="shared" si="894"/>
        <v>0</v>
      </c>
      <c r="AJ39" s="74">
        <f t="shared" si="894"/>
        <v>0</v>
      </c>
      <c r="AK39" s="74">
        <f t="shared" si="894"/>
        <v>0</v>
      </c>
      <c r="AL39" s="74">
        <f t="shared" si="894"/>
        <v>0</v>
      </c>
      <c r="AM39" s="74">
        <f t="shared" si="894"/>
        <v>0</v>
      </c>
      <c r="AN39" s="74">
        <f t="shared" si="894"/>
        <v>0</v>
      </c>
      <c r="AO39" s="74">
        <f t="shared" si="894"/>
        <v>0</v>
      </c>
      <c r="AP39" s="74">
        <f t="shared" si="894"/>
        <v>0</v>
      </c>
      <c r="AQ39" s="74">
        <f t="shared" si="894"/>
        <v>0</v>
      </c>
      <c r="AR39" s="74">
        <f t="shared" si="894"/>
        <v>0</v>
      </c>
      <c r="AS39" s="74">
        <f t="shared" si="894"/>
        <v>0</v>
      </c>
      <c r="AT39" s="74">
        <f t="shared" si="894"/>
        <v>0</v>
      </c>
      <c r="AU39" s="74">
        <f t="shared" si="894"/>
        <v>0</v>
      </c>
      <c r="AV39" s="74">
        <f t="shared" si="894"/>
        <v>78684</v>
      </c>
      <c r="AW39" s="74">
        <f t="shared" si="894"/>
        <v>0</v>
      </c>
      <c r="AX39" s="74">
        <f t="shared" si="894"/>
        <v>0</v>
      </c>
      <c r="AY39" s="74">
        <f t="shared" si="894"/>
        <v>0</v>
      </c>
      <c r="AZ39" s="74">
        <f t="shared" si="894"/>
        <v>0</v>
      </c>
      <c r="BA39" s="74">
        <f t="shared" si="894"/>
        <v>0</v>
      </c>
      <c r="BB39" s="549">
        <f t="shared" si="894"/>
        <v>0</v>
      </c>
      <c r="BC39" s="675">
        <f t="shared" si="894"/>
        <v>0</v>
      </c>
      <c r="BD39" s="74">
        <f t="shared" si="894"/>
        <v>0</v>
      </c>
      <c r="BE39" s="74">
        <f t="shared" si="894"/>
        <v>0</v>
      </c>
      <c r="BF39" s="74">
        <f t="shared" si="894"/>
        <v>0</v>
      </c>
      <c r="BG39" s="74">
        <f t="shared" si="894"/>
        <v>0</v>
      </c>
      <c r="BH39" s="74">
        <f t="shared" si="894"/>
        <v>0</v>
      </c>
      <c r="BI39" s="74">
        <f t="shared" si="894"/>
        <v>0</v>
      </c>
      <c r="BJ39" s="549">
        <f t="shared" ref="BJ39:DU39" si="895">BJ268+BJ601+BJ572</f>
        <v>0</v>
      </c>
      <c r="BK39" s="675">
        <f t="shared" si="895"/>
        <v>0</v>
      </c>
      <c r="BL39" s="549">
        <f t="shared" si="895"/>
        <v>0</v>
      </c>
      <c r="BM39" s="675">
        <f t="shared" si="895"/>
        <v>0</v>
      </c>
      <c r="BN39" s="549">
        <f t="shared" si="895"/>
        <v>0</v>
      </c>
      <c r="BO39" s="675">
        <f t="shared" si="895"/>
        <v>0</v>
      </c>
      <c r="BP39" s="549">
        <f t="shared" si="895"/>
        <v>0</v>
      </c>
      <c r="BQ39" s="675">
        <f t="shared" si="895"/>
        <v>0</v>
      </c>
      <c r="BR39" s="549">
        <f t="shared" si="895"/>
        <v>0</v>
      </c>
      <c r="BS39" s="675">
        <f t="shared" si="895"/>
        <v>0</v>
      </c>
      <c r="BT39" s="549">
        <f t="shared" si="895"/>
        <v>0</v>
      </c>
      <c r="BU39" s="675">
        <f t="shared" si="895"/>
        <v>0</v>
      </c>
      <c r="BV39" s="549">
        <f t="shared" si="895"/>
        <v>0</v>
      </c>
      <c r="BW39" s="675">
        <f t="shared" si="895"/>
        <v>0</v>
      </c>
      <c r="BX39" s="549">
        <f t="shared" si="895"/>
        <v>0</v>
      </c>
      <c r="BY39" s="675">
        <f t="shared" si="895"/>
        <v>0</v>
      </c>
      <c r="BZ39" s="549">
        <f t="shared" si="895"/>
        <v>0</v>
      </c>
      <c r="CA39" s="675">
        <f t="shared" si="895"/>
        <v>0</v>
      </c>
      <c r="CB39" s="549">
        <f t="shared" si="895"/>
        <v>0</v>
      </c>
      <c r="CC39" s="675">
        <f t="shared" si="895"/>
        <v>0</v>
      </c>
      <c r="CD39" s="549">
        <f t="shared" si="895"/>
        <v>0</v>
      </c>
      <c r="CE39" s="675">
        <f t="shared" si="895"/>
        <v>0</v>
      </c>
      <c r="CF39" s="549">
        <f t="shared" si="895"/>
        <v>0</v>
      </c>
      <c r="CG39" s="675">
        <f t="shared" si="895"/>
        <v>0</v>
      </c>
      <c r="CH39" s="549">
        <f t="shared" si="895"/>
        <v>0</v>
      </c>
      <c r="CI39" s="675">
        <f t="shared" si="895"/>
        <v>0</v>
      </c>
      <c r="CJ39" s="549">
        <f t="shared" si="895"/>
        <v>0</v>
      </c>
      <c r="CK39" s="675">
        <f t="shared" si="895"/>
        <v>0</v>
      </c>
      <c r="CL39" s="549">
        <f t="shared" si="895"/>
        <v>0</v>
      </c>
      <c r="CM39" s="675">
        <f t="shared" si="895"/>
        <v>0</v>
      </c>
      <c r="CN39" s="549">
        <f t="shared" si="895"/>
        <v>0</v>
      </c>
      <c r="CO39" s="675">
        <f t="shared" si="895"/>
        <v>0</v>
      </c>
      <c r="CP39" s="549">
        <f t="shared" si="895"/>
        <v>0</v>
      </c>
      <c r="CQ39" s="675">
        <f t="shared" si="895"/>
        <v>0</v>
      </c>
      <c r="CR39" s="549">
        <f t="shared" si="895"/>
        <v>0</v>
      </c>
      <c r="CS39" s="675">
        <f t="shared" si="895"/>
        <v>0</v>
      </c>
      <c r="CT39" s="549">
        <f t="shared" si="895"/>
        <v>0</v>
      </c>
      <c r="CU39" s="675">
        <f t="shared" si="895"/>
        <v>0</v>
      </c>
      <c r="CV39" s="549">
        <f t="shared" si="895"/>
        <v>0</v>
      </c>
      <c r="CW39" s="675">
        <f t="shared" si="895"/>
        <v>0</v>
      </c>
      <c r="CX39" s="549">
        <f t="shared" si="895"/>
        <v>0</v>
      </c>
      <c r="CY39" s="675">
        <f t="shared" si="895"/>
        <v>0</v>
      </c>
      <c r="CZ39" s="549">
        <f t="shared" si="895"/>
        <v>0</v>
      </c>
      <c r="DA39" s="675">
        <f t="shared" si="895"/>
        <v>0</v>
      </c>
      <c r="DB39" s="549">
        <f t="shared" si="895"/>
        <v>0</v>
      </c>
      <c r="DC39" s="675">
        <f t="shared" si="895"/>
        <v>0</v>
      </c>
      <c r="DD39" s="549">
        <f t="shared" si="895"/>
        <v>0</v>
      </c>
      <c r="DE39" s="675">
        <f t="shared" si="895"/>
        <v>0</v>
      </c>
      <c r="DF39" s="549">
        <f t="shared" si="895"/>
        <v>0</v>
      </c>
      <c r="DG39" s="675">
        <f t="shared" si="895"/>
        <v>0</v>
      </c>
      <c r="DH39" s="549">
        <f t="shared" si="895"/>
        <v>0</v>
      </c>
      <c r="DI39" s="675">
        <f t="shared" si="895"/>
        <v>0</v>
      </c>
      <c r="DJ39" s="549">
        <f t="shared" si="895"/>
        <v>0</v>
      </c>
      <c r="DK39" s="675">
        <f t="shared" si="895"/>
        <v>0</v>
      </c>
      <c r="DL39" s="549">
        <f t="shared" si="895"/>
        <v>0</v>
      </c>
      <c r="DM39" s="675">
        <f t="shared" si="895"/>
        <v>0</v>
      </c>
      <c r="DN39" s="549">
        <f t="shared" si="895"/>
        <v>0</v>
      </c>
      <c r="DO39" s="675">
        <f t="shared" si="895"/>
        <v>0</v>
      </c>
      <c r="DP39" s="549">
        <f t="shared" si="895"/>
        <v>0</v>
      </c>
      <c r="DQ39" s="675">
        <f t="shared" si="895"/>
        <v>0</v>
      </c>
      <c r="DR39" s="549">
        <f t="shared" si="895"/>
        <v>0</v>
      </c>
      <c r="DS39" s="675">
        <f t="shared" si="895"/>
        <v>0</v>
      </c>
      <c r="DT39" s="549">
        <f t="shared" si="895"/>
        <v>0</v>
      </c>
      <c r="DU39" s="675">
        <f t="shared" si="895"/>
        <v>0</v>
      </c>
      <c r="DV39" s="549">
        <f t="shared" ref="DV39:GG39" si="896">DV268+DV601+DV572</f>
        <v>0</v>
      </c>
      <c r="DW39" s="675">
        <f t="shared" si="896"/>
        <v>0</v>
      </c>
      <c r="DX39" s="549">
        <f t="shared" si="896"/>
        <v>0</v>
      </c>
      <c r="DY39" s="675">
        <f t="shared" si="896"/>
        <v>0</v>
      </c>
      <c r="DZ39" s="549">
        <f t="shared" si="896"/>
        <v>0</v>
      </c>
      <c r="EA39" s="675">
        <f t="shared" si="896"/>
        <v>0</v>
      </c>
      <c r="EB39" s="549">
        <f t="shared" si="896"/>
        <v>0</v>
      </c>
      <c r="EC39" s="675">
        <f t="shared" si="896"/>
        <v>0</v>
      </c>
      <c r="ED39" s="549">
        <f t="shared" si="896"/>
        <v>0</v>
      </c>
      <c r="EE39" s="675">
        <f t="shared" si="896"/>
        <v>0</v>
      </c>
      <c r="EF39" s="549">
        <f t="shared" si="896"/>
        <v>65995</v>
      </c>
      <c r="EG39" s="675">
        <f t="shared" si="896"/>
        <v>0</v>
      </c>
      <c r="EH39" s="549">
        <f t="shared" si="896"/>
        <v>0</v>
      </c>
      <c r="EI39" s="675">
        <f t="shared" si="896"/>
        <v>0</v>
      </c>
      <c r="EJ39" s="549">
        <f t="shared" si="896"/>
        <v>0</v>
      </c>
      <c r="EK39" s="675">
        <f t="shared" si="896"/>
        <v>0</v>
      </c>
      <c r="EL39" s="549">
        <f t="shared" si="896"/>
        <v>0</v>
      </c>
      <c r="EM39" s="675">
        <f t="shared" si="896"/>
        <v>0</v>
      </c>
      <c r="EN39" s="549">
        <f t="shared" si="896"/>
        <v>0</v>
      </c>
      <c r="EO39" s="675">
        <f t="shared" si="896"/>
        <v>0</v>
      </c>
      <c r="EP39" s="549">
        <f t="shared" si="896"/>
        <v>0</v>
      </c>
      <c r="EQ39" s="675">
        <f t="shared" si="896"/>
        <v>0</v>
      </c>
      <c r="ER39" s="549">
        <f t="shared" si="896"/>
        <v>0</v>
      </c>
      <c r="ES39" s="675">
        <f t="shared" si="896"/>
        <v>0</v>
      </c>
      <c r="ET39" s="549">
        <f t="shared" si="896"/>
        <v>0</v>
      </c>
      <c r="EU39" s="675">
        <f t="shared" si="896"/>
        <v>0</v>
      </c>
      <c r="EV39" s="549">
        <f t="shared" si="896"/>
        <v>0</v>
      </c>
      <c r="EW39" s="675">
        <f t="shared" si="896"/>
        <v>0</v>
      </c>
      <c r="EX39" s="549">
        <f t="shared" si="896"/>
        <v>0</v>
      </c>
      <c r="EY39" s="675">
        <f t="shared" si="896"/>
        <v>0</v>
      </c>
      <c r="EZ39" s="549">
        <f t="shared" si="896"/>
        <v>0</v>
      </c>
      <c r="FA39" s="675">
        <f t="shared" si="896"/>
        <v>0</v>
      </c>
      <c r="FB39" s="549">
        <f t="shared" si="896"/>
        <v>0</v>
      </c>
      <c r="FC39" s="675">
        <f t="shared" si="896"/>
        <v>0</v>
      </c>
      <c r="FD39" s="549">
        <f t="shared" si="896"/>
        <v>0</v>
      </c>
      <c r="FE39" s="675">
        <f t="shared" si="896"/>
        <v>0</v>
      </c>
      <c r="FF39" s="549">
        <f t="shared" si="896"/>
        <v>0</v>
      </c>
      <c r="FG39" s="675">
        <f t="shared" si="896"/>
        <v>0</v>
      </c>
      <c r="FH39" s="549">
        <f t="shared" si="896"/>
        <v>0</v>
      </c>
      <c r="FI39" s="675">
        <f t="shared" si="896"/>
        <v>0</v>
      </c>
      <c r="FJ39" s="549">
        <f t="shared" si="896"/>
        <v>0</v>
      </c>
      <c r="FK39" s="675">
        <f t="shared" si="896"/>
        <v>0</v>
      </c>
      <c r="FL39" s="549">
        <f t="shared" si="896"/>
        <v>0</v>
      </c>
      <c r="FM39" s="675">
        <f t="shared" si="896"/>
        <v>0</v>
      </c>
      <c r="FN39" s="549">
        <f t="shared" si="896"/>
        <v>0</v>
      </c>
      <c r="FO39" s="675">
        <f t="shared" si="896"/>
        <v>0</v>
      </c>
      <c r="FP39" s="549">
        <f t="shared" si="896"/>
        <v>10000</v>
      </c>
      <c r="FQ39" s="675">
        <f t="shared" si="896"/>
        <v>0</v>
      </c>
      <c r="FR39" s="549">
        <f t="shared" si="896"/>
        <v>0</v>
      </c>
      <c r="FS39" s="675">
        <f t="shared" si="896"/>
        <v>0</v>
      </c>
      <c r="FT39" s="549">
        <f t="shared" si="896"/>
        <v>0</v>
      </c>
      <c r="FU39" s="675">
        <f t="shared" si="896"/>
        <v>0</v>
      </c>
      <c r="FV39" s="549">
        <f t="shared" si="896"/>
        <v>6976</v>
      </c>
      <c r="FW39" s="675">
        <f t="shared" si="896"/>
        <v>0</v>
      </c>
      <c r="FX39" s="549">
        <f t="shared" si="896"/>
        <v>0</v>
      </c>
      <c r="FY39" s="675">
        <f t="shared" si="896"/>
        <v>0</v>
      </c>
      <c r="FZ39" s="549">
        <f t="shared" si="896"/>
        <v>0</v>
      </c>
      <c r="GA39" s="675">
        <f t="shared" si="896"/>
        <v>0</v>
      </c>
      <c r="GB39" s="549">
        <f t="shared" si="896"/>
        <v>0</v>
      </c>
      <c r="GC39" s="675">
        <f t="shared" si="896"/>
        <v>0</v>
      </c>
      <c r="GD39" s="549">
        <f t="shared" si="896"/>
        <v>0</v>
      </c>
      <c r="GE39" s="675">
        <f t="shared" si="896"/>
        <v>0</v>
      </c>
      <c r="GF39" s="549">
        <f t="shared" si="896"/>
        <v>0</v>
      </c>
      <c r="GG39" s="675">
        <f t="shared" si="896"/>
        <v>0</v>
      </c>
      <c r="GH39" s="549">
        <f t="shared" ref="GH39:GO39" si="897">GH268+GH601+GH572</f>
        <v>0</v>
      </c>
      <c r="GI39" s="675">
        <f t="shared" si="897"/>
        <v>0</v>
      </c>
      <c r="GJ39" s="549">
        <f t="shared" si="897"/>
        <v>0</v>
      </c>
      <c r="GK39" s="675">
        <f t="shared" si="897"/>
        <v>0</v>
      </c>
      <c r="GL39" s="549">
        <f t="shared" si="897"/>
        <v>0</v>
      </c>
      <c r="GM39" s="675">
        <f t="shared" si="897"/>
        <v>0</v>
      </c>
      <c r="GN39" s="549">
        <f t="shared" si="897"/>
        <v>0</v>
      </c>
      <c r="GO39" s="675">
        <f t="shared" si="897"/>
        <v>0</v>
      </c>
      <c r="GP39" s="74">
        <f>GP268+GP601+GP572</f>
        <v>228108</v>
      </c>
      <c r="GQ39" s="675">
        <f>GQ268+GQ601+GQ572</f>
        <v>0</v>
      </c>
      <c r="GR39" s="74">
        <f>GR268+GR601+GR572</f>
        <v>228108</v>
      </c>
      <c r="GS39" s="74">
        <f t="shared" ref="GS39:JD39" si="898">GS268+GS601+GS572</f>
        <v>228108</v>
      </c>
      <c r="GT39" s="74">
        <f t="shared" si="898"/>
        <v>228108</v>
      </c>
      <c r="GU39" s="74">
        <f>GU268+GU601+GU572</f>
        <v>0</v>
      </c>
      <c r="GV39" s="74">
        <f t="shared" si="898"/>
        <v>0</v>
      </c>
      <c r="GW39" s="74">
        <f t="shared" si="898"/>
        <v>0</v>
      </c>
      <c r="GX39" s="74">
        <f t="shared" si="898"/>
        <v>0</v>
      </c>
      <c r="GY39" s="74">
        <f t="shared" si="898"/>
        <v>0</v>
      </c>
      <c r="GZ39" s="74">
        <f t="shared" si="898"/>
        <v>0</v>
      </c>
      <c r="HA39" s="74">
        <f t="shared" si="898"/>
        <v>0</v>
      </c>
      <c r="HB39" s="74">
        <f t="shared" si="898"/>
        <v>0</v>
      </c>
      <c r="HC39" s="74">
        <f t="shared" si="898"/>
        <v>0</v>
      </c>
      <c r="HD39" s="74">
        <f t="shared" si="898"/>
        <v>0</v>
      </c>
      <c r="HE39" s="74">
        <f t="shared" si="898"/>
        <v>0</v>
      </c>
      <c r="HF39" s="74">
        <f t="shared" si="898"/>
        <v>0</v>
      </c>
      <c r="HG39" s="74">
        <f t="shared" si="898"/>
        <v>228108</v>
      </c>
      <c r="HH39" s="74">
        <f t="shared" si="898"/>
        <v>0</v>
      </c>
      <c r="HI39" s="74">
        <f t="shared" si="898"/>
        <v>0</v>
      </c>
      <c r="HJ39" s="74">
        <f t="shared" si="898"/>
        <v>0</v>
      </c>
      <c r="HK39" s="74">
        <f t="shared" si="898"/>
        <v>0</v>
      </c>
      <c r="HL39" s="74">
        <f t="shared" si="898"/>
        <v>0</v>
      </c>
      <c r="HM39" s="74">
        <f t="shared" si="898"/>
        <v>0</v>
      </c>
      <c r="HN39" s="74">
        <f t="shared" si="898"/>
        <v>0</v>
      </c>
      <c r="HO39" s="74">
        <f t="shared" si="898"/>
        <v>0</v>
      </c>
      <c r="HP39" s="74">
        <f t="shared" si="898"/>
        <v>0</v>
      </c>
      <c r="HQ39" s="74">
        <f t="shared" si="898"/>
        <v>0</v>
      </c>
      <c r="HR39" s="74">
        <f t="shared" si="898"/>
        <v>0</v>
      </c>
      <c r="HS39" s="74">
        <f t="shared" si="898"/>
        <v>0</v>
      </c>
      <c r="HT39" s="74">
        <f t="shared" si="898"/>
        <v>0</v>
      </c>
      <c r="HU39" s="74">
        <f t="shared" si="898"/>
        <v>0</v>
      </c>
      <c r="HV39" s="74">
        <f t="shared" si="898"/>
        <v>0</v>
      </c>
      <c r="HW39" s="74">
        <f t="shared" si="898"/>
        <v>0</v>
      </c>
      <c r="HX39" s="74">
        <f t="shared" si="898"/>
        <v>0</v>
      </c>
      <c r="HY39" s="74">
        <f t="shared" si="898"/>
        <v>0</v>
      </c>
      <c r="HZ39" s="74">
        <f t="shared" si="898"/>
        <v>0</v>
      </c>
      <c r="IA39" s="74">
        <f t="shared" si="898"/>
        <v>0</v>
      </c>
      <c r="IB39" s="74">
        <f t="shared" si="898"/>
        <v>0</v>
      </c>
      <c r="IC39" s="74">
        <f t="shared" si="898"/>
        <v>0</v>
      </c>
      <c r="ID39" s="74">
        <f t="shared" si="898"/>
        <v>0</v>
      </c>
      <c r="IE39" s="74">
        <f t="shared" si="898"/>
        <v>0</v>
      </c>
      <c r="IF39" s="841">
        <f t="shared" si="898"/>
        <v>212795.75</v>
      </c>
      <c r="IG39" s="263">
        <f t="shared" si="898"/>
        <v>212795.75</v>
      </c>
      <c r="IH39" s="842">
        <f t="shared" si="898"/>
        <v>212795.75</v>
      </c>
      <c r="II39" s="74">
        <f t="shared" si="898"/>
        <v>0</v>
      </c>
      <c r="IJ39" s="74">
        <f t="shared" si="898"/>
        <v>0</v>
      </c>
      <c r="IK39" s="74">
        <f t="shared" si="898"/>
        <v>0</v>
      </c>
      <c r="IL39" s="74">
        <f t="shared" si="898"/>
        <v>6453</v>
      </c>
      <c r="IM39" s="74">
        <f t="shared" si="898"/>
        <v>6453</v>
      </c>
      <c r="IN39" s="74">
        <f t="shared" si="898"/>
        <v>6453</v>
      </c>
      <c r="IO39" s="74">
        <f t="shared" si="898"/>
        <v>41291.649999999994</v>
      </c>
      <c r="IP39" s="74">
        <f t="shared" si="898"/>
        <v>41291.649999999994</v>
      </c>
      <c r="IQ39" s="74">
        <f t="shared" si="898"/>
        <v>41291.649999999994</v>
      </c>
      <c r="IR39" s="74">
        <f t="shared" si="898"/>
        <v>1172.8500000000022</v>
      </c>
      <c r="IS39" s="74">
        <f t="shared" si="898"/>
        <v>1172.8500000000022</v>
      </c>
      <c r="IT39" s="74">
        <f t="shared" si="898"/>
        <v>1172.8500000000022</v>
      </c>
      <c r="IU39" s="74">
        <f t="shared" si="898"/>
        <v>32979.520000000004</v>
      </c>
      <c r="IV39" s="74">
        <f t="shared" si="898"/>
        <v>32979.520000000004</v>
      </c>
      <c r="IW39" s="74">
        <f t="shared" si="898"/>
        <v>32979.520000000004</v>
      </c>
      <c r="IX39" s="74">
        <f t="shared" si="898"/>
        <v>26256.079999999998</v>
      </c>
      <c r="IY39" s="74">
        <f t="shared" si="898"/>
        <v>26256.079999999998</v>
      </c>
      <c r="IZ39" s="74">
        <f t="shared" si="898"/>
        <v>26256.079999999998</v>
      </c>
      <c r="JA39" s="74">
        <f t="shared" si="898"/>
        <v>21255.25</v>
      </c>
      <c r="JB39" s="74">
        <f t="shared" si="898"/>
        <v>21255.25</v>
      </c>
      <c r="JC39" s="74">
        <f t="shared" si="898"/>
        <v>21255.25</v>
      </c>
      <c r="JD39" s="74">
        <f t="shared" si="898"/>
        <v>0</v>
      </c>
      <c r="JE39" s="74">
        <f t="shared" ref="JE39:JT39" si="899">JE268+JE601+JE572</f>
        <v>0</v>
      </c>
      <c r="JF39" s="74">
        <f t="shared" si="899"/>
        <v>0</v>
      </c>
      <c r="JG39" s="74">
        <f t="shared" si="899"/>
        <v>54968.390000000007</v>
      </c>
      <c r="JH39" s="74">
        <f t="shared" si="899"/>
        <v>54968.390000000007</v>
      </c>
      <c r="JI39" s="74">
        <f t="shared" si="899"/>
        <v>54968.390000000007</v>
      </c>
      <c r="JJ39" s="74">
        <f t="shared" si="899"/>
        <v>28419.009999999995</v>
      </c>
      <c r="JK39" s="74">
        <f t="shared" si="899"/>
        <v>28419.009999999995</v>
      </c>
      <c r="JL39" s="74">
        <f t="shared" si="899"/>
        <v>28419.009999999995</v>
      </c>
      <c r="JM39" s="74">
        <f t="shared" si="899"/>
        <v>0</v>
      </c>
      <c r="JN39" s="74">
        <f t="shared" si="899"/>
        <v>0</v>
      </c>
      <c r="JO39" s="74">
        <f t="shared" si="899"/>
        <v>0</v>
      </c>
      <c r="JP39" s="74">
        <f t="shared" si="899"/>
        <v>0</v>
      </c>
      <c r="JQ39" s="74">
        <f t="shared" si="899"/>
        <v>0</v>
      </c>
      <c r="JR39" s="74">
        <f t="shared" si="899"/>
        <v>0</v>
      </c>
      <c r="JS39" s="74">
        <f t="shared" si="899"/>
        <v>15312.25</v>
      </c>
      <c r="JT39" s="74">
        <f t="shared" si="899"/>
        <v>15312.25</v>
      </c>
      <c r="JU39" s="671"/>
      <c r="JV39" s="492"/>
      <c r="JW39" s="490"/>
      <c r="JX39" s="549">
        <f>JX268+JX601+JX572+JX376</f>
        <v>5217</v>
      </c>
      <c r="JY39" s="549">
        <f>JY268+JY601+JY572+JY376</f>
        <v>0</v>
      </c>
      <c r="JZ39" s="581">
        <f t="shared" si="42"/>
        <v>228108</v>
      </c>
      <c r="KA39" s="581">
        <f t="shared" si="43"/>
        <v>0</v>
      </c>
      <c r="KB39" s="549">
        <f>KB268+KB601+KB572+KB376</f>
        <v>233325</v>
      </c>
      <c r="KC39" s="709">
        <f t="shared" si="41"/>
        <v>-5217</v>
      </c>
      <c r="KD39" s="126" t="s">
        <v>61</v>
      </c>
      <c r="KE39" s="127" t="s">
        <v>528</v>
      </c>
      <c r="KF39" s="127" t="e">
        <f>#REF!</f>
        <v>#REF!</v>
      </c>
      <c r="KG39" s="127" t="e">
        <f>#REF!</f>
        <v>#REF!</v>
      </c>
      <c r="KH39" s="127" t="e">
        <f>#REF!</f>
        <v>#REF!</v>
      </c>
      <c r="KI39" s="127" t="e">
        <f>#REF!+#REF!</f>
        <v>#REF!</v>
      </c>
      <c r="KJ39" s="127" t="e">
        <f>#REF!</f>
        <v>#REF!</v>
      </c>
      <c r="KK39" s="127" t="e">
        <f>#REF!</f>
        <v>#REF!</v>
      </c>
    </row>
    <row r="40" spans="1:297" s="8" customFormat="1" ht="13.5" customHeight="1">
      <c r="A40" s="75" t="s">
        <v>80</v>
      </c>
      <c r="B40" s="72"/>
      <c r="C40" s="74">
        <f>C602+C269+C376</f>
        <v>0</v>
      </c>
      <c r="D40" s="74">
        <f t="shared" ref="D40:BC40" si="900">D602+D269+D376</f>
        <v>0</v>
      </c>
      <c r="E40" s="74">
        <f t="shared" si="900"/>
        <v>0</v>
      </c>
      <c r="F40" s="74">
        <f t="shared" si="900"/>
        <v>0</v>
      </c>
      <c r="G40" s="74">
        <f t="shared" si="900"/>
        <v>0</v>
      </c>
      <c r="H40" s="74">
        <f t="shared" si="900"/>
        <v>0</v>
      </c>
      <c r="I40" s="74">
        <f t="shared" si="900"/>
        <v>0</v>
      </c>
      <c r="J40" s="74">
        <f t="shared" si="900"/>
        <v>0</v>
      </c>
      <c r="K40" s="74">
        <f t="shared" si="900"/>
        <v>0</v>
      </c>
      <c r="L40" s="74">
        <f t="shared" si="900"/>
        <v>0</v>
      </c>
      <c r="M40" s="74">
        <f t="shared" si="900"/>
        <v>0</v>
      </c>
      <c r="N40" s="74">
        <f t="shared" si="900"/>
        <v>0</v>
      </c>
      <c r="O40" s="74">
        <f t="shared" si="900"/>
        <v>0</v>
      </c>
      <c r="P40" s="74">
        <f t="shared" si="900"/>
        <v>0</v>
      </c>
      <c r="Q40" s="74">
        <f t="shared" si="900"/>
        <v>0</v>
      </c>
      <c r="R40" s="74">
        <f t="shared" si="900"/>
        <v>0</v>
      </c>
      <c r="S40" s="74">
        <f t="shared" si="900"/>
        <v>0</v>
      </c>
      <c r="T40" s="74">
        <f t="shared" si="900"/>
        <v>0</v>
      </c>
      <c r="U40" s="74">
        <f t="shared" si="900"/>
        <v>0</v>
      </c>
      <c r="V40" s="74">
        <f t="shared" si="900"/>
        <v>0</v>
      </c>
      <c r="W40" s="74">
        <f t="shared" si="900"/>
        <v>0</v>
      </c>
      <c r="X40" s="74">
        <f t="shared" si="900"/>
        <v>0</v>
      </c>
      <c r="Y40" s="74">
        <f t="shared" si="900"/>
        <v>0</v>
      </c>
      <c r="Z40" s="74">
        <f t="shared" si="900"/>
        <v>0</v>
      </c>
      <c r="AA40" s="74">
        <f t="shared" si="900"/>
        <v>0</v>
      </c>
      <c r="AB40" s="74">
        <f t="shared" si="900"/>
        <v>0</v>
      </c>
      <c r="AC40" s="74">
        <f t="shared" si="900"/>
        <v>0</v>
      </c>
      <c r="AD40" s="74">
        <f t="shared" si="900"/>
        <v>0</v>
      </c>
      <c r="AE40" s="74">
        <f t="shared" si="900"/>
        <v>0</v>
      </c>
      <c r="AF40" s="74">
        <f t="shared" si="900"/>
        <v>0</v>
      </c>
      <c r="AG40" s="74">
        <f t="shared" si="900"/>
        <v>0</v>
      </c>
      <c r="AH40" s="74">
        <f t="shared" si="900"/>
        <v>0</v>
      </c>
      <c r="AI40" s="74">
        <f t="shared" si="900"/>
        <v>0</v>
      </c>
      <c r="AJ40" s="74">
        <f t="shared" si="900"/>
        <v>10300</v>
      </c>
      <c r="AK40" s="74">
        <f t="shared" si="900"/>
        <v>0</v>
      </c>
      <c r="AL40" s="74">
        <f t="shared" si="900"/>
        <v>0</v>
      </c>
      <c r="AM40" s="74">
        <f t="shared" si="900"/>
        <v>0</v>
      </c>
      <c r="AN40" s="74">
        <f t="shared" si="900"/>
        <v>0</v>
      </c>
      <c r="AO40" s="74">
        <f t="shared" si="900"/>
        <v>0</v>
      </c>
      <c r="AP40" s="74">
        <f t="shared" si="900"/>
        <v>0</v>
      </c>
      <c r="AQ40" s="74">
        <f t="shared" si="900"/>
        <v>0</v>
      </c>
      <c r="AR40" s="74">
        <f t="shared" si="900"/>
        <v>0</v>
      </c>
      <c r="AS40" s="74">
        <f t="shared" si="900"/>
        <v>0</v>
      </c>
      <c r="AT40" s="74">
        <f t="shared" si="900"/>
        <v>0</v>
      </c>
      <c r="AU40" s="74">
        <f t="shared" si="900"/>
        <v>0</v>
      </c>
      <c r="AV40" s="74">
        <f t="shared" si="900"/>
        <v>0</v>
      </c>
      <c r="AW40" s="74">
        <f t="shared" si="900"/>
        <v>0</v>
      </c>
      <c r="AX40" s="74">
        <f t="shared" si="900"/>
        <v>0</v>
      </c>
      <c r="AY40" s="74">
        <f t="shared" si="900"/>
        <v>0</v>
      </c>
      <c r="AZ40" s="74">
        <f t="shared" si="900"/>
        <v>0</v>
      </c>
      <c r="BA40" s="74">
        <f t="shared" si="900"/>
        <v>0</v>
      </c>
      <c r="BB40" s="549">
        <f t="shared" si="900"/>
        <v>0</v>
      </c>
      <c r="BC40" s="675">
        <f t="shared" si="900"/>
        <v>0</v>
      </c>
      <c r="BD40" s="549">
        <f t="shared" ref="BD40:BE40" si="901">BD602+BD269</f>
        <v>0</v>
      </c>
      <c r="BE40" s="675">
        <f t="shared" si="901"/>
        <v>0</v>
      </c>
      <c r="BF40" s="549">
        <f t="shared" ref="BF40:BG40" si="902">BF602+BF269</f>
        <v>0</v>
      </c>
      <c r="BG40" s="675">
        <f t="shared" si="902"/>
        <v>0</v>
      </c>
      <c r="BH40" s="549">
        <f t="shared" ref="BH40:BI40" si="903">BH602+BH269</f>
        <v>0</v>
      </c>
      <c r="BI40" s="675">
        <f t="shared" si="903"/>
        <v>0</v>
      </c>
      <c r="BJ40" s="549">
        <f t="shared" ref="BJ40:DU40" si="904">BJ602+BJ269+BJ376</f>
        <v>3000</v>
      </c>
      <c r="BK40" s="675">
        <f t="shared" si="904"/>
        <v>0</v>
      </c>
      <c r="BL40" s="549">
        <f t="shared" si="904"/>
        <v>3417</v>
      </c>
      <c r="BM40" s="675">
        <f t="shared" si="904"/>
        <v>0</v>
      </c>
      <c r="BN40" s="549">
        <f t="shared" si="904"/>
        <v>0</v>
      </c>
      <c r="BO40" s="675">
        <f t="shared" si="904"/>
        <v>0</v>
      </c>
      <c r="BP40" s="549">
        <f t="shared" si="904"/>
        <v>0</v>
      </c>
      <c r="BQ40" s="675">
        <f t="shared" si="904"/>
        <v>0</v>
      </c>
      <c r="BR40" s="549">
        <f t="shared" si="904"/>
        <v>0</v>
      </c>
      <c r="BS40" s="675">
        <f t="shared" si="904"/>
        <v>0</v>
      </c>
      <c r="BT40" s="549">
        <f t="shared" si="904"/>
        <v>0</v>
      </c>
      <c r="BU40" s="675">
        <f t="shared" si="904"/>
        <v>0</v>
      </c>
      <c r="BV40" s="549">
        <f t="shared" si="904"/>
        <v>0</v>
      </c>
      <c r="BW40" s="675">
        <f t="shared" si="904"/>
        <v>0</v>
      </c>
      <c r="BX40" s="549">
        <f t="shared" si="904"/>
        <v>0</v>
      </c>
      <c r="BY40" s="675">
        <f t="shared" si="904"/>
        <v>0</v>
      </c>
      <c r="BZ40" s="549">
        <f t="shared" si="904"/>
        <v>0</v>
      </c>
      <c r="CA40" s="675">
        <f t="shared" si="904"/>
        <v>0</v>
      </c>
      <c r="CB40" s="549">
        <f t="shared" si="904"/>
        <v>0</v>
      </c>
      <c r="CC40" s="675">
        <f t="shared" si="904"/>
        <v>0</v>
      </c>
      <c r="CD40" s="549">
        <f t="shared" si="904"/>
        <v>0</v>
      </c>
      <c r="CE40" s="675">
        <f t="shared" si="904"/>
        <v>0</v>
      </c>
      <c r="CF40" s="549">
        <f t="shared" si="904"/>
        <v>0</v>
      </c>
      <c r="CG40" s="675">
        <f t="shared" si="904"/>
        <v>0</v>
      </c>
      <c r="CH40" s="549">
        <f t="shared" si="904"/>
        <v>0</v>
      </c>
      <c r="CI40" s="675">
        <f t="shared" si="904"/>
        <v>0</v>
      </c>
      <c r="CJ40" s="549">
        <f t="shared" si="904"/>
        <v>0</v>
      </c>
      <c r="CK40" s="675">
        <f t="shared" si="904"/>
        <v>0</v>
      </c>
      <c r="CL40" s="549">
        <f t="shared" si="904"/>
        <v>0</v>
      </c>
      <c r="CM40" s="675">
        <f t="shared" si="904"/>
        <v>0</v>
      </c>
      <c r="CN40" s="549">
        <f t="shared" si="904"/>
        <v>0</v>
      </c>
      <c r="CO40" s="675">
        <f t="shared" si="904"/>
        <v>0</v>
      </c>
      <c r="CP40" s="549">
        <f t="shared" si="904"/>
        <v>0</v>
      </c>
      <c r="CQ40" s="675">
        <f t="shared" si="904"/>
        <v>0</v>
      </c>
      <c r="CR40" s="549">
        <f t="shared" si="904"/>
        <v>0</v>
      </c>
      <c r="CS40" s="675">
        <f t="shared" si="904"/>
        <v>0</v>
      </c>
      <c r="CT40" s="549">
        <f t="shared" si="904"/>
        <v>0</v>
      </c>
      <c r="CU40" s="675">
        <f t="shared" si="904"/>
        <v>0</v>
      </c>
      <c r="CV40" s="549">
        <f t="shared" si="904"/>
        <v>0</v>
      </c>
      <c r="CW40" s="675">
        <f t="shared" si="904"/>
        <v>0</v>
      </c>
      <c r="CX40" s="549">
        <f t="shared" si="904"/>
        <v>0</v>
      </c>
      <c r="CY40" s="675">
        <f t="shared" si="904"/>
        <v>0</v>
      </c>
      <c r="CZ40" s="549">
        <f t="shared" si="904"/>
        <v>0</v>
      </c>
      <c r="DA40" s="675">
        <f t="shared" si="904"/>
        <v>0</v>
      </c>
      <c r="DB40" s="549">
        <f t="shared" si="904"/>
        <v>0</v>
      </c>
      <c r="DC40" s="675">
        <f t="shared" si="904"/>
        <v>0</v>
      </c>
      <c r="DD40" s="549">
        <f t="shared" si="904"/>
        <v>0</v>
      </c>
      <c r="DE40" s="675">
        <f t="shared" si="904"/>
        <v>0</v>
      </c>
      <c r="DF40" s="549">
        <f t="shared" si="904"/>
        <v>0</v>
      </c>
      <c r="DG40" s="675">
        <f t="shared" si="904"/>
        <v>0</v>
      </c>
      <c r="DH40" s="549">
        <f t="shared" si="904"/>
        <v>0</v>
      </c>
      <c r="DI40" s="675">
        <f t="shared" si="904"/>
        <v>0</v>
      </c>
      <c r="DJ40" s="549">
        <f t="shared" si="904"/>
        <v>0</v>
      </c>
      <c r="DK40" s="675">
        <f t="shared" si="904"/>
        <v>0</v>
      </c>
      <c r="DL40" s="549">
        <f t="shared" si="904"/>
        <v>0</v>
      </c>
      <c r="DM40" s="675">
        <f t="shared" si="904"/>
        <v>0</v>
      </c>
      <c r="DN40" s="549">
        <f t="shared" si="904"/>
        <v>0</v>
      </c>
      <c r="DO40" s="675">
        <f t="shared" si="904"/>
        <v>0</v>
      </c>
      <c r="DP40" s="549">
        <f t="shared" si="904"/>
        <v>0</v>
      </c>
      <c r="DQ40" s="675">
        <f t="shared" si="904"/>
        <v>0</v>
      </c>
      <c r="DR40" s="549">
        <f t="shared" si="904"/>
        <v>0</v>
      </c>
      <c r="DS40" s="675">
        <f t="shared" si="904"/>
        <v>0</v>
      </c>
      <c r="DT40" s="549">
        <f t="shared" si="904"/>
        <v>0</v>
      </c>
      <c r="DU40" s="675">
        <f t="shared" si="904"/>
        <v>0</v>
      </c>
      <c r="DV40" s="549">
        <f t="shared" ref="DV40:GG40" si="905">DV602+DV269+DV376</f>
        <v>0</v>
      </c>
      <c r="DW40" s="675">
        <f t="shared" si="905"/>
        <v>0</v>
      </c>
      <c r="DX40" s="549">
        <f t="shared" si="905"/>
        <v>0</v>
      </c>
      <c r="DY40" s="675">
        <f t="shared" si="905"/>
        <v>0</v>
      </c>
      <c r="DZ40" s="549">
        <f t="shared" si="905"/>
        <v>0</v>
      </c>
      <c r="EA40" s="675">
        <f t="shared" si="905"/>
        <v>0</v>
      </c>
      <c r="EB40" s="549">
        <f t="shared" si="905"/>
        <v>0</v>
      </c>
      <c r="EC40" s="675">
        <f t="shared" si="905"/>
        <v>0</v>
      </c>
      <c r="ED40" s="549">
        <f t="shared" si="905"/>
        <v>0</v>
      </c>
      <c r="EE40" s="675">
        <f t="shared" si="905"/>
        <v>0</v>
      </c>
      <c r="EF40" s="549">
        <f t="shared" si="905"/>
        <v>0</v>
      </c>
      <c r="EG40" s="675">
        <f t="shared" si="905"/>
        <v>0</v>
      </c>
      <c r="EH40" s="549">
        <f t="shared" si="905"/>
        <v>0</v>
      </c>
      <c r="EI40" s="675">
        <f t="shared" si="905"/>
        <v>0</v>
      </c>
      <c r="EJ40" s="549">
        <f t="shared" si="905"/>
        <v>0</v>
      </c>
      <c r="EK40" s="675">
        <f t="shared" si="905"/>
        <v>0</v>
      </c>
      <c r="EL40" s="549">
        <f t="shared" si="905"/>
        <v>0</v>
      </c>
      <c r="EM40" s="675">
        <f t="shared" si="905"/>
        <v>0</v>
      </c>
      <c r="EN40" s="549">
        <f t="shared" si="905"/>
        <v>0</v>
      </c>
      <c r="EO40" s="675">
        <f t="shared" si="905"/>
        <v>0</v>
      </c>
      <c r="EP40" s="549">
        <f t="shared" si="905"/>
        <v>0</v>
      </c>
      <c r="EQ40" s="675">
        <f t="shared" si="905"/>
        <v>0</v>
      </c>
      <c r="ER40" s="549">
        <f t="shared" si="905"/>
        <v>0</v>
      </c>
      <c r="ES40" s="675">
        <f t="shared" si="905"/>
        <v>0</v>
      </c>
      <c r="ET40" s="549">
        <f t="shared" si="905"/>
        <v>0</v>
      </c>
      <c r="EU40" s="675">
        <f t="shared" si="905"/>
        <v>0</v>
      </c>
      <c r="EV40" s="549">
        <f t="shared" si="905"/>
        <v>0</v>
      </c>
      <c r="EW40" s="675">
        <f t="shared" si="905"/>
        <v>0</v>
      </c>
      <c r="EX40" s="549">
        <f t="shared" si="905"/>
        <v>0</v>
      </c>
      <c r="EY40" s="675">
        <f t="shared" si="905"/>
        <v>0</v>
      </c>
      <c r="EZ40" s="549">
        <f t="shared" si="905"/>
        <v>0</v>
      </c>
      <c r="FA40" s="675">
        <f t="shared" si="905"/>
        <v>0</v>
      </c>
      <c r="FB40" s="549">
        <f t="shared" si="905"/>
        <v>0</v>
      </c>
      <c r="FC40" s="675">
        <f t="shared" si="905"/>
        <v>0</v>
      </c>
      <c r="FD40" s="549">
        <f t="shared" si="905"/>
        <v>0</v>
      </c>
      <c r="FE40" s="675">
        <f t="shared" si="905"/>
        <v>0</v>
      </c>
      <c r="FF40" s="549">
        <f t="shared" si="905"/>
        <v>1800</v>
      </c>
      <c r="FG40" s="675">
        <f t="shared" si="905"/>
        <v>0</v>
      </c>
      <c r="FH40" s="549">
        <f t="shared" si="905"/>
        <v>0</v>
      </c>
      <c r="FI40" s="675">
        <f t="shared" si="905"/>
        <v>0</v>
      </c>
      <c r="FJ40" s="549">
        <f t="shared" si="905"/>
        <v>0</v>
      </c>
      <c r="FK40" s="675">
        <f t="shared" si="905"/>
        <v>0</v>
      </c>
      <c r="FL40" s="549">
        <f t="shared" si="905"/>
        <v>0</v>
      </c>
      <c r="FM40" s="675">
        <f t="shared" si="905"/>
        <v>0</v>
      </c>
      <c r="FN40" s="549">
        <f t="shared" si="905"/>
        <v>0</v>
      </c>
      <c r="FO40" s="675">
        <f t="shared" si="905"/>
        <v>0</v>
      </c>
      <c r="FP40" s="549">
        <f t="shared" si="905"/>
        <v>0</v>
      </c>
      <c r="FQ40" s="675">
        <f t="shared" si="905"/>
        <v>0</v>
      </c>
      <c r="FR40" s="549">
        <f t="shared" si="905"/>
        <v>0</v>
      </c>
      <c r="FS40" s="675">
        <f t="shared" si="905"/>
        <v>0</v>
      </c>
      <c r="FT40" s="549">
        <f t="shared" si="905"/>
        <v>0</v>
      </c>
      <c r="FU40" s="675">
        <f t="shared" si="905"/>
        <v>0</v>
      </c>
      <c r="FV40" s="549">
        <f t="shared" si="905"/>
        <v>0</v>
      </c>
      <c r="FW40" s="675">
        <f t="shared" si="905"/>
        <v>0</v>
      </c>
      <c r="FX40" s="549">
        <f t="shared" si="905"/>
        <v>0</v>
      </c>
      <c r="FY40" s="675">
        <f t="shared" si="905"/>
        <v>0</v>
      </c>
      <c r="FZ40" s="549">
        <f t="shared" si="905"/>
        <v>0</v>
      </c>
      <c r="GA40" s="675">
        <f t="shared" si="905"/>
        <v>0</v>
      </c>
      <c r="GB40" s="549">
        <f t="shared" si="905"/>
        <v>0</v>
      </c>
      <c r="GC40" s="675">
        <f t="shared" si="905"/>
        <v>0</v>
      </c>
      <c r="GD40" s="549">
        <f t="shared" si="905"/>
        <v>0</v>
      </c>
      <c r="GE40" s="675">
        <f t="shared" si="905"/>
        <v>0</v>
      </c>
      <c r="GF40" s="549">
        <f t="shared" si="905"/>
        <v>0</v>
      </c>
      <c r="GG40" s="675">
        <f t="shared" si="905"/>
        <v>0</v>
      </c>
      <c r="GH40" s="549">
        <f t="shared" ref="GH40:GO40" si="906">GH602+GH269+GH376</f>
        <v>0</v>
      </c>
      <c r="GI40" s="675">
        <f t="shared" si="906"/>
        <v>0</v>
      </c>
      <c r="GJ40" s="549">
        <f t="shared" si="906"/>
        <v>0</v>
      </c>
      <c r="GK40" s="675">
        <f t="shared" si="906"/>
        <v>0</v>
      </c>
      <c r="GL40" s="549">
        <f t="shared" si="906"/>
        <v>0</v>
      </c>
      <c r="GM40" s="675">
        <f t="shared" si="906"/>
        <v>0</v>
      </c>
      <c r="GN40" s="549">
        <f t="shared" si="906"/>
        <v>0</v>
      </c>
      <c r="GO40" s="675">
        <f t="shared" si="906"/>
        <v>0</v>
      </c>
      <c r="GP40" s="74">
        <f>GP602+GP269+GP617+GP376</f>
        <v>18517</v>
      </c>
      <c r="GQ40" s="675">
        <f>GQ602+GQ269+GQ617+GQ376</f>
        <v>0</v>
      </c>
      <c r="GR40" s="74">
        <f>GR602+GR269+GR617+GR376</f>
        <v>18517</v>
      </c>
      <c r="GS40" s="74">
        <f t="shared" ref="GS40:JD40" si="907">GS602+GS269+GS617+GS376</f>
        <v>18517</v>
      </c>
      <c r="GT40" s="74">
        <f t="shared" si="907"/>
        <v>18517</v>
      </c>
      <c r="GU40" s="74">
        <f>GU602+GU269+GU617+GU376</f>
        <v>0</v>
      </c>
      <c r="GV40" s="74">
        <f t="shared" si="907"/>
        <v>0</v>
      </c>
      <c r="GW40" s="74">
        <f t="shared" si="907"/>
        <v>0</v>
      </c>
      <c r="GX40" s="74">
        <f t="shared" si="907"/>
        <v>0</v>
      </c>
      <c r="GY40" s="74">
        <f t="shared" si="907"/>
        <v>0</v>
      </c>
      <c r="GZ40" s="74">
        <f t="shared" si="907"/>
        <v>0</v>
      </c>
      <c r="HA40" s="74">
        <f t="shared" si="907"/>
        <v>0</v>
      </c>
      <c r="HB40" s="74">
        <f t="shared" si="907"/>
        <v>0</v>
      </c>
      <c r="HC40" s="74">
        <f t="shared" si="907"/>
        <v>0</v>
      </c>
      <c r="HD40" s="74">
        <f t="shared" si="907"/>
        <v>0</v>
      </c>
      <c r="HE40" s="74">
        <f t="shared" si="907"/>
        <v>0</v>
      </c>
      <c r="HF40" s="74">
        <f t="shared" si="907"/>
        <v>0</v>
      </c>
      <c r="HG40" s="74">
        <f t="shared" si="907"/>
        <v>18517</v>
      </c>
      <c r="HH40" s="74">
        <f t="shared" si="907"/>
        <v>0</v>
      </c>
      <c r="HI40" s="74">
        <f t="shared" si="907"/>
        <v>0</v>
      </c>
      <c r="HJ40" s="74">
        <f t="shared" si="907"/>
        <v>0</v>
      </c>
      <c r="HK40" s="74">
        <f t="shared" si="907"/>
        <v>0</v>
      </c>
      <c r="HL40" s="74">
        <f t="shared" si="907"/>
        <v>0</v>
      </c>
      <c r="HM40" s="74">
        <f t="shared" si="907"/>
        <v>0</v>
      </c>
      <c r="HN40" s="74">
        <f t="shared" si="907"/>
        <v>0</v>
      </c>
      <c r="HO40" s="74">
        <f t="shared" si="907"/>
        <v>0</v>
      </c>
      <c r="HP40" s="74">
        <f t="shared" si="907"/>
        <v>0</v>
      </c>
      <c r="HQ40" s="74">
        <f t="shared" si="907"/>
        <v>0</v>
      </c>
      <c r="HR40" s="74">
        <f t="shared" si="907"/>
        <v>0</v>
      </c>
      <c r="HS40" s="74">
        <f t="shared" si="907"/>
        <v>0</v>
      </c>
      <c r="HT40" s="74">
        <f t="shared" si="907"/>
        <v>0</v>
      </c>
      <c r="HU40" s="74">
        <f t="shared" si="907"/>
        <v>0</v>
      </c>
      <c r="HV40" s="74">
        <f t="shared" si="907"/>
        <v>0</v>
      </c>
      <c r="HW40" s="74">
        <f t="shared" si="907"/>
        <v>0</v>
      </c>
      <c r="HX40" s="74">
        <f t="shared" si="907"/>
        <v>0</v>
      </c>
      <c r="HY40" s="74">
        <f t="shared" si="907"/>
        <v>0</v>
      </c>
      <c r="HZ40" s="74">
        <f t="shared" si="907"/>
        <v>5217</v>
      </c>
      <c r="IA40" s="74">
        <f t="shared" si="907"/>
        <v>0</v>
      </c>
      <c r="IB40" s="74">
        <f t="shared" si="907"/>
        <v>0</v>
      </c>
      <c r="IC40" s="74">
        <f t="shared" si="907"/>
        <v>0</v>
      </c>
      <c r="ID40" s="74">
        <f t="shared" si="907"/>
        <v>0</v>
      </c>
      <c r="IE40" s="74">
        <f t="shared" si="907"/>
        <v>0</v>
      </c>
      <c r="IF40" s="841">
        <f t="shared" si="907"/>
        <v>12139.43</v>
      </c>
      <c r="IG40" s="263">
        <f t="shared" si="907"/>
        <v>12139.43</v>
      </c>
      <c r="IH40" s="842">
        <f t="shared" si="907"/>
        <v>12139.43</v>
      </c>
      <c r="II40" s="74">
        <f t="shared" si="907"/>
        <v>0</v>
      </c>
      <c r="IJ40" s="74">
        <f t="shared" si="907"/>
        <v>0</v>
      </c>
      <c r="IK40" s="74">
        <f t="shared" si="907"/>
        <v>0</v>
      </c>
      <c r="IL40" s="74">
        <f t="shared" si="907"/>
        <v>0</v>
      </c>
      <c r="IM40" s="74">
        <f t="shared" si="907"/>
        <v>0</v>
      </c>
      <c r="IN40" s="74">
        <f t="shared" si="907"/>
        <v>0</v>
      </c>
      <c r="IO40" s="74">
        <f t="shared" si="907"/>
        <v>0</v>
      </c>
      <c r="IP40" s="74">
        <f t="shared" si="907"/>
        <v>0</v>
      </c>
      <c r="IQ40" s="74">
        <f t="shared" si="907"/>
        <v>0</v>
      </c>
      <c r="IR40" s="74">
        <f t="shared" si="907"/>
        <v>0</v>
      </c>
      <c r="IS40" s="74">
        <f t="shared" si="907"/>
        <v>0</v>
      </c>
      <c r="IT40" s="74">
        <f t="shared" si="907"/>
        <v>0</v>
      </c>
      <c r="IU40" s="74">
        <f t="shared" si="907"/>
        <v>9572.31</v>
      </c>
      <c r="IV40" s="74">
        <f t="shared" si="907"/>
        <v>9572.31</v>
      </c>
      <c r="IW40" s="74">
        <f t="shared" si="907"/>
        <v>9572.31</v>
      </c>
      <c r="IX40" s="74">
        <f t="shared" si="907"/>
        <v>2567.1200000000008</v>
      </c>
      <c r="IY40" s="74">
        <f t="shared" si="907"/>
        <v>2567.1200000000008</v>
      </c>
      <c r="IZ40" s="74">
        <f t="shared" si="907"/>
        <v>2567.1200000000008</v>
      </c>
      <c r="JA40" s="74">
        <f t="shared" si="907"/>
        <v>0</v>
      </c>
      <c r="JB40" s="74">
        <f t="shared" si="907"/>
        <v>0</v>
      </c>
      <c r="JC40" s="74">
        <f t="shared" si="907"/>
        <v>0</v>
      </c>
      <c r="JD40" s="74">
        <f t="shared" si="907"/>
        <v>0</v>
      </c>
      <c r="JE40" s="74">
        <f t="shared" ref="JE40:JT40" si="908">JE602+JE269+JE617+JE376</f>
        <v>0</v>
      </c>
      <c r="JF40" s="74">
        <f t="shared" si="908"/>
        <v>0</v>
      </c>
      <c r="JG40" s="74">
        <f t="shared" si="908"/>
        <v>0</v>
      </c>
      <c r="JH40" s="74">
        <f t="shared" si="908"/>
        <v>0</v>
      </c>
      <c r="JI40" s="74">
        <f t="shared" si="908"/>
        <v>0</v>
      </c>
      <c r="JJ40" s="74">
        <f t="shared" si="908"/>
        <v>0</v>
      </c>
      <c r="JK40" s="74">
        <f t="shared" si="908"/>
        <v>0</v>
      </c>
      <c r="JL40" s="74">
        <f t="shared" si="908"/>
        <v>0</v>
      </c>
      <c r="JM40" s="74">
        <f t="shared" si="908"/>
        <v>0</v>
      </c>
      <c r="JN40" s="74">
        <f t="shared" si="908"/>
        <v>0</v>
      </c>
      <c r="JO40" s="74">
        <f t="shared" si="908"/>
        <v>0</v>
      </c>
      <c r="JP40" s="74">
        <f t="shared" si="908"/>
        <v>0</v>
      </c>
      <c r="JQ40" s="74">
        <f t="shared" si="908"/>
        <v>0</v>
      </c>
      <c r="JR40" s="74">
        <f t="shared" si="908"/>
        <v>0</v>
      </c>
      <c r="JS40" s="74">
        <f t="shared" si="908"/>
        <v>6377.57</v>
      </c>
      <c r="JT40" s="74">
        <f t="shared" si="908"/>
        <v>6377.57</v>
      </c>
      <c r="JU40" s="671"/>
      <c r="JV40" s="492"/>
      <c r="JW40" s="490"/>
      <c r="JX40" s="549">
        <f>JX602+JX269</f>
        <v>0</v>
      </c>
      <c r="JY40" s="549">
        <f>JY602+JY269</f>
        <v>0</v>
      </c>
      <c r="JZ40" s="581">
        <f t="shared" si="42"/>
        <v>18517</v>
      </c>
      <c r="KA40" s="581">
        <f t="shared" si="43"/>
        <v>0</v>
      </c>
      <c r="KB40" s="549">
        <f>KB602+KB269</f>
        <v>13300</v>
      </c>
      <c r="KC40" s="709">
        <f t="shared" si="41"/>
        <v>5217</v>
      </c>
      <c r="KD40" s="132" t="s">
        <v>65</v>
      </c>
      <c r="KE40" s="138" t="s">
        <v>66</v>
      </c>
      <c r="KF40" s="138">
        <f>C371</f>
        <v>89500</v>
      </c>
      <c r="KG40" s="138">
        <f>GR371</f>
        <v>49785</v>
      </c>
      <c r="KH40" s="138">
        <f>GS371</f>
        <v>19952</v>
      </c>
      <c r="KI40" s="138" t="e">
        <f>#REF!+GQ371</f>
        <v>#REF!</v>
      </c>
      <c r="KJ40" s="138">
        <f>GR371</f>
        <v>49785</v>
      </c>
      <c r="KK40" s="138">
        <f>HG371</f>
        <v>49784.999999999993</v>
      </c>
    </row>
    <row r="41" spans="1:297" s="8" customFormat="1" ht="13.5" hidden="1" customHeight="1" thickBot="1">
      <c r="A41" s="75" t="s">
        <v>705</v>
      </c>
      <c r="B41" s="72"/>
      <c r="C41" s="74">
        <f t="shared" ref="C41:AO41" si="909">C270</f>
        <v>0</v>
      </c>
      <c r="D41" s="549">
        <f t="shared" si="909"/>
        <v>0</v>
      </c>
      <c r="E41" s="675">
        <f t="shared" si="909"/>
        <v>0</v>
      </c>
      <c r="F41" s="549">
        <f t="shared" si="909"/>
        <v>0</v>
      </c>
      <c r="G41" s="675">
        <f t="shared" si="909"/>
        <v>0</v>
      </c>
      <c r="H41" s="549">
        <f t="shared" si="909"/>
        <v>0</v>
      </c>
      <c r="I41" s="675">
        <f t="shared" si="909"/>
        <v>0</v>
      </c>
      <c r="J41" s="549">
        <f t="shared" si="909"/>
        <v>0</v>
      </c>
      <c r="K41" s="675">
        <f t="shared" si="909"/>
        <v>0</v>
      </c>
      <c r="L41" s="549">
        <f t="shared" si="909"/>
        <v>0</v>
      </c>
      <c r="M41" s="675">
        <f t="shared" si="909"/>
        <v>0</v>
      </c>
      <c r="N41" s="549">
        <f t="shared" si="909"/>
        <v>0</v>
      </c>
      <c r="O41" s="675">
        <f t="shared" si="909"/>
        <v>0</v>
      </c>
      <c r="P41" s="549">
        <f t="shared" si="909"/>
        <v>0</v>
      </c>
      <c r="Q41" s="675">
        <f t="shared" si="909"/>
        <v>0</v>
      </c>
      <c r="R41" s="549">
        <f t="shared" si="909"/>
        <v>0</v>
      </c>
      <c r="S41" s="675">
        <f t="shared" si="909"/>
        <v>0</v>
      </c>
      <c r="T41" s="549">
        <f t="shared" si="909"/>
        <v>0</v>
      </c>
      <c r="U41" s="675">
        <f t="shared" si="909"/>
        <v>0</v>
      </c>
      <c r="V41" s="549">
        <f t="shared" si="909"/>
        <v>0</v>
      </c>
      <c r="W41" s="675">
        <f t="shared" si="909"/>
        <v>0</v>
      </c>
      <c r="X41" s="549">
        <f t="shared" si="909"/>
        <v>0</v>
      </c>
      <c r="Y41" s="675">
        <f t="shared" si="909"/>
        <v>0</v>
      </c>
      <c r="Z41" s="549">
        <f t="shared" si="909"/>
        <v>0</v>
      </c>
      <c r="AA41" s="675">
        <f t="shared" si="909"/>
        <v>0</v>
      </c>
      <c r="AB41" s="549">
        <f t="shared" si="909"/>
        <v>0</v>
      </c>
      <c r="AC41" s="675">
        <f t="shared" si="909"/>
        <v>0</v>
      </c>
      <c r="AD41" s="549">
        <f t="shared" si="909"/>
        <v>0</v>
      </c>
      <c r="AE41" s="675">
        <f t="shared" si="909"/>
        <v>0</v>
      </c>
      <c r="AF41" s="549">
        <f t="shared" si="909"/>
        <v>0</v>
      </c>
      <c r="AG41" s="675">
        <f t="shared" si="909"/>
        <v>0</v>
      </c>
      <c r="AH41" s="549">
        <f t="shared" si="909"/>
        <v>0</v>
      </c>
      <c r="AI41" s="675">
        <f t="shared" si="909"/>
        <v>0</v>
      </c>
      <c r="AJ41" s="549">
        <f t="shared" si="909"/>
        <v>0</v>
      </c>
      <c r="AK41" s="675">
        <f t="shared" si="909"/>
        <v>0</v>
      </c>
      <c r="AL41" s="549">
        <f t="shared" si="909"/>
        <v>0</v>
      </c>
      <c r="AM41" s="675">
        <f t="shared" si="909"/>
        <v>0</v>
      </c>
      <c r="AN41" s="549">
        <f t="shared" si="909"/>
        <v>0</v>
      </c>
      <c r="AO41" s="675">
        <f t="shared" si="909"/>
        <v>0</v>
      </c>
      <c r="AP41" s="549">
        <f t="shared" ref="AP41:AS41" si="910">AP270</f>
        <v>0</v>
      </c>
      <c r="AQ41" s="675">
        <f t="shared" si="910"/>
        <v>0</v>
      </c>
      <c r="AR41" s="549">
        <f t="shared" si="910"/>
        <v>0</v>
      </c>
      <c r="AS41" s="675">
        <f t="shared" si="910"/>
        <v>0</v>
      </c>
      <c r="AT41" s="549">
        <f t="shared" ref="AT41:AU41" si="911">AT270</f>
        <v>0</v>
      </c>
      <c r="AU41" s="675">
        <f t="shared" si="911"/>
        <v>0</v>
      </c>
      <c r="AV41" s="549">
        <f t="shared" ref="AV41:AW41" si="912">AV270</f>
        <v>0</v>
      </c>
      <c r="AW41" s="675">
        <f t="shared" si="912"/>
        <v>0</v>
      </c>
      <c r="AX41" s="549">
        <f t="shared" ref="AX41:AY41" si="913">AX270</f>
        <v>0</v>
      </c>
      <c r="AY41" s="675">
        <f t="shared" si="913"/>
        <v>0</v>
      </c>
      <c r="AZ41" s="549">
        <f t="shared" ref="AZ41:BA41" si="914">AZ270</f>
        <v>0</v>
      </c>
      <c r="BA41" s="675">
        <f t="shared" si="914"/>
        <v>0</v>
      </c>
      <c r="BB41" s="549">
        <f t="shared" ref="BB41:BC41" si="915">BB270</f>
        <v>0</v>
      </c>
      <c r="BC41" s="675">
        <f t="shared" si="915"/>
        <v>0</v>
      </c>
      <c r="BD41" s="549">
        <f t="shared" ref="BD41:BE41" si="916">BD270</f>
        <v>0</v>
      </c>
      <c r="BE41" s="675">
        <f t="shared" si="916"/>
        <v>0</v>
      </c>
      <c r="BF41" s="549">
        <f t="shared" ref="BF41:BG41" si="917">BF270</f>
        <v>0</v>
      </c>
      <c r="BG41" s="675">
        <f t="shared" si="917"/>
        <v>0</v>
      </c>
      <c r="BH41" s="549">
        <f t="shared" ref="BH41:BI41" si="918">BH270</f>
        <v>0</v>
      </c>
      <c r="BI41" s="675">
        <f t="shared" si="918"/>
        <v>0</v>
      </c>
      <c r="BJ41" s="549">
        <f t="shared" ref="BJ41:BK41" si="919">BJ270</f>
        <v>0</v>
      </c>
      <c r="BK41" s="675">
        <f t="shared" si="919"/>
        <v>0</v>
      </c>
      <c r="BL41" s="549">
        <f t="shared" ref="BL41:BS41" si="920">BL270</f>
        <v>0</v>
      </c>
      <c r="BM41" s="675">
        <f t="shared" si="920"/>
        <v>0</v>
      </c>
      <c r="BN41" s="549">
        <f t="shared" si="920"/>
        <v>0</v>
      </c>
      <c r="BO41" s="675">
        <f t="shared" si="920"/>
        <v>0</v>
      </c>
      <c r="BP41" s="549">
        <f t="shared" si="920"/>
        <v>0</v>
      </c>
      <c r="BQ41" s="675">
        <f t="shared" si="920"/>
        <v>0</v>
      </c>
      <c r="BR41" s="549">
        <f t="shared" si="920"/>
        <v>0</v>
      </c>
      <c r="BS41" s="675">
        <f t="shared" si="920"/>
        <v>0</v>
      </c>
      <c r="BT41" s="549">
        <f t="shared" ref="BT41:BU41" si="921">BT270</f>
        <v>0</v>
      </c>
      <c r="BU41" s="675">
        <f t="shared" si="921"/>
        <v>0</v>
      </c>
      <c r="BV41" s="549">
        <f t="shared" ref="BV41:BW41" si="922">BV270</f>
        <v>0</v>
      </c>
      <c r="BW41" s="675">
        <f t="shared" si="922"/>
        <v>0</v>
      </c>
      <c r="BX41" s="549">
        <f t="shared" ref="BX41:BY41" si="923">BX270</f>
        <v>0</v>
      </c>
      <c r="BY41" s="675">
        <f t="shared" si="923"/>
        <v>0</v>
      </c>
      <c r="BZ41" s="549">
        <f t="shared" ref="BZ41:CA41" si="924">BZ270</f>
        <v>0</v>
      </c>
      <c r="CA41" s="675">
        <f t="shared" si="924"/>
        <v>0</v>
      </c>
      <c r="CB41" s="549">
        <f t="shared" ref="CB41:CE41" si="925">CB270</f>
        <v>0</v>
      </c>
      <c r="CC41" s="675">
        <f t="shared" si="925"/>
        <v>0</v>
      </c>
      <c r="CD41" s="549">
        <f t="shared" si="925"/>
        <v>0</v>
      </c>
      <c r="CE41" s="675">
        <f t="shared" si="925"/>
        <v>0</v>
      </c>
      <c r="CF41" s="549">
        <f t="shared" ref="CF41:CQ41" si="926">CF270</f>
        <v>0</v>
      </c>
      <c r="CG41" s="675">
        <f t="shared" si="926"/>
        <v>0</v>
      </c>
      <c r="CH41" s="549">
        <f t="shared" si="926"/>
        <v>0</v>
      </c>
      <c r="CI41" s="675">
        <f t="shared" si="926"/>
        <v>0</v>
      </c>
      <c r="CJ41" s="549">
        <f t="shared" si="926"/>
        <v>0</v>
      </c>
      <c r="CK41" s="675">
        <f t="shared" si="926"/>
        <v>0</v>
      </c>
      <c r="CL41" s="549">
        <f t="shared" si="926"/>
        <v>0</v>
      </c>
      <c r="CM41" s="675">
        <f t="shared" si="926"/>
        <v>0</v>
      </c>
      <c r="CN41" s="549">
        <f t="shared" si="926"/>
        <v>0</v>
      </c>
      <c r="CO41" s="675">
        <f t="shared" si="926"/>
        <v>0</v>
      </c>
      <c r="CP41" s="549">
        <f t="shared" si="926"/>
        <v>0</v>
      </c>
      <c r="CQ41" s="675">
        <f t="shared" si="926"/>
        <v>0</v>
      </c>
      <c r="CR41" s="549">
        <f t="shared" ref="CR41:CY41" si="927">CR270</f>
        <v>0</v>
      </c>
      <c r="CS41" s="675">
        <f t="shared" si="927"/>
        <v>0</v>
      </c>
      <c r="CT41" s="549">
        <f t="shared" si="927"/>
        <v>0</v>
      </c>
      <c r="CU41" s="675">
        <f t="shared" si="927"/>
        <v>0</v>
      </c>
      <c r="CV41" s="549">
        <f t="shared" si="927"/>
        <v>0</v>
      </c>
      <c r="CW41" s="675">
        <f t="shared" si="927"/>
        <v>0</v>
      </c>
      <c r="CX41" s="549">
        <f t="shared" si="927"/>
        <v>0</v>
      </c>
      <c r="CY41" s="675">
        <f t="shared" si="927"/>
        <v>0</v>
      </c>
      <c r="CZ41" s="549">
        <f t="shared" ref="CZ41:DG41" si="928">CZ270</f>
        <v>0</v>
      </c>
      <c r="DA41" s="675">
        <f t="shared" si="928"/>
        <v>0</v>
      </c>
      <c r="DB41" s="549">
        <f t="shared" si="928"/>
        <v>0</v>
      </c>
      <c r="DC41" s="675">
        <f t="shared" si="928"/>
        <v>0</v>
      </c>
      <c r="DD41" s="549">
        <f t="shared" si="928"/>
        <v>0</v>
      </c>
      <c r="DE41" s="675">
        <f t="shared" si="928"/>
        <v>0</v>
      </c>
      <c r="DF41" s="549">
        <f t="shared" si="928"/>
        <v>0</v>
      </c>
      <c r="DG41" s="675">
        <f t="shared" si="928"/>
        <v>0</v>
      </c>
      <c r="DH41" s="549">
        <f t="shared" ref="DH41:DM41" si="929">DH270</f>
        <v>0</v>
      </c>
      <c r="DI41" s="675">
        <f t="shared" si="929"/>
        <v>0</v>
      </c>
      <c r="DJ41" s="549">
        <f t="shared" si="929"/>
        <v>0</v>
      </c>
      <c r="DK41" s="675">
        <f t="shared" si="929"/>
        <v>0</v>
      </c>
      <c r="DL41" s="549">
        <f t="shared" si="929"/>
        <v>0</v>
      </c>
      <c r="DM41" s="675">
        <f t="shared" si="929"/>
        <v>0</v>
      </c>
      <c r="DN41" s="549">
        <f t="shared" ref="DN41:DW41" si="930">DN270</f>
        <v>0</v>
      </c>
      <c r="DO41" s="675">
        <f t="shared" si="930"/>
        <v>0</v>
      </c>
      <c r="DP41" s="549">
        <f t="shared" si="930"/>
        <v>0</v>
      </c>
      <c r="DQ41" s="675">
        <f t="shared" si="930"/>
        <v>0</v>
      </c>
      <c r="DR41" s="549">
        <f t="shared" si="930"/>
        <v>0</v>
      </c>
      <c r="DS41" s="675">
        <f t="shared" si="930"/>
        <v>0</v>
      </c>
      <c r="DT41" s="549">
        <f t="shared" si="930"/>
        <v>0</v>
      </c>
      <c r="DU41" s="675">
        <f t="shared" si="930"/>
        <v>0</v>
      </c>
      <c r="DV41" s="549">
        <f t="shared" si="930"/>
        <v>0</v>
      </c>
      <c r="DW41" s="675">
        <f t="shared" si="930"/>
        <v>0</v>
      </c>
      <c r="DX41" s="549">
        <f t="shared" ref="DX41:EG41" si="931">DX270</f>
        <v>0</v>
      </c>
      <c r="DY41" s="675">
        <f t="shared" si="931"/>
        <v>0</v>
      </c>
      <c r="DZ41" s="549">
        <f t="shared" si="931"/>
        <v>0</v>
      </c>
      <c r="EA41" s="675">
        <f t="shared" si="931"/>
        <v>0</v>
      </c>
      <c r="EB41" s="549">
        <f t="shared" si="931"/>
        <v>0</v>
      </c>
      <c r="EC41" s="675">
        <f t="shared" si="931"/>
        <v>0</v>
      </c>
      <c r="ED41" s="549">
        <f t="shared" si="931"/>
        <v>0</v>
      </c>
      <c r="EE41" s="675">
        <f t="shared" si="931"/>
        <v>0</v>
      </c>
      <c r="EF41" s="549">
        <f t="shared" si="931"/>
        <v>0</v>
      </c>
      <c r="EG41" s="675">
        <f t="shared" si="931"/>
        <v>0</v>
      </c>
      <c r="EH41" s="549">
        <f t="shared" ref="EH41:EM41" si="932">EH270</f>
        <v>0</v>
      </c>
      <c r="EI41" s="675">
        <f t="shared" si="932"/>
        <v>0</v>
      </c>
      <c r="EJ41" s="549">
        <f t="shared" si="932"/>
        <v>0</v>
      </c>
      <c r="EK41" s="675">
        <f t="shared" si="932"/>
        <v>0</v>
      </c>
      <c r="EL41" s="549">
        <f t="shared" si="932"/>
        <v>0</v>
      </c>
      <c r="EM41" s="675">
        <f t="shared" si="932"/>
        <v>0</v>
      </c>
      <c r="EN41" s="549">
        <f t="shared" ref="EN41:EO41" si="933">EN270</f>
        <v>0</v>
      </c>
      <c r="EO41" s="675">
        <f t="shared" si="933"/>
        <v>0</v>
      </c>
      <c r="EP41" s="549">
        <f t="shared" ref="EP41:FA41" si="934">EP270</f>
        <v>0</v>
      </c>
      <c r="EQ41" s="675">
        <f t="shared" si="934"/>
        <v>0</v>
      </c>
      <c r="ER41" s="549">
        <f t="shared" si="934"/>
        <v>0</v>
      </c>
      <c r="ES41" s="675">
        <f t="shared" si="934"/>
        <v>0</v>
      </c>
      <c r="ET41" s="549">
        <f t="shared" si="934"/>
        <v>0</v>
      </c>
      <c r="EU41" s="675">
        <f t="shared" si="934"/>
        <v>0</v>
      </c>
      <c r="EV41" s="549">
        <f t="shared" ref="EV41:EW41" si="935">EV270</f>
        <v>0</v>
      </c>
      <c r="EW41" s="675">
        <f t="shared" si="935"/>
        <v>0</v>
      </c>
      <c r="EX41" s="549">
        <f t="shared" si="934"/>
        <v>0</v>
      </c>
      <c r="EY41" s="675">
        <f t="shared" si="934"/>
        <v>0</v>
      </c>
      <c r="EZ41" s="549">
        <f t="shared" si="934"/>
        <v>0</v>
      </c>
      <c r="FA41" s="675">
        <f t="shared" si="934"/>
        <v>0</v>
      </c>
      <c r="FB41" s="549">
        <f t="shared" ref="FB41:FC41" si="936">FB270</f>
        <v>0</v>
      </c>
      <c r="FC41" s="675">
        <f t="shared" si="936"/>
        <v>0</v>
      </c>
      <c r="FD41" s="549">
        <f t="shared" ref="FD41:FE41" si="937">FD270</f>
        <v>0</v>
      </c>
      <c r="FE41" s="675">
        <f t="shared" si="937"/>
        <v>0</v>
      </c>
      <c r="FF41" s="549">
        <f t="shared" ref="FF41:FG41" si="938">FF270</f>
        <v>0</v>
      </c>
      <c r="FG41" s="675">
        <f t="shared" si="938"/>
        <v>0</v>
      </c>
      <c r="FH41" s="549">
        <f t="shared" ref="FH41:FI41" si="939">FH270</f>
        <v>0</v>
      </c>
      <c r="FI41" s="675">
        <f t="shared" si="939"/>
        <v>0</v>
      </c>
      <c r="FJ41" s="549">
        <f t="shared" ref="FJ41:FK41" si="940">FJ270</f>
        <v>0</v>
      </c>
      <c r="FK41" s="675">
        <f t="shared" si="940"/>
        <v>0</v>
      </c>
      <c r="FL41" s="549">
        <f t="shared" ref="FL41:FM41" si="941">FL270</f>
        <v>0</v>
      </c>
      <c r="FM41" s="675">
        <f t="shared" si="941"/>
        <v>0</v>
      </c>
      <c r="FN41" s="549">
        <f t="shared" ref="FN41:FO41" si="942">FN270</f>
        <v>0</v>
      </c>
      <c r="FO41" s="675">
        <f t="shared" si="942"/>
        <v>0</v>
      </c>
      <c r="FP41" s="549">
        <f t="shared" ref="FP41:FQ41" si="943">FP270</f>
        <v>0</v>
      </c>
      <c r="FQ41" s="675">
        <f t="shared" si="943"/>
        <v>0</v>
      </c>
      <c r="FR41" s="549">
        <f t="shared" ref="FR41:FS41" si="944">FR270</f>
        <v>0</v>
      </c>
      <c r="FS41" s="675">
        <f t="shared" si="944"/>
        <v>0</v>
      </c>
      <c r="FT41" s="549">
        <f t="shared" ref="FT41:FU41" si="945">FT270</f>
        <v>0</v>
      </c>
      <c r="FU41" s="675">
        <f t="shared" si="945"/>
        <v>0</v>
      </c>
      <c r="FV41" s="549">
        <f t="shared" ref="FV41:GK41" si="946">FV270</f>
        <v>0</v>
      </c>
      <c r="FW41" s="675">
        <f t="shared" si="946"/>
        <v>0</v>
      </c>
      <c r="FX41" s="549">
        <f t="shared" si="946"/>
        <v>0</v>
      </c>
      <c r="FY41" s="675">
        <f t="shared" si="946"/>
        <v>0</v>
      </c>
      <c r="FZ41" s="549">
        <f t="shared" ref="FZ41:GI41" si="947">FZ270</f>
        <v>0</v>
      </c>
      <c r="GA41" s="675">
        <f t="shared" si="947"/>
        <v>0</v>
      </c>
      <c r="GB41" s="549">
        <f t="shared" si="947"/>
        <v>0</v>
      </c>
      <c r="GC41" s="675">
        <f t="shared" si="947"/>
        <v>0</v>
      </c>
      <c r="GD41" s="549">
        <f t="shared" si="947"/>
        <v>0</v>
      </c>
      <c r="GE41" s="675">
        <f t="shared" si="947"/>
        <v>0</v>
      </c>
      <c r="GF41" s="549">
        <f t="shared" si="947"/>
        <v>0</v>
      </c>
      <c r="GG41" s="675">
        <f t="shared" si="947"/>
        <v>0</v>
      </c>
      <c r="GH41" s="549">
        <f t="shared" si="947"/>
        <v>0</v>
      </c>
      <c r="GI41" s="675">
        <f t="shared" si="947"/>
        <v>0</v>
      </c>
      <c r="GJ41" s="549">
        <f t="shared" si="946"/>
        <v>0</v>
      </c>
      <c r="GK41" s="675">
        <f t="shared" si="946"/>
        <v>0</v>
      </c>
      <c r="GL41" s="549">
        <f t="shared" ref="GL41:GQ41" si="948">GL270</f>
        <v>0</v>
      </c>
      <c r="GM41" s="675">
        <f t="shared" si="948"/>
        <v>0</v>
      </c>
      <c r="GN41" s="549">
        <f t="shared" ref="GN41:GO41" si="949">GN270</f>
        <v>0</v>
      </c>
      <c r="GO41" s="675">
        <f t="shared" si="949"/>
        <v>0</v>
      </c>
      <c r="GP41" s="74">
        <f t="shared" si="948"/>
        <v>0</v>
      </c>
      <c r="GQ41" s="675">
        <f t="shared" si="948"/>
        <v>0</v>
      </c>
      <c r="GR41" s="74">
        <f t="shared" ref="GR41:HS41" si="950">GR270</f>
        <v>0</v>
      </c>
      <c r="GS41" s="74">
        <f t="shared" si="950"/>
        <v>0</v>
      </c>
      <c r="GT41" s="74">
        <f t="shared" si="950"/>
        <v>0</v>
      </c>
      <c r="GU41" s="74">
        <f t="shared" si="950"/>
        <v>0</v>
      </c>
      <c r="GV41" s="74">
        <f t="shared" si="950"/>
        <v>0</v>
      </c>
      <c r="GW41" s="74">
        <f t="shared" si="950"/>
        <v>0</v>
      </c>
      <c r="GX41" s="74">
        <f t="shared" si="950"/>
        <v>0</v>
      </c>
      <c r="GY41" s="74">
        <f t="shared" si="950"/>
        <v>0</v>
      </c>
      <c r="GZ41" s="74">
        <f t="shared" si="950"/>
        <v>0</v>
      </c>
      <c r="HA41" s="74">
        <f t="shared" si="950"/>
        <v>0</v>
      </c>
      <c r="HB41" s="74">
        <f t="shared" si="950"/>
        <v>0</v>
      </c>
      <c r="HC41" s="74">
        <f t="shared" si="950"/>
        <v>0</v>
      </c>
      <c r="HD41" s="74">
        <f t="shared" si="950"/>
        <v>0</v>
      </c>
      <c r="HE41" s="74">
        <f t="shared" si="950"/>
        <v>0</v>
      </c>
      <c r="HF41" s="74">
        <f t="shared" si="950"/>
        <v>0</v>
      </c>
      <c r="HG41" s="74">
        <f t="shared" si="950"/>
        <v>0</v>
      </c>
      <c r="HH41" s="74">
        <f t="shared" si="950"/>
        <v>0</v>
      </c>
      <c r="HI41" s="74">
        <f t="shared" si="950"/>
        <v>0</v>
      </c>
      <c r="HJ41" s="74">
        <f t="shared" si="950"/>
        <v>0</v>
      </c>
      <c r="HK41" s="74">
        <f t="shared" si="950"/>
        <v>0</v>
      </c>
      <c r="HL41" s="74">
        <f t="shared" si="950"/>
        <v>0</v>
      </c>
      <c r="HM41" s="74">
        <f t="shared" si="950"/>
        <v>0</v>
      </c>
      <c r="HN41" s="74">
        <f t="shared" si="950"/>
        <v>0</v>
      </c>
      <c r="HO41" s="74">
        <f t="shared" si="950"/>
        <v>0</v>
      </c>
      <c r="HP41" s="74">
        <f t="shared" si="950"/>
        <v>0</v>
      </c>
      <c r="HQ41" s="74">
        <f t="shared" si="950"/>
        <v>0</v>
      </c>
      <c r="HR41" s="74">
        <f t="shared" si="950"/>
        <v>0</v>
      </c>
      <c r="HS41" s="74">
        <f t="shared" si="950"/>
        <v>0</v>
      </c>
      <c r="HT41" s="74">
        <f t="shared" ref="HT41:JT41" si="951">HT270</f>
        <v>0</v>
      </c>
      <c r="HU41" s="74">
        <f t="shared" si="951"/>
        <v>0</v>
      </c>
      <c r="HV41" s="74">
        <f t="shared" si="951"/>
        <v>0</v>
      </c>
      <c r="HW41" s="74">
        <f t="shared" si="951"/>
        <v>0</v>
      </c>
      <c r="HX41" s="74">
        <f t="shared" si="951"/>
        <v>0</v>
      </c>
      <c r="HY41" s="74">
        <f t="shared" si="951"/>
        <v>0</v>
      </c>
      <c r="HZ41" s="74">
        <f t="shared" si="951"/>
        <v>0</v>
      </c>
      <c r="IA41" s="74">
        <f t="shared" si="951"/>
        <v>0</v>
      </c>
      <c r="IB41" s="74">
        <f t="shared" si="951"/>
        <v>0</v>
      </c>
      <c r="IC41" s="74">
        <f t="shared" si="951"/>
        <v>0</v>
      </c>
      <c r="ID41" s="74">
        <f t="shared" si="951"/>
        <v>0</v>
      </c>
      <c r="IE41" s="792">
        <f t="shared" si="951"/>
        <v>0</v>
      </c>
      <c r="IF41" s="841">
        <f t="shared" si="951"/>
        <v>0</v>
      </c>
      <c r="IG41" s="263">
        <f t="shared" si="951"/>
        <v>0</v>
      </c>
      <c r="IH41" s="842">
        <f t="shared" si="951"/>
        <v>0</v>
      </c>
      <c r="II41" s="155">
        <f t="shared" si="951"/>
        <v>0</v>
      </c>
      <c r="IJ41" s="74">
        <f t="shared" si="951"/>
        <v>0</v>
      </c>
      <c r="IK41" s="74">
        <f t="shared" si="951"/>
        <v>0</v>
      </c>
      <c r="IL41" s="74">
        <f t="shared" si="951"/>
        <v>0</v>
      </c>
      <c r="IM41" s="74">
        <f t="shared" si="951"/>
        <v>0</v>
      </c>
      <c r="IN41" s="74">
        <f t="shared" si="951"/>
        <v>0</v>
      </c>
      <c r="IO41" s="74">
        <f t="shared" si="951"/>
        <v>0</v>
      </c>
      <c r="IP41" s="74">
        <f t="shared" si="951"/>
        <v>0</v>
      </c>
      <c r="IQ41" s="74">
        <f t="shared" si="951"/>
        <v>0</v>
      </c>
      <c r="IR41" s="74">
        <f t="shared" si="951"/>
        <v>0</v>
      </c>
      <c r="IS41" s="74">
        <f t="shared" si="951"/>
        <v>0</v>
      </c>
      <c r="IT41" s="74">
        <f t="shared" si="951"/>
        <v>0</v>
      </c>
      <c r="IU41" s="74">
        <f t="shared" si="951"/>
        <v>0</v>
      </c>
      <c r="IV41" s="74">
        <f t="shared" si="951"/>
        <v>0</v>
      </c>
      <c r="IW41" s="74">
        <f t="shared" si="951"/>
        <v>0</v>
      </c>
      <c r="IX41" s="74">
        <f t="shared" si="951"/>
        <v>0</v>
      </c>
      <c r="IY41" s="74">
        <f t="shared" si="951"/>
        <v>0</v>
      </c>
      <c r="IZ41" s="74">
        <f t="shared" si="951"/>
        <v>0</v>
      </c>
      <c r="JA41" s="74">
        <f t="shared" si="951"/>
        <v>0</v>
      </c>
      <c r="JB41" s="74">
        <f t="shared" si="951"/>
        <v>0</v>
      </c>
      <c r="JC41" s="74">
        <f t="shared" si="951"/>
        <v>0</v>
      </c>
      <c r="JD41" s="74">
        <f t="shared" si="951"/>
        <v>0</v>
      </c>
      <c r="JE41" s="74">
        <f t="shared" si="951"/>
        <v>0</v>
      </c>
      <c r="JF41" s="74">
        <f t="shared" si="951"/>
        <v>0</v>
      </c>
      <c r="JG41" s="74">
        <f t="shared" si="951"/>
        <v>0</v>
      </c>
      <c r="JH41" s="74">
        <f t="shared" si="951"/>
        <v>0</v>
      </c>
      <c r="JI41" s="74">
        <f t="shared" si="951"/>
        <v>0</v>
      </c>
      <c r="JJ41" s="74">
        <f t="shared" si="951"/>
        <v>0</v>
      </c>
      <c r="JK41" s="74">
        <f t="shared" si="951"/>
        <v>0</v>
      </c>
      <c r="JL41" s="74">
        <f t="shared" si="951"/>
        <v>0</v>
      </c>
      <c r="JM41" s="74">
        <f t="shared" si="951"/>
        <v>0</v>
      </c>
      <c r="JN41" s="74">
        <f t="shared" si="951"/>
        <v>0</v>
      </c>
      <c r="JO41" s="74">
        <f t="shared" si="951"/>
        <v>0</v>
      </c>
      <c r="JP41" s="74">
        <f t="shared" si="951"/>
        <v>0</v>
      </c>
      <c r="JQ41" s="74">
        <f t="shared" si="951"/>
        <v>0</v>
      </c>
      <c r="JR41" s="74">
        <f t="shared" si="951"/>
        <v>0</v>
      </c>
      <c r="JS41" s="74">
        <f t="shared" si="951"/>
        <v>0</v>
      </c>
      <c r="JT41" s="102">
        <f t="shared" si="951"/>
        <v>0</v>
      </c>
      <c r="JU41" s="671"/>
      <c r="JV41" s="492"/>
      <c r="JW41" s="490"/>
      <c r="JX41" s="549">
        <f>JX270</f>
        <v>0</v>
      </c>
      <c r="JY41" s="549">
        <f>JY270</f>
        <v>0</v>
      </c>
      <c r="JZ41" s="581">
        <f t="shared" si="42"/>
        <v>0</v>
      </c>
      <c r="KA41" s="581">
        <f t="shared" si="43"/>
        <v>0</v>
      </c>
      <c r="KB41" s="549">
        <f>KB270</f>
        <v>0</v>
      </c>
      <c r="KC41" s="709">
        <f t="shared" si="41"/>
        <v>0</v>
      </c>
      <c r="KD41" s="135"/>
      <c r="KE41" s="136" t="s">
        <v>535</v>
      </c>
      <c r="KF41" s="136" t="e">
        <f t="shared" ref="KF41:KK41" si="952">SUM(KF42:KF50)</f>
        <v>#REF!</v>
      </c>
      <c r="KG41" s="136" t="e">
        <f t="shared" si="952"/>
        <v>#REF!</v>
      </c>
      <c r="KH41" s="136" t="e">
        <f t="shared" si="952"/>
        <v>#REF!</v>
      </c>
      <c r="KI41" s="136" t="e">
        <f t="shared" si="952"/>
        <v>#REF!</v>
      </c>
      <c r="KJ41" s="136" t="e">
        <f t="shared" si="952"/>
        <v>#REF!</v>
      </c>
      <c r="KK41" s="136" t="e">
        <f t="shared" si="952"/>
        <v>#REF!</v>
      </c>
    </row>
    <row r="42" spans="1:297" s="8" customFormat="1" ht="12.75" hidden="1" customHeight="1">
      <c r="A42" s="75" t="s">
        <v>449</v>
      </c>
      <c r="B42" s="72"/>
      <c r="C42" s="74">
        <v>0</v>
      </c>
      <c r="D42" s="549">
        <f t="shared" ref="D42:E42" si="953">D604+D271</f>
        <v>0</v>
      </c>
      <c r="E42" s="675">
        <f t="shared" si="953"/>
        <v>0</v>
      </c>
      <c r="F42" s="549">
        <f t="shared" ref="F42:G42" si="954">F604+F271</f>
        <v>0</v>
      </c>
      <c r="G42" s="675">
        <f t="shared" si="954"/>
        <v>0</v>
      </c>
      <c r="H42" s="549">
        <f t="shared" ref="H42:BQ42" si="955">H604+H271</f>
        <v>0</v>
      </c>
      <c r="I42" s="675">
        <f t="shared" si="955"/>
        <v>0</v>
      </c>
      <c r="J42" s="549">
        <f t="shared" si="955"/>
        <v>0</v>
      </c>
      <c r="K42" s="675">
        <f t="shared" si="955"/>
        <v>0</v>
      </c>
      <c r="L42" s="549">
        <f t="shared" si="955"/>
        <v>0</v>
      </c>
      <c r="M42" s="675">
        <f t="shared" si="955"/>
        <v>0</v>
      </c>
      <c r="N42" s="549">
        <f t="shared" si="955"/>
        <v>0</v>
      </c>
      <c r="O42" s="675">
        <f t="shared" si="955"/>
        <v>0</v>
      </c>
      <c r="P42" s="549">
        <f t="shared" si="955"/>
        <v>0</v>
      </c>
      <c r="Q42" s="675">
        <f t="shared" si="955"/>
        <v>0</v>
      </c>
      <c r="R42" s="549">
        <f t="shared" si="955"/>
        <v>0</v>
      </c>
      <c r="S42" s="675">
        <f t="shared" si="955"/>
        <v>0</v>
      </c>
      <c r="T42" s="549">
        <f t="shared" si="955"/>
        <v>0</v>
      </c>
      <c r="U42" s="675">
        <f t="shared" si="955"/>
        <v>0</v>
      </c>
      <c r="V42" s="549">
        <f t="shared" si="955"/>
        <v>0</v>
      </c>
      <c r="W42" s="675">
        <f t="shared" si="955"/>
        <v>0</v>
      </c>
      <c r="X42" s="549">
        <f t="shared" si="955"/>
        <v>0</v>
      </c>
      <c r="Y42" s="675">
        <f t="shared" si="955"/>
        <v>0</v>
      </c>
      <c r="Z42" s="549">
        <f t="shared" si="955"/>
        <v>0</v>
      </c>
      <c r="AA42" s="675">
        <f t="shared" si="955"/>
        <v>0</v>
      </c>
      <c r="AB42" s="549">
        <f t="shared" si="955"/>
        <v>0</v>
      </c>
      <c r="AC42" s="675">
        <f t="shared" si="955"/>
        <v>0</v>
      </c>
      <c r="AD42" s="549">
        <f t="shared" si="955"/>
        <v>0</v>
      </c>
      <c r="AE42" s="675">
        <f t="shared" si="955"/>
        <v>0</v>
      </c>
      <c r="AF42" s="549">
        <f t="shared" si="955"/>
        <v>0</v>
      </c>
      <c r="AG42" s="675">
        <f t="shared" si="955"/>
        <v>0</v>
      </c>
      <c r="AH42" s="549">
        <f t="shared" si="955"/>
        <v>0</v>
      </c>
      <c r="AI42" s="675">
        <f t="shared" si="955"/>
        <v>0</v>
      </c>
      <c r="AJ42" s="549">
        <f t="shared" si="955"/>
        <v>0</v>
      </c>
      <c r="AK42" s="675">
        <f t="shared" si="955"/>
        <v>0</v>
      </c>
      <c r="AL42" s="549">
        <f t="shared" si="955"/>
        <v>0</v>
      </c>
      <c r="AM42" s="675">
        <f t="shared" si="955"/>
        <v>0</v>
      </c>
      <c r="AN42" s="549">
        <f t="shared" si="955"/>
        <v>0</v>
      </c>
      <c r="AO42" s="675">
        <f t="shared" si="955"/>
        <v>0</v>
      </c>
      <c r="AP42" s="549">
        <f t="shared" si="955"/>
        <v>0</v>
      </c>
      <c r="AQ42" s="675">
        <f t="shared" si="955"/>
        <v>0</v>
      </c>
      <c r="AR42" s="549">
        <f t="shared" si="955"/>
        <v>0</v>
      </c>
      <c r="AS42" s="675">
        <f t="shared" si="955"/>
        <v>0</v>
      </c>
      <c r="AT42" s="549">
        <f t="shared" ref="AT42:AU42" si="956">AT604+AT271</f>
        <v>0</v>
      </c>
      <c r="AU42" s="675">
        <f t="shared" si="956"/>
        <v>0</v>
      </c>
      <c r="AV42" s="549">
        <f t="shared" ref="AV42:AW42" si="957">AV604+AV271</f>
        <v>0</v>
      </c>
      <c r="AW42" s="675">
        <f t="shared" si="957"/>
        <v>0</v>
      </c>
      <c r="AX42" s="549">
        <f t="shared" ref="AX42:AY42" si="958">AX604+AX271</f>
        <v>0</v>
      </c>
      <c r="AY42" s="675">
        <f t="shared" si="958"/>
        <v>0</v>
      </c>
      <c r="AZ42" s="549">
        <f t="shared" ref="AZ42:BA42" si="959">AZ604+AZ271</f>
        <v>0</v>
      </c>
      <c r="BA42" s="675">
        <f t="shared" si="959"/>
        <v>0</v>
      </c>
      <c r="BB42" s="549">
        <f t="shared" ref="BB42:BC42" si="960">BB604+BB271</f>
        <v>0</v>
      </c>
      <c r="BC42" s="675">
        <f t="shared" si="960"/>
        <v>0</v>
      </c>
      <c r="BD42" s="549">
        <f t="shared" ref="BD42:BE42" si="961">BD604+BD271</f>
        <v>0</v>
      </c>
      <c r="BE42" s="675">
        <f t="shared" si="961"/>
        <v>0</v>
      </c>
      <c r="BF42" s="549">
        <f t="shared" ref="BF42:BG42" si="962">BF604+BF271</f>
        <v>0</v>
      </c>
      <c r="BG42" s="675">
        <f t="shared" si="962"/>
        <v>0</v>
      </c>
      <c r="BH42" s="549">
        <f t="shared" ref="BH42:BI42" si="963">BH604+BH271</f>
        <v>0</v>
      </c>
      <c r="BI42" s="675">
        <f t="shared" si="963"/>
        <v>0</v>
      </c>
      <c r="BJ42" s="549">
        <f t="shared" ref="BJ42:BK42" si="964">BJ604+BJ271</f>
        <v>0</v>
      </c>
      <c r="BK42" s="675">
        <f t="shared" si="964"/>
        <v>0</v>
      </c>
      <c r="BL42" s="549">
        <f t="shared" si="955"/>
        <v>0</v>
      </c>
      <c r="BM42" s="675">
        <f t="shared" si="955"/>
        <v>0</v>
      </c>
      <c r="BN42" s="549">
        <f t="shared" si="955"/>
        <v>0</v>
      </c>
      <c r="BO42" s="675">
        <f t="shared" si="955"/>
        <v>0</v>
      </c>
      <c r="BP42" s="549">
        <f t="shared" si="955"/>
        <v>0</v>
      </c>
      <c r="BQ42" s="675">
        <f t="shared" si="955"/>
        <v>0</v>
      </c>
      <c r="BR42" s="549">
        <f t="shared" ref="BR42:BS42" si="965">BR604+BR271</f>
        <v>0</v>
      </c>
      <c r="BS42" s="675">
        <f t="shared" si="965"/>
        <v>0</v>
      </c>
      <c r="BT42" s="549">
        <f t="shared" ref="BT42:BU42" si="966">BT604+BT271</f>
        <v>0</v>
      </c>
      <c r="BU42" s="675">
        <f t="shared" si="966"/>
        <v>0</v>
      </c>
      <c r="BV42" s="549">
        <f t="shared" ref="BV42:BW42" si="967">BV604+BV271</f>
        <v>0</v>
      </c>
      <c r="BW42" s="675">
        <f t="shared" si="967"/>
        <v>0</v>
      </c>
      <c r="BX42" s="549">
        <f t="shared" ref="BX42:BY42" si="968">BX604+BX271</f>
        <v>0</v>
      </c>
      <c r="BY42" s="675">
        <f t="shared" si="968"/>
        <v>0</v>
      </c>
      <c r="BZ42" s="549">
        <f t="shared" ref="BZ42:CA42" si="969">BZ604+BZ271</f>
        <v>0</v>
      </c>
      <c r="CA42" s="675">
        <f t="shared" si="969"/>
        <v>0</v>
      </c>
      <c r="CB42" s="549">
        <f t="shared" ref="CB42:EE42" si="970">CB604+CB271</f>
        <v>0</v>
      </c>
      <c r="CC42" s="675">
        <f t="shared" si="970"/>
        <v>0</v>
      </c>
      <c r="CD42" s="549">
        <f t="shared" si="970"/>
        <v>0</v>
      </c>
      <c r="CE42" s="675">
        <f t="shared" si="970"/>
        <v>0</v>
      </c>
      <c r="CF42" s="549">
        <f t="shared" si="970"/>
        <v>0</v>
      </c>
      <c r="CG42" s="675">
        <f t="shared" si="970"/>
        <v>0</v>
      </c>
      <c r="CH42" s="549">
        <f t="shared" si="970"/>
        <v>0</v>
      </c>
      <c r="CI42" s="675">
        <f t="shared" si="970"/>
        <v>0</v>
      </c>
      <c r="CJ42" s="549">
        <f t="shared" si="970"/>
        <v>0</v>
      </c>
      <c r="CK42" s="675">
        <f t="shared" si="970"/>
        <v>0</v>
      </c>
      <c r="CL42" s="549">
        <f t="shared" si="970"/>
        <v>0</v>
      </c>
      <c r="CM42" s="675">
        <f t="shared" si="970"/>
        <v>0</v>
      </c>
      <c r="CN42" s="549">
        <f t="shared" si="970"/>
        <v>0</v>
      </c>
      <c r="CO42" s="675">
        <f t="shared" si="970"/>
        <v>0</v>
      </c>
      <c r="CP42" s="549">
        <f t="shared" si="970"/>
        <v>0</v>
      </c>
      <c r="CQ42" s="675">
        <f t="shared" si="970"/>
        <v>0</v>
      </c>
      <c r="CR42" s="549">
        <f t="shared" si="970"/>
        <v>0</v>
      </c>
      <c r="CS42" s="675">
        <f t="shared" si="970"/>
        <v>0</v>
      </c>
      <c r="CT42" s="549">
        <f t="shared" si="970"/>
        <v>0</v>
      </c>
      <c r="CU42" s="675">
        <f t="shared" si="970"/>
        <v>0</v>
      </c>
      <c r="CV42" s="549">
        <f t="shared" si="970"/>
        <v>0</v>
      </c>
      <c r="CW42" s="675">
        <f t="shared" si="970"/>
        <v>0</v>
      </c>
      <c r="CX42" s="549">
        <f t="shared" si="970"/>
        <v>0</v>
      </c>
      <c r="CY42" s="675">
        <f t="shared" si="970"/>
        <v>0</v>
      </c>
      <c r="CZ42" s="549">
        <f t="shared" si="970"/>
        <v>0</v>
      </c>
      <c r="DA42" s="675">
        <f t="shared" si="970"/>
        <v>0</v>
      </c>
      <c r="DB42" s="549">
        <f t="shared" si="970"/>
        <v>0</v>
      </c>
      <c r="DC42" s="675">
        <f t="shared" si="970"/>
        <v>0</v>
      </c>
      <c r="DD42" s="549">
        <f t="shared" si="970"/>
        <v>0</v>
      </c>
      <c r="DE42" s="675">
        <f t="shared" si="970"/>
        <v>0</v>
      </c>
      <c r="DF42" s="549">
        <f t="shared" si="970"/>
        <v>0</v>
      </c>
      <c r="DG42" s="675">
        <f t="shared" si="970"/>
        <v>0</v>
      </c>
      <c r="DH42" s="549">
        <f t="shared" si="970"/>
        <v>0</v>
      </c>
      <c r="DI42" s="675">
        <f t="shared" si="970"/>
        <v>0</v>
      </c>
      <c r="DJ42" s="549">
        <f t="shared" si="970"/>
        <v>0</v>
      </c>
      <c r="DK42" s="675">
        <f t="shared" si="970"/>
        <v>0</v>
      </c>
      <c r="DL42" s="549">
        <f t="shared" si="970"/>
        <v>0</v>
      </c>
      <c r="DM42" s="675">
        <f t="shared" si="970"/>
        <v>0</v>
      </c>
      <c r="DN42" s="549">
        <f t="shared" si="970"/>
        <v>0</v>
      </c>
      <c r="DO42" s="675">
        <f t="shared" si="970"/>
        <v>0</v>
      </c>
      <c r="DP42" s="549">
        <f t="shared" si="970"/>
        <v>0</v>
      </c>
      <c r="DQ42" s="675">
        <f t="shared" si="970"/>
        <v>0</v>
      </c>
      <c r="DR42" s="549">
        <f t="shared" si="970"/>
        <v>0</v>
      </c>
      <c r="DS42" s="675">
        <f t="shared" si="970"/>
        <v>0</v>
      </c>
      <c r="DT42" s="549">
        <f t="shared" si="970"/>
        <v>0</v>
      </c>
      <c r="DU42" s="675">
        <f t="shared" si="970"/>
        <v>0</v>
      </c>
      <c r="DV42" s="549">
        <f t="shared" si="970"/>
        <v>0</v>
      </c>
      <c r="DW42" s="675">
        <f t="shared" si="970"/>
        <v>0</v>
      </c>
      <c r="DX42" s="549">
        <f t="shared" si="970"/>
        <v>0</v>
      </c>
      <c r="DY42" s="675">
        <f t="shared" si="970"/>
        <v>0</v>
      </c>
      <c r="DZ42" s="549">
        <f t="shared" si="970"/>
        <v>0</v>
      </c>
      <c r="EA42" s="675">
        <f t="shared" si="970"/>
        <v>0</v>
      </c>
      <c r="EB42" s="549">
        <f t="shared" si="970"/>
        <v>0</v>
      </c>
      <c r="EC42" s="675">
        <f t="shared" si="970"/>
        <v>0</v>
      </c>
      <c r="ED42" s="549">
        <f t="shared" si="970"/>
        <v>0</v>
      </c>
      <c r="EE42" s="675">
        <f t="shared" si="970"/>
        <v>0</v>
      </c>
      <c r="EF42" s="549">
        <f t="shared" ref="EF42:EG42" si="971">EF604+EF271</f>
        <v>0</v>
      </c>
      <c r="EG42" s="675">
        <f t="shared" si="971"/>
        <v>0</v>
      </c>
      <c r="EH42" s="549">
        <f t="shared" ref="EH42:HW42" si="972">EH604+EH271</f>
        <v>0</v>
      </c>
      <c r="EI42" s="675">
        <f t="shared" si="972"/>
        <v>0</v>
      </c>
      <c r="EJ42" s="549">
        <f t="shared" si="972"/>
        <v>0</v>
      </c>
      <c r="EK42" s="675">
        <f t="shared" si="972"/>
        <v>0</v>
      </c>
      <c r="EL42" s="549">
        <f t="shared" si="972"/>
        <v>0</v>
      </c>
      <c r="EM42" s="675">
        <f t="shared" si="972"/>
        <v>0</v>
      </c>
      <c r="EN42" s="549">
        <f t="shared" si="972"/>
        <v>0</v>
      </c>
      <c r="EO42" s="675">
        <f t="shared" si="972"/>
        <v>0</v>
      </c>
      <c r="EP42" s="549">
        <f t="shared" si="972"/>
        <v>0</v>
      </c>
      <c r="EQ42" s="675">
        <f t="shared" si="972"/>
        <v>0</v>
      </c>
      <c r="ER42" s="549">
        <f t="shared" si="972"/>
        <v>0</v>
      </c>
      <c r="ES42" s="675">
        <f t="shared" si="972"/>
        <v>0</v>
      </c>
      <c r="ET42" s="549">
        <f t="shared" si="972"/>
        <v>0</v>
      </c>
      <c r="EU42" s="675">
        <f t="shared" si="972"/>
        <v>0</v>
      </c>
      <c r="EV42" s="549">
        <f t="shared" si="972"/>
        <v>0</v>
      </c>
      <c r="EW42" s="675">
        <f t="shared" si="972"/>
        <v>0</v>
      </c>
      <c r="EX42" s="549">
        <f t="shared" si="972"/>
        <v>0</v>
      </c>
      <c r="EY42" s="675">
        <f t="shared" si="972"/>
        <v>0</v>
      </c>
      <c r="EZ42" s="549">
        <f t="shared" si="972"/>
        <v>0</v>
      </c>
      <c r="FA42" s="675">
        <f t="shared" si="972"/>
        <v>0</v>
      </c>
      <c r="FB42" s="549">
        <f t="shared" si="972"/>
        <v>0</v>
      </c>
      <c r="FC42" s="675">
        <f t="shared" si="972"/>
        <v>0</v>
      </c>
      <c r="FD42" s="549">
        <f t="shared" si="972"/>
        <v>0</v>
      </c>
      <c r="FE42" s="675">
        <f t="shared" si="972"/>
        <v>0</v>
      </c>
      <c r="FF42" s="549">
        <f t="shared" si="972"/>
        <v>0</v>
      </c>
      <c r="FG42" s="675">
        <f t="shared" si="972"/>
        <v>0</v>
      </c>
      <c r="FH42" s="549">
        <f t="shared" si="972"/>
        <v>0</v>
      </c>
      <c r="FI42" s="675">
        <f t="shared" si="972"/>
        <v>0</v>
      </c>
      <c r="FJ42" s="549">
        <f t="shared" si="972"/>
        <v>0</v>
      </c>
      <c r="FK42" s="675">
        <f t="shared" si="972"/>
        <v>0</v>
      </c>
      <c r="FL42" s="549">
        <f t="shared" ref="FL42:FM42" si="973">FL604+FL271</f>
        <v>0</v>
      </c>
      <c r="FM42" s="675">
        <f t="shared" si="973"/>
        <v>0</v>
      </c>
      <c r="FN42" s="549">
        <f t="shared" ref="FN42:FO42" si="974">FN604+FN271</f>
        <v>0</v>
      </c>
      <c r="FO42" s="675">
        <f t="shared" si="974"/>
        <v>0</v>
      </c>
      <c r="FP42" s="549">
        <f t="shared" ref="FP42:FQ42" si="975">FP604+FP271</f>
        <v>0</v>
      </c>
      <c r="FQ42" s="675">
        <f t="shared" si="975"/>
        <v>0</v>
      </c>
      <c r="FR42" s="549">
        <f t="shared" ref="FR42:FS42" si="976">FR604+FR271</f>
        <v>0</v>
      </c>
      <c r="FS42" s="675">
        <f t="shared" si="976"/>
        <v>0</v>
      </c>
      <c r="FT42" s="549">
        <f t="shared" ref="FT42:FU42" si="977">FT604+FT271</f>
        <v>0</v>
      </c>
      <c r="FU42" s="675">
        <f t="shared" si="977"/>
        <v>0</v>
      </c>
      <c r="FV42" s="549">
        <f t="shared" ref="FV42:GK42" si="978">FV604+FV271</f>
        <v>0</v>
      </c>
      <c r="FW42" s="675">
        <f t="shared" si="978"/>
        <v>0</v>
      </c>
      <c r="FX42" s="549">
        <f t="shared" si="978"/>
        <v>0</v>
      </c>
      <c r="FY42" s="675">
        <f t="shared" si="978"/>
        <v>0</v>
      </c>
      <c r="FZ42" s="549">
        <f t="shared" ref="FZ42:GI42" si="979">FZ604+FZ271</f>
        <v>0</v>
      </c>
      <c r="GA42" s="675">
        <f t="shared" si="979"/>
        <v>0</v>
      </c>
      <c r="GB42" s="549">
        <f t="shared" si="979"/>
        <v>0</v>
      </c>
      <c r="GC42" s="675">
        <f t="shared" si="979"/>
        <v>0</v>
      </c>
      <c r="GD42" s="549">
        <f t="shared" si="979"/>
        <v>0</v>
      </c>
      <c r="GE42" s="675">
        <f t="shared" si="979"/>
        <v>0</v>
      </c>
      <c r="GF42" s="549">
        <f t="shared" si="979"/>
        <v>0</v>
      </c>
      <c r="GG42" s="675">
        <f t="shared" si="979"/>
        <v>0</v>
      </c>
      <c r="GH42" s="549">
        <f t="shared" si="979"/>
        <v>0</v>
      </c>
      <c r="GI42" s="675">
        <f t="shared" si="979"/>
        <v>0</v>
      </c>
      <c r="GJ42" s="549">
        <f t="shared" si="978"/>
        <v>0</v>
      </c>
      <c r="GK42" s="675">
        <f t="shared" si="978"/>
        <v>0</v>
      </c>
      <c r="GL42" s="549">
        <f t="shared" ref="GL42:GM42" si="980">GL604+GL271</f>
        <v>0</v>
      </c>
      <c r="GM42" s="675">
        <f t="shared" si="980"/>
        <v>0</v>
      </c>
      <c r="GN42" s="549">
        <f t="shared" ref="GN42:GO42" si="981">GN604+GN271</f>
        <v>0</v>
      </c>
      <c r="GO42" s="675">
        <f t="shared" si="981"/>
        <v>0</v>
      </c>
      <c r="GP42" s="74">
        <f t="shared" si="972"/>
        <v>0</v>
      </c>
      <c r="GQ42" s="675">
        <f t="shared" si="972"/>
        <v>0</v>
      </c>
      <c r="GR42" s="74">
        <f t="shared" si="972"/>
        <v>0</v>
      </c>
      <c r="GS42" s="74">
        <f t="shared" si="972"/>
        <v>0</v>
      </c>
      <c r="GT42" s="549">
        <f t="shared" si="972"/>
        <v>0</v>
      </c>
      <c r="GU42" s="74">
        <f t="shared" si="972"/>
        <v>0</v>
      </c>
      <c r="GV42" s="74">
        <f t="shared" si="972"/>
        <v>0</v>
      </c>
      <c r="GW42" s="549">
        <f t="shared" si="972"/>
        <v>0</v>
      </c>
      <c r="GX42" s="549">
        <f t="shared" si="972"/>
        <v>0</v>
      </c>
      <c r="GY42" s="74">
        <f t="shared" si="972"/>
        <v>0</v>
      </c>
      <c r="GZ42" s="74">
        <f t="shared" si="972"/>
        <v>0</v>
      </c>
      <c r="HA42" s="74">
        <f t="shared" si="972"/>
        <v>0</v>
      </c>
      <c r="HB42" s="74">
        <f t="shared" si="972"/>
        <v>0</v>
      </c>
      <c r="HC42" s="74">
        <f t="shared" si="972"/>
        <v>0</v>
      </c>
      <c r="HD42" s="74">
        <f t="shared" si="972"/>
        <v>0</v>
      </c>
      <c r="HE42" s="74">
        <f t="shared" si="972"/>
        <v>0</v>
      </c>
      <c r="HF42" s="74">
        <f t="shared" si="972"/>
        <v>0</v>
      </c>
      <c r="HG42" s="74">
        <f t="shared" si="972"/>
        <v>0</v>
      </c>
      <c r="HH42" s="74">
        <f t="shared" si="972"/>
        <v>0</v>
      </c>
      <c r="HI42" s="74">
        <f t="shared" si="972"/>
        <v>0</v>
      </c>
      <c r="HJ42" s="74">
        <f t="shared" si="972"/>
        <v>0</v>
      </c>
      <c r="HK42" s="74">
        <f t="shared" si="972"/>
        <v>0</v>
      </c>
      <c r="HL42" s="74">
        <f t="shared" si="972"/>
        <v>0</v>
      </c>
      <c r="HM42" s="74">
        <f t="shared" si="972"/>
        <v>0</v>
      </c>
      <c r="HN42" s="74">
        <f t="shared" si="972"/>
        <v>0</v>
      </c>
      <c r="HO42" s="74">
        <f t="shared" si="972"/>
        <v>0</v>
      </c>
      <c r="HP42" s="74">
        <f t="shared" si="972"/>
        <v>0</v>
      </c>
      <c r="HQ42" s="74">
        <f t="shared" si="972"/>
        <v>0</v>
      </c>
      <c r="HR42" s="74">
        <f t="shared" si="972"/>
        <v>0</v>
      </c>
      <c r="HS42" s="74">
        <f t="shared" si="972"/>
        <v>0</v>
      </c>
      <c r="HT42" s="74">
        <f t="shared" si="972"/>
        <v>0</v>
      </c>
      <c r="HU42" s="74">
        <f t="shared" si="972"/>
        <v>0</v>
      </c>
      <c r="HV42" s="74">
        <f t="shared" si="972"/>
        <v>0</v>
      </c>
      <c r="HW42" s="74">
        <f t="shared" si="972"/>
        <v>0</v>
      </c>
      <c r="HX42" s="74">
        <f t="shared" ref="HX42:JT42" si="982">HX604+HX271</f>
        <v>0</v>
      </c>
      <c r="HY42" s="74">
        <f t="shared" si="982"/>
        <v>0</v>
      </c>
      <c r="HZ42" s="74">
        <f t="shared" si="982"/>
        <v>0</v>
      </c>
      <c r="IA42" s="74">
        <f t="shared" si="982"/>
        <v>0</v>
      </c>
      <c r="IB42" s="74">
        <f t="shared" si="982"/>
        <v>0</v>
      </c>
      <c r="IC42" s="74">
        <f t="shared" si="982"/>
        <v>0</v>
      </c>
      <c r="ID42" s="74">
        <f t="shared" si="982"/>
        <v>0</v>
      </c>
      <c r="IE42" s="792">
        <f t="shared" si="982"/>
        <v>0</v>
      </c>
      <c r="IF42" s="841">
        <f t="shared" si="982"/>
        <v>0</v>
      </c>
      <c r="IG42" s="263">
        <f t="shared" si="982"/>
        <v>0</v>
      </c>
      <c r="IH42" s="842">
        <f t="shared" si="982"/>
        <v>0</v>
      </c>
      <c r="II42" s="155">
        <f t="shared" si="982"/>
        <v>0</v>
      </c>
      <c r="IJ42" s="74">
        <f t="shared" si="982"/>
        <v>0</v>
      </c>
      <c r="IK42" s="74">
        <f t="shared" si="982"/>
        <v>0</v>
      </c>
      <c r="IL42" s="74">
        <f t="shared" si="982"/>
        <v>0</v>
      </c>
      <c r="IM42" s="74">
        <f t="shared" si="982"/>
        <v>0</v>
      </c>
      <c r="IN42" s="74">
        <f t="shared" si="982"/>
        <v>0</v>
      </c>
      <c r="IO42" s="74">
        <f t="shared" si="982"/>
        <v>0</v>
      </c>
      <c r="IP42" s="74">
        <f t="shared" si="982"/>
        <v>0</v>
      </c>
      <c r="IQ42" s="74">
        <f t="shared" si="982"/>
        <v>0</v>
      </c>
      <c r="IR42" s="74">
        <f t="shared" si="982"/>
        <v>0</v>
      </c>
      <c r="IS42" s="74">
        <f t="shared" si="982"/>
        <v>0</v>
      </c>
      <c r="IT42" s="74">
        <f t="shared" si="982"/>
        <v>0</v>
      </c>
      <c r="IU42" s="74">
        <f t="shared" si="982"/>
        <v>0</v>
      </c>
      <c r="IV42" s="74">
        <f t="shared" si="982"/>
        <v>0</v>
      </c>
      <c r="IW42" s="74">
        <f t="shared" si="982"/>
        <v>0</v>
      </c>
      <c r="IX42" s="74">
        <f t="shared" si="982"/>
        <v>0</v>
      </c>
      <c r="IY42" s="74">
        <f t="shared" si="982"/>
        <v>0</v>
      </c>
      <c r="IZ42" s="74">
        <f t="shared" si="982"/>
        <v>0</v>
      </c>
      <c r="JA42" s="74">
        <f t="shared" si="982"/>
        <v>0</v>
      </c>
      <c r="JB42" s="74">
        <f t="shared" si="982"/>
        <v>0</v>
      </c>
      <c r="JC42" s="74">
        <f t="shared" si="982"/>
        <v>0</v>
      </c>
      <c r="JD42" s="74">
        <f t="shared" si="982"/>
        <v>0</v>
      </c>
      <c r="JE42" s="74">
        <f t="shared" si="982"/>
        <v>0</v>
      </c>
      <c r="JF42" s="74">
        <f t="shared" si="982"/>
        <v>0</v>
      </c>
      <c r="JG42" s="74">
        <f t="shared" si="982"/>
        <v>0</v>
      </c>
      <c r="JH42" s="74">
        <f t="shared" si="982"/>
        <v>0</v>
      </c>
      <c r="JI42" s="74">
        <f t="shared" si="982"/>
        <v>0</v>
      </c>
      <c r="JJ42" s="74">
        <f t="shared" si="982"/>
        <v>0</v>
      </c>
      <c r="JK42" s="74">
        <f t="shared" si="982"/>
        <v>0</v>
      </c>
      <c r="JL42" s="74">
        <f t="shared" si="982"/>
        <v>0</v>
      </c>
      <c r="JM42" s="74">
        <f t="shared" si="982"/>
        <v>0</v>
      </c>
      <c r="JN42" s="74">
        <f t="shared" si="982"/>
        <v>0</v>
      </c>
      <c r="JO42" s="74">
        <f t="shared" si="982"/>
        <v>0</v>
      </c>
      <c r="JP42" s="74">
        <f t="shared" si="982"/>
        <v>0</v>
      </c>
      <c r="JQ42" s="74">
        <f t="shared" si="982"/>
        <v>0</v>
      </c>
      <c r="JR42" s="74">
        <f t="shared" si="982"/>
        <v>0</v>
      </c>
      <c r="JS42" s="74">
        <f t="shared" si="982"/>
        <v>0</v>
      </c>
      <c r="JT42" s="102">
        <f t="shared" si="982"/>
        <v>0</v>
      </c>
      <c r="JU42" s="671"/>
      <c r="JV42" s="492"/>
      <c r="JW42" s="490"/>
      <c r="JX42" s="549">
        <f>JX604+JX271</f>
        <v>0</v>
      </c>
      <c r="JY42" s="549">
        <f>JY604+JY271</f>
        <v>0</v>
      </c>
      <c r="JZ42" s="581">
        <f t="shared" si="42"/>
        <v>0</v>
      </c>
      <c r="KA42" s="581">
        <f t="shared" si="43"/>
        <v>0</v>
      </c>
      <c r="KB42" s="549">
        <f>KB604+KB271</f>
        <v>0</v>
      </c>
      <c r="KC42" s="709">
        <f t="shared" si="41"/>
        <v>0</v>
      </c>
      <c r="KD42" s="134" t="s">
        <v>471</v>
      </c>
      <c r="KE42" s="139" t="s">
        <v>542</v>
      </c>
      <c r="KF42" s="139">
        <f>C82</f>
        <v>500000</v>
      </c>
      <c r="KG42" s="139">
        <f>GR82</f>
        <v>799968</v>
      </c>
      <c r="KH42" s="139">
        <f>GS82</f>
        <v>754514</v>
      </c>
      <c r="KI42" s="139" t="e">
        <f>#REF!+GQ82</f>
        <v>#REF!</v>
      </c>
      <c r="KJ42" s="139">
        <f>GR82</f>
        <v>799968</v>
      </c>
      <c r="KK42" s="139">
        <f>HG82</f>
        <v>799968</v>
      </c>
    </row>
    <row r="43" spans="1:297" s="8" customFormat="1">
      <c r="A43" s="75"/>
      <c r="B43" s="72"/>
      <c r="C43" s="74"/>
      <c r="D43" s="549"/>
      <c r="E43" s="675"/>
      <c r="F43" s="549"/>
      <c r="G43" s="675"/>
      <c r="H43" s="549"/>
      <c r="I43" s="675"/>
      <c r="J43" s="549"/>
      <c r="K43" s="675"/>
      <c r="L43" s="549"/>
      <c r="M43" s="675"/>
      <c r="N43" s="549"/>
      <c r="O43" s="675"/>
      <c r="P43" s="549"/>
      <c r="Q43" s="675"/>
      <c r="R43" s="549"/>
      <c r="S43" s="675"/>
      <c r="T43" s="549"/>
      <c r="U43" s="675"/>
      <c r="V43" s="549"/>
      <c r="W43" s="675"/>
      <c r="X43" s="549"/>
      <c r="Y43" s="675"/>
      <c r="Z43" s="549"/>
      <c r="AA43" s="675"/>
      <c r="AB43" s="549"/>
      <c r="AC43" s="675"/>
      <c r="AD43" s="549"/>
      <c r="AE43" s="675"/>
      <c r="AF43" s="549"/>
      <c r="AG43" s="675"/>
      <c r="AH43" s="549"/>
      <c r="AI43" s="675"/>
      <c r="AJ43" s="549"/>
      <c r="AK43" s="675"/>
      <c r="AL43" s="549"/>
      <c r="AM43" s="675"/>
      <c r="AN43" s="549"/>
      <c r="AO43" s="675"/>
      <c r="AP43" s="549"/>
      <c r="AQ43" s="675"/>
      <c r="AR43" s="549"/>
      <c r="AS43" s="675"/>
      <c r="AT43" s="549"/>
      <c r="AU43" s="675"/>
      <c r="AV43" s="549"/>
      <c r="AW43" s="675"/>
      <c r="AX43" s="549"/>
      <c r="AY43" s="675"/>
      <c r="AZ43" s="549"/>
      <c r="BA43" s="675"/>
      <c r="BB43" s="549"/>
      <c r="BC43" s="675"/>
      <c r="BD43" s="549"/>
      <c r="BE43" s="675"/>
      <c r="BF43" s="549"/>
      <c r="BG43" s="675"/>
      <c r="BH43" s="549"/>
      <c r="BI43" s="675"/>
      <c r="BJ43" s="549"/>
      <c r="BK43" s="675"/>
      <c r="BL43" s="549"/>
      <c r="BM43" s="675"/>
      <c r="BN43" s="549"/>
      <c r="BO43" s="675"/>
      <c r="BP43" s="549"/>
      <c r="BQ43" s="675"/>
      <c r="BR43" s="549"/>
      <c r="BS43" s="675"/>
      <c r="BT43" s="549"/>
      <c r="BU43" s="675"/>
      <c r="BV43" s="549"/>
      <c r="BW43" s="675"/>
      <c r="BX43" s="549"/>
      <c r="BY43" s="675"/>
      <c r="BZ43" s="549"/>
      <c r="CA43" s="675"/>
      <c r="CB43" s="549"/>
      <c r="CC43" s="675"/>
      <c r="CD43" s="549"/>
      <c r="CE43" s="675"/>
      <c r="CF43" s="549"/>
      <c r="CG43" s="675"/>
      <c r="CH43" s="549"/>
      <c r="CI43" s="675"/>
      <c r="CJ43" s="549"/>
      <c r="CK43" s="675"/>
      <c r="CL43" s="549"/>
      <c r="CM43" s="675"/>
      <c r="CN43" s="549"/>
      <c r="CO43" s="675"/>
      <c r="CP43" s="549"/>
      <c r="CQ43" s="675"/>
      <c r="CR43" s="549"/>
      <c r="CS43" s="675"/>
      <c r="CT43" s="549"/>
      <c r="CU43" s="675"/>
      <c r="CV43" s="549"/>
      <c r="CW43" s="675"/>
      <c r="CX43" s="549"/>
      <c r="CY43" s="675"/>
      <c r="CZ43" s="549"/>
      <c r="DA43" s="675"/>
      <c r="DB43" s="549"/>
      <c r="DC43" s="675"/>
      <c r="DD43" s="549"/>
      <c r="DE43" s="675"/>
      <c r="DF43" s="549"/>
      <c r="DG43" s="675"/>
      <c r="DH43" s="549"/>
      <c r="DI43" s="675"/>
      <c r="DJ43" s="549"/>
      <c r="DK43" s="675"/>
      <c r="DL43" s="549"/>
      <c r="DM43" s="675"/>
      <c r="DN43" s="549"/>
      <c r="DO43" s="675"/>
      <c r="DP43" s="549"/>
      <c r="DQ43" s="675"/>
      <c r="DR43" s="549"/>
      <c r="DS43" s="675"/>
      <c r="DT43" s="549"/>
      <c r="DU43" s="675"/>
      <c r="DV43" s="549"/>
      <c r="DW43" s="675"/>
      <c r="DX43" s="549"/>
      <c r="DY43" s="675"/>
      <c r="DZ43" s="549"/>
      <c r="EA43" s="675"/>
      <c r="EB43" s="549"/>
      <c r="EC43" s="675"/>
      <c r="ED43" s="549"/>
      <c r="EE43" s="675"/>
      <c r="EF43" s="549"/>
      <c r="EG43" s="675"/>
      <c r="EH43" s="549"/>
      <c r="EI43" s="675"/>
      <c r="EJ43" s="549"/>
      <c r="EK43" s="675"/>
      <c r="EL43" s="549"/>
      <c r="EM43" s="675"/>
      <c r="EN43" s="549"/>
      <c r="EO43" s="675"/>
      <c r="EP43" s="549"/>
      <c r="EQ43" s="675"/>
      <c r="ER43" s="549"/>
      <c r="ES43" s="675"/>
      <c r="ET43" s="549"/>
      <c r="EU43" s="675"/>
      <c r="EV43" s="549"/>
      <c r="EW43" s="675"/>
      <c r="EX43" s="549"/>
      <c r="EY43" s="675"/>
      <c r="EZ43" s="549"/>
      <c r="FA43" s="675"/>
      <c r="FB43" s="549"/>
      <c r="FC43" s="675"/>
      <c r="FD43" s="549"/>
      <c r="FE43" s="675"/>
      <c r="FF43" s="549"/>
      <c r="FG43" s="675"/>
      <c r="FH43" s="549"/>
      <c r="FI43" s="675"/>
      <c r="FJ43" s="549"/>
      <c r="FK43" s="675"/>
      <c r="FL43" s="549"/>
      <c r="FM43" s="675"/>
      <c r="FN43" s="549"/>
      <c r="FO43" s="675"/>
      <c r="FP43" s="549"/>
      <c r="FQ43" s="675"/>
      <c r="FR43" s="549"/>
      <c r="FS43" s="675"/>
      <c r="FT43" s="549"/>
      <c r="FU43" s="675"/>
      <c r="FV43" s="549"/>
      <c r="FW43" s="675"/>
      <c r="FX43" s="549"/>
      <c r="FY43" s="675"/>
      <c r="FZ43" s="549"/>
      <c r="GA43" s="675"/>
      <c r="GB43" s="549"/>
      <c r="GC43" s="675"/>
      <c r="GD43" s="549"/>
      <c r="GE43" s="675"/>
      <c r="GF43" s="549"/>
      <c r="GG43" s="675"/>
      <c r="GH43" s="549"/>
      <c r="GI43" s="675"/>
      <c r="GJ43" s="549"/>
      <c r="GK43" s="675"/>
      <c r="GL43" s="549"/>
      <c r="GM43" s="675"/>
      <c r="GN43" s="549"/>
      <c r="GO43" s="675"/>
      <c r="GP43" s="74"/>
      <c r="GQ43" s="675"/>
      <c r="GR43" s="74"/>
      <c r="GS43" s="74"/>
      <c r="GT43" s="549"/>
      <c r="GU43" s="74"/>
      <c r="GV43" s="74"/>
      <c r="GW43" s="549"/>
      <c r="GX43" s="549"/>
      <c r="GY43" s="74"/>
      <c r="GZ43" s="74"/>
      <c r="HA43" s="74"/>
      <c r="HB43" s="74"/>
      <c r="HC43" s="74"/>
      <c r="HD43" s="74"/>
      <c r="HE43" s="74"/>
      <c r="HF43" s="74"/>
      <c r="HG43" s="74"/>
      <c r="HH43" s="74"/>
      <c r="HI43" s="74"/>
      <c r="HJ43" s="74"/>
      <c r="HK43" s="74"/>
      <c r="HL43" s="74"/>
      <c r="HM43" s="74"/>
      <c r="HN43" s="74"/>
      <c r="HO43" s="74"/>
      <c r="HP43" s="74"/>
      <c r="HQ43" s="74"/>
      <c r="HR43" s="74"/>
      <c r="HS43" s="74"/>
      <c r="HT43" s="74"/>
      <c r="HU43" s="74"/>
      <c r="HV43" s="74"/>
      <c r="HW43" s="74"/>
      <c r="HX43" s="74"/>
      <c r="HY43" s="74"/>
      <c r="HZ43" s="74"/>
      <c r="IA43" s="74"/>
      <c r="IB43" s="74"/>
      <c r="IC43" s="74"/>
      <c r="ID43" s="74"/>
      <c r="IE43" s="792"/>
      <c r="IF43" s="841"/>
      <c r="IG43" s="263"/>
      <c r="IH43" s="842"/>
      <c r="II43" s="155"/>
      <c r="IJ43" s="74"/>
      <c r="IK43" s="74"/>
      <c r="IL43" s="74"/>
      <c r="IM43" s="74"/>
      <c r="IN43" s="74"/>
      <c r="IO43" s="74"/>
      <c r="IP43" s="74"/>
      <c r="IQ43" s="74"/>
      <c r="IR43" s="74"/>
      <c r="IS43" s="74"/>
      <c r="IT43" s="74"/>
      <c r="IU43" s="74"/>
      <c r="IV43" s="74"/>
      <c r="IW43" s="74"/>
      <c r="IX43" s="74"/>
      <c r="IY43" s="74"/>
      <c r="IZ43" s="74"/>
      <c r="JA43" s="74"/>
      <c r="JB43" s="74"/>
      <c r="JC43" s="74"/>
      <c r="JD43" s="74"/>
      <c r="JE43" s="74"/>
      <c r="JF43" s="74"/>
      <c r="JG43" s="74"/>
      <c r="JH43" s="74"/>
      <c r="JI43" s="74"/>
      <c r="JJ43" s="74"/>
      <c r="JK43" s="74"/>
      <c r="JL43" s="74"/>
      <c r="JM43" s="74"/>
      <c r="JN43" s="74"/>
      <c r="JO43" s="74"/>
      <c r="JP43" s="74"/>
      <c r="JQ43" s="74"/>
      <c r="JR43" s="74"/>
      <c r="JS43" s="74"/>
      <c r="JT43" s="102"/>
      <c r="JU43" s="671"/>
      <c r="JV43" s="492"/>
      <c r="JW43" s="490"/>
      <c r="JX43" s="549"/>
      <c r="JY43" s="549"/>
      <c r="JZ43" s="581">
        <f t="shared" si="42"/>
        <v>0</v>
      </c>
      <c r="KA43" s="581">
        <f t="shared" si="43"/>
        <v>0</v>
      </c>
      <c r="KB43" s="549"/>
      <c r="KC43" s="709">
        <f t="shared" si="41"/>
        <v>0</v>
      </c>
      <c r="KD43" s="131" t="s">
        <v>124</v>
      </c>
      <c r="KE43" s="127" t="s">
        <v>125</v>
      </c>
      <c r="KF43" s="127" t="e">
        <f>C437+#REF!</f>
        <v>#REF!</v>
      </c>
      <c r="KG43" s="127" t="e">
        <f>GR437+#REF!</f>
        <v>#REF!</v>
      </c>
      <c r="KH43" s="127" t="e">
        <f>GS437+#REF!</f>
        <v>#REF!</v>
      </c>
      <c r="KI43" s="127" t="e">
        <f>#REF!+#REF!+GQ437+#REF!</f>
        <v>#REF!</v>
      </c>
      <c r="KJ43" s="127" t="e">
        <f>GR437+#REF!</f>
        <v>#REF!</v>
      </c>
      <c r="KK43" s="127" t="e">
        <f>HG437+#REF!</f>
        <v>#REF!</v>
      </c>
    </row>
    <row r="44" spans="1:297" s="8" customFormat="1">
      <c r="A44" s="75">
        <v>1</v>
      </c>
      <c r="B44" s="72" t="s">
        <v>81</v>
      </c>
      <c r="C44" s="74">
        <f t="shared" ref="C44:AM44" si="983">SUM(C46,C52,C61,C63,C67,C72,C77,C86)+C82+C94</f>
        <v>2236300</v>
      </c>
      <c r="D44" s="549">
        <f t="shared" si="983"/>
        <v>0</v>
      </c>
      <c r="E44" s="675">
        <f t="shared" si="983"/>
        <v>0</v>
      </c>
      <c r="F44" s="549">
        <f t="shared" si="983"/>
        <v>13000</v>
      </c>
      <c r="G44" s="675">
        <f t="shared" si="983"/>
        <v>0</v>
      </c>
      <c r="H44" s="549">
        <f t="shared" si="983"/>
        <v>0</v>
      </c>
      <c r="I44" s="675">
        <f t="shared" si="983"/>
        <v>0</v>
      </c>
      <c r="J44" s="549">
        <f t="shared" si="983"/>
        <v>0</v>
      </c>
      <c r="K44" s="675">
        <f t="shared" si="983"/>
        <v>0</v>
      </c>
      <c r="L44" s="549">
        <f t="shared" si="983"/>
        <v>0</v>
      </c>
      <c r="M44" s="675">
        <f t="shared" si="983"/>
        <v>0</v>
      </c>
      <c r="N44" s="549">
        <f t="shared" si="983"/>
        <v>0</v>
      </c>
      <c r="O44" s="675">
        <f t="shared" si="983"/>
        <v>0</v>
      </c>
      <c r="P44" s="549">
        <f t="shared" si="983"/>
        <v>0</v>
      </c>
      <c r="Q44" s="675">
        <f t="shared" si="983"/>
        <v>0</v>
      </c>
      <c r="R44" s="549">
        <f t="shared" si="983"/>
        <v>0</v>
      </c>
      <c r="S44" s="675">
        <f t="shared" si="983"/>
        <v>0</v>
      </c>
      <c r="T44" s="549">
        <f t="shared" si="983"/>
        <v>0</v>
      </c>
      <c r="U44" s="675">
        <f t="shared" si="983"/>
        <v>0</v>
      </c>
      <c r="V44" s="549">
        <f t="shared" si="983"/>
        <v>45700</v>
      </c>
      <c r="W44" s="675">
        <f t="shared" si="983"/>
        <v>0</v>
      </c>
      <c r="X44" s="549">
        <f t="shared" si="983"/>
        <v>10000</v>
      </c>
      <c r="Y44" s="675">
        <f t="shared" si="983"/>
        <v>-10000</v>
      </c>
      <c r="Z44" s="549">
        <f t="shared" si="983"/>
        <v>0</v>
      </c>
      <c r="AA44" s="675">
        <f t="shared" si="983"/>
        <v>0</v>
      </c>
      <c r="AB44" s="549">
        <f t="shared" si="983"/>
        <v>0</v>
      </c>
      <c r="AC44" s="675">
        <f t="shared" si="983"/>
        <v>0</v>
      </c>
      <c r="AD44" s="549">
        <f t="shared" si="983"/>
        <v>4000</v>
      </c>
      <c r="AE44" s="675">
        <f t="shared" si="983"/>
        <v>0</v>
      </c>
      <c r="AF44" s="549">
        <f t="shared" si="983"/>
        <v>20000</v>
      </c>
      <c r="AG44" s="675">
        <f t="shared" si="983"/>
        <v>-10000</v>
      </c>
      <c r="AH44" s="549">
        <f t="shared" si="983"/>
        <v>0</v>
      </c>
      <c r="AI44" s="675">
        <f t="shared" si="983"/>
        <v>0</v>
      </c>
      <c r="AJ44" s="549">
        <f t="shared" si="983"/>
        <v>0</v>
      </c>
      <c r="AK44" s="675">
        <f t="shared" si="983"/>
        <v>0</v>
      </c>
      <c r="AL44" s="549">
        <f t="shared" si="983"/>
        <v>0</v>
      </c>
      <c r="AM44" s="675">
        <f t="shared" si="983"/>
        <v>0</v>
      </c>
      <c r="AN44" s="549">
        <f t="shared" ref="AN44:AS44" si="984">SUM(AN46,AN52,AN61,AN63,AN67,AN72,AN77,AN86)+AN82+AN94</f>
        <v>0</v>
      </c>
      <c r="AO44" s="675">
        <f t="shared" si="984"/>
        <v>0</v>
      </c>
      <c r="AP44" s="549">
        <f t="shared" si="984"/>
        <v>0</v>
      </c>
      <c r="AQ44" s="675">
        <f t="shared" si="984"/>
        <v>0</v>
      </c>
      <c r="AR44" s="549">
        <f t="shared" si="984"/>
        <v>0</v>
      </c>
      <c r="AS44" s="675">
        <f t="shared" si="984"/>
        <v>0</v>
      </c>
      <c r="AT44" s="549">
        <f t="shared" ref="AT44:AU44" si="985">SUM(AT46,AT52,AT61,AT63,AT67,AT72,AT77,AT86)+AT82+AT94</f>
        <v>0</v>
      </c>
      <c r="AU44" s="675">
        <f t="shared" si="985"/>
        <v>0</v>
      </c>
      <c r="AV44" s="549">
        <f t="shared" ref="AV44:AW44" si="986">SUM(AV46,AV52,AV61,AV63,AV67,AV72,AV77,AV86)+AV82+AV94</f>
        <v>0</v>
      </c>
      <c r="AW44" s="675">
        <f t="shared" si="986"/>
        <v>0</v>
      </c>
      <c r="AX44" s="549">
        <f t="shared" ref="AX44:AY44" si="987">SUM(AX46,AX52,AX61,AX63,AX67,AX72,AX77,AX86)+AX82+AX94</f>
        <v>0</v>
      </c>
      <c r="AY44" s="675">
        <f t="shared" si="987"/>
        <v>0</v>
      </c>
      <c r="AZ44" s="549">
        <f t="shared" ref="AZ44:BA44" si="988">SUM(AZ46,AZ52,AZ61,AZ63,AZ67,AZ72,AZ77,AZ86)+AZ82+AZ94</f>
        <v>5000</v>
      </c>
      <c r="BA44" s="675">
        <f t="shared" si="988"/>
        <v>-16000</v>
      </c>
      <c r="BB44" s="549">
        <f t="shared" ref="BB44:BC44" si="989">SUM(BB46,BB52,BB61,BB63,BB67,BB72,BB77,BB86)+BB82+BB94</f>
        <v>0</v>
      </c>
      <c r="BC44" s="675">
        <f t="shared" si="989"/>
        <v>0</v>
      </c>
      <c r="BD44" s="549">
        <f t="shared" ref="BD44:BE44" si="990">SUM(BD46,BD52,BD61,BD63,BD67,BD72,BD77,BD86)+BD82+BD94</f>
        <v>32000</v>
      </c>
      <c r="BE44" s="675">
        <f t="shared" si="990"/>
        <v>0</v>
      </c>
      <c r="BF44" s="549">
        <f t="shared" ref="BF44:BG44" si="991">SUM(BF46,BF52,BF61,BF63,BF67,BF72,BF77,BF86)+BF82+BF94</f>
        <v>0</v>
      </c>
      <c r="BG44" s="675">
        <f t="shared" si="991"/>
        <v>0</v>
      </c>
      <c r="BH44" s="549">
        <f t="shared" ref="BH44:BI44" si="992">SUM(BH46,BH52,BH61,BH63,BH67,BH72,BH77,BH86)+BH82+BH94</f>
        <v>0</v>
      </c>
      <c r="BI44" s="675">
        <f t="shared" si="992"/>
        <v>0</v>
      </c>
      <c r="BJ44" s="549">
        <f t="shared" ref="BJ44:BK44" si="993">SUM(BJ46,BJ52,BJ61,BJ63,BJ67,BJ72,BJ77,BJ86)+BJ82+BJ94</f>
        <v>0</v>
      </c>
      <c r="BK44" s="675">
        <f t="shared" si="993"/>
        <v>0</v>
      </c>
      <c r="BL44" s="549">
        <f t="shared" ref="BL44:BS44" si="994">SUM(BL46,BL52,BL61,BL63,BL67,BL72,BL77,BL86)+BL82+BL94</f>
        <v>3182</v>
      </c>
      <c r="BM44" s="675">
        <f t="shared" si="994"/>
        <v>0</v>
      </c>
      <c r="BN44" s="549">
        <f t="shared" si="994"/>
        <v>5000</v>
      </c>
      <c r="BO44" s="675">
        <f t="shared" si="994"/>
        <v>0</v>
      </c>
      <c r="BP44" s="549">
        <f t="shared" si="994"/>
        <v>15000</v>
      </c>
      <c r="BQ44" s="675">
        <f t="shared" si="994"/>
        <v>0</v>
      </c>
      <c r="BR44" s="549">
        <f t="shared" si="994"/>
        <v>0</v>
      </c>
      <c r="BS44" s="675">
        <f t="shared" si="994"/>
        <v>0</v>
      </c>
      <c r="BT44" s="549">
        <f t="shared" ref="BT44:BU44" si="995">SUM(BT46,BT52,BT61,BT63,BT67,BT72,BT77,BT86)+BT82+BT94</f>
        <v>0</v>
      </c>
      <c r="BU44" s="675">
        <f t="shared" si="995"/>
        <v>0</v>
      </c>
      <c r="BV44" s="549">
        <f t="shared" ref="BV44:BW44" si="996">SUM(BV46,BV52,BV61,BV63,BV67,BV72,BV77,BV86)+BV82+BV94</f>
        <v>0</v>
      </c>
      <c r="BW44" s="675">
        <f t="shared" si="996"/>
        <v>0</v>
      </c>
      <c r="BX44" s="549">
        <f t="shared" ref="BX44:BY44" si="997">SUM(BX46,BX52,BX61,BX63,BX67,BX72,BX77,BX86)+BX82+BX94</f>
        <v>0</v>
      </c>
      <c r="BY44" s="675">
        <f t="shared" si="997"/>
        <v>0</v>
      </c>
      <c r="BZ44" s="549">
        <f t="shared" ref="BZ44:CA44" si="998">SUM(BZ46,BZ52,BZ61,BZ63,BZ67,BZ72,BZ77,BZ86)+BZ82+BZ94</f>
        <v>1775</v>
      </c>
      <c r="CA44" s="675">
        <f t="shared" si="998"/>
        <v>-1775</v>
      </c>
      <c r="CB44" s="549">
        <f t="shared" ref="CB44:CE44" si="999">SUM(CB46,CB52,CB61,CB63,CB67,CB72,CB77,CB86)+CB82+CB94</f>
        <v>15000</v>
      </c>
      <c r="CC44" s="675">
        <f t="shared" si="999"/>
        <v>0</v>
      </c>
      <c r="CD44" s="549">
        <f t="shared" si="999"/>
        <v>0</v>
      </c>
      <c r="CE44" s="675">
        <f t="shared" si="999"/>
        <v>0</v>
      </c>
      <c r="CF44" s="549">
        <f t="shared" ref="CF44:CQ44" si="1000">SUM(CF46,CF52,CF61,CF63,CF67,CF72,CF77,CF86)+CF82+CF94</f>
        <v>0</v>
      </c>
      <c r="CG44" s="675">
        <f t="shared" si="1000"/>
        <v>0</v>
      </c>
      <c r="CH44" s="549">
        <f t="shared" si="1000"/>
        <v>10000</v>
      </c>
      <c r="CI44" s="675">
        <f t="shared" si="1000"/>
        <v>-3000</v>
      </c>
      <c r="CJ44" s="549">
        <f t="shared" si="1000"/>
        <v>299968</v>
      </c>
      <c r="CK44" s="675">
        <f t="shared" si="1000"/>
        <v>-50000</v>
      </c>
      <c r="CL44" s="549">
        <f t="shared" si="1000"/>
        <v>7000</v>
      </c>
      <c r="CM44" s="675">
        <f t="shared" si="1000"/>
        <v>-10000</v>
      </c>
      <c r="CN44" s="549">
        <f t="shared" si="1000"/>
        <v>0</v>
      </c>
      <c r="CO44" s="675">
        <f t="shared" si="1000"/>
        <v>0</v>
      </c>
      <c r="CP44" s="549">
        <f t="shared" si="1000"/>
        <v>0</v>
      </c>
      <c r="CQ44" s="675">
        <f t="shared" si="1000"/>
        <v>0</v>
      </c>
      <c r="CR44" s="549">
        <f t="shared" ref="CR44:CY44" si="1001">SUM(CR46,CR52,CR61,CR63,CR67,CR72,CR77,CR86)+CR82+CR94</f>
        <v>0</v>
      </c>
      <c r="CS44" s="675">
        <f t="shared" si="1001"/>
        <v>0</v>
      </c>
      <c r="CT44" s="549">
        <f t="shared" si="1001"/>
        <v>0</v>
      </c>
      <c r="CU44" s="675">
        <f t="shared" si="1001"/>
        <v>0</v>
      </c>
      <c r="CV44" s="549">
        <f t="shared" si="1001"/>
        <v>0</v>
      </c>
      <c r="CW44" s="675">
        <f t="shared" si="1001"/>
        <v>0</v>
      </c>
      <c r="CX44" s="549">
        <f t="shared" si="1001"/>
        <v>0</v>
      </c>
      <c r="CY44" s="675">
        <f t="shared" si="1001"/>
        <v>0</v>
      </c>
      <c r="CZ44" s="549">
        <f t="shared" ref="CZ44:DI44" si="1002">SUM(CZ46,CZ52,CZ61,CZ63,CZ67,CZ72,CZ77,CZ86)+CZ82+CZ94</f>
        <v>20000</v>
      </c>
      <c r="DA44" s="675">
        <f t="shared" si="1002"/>
        <v>0</v>
      </c>
      <c r="DB44" s="549">
        <f t="shared" si="1002"/>
        <v>0</v>
      </c>
      <c r="DC44" s="675">
        <f t="shared" si="1002"/>
        <v>0</v>
      </c>
      <c r="DD44" s="549">
        <f t="shared" si="1002"/>
        <v>0</v>
      </c>
      <c r="DE44" s="675">
        <f t="shared" si="1002"/>
        <v>0</v>
      </c>
      <c r="DF44" s="549">
        <f t="shared" si="1002"/>
        <v>100000</v>
      </c>
      <c r="DG44" s="675">
        <f t="shared" si="1002"/>
        <v>-100000</v>
      </c>
      <c r="DH44" s="549">
        <f t="shared" si="1002"/>
        <v>13000</v>
      </c>
      <c r="DI44" s="675">
        <f t="shared" si="1002"/>
        <v>-20000</v>
      </c>
      <c r="DJ44" s="549">
        <f t="shared" ref="DJ44:DK44" si="1003">SUM(DJ46,DJ52,DJ61,DJ63,DJ67,DJ72,DJ77,DJ86)+DJ82+DJ94</f>
        <v>10000</v>
      </c>
      <c r="DK44" s="675">
        <f t="shared" si="1003"/>
        <v>-4000</v>
      </c>
      <c r="DL44" s="549">
        <f t="shared" ref="DL44:DM44" si="1004">SUM(DL46,DL52,DL61,DL63,DL67,DL72,DL77,DL86)+DL82+DL94</f>
        <v>0</v>
      </c>
      <c r="DM44" s="675">
        <f t="shared" si="1004"/>
        <v>0</v>
      </c>
      <c r="DN44" s="549">
        <f t="shared" ref="DN44:DW44" si="1005">SUM(DN46,DN52,DN61,DN63,DN67,DN72,DN77,DN86)+DN82+DN94</f>
        <v>0</v>
      </c>
      <c r="DO44" s="675">
        <f t="shared" si="1005"/>
        <v>0</v>
      </c>
      <c r="DP44" s="549">
        <f t="shared" si="1005"/>
        <v>0</v>
      </c>
      <c r="DQ44" s="675">
        <f t="shared" si="1005"/>
        <v>-6000</v>
      </c>
      <c r="DR44" s="549">
        <f t="shared" si="1005"/>
        <v>0</v>
      </c>
      <c r="DS44" s="675">
        <f t="shared" si="1005"/>
        <v>0</v>
      </c>
      <c r="DT44" s="549">
        <f t="shared" si="1005"/>
        <v>0</v>
      </c>
      <c r="DU44" s="675">
        <f t="shared" si="1005"/>
        <v>0</v>
      </c>
      <c r="DV44" s="549">
        <f t="shared" si="1005"/>
        <v>0</v>
      </c>
      <c r="DW44" s="675">
        <f t="shared" si="1005"/>
        <v>0</v>
      </c>
      <c r="DX44" s="549">
        <f t="shared" ref="DX44:EG44" si="1006">SUM(DX46,DX52,DX61,DX63,DX67,DX72,DX77,DX86)+DX82+DX94</f>
        <v>0</v>
      </c>
      <c r="DY44" s="675">
        <f t="shared" si="1006"/>
        <v>0</v>
      </c>
      <c r="DZ44" s="549">
        <f t="shared" si="1006"/>
        <v>0</v>
      </c>
      <c r="EA44" s="675">
        <f t="shared" si="1006"/>
        <v>0</v>
      </c>
      <c r="EB44" s="549">
        <f t="shared" si="1006"/>
        <v>0</v>
      </c>
      <c r="EC44" s="675">
        <f t="shared" si="1006"/>
        <v>0</v>
      </c>
      <c r="ED44" s="549">
        <f t="shared" si="1006"/>
        <v>48000</v>
      </c>
      <c r="EE44" s="675">
        <f t="shared" si="1006"/>
        <v>0</v>
      </c>
      <c r="EF44" s="549">
        <f t="shared" si="1006"/>
        <v>0</v>
      </c>
      <c r="EG44" s="675">
        <f t="shared" si="1006"/>
        <v>0</v>
      </c>
      <c r="EH44" s="549">
        <f t="shared" ref="EH44:EM44" si="1007">SUM(EH46,EH52,EH61,EH63,EH67,EH72,EH77,EH86)+EH82+EH94</f>
        <v>0</v>
      </c>
      <c r="EI44" s="675">
        <f t="shared" si="1007"/>
        <v>0</v>
      </c>
      <c r="EJ44" s="549">
        <f t="shared" si="1007"/>
        <v>0</v>
      </c>
      <c r="EK44" s="675">
        <f t="shared" si="1007"/>
        <v>0</v>
      </c>
      <c r="EL44" s="549">
        <f t="shared" si="1007"/>
        <v>5000</v>
      </c>
      <c r="EM44" s="675">
        <f t="shared" si="1007"/>
        <v>-19000</v>
      </c>
      <c r="EN44" s="549">
        <f t="shared" ref="EN44:EO44" si="1008">SUM(EN46,EN52,EN61,EN63,EN67,EN72,EN77,EN86)+EN82+EN94</f>
        <v>0</v>
      </c>
      <c r="EO44" s="675">
        <f t="shared" si="1008"/>
        <v>0</v>
      </c>
      <c r="EP44" s="549">
        <f t="shared" ref="EP44:FA44" si="1009">SUM(EP46,EP52,EP61,EP63,EP67,EP72,EP77,EP86)+EP82+EP94</f>
        <v>0</v>
      </c>
      <c r="EQ44" s="675">
        <f t="shared" si="1009"/>
        <v>0</v>
      </c>
      <c r="ER44" s="549">
        <f t="shared" si="1009"/>
        <v>0</v>
      </c>
      <c r="ES44" s="675">
        <f t="shared" si="1009"/>
        <v>0</v>
      </c>
      <c r="ET44" s="549">
        <f t="shared" si="1009"/>
        <v>3000</v>
      </c>
      <c r="EU44" s="675">
        <f t="shared" si="1009"/>
        <v>0</v>
      </c>
      <c r="EV44" s="549">
        <f t="shared" ref="EV44:EW44" si="1010">SUM(EV46,EV52,EV61,EV63,EV67,EV72,EV77,EV86)+EV82+EV94</f>
        <v>1803</v>
      </c>
      <c r="EW44" s="675">
        <f t="shared" si="1010"/>
        <v>0</v>
      </c>
      <c r="EX44" s="549">
        <f t="shared" si="1009"/>
        <v>0</v>
      </c>
      <c r="EY44" s="675">
        <f t="shared" si="1009"/>
        <v>0</v>
      </c>
      <c r="EZ44" s="549">
        <f t="shared" si="1009"/>
        <v>0</v>
      </c>
      <c r="FA44" s="675">
        <f t="shared" si="1009"/>
        <v>0</v>
      </c>
      <c r="FB44" s="549">
        <f t="shared" ref="FB44:FC44" si="1011">SUM(FB46,FB52,FB61,FB63,FB67,FB72,FB77,FB86)+FB82+FB94</f>
        <v>0</v>
      </c>
      <c r="FC44" s="675">
        <f t="shared" si="1011"/>
        <v>0</v>
      </c>
      <c r="FD44" s="549">
        <f t="shared" ref="FD44:FE44" si="1012">SUM(FD46,FD52,FD61,FD63,FD67,FD72,FD77,FD86)+FD82+FD94</f>
        <v>5000</v>
      </c>
      <c r="FE44" s="675">
        <f t="shared" si="1012"/>
        <v>0</v>
      </c>
      <c r="FF44" s="549">
        <f t="shared" ref="FF44:FG44" si="1013">SUM(FF46,FF52,FF61,FF63,FF67,FF72,FF77,FF86)+FF82+FF94</f>
        <v>1140</v>
      </c>
      <c r="FG44" s="675">
        <f t="shared" si="1013"/>
        <v>0</v>
      </c>
      <c r="FH44" s="549">
        <f t="shared" ref="FH44:FI44" si="1014">SUM(FH46,FH52,FH61,FH63,FH67,FH72,FH77,FH86)+FH82+FH94</f>
        <v>0</v>
      </c>
      <c r="FI44" s="675">
        <f t="shared" si="1014"/>
        <v>0</v>
      </c>
      <c r="FJ44" s="549">
        <f t="shared" ref="FJ44:FK44" si="1015">SUM(FJ46,FJ52,FJ61,FJ63,FJ67,FJ72,FJ77,FJ86)+FJ82+FJ94</f>
        <v>5000</v>
      </c>
      <c r="FK44" s="675">
        <f t="shared" si="1015"/>
        <v>0</v>
      </c>
      <c r="FL44" s="549">
        <f t="shared" ref="FL44:FM44" si="1016">SUM(FL46,FL52,FL61,FL63,FL67,FL72,FL77,FL86)+FL82+FL94</f>
        <v>24000</v>
      </c>
      <c r="FM44" s="675">
        <f t="shared" si="1016"/>
        <v>-28000</v>
      </c>
      <c r="FN44" s="549">
        <f t="shared" ref="FN44:FO44" si="1017">SUM(FN46,FN52,FN61,FN63,FN67,FN72,FN77,FN86)+FN82+FN94</f>
        <v>0</v>
      </c>
      <c r="FO44" s="675">
        <f t="shared" si="1017"/>
        <v>0</v>
      </c>
      <c r="FP44" s="549">
        <f t="shared" ref="FP44:FQ44" si="1018">SUM(FP46,FP52,FP61,FP63,FP67,FP72,FP77,FP86)+FP82+FP94</f>
        <v>0</v>
      </c>
      <c r="FQ44" s="675">
        <f t="shared" si="1018"/>
        <v>0</v>
      </c>
      <c r="FR44" s="549">
        <f t="shared" ref="FR44:FS44" si="1019">SUM(FR46,FR52,FR61,FR63,FR67,FR72,FR77,FR86)+FR82+FR94</f>
        <v>43715</v>
      </c>
      <c r="FS44" s="675">
        <f t="shared" si="1019"/>
        <v>-12015</v>
      </c>
      <c r="FT44" s="549">
        <f t="shared" ref="FT44:FU44" si="1020">SUM(FT46,FT52,FT61,FT63,FT67,FT72,FT77,FT86)+FT82+FT94</f>
        <v>0</v>
      </c>
      <c r="FU44" s="675">
        <f t="shared" si="1020"/>
        <v>0</v>
      </c>
      <c r="FV44" s="549">
        <f t="shared" ref="FV44:GK44" si="1021">SUM(FV46,FV52,FV61,FV63,FV67,FV72,FV77,FV86)+FV82+FV94</f>
        <v>0</v>
      </c>
      <c r="FW44" s="675">
        <f t="shared" si="1021"/>
        <v>0</v>
      </c>
      <c r="FX44" s="549">
        <f t="shared" si="1021"/>
        <v>4703</v>
      </c>
      <c r="FY44" s="675">
        <f t="shared" si="1021"/>
        <v>0</v>
      </c>
      <c r="FZ44" s="549">
        <f t="shared" ref="FZ44:GI44" si="1022">SUM(FZ46,FZ52,FZ61,FZ63,FZ67,FZ72,FZ77,FZ86)+FZ82+FZ94</f>
        <v>0</v>
      </c>
      <c r="GA44" s="675">
        <f t="shared" si="1022"/>
        <v>0</v>
      </c>
      <c r="GB44" s="549">
        <f t="shared" si="1022"/>
        <v>0</v>
      </c>
      <c r="GC44" s="675">
        <f t="shared" si="1022"/>
        <v>0</v>
      </c>
      <c r="GD44" s="549">
        <f t="shared" si="1022"/>
        <v>0</v>
      </c>
      <c r="GE44" s="675">
        <f t="shared" si="1022"/>
        <v>0</v>
      </c>
      <c r="GF44" s="549">
        <f t="shared" si="1022"/>
        <v>0</v>
      </c>
      <c r="GG44" s="675">
        <f t="shared" si="1022"/>
        <v>0</v>
      </c>
      <c r="GH44" s="549">
        <f t="shared" si="1022"/>
        <v>0</v>
      </c>
      <c r="GI44" s="675">
        <f t="shared" si="1022"/>
        <v>0</v>
      </c>
      <c r="GJ44" s="549">
        <f t="shared" si="1021"/>
        <v>0</v>
      </c>
      <c r="GK44" s="675">
        <f t="shared" si="1021"/>
        <v>0</v>
      </c>
      <c r="GL44" s="549">
        <f t="shared" ref="GL44:GQ44" si="1023">SUM(GL46,GL52,GL61,GL63,GL67,GL72,GL77,GL86)+GL82+GL94</f>
        <v>0</v>
      </c>
      <c r="GM44" s="675">
        <f t="shared" si="1023"/>
        <v>0</v>
      </c>
      <c r="GN44" s="549">
        <f t="shared" ref="GN44:GO44" si="1024">SUM(GN46,GN52,GN61,GN63,GN67,GN72,GN77,GN86)+GN82+GN94</f>
        <v>0</v>
      </c>
      <c r="GO44" s="675">
        <f t="shared" si="1024"/>
        <v>0</v>
      </c>
      <c r="GP44" s="74">
        <f>SUM(GP46,GP52,GP61,GP63,GP67,GP72,GP77,GP86)+GP82+GP94</f>
        <v>770986</v>
      </c>
      <c r="GQ44" s="675">
        <f t="shared" si="1023"/>
        <v>-289790</v>
      </c>
      <c r="GR44" s="74">
        <f t="shared" ref="GR44:HJ44" si="1025">SUM(GR46,GR52,GR61,GR63,GR67,GR72,GR77,GR86)+GR82+GR94</f>
        <v>2717496</v>
      </c>
      <c r="GS44" s="74">
        <f>SUM(GS46,GS52,GS61,GS63,GS67,GS72,GS77,GS86)+GS82+GS94</f>
        <v>2573117</v>
      </c>
      <c r="GT44" s="549">
        <f t="shared" si="1025"/>
        <v>2717496</v>
      </c>
      <c r="GU44" s="74">
        <f>SUM(GU46,GU52,GU61,GU63,GU67,GU72,GU77,GU86)+GU82+GU94</f>
        <v>329501</v>
      </c>
      <c r="GV44" s="74">
        <f t="shared" si="1025"/>
        <v>183728</v>
      </c>
      <c r="GW44" s="549">
        <f t="shared" si="1025"/>
        <v>185228</v>
      </c>
      <c r="GX44" s="549">
        <f t="shared" si="1025"/>
        <v>237461</v>
      </c>
      <c r="GY44" s="74">
        <f t="shared" si="1025"/>
        <v>173728</v>
      </c>
      <c r="GZ44" s="74">
        <f t="shared" si="1025"/>
        <v>189728</v>
      </c>
      <c r="HA44" s="74">
        <f t="shared" si="1025"/>
        <v>227461</v>
      </c>
      <c r="HB44" s="74">
        <f t="shared" si="1025"/>
        <v>183728</v>
      </c>
      <c r="HC44" s="74">
        <f t="shared" si="1025"/>
        <v>213379</v>
      </c>
      <c r="HD44" s="74">
        <f t="shared" si="1025"/>
        <v>167979</v>
      </c>
      <c r="HE44" s="74">
        <f t="shared" si="1025"/>
        <v>144379</v>
      </c>
      <c r="HF44" s="74">
        <f t="shared" si="1025"/>
        <v>0</v>
      </c>
      <c r="HG44" s="74">
        <f t="shared" si="1025"/>
        <v>2625388.5</v>
      </c>
      <c r="HH44" s="74">
        <f t="shared" si="1025"/>
        <v>203479.52</v>
      </c>
      <c r="HI44" s="74">
        <f t="shared" si="1025"/>
        <v>0</v>
      </c>
      <c r="HJ44" s="74">
        <f t="shared" si="1025"/>
        <v>103943.96</v>
      </c>
      <c r="HK44" s="74">
        <f t="shared" ref="HK44:IP44" si="1026">SUM(HK46,HK52,HK61,HK63,HK67,HK72,HK77,HK86)+HK82+HK94</f>
        <v>184737</v>
      </c>
      <c r="HL44" s="74">
        <f t="shared" si="1026"/>
        <v>140265.82</v>
      </c>
      <c r="HM44" s="74">
        <f t="shared" si="1026"/>
        <v>92107</v>
      </c>
      <c r="HN44" s="74">
        <f t="shared" si="1026"/>
        <v>181477</v>
      </c>
      <c r="HO44" s="74">
        <f t="shared" si="1026"/>
        <v>92107</v>
      </c>
      <c r="HP44" s="74">
        <f t="shared" si="1026"/>
        <v>85621</v>
      </c>
      <c r="HQ44" s="74">
        <f t="shared" si="1026"/>
        <v>90107</v>
      </c>
      <c r="HR44" s="74">
        <f t="shared" si="1026"/>
        <v>92103.11</v>
      </c>
      <c r="HS44" s="74">
        <f t="shared" si="1026"/>
        <v>94107</v>
      </c>
      <c r="HT44" s="74">
        <f t="shared" si="1026"/>
        <v>147340.97999999998</v>
      </c>
      <c r="HU44" s="74">
        <f t="shared" si="1026"/>
        <v>92107.000000000029</v>
      </c>
      <c r="HV44" s="74">
        <f t="shared" si="1026"/>
        <v>552118.41</v>
      </c>
      <c r="HW44" s="74">
        <f t="shared" si="1026"/>
        <v>91837</v>
      </c>
      <c r="HX44" s="74">
        <f t="shared" si="1026"/>
        <v>68166.7</v>
      </c>
      <c r="HY44" s="74">
        <f t="shared" si="1026"/>
        <v>92377</v>
      </c>
      <c r="HZ44" s="74">
        <f t="shared" si="1026"/>
        <v>81279</v>
      </c>
      <c r="IA44" s="74">
        <f t="shared" si="1026"/>
        <v>92107</v>
      </c>
      <c r="IB44" s="74">
        <f>SUM(IB46,IB52,IB61,IB63,IB67,IB72,IB77,IB86)+IB82+IB94</f>
        <v>0</v>
      </c>
      <c r="IC44" s="74">
        <f t="shared" si="1026"/>
        <v>0</v>
      </c>
      <c r="ID44" s="74">
        <f t="shared" si="1026"/>
        <v>0</v>
      </c>
      <c r="IE44" s="792">
        <f t="shared" si="1026"/>
        <v>0</v>
      </c>
      <c r="IF44" s="841">
        <f t="shared" si="1026"/>
        <v>1944098.8</v>
      </c>
      <c r="IG44" s="263">
        <f t="shared" si="1026"/>
        <v>1944098.8</v>
      </c>
      <c r="IH44" s="842">
        <f t="shared" si="1026"/>
        <v>1944098.8</v>
      </c>
      <c r="II44" s="155">
        <f t="shared" si="1026"/>
        <v>17815.64</v>
      </c>
      <c r="IJ44" s="74">
        <f t="shared" si="1026"/>
        <v>17815.64</v>
      </c>
      <c r="IK44" s="74">
        <f t="shared" si="1026"/>
        <v>17815.64</v>
      </c>
      <c r="IL44" s="74">
        <f t="shared" si="1026"/>
        <v>119959.12</v>
      </c>
      <c r="IM44" s="74">
        <f t="shared" si="1026"/>
        <v>119959.12</v>
      </c>
      <c r="IN44" s="74">
        <f t="shared" si="1026"/>
        <v>119959.12</v>
      </c>
      <c r="IO44" s="74">
        <f t="shared" si="1026"/>
        <v>114176.27</v>
      </c>
      <c r="IP44" s="74">
        <f t="shared" si="1026"/>
        <v>114176.27</v>
      </c>
      <c r="IQ44" s="74">
        <f t="shared" ref="IQ44:JT44" si="1027">SUM(IQ46,IQ52,IQ61,IQ63,IQ67,IQ72,IQ77,IQ86)+IQ82+IQ94</f>
        <v>114176.27</v>
      </c>
      <c r="IR44" s="74">
        <f t="shared" si="1027"/>
        <v>91456.299999999988</v>
      </c>
      <c r="IS44" s="74">
        <f t="shared" si="1027"/>
        <v>91456.299999999988</v>
      </c>
      <c r="IT44" s="74">
        <f t="shared" si="1027"/>
        <v>91456.299999999988</v>
      </c>
      <c r="IU44" s="74">
        <f t="shared" si="1027"/>
        <v>270876.37000000005</v>
      </c>
      <c r="IV44" s="74">
        <f t="shared" si="1027"/>
        <v>270876.37000000005</v>
      </c>
      <c r="IW44" s="74">
        <f t="shared" si="1027"/>
        <v>270876.37000000005</v>
      </c>
      <c r="IX44" s="74">
        <f t="shared" si="1027"/>
        <v>299022.30000000005</v>
      </c>
      <c r="IY44" s="74">
        <f t="shared" si="1027"/>
        <v>299022.30000000005</v>
      </c>
      <c r="IZ44" s="74">
        <f t="shared" si="1027"/>
        <v>299022.30000000005</v>
      </c>
      <c r="JA44" s="74">
        <f t="shared" si="1027"/>
        <v>189565.59999999998</v>
      </c>
      <c r="JB44" s="74">
        <f t="shared" si="1027"/>
        <v>189565.59999999998</v>
      </c>
      <c r="JC44" s="74">
        <f t="shared" si="1027"/>
        <v>189565.59999999998</v>
      </c>
      <c r="JD44" s="74">
        <f t="shared" si="1027"/>
        <v>288381.30000000005</v>
      </c>
      <c r="JE44" s="74">
        <f t="shared" si="1027"/>
        <v>288381.30000000005</v>
      </c>
      <c r="JF44" s="74">
        <f t="shared" si="1027"/>
        <v>288381.30000000005</v>
      </c>
      <c r="JG44" s="74">
        <f t="shared" si="1027"/>
        <v>235226.23000000004</v>
      </c>
      <c r="JH44" s="74">
        <f t="shared" si="1027"/>
        <v>234981.23000000004</v>
      </c>
      <c r="JI44" s="74">
        <f t="shared" si="1027"/>
        <v>234981.23000000004</v>
      </c>
      <c r="JJ44" s="74">
        <f t="shared" si="1027"/>
        <v>317619.67</v>
      </c>
      <c r="JK44" s="74">
        <f t="shared" si="1027"/>
        <v>317864.67</v>
      </c>
      <c r="JL44" s="74">
        <f t="shared" si="1027"/>
        <v>317864.67</v>
      </c>
      <c r="JM44" s="74">
        <f t="shared" si="1027"/>
        <v>0</v>
      </c>
      <c r="JN44" s="74">
        <f t="shared" si="1027"/>
        <v>0</v>
      </c>
      <c r="JO44" s="74">
        <f t="shared" si="1027"/>
        <v>0</v>
      </c>
      <c r="JP44" s="74">
        <f t="shared" si="1027"/>
        <v>0</v>
      </c>
      <c r="JQ44" s="74">
        <f t="shared" si="1027"/>
        <v>0</v>
      </c>
      <c r="JR44" s="74">
        <f t="shared" si="1027"/>
        <v>0</v>
      </c>
      <c r="JS44" s="74">
        <f t="shared" si="1027"/>
        <v>681289.7</v>
      </c>
      <c r="JT44" s="102">
        <f t="shared" si="1027"/>
        <v>629018.19999999995</v>
      </c>
      <c r="JU44" s="671"/>
      <c r="JV44" s="492"/>
      <c r="JW44" s="490"/>
      <c r="JX44" s="549">
        <f>SUM(JX46,JX52,JX61,JX63,JX67,JX72,JX77,JX86)+JX82+JX94</f>
        <v>1655795.5</v>
      </c>
      <c r="JY44" s="549">
        <f>SUM(JY46,JY52,JY61,JY63,JY67,JY72,JY77,JY86)+JY82+JY94</f>
        <v>921593</v>
      </c>
      <c r="JZ44" s="581">
        <f t="shared" si="42"/>
        <v>770986</v>
      </c>
      <c r="KA44" s="581">
        <f t="shared" si="43"/>
        <v>-289790</v>
      </c>
      <c r="KB44" s="549">
        <f>SUM(KB46,KB52,KB61,KB63,KB67,KB72,KB77,KB86)+KB82+KB94</f>
        <v>2625388.5</v>
      </c>
      <c r="KC44" s="709">
        <f t="shared" si="41"/>
        <v>0</v>
      </c>
      <c r="KD44" s="126" t="s">
        <v>451</v>
      </c>
      <c r="KE44" s="127" t="s">
        <v>536</v>
      </c>
      <c r="KF44" s="127" t="e">
        <f>C505+#REF!</f>
        <v>#REF!</v>
      </c>
      <c r="KG44" s="127" t="e">
        <f>GR505+#REF!</f>
        <v>#REF!</v>
      </c>
      <c r="KH44" s="127" t="e">
        <f>GS505+#REF!</f>
        <v>#REF!</v>
      </c>
      <c r="KI44" s="127" t="e">
        <f>#REF!+#REF!+GQ505+#REF!</f>
        <v>#REF!</v>
      </c>
      <c r="KJ44" s="127" t="e">
        <f>GR505+#REF!</f>
        <v>#REF!</v>
      </c>
      <c r="KK44" s="127" t="e">
        <f>HG505+#REF!</f>
        <v>#REF!</v>
      </c>
    </row>
    <row r="45" spans="1:297" s="8" customFormat="1">
      <c r="A45" s="75"/>
      <c r="B45" s="72"/>
      <c r="C45" s="74"/>
      <c r="D45" s="549"/>
      <c r="E45" s="675"/>
      <c r="F45" s="549"/>
      <c r="G45" s="675"/>
      <c r="H45" s="549"/>
      <c r="I45" s="675"/>
      <c r="J45" s="549"/>
      <c r="K45" s="675"/>
      <c r="L45" s="549"/>
      <c r="M45" s="675"/>
      <c r="N45" s="549"/>
      <c r="O45" s="675"/>
      <c r="P45" s="549"/>
      <c r="Q45" s="675"/>
      <c r="R45" s="549"/>
      <c r="S45" s="675"/>
      <c r="T45" s="549"/>
      <c r="U45" s="675"/>
      <c r="V45" s="549"/>
      <c r="W45" s="675"/>
      <c r="X45" s="549"/>
      <c r="Y45" s="675"/>
      <c r="Z45" s="549"/>
      <c r="AA45" s="675"/>
      <c r="AB45" s="549"/>
      <c r="AC45" s="675"/>
      <c r="AD45" s="549"/>
      <c r="AE45" s="675"/>
      <c r="AF45" s="549"/>
      <c r="AG45" s="675"/>
      <c r="AH45" s="549"/>
      <c r="AI45" s="675"/>
      <c r="AJ45" s="549"/>
      <c r="AK45" s="675"/>
      <c r="AL45" s="549"/>
      <c r="AM45" s="675"/>
      <c r="AN45" s="549"/>
      <c r="AO45" s="675"/>
      <c r="AP45" s="549"/>
      <c r="AQ45" s="675"/>
      <c r="AR45" s="549"/>
      <c r="AS45" s="675"/>
      <c r="AT45" s="549"/>
      <c r="AU45" s="675"/>
      <c r="AV45" s="549"/>
      <c r="AW45" s="675"/>
      <c r="AX45" s="549"/>
      <c r="AY45" s="675"/>
      <c r="AZ45" s="549"/>
      <c r="BA45" s="675"/>
      <c r="BB45" s="549"/>
      <c r="BC45" s="675"/>
      <c r="BD45" s="549"/>
      <c r="BE45" s="675"/>
      <c r="BF45" s="549"/>
      <c r="BG45" s="675"/>
      <c r="BH45" s="549"/>
      <c r="BI45" s="675"/>
      <c r="BJ45" s="549"/>
      <c r="BK45" s="675"/>
      <c r="BL45" s="549"/>
      <c r="BM45" s="675"/>
      <c r="BN45" s="549"/>
      <c r="BO45" s="675"/>
      <c r="BP45" s="549"/>
      <c r="BQ45" s="675"/>
      <c r="BR45" s="549"/>
      <c r="BS45" s="675"/>
      <c r="BT45" s="549"/>
      <c r="BU45" s="675"/>
      <c r="BV45" s="549"/>
      <c r="BW45" s="675"/>
      <c r="BX45" s="549"/>
      <c r="BY45" s="675"/>
      <c r="BZ45" s="549"/>
      <c r="CA45" s="675"/>
      <c r="CB45" s="549"/>
      <c r="CC45" s="675"/>
      <c r="CD45" s="549"/>
      <c r="CE45" s="675"/>
      <c r="CF45" s="549"/>
      <c r="CG45" s="675"/>
      <c r="CH45" s="549"/>
      <c r="CI45" s="675"/>
      <c r="CJ45" s="549"/>
      <c r="CK45" s="675"/>
      <c r="CL45" s="549"/>
      <c r="CM45" s="675"/>
      <c r="CN45" s="549"/>
      <c r="CO45" s="675"/>
      <c r="CP45" s="549"/>
      <c r="CQ45" s="675"/>
      <c r="CR45" s="549"/>
      <c r="CS45" s="675"/>
      <c r="CT45" s="549"/>
      <c r="CU45" s="675"/>
      <c r="CV45" s="549"/>
      <c r="CW45" s="675"/>
      <c r="CX45" s="549"/>
      <c r="CY45" s="675"/>
      <c r="CZ45" s="549"/>
      <c r="DA45" s="675"/>
      <c r="DB45" s="549"/>
      <c r="DC45" s="675"/>
      <c r="DD45" s="549"/>
      <c r="DE45" s="675"/>
      <c r="DF45" s="549"/>
      <c r="DG45" s="675"/>
      <c r="DH45" s="549"/>
      <c r="DI45" s="675"/>
      <c r="DJ45" s="549"/>
      <c r="DK45" s="675"/>
      <c r="DL45" s="549"/>
      <c r="DM45" s="675"/>
      <c r="DN45" s="549"/>
      <c r="DO45" s="675"/>
      <c r="DP45" s="549"/>
      <c r="DQ45" s="675"/>
      <c r="DR45" s="549"/>
      <c r="DS45" s="675"/>
      <c r="DT45" s="549"/>
      <c r="DU45" s="675"/>
      <c r="DV45" s="549"/>
      <c r="DW45" s="675"/>
      <c r="DX45" s="549"/>
      <c r="DY45" s="675"/>
      <c r="DZ45" s="549"/>
      <c r="EA45" s="675"/>
      <c r="EB45" s="549"/>
      <c r="EC45" s="675"/>
      <c r="ED45" s="549"/>
      <c r="EE45" s="675"/>
      <c r="EF45" s="549"/>
      <c r="EG45" s="675"/>
      <c r="EH45" s="549"/>
      <c r="EI45" s="675"/>
      <c r="EJ45" s="549"/>
      <c r="EK45" s="675"/>
      <c r="EL45" s="549"/>
      <c r="EM45" s="675"/>
      <c r="EN45" s="549"/>
      <c r="EO45" s="675"/>
      <c r="EP45" s="549"/>
      <c r="EQ45" s="675"/>
      <c r="ER45" s="549"/>
      <c r="ES45" s="675"/>
      <c r="ET45" s="549"/>
      <c r="EU45" s="675"/>
      <c r="EV45" s="549"/>
      <c r="EW45" s="675"/>
      <c r="EX45" s="549"/>
      <c r="EY45" s="675"/>
      <c r="EZ45" s="549"/>
      <c r="FA45" s="675"/>
      <c r="FB45" s="549"/>
      <c r="FC45" s="675"/>
      <c r="FD45" s="549"/>
      <c r="FE45" s="675"/>
      <c r="FF45" s="549"/>
      <c r="FG45" s="675"/>
      <c r="FH45" s="549"/>
      <c r="FI45" s="675"/>
      <c r="FJ45" s="549"/>
      <c r="FK45" s="675"/>
      <c r="FL45" s="549"/>
      <c r="FM45" s="675"/>
      <c r="FN45" s="549"/>
      <c r="FO45" s="675"/>
      <c r="FP45" s="549"/>
      <c r="FQ45" s="675"/>
      <c r="FR45" s="549"/>
      <c r="FS45" s="675"/>
      <c r="FT45" s="549"/>
      <c r="FU45" s="675"/>
      <c r="FV45" s="549"/>
      <c r="FW45" s="675"/>
      <c r="FX45" s="549"/>
      <c r="FY45" s="675"/>
      <c r="FZ45" s="549"/>
      <c r="GA45" s="675"/>
      <c r="GB45" s="549"/>
      <c r="GC45" s="675"/>
      <c r="GD45" s="549"/>
      <c r="GE45" s="675"/>
      <c r="GF45" s="549"/>
      <c r="GG45" s="675"/>
      <c r="GH45" s="549"/>
      <c r="GI45" s="675"/>
      <c r="GJ45" s="549"/>
      <c r="GK45" s="675"/>
      <c r="GL45" s="549"/>
      <c r="GM45" s="675"/>
      <c r="GN45" s="549"/>
      <c r="GO45" s="675"/>
      <c r="GP45" s="74"/>
      <c r="GQ45" s="675"/>
      <c r="GR45" s="74"/>
      <c r="GS45" s="74"/>
      <c r="GT45" s="549"/>
      <c r="GU45" s="74"/>
      <c r="GV45" s="74"/>
      <c r="GW45" s="549"/>
      <c r="GX45" s="549"/>
      <c r="GY45" s="74"/>
      <c r="GZ45" s="74"/>
      <c r="HA45" s="74"/>
      <c r="HB45" s="74"/>
      <c r="HC45" s="74"/>
      <c r="HD45" s="74"/>
      <c r="HE45" s="74"/>
      <c r="HF45" s="74"/>
      <c r="HG45" s="74"/>
      <c r="HH45" s="74"/>
      <c r="HI45" s="74"/>
      <c r="HJ45" s="74"/>
      <c r="HK45" s="74"/>
      <c r="HL45" s="74"/>
      <c r="HM45" s="74"/>
      <c r="HN45" s="74"/>
      <c r="HO45" s="74"/>
      <c r="HP45" s="74"/>
      <c r="HQ45" s="74"/>
      <c r="HR45" s="74"/>
      <c r="HS45" s="74"/>
      <c r="HT45" s="74"/>
      <c r="HU45" s="74"/>
      <c r="HV45" s="74"/>
      <c r="HW45" s="74"/>
      <c r="HX45" s="74"/>
      <c r="HY45" s="74"/>
      <c r="HZ45" s="74"/>
      <c r="IA45" s="74"/>
      <c r="IB45" s="74"/>
      <c r="IC45" s="74"/>
      <c r="ID45" s="74"/>
      <c r="IE45" s="792"/>
      <c r="IF45" s="841"/>
      <c r="IG45" s="263"/>
      <c r="IH45" s="842"/>
      <c r="II45" s="155"/>
      <c r="IJ45" s="74"/>
      <c r="IK45" s="74"/>
      <c r="IL45" s="74"/>
      <c r="IM45" s="74"/>
      <c r="IN45" s="74"/>
      <c r="IO45" s="74"/>
      <c r="IP45" s="74"/>
      <c r="IQ45" s="74"/>
      <c r="IR45" s="74"/>
      <c r="IS45" s="74"/>
      <c r="IT45" s="74"/>
      <c r="IU45" s="74"/>
      <c r="IV45" s="74"/>
      <c r="IW45" s="74"/>
      <c r="IX45" s="74"/>
      <c r="IY45" s="74"/>
      <c r="IZ45" s="74"/>
      <c r="JA45" s="74"/>
      <c r="JB45" s="74"/>
      <c r="JC45" s="74"/>
      <c r="JD45" s="74"/>
      <c r="JE45" s="74"/>
      <c r="JF45" s="74"/>
      <c r="JG45" s="74"/>
      <c r="JH45" s="74"/>
      <c r="JI45" s="74"/>
      <c r="JJ45" s="74"/>
      <c r="JK45" s="74"/>
      <c r="JL45" s="74"/>
      <c r="JM45" s="74"/>
      <c r="JN45" s="74"/>
      <c r="JO45" s="74"/>
      <c r="JP45" s="74"/>
      <c r="JQ45" s="74"/>
      <c r="JR45" s="74"/>
      <c r="JS45" s="74"/>
      <c r="JT45" s="102"/>
      <c r="JU45" s="671"/>
      <c r="JV45" s="492"/>
      <c r="JW45" s="490"/>
      <c r="JX45" s="549"/>
      <c r="JY45" s="549"/>
      <c r="JZ45" s="581">
        <f t="shared" si="42"/>
        <v>0</v>
      </c>
      <c r="KA45" s="581">
        <f t="shared" si="43"/>
        <v>0</v>
      </c>
      <c r="KB45" s="549"/>
      <c r="KC45" s="709">
        <f t="shared" si="41"/>
        <v>0</v>
      </c>
      <c r="KD45" s="126" t="s">
        <v>197</v>
      </c>
      <c r="KE45" s="140" t="s">
        <v>537</v>
      </c>
      <c r="KF45" s="127">
        <f>C530</f>
        <v>615300</v>
      </c>
      <c r="KG45" s="127">
        <f>GR530</f>
        <v>425898</v>
      </c>
      <c r="KH45" s="127">
        <f>GS530</f>
        <v>425898</v>
      </c>
      <c r="KI45" s="127" t="e">
        <f>#REF!+GQ530</f>
        <v>#REF!</v>
      </c>
      <c r="KJ45" s="127">
        <f>GR530</f>
        <v>425898</v>
      </c>
      <c r="KK45" s="127">
        <f>HG530</f>
        <v>425897.5</v>
      </c>
    </row>
    <row r="46" spans="1:297" s="8" customFormat="1">
      <c r="A46" s="75">
        <v>100</v>
      </c>
      <c r="B46" s="72" t="s">
        <v>82</v>
      </c>
      <c r="C46" s="74">
        <f t="shared" ref="C46" si="1028">SUM(C47:C50)</f>
        <v>25000</v>
      </c>
      <c r="D46" s="549">
        <f t="shared" ref="D46:E46" si="1029">SUM(D47:D50)</f>
        <v>0</v>
      </c>
      <c r="E46" s="675">
        <f t="shared" si="1029"/>
        <v>0</v>
      </c>
      <c r="F46" s="549">
        <f t="shared" ref="F46:G46" si="1030">SUM(F47:F50)</f>
        <v>1000</v>
      </c>
      <c r="G46" s="675">
        <f t="shared" si="1030"/>
        <v>0</v>
      </c>
      <c r="H46" s="549">
        <f t="shared" ref="H46:I46" si="1031">SUM(H47:H50)</f>
        <v>0</v>
      </c>
      <c r="I46" s="675">
        <f t="shared" si="1031"/>
        <v>0</v>
      </c>
      <c r="J46" s="549">
        <f t="shared" ref="J46:K46" si="1032">SUM(J47:J50)</f>
        <v>0</v>
      </c>
      <c r="K46" s="675">
        <f t="shared" si="1032"/>
        <v>0</v>
      </c>
      <c r="L46" s="549">
        <f t="shared" ref="L46:M46" si="1033">SUM(L47:L50)</f>
        <v>0</v>
      </c>
      <c r="M46" s="675">
        <f t="shared" si="1033"/>
        <v>0</v>
      </c>
      <c r="N46" s="549">
        <f t="shared" ref="N46:O46" si="1034">SUM(N47:N50)</f>
        <v>0</v>
      </c>
      <c r="O46" s="675">
        <f t="shared" si="1034"/>
        <v>0</v>
      </c>
      <c r="P46" s="549">
        <f t="shared" ref="P46:Q46" si="1035">SUM(P47:P50)</f>
        <v>0</v>
      </c>
      <c r="Q46" s="675">
        <f t="shared" si="1035"/>
        <v>0</v>
      </c>
      <c r="R46" s="549">
        <f t="shared" ref="R46:S46" si="1036">SUM(R47:R50)</f>
        <v>0</v>
      </c>
      <c r="S46" s="675">
        <f t="shared" si="1036"/>
        <v>0</v>
      </c>
      <c r="T46" s="549">
        <f t="shared" ref="T46:U46" si="1037">SUM(T47:T50)</f>
        <v>0</v>
      </c>
      <c r="U46" s="675">
        <f t="shared" si="1037"/>
        <v>0</v>
      </c>
      <c r="V46" s="549">
        <f t="shared" ref="V46:W46" si="1038">SUM(V47:V50)</f>
        <v>7000</v>
      </c>
      <c r="W46" s="675">
        <f t="shared" si="1038"/>
        <v>0</v>
      </c>
      <c r="X46" s="549">
        <f t="shared" ref="X46:Y46" si="1039">SUM(X47:X50)</f>
        <v>0</v>
      </c>
      <c r="Y46" s="675">
        <f t="shared" si="1039"/>
        <v>0</v>
      </c>
      <c r="Z46" s="549">
        <f t="shared" ref="Z46:AA46" si="1040">SUM(Z47:Z50)</f>
        <v>0</v>
      </c>
      <c r="AA46" s="675">
        <f t="shared" si="1040"/>
        <v>0</v>
      </c>
      <c r="AB46" s="549">
        <f t="shared" ref="AB46:AC46" si="1041">SUM(AB47:AB50)</f>
        <v>0</v>
      </c>
      <c r="AC46" s="675">
        <f t="shared" si="1041"/>
        <v>0</v>
      </c>
      <c r="AD46" s="549">
        <f t="shared" ref="AD46:AE46" si="1042">SUM(AD47:AD50)</f>
        <v>0</v>
      </c>
      <c r="AE46" s="675">
        <f t="shared" si="1042"/>
        <v>0</v>
      </c>
      <c r="AF46" s="549">
        <f t="shared" ref="AF46:AI46" si="1043">SUM(AF47:AF50)</f>
        <v>0</v>
      </c>
      <c r="AG46" s="675">
        <f t="shared" si="1043"/>
        <v>0</v>
      </c>
      <c r="AH46" s="549">
        <f t="shared" si="1043"/>
        <v>0</v>
      </c>
      <c r="AI46" s="675">
        <f t="shared" si="1043"/>
        <v>0</v>
      </c>
      <c r="AJ46" s="549">
        <f t="shared" ref="AJ46:AK46" si="1044">SUM(AJ47:AJ50)</f>
        <v>0</v>
      </c>
      <c r="AK46" s="675">
        <f t="shared" si="1044"/>
        <v>0</v>
      </c>
      <c r="AL46" s="549">
        <f t="shared" ref="AL46:AM46" si="1045">SUM(AL47:AL50)</f>
        <v>0</v>
      </c>
      <c r="AM46" s="675">
        <f t="shared" si="1045"/>
        <v>0</v>
      </c>
      <c r="AN46" s="549">
        <f t="shared" ref="AN46:AS46" si="1046">SUM(AN47:AN50)</f>
        <v>0</v>
      </c>
      <c r="AO46" s="675">
        <f t="shared" si="1046"/>
        <v>0</v>
      </c>
      <c r="AP46" s="549">
        <f t="shared" si="1046"/>
        <v>0</v>
      </c>
      <c r="AQ46" s="675">
        <f t="shared" si="1046"/>
        <v>0</v>
      </c>
      <c r="AR46" s="549">
        <f t="shared" si="1046"/>
        <v>0</v>
      </c>
      <c r="AS46" s="675">
        <f t="shared" si="1046"/>
        <v>0</v>
      </c>
      <c r="AT46" s="549">
        <f t="shared" ref="AT46:AU46" si="1047">SUM(AT47:AT50)</f>
        <v>0</v>
      </c>
      <c r="AU46" s="675">
        <f t="shared" si="1047"/>
        <v>0</v>
      </c>
      <c r="AV46" s="549">
        <f t="shared" ref="AV46:AW46" si="1048">SUM(AV47:AV50)</f>
        <v>0</v>
      </c>
      <c r="AW46" s="675">
        <f t="shared" si="1048"/>
        <v>0</v>
      </c>
      <c r="AX46" s="549">
        <f t="shared" ref="AX46:AY46" si="1049">SUM(AX47:AX50)</f>
        <v>0</v>
      </c>
      <c r="AY46" s="675">
        <f t="shared" si="1049"/>
        <v>0</v>
      </c>
      <c r="AZ46" s="549">
        <f t="shared" ref="AZ46:BA46" si="1050">SUM(AZ47:AZ50)</f>
        <v>0</v>
      </c>
      <c r="BA46" s="675">
        <f t="shared" si="1050"/>
        <v>0</v>
      </c>
      <c r="BB46" s="549">
        <f t="shared" ref="BB46:BC46" si="1051">SUM(BB47:BB50)</f>
        <v>0</v>
      </c>
      <c r="BC46" s="675">
        <f t="shared" si="1051"/>
        <v>0</v>
      </c>
      <c r="BD46" s="549">
        <f t="shared" ref="BD46:BE46" si="1052">SUM(BD47:BD50)</f>
        <v>0</v>
      </c>
      <c r="BE46" s="675">
        <f t="shared" si="1052"/>
        <v>0</v>
      </c>
      <c r="BF46" s="549">
        <f t="shared" ref="BF46:BG46" si="1053">SUM(BF47:BF50)</f>
        <v>0</v>
      </c>
      <c r="BG46" s="675">
        <f t="shared" si="1053"/>
        <v>0</v>
      </c>
      <c r="BH46" s="549">
        <f t="shared" ref="BH46:BI46" si="1054">SUM(BH47:BH50)</f>
        <v>0</v>
      </c>
      <c r="BI46" s="675">
        <f t="shared" si="1054"/>
        <v>0</v>
      </c>
      <c r="BJ46" s="549">
        <f t="shared" ref="BJ46:BK46" si="1055">SUM(BJ47:BJ50)</f>
        <v>0</v>
      </c>
      <c r="BK46" s="675">
        <f t="shared" si="1055"/>
        <v>0</v>
      </c>
      <c r="BL46" s="549">
        <f t="shared" ref="BL46:BS46" si="1056">SUM(BL47:BL50)</f>
        <v>0</v>
      </c>
      <c r="BM46" s="675">
        <f t="shared" si="1056"/>
        <v>0</v>
      </c>
      <c r="BN46" s="549">
        <f t="shared" si="1056"/>
        <v>0</v>
      </c>
      <c r="BO46" s="675">
        <f t="shared" si="1056"/>
        <v>0</v>
      </c>
      <c r="BP46" s="549">
        <f t="shared" si="1056"/>
        <v>0</v>
      </c>
      <c r="BQ46" s="675">
        <f t="shared" si="1056"/>
        <v>0</v>
      </c>
      <c r="BR46" s="549">
        <f t="shared" si="1056"/>
        <v>0</v>
      </c>
      <c r="BS46" s="675">
        <f t="shared" si="1056"/>
        <v>0</v>
      </c>
      <c r="BT46" s="549">
        <f t="shared" ref="BT46:BU46" si="1057">SUM(BT47:BT50)</f>
        <v>0</v>
      </c>
      <c r="BU46" s="675">
        <f t="shared" si="1057"/>
        <v>0</v>
      </c>
      <c r="BV46" s="549">
        <f t="shared" ref="BV46:BW46" si="1058">SUM(BV47:BV50)</f>
        <v>0</v>
      </c>
      <c r="BW46" s="675">
        <f t="shared" si="1058"/>
        <v>0</v>
      </c>
      <c r="BX46" s="549">
        <f t="shared" ref="BX46:BY46" si="1059">SUM(BX47:BX50)</f>
        <v>0</v>
      </c>
      <c r="BY46" s="675">
        <f t="shared" si="1059"/>
        <v>0</v>
      </c>
      <c r="BZ46" s="549">
        <f t="shared" ref="BZ46:CA46" si="1060">SUM(BZ47:BZ50)</f>
        <v>0</v>
      </c>
      <c r="CA46" s="675">
        <f t="shared" si="1060"/>
        <v>0</v>
      </c>
      <c r="CB46" s="549">
        <f t="shared" ref="CB46:CE46" si="1061">SUM(CB47:CB50)</f>
        <v>0</v>
      </c>
      <c r="CC46" s="675">
        <f t="shared" si="1061"/>
        <v>0</v>
      </c>
      <c r="CD46" s="549">
        <f t="shared" si="1061"/>
        <v>0</v>
      </c>
      <c r="CE46" s="675">
        <f t="shared" si="1061"/>
        <v>0</v>
      </c>
      <c r="CF46" s="549">
        <f t="shared" ref="CF46:CQ46" si="1062">SUM(CF47:CF50)</f>
        <v>0</v>
      </c>
      <c r="CG46" s="675">
        <f t="shared" si="1062"/>
        <v>0</v>
      </c>
      <c r="CH46" s="549">
        <f t="shared" si="1062"/>
        <v>0</v>
      </c>
      <c r="CI46" s="675">
        <f t="shared" si="1062"/>
        <v>0</v>
      </c>
      <c r="CJ46" s="549">
        <f t="shared" si="1062"/>
        <v>0</v>
      </c>
      <c r="CK46" s="675">
        <f t="shared" si="1062"/>
        <v>0</v>
      </c>
      <c r="CL46" s="549">
        <f t="shared" si="1062"/>
        <v>0</v>
      </c>
      <c r="CM46" s="675">
        <f t="shared" si="1062"/>
        <v>0</v>
      </c>
      <c r="CN46" s="549">
        <f t="shared" si="1062"/>
        <v>0</v>
      </c>
      <c r="CO46" s="675">
        <f t="shared" si="1062"/>
        <v>0</v>
      </c>
      <c r="CP46" s="549">
        <f t="shared" si="1062"/>
        <v>0</v>
      </c>
      <c r="CQ46" s="675">
        <f t="shared" si="1062"/>
        <v>0</v>
      </c>
      <c r="CR46" s="549">
        <f t="shared" ref="CR46:CY46" si="1063">SUM(CR47:CR50)</f>
        <v>0</v>
      </c>
      <c r="CS46" s="675">
        <f t="shared" si="1063"/>
        <v>0</v>
      </c>
      <c r="CT46" s="549">
        <f t="shared" si="1063"/>
        <v>0</v>
      </c>
      <c r="CU46" s="675">
        <f t="shared" si="1063"/>
        <v>0</v>
      </c>
      <c r="CV46" s="549">
        <f t="shared" si="1063"/>
        <v>0</v>
      </c>
      <c r="CW46" s="675">
        <f t="shared" si="1063"/>
        <v>0</v>
      </c>
      <c r="CX46" s="549">
        <f t="shared" si="1063"/>
        <v>0</v>
      </c>
      <c r="CY46" s="675">
        <f t="shared" si="1063"/>
        <v>0</v>
      </c>
      <c r="CZ46" s="549">
        <f t="shared" ref="CZ46:DI46" si="1064">SUM(CZ47:CZ50)</f>
        <v>0</v>
      </c>
      <c r="DA46" s="675">
        <f t="shared" si="1064"/>
        <v>0</v>
      </c>
      <c r="DB46" s="549">
        <f t="shared" si="1064"/>
        <v>0</v>
      </c>
      <c r="DC46" s="675">
        <f t="shared" si="1064"/>
        <v>0</v>
      </c>
      <c r="DD46" s="549">
        <f t="shared" si="1064"/>
        <v>0</v>
      </c>
      <c r="DE46" s="675">
        <f t="shared" si="1064"/>
        <v>0</v>
      </c>
      <c r="DF46" s="549">
        <f t="shared" si="1064"/>
        <v>0</v>
      </c>
      <c r="DG46" s="675">
        <f t="shared" si="1064"/>
        <v>0</v>
      </c>
      <c r="DH46" s="549">
        <f t="shared" si="1064"/>
        <v>0</v>
      </c>
      <c r="DI46" s="675">
        <f t="shared" si="1064"/>
        <v>0</v>
      </c>
      <c r="DJ46" s="549">
        <f t="shared" ref="DJ46:DK46" si="1065">SUM(DJ47:DJ50)</f>
        <v>0</v>
      </c>
      <c r="DK46" s="675">
        <f t="shared" si="1065"/>
        <v>0</v>
      </c>
      <c r="DL46" s="549">
        <f t="shared" ref="DL46:DM46" si="1066">SUM(DL47:DL50)</f>
        <v>0</v>
      </c>
      <c r="DM46" s="675">
        <f t="shared" si="1066"/>
        <v>0</v>
      </c>
      <c r="DN46" s="549">
        <f t="shared" ref="DN46:DW46" si="1067">SUM(DN47:DN50)</f>
        <v>0</v>
      </c>
      <c r="DO46" s="675">
        <f t="shared" si="1067"/>
        <v>0</v>
      </c>
      <c r="DP46" s="549">
        <f t="shared" si="1067"/>
        <v>0</v>
      </c>
      <c r="DQ46" s="675">
        <f t="shared" si="1067"/>
        <v>0</v>
      </c>
      <c r="DR46" s="549">
        <f t="shared" si="1067"/>
        <v>0</v>
      </c>
      <c r="DS46" s="675">
        <f t="shared" si="1067"/>
        <v>0</v>
      </c>
      <c r="DT46" s="549">
        <f t="shared" si="1067"/>
        <v>0</v>
      </c>
      <c r="DU46" s="675">
        <f t="shared" si="1067"/>
        <v>0</v>
      </c>
      <c r="DV46" s="549">
        <f t="shared" si="1067"/>
        <v>0</v>
      </c>
      <c r="DW46" s="675">
        <f t="shared" si="1067"/>
        <v>0</v>
      </c>
      <c r="DX46" s="549">
        <f t="shared" ref="DX46:EG46" si="1068">SUM(DX47:DX50)</f>
        <v>0</v>
      </c>
      <c r="DY46" s="675">
        <f t="shared" si="1068"/>
        <v>0</v>
      </c>
      <c r="DZ46" s="549">
        <f t="shared" si="1068"/>
        <v>0</v>
      </c>
      <c r="EA46" s="675">
        <f t="shared" si="1068"/>
        <v>0</v>
      </c>
      <c r="EB46" s="549">
        <f t="shared" si="1068"/>
        <v>0</v>
      </c>
      <c r="EC46" s="675">
        <f t="shared" si="1068"/>
        <v>0</v>
      </c>
      <c r="ED46" s="549">
        <f t="shared" si="1068"/>
        <v>0</v>
      </c>
      <c r="EE46" s="675">
        <f t="shared" si="1068"/>
        <v>0</v>
      </c>
      <c r="EF46" s="549">
        <f t="shared" si="1068"/>
        <v>0</v>
      </c>
      <c r="EG46" s="675">
        <f t="shared" si="1068"/>
        <v>0</v>
      </c>
      <c r="EH46" s="549">
        <f t="shared" ref="EH46:EM46" si="1069">SUM(EH47:EH50)</f>
        <v>0</v>
      </c>
      <c r="EI46" s="675">
        <f t="shared" si="1069"/>
        <v>0</v>
      </c>
      <c r="EJ46" s="549">
        <f t="shared" si="1069"/>
        <v>0</v>
      </c>
      <c r="EK46" s="675">
        <f t="shared" si="1069"/>
        <v>0</v>
      </c>
      <c r="EL46" s="549">
        <f t="shared" si="1069"/>
        <v>0</v>
      </c>
      <c r="EM46" s="675">
        <f t="shared" si="1069"/>
        <v>-5000</v>
      </c>
      <c r="EN46" s="549">
        <f t="shared" ref="EN46:EO46" si="1070">SUM(EN47:EN50)</f>
        <v>0</v>
      </c>
      <c r="EO46" s="675">
        <f t="shared" si="1070"/>
        <v>0</v>
      </c>
      <c r="EP46" s="549">
        <f t="shared" ref="EP46:FA46" si="1071">SUM(EP47:EP50)</f>
        <v>0</v>
      </c>
      <c r="EQ46" s="675">
        <f t="shared" si="1071"/>
        <v>0</v>
      </c>
      <c r="ER46" s="549">
        <f t="shared" si="1071"/>
        <v>0</v>
      </c>
      <c r="ES46" s="675">
        <f t="shared" si="1071"/>
        <v>0</v>
      </c>
      <c r="ET46" s="549">
        <f t="shared" si="1071"/>
        <v>0</v>
      </c>
      <c r="EU46" s="675">
        <f t="shared" si="1071"/>
        <v>0</v>
      </c>
      <c r="EV46" s="549">
        <f t="shared" ref="EV46:EW46" si="1072">SUM(EV47:EV50)</f>
        <v>0</v>
      </c>
      <c r="EW46" s="675">
        <f t="shared" si="1072"/>
        <v>0</v>
      </c>
      <c r="EX46" s="549">
        <f t="shared" si="1071"/>
        <v>0</v>
      </c>
      <c r="EY46" s="675">
        <f t="shared" si="1071"/>
        <v>0</v>
      </c>
      <c r="EZ46" s="549">
        <f t="shared" si="1071"/>
        <v>0</v>
      </c>
      <c r="FA46" s="675">
        <f t="shared" si="1071"/>
        <v>0</v>
      </c>
      <c r="FB46" s="549">
        <f t="shared" ref="FB46:FC46" si="1073">SUM(FB47:FB50)</f>
        <v>0</v>
      </c>
      <c r="FC46" s="675">
        <f t="shared" si="1073"/>
        <v>0</v>
      </c>
      <c r="FD46" s="549">
        <f t="shared" ref="FD46:FE46" si="1074">SUM(FD47:FD50)</f>
        <v>0</v>
      </c>
      <c r="FE46" s="675">
        <f t="shared" si="1074"/>
        <v>0</v>
      </c>
      <c r="FF46" s="549">
        <f t="shared" ref="FF46:FG46" si="1075">SUM(FF47:FF50)</f>
        <v>0</v>
      </c>
      <c r="FG46" s="675">
        <f t="shared" si="1075"/>
        <v>0</v>
      </c>
      <c r="FH46" s="549">
        <f t="shared" ref="FH46:FI46" si="1076">SUM(FH47:FH50)</f>
        <v>0</v>
      </c>
      <c r="FI46" s="675">
        <f t="shared" si="1076"/>
        <v>0</v>
      </c>
      <c r="FJ46" s="549">
        <f t="shared" ref="FJ46:FK46" si="1077">SUM(FJ47:FJ50)</f>
        <v>0</v>
      </c>
      <c r="FK46" s="675">
        <f t="shared" si="1077"/>
        <v>0</v>
      </c>
      <c r="FL46" s="549">
        <f t="shared" ref="FL46:FM46" si="1078">SUM(FL47:FL50)</f>
        <v>0</v>
      </c>
      <c r="FM46" s="675">
        <f t="shared" si="1078"/>
        <v>-3000</v>
      </c>
      <c r="FN46" s="549">
        <f t="shared" ref="FN46:FO46" si="1079">SUM(FN47:FN50)</f>
        <v>0</v>
      </c>
      <c r="FO46" s="675">
        <f t="shared" si="1079"/>
        <v>0</v>
      </c>
      <c r="FP46" s="549">
        <f t="shared" ref="FP46:FQ46" si="1080">SUM(FP47:FP50)</f>
        <v>0</v>
      </c>
      <c r="FQ46" s="675">
        <f t="shared" si="1080"/>
        <v>0</v>
      </c>
      <c r="FR46" s="549">
        <f t="shared" ref="FR46:FS46" si="1081">SUM(FR47:FR50)</f>
        <v>0</v>
      </c>
      <c r="FS46" s="675">
        <f t="shared" si="1081"/>
        <v>0</v>
      </c>
      <c r="FT46" s="549">
        <f t="shared" ref="FT46:FU46" si="1082">SUM(FT47:FT50)</f>
        <v>0</v>
      </c>
      <c r="FU46" s="675">
        <f t="shared" si="1082"/>
        <v>0</v>
      </c>
      <c r="FV46" s="549">
        <f t="shared" ref="FV46:GK46" si="1083">SUM(FV47:FV50)</f>
        <v>0</v>
      </c>
      <c r="FW46" s="675">
        <f t="shared" si="1083"/>
        <v>0</v>
      </c>
      <c r="FX46" s="549">
        <f t="shared" si="1083"/>
        <v>0</v>
      </c>
      <c r="FY46" s="675">
        <f t="shared" si="1083"/>
        <v>0</v>
      </c>
      <c r="FZ46" s="549">
        <f t="shared" ref="FZ46:GI46" si="1084">SUM(FZ47:FZ50)</f>
        <v>0</v>
      </c>
      <c r="GA46" s="675">
        <f t="shared" si="1084"/>
        <v>0</v>
      </c>
      <c r="GB46" s="549">
        <f t="shared" si="1084"/>
        <v>0</v>
      </c>
      <c r="GC46" s="675">
        <f t="shared" si="1084"/>
        <v>0</v>
      </c>
      <c r="GD46" s="549">
        <f t="shared" si="1084"/>
        <v>0</v>
      </c>
      <c r="GE46" s="675">
        <f t="shared" si="1084"/>
        <v>0</v>
      </c>
      <c r="GF46" s="549">
        <f t="shared" si="1084"/>
        <v>0</v>
      </c>
      <c r="GG46" s="675">
        <f t="shared" si="1084"/>
        <v>0</v>
      </c>
      <c r="GH46" s="549">
        <f t="shared" si="1084"/>
        <v>0</v>
      </c>
      <c r="GI46" s="675">
        <f t="shared" si="1084"/>
        <v>0</v>
      </c>
      <c r="GJ46" s="549">
        <f t="shared" si="1083"/>
        <v>0</v>
      </c>
      <c r="GK46" s="675">
        <f t="shared" si="1083"/>
        <v>0</v>
      </c>
      <c r="GL46" s="549">
        <f t="shared" ref="GL46:GQ46" si="1085">SUM(GL47:GL50)</f>
        <v>0</v>
      </c>
      <c r="GM46" s="675">
        <f t="shared" si="1085"/>
        <v>0</v>
      </c>
      <c r="GN46" s="549">
        <f t="shared" ref="GN46:GO46" si="1086">SUM(GN47:GN50)</f>
        <v>0</v>
      </c>
      <c r="GO46" s="675">
        <f t="shared" si="1086"/>
        <v>0</v>
      </c>
      <c r="GP46" s="74">
        <f t="shared" si="1085"/>
        <v>8000</v>
      </c>
      <c r="GQ46" s="675">
        <f t="shared" si="1085"/>
        <v>-8000</v>
      </c>
      <c r="GR46" s="74">
        <f t="shared" ref="GR46:HJ46" si="1087">SUM(GR47:GR50)</f>
        <v>25000</v>
      </c>
      <c r="GS46" s="74">
        <f>SUM(GS47:GS50)</f>
        <v>25000</v>
      </c>
      <c r="GT46" s="549">
        <f t="shared" si="1087"/>
        <v>25000</v>
      </c>
      <c r="GU46" s="74">
        <f>SUM(GU47:GU50)</f>
        <v>8334</v>
      </c>
      <c r="GV46" s="74">
        <f t="shared" si="1087"/>
        <v>0</v>
      </c>
      <c r="GW46" s="549">
        <f t="shared" si="1087"/>
        <v>0</v>
      </c>
      <c r="GX46" s="549">
        <f t="shared" si="1087"/>
        <v>8333</v>
      </c>
      <c r="GY46" s="74">
        <f t="shared" si="1087"/>
        <v>0</v>
      </c>
      <c r="GZ46" s="74">
        <f t="shared" si="1087"/>
        <v>0</v>
      </c>
      <c r="HA46" s="74">
        <f t="shared" si="1087"/>
        <v>8333</v>
      </c>
      <c r="HB46" s="74">
        <f t="shared" si="1087"/>
        <v>0</v>
      </c>
      <c r="HC46" s="74">
        <f t="shared" si="1087"/>
        <v>0</v>
      </c>
      <c r="HD46" s="74">
        <f t="shared" si="1087"/>
        <v>0</v>
      </c>
      <c r="HE46" s="74">
        <f t="shared" si="1087"/>
        <v>0</v>
      </c>
      <c r="HF46" s="74">
        <f t="shared" si="1087"/>
        <v>0</v>
      </c>
      <c r="HG46" s="74">
        <f t="shared" si="1087"/>
        <v>25000</v>
      </c>
      <c r="HH46" s="74">
        <f t="shared" si="1087"/>
        <v>8334</v>
      </c>
      <c r="HI46" s="74">
        <f t="shared" si="1087"/>
        <v>0</v>
      </c>
      <c r="HJ46" s="74">
        <f t="shared" si="1087"/>
        <v>1000</v>
      </c>
      <c r="HK46" s="74">
        <f t="shared" ref="HK46:IP46" si="1088">SUM(HK47:HK50)</f>
        <v>0</v>
      </c>
      <c r="HL46" s="74">
        <f t="shared" si="1088"/>
        <v>7000</v>
      </c>
      <c r="HM46" s="74">
        <f t="shared" si="1088"/>
        <v>0</v>
      </c>
      <c r="HN46" s="74">
        <f t="shared" si="1088"/>
        <v>8333</v>
      </c>
      <c r="HO46" s="74">
        <f t="shared" si="1088"/>
        <v>0</v>
      </c>
      <c r="HP46" s="74">
        <f t="shared" si="1088"/>
        <v>0</v>
      </c>
      <c r="HQ46" s="74">
        <f t="shared" si="1088"/>
        <v>0</v>
      </c>
      <c r="HR46" s="74">
        <f t="shared" si="1088"/>
        <v>0</v>
      </c>
      <c r="HS46" s="74">
        <f t="shared" si="1088"/>
        <v>0</v>
      </c>
      <c r="HT46" s="74">
        <f t="shared" si="1088"/>
        <v>4000</v>
      </c>
      <c r="HU46" s="74">
        <f t="shared" si="1088"/>
        <v>0</v>
      </c>
      <c r="HV46" s="74">
        <f t="shared" si="1088"/>
        <v>4000</v>
      </c>
      <c r="HW46" s="74">
        <f t="shared" si="1088"/>
        <v>0</v>
      </c>
      <c r="HX46" s="74">
        <f t="shared" si="1088"/>
        <v>-4667</v>
      </c>
      <c r="HY46" s="74">
        <f t="shared" si="1088"/>
        <v>0</v>
      </c>
      <c r="HZ46" s="74">
        <f t="shared" si="1088"/>
        <v>-3000</v>
      </c>
      <c r="IA46" s="74">
        <f t="shared" si="1088"/>
        <v>0</v>
      </c>
      <c r="IB46" s="74">
        <f t="shared" si="1088"/>
        <v>0</v>
      </c>
      <c r="IC46" s="74">
        <f t="shared" si="1088"/>
        <v>0</v>
      </c>
      <c r="ID46" s="74">
        <f t="shared" si="1088"/>
        <v>0</v>
      </c>
      <c r="IE46" s="792">
        <f t="shared" si="1088"/>
        <v>0</v>
      </c>
      <c r="IF46" s="841">
        <f t="shared" si="1088"/>
        <v>21544.5</v>
      </c>
      <c r="IG46" s="263">
        <f t="shared" si="1088"/>
        <v>21544.5</v>
      </c>
      <c r="IH46" s="842">
        <f t="shared" si="1088"/>
        <v>21544.5</v>
      </c>
      <c r="II46" s="155">
        <f t="shared" si="1088"/>
        <v>2497</v>
      </c>
      <c r="IJ46" s="74">
        <f t="shared" si="1088"/>
        <v>2497</v>
      </c>
      <c r="IK46" s="74">
        <f t="shared" si="1088"/>
        <v>2497</v>
      </c>
      <c r="IL46" s="74">
        <f t="shared" si="1088"/>
        <v>1675</v>
      </c>
      <c r="IM46" s="74">
        <f t="shared" si="1088"/>
        <v>1675</v>
      </c>
      <c r="IN46" s="74">
        <f t="shared" si="1088"/>
        <v>1675</v>
      </c>
      <c r="IO46" s="74">
        <f t="shared" si="1088"/>
        <v>7395</v>
      </c>
      <c r="IP46" s="74">
        <f t="shared" si="1088"/>
        <v>7395</v>
      </c>
      <c r="IQ46" s="74">
        <f t="shared" ref="IQ46:JT46" si="1089">SUM(IQ47:IQ50)</f>
        <v>7395</v>
      </c>
      <c r="IR46" s="74">
        <f t="shared" si="1089"/>
        <v>1354</v>
      </c>
      <c r="IS46" s="74">
        <f t="shared" si="1089"/>
        <v>1354</v>
      </c>
      <c r="IT46" s="74">
        <f t="shared" si="1089"/>
        <v>1354</v>
      </c>
      <c r="IU46" s="74">
        <f t="shared" si="1089"/>
        <v>1409</v>
      </c>
      <c r="IV46" s="74">
        <f t="shared" si="1089"/>
        <v>1409</v>
      </c>
      <c r="IW46" s="74">
        <f t="shared" si="1089"/>
        <v>1409</v>
      </c>
      <c r="IX46" s="74">
        <f t="shared" si="1089"/>
        <v>730</v>
      </c>
      <c r="IY46" s="74">
        <f t="shared" si="1089"/>
        <v>730</v>
      </c>
      <c r="IZ46" s="74">
        <f t="shared" si="1089"/>
        <v>730</v>
      </c>
      <c r="JA46" s="74">
        <f t="shared" si="1089"/>
        <v>1650</v>
      </c>
      <c r="JB46" s="74">
        <f t="shared" si="1089"/>
        <v>1650</v>
      </c>
      <c r="JC46" s="74">
        <f t="shared" si="1089"/>
        <v>1650</v>
      </c>
      <c r="JD46" s="74">
        <f t="shared" si="1089"/>
        <v>3549.5</v>
      </c>
      <c r="JE46" s="74">
        <f t="shared" si="1089"/>
        <v>3549.5</v>
      </c>
      <c r="JF46" s="74">
        <f t="shared" si="1089"/>
        <v>3549.5</v>
      </c>
      <c r="JG46" s="74">
        <f t="shared" si="1089"/>
        <v>660</v>
      </c>
      <c r="JH46" s="74">
        <f t="shared" si="1089"/>
        <v>660</v>
      </c>
      <c r="JI46" s="74">
        <f t="shared" si="1089"/>
        <v>660</v>
      </c>
      <c r="JJ46" s="74">
        <f t="shared" si="1089"/>
        <v>625</v>
      </c>
      <c r="JK46" s="74">
        <f t="shared" si="1089"/>
        <v>625</v>
      </c>
      <c r="JL46" s="74">
        <f t="shared" si="1089"/>
        <v>625</v>
      </c>
      <c r="JM46" s="74">
        <f t="shared" si="1089"/>
        <v>0</v>
      </c>
      <c r="JN46" s="74">
        <f t="shared" si="1089"/>
        <v>0</v>
      </c>
      <c r="JO46" s="74">
        <f t="shared" si="1089"/>
        <v>0</v>
      </c>
      <c r="JP46" s="74">
        <f t="shared" si="1089"/>
        <v>0</v>
      </c>
      <c r="JQ46" s="74">
        <f t="shared" si="1089"/>
        <v>0</v>
      </c>
      <c r="JR46" s="74">
        <f t="shared" si="1089"/>
        <v>0</v>
      </c>
      <c r="JS46" s="74">
        <f t="shared" si="1089"/>
        <v>3455.5</v>
      </c>
      <c r="JT46" s="102">
        <f t="shared" si="1089"/>
        <v>3455.5</v>
      </c>
      <c r="JU46" s="671"/>
      <c r="JV46" s="492"/>
      <c r="JW46" s="490"/>
      <c r="JX46" s="549">
        <f>SUM(JX47:JX50)</f>
        <v>25000</v>
      </c>
      <c r="JY46" s="549">
        <f>SUM(JY47:JY50)</f>
        <v>0</v>
      </c>
      <c r="JZ46" s="581">
        <f t="shared" si="42"/>
        <v>8000</v>
      </c>
      <c r="KA46" s="581">
        <f t="shared" si="43"/>
        <v>-8000</v>
      </c>
      <c r="KB46" s="549">
        <f>SUM(KB47:KB50)</f>
        <v>25000</v>
      </c>
      <c r="KC46" s="709">
        <f t="shared" si="41"/>
        <v>0</v>
      </c>
      <c r="KD46" s="126" t="s">
        <v>203</v>
      </c>
      <c r="KE46" s="140" t="s">
        <v>408</v>
      </c>
      <c r="KF46" s="127" t="e">
        <f>C541+#REF!</f>
        <v>#REF!</v>
      </c>
      <c r="KG46" s="127" t="e">
        <f>GR541+#REF!</f>
        <v>#REF!</v>
      </c>
      <c r="KH46" s="127" t="e">
        <f>GS541+#REF!</f>
        <v>#REF!</v>
      </c>
      <c r="KI46" s="127" t="e">
        <f>#REF!+#REF!+GQ541+#REF!</f>
        <v>#REF!</v>
      </c>
      <c r="KJ46" s="127" t="e">
        <f>GR541+#REF!</f>
        <v>#REF!</v>
      </c>
      <c r="KK46" s="127" t="e">
        <f>HG541+#REF!</f>
        <v>#REF!</v>
      </c>
    </row>
    <row r="47" spans="1:297" s="8" customFormat="1" ht="12.75" hidden="1" customHeight="1">
      <c r="A47" s="262" t="s">
        <v>1056</v>
      </c>
      <c r="B47" s="72"/>
      <c r="C47" s="74">
        <f t="shared" ref="C47:AS47" si="1090">C381</f>
        <v>0</v>
      </c>
      <c r="D47" s="549">
        <f t="shared" si="1090"/>
        <v>0</v>
      </c>
      <c r="E47" s="675">
        <f t="shared" si="1090"/>
        <v>0</v>
      </c>
      <c r="F47" s="549">
        <f t="shared" si="1090"/>
        <v>0</v>
      </c>
      <c r="G47" s="675">
        <f t="shared" si="1090"/>
        <v>0</v>
      </c>
      <c r="H47" s="549">
        <f t="shared" si="1090"/>
        <v>0</v>
      </c>
      <c r="I47" s="675">
        <f t="shared" si="1090"/>
        <v>0</v>
      </c>
      <c r="J47" s="549">
        <f t="shared" si="1090"/>
        <v>0</v>
      </c>
      <c r="K47" s="675">
        <f t="shared" si="1090"/>
        <v>0</v>
      </c>
      <c r="L47" s="549">
        <f t="shared" si="1090"/>
        <v>0</v>
      </c>
      <c r="M47" s="675">
        <f t="shared" si="1090"/>
        <v>0</v>
      </c>
      <c r="N47" s="549">
        <f t="shared" si="1090"/>
        <v>0</v>
      </c>
      <c r="O47" s="675">
        <f t="shared" si="1090"/>
        <v>0</v>
      </c>
      <c r="P47" s="549">
        <f t="shared" si="1090"/>
        <v>0</v>
      </c>
      <c r="Q47" s="675">
        <f t="shared" si="1090"/>
        <v>0</v>
      </c>
      <c r="R47" s="549">
        <f t="shared" si="1090"/>
        <v>0</v>
      </c>
      <c r="S47" s="675">
        <f t="shared" si="1090"/>
        <v>0</v>
      </c>
      <c r="T47" s="549">
        <f t="shared" si="1090"/>
        <v>0</v>
      </c>
      <c r="U47" s="675">
        <f t="shared" si="1090"/>
        <v>0</v>
      </c>
      <c r="V47" s="549">
        <f t="shared" si="1090"/>
        <v>0</v>
      </c>
      <c r="W47" s="675">
        <f t="shared" si="1090"/>
        <v>0</v>
      </c>
      <c r="X47" s="549">
        <f t="shared" si="1090"/>
        <v>0</v>
      </c>
      <c r="Y47" s="675">
        <f t="shared" si="1090"/>
        <v>0</v>
      </c>
      <c r="Z47" s="549">
        <f t="shared" si="1090"/>
        <v>0</v>
      </c>
      <c r="AA47" s="675">
        <f t="shared" si="1090"/>
        <v>0</v>
      </c>
      <c r="AB47" s="549">
        <f t="shared" si="1090"/>
        <v>0</v>
      </c>
      <c r="AC47" s="675">
        <f t="shared" si="1090"/>
        <v>0</v>
      </c>
      <c r="AD47" s="549">
        <f t="shared" si="1090"/>
        <v>0</v>
      </c>
      <c r="AE47" s="675">
        <f t="shared" si="1090"/>
        <v>0</v>
      </c>
      <c r="AF47" s="549">
        <f t="shared" si="1090"/>
        <v>0</v>
      </c>
      <c r="AG47" s="675">
        <f t="shared" si="1090"/>
        <v>0</v>
      </c>
      <c r="AH47" s="549">
        <f t="shared" si="1090"/>
        <v>0</v>
      </c>
      <c r="AI47" s="675">
        <f t="shared" si="1090"/>
        <v>0</v>
      </c>
      <c r="AJ47" s="549">
        <f t="shared" si="1090"/>
        <v>0</v>
      </c>
      <c r="AK47" s="675">
        <f t="shared" si="1090"/>
        <v>0</v>
      </c>
      <c r="AL47" s="549">
        <f t="shared" si="1090"/>
        <v>0</v>
      </c>
      <c r="AM47" s="675">
        <f t="shared" si="1090"/>
        <v>0</v>
      </c>
      <c r="AN47" s="549">
        <f t="shared" si="1090"/>
        <v>0</v>
      </c>
      <c r="AO47" s="675">
        <f t="shared" si="1090"/>
        <v>0</v>
      </c>
      <c r="AP47" s="549">
        <f t="shared" si="1090"/>
        <v>0</v>
      </c>
      <c r="AQ47" s="675">
        <f t="shared" si="1090"/>
        <v>0</v>
      </c>
      <c r="AR47" s="549">
        <f t="shared" si="1090"/>
        <v>0</v>
      </c>
      <c r="AS47" s="675">
        <f t="shared" si="1090"/>
        <v>0</v>
      </c>
      <c r="AT47" s="549">
        <f t="shared" ref="AT47:AU47" si="1091">AT381</f>
        <v>0</v>
      </c>
      <c r="AU47" s="675">
        <f t="shared" si="1091"/>
        <v>0</v>
      </c>
      <c r="AV47" s="549">
        <f t="shared" ref="AV47:AW47" si="1092">AV381</f>
        <v>0</v>
      </c>
      <c r="AW47" s="675">
        <f t="shared" si="1092"/>
        <v>0</v>
      </c>
      <c r="AX47" s="549">
        <f t="shared" ref="AX47:AY47" si="1093">AX381</f>
        <v>0</v>
      </c>
      <c r="AY47" s="675">
        <f t="shared" si="1093"/>
        <v>0</v>
      </c>
      <c r="AZ47" s="549">
        <f t="shared" ref="AZ47:BA47" si="1094">AZ381</f>
        <v>0</v>
      </c>
      <c r="BA47" s="675">
        <f t="shared" si="1094"/>
        <v>0</v>
      </c>
      <c r="BB47" s="549">
        <f t="shared" ref="BB47:BC47" si="1095">BB381</f>
        <v>0</v>
      </c>
      <c r="BC47" s="675">
        <f t="shared" si="1095"/>
        <v>0</v>
      </c>
      <c r="BD47" s="549">
        <f t="shared" ref="BD47:BE47" si="1096">BD381</f>
        <v>0</v>
      </c>
      <c r="BE47" s="675">
        <f t="shared" si="1096"/>
        <v>0</v>
      </c>
      <c r="BF47" s="549">
        <f t="shared" ref="BF47:BG47" si="1097">BF381</f>
        <v>0</v>
      </c>
      <c r="BG47" s="675">
        <f t="shared" si="1097"/>
        <v>0</v>
      </c>
      <c r="BH47" s="549">
        <f t="shared" ref="BH47:BI47" si="1098">BH381</f>
        <v>0</v>
      </c>
      <c r="BI47" s="675">
        <f t="shared" si="1098"/>
        <v>0</v>
      </c>
      <c r="BJ47" s="549">
        <f t="shared" ref="BJ47:BK47" si="1099">BJ381</f>
        <v>0</v>
      </c>
      <c r="BK47" s="675">
        <f t="shared" si="1099"/>
        <v>0</v>
      </c>
      <c r="BL47" s="549">
        <f t="shared" ref="BL47:BS47" si="1100">BL381</f>
        <v>0</v>
      </c>
      <c r="BM47" s="675">
        <f t="shared" si="1100"/>
        <v>0</v>
      </c>
      <c r="BN47" s="549">
        <f t="shared" si="1100"/>
        <v>0</v>
      </c>
      <c r="BO47" s="675">
        <f t="shared" si="1100"/>
        <v>0</v>
      </c>
      <c r="BP47" s="549">
        <f t="shared" si="1100"/>
        <v>0</v>
      </c>
      <c r="BQ47" s="675">
        <f t="shared" si="1100"/>
        <v>0</v>
      </c>
      <c r="BR47" s="549">
        <f t="shared" si="1100"/>
        <v>0</v>
      </c>
      <c r="BS47" s="675">
        <f t="shared" si="1100"/>
        <v>0</v>
      </c>
      <c r="BT47" s="549">
        <f t="shared" ref="BT47:BW49" si="1101">BT381</f>
        <v>0</v>
      </c>
      <c r="BU47" s="675">
        <f t="shared" si="1101"/>
        <v>0</v>
      </c>
      <c r="BV47" s="549">
        <f t="shared" si="1101"/>
        <v>0</v>
      </c>
      <c r="BW47" s="675">
        <f t="shared" si="1101"/>
        <v>0</v>
      </c>
      <c r="BX47" s="549">
        <f t="shared" ref="BX47:BY47" si="1102">BX381</f>
        <v>0</v>
      </c>
      <c r="BY47" s="675">
        <f t="shared" si="1102"/>
        <v>0</v>
      </c>
      <c r="BZ47" s="549">
        <f t="shared" ref="BZ47:CA47" si="1103">BZ381</f>
        <v>0</v>
      </c>
      <c r="CA47" s="675">
        <f t="shared" si="1103"/>
        <v>0</v>
      </c>
      <c r="CB47" s="549">
        <f t="shared" ref="CB47:CE47" si="1104">CB381</f>
        <v>0</v>
      </c>
      <c r="CC47" s="675">
        <f t="shared" si="1104"/>
        <v>0</v>
      </c>
      <c r="CD47" s="549">
        <f t="shared" si="1104"/>
        <v>0</v>
      </c>
      <c r="CE47" s="675">
        <f t="shared" si="1104"/>
        <v>0</v>
      </c>
      <c r="CF47" s="549">
        <f t="shared" ref="CF47:CQ47" si="1105">CF381</f>
        <v>0</v>
      </c>
      <c r="CG47" s="675">
        <f t="shared" si="1105"/>
        <v>0</v>
      </c>
      <c r="CH47" s="549">
        <f t="shared" si="1105"/>
        <v>0</v>
      </c>
      <c r="CI47" s="675">
        <f t="shared" si="1105"/>
        <v>0</v>
      </c>
      <c r="CJ47" s="549">
        <f t="shared" si="1105"/>
        <v>0</v>
      </c>
      <c r="CK47" s="675">
        <f t="shared" si="1105"/>
        <v>0</v>
      </c>
      <c r="CL47" s="549">
        <f t="shared" si="1105"/>
        <v>0</v>
      </c>
      <c r="CM47" s="675">
        <f t="shared" si="1105"/>
        <v>0</v>
      </c>
      <c r="CN47" s="549">
        <f t="shared" si="1105"/>
        <v>0</v>
      </c>
      <c r="CO47" s="675">
        <f t="shared" si="1105"/>
        <v>0</v>
      </c>
      <c r="CP47" s="549">
        <f t="shared" si="1105"/>
        <v>0</v>
      </c>
      <c r="CQ47" s="675">
        <f t="shared" si="1105"/>
        <v>0</v>
      </c>
      <c r="CR47" s="549">
        <f t="shared" ref="CR47:CY49" si="1106">CR381</f>
        <v>0</v>
      </c>
      <c r="CS47" s="675">
        <f t="shared" si="1106"/>
        <v>0</v>
      </c>
      <c r="CT47" s="549">
        <f t="shared" si="1106"/>
        <v>0</v>
      </c>
      <c r="CU47" s="675">
        <f t="shared" si="1106"/>
        <v>0</v>
      </c>
      <c r="CV47" s="549">
        <f t="shared" si="1106"/>
        <v>0</v>
      </c>
      <c r="CW47" s="675">
        <f t="shared" si="1106"/>
        <v>0</v>
      </c>
      <c r="CX47" s="549">
        <f t="shared" si="1106"/>
        <v>0</v>
      </c>
      <c r="CY47" s="675">
        <f t="shared" si="1106"/>
        <v>0</v>
      </c>
      <c r="CZ47" s="549">
        <f t="shared" ref="CZ47:DG49" si="1107">CZ381</f>
        <v>0</v>
      </c>
      <c r="DA47" s="675">
        <f t="shared" si="1107"/>
        <v>0</v>
      </c>
      <c r="DB47" s="549">
        <f t="shared" si="1107"/>
        <v>0</v>
      </c>
      <c r="DC47" s="675">
        <f t="shared" si="1107"/>
        <v>0</v>
      </c>
      <c r="DD47" s="549">
        <f t="shared" ref="DD47:DE49" si="1108">DD381</f>
        <v>0</v>
      </c>
      <c r="DE47" s="675">
        <f t="shared" si="1108"/>
        <v>0</v>
      </c>
      <c r="DF47" s="549">
        <f t="shared" si="1107"/>
        <v>0</v>
      </c>
      <c r="DG47" s="675">
        <f t="shared" si="1107"/>
        <v>0</v>
      </c>
      <c r="DH47" s="549">
        <f t="shared" ref="DH47:DI49" si="1109">DH381</f>
        <v>0</v>
      </c>
      <c r="DI47" s="675">
        <f t="shared" si="1109"/>
        <v>0</v>
      </c>
      <c r="DJ47" s="549">
        <f t="shared" ref="DJ47:DM49" si="1110">DJ381</f>
        <v>0</v>
      </c>
      <c r="DK47" s="675">
        <f t="shared" si="1110"/>
        <v>0</v>
      </c>
      <c r="DL47" s="549">
        <f t="shared" si="1110"/>
        <v>0</v>
      </c>
      <c r="DM47" s="675">
        <f t="shared" si="1110"/>
        <v>0</v>
      </c>
      <c r="DN47" s="549">
        <f t="shared" ref="DN47:DO49" si="1111">DN381</f>
        <v>0</v>
      </c>
      <c r="DO47" s="675">
        <f t="shared" si="1111"/>
        <v>0</v>
      </c>
      <c r="DP47" s="549">
        <f t="shared" ref="DP47:DU47" si="1112">DP381</f>
        <v>0</v>
      </c>
      <c r="DQ47" s="675">
        <f t="shared" si="1112"/>
        <v>0</v>
      </c>
      <c r="DR47" s="549">
        <f t="shared" si="1112"/>
        <v>0</v>
      </c>
      <c r="DS47" s="675">
        <f t="shared" si="1112"/>
        <v>0</v>
      </c>
      <c r="DT47" s="549">
        <f t="shared" si="1112"/>
        <v>0</v>
      </c>
      <c r="DU47" s="675">
        <f t="shared" si="1112"/>
        <v>0</v>
      </c>
      <c r="DV47" s="549">
        <f t="shared" ref="DV47:DW49" si="1113">DV381</f>
        <v>0</v>
      </c>
      <c r="DW47" s="675">
        <f t="shared" si="1113"/>
        <v>0</v>
      </c>
      <c r="DX47" s="549">
        <f t="shared" ref="DX47:EG47" si="1114">DX381</f>
        <v>0</v>
      </c>
      <c r="DY47" s="675">
        <f t="shared" si="1114"/>
        <v>0</v>
      </c>
      <c r="DZ47" s="549">
        <f t="shared" si="1114"/>
        <v>0</v>
      </c>
      <c r="EA47" s="675">
        <f t="shared" si="1114"/>
        <v>0</v>
      </c>
      <c r="EB47" s="549">
        <f t="shared" si="1114"/>
        <v>0</v>
      </c>
      <c r="EC47" s="675">
        <f t="shared" si="1114"/>
        <v>0</v>
      </c>
      <c r="ED47" s="549">
        <f t="shared" si="1114"/>
        <v>0</v>
      </c>
      <c r="EE47" s="675">
        <f t="shared" si="1114"/>
        <v>0</v>
      </c>
      <c r="EF47" s="549">
        <f t="shared" si="1114"/>
        <v>0</v>
      </c>
      <c r="EG47" s="675">
        <f t="shared" si="1114"/>
        <v>0</v>
      </c>
      <c r="EH47" s="549">
        <f t="shared" ref="EH47:EM47" si="1115">EH381</f>
        <v>0</v>
      </c>
      <c r="EI47" s="675">
        <f t="shared" si="1115"/>
        <v>0</v>
      </c>
      <c r="EJ47" s="549">
        <f t="shared" si="1115"/>
        <v>0</v>
      </c>
      <c r="EK47" s="675">
        <f t="shared" si="1115"/>
        <v>0</v>
      </c>
      <c r="EL47" s="549">
        <f t="shared" si="1115"/>
        <v>0</v>
      </c>
      <c r="EM47" s="675">
        <f t="shared" si="1115"/>
        <v>0</v>
      </c>
      <c r="EN47" s="549">
        <f t="shared" ref="EN47:EO49" si="1116">EN381</f>
        <v>0</v>
      </c>
      <c r="EO47" s="675">
        <f t="shared" si="1116"/>
        <v>0</v>
      </c>
      <c r="EP47" s="549">
        <f t="shared" ref="EP47:EU47" si="1117">EP381</f>
        <v>0</v>
      </c>
      <c r="EQ47" s="675">
        <f t="shared" si="1117"/>
        <v>0</v>
      </c>
      <c r="ER47" s="549">
        <f t="shared" si="1117"/>
        <v>0</v>
      </c>
      <c r="ES47" s="675">
        <f t="shared" si="1117"/>
        <v>0</v>
      </c>
      <c r="ET47" s="549">
        <f t="shared" si="1117"/>
        <v>0</v>
      </c>
      <c r="EU47" s="675">
        <f t="shared" si="1117"/>
        <v>0</v>
      </c>
      <c r="EV47" s="549">
        <f t="shared" ref="EV47:GQ47" si="1118">EV381</f>
        <v>0</v>
      </c>
      <c r="EW47" s="675">
        <f t="shared" si="1118"/>
        <v>0</v>
      </c>
      <c r="EX47" s="549">
        <f t="shared" si="1118"/>
        <v>0</v>
      </c>
      <c r="EY47" s="675">
        <f t="shared" si="1118"/>
        <v>0</v>
      </c>
      <c r="EZ47" s="549">
        <f t="shared" si="1118"/>
        <v>0</v>
      </c>
      <c r="FA47" s="675">
        <f t="shared" si="1118"/>
        <v>0</v>
      </c>
      <c r="FB47" s="549">
        <f t="shared" si="1118"/>
        <v>0</v>
      </c>
      <c r="FC47" s="675">
        <f t="shared" si="1118"/>
        <v>0</v>
      </c>
      <c r="FD47" s="549">
        <f t="shared" si="1118"/>
        <v>0</v>
      </c>
      <c r="FE47" s="675">
        <f t="shared" si="1118"/>
        <v>0</v>
      </c>
      <c r="FF47" s="549">
        <f t="shared" ref="FF47:FG47" si="1119">FF381</f>
        <v>0</v>
      </c>
      <c r="FG47" s="675">
        <f t="shared" si="1119"/>
        <v>0</v>
      </c>
      <c r="FH47" s="549">
        <f t="shared" ref="FH47:FI47" si="1120">FH381</f>
        <v>0</v>
      </c>
      <c r="FI47" s="675">
        <f t="shared" si="1120"/>
        <v>0</v>
      </c>
      <c r="FJ47" s="549">
        <f t="shared" ref="FJ47:FK47" si="1121">FJ381</f>
        <v>0</v>
      </c>
      <c r="FK47" s="675">
        <f t="shared" si="1121"/>
        <v>0</v>
      </c>
      <c r="FL47" s="549">
        <f t="shared" ref="FL47:FM47" si="1122">FL381</f>
        <v>0</v>
      </c>
      <c r="FM47" s="675">
        <f t="shared" si="1122"/>
        <v>0</v>
      </c>
      <c r="FN47" s="549">
        <f t="shared" ref="FN47:FO47" si="1123">FN381</f>
        <v>0</v>
      </c>
      <c r="FO47" s="675">
        <f t="shared" si="1123"/>
        <v>0</v>
      </c>
      <c r="FP47" s="549">
        <f t="shared" ref="FP47:FQ47" si="1124">FP381</f>
        <v>0</v>
      </c>
      <c r="FQ47" s="675">
        <f t="shared" si="1124"/>
        <v>0</v>
      </c>
      <c r="FR47" s="549">
        <f t="shared" ref="FR47:FS47" si="1125">FR381</f>
        <v>0</v>
      </c>
      <c r="FS47" s="675">
        <f t="shared" si="1125"/>
        <v>0</v>
      </c>
      <c r="FT47" s="549">
        <f t="shared" ref="FT47:FU47" si="1126">FT381</f>
        <v>0</v>
      </c>
      <c r="FU47" s="675">
        <f t="shared" si="1126"/>
        <v>0</v>
      </c>
      <c r="FV47" s="549">
        <f t="shared" ref="FV47:GK47" si="1127">FV381</f>
        <v>0</v>
      </c>
      <c r="FW47" s="675">
        <f t="shared" si="1127"/>
        <v>0</v>
      </c>
      <c r="FX47" s="549">
        <f t="shared" si="1127"/>
        <v>0</v>
      </c>
      <c r="FY47" s="675">
        <f t="shared" si="1127"/>
        <v>0</v>
      </c>
      <c r="FZ47" s="549">
        <f t="shared" ref="FZ47:GI47" si="1128">FZ381</f>
        <v>0</v>
      </c>
      <c r="GA47" s="675">
        <f t="shared" si="1128"/>
        <v>0</v>
      </c>
      <c r="GB47" s="549">
        <f t="shared" si="1128"/>
        <v>0</v>
      </c>
      <c r="GC47" s="675">
        <f t="shared" si="1128"/>
        <v>0</v>
      </c>
      <c r="GD47" s="549">
        <f t="shared" si="1128"/>
        <v>0</v>
      </c>
      <c r="GE47" s="675">
        <f t="shared" si="1128"/>
        <v>0</v>
      </c>
      <c r="GF47" s="549">
        <f t="shared" si="1128"/>
        <v>0</v>
      </c>
      <c r="GG47" s="675">
        <f t="shared" si="1128"/>
        <v>0</v>
      </c>
      <c r="GH47" s="549">
        <f t="shared" si="1128"/>
        <v>0</v>
      </c>
      <c r="GI47" s="675">
        <f t="shared" si="1128"/>
        <v>0</v>
      </c>
      <c r="GJ47" s="549">
        <f t="shared" si="1127"/>
        <v>0</v>
      </c>
      <c r="GK47" s="675">
        <f t="shared" si="1127"/>
        <v>0</v>
      </c>
      <c r="GL47" s="549">
        <f t="shared" ref="GL47:GM47" si="1129">GL381</f>
        <v>0</v>
      </c>
      <c r="GM47" s="675">
        <f t="shared" si="1129"/>
        <v>0</v>
      </c>
      <c r="GN47" s="549">
        <f t="shared" ref="GN47:GO47" si="1130">GN381</f>
        <v>0</v>
      </c>
      <c r="GO47" s="675">
        <f t="shared" si="1130"/>
        <v>0</v>
      </c>
      <c r="GP47" s="74">
        <f t="shared" si="1118"/>
        <v>0</v>
      </c>
      <c r="GQ47" s="675">
        <f t="shared" si="1118"/>
        <v>0</v>
      </c>
      <c r="GR47" s="74">
        <f t="shared" ref="GR47:HK47" si="1131">GR381</f>
        <v>0</v>
      </c>
      <c r="GS47" s="74">
        <f>GS381</f>
        <v>0</v>
      </c>
      <c r="GT47" s="74">
        <f t="shared" si="1131"/>
        <v>0</v>
      </c>
      <c r="GU47" s="74">
        <f t="shared" si="1131"/>
        <v>0</v>
      </c>
      <c r="GV47" s="74">
        <f t="shared" si="1131"/>
        <v>0</v>
      </c>
      <c r="GW47" s="74">
        <f t="shared" si="1131"/>
        <v>0</v>
      </c>
      <c r="GX47" s="74">
        <f t="shared" si="1131"/>
        <v>0</v>
      </c>
      <c r="GY47" s="74">
        <f t="shared" si="1131"/>
        <v>0</v>
      </c>
      <c r="GZ47" s="74">
        <f t="shared" si="1131"/>
        <v>0</v>
      </c>
      <c r="HA47" s="74">
        <f t="shared" si="1131"/>
        <v>0</v>
      </c>
      <c r="HB47" s="74">
        <f t="shared" si="1131"/>
        <v>0</v>
      </c>
      <c r="HC47" s="74">
        <f t="shared" si="1131"/>
        <v>0</v>
      </c>
      <c r="HD47" s="74">
        <f t="shared" si="1131"/>
        <v>0</v>
      </c>
      <c r="HE47" s="74">
        <f t="shared" si="1131"/>
        <v>0</v>
      </c>
      <c r="HF47" s="74">
        <f t="shared" si="1131"/>
        <v>0</v>
      </c>
      <c r="HG47" s="74">
        <f t="shared" si="1131"/>
        <v>0</v>
      </c>
      <c r="HH47" s="74">
        <f t="shared" si="1131"/>
        <v>0</v>
      </c>
      <c r="HI47" s="74">
        <f t="shared" si="1131"/>
        <v>0</v>
      </c>
      <c r="HJ47" s="74">
        <f t="shared" si="1131"/>
        <v>0</v>
      </c>
      <c r="HK47" s="74">
        <f t="shared" si="1131"/>
        <v>0</v>
      </c>
      <c r="HL47" s="74">
        <f t="shared" ref="HL47:JT50" si="1132">HL381</f>
        <v>0</v>
      </c>
      <c r="HM47" s="74">
        <f t="shared" si="1132"/>
        <v>0</v>
      </c>
      <c r="HN47" s="74">
        <f t="shared" si="1132"/>
        <v>0</v>
      </c>
      <c r="HO47" s="74">
        <f t="shared" si="1132"/>
        <v>0</v>
      </c>
      <c r="HP47" s="74">
        <f t="shared" si="1132"/>
        <v>0</v>
      </c>
      <c r="HQ47" s="74">
        <f t="shared" si="1132"/>
        <v>0</v>
      </c>
      <c r="HR47" s="74">
        <f t="shared" si="1132"/>
        <v>0</v>
      </c>
      <c r="HS47" s="74">
        <f t="shared" si="1132"/>
        <v>0</v>
      </c>
      <c r="HT47" s="74">
        <f t="shared" si="1132"/>
        <v>0</v>
      </c>
      <c r="HU47" s="74">
        <f t="shared" si="1132"/>
        <v>0</v>
      </c>
      <c r="HV47" s="74">
        <f t="shared" si="1132"/>
        <v>0</v>
      </c>
      <c r="HW47" s="74">
        <f t="shared" si="1132"/>
        <v>0</v>
      </c>
      <c r="HX47" s="74">
        <f t="shared" si="1132"/>
        <v>0</v>
      </c>
      <c r="HY47" s="74">
        <f t="shared" si="1132"/>
        <v>0</v>
      </c>
      <c r="HZ47" s="74">
        <f t="shared" si="1132"/>
        <v>0</v>
      </c>
      <c r="IA47" s="74">
        <f t="shared" si="1132"/>
        <v>0</v>
      </c>
      <c r="IB47" s="74">
        <f t="shared" si="1132"/>
        <v>0</v>
      </c>
      <c r="IC47" s="74">
        <f t="shared" si="1132"/>
        <v>0</v>
      </c>
      <c r="ID47" s="74">
        <f t="shared" si="1132"/>
        <v>0</v>
      </c>
      <c r="IE47" s="792">
        <f t="shared" si="1132"/>
        <v>0</v>
      </c>
      <c r="IF47" s="841">
        <f t="shared" si="1132"/>
        <v>0</v>
      </c>
      <c r="IG47" s="263">
        <f t="shared" si="1132"/>
        <v>0</v>
      </c>
      <c r="IH47" s="842">
        <f t="shared" si="1132"/>
        <v>0</v>
      </c>
      <c r="II47" s="155">
        <f t="shared" si="1132"/>
        <v>0</v>
      </c>
      <c r="IJ47" s="74">
        <f t="shared" si="1132"/>
        <v>0</v>
      </c>
      <c r="IK47" s="74">
        <f t="shared" si="1132"/>
        <v>0</v>
      </c>
      <c r="IL47" s="74">
        <f t="shared" si="1132"/>
        <v>0</v>
      </c>
      <c r="IM47" s="74">
        <f t="shared" si="1132"/>
        <v>0</v>
      </c>
      <c r="IN47" s="74">
        <f t="shared" si="1132"/>
        <v>0</v>
      </c>
      <c r="IO47" s="74">
        <f t="shared" si="1132"/>
        <v>0</v>
      </c>
      <c r="IP47" s="74">
        <f t="shared" si="1132"/>
        <v>0</v>
      </c>
      <c r="IQ47" s="74">
        <f t="shared" si="1132"/>
        <v>0</v>
      </c>
      <c r="IR47" s="74">
        <f t="shared" si="1132"/>
        <v>0</v>
      </c>
      <c r="IS47" s="74">
        <f t="shared" si="1132"/>
        <v>0</v>
      </c>
      <c r="IT47" s="74">
        <f t="shared" si="1132"/>
        <v>0</v>
      </c>
      <c r="IU47" s="74">
        <f t="shared" si="1132"/>
        <v>0</v>
      </c>
      <c r="IV47" s="74">
        <f t="shared" si="1132"/>
        <v>0</v>
      </c>
      <c r="IW47" s="74">
        <f t="shared" si="1132"/>
        <v>0</v>
      </c>
      <c r="IX47" s="74">
        <f t="shared" si="1132"/>
        <v>0</v>
      </c>
      <c r="IY47" s="74">
        <f t="shared" si="1132"/>
        <v>0</v>
      </c>
      <c r="IZ47" s="74">
        <f t="shared" si="1132"/>
        <v>0</v>
      </c>
      <c r="JA47" s="74">
        <f t="shared" si="1132"/>
        <v>0</v>
      </c>
      <c r="JB47" s="74">
        <f t="shared" si="1132"/>
        <v>0</v>
      </c>
      <c r="JC47" s="74">
        <f t="shared" si="1132"/>
        <v>0</v>
      </c>
      <c r="JD47" s="74">
        <f t="shared" si="1132"/>
        <v>0</v>
      </c>
      <c r="JE47" s="74">
        <f t="shared" si="1132"/>
        <v>0</v>
      </c>
      <c r="JF47" s="74">
        <f t="shared" si="1132"/>
        <v>0</v>
      </c>
      <c r="JG47" s="74">
        <f t="shared" si="1132"/>
        <v>0</v>
      </c>
      <c r="JH47" s="74">
        <f t="shared" si="1132"/>
        <v>0</v>
      </c>
      <c r="JI47" s="74">
        <f t="shared" si="1132"/>
        <v>0</v>
      </c>
      <c r="JJ47" s="74">
        <f t="shared" si="1132"/>
        <v>0</v>
      </c>
      <c r="JK47" s="74">
        <f t="shared" si="1132"/>
        <v>0</v>
      </c>
      <c r="JL47" s="74">
        <f t="shared" si="1132"/>
        <v>0</v>
      </c>
      <c r="JM47" s="74">
        <f t="shared" si="1132"/>
        <v>0</v>
      </c>
      <c r="JN47" s="74">
        <f t="shared" si="1132"/>
        <v>0</v>
      </c>
      <c r="JO47" s="74">
        <f t="shared" si="1132"/>
        <v>0</v>
      </c>
      <c r="JP47" s="74">
        <f t="shared" si="1132"/>
        <v>0</v>
      </c>
      <c r="JQ47" s="74">
        <f t="shared" si="1132"/>
        <v>0</v>
      </c>
      <c r="JR47" s="74">
        <f t="shared" si="1132"/>
        <v>0</v>
      </c>
      <c r="JS47" s="74">
        <f t="shared" si="1132"/>
        <v>0</v>
      </c>
      <c r="JT47" s="102">
        <f t="shared" si="1132"/>
        <v>0</v>
      </c>
      <c r="JU47" s="671"/>
      <c r="JV47" s="492"/>
      <c r="JW47" s="490"/>
      <c r="JX47" s="549">
        <f t="shared" ref="JX47:KB49" si="1133">JX381</f>
        <v>0</v>
      </c>
      <c r="JY47" s="549">
        <f t="shared" si="1133"/>
        <v>0</v>
      </c>
      <c r="JZ47" s="581">
        <f t="shared" si="42"/>
        <v>0</v>
      </c>
      <c r="KA47" s="581">
        <f t="shared" si="43"/>
        <v>0</v>
      </c>
      <c r="KB47" s="549">
        <f t="shared" si="1133"/>
        <v>0</v>
      </c>
      <c r="KC47" s="709">
        <f t="shared" si="41"/>
        <v>0</v>
      </c>
      <c r="KD47" s="126"/>
      <c r="KE47" s="140"/>
      <c r="KF47" s="127"/>
      <c r="KG47" s="127"/>
      <c r="KH47" s="127"/>
      <c r="KI47" s="127"/>
      <c r="KJ47" s="127"/>
      <c r="KK47" s="127"/>
    </row>
    <row r="48" spans="1:297" s="8" customFormat="1" ht="12.75" hidden="1" customHeight="1">
      <c r="A48" s="262" t="s">
        <v>1057</v>
      </c>
      <c r="B48" s="72"/>
      <c r="C48" s="74">
        <f>C382</f>
        <v>0</v>
      </c>
      <c r="D48" s="549">
        <f t="shared" ref="D48:E48" si="1134">D382</f>
        <v>0</v>
      </c>
      <c r="E48" s="675">
        <f t="shared" si="1134"/>
        <v>0</v>
      </c>
      <c r="F48" s="549">
        <f t="shared" ref="F48:G48" si="1135">F382</f>
        <v>0</v>
      </c>
      <c r="G48" s="675">
        <f t="shared" si="1135"/>
        <v>0</v>
      </c>
      <c r="H48" s="549">
        <f t="shared" ref="H48:U48" si="1136">H382</f>
        <v>0</v>
      </c>
      <c r="I48" s="675">
        <f t="shared" si="1136"/>
        <v>0</v>
      </c>
      <c r="J48" s="549">
        <f t="shared" si="1136"/>
        <v>0</v>
      </c>
      <c r="K48" s="675">
        <f t="shared" si="1136"/>
        <v>0</v>
      </c>
      <c r="L48" s="549">
        <f t="shared" si="1136"/>
        <v>0</v>
      </c>
      <c r="M48" s="675">
        <f t="shared" si="1136"/>
        <v>0</v>
      </c>
      <c r="N48" s="549">
        <f t="shared" si="1136"/>
        <v>0</v>
      </c>
      <c r="O48" s="675">
        <f t="shared" si="1136"/>
        <v>0</v>
      </c>
      <c r="P48" s="549">
        <f t="shared" si="1136"/>
        <v>0</v>
      </c>
      <c r="Q48" s="675">
        <f t="shared" si="1136"/>
        <v>0</v>
      </c>
      <c r="R48" s="549">
        <f t="shared" si="1136"/>
        <v>0</v>
      </c>
      <c r="S48" s="675">
        <f t="shared" si="1136"/>
        <v>0</v>
      </c>
      <c r="T48" s="549">
        <f t="shared" si="1136"/>
        <v>0</v>
      </c>
      <c r="U48" s="675">
        <f t="shared" si="1136"/>
        <v>0</v>
      </c>
      <c r="V48" s="549">
        <f t="shared" ref="V48:AS48" si="1137">V382</f>
        <v>0</v>
      </c>
      <c r="W48" s="675">
        <f t="shared" si="1137"/>
        <v>0</v>
      </c>
      <c r="X48" s="549">
        <f t="shared" si="1137"/>
        <v>0</v>
      </c>
      <c r="Y48" s="675">
        <f t="shared" si="1137"/>
        <v>0</v>
      </c>
      <c r="Z48" s="549">
        <f t="shared" si="1137"/>
        <v>0</v>
      </c>
      <c r="AA48" s="675">
        <f t="shared" si="1137"/>
        <v>0</v>
      </c>
      <c r="AB48" s="549">
        <f t="shared" si="1137"/>
        <v>0</v>
      </c>
      <c r="AC48" s="675">
        <f t="shared" si="1137"/>
        <v>0</v>
      </c>
      <c r="AD48" s="549">
        <f t="shared" si="1137"/>
        <v>0</v>
      </c>
      <c r="AE48" s="675">
        <f t="shared" si="1137"/>
        <v>0</v>
      </c>
      <c r="AF48" s="549">
        <f t="shared" si="1137"/>
        <v>0</v>
      </c>
      <c r="AG48" s="675">
        <f t="shared" si="1137"/>
        <v>0</v>
      </c>
      <c r="AH48" s="549">
        <f t="shared" si="1137"/>
        <v>0</v>
      </c>
      <c r="AI48" s="675">
        <f t="shared" si="1137"/>
        <v>0</v>
      </c>
      <c r="AJ48" s="549">
        <f t="shared" si="1137"/>
        <v>0</v>
      </c>
      <c r="AK48" s="675">
        <f t="shared" si="1137"/>
        <v>0</v>
      </c>
      <c r="AL48" s="549">
        <f t="shared" si="1137"/>
        <v>0</v>
      </c>
      <c r="AM48" s="675">
        <f t="shared" si="1137"/>
        <v>0</v>
      </c>
      <c r="AN48" s="549">
        <f t="shared" si="1137"/>
        <v>0</v>
      </c>
      <c r="AO48" s="675">
        <f t="shared" si="1137"/>
        <v>0</v>
      </c>
      <c r="AP48" s="549">
        <f t="shared" si="1137"/>
        <v>0</v>
      </c>
      <c r="AQ48" s="675">
        <f t="shared" si="1137"/>
        <v>0</v>
      </c>
      <c r="AR48" s="549">
        <f t="shared" si="1137"/>
        <v>0</v>
      </c>
      <c r="AS48" s="675">
        <f t="shared" si="1137"/>
        <v>0</v>
      </c>
      <c r="AT48" s="549">
        <f t="shared" ref="AT48:AU48" si="1138">AT382</f>
        <v>0</v>
      </c>
      <c r="AU48" s="675">
        <f t="shared" si="1138"/>
        <v>0</v>
      </c>
      <c r="AV48" s="549">
        <f t="shared" ref="AV48:AW48" si="1139">AV382</f>
        <v>0</v>
      </c>
      <c r="AW48" s="675">
        <f t="shared" si="1139"/>
        <v>0</v>
      </c>
      <c r="AX48" s="549">
        <f t="shared" ref="AX48:AY48" si="1140">AX382</f>
        <v>0</v>
      </c>
      <c r="AY48" s="675">
        <f t="shared" si="1140"/>
        <v>0</v>
      </c>
      <c r="AZ48" s="549">
        <f t="shared" ref="AZ48:BA48" si="1141">AZ382</f>
        <v>0</v>
      </c>
      <c r="BA48" s="675">
        <f t="shared" si="1141"/>
        <v>0</v>
      </c>
      <c r="BB48" s="549">
        <f t="shared" ref="BB48:BC48" si="1142">BB382</f>
        <v>0</v>
      </c>
      <c r="BC48" s="675">
        <f t="shared" si="1142"/>
        <v>0</v>
      </c>
      <c r="BD48" s="549">
        <f t="shared" ref="BD48:BE48" si="1143">BD382</f>
        <v>0</v>
      </c>
      <c r="BE48" s="675">
        <f t="shared" si="1143"/>
        <v>0</v>
      </c>
      <c r="BF48" s="549">
        <f t="shared" ref="BF48:BG48" si="1144">BF382</f>
        <v>0</v>
      </c>
      <c r="BG48" s="675">
        <f t="shared" si="1144"/>
        <v>0</v>
      </c>
      <c r="BH48" s="549">
        <f t="shared" ref="BH48:BI48" si="1145">BH382</f>
        <v>0</v>
      </c>
      <c r="BI48" s="675">
        <f t="shared" si="1145"/>
        <v>0</v>
      </c>
      <c r="BJ48" s="549">
        <f t="shared" ref="BJ48:BK48" si="1146">BJ382</f>
        <v>0</v>
      </c>
      <c r="BK48" s="675">
        <f t="shared" si="1146"/>
        <v>0</v>
      </c>
      <c r="BL48" s="549">
        <f t="shared" ref="BL48:BS48" si="1147">BL382</f>
        <v>0</v>
      </c>
      <c r="BM48" s="675">
        <f t="shared" si="1147"/>
        <v>0</v>
      </c>
      <c r="BN48" s="549">
        <f t="shared" si="1147"/>
        <v>0</v>
      </c>
      <c r="BO48" s="675">
        <f t="shared" si="1147"/>
        <v>0</v>
      </c>
      <c r="BP48" s="549">
        <f t="shared" si="1147"/>
        <v>0</v>
      </c>
      <c r="BQ48" s="675">
        <f t="shared" si="1147"/>
        <v>0</v>
      </c>
      <c r="BR48" s="549">
        <f t="shared" si="1147"/>
        <v>0</v>
      </c>
      <c r="BS48" s="675">
        <f t="shared" si="1147"/>
        <v>0</v>
      </c>
      <c r="BT48" s="549">
        <f t="shared" si="1101"/>
        <v>0</v>
      </c>
      <c r="BU48" s="675">
        <f t="shared" si="1101"/>
        <v>0</v>
      </c>
      <c r="BV48" s="549">
        <f t="shared" si="1101"/>
        <v>0</v>
      </c>
      <c r="BW48" s="675">
        <f t="shared" si="1101"/>
        <v>0</v>
      </c>
      <c r="BX48" s="549">
        <f t="shared" ref="BX48:BY48" si="1148">BX382</f>
        <v>0</v>
      </c>
      <c r="BY48" s="675">
        <f t="shared" si="1148"/>
        <v>0</v>
      </c>
      <c r="BZ48" s="549">
        <f t="shared" ref="BZ48:CA48" si="1149">BZ382</f>
        <v>0</v>
      </c>
      <c r="CA48" s="675">
        <f t="shared" si="1149"/>
        <v>0</v>
      </c>
      <c r="CB48" s="549">
        <f t="shared" ref="CB48:CE48" si="1150">CB382</f>
        <v>0</v>
      </c>
      <c r="CC48" s="675">
        <f t="shared" si="1150"/>
        <v>0</v>
      </c>
      <c r="CD48" s="549">
        <f t="shared" si="1150"/>
        <v>0</v>
      </c>
      <c r="CE48" s="675">
        <f t="shared" si="1150"/>
        <v>0</v>
      </c>
      <c r="CF48" s="549">
        <f t="shared" ref="CF48:CQ48" si="1151">CF382</f>
        <v>0</v>
      </c>
      <c r="CG48" s="675">
        <f t="shared" si="1151"/>
        <v>0</v>
      </c>
      <c r="CH48" s="549">
        <f t="shared" si="1151"/>
        <v>0</v>
      </c>
      <c r="CI48" s="675">
        <f t="shared" si="1151"/>
        <v>0</v>
      </c>
      <c r="CJ48" s="549">
        <f t="shared" si="1151"/>
        <v>0</v>
      </c>
      <c r="CK48" s="675">
        <f t="shared" si="1151"/>
        <v>0</v>
      </c>
      <c r="CL48" s="549">
        <f t="shared" si="1151"/>
        <v>0</v>
      </c>
      <c r="CM48" s="675">
        <f t="shared" si="1151"/>
        <v>0</v>
      </c>
      <c r="CN48" s="549">
        <f t="shared" si="1151"/>
        <v>0</v>
      </c>
      <c r="CO48" s="675">
        <f t="shared" si="1151"/>
        <v>0</v>
      </c>
      <c r="CP48" s="549">
        <f t="shared" si="1151"/>
        <v>0</v>
      </c>
      <c r="CQ48" s="675">
        <f t="shared" si="1151"/>
        <v>0</v>
      </c>
      <c r="CR48" s="549">
        <f t="shared" si="1106"/>
        <v>0</v>
      </c>
      <c r="CS48" s="675">
        <f t="shared" si="1106"/>
        <v>0</v>
      </c>
      <c r="CT48" s="549">
        <f t="shared" si="1106"/>
        <v>0</v>
      </c>
      <c r="CU48" s="675">
        <f t="shared" si="1106"/>
        <v>0</v>
      </c>
      <c r="CV48" s="549">
        <f t="shared" si="1106"/>
        <v>0</v>
      </c>
      <c r="CW48" s="675">
        <f t="shared" si="1106"/>
        <v>0</v>
      </c>
      <c r="CX48" s="549">
        <f t="shared" si="1106"/>
        <v>0</v>
      </c>
      <c r="CY48" s="675">
        <f t="shared" si="1106"/>
        <v>0</v>
      </c>
      <c r="CZ48" s="549">
        <f t="shared" si="1107"/>
        <v>0</v>
      </c>
      <c r="DA48" s="675">
        <f t="shared" si="1107"/>
        <v>0</v>
      </c>
      <c r="DB48" s="549">
        <f t="shared" si="1107"/>
        <v>0</v>
      </c>
      <c r="DC48" s="675">
        <f t="shared" si="1107"/>
        <v>0</v>
      </c>
      <c r="DD48" s="549">
        <f t="shared" si="1108"/>
        <v>0</v>
      </c>
      <c r="DE48" s="675">
        <f t="shared" si="1108"/>
        <v>0</v>
      </c>
      <c r="DF48" s="549">
        <f t="shared" si="1107"/>
        <v>0</v>
      </c>
      <c r="DG48" s="675">
        <f t="shared" si="1107"/>
        <v>0</v>
      </c>
      <c r="DH48" s="549">
        <f t="shared" si="1109"/>
        <v>0</v>
      </c>
      <c r="DI48" s="675">
        <f t="shared" si="1109"/>
        <v>0</v>
      </c>
      <c r="DJ48" s="549">
        <f t="shared" si="1110"/>
        <v>0</v>
      </c>
      <c r="DK48" s="675">
        <f t="shared" si="1110"/>
        <v>0</v>
      </c>
      <c r="DL48" s="549">
        <f t="shared" si="1110"/>
        <v>0</v>
      </c>
      <c r="DM48" s="675">
        <f t="shared" si="1110"/>
        <v>0</v>
      </c>
      <c r="DN48" s="549">
        <f t="shared" si="1111"/>
        <v>0</v>
      </c>
      <c r="DO48" s="675">
        <f t="shared" si="1111"/>
        <v>0</v>
      </c>
      <c r="DP48" s="549">
        <f t="shared" ref="DP48:DU48" si="1152">DP382</f>
        <v>0</v>
      </c>
      <c r="DQ48" s="675">
        <f t="shared" si="1152"/>
        <v>0</v>
      </c>
      <c r="DR48" s="549">
        <f t="shared" si="1152"/>
        <v>0</v>
      </c>
      <c r="DS48" s="675">
        <f t="shared" si="1152"/>
        <v>0</v>
      </c>
      <c r="DT48" s="549">
        <f t="shared" si="1152"/>
        <v>0</v>
      </c>
      <c r="DU48" s="675">
        <f t="shared" si="1152"/>
        <v>0</v>
      </c>
      <c r="DV48" s="549">
        <f t="shared" si="1113"/>
        <v>0</v>
      </c>
      <c r="DW48" s="675">
        <f t="shared" si="1113"/>
        <v>0</v>
      </c>
      <c r="DX48" s="549">
        <f t="shared" ref="DX48:EA49" si="1153">DX382</f>
        <v>0</v>
      </c>
      <c r="DY48" s="675">
        <f t="shared" si="1153"/>
        <v>0</v>
      </c>
      <c r="DZ48" s="549">
        <f t="shared" si="1153"/>
        <v>0</v>
      </c>
      <c r="EA48" s="675">
        <f t="shared" si="1153"/>
        <v>0</v>
      </c>
      <c r="EB48" s="549">
        <f t="shared" ref="EB48:EM48" si="1154">EB382</f>
        <v>0</v>
      </c>
      <c r="EC48" s="675">
        <f t="shared" si="1154"/>
        <v>0</v>
      </c>
      <c r="ED48" s="549">
        <f t="shared" si="1154"/>
        <v>0</v>
      </c>
      <c r="EE48" s="675">
        <f t="shared" si="1154"/>
        <v>0</v>
      </c>
      <c r="EF48" s="549">
        <f t="shared" si="1154"/>
        <v>0</v>
      </c>
      <c r="EG48" s="675">
        <f t="shared" si="1154"/>
        <v>0</v>
      </c>
      <c r="EH48" s="549">
        <f t="shared" si="1154"/>
        <v>0</v>
      </c>
      <c r="EI48" s="675">
        <f t="shared" si="1154"/>
        <v>0</v>
      </c>
      <c r="EJ48" s="549">
        <f t="shared" si="1154"/>
        <v>0</v>
      </c>
      <c r="EK48" s="675">
        <f t="shared" si="1154"/>
        <v>0</v>
      </c>
      <c r="EL48" s="549">
        <f t="shared" si="1154"/>
        <v>0</v>
      </c>
      <c r="EM48" s="675">
        <f t="shared" si="1154"/>
        <v>0</v>
      </c>
      <c r="EN48" s="549">
        <f t="shared" si="1116"/>
        <v>0</v>
      </c>
      <c r="EO48" s="675">
        <f t="shared" si="1116"/>
        <v>0</v>
      </c>
      <c r="EP48" s="549">
        <f t="shared" ref="EP48:FA48" si="1155">EP382</f>
        <v>0</v>
      </c>
      <c r="EQ48" s="675">
        <f t="shared" si="1155"/>
        <v>0</v>
      </c>
      <c r="ER48" s="549">
        <f t="shared" si="1155"/>
        <v>0</v>
      </c>
      <c r="ES48" s="675">
        <f t="shared" si="1155"/>
        <v>0</v>
      </c>
      <c r="ET48" s="549">
        <f t="shared" si="1155"/>
        <v>0</v>
      </c>
      <c r="EU48" s="675">
        <f t="shared" si="1155"/>
        <v>0</v>
      </c>
      <c r="EV48" s="549">
        <f t="shared" ref="EV48:EW49" si="1156">EV382</f>
        <v>0</v>
      </c>
      <c r="EW48" s="675">
        <f t="shared" si="1156"/>
        <v>0</v>
      </c>
      <c r="EX48" s="549">
        <f t="shared" si="1155"/>
        <v>0</v>
      </c>
      <c r="EY48" s="675">
        <f t="shared" si="1155"/>
        <v>0</v>
      </c>
      <c r="EZ48" s="549">
        <f t="shared" si="1155"/>
        <v>0</v>
      </c>
      <c r="FA48" s="675">
        <f t="shared" si="1155"/>
        <v>0</v>
      </c>
      <c r="FB48" s="549">
        <f t="shared" ref="FB48:GQ49" si="1157">FB382</f>
        <v>0</v>
      </c>
      <c r="FC48" s="675">
        <f t="shared" si="1157"/>
        <v>0</v>
      </c>
      <c r="FD48" s="549">
        <f t="shared" si="1157"/>
        <v>0</v>
      </c>
      <c r="FE48" s="675">
        <f t="shared" si="1157"/>
        <v>0</v>
      </c>
      <c r="FF48" s="549">
        <f t="shared" ref="FF48:FG48" si="1158">FF382</f>
        <v>0</v>
      </c>
      <c r="FG48" s="675">
        <f t="shared" si="1158"/>
        <v>0</v>
      </c>
      <c r="FH48" s="549">
        <f t="shared" ref="FH48:FI48" si="1159">FH382</f>
        <v>0</v>
      </c>
      <c r="FI48" s="675">
        <f t="shared" si="1159"/>
        <v>0</v>
      </c>
      <c r="FJ48" s="549">
        <f t="shared" ref="FJ48:FK48" si="1160">FJ382</f>
        <v>0</v>
      </c>
      <c r="FK48" s="675">
        <f t="shared" si="1160"/>
        <v>0</v>
      </c>
      <c r="FL48" s="549">
        <f t="shared" ref="FL48:FM48" si="1161">FL382</f>
        <v>0</v>
      </c>
      <c r="FM48" s="675">
        <f t="shared" si="1161"/>
        <v>0</v>
      </c>
      <c r="FN48" s="549">
        <f t="shared" ref="FN48:FO48" si="1162">FN382</f>
        <v>0</v>
      </c>
      <c r="FO48" s="675">
        <f t="shared" si="1162"/>
        <v>0</v>
      </c>
      <c r="FP48" s="549">
        <f t="shared" ref="FP48:FQ48" si="1163">FP382</f>
        <v>0</v>
      </c>
      <c r="FQ48" s="675">
        <f t="shared" si="1163"/>
        <v>0</v>
      </c>
      <c r="FR48" s="549">
        <f t="shared" ref="FR48:FS48" si="1164">FR382</f>
        <v>0</v>
      </c>
      <c r="FS48" s="675">
        <f t="shared" si="1164"/>
        <v>0</v>
      </c>
      <c r="FT48" s="549">
        <f t="shared" ref="FT48:FU48" si="1165">FT382</f>
        <v>0</v>
      </c>
      <c r="FU48" s="675">
        <f t="shared" si="1165"/>
        <v>0</v>
      </c>
      <c r="FV48" s="549">
        <f t="shared" ref="FV48:GK48" si="1166">FV382</f>
        <v>0</v>
      </c>
      <c r="FW48" s="675">
        <f t="shared" si="1166"/>
        <v>0</v>
      </c>
      <c r="FX48" s="549">
        <f t="shared" si="1166"/>
        <v>0</v>
      </c>
      <c r="FY48" s="675">
        <f t="shared" si="1166"/>
        <v>0</v>
      </c>
      <c r="FZ48" s="549">
        <f t="shared" ref="FZ48:GI48" si="1167">FZ382</f>
        <v>0</v>
      </c>
      <c r="GA48" s="675">
        <f t="shared" si="1167"/>
        <v>0</v>
      </c>
      <c r="GB48" s="549">
        <f t="shared" si="1167"/>
        <v>0</v>
      </c>
      <c r="GC48" s="675">
        <f t="shared" si="1167"/>
        <v>0</v>
      </c>
      <c r="GD48" s="549">
        <f t="shared" si="1167"/>
        <v>0</v>
      </c>
      <c r="GE48" s="675">
        <f t="shared" si="1167"/>
        <v>0</v>
      </c>
      <c r="GF48" s="549">
        <f t="shared" si="1167"/>
        <v>0</v>
      </c>
      <c r="GG48" s="675">
        <f t="shared" si="1167"/>
        <v>0</v>
      </c>
      <c r="GH48" s="549">
        <f t="shared" si="1167"/>
        <v>0</v>
      </c>
      <c r="GI48" s="675">
        <f t="shared" si="1167"/>
        <v>0</v>
      </c>
      <c r="GJ48" s="549">
        <f t="shared" si="1166"/>
        <v>0</v>
      </c>
      <c r="GK48" s="675">
        <f t="shared" si="1166"/>
        <v>0</v>
      </c>
      <c r="GL48" s="549">
        <f t="shared" ref="GL48:GM48" si="1168">GL382</f>
        <v>0</v>
      </c>
      <c r="GM48" s="675">
        <f t="shared" si="1168"/>
        <v>0</v>
      </c>
      <c r="GN48" s="549">
        <f t="shared" ref="GN48:GO48" si="1169">GN382</f>
        <v>0</v>
      </c>
      <c r="GO48" s="675">
        <f t="shared" si="1169"/>
        <v>0</v>
      </c>
      <c r="GP48" s="74">
        <f t="shared" si="1157"/>
        <v>0</v>
      </c>
      <c r="GQ48" s="675">
        <f t="shared" si="1157"/>
        <v>0</v>
      </c>
      <c r="GR48" s="74">
        <f t="shared" ref="GR48:HK48" si="1170">GR382</f>
        <v>0</v>
      </c>
      <c r="GS48" s="74">
        <f t="shared" si="1170"/>
        <v>0</v>
      </c>
      <c r="GT48" s="74">
        <f t="shared" si="1170"/>
        <v>0</v>
      </c>
      <c r="GU48" s="74">
        <f t="shared" si="1170"/>
        <v>0</v>
      </c>
      <c r="GV48" s="74">
        <f t="shared" si="1170"/>
        <v>0</v>
      </c>
      <c r="GW48" s="74">
        <f t="shared" si="1170"/>
        <v>0</v>
      </c>
      <c r="GX48" s="74">
        <f t="shared" si="1170"/>
        <v>0</v>
      </c>
      <c r="GY48" s="74">
        <f t="shared" si="1170"/>
        <v>0</v>
      </c>
      <c r="GZ48" s="74">
        <f t="shared" si="1170"/>
        <v>0</v>
      </c>
      <c r="HA48" s="74">
        <f t="shared" si="1170"/>
        <v>0</v>
      </c>
      <c r="HB48" s="74">
        <f t="shared" si="1170"/>
        <v>0</v>
      </c>
      <c r="HC48" s="74">
        <f t="shared" si="1170"/>
        <v>0</v>
      </c>
      <c r="HD48" s="74">
        <f t="shared" si="1170"/>
        <v>0</v>
      </c>
      <c r="HE48" s="74">
        <f t="shared" si="1170"/>
        <v>0</v>
      </c>
      <c r="HF48" s="74">
        <f t="shared" si="1170"/>
        <v>0</v>
      </c>
      <c r="HG48" s="74">
        <f t="shared" si="1170"/>
        <v>0</v>
      </c>
      <c r="HH48" s="74">
        <f t="shared" si="1170"/>
        <v>0</v>
      </c>
      <c r="HI48" s="74">
        <f t="shared" si="1170"/>
        <v>0</v>
      </c>
      <c r="HJ48" s="74">
        <f t="shared" si="1170"/>
        <v>0</v>
      </c>
      <c r="HK48" s="74">
        <f t="shared" si="1170"/>
        <v>0</v>
      </c>
      <c r="HL48" s="74">
        <f t="shared" si="1132"/>
        <v>0</v>
      </c>
      <c r="HM48" s="74">
        <f t="shared" si="1132"/>
        <v>0</v>
      </c>
      <c r="HN48" s="74">
        <f t="shared" si="1132"/>
        <v>0</v>
      </c>
      <c r="HO48" s="74">
        <f t="shared" si="1132"/>
        <v>0</v>
      </c>
      <c r="HP48" s="74">
        <f t="shared" si="1132"/>
        <v>0</v>
      </c>
      <c r="HQ48" s="74">
        <f t="shared" si="1132"/>
        <v>0</v>
      </c>
      <c r="HR48" s="74">
        <f t="shared" si="1132"/>
        <v>0</v>
      </c>
      <c r="HS48" s="74">
        <f t="shared" si="1132"/>
        <v>0</v>
      </c>
      <c r="HT48" s="74">
        <f t="shared" si="1132"/>
        <v>0</v>
      </c>
      <c r="HU48" s="74">
        <f t="shared" si="1132"/>
        <v>0</v>
      </c>
      <c r="HV48" s="74">
        <f t="shared" si="1132"/>
        <v>0</v>
      </c>
      <c r="HW48" s="74">
        <f t="shared" si="1132"/>
        <v>0</v>
      </c>
      <c r="HX48" s="74">
        <f t="shared" si="1132"/>
        <v>0</v>
      </c>
      <c r="HY48" s="74">
        <f t="shared" si="1132"/>
        <v>0</v>
      </c>
      <c r="HZ48" s="74">
        <f t="shared" si="1132"/>
        <v>0</v>
      </c>
      <c r="IA48" s="74">
        <f t="shared" si="1132"/>
        <v>0</v>
      </c>
      <c r="IB48" s="74">
        <f t="shared" si="1132"/>
        <v>0</v>
      </c>
      <c r="IC48" s="74">
        <f t="shared" si="1132"/>
        <v>0</v>
      </c>
      <c r="ID48" s="74">
        <f t="shared" si="1132"/>
        <v>0</v>
      </c>
      <c r="IE48" s="792">
        <f t="shared" si="1132"/>
        <v>0</v>
      </c>
      <c r="IF48" s="841">
        <f t="shared" si="1132"/>
        <v>0</v>
      </c>
      <c r="IG48" s="263">
        <f t="shared" si="1132"/>
        <v>0</v>
      </c>
      <c r="IH48" s="842">
        <f t="shared" si="1132"/>
        <v>0</v>
      </c>
      <c r="II48" s="155">
        <f t="shared" si="1132"/>
        <v>0</v>
      </c>
      <c r="IJ48" s="74">
        <f t="shared" si="1132"/>
        <v>0</v>
      </c>
      <c r="IK48" s="74">
        <f t="shared" si="1132"/>
        <v>0</v>
      </c>
      <c r="IL48" s="74">
        <f t="shared" si="1132"/>
        <v>0</v>
      </c>
      <c r="IM48" s="74">
        <f t="shared" si="1132"/>
        <v>0</v>
      </c>
      <c r="IN48" s="74">
        <f t="shared" si="1132"/>
        <v>0</v>
      </c>
      <c r="IO48" s="74">
        <f t="shared" si="1132"/>
        <v>0</v>
      </c>
      <c r="IP48" s="74">
        <f t="shared" si="1132"/>
        <v>0</v>
      </c>
      <c r="IQ48" s="74">
        <f t="shared" si="1132"/>
        <v>0</v>
      </c>
      <c r="IR48" s="74">
        <f t="shared" si="1132"/>
        <v>0</v>
      </c>
      <c r="IS48" s="74">
        <f t="shared" si="1132"/>
        <v>0</v>
      </c>
      <c r="IT48" s="74">
        <f t="shared" si="1132"/>
        <v>0</v>
      </c>
      <c r="IU48" s="74">
        <f t="shared" si="1132"/>
        <v>0</v>
      </c>
      <c r="IV48" s="74">
        <f t="shared" si="1132"/>
        <v>0</v>
      </c>
      <c r="IW48" s="74">
        <f t="shared" si="1132"/>
        <v>0</v>
      </c>
      <c r="IX48" s="74">
        <f t="shared" si="1132"/>
        <v>0</v>
      </c>
      <c r="IY48" s="74">
        <f t="shared" si="1132"/>
        <v>0</v>
      </c>
      <c r="IZ48" s="74">
        <f t="shared" si="1132"/>
        <v>0</v>
      </c>
      <c r="JA48" s="74">
        <f t="shared" si="1132"/>
        <v>0</v>
      </c>
      <c r="JB48" s="74">
        <f t="shared" si="1132"/>
        <v>0</v>
      </c>
      <c r="JC48" s="74">
        <f t="shared" si="1132"/>
        <v>0</v>
      </c>
      <c r="JD48" s="74">
        <f t="shared" si="1132"/>
        <v>0</v>
      </c>
      <c r="JE48" s="74">
        <f t="shared" si="1132"/>
        <v>0</v>
      </c>
      <c r="JF48" s="74">
        <f t="shared" si="1132"/>
        <v>0</v>
      </c>
      <c r="JG48" s="74">
        <f t="shared" si="1132"/>
        <v>0</v>
      </c>
      <c r="JH48" s="74">
        <f t="shared" si="1132"/>
        <v>0</v>
      </c>
      <c r="JI48" s="74">
        <f t="shared" si="1132"/>
        <v>0</v>
      </c>
      <c r="JJ48" s="74">
        <f t="shared" si="1132"/>
        <v>0</v>
      </c>
      <c r="JK48" s="74">
        <f t="shared" si="1132"/>
        <v>0</v>
      </c>
      <c r="JL48" s="74">
        <f t="shared" si="1132"/>
        <v>0</v>
      </c>
      <c r="JM48" s="74">
        <f t="shared" si="1132"/>
        <v>0</v>
      </c>
      <c r="JN48" s="74">
        <f t="shared" si="1132"/>
        <v>0</v>
      </c>
      <c r="JO48" s="74">
        <f t="shared" si="1132"/>
        <v>0</v>
      </c>
      <c r="JP48" s="74">
        <f t="shared" si="1132"/>
        <v>0</v>
      </c>
      <c r="JQ48" s="74">
        <f t="shared" si="1132"/>
        <v>0</v>
      </c>
      <c r="JR48" s="74">
        <f t="shared" si="1132"/>
        <v>0</v>
      </c>
      <c r="JS48" s="74">
        <f t="shared" si="1132"/>
        <v>0</v>
      </c>
      <c r="JT48" s="102">
        <f t="shared" si="1132"/>
        <v>0</v>
      </c>
      <c r="JU48" s="671"/>
      <c r="JV48" s="492"/>
      <c r="JW48" s="490"/>
      <c r="JX48" s="549">
        <f t="shared" si="1133"/>
        <v>0</v>
      </c>
      <c r="JY48" s="549">
        <f t="shared" si="1133"/>
        <v>0</v>
      </c>
      <c r="JZ48" s="581">
        <f t="shared" si="42"/>
        <v>0</v>
      </c>
      <c r="KA48" s="581">
        <f t="shared" si="43"/>
        <v>0</v>
      </c>
      <c r="KB48" s="549">
        <f t="shared" si="1133"/>
        <v>0</v>
      </c>
      <c r="KC48" s="709">
        <f t="shared" si="41"/>
        <v>0</v>
      </c>
      <c r="KD48" s="126"/>
      <c r="KE48" s="140"/>
      <c r="KF48" s="127"/>
      <c r="KG48" s="127"/>
      <c r="KH48" s="127"/>
      <c r="KI48" s="127"/>
      <c r="KJ48" s="127"/>
      <c r="KK48" s="127"/>
    </row>
    <row r="49" spans="1:297" s="8" customFormat="1" ht="12.75" hidden="1" customHeight="1">
      <c r="A49" s="262" t="s">
        <v>877</v>
      </c>
      <c r="B49" s="72"/>
      <c r="C49" s="74">
        <f>C383</f>
        <v>0</v>
      </c>
      <c r="D49" s="549">
        <f t="shared" ref="D49:E49" si="1171">D383</f>
        <v>0</v>
      </c>
      <c r="E49" s="675">
        <f t="shared" si="1171"/>
        <v>0</v>
      </c>
      <c r="F49" s="549">
        <f t="shared" ref="F49:G49" si="1172">F383</f>
        <v>0</v>
      </c>
      <c r="G49" s="675">
        <f t="shared" si="1172"/>
        <v>0</v>
      </c>
      <c r="H49" s="549">
        <f t="shared" ref="H49:AS49" si="1173">H383</f>
        <v>0</v>
      </c>
      <c r="I49" s="675">
        <f t="shared" si="1173"/>
        <v>0</v>
      </c>
      <c r="J49" s="549">
        <f t="shared" si="1173"/>
        <v>0</v>
      </c>
      <c r="K49" s="675">
        <f t="shared" si="1173"/>
        <v>0</v>
      </c>
      <c r="L49" s="549">
        <f t="shared" si="1173"/>
        <v>0</v>
      </c>
      <c r="M49" s="675">
        <f t="shared" si="1173"/>
        <v>0</v>
      </c>
      <c r="N49" s="549">
        <f t="shared" si="1173"/>
        <v>0</v>
      </c>
      <c r="O49" s="675">
        <f t="shared" si="1173"/>
        <v>0</v>
      </c>
      <c r="P49" s="549">
        <f t="shared" si="1173"/>
        <v>0</v>
      </c>
      <c r="Q49" s="675">
        <f t="shared" si="1173"/>
        <v>0</v>
      </c>
      <c r="R49" s="549">
        <f t="shared" si="1173"/>
        <v>0</v>
      </c>
      <c r="S49" s="675">
        <f t="shared" si="1173"/>
        <v>0</v>
      </c>
      <c r="T49" s="549">
        <f t="shared" si="1173"/>
        <v>0</v>
      </c>
      <c r="U49" s="675">
        <f t="shared" si="1173"/>
        <v>0</v>
      </c>
      <c r="V49" s="549">
        <f t="shared" si="1173"/>
        <v>0</v>
      </c>
      <c r="W49" s="675">
        <f t="shared" si="1173"/>
        <v>0</v>
      </c>
      <c r="X49" s="549">
        <f t="shared" si="1173"/>
        <v>0</v>
      </c>
      <c r="Y49" s="675">
        <f t="shared" si="1173"/>
        <v>0</v>
      </c>
      <c r="Z49" s="549">
        <f t="shared" si="1173"/>
        <v>0</v>
      </c>
      <c r="AA49" s="675">
        <f t="shared" si="1173"/>
        <v>0</v>
      </c>
      <c r="AB49" s="549">
        <f t="shared" si="1173"/>
        <v>0</v>
      </c>
      <c r="AC49" s="675">
        <f t="shared" si="1173"/>
        <v>0</v>
      </c>
      <c r="AD49" s="549">
        <f t="shared" si="1173"/>
        <v>0</v>
      </c>
      <c r="AE49" s="675">
        <f t="shared" si="1173"/>
        <v>0</v>
      </c>
      <c r="AF49" s="549">
        <f t="shared" si="1173"/>
        <v>0</v>
      </c>
      <c r="AG49" s="675">
        <f t="shared" si="1173"/>
        <v>0</v>
      </c>
      <c r="AH49" s="549">
        <f t="shared" si="1173"/>
        <v>0</v>
      </c>
      <c r="AI49" s="675">
        <f t="shared" si="1173"/>
        <v>0</v>
      </c>
      <c r="AJ49" s="549">
        <f t="shared" si="1173"/>
        <v>0</v>
      </c>
      <c r="AK49" s="675">
        <f t="shared" si="1173"/>
        <v>0</v>
      </c>
      <c r="AL49" s="549">
        <f t="shared" si="1173"/>
        <v>0</v>
      </c>
      <c r="AM49" s="675">
        <f t="shared" si="1173"/>
        <v>0</v>
      </c>
      <c r="AN49" s="549">
        <f t="shared" si="1173"/>
        <v>0</v>
      </c>
      <c r="AO49" s="675">
        <f t="shared" si="1173"/>
        <v>0</v>
      </c>
      <c r="AP49" s="549">
        <f t="shared" si="1173"/>
        <v>0</v>
      </c>
      <c r="AQ49" s="675">
        <f t="shared" si="1173"/>
        <v>0</v>
      </c>
      <c r="AR49" s="549">
        <f t="shared" si="1173"/>
        <v>0</v>
      </c>
      <c r="AS49" s="675">
        <f t="shared" si="1173"/>
        <v>0</v>
      </c>
      <c r="AT49" s="549">
        <f t="shared" ref="AT49:AU49" si="1174">AT383</f>
        <v>0</v>
      </c>
      <c r="AU49" s="675">
        <f t="shared" si="1174"/>
        <v>0</v>
      </c>
      <c r="AV49" s="549">
        <f t="shared" ref="AV49:AW49" si="1175">AV383</f>
        <v>0</v>
      </c>
      <c r="AW49" s="675">
        <f t="shared" si="1175"/>
        <v>0</v>
      </c>
      <c r="AX49" s="549">
        <f t="shared" ref="AX49:AY49" si="1176">AX383</f>
        <v>0</v>
      </c>
      <c r="AY49" s="675">
        <f t="shared" si="1176"/>
        <v>0</v>
      </c>
      <c r="AZ49" s="549">
        <f t="shared" ref="AZ49:BA49" si="1177">AZ383</f>
        <v>0</v>
      </c>
      <c r="BA49" s="675">
        <f t="shared" si="1177"/>
        <v>0</v>
      </c>
      <c r="BB49" s="549">
        <f t="shared" ref="BB49:BC49" si="1178">BB383</f>
        <v>0</v>
      </c>
      <c r="BC49" s="675">
        <f t="shared" si="1178"/>
        <v>0</v>
      </c>
      <c r="BD49" s="549">
        <f t="shared" ref="BD49:BE49" si="1179">BD383</f>
        <v>0</v>
      </c>
      <c r="BE49" s="675">
        <f t="shared" si="1179"/>
        <v>0</v>
      </c>
      <c r="BF49" s="549">
        <f t="shared" ref="BF49:BG49" si="1180">BF383</f>
        <v>0</v>
      </c>
      <c r="BG49" s="675">
        <f t="shared" si="1180"/>
        <v>0</v>
      </c>
      <c r="BH49" s="549">
        <f t="shared" ref="BH49:BI49" si="1181">BH383</f>
        <v>0</v>
      </c>
      <c r="BI49" s="675">
        <f t="shared" si="1181"/>
        <v>0</v>
      </c>
      <c r="BJ49" s="549">
        <f t="shared" ref="BJ49:BK49" si="1182">BJ383</f>
        <v>0</v>
      </c>
      <c r="BK49" s="675">
        <f t="shared" si="1182"/>
        <v>0</v>
      </c>
      <c r="BL49" s="549">
        <f t="shared" ref="BL49:BS49" si="1183">BL383</f>
        <v>0</v>
      </c>
      <c r="BM49" s="675">
        <f t="shared" si="1183"/>
        <v>0</v>
      </c>
      <c r="BN49" s="549">
        <f t="shared" si="1183"/>
        <v>0</v>
      </c>
      <c r="BO49" s="675">
        <f t="shared" si="1183"/>
        <v>0</v>
      </c>
      <c r="BP49" s="549">
        <f t="shared" si="1183"/>
        <v>0</v>
      </c>
      <c r="BQ49" s="675">
        <f t="shared" si="1183"/>
        <v>0</v>
      </c>
      <c r="BR49" s="549">
        <f t="shared" si="1183"/>
        <v>0</v>
      </c>
      <c r="BS49" s="675">
        <f t="shared" si="1183"/>
        <v>0</v>
      </c>
      <c r="BT49" s="549">
        <f t="shared" si="1101"/>
        <v>0</v>
      </c>
      <c r="BU49" s="675">
        <f t="shared" si="1101"/>
        <v>0</v>
      </c>
      <c r="BV49" s="549">
        <f t="shared" si="1101"/>
        <v>0</v>
      </c>
      <c r="BW49" s="675">
        <f t="shared" si="1101"/>
        <v>0</v>
      </c>
      <c r="BX49" s="549">
        <f t="shared" ref="BX49:BY49" si="1184">BX383</f>
        <v>0</v>
      </c>
      <c r="BY49" s="675">
        <f t="shared" si="1184"/>
        <v>0</v>
      </c>
      <c r="BZ49" s="549">
        <f t="shared" ref="BZ49:CA49" si="1185">BZ383</f>
        <v>0</v>
      </c>
      <c r="CA49" s="675">
        <f t="shared" si="1185"/>
        <v>0</v>
      </c>
      <c r="CB49" s="549">
        <f t="shared" ref="CB49:CE49" si="1186">CB383</f>
        <v>0</v>
      </c>
      <c r="CC49" s="675">
        <f t="shared" si="1186"/>
        <v>0</v>
      </c>
      <c r="CD49" s="549">
        <f t="shared" si="1186"/>
        <v>0</v>
      </c>
      <c r="CE49" s="675">
        <f t="shared" si="1186"/>
        <v>0</v>
      </c>
      <c r="CF49" s="549">
        <f t="shared" ref="CF49:CG49" si="1187">CF383</f>
        <v>0</v>
      </c>
      <c r="CG49" s="675">
        <f t="shared" si="1187"/>
        <v>0</v>
      </c>
      <c r="CH49" s="549">
        <f t="shared" ref="CH49:CQ49" si="1188">CH383</f>
        <v>0</v>
      </c>
      <c r="CI49" s="675">
        <f t="shared" si="1188"/>
        <v>0</v>
      </c>
      <c r="CJ49" s="549">
        <f t="shared" si="1188"/>
        <v>0</v>
      </c>
      <c r="CK49" s="675">
        <f t="shared" si="1188"/>
        <v>0</v>
      </c>
      <c r="CL49" s="549">
        <f t="shared" si="1188"/>
        <v>0</v>
      </c>
      <c r="CM49" s="675">
        <f t="shared" si="1188"/>
        <v>0</v>
      </c>
      <c r="CN49" s="549">
        <f t="shared" si="1188"/>
        <v>0</v>
      </c>
      <c r="CO49" s="675">
        <f t="shared" si="1188"/>
        <v>0</v>
      </c>
      <c r="CP49" s="549">
        <f t="shared" si="1188"/>
        <v>0</v>
      </c>
      <c r="CQ49" s="675">
        <f t="shared" si="1188"/>
        <v>0</v>
      </c>
      <c r="CR49" s="549">
        <f t="shared" si="1106"/>
        <v>0</v>
      </c>
      <c r="CS49" s="675">
        <f t="shared" si="1106"/>
        <v>0</v>
      </c>
      <c r="CT49" s="549">
        <f t="shared" si="1106"/>
        <v>0</v>
      </c>
      <c r="CU49" s="675">
        <f t="shared" si="1106"/>
        <v>0</v>
      </c>
      <c r="CV49" s="549">
        <f t="shared" si="1106"/>
        <v>0</v>
      </c>
      <c r="CW49" s="675">
        <f t="shared" si="1106"/>
        <v>0</v>
      </c>
      <c r="CX49" s="549">
        <f t="shared" si="1106"/>
        <v>0</v>
      </c>
      <c r="CY49" s="675">
        <f t="shared" si="1106"/>
        <v>0</v>
      </c>
      <c r="CZ49" s="549">
        <f t="shared" si="1107"/>
        <v>0</v>
      </c>
      <c r="DA49" s="675">
        <f t="shared" si="1107"/>
        <v>0</v>
      </c>
      <c r="DB49" s="549">
        <f t="shared" si="1107"/>
        <v>0</v>
      </c>
      <c r="DC49" s="675">
        <f t="shared" si="1107"/>
        <v>0</v>
      </c>
      <c r="DD49" s="549">
        <f t="shared" si="1108"/>
        <v>0</v>
      </c>
      <c r="DE49" s="675">
        <f t="shared" si="1108"/>
        <v>0</v>
      </c>
      <c r="DF49" s="549">
        <f t="shared" si="1107"/>
        <v>0</v>
      </c>
      <c r="DG49" s="675">
        <f t="shared" si="1107"/>
        <v>0</v>
      </c>
      <c r="DH49" s="549">
        <f t="shared" si="1109"/>
        <v>0</v>
      </c>
      <c r="DI49" s="675">
        <f t="shared" si="1109"/>
        <v>0</v>
      </c>
      <c r="DJ49" s="549">
        <f t="shared" si="1110"/>
        <v>0</v>
      </c>
      <c r="DK49" s="675">
        <f t="shared" si="1110"/>
        <v>0</v>
      </c>
      <c r="DL49" s="549">
        <f t="shared" si="1110"/>
        <v>0</v>
      </c>
      <c r="DM49" s="675">
        <f t="shared" si="1110"/>
        <v>0</v>
      </c>
      <c r="DN49" s="549">
        <f t="shared" si="1111"/>
        <v>0</v>
      </c>
      <c r="DO49" s="675">
        <f t="shared" si="1111"/>
        <v>0</v>
      </c>
      <c r="DP49" s="549">
        <f t="shared" ref="DP49:DU49" si="1189">DP383</f>
        <v>0</v>
      </c>
      <c r="DQ49" s="675">
        <f t="shared" si="1189"/>
        <v>0</v>
      </c>
      <c r="DR49" s="549">
        <f t="shared" si="1189"/>
        <v>0</v>
      </c>
      <c r="DS49" s="675">
        <f t="shared" si="1189"/>
        <v>0</v>
      </c>
      <c r="DT49" s="549">
        <f t="shared" si="1189"/>
        <v>0</v>
      </c>
      <c r="DU49" s="675">
        <f t="shared" si="1189"/>
        <v>0</v>
      </c>
      <c r="DV49" s="549">
        <f t="shared" si="1113"/>
        <v>0</v>
      </c>
      <c r="DW49" s="675">
        <f t="shared" si="1113"/>
        <v>0</v>
      </c>
      <c r="DX49" s="549">
        <f t="shared" si="1153"/>
        <v>0</v>
      </c>
      <c r="DY49" s="675">
        <f t="shared" si="1153"/>
        <v>0</v>
      </c>
      <c r="DZ49" s="549">
        <f t="shared" si="1153"/>
        <v>0</v>
      </c>
      <c r="EA49" s="675">
        <f t="shared" si="1153"/>
        <v>0</v>
      </c>
      <c r="EB49" s="549">
        <f t="shared" ref="EB49:EM49" si="1190">EB383</f>
        <v>0</v>
      </c>
      <c r="EC49" s="675">
        <f t="shared" si="1190"/>
        <v>0</v>
      </c>
      <c r="ED49" s="549">
        <f t="shared" si="1190"/>
        <v>0</v>
      </c>
      <c r="EE49" s="675">
        <f t="shared" si="1190"/>
        <v>0</v>
      </c>
      <c r="EF49" s="549">
        <f t="shared" si="1190"/>
        <v>0</v>
      </c>
      <c r="EG49" s="675">
        <f t="shared" si="1190"/>
        <v>0</v>
      </c>
      <c r="EH49" s="549">
        <f t="shared" si="1190"/>
        <v>0</v>
      </c>
      <c r="EI49" s="675">
        <f t="shared" si="1190"/>
        <v>0</v>
      </c>
      <c r="EJ49" s="549">
        <f t="shared" si="1190"/>
        <v>0</v>
      </c>
      <c r="EK49" s="675">
        <f t="shared" si="1190"/>
        <v>0</v>
      </c>
      <c r="EL49" s="549">
        <f t="shared" si="1190"/>
        <v>0</v>
      </c>
      <c r="EM49" s="675">
        <f t="shared" si="1190"/>
        <v>0</v>
      </c>
      <c r="EN49" s="549">
        <f t="shared" si="1116"/>
        <v>0</v>
      </c>
      <c r="EO49" s="675">
        <f t="shared" si="1116"/>
        <v>0</v>
      </c>
      <c r="EP49" s="549">
        <f t="shared" ref="EP49:FA49" si="1191">EP383</f>
        <v>0</v>
      </c>
      <c r="EQ49" s="675">
        <f t="shared" si="1191"/>
        <v>0</v>
      </c>
      <c r="ER49" s="549">
        <f t="shared" si="1191"/>
        <v>0</v>
      </c>
      <c r="ES49" s="675">
        <f t="shared" si="1191"/>
        <v>0</v>
      </c>
      <c r="ET49" s="549">
        <f t="shared" si="1191"/>
        <v>0</v>
      </c>
      <c r="EU49" s="675">
        <f t="shared" si="1191"/>
        <v>0</v>
      </c>
      <c r="EV49" s="549">
        <f t="shared" si="1156"/>
        <v>0</v>
      </c>
      <c r="EW49" s="675">
        <f t="shared" si="1156"/>
        <v>0</v>
      </c>
      <c r="EX49" s="549">
        <f t="shared" si="1191"/>
        <v>0</v>
      </c>
      <c r="EY49" s="675">
        <f t="shared" si="1191"/>
        <v>0</v>
      </c>
      <c r="EZ49" s="549">
        <f t="shared" si="1191"/>
        <v>0</v>
      </c>
      <c r="FA49" s="675">
        <f t="shared" si="1191"/>
        <v>0</v>
      </c>
      <c r="FB49" s="549">
        <f t="shared" si="1157"/>
        <v>0</v>
      </c>
      <c r="FC49" s="675">
        <f t="shared" si="1157"/>
        <v>0</v>
      </c>
      <c r="FD49" s="549">
        <f t="shared" si="1157"/>
        <v>0</v>
      </c>
      <c r="FE49" s="675">
        <f t="shared" si="1157"/>
        <v>0</v>
      </c>
      <c r="FF49" s="549">
        <f t="shared" ref="FF49:FG49" si="1192">FF383</f>
        <v>0</v>
      </c>
      <c r="FG49" s="675">
        <f t="shared" si="1192"/>
        <v>0</v>
      </c>
      <c r="FH49" s="549">
        <f t="shared" ref="FH49:FI49" si="1193">FH383</f>
        <v>0</v>
      </c>
      <c r="FI49" s="675">
        <f t="shared" si="1193"/>
        <v>0</v>
      </c>
      <c r="FJ49" s="549">
        <f t="shared" ref="FJ49:FK49" si="1194">FJ383</f>
        <v>0</v>
      </c>
      <c r="FK49" s="675">
        <f t="shared" si="1194"/>
        <v>0</v>
      </c>
      <c r="FL49" s="549">
        <f t="shared" ref="FL49:FM49" si="1195">FL383</f>
        <v>0</v>
      </c>
      <c r="FM49" s="675">
        <f t="shared" si="1195"/>
        <v>0</v>
      </c>
      <c r="FN49" s="549">
        <f t="shared" ref="FN49:FO49" si="1196">FN383</f>
        <v>0</v>
      </c>
      <c r="FO49" s="675">
        <f t="shared" si="1196"/>
        <v>0</v>
      </c>
      <c r="FP49" s="549">
        <f t="shared" ref="FP49:FQ49" si="1197">FP383</f>
        <v>0</v>
      </c>
      <c r="FQ49" s="675">
        <f t="shared" si="1197"/>
        <v>0</v>
      </c>
      <c r="FR49" s="549">
        <f t="shared" ref="FR49:FS49" si="1198">FR383</f>
        <v>0</v>
      </c>
      <c r="FS49" s="675">
        <f t="shared" si="1198"/>
        <v>0</v>
      </c>
      <c r="FT49" s="549">
        <f t="shared" ref="FT49:FU49" si="1199">FT383</f>
        <v>0</v>
      </c>
      <c r="FU49" s="675">
        <f t="shared" si="1199"/>
        <v>0</v>
      </c>
      <c r="FV49" s="549">
        <f t="shared" ref="FV49:GK49" si="1200">FV383</f>
        <v>0</v>
      </c>
      <c r="FW49" s="675">
        <f t="shared" si="1200"/>
        <v>0</v>
      </c>
      <c r="FX49" s="549">
        <f t="shared" si="1200"/>
        <v>0</v>
      </c>
      <c r="FY49" s="675">
        <f t="shared" si="1200"/>
        <v>0</v>
      </c>
      <c r="FZ49" s="549">
        <f t="shared" ref="FZ49:GI49" si="1201">FZ383</f>
        <v>0</v>
      </c>
      <c r="GA49" s="675">
        <f t="shared" si="1201"/>
        <v>0</v>
      </c>
      <c r="GB49" s="549">
        <f t="shared" si="1201"/>
        <v>0</v>
      </c>
      <c r="GC49" s="675">
        <f t="shared" si="1201"/>
        <v>0</v>
      </c>
      <c r="GD49" s="549">
        <f t="shared" si="1201"/>
        <v>0</v>
      </c>
      <c r="GE49" s="675">
        <f t="shared" si="1201"/>
        <v>0</v>
      </c>
      <c r="GF49" s="549">
        <f t="shared" si="1201"/>
        <v>0</v>
      </c>
      <c r="GG49" s="675">
        <f t="shared" si="1201"/>
        <v>0</v>
      </c>
      <c r="GH49" s="549">
        <f t="shared" si="1201"/>
        <v>0</v>
      </c>
      <c r="GI49" s="675">
        <f t="shared" si="1201"/>
        <v>0</v>
      </c>
      <c r="GJ49" s="549">
        <f t="shared" si="1200"/>
        <v>0</v>
      </c>
      <c r="GK49" s="675">
        <f t="shared" si="1200"/>
        <v>0</v>
      </c>
      <c r="GL49" s="549">
        <f t="shared" ref="GL49:GM49" si="1202">GL383</f>
        <v>0</v>
      </c>
      <c r="GM49" s="675">
        <f t="shared" si="1202"/>
        <v>0</v>
      </c>
      <c r="GN49" s="549">
        <f t="shared" ref="GN49:GO49" si="1203">GN383</f>
        <v>0</v>
      </c>
      <c r="GO49" s="675">
        <f t="shared" si="1203"/>
        <v>0</v>
      </c>
      <c r="GP49" s="74">
        <f t="shared" si="1157"/>
        <v>0</v>
      </c>
      <c r="GQ49" s="675">
        <f t="shared" si="1157"/>
        <v>0</v>
      </c>
      <c r="GR49" s="74">
        <f t="shared" ref="GR49:HK49" si="1204">GR383</f>
        <v>0</v>
      </c>
      <c r="GS49" s="74">
        <f t="shared" si="1204"/>
        <v>0</v>
      </c>
      <c r="GT49" s="74">
        <f t="shared" si="1204"/>
        <v>0</v>
      </c>
      <c r="GU49" s="74">
        <f t="shared" si="1204"/>
        <v>0</v>
      </c>
      <c r="GV49" s="74">
        <f t="shared" si="1204"/>
        <v>0</v>
      </c>
      <c r="GW49" s="74">
        <f t="shared" si="1204"/>
        <v>0</v>
      </c>
      <c r="GX49" s="74">
        <f t="shared" si="1204"/>
        <v>0</v>
      </c>
      <c r="GY49" s="74">
        <f t="shared" si="1204"/>
        <v>0</v>
      </c>
      <c r="GZ49" s="74">
        <f t="shared" si="1204"/>
        <v>0</v>
      </c>
      <c r="HA49" s="74">
        <f t="shared" si="1204"/>
        <v>0</v>
      </c>
      <c r="HB49" s="74">
        <f t="shared" si="1204"/>
        <v>0</v>
      </c>
      <c r="HC49" s="74">
        <f t="shared" si="1204"/>
        <v>0</v>
      </c>
      <c r="HD49" s="74">
        <f t="shared" si="1204"/>
        <v>0</v>
      </c>
      <c r="HE49" s="74">
        <f t="shared" si="1204"/>
        <v>0</v>
      </c>
      <c r="HF49" s="74">
        <f t="shared" si="1204"/>
        <v>0</v>
      </c>
      <c r="HG49" s="74">
        <f t="shared" si="1204"/>
        <v>0</v>
      </c>
      <c r="HH49" s="74">
        <f t="shared" si="1204"/>
        <v>0</v>
      </c>
      <c r="HI49" s="74">
        <f t="shared" si="1204"/>
        <v>0</v>
      </c>
      <c r="HJ49" s="74">
        <f t="shared" si="1204"/>
        <v>0</v>
      </c>
      <c r="HK49" s="74">
        <f t="shared" si="1204"/>
        <v>0</v>
      </c>
      <c r="HL49" s="74">
        <f t="shared" si="1132"/>
        <v>0</v>
      </c>
      <c r="HM49" s="74">
        <f t="shared" si="1132"/>
        <v>0</v>
      </c>
      <c r="HN49" s="74">
        <f t="shared" si="1132"/>
        <v>0</v>
      </c>
      <c r="HO49" s="74">
        <f t="shared" si="1132"/>
        <v>0</v>
      </c>
      <c r="HP49" s="74">
        <f t="shared" si="1132"/>
        <v>0</v>
      </c>
      <c r="HQ49" s="74">
        <f t="shared" si="1132"/>
        <v>0</v>
      </c>
      <c r="HR49" s="74">
        <f t="shared" si="1132"/>
        <v>0</v>
      </c>
      <c r="HS49" s="74">
        <f t="shared" si="1132"/>
        <v>0</v>
      </c>
      <c r="HT49" s="74">
        <f t="shared" si="1132"/>
        <v>0</v>
      </c>
      <c r="HU49" s="74">
        <f t="shared" si="1132"/>
        <v>0</v>
      </c>
      <c r="HV49" s="74">
        <f t="shared" si="1132"/>
        <v>0</v>
      </c>
      <c r="HW49" s="74">
        <f t="shared" si="1132"/>
        <v>0</v>
      </c>
      <c r="HX49" s="74">
        <f t="shared" si="1132"/>
        <v>0</v>
      </c>
      <c r="HY49" s="74">
        <f t="shared" si="1132"/>
        <v>0</v>
      </c>
      <c r="HZ49" s="74">
        <f t="shared" si="1132"/>
        <v>0</v>
      </c>
      <c r="IA49" s="74">
        <f t="shared" si="1132"/>
        <v>0</v>
      </c>
      <c r="IB49" s="74">
        <f t="shared" si="1132"/>
        <v>0</v>
      </c>
      <c r="IC49" s="74">
        <f t="shared" si="1132"/>
        <v>0</v>
      </c>
      <c r="ID49" s="74">
        <f t="shared" si="1132"/>
        <v>0</v>
      </c>
      <c r="IE49" s="792">
        <f t="shared" si="1132"/>
        <v>0</v>
      </c>
      <c r="IF49" s="841">
        <f t="shared" si="1132"/>
        <v>0</v>
      </c>
      <c r="IG49" s="263">
        <f t="shared" si="1132"/>
        <v>0</v>
      </c>
      <c r="IH49" s="842">
        <f t="shared" si="1132"/>
        <v>0</v>
      </c>
      <c r="II49" s="155">
        <f t="shared" si="1132"/>
        <v>0</v>
      </c>
      <c r="IJ49" s="74">
        <f t="shared" si="1132"/>
        <v>0</v>
      </c>
      <c r="IK49" s="74">
        <f t="shared" si="1132"/>
        <v>0</v>
      </c>
      <c r="IL49" s="74">
        <f t="shared" si="1132"/>
        <v>0</v>
      </c>
      <c r="IM49" s="74">
        <f t="shared" si="1132"/>
        <v>0</v>
      </c>
      <c r="IN49" s="74">
        <f t="shared" si="1132"/>
        <v>0</v>
      </c>
      <c r="IO49" s="74">
        <f t="shared" si="1132"/>
        <v>0</v>
      </c>
      <c r="IP49" s="74">
        <f t="shared" si="1132"/>
        <v>0</v>
      </c>
      <c r="IQ49" s="74">
        <f t="shared" si="1132"/>
        <v>0</v>
      </c>
      <c r="IR49" s="74">
        <f t="shared" si="1132"/>
        <v>0</v>
      </c>
      <c r="IS49" s="74">
        <f t="shared" si="1132"/>
        <v>0</v>
      </c>
      <c r="IT49" s="74">
        <f t="shared" si="1132"/>
        <v>0</v>
      </c>
      <c r="IU49" s="74">
        <f t="shared" si="1132"/>
        <v>0</v>
      </c>
      <c r="IV49" s="74">
        <f t="shared" si="1132"/>
        <v>0</v>
      </c>
      <c r="IW49" s="74">
        <f t="shared" si="1132"/>
        <v>0</v>
      </c>
      <c r="IX49" s="74">
        <f t="shared" si="1132"/>
        <v>0</v>
      </c>
      <c r="IY49" s="74">
        <f t="shared" si="1132"/>
        <v>0</v>
      </c>
      <c r="IZ49" s="74">
        <f t="shared" si="1132"/>
        <v>0</v>
      </c>
      <c r="JA49" s="74">
        <f t="shared" si="1132"/>
        <v>0</v>
      </c>
      <c r="JB49" s="74">
        <f t="shared" si="1132"/>
        <v>0</v>
      </c>
      <c r="JC49" s="74">
        <f t="shared" si="1132"/>
        <v>0</v>
      </c>
      <c r="JD49" s="74">
        <f t="shared" si="1132"/>
        <v>0</v>
      </c>
      <c r="JE49" s="74">
        <f t="shared" si="1132"/>
        <v>0</v>
      </c>
      <c r="JF49" s="74">
        <f t="shared" si="1132"/>
        <v>0</v>
      </c>
      <c r="JG49" s="74">
        <f t="shared" si="1132"/>
        <v>0</v>
      </c>
      <c r="JH49" s="74">
        <f t="shared" si="1132"/>
        <v>0</v>
      </c>
      <c r="JI49" s="74">
        <f t="shared" si="1132"/>
        <v>0</v>
      </c>
      <c r="JJ49" s="74">
        <f t="shared" si="1132"/>
        <v>0</v>
      </c>
      <c r="JK49" s="74">
        <f t="shared" si="1132"/>
        <v>0</v>
      </c>
      <c r="JL49" s="74">
        <f t="shared" si="1132"/>
        <v>0</v>
      </c>
      <c r="JM49" s="74">
        <f t="shared" si="1132"/>
        <v>0</v>
      </c>
      <c r="JN49" s="74">
        <f t="shared" si="1132"/>
        <v>0</v>
      </c>
      <c r="JO49" s="74">
        <f t="shared" si="1132"/>
        <v>0</v>
      </c>
      <c r="JP49" s="74">
        <f t="shared" si="1132"/>
        <v>0</v>
      </c>
      <c r="JQ49" s="74">
        <f t="shared" si="1132"/>
        <v>0</v>
      </c>
      <c r="JR49" s="74">
        <f t="shared" si="1132"/>
        <v>0</v>
      </c>
      <c r="JS49" s="74">
        <f t="shared" si="1132"/>
        <v>0</v>
      </c>
      <c r="JT49" s="102">
        <f t="shared" si="1132"/>
        <v>0</v>
      </c>
      <c r="JU49" s="671"/>
      <c r="JV49" s="492"/>
      <c r="JW49" s="490"/>
      <c r="JX49" s="549">
        <f t="shared" si="1133"/>
        <v>0</v>
      </c>
      <c r="JY49" s="549">
        <f t="shared" si="1133"/>
        <v>0</v>
      </c>
      <c r="JZ49" s="581">
        <f t="shared" si="42"/>
        <v>0</v>
      </c>
      <c r="KA49" s="581">
        <f t="shared" si="43"/>
        <v>0</v>
      </c>
      <c r="KB49" s="549">
        <f t="shared" si="1133"/>
        <v>0</v>
      </c>
      <c r="KC49" s="709">
        <f t="shared" si="41"/>
        <v>0</v>
      </c>
      <c r="KD49" s="126"/>
      <c r="KE49" s="140"/>
      <c r="KF49" s="127"/>
      <c r="KG49" s="127"/>
      <c r="KH49" s="127"/>
      <c r="KI49" s="127"/>
      <c r="KJ49" s="127"/>
      <c r="KK49" s="127"/>
    </row>
    <row r="50" spans="1:297" s="8" customFormat="1">
      <c r="A50" s="75">
        <v>109</v>
      </c>
      <c r="B50" s="72" t="s">
        <v>83</v>
      </c>
      <c r="C50" s="74">
        <f>C384</f>
        <v>25000</v>
      </c>
      <c r="D50" s="549">
        <f t="shared" ref="D50:E50" si="1205">D384+D277</f>
        <v>0</v>
      </c>
      <c r="E50" s="675">
        <f t="shared" si="1205"/>
        <v>0</v>
      </c>
      <c r="F50" s="549">
        <f t="shared" ref="F50:G50" si="1206">F384+F277</f>
        <v>1000</v>
      </c>
      <c r="G50" s="675">
        <f t="shared" si="1206"/>
        <v>0</v>
      </c>
      <c r="H50" s="549">
        <f t="shared" ref="H50:I50" si="1207">H384+H277</f>
        <v>0</v>
      </c>
      <c r="I50" s="675">
        <f t="shared" si="1207"/>
        <v>0</v>
      </c>
      <c r="J50" s="549">
        <f t="shared" ref="J50:K50" si="1208">J384+J277</f>
        <v>0</v>
      </c>
      <c r="K50" s="675">
        <f t="shared" si="1208"/>
        <v>0</v>
      </c>
      <c r="L50" s="549">
        <f t="shared" ref="L50:M50" si="1209">L384+L277</f>
        <v>0</v>
      </c>
      <c r="M50" s="675">
        <f t="shared" si="1209"/>
        <v>0</v>
      </c>
      <c r="N50" s="549">
        <f t="shared" ref="N50:O50" si="1210">N384+N277</f>
        <v>0</v>
      </c>
      <c r="O50" s="675">
        <f t="shared" si="1210"/>
        <v>0</v>
      </c>
      <c r="P50" s="549">
        <f t="shared" ref="P50:Q50" si="1211">P384+P277</f>
        <v>0</v>
      </c>
      <c r="Q50" s="675">
        <f t="shared" si="1211"/>
        <v>0</v>
      </c>
      <c r="R50" s="549">
        <f t="shared" ref="R50:S50" si="1212">R384+R277</f>
        <v>0</v>
      </c>
      <c r="S50" s="675">
        <f t="shared" si="1212"/>
        <v>0</v>
      </c>
      <c r="T50" s="549">
        <f t="shared" ref="T50:U50" si="1213">T384+T277</f>
        <v>0</v>
      </c>
      <c r="U50" s="675">
        <f t="shared" si="1213"/>
        <v>0</v>
      </c>
      <c r="V50" s="549">
        <f t="shared" ref="V50:W50" si="1214">V384+V277</f>
        <v>7000</v>
      </c>
      <c r="W50" s="675">
        <f t="shared" si="1214"/>
        <v>0</v>
      </c>
      <c r="X50" s="549">
        <f t="shared" ref="X50:Y50" si="1215">X384+X277</f>
        <v>0</v>
      </c>
      <c r="Y50" s="675">
        <f t="shared" si="1215"/>
        <v>0</v>
      </c>
      <c r="Z50" s="549">
        <f t="shared" ref="Z50:AA50" si="1216">Z384+Z277</f>
        <v>0</v>
      </c>
      <c r="AA50" s="675">
        <f t="shared" si="1216"/>
        <v>0</v>
      </c>
      <c r="AB50" s="549">
        <f t="shared" ref="AB50:AC50" si="1217">AB384+AB277</f>
        <v>0</v>
      </c>
      <c r="AC50" s="675">
        <f t="shared" si="1217"/>
        <v>0</v>
      </c>
      <c r="AD50" s="549">
        <f t="shared" ref="AD50:AE50" si="1218">AD384+AD277</f>
        <v>0</v>
      </c>
      <c r="AE50" s="675">
        <f t="shared" si="1218"/>
        <v>0</v>
      </c>
      <c r="AF50" s="549">
        <f t="shared" ref="AF50:AI50" si="1219">AF384+AF277</f>
        <v>0</v>
      </c>
      <c r="AG50" s="675">
        <f t="shared" si="1219"/>
        <v>0</v>
      </c>
      <c r="AH50" s="549">
        <f t="shared" si="1219"/>
        <v>0</v>
      </c>
      <c r="AI50" s="675">
        <f t="shared" si="1219"/>
        <v>0</v>
      </c>
      <c r="AJ50" s="549">
        <f t="shared" ref="AJ50:AK50" si="1220">AJ384+AJ277</f>
        <v>0</v>
      </c>
      <c r="AK50" s="675">
        <f t="shared" si="1220"/>
        <v>0</v>
      </c>
      <c r="AL50" s="549">
        <f t="shared" ref="AL50:AM50" si="1221">AL384+AL277</f>
        <v>0</v>
      </c>
      <c r="AM50" s="675">
        <f t="shared" si="1221"/>
        <v>0</v>
      </c>
      <c r="AN50" s="549">
        <f t="shared" ref="AN50:AO50" si="1222">AN384+AN277</f>
        <v>0</v>
      </c>
      <c r="AO50" s="675">
        <f t="shared" si="1222"/>
        <v>0</v>
      </c>
      <c r="AP50" s="549">
        <f t="shared" ref="AP50:AQ50" si="1223">AP384+AP277</f>
        <v>0</v>
      </c>
      <c r="AQ50" s="675">
        <f t="shared" si="1223"/>
        <v>0</v>
      </c>
      <c r="AR50" s="549">
        <f t="shared" ref="AR50:AS50" si="1224">AR384+AR277</f>
        <v>0</v>
      </c>
      <c r="AS50" s="675">
        <f t="shared" si="1224"/>
        <v>0</v>
      </c>
      <c r="AT50" s="549">
        <f t="shared" ref="AT50:AU50" si="1225">AT384+AT277</f>
        <v>0</v>
      </c>
      <c r="AU50" s="675">
        <f t="shared" si="1225"/>
        <v>0</v>
      </c>
      <c r="AV50" s="549">
        <f t="shared" ref="AV50:AW50" si="1226">AV384+AV277</f>
        <v>0</v>
      </c>
      <c r="AW50" s="675">
        <f t="shared" si="1226"/>
        <v>0</v>
      </c>
      <c r="AX50" s="549">
        <f t="shared" ref="AX50:AY50" si="1227">AX384+AX277</f>
        <v>0</v>
      </c>
      <c r="AY50" s="675">
        <f t="shared" si="1227"/>
        <v>0</v>
      </c>
      <c r="AZ50" s="549">
        <f t="shared" ref="AZ50:BA50" si="1228">AZ384+AZ277</f>
        <v>0</v>
      </c>
      <c r="BA50" s="675">
        <f t="shared" si="1228"/>
        <v>0</v>
      </c>
      <c r="BB50" s="549">
        <f t="shared" ref="BB50:BC50" si="1229">BB384+BB277</f>
        <v>0</v>
      </c>
      <c r="BC50" s="675">
        <f t="shared" si="1229"/>
        <v>0</v>
      </c>
      <c r="BD50" s="549">
        <f t="shared" ref="BD50:BE50" si="1230">BD384+BD277</f>
        <v>0</v>
      </c>
      <c r="BE50" s="675">
        <f t="shared" si="1230"/>
        <v>0</v>
      </c>
      <c r="BF50" s="549">
        <f t="shared" ref="BF50:BG50" si="1231">BF384+BF277</f>
        <v>0</v>
      </c>
      <c r="BG50" s="675">
        <f t="shared" si="1231"/>
        <v>0</v>
      </c>
      <c r="BH50" s="549">
        <f t="shared" ref="BH50:BI50" si="1232">BH384+BH277</f>
        <v>0</v>
      </c>
      <c r="BI50" s="675">
        <f t="shared" si="1232"/>
        <v>0</v>
      </c>
      <c r="BJ50" s="549">
        <f t="shared" ref="BJ50:BK50" si="1233">BJ384+BJ277</f>
        <v>0</v>
      </c>
      <c r="BK50" s="675">
        <f t="shared" si="1233"/>
        <v>0</v>
      </c>
      <c r="BL50" s="549">
        <f t="shared" ref="BL50:BM50" si="1234">BL384+BL277</f>
        <v>0</v>
      </c>
      <c r="BM50" s="675">
        <f t="shared" si="1234"/>
        <v>0</v>
      </c>
      <c r="BN50" s="549">
        <f t="shared" ref="BN50:BO50" si="1235">BN384+BN277</f>
        <v>0</v>
      </c>
      <c r="BO50" s="675">
        <f t="shared" si="1235"/>
        <v>0</v>
      </c>
      <c r="BP50" s="549">
        <f t="shared" ref="BP50:BQ50" si="1236">BP384+BP277</f>
        <v>0</v>
      </c>
      <c r="BQ50" s="675">
        <f t="shared" si="1236"/>
        <v>0</v>
      </c>
      <c r="BR50" s="549">
        <f t="shared" ref="BR50:BS50" si="1237">BR384+BR277</f>
        <v>0</v>
      </c>
      <c r="BS50" s="675">
        <f t="shared" si="1237"/>
        <v>0</v>
      </c>
      <c r="BT50" s="549">
        <f t="shared" ref="BT50:BU50" si="1238">BT384+BT277</f>
        <v>0</v>
      </c>
      <c r="BU50" s="675">
        <f t="shared" si="1238"/>
        <v>0</v>
      </c>
      <c r="BV50" s="549">
        <f t="shared" ref="BV50:BW50" si="1239">BV384+BV277</f>
        <v>0</v>
      </c>
      <c r="BW50" s="675">
        <f t="shared" si="1239"/>
        <v>0</v>
      </c>
      <c r="BX50" s="549">
        <f t="shared" ref="BX50:BY50" si="1240">BX384+BX277</f>
        <v>0</v>
      </c>
      <c r="BY50" s="675">
        <f t="shared" si="1240"/>
        <v>0</v>
      </c>
      <c r="BZ50" s="549">
        <f t="shared" ref="BZ50:CA50" si="1241">BZ384+BZ277</f>
        <v>0</v>
      </c>
      <c r="CA50" s="675">
        <f t="shared" si="1241"/>
        <v>0</v>
      </c>
      <c r="CB50" s="549">
        <f t="shared" ref="CB50:CC50" si="1242">CB384+CB277</f>
        <v>0</v>
      </c>
      <c r="CC50" s="675">
        <f t="shared" si="1242"/>
        <v>0</v>
      </c>
      <c r="CD50" s="549">
        <f t="shared" ref="CD50:CE50" si="1243">CD384+CD277</f>
        <v>0</v>
      </c>
      <c r="CE50" s="675">
        <f t="shared" si="1243"/>
        <v>0</v>
      </c>
      <c r="CF50" s="549">
        <f t="shared" ref="CF50:CG50" si="1244">CF384+CF277</f>
        <v>0</v>
      </c>
      <c r="CG50" s="675">
        <f t="shared" si="1244"/>
        <v>0</v>
      </c>
      <c r="CH50" s="549">
        <f t="shared" ref="CH50:CI50" si="1245">CH384+CH277</f>
        <v>0</v>
      </c>
      <c r="CI50" s="675">
        <f t="shared" si="1245"/>
        <v>0</v>
      </c>
      <c r="CJ50" s="549">
        <f t="shared" ref="CJ50:CK50" si="1246">CJ384+CJ277</f>
        <v>0</v>
      </c>
      <c r="CK50" s="675">
        <f t="shared" si="1246"/>
        <v>0</v>
      </c>
      <c r="CL50" s="549">
        <f t="shared" ref="CL50:CM50" si="1247">CL384+CL277</f>
        <v>0</v>
      </c>
      <c r="CM50" s="675">
        <f t="shared" si="1247"/>
        <v>0</v>
      </c>
      <c r="CN50" s="549">
        <f t="shared" ref="CN50:CO50" si="1248">CN384+CN277</f>
        <v>0</v>
      </c>
      <c r="CO50" s="675">
        <f t="shared" si="1248"/>
        <v>0</v>
      </c>
      <c r="CP50" s="549">
        <f t="shared" ref="CP50:CQ50" si="1249">CP384+CP277</f>
        <v>0</v>
      </c>
      <c r="CQ50" s="675">
        <f t="shared" si="1249"/>
        <v>0</v>
      </c>
      <c r="CR50" s="549">
        <f t="shared" ref="CR50:CS50" si="1250">CR384+CR277</f>
        <v>0</v>
      </c>
      <c r="CS50" s="675">
        <f t="shared" si="1250"/>
        <v>0</v>
      </c>
      <c r="CT50" s="549">
        <f t="shared" ref="CT50:CU50" si="1251">CT384+CT277</f>
        <v>0</v>
      </c>
      <c r="CU50" s="675">
        <f t="shared" si="1251"/>
        <v>0</v>
      </c>
      <c r="CV50" s="549">
        <f t="shared" ref="CV50:CW50" si="1252">CV384+CV277</f>
        <v>0</v>
      </c>
      <c r="CW50" s="675">
        <f t="shared" si="1252"/>
        <v>0</v>
      </c>
      <c r="CX50" s="549">
        <f t="shared" ref="CX50:CY50" si="1253">CX384+CX277</f>
        <v>0</v>
      </c>
      <c r="CY50" s="675">
        <f t="shared" si="1253"/>
        <v>0</v>
      </c>
      <c r="CZ50" s="549">
        <f t="shared" ref="CZ50:DA50" si="1254">CZ384+CZ277</f>
        <v>0</v>
      </c>
      <c r="DA50" s="675">
        <f t="shared" si="1254"/>
        <v>0</v>
      </c>
      <c r="DB50" s="549">
        <f t="shared" ref="DB50:DC50" si="1255">DB384+DB277</f>
        <v>0</v>
      </c>
      <c r="DC50" s="675">
        <f t="shared" si="1255"/>
        <v>0</v>
      </c>
      <c r="DD50" s="549">
        <f t="shared" ref="DD50:DE50" si="1256">DD384+DD277</f>
        <v>0</v>
      </c>
      <c r="DE50" s="675">
        <f t="shared" si="1256"/>
        <v>0</v>
      </c>
      <c r="DF50" s="549">
        <f t="shared" ref="DF50:DG50" si="1257">DF384+DF277</f>
        <v>0</v>
      </c>
      <c r="DG50" s="675">
        <f t="shared" si="1257"/>
        <v>0</v>
      </c>
      <c r="DH50" s="549">
        <f t="shared" ref="DH50:DI50" si="1258">DH384+DH277</f>
        <v>0</v>
      </c>
      <c r="DI50" s="675">
        <f t="shared" si="1258"/>
        <v>0</v>
      </c>
      <c r="DJ50" s="549">
        <f t="shared" ref="DJ50:DK50" si="1259">DJ384+DJ277</f>
        <v>0</v>
      </c>
      <c r="DK50" s="675">
        <f t="shared" si="1259"/>
        <v>0</v>
      </c>
      <c r="DL50" s="549">
        <f t="shared" ref="DL50:DM50" si="1260">DL384+DL277</f>
        <v>0</v>
      </c>
      <c r="DM50" s="675">
        <f t="shared" si="1260"/>
        <v>0</v>
      </c>
      <c r="DN50" s="549">
        <f t="shared" ref="DN50:DO50" si="1261">DN384+DN277</f>
        <v>0</v>
      </c>
      <c r="DO50" s="675">
        <f t="shared" si="1261"/>
        <v>0</v>
      </c>
      <c r="DP50" s="549">
        <f t="shared" ref="DP50:DQ50" si="1262">DP384+DP277</f>
        <v>0</v>
      </c>
      <c r="DQ50" s="675">
        <f t="shared" si="1262"/>
        <v>0</v>
      </c>
      <c r="DR50" s="549">
        <f t="shared" ref="DR50:DS50" si="1263">DR384+DR277</f>
        <v>0</v>
      </c>
      <c r="DS50" s="675">
        <f t="shared" si="1263"/>
        <v>0</v>
      </c>
      <c r="DT50" s="549">
        <f t="shared" ref="DT50:DU50" si="1264">DT384+DT277</f>
        <v>0</v>
      </c>
      <c r="DU50" s="675">
        <f t="shared" si="1264"/>
        <v>0</v>
      </c>
      <c r="DV50" s="549">
        <f t="shared" ref="DV50:DW50" si="1265">DV384+DV277</f>
        <v>0</v>
      </c>
      <c r="DW50" s="675">
        <f t="shared" si="1265"/>
        <v>0</v>
      </c>
      <c r="DX50" s="549">
        <f t="shared" ref="DX50:DY50" si="1266">DX384+DX277</f>
        <v>0</v>
      </c>
      <c r="DY50" s="675">
        <f t="shared" si="1266"/>
        <v>0</v>
      </c>
      <c r="DZ50" s="549">
        <f t="shared" ref="DZ50:EA50" si="1267">DZ384+DZ277</f>
        <v>0</v>
      </c>
      <c r="EA50" s="675">
        <f t="shared" si="1267"/>
        <v>0</v>
      </c>
      <c r="EB50" s="549">
        <f t="shared" ref="EB50:EC50" si="1268">EB384+EB277</f>
        <v>0</v>
      </c>
      <c r="EC50" s="675">
        <f t="shared" si="1268"/>
        <v>0</v>
      </c>
      <c r="ED50" s="549">
        <f t="shared" ref="ED50:EE50" si="1269">ED384+ED277</f>
        <v>0</v>
      </c>
      <c r="EE50" s="675">
        <f t="shared" si="1269"/>
        <v>0</v>
      </c>
      <c r="EF50" s="549">
        <f t="shared" ref="EF50:EG50" si="1270">EF384+EF277</f>
        <v>0</v>
      </c>
      <c r="EG50" s="675">
        <f t="shared" si="1270"/>
        <v>0</v>
      </c>
      <c r="EH50" s="549">
        <f t="shared" ref="EH50:EI50" si="1271">EH384+EH277</f>
        <v>0</v>
      </c>
      <c r="EI50" s="675">
        <f t="shared" si="1271"/>
        <v>0</v>
      </c>
      <c r="EJ50" s="549">
        <f t="shared" ref="EJ50:EK50" si="1272">EJ384+EJ277</f>
        <v>0</v>
      </c>
      <c r="EK50" s="675">
        <f t="shared" si="1272"/>
        <v>0</v>
      </c>
      <c r="EL50" s="549">
        <f t="shared" ref="EL50:EM50" si="1273">EL384+EL277</f>
        <v>0</v>
      </c>
      <c r="EM50" s="675">
        <f t="shared" si="1273"/>
        <v>-5000</v>
      </c>
      <c r="EN50" s="549">
        <f t="shared" ref="EN50:EO50" si="1274">EN384+EN277</f>
        <v>0</v>
      </c>
      <c r="EO50" s="675">
        <f t="shared" si="1274"/>
        <v>0</v>
      </c>
      <c r="EP50" s="549">
        <f t="shared" ref="EP50:EQ50" si="1275">EP384+EP277</f>
        <v>0</v>
      </c>
      <c r="EQ50" s="675">
        <f t="shared" si="1275"/>
        <v>0</v>
      </c>
      <c r="ER50" s="549">
        <f t="shared" ref="ER50:ES50" si="1276">ER384+ER277</f>
        <v>0</v>
      </c>
      <c r="ES50" s="675">
        <f t="shared" si="1276"/>
        <v>0</v>
      </c>
      <c r="ET50" s="549">
        <f t="shared" ref="ET50:EU50" si="1277">ET384+ET277</f>
        <v>0</v>
      </c>
      <c r="EU50" s="675">
        <f t="shared" si="1277"/>
        <v>0</v>
      </c>
      <c r="EV50" s="549">
        <f t="shared" ref="EV50:EW50" si="1278">EV384+EV277</f>
        <v>0</v>
      </c>
      <c r="EW50" s="675">
        <f t="shared" si="1278"/>
        <v>0</v>
      </c>
      <c r="EX50" s="549">
        <f t="shared" ref="EX50:EY50" si="1279">EX384+EX277</f>
        <v>0</v>
      </c>
      <c r="EY50" s="675">
        <f t="shared" si="1279"/>
        <v>0</v>
      </c>
      <c r="EZ50" s="549">
        <f t="shared" ref="EZ50:FA50" si="1280">EZ384+EZ277</f>
        <v>0</v>
      </c>
      <c r="FA50" s="675">
        <f t="shared" si="1280"/>
        <v>0</v>
      </c>
      <c r="FB50" s="549">
        <f t="shared" ref="FB50:FC50" si="1281">FB384+FB277</f>
        <v>0</v>
      </c>
      <c r="FC50" s="675">
        <f t="shared" si="1281"/>
        <v>0</v>
      </c>
      <c r="FD50" s="549">
        <f t="shared" ref="FD50:FE50" si="1282">FD384+FD277</f>
        <v>0</v>
      </c>
      <c r="FE50" s="675">
        <f t="shared" si="1282"/>
        <v>0</v>
      </c>
      <c r="FF50" s="549">
        <f t="shared" ref="FF50:GS50" si="1283">FF384+FF277</f>
        <v>0</v>
      </c>
      <c r="FG50" s="675">
        <f t="shared" si="1283"/>
        <v>0</v>
      </c>
      <c r="FH50" s="549">
        <f t="shared" si="1283"/>
        <v>0</v>
      </c>
      <c r="FI50" s="675">
        <f t="shared" si="1283"/>
        <v>0</v>
      </c>
      <c r="FJ50" s="549">
        <f t="shared" si="1283"/>
        <v>0</v>
      </c>
      <c r="FK50" s="675">
        <f t="shared" si="1283"/>
        <v>0</v>
      </c>
      <c r="FL50" s="549">
        <f t="shared" ref="FL50:FM50" si="1284">FL384+FL277</f>
        <v>0</v>
      </c>
      <c r="FM50" s="675">
        <f t="shared" si="1284"/>
        <v>-3000</v>
      </c>
      <c r="FN50" s="549">
        <f t="shared" ref="FN50:FO50" si="1285">FN384+FN277</f>
        <v>0</v>
      </c>
      <c r="FO50" s="675">
        <f t="shared" si="1285"/>
        <v>0</v>
      </c>
      <c r="FP50" s="549">
        <f t="shared" ref="FP50:FQ50" si="1286">FP384+FP277</f>
        <v>0</v>
      </c>
      <c r="FQ50" s="675">
        <f t="shared" si="1286"/>
        <v>0</v>
      </c>
      <c r="FR50" s="549">
        <f t="shared" ref="FR50:FS50" si="1287">FR384+FR277</f>
        <v>0</v>
      </c>
      <c r="FS50" s="675">
        <f t="shared" si="1287"/>
        <v>0</v>
      </c>
      <c r="FT50" s="549">
        <f t="shared" ref="FT50:FU50" si="1288">FT384+FT277</f>
        <v>0</v>
      </c>
      <c r="FU50" s="675">
        <f t="shared" si="1288"/>
        <v>0</v>
      </c>
      <c r="FV50" s="549">
        <f t="shared" ref="FV50:GK50" si="1289">FV384+FV277</f>
        <v>0</v>
      </c>
      <c r="FW50" s="675">
        <f t="shared" si="1289"/>
        <v>0</v>
      </c>
      <c r="FX50" s="549">
        <f t="shared" si="1289"/>
        <v>0</v>
      </c>
      <c r="FY50" s="675">
        <f t="shared" si="1289"/>
        <v>0</v>
      </c>
      <c r="FZ50" s="549">
        <f t="shared" ref="FZ50:GI50" si="1290">FZ384+FZ277</f>
        <v>0</v>
      </c>
      <c r="GA50" s="675">
        <f t="shared" si="1290"/>
        <v>0</v>
      </c>
      <c r="GB50" s="549">
        <f t="shared" si="1290"/>
        <v>0</v>
      </c>
      <c r="GC50" s="675">
        <f t="shared" si="1290"/>
        <v>0</v>
      </c>
      <c r="GD50" s="549">
        <f t="shared" si="1290"/>
        <v>0</v>
      </c>
      <c r="GE50" s="675">
        <f t="shared" si="1290"/>
        <v>0</v>
      </c>
      <c r="GF50" s="549">
        <f t="shared" si="1290"/>
        <v>0</v>
      </c>
      <c r="GG50" s="675">
        <f t="shared" si="1290"/>
        <v>0</v>
      </c>
      <c r="GH50" s="549">
        <f t="shared" si="1290"/>
        <v>0</v>
      </c>
      <c r="GI50" s="675">
        <f t="shared" si="1290"/>
        <v>0</v>
      </c>
      <c r="GJ50" s="549">
        <f t="shared" si="1289"/>
        <v>0</v>
      </c>
      <c r="GK50" s="675">
        <f t="shared" si="1289"/>
        <v>0</v>
      </c>
      <c r="GL50" s="549">
        <f t="shared" ref="GL50:GM50" si="1291">GL384+GL277</f>
        <v>0</v>
      </c>
      <c r="GM50" s="675">
        <f t="shared" si="1291"/>
        <v>0</v>
      </c>
      <c r="GN50" s="549">
        <f t="shared" ref="GN50:GO50" si="1292">GN384+GN277</f>
        <v>0</v>
      </c>
      <c r="GO50" s="675">
        <f t="shared" si="1292"/>
        <v>0</v>
      </c>
      <c r="GP50" s="74">
        <f t="shared" si="1283"/>
        <v>8000</v>
      </c>
      <c r="GQ50" s="675">
        <f t="shared" si="1283"/>
        <v>-8000</v>
      </c>
      <c r="GR50" s="74">
        <f t="shared" si="1283"/>
        <v>25000</v>
      </c>
      <c r="GS50" s="74">
        <f t="shared" si="1283"/>
        <v>25000</v>
      </c>
      <c r="GT50" s="74">
        <f t="shared" ref="GT50:HK50" si="1293">GT384</f>
        <v>25000</v>
      </c>
      <c r="GU50" s="74">
        <f>GU384</f>
        <v>8334</v>
      </c>
      <c r="GV50" s="74">
        <f t="shared" si="1293"/>
        <v>0</v>
      </c>
      <c r="GW50" s="74">
        <f t="shared" si="1293"/>
        <v>0</v>
      </c>
      <c r="GX50" s="74">
        <f t="shared" si="1293"/>
        <v>8333</v>
      </c>
      <c r="GY50" s="74">
        <f t="shared" si="1293"/>
        <v>0</v>
      </c>
      <c r="GZ50" s="74">
        <f t="shared" si="1293"/>
        <v>0</v>
      </c>
      <c r="HA50" s="74">
        <f t="shared" si="1293"/>
        <v>8333</v>
      </c>
      <c r="HB50" s="74">
        <f t="shared" si="1293"/>
        <v>0</v>
      </c>
      <c r="HC50" s="74">
        <f t="shared" si="1293"/>
        <v>0</v>
      </c>
      <c r="HD50" s="74">
        <f t="shared" si="1293"/>
        <v>0</v>
      </c>
      <c r="HE50" s="74">
        <f t="shared" si="1293"/>
        <v>0</v>
      </c>
      <c r="HF50" s="74">
        <f t="shared" si="1293"/>
        <v>0</v>
      </c>
      <c r="HG50" s="74">
        <f>HG384+HG277</f>
        <v>25000</v>
      </c>
      <c r="HH50" s="74">
        <f t="shared" si="1293"/>
        <v>8334</v>
      </c>
      <c r="HI50" s="74">
        <f t="shared" si="1293"/>
        <v>0</v>
      </c>
      <c r="HJ50" s="74">
        <f t="shared" si="1293"/>
        <v>1000</v>
      </c>
      <c r="HK50" s="74">
        <f t="shared" si="1293"/>
        <v>0</v>
      </c>
      <c r="HL50" s="74">
        <f t="shared" si="1132"/>
        <v>7000</v>
      </c>
      <c r="HM50" s="74">
        <f t="shared" si="1132"/>
        <v>0</v>
      </c>
      <c r="HN50" s="74">
        <f t="shared" si="1132"/>
        <v>8333</v>
      </c>
      <c r="HO50" s="74">
        <f t="shared" si="1132"/>
        <v>0</v>
      </c>
      <c r="HP50" s="74">
        <f t="shared" si="1132"/>
        <v>0</v>
      </c>
      <c r="HQ50" s="74">
        <f t="shared" si="1132"/>
        <v>0</v>
      </c>
      <c r="HR50" s="74">
        <f t="shared" si="1132"/>
        <v>0</v>
      </c>
      <c r="HS50" s="74">
        <f t="shared" si="1132"/>
        <v>0</v>
      </c>
      <c r="HT50" s="74">
        <f t="shared" si="1132"/>
        <v>4000</v>
      </c>
      <c r="HU50" s="74">
        <f t="shared" si="1132"/>
        <v>0</v>
      </c>
      <c r="HV50" s="74">
        <f t="shared" si="1132"/>
        <v>4000</v>
      </c>
      <c r="HW50" s="74">
        <f t="shared" si="1132"/>
        <v>0</v>
      </c>
      <c r="HX50" s="74">
        <f t="shared" si="1132"/>
        <v>-4667</v>
      </c>
      <c r="HY50" s="74">
        <f t="shared" si="1132"/>
        <v>0</v>
      </c>
      <c r="HZ50" s="74">
        <f t="shared" si="1132"/>
        <v>-3000</v>
      </c>
      <c r="IA50" s="74">
        <f t="shared" si="1132"/>
        <v>0</v>
      </c>
      <c r="IB50" s="74">
        <f>IB384+IB277</f>
        <v>0</v>
      </c>
      <c r="IC50" s="74">
        <f>IC384+IC277</f>
        <v>0</v>
      </c>
      <c r="ID50" s="74">
        <f t="shared" si="1132"/>
        <v>0</v>
      </c>
      <c r="IE50" s="792">
        <f t="shared" si="1132"/>
        <v>0</v>
      </c>
      <c r="IF50" s="841">
        <f>IF384+IF277</f>
        <v>21544.5</v>
      </c>
      <c r="IG50" s="263">
        <f>IG384+IG277</f>
        <v>21544.5</v>
      </c>
      <c r="IH50" s="842">
        <f>IH384+IH277</f>
        <v>21544.5</v>
      </c>
      <c r="II50" s="155">
        <f t="shared" si="1132"/>
        <v>2497</v>
      </c>
      <c r="IJ50" s="74">
        <f t="shared" si="1132"/>
        <v>2497</v>
      </c>
      <c r="IK50" s="74">
        <f t="shared" si="1132"/>
        <v>2497</v>
      </c>
      <c r="IL50" s="74">
        <f t="shared" si="1132"/>
        <v>1675</v>
      </c>
      <c r="IM50" s="74">
        <f t="shared" si="1132"/>
        <v>1675</v>
      </c>
      <c r="IN50" s="74">
        <f t="shared" si="1132"/>
        <v>1675</v>
      </c>
      <c r="IO50" s="74">
        <f t="shared" si="1132"/>
        <v>7395</v>
      </c>
      <c r="IP50" s="74">
        <f t="shared" si="1132"/>
        <v>7395</v>
      </c>
      <c r="IQ50" s="74">
        <f t="shared" si="1132"/>
        <v>7395</v>
      </c>
      <c r="IR50" s="74">
        <f t="shared" si="1132"/>
        <v>1354</v>
      </c>
      <c r="IS50" s="74">
        <f t="shared" si="1132"/>
        <v>1354</v>
      </c>
      <c r="IT50" s="74">
        <f t="shared" si="1132"/>
        <v>1354</v>
      </c>
      <c r="IU50" s="74">
        <f t="shared" si="1132"/>
        <v>1409</v>
      </c>
      <c r="IV50" s="74">
        <f t="shared" si="1132"/>
        <v>1409</v>
      </c>
      <c r="IW50" s="74">
        <f t="shared" si="1132"/>
        <v>1409</v>
      </c>
      <c r="IX50" s="74">
        <f t="shared" si="1132"/>
        <v>730</v>
      </c>
      <c r="IY50" s="74">
        <f t="shared" si="1132"/>
        <v>730</v>
      </c>
      <c r="IZ50" s="74">
        <f t="shared" si="1132"/>
        <v>730</v>
      </c>
      <c r="JA50" s="74">
        <f t="shared" si="1132"/>
        <v>1650</v>
      </c>
      <c r="JB50" s="74">
        <f t="shared" si="1132"/>
        <v>1650</v>
      </c>
      <c r="JC50" s="74">
        <f t="shared" si="1132"/>
        <v>1650</v>
      </c>
      <c r="JD50" s="74">
        <f t="shared" si="1132"/>
        <v>3549.5</v>
      </c>
      <c r="JE50" s="74">
        <f t="shared" si="1132"/>
        <v>3549.5</v>
      </c>
      <c r="JF50" s="74">
        <f t="shared" si="1132"/>
        <v>3549.5</v>
      </c>
      <c r="JG50" s="74">
        <f t="shared" si="1132"/>
        <v>660</v>
      </c>
      <c r="JH50" s="74">
        <f t="shared" si="1132"/>
        <v>660</v>
      </c>
      <c r="JI50" s="74">
        <f t="shared" si="1132"/>
        <v>660</v>
      </c>
      <c r="JJ50" s="74">
        <f t="shared" si="1132"/>
        <v>625</v>
      </c>
      <c r="JK50" s="74">
        <f t="shared" si="1132"/>
        <v>625</v>
      </c>
      <c r="JL50" s="74">
        <f t="shared" si="1132"/>
        <v>625</v>
      </c>
      <c r="JM50" s="74">
        <f>JM384+JM277</f>
        <v>0</v>
      </c>
      <c r="JN50" s="74">
        <f>JN384+JN277</f>
        <v>0</v>
      </c>
      <c r="JO50" s="74">
        <f>JO384+JO277</f>
        <v>0</v>
      </c>
      <c r="JP50" s="74">
        <f t="shared" si="1132"/>
        <v>0</v>
      </c>
      <c r="JQ50" s="74">
        <f t="shared" si="1132"/>
        <v>0</v>
      </c>
      <c r="JR50" s="74">
        <f t="shared" si="1132"/>
        <v>0</v>
      </c>
      <c r="JS50" s="74">
        <f>JS384+JS277</f>
        <v>3455.5</v>
      </c>
      <c r="JT50" s="102">
        <f>JT384+JT277</f>
        <v>3455.5</v>
      </c>
      <c r="JU50" s="671"/>
      <c r="JV50" s="492"/>
      <c r="JW50" s="490"/>
      <c r="JX50" s="549">
        <f>JX384+JX277</f>
        <v>25000</v>
      </c>
      <c r="JY50" s="549">
        <f>JY384+JY277</f>
        <v>0</v>
      </c>
      <c r="JZ50" s="581">
        <f>GP50</f>
        <v>8000</v>
      </c>
      <c r="KA50" s="581">
        <f t="shared" si="43"/>
        <v>-8000</v>
      </c>
      <c r="KB50" s="549">
        <f>KB384+KB277</f>
        <v>25000</v>
      </c>
      <c r="KC50" s="709">
        <f t="shared" si="41"/>
        <v>0</v>
      </c>
      <c r="KD50" s="126" t="s">
        <v>509</v>
      </c>
      <c r="KE50" s="140" t="s">
        <v>538</v>
      </c>
      <c r="KF50" s="127" t="e">
        <f>#REF!</f>
        <v>#REF!</v>
      </c>
      <c r="KG50" s="127" t="e">
        <f>#REF!</f>
        <v>#REF!</v>
      </c>
      <c r="KH50" s="127" t="e">
        <f>#REF!</f>
        <v>#REF!</v>
      </c>
      <c r="KI50" s="127" t="e">
        <f>#REF!+#REF!</f>
        <v>#REF!</v>
      </c>
      <c r="KJ50" s="127" t="e">
        <f>#REF!</f>
        <v>#REF!</v>
      </c>
      <c r="KK50" s="127" t="e">
        <f>#REF!</f>
        <v>#REF!</v>
      </c>
    </row>
    <row r="51" spans="1:297" s="8" customFormat="1" ht="13.5" thickBot="1">
      <c r="A51" s="75"/>
      <c r="B51" s="72"/>
      <c r="C51" s="74"/>
      <c r="D51" s="549"/>
      <c r="E51" s="675"/>
      <c r="F51" s="549"/>
      <c r="G51" s="675"/>
      <c r="H51" s="549"/>
      <c r="I51" s="675"/>
      <c r="J51" s="549"/>
      <c r="K51" s="675"/>
      <c r="L51" s="549"/>
      <c r="M51" s="675"/>
      <c r="N51" s="549"/>
      <c r="O51" s="675"/>
      <c r="P51" s="549"/>
      <c r="Q51" s="675"/>
      <c r="R51" s="549"/>
      <c r="S51" s="675"/>
      <c r="T51" s="549"/>
      <c r="U51" s="675"/>
      <c r="V51" s="549"/>
      <c r="W51" s="675"/>
      <c r="X51" s="549"/>
      <c r="Y51" s="675"/>
      <c r="Z51" s="549"/>
      <c r="AA51" s="675"/>
      <c r="AB51" s="549"/>
      <c r="AC51" s="675"/>
      <c r="AD51" s="549"/>
      <c r="AE51" s="675"/>
      <c r="AF51" s="549"/>
      <c r="AG51" s="675"/>
      <c r="AH51" s="549"/>
      <c r="AI51" s="675"/>
      <c r="AJ51" s="549"/>
      <c r="AK51" s="675"/>
      <c r="AL51" s="549"/>
      <c r="AM51" s="675"/>
      <c r="AN51" s="549"/>
      <c r="AO51" s="675"/>
      <c r="AP51" s="549"/>
      <c r="AQ51" s="675"/>
      <c r="AR51" s="549"/>
      <c r="AS51" s="675"/>
      <c r="AT51" s="549"/>
      <c r="AU51" s="675"/>
      <c r="AV51" s="549"/>
      <c r="AW51" s="675"/>
      <c r="AX51" s="549"/>
      <c r="AY51" s="675"/>
      <c r="AZ51" s="549"/>
      <c r="BA51" s="675"/>
      <c r="BB51" s="549"/>
      <c r="BC51" s="675"/>
      <c r="BD51" s="549"/>
      <c r="BE51" s="675"/>
      <c r="BF51" s="549"/>
      <c r="BG51" s="675"/>
      <c r="BH51" s="549"/>
      <c r="BI51" s="675"/>
      <c r="BJ51" s="549"/>
      <c r="BK51" s="675"/>
      <c r="BL51" s="549"/>
      <c r="BM51" s="675"/>
      <c r="BN51" s="549"/>
      <c r="BO51" s="675"/>
      <c r="BP51" s="549"/>
      <c r="BQ51" s="675"/>
      <c r="BR51" s="549"/>
      <c r="BS51" s="675"/>
      <c r="BT51" s="549"/>
      <c r="BU51" s="675"/>
      <c r="BV51" s="549"/>
      <c r="BW51" s="675"/>
      <c r="BX51" s="549"/>
      <c r="BY51" s="675"/>
      <c r="BZ51" s="549"/>
      <c r="CA51" s="675"/>
      <c r="CB51" s="549"/>
      <c r="CC51" s="675"/>
      <c r="CD51" s="549"/>
      <c r="CE51" s="675"/>
      <c r="CF51" s="549"/>
      <c r="CG51" s="675"/>
      <c r="CH51" s="549"/>
      <c r="CI51" s="675"/>
      <c r="CJ51" s="549"/>
      <c r="CK51" s="675"/>
      <c r="CL51" s="549"/>
      <c r="CM51" s="675"/>
      <c r="CN51" s="549"/>
      <c r="CO51" s="675"/>
      <c r="CP51" s="549"/>
      <c r="CQ51" s="675"/>
      <c r="CR51" s="549"/>
      <c r="CS51" s="675"/>
      <c r="CT51" s="549"/>
      <c r="CU51" s="675"/>
      <c r="CV51" s="549"/>
      <c r="CW51" s="675"/>
      <c r="CX51" s="549"/>
      <c r="CY51" s="675"/>
      <c r="CZ51" s="549"/>
      <c r="DA51" s="675"/>
      <c r="DB51" s="549"/>
      <c r="DC51" s="675"/>
      <c r="DD51" s="549"/>
      <c r="DE51" s="675"/>
      <c r="DF51" s="549"/>
      <c r="DG51" s="675"/>
      <c r="DH51" s="549"/>
      <c r="DI51" s="675"/>
      <c r="DJ51" s="549"/>
      <c r="DK51" s="675"/>
      <c r="DL51" s="549"/>
      <c r="DM51" s="675"/>
      <c r="DN51" s="549"/>
      <c r="DO51" s="675"/>
      <c r="DP51" s="549"/>
      <c r="DQ51" s="675"/>
      <c r="DR51" s="549"/>
      <c r="DS51" s="675"/>
      <c r="DT51" s="549"/>
      <c r="DU51" s="675"/>
      <c r="DV51" s="549"/>
      <c r="DW51" s="675"/>
      <c r="DX51" s="549"/>
      <c r="DY51" s="675"/>
      <c r="DZ51" s="549"/>
      <c r="EA51" s="675"/>
      <c r="EB51" s="549"/>
      <c r="EC51" s="675"/>
      <c r="ED51" s="549"/>
      <c r="EE51" s="675"/>
      <c r="EF51" s="549"/>
      <c r="EG51" s="675"/>
      <c r="EH51" s="549"/>
      <c r="EI51" s="675"/>
      <c r="EJ51" s="549"/>
      <c r="EK51" s="675"/>
      <c r="EL51" s="549"/>
      <c r="EM51" s="675"/>
      <c r="EN51" s="549"/>
      <c r="EO51" s="675"/>
      <c r="EP51" s="549"/>
      <c r="EQ51" s="675"/>
      <c r="ER51" s="549"/>
      <c r="ES51" s="675"/>
      <c r="ET51" s="549"/>
      <c r="EU51" s="675"/>
      <c r="EV51" s="549"/>
      <c r="EW51" s="675"/>
      <c r="EX51" s="549"/>
      <c r="EY51" s="675"/>
      <c r="EZ51" s="549"/>
      <c r="FA51" s="675"/>
      <c r="FB51" s="549"/>
      <c r="FC51" s="675"/>
      <c r="FD51" s="549"/>
      <c r="FE51" s="675"/>
      <c r="FF51" s="549"/>
      <c r="FG51" s="675"/>
      <c r="FH51" s="549"/>
      <c r="FI51" s="675"/>
      <c r="FJ51" s="549"/>
      <c r="FK51" s="675"/>
      <c r="FL51" s="549"/>
      <c r="FM51" s="675"/>
      <c r="FN51" s="549"/>
      <c r="FO51" s="675"/>
      <c r="FP51" s="549"/>
      <c r="FQ51" s="675"/>
      <c r="FR51" s="549"/>
      <c r="FS51" s="675"/>
      <c r="FT51" s="549"/>
      <c r="FU51" s="675"/>
      <c r="FV51" s="549"/>
      <c r="FW51" s="675"/>
      <c r="FX51" s="549"/>
      <c r="FY51" s="675"/>
      <c r="FZ51" s="549"/>
      <c r="GA51" s="675"/>
      <c r="GB51" s="549"/>
      <c r="GC51" s="675"/>
      <c r="GD51" s="549"/>
      <c r="GE51" s="675"/>
      <c r="GF51" s="549"/>
      <c r="GG51" s="675"/>
      <c r="GH51" s="549"/>
      <c r="GI51" s="675"/>
      <c r="GJ51" s="549"/>
      <c r="GK51" s="675"/>
      <c r="GL51" s="549"/>
      <c r="GM51" s="675"/>
      <c r="GN51" s="549"/>
      <c r="GO51" s="675"/>
      <c r="GP51" s="74"/>
      <c r="GQ51" s="675"/>
      <c r="GR51" s="74"/>
      <c r="GS51" s="74"/>
      <c r="GT51" s="549"/>
      <c r="GU51" s="74"/>
      <c r="GV51" s="74"/>
      <c r="GW51" s="549"/>
      <c r="GX51" s="549"/>
      <c r="GY51" s="74"/>
      <c r="GZ51" s="74"/>
      <c r="HA51" s="74"/>
      <c r="HB51" s="74"/>
      <c r="HC51" s="74"/>
      <c r="HD51" s="74"/>
      <c r="HE51" s="74"/>
      <c r="HF51" s="74"/>
      <c r="HG51" s="74"/>
      <c r="HH51" s="74"/>
      <c r="HI51" s="74"/>
      <c r="HJ51" s="74"/>
      <c r="HK51" s="74"/>
      <c r="HL51" s="74"/>
      <c r="HM51" s="74"/>
      <c r="HN51" s="74"/>
      <c r="HO51" s="74"/>
      <c r="HP51" s="74"/>
      <c r="HQ51" s="74"/>
      <c r="HR51" s="74"/>
      <c r="HS51" s="74"/>
      <c r="HT51" s="74"/>
      <c r="HU51" s="74"/>
      <c r="HV51" s="74"/>
      <c r="HW51" s="74"/>
      <c r="HX51" s="74"/>
      <c r="HY51" s="74"/>
      <c r="HZ51" s="74"/>
      <c r="IA51" s="74"/>
      <c r="IB51" s="74"/>
      <c r="IC51" s="74"/>
      <c r="ID51" s="74"/>
      <c r="IE51" s="792"/>
      <c r="IF51" s="841"/>
      <c r="IG51" s="263"/>
      <c r="IH51" s="842"/>
      <c r="II51" s="155"/>
      <c r="IJ51" s="74"/>
      <c r="IK51" s="74"/>
      <c r="IL51" s="74"/>
      <c r="IM51" s="74"/>
      <c r="IN51" s="74"/>
      <c r="IO51" s="74"/>
      <c r="IP51" s="74"/>
      <c r="IQ51" s="74"/>
      <c r="IR51" s="74"/>
      <c r="IS51" s="74"/>
      <c r="IT51" s="74"/>
      <c r="IU51" s="74"/>
      <c r="IV51" s="74"/>
      <c r="IW51" s="74"/>
      <c r="IX51" s="74"/>
      <c r="IY51" s="74"/>
      <c r="IZ51" s="74"/>
      <c r="JA51" s="74"/>
      <c r="JB51" s="74"/>
      <c r="JC51" s="74"/>
      <c r="JD51" s="74"/>
      <c r="JE51" s="74"/>
      <c r="JF51" s="74"/>
      <c r="JG51" s="74"/>
      <c r="JH51" s="74"/>
      <c r="JI51" s="74"/>
      <c r="JJ51" s="74"/>
      <c r="JK51" s="74"/>
      <c r="JL51" s="74"/>
      <c r="JM51" s="74"/>
      <c r="JN51" s="74"/>
      <c r="JO51" s="74"/>
      <c r="JP51" s="74"/>
      <c r="JQ51" s="74"/>
      <c r="JR51" s="74"/>
      <c r="JS51" s="74"/>
      <c r="JT51" s="102"/>
      <c r="JU51" s="671"/>
      <c r="JV51" s="492"/>
      <c r="JW51" s="490"/>
      <c r="JX51" s="549"/>
      <c r="JY51" s="549"/>
      <c r="JZ51" s="581">
        <f t="shared" si="42"/>
        <v>0</v>
      </c>
      <c r="KA51" s="581">
        <f t="shared" si="43"/>
        <v>0</v>
      </c>
      <c r="KB51" s="549"/>
      <c r="KC51" s="709">
        <f t="shared" si="41"/>
        <v>0</v>
      </c>
      <c r="KD51" s="132"/>
      <c r="KE51" s="141"/>
      <c r="KF51" s="130"/>
      <c r="KG51" s="130"/>
      <c r="KH51" s="130"/>
      <c r="KI51" s="130"/>
      <c r="KJ51" s="130"/>
      <c r="KK51" s="130"/>
    </row>
    <row r="52" spans="1:297" s="8" customFormat="1" ht="13.5" thickBot="1">
      <c r="A52" s="75" t="s">
        <v>84</v>
      </c>
      <c r="B52" s="72" t="s">
        <v>85</v>
      </c>
      <c r="C52" s="74">
        <f t="shared" ref="C52" si="1294">SUM(C53:C59)</f>
        <v>1014700</v>
      </c>
      <c r="D52" s="549">
        <f t="shared" ref="D52:E52" si="1295">SUM(D53:D59)</f>
        <v>0</v>
      </c>
      <c r="E52" s="675">
        <f t="shared" si="1295"/>
        <v>0</v>
      </c>
      <c r="F52" s="549">
        <f t="shared" ref="F52:G52" si="1296">SUM(F53:F59)</f>
        <v>12000</v>
      </c>
      <c r="G52" s="675">
        <f t="shared" si="1296"/>
        <v>0</v>
      </c>
      <c r="H52" s="549">
        <f t="shared" ref="H52:I52" si="1297">SUM(H53:H59)</f>
        <v>0</v>
      </c>
      <c r="I52" s="675">
        <f t="shared" si="1297"/>
        <v>0</v>
      </c>
      <c r="J52" s="549">
        <f t="shared" ref="J52:K52" si="1298">SUM(J53:J59)</f>
        <v>0</v>
      </c>
      <c r="K52" s="675">
        <f t="shared" si="1298"/>
        <v>0</v>
      </c>
      <c r="L52" s="549">
        <f t="shared" ref="L52:M52" si="1299">SUM(L53:L59)</f>
        <v>0</v>
      </c>
      <c r="M52" s="675">
        <f t="shared" si="1299"/>
        <v>0</v>
      </c>
      <c r="N52" s="549">
        <f t="shared" ref="N52:O52" si="1300">SUM(N53:N59)</f>
        <v>0</v>
      </c>
      <c r="O52" s="675">
        <f t="shared" si="1300"/>
        <v>0</v>
      </c>
      <c r="P52" s="549">
        <f t="shared" ref="P52:Q52" si="1301">SUM(P53:P59)</f>
        <v>0</v>
      </c>
      <c r="Q52" s="675">
        <f t="shared" si="1301"/>
        <v>0</v>
      </c>
      <c r="R52" s="549">
        <f t="shared" ref="R52:S52" si="1302">SUM(R53:R59)</f>
        <v>0</v>
      </c>
      <c r="S52" s="675">
        <f t="shared" si="1302"/>
        <v>0</v>
      </c>
      <c r="T52" s="549">
        <f t="shared" ref="T52:U52" si="1303">SUM(T53:T59)</f>
        <v>0</v>
      </c>
      <c r="U52" s="675">
        <f t="shared" si="1303"/>
        <v>0</v>
      </c>
      <c r="V52" s="549">
        <f t="shared" ref="V52:W52" si="1304">SUM(V53:V59)</f>
        <v>0</v>
      </c>
      <c r="W52" s="675">
        <f t="shared" si="1304"/>
        <v>0</v>
      </c>
      <c r="X52" s="549">
        <f t="shared" ref="X52:Y52" si="1305">SUM(X53:X59)</f>
        <v>0</v>
      </c>
      <c r="Y52" s="675">
        <f t="shared" si="1305"/>
        <v>0</v>
      </c>
      <c r="Z52" s="549">
        <f t="shared" ref="Z52:AA52" si="1306">SUM(Z53:Z59)</f>
        <v>0</v>
      </c>
      <c r="AA52" s="675">
        <f t="shared" si="1306"/>
        <v>0</v>
      </c>
      <c r="AB52" s="549">
        <f t="shared" ref="AB52:AC52" si="1307">SUM(AB53:AB59)</f>
        <v>0</v>
      </c>
      <c r="AC52" s="675">
        <f t="shared" si="1307"/>
        <v>0</v>
      </c>
      <c r="AD52" s="549">
        <f t="shared" ref="AD52:AK52" si="1308">SUM(AD53:AD59)</f>
        <v>0</v>
      </c>
      <c r="AE52" s="675">
        <f t="shared" si="1308"/>
        <v>0</v>
      </c>
      <c r="AF52" s="549">
        <f t="shared" si="1308"/>
        <v>20000</v>
      </c>
      <c r="AG52" s="675">
        <f t="shared" si="1308"/>
        <v>0</v>
      </c>
      <c r="AH52" s="549">
        <f t="shared" si="1308"/>
        <v>0</v>
      </c>
      <c r="AI52" s="675">
        <f t="shared" si="1308"/>
        <v>0</v>
      </c>
      <c r="AJ52" s="549">
        <f t="shared" si="1308"/>
        <v>0</v>
      </c>
      <c r="AK52" s="675">
        <f t="shared" si="1308"/>
        <v>0</v>
      </c>
      <c r="AL52" s="549">
        <f t="shared" ref="AL52:AM52" si="1309">SUM(AL53:AL59)</f>
        <v>0</v>
      </c>
      <c r="AM52" s="675">
        <f t="shared" si="1309"/>
        <v>0</v>
      </c>
      <c r="AN52" s="549">
        <f t="shared" ref="AN52:AS52" si="1310">SUM(AN53:AN59)</f>
        <v>0</v>
      </c>
      <c r="AO52" s="675">
        <f t="shared" si="1310"/>
        <v>0</v>
      </c>
      <c r="AP52" s="549">
        <f t="shared" si="1310"/>
        <v>0</v>
      </c>
      <c r="AQ52" s="675">
        <f t="shared" si="1310"/>
        <v>0</v>
      </c>
      <c r="AR52" s="549">
        <f t="shared" si="1310"/>
        <v>0</v>
      </c>
      <c r="AS52" s="675">
        <f t="shared" si="1310"/>
        <v>0</v>
      </c>
      <c r="AT52" s="549">
        <f t="shared" ref="AT52:AU52" si="1311">SUM(AT53:AT59)</f>
        <v>0</v>
      </c>
      <c r="AU52" s="675">
        <f t="shared" si="1311"/>
        <v>0</v>
      </c>
      <c r="AV52" s="549">
        <f t="shared" ref="AV52:AW52" si="1312">SUM(AV53:AV59)</f>
        <v>0</v>
      </c>
      <c r="AW52" s="675">
        <f t="shared" si="1312"/>
        <v>0</v>
      </c>
      <c r="AX52" s="549">
        <f t="shared" ref="AX52:AY52" si="1313">SUM(AX53:AX59)</f>
        <v>0</v>
      </c>
      <c r="AY52" s="675">
        <f t="shared" si="1313"/>
        <v>0</v>
      </c>
      <c r="AZ52" s="549">
        <f t="shared" ref="AZ52:BA52" si="1314">SUM(AZ53:AZ59)</f>
        <v>0</v>
      </c>
      <c r="BA52" s="675">
        <f t="shared" si="1314"/>
        <v>0</v>
      </c>
      <c r="BB52" s="549">
        <f t="shared" ref="BB52:BC52" si="1315">SUM(BB53:BB59)</f>
        <v>0</v>
      </c>
      <c r="BC52" s="675">
        <f t="shared" si="1315"/>
        <v>0</v>
      </c>
      <c r="BD52" s="549">
        <f t="shared" ref="BD52:BE52" si="1316">SUM(BD53:BD59)</f>
        <v>32000</v>
      </c>
      <c r="BE52" s="675">
        <f t="shared" si="1316"/>
        <v>0</v>
      </c>
      <c r="BF52" s="549">
        <f t="shared" ref="BF52:BG52" si="1317">SUM(BF53:BF59)</f>
        <v>0</v>
      </c>
      <c r="BG52" s="675">
        <f t="shared" si="1317"/>
        <v>0</v>
      </c>
      <c r="BH52" s="549">
        <f t="shared" ref="BH52:BI52" si="1318">SUM(BH53:BH59)</f>
        <v>0</v>
      </c>
      <c r="BI52" s="675">
        <f t="shared" si="1318"/>
        <v>0</v>
      </c>
      <c r="BJ52" s="549">
        <f t="shared" ref="BJ52:BK52" si="1319">SUM(BJ53:BJ59)</f>
        <v>0</v>
      </c>
      <c r="BK52" s="675">
        <f t="shared" si="1319"/>
        <v>0</v>
      </c>
      <c r="BL52" s="549">
        <f t="shared" ref="BL52:BS52" si="1320">SUM(BL53:BL59)</f>
        <v>0</v>
      </c>
      <c r="BM52" s="675">
        <f t="shared" si="1320"/>
        <v>0</v>
      </c>
      <c r="BN52" s="549">
        <f t="shared" si="1320"/>
        <v>0</v>
      </c>
      <c r="BO52" s="675">
        <f t="shared" si="1320"/>
        <v>0</v>
      </c>
      <c r="BP52" s="549">
        <f t="shared" si="1320"/>
        <v>0</v>
      </c>
      <c r="BQ52" s="675">
        <f t="shared" si="1320"/>
        <v>0</v>
      </c>
      <c r="BR52" s="549">
        <f t="shared" si="1320"/>
        <v>0</v>
      </c>
      <c r="BS52" s="675">
        <f t="shared" si="1320"/>
        <v>0</v>
      </c>
      <c r="BT52" s="549">
        <f t="shared" ref="BT52:BU52" si="1321">SUM(BT53:BT59)</f>
        <v>0</v>
      </c>
      <c r="BU52" s="675">
        <f t="shared" si="1321"/>
        <v>0</v>
      </c>
      <c r="BV52" s="549">
        <f t="shared" ref="BV52:BW52" si="1322">SUM(BV53:BV59)</f>
        <v>0</v>
      </c>
      <c r="BW52" s="675">
        <f t="shared" si="1322"/>
        <v>0</v>
      </c>
      <c r="BX52" s="549">
        <f t="shared" ref="BX52:BY52" si="1323">SUM(BX53:BX59)</f>
        <v>0</v>
      </c>
      <c r="BY52" s="675">
        <f t="shared" si="1323"/>
        <v>0</v>
      </c>
      <c r="BZ52" s="549">
        <f t="shared" ref="BZ52:CA52" si="1324">SUM(BZ53:BZ59)</f>
        <v>0</v>
      </c>
      <c r="CA52" s="675">
        <f t="shared" si="1324"/>
        <v>0</v>
      </c>
      <c r="CB52" s="549">
        <f t="shared" ref="CB52:CE52" si="1325">SUM(CB53:CB59)</f>
        <v>0</v>
      </c>
      <c r="CC52" s="675">
        <f t="shared" si="1325"/>
        <v>0</v>
      </c>
      <c r="CD52" s="549">
        <f t="shared" si="1325"/>
        <v>0</v>
      </c>
      <c r="CE52" s="675">
        <f t="shared" si="1325"/>
        <v>0</v>
      </c>
      <c r="CF52" s="549">
        <f t="shared" ref="CF52:CQ52" si="1326">SUM(CF53:CF59)</f>
        <v>0</v>
      </c>
      <c r="CG52" s="675">
        <f t="shared" si="1326"/>
        <v>0</v>
      </c>
      <c r="CH52" s="549">
        <f t="shared" si="1326"/>
        <v>0</v>
      </c>
      <c r="CI52" s="675">
        <f t="shared" si="1326"/>
        <v>0</v>
      </c>
      <c r="CJ52" s="549">
        <f t="shared" si="1326"/>
        <v>0</v>
      </c>
      <c r="CK52" s="675">
        <f t="shared" si="1326"/>
        <v>0</v>
      </c>
      <c r="CL52" s="549">
        <f t="shared" si="1326"/>
        <v>0</v>
      </c>
      <c r="CM52" s="675">
        <f t="shared" si="1326"/>
        <v>0</v>
      </c>
      <c r="CN52" s="549">
        <f t="shared" si="1326"/>
        <v>0</v>
      </c>
      <c r="CO52" s="675">
        <f t="shared" si="1326"/>
        <v>0</v>
      </c>
      <c r="CP52" s="549">
        <f t="shared" si="1326"/>
        <v>0</v>
      </c>
      <c r="CQ52" s="675">
        <f t="shared" si="1326"/>
        <v>0</v>
      </c>
      <c r="CR52" s="549">
        <f t="shared" ref="CR52:CY52" si="1327">SUM(CR53:CR59)</f>
        <v>0</v>
      </c>
      <c r="CS52" s="675">
        <f t="shared" si="1327"/>
        <v>0</v>
      </c>
      <c r="CT52" s="549">
        <f t="shared" si="1327"/>
        <v>0</v>
      </c>
      <c r="CU52" s="675">
        <f t="shared" si="1327"/>
        <v>0</v>
      </c>
      <c r="CV52" s="549">
        <f t="shared" si="1327"/>
        <v>0</v>
      </c>
      <c r="CW52" s="675">
        <f t="shared" si="1327"/>
        <v>0</v>
      </c>
      <c r="CX52" s="549">
        <f t="shared" si="1327"/>
        <v>0</v>
      </c>
      <c r="CY52" s="675">
        <f t="shared" si="1327"/>
        <v>0</v>
      </c>
      <c r="CZ52" s="549">
        <f t="shared" ref="CZ52:DG52" si="1328">SUM(CZ53:CZ59)</f>
        <v>0</v>
      </c>
      <c r="DA52" s="675">
        <f t="shared" si="1328"/>
        <v>0</v>
      </c>
      <c r="DB52" s="549">
        <f t="shared" si="1328"/>
        <v>0</v>
      </c>
      <c r="DC52" s="675">
        <f t="shared" si="1328"/>
        <v>0</v>
      </c>
      <c r="DD52" s="549">
        <f t="shared" si="1328"/>
        <v>0</v>
      </c>
      <c r="DE52" s="675">
        <f t="shared" si="1328"/>
        <v>0</v>
      </c>
      <c r="DF52" s="549">
        <f t="shared" si="1328"/>
        <v>100000</v>
      </c>
      <c r="DG52" s="675">
        <f t="shared" si="1328"/>
        <v>-100000</v>
      </c>
      <c r="DH52" s="549">
        <f t="shared" ref="DH52:DM52" si="1329">SUM(DH53:DH59)</f>
        <v>0</v>
      </c>
      <c r="DI52" s="675">
        <f t="shared" si="1329"/>
        <v>0</v>
      </c>
      <c r="DJ52" s="549">
        <f t="shared" si="1329"/>
        <v>0</v>
      </c>
      <c r="DK52" s="675">
        <f t="shared" si="1329"/>
        <v>0</v>
      </c>
      <c r="DL52" s="549">
        <f t="shared" si="1329"/>
        <v>0</v>
      </c>
      <c r="DM52" s="675">
        <f t="shared" si="1329"/>
        <v>0</v>
      </c>
      <c r="DN52" s="549">
        <f t="shared" ref="DN52:DW52" si="1330">SUM(DN53:DN59)</f>
        <v>0</v>
      </c>
      <c r="DO52" s="675">
        <f t="shared" si="1330"/>
        <v>0</v>
      </c>
      <c r="DP52" s="549">
        <f t="shared" si="1330"/>
        <v>0</v>
      </c>
      <c r="DQ52" s="675">
        <f t="shared" si="1330"/>
        <v>0</v>
      </c>
      <c r="DR52" s="549">
        <f t="shared" si="1330"/>
        <v>0</v>
      </c>
      <c r="DS52" s="675">
        <f t="shared" si="1330"/>
        <v>0</v>
      </c>
      <c r="DT52" s="549">
        <f t="shared" si="1330"/>
        <v>0</v>
      </c>
      <c r="DU52" s="675">
        <f t="shared" si="1330"/>
        <v>0</v>
      </c>
      <c r="DV52" s="549">
        <f t="shared" si="1330"/>
        <v>0</v>
      </c>
      <c r="DW52" s="675">
        <f t="shared" si="1330"/>
        <v>0</v>
      </c>
      <c r="DX52" s="549">
        <f t="shared" ref="DX52:EG52" si="1331">SUM(DX53:DX59)</f>
        <v>0</v>
      </c>
      <c r="DY52" s="675">
        <f t="shared" si="1331"/>
        <v>0</v>
      </c>
      <c r="DZ52" s="549">
        <f t="shared" si="1331"/>
        <v>0</v>
      </c>
      <c r="EA52" s="675">
        <f t="shared" si="1331"/>
        <v>0</v>
      </c>
      <c r="EB52" s="549">
        <f t="shared" si="1331"/>
        <v>0</v>
      </c>
      <c r="EC52" s="675">
        <f t="shared" si="1331"/>
        <v>0</v>
      </c>
      <c r="ED52" s="549">
        <f t="shared" si="1331"/>
        <v>0</v>
      </c>
      <c r="EE52" s="675">
        <f t="shared" si="1331"/>
        <v>0</v>
      </c>
      <c r="EF52" s="549">
        <f t="shared" si="1331"/>
        <v>0</v>
      </c>
      <c r="EG52" s="675">
        <f t="shared" si="1331"/>
        <v>0</v>
      </c>
      <c r="EH52" s="549">
        <f t="shared" ref="EH52:EM52" si="1332">SUM(EH53:EH59)</f>
        <v>0</v>
      </c>
      <c r="EI52" s="675">
        <f t="shared" si="1332"/>
        <v>0</v>
      </c>
      <c r="EJ52" s="549">
        <f t="shared" si="1332"/>
        <v>0</v>
      </c>
      <c r="EK52" s="675">
        <f t="shared" si="1332"/>
        <v>0</v>
      </c>
      <c r="EL52" s="549">
        <f t="shared" si="1332"/>
        <v>0</v>
      </c>
      <c r="EM52" s="675">
        <f t="shared" si="1332"/>
        <v>0</v>
      </c>
      <c r="EN52" s="549">
        <f t="shared" ref="EN52:EO52" si="1333">SUM(EN53:EN59)</f>
        <v>0</v>
      </c>
      <c r="EO52" s="675">
        <f t="shared" si="1333"/>
        <v>0</v>
      </c>
      <c r="EP52" s="549">
        <f t="shared" ref="EP52:FA52" si="1334">SUM(EP53:EP59)</f>
        <v>0</v>
      </c>
      <c r="EQ52" s="675">
        <f t="shared" si="1334"/>
        <v>0</v>
      </c>
      <c r="ER52" s="549">
        <f t="shared" si="1334"/>
        <v>0</v>
      </c>
      <c r="ES52" s="675">
        <f t="shared" si="1334"/>
        <v>0</v>
      </c>
      <c r="ET52" s="549">
        <f t="shared" si="1334"/>
        <v>0</v>
      </c>
      <c r="EU52" s="675">
        <f t="shared" si="1334"/>
        <v>0</v>
      </c>
      <c r="EV52" s="549">
        <f t="shared" ref="EV52:EW52" si="1335">SUM(EV53:EV59)</f>
        <v>0</v>
      </c>
      <c r="EW52" s="675">
        <f t="shared" si="1335"/>
        <v>0</v>
      </c>
      <c r="EX52" s="549">
        <f t="shared" si="1334"/>
        <v>0</v>
      </c>
      <c r="EY52" s="675">
        <f t="shared" si="1334"/>
        <v>0</v>
      </c>
      <c r="EZ52" s="549">
        <f t="shared" si="1334"/>
        <v>0</v>
      </c>
      <c r="FA52" s="675">
        <f t="shared" si="1334"/>
        <v>0</v>
      </c>
      <c r="FB52" s="549">
        <f t="shared" ref="FB52:FC52" si="1336">SUM(FB53:FB59)</f>
        <v>0</v>
      </c>
      <c r="FC52" s="675">
        <f t="shared" si="1336"/>
        <v>0</v>
      </c>
      <c r="FD52" s="549">
        <f t="shared" ref="FD52:FE52" si="1337">SUM(FD53:FD59)</f>
        <v>0</v>
      </c>
      <c r="FE52" s="675">
        <f t="shared" si="1337"/>
        <v>0</v>
      </c>
      <c r="FF52" s="549">
        <f t="shared" ref="FF52:FG52" si="1338">SUM(FF53:FF59)</f>
        <v>0</v>
      </c>
      <c r="FG52" s="675">
        <f t="shared" si="1338"/>
        <v>0</v>
      </c>
      <c r="FH52" s="549">
        <f t="shared" ref="FH52:FI52" si="1339">SUM(FH53:FH59)</f>
        <v>0</v>
      </c>
      <c r="FI52" s="675">
        <f t="shared" si="1339"/>
        <v>0</v>
      </c>
      <c r="FJ52" s="549">
        <f t="shared" ref="FJ52:FK52" si="1340">SUM(FJ53:FJ59)</f>
        <v>0</v>
      </c>
      <c r="FK52" s="675">
        <f t="shared" si="1340"/>
        <v>0</v>
      </c>
      <c r="FL52" s="549">
        <f t="shared" ref="FL52:FM52" si="1341">SUM(FL53:FL59)</f>
        <v>0</v>
      </c>
      <c r="FM52" s="675">
        <f t="shared" si="1341"/>
        <v>0</v>
      </c>
      <c r="FN52" s="549">
        <f t="shared" ref="FN52:FO52" si="1342">SUM(FN53:FN59)</f>
        <v>0</v>
      </c>
      <c r="FO52" s="675">
        <f t="shared" si="1342"/>
        <v>0</v>
      </c>
      <c r="FP52" s="549">
        <f t="shared" ref="FP52:FQ52" si="1343">SUM(FP53:FP59)</f>
        <v>0</v>
      </c>
      <c r="FQ52" s="675">
        <f t="shared" si="1343"/>
        <v>0</v>
      </c>
      <c r="FR52" s="549">
        <f t="shared" ref="FR52:FS52" si="1344">SUM(FR53:FR59)</f>
        <v>1715</v>
      </c>
      <c r="FS52" s="675">
        <f t="shared" si="1344"/>
        <v>-1715</v>
      </c>
      <c r="FT52" s="549">
        <f t="shared" ref="FT52:FU52" si="1345">SUM(FT53:FT59)</f>
        <v>0</v>
      </c>
      <c r="FU52" s="675">
        <f t="shared" si="1345"/>
        <v>0</v>
      </c>
      <c r="FV52" s="549">
        <f t="shared" ref="FV52:GK52" si="1346">SUM(FV53:FV59)</f>
        <v>0</v>
      </c>
      <c r="FW52" s="675">
        <f t="shared" si="1346"/>
        <v>0</v>
      </c>
      <c r="FX52" s="549">
        <f t="shared" si="1346"/>
        <v>0</v>
      </c>
      <c r="FY52" s="675">
        <f t="shared" si="1346"/>
        <v>0</v>
      </c>
      <c r="FZ52" s="549">
        <f t="shared" ref="FZ52:GI52" si="1347">SUM(FZ53:FZ59)</f>
        <v>0</v>
      </c>
      <c r="GA52" s="675">
        <f t="shared" si="1347"/>
        <v>0</v>
      </c>
      <c r="GB52" s="549">
        <f t="shared" si="1347"/>
        <v>0</v>
      </c>
      <c r="GC52" s="675">
        <f t="shared" si="1347"/>
        <v>0</v>
      </c>
      <c r="GD52" s="549">
        <f t="shared" si="1347"/>
        <v>0</v>
      </c>
      <c r="GE52" s="675">
        <f t="shared" si="1347"/>
        <v>0</v>
      </c>
      <c r="GF52" s="549">
        <f t="shared" si="1347"/>
        <v>0</v>
      </c>
      <c r="GG52" s="675">
        <f t="shared" si="1347"/>
        <v>0</v>
      </c>
      <c r="GH52" s="549">
        <f t="shared" si="1347"/>
        <v>0</v>
      </c>
      <c r="GI52" s="675">
        <f t="shared" si="1347"/>
        <v>0</v>
      </c>
      <c r="GJ52" s="549">
        <f t="shared" si="1346"/>
        <v>0</v>
      </c>
      <c r="GK52" s="675">
        <f t="shared" si="1346"/>
        <v>0</v>
      </c>
      <c r="GL52" s="549">
        <f t="shared" ref="GL52:GR52" si="1348">SUM(GL53:GL59)</f>
        <v>0</v>
      </c>
      <c r="GM52" s="675">
        <f t="shared" si="1348"/>
        <v>0</v>
      </c>
      <c r="GN52" s="549">
        <f t="shared" ref="GN52:GO52" si="1349">SUM(GN53:GN59)</f>
        <v>0</v>
      </c>
      <c r="GO52" s="675">
        <f t="shared" si="1349"/>
        <v>0</v>
      </c>
      <c r="GP52" s="74">
        <f t="shared" si="1348"/>
        <v>165715</v>
      </c>
      <c r="GQ52" s="675">
        <f t="shared" si="1348"/>
        <v>-101715</v>
      </c>
      <c r="GR52" s="74">
        <f t="shared" si="1348"/>
        <v>1078700</v>
      </c>
      <c r="GS52" s="74">
        <f>SUM(GS53:GS59)</f>
        <v>986593</v>
      </c>
      <c r="GT52" s="549">
        <f t="shared" ref="GT52:JM52" si="1350">SUM(GT53:GT59)</f>
        <v>1078700</v>
      </c>
      <c r="GU52" s="74">
        <f>SUM(GU53:GU59)</f>
        <v>93130</v>
      </c>
      <c r="GV52" s="74">
        <f t="shared" ref="GV52:HA52" si="1351">SUM(GV53:GV59)</f>
        <v>92107</v>
      </c>
      <c r="GW52" s="74">
        <f t="shared" si="1351"/>
        <v>92607</v>
      </c>
      <c r="GX52" s="74">
        <f t="shared" si="1351"/>
        <v>92107</v>
      </c>
      <c r="GY52" s="74">
        <f t="shared" si="1351"/>
        <v>92107</v>
      </c>
      <c r="GZ52" s="74">
        <f t="shared" si="1351"/>
        <v>92107</v>
      </c>
      <c r="HA52" s="74">
        <f t="shared" si="1351"/>
        <v>92107</v>
      </c>
      <c r="HB52" s="74">
        <f t="shared" ref="HB52:HF52" si="1352">SUM(HB53:HB59)</f>
        <v>92107</v>
      </c>
      <c r="HC52" s="74">
        <f t="shared" si="1352"/>
        <v>92107</v>
      </c>
      <c r="HD52" s="74">
        <f t="shared" si="1352"/>
        <v>92107</v>
      </c>
      <c r="HE52" s="74">
        <f t="shared" si="1352"/>
        <v>92107</v>
      </c>
      <c r="HF52" s="74">
        <f t="shared" si="1352"/>
        <v>0</v>
      </c>
      <c r="HG52" s="74">
        <f t="shared" si="1350"/>
        <v>986593</v>
      </c>
      <c r="HH52" s="74">
        <f t="shared" ref="HH52:HU52" si="1353">SUM(HH53:HH59)</f>
        <v>500</v>
      </c>
      <c r="HI52" s="74">
        <f t="shared" si="1353"/>
        <v>0</v>
      </c>
      <c r="HJ52" s="74">
        <f t="shared" si="1353"/>
        <v>0</v>
      </c>
      <c r="HK52" s="74">
        <f t="shared" si="1353"/>
        <v>184737</v>
      </c>
      <c r="HL52" s="74">
        <f t="shared" si="1353"/>
        <v>0</v>
      </c>
      <c r="HM52" s="74">
        <f t="shared" si="1353"/>
        <v>92107</v>
      </c>
      <c r="HN52" s="74">
        <f t="shared" si="1353"/>
        <v>32000</v>
      </c>
      <c r="HO52" s="74">
        <f t="shared" si="1353"/>
        <v>92107</v>
      </c>
      <c r="HP52" s="74">
        <f t="shared" si="1353"/>
        <v>0</v>
      </c>
      <c r="HQ52" s="74">
        <f t="shared" si="1353"/>
        <v>90107</v>
      </c>
      <c r="HR52" s="74">
        <f t="shared" si="1353"/>
        <v>0</v>
      </c>
      <c r="HS52" s="74">
        <f t="shared" si="1353"/>
        <v>94107</v>
      </c>
      <c r="HT52" s="74">
        <f t="shared" si="1353"/>
        <v>32000</v>
      </c>
      <c r="HU52" s="74">
        <f t="shared" si="1353"/>
        <v>92107.000000000029</v>
      </c>
      <c r="HV52" s="74">
        <f t="shared" si="1350"/>
        <v>0</v>
      </c>
      <c r="HW52" s="74">
        <f t="shared" si="1350"/>
        <v>91837</v>
      </c>
      <c r="HX52" s="74">
        <f t="shared" si="1350"/>
        <v>0</v>
      </c>
      <c r="HY52" s="74">
        <f t="shared" si="1350"/>
        <v>92377</v>
      </c>
      <c r="HZ52" s="74">
        <f t="shared" si="1350"/>
        <v>500</v>
      </c>
      <c r="IA52" s="74">
        <f t="shared" si="1350"/>
        <v>92107</v>
      </c>
      <c r="IB52" s="74">
        <f t="shared" si="1350"/>
        <v>0</v>
      </c>
      <c r="IC52" s="74">
        <f t="shared" si="1350"/>
        <v>0</v>
      </c>
      <c r="ID52" s="74">
        <f t="shared" si="1350"/>
        <v>0</v>
      </c>
      <c r="IE52" s="792">
        <f t="shared" si="1350"/>
        <v>0</v>
      </c>
      <c r="IF52" s="841">
        <f t="shared" si="1350"/>
        <v>685119.12</v>
      </c>
      <c r="IG52" s="263">
        <f t="shared" si="1350"/>
        <v>685119.12</v>
      </c>
      <c r="IH52" s="842">
        <f t="shared" si="1350"/>
        <v>685119.12</v>
      </c>
      <c r="II52" s="155">
        <f t="shared" si="1350"/>
        <v>180.38</v>
      </c>
      <c r="IJ52" s="74">
        <f t="shared" si="1350"/>
        <v>180.38</v>
      </c>
      <c r="IK52" s="74">
        <f t="shared" si="1350"/>
        <v>180.38</v>
      </c>
      <c r="IL52" s="74">
        <f t="shared" si="1350"/>
        <v>12584.28</v>
      </c>
      <c r="IM52" s="74">
        <f t="shared" si="1350"/>
        <v>12584.28</v>
      </c>
      <c r="IN52" s="74">
        <f t="shared" si="1350"/>
        <v>12584.28</v>
      </c>
      <c r="IO52" s="74">
        <f t="shared" si="1350"/>
        <v>10582.130000000001</v>
      </c>
      <c r="IP52" s="74">
        <f t="shared" si="1350"/>
        <v>10582.130000000001</v>
      </c>
      <c r="IQ52" s="74">
        <f t="shared" si="1350"/>
        <v>10582.130000000001</v>
      </c>
      <c r="IR52" s="74">
        <f t="shared" si="1350"/>
        <v>19357.419999999998</v>
      </c>
      <c r="IS52" s="74">
        <f t="shared" si="1350"/>
        <v>19357.419999999998</v>
      </c>
      <c r="IT52" s="74">
        <f t="shared" si="1350"/>
        <v>19357.419999999998</v>
      </c>
      <c r="IU52" s="74">
        <f t="shared" si="1350"/>
        <v>159789.80000000002</v>
      </c>
      <c r="IV52" s="74">
        <f t="shared" si="1350"/>
        <v>159789.80000000002</v>
      </c>
      <c r="IW52" s="74">
        <f t="shared" si="1350"/>
        <v>159789.80000000002</v>
      </c>
      <c r="IX52" s="74">
        <f t="shared" si="1350"/>
        <v>87482.65</v>
      </c>
      <c r="IY52" s="74">
        <f t="shared" si="1350"/>
        <v>87482.65</v>
      </c>
      <c r="IZ52" s="74">
        <f t="shared" si="1350"/>
        <v>87482.65</v>
      </c>
      <c r="JA52" s="74">
        <f t="shared" si="1350"/>
        <v>85187.019999999975</v>
      </c>
      <c r="JB52" s="74">
        <f t="shared" si="1350"/>
        <v>85187.019999999975</v>
      </c>
      <c r="JC52" s="74">
        <f t="shared" si="1350"/>
        <v>85187.019999999975</v>
      </c>
      <c r="JD52" s="74">
        <f t="shared" si="1350"/>
        <v>115480.56000000003</v>
      </c>
      <c r="JE52" s="74">
        <f t="shared" si="1350"/>
        <v>115480.56000000003</v>
      </c>
      <c r="JF52" s="74">
        <f t="shared" si="1350"/>
        <v>115480.56000000003</v>
      </c>
      <c r="JG52" s="74">
        <f t="shared" si="1350"/>
        <v>67769.880000000034</v>
      </c>
      <c r="JH52" s="74">
        <f t="shared" si="1350"/>
        <v>67769.880000000034</v>
      </c>
      <c r="JI52" s="74">
        <f t="shared" si="1350"/>
        <v>67769.880000000034</v>
      </c>
      <c r="JJ52" s="74">
        <f t="shared" si="1350"/>
        <v>126704.99999999997</v>
      </c>
      <c r="JK52" s="74">
        <f t="shared" si="1350"/>
        <v>126704.99999999997</v>
      </c>
      <c r="JL52" s="74">
        <f t="shared" si="1350"/>
        <v>126704.99999999997</v>
      </c>
      <c r="JM52" s="74">
        <f t="shared" si="1350"/>
        <v>0</v>
      </c>
      <c r="JN52" s="74">
        <f t="shared" ref="JN52:JT52" si="1354">SUM(JN53:JN59)</f>
        <v>0</v>
      </c>
      <c r="JO52" s="74">
        <f t="shared" si="1354"/>
        <v>0</v>
      </c>
      <c r="JP52" s="74">
        <f t="shared" si="1354"/>
        <v>0</v>
      </c>
      <c r="JQ52" s="74">
        <f t="shared" si="1354"/>
        <v>0</v>
      </c>
      <c r="JR52" s="74">
        <f t="shared" si="1354"/>
        <v>0</v>
      </c>
      <c r="JS52" s="74">
        <f t="shared" si="1354"/>
        <v>301473.88</v>
      </c>
      <c r="JT52" s="382">
        <f t="shared" si="1354"/>
        <v>301473.88</v>
      </c>
      <c r="JU52" s="671"/>
      <c r="JV52" s="492"/>
      <c r="JW52" s="490"/>
      <c r="JX52" s="549">
        <f>SUM(JX53:JX59)</f>
        <v>65000</v>
      </c>
      <c r="JY52" s="549">
        <f>SUM(JY53:JY59)</f>
        <v>921593</v>
      </c>
      <c r="JZ52" s="581">
        <f t="shared" si="42"/>
        <v>165715</v>
      </c>
      <c r="KA52" s="581">
        <f t="shared" si="43"/>
        <v>-101715</v>
      </c>
      <c r="KB52" s="549">
        <f>SUM(KB53:KB59)</f>
        <v>986593</v>
      </c>
      <c r="KC52" s="709">
        <f t="shared" si="41"/>
        <v>0</v>
      </c>
      <c r="KD52" s="142"/>
      <c r="KE52" s="143" t="s">
        <v>543</v>
      </c>
      <c r="KF52" s="144" t="e">
        <f t="shared" ref="KF52:KK52" si="1355">SUM(KF61,KF66,KF54,KF74)</f>
        <v>#REF!</v>
      </c>
      <c r="KG52" s="144" t="e">
        <f t="shared" si="1355"/>
        <v>#REF!</v>
      </c>
      <c r="KH52" s="144" t="e">
        <f t="shared" si="1355"/>
        <v>#REF!</v>
      </c>
      <c r="KI52" s="144" t="e">
        <f t="shared" si="1355"/>
        <v>#REF!</v>
      </c>
      <c r="KJ52" s="144" t="e">
        <f t="shared" si="1355"/>
        <v>#REF!</v>
      </c>
      <c r="KK52" s="144" t="e">
        <f t="shared" si="1355"/>
        <v>#REF!</v>
      </c>
    </row>
    <row r="53" spans="1:297" s="8" customFormat="1" ht="13.5" thickBot="1">
      <c r="A53" s="75" t="s">
        <v>86</v>
      </c>
      <c r="B53" s="72" t="s">
        <v>87</v>
      </c>
      <c r="C53" s="74">
        <f t="shared" ref="C53:BP53" si="1356">SUM(C387,C280)</f>
        <v>30000</v>
      </c>
      <c r="D53" s="549">
        <f t="shared" si="1356"/>
        <v>0</v>
      </c>
      <c r="E53" s="675">
        <f t="shared" si="1356"/>
        <v>0</v>
      </c>
      <c r="F53" s="549">
        <f t="shared" si="1356"/>
        <v>0</v>
      </c>
      <c r="G53" s="675">
        <f t="shared" si="1356"/>
        <v>0</v>
      </c>
      <c r="H53" s="549">
        <f t="shared" si="1356"/>
        <v>0</v>
      </c>
      <c r="I53" s="675">
        <f t="shared" si="1356"/>
        <v>0</v>
      </c>
      <c r="J53" s="549">
        <f t="shared" si="1356"/>
        <v>0</v>
      </c>
      <c r="K53" s="675">
        <f t="shared" si="1356"/>
        <v>0</v>
      </c>
      <c r="L53" s="549">
        <f t="shared" si="1356"/>
        <v>0</v>
      </c>
      <c r="M53" s="675">
        <f t="shared" si="1356"/>
        <v>0</v>
      </c>
      <c r="N53" s="549">
        <f t="shared" si="1356"/>
        <v>0</v>
      </c>
      <c r="O53" s="675">
        <f t="shared" si="1356"/>
        <v>0</v>
      </c>
      <c r="P53" s="549">
        <f t="shared" si="1356"/>
        <v>0</v>
      </c>
      <c r="Q53" s="675">
        <f t="shared" si="1356"/>
        <v>0</v>
      </c>
      <c r="R53" s="549">
        <f t="shared" si="1356"/>
        <v>0</v>
      </c>
      <c r="S53" s="675">
        <f t="shared" si="1356"/>
        <v>0</v>
      </c>
      <c r="T53" s="549">
        <f t="shared" si="1356"/>
        <v>0</v>
      </c>
      <c r="U53" s="675">
        <f t="shared" si="1356"/>
        <v>0</v>
      </c>
      <c r="V53" s="549">
        <f t="shared" si="1356"/>
        <v>0</v>
      </c>
      <c r="W53" s="675">
        <f t="shared" si="1356"/>
        <v>0</v>
      </c>
      <c r="X53" s="549">
        <f t="shared" si="1356"/>
        <v>0</v>
      </c>
      <c r="Y53" s="675">
        <f t="shared" si="1356"/>
        <v>0</v>
      </c>
      <c r="Z53" s="549">
        <f t="shared" si="1356"/>
        <v>0</v>
      </c>
      <c r="AA53" s="675">
        <f t="shared" si="1356"/>
        <v>0</v>
      </c>
      <c r="AB53" s="549">
        <f t="shared" si="1356"/>
        <v>0</v>
      </c>
      <c r="AC53" s="675">
        <f t="shared" si="1356"/>
        <v>0</v>
      </c>
      <c r="AD53" s="549">
        <f t="shared" si="1356"/>
        <v>0</v>
      </c>
      <c r="AE53" s="675">
        <f t="shared" si="1356"/>
        <v>0</v>
      </c>
      <c r="AF53" s="549">
        <f t="shared" si="1356"/>
        <v>0</v>
      </c>
      <c r="AG53" s="675">
        <f t="shared" si="1356"/>
        <v>0</v>
      </c>
      <c r="AH53" s="549">
        <f t="shared" si="1356"/>
        <v>0</v>
      </c>
      <c r="AI53" s="675">
        <f t="shared" si="1356"/>
        <v>0</v>
      </c>
      <c r="AJ53" s="549">
        <f t="shared" si="1356"/>
        <v>0</v>
      </c>
      <c r="AK53" s="675">
        <f t="shared" si="1356"/>
        <v>0</v>
      </c>
      <c r="AL53" s="549">
        <f t="shared" si="1356"/>
        <v>0</v>
      </c>
      <c r="AM53" s="675">
        <f t="shared" si="1356"/>
        <v>0</v>
      </c>
      <c r="AN53" s="549">
        <f t="shared" si="1356"/>
        <v>0</v>
      </c>
      <c r="AO53" s="675">
        <f t="shared" si="1356"/>
        <v>0</v>
      </c>
      <c r="AP53" s="549">
        <f t="shared" si="1356"/>
        <v>0</v>
      </c>
      <c r="AQ53" s="675">
        <f t="shared" si="1356"/>
        <v>0</v>
      </c>
      <c r="AR53" s="549">
        <f t="shared" si="1356"/>
        <v>0</v>
      </c>
      <c r="AS53" s="675">
        <f t="shared" si="1356"/>
        <v>0</v>
      </c>
      <c r="AT53" s="549">
        <f t="shared" ref="AT53:AU53" si="1357">SUM(AT387,AT280)</f>
        <v>0</v>
      </c>
      <c r="AU53" s="675">
        <f t="shared" si="1357"/>
        <v>0</v>
      </c>
      <c r="AV53" s="549">
        <f t="shared" ref="AV53:AW53" si="1358">SUM(AV387,AV280)</f>
        <v>0</v>
      </c>
      <c r="AW53" s="675">
        <f t="shared" si="1358"/>
        <v>0</v>
      </c>
      <c r="AX53" s="549">
        <f t="shared" ref="AX53:AY53" si="1359">SUM(AX387,AX280)</f>
        <v>0</v>
      </c>
      <c r="AY53" s="675">
        <f t="shared" si="1359"/>
        <v>0</v>
      </c>
      <c r="AZ53" s="549">
        <f t="shared" ref="AZ53:BA53" si="1360">SUM(AZ387,AZ280)</f>
        <v>0</v>
      </c>
      <c r="BA53" s="675">
        <f t="shared" si="1360"/>
        <v>0</v>
      </c>
      <c r="BB53" s="549">
        <f t="shared" ref="BB53:BC53" si="1361">SUM(BB387,BB280)</f>
        <v>0</v>
      </c>
      <c r="BC53" s="675">
        <f t="shared" si="1361"/>
        <v>0</v>
      </c>
      <c r="BD53" s="549">
        <f t="shared" ref="BD53:BE53" si="1362">SUM(BD387,BD280)</f>
        <v>0</v>
      </c>
      <c r="BE53" s="675">
        <f t="shared" si="1362"/>
        <v>0</v>
      </c>
      <c r="BF53" s="549">
        <f t="shared" ref="BF53:BG53" si="1363">SUM(BF387,BF280)</f>
        <v>0</v>
      </c>
      <c r="BG53" s="675">
        <f t="shared" si="1363"/>
        <v>0</v>
      </c>
      <c r="BH53" s="549">
        <f t="shared" ref="BH53:BI53" si="1364">SUM(BH387,BH280)</f>
        <v>0</v>
      </c>
      <c r="BI53" s="675">
        <f t="shared" si="1364"/>
        <v>0</v>
      </c>
      <c r="BJ53" s="549">
        <f t="shared" ref="BJ53:BK53" si="1365">SUM(BJ387,BJ280)</f>
        <v>0</v>
      </c>
      <c r="BK53" s="675">
        <f t="shared" si="1365"/>
        <v>0</v>
      </c>
      <c r="BL53" s="549">
        <f t="shared" si="1356"/>
        <v>0</v>
      </c>
      <c r="BM53" s="675">
        <f t="shared" si="1356"/>
        <v>0</v>
      </c>
      <c r="BN53" s="549">
        <f t="shared" si="1356"/>
        <v>0</v>
      </c>
      <c r="BO53" s="675">
        <f t="shared" si="1356"/>
        <v>0</v>
      </c>
      <c r="BP53" s="549">
        <f t="shared" si="1356"/>
        <v>0</v>
      </c>
      <c r="BQ53" s="675">
        <f t="shared" ref="BQ53" si="1366">SUM(BQ387,BQ280)</f>
        <v>0</v>
      </c>
      <c r="BR53" s="549">
        <f t="shared" ref="BR53:BS53" si="1367">SUM(BR387,BR280)</f>
        <v>0</v>
      </c>
      <c r="BS53" s="675">
        <f t="shared" si="1367"/>
        <v>0</v>
      </c>
      <c r="BT53" s="549">
        <f t="shared" ref="BT53:BU53" si="1368">SUM(BT387,BT280)</f>
        <v>0</v>
      </c>
      <c r="BU53" s="675">
        <f t="shared" si="1368"/>
        <v>0</v>
      </c>
      <c r="BV53" s="549">
        <f t="shared" ref="BV53:BW53" si="1369">SUM(BV387,BV280)</f>
        <v>0</v>
      </c>
      <c r="BW53" s="675">
        <f t="shared" si="1369"/>
        <v>0</v>
      </c>
      <c r="BX53" s="549">
        <f t="shared" ref="BX53:BY53" si="1370">SUM(BX387,BX280)</f>
        <v>0</v>
      </c>
      <c r="BY53" s="675">
        <f t="shared" si="1370"/>
        <v>0</v>
      </c>
      <c r="BZ53" s="549">
        <f t="shared" ref="BZ53:CA53" si="1371">SUM(BZ387,BZ280)</f>
        <v>0</v>
      </c>
      <c r="CA53" s="675">
        <f t="shared" si="1371"/>
        <v>0</v>
      </c>
      <c r="CB53" s="549">
        <f t="shared" ref="CB53:EC53" si="1372">SUM(CB387,CB280)</f>
        <v>0</v>
      </c>
      <c r="CC53" s="675">
        <f t="shared" si="1372"/>
        <v>0</v>
      </c>
      <c r="CD53" s="549">
        <f t="shared" si="1372"/>
        <v>0</v>
      </c>
      <c r="CE53" s="675">
        <f t="shared" si="1372"/>
        <v>0</v>
      </c>
      <c r="CF53" s="549">
        <f t="shared" si="1372"/>
        <v>0</v>
      </c>
      <c r="CG53" s="675">
        <f t="shared" si="1372"/>
        <v>0</v>
      </c>
      <c r="CH53" s="549">
        <f t="shared" si="1372"/>
        <v>0</v>
      </c>
      <c r="CI53" s="675">
        <f t="shared" si="1372"/>
        <v>0</v>
      </c>
      <c r="CJ53" s="549">
        <f t="shared" si="1372"/>
        <v>0</v>
      </c>
      <c r="CK53" s="675">
        <f t="shared" si="1372"/>
        <v>0</v>
      </c>
      <c r="CL53" s="549">
        <f t="shared" si="1372"/>
        <v>0</v>
      </c>
      <c r="CM53" s="675">
        <f t="shared" si="1372"/>
        <v>0</v>
      </c>
      <c r="CN53" s="549">
        <f t="shared" si="1372"/>
        <v>0</v>
      </c>
      <c r="CO53" s="675">
        <f t="shared" si="1372"/>
        <v>0</v>
      </c>
      <c r="CP53" s="549">
        <f t="shared" si="1372"/>
        <v>0</v>
      </c>
      <c r="CQ53" s="675">
        <f t="shared" si="1372"/>
        <v>0</v>
      </c>
      <c r="CR53" s="549">
        <f t="shared" si="1372"/>
        <v>0</v>
      </c>
      <c r="CS53" s="675">
        <f t="shared" si="1372"/>
        <v>0</v>
      </c>
      <c r="CT53" s="549">
        <f t="shared" si="1372"/>
        <v>0</v>
      </c>
      <c r="CU53" s="675">
        <f t="shared" si="1372"/>
        <v>0</v>
      </c>
      <c r="CV53" s="549">
        <f t="shared" si="1372"/>
        <v>0</v>
      </c>
      <c r="CW53" s="675">
        <f t="shared" si="1372"/>
        <v>0</v>
      </c>
      <c r="CX53" s="549">
        <f t="shared" si="1372"/>
        <v>0</v>
      </c>
      <c r="CY53" s="675">
        <f t="shared" si="1372"/>
        <v>0</v>
      </c>
      <c r="CZ53" s="549">
        <f t="shared" si="1372"/>
        <v>0</v>
      </c>
      <c r="DA53" s="675">
        <f t="shared" si="1372"/>
        <v>0</v>
      </c>
      <c r="DB53" s="549">
        <f t="shared" si="1372"/>
        <v>0</v>
      </c>
      <c r="DC53" s="675">
        <f t="shared" si="1372"/>
        <v>0</v>
      </c>
      <c r="DD53" s="549">
        <f t="shared" si="1372"/>
        <v>0</v>
      </c>
      <c r="DE53" s="675">
        <f t="shared" si="1372"/>
        <v>0</v>
      </c>
      <c r="DF53" s="549">
        <f t="shared" si="1372"/>
        <v>0</v>
      </c>
      <c r="DG53" s="675">
        <f t="shared" si="1372"/>
        <v>0</v>
      </c>
      <c r="DH53" s="549">
        <f t="shared" si="1372"/>
        <v>0</v>
      </c>
      <c r="DI53" s="675">
        <f t="shared" si="1372"/>
        <v>0</v>
      </c>
      <c r="DJ53" s="549">
        <f t="shared" si="1372"/>
        <v>0</v>
      </c>
      <c r="DK53" s="675">
        <f t="shared" si="1372"/>
        <v>0</v>
      </c>
      <c r="DL53" s="549">
        <f t="shared" si="1372"/>
        <v>0</v>
      </c>
      <c r="DM53" s="675">
        <f t="shared" si="1372"/>
        <v>0</v>
      </c>
      <c r="DN53" s="549">
        <f t="shared" si="1372"/>
        <v>0</v>
      </c>
      <c r="DO53" s="675">
        <f t="shared" si="1372"/>
        <v>0</v>
      </c>
      <c r="DP53" s="549">
        <f t="shared" si="1372"/>
        <v>0</v>
      </c>
      <c r="DQ53" s="675">
        <f t="shared" si="1372"/>
        <v>0</v>
      </c>
      <c r="DR53" s="549">
        <f t="shared" si="1372"/>
        <v>0</v>
      </c>
      <c r="DS53" s="675">
        <f t="shared" si="1372"/>
        <v>0</v>
      </c>
      <c r="DT53" s="549">
        <f t="shared" si="1372"/>
        <v>0</v>
      </c>
      <c r="DU53" s="675">
        <f t="shared" si="1372"/>
        <v>0</v>
      </c>
      <c r="DV53" s="549">
        <f t="shared" si="1372"/>
        <v>0</v>
      </c>
      <c r="DW53" s="675">
        <f t="shared" si="1372"/>
        <v>0</v>
      </c>
      <c r="DX53" s="549">
        <f t="shared" si="1372"/>
        <v>0</v>
      </c>
      <c r="DY53" s="675">
        <f t="shared" si="1372"/>
        <v>0</v>
      </c>
      <c r="DZ53" s="549">
        <f t="shared" si="1372"/>
        <v>0</v>
      </c>
      <c r="EA53" s="675">
        <f t="shared" si="1372"/>
        <v>0</v>
      </c>
      <c r="EB53" s="549">
        <f t="shared" si="1372"/>
        <v>0</v>
      </c>
      <c r="EC53" s="675">
        <f t="shared" si="1372"/>
        <v>0</v>
      </c>
      <c r="ED53" s="549">
        <f t="shared" ref="ED53:EE53" si="1373">SUM(ED387,ED280)</f>
        <v>0</v>
      </c>
      <c r="EE53" s="675">
        <f t="shared" si="1373"/>
        <v>0</v>
      </c>
      <c r="EF53" s="549">
        <f t="shared" ref="EF53:HV53" si="1374">SUM(EF387,EF280)</f>
        <v>0</v>
      </c>
      <c r="EG53" s="675">
        <f t="shared" si="1374"/>
        <v>0</v>
      </c>
      <c r="EH53" s="549">
        <f t="shared" si="1374"/>
        <v>0</v>
      </c>
      <c r="EI53" s="675">
        <f t="shared" si="1374"/>
        <v>0</v>
      </c>
      <c r="EJ53" s="549">
        <f t="shared" si="1374"/>
        <v>0</v>
      </c>
      <c r="EK53" s="675">
        <f t="shared" si="1374"/>
        <v>0</v>
      </c>
      <c r="EL53" s="549">
        <f t="shared" si="1374"/>
        <v>0</v>
      </c>
      <c r="EM53" s="675">
        <f t="shared" si="1374"/>
        <v>0</v>
      </c>
      <c r="EN53" s="549">
        <f t="shared" si="1374"/>
        <v>0</v>
      </c>
      <c r="EO53" s="675">
        <f t="shared" si="1374"/>
        <v>0</v>
      </c>
      <c r="EP53" s="549">
        <f t="shared" si="1374"/>
        <v>0</v>
      </c>
      <c r="EQ53" s="675">
        <f t="shared" si="1374"/>
        <v>0</v>
      </c>
      <c r="ER53" s="549">
        <f t="shared" si="1374"/>
        <v>0</v>
      </c>
      <c r="ES53" s="675">
        <f t="shared" si="1374"/>
        <v>0</v>
      </c>
      <c r="ET53" s="549">
        <f t="shared" si="1374"/>
        <v>0</v>
      </c>
      <c r="EU53" s="675">
        <f t="shared" si="1374"/>
        <v>0</v>
      </c>
      <c r="EV53" s="549">
        <f t="shared" si="1374"/>
        <v>0</v>
      </c>
      <c r="EW53" s="675">
        <f t="shared" si="1374"/>
        <v>0</v>
      </c>
      <c r="EX53" s="549">
        <f t="shared" si="1374"/>
        <v>0</v>
      </c>
      <c r="EY53" s="675">
        <f t="shared" si="1374"/>
        <v>0</v>
      </c>
      <c r="EZ53" s="549">
        <f t="shared" si="1374"/>
        <v>0</v>
      </c>
      <c r="FA53" s="675">
        <f t="shared" si="1374"/>
        <v>0</v>
      </c>
      <c r="FB53" s="549">
        <f t="shared" si="1374"/>
        <v>0</v>
      </c>
      <c r="FC53" s="675">
        <f t="shared" si="1374"/>
        <v>0</v>
      </c>
      <c r="FD53" s="549">
        <f t="shared" si="1374"/>
        <v>0</v>
      </c>
      <c r="FE53" s="675">
        <f t="shared" si="1374"/>
        <v>0</v>
      </c>
      <c r="FF53" s="549">
        <f t="shared" si="1374"/>
        <v>0</v>
      </c>
      <c r="FG53" s="675">
        <f t="shared" si="1374"/>
        <v>0</v>
      </c>
      <c r="FH53" s="549">
        <f t="shared" si="1374"/>
        <v>0</v>
      </c>
      <c r="FI53" s="675">
        <f t="shared" si="1374"/>
        <v>0</v>
      </c>
      <c r="FJ53" s="549">
        <f t="shared" si="1374"/>
        <v>0</v>
      </c>
      <c r="FK53" s="675">
        <f t="shared" si="1374"/>
        <v>0</v>
      </c>
      <c r="FL53" s="549">
        <f t="shared" ref="FL53:FM53" si="1375">SUM(FL387,FL280)</f>
        <v>0</v>
      </c>
      <c r="FM53" s="675">
        <f t="shared" si="1375"/>
        <v>0</v>
      </c>
      <c r="FN53" s="549">
        <f t="shared" ref="FN53:FO53" si="1376">SUM(FN387,FN280)</f>
        <v>0</v>
      </c>
      <c r="FO53" s="675">
        <f t="shared" si="1376"/>
        <v>0</v>
      </c>
      <c r="FP53" s="549">
        <f t="shared" ref="FP53:FQ53" si="1377">SUM(FP387,FP280)</f>
        <v>0</v>
      </c>
      <c r="FQ53" s="675">
        <f t="shared" si="1377"/>
        <v>0</v>
      </c>
      <c r="FR53" s="549">
        <f t="shared" ref="FR53:FS53" si="1378">SUM(FR387,FR280)</f>
        <v>0</v>
      </c>
      <c r="FS53" s="675">
        <f t="shared" si="1378"/>
        <v>0</v>
      </c>
      <c r="FT53" s="549">
        <f t="shared" ref="FT53:FU53" si="1379">SUM(FT387,FT280)</f>
        <v>0</v>
      </c>
      <c r="FU53" s="675">
        <f t="shared" si="1379"/>
        <v>0</v>
      </c>
      <c r="FV53" s="549">
        <f t="shared" ref="FV53:GK53" si="1380">SUM(FV387,FV280)</f>
        <v>0</v>
      </c>
      <c r="FW53" s="675">
        <f t="shared" si="1380"/>
        <v>0</v>
      </c>
      <c r="FX53" s="549">
        <f t="shared" si="1380"/>
        <v>0</v>
      </c>
      <c r="FY53" s="675">
        <f t="shared" si="1380"/>
        <v>0</v>
      </c>
      <c r="FZ53" s="549">
        <f t="shared" ref="FZ53:GI53" si="1381">SUM(FZ387,FZ280)</f>
        <v>0</v>
      </c>
      <c r="GA53" s="675">
        <f t="shared" si="1381"/>
        <v>0</v>
      </c>
      <c r="GB53" s="549">
        <f t="shared" si="1381"/>
        <v>0</v>
      </c>
      <c r="GC53" s="675">
        <f t="shared" si="1381"/>
        <v>0</v>
      </c>
      <c r="GD53" s="549">
        <f t="shared" si="1381"/>
        <v>0</v>
      </c>
      <c r="GE53" s="675">
        <f t="shared" si="1381"/>
        <v>0</v>
      </c>
      <c r="GF53" s="549">
        <f t="shared" si="1381"/>
        <v>0</v>
      </c>
      <c r="GG53" s="675">
        <f t="shared" si="1381"/>
        <v>0</v>
      </c>
      <c r="GH53" s="549">
        <f t="shared" si="1381"/>
        <v>0</v>
      </c>
      <c r="GI53" s="675">
        <f t="shared" si="1381"/>
        <v>0</v>
      </c>
      <c r="GJ53" s="549">
        <f t="shared" si="1380"/>
        <v>0</v>
      </c>
      <c r="GK53" s="675">
        <f t="shared" si="1380"/>
        <v>0</v>
      </c>
      <c r="GL53" s="549">
        <f t="shared" ref="GL53:GM53" si="1382">SUM(GL387,GL280)</f>
        <v>0</v>
      </c>
      <c r="GM53" s="675">
        <f t="shared" si="1382"/>
        <v>0</v>
      </c>
      <c r="GN53" s="549">
        <f t="shared" ref="GN53:GO53" si="1383">SUM(GN387,GN280)</f>
        <v>0</v>
      </c>
      <c r="GO53" s="675">
        <f t="shared" si="1383"/>
        <v>0</v>
      </c>
      <c r="GP53" s="74">
        <f t="shared" si="1374"/>
        <v>0</v>
      </c>
      <c r="GQ53" s="675">
        <f t="shared" si="1374"/>
        <v>0</v>
      </c>
      <c r="GR53" s="74">
        <f t="shared" si="1374"/>
        <v>30000</v>
      </c>
      <c r="GS53" s="74">
        <f t="shared" si="1374"/>
        <v>27273</v>
      </c>
      <c r="GT53" s="549">
        <f t="shared" si="1374"/>
        <v>30000</v>
      </c>
      <c r="GU53" s="74">
        <f>SUM(GU387,GU280)</f>
        <v>2730</v>
      </c>
      <c r="GV53" s="74">
        <f t="shared" si="1374"/>
        <v>2727</v>
      </c>
      <c r="GW53" s="549">
        <f t="shared" si="1374"/>
        <v>2727</v>
      </c>
      <c r="GX53" s="549">
        <f t="shared" si="1374"/>
        <v>2727</v>
      </c>
      <c r="GY53" s="74">
        <f t="shared" si="1374"/>
        <v>2727</v>
      </c>
      <c r="GZ53" s="74">
        <f t="shared" si="1374"/>
        <v>2727</v>
      </c>
      <c r="HA53" s="74">
        <f t="shared" si="1374"/>
        <v>2727</v>
      </c>
      <c r="HB53" s="74">
        <f t="shared" si="1374"/>
        <v>2727</v>
      </c>
      <c r="HC53" s="74">
        <f t="shared" si="1374"/>
        <v>2727</v>
      </c>
      <c r="HD53" s="74">
        <f t="shared" si="1374"/>
        <v>2727</v>
      </c>
      <c r="HE53" s="74">
        <f t="shared" si="1374"/>
        <v>2727</v>
      </c>
      <c r="HF53" s="74">
        <f t="shared" si="1374"/>
        <v>0</v>
      </c>
      <c r="HG53" s="74">
        <f t="shared" si="1374"/>
        <v>27273</v>
      </c>
      <c r="HH53" s="74">
        <f t="shared" si="1374"/>
        <v>0</v>
      </c>
      <c r="HI53" s="74">
        <f t="shared" si="1374"/>
        <v>0</v>
      </c>
      <c r="HJ53" s="74">
        <f t="shared" si="1374"/>
        <v>0</v>
      </c>
      <c r="HK53" s="74">
        <f t="shared" si="1374"/>
        <v>5457</v>
      </c>
      <c r="HL53" s="74">
        <f t="shared" si="1374"/>
        <v>0</v>
      </c>
      <c r="HM53" s="74">
        <f t="shared" si="1374"/>
        <v>2727</v>
      </c>
      <c r="HN53" s="74">
        <f t="shared" si="1374"/>
        <v>0</v>
      </c>
      <c r="HO53" s="74">
        <f t="shared" si="1374"/>
        <v>2727.0000000000005</v>
      </c>
      <c r="HP53" s="74">
        <f t="shared" si="1374"/>
        <v>0</v>
      </c>
      <c r="HQ53" s="74">
        <f t="shared" si="1374"/>
        <v>727</v>
      </c>
      <c r="HR53" s="74">
        <f t="shared" si="1374"/>
        <v>0</v>
      </c>
      <c r="HS53" s="74">
        <f t="shared" si="1374"/>
        <v>4727</v>
      </c>
      <c r="HT53" s="74">
        <f t="shared" si="1374"/>
        <v>0</v>
      </c>
      <c r="HU53" s="74">
        <f t="shared" si="1374"/>
        <v>2727</v>
      </c>
      <c r="HV53" s="74">
        <f t="shared" si="1374"/>
        <v>0</v>
      </c>
      <c r="HW53" s="74">
        <f t="shared" ref="HW53:JT53" si="1384">SUM(HW387,HW280)</f>
        <v>2457</v>
      </c>
      <c r="HX53" s="74">
        <f t="shared" si="1384"/>
        <v>0</v>
      </c>
      <c r="HY53" s="74">
        <f t="shared" si="1384"/>
        <v>2997</v>
      </c>
      <c r="HZ53" s="74">
        <f t="shared" si="1384"/>
        <v>0</v>
      </c>
      <c r="IA53" s="74">
        <f t="shared" si="1384"/>
        <v>2727.0000000000009</v>
      </c>
      <c r="IB53" s="74">
        <f t="shared" si="1384"/>
        <v>0</v>
      </c>
      <c r="IC53" s="74">
        <f t="shared" si="1384"/>
        <v>0</v>
      </c>
      <c r="ID53" s="74">
        <f t="shared" si="1384"/>
        <v>0</v>
      </c>
      <c r="IE53" s="792">
        <f t="shared" si="1384"/>
        <v>0</v>
      </c>
      <c r="IF53" s="841">
        <f t="shared" si="1384"/>
        <v>18429.97</v>
      </c>
      <c r="IG53" s="263">
        <f t="shared" si="1384"/>
        <v>18429.97</v>
      </c>
      <c r="IH53" s="842">
        <f t="shared" si="1384"/>
        <v>18429.97</v>
      </c>
      <c r="II53" s="155">
        <f t="shared" si="1384"/>
        <v>0</v>
      </c>
      <c r="IJ53" s="74">
        <f t="shared" si="1384"/>
        <v>0</v>
      </c>
      <c r="IK53" s="74">
        <f t="shared" si="1384"/>
        <v>0</v>
      </c>
      <c r="IL53" s="74">
        <f t="shared" si="1384"/>
        <v>3415.25</v>
      </c>
      <c r="IM53" s="74">
        <f t="shared" si="1384"/>
        <v>3415.25</v>
      </c>
      <c r="IN53" s="74">
        <f t="shared" si="1384"/>
        <v>3415.25</v>
      </c>
      <c r="IO53" s="74">
        <f t="shared" si="1384"/>
        <v>1940.6800000000003</v>
      </c>
      <c r="IP53" s="74">
        <f t="shared" si="1384"/>
        <v>1940.6800000000003</v>
      </c>
      <c r="IQ53" s="74">
        <f t="shared" si="1384"/>
        <v>1940.6800000000003</v>
      </c>
      <c r="IR53" s="74">
        <f t="shared" si="1384"/>
        <v>456.46999999999935</v>
      </c>
      <c r="IS53" s="74">
        <f t="shared" si="1384"/>
        <v>456.46999999999935</v>
      </c>
      <c r="IT53" s="74">
        <f t="shared" si="1384"/>
        <v>456.46999999999935</v>
      </c>
      <c r="IU53" s="74">
        <f t="shared" si="1384"/>
        <v>1982.96</v>
      </c>
      <c r="IV53" s="74">
        <f t="shared" si="1384"/>
        <v>1982.96</v>
      </c>
      <c r="IW53" s="74">
        <f t="shared" si="1384"/>
        <v>1982.96</v>
      </c>
      <c r="IX53" s="74">
        <f t="shared" si="1384"/>
        <v>2086.9499999999998</v>
      </c>
      <c r="IY53" s="74">
        <f t="shared" si="1384"/>
        <v>2086.9499999999998</v>
      </c>
      <c r="IZ53" s="74">
        <f t="shared" si="1384"/>
        <v>2086.9499999999998</v>
      </c>
      <c r="JA53" s="74">
        <f t="shared" si="1384"/>
        <v>2074.4800000000014</v>
      </c>
      <c r="JB53" s="74">
        <f t="shared" si="1384"/>
        <v>2074.4800000000014</v>
      </c>
      <c r="JC53" s="74">
        <f t="shared" si="1384"/>
        <v>2074.4800000000014</v>
      </c>
      <c r="JD53" s="74">
        <f t="shared" si="1384"/>
        <v>2222.2999999999993</v>
      </c>
      <c r="JE53" s="74">
        <f t="shared" si="1384"/>
        <v>2222.2999999999993</v>
      </c>
      <c r="JF53" s="74">
        <f t="shared" si="1384"/>
        <v>2222.2999999999993</v>
      </c>
      <c r="JG53" s="74">
        <f t="shared" si="1384"/>
        <v>2222.2999999999993</v>
      </c>
      <c r="JH53" s="74">
        <f t="shared" si="1384"/>
        <v>2222.2999999999993</v>
      </c>
      <c r="JI53" s="74">
        <f t="shared" si="1384"/>
        <v>2222.2999999999993</v>
      </c>
      <c r="JJ53" s="74">
        <f t="shared" si="1384"/>
        <v>2028.5800000000017</v>
      </c>
      <c r="JK53" s="74">
        <f t="shared" si="1384"/>
        <v>2028.5800000000017</v>
      </c>
      <c r="JL53" s="74">
        <f t="shared" si="1384"/>
        <v>2028.5800000000017</v>
      </c>
      <c r="JM53" s="74">
        <f t="shared" si="1384"/>
        <v>0</v>
      </c>
      <c r="JN53" s="74">
        <f t="shared" si="1384"/>
        <v>0</v>
      </c>
      <c r="JO53" s="74">
        <f t="shared" si="1384"/>
        <v>0</v>
      </c>
      <c r="JP53" s="74">
        <f t="shared" si="1384"/>
        <v>0</v>
      </c>
      <c r="JQ53" s="74">
        <f t="shared" si="1384"/>
        <v>0</v>
      </c>
      <c r="JR53" s="74">
        <f t="shared" si="1384"/>
        <v>0</v>
      </c>
      <c r="JS53" s="74">
        <f t="shared" si="1384"/>
        <v>8843.0299999999988</v>
      </c>
      <c r="JT53" s="382">
        <f t="shared" si="1384"/>
        <v>8843.0299999999988</v>
      </c>
      <c r="JU53" s="671"/>
      <c r="JV53" s="492"/>
      <c r="JW53" s="490"/>
      <c r="JX53" s="549">
        <f>SUM(JX387,JX280)</f>
        <v>0</v>
      </c>
      <c r="JY53" s="549">
        <f>SUM(JY387,JY280)</f>
        <v>27273</v>
      </c>
      <c r="JZ53" s="581">
        <f t="shared" si="42"/>
        <v>0</v>
      </c>
      <c r="KA53" s="581">
        <f t="shared" si="43"/>
        <v>0</v>
      </c>
      <c r="KB53" s="549">
        <f>SUM(KB387,KB280)</f>
        <v>27273</v>
      </c>
      <c r="KC53" s="709">
        <f t="shared" si="41"/>
        <v>0</v>
      </c>
      <c r="KD53" s="134"/>
      <c r="KE53" s="145"/>
      <c r="KF53" s="128"/>
      <c r="KG53" s="128"/>
      <c r="KH53" s="128"/>
      <c r="KI53" s="128"/>
      <c r="KJ53" s="128"/>
      <c r="KK53" s="128"/>
    </row>
    <row r="54" spans="1:297" s="8" customFormat="1" ht="13.5" thickBot="1">
      <c r="A54" s="75" t="s">
        <v>499</v>
      </c>
      <c r="B54" s="72" t="s">
        <v>88</v>
      </c>
      <c r="C54" s="74">
        <f t="shared" ref="C54:BP54" si="1385">SUM(C388,C281)</f>
        <v>18200</v>
      </c>
      <c r="D54" s="549">
        <f t="shared" si="1385"/>
        <v>0</v>
      </c>
      <c r="E54" s="675">
        <f t="shared" si="1385"/>
        <v>0</v>
      </c>
      <c r="F54" s="549">
        <f t="shared" si="1385"/>
        <v>0</v>
      </c>
      <c r="G54" s="675">
        <f t="shared" si="1385"/>
        <v>0</v>
      </c>
      <c r="H54" s="549">
        <f t="shared" si="1385"/>
        <v>0</v>
      </c>
      <c r="I54" s="675">
        <f t="shared" si="1385"/>
        <v>0</v>
      </c>
      <c r="J54" s="549">
        <f t="shared" si="1385"/>
        <v>0</v>
      </c>
      <c r="K54" s="675">
        <f t="shared" si="1385"/>
        <v>0</v>
      </c>
      <c r="L54" s="549">
        <f t="shared" si="1385"/>
        <v>0</v>
      </c>
      <c r="M54" s="675">
        <f t="shared" si="1385"/>
        <v>0</v>
      </c>
      <c r="N54" s="549">
        <f t="shared" si="1385"/>
        <v>0</v>
      </c>
      <c r="O54" s="675">
        <f t="shared" si="1385"/>
        <v>0</v>
      </c>
      <c r="P54" s="549">
        <f t="shared" si="1385"/>
        <v>0</v>
      </c>
      <c r="Q54" s="675">
        <f t="shared" si="1385"/>
        <v>0</v>
      </c>
      <c r="R54" s="549">
        <f t="shared" si="1385"/>
        <v>0</v>
      </c>
      <c r="S54" s="675">
        <f t="shared" si="1385"/>
        <v>0</v>
      </c>
      <c r="T54" s="549">
        <f t="shared" si="1385"/>
        <v>0</v>
      </c>
      <c r="U54" s="675">
        <f t="shared" si="1385"/>
        <v>0</v>
      </c>
      <c r="V54" s="549">
        <f t="shared" si="1385"/>
        <v>0</v>
      </c>
      <c r="W54" s="675">
        <f t="shared" si="1385"/>
        <v>0</v>
      </c>
      <c r="X54" s="549">
        <f t="shared" si="1385"/>
        <v>0</v>
      </c>
      <c r="Y54" s="675">
        <f t="shared" si="1385"/>
        <v>0</v>
      </c>
      <c r="Z54" s="549">
        <f t="shared" si="1385"/>
        <v>0</v>
      </c>
      <c r="AA54" s="675">
        <f t="shared" si="1385"/>
        <v>0</v>
      </c>
      <c r="AB54" s="549">
        <f t="shared" si="1385"/>
        <v>0</v>
      </c>
      <c r="AC54" s="675">
        <f t="shared" si="1385"/>
        <v>0</v>
      </c>
      <c r="AD54" s="549">
        <f t="shared" si="1385"/>
        <v>0</v>
      </c>
      <c r="AE54" s="675">
        <f t="shared" si="1385"/>
        <v>0</v>
      </c>
      <c r="AF54" s="549">
        <f t="shared" si="1385"/>
        <v>0</v>
      </c>
      <c r="AG54" s="675">
        <f t="shared" si="1385"/>
        <v>0</v>
      </c>
      <c r="AH54" s="549">
        <f t="shared" si="1385"/>
        <v>0</v>
      </c>
      <c r="AI54" s="675">
        <f t="shared" si="1385"/>
        <v>0</v>
      </c>
      <c r="AJ54" s="549">
        <f t="shared" si="1385"/>
        <v>0</v>
      </c>
      <c r="AK54" s="675">
        <f t="shared" si="1385"/>
        <v>0</v>
      </c>
      <c r="AL54" s="549">
        <f t="shared" si="1385"/>
        <v>0</v>
      </c>
      <c r="AM54" s="675">
        <f t="shared" si="1385"/>
        <v>0</v>
      </c>
      <c r="AN54" s="549">
        <f t="shared" si="1385"/>
        <v>0</v>
      </c>
      <c r="AO54" s="675">
        <f t="shared" si="1385"/>
        <v>0</v>
      </c>
      <c r="AP54" s="549">
        <f t="shared" si="1385"/>
        <v>0</v>
      </c>
      <c r="AQ54" s="675">
        <f t="shared" si="1385"/>
        <v>0</v>
      </c>
      <c r="AR54" s="549">
        <f t="shared" si="1385"/>
        <v>0</v>
      </c>
      <c r="AS54" s="675">
        <f t="shared" si="1385"/>
        <v>0</v>
      </c>
      <c r="AT54" s="549">
        <f t="shared" ref="AT54:AU54" si="1386">SUM(AT388,AT281)</f>
        <v>0</v>
      </c>
      <c r="AU54" s="675">
        <f t="shared" si="1386"/>
        <v>0</v>
      </c>
      <c r="AV54" s="549">
        <f t="shared" ref="AV54:AW54" si="1387">SUM(AV388,AV281)</f>
        <v>0</v>
      </c>
      <c r="AW54" s="675">
        <f t="shared" si="1387"/>
        <v>0</v>
      </c>
      <c r="AX54" s="549">
        <f t="shared" ref="AX54:AY54" si="1388">SUM(AX388,AX281)</f>
        <v>0</v>
      </c>
      <c r="AY54" s="675">
        <f t="shared" si="1388"/>
        <v>0</v>
      </c>
      <c r="AZ54" s="549">
        <f t="shared" ref="AZ54:BA54" si="1389">SUM(AZ388,AZ281)</f>
        <v>0</v>
      </c>
      <c r="BA54" s="675">
        <f t="shared" si="1389"/>
        <v>0</v>
      </c>
      <c r="BB54" s="549">
        <f t="shared" ref="BB54:BC54" si="1390">SUM(BB388,BB281)</f>
        <v>0</v>
      </c>
      <c r="BC54" s="675">
        <f t="shared" si="1390"/>
        <v>0</v>
      </c>
      <c r="BD54" s="549">
        <f t="shared" ref="BD54:BE54" si="1391">SUM(BD388,BD281)</f>
        <v>0</v>
      </c>
      <c r="BE54" s="675">
        <f t="shared" si="1391"/>
        <v>0</v>
      </c>
      <c r="BF54" s="549">
        <f t="shared" ref="BF54:BG54" si="1392">SUM(BF388,BF281)</f>
        <v>0</v>
      </c>
      <c r="BG54" s="675">
        <f t="shared" si="1392"/>
        <v>0</v>
      </c>
      <c r="BH54" s="549">
        <f t="shared" ref="BH54:BI54" si="1393">SUM(BH388,BH281)</f>
        <v>0</v>
      </c>
      <c r="BI54" s="675">
        <f t="shared" si="1393"/>
        <v>0</v>
      </c>
      <c r="BJ54" s="549">
        <f t="shared" ref="BJ54:BK54" si="1394">SUM(BJ388,BJ281)</f>
        <v>0</v>
      </c>
      <c r="BK54" s="675">
        <f t="shared" si="1394"/>
        <v>0</v>
      </c>
      <c r="BL54" s="549">
        <f t="shared" si="1385"/>
        <v>0</v>
      </c>
      <c r="BM54" s="675">
        <f t="shared" si="1385"/>
        <v>0</v>
      </c>
      <c r="BN54" s="549">
        <f t="shared" si="1385"/>
        <v>0</v>
      </c>
      <c r="BO54" s="675">
        <f t="shared" si="1385"/>
        <v>0</v>
      </c>
      <c r="BP54" s="549">
        <f t="shared" si="1385"/>
        <v>0</v>
      </c>
      <c r="BQ54" s="675">
        <f t="shared" ref="BQ54" si="1395">SUM(BQ388,BQ281)</f>
        <v>0</v>
      </c>
      <c r="BR54" s="549">
        <f t="shared" ref="BR54:BS54" si="1396">SUM(BR388,BR281)</f>
        <v>0</v>
      </c>
      <c r="BS54" s="675">
        <f t="shared" si="1396"/>
        <v>0</v>
      </c>
      <c r="BT54" s="549">
        <f t="shared" ref="BT54:BU54" si="1397">SUM(BT388,BT281)</f>
        <v>0</v>
      </c>
      <c r="BU54" s="675">
        <f t="shared" si="1397"/>
        <v>0</v>
      </c>
      <c r="BV54" s="549">
        <f t="shared" ref="BV54:BW54" si="1398">SUM(BV388,BV281)</f>
        <v>0</v>
      </c>
      <c r="BW54" s="675">
        <f t="shared" si="1398"/>
        <v>0</v>
      </c>
      <c r="BX54" s="549">
        <f t="shared" ref="BX54:BY54" si="1399">SUM(BX388,BX281)</f>
        <v>0</v>
      </c>
      <c r="BY54" s="675">
        <f t="shared" si="1399"/>
        <v>0</v>
      </c>
      <c r="BZ54" s="549">
        <f t="shared" ref="BZ54:CA54" si="1400">SUM(BZ388,BZ281)</f>
        <v>0</v>
      </c>
      <c r="CA54" s="675">
        <f t="shared" si="1400"/>
        <v>0</v>
      </c>
      <c r="CB54" s="549">
        <f t="shared" ref="CB54:EC54" si="1401">SUM(CB388,CB281)</f>
        <v>0</v>
      </c>
      <c r="CC54" s="675">
        <f t="shared" si="1401"/>
        <v>0</v>
      </c>
      <c r="CD54" s="549">
        <f t="shared" si="1401"/>
        <v>0</v>
      </c>
      <c r="CE54" s="675">
        <f t="shared" si="1401"/>
        <v>0</v>
      </c>
      <c r="CF54" s="549">
        <f t="shared" si="1401"/>
        <v>0</v>
      </c>
      <c r="CG54" s="675">
        <f t="shared" si="1401"/>
        <v>0</v>
      </c>
      <c r="CH54" s="549">
        <f t="shared" si="1401"/>
        <v>0</v>
      </c>
      <c r="CI54" s="675">
        <f t="shared" si="1401"/>
        <v>0</v>
      </c>
      <c r="CJ54" s="549">
        <f t="shared" si="1401"/>
        <v>0</v>
      </c>
      <c r="CK54" s="675">
        <f t="shared" si="1401"/>
        <v>0</v>
      </c>
      <c r="CL54" s="549">
        <f t="shared" si="1401"/>
        <v>0</v>
      </c>
      <c r="CM54" s="675">
        <f t="shared" si="1401"/>
        <v>0</v>
      </c>
      <c r="CN54" s="549">
        <f t="shared" si="1401"/>
        <v>0</v>
      </c>
      <c r="CO54" s="675">
        <f t="shared" si="1401"/>
        <v>0</v>
      </c>
      <c r="CP54" s="549">
        <f t="shared" si="1401"/>
        <v>0</v>
      </c>
      <c r="CQ54" s="675">
        <f t="shared" si="1401"/>
        <v>0</v>
      </c>
      <c r="CR54" s="549">
        <f t="shared" si="1401"/>
        <v>0</v>
      </c>
      <c r="CS54" s="675">
        <f t="shared" si="1401"/>
        <v>0</v>
      </c>
      <c r="CT54" s="549">
        <f t="shared" si="1401"/>
        <v>0</v>
      </c>
      <c r="CU54" s="675">
        <f t="shared" si="1401"/>
        <v>0</v>
      </c>
      <c r="CV54" s="549">
        <f t="shared" si="1401"/>
        <v>0</v>
      </c>
      <c r="CW54" s="675">
        <f t="shared" si="1401"/>
        <v>0</v>
      </c>
      <c r="CX54" s="549">
        <f t="shared" si="1401"/>
        <v>0</v>
      </c>
      <c r="CY54" s="675">
        <f t="shared" si="1401"/>
        <v>0</v>
      </c>
      <c r="CZ54" s="549">
        <f t="shared" si="1401"/>
        <v>0</v>
      </c>
      <c r="DA54" s="675">
        <f t="shared" si="1401"/>
        <v>0</v>
      </c>
      <c r="DB54" s="549">
        <f t="shared" si="1401"/>
        <v>0</v>
      </c>
      <c r="DC54" s="675">
        <f t="shared" si="1401"/>
        <v>0</v>
      </c>
      <c r="DD54" s="549">
        <f t="shared" si="1401"/>
        <v>0</v>
      </c>
      <c r="DE54" s="675">
        <f t="shared" si="1401"/>
        <v>0</v>
      </c>
      <c r="DF54" s="549">
        <f t="shared" si="1401"/>
        <v>0</v>
      </c>
      <c r="DG54" s="675">
        <f t="shared" si="1401"/>
        <v>0</v>
      </c>
      <c r="DH54" s="549">
        <f t="shared" si="1401"/>
        <v>0</v>
      </c>
      <c r="DI54" s="675">
        <f t="shared" si="1401"/>
        <v>0</v>
      </c>
      <c r="DJ54" s="549">
        <f t="shared" si="1401"/>
        <v>0</v>
      </c>
      <c r="DK54" s="675">
        <f t="shared" si="1401"/>
        <v>0</v>
      </c>
      <c r="DL54" s="549">
        <f t="shared" si="1401"/>
        <v>0</v>
      </c>
      <c r="DM54" s="675">
        <f t="shared" si="1401"/>
        <v>0</v>
      </c>
      <c r="DN54" s="549">
        <f t="shared" si="1401"/>
        <v>0</v>
      </c>
      <c r="DO54" s="675">
        <f t="shared" si="1401"/>
        <v>0</v>
      </c>
      <c r="DP54" s="549">
        <f t="shared" si="1401"/>
        <v>0</v>
      </c>
      <c r="DQ54" s="675">
        <f t="shared" si="1401"/>
        <v>0</v>
      </c>
      <c r="DR54" s="549">
        <f t="shared" si="1401"/>
        <v>0</v>
      </c>
      <c r="DS54" s="675">
        <f t="shared" si="1401"/>
        <v>0</v>
      </c>
      <c r="DT54" s="549">
        <f t="shared" si="1401"/>
        <v>0</v>
      </c>
      <c r="DU54" s="675">
        <f t="shared" si="1401"/>
        <v>0</v>
      </c>
      <c r="DV54" s="549">
        <f t="shared" si="1401"/>
        <v>0</v>
      </c>
      <c r="DW54" s="675">
        <f t="shared" si="1401"/>
        <v>0</v>
      </c>
      <c r="DX54" s="549">
        <f t="shared" si="1401"/>
        <v>0</v>
      </c>
      <c r="DY54" s="675">
        <f t="shared" si="1401"/>
        <v>0</v>
      </c>
      <c r="DZ54" s="549">
        <f t="shared" si="1401"/>
        <v>0</v>
      </c>
      <c r="EA54" s="675">
        <f t="shared" si="1401"/>
        <v>0</v>
      </c>
      <c r="EB54" s="549">
        <f t="shared" si="1401"/>
        <v>0</v>
      </c>
      <c r="EC54" s="675">
        <f t="shared" si="1401"/>
        <v>0</v>
      </c>
      <c r="ED54" s="549">
        <f t="shared" ref="ED54:EE54" si="1402">SUM(ED388,ED281)</f>
        <v>0</v>
      </c>
      <c r="EE54" s="675">
        <f t="shared" si="1402"/>
        <v>0</v>
      </c>
      <c r="EF54" s="549">
        <f t="shared" ref="EF54:HV54" si="1403">SUM(EF388,EF281)</f>
        <v>0</v>
      </c>
      <c r="EG54" s="675">
        <f t="shared" si="1403"/>
        <v>0</v>
      </c>
      <c r="EH54" s="549">
        <f t="shared" si="1403"/>
        <v>0</v>
      </c>
      <c r="EI54" s="675">
        <f t="shared" si="1403"/>
        <v>0</v>
      </c>
      <c r="EJ54" s="549">
        <f t="shared" si="1403"/>
        <v>0</v>
      </c>
      <c r="EK54" s="675">
        <f t="shared" si="1403"/>
        <v>0</v>
      </c>
      <c r="EL54" s="549">
        <f t="shared" si="1403"/>
        <v>0</v>
      </c>
      <c r="EM54" s="675">
        <f t="shared" si="1403"/>
        <v>0</v>
      </c>
      <c r="EN54" s="549">
        <f t="shared" si="1403"/>
        <v>0</v>
      </c>
      <c r="EO54" s="675">
        <f t="shared" si="1403"/>
        <v>0</v>
      </c>
      <c r="EP54" s="549">
        <f t="shared" si="1403"/>
        <v>0</v>
      </c>
      <c r="EQ54" s="675">
        <f t="shared" si="1403"/>
        <v>0</v>
      </c>
      <c r="ER54" s="549">
        <f t="shared" si="1403"/>
        <v>0</v>
      </c>
      <c r="ES54" s="675">
        <f t="shared" si="1403"/>
        <v>0</v>
      </c>
      <c r="ET54" s="549">
        <f t="shared" si="1403"/>
        <v>0</v>
      </c>
      <c r="EU54" s="675">
        <f t="shared" si="1403"/>
        <v>0</v>
      </c>
      <c r="EV54" s="549">
        <f t="shared" si="1403"/>
        <v>0</v>
      </c>
      <c r="EW54" s="675">
        <f t="shared" si="1403"/>
        <v>0</v>
      </c>
      <c r="EX54" s="549">
        <f t="shared" si="1403"/>
        <v>0</v>
      </c>
      <c r="EY54" s="675">
        <f t="shared" si="1403"/>
        <v>0</v>
      </c>
      <c r="EZ54" s="549">
        <f t="shared" si="1403"/>
        <v>0</v>
      </c>
      <c r="FA54" s="675">
        <f t="shared" si="1403"/>
        <v>0</v>
      </c>
      <c r="FB54" s="549">
        <f t="shared" si="1403"/>
        <v>0</v>
      </c>
      <c r="FC54" s="675">
        <f t="shared" si="1403"/>
        <v>0</v>
      </c>
      <c r="FD54" s="549">
        <f t="shared" si="1403"/>
        <v>0</v>
      </c>
      <c r="FE54" s="675">
        <f t="shared" si="1403"/>
        <v>0</v>
      </c>
      <c r="FF54" s="549">
        <f t="shared" si="1403"/>
        <v>0</v>
      </c>
      <c r="FG54" s="675">
        <f t="shared" si="1403"/>
        <v>0</v>
      </c>
      <c r="FH54" s="549">
        <f t="shared" si="1403"/>
        <v>0</v>
      </c>
      <c r="FI54" s="675">
        <f t="shared" si="1403"/>
        <v>0</v>
      </c>
      <c r="FJ54" s="549">
        <f t="shared" si="1403"/>
        <v>0</v>
      </c>
      <c r="FK54" s="675">
        <f t="shared" si="1403"/>
        <v>0</v>
      </c>
      <c r="FL54" s="549">
        <f t="shared" ref="FL54:FM54" si="1404">SUM(FL388,FL281)</f>
        <v>0</v>
      </c>
      <c r="FM54" s="675">
        <f t="shared" si="1404"/>
        <v>0</v>
      </c>
      <c r="FN54" s="549">
        <f t="shared" ref="FN54:FO54" si="1405">SUM(FN388,FN281)</f>
        <v>0</v>
      </c>
      <c r="FO54" s="675">
        <f t="shared" si="1405"/>
        <v>0</v>
      </c>
      <c r="FP54" s="549">
        <f t="shared" ref="FP54:FQ54" si="1406">SUM(FP388,FP281)</f>
        <v>0</v>
      </c>
      <c r="FQ54" s="675">
        <f t="shared" si="1406"/>
        <v>0</v>
      </c>
      <c r="FR54" s="549">
        <f t="shared" ref="FR54:FS54" si="1407">SUM(FR388,FR281)</f>
        <v>0</v>
      </c>
      <c r="FS54" s="675">
        <f t="shared" si="1407"/>
        <v>0</v>
      </c>
      <c r="FT54" s="549">
        <f t="shared" ref="FT54:FU54" si="1408">SUM(FT388,FT281)</f>
        <v>0</v>
      </c>
      <c r="FU54" s="675">
        <f t="shared" si="1408"/>
        <v>0</v>
      </c>
      <c r="FV54" s="549">
        <f t="shared" ref="FV54:GK54" si="1409">SUM(FV388,FV281)</f>
        <v>0</v>
      </c>
      <c r="FW54" s="675">
        <f t="shared" si="1409"/>
        <v>0</v>
      </c>
      <c r="FX54" s="549">
        <f t="shared" si="1409"/>
        <v>0</v>
      </c>
      <c r="FY54" s="675">
        <f t="shared" si="1409"/>
        <v>0</v>
      </c>
      <c r="FZ54" s="549">
        <f t="shared" ref="FZ54:GI54" si="1410">SUM(FZ388,FZ281)</f>
        <v>0</v>
      </c>
      <c r="GA54" s="675">
        <f t="shared" si="1410"/>
        <v>0</v>
      </c>
      <c r="GB54" s="549">
        <f t="shared" si="1410"/>
        <v>0</v>
      </c>
      <c r="GC54" s="675">
        <f t="shared" si="1410"/>
        <v>0</v>
      </c>
      <c r="GD54" s="549">
        <f t="shared" si="1410"/>
        <v>0</v>
      </c>
      <c r="GE54" s="675">
        <f t="shared" si="1410"/>
        <v>0</v>
      </c>
      <c r="GF54" s="549">
        <f t="shared" si="1410"/>
        <v>0</v>
      </c>
      <c r="GG54" s="675">
        <f t="shared" si="1410"/>
        <v>0</v>
      </c>
      <c r="GH54" s="549">
        <f t="shared" si="1410"/>
        <v>0</v>
      </c>
      <c r="GI54" s="675">
        <f t="shared" si="1410"/>
        <v>0</v>
      </c>
      <c r="GJ54" s="549">
        <f t="shared" si="1409"/>
        <v>0</v>
      </c>
      <c r="GK54" s="675">
        <f t="shared" si="1409"/>
        <v>0</v>
      </c>
      <c r="GL54" s="549">
        <f t="shared" ref="GL54:GM54" si="1411">SUM(GL388,GL281)</f>
        <v>0</v>
      </c>
      <c r="GM54" s="675">
        <f t="shared" si="1411"/>
        <v>0</v>
      </c>
      <c r="GN54" s="549">
        <f t="shared" ref="GN54:GO54" si="1412">SUM(GN388,GN281)</f>
        <v>0</v>
      </c>
      <c r="GO54" s="675">
        <f t="shared" si="1412"/>
        <v>0</v>
      </c>
      <c r="GP54" s="74">
        <f t="shared" si="1403"/>
        <v>0</v>
      </c>
      <c r="GQ54" s="675">
        <f t="shared" si="1403"/>
        <v>0</v>
      </c>
      <c r="GR54" s="74">
        <f t="shared" si="1403"/>
        <v>18200</v>
      </c>
      <c r="GS54" s="74">
        <f t="shared" si="1403"/>
        <v>16546</v>
      </c>
      <c r="GT54" s="549">
        <f t="shared" si="1403"/>
        <v>18200</v>
      </c>
      <c r="GU54" s="74">
        <f>SUM(GU388,GU281)</f>
        <v>1660</v>
      </c>
      <c r="GV54" s="74">
        <f t="shared" si="1403"/>
        <v>1654</v>
      </c>
      <c r="GW54" s="549">
        <f t="shared" si="1403"/>
        <v>1654</v>
      </c>
      <c r="GX54" s="549">
        <f t="shared" si="1403"/>
        <v>1654</v>
      </c>
      <c r="GY54" s="74">
        <f t="shared" si="1403"/>
        <v>1654</v>
      </c>
      <c r="GZ54" s="74">
        <f t="shared" si="1403"/>
        <v>1654</v>
      </c>
      <c r="HA54" s="74">
        <f t="shared" si="1403"/>
        <v>1654</v>
      </c>
      <c r="HB54" s="74">
        <f t="shared" si="1403"/>
        <v>1654</v>
      </c>
      <c r="HC54" s="74">
        <f t="shared" si="1403"/>
        <v>1654</v>
      </c>
      <c r="HD54" s="74">
        <f t="shared" si="1403"/>
        <v>1654</v>
      </c>
      <c r="HE54" s="74">
        <f t="shared" si="1403"/>
        <v>1654</v>
      </c>
      <c r="HF54" s="74">
        <f t="shared" si="1403"/>
        <v>0</v>
      </c>
      <c r="HG54" s="74">
        <f t="shared" si="1403"/>
        <v>16546</v>
      </c>
      <c r="HH54" s="74">
        <f t="shared" si="1403"/>
        <v>0</v>
      </c>
      <c r="HI54" s="74">
        <f t="shared" si="1403"/>
        <v>0</v>
      </c>
      <c r="HJ54" s="74">
        <f t="shared" si="1403"/>
        <v>0</v>
      </c>
      <c r="HK54" s="74">
        <f t="shared" si="1403"/>
        <v>3314</v>
      </c>
      <c r="HL54" s="74">
        <f t="shared" si="1403"/>
        <v>0</v>
      </c>
      <c r="HM54" s="74">
        <f t="shared" si="1403"/>
        <v>1654</v>
      </c>
      <c r="HN54" s="74">
        <f t="shared" si="1403"/>
        <v>0</v>
      </c>
      <c r="HO54" s="74">
        <f t="shared" si="1403"/>
        <v>1654</v>
      </c>
      <c r="HP54" s="74">
        <f t="shared" si="1403"/>
        <v>0</v>
      </c>
      <c r="HQ54" s="74">
        <f t="shared" si="1403"/>
        <v>1654</v>
      </c>
      <c r="HR54" s="74">
        <f t="shared" si="1403"/>
        <v>0</v>
      </c>
      <c r="HS54" s="74">
        <f t="shared" si="1403"/>
        <v>1654</v>
      </c>
      <c r="HT54" s="74">
        <f t="shared" si="1403"/>
        <v>0</v>
      </c>
      <c r="HU54" s="74">
        <f t="shared" si="1403"/>
        <v>1654</v>
      </c>
      <c r="HV54" s="74">
        <f t="shared" si="1403"/>
        <v>0</v>
      </c>
      <c r="HW54" s="74">
        <f t="shared" ref="HW54:JT54" si="1413">SUM(HW388,HW281)</f>
        <v>1654</v>
      </c>
      <c r="HX54" s="74">
        <f t="shared" si="1413"/>
        <v>0</v>
      </c>
      <c r="HY54" s="74">
        <f t="shared" si="1413"/>
        <v>1654</v>
      </c>
      <c r="HZ54" s="74">
        <f t="shared" si="1413"/>
        <v>0</v>
      </c>
      <c r="IA54" s="74">
        <f t="shared" si="1413"/>
        <v>1654</v>
      </c>
      <c r="IB54" s="74">
        <f t="shared" si="1413"/>
        <v>0</v>
      </c>
      <c r="IC54" s="74">
        <f t="shared" si="1413"/>
        <v>0</v>
      </c>
      <c r="ID54" s="74">
        <f t="shared" si="1413"/>
        <v>0</v>
      </c>
      <c r="IE54" s="792">
        <f t="shared" si="1413"/>
        <v>0</v>
      </c>
      <c r="IF54" s="841">
        <f t="shared" si="1413"/>
        <v>15225</v>
      </c>
      <c r="IG54" s="263">
        <f t="shared" si="1413"/>
        <v>15225</v>
      </c>
      <c r="IH54" s="842">
        <f t="shared" si="1413"/>
        <v>15225</v>
      </c>
      <c r="II54" s="155">
        <f t="shared" si="1413"/>
        <v>0</v>
      </c>
      <c r="IJ54" s="74">
        <f t="shared" si="1413"/>
        <v>0</v>
      </c>
      <c r="IK54" s="74">
        <f t="shared" si="1413"/>
        <v>0</v>
      </c>
      <c r="IL54" s="74">
        <f t="shared" si="1413"/>
        <v>0</v>
      </c>
      <c r="IM54" s="74">
        <f t="shared" si="1413"/>
        <v>0</v>
      </c>
      <c r="IN54" s="74">
        <f t="shared" si="1413"/>
        <v>0</v>
      </c>
      <c r="IO54" s="74">
        <f t="shared" si="1413"/>
        <v>3000</v>
      </c>
      <c r="IP54" s="74">
        <f t="shared" si="1413"/>
        <v>3000</v>
      </c>
      <c r="IQ54" s="74">
        <f t="shared" si="1413"/>
        <v>3000</v>
      </c>
      <c r="IR54" s="74">
        <f t="shared" si="1413"/>
        <v>1500</v>
      </c>
      <c r="IS54" s="74">
        <f t="shared" si="1413"/>
        <v>1500</v>
      </c>
      <c r="IT54" s="74">
        <f t="shared" si="1413"/>
        <v>1500</v>
      </c>
      <c r="IU54" s="74">
        <f t="shared" si="1413"/>
        <v>1650</v>
      </c>
      <c r="IV54" s="74">
        <f t="shared" si="1413"/>
        <v>1650</v>
      </c>
      <c r="IW54" s="74">
        <f t="shared" si="1413"/>
        <v>1650</v>
      </c>
      <c r="IX54" s="74">
        <f t="shared" si="1413"/>
        <v>1500</v>
      </c>
      <c r="IY54" s="74">
        <f t="shared" si="1413"/>
        <v>1500</v>
      </c>
      <c r="IZ54" s="74">
        <f t="shared" si="1413"/>
        <v>1500</v>
      </c>
      <c r="JA54" s="74">
        <f t="shared" si="1413"/>
        <v>1500</v>
      </c>
      <c r="JB54" s="74">
        <f t="shared" si="1413"/>
        <v>1500</v>
      </c>
      <c r="JC54" s="74">
        <f t="shared" si="1413"/>
        <v>1500</v>
      </c>
      <c r="JD54" s="74">
        <f t="shared" si="1413"/>
        <v>3000</v>
      </c>
      <c r="JE54" s="74">
        <f t="shared" si="1413"/>
        <v>3000</v>
      </c>
      <c r="JF54" s="74">
        <f t="shared" si="1413"/>
        <v>3000</v>
      </c>
      <c r="JG54" s="74">
        <f t="shared" si="1413"/>
        <v>1500</v>
      </c>
      <c r="JH54" s="74">
        <f t="shared" si="1413"/>
        <v>1500</v>
      </c>
      <c r="JI54" s="74">
        <f t="shared" si="1413"/>
        <v>1500</v>
      </c>
      <c r="JJ54" s="74">
        <f t="shared" si="1413"/>
        <v>1575</v>
      </c>
      <c r="JK54" s="74">
        <f t="shared" si="1413"/>
        <v>1575</v>
      </c>
      <c r="JL54" s="74">
        <f t="shared" si="1413"/>
        <v>1575</v>
      </c>
      <c r="JM54" s="74">
        <f t="shared" si="1413"/>
        <v>0</v>
      </c>
      <c r="JN54" s="74">
        <f t="shared" si="1413"/>
        <v>0</v>
      </c>
      <c r="JO54" s="74">
        <f t="shared" si="1413"/>
        <v>0</v>
      </c>
      <c r="JP54" s="74">
        <f t="shared" si="1413"/>
        <v>0</v>
      </c>
      <c r="JQ54" s="74">
        <f t="shared" si="1413"/>
        <v>0</v>
      </c>
      <c r="JR54" s="74">
        <f t="shared" si="1413"/>
        <v>0</v>
      </c>
      <c r="JS54" s="74">
        <f t="shared" si="1413"/>
        <v>1321</v>
      </c>
      <c r="JT54" s="382">
        <f t="shared" si="1413"/>
        <v>1321</v>
      </c>
      <c r="JU54" s="671"/>
      <c r="JV54" s="492"/>
      <c r="JW54" s="490"/>
      <c r="JX54" s="549">
        <f>SUM(JX388,JX281)</f>
        <v>0</v>
      </c>
      <c r="JY54" s="549">
        <f>SUM(JY388,JY281)</f>
        <v>16546</v>
      </c>
      <c r="JZ54" s="581">
        <f t="shared" si="42"/>
        <v>0</v>
      </c>
      <c r="KA54" s="581">
        <f t="shared" si="43"/>
        <v>0</v>
      </c>
      <c r="KB54" s="549">
        <f>SUM(KB388,KB281)</f>
        <v>16546</v>
      </c>
      <c r="KC54" s="709">
        <f t="shared" si="41"/>
        <v>0</v>
      </c>
      <c r="KD54" s="146"/>
      <c r="KE54" s="147" t="s">
        <v>541</v>
      </c>
      <c r="KF54" s="147" t="e">
        <f t="shared" ref="KF54:KK54" si="1414">SUM(KF55:KF60)</f>
        <v>#REF!</v>
      </c>
      <c r="KG54" s="147" t="e">
        <f t="shared" si="1414"/>
        <v>#REF!</v>
      </c>
      <c r="KH54" s="147" t="e">
        <f t="shared" si="1414"/>
        <v>#REF!</v>
      </c>
      <c r="KI54" s="147" t="e">
        <f t="shared" si="1414"/>
        <v>#REF!</v>
      </c>
      <c r="KJ54" s="147" t="e">
        <f t="shared" si="1414"/>
        <v>#REF!</v>
      </c>
      <c r="KK54" s="147" t="e">
        <f t="shared" si="1414"/>
        <v>#REF!</v>
      </c>
    </row>
    <row r="55" spans="1:297" s="8" customFormat="1">
      <c r="A55" s="75">
        <v>113</v>
      </c>
      <c r="B55" s="72" t="s">
        <v>88</v>
      </c>
      <c r="C55" s="74">
        <f t="shared" ref="C55:BP55" si="1415">C282+C389</f>
        <v>1500</v>
      </c>
      <c r="D55" s="549">
        <f t="shared" si="1415"/>
        <v>0</v>
      </c>
      <c r="E55" s="675">
        <f t="shared" si="1415"/>
        <v>0</v>
      </c>
      <c r="F55" s="549">
        <f t="shared" si="1415"/>
        <v>0</v>
      </c>
      <c r="G55" s="675">
        <f t="shared" si="1415"/>
        <v>0</v>
      </c>
      <c r="H55" s="549">
        <f t="shared" si="1415"/>
        <v>0</v>
      </c>
      <c r="I55" s="675">
        <f t="shared" si="1415"/>
        <v>0</v>
      </c>
      <c r="J55" s="549">
        <f t="shared" si="1415"/>
        <v>0</v>
      </c>
      <c r="K55" s="675">
        <f t="shared" si="1415"/>
        <v>0</v>
      </c>
      <c r="L55" s="549">
        <f t="shared" si="1415"/>
        <v>0</v>
      </c>
      <c r="M55" s="675">
        <f t="shared" si="1415"/>
        <v>0</v>
      </c>
      <c r="N55" s="549">
        <f t="shared" si="1415"/>
        <v>0</v>
      </c>
      <c r="O55" s="675">
        <f t="shared" si="1415"/>
        <v>0</v>
      </c>
      <c r="P55" s="549">
        <f t="shared" si="1415"/>
        <v>0</v>
      </c>
      <c r="Q55" s="675">
        <f t="shared" si="1415"/>
        <v>0</v>
      </c>
      <c r="R55" s="549">
        <f t="shared" si="1415"/>
        <v>0</v>
      </c>
      <c r="S55" s="675">
        <f t="shared" si="1415"/>
        <v>0</v>
      </c>
      <c r="T55" s="549">
        <f t="shared" si="1415"/>
        <v>0</v>
      </c>
      <c r="U55" s="675">
        <f t="shared" si="1415"/>
        <v>0</v>
      </c>
      <c r="V55" s="549">
        <f t="shared" si="1415"/>
        <v>0</v>
      </c>
      <c r="W55" s="675">
        <f t="shared" si="1415"/>
        <v>0</v>
      </c>
      <c r="X55" s="549">
        <f t="shared" si="1415"/>
        <v>0</v>
      </c>
      <c r="Y55" s="675">
        <f t="shared" si="1415"/>
        <v>0</v>
      </c>
      <c r="Z55" s="549">
        <f t="shared" si="1415"/>
        <v>0</v>
      </c>
      <c r="AA55" s="675">
        <f t="shared" si="1415"/>
        <v>0</v>
      </c>
      <c r="AB55" s="549">
        <f t="shared" si="1415"/>
        <v>0</v>
      </c>
      <c r="AC55" s="675">
        <f t="shared" si="1415"/>
        <v>0</v>
      </c>
      <c r="AD55" s="549">
        <f t="shared" si="1415"/>
        <v>0</v>
      </c>
      <c r="AE55" s="675">
        <f t="shared" si="1415"/>
        <v>0</v>
      </c>
      <c r="AF55" s="549">
        <f t="shared" si="1415"/>
        <v>0</v>
      </c>
      <c r="AG55" s="675">
        <f t="shared" si="1415"/>
        <v>0</v>
      </c>
      <c r="AH55" s="549">
        <f t="shared" si="1415"/>
        <v>0</v>
      </c>
      <c r="AI55" s="675">
        <f t="shared" si="1415"/>
        <v>0</v>
      </c>
      <c r="AJ55" s="549">
        <f t="shared" si="1415"/>
        <v>0</v>
      </c>
      <c r="AK55" s="675">
        <f t="shared" si="1415"/>
        <v>0</v>
      </c>
      <c r="AL55" s="549">
        <f t="shared" si="1415"/>
        <v>0</v>
      </c>
      <c r="AM55" s="675">
        <f t="shared" si="1415"/>
        <v>0</v>
      </c>
      <c r="AN55" s="549">
        <f t="shared" si="1415"/>
        <v>0</v>
      </c>
      <c r="AO55" s="675">
        <f t="shared" si="1415"/>
        <v>0</v>
      </c>
      <c r="AP55" s="549">
        <f t="shared" si="1415"/>
        <v>0</v>
      </c>
      <c r="AQ55" s="675">
        <f t="shared" si="1415"/>
        <v>0</v>
      </c>
      <c r="AR55" s="549">
        <f t="shared" si="1415"/>
        <v>0</v>
      </c>
      <c r="AS55" s="675">
        <f t="shared" si="1415"/>
        <v>0</v>
      </c>
      <c r="AT55" s="549">
        <f t="shared" ref="AT55:AU55" si="1416">AT282+AT389</f>
        <v>0</v>
      </c>
      <c r="AU55" s="675">
        <f t="shared" si="1416"/>
        <v>0</v>
      </c>
      <c r="AV55" s="549">
        <f t="shared" ref="AV55:AW55" si="1417">AV282+AV389</f>
        <v>0</v>
      </c>
      <c r="AW55" s="675">
        <f t="shared" si="1417"/>
        <v>0</v>
      </c>
      <c r="AX55" s="549">
        <f t="shared" ref="AX55:AY55" si="1418">AX282+AX389</f>
        <v>0</v>
      </c>
      <c r="AY55" s="675">
        <f t="shared" si="1418"/>
        <v>0</v>
      </c>
      <c r="AZ55" s="549">
        <f t="shared" ref="AZ55:BA55" si="1419">AZ282+AZ389</f>
        <v>0</v>
      </c>
      <c r="BA55" s="675">
        <f t="shared" si="1419"/>
        <v>0</v>
      </c>
      <c r="BB55" s="549">
        <f t="shared" ref="BB55:BC55" si="1420">BB282+BB389</f>
        <v>0</v>
      </c>
      <c r="BC55" s="675">
        <f t="shared" si="1420"/>
        <v>0</v>
      </c>
      <c r="BD55" s="549">
        <f t="shared" ref="BD55:BE55" si="1421">BD282+BD389</f>
        <v>0</v>
      </c>
      <c r="BE55" s="675">
        <f t="shared" si="1421"/>
        <v>0</v>
      </c>
      <c r="BF55" s="549">
        <f t="shared" ref="BF55:BG55" si="1422">BF282+BF389</f>
        <v>0</v>
      </c>
      <c r="BG55" s="675">
        <f t="shared" si="1422"/>
        <v>0</v>
      </c>
      <c r="BH55" s="549">
        <f t="shared" ref="BH55:BI55" si="1423">BH282+BH389</f>
        <v>0</v>
      </c>
      <c r="BI55" s="675">
        <f t="shared" si="1423"/>
        <v>0</v>
      </c>
      <c r="BJ55" s="549">
        <f t="shared" ref="BJ55:BK55" si="1424">BJ282+BJ389</f>
        <v>0</v>
      </c>
      <c r="BK55" s="675">
        <f t="shared" si="1424"/>
        <v>0</v>
      </c>
      <c r="BL55" s="549">
        <f t="shared" si="1415"/>
        <v>0</v>
      </c>
      <c r="BM55" s="675">
        <f t="shared" si="1415"/>
        <v>0</v>
      </c>
      <c r="BN55" s="549">
        <f t="shared" si="1415"/>
        <v>0</v>
      </c>
      <c r="BO55" s="675">
        <f t="shared" si="1415"/>
        <v>0</v>
      </c>
      <c r="BP55" s="549">
        <f t="shared" si="1415"/>
        <v>0</v>
      </c>
      <c r="BQ55" s="675">
        <f t="shared" ref="BQ55" si="1425">BQ282+BQ389</f>
        <v>0</v>
      </c>
      <c r="BR55" s="549">
        <f t="shared" ref="BR55:BS55" si="1426">BR282+BR389</f>
        <v>0</v>
      </c>
      <c r="BS55" s="675">
        <f t="shared" si="1426"/>
        <v>0</v>
      </c>
      <c r="BT55" s="549">
        <f t="shared" ref="BT55:BU55" si="1427">BT282+BT389</f>
        <v>0</v>
      </c>
      <c r="BU55" s="675">
        <f t="shared" si="1427"/>
        <v>0</v>
      </c>
      <c r="BV55" s="549">
        <f t="shared" ref="BV55:BW55" si="1428">BV282+BV389</f>
        <v>0</v>
      </c>
      <c r="BW55" s="675">
        <f t="shared" si="1428"/>
        <v>0</v>
      </c>
      <c r="BX55" s="549">
        <f t="shared" ref="BX55:BY55" si="1429">BX282+BX389</f>
        <v>0</v>
      </c>
      <c r="BY55" s="675">
        <f t="shared" si="1429"/>
        <v>0</v>
      </c>
      <c r="BZ55" s="549">
        <f t="shared" ref="BZ55:CA55" si="1430">BZ282+BZ389</f>
        <v>0</v>
      </c>
      <c r="CA55" s="675">
        <f t="shared" si="1430"/>
        <v>0</v>
      </c>
      <c r="CB55" s="549">
        <f t="shared" ref="CB55:EC55" si="1431">CB282+CB389</f>
        <v>0</v>
      </c>
      <c r="CC55" s="675">
        <f t="shared" si="1431"/>
        <v>0</v>
      </c>
      <c r="CD55" s="549">
        <f t="shared" si="1431"/>
        <v>0</v>
      </c>
      <c r="CE55" s="675">
        <f t="shared" si="1431"/>
        <v>0</v>
      </c>
      <c r="CF55" s="549">
        <f t="shared" si="1431"/>
        <v>0</v>
      </c>
      <c r="CG55" s="675">
        <f t="shared" si="1431"/>
        <v>0</v>
      </c>
      <c r="CH55" s="549">
        <f t="shared" si="1431"/>
        <v>0</v>
      </c>
      <c r="CI55" s="675">
        <f t="shared" si="1431"/>
        <v>0</v>
      </c>
      <c r="CJ55" s="549">
        <f t="shared" si="1431"/>
        <v>0</v>
      </c>
      <c r="CK55" s="675">
        <f t="shared" si="1431"/>
        <v>0</v>
      </c>
      <c r="CL55" s="549">
        <f t="shared" si="1431"/>
        <v>0</v>
      </c>
      <c r="CM55" s="675">
        <f t="shared" si="1431"/>
        <v>0</v>
      </c>
      <c r="CN55" s="549">
        <f t="shared" si="1431"/>
        <v>0</v>
      </c>
      <c r="CO55" s="675">
        <f t="shared" si="1431"/>
        <v>0</v>
      </c>
      <c r="CP55" s="549">
        <f t="shared" si="1431"/>
        <v>0</v>
      </c>
      <c r="CQ55" s="675">
        <f t="shared" si="1431"/>
        <v>0</v>
      </c>
      <c r="CR55" s="549">
        <f t="shared" si="1431"/>
        <v>0</v>
      </c>
      <c r="CS55" s="675">
        <f t="shared" si="1431"/>
        <v>0</v>
      </c>
      <c r="CT55" s="549">
        <f t="shared" si="1431"/>
        <v>0</v>
      </c>
      <c r="CU55" s="675">
        <f t="shared" si="1431"/>
        <v>0</v>
      </c>
      <c r="CV55" s="549">
        <f t="shared" si="1431"/>
        <v>0</v>
      </c>
      <c r="CW55" s="675">
        <f t="shared" si="1431"/>
        <v>0</v>
      </c>
      <c r="CX55" s="549">
        <f t="shared" si="1431"/>
        <v>0</v>
      </c>
      <c r="CY55" s="675">
        <f t="shared" si="1431"/>
        <v>0</v>
      </c>
      <c r="CZ55" s="549">
        <f t="shared" si="1431"/>
        <v>0</v>
      </c>
      <c r="DA55" s="675">
        <f t="shared" si="1431"/>
        <v>0</v>
      </c>
      <c r="DB55" s="549">
        <f t="shared" si="1431"/>
        <v>0</v>
      </c>
      <c r="DC55" s="675">
        <f t="shared" si="1431"/>
        <v>0</v>
      </c>
      <c r="DD55" s="549">
        <f t="shared" si="1431"/>
        <v>0</v>
      </c>
      <c r="DE55" s="675">
        <f t="shared" si="1431"/>
        <v>0</v>
      </c>
      <c r="DF55" s="549">
        <f t="shared" si="1431"/>
        <v>0</v>
      </c>
      <c r="DG55" s="675">
        <f t="shared" si="1431"/>
        <v>0</v>
      </c>
      <c r="DH55" s="549">
        <f t="shared" si="1431"/>
        <v>0</v>
      </c>
      <c r="DI55" s="675">
        <f t="shared" si="1431"/>
        <v>0</v>
      </c>
      <c r="DJ55" s="549">
        <f t="shared" si="1431"/>
        <v>0</v>
      </c>
      <c r="DK55" s="675">
        <f t="shared" si="1431"/>
        <v>0</v>
      </c>
      <c r="DL55" s="549">
        <f t="shared" si="1431"/>
        <v>0</v>
      </c>
      <c r="DM55" s="675">
        <f t="shared" si="1431"/>
        <v>0</v>
      </c>
      <c r="DN55" s="549">
        <f t="shared" si="1431"/>
        <v>0</v>
      </c>
      <c r="DO55" s="675">
        <f t="shared" si="1431"/>
        <v>0</v>
      </c>
      <c r="DP55" s="549">
        <f t="shared" si="1431"/>
        <v>0</v>
      </c>
      <c r="DQ55" s="675">
        <f t="shared" si="1431"/>
        <v>0</v>
      </c>
      <c r="DR55" s="549">
        <f t="shared" si="1431"/>
        <v>0</v>
      </c>
      <c r="DS55" s="675">
        <f t="shared" si="1431"/>
        <v>0</v>
      </c>
      <c r="DT55" s="549">
        <f t="shared" si="1431"/>
        <v>0</v>
      </c>
      <c r="DU55" s="675">
        <f t="shared" si="1431"/>
        <v>0</v>
      </c>
      <c r="DV55" s="549">
        <f t="shared" si="1431"/>
        <v>0</v>
      </c>
      <c r="DW55" s="675">
        <f t="shared" si="1431"/>
        <v>0</v>
      </c>
      <c r="DX55" s="549">
        <f t="shared" si="1431"/>
        <v>0</v>
      </c>
      <c r="DY55" s="675">
        <f t="shared" si="1431"/>
        <v>0</v>
      </c>
      <c r="DZ55" s="549">
        <f t="shared" si="1431"/>
        <v>0</v>
      </c>
      <c r="EA55" s="675">
        <f t="shared" si="1431"/>
        <v>0</v>
      </c>
      <c r="EB55" s="549">
        <f t="shared" si="1431"/>
        <v>0</v>
      </c>
      <c r="EC55" s="675">
        <f t="shared" si="1431"/>
        <v>0</v>
      </c>
      <c r="ED55" s="549">
        <f t="shared" ref="ED55:EE55" si="1432">ED282+ED389</f>
        <v>0</v>
      </c>
      <c r="EE55" s="675">
        <f t="shared" si="1432"/>
        <v>0</v>
      </c>
      <c r="EF55" s="549">
        <f t="shared" ref="EF55:HV55" si="1433">EF282+EF389</f>
        <v>0</v>
      </c>
      <c r="EG55" s="675">
        <f t="shared" si="1433"/>
        <v>0</v>
      </c>
      <c r="EH55" s="549">
        <f t="shared" si="1433"/>
        <v>0</v>
      </c>
      <c r="EI55" s="675">
        <f t="shared" si="1433"/>
        <v>0</v>
      </c>
      <c r="EJ55" s="549">
        <f t="shared" si="1433"/>
        <v>0</v>
      </c>
      <c r="EK55" s="675">
        <f t="shared" si="1433"/>
        <v>0</v>
      </c>
      <c r="EL55" s="549">
        <f t="shared" si="1433"/>
        <v>0</v>
      </c>
      <c r="EM55" s="675">
        <f t="shared" si="1433"/>
        <v>0</v>
      </c>
      <c r="EN55" s="549">
        <f t="shared" si="1433"/>
        <v>0</v>
      </c>
      <c r="EO55" s="675">
        <f t="shared" si="1433"/>
        <v>0</v>
      </c>
      <c r="EP55" s="549">
        <f t="shared" si="1433"/>
        <v>0</v>
      </c>
      <c r="EQ55" s="675">
        <f t="shared" si="1433"/>
        <v>0</v>
      </c>
      <c r="ER55" s="549">
        <f t="shared" si="1433"/>
        <v>0</v>
      </c>
      <c r="ES55" s="675">
        <f t="shared" si="1433"/>
        <v>0</v>
      </c>
      <c r="ET55" s="549">
        <f t="shared" si="1433"/>
        <v>0</v>
      </c>
      <c r="EU55" s="675">
        <f t="shared" si="1433"/>
        <v>0</v>
      </c>
      <c r="EV55" s="549">
        <f t="shared" si="1433"/>
        <v>0</v>
      </c>
      <c r="EW55" s="675">
        <f t="shared" si="1433"/>
        <v>0</v>
      </c>
      <c r="EX55" s="549">
        <f t="shared" si="1433"/>
        <v>0</v>
      </c>
      <c r="EY55" s="675">
        <f t="shared" si="1433"/>
        <v>0</v>
      </c>
      <c r="EZ55" s="549">
        <f t="shared" si="1433"/>
        <v>0</v>
      </c>
      <c r="FA55" s="675">
        <f t="shared" si="1433"/>
        <v>0</v>
      </c>
      <c r="FB55" s="549">
        <f t="shared" si="1433"/>
        <v>0</v>
      </c>
      <c r="FC55" s="675">
        <f t="shared" si="1433"/>
        <v>0</v>
      </c>
      <c r="FD55" s="549">
        <f t="shared" si="1433"/>
        <v>0</v>
      </c>
      <c r="FE55" s="675">
        <f t="shared" si="1433"/>
        <v>0</v>
      </c>
      <c r="FF55" s="549">
        <f t="shared" si="1433"/>
        <v>0</v>
      </c>
      <c r="FG55" s="675">
        <f t="shared" si="1433"/>
        <v>0</v>
      </c>
      <c r="FH55" s="549">
        <f t="shared" si="1433"/>
        <v>0</v>
      </c>
      <c r="FI55" s="675">
        <f t="shared" si="1433"/>
        <v>0</v>
      </c>
      <c r="FJ55" s="549">
        <f t="shared" si="1433"/>
        <v>0</v>
      </c>
      <c r="FK55" s="675">
        <f t="shared" si="1433"/>
        <v>0</v>
      </c>
      <c r="FL55" s="549">
        <f t="shared" ref="FL55:FM55" si="1434">FL282+FL389</f>
        <v>0</v>
      </c>
      <c r="FM55" s="675">
        <f t="shared" si="1434"/>
        <v>0</v>
      </c>
      <c r="FN55" s="549">
        <f t="shared" ref="FN55:FO55" si="1435">FN282+FN389</f>
        <v>0</v>
      </c>
      <c r="FO55" s="675">
        <f t="shared" si="1435"/>
        <v>0</v>
      </c>
      <c r="FP55" s="549">
        <f t="shared" ref="FP55:FQ55" si="1436">FP282+FP389</f>
        <v>0</v>
      </c>
      <c r="FQ55" s="675">
        <f t="shared" si="1436"/>
        <v>0</v>
      </c>
      <c r="FR55" s="549">
        <f t="shared" ref="FR55:FS55" si="1437">FR282+FR389</f>
        <v>0</v>
      </c>
      <c r="FS55" s="675">
        <f t="shared" si="1437"/>
        <v>-1000</v>
      </c>
      <c r="FT55" s="549">
        <f t="shared" ref="FT55:FU55" si="1438">FT282+FT389</f>
        <v>0</v>
      </c>
      <c r="FU55" s="675">
        <f t="shared" si="1438"/>
        <v>0</v>
      </c>
      <c r="FV55" s="549">
        <f t="shared" ref="FV55:GK55" si="1439">FV282+FV389</f>
        <v>0</v>
      </c>
      <c r="FW55" s="675">
        <f t="shared" si="1439"/>
        <v>0</v>
      </c>
      <c r="FX55" s="549">
        <f t="shared" si="1439"/>
        <v>0</v>
      </c>
      <c r="FY55" s="675">
        <f t="shared" si="1439"/>
        <v>0</v>
      </c>
      <c r="FZ55" s="549">
        <f t="shared" ref="FZ55:GI55" si="1440">FZ282+FZ389</f>
        <v>0</v>
      </c>
      <c r="GA55" s="675">
        <f t="shared" si="1440"/>
        <v>0</v>
      </c>
      <c r="GB55" s="549">
        <f t="shared" si="1440"/>
        <v>0</v>
      </c>
      <c r="GC55" s="675">
        <f t="shared" si="1440"/>
        <v>0</v>
      </c>
      <c r="GD55" s="549">
        <f t="shared" si="1440"/>
        <v>0</v>
      </c>
      <c r="GE55" s="675">
        <f t="shared" si="1440"/>
        <v>0</v>
      </c>
      <c r="GF55" s="549">
        <f t="shared" si="1440"/>
        <v>0</v>
      </c>
      <c r="GG55" s="675">
        <f t="shared" si="1440"/>
        <v>0</v>
      </c>
      <c r="GH55" s="549">
        <f t="shared" si="1440"/>
        <v>0</v>
      </c>
      <c r="GI55" s="675">
        <f t="shared" si="1440"/>
        <v>0</v>
      </c>
      <c r="GJ55" s="549">
        <f t="shared" si="1439"/>
        <v>0</v>
      </c>
      <c r="GK55" s="675">
        <f t="shared" si="1439"/>
        <v>0</v>
      </c>
      <c r="GL55" s="549">
        <f t="shared" ref="GL55:GM55" si="1441">GL282+GL389</f>
        <v>0</v>
      </c>
      <c r="GM55" s="675">
        <f t="shared" si="1441"/>
        <v>0</v>
      </c>
      <c r="GN55" s="549">
        <f t="shared" ref="GN55:GO55" si="1442">GN282+GN389</f>
        <v>0</v>
      </c>
      <c r="GO55" s="675">
        <f t="shared" si="1442"/>
        <v>0</v>
      </c>
      <c r="GP55" s="74">
        <f t="shared" si="1433"/>
        <v>0</v>
      </c>
      <c r="GQ55" s="675">
        <f t="shared" si="1433"/>
        <v>-1000</v>
      </c>
      <c r="GR55" s="74">
        <f t="shared" si="1433"/>
        <v>500</v>
      </c>
      <c r="GS55" s="74">
        <f t="shared" si="1433"/>
        <v>500</v>
      </c>
      <c r="GT55" s="549">
        <f t="shared" si="1433"/>
        <v>500</v>
      </c>
      <c r="GU55" s="74">
        <f>GU282+GU389</f>
        <v>1000</v>
      </c>
      <c r="GV55" s="74">
        <f t="shared" si="1433"/>
        <v>0</v>
      </c>
      <c r="GW55" s="549">
        <f t="shared" si="1433"/>
        <v>500</v>
      </c>
      <c r="GX55" s="549">
        <f t="shared" si="1433"/>
        <v>0</v>
      </c>
      <c r="GY55" s="74">
        <f t="shared" si="1433"/>
        <v>0</v>
      </c>
      <c r="GZ55" s="74">
        <f t="shared" si="1433"/>
        <v>0</v>
      </c>
      <c r="HA55" s="74">
        <f t="shared" si="1433"/>
        <v>0</v>
      </c>
      <c r="HB55" s="74">
        <f t="shared" si="1433"/>
        <v>0</v>
      </c>
      <c r="HC55" s="74">
        <f t="shared" si="1433"/>
        <v>0</v>
      </c>
      <c r="HD55" s="74">
        <f t="shared" si="1433"/>
        <v>0</v>
      </c>
      <c r="HE55" s="74">
        <f t="shared" si="1433"/>
        <v>0</v>
      </c>
      <c r="HF55" s="74">
        <f t="shared" si="1433"/>
        <v>0</v>
      </c>
      <c r="HG55" s="74">
        <f t="shared" si="1433"/>
        <v>500</v>
      </c>
      <c r="HH55" s="74">
        <f t="shared" si="1433"/>
        <v>500</v>
      </c>
      <c r="HI55" s="74">
        <f t="shared" si="1433"/>
        <v>0</v>
      </c>
      <c r="HJ55" s="74">
        <f t="shared" si="1433"/>
        <v>0</v>
      </c>
      <c r="HK55" s="74">
        <f t="shared" si="1433"/>
        <v>500</v>
      </c>
      <c r="HL55" s="74">
        <f t="shared" si="1433"/>
        <v>0</v>
      </c>
      <c r="HM55" s="74">
        <f t="shared" si="1433"/>
        <v>0</v>
      </c>
      <c r="HN55" s="74">
        <f t="shared" si="1433"/>
        <v>0</v>
      </c>
      <c r="HO55" s="74">
        <f t="shared" si="1433"/>
        <v>0</v>
      </c>
      <c r="HP55" s="74">
        <f t="shared" si="1433"/>
        <v>0</v>
      </c>
      <c r="HQ55" s="74">
        <f t="shared" si="1433"/>
        <v>0</v>
      </c>
      <c r="HR55" s="74">
        <f t="shared" si="1433"/>
        <v>0</v>
      </c>
      <c r="HS55" s="74">
        <f t="shared" si="1433"/>
        <v>0</v>
      </c>
      <c r="HT55" s="74">
        <f t="shared" si="1433"/>
        <v>0</v>
      </c>
      <c r="HU55" s="74">
        <f t="shared" si="1433"/>
        <v>0</v>
      </c>
      <c r="HV55" s="74">
        <f t="shared" si="1433"/>
        <v>0</v>
      </c>
      <c r="HW55" s="74">
        <f t="shared" ref="HW55:JT55" si="1443">HW282+HW389</f>
        <v>0</v>
      </c>
      <c r="HX55" s="74">
        <f t="shared" si="1443"/>
        <v>0</v>
      </c>
      <c r="HY55" s="74">
        <f t="shared" si="1443"/>
        <v>0</v>
      </c>
      <c r="HZ55" s="74">
        <f t="shared" si="1443"/>
        <v>-500</v>
      </c>
      <c r="IA55" s="74">
        <f t="shared" si="1443"/>
        <v>0</v>
      </c>
      <c r="IB55" s="74">
        <f t="shared" si="1443"/>
        <v>0</v>
      </c>
      <c r="IC55" s="74">
        <f t="shared" si="1443"/>
        <v>0</v>
      </c>
      <c r="ID55" s="74">
        <f t="shared" si="1443"/>
        <v>0</v>
      </c>
      <c r="IE55" s="792">
        <f t="shared" si="1443"/>
        <v>0</v>
      </c>
      <c r="IF55" s="841">
        <f t="shared" si="1443"/>
        <v>0</v>
      </c>
      <c r="IG55" s="263">
        <f t="shared" si="1443"/>
        <v>0</v>
      </c>
      <c r="IH55" s="842">
        <f t="shared" si="1443"/>
        <v>0</v>
      </c>
      <c r="II55" s="155">
        <f t="shared" si="1443"/>
        <v>0</v>
      </c>
      <c r="IJ55" s="74">
        <f t="shared" si="1443"/>
        <v>0</v>
      </c>
      <c r="IK55" s="74">
        <f t="shared" si="1443"/>
        <v>0</v>
      </c>
      <c r="IL55" s="74">
        <f t="shared" si="1443"/>
        <v>0</v>
      </c>
      <c r="IM55" s="74">
        <f t="shared" si="1443"/>
        <v>0</v>
      </c>
      <c r="IN55" s="74">
        <f t="shared" si="1443"/>
        <v>0</v>
      </c>
      <c r="IO55" s="74">
        <f t="shared" si="1443"/>
        <v>0</v>
      </c>
      <c r="IP55" s="74">
        <f t="shared" si="1443"/>
        <v>0</v>
      </c>
      <c r="IQ55" s="74">
        <f t="shared" si="1443"/>
        <v>0</v>
      </c>
      <c r="IR55" s="74">
        <f t="shared" si="1443"/>
        <v>0</v>
      </c>
      <c r="IS55" s="74">
        <f t="shared" si="1443"/>
        <v>0</v>
      </c>
      <c r="IT55" s="74">
        <f t="shared" si="1443"/>
        <v>0</v>
      </c>
      <c r="IU55" s="74">
        <f t="shared" si="1443"/>
        <v>0</v>
      </c>
      <c r="IV55" s="74">
        <f t="shared" si="1443"/>
        <v>0</v>
      </c>
      <c r="IW55" s="74">
        <f t="shared" si="1443"/>
        <v>0</v>
      </c>
      <c r="IX55" s="74">
        <f t="shared" si="1443"/>
        <v>0</v>
      </c>
      <c r="IY55" s="74">
        <f t="shared" si="1443"/>
        <v>0</v>
      </c>
      <c r="IZ55" s="74">
        <f t="shared" si="1443"/>
        <v>0</v>
      </c>
      <c r="JA55" s="74">
        <f t="shared" si="1443"/>
        <v>0</v>
      </c>
      <c r="JB55" s="74">
        <f t="shared" si="1443"/>
        <v>0</v>
      </c>
      <c r="JC55" s="74">
        <f t="shared" si="1443"/>
        <v>0</v>
      </c>
      <c r="JD55" s="74">
        <f t="shared" si="1443"/>
        <v>0</v>
      </c>
      <c r="JE55" s="74">
        <f t="shared" si="1443"/>
        <v>0</v>
      </c>
      <c r="JF55" s="74">
        <f t="shared" si="1443"/>
        <v>0</v>
      </c>
      <c r="JG55" s="74">
        <f t="shared" si="1443"/>
        <v>0</v>
      </c>
      <c r="JH55" s="74">
        <f t="shared" si="1443"/>
        <v>0</v>
      </c>
      <c r="JI55" s="74">
        <f t="shared" si="1443"/>
        <v>0</v>
      </c>
      <c r="JJ55" s="74">
        <f t="shared" si="1443"/>
        <v>0</v>
      </c>
      <c r="JK55" s="74">
        <f t="shared" si="1443"/>
        <v>0</v>
      </c>
      <c r="JL55" s="74">
        <f t="shared" si="1443"/>
        <v>0</v>
      </c>
      <c r="JM55" s="74">
        <f t="shared" si="1443"/>
        <v>0</v>
      </c>
      <c r="JN55" s="74">
        <f t="shared" si="1443"/>
        <v>0</v>
      </c>
      <c r="JO55" s="74">
        <f t="shared" si="1443"/>
        <v>0</v>
      </c>
      <c r="JP55" s="74">
        <f t="shared" si="1443"/>
        <v>0</v>
      </c>
      <c r="JQ55" s="74">
        <f t="shared" si="1443"/>
        <v>0</v>
      </c>
      <c r="JR55" s="74">
        <f t="shared" si="1443"/>
        <v>0</v>
      </c>
      <c r="JS55" s="74">
        <f t="shared" si="1443"/>
        <v>500</v>
      </c>
      <c r="JT55" s="382">
        <f t="shared" si="1443"/>
        <v>500</v>
      </c>
      <c r="JU55" s="671"/>
      <c r="JV55" s="492"/>
      <c r="JW55" s="490"/>
      <c r="JX55" s="549">
        <f>JX282+JX389</f>
        <v>0</v>
      </c>
      <c r="JY55" s="549">
        <f>JY282+JY389</f>
        <v>500</v>
      </c>
      <c r="JZ55" s="581">
        <f t="shared" si="42"/>
        <v>0</v>
      </c>
      <c r="KA55" s="581">
        <f t="shared" si="43"/>
        <v>-1000</v>
      </c>
      <c r="KB55" s="549">
        <f>KB282+KB389</f>
        <v>500</v>
      </c>
      <c r="KC55" s="709">
        <f t="shared" si="41"/>
        <v>0</v>
      </c>
      <c r="KD55" s="126" t="s">
        <v>53</v>
      </c>
      <c r="KE55" s="127" t="s">
        <v>525</v>
      </c>
      <c r="KF55" s="127">
        <f t="shared" ref="KF55:KK55" si="1444">SUM(KF14)</f>
        <v>33878600</v>
      </c>
      <c r="KG55" s="127">
        <f t="shared" si="1444"/>
        <v>32611980</v>
      </c>
      <c r="KH55" s="127">
        <f t="shared" si="1444"/>
        <v>29634908</v>
      </c>
      <c r="KI55" s="127" t="e">
        <f t="shared" si="1444"/>
        <v>#REF!</v>
      </c>
      <c r="KJ55" s="127">
        <f t="shared" si="1444"/>
        <v>32611980</v>
      </c>
      <c r="KK55" s="127">
        <f t="shared" si="1444"/>
        <v>29509457</v>
      </c>
    </row>
    <row r="56" spans="1:297" s="8" customFormat="1">
      <c r="A56" s="75" t="s">
        <v>89</v>
      </c>
      <c r="B56" s="72" t="s">
        <v>90</v>
      </c>
      <c r="C56" s="74">
        <f t="shared" ref="C56" si="1445">SUM(C390)+C283</f>
        <v>900000</v>
      </c>
      <c r="D56" s="549">
        <f t="shared" ref="D56:E56" si="1446">SUM(D390)+D283</f>
        <v>0</v>
      </c>
      <c r="E56" s="675">
        <f t="shared" si="1446"/>
        <v>0</v>
      </c>
      <c r="F56" s="549">
        <f t="shared" ref="F56:G56" si="1447">SUM(F390)+F283</f>
        <v>0</v>
      </c>
      <c r="G56" s="675">
        <f t="shared" si="1447"/>
        <v>0</v>
      </c>
      <c r="H56" s="549">
        <f t="shared" ref="H56:I56" si="1448">SUM(H390)+H283</f>
        <v>0</v>
      </c>
      <c r="I56" s="675">
        <f t="shared" si="1448"/>
        <v>0</v>
      </c>
      <c r="J56" s="549">
        <f t="shared" ref="J56:K56" si="1449">SUM(J390)+J283</f>
        <v>0</v>
      </c>
      <c r="K56" s="675">
        <f t="shared" si="1449"/>
        <v>0</v>
      </c>
      <c r="L56" s="549">
        <f t="shared" ref="L56:M56" si="1450">SUM(L390)+L283</f>
        <v>0</v>
      </c>
      <c r="M56" s="675">
        <f t="shared" si="1450"/>
        <v>0</v>
      </c>
      <c r="N56" s="549">
        <f t="shared" ref="N56:O56" si="1451">SUM(N390)+N283</f>
        <v>0</v>
      </c>
      <c r="O56" s="675">
        <f t="shared" si="1451"/>
        <v>0</v>
      </c>
      <c r="P56" s="549">
        <f t="shared" ref="P56:Q56" si="1452">SUM(P390)+P283</f>
        <v>0</v>
      </c>
      <c r="Q56" s="675">
        <f t="shared" si="1452"/>
        <v>0</v>
      </c>
      <c r="R56" s="549">
        <f t="shared" ref="R56:S56" si="1453">SUM(R390)+R283</f>
        <v>0</v>
      </c>
      <c r="S56" s="675">
        <f t="shared" si="1453"/>
        <v>0</v>
      </c>
      <c r="T56" s="549">
        <f t="shared" ref="T56:U56" si="1454">SUM(T390)+T283</f>
        <v>0</v>
      </c>
      <c r="U56" s="675">
        <f t="shared" si="1454"/>
        <v>0</v>
      </c>
      <c r="V56" s="549">
        <f t="shared" ref="V56:W56" si="1455">SUM(V390)+V283</f>
        <v>0</v>
      </c>
      <c r="W56" s="675">
        <f t="shared" si="1455"/>
        <v>0</v>
      </c>
      <c r="X56" s="549">
        <f t="shared" ref="X56:Y56" si="1456">SUM(X390)+X283</f>
        <v>0</v>
      </c>
      <c r="Y56" s="675">
        <f t="shared" si="1456"/>
        <v>0</v>
      </c>
      <c r="Z56" s="549">
        <f t="shared" ref="Z56:AA56" si="1457">SUM(Z390)+Z283</f>
        <v>0</v>
      </c>
      <c r="AA56" s="675">
        <f t="shared" si="1457"/>
        <v>0</v>
      </c>
      <c r="AB56" s="549">
        <f t="shared" ref="AB56:AC56" si="1458">SUM(AB390)+AB283</f>
        <v>0</v>
      </c>
      <c r="AC56" s="675">
        <f t="shared" si="1458"/>
        <v>0</v>
      </c>
      <c r="AD56" s="549">
        <f t="shared" ref="AD56:AE56" si="1459">SUM(AD390)+AD283</f>
        <v>0</v>
      </c>
      <c r="AE56" s="675">
        <f t="shared" si="1459"/>
        <v>0</v>
      </c>
      <c r="AF56" s="549">
        <f t="shared" ref="AF56:AI56" si="1460">SUM(AF390)+AF283</f>
        <v>0</v>
      </c>
      <c r="AG56" s="675">
        <f t="shared" si="1460"/>
        <v>0</v>
      </c>
      <c r="AH56" s="549">
        <f t="shared" si="1460"/>
        <v>0</v>
      </c>
      <c r="AI56" s="675">
        <f t="shared" si="1460"/>
        <v>0</v>
      </c>
      <c r="AJ56" s="549">
        <f t="shared" ref="AJ56:AK56" si="1461">SUM(AJ390)+AJ283</f>
        <v>0</v>
      </c>
      <c r="AK56" s="675">
        <f t="shared" si="1461"/>
        <v>0</v>
      </c>
      <c r="AL56" s="549">
        <f t="shared" ref="AL56:AM56" si="1462">SUM(AL390)+AL283</f>
        <v>0</v>
      </c>
      <c r="AM56" s="675">
        <f t="shared" si="1462"/>
        <v>0</v>
      </c>
      <c r="AN56" s="549">
        <f t="shared" ref="AN56:AO56" si="1463">SUM(AN390)+AN283</f>
        <v>0</v>
      </c>
      <c r="AO56" s="675">
        <f t="shared" si="1463"/>
        <v>0</v>
      </c>
      <c r="AP56" s="549">
        <f t="shared" ref="AP56:AQ56" si="1464">SUM(AP390)+AP283</f>
        <v>0</v>
      </c>
      <c r="AQ56" s="675">
        <f t="shared" si="1464"/>
        <v>0</v>
      </c>
      <c r="AR56" s="549">
        <f t="shared" ref="AR56:AS56" si="1465">SUM(AR390)+AR283</f>
        <v>0</v>
      </c>
      <c r="AS56" s="675">
        <f t="shared" si="1465"/>
        <v>0</v>
      </c>
      <c r="AT56" s="549">
        <f t="shared" ref="AT56:AU56" si="1466">SUM(AT390)+AT283</f>
        <v>0</v>
      </c>
      <c r="AU56" s="675">
        <f t="shared" si="1466"/>
        <v>0</v>
      </c>
      <c r="AV56" s="549">
        <f t="shared" ref="AV56:AW56" si="1467">SUM(AV390)+AV283</f>
        <v>0</v>
      </c>
      <c r="AW56" s="675">
        <f t="shared" si="1467"/>
        <v>0</v>
      </c>
      <c r="AX56" s="549">
        <f t="shared" ref="AX56:AY56" si="1468">SUM(AX390)+AX283</f>
        <v>0</v>
      </c>
      <c r="AY56" s="675">
        <f t="shared" si="1468"/>
        <v>0</v>
      </c>
      <c r="AZ56" s="549">
        <f t="shared" ref="AZ56:BA56" si="1469">SUM(AZ390)+AZ283</f>
        <v>0</v>
      </c>
      <c r="BA56" s="675">
        <f t="shared" si="1469"/>
        <v>0</v>
      </c>
      <c r="BB56" s="549">
        <f t="shared" ref="BB56:BC56" si="1470">SUM(BB390)+BB283</f>
        <v>0</v>
      </c>
      <c r="BC56" s="675">
        <f t="shared" si="1470"/>
        <v>0</v>
      </c>
      <c r="BD56" s="549">
        <f t="shared" ref="BD56:BE56" si="1471">SUM(BD390)+BD283</f>
        <v>0</v>
      </c>
      <c r="BE56" s="675">
        <f t="shared" si="1471"/>
        <v>0</v>
      </c>
      <c r="BF56" s="549">
        <f t="shared" ref="BF56:BG56" si="1472">SUM(BF390)+BF283</f>
        <v>0</v>
      </c>
      <c r="BG56" s="675">
        <f t="shared" si="1472"/>
        <v>0</v>
      </c>
      <c r="BH56" s="549">
        <f t="shared" ref="BH56:BI56" si="1473">SUM(BH390)+BH283</f>
        <v>0</v>
      </c>
      <c r="BI56" s="675">
        <f t="shared" si="1473"/>
        <v>0</v>
      </c>
      <c r="BJ56" s="549">
        <f t="shared" ref="BJ56:BK56" si="1474">SUM(BJ390)+BJ283</f>
        <v>0</v>
      </c>
      <c r="BK56" s="675">
        <f t="shared" si="1474"/>
        <v>0</v>
      </c>
      <c r="BL56" s="549">
        <f t="shared" ref="BL56:BM56" si="1475">SUM(BL390)+BL283</f>
        <v>0</v>
      </c>
      <c r="BM56" s="675">
        <f t="shared" si="1475"/>
        <v>0</v>
      </c>
      <c r="BN56" s="549">
        <f t="shared" ref="BN56:BO56" si="1476">SUM(BN390)+BN283</f>
        <v>0</v>
      </c>
      <c r="BO56" s="675">
        <f t="shared" si="1476"/>
        <v>0</v>
      </c>
      <c r="BP56" s="549">
        <f t="shared" ref="BP56:BQ56" si="1477">SUM(BP390)+BP283</f>
        <v>0</v>
      </c>
      <c r="BQ56" s="675">
        <f t="shared" si="1477"/>
        <v>0</v>
      </c>
      <c r="BR56" s="549">
        <f t="shared" ref="BR56:BS56" si="1478">SUM(BR390)+BR283</f>
        <v>0</v>
      </c>
      <c r="BS56" s="675">
        <f t="shared" si="1478"/>
        <v>0</v>
      </c>
      <c r="BT56" s="549">
        <f t="shared" ref="BT56:BU56" si="1479">SUM(BT390)+BT283</f>
        <v>0</v>
      </c>
      <c r="BU56" s="675">
        <f t="shared" si="1479"/>
        <v>0</v>
      </c>
      <c r="BV56" s="549">
        <f t="shared" ref="BV56:BW56" si="1480">SUM(BV390)+BV283</f>
        <v>0</v>
      </c>
      <c r="BW56" s="675">
        <f t="shared" si="1480"/>
        <v>0</v>
      </c>
      <c r="BX56" s="549">
        <f t="shared" ref="BX56:BY56" si="1481">SUM(BX390)+BX283</f>
        <v>0</v>
      </c>
      <c r="BY56" s="675">
        <f t="shared" si="1481"/>
        <v>0</v>
      </c>
      <c r="BZ56" s="549">
        <f t="shared" ref="BZ56:CA56" si="1482">SUM(BZ390)+BZ283</f>
        <v>0</v>
      </c>
      <c r="CA56" s="675">
        <f t="shared" si="1482"/>
        <v>0</v>
      </c>
      <c r="CB56" s="549">
        <f t="shared" ref="CB56:EC56" si="1483">SUM(CB390)+CB283</f>
        <v>0</v>
      </c>
      <c r="CC56" s="675">
        <f t="shared" si="1483"/>
        <v>0</v>
      </c>
      <c r="CD56" s="549">
        <f t="shared" si="1483"/>
        <v>0</v>
      </c>
      <c r="CE56" s="675">
        <f t="shared" si="1483"/>
        <v>0</v>
      </c>
      <c r="CF56" s="549">
        <f t="shared" si="1483"/>
        <v>0</v>
      </c>
      <c r="CG56" s="675">
        <f t="shared" si="1483"/>
        <v>0</v>
      </c>
      <c r="CH56" s="549">
        <f t="shared" si="1483"/>
        <v>0</v>
      </c>
      <c r="CI56" s="675">
        <f t="shared" si="1483"/>
        <v>0</v>
      </c>
      <c r="CJ56" s="549">
        <f t="shared" si="1483"/>
        <v>0</v>
      </c>
      <c r="CK56" s="675">
        <f t="shared" si="1483"/>
        <v>0</v>
      </c>
      <c r="CL56" s="549">
        <f t="shared" si="1483"/>
        <v>0</v>
      </c>
      <c r="CM56" s="675">
        <f t="shared" si="1483"/>
        <v>0</v>
      </c>
      <c r="CN56" s="549">
        <f t="shared" si="1483"/>
        <v>0</v>
      </c>
      <c r="CO56" s="675">
        <f t="shared" si="1483"/>
        <v>0</v>
      </c>
      <c r="CP56" s="549">
        <f t="shared" si="1483"/>
        <v>0</v>
      </c>
      <c r="CQ56" s="675">
        <f t="shared" si="1483"/>
        <v>0</v>
      </c>
      <c r="CR56" s="549">
        <f t="shared" si="1483"/>
        <v>0</v>
      </c>
      <c r="CS56" s="675">
        <f t="shared" si="1483"/>
        <v>0</v>
      </c>
      <c r="CT56" s="549">
        <f t="shared" si="1483"/>
        <v>0</v>
      </c>
      <c r="CU56" s="675">
        <f t="shared" si="1483"/>
        <v>0</v>
      </c>
      <c r="CV56" s="549">
        <f t="shared" si="1483"/>
        <v>0</v>
      </c>
      <c r="CW56" s="675">
        <f t="shared" si="1483"/>
        <v>0</v>
      </c>
      <c r="CX56" s="549">
        <f t="shared" si="1483"/>
        <v>0</v>
      </c>
      <c r="CY56" s="675">
        <f t="shared" si="1483"/>
        <v>0</v>
      </c>
      <c r="CZ56" s="549">
        <f t="shared" si="1483"/>
        <v>0</v>
      </c>
      <c r="DA56" s="675">
        <f t="shared" si="1483"/>
        <v>0</v>
      </c>
      <c r="DB56" s="549">
        <f t="shared" si="1483"/>
        <v>0</v>
      </c>
      <c r="DC56" s="675">
        <f t="shared" si="1483"/>
        <v>0</v>
      </c>
      <c r="DD56" s="549">
        <f t="shared" si="1483"/>
        <v>0</v>
      </c>
      <c r="DE56" s="675">
        <f t="shared" si="1483"/>
        <v>0</v>
      </c>
      <c r="DF56" s="549">
        <f t="shared" si="1483"/>
        <v>0</v>
      </c>
      <c r="DG56" s="675">
        <f t="shared" si="1483"/>
        <v>-100000</v>
      </c>
      <c r="DH56" s="549">
        <f t="shared" si="1483"/>
        <v>0</v>
      </c>
      <c r="DI56" s="675">
        <f t="shared" si="1483"/>
        <v>0</v>
      </c>
      <c r="DJ56" s="549">
        <f t="shared" si="1483"/>
        <v>0</v>
      </c>
      <c r="DK56" s="675">
        <f t="shared" si="1483"/>
        <v>0</v>
      </c>
      <c r="DL56" s="549">
        <f t="shared" si="1483"/>
        <v>0</v>
      </c>
      <c r="DM56" s="675">
        <f t="shared" si="1483"/>
        <v>0</v>
      </c>
      <c r="DN56" s="549">
        <f t="shared" si="1483"/>
        <v>0</v>
      </c>
      <c r="DO56" s="675">
        <f t="shared" si="1483"/>
        <v>0</v>
      </c>
      <c r="DP56" s="549">
        <f t="shared" si="1483"/>
        <v>0</v>
      </c>
      <c r="DQ56" s="675">
        <f t="shared" si="1483"/>
        <v>0</v>
      </c>
      <c r="DR56" s="549">
        <f t="shared" si="1483"/>
        <v>0</v>
      </c>
      <c r="DS56" s="675">
        <f t="shared" si="1483"/>
        <v>0</v>
      </c>
      <c r="DT56" s="549">
        <f t="shared" si="1483"/>
        <v>0</v>
      </c>
      <c r="DU56" s="675">
        <f t="shared" si="1483"/>
        <v>0</v>
      </c>
      <c r="DV56" s="549">
        <f t="shared" si="1483"/>
        <v>0</v>
      </c>
      <c r="DW56" s="675">
        <f t="shared" si="1483"/>
        <v>0</v>
      </c>
      <c r="DX56" s="549">
        <f t="shared" si="1483"/>
        <v>0</v>
      </c>
      <c r="DY56" s="675">
        <f t="shared" si="1483"/>
        <v>0</v>
      </c>
      <c r="DZ56" s="549">
        <f t="shared" si="1483"/>
        <v>0</v>
      </c>
      <c r="EA56" s="675">
        <f t="shared" si="1483"/>
        <v>0</v>
      </c>
      <c r="EB56" s="549">
        <f t="shared" si="1483"/>
        <v>0</v>
      </c>
      <c r="EC56" s="675">
        <f t="shared" si="1483"/>
        <v>0</v>
      </c>
      <c r="ED56" s="549">
        <f t="shared" ref="ED56:EE56" si="1484">SUM(ED390)+ED283</f>
        <v>0</v>
      </c>
      <c r="EE56" s="675">
        <f t="shared" si="1484"/>
        <v>0</v>
      </c>
      <c r="EF56" s="549">
        <f t="shared" ref="EF56:HV56" si="1485">SUM(EF390)+EF283</f>
        <v>0</v>
      </c>
      <c r="EG56" s="675">
        <f t="shared" si="1485"/>
        <v>0</v>
      </c>
      <c r="EH56" s="549">
        <f t="shared" si="1485"/>
        <v>0</v>
      </c>
      <c r="EI56" s="675">
        <f t="shared" si="1485"/>
        <v>0</v>
      </c>
      <c r="EJ56" s="549">
        <f t="shared" si="1485"/>
        <v>0</v>
      </c>
      <c r="EK56" s="675">
        <f t="shared" si="1485"/>
        <v>0</v>
      </c>
      <c r="EL56" s="549">
        <f t="shared" si="1485"/>
        <v>0</v>
      </c>
      <c r="EM56" s="675">
        <f t="shared" si="1485"/>
        <v>0</v>
      </c>
      <c r="EN56" s="549">
        <f t="shared" si="1485"/>
        <v>0</v>
      </c>
      <c r="EO56" s="675">
        <f t="shared" si="1485"/>
        <v>0</v>
      </c>
      <c r="EP56" s="549">
        <f t="shared" si="1485"/>
        <v>0</v>
      </c>
      <c r="EQ56" s="675">
        <f t="shared" si="1485"/>
        <v>0</v>
      </c>
      <c r="ER56" s="549">
        <f t="shared" si="1485"/>
        <v>0</v>
      </c>
      <c r="ES56" s="675">
        <f t="shared" si="1485"/>
        <v>0</v>
      </c>
      <c r="ET56" s="549">
        <f t="shared" si="1485"/>
        <v>0</v>
      </c>
      <c r="EU56" s="675">
        <f t="shared" si="1485"/>
        <v>0</v>
      </c>
      <c r="EV56" s="549">
        <f t="shared" si="1485"/>
        <v>0</v>
      </c>
      <c r="EW56" s="675">
        <f t="shared" si="1485"/>
        <v>0</v>
      </c>
      <c r="EX56" s="549">
        <f t="shared" si="1485"/>
        <v>0</v>
      </c>
      <c r="EY56" s="675">
        <f t="shared" si="1485"/>
        <v>0</v>
      </c>
      <c r="EZ56" s="549">
        <f t="shared" si="1485"/>
        <v>0</v>
      </c>
      <c r="FA56" s="675">
        <f t="shared" si="1485"/>
        <v>0</v>
      </c>
      <c r="FB56" s="549">
        <f t="shared" si="1485"/>
        <v>0</v>
      </c>
      <c r="FC56" s="675">
        <f t="shared" si="1485"/>
        <v>0</v>
      </c>
      <c r="FD56" s="549">
        <f t="shared" si="1485"/>
        <v>0</v>
      </c>
      <c r="FE56" s="675">
        <f t="shared" si="1485"/>
        <v>0</v>
      </c>
      <c r="FF56" s="549">
        <f t="shared" si="1485"/>
        <v>0</v>
      </c>
      <c r="FG56" s="675">
        <f t="shared" si="1485"/>
        <v>0</v>
      </c>
      <c r="FH56" s="549">
        <f t="shared" si="1485"/>
        <v>0</v>
      </c>
      <c r="FI56" s="675">
        <f t="shared" si="1485"/>
        <v>0</v>
      </c>
      <c r="FJ56" s="549">
        <f t="shared" si="1485"/>
        <v>0</v>
      </c>
      <c r="FK56" s="675">
        <f t="shared" si="1485"/>
        <v>0</v>
      </c>
      <c r="FL56" s="549">
        <f t="shared" ref="FL56:FM56" si="1486">SUM(FL390)+FL283</f>
        <v>0</v>
      </c>
      <c r="FM56" s="675">
        <f t="shared" si="1486"/>
        <v>0</v>
      </c>
      <c r="FN56" s="549">
        <f t="shared" ref="FN56:FO56" si="1487">SUM(FN390)+FN283</f>
        <v>0</v>
      </c>
      <c r="FO56" s="675">
        <f t="shared" si="1487"/>
        <v>0</v>
      </c>
      <c r="FP56" s="549">
        <f t="shared" ref="FP56:FQ56" si="1488">SUM(FP390)+FP283</f>
        <v>0</v>
      </c>
      <c r="FQ56" s="675">
        <f t="shared" si="1488"/>
        <v>0</v>
      </c>
      <c r="FR56" s="549">
        <f t="shared" ref="FR56:FS56" si="1489">SUM(FR390)+FR283</f>
        <v>0</v>
      </c>
      <c r="FS56" s="675">
        <f t="shared" si="1489"/>
        <v>0</v>
      </c>
      <c r="FT56" s="549">
        <f t="shared" ref="FT56:FU56" si="1490">SUM(FT390)+FT283</f>
        <v>0</v>
      </c>
      <c r="FU56" s="675">
        <f t="shared" si="1490"/>
        <v>0</v>
      </c>
      <c r="FV56" s="549">
        <f t="shared" ref="FV56:GK56" si="1491">SUM(FV390)+FV283</f>
        <v>0</v>
      </c>
      <c r="FW56" s="675">
        <f t="shared" si="1491"/>
        <v>0</v>
      </c>
      <c r="FX56" s="549">
        <f t="shared" si="1491"/>
        <v>0</v>
      </c>
      <c r="FY56" s="675">
        <f t="shared" si="1491"/>
        <v>0</v>
      </c>
      <c r="FZ56" s="549">
        <f t="shared" ref="FZ56:GI56" si="1492">SUM(FZ390)+FZ283</f>
        <v>0</v>
      </c>
      <c r="GA56" s="675">
        <f t="shared" si="1492"/>
        <v>0</v>
      </c>
      <c r="GB56" s="549">
        <f t="shared" si="1492"/>
        <v>0</v>
      </c>
      <c r="GC56" s="675">
        <f t="shared" si="1492"/>
        <v>0</v>
      </c>
      <c r="GD56" s="549">
        <f t="shared" si="1492"/>
        <v>0</v>
      </c>
      <c r="GE56" s="675">
        <f t="shared" si="1492"/>
        <v>0</v>
      </c>
      <c r="GF56" s="549">
        <f t="shared" si="1492"/>
        <v>0</v>
      </c>
      <c r="GG56" s="675">
        <f t="shared" si="1492"/>
        <v>0</v>
      </c>
      <c r="GH56" s="549">
        <f t="shared" si="1492"/>
        <v>0</v>
      </c>
      <c r="GI56" s="675">
        <f t="shared" si="1492"/>
        <v>0</v>
      </c>
      <c r="GJ56" s="549">
        <f t="shared" si="1491"/>
        <v>0</v>
      </c>
      <c r="GK56" s="675">
        <f t="shared" si="1491"/>
        <v>0</v>
      </c>
      <c r="GL56" s="549">
        <f t="shared" ref="GL56:GM56" si="1493">SUM(GL390)+GL283</f>
        <v>0</v>
      </c>
      <c r="GM56" s="675">
        <f t="shared" si="1493"/>
        <v>0</v>
      </c>
      <c r="GN56" s="549">
        <f t="shared" ref="GN56:GO56" si="1494">SUM(GN390)+GN283</f>
        <v>0</v>
      </c>
      <c r="GO56" s="675">
        <f t="shared" si="1494"/>
        <v>0</v>
      </c>
      <c r="GP56" s="74">
        <f t="shared" si="1485"/>
        <v>0</v>
      </c>
      <c r="GQ56" s="675">
        <f t="shared" si="1485"/>
        <v>-100000</v>
      </c>
      <c r="GR56" s="74">
        <f t="shared" si="1485"/>
        <v>800000</v>
      </c>
      <c r="GS56" s="74">
        <f t="shared" si="1485"/>
        <v>718182</v>
      </c>
      <c r="GT56" s="549">
        <f t="shared" si="1485"/>
        <v>800000</v>
      </c>
      <c r="GU56" s="74">
        <f>SUM(GU390)+GU283</f>
        <v>81820</v>
      </c>
      <c r="GV56" s="74">
        <f t="shared" si="1485"/>
        <v>81818</v>
      </c>
      <c r="GW56" s="549">
        <f t="shared" si="1485"/>
        <v>81818</v>
      </c>
      <c r="GX56" s="549">
        <f t="shared" si="1485"/>
        <v>81818</v>
      </c>
      <c r="GY56" s="74">
        <f t="shared" si="1485"/>
        <v>81818</v>
      </c>
      <c r="GZ56" s="74">
        <f t="shared" si="1485"/>
        <v>81818</v>
      </c>
      <c r="HA56" s="74">
        <f t="shared" si="1485"/>
        <v>81818</v>
      </c>
      <c r="HB56" s="74">
        <f t="shared" si="1485"/>
        <v>81818</v>
      </c>
      <c r="HC56" s="74">
        <f t="shared" si="1485"/>
        <v>81818</v>
      </c>
      <c r="HD56" s="74">
        <f t="shared" si="1485"/>
        <v>81818</v>
      </c>
      <c r="HE56" s="74">
        <f t="shared" si="1485"/>
        <v>81818</v>
      </c>
      <c r="HF56" s="74">
        <f t="shared" si="1485"/>
        <v>0</v>
      </c>
      <c r="HG56" s="74">
        <f t="shared" si="1485"/>
        <v>718182</v>
      </c>
      <c r="HH56" s="74">
        <f t="shared" si="1485"/>
        <v>0</v>
      </c>
      <c r="HI56" s="74">
        <f t="shared" si="1485"/>
        <v>0</v>
      </c>
      <c r="HJ56" s="74">
        <f t="shared" si="1485"/>
        <v>0</v>
      </c>
      <c r="HK56" s="74">
        <f t="shared" si="1485"/>
        <v>163638</v>
      </c>
      <c r="HL56" s="74">
        <f t="shared" si="1485"/>
        <v>0</v>
      </c>
      <c r="HM56" s="74">
        <f t="shared" si="1485"/>
        <v>81818</v>
      </c>
      <c r="HN56" s="74">
        <f t="shared" si="1485"/>
        <v>0</v>
      </c>
      <c r="HO56" s="74">
        <f t="shared" si="1485"/>
        <v>81818</v>
      </c>
      <c r="HP56" s="74">
        <f t="shared" si="1485"/>
        <v>0</v>
      </c>
      <c r="HQ56" s="74">
        <f t="shared" si="1485"/>
        <v>81818</v>
      </c>
      <c r="HR56" s="74">
        <f t="shared" si="1485"/>
        <v>0</v>
      </c>
      <c r="HS56" s="74">
        <f t="shared" si="1485"/>
        <v>81818</v>
      </c>
      <c r="HT56" s="74">
        <f t="shared" si="1485"/>
        <v>0</v>
      </c>
      <c r="HU56" s="74">
        <f t="shared" si="1485"/>
        <v>81818.000000000029</v>
      </c>
      <c r="HV56" s="74">
        <f t="shared" si="1485"/>
        <v>0</v>
      </c>
      <c r="HW56" s="74">
        <f t="shared" ref="HW56:JT56" si="1495">SUM(HW390)+HW283</f>
        <v>81818</v>
      </c>
      <c r="HX56" s="74">
        <f t="shared" si="1495"/>
        <v>0</v>
      </c>
      <c r="HY56" s="74">
        <f t="shared" si="1495"/>
        <v>81818</v>
      </c>
      <c r="HZ56" s="74">
        <f t="shared" si="1495"/>
        <v>0</v>
      </c>
      <c r="IA56" s="74">
        <f t="shared" si="1495"/>
        <v>81818</v>
      </c>
      <c r="IB56" s="74">
        <f t="shared" si="1495"/>
        <v>0</v>
      </c>
      <c r="IC56" s="74">
        <f t="shared" si="1495"/>
        <v>0</v>
      </c>
      <c r="ID56" s="74">
        <f t="shared" si="1495"/>
        <v>0</v>
      </c>
      <c r="IE56" s="792">
        <f t="shared" si="1495"/>
        <v>0</v>
      </c>
      <c r="IF56" s="841">
        <f t="shared" si="1495"/>
        <v>502588.56</v>
      </c>
      <c r="IG56" s="263">
        <f t="shared" si="1495"/>
        <v>502588.56</v>
      </c>
      <c r="IH56" s="842">
        <f t="shared" si="1495"/>
        <v>502588.56</v>
      </c>
      <c r="II56" s="155">
        <f t="shared" si="1495"/>
        <v>0</v>
      </c>
      <c r="IJ56" s="74">
        <f t="shared" si="1495"/>
        <v>0</v>
      </c>
      <c r="IK56" s="74">
        <f t="shared" si="1495"/>
        <v>0</v>
      </c>
      <c r="IL56" s="74">
        <f t="shared" si="1495"/>
        <v>8344.68</v>
      </c>
      <c r="IM56" s="74">
        <f t="shared" si="1495"/>
        <v>8344.68</v>
      </c>
      <c r="IN56" s="74">
        <f t="shared" si="1495"/>
        <v>8344.68</v>
      </c>
      <c r="IO56" s="74">
        <f t="shared" si="1495"/>
        <v>0</v>
      </c>
      <c r="IP56" s="74">
        <f t="shared" si="1495"/>
        <v>0</v>
      </c>
      <c r="IQ56" s="74">
        <f t="shared" si="1495"/>
        <v>0</v>
      </c>
      <c r="IR56" s="74">
        <f t="shared" si="1495"/>
        <v>0</v>
      </c>
      <c r="IS56" s="74">
        <f t="shared" si="1495"/>
        <v>0</v>
      </c>
      <c r="IT56" s="74">
        <f t="shared" si="1495"/>
        <v>0</v>
      </c>
      <c r="IU56" s="74">
        <f t="shared" si="1495"/>
        <v>131524.64000000001</v>
      </c>
      <c r="IV56" s="74">
        <f t="shared" si="1495"/>
        <v>131524.64000000001</v>
      </c>
      <c r="IW56" s="74">
        <f t="shared" si="1495"/>
        <v>131524.64000000001</v>
      </c>
      <c r="IX56" s="74">
        <f t="shared" si="1495"/>
        <v>79934.81</v>
      </c>
      <c r="IY56" s="74">
        <f t="shared" si="1495"/>
        <v>79934.81</v>
      </c>
      <c r="IZ56" s="74">
        <f t="shared" si="1495"/>
        <v>79934.81</v>
      </c>
      <c r="JA56" s="74">
        <f t="shared" si="1495"/>
        <v>78646.159999999974</v>
      </c>
      <c r="JB56" s="74">
        <f t="shared" si="1495"/>
        <v>78646.159999999974</v>
      </c>
      <c r="JC56" s="74">
        <f t="shared" si="1495"/>
        <v>78646.159999999974</v>
      </c>
      <c r="JD56" s="74">
        <f t="shared" si="1495"/>
        <v>69669.520000000019</v>
      </c>
      <c r="JE56" s="74">
        <f t="shared" si="1495"/>
        <v>69669.520000000019</v>
      </c>
      <c r="JF56" s="74">
        <f t="shared" si="1495"/>
        <v>69669.520000000019</v>
      </c>
      <c r="JG56" s="74">
        <f t="shared" si="1495"/>
        <v>60935.530000000028</v>
      </c>
      <c r="JH56" s="74">
        <f t="shared" si="1495"/>
        <v>60935.530000000028</v>
      </c>
      <c r="JI56" s="74">
        <f t="shared" si="1495"/>
        <v>60935.530000000028</v>
      </c>
      <c r="JJ56" s="74">
        <f t="shared" si="1495"/>
        <v>73533.219999999972</v>
      </c>
      <c r="JK56" s="74">
        <f t="shared" si="1495"/>
        <v>73533.219999999972</v>
      </c>
      <c r="JL56" s="74">
        <f t="shared" si="1495"/>
        <v>73533.219999999972</v>
      </c>
      <c r="JM56" s="74">
        <f t="shared" si="1495"/>
        <v>0</v>
      </c>
      <c r="JN56" s="74">
        <f t="shared" si="1495"/>
        <v>0</v>
      </c>
      <c r="JO56" s="74">
        <f t="shared" si="1495"/>
        <v>0</v>
      </c>
      <c r="JP56" s="74">
        <f t="shared" si="1495"/>
        <v>0</v>
      </c>
      <c r="JQ56" s="74">
        <f t="shared" si="1495"/>
        <v>0</v>
      </c>
      <c r="JR56" s="74">
        <f t="shared" si="1495"/>
        <v>0</v>
      </c>
      <c r="JS56" s="74">
        <f t="shared" si="1495"/>
        <v>215593.44</v>
      </c>
      <c r="JT56" s="382">
        <f t="shared" si="1495"/>
        <v>215593.44</v>
      </c>
      <c r="JU56" s="671"/>
      <c r="JV56" s="492"/>
      <c r="JW56" s="490"/>
      <c r="JX56" s="549">
        <f>SUM(JX390)+JX283</f>
        <v>0</v>
      </c>
      <c r="JY56" s="549">
        <f>SUM(JY390)+JY283</f>
        <v>818182</v>
      </c>
      <c r="JZ56" s="581">
        <f t="shared" si="42"/>
        <v>0</v>
      </c>
      <c r="KA56" s="581">
        <f t="shared" si="43"/>
        <v>-100000</v>
      </c>
      <c r="KB56" s="549">
        <f>SUM(KB390)+KB283</f>
        <v>718182</v>
      </c>
      <c r="KC56" s="709">
        <f t="shared" si="41"/>
        <v>0</v>
      </c>
      <c r="KD56" s="126" t="s">
        <v>55</v>
      </c>
      <c r="KE56" s="127" t="s">
        <v>526</v>
      </c>
      <c r="KF56" s="127" t="e">
        <f>KF15+KF38</f>
        <v>#REF!</v>
      </c>
      <c r="KG56" s="127">
        <f>KG15</f>
        <v>0</v>
      </c>
      <c r="KH56" s="127">
        <f>KH15</f>
        <v>0</v>
      </c>
      <c r="KI56" s="127" t="e">
        <f>KI15+KI38</f>
        <v>#REF!</v>
      </c>
      <c r="KJ56" s="127" t="e">
        <f>KJ15+KJ38</f>
        <v>#REF!</v>
      </c>
      <c r="KK56" s="127" t="e">
        <f>KK15+KK38</f>
        <v>#REF!</v>
      </c>
    </row>
    <row r="57" spans="1:297" s="8" customFormat="1">
      <c r="A57" s="75" t="s">
        <v>91</v>
      </c>
      <c r="B57" s="72" t="s">
        <v>92</v>
      </c>
      <c r="C57" s="74">
        <f t="shared" ref="C57:BP57" si="1496">SUM(C391,C284)</f>
        <v>50000</v>
      </c>
      <c r="D57" s="549">
        <f t="shared" si="1496"/>
        <v>0</v>
      </c>
      <c r="E57" s="675">
        <f t="shared" si="1496"/>
        <v>0</v>
      </c>
      <c r="F57" s="549">
        <f t="shared" si="1496"/>
        <v>0</v>
      </c>
      <c r="G57" s="675">
        <f t="shared" si="1496"/>
        <v>0</v>
      </c>
      <c r="H57" s="549">
        <f t="shared" si="1496"/>
        <v>0</v>
      </c>
      <c r="I57" s="675">
        <f t="shared" si="1496"/>
        <v>0</v>
      </c>
      <c r="J57" s="549">
        <f t="shared" si="1496"/>
        <v>0</v>
      </c>
      <c r="K57" s="675">
        <f t="shared" si="1496"/>
        <v>0</v>
      </c>
      <c r="L57" s="549">
        <f t="shared" si="1496"/>
        <v>0</v>
      </c>
      <c r="M57" s="675">
        <f t="shared" si="1496"/>
        <v>0</v>
      </c>
      <c r="N57" s="549">
        <f t="shared" si="1496"/>
        <v>0</v>
      </c>
      <c r="O57" s="675">
        <f t="shared" si="1496"/>
        <v>0</v>
      </c>
      <c r="P57" s="549">
        <f t="shared" si="1496"/>
        <v>0</v>
      </c>
      <c r="Q57" s="675">
        <f t="shared" si="1496"/>
        <v>0</v>
      </c>
      <c r="R57" s="549">
        <f t="shared" si="1496"/>
        <v>0</v>
      </c>
      <c r="S57" s="675">
        <f t="shared" si="1496"/>
        <v>0</v>
      </c>
      <c r="T57" s="549">
        <f t="shared" si="1496"/>
        <v>0</v>
      </c>
      <c r="U57" s="675">
        <f t="shared" si="1496"/>
        <v>0</v>
      </c>
      <c r="V57" s="549">
        <f t="shared" si="1496"/>
        <v>0</v>
      </c>
      <c r="W57" s="675">
        <f t="shared" si="1496"/>
        <v>0</v>
      </c>
      <c r="X57" s="549">
        <f t="shared" si="1496"/>
        <v>0</v>
      </c>
      <c r="Y57" s="675">
        <f t="shared" si="1496"/>
        <v>0</v>
      </c>
      <c r="Z57" s="549">
        <f t="shared" si="1496"/>
        <v>0</v>
      </c>
      <c r="AA57" s="675">
        <f t="shared" si="1496"/>
        <v>0</v>
      </c>
      <c r="AB57" s="549">
        <f t="shared" si="1496"/>
        <v>0</v>
      </c>
      <c r="AC57" s="675">
        <f t="shared" si="1496"/>
        <v>0</v>
      </c>
      <c r="AD57" s="549">
        <f t="shared" si="1496"/>
        <v>0</v>
      </c>
      <c r="AE57" s="675">
        <f t="shared" si="1496"/>
        <v>0</v>
      </c>
      <c r="AF57" s="549">
        <f t="shared" si="1496"/>
        <v>0</v>
      </c>
      <c r="AG57" s="675">
        <f t="shared" si="1496"/>
        <v>0</v>
      </c>
      <c r="AH57" s="549">
        <f t="shared" si="1496"/>
        <v>0</v>
      </c>
      <c r="AI57" s="675">
        <f t="shared" si="1496"/>
        <v>0</v>
      </c>
      <c r="AJ57" s="549">
        <f t="shared" si="1496"/>
        <v>0</v>
      </c>
      <c r="AK57" s="675">
        <f t="shared" si="1496"/>
        <v>0</v>
      </c>
      <c r="AL57" s="549">
        <f t="shared" si="1496"/>
        <v>0</v>
      </c>
      <c r="AM57" s="675">
        <f t="shared" si="1496"/>
        <v>0</v>
      </c>
      <c r="AN57" s="549">
        <f t="shared" si="1496"/>
        <v>0</v>
      </c>
      <c r="AO57" s="675">
        <f t="shared" si="1496"/>
        <v>0</v>
      </c>
      <c r="AP57" s="549">
        <f t="shared" si="1496"/>
        <v>0</v>
      </c>
      <c r="AQ57" s="675">
        <f t="shared" si="1496"/>
        <v>0</v>
      </c>
      <c r="AR57" s="549">
        <f t="shared" si="1496"/>
        <v>0</v>
      </c>
      <c r="AS57" s="675">
        <f t="shared" si="1496"/>
        <v>0</v>
      </c>
      <c r="AT57" s="549">
        <f t="shared" ref="AT57:AU57" si="1497">SUM(AT391,AT284)</f>
        <v>0</v>
      </c>
      <c r="AU57" s="675">
        <f t="shared" si="1497"/>
        <v>0</v>
      </c>
      <c r="AV57" s="549">
        <f t="shared" ref="AV57:AW57" si="1498">SUM(AV391,AV284)</f>
        <v>0</v>
      </c>
      <c r="AW57" s="675">
        <f t="shared" si="1498"/>
        <v>0</v>
      </c>
      <c r="AX57" s="549">
        <f t="shared" ref="AX57:AY57" si="1499">SUM(AX391,AX284)</f>
        <v>0</v>
      </c>
      <c r="AY57" s="675">
        <f t="shared" si="1499"/>
        <v>0</v>
      </c>
      <c r="AZ57" s="549">
        <f t="shared" ref="AZ57:BA57" si="1500">SUM(AZ391,AZ284)</f>
        <v>0</v>
      </c>
      <c r="BA57" s="675">
        <f t="shared" si="1500"/>
        <v>0</v>
      </c>
      <c r="BB57" s="549">
        <f t="shared" ref="BB57:BC57" si="1501">SUM(BB391,BB284)</f>
        <v>0</v>
      </c>
      <c r="BC57" s="675">
        <f t="shared" si="1501"/>
        <v>0</v>
      </c>
      <c r="BD57" s="549">
        <f t="shared" ref="BD57:BE57" si="1502">SUM(BD391,BD284)</f>
        <v>0</v>
      </c>
      <c r="BE57" s="675">
        <f t="shared" si="1502"/>
        <v>0</v>
      </c>
      <c r="BF57" s="549">
        <f t="shared" ref="BF57:BG57" si="1503">SUM(BF391,BF284)</f>
        <v>0</v>
      </c>
      <c r="BG57" s="675">
        <f t="shared" si="1503"/>
        <v>0</v>
      </c>
      <c r="BH57" s="549">
        <f t="shared" ref="BH57:BI57" si="1504">SUM(BH391,BH284)</f>
        <v>0</v>
      </c>
      <c r="BI57" s="675">
        <f t="shared" si="1504"/>
        <v>0</v>
      </c>
      <c r="BJ57" s="549">
        <f t="shared" ref="BJ57:BK57" si="1505">SUM(BJ391,BJ284)</f>
        <v>0</v>
      </c>
      <c r="BK57" s="675">
        <f t="shared" si="1505"/>
        <v>0</v>
      </c>
      <c r="BL57" s="549">
        <f t="shared" si="1496"/>
        <v>0</v>
      </c>
      <c r="BM57" s="675">
        <f t="shared" si="1496"/>
        <v>0</v>
      </c>
      <c r="BN57" s="549">
        <f t="shared" si="1496"/>
        <v>0</v>
      </c>
      <c r="BO57" s="675">
        <f t="shared" si="1496"/>
        <v>0</v>
      </c>
      <c r="BP57" s="549">
        <f t="shared" si="1496"/>
        <v>0</v>
      </c>
      <c r="BQ57" s="675">
        <f t="shared" ref="BQ57" si="1506">SUM(BQ391,BQ284)</f>
        <v>0</v>
      </c>
      <c r="BR57" s="549">
        <f t="shared" ref="BR57:BS57" si="1507">SUM(BR391,BR284)</f>
        <v>0</v>
      </c>
      <c r="BS57" s="675">
        <f t="shared" si="1507"/>
        <v>0</v>
      </c>
      <c r="BT57" s="549">
        <f t="shared" ref="BT57:BU57" si="1508">SUM(BT391,BT284)</f>
        <v>0</v>
      </c>
      <c r="BU57" s="675">
        <f t="shared" si="1508"/>
        <v>0</v>
      </c>
      <c r="BV57" s="549">
        <f t="shared" ref="BV57:BW57" si="1509">SUM(BV391,BV284)</f>
        <v>0</v>
      </c>
      <c r="BW57" s="675">
        <f t="shared" si="1509"/>
        <v>0</v>
      </c>
      <c r="BX57" s="549">
        <f t="shared" ref="BX57:BY57" si="1510">SUM(BX391,BX284)</f>
        <v>0</v>
      </c>
      <c r="BY57" s="675">
        <f t="shared" si="1510"/>
        <v>0</v>
      </c>
      <c r="BZ57" s="549">
        <f t="shared" ref="BZ57:CA57" si="1511">SUM(BZ391,BZ284)</f>
        <v>0</v>
      </c>
      <c r="CA57" s="675">
        <f t="shared" si="1511"/>
        <v>0</v>
      </c>
      <c r="CB57" s="549">
        <f t="shared" ref="CB57:EC57" si="1512">SUM(CB391,CB284)</f>
        <v>0</v>
      </c>
      <c r="CC57" s="675">
        <f t="shared" si="1512"/>
        <v>0</v>
      </c>
      <c r="CD57" s="549">
        <f t="shared" si="1512"/>
        <v>0</v>
      </c>
      <c r="CE57" s="675">
        <f t="shared" si="1512"/>
        <v>0</v>
      </c>
      <c r="CF57" s="549">
        <f t="shared" si="1512"/>
        <v>0</v>
      </c>
      <c r="CG57" s="675">
        <f t="shared" si="1512"/>
        <v>0</v>
      </c>
      <c r="CH57" s="549">
        <f t="shared" si="1512"/>
        <v>0</v>
      </c>
      <c r="CI57" s="675">
        <f t="shared" si="1512"/>
        <v>0</v>
      </c>
      <c r="CJ57" s="549">
        <f t="shared" si="1512"/>
        <v>0</v>
      </c>
      <c r="CK57" s="675">
        <f t="shared" si="1512"/>
        <v>0</v>
      </c>
      <c r="CL57" s="549">
        <f t="shared" si="1512"/>
        <v>0</v>
      </c>
      <c r="CM57" s="675">
        <f t="shared" si="1512"/>
        <v>0</v>
      </c>
      <c r="CN57" s="549">
        <f t="shared" si="1512"/>
        <v>0</v>
      </c>
      <c r="CO57" s="675">
        <f t="shared" si="1512"/>
        <v>0</v>
      </c>
      <c r="CP57" s="549">
        <f t="shared" si="1512"/>
        <v>0</v>
      </c>
      <c r="CQ57" s="675">
        <f t="shared" si="1512"/>
        <v>0</v>
      </c>
      <c r="CR57" s="549">
        <f t="shared" si="1512"/>
        <v>0</v>
      </c>
      <c r="CS57" s="675">
        <f t="shared" si="1512"/>
        <v>0</v>
      </c>
      <c r="CT57" s="549">
        <f t="shared" si="1512"/>
        <v>0</v>
      </c>
      <c r="CU57" s="675">
        <f t="shared" si="1512"/>
        <v>0</v>
      </c>
      <c r="CV57" s="549">
        <f t="shared" si="1512"/>
        <v>0</v>
      </c>
      <c r="CW57" s="675">
        <f t="shared" si="1512"/>
        <v>0</v>
      </c>
      <c r="CX57" s="549">
        <f t="shared" si="1512"/>
        <v>0</v>
      </c>
      <c r="CY57" s="675">
        <f t="shared" si="1512"/>
        <v>0</v>
      </c>
      <c r="CZ57" s="549">
        <f t="shared" si="1512"/>
        <v>0</v>
      </c>
      <c r="DA57" s="675">
        <f t="shared" si="1512"/>
        <v>0</v>
      </c>
      <c r="DB57" s="549">
        <f t="shared" si="1512"/>
        <v>0</v>
      </c>
      <c r="DC57" s="675">
        <f t="shared" si="1512"/>
        <v>0</v>
      </c>
      <c r="DD57" s="549">
        <f t="shared" si="1512"/>
        <v>0</v>
      </c>
      <c r="DE57" s="675">
        <f t="shared" si="1512"/>
        <v>0</v>
      </c>
      <c r="DF57" s="549">
        <f t="shared" si="1512"/>
        <v>0</v>
      </c>
      <c r="DG57" s="675">
        <f t="shared" si="1512"/>
        <v>0</v>
      </c>
      <c r="DH57" s="549">
        <f t="shared" si="1512"/>
        <v>0</v>
      </c>
      <c r="DI57" s="675">
        <f t="shared" si="1512"/>
        <v>0</v>
      </c>
      <c r="DJ57" s="549">
        <f t="shared" si="1512"/>
        <v>0</v>
      </c>
      <c r="DK57" s="675">
        <f t="shared" si="1512"/>
        <v>0</v>
      </c>
      <c r="DL57" s="549">
        <f t="shared" si="1512"/>
        <v>0</v>
      </c>
      <c r="DM57" s="675">
        <f t="shared" si="1512"/>
        <v>0</v>
      </c>
      <c r="DN57" s="549">
        <f t="shared" si="1512"/>
        <v>0</v>
      </c>
      <c r="DO57" s="675">
        <f t="shared" si="1512"/>
        <v>0</v>
      </c>
      <c r="DP57" s="549">
        <f t="shared" si="1512"/>
        <v>0</v>
      </c>
      <c r="DQ57" s="675">
        <f t="shared" si="1512"/>
        <v>0</v>
      </c>
      <c r="DR57" s="549">
        <f t="shared" si="1512"/>
        <v>0</v>
      </c>
      <c r="DS57" s="675">
        <f t="shared" si="1512"/>
        <v>0</v>
      </c>
      <c r="DT57" s="549">
        <f t="shared" si="1512"/>
        <v>0</v>
      </c>
      <c r="DU57" s="675">
        <f t="shared" si="1512"/>
        <v>0</v>
      </c>
      <c r="DV57" s="549">
        <f t="shared" si="1512"/>
        <v>0</v>
      </c>
      <c r="DW57" s="675">
        <f t="shared" si="1512"/>
        <v>0</v>
      </c>
      <c r="DX57" s="549">
        <f t="shared" si="1512"/>
        <v>0</v>
      </c>
      <c r="DY57" s="675">
        <f t="shared" si="1512"/>
        <v>0</v>
      </c>
      <c r="DZ57" s="549">
        <f t="shared" si="1512"/>
        <v>0</v>
      </c>
      <c r="EA57" s="675">
        <f t="shared" si="1512"/>
        <v>0</v>
      </c>
      <c r="EB57" s="549">
        <f t="shared" si="1512"/>
        <v>0</v>
      </c>
      <c r="EC57" s="675">
        <f t="shared" si="1512"/>
        <v>0</v>
      </c>
      <c r="ED57" s="549">
        <f t="shared" ref="ED57:EE57" si="1513">SUM(ED391,ED284)</f>
        <v>0</v>
      </c>
      <c r="EE57" s="675">
        <f t="shared" si="1513"/>
        <v>0</v>
      </c>
      <c r="EF57" s="549">
        <f t="shared" ref="EF57:HV57" si="1514">SUM(EF391,EF284)</f>
        <v>0</v>
      </c>
      <c r="EG57" s="675">
        <f t="shared" si="1514"/>
        <v>0</v>
      </c>
      <c r="EH57" s="549">
        <f t="shared" si="1514"/>
        <v>0</v>
      </c>
      <c r="EI57" s="675">
        <f t="shared" si="1514"/>
        <v>0</v>
      </c>
      <c r="EJ57" s="549">
        <f t="shared" si="1514"/>
        <v>0</v>
      </c>
      <c r="EK57" s="675">
        <f t="shared" si="1514"/>
        <v>0</v>
      </c>
      <c r="EL57" s="549">
        <f t="shared" si="1514"/>
        <v>0</v>
      </c>
      <c r="EM57" s="675">
        <f t="shared" si="1514"/>
        <v>0</v>
      </c>
      <c r="EN57" s="549">
        <f t="shared" si="1514"/>
        <v>0</v>
      </c>
      <c r="EO57" s="675">
        <f t="shared" si="1514"/>
        <v>0</v>
      </c>
      <c r="EP57" s="549">
        <f t="shared" si="1514"/>
        <v>0</v>
      </c>
      <c r="EQ57" s="675">
        <f t="shared" si="1514"/>
        <v>0</v>
      </c>
      <c r="ER57" s="549">
        <f t="shared" si="1514"/>
        <v>0</v>
      </c>
      <c r="ES57" s="675">
        <f t="shared" si="1514"/>
        <v>0</v>
      </c>
      <c r="ET57" s="549">
        <f t="shared" si="1514"/>
        <v>0</v>
      </c>
      <c r="EU57" s="675">
        <f t="shared" si="1514"/>
        <v>0</v>
      </c>
      <c r="EV57" s="549">
        <f t="shared" si="1514"/>
        <v>0</v>
      </c>
      <c r="EW57" s="675">
        <f t="shared" si="1514"/>
        <v>0</v>
      </c>
      <c r="EX57" s="549">
        <f t="shared" si="1514"/>
        <v>0</v>
      </c>
      <c r="EY57" s="675">
        <f t="shared" si="1514"/>
        <v>0</v>
      </c>
      <c r="EZ57" s="549">
        <f t="shared" si="1514"/>
        <v>0</v>
      </c>
      <c r="FA57" s="675">
        <f t="shared" si="1514"/>
        <v>0</v>
      </c>
      <c r="FB57" s="549">
        <f t="shared" si="1514"/>
        <v>0</v>
      </c>
      <c r="FC57" s="675">
        <f t="shared" si="1514"/>
        <v>0</v>
      </c>
      <c r="FD57" s="549">
        <f t="shared" si="1514"/>
        <v>0</v>
      </c>
      <c r="FE57" s="675">
        <f t="shared" si="1514"/>
        <v>0</v>
      </c>
      <c r="FF57" s="549">
        <f t="shared" si="1514"/>
        <v>0</v>
      </c>
      <c r="FG57" s="675">
        <f t="shared" si="1514"/>
        <v>0</v>
      </c>
      <c r="FH57" s="549">
        <f t="shared" si="1514"/>
        <v>0</v>
      </c>
      <c r="FI57" s="675">
        <f t="shared" si="1514"/>
        <v>0</v>
      </c>
      <c r="FJ57" s="549">
        <f t="shared" si="1514"/>
        <v>0</v>
      </c>
      <c r="FK57" s="675">
        <f t="shared" si="1514"/>
        <v>0</v>
      </c>
      <c r="FL57" s="549">
        <f t="shared" ref="FL57:FM57" si="1515">SUM(FL391,FL284)</f>
        <v>0</v>
      </c>
      <c r="FM57" s="675">
        <f t="shared" si="1515"/>
        <v>0</v>
      </c>
      <c r="FN57" s="549">
        <f t="shared" ref="FN57:FO57" si="1516">SUM(FN391,FN284)</f>
        <v>0</v>
      </c>
      <c r="FO57" s="675">
        <f t="shared" si="1516"/>
        <v>0</v>
      </c>
      <c r="FP57" s="549">
        <f t="shared" ref="FP57:FQ57" si="1517">SUM(FP391,FP284)</f>
        <v>0</v>
      </c>
      <c r="FQ57" s="675">
        <f t="shared" si="1517"/>
        <v>0</v>
      </c>
      <c r="FR57" s="549">
        <f t="shared" ref="FR57:FS57" si="1518">SUM(FR391,FR284)</f>
        <v>0</v>
      </c>
      <c r="FS57" s="675">
        <f t="shared" si="1518"/>
        <v>0</v>
      </c>
      <c r="FT57" s="549">
        <f t="shared" ref="FT57:FU57" si="1519">SUM(FT391,FT284)</f>
        <v>0</v>
      </c>
      <c r="FU57" s="675">
        <f t="shared" si="1519"/>
        <v>0</v>
      </c>
      <c r="FV57" s="549">
        <f t="shared" ref="FV57:GK57" si="1520">SUM(FV391,FV284)</f>
        <v>0</v>
      </c>
      <c r="FW57" s="675">
        <f t="shared" si="1520"/>
        <v>0</v>
      </c>
      <c r="FX57" s="549">
        <f t="shared" si="1520"/>
        <v>0</v>
      </c>
      <c r="FY57" s="675">
        <f t="shared" si="1520"/>
        <v>0</v>
      </c>
      <c r="FZ57" s="549">
        <f t="shared" ref="FZ57:GI57" si="1521">SUM(FZ391,FZ284)</f>
        <v>0</v>
      </c>
      <c r="GA57" s="675">
        <f t="shared" si="1521"/>
        <v>0</v>
      </c>
      <c r="GB57" s="549">
        <f t="shared" si="1521"/>
        <v>0</v>
      </c>
      <c r="GC57" s="675">
        <f t="shared" si="1521"/>
        <v>0</v>
      </c>
      <c r="GD57" s="549">
        <f t="shared" si="1521"/>
        <v>0</v>
      </c>
      <c r="GE57" s="675">
        <f t="shared" si="1521"/>
        <v>0</v>
      </c>
      <c r="GF57" s="549">
        <f t="shared" si="1521"/>
        <v>0</v>
      </c>
      <c r="GG57" s="675">
        <f t="shared" si="1521"/>
        <v>0</v>
      </c>
      <c r="GH57" s="549">
        <f t="shared" si="1521"/>
        <v>0</v>
      </c>
      <c r="GI57" s="675">
        <f t="shared" si="1521"/>
        <v>0</v>
      </c>
      <c r="GJ57" s="549">
        <f t="shared" si="1520"/>
        <v>0</v>
      </c>
      <c r="GK57" s="675">
        <f t="shared" si="1520"/>
        <v>0</v>
      </c>
      <c r="GL57" s="549">
        <f t="shared" ref="GL57:GM57" si="1522">SUM(GL391,GL284)</f>
        <v>0</v>
      </c>
      <c r="GM57" s="675">
        <f t="shared" si="1522"/>
        <v>0</v>
      </c>
      <c r="GN57" s="549">
        <f t="shared" ref="GN57:GO57" si="1523">SUM(GN391,GN284)</f>
        <v>0</v>
      </c>
      <c r="GO57" s="675">
        <f t="shared" si="1523"/>
        <v>0</v>
      </c>
      <c r="GP57" s="74">
        <f t="shared" si="1514"/>
        <v>0</v>
      </c>
      <c r="GQ57" s="675">
        <f t="shared" si="1514"/>
        <v>0</v>
      </c>
      <c r="GR57" s="74">
        <f t="shared" si="1514"/>
        <v>50000</v>
      </c>
      <c r="GS57" s="74">
        <f t="shared" si="1514"/>
        <v>45455</v>
      </c>
      <c r="GT57" s="549">
        <f t="shared" si="1514"/>
        <v>50000</v>
      </c>
      <c r="GU57" s="74">
        <f t="shared" si="1514"/>
        <v>4550</v>
      </c>
      <c r="GV57" s="74">
        <f t="shared" si="1514"/>
        <v>4545</v>
      </c>
      <c r="GW57" s="549">
        <f t="shared" si="1514"/>
        <v>4545</v>
      </c>
      <c r="GX57" s="549">
        <f t="shared" si="1514"/>
        <v>4545</v>
      </c>
      <c r="GY57" s="74">
        <f t="shared" si="1514"/>
        <v>4545</v>
      </c>
      <c r="GZ57" s="74">
        <f t="shared" si="1514"/>
        <v>4545</v>
      </c>
      <c r="HA57" s="74">
        <f t="shared" si="1514"/>
        <v>4545</v>
      </c>
      <c r="HB57" s="74">
        <f t="shared" si="1514"/>
        <v>4545</v>
      </c>
      <c r="HC57" s="74">
        <f t="shared" si="1514"/>
        <v>4545</v>
      </c>
      <c r="HD57" s="74">
        <f t="shared" si="1514"/>
        <v>4545</v>
      </c>
      <c r="HE57" s="74">
        <f t="shared" si="1514"/>
        <v>4545</v>
      </c>
      <c r="HF57" s="74">
        <f t="shared" si="1514"/>
        <v>0</v>
      </c>
      <c r="HG57" s="74">
        <f t="shared" si="1514"/>
        <v>45455</v>
      </c>
      <c r="HH57" s="74">
        <f t="shared" si="1514"/>
        <v>0</v>
      </c>
      <c r="HI57" s="74">
        <f t="shared" si="1514"/>
        <v>0</v>
      </c>
      <c r="HJ57" s="74">
        <f t="shared" si="1514"/>
        <v>0</v>
      </c>
      <c r="HK57" s="74">
        <f t="shared" si="1514"/>
        <v>9095</v>
      </c>
      <c r="HL57" s="74">
        <f t="shared" si="1514"/>
        <v>0</v>
      </c>
      <c r="HM57" s="74">
        <f t="shared" si="1514"/>
        <v>4545</v>
      </c>
      <c r="HN57" s="74">
        <f t="shared" si="1514"/>
        <v>0</v>
      </c>
      <c r="HO57" s="74">
        <f t="shared" si="1514"/>
        <v>4545.0000000000009</v>
      </c>
      <c r="HP57" s="74">
        <f t="shared" si="1514"/>
        <v>0</v>
      </c>
      <c r="HQ57" s="74">
        <f t="shared" si="1514"/>
        <v>4545</v>
      </c>
      <c r="HR57" s="74">
        <f t="shared" si="1514"/>
        <v>0</v>
      </c>
      <c r="HS57" s="74">
        <f t="shared" si="1514"/>
        <v>4545.0000000000009</v>
      </c>
      <c r="HT57" s="74">
        <f t="shared" si="1514"/>
        <v>0</v>
      </c>
      <c r="HU57" s="74">
        <f t="shared" si="1514"/>
        <v>4545</v>
      </c>
      <c r="HV57" s="74">
        <f t="shared" si="1514"/>
        <v>0</v>
      </c>
      <c r="HW57" s="74">
        <f t="shared" ref="HW57:JT57" si="1524">SUM(HW391,HW284)</f>
        <v>4545</v>
      </c>
      <c r="HX57" s="74">
        <f t="shared" si="1524"/>
        <v>0</v>
      </c>
      <c r="HY57" s="74">
        <f t="shared" si="1524"/>
        <v>4545</v>
      </c>
      <c r="HZ57" s="74">
        <f t="shared" si="1524"/>
        <v>0</v>
      </c>
      <c r="IA57" s="74">
        <f t="shared" si="1524"/>
        <v>4545</v>
      </c>
      <c r="IB57" s="74">
        <f t="shared" si="1524"/>
        <v>0</v>
      </c>
      <c r="IC57" s="74">
        <f t="shared" si="1524"/>
        <v>0</v>
      </c>
      <c r="ID57" s="74">
        <f t="shared" si="1524"/>
        <v>0</v>
      </c>
      <c r="IE57" s="792">
        <f t="shared" si="1524"/>
        <v>0</v>
      </c>
      <c r="IF57" s="841">
        <f t="shared" si="1524"/>
        <v>38934.21</v>
      </c>
      <c r="IG57" s="263">
        <f t="shared" si="1524"/>
        <v>38934.21</v>
      </c>
      <c r="IH57" s="842">
        <f t="shared" si="1524"/>
        <v>38934.21</v>
      </c>
      <c r="II57" s="155">
        <f t="shared" si="1524"/>
        <v>180.38</v>
      </c>
      <c r="IJ57" s="74">
        <f t="shared" si="1524"/>
        <v>180.38</v>
      </c>
      <c r="IK57" s="74">
        <f t="shared" si="1524"/>
        <v>180.38</v>
      </c>
      <c r="IL57" s="74">
        <f t="shared" si="1524"/>
        <v>824.35</v>
      </c>
      <c r="IM57" s="74">
        <f t="shared" si="1524"/>
        <v>824.35</v>
      </c>
      <c r="IN57" s="74">
        <f t="shared" si="1524"/>
        <v>824.35</v>
      </c>
      <c r="IO57" s="74">
        <f t="shared" si="1524"/>
        <v>5641.4500000000007</v>
      </c>
      <c r="IP57" s="74">
        <f t="shared" si="1524"/>
        <v>5641.4500000000007</v>
      </c>
      <c r="IQ57" s="74">
        <f t="shared" si="1524"/>
        <v>5641.4500000000007</v>
      </c>
      <c r="IR57" s="74">
        <f t="shared" si="1524"/>
        <v>156.94999999999982</v>
      </c>
      <c r="IS57" s="74">
        <f t="shared" si="1524"/>
        <v>156.94999999999982</v>
      </c>
      <c r="IT57" s="74">
        <f t="shared" si="1524"/>
        <v>156.94999999999982</v>
      </c>
      <c r="IU57" s="74">
        <f t="shared" si="1524"/>
        <v>5132.2</v>
      </c>
      <c r="IV57" s="74">
        <f t="shared" si="1524"/>
        <v>5132.2</v>
      </c>
      <c r="IW57" s="74">
        <f t="shared" si="1524"/>
        <v>5132.2</v>
      </c>
      <c r="IX57" s="74">
        <f t="shared" si="1524"/>
        <v>3960.8899999999994</v>
      </c>
      <c r="IY57" s="74">
        <f t="shared" si="1524"/>
        <v>3960.8899999999994</v>
      </c>
      <c r="IZ57" s="74">
        <f t="shared" si="1524"/>
        <v>3960.8899999999994</v>
      </c>
      <c r="JA57" s="74">
        <f t="shared" si="1524"/>
        <v>2966.3799999999992</v>
      </c>
      <c r="JB57" s="74">
        <f t="shared" si="1524"/>
        <v>2966.3799999999992</v>
      </c>
      <c r="JC57" s="74">
        <f t="shared" si="1524"/>
        <v>2966.3799999999992</v>
      </c>
      <c r="JD57" s="74">
        <f t="shared" si="1524"/>
        <v>4933.7400000000016</v>
      </c>
      <c r="JE57" s="74">
        <f t="shared" si="1524"/>
        <v>4933.7400000000016</v>
      </c>
      <c r="JF57" s="74">
        <f t="shared" si="1524"/>
        <v>4933.7400000000016</v>
      </c>
      <c r="JG57" s="74">
        <f t="shared" si="1524"/>
        <v>3112.0499999999993</v>
      </c>
      <c r="JH57" s="74">
        <f t="shared" si="1524"/>
        <v>3112.0499999999993</v>
      </c>
      <c r="JI57" s="74">
        <f t="shared" si="1524"/>
        <v>3112.0499999999993</v>
      </c>
      <c r="JJ57" s="74">
        <f t="shared" si="1524"/>
        <v>12025.82</v>
      </c>
      <c r="JK57" s="74">
        <f t="shared" si="1524"/>
        <v>12025.82</v>
      </c>
      <c r="JL57" s="74">
        <f t="shared" si="1524"/>
        <v>12025.82</v>
      </c>
      <c r="JM57" s="74">
        <f t="shared" si="1524"/>
        <v>0</v>
      </c>
      <c r="JN57" s="74">
        <f t="shared" si="1524"/>
        <v>0</v>
      </c>
      <c r="JO57" s="74">
        <f t="shared" si="1524"/>
        <v>0</v>
      </c>
      <c r="JP57" s="74">
        <f t="shared" si="1524"/>
        <v>0</v>
      </c>
      <c r="JQ57" s="74">
        <f t="shared" si="1524"/>
        <v>0</v>
      </c>
      <c r="JR57" s="74">
        <f t="shared" si="1524"/>
        <v>0</v>
      </c>
      <c r="JS57" s="74">
        <f t="shared" si="1524"/>
        <v>6520.7900000000009</v>
      </c>
      <c r="JT57" s="382">
        <f t="shared" si="1524"/>
        <v>6520.7900000000009</v>
      </c>
      <c r="JU57" s="671"/>
      <c r="JV57" s="492"/>
      <c r="JW57" s="490"/>
      <c r="JX57" s="549">
        <f>SUM(JX391,JX284)</f>
        <v>0</v>
      </c>
      <c r="JY57" s="549">
        <f>SUM(JY391,JY284)</f>
        <v>45455</v>
      </c>
      <c r="JZ57" s="581">
        <f t="shared" si="42"/>
        <v>0</v>
      </c>
      <c r="KA57" s="581">
        <f t="shared" si="43"/>
        <v>0</v>
      </c>
      <c r="KB57" s="549">
        <f>SUM(KB391,KB284)</f>
        <v>45455</v>
      </c>
      <c r="KC57" s="709">
        <f t="shared" si="41"/>
        <v>0</v>
      </c>
      <c r="KD57" s="126" t="s">
        <v>59</v>
      </c>
      <c r="KE57" s="127" t="s">
        <v>527</v>
      </c>
      <c r="KF57" s="127">
        <f t="shared" ref="KF57:KK57" si="1525">SUM(KF16)</f>
        <v>5530000</v>
      </c>
      <c r="KG57" s="127">
        <f t="shared" si="1525"/>
        <v>5347734</v>
      </c>
      <c r="KH57" s="127">
        <f t="shared" si="1525"/>
        <v>4855988</v>
      </c>
      <c r="KI57" s="127" t="e">
        <f t="shared" si="1525"/>
        <v>#REF!</v>
      </c>
      <c r="KJ57" s="127">
        <f t="shared" si="1525"/>
        <v>5347734</v>
      </c>
      <c r="KK57" s="127">
        <f t="shared" si="1525"/>
        <v>4855988</v>
      </c>
    </row>
    <row r="58" spans="1:297" s="8" customFormat="1">
      <c r="A58" s="262" t="s">
        <v>726</v>
      </c>
      <c r="B58" s="72"/>
      <c r="C58" s="74">
        <f t="shared" ref="C58:BP58" si="1526">C392+C285</f>
        <v>15000</v>
      </c>
      <c r="D58" s="549">
        <f t="shared" si="1526"/>
        <v>0</v>
      </c>
      <c r="E58" s="675">
        <f t="shared" si="1526"/>
        <v>0</v>
      </c>
      <c r="F58" s="549">
        <f t="shared" si="1526"/>
        <v>12000</v>
      </c>
      <c r="G58" s="675">
        <f t="shared" si="1526"/>
        <v>0</v>
      </c>
      <c r="H58" s="549">
        <f t="shared" si="1526"/>
        <v>0</v>
      </c>
      <c r="I58" s="675">
        <f t="shared" si="1526"/>
        <v>0</v>
      </c>
      <c r="J58" s="549">
        <f t="shared" si="1526"/>
        <v>0</v>
      </c>
      <c r="K58" s="675">
        <f t="shared" si="1526"/>
        <v>0</v>
      </c>
      <c r="L58" s="549">
        <f t="shared" si="1526"/>
        <v>0</v>
      </c>
      <c r="M58" s="675">
        <f t="shared" si="1526"/>
        <v>0</v>
      </c>
      <c r="N58" s="549">
        <f t="shared" si="1526"/>
        <v>0</v>
      </c>
      <c r="O58" s="675">
        <f t="shared" si="1526"/>
        <v>0</v>
      </c>
      <c r="P58" s="549">
        <f t="shared" si="1526"/>
        <v>0</v>
      </c>
      <c r="Q58" s="675">
        <f t="shared" si="1526"/>
        <v>0</v>
      </c>
      <c r="R58" s="549">
        <f t="shared" si="1526"/>
        <v>0</v>
      </c>
      <c r="S58" s="675">
        <f t="shared" si="1526"/>
        <v>0</v>
      </c>
      <c r="T58" s="549">
        <f t="shared" si="1526"/>
        <v>0</v>
      </c>
      <c r="U58" s="675">
        <f t="shared" si="1526"/>
        <v>0</v>
      </c>
      <c r="V58" s="549">
        <f t="shared" si="1526"/>
        <v>0</v>
      </c>
      <c r="W58" s="675">
        <f t="shared" si="1526"/>
        <v>0</v>
      </c>
      <c r="X58" s="549">
        <f t="shared" si="1526"/>
        <v>0</v>
      </c>
      <c r="Y58" s="675">
        <f t="shared" si="1526"/>
        <v>0</v>
      </c>
      <c r="Z58" s="549">
        <f t="shared" si="1526"/>
        <v>0</v>
      </c>
      <c r="AA58" s="675">
        <f t="shared" si="1526"/>
        <v>0</v>
      </c>
      <c r="AB58" s="549">
        <f t="shared" si="1526"/>
        <v>0</v>
      </c>
      <c r="AC58" s="675">
        <f t="shared" si="1526"/>
        <v>0</v>
      </c>
      <c r="AD58" s="549">
        <f t="shared" si="1526"/>
        <v>0</v>
      </c>
      <c r="AE58" s="675">
        <f t="shared" si="1526"/>
        <v>0</v>
      </c>
      <c r="AF58" s="549">
        <f t="shared" si="1526"/>
        <v>20000</v>
      </c>
      <c r="AG58" s="675">
        <f t="shared" si="1526"/>
        <v>0</v>
      </c>
      <c r="AH58" s="549">
        <f t="shared" si="1526"/>
        <v>0</v>
      </c>
      <c r="AI58" s="675">
        <f t="shared" si="1526"/>
        <v>0</v>
      </c>
      <c r="AJ58" s="549">
        <f t="shared" si="1526"/>
        <v>0</v>
      </c>
      <c r="AK58" s="675">
        <f t="shared" si="1526"/>
        <v>0</v>
      </c>
      <c r="AL58" s="549">
        <f t="shared" si="1526"/>
        <v>0</v>
      </c>
      <c r="AM58" s="675">
        <f t="shared" si="1526"/>
        <v>0</v>
      </c>
      <c r="AN58" s="549">
        <f t="shared" si="1526"/>
        <v>0</v>
      </c>
      <c r="AO58" s="675">
        <f t="shared" si="1526"/>
        <v>0</v>
      </c>
      <c r="AP58" s="549">
        <f t="shared" si="1526"/>
        <v>0</v>
      </c>
      <c r="AQ58" s="675">
        <f t="shared" si="1526"/>
        <v>0</v>
      </c>
      <c r="AR58" s="549">
        <f t="shared" si="1526"/>
        <v>0</v>
      </c>
      <c r="AS58" s="675">
        <f t="shared" si="1526"/>
        <v>0</v>
      </c>
      <c r="AT58" s="549">
        <f t="shared" ref="AT58:AU58" si="1527">AT392+AT285</f>
        <v>0</v>
      </c>
      <c r="AU58" s="675">
        <f t="shared" si="1527"/>
        <v>0</v>
      </c>
      <c r="AV58" s="549">
        <f t="shared" ref="AV58:AW58" si="1528">AV392+AV285</f>
        <v>0</v>
      </c>
      <c r="AW58" s="675">
        <f t="shared" si="1528"/>
        <v>0</v>
      </c>
      <c r="AX58" s="549">
        <f t="shared" ref="AX58:AY58" si="1529">AX392+AX285</f>
        <v>0</v>
      </c>
      <c r="AY58" s="675">
        <f t="shared" si="1529"/>
        <v>0</v>
      </c>
      <c r="AZ58" s="549">
        <f t="shared" ref="AZ58:BA58" si="1530">AZ392+AZ285</f>
        <v>0</v>
      </c>
      <c r="BA58" s="675">
        <f t="shared" si="1530"/>
        <v>0</v>
      </c>
      <c r="BB58" s="549">
        <f t="shared" ref="BB58:BC58" si="1531">BB392+BB285</f>
        <v>0</v>
      </c>
      <c r="BC58" s="675">
        <f t="shared" si="1531"/>
        <v>0</v>
      </c>
      <c r="BD58" s="549">
        <f t="shared" ref="BD58:BE58" si="1532">BD392+BD285</f>
        <v>32000</v>
      </c>
      <c r="BE58" s="675">
        <f t="shared" si="1532"/>
        <v>0</v>
      </c>
      <c r="BF58" s="549">
        <f t="shared" ref="BF58:BG58" si="1533">BF392+BF285</f>
        <v>0</v>
      </c>
      <c r="BG58" s="675">
        <f t="shared" si="1533"/>
        <v>0</v>
      </c>
      <c r="BH58" s="549">
        <f t="shared" ref="BH58:BI58" si="1534">BH392+BH285</f>
        <v>0</v>
      </c>
      <c r="BI58" s="675">
        <f t="shared" si="1534"/>
        <v>0</v>
      </c>
      <c r="BJ58" s="549">
        <f t="shared" ref="BJ58:BK58" si="1535">BJ392+BJ285</f>
        <v>0</v>
      </c>
      <c r="BK58" s="675">
        <f t="shared" si="1535"/>
        <v>0</v>
      </c>
      <c r="BL58" s="549">
        <f t="shared" si="1526"/>
        <v>0</v>
      </c>
      <c r="BM58" s="675">
        <f t="shared" si="1526"/>
        <v>0</v>
      </c>
      <c r="BN58" s="549">
        <f t="shared" si="1526"/>
        <v>0</v>
      </c>
      <c r="BO58" s="675">
        <f t="shared" si="1526"/>
        <v>0</v>
      </c>
      <c r="BP58" s="549">
        <f t="shared" si="1526"/>
        <v>0</v>
      </c>
      <c r="BQ58" s="675">
        <f t="shared" ref="BQ58" si="1536">BQ392+BQ285</f>
        <v>0</v>
      </c>
      <c r="BR58" s="549">
        <f t="shared" ref="BR58:BS58" si="1537">BR392+BR285</f>
        <v>0</v>
      </c>
      <c r="BS58" s="675">
        <f t="shared" si="1537"/>
        <v>0</v>
      </c>
      <c r="BT58" s="549">
        <f t="shared" ref="BT58:BU58" si="1538">BT392+BT285</f>
        <v>0</v>
      </c>
      <c r="BU58" s="675">
        <f t="shared" si="1538"/>
        <v>0</v>
      </c>
      <c r="BV58" s="549">
        <f t="shared" ref="BV58:BW58" si="1539">BV392+BV285</f>
        <v>0</v>
      </c>
      <c r="BW58" s="675">
        <f t="shared" si="1539"/>
        <v>0</v>
      </c>
      <c r="BX58" s="549">
        <f t="shared" ref="BX58:BY58" si="1540">BX392+BX285</f>
        <v>0</v>
      </c>
      <c r="BY58" s="675">
        <f t="shared" si="1540"/>
        <v>0</v>
      </c>
      <c r="BZ58" s="549">
        <f t="shared" ref="BZ58:CA58" si="1541">BZ392+BZ285</f>
        <v>0</v>
      </c>
      <c r="CA58" s="675">
        <f t="shared" si="1541"/>
        <v>0</v>
      </c>
      <c r="CB58" s="549">
        <f t="shared" ref="CB58:EC58" si="1542">CB392+CB285</f>
        <v>0</v>
      </c>
      <c r="CC58" s="675">
        <f t="shared" si="1542"/>
        <v>0</v>
      </c>
      <c r="CD58" s="549">
        <f t="shared" si="1542"/>
        <v>0</v>
      </c>
      <c r="CE58" s="675">
        <f t="shared" si="1542"/>
        <v>0</v>
      </c>
      <c r="CF58" s="549">
        <f t="shared" si="1542"/>
        <v>0</v>
      </c>
      <c r="CG58" s="675">
        <f t="shared" si="1542"/>
        <v>0</v>
      </c>
      <c r="CH58" s="549">
        <f t="shared" si="1542"/>
        <v>0</v>
      </c>
      <c r="CI58" s="675">
        <f t="shared" si="1542"/>
        <v>0</v>
      </c>
      <c r="CJ58" s="549">
        <f t="shared" si="1542"/>
        <v>0</v>
      </c>
      <c r="CK58" s="675">
        <f t="shared" si="1542"/>
        <v>0</v>
      </c>
      <c r="CL58" s="549">
        <f t="shared" si="1542"/>
        <v>0</v>
      </c>
      <c r="CM58" s="675">
        <f t="shared" si="1542"/>
        <v>0</v>
      </c>
      <c r="CN58" s="549">
        <f t="shared" si="1542"/>
        <v>0</v>
      </c>
      <c r="CO58" s="675">
        <f t="shared" si="1542"/>
        <v>0</v>
      </c>
      <c r="CP58" s="549">
        <f t="shared" si="1542"/>
        <v>0</v>
      </c>
      <c r="CQ58" s="675">
        <f t="shared" si="1542"/>
        <v>0</v>
      </c>
      <c r="CR58" s="549">
        <f t="shared" si="1542"/>
        <v>0</v>
      </c>
      <c r="CS58" s="675">
        <f t="shared" si="1542"/>
        <v>0</v>
      </c>
      <c r="CT58" s="549">
        <f t="shared" si="1542"/>
        <v>0</v>
      </c>
      <c r="CU58" s="675">
        <f t="shared" si="1542"/>
        <v>0</v>
      </c>
      <c r="CV58" s="549">
        <f t="shared" si="1542"/>
        <v>0</v>
      </c>
      <c r="CW58" s="675">
        <f t="shared" si="1542"/>
        <v>0</v>
      </c>
      <c r="CX58" s="549">
        <f t="shared" si="1542"/>
        <v>0</v>
      </c>
      <c r="CY58" s="675">
        <f t="shared" si="1542"/>
        <v>0</v>
      </c>
      <c r="CZ58" s="549">
        <f t="shared" si="1542"/>
        <v>0</v>
      </c>
      <c r="DA58" s="675">
        <f t="shared" si="1542"/>
        <v>0</v>
      </c>
      <c r="DB58" s="549">
        <f t="shared" si="1542"/>
        <v>0</v>
      </c>
      <c r="DC58" s="675">
        <f t="shared" si="1542"/>
        <v>0</v>
      </c>
      <c r="DD58" s="549">
        <f t="shared" si="1542"/>
        <v>0</v>
      </c>
      <c r="DE58" s="675">
        <f t="shared" si="1542"/>
        <v>0</v>
      </c>
      <c r="DF58" s="549">
        <f t="shared" si="1542"/>
        <v>0</v>
      </c>
      <c r="DG58" s="675">
        <f t="shared" si="1542"/>
        <v>0</v>
      </c>
      <c r="DH58" s="549">
        <f t="shared" si="1542"/>
        <v>0</v>
      </c>
      <c r="DI58" s="675">
        <f t="shared" si="1542"/>
        <v>0</v>
      </c>
      <c r="DJ58" s="549">
        <f t="shared" si="1542"/>
        <v>0</v>
      </c>
      <c r="DK58" s="675">
        <f t="shared" si="1542"/>
        <v>0</v>
      </c>
      <c r="DL58" s="549">
        <f t="shared" si="1542"/>
        <v>0</v>
      </c>
      <c r="DM58" s="675">
        <f t="shared" si="1542"/>
        <v>0</v>
      </c>
      <c r="DN58" s="549">
        <f t="shared" si="1542"/>
        <v>0</v>
      </c>
      <c r="DO58" s="675">
        <f t="shared" si="1542"/>
        <v>0</v>
      </c>
      <c r="DP58" s="549">
        <f t="shared" si="1542"/>
        <v>0</v>
      </c>
      <c r="DQ58" s="675">
        <f t="shared" si="1542"/>
        <v>0</v>
      </c>
      <c r="DR58" s="549">
        <f t="shared" si="1542"/>
        <v>0</v>
      </c>
      <c r="DS58" s="675">
        <f t="shared" si="1542"/>
        <v>0</v>
      </c>
      <c r="DT58" s="549">
        <f t="shared" si="1542"/>
        <v>0</v>
      </c>
      <c r="DU58" s="675">
        <f t="shared" si="1542"/>
        <v>0</v>
      </c>
      <c r="DV58" s="549">
        <f t="shared" si="1542"/>
        <v>0</v>
      </c>
      <c r="DW58" s="675">
        <f t="shared" si="1542"/>
        <v>0</v>
      </c>
      <c r="DX58" s="549">
        <f t="shared" si="1542"/>
        <v>0</v>
      </c>
      <c r="DY58" s="675">
        <f t="shared" si="1542"/>
        <v>0</v>
      </c>
      <c r="DZ58" s="549">
        <f t="shared" si="1542"/>
        <v>0</v>
      </c>
      <c r="EA58" s="675">
        <f t="shared" si="1542"/>
        <v>0</v>
      </c>
      <c r="EB58" s="549">
        <f t="shared" si="1542"/>
        <v>0</v>
      </c>
      <c r="EC58" s="675">
        <f t="shared" si="1542"/>
        <v>0</v>
      </c>
      <c r="ED58" s="549">
        <f t="shared" ref="ED58:EE58" si="1543">ED392+ED285</f>
        <v>0</v>
      </c>
      <c r="EE58" s="675">
        <f t="shared" si="1543"/>
        <v>0</v>
      </c>
      <c r="EF58" s="549">
        <f t="shared" ref="EF58:HV58" si="1544">EF392+EF285</f>
        <v>0</v>
      </c>
      <c r="EG58" s="675">
        <f t="shared" si="1544"/>
        <v>0</v>
      </c>
      <c r="EH58" s="549">
        <f t="shared" si="1544"/>
        <v>0</v>
      </c>
      <c r="EI58" s="675">
        <f t="shared" si="1544"/>
        <v>0</v>
      </c>
      <c r="EJ58" s="549">
        <f t="shared" si="1544"/>
        <v>0</v>
      </c>
      <c r="EK58" s="675">
        <f t="shared" si="1544"/>
        <v>0</v>
      </c>
      <c r="EL58" s="549">
        <f t="shared" si="1544"/>
        <v>0</v>
      </c>
      <c r="EM58" s="675">
        <f t="shared" si="1544"/>
        <v>0</v>
      </c>
      <c r="EN58" s="549">
        <f t="shared" si="1544"/>
        <v>0</v>
      </c>
      <c r="EO58" s="675">
        <f t="shared" si="1544"/>
        <v>0</v>
      </c>
      <c r="EP58" s="549">
        <f t="shared" si="1544"/>
        <v>0</v>
      </c>
      <c r="EQ58" s="675">
        <f t="shared" si="1544"/>
        <v>0</v>
      </c>
      <c r="ER58" s="549">
        <f t="shared" si="1544"/>
        <v>0</v>
      </c>
      <c r="ES58" s="675">
        <f t="shared" si="1544"/>
        <v>0</v>
      </c>
      <c r="ET58" s="549">
        <f t="shared" si="1544"/>
        <v>0</v>
      </c>
      <c r="EU58" s="675">
        <f t="shared" si="1544"/>
        <v>0</v>
      </c>
      <c r="EV58" s="549">
        <f t="shared" si="1544"/>
        <v>0</v>
      </c>
      <c r="EW58" s="675">
        <f t="shared" si="1544"/>
        <v>0</v>
      </c>
      <c r="EX58" s="549">
        <f t="shared" si="1544"/>
        <v>0</v>
      </c>
      <c r="EY58" s="675">
        <f t="shared" si="1544"/>
        <v>0</v>
      </c>
      <c r="EZ58" s="549">
        <f t="shared" si="1544"/>
        <v>0</v>
      </c>
      <c r="FA58" s="675">
        <f t="shared" si="1544"/>
        <v>0</v>
      </c>
      <c r="FB58" s="549">
        <f t="shared" si="1544"/>
        <v>0</v>
      </c>
      <c r="FC58" s="675">
        <f t="shared" si="1544"/>
        <v>0</v>
      </c>
      <c r="FD58" s="549">
        <f t="shared" si="1544"/>
        <v>0</v>
      </c>
      <c r="FE58" s="675">
        <f t="shared" si="1544"/>
        <v>0</v>
      </c>
      <c r="FF58" s="549">
        <f t="shared" si="1544"/>
        <v>0</v>
      </c>
      <c r="FG58" s="675">
        <f t="shared" si="1544"/>
        <v>0</v>
      </c>
      <c r="FH58" s="549">
        <f t="shared" si="1544"/>
        <v>0</v>
      </c>
      <c r="FI58" s="675">
        <f t="shared" si="1544"/>
        <v>0</v>
      </c>
      <c r="FJ58" s="549">
        <f t="shared" si="1544"/>
        <v>0</v>
      </c>
      <c r="FK58" s="675">
        <f t="shared" si="1544"/>
        <v>0</v>
      </c>
      <c r="FL58" s="549">
        <f t="shared" ref="FL58:FM58" si="1545">FL392+FL285</f>
        <v>0</v>
      </c>
      <c r="FM58" s="675">
        <f t="shared" si="1545"/>
        <v>0</v>
      </c>
      <c r="FN58" s="549">
        <f t="shared" ref="FN58:FO58" si="1546">FN392+FN285</f>
        <v>0</v>
      </c>
      <c r="FO58" s="675">
        <f t="shared" si="1546"/>
        <v>0</v>
      </c>
      <c r="FP58" s="549">
        <f t="shared" ref="FP58:FQ58" si="1547">FP392+FP285</f>
        <v>0</v>
      </c>
      <c r="FQ58" s="675">
        <f t="shared" si="1547"/>
        <v>0</v>
      </c>
      <c r="FR58" s="549">
        <f t="shared" ref="FR58:FS58" si="1548">FR392+FR285</f>
        <v>0</v>
      </c>
      <c r="FS58" s="675">
        <f t="shared" si="1548"/>
        <v>-715</v>
      </c>
      <c r="FT58" s="549">
        <f t="shared" ref="FT58:FU58" si="1549">FT392+FT285</f>
        <v>0</v>
      </c>
      <c r="FU58" s="675">
        <f t="shared" si="1549"/>
        <v>0</v>
      </c>
      <c r="FV58" s="549">
        <f t="shared" ref="FV58:GK58" si="1550">FV392+FV285</f>
        <v>0</v>
      </c>
      <c r="FW58" s="675">
        <f t="shared" si="1550"/>
        <v>0</v>
      </c>
      <c r="FX58" s="549">
        <f t="shared" si="1550"/>
        <v>0</v>
      </c>
      <c r="FY58" s="675">
        <f t="shared" si="1550"/>
        <v>0</v>
      </c>
      <c r="FZ58" s="549">
        <f t="shared" ref="FZ58:GI58" si="1551">FZ392+FZ285</f>
        <v>0</v>
      </c>
      <c r="GA58" s="675">
        <f t="shared" si="1551"/>
        <v>0</v>
      </c>
      <c r="GB58" s="549">
        <f t="shared" si="1551"/>
        <v>0</v>
      </c>
      <c r="GC58" s="675">
        <f t="shared" si="1551"/>
        <v>0</v>
      </c>
      <c r="GD58" s="549">
        <f t="shared" si="1551"/>
        <v>0</v>
      </c>
      <c r="GE58" s="675">
        <f t="shared" si="1551"/>
        <v>0</v>
      </c>
      <c r="GF58" s="549">
        <f t="shared" si="1551"/>
        <v>0</v>
      </c>
      <c r="GG58" s="675">
        <f t="shared" si="1551"/>
        <v>0</v>
      </c>
      <c r="GH58" s="549">
        <f t="shared" si="1551"/>
        <v>0</v>
      </c>
      <c r="GI58" s="675">
        <f t="shared" si="1551"/>
        <v>0</v>
      </c>
      <c r="GJ58" s="549">
        <f t="shared" si="1550"/>
        <v>0</v>
      </c>
      <c r="GK58" s="675">
        <f t="shared" si="1550"/>
        <v>0</v>
      </c>
      <c r="GL58" s="549">
        <f t="shared" ref="GL58:GM58" si="1552">GL392+GL285</f>
        <v>0</v>
      </c>
      <c r="GM58" s="675">
        <f t="shared" si="1552"/>
        <v>0</v>
      </c>
      <c r="GN58" s="549">
        <f t="shared" ref="GN58:GO58" si="1553">GN392+GN285</f>
        <v>0</v>
      </c>
      <c r="GO58" s="675">
        <f t="shared" si="1553"/>
        <v>0</v>
      </c>
      <c r="GP58" s="74">
        <f t="shared" si="1544"/>
        <v>64000</v>
      </c>
      <c r="GQ58" s="675">
        <f t="shared" si="1544"/>
        <v>-715</v>
      </c>
      <c r="GR58" s="74">
        <f t="shared" si="1544"/>
        <v>78285</v>
      </c>
      <c r="GS58" s="74">
        <f t="shared" si="1544"/>
        <v>76922</v>
      </c>
      <c r="GT58" s="549">
        <f t="shared" si="1544"/>
        <v>78285</v>
      </c>
      <c r="GU58" s="74">
        <f>GU392+GU285</f>
        <v>1370</v>
      </c>
      <c r="GV58" s="74">
        <f t="shared" si="1544"/>
        <v>1363</v>
      </c>
      <c r="GW58" s="549">
        <f t="shared" si="1544"/>
        <v>1363</v>
      </c>
      <c r="GX58" s="549">
        <f t="shared" si="1544"/>
        <v>1363</v>
      </c>
      <c r="GY58" s="74">
        <f t="shared" si="1544"/>
        <v>1363</v>
      </c>
      <c r="GZ58" s="74">
        <f t="shared" si="1544"/>
        <v>1363</v>
      </c>
      <c r="HA58" s="74">
        <f t="shared" si="1544"/>
        <v>1363</v>
      </c>
      <c r="HB58" s="74">
        <f t="shared" si="1544"/>
        <v>1363</v>
      </c>
      <c r="HC58" s="74">
        <f t="shared" si="1544"/>
        <v>1363</v>
      </c>
      <c r="HD58" s="74">
        <f t="shared" si="1544"/>
        <v>1363</v>
      </c>
      <c r="HE58" s="74">
        <f t="shared" si="1544"/>
        <v>1363</v>
      </c>
      <c r="HF58" s="74">
        <f t="shared" si="1544"/>
        <v>0</v>
      </c>
      <c r="HG58" s="74">
        <f t="shared" si="1544"/>
        <v>76922</v>
      </c>
      <c r="HH58" s="74">
        <f t="shared" si="1544"/>
        <v>0</v>
      </c>
      <c r="HI58" s="74">
        <f t="shared" si="1544"/>
        <v>0</v>
      </c>
      <c r="HJ58" s="74">
        <f t="shared" si="1544"/>
        <v>0</v>
      </c>
      <c r="HK58" s="74">
        <f t="shared" si="1544"/>
        <v>2733</v>
      </c>
      <c r="HL58" s="74">
        <f t="shared" si="1544"/>
        <v>0</v>
      </c>
      <c r="HM58" s="74">
        <f t="shared" si="1544"/>
        <v>1363</v>
      </c>
      <c r="HN58" s="74">
        <f t="shared" si="1544"/>
        <v>32000</v>
      </c>
      <c r="HO58" s="74">
        <f t="shared" si="1544"/>
        <v>1363</v>
      </c>
      <c r="HP58" s="74">
        <f t="shared" si="1544"/>
        <v>0</v>
      </c>
      <c r="HQ58" s="74">
        <f t="shared" si="1544"/>
        <v>1363</v>
      </c>
      <c r="HR58" s="74">
        <f t="shared" si="1544"/>
        <v>0</v>
      </c>
      <c r="HS58" s="74">
        <f t="shared" si="1544"/>
        <v>1363</v>
      </c>
      <c r="HT58" s="74">
        <f t="shared" si="1544"/>
        <v>32000</v>
      </c>
      <c r="HU58" s="74">
        <f t="shared" si="1544"/>
        <v>1363</v>
      </c>
      <c r="HV58" s="74">
        <f t="shared" si="1544"/>
        <v>0</v>
      </c>
      <c r="HW58" s="74">
        <f t="shared" ref="HW58:JT58" si="1554">HW392+HW285</f>
        <v>1363</v>
      </c>
      <c r="HX58" s="74">
        <f t="shared" si="1554"/>
        <v>0</v>
      </c>
      <c r="HY58" s="74">
        <f t="shared" si="1554"/>
        <v>1363</v>
      </c>
      <c r="HZ58" s="74">
        <f t="shared" si="1554"/>
        <v>-715</v>
      </c>
      <c r="IA58" s="74">
        <f t="shared" si="1554"/>
        <v>1363</v>
      </c>
      <c r="IB58" s="74">
        <f t="shared" si="1554"/>
        <v>0</v>
      </c>
      <c r="IC58" s="74">
        <f t="shared" si="1554"/>
        <v>0</v>
      </c>
      <c r="ID58" s="74">
        <f t="shared" si="1554"/>
        <v>0</v>
      </c>
      <c r="IE58" s="792">
        <f t="shared" si="1554"/>
        <v>0</v>
      </c>
      <c r="IF58" s="841">
        <f t="shared" si="1554"/>
        <v>72294</v>
      </c>
      <c r="IG58" s="263">
        <f t="shared" si="1554"/>
        <v>72294</v>
      </c>
      <c r="IH58" s="842">
        <f t="shared" si="1554"/>
        <v>72294</v>
      </c>
      <c r="II58" s="155">
        <f t="shared" si="1554"/>
        <v>0</v>
      </c>
      <c r="IJ58" s="74">
        <f t="shared" si="1554"/>
        <v>0</v>
      </c>
      <c r="IK58" s="74">
        <f t="shared" si="1554"/>
        <v>0</v>
      </c>
      <c r="IL58" s="74">
        <f t="shared" si="1554"/>
        <v>0</v>
      </c>
      <c r="IM58" s="74">
        <f t="shared" si="1554"/>
        <v>0</v>
      </c>
      <c r="IN58" s="74">
        <f t="shared" si="1554"/>
        <v>0</v>
      </c>
      <c r="IO58" s="74">
        <f t="shared" si="1554"/>
        <v>0</v>
      </c>
      <c r="IP58" s="74">
        <f t="shared" si="1554"/>
        <v>0</v>
      </c>
      <c r="IQ58" s="74">
        <f t="shared" si="1554"/>
        <v>0</v>
      </c>
      <c r="IR58" s="74">
        <f t="shared" si="1554"/>
        <v>17244</v>
      </c>
      <c r="IS58" s="74">
        <f t="shared" si="1554"/>
        <v>17244</v>
      </c>
      <c r="IT58" s="74">
        <f t="shared" si="1554"/>
        <v>17244</v>
      </c>
      <c r="IU58" s="74">
        <f t="shared" si="1554"/>
        <v>19500</v>
      </c>
      <c r="IV58" s="74">
        <f t="shared" si="1554"/>
        <v>19500</v>
      </c>
      <c r="IW58" s="74">
        <f t="shared" si="1554"/>
        <v>19500</v>
      </c>
      <c r="IX58" s="74">
        <f t="shared" si="1554"/>
        <v>0</v>
      </c>
      <c r="IY58" s="74">
        <f t="shared" si="1554"/>
        <v>0</v>
      </c>
      <c r="IZ58" s="74">
        <f t="shared" si="1554"/>
        <v>0</v>
      </c>
      <c r="JA58" s="74">
        <f t="shared" si="1554"/>
        <v>0</v>
      </c>
      <c r="JB58" s="74">
        <f t="shared" si="1554"/>
        <v>0</v>
      </c>
      <c r="JC58" s="74">
        <f t="shared" si="1554"/>
        <v>0</v>
      </c>
      <c r="JD58" s="74">
        <f t="shared" si="1554"/>
        <v>35550</v>
      </c>
      <c r="JE58" s="74">
        <f t="shared" si="1554"/>
        <v>35550</v>
      </c>
      <c r="JF58" s="74">
        <f t="shared" si="1554"/>
        <v>35550</v>
      </c>
      <c r="JG58" s="74">
        <f t="shared" si="1554"/>
        <v>0</v>
      </c>
      <c r="JH58" s="74">
        <f t="shared" si="1554"/>
        <v>0</v>
      </c>
      <c r="JI58" s="74">
        <f t="shared" si="1554"/>
        <v>0</v>
      </c>
      <c r="JJ58" s="74">
        <f t="shared" si="1554"/>
        <v>0</v>
      </c>
      <c r="JK58" s="74">
        <f t="shared" si="1554"/>
        <v>0</v>
      </c>
      <c r="JL58" s="74">
        <f t="shared" si="1554"/>
        <v>0</v>
      </c>
      <c r="JM58" s="74">
        <f t="shared" si="1554"/>
        <v>0</v>
      </c>
      <c r="JN58" s="74">
        <f t="shared" si="1554"/>
        <v>0</v>
      </c>
      <c r="JO58" s="74">
        <f t="shared" si="1554"/>
        <v>0</v>
      </c>
      <c r="JP58" s="74">
        <f t="shared" si="1554"/>
        <v>0</v>
      </c>
      <c r="JQ58" s="74">
        <f t="shared" si="1554"/>
        <v>0</v>
      </c>
      <c r="JR58" s="74">
        <f t="shared" si="1554"/>
        <v>0</v>
      </c>
      <c r="JS58" s="74">
        <f t="shared" si="1554"/>
        <v>4628</v>
      </c>
      <c r="JT58" s="102">
        <f t="shared" si="1554"/>
        <v>4628</v>
      </c>
      <c r="JU58" s="671"/>
      <c r="JV58" s="492"/>
      <c r="JW58" s="490"/>
      <c r="JX58" s="549">
        <f>JX392+JX285</f>
        <v>63285</v>
      </c>
      <c r="JY58" s="549">
        <f>JY392+JY285</f>
        <v>13637</v>
      </c>
      <c r="JZ58" s="581">
        <f t="shared" si="42"/>
        <v>64000</v>
      </c>
      <c r="KA58" s="581">
        <f t="shared" si="43"/>
        <v>-715</v>
      </c>
      <c r="KB58" s="549">
        <f>KB392+KB285</f>
        <v>76922</v>
      </c>
      <c r="KC58" s="709">
        <f t="shared" si="41"/>
        <v>0</v>
      </c>
      <c r="KD58" s="126" t="s">
        <v>61</v>
      </c>
      <c r="KE58" s="127" t="s">
        <v>528</v>
      </c>
      <c r="KF58" s="127" t="e">
        <f t="shared" ref="KF58:KK58" si="1555">SUM(KF39)+KF17</f>
        <v>#REF!</v>
      </c>
      <c r="KG58" s="127" t="e">
        <f t="shared" si="1555"/>
        <v>#REF!</v>
      </c>
      <c r="KH58" s="127" t="e">
        <f t="shared" si="1555"/>
        <v>#REF!</v>
      </c>
      <c r="KI58" s="127" t="e">
        <f t="shared" si="1555"/>
        <v>#REF!</v>
      </c>
      <c r="KJ58" s="127" t="e">
        <f t="shared" si="1555"/>
        <v>#REF!</v>
      </c>
      <c r="KK58" s="127" t="e">
        <f t="shared" si="1555"/>
        <v>#REF!</v>
      </c>
    </row>
    <row r="59" spans="1:297" s="8" customFormat="1" ht="12.75" hidden="1" customHeight="1">
      <c r="A59" s="75">
        <v>119</v>
      </c>
      <c r="B59" s="72" t="s">
        <v>93</v>
      </c>
      <c r="C59" s="74">
        <f t="shared" ref="C59:BP59" si="1556">SUM(C393,C286)</f>
        <v>0</v>
      </c>
      <c r="D59" s="549">
        <f t="shared" si="1556"/>
        <v>0</v>
      </c>
      <c r="E59" s="675">
        <f t="shared" si="1556"/>
        <v>0</v>
      </c>
      <c r="F59" s="549">
        <f t="shared" si="1556"/>
        <v>0</v>
      </c>
      <c r="G59" s="675">
        <f t="shared" si="1556"/>
        <v>0</v>
      </c>
      <c r="H59" s="549">
        <f t="shared" si="1556"/>
        <v>0</v>
      </c>
      <c r="I59" s="675">
        <f t="shared" si="1556"/>
        <v>0</v>
      </c>
      <c r="J59" s="549">
        <f t="shared" si="1556"/>
        <v>0</v>
      </c>
      <c r="K59" s="675">
        <f t="shared" si="1556"/>
        <v>0</v>
      </c>
      <c r="L59" s="549">
        <f t="shared" si="1556"/>
        <v>0</v>
      </c>
      <c r="M59" s="675">
        <f t="shared" si="1556"/>
        <v>0</v>
      </c>
      <c r="N59" s="549">
        <f t="shared" si="1556"/>
        <v>0</v>
      </c>
      <c r="O59" s="675">
        <f t="shared" si="1556"/>
        <v>0</v>
      </c>
      <c r="P59" s="549">
        <f t="shared" si="1556"/>
        <v>0</v>
      </c>
      <c r="Q59" s="675">
        <f t="shared" si="1556"/>
        <v>0</v>
      </c>
      <c r="R59" s="549">
        <f t="shared" si="1556"/>
        <v>0</v>
      </c>
      <c r="S59" s="675">
        <f t="shared" si="1556"/>
        <v>0</v>
      </c>
      <c r="T59" s="549">
        <f t="shared" si="1556"/>
        <v>0</v>
      </c>
      <c r="U59" s="675">
        <f t="shared" si="1556"/>
        <v>0</v>
      </c>
      <c r="V59" s="549">
        <f t="shared" si="1556"/>
        <v>0</v>
      </c>
      <c r="W59" s="675">
        <f t="shared" si="1556"/>
        <v>0</v>
      </c>
      <c r="X59" s="549">
        <f t="shared" si="1556"/>
        <v>0</v>
      </c>
      <c r="Y59" s="675">
        <f t="shared" si="1556"/>
        <v>0</v>
      </c>
      <c r="Z59" s="549">
        <f t="shared" si="1556"/>
        <v>0</v>
      </c>
      <c r="AA59" s="675">
        <f t="shared" si="1556"/>
        <v>0</v>
      </c>
      <c r="AB59" s="549">
        <f t="shared" si="1556"/>
        <v>0</v>
      </c>
      <c r="AC59" s="675">
        <f t="shared" si="1556"/>
        <v>0</v>
      </c>
      <c r="AD59" s="549">
        <f t="shared" si="1556"/>
        <v>0</v>
      </c>
      <c r="AE59" s="675">
        <f t="shared" si="1556"/>
        <v>0</v>
      </c>
      <c r="AF59" s="549">
        <f t="shared" si="1556"/>
        <v>0</v>
      </c>
      <c r="AG59" s="675">
        <f t="shared" si="1556"/>
        <v>0</v>
      </c>
      <c r="AH59" s="549">
        <f t="shared" si="1556"/>
        <v>0</v>
      </c>
      <c r="AI59" s="675">
        <f t="shared" si="1556"/>
        <v>0</v>
      </c>
      <c r="AJ59" s="549">
        <f t="shared" si="1556"/>
        <v>0</v>
      </c>
      <c r="AK59" s="675">
        <f t="shared" si="1556"/>
        <v>0</v>
      </c>
      <c r="AL59" s="549">
        <f t="shared" si="1556"/>
        <v>0</v>
      </c>
      <c r="AM59" s="675">
        <f t="shared" si="1556"/>
        <v>0</v>
      </c>
      <c r="AN59" s="549">
        <f t="shared" si="1556"/>
        <v>0</v>
      </c>
      <c r="AO59" s="675">
        <f t="shared" si="1556"/>
        <v>0</v>
      </c>
      <c r="AP59" s="549">
        <f t="shared" si="1556"/>
        <v>0</v>
      </c>
      <c r="AQ59" s="675">
        <f t="shared" si="1556"/>
        <v>0</v>
      </c>
      <c r="AR59" s="549">
        <f t="shared" si="1556"/>
        <v>0</v>
      </c>
      <c r="AS59" s="675">
        <f t="shared" si="1556"/>
        <v>0</v>
      </c>
      <c r="AT59" s="549">
        <f t="shared" ref="AT59:AU59" si="1557">SUM(AT393,AT286)</f>
        <v>0</v>
      </c>
      <c r="AU59" s="675">
        <f t="shared" si="1557"/>
        <v>0</v>
      </c>
      <c r="AV59" s="549">
        <f t="shared" ref="AV59:AW59" si="1558">SUM(AV393,AV286)</f>
        <v>0</v>
      </c>
      <c r="AW59" s="675">
        <f t="shared" si="1558"/>
        <v>0</v>
      </c>
      <c r="AX59" s="549">
        <f t="shared" ref="AX59:AY59" si="1559">SUM(AX393,AX286)</f>
        <v>0</v>
      </c>
      <c r="AY59" s="675">
        <f t="shared" si="1559"/>
        <v>0</v>
      </c>
      <c r="AZ59" s="549">
        <f t="shared" ref="AZ59:BA59" si="1560">SUM(AZ393,AZ286)</f>
        <v>0</v>
      </c>
      <c r="BA59" s="675">
        <f t="shared" si="1560"/>
        <v>0</v>
      </c>
      <c r="BB59" s="549">
        <f t="shared" ref="BB59:BC59" si="1561">SUM(BB393,BB286)</f>
        <v>0</v>
      </c>
      <c r="BC59" s="675">
        <f t="shared" si="1561"/>
        <v>0</v>
      </c>
      <c r="BD59" s="549">
        <f t="shared" ref="BD59:BE59" si="1562">SUM(BD393,BD286)</f>
        <v>0</v>
      </c>
      <c r="BE59" s="675">
        <f t="shared" si="1562"/>
        <v>0</v>
      </c>
      <c r="BF59" s="549">
        <f t="shared" ref="BF59:BG59" si="1563">SUM(BF393,BF286)</f>
        <v>0</v>
      </c>
      <c r="BG59" s="675">
        <f t="shared" si="1563"/>
        <v>0</v>
      </c>
      <c r="BH59" s="549">
        <f t="shared" ref="BH59:BI59" si="1564">SUM(BH393,BH286)</f>
        <v>0</v>
      </c>
      <c r="BI59" s="675">
        <f t="shared" si="1564"/>
        <v>0</v>
      </c>
      <c r="BJ59" s="549">
        <f t="shared" ref="BJ59:BK59" si="1565">SUM(BJ393,BJ286)</f>
        <v>0</v>
      </c>
      <c r="BK59" s="675">
        <f t="shared" si="1565"/>
        <v>0</v>
      </c>
      <c r="BL59" s="549">
        <f t="shared" si="1556"/>
        <v>0</v>
      </c>
      <c r="BM59" s="675">
        <f t="shared" si="1556"/>
        <v>0</v>
      </c>
      <c r="BN59" s="549">
        <f t="shared" si="1556"/>
        <v>0</v>
      </c>
      <c r="BO59" s="675">
        <f t="shared" si="1556"/>
        <v>0</v>
      </c>
      <c r="BP59" s="549">
        <f t="shared" si="1556"/>
        <v>0</v>
      </c>
      <c r="BQ59" s="675">
        <f t="shared" ref="BQ59" si="1566">SUM(BQ393,BQ286)</f>
        <v>0</v>
      </c>
      <c r="BR59" s="549">
        <f t="shared" ref="BR59:BS59" si="1567">SUM(BR393,BR286)</f>
        <v>0</v>
      </c>
      <c r="BS59" s="675">
        <f t="shared" si="1567"/>
        <v>0</v>
      </c>
      <c r="BT59" s="549">
        <f t="shared" ref="BT59:BU59" si="1568">SUM(BT393,BT286)</f>
        <v>0</v>
      </c>
      <c r="BU59" s="675">
        <f t="shared" si="1568"/>
        <v>0</v>
      </c>
      <c r="BV59" s="549">
        <f t="shared" ref="BV59:BW59" si="1569">SUM(BV393,BV286)</f>
        <v>0</v>
      </c>
      <c r="BW59" s="675">
        <f t="shared" si="1569"/>
        <v>0</v>
      </c>
      <c r="BX59" s="549">
        <f t="shared" ref="BX59:BY59" si="1570">SUM(BX393,BX286)</f>
        <v>0</v>
      </c>
      <c r="BY59" s="675">
        <f t="shared" si="1570"/>
        <v>0</v>
      </c>
      <c r="BZ59" s="549">
        <f t="shared" ref="BZ59:CA59" si="1571">SUM(BZ393,BZ286)</f>
        <v>0</v>
      </c>
      <c r="CA59" s="675">
        <f t="shared" si="1571"/>
        <v>0</v>
      </c>
      <c r="CB59" s="549">
        <f t="shared" ref="CB59:EC59" si="1572">SUM(CB393,CB286)</f>
        <v>0</v>
      </c>
      <c r="CC59" s="675">
        <f t="shared" si="1572"/>
        <v>0</v>
      </c>
      <c r="CD59" s="549">
        <f t="shared" si="1572"/>
        <v>0</v>
      </c>
      <c r="CE59" s="675">
        <f t="shared" si="1572"/>
        <v>0</v>
      </c>
      <c r="CF59" s="549">
        <f t="shared" si="1572"/>
        <v>0</v>
      </c>
      <c r="CG59" s="675">
        <f t="shared" si="1572"/>
        <v>0</v>
      </c>
      <c r="CH59" s="549">
        <f t="shared" si="1572"/>
        <v>0</v>
      </c>
      <c r="CI59" s="675">
        <f t="shared" si="1572"/>
        <v>0</v>
      </c>
      <c r="CJ59" s="549">
        <f t="shared" si="1572"/>
        <v>0</v>
      </c>
      <c r="CK59" s="675">
        <f t="shared" si="1572"/>
        <v>0</v>
      </c>
      <c r="CL59" s="549">
        <f t="shared" si="1572"/>
        <v>0</v>
      </c>
      <c r="CM59" s="675">
        <f t="shared" si="1572"/>
        <v>0</v>
      </c>
      <c r="CN59" s="549">
        <f t="shared" si="1572"/>
        <v>0</v>
      </c>
      <c r="CO59" s="675">
        <f t="shared" si="1572"/>
        <v>0</v>
      </c>
      <c r="CP59" s="549">
        <f t="shared" si="1572"/>
        <v>0</v>
      </c>
      <c r="CQ59" s="675">
        <f t="shared" si="1572"/>
        <v>0</v>
      </c>
      <c r="CR59" s="549">
        <f t="shared" si="1572"/>
        <v>0</v>
      </c>
      <c r="CS59" s="675">
        <f t="shared" si="1572"/>
        <v>0</v>
      </c>
      <c r="CT59" s="549">
        <f t="shared" si="1572"/>
        <v>0</v>
      </c>
      <c r="CU59" s="675">
        <f t="shared" si="1572"/>
        <v>0</v>
      </c>
      <c r="CV59" s="549">
        <f t="shared" si="1572"/>
        <v>0</v>
      </c>
      <c r="CW59" s="675">
        <f t="shared" si="1572"/>
        <v>0</v>
      </c>
      <c r="CX59" s="549">
        <f t="shared" si="1572"/>
        <v>0</v>
      </c>
      <c r="CY59" s="675">
        <f t="shared" si="1572"/>
        <v>0</v>
      </c>
      <c r="CZ59" s="549">
        <f t="shared" si="1572"/>
        <v>0</v>
      </c>
      <c r="DA59" s="675">
        <f t="shared" si="1572"/>
        <v>0</v>
      </c>
      <c r="DB59" s="549">
        <f t="shared" si="1572"/>
        <v>0</v>
      </c>
      <c r="DC59" s="675">
        <f t="shared" si="1572"/>
        <v>0</v>
      </c>
      <c r="DD59" s="549">
        <f t="shared" si="1572"/>
        <v>0</v>
      </c>
      <c r="DE59" s="675">
        <f t="shared" si="1572"/>
        <v>0</v>
      </c>
      <c r="DF59" s="549">
        <f t="shared" si="1572"/>
        <v>100000</v>
      </c>
      <c r="DG59" s="675">
        <f t="shared" si="1572"/>
        <v>0</v>
      </c>
      <c r="DH59" s="549">
        <f t="shared" si="1572"/>
        <v>0</v>
      </c>
      <c r="DI59" s="675">
        <f t="shared" si="1572"/>
        <v>0</v>
      </c>
      <c r="DJ59" s="549">
        <f t="shared" si="1572"/>
        <v>0</v>
      </c>
      <c r="DK59" s="675">
        <f t="shared" si="1572"/>
        <v>0</v>
      </c>
      <c r="DL59" s="549">
        <f t="shared" si="1572"/>
        <v>0</v>
      </c>
      <c r="DM59" s="675">
        <f t="shared" si="1572"/>
        <v>0</v>
      </c>
      <c r="DN59" s="549">
        <f t="shared" si="1572"/>
        <v>0</v>
      </c>
      <c r="DO59" s="675">
        <f t="shared" si="1572"/>
        <v>0</v>
      </c>
      <c r="DP59" s="549">
        <f t="shared" si="1572"/>
        <v>0</v>
      </c>
      <c r="DQ59" s="675">
        <f t="shared" si="1572"/>
        <v>0</v>
      </c>
      <c r="DR59" s="549">
        <f t="shared" si="1572"/>
        <v>0</v>
      </c>
      <c r="DS59" s="675">
        <f t="shared" si="1572"/>
        <v>0</v>
      </c>
      <c r="DT59" s="549">
        <f t="shared" si="1572"/>
        <v>0</v>
      </c>
      <c r="DU59" s="675">
        <f t="shared" si="1572"/>
        <v>0</v>
      </c>
      <c r="DV59" s="549">
        <f t="shared" si="1572"/>
        <v>0</v>
      </c>
      <c r="DW59" s="675">
        <f t="shared" si="1572"/>
        <v>0</v>
      </c>
      <c r="DX59" s="549">
        <f t="shared" si="1572"/>
        <v>0</v>
      </c>
      <c r="DY59" s="675">
        <f t="shared" si="1572"/>
        <v>0</v>
      </c>
      <c r="DZ59" s="549">
        <f t="shared" si="1572"/>
        <v>0</v>
      </c>
      <c r="EA59" s="675">
        <f t="shared" si="1572"/>
        <v>0</v>
      </c>
      <c r="EB59" s="549">
        <f t="shared" si="1572"/>
        <v>0</v>
      </c>
      <c r="EC59" s="675">
        <f t="shared" si="1572"/>
        <v>0</v>
      </c>
      <c r="ED59" s="549">
        <f t="shared" ref="ED59:EE59" si="1573">SUM(ED393,ED286)</f>
        <v>0</v>
      </c>
      <c r="EE59" s="675">
        <f t="shared" si="1573"/>
        <v>0</v>
      </c>
      <c r="EF59" s="549">
        <f t="shared" ref="EF59:HV59" si="1574">SUM(EF393,EF286)</f>
        <v>0</v>
      </c>
      <c r="EG59" s="675">
        <f t="shared" si="1574"/>
        <v>0</v>
      </c>
      <c r="EH59" s="549">
        <f t="shared" si="1574"/>
        <v>0</v>
      </c>
      <c r="EI59" s="675">
        <f t="shared" si="1574"/>
        <v>0</v>
      </c>
      <c r="EJ59" s="549">
        <f t="shared" si="1574"/>
        <v>0</v>
      </c>
      <c r="EK59" s="675">
        <f t="shared" si="1574"/>
        <v>0</v>
      </c>
      <c r="EL59" s="549">
        <f t="shared" si="1574"/>
        <v>0</v>
      </c>
      <c r="EM59" s="675">
        <f t="shared" si="1574"/>
        <v>0</v>
      </c>
      <c r="EN59" s="549">
        <f t="shared" si="1574"/>
        <v>0</v>
      </c>
      <c r="EO59" s="675">
        <f t="shared" si="1574"/>
        <v>0</v>
      </c>
      <c r="EP59" s="549">
        <f t="shared" si="1574"/>
        <v>0</v>
      </c>
      <c r="EQ59" s="675">
        <f t="shared" si="1574"/>
        <v>0</v>
      </c>
      <c r="ER59" s="549">
        <f t="shared" si="1574"/>
        <v>0</v>
      </c>
      <c r="ES59" s="675">
        <f t="shared" si="1574"/>
        <v>0</v>
      </c>
      <c r="ET59" s="549">
        <f t="shared" si="1574"/>
        <v>0</v>
      </c>
      <c r="EU59" s="675">
        <f t="shared" si="1574"/>
        <v>0</v>
      </c>
      <c r="EV59" s="549">
        <f t="shared" si="1574"/>
        <v>0</v>
      </c>
      <c r="EW59" s="675">
        <f t="shared" si="1574"/>
        <v>0</v>
      </c>
      <c r="EX59" s="549">
        <f t="shared" si="1574"/>
        <v>0</v>
      </c>
      <c r="EY59" s="675">
        <f t="shared" si="1574"/>
        <v>0</v>
      </c>
      <c r="EZ59" s="549">
        <f t="shared" si="1574"/>
        <v>0</v>
      </c>
      <c r="FA59" s="675">
        <f t="shared" si="1574"/>
        <v>0</v>
      </c>
      <c r="FB59" s="549">
        <f t="shared" si="1574"/>
        <v>0</v>
      </c>
      <c r="FC59" s="675">
        <f t="shared" si="1574"/>
        <v>0</v>
      </c>
      <c r="FD59" s="549">
        <f t="shared" si="1574"/>
        <v>0</v>
      </c>
      <c r="FE59" s="675">
        <f t="shared" si="1574"/>
        <v>0</v>
      </c>
      <c r="FF59" s="549">
        <f t="shared" si="1574"/>
        <v>0</v>
      </c>
      <c r="FG59" s="675">
        <f t="shared" si="1574"/>
        <v>0</v>
      </c>
      <c r="FH59" s="549">
        <f t="shared" si="1574"/>
        <v>0</v>
      </c>
      <c r="FI59" s="675">
        <f t="shared" si="1574"/>
        <v>0</v>
      </c>
      <c r="FJ59" s="549">
        <f t="shared" si="1574"/>
        <v>0</v>
      </c>
      <c r="FK59" s="675">
        <f t="shared" si="1574"/>
        <v>0</v>
      </c>
      <c r="FL59" s="549">
        <f t="shared" ref="FL59:FM59" si="1575">SUM(FL393,FL286)</f>
        <v>0</v>
      </c>
      <c r="FM59" s="675">
        <f t="shared" si="1575"/>
        <v>0</v>
      </c>
      <c r="FN59" s="549">
        <f t="shared" ref="FN59:FO59" si="1576">SUM(FN393,FN286)</f>
        <v>0</v>
      </c>
      <c r="FO59" s="675">
        <f t="shared" si="1576"/>
        <v>0</v>
      </c>
      <c r="FP59" s="549">
        <f t="shared" ref="FP59:FQ59" si="1577">SUM(FP393,FP286)</f>
        <v>0</v>
      </c>
      <c r="FQ59" s="675">
        <f t="shared" si="1577"/>
        <v>0</v>
      </c>
      <c r="FR59" s="549">
        <f t="shared" ref="FR59:FS59" si="1578">SUM(FR393,FR286)</f>
        <v>1715</v>
      </c>
      <c r="FS59" s="675">
        <f t="shared" si="1578"/>
        <v>0</v>
      </c>
      <c r="FT59" s="549">
        <f t="shared" ref="FT59:FU59" si="1579">SUM(FT393,FT286)</f>
        <v>0</v>
      </c>
      <c r="FU59" s="675">
        <f t="shared" si="1579"/>
        <v>0</v>
      </c>
      <c r="FV59" s="549">
        <f t="shared" ref="FV59:GK59" si="1580">SUM(FV393,FV286)</f>
        <v>0</v>
      </c>
      <c r="FW59" s="675">
        <f t="shared" si="1580"/>
        <v>0</v>
      </c>
      <c r="FX59" s="549">
        <f t="shared" si="1580"/>
        <v>0</v>
      </c>
      <c r="FY59" s="675">
        <f t="shared" si="1580"/>
        <v>0</v>
      </c>
      <c r="FZ59" s="549">
        <f t="shared" ref="FZ59:GI59" si="1581">SUM(FZ393,FZ286)</f>
        <v>0</v>
      </c>
      <c r="GA59" s="675">
        <f t="shared" si="1581"/>
        <v>0</v>
      </c>
      <c r="GB59" s="549">
        <f t="shared" si="1581"/>
        <v>0</v>
      </c>
      <c r="GC59" s="675">
        <f t="shared" si="1581"/>
        <v>0</v>
      </c>
      <c r="GD59" s="549">
        <f t="shared" si="1581"/>
        <v>0</v>
      </c>
      <c r="GE59" s="675">
        <f t="shared" si="1581"/>
        <v>0</v>
      </c>
      <c r="GF59" s="549">
        <f t="shared" si="1581"/>
        <v>0</v>
      </c>
      <c r="GG59" s="675">
        <f t="shared" si="1581"/>
        <v>0</v>
      </c>
      <c r="GH59" s="549">
        <f t="shared" si="1581"/>
        <v>0</v>
      </c>
      <c r="GI59" s="675">
        <f t="shared" si="1581"/>
        <v>0</v>
      </c>
      <c r="GJ59" s="549">
        <f t="shared" si="1580"/>
        <v>0</v>
      </c>
      <c r="GK59" s="675">
        <f t="shared" si="1580"/>
        <v>0</v>
      </c>
      <c r="GL59" s="549">
        <f t="shared" ref="GL59:GM59" si="1582">SUM(GL393,GL286)</f>
        <v>0</v>
      </c>
      <c r="GM59" s="675">
        <f t="shared" si="1582"/>
        <v>0</v>
      </c>
      <c r="GN59" s="549">
        <f t="shared" ref="GN59:GO59" si="1583">SUM(GN393,GN286)</f>
        <v>0</v>
      </c>
      <c r="GO59" s="675">
        <f t="shared" si="1583"/>
        <v>0</v>
      </c>
      <c r="GP59" s="74">
        <f t="shared" si="1574"/>
        <v>101715</v>
      </c>
      <c r="GQ59" s="675">
        <f t="shared" si="1574"/>
        <v>0</v>
      </c>
      <c r="GR59" s="74">
        <f t="shared" si="1574"/>
        <v>101715</v>
      </c>
      <c r="GS59" s="74">
        <f t="shared" si="1574"/>
        <v>101715</v>
      </c>
      <c r="GT59" s="549">
        <f t="shared" si="1574"/>
        <v>101715</v>
      </c>
      <c r="GU59" s="74">
        <f t="shared" si="1574"/>
        <v>0</v>
      </c>
      <c r="GV59" s="74">
        <f t="shared" si="1574"/>
        <v>0</v>
      </c>
      <c r="GW59" s="549">
        <f t="shared" si="1574"/>
        <v>0</v>
      </c>
      <c r="GX59" s="549">
        <f t="shared" si="1574"/>
        <v>0</v>
      </c>
      <c r="GY59" s="74">
        <f t="shared" si="1574"/>
        <v>0</v>
      </c>
      <c r="GZ59" s="74">
        <f t="shared" si="1574"/>
        <v>0</v>
      </c>
      <c r="HA59" s="74">
        <f t="shared" si="1574"/>
        <v>0</v>
      </c>
      <c r="HB59" s="74">
        <f t="shared" si="1574"/>
        <v>0</v>
      </c>
      <c r="HC59" s="74">
        <f t="shared" si="1574"/>
        <v>0</v>
      </c>
      <c r="HD59" s="74">
        <f t="shared" si="1574"/>
        <v>0</v>
      </c>
      <c r="HE59" s="74">
        <f t="shared" si="1574"/>
        <v>0</v>
      </c>
      <c r="HF59" s="74">
        <f t="shared" si="1574"/>
        <v>0</v>
      </c>
      <c r="HG59" s="74">
        <f t="shared" si="1574"/>
        <v>101715</v>
      </c>
      <c r="HH59" s="74">
        <f t="shared" si="1574"/>
        <v>0</v>
      </c>
      <c r="HI59" s="74">
        <f t="shared" si="1574"/>
        <v>0</v>
      </c>
      <c r="HJ59" s="74">
        <f t="shared" si="1574"/>
        <v>0</v>
      </c>
      <c r="HK59" s="74">
        <f t="shared" si="1574"/>
        <v>0</v>
      </c>
      <c r="HL59" s="74">
        <f t="shared" si="1574"/>
        <v>0</v>
      </c>
      <c r="HM59" s="74">
        <f t="shared" si="1574"/>
        <v>0</v>
      </c>
      <c r="HN59" s="74">
        <f t="shared" si="1574"/>
        <v>0</v>
      </c>
      <c r="HO59" s="74">
        <f t="shared" si="1574"/>
        <v>0</v>
      </c>
      <c r="HP59" s="74">
        <f t="shared" si="1574"/>
        <v>0</v>
      </c>
      <c r="HQ59" s="74">
        <f t="shared" si="1574"/>
        <v>0</v>
      </c>
      <c r="HR59" s="74">
        <f t="shared" si="1574"/>
        <v>0</v>
      </c>
      <c r="HS59" s="74">
        <f t="shared" si="1574"/>
        <v>0</v>
      </c>
      <c r="HT59" s="74">
        <f t="shared" si="1574"/>
        <v>0</v>
      </c>
      <c r="HU59" s="74">
        <f t="shared" si="1574"/>
        <v>0</v>
      </c>
      <c r="HV59" s="74">
        <f t="shared" si="1574"/>
        <v>0</v>
      </c>
      <c r="HW59" s="74">
        <f t="shared" ref="HW59:JT59" si="1584">SUM(HW393,HW286)</f>
        <v>0</v>
      </c>
      <c r="HX59" s="74">
        <f t="shared" si="1584"/>
        <v>0</v>
      </c>
      <c r="HY59" s="74">
        <f t="shared" si="1584"/>
        <v>0</v>
      </c>
      <c r="HZ59" s="74">
        <f t="shared" si="1584"/>
        <v>1715</v>
      </c>
      <c r="IA59" s="74">
        <f t="shared" si="1584"/>
        <v>0</v>
      </c>
      <c r="IB59" s="74">
        <f t="shared" si="1584"/>
        <v>0</v>
      </c>
      <c r="IC59" s="74">
        <f t="shared" si="1584"/>
        <v>0</v>
      </c>
      <c r="ID59" s="74">
        <f t="shared" si="1584"/>
        <v>0</v>
      </c>
      <c r="IE59" s="792">
        <f t="shared" si="1584"/>
        <v>0</v>
      </c>
      <c r="IF59" s="841">
        <f t="shared" si="1584"/>
        <v>37647.379999999997</v>
      </c>
      <c r="IG59" s="263">
        <f t="shared" si="1584"/>
        <v>37647.379999999997</v>
      </c>
      <c r="IH59" s="842">
        <f t="shared" si="1584"/>
        <v>37647.379999999997</v>
      </c>
      <c r="II59" s="155">
        <f t="shared" si="1584"/>
        <v>0</v>
      </c>
      <c r="IJ59" s="74">
        <f t="shared" si="1584"/>
        <v>0</v>
      </c>
      <c r="IK59" s="74">
        <f t="shared" si="1584"/>
        <v>0</v>
      </c>
      <c r="IL59" s="74">
        <f t="shared" si="1584"/>
        <v>0</v>
      </c>
      <c r="IM59" s="74">
        <f t="shared" si="1584"/>
        <v>0</v>
      </c>
      <c r="IN59" s="74">
        <f t="shared" si="1584"/>
        <v>0</v>
      </c>
      <c r="IO59" s="74">
        <f t="shared" si="1584"/>
        <v>0</v>
      </c>
      <c r="IP59" s="74">
        <f t="shared" si="1584"/>
        <v>0</v>
      </c>
      <c r="IQ59" s="74">
        <f t="shared" si="1584"/>
        <v>0</v>
      </c>
      <c r="IR59" s="74">
        <f t="shared" si="1584"/>
        <v>0</v>
      </c>
      <c r="IS59" s="74">
        <f t="shared" si="1584"/>
        <v>0</v>
      </c>
      <c r="IT59" s="74">
        <f t="shared" si="1584"/>
        <v>0</v>
      </c>
      <c r="IU59" s="74">
        <f t="shared" si="1584"/>
        <v>0</v>
      </c>
      <c r="IV59" s="74">
        <f t="shared" si="1584"/>
        <v>0</v>
      </c>
      <c r="IW59" s="74">
        <f t="shared" si="1584"/>
        <v>0</v>
      </c>
      <c r="IX59" s="74">
        <f t="shared" si="1584"/>
        <v>0</v>
      </c>
      <c r="IY59" s="74">
        <f t="shared" si="1584"/>
        <v>0</v>
      </c>
      <c r="IZ59" s="74">
        <f t="shared" si="1584"/>
        <v>0</v>
      </c>
      <c r="JA59" s="74">
        <f t="shared" si="1584"/>
        <v>0</v>
      </c>
      <c r="JB59" s="74">
        <f t="shared" si="1584"/>
        <v>0</v>
      </c>
      <c r="JC59" s="74">
        <f t="shared" si="1584"/>
        <v>0</v>
      </c>
      <c r="JD59" s="74">
        <f t="shared" si="1584"/>
        <v>105</v>
      </c>
      <c r="JE59" s="74">
        <f t="shared" si="1584"/>
        <v>105</v>
      </c>
      <c r="JF59" s="74">
        <f t="shared" si="1584"/>
        <v>105</v>
      </c>
      <c r="JG59" s="74">
        <f t="shared" si="1584"/>
        <v>0</v>
      </c>
      <c r="JH59" s="74">
        <f t="shared" si="1584"/>
        <v>0</v>
      </c>
      <c r="JI59" s="74">
        <f t="shared" si="1584"/>
        <v>0</v>
      </c>
      <c r="JJ59" s="74">
        <f t="shared" si="1584"/>
        <v>37542.379999999997</v>
      </c>
      <c r="JK59" s="74">
        <f t="shared" si="1584"/>
        <v>37542.379999999997</v>
      </c>
      <c r="JL59" s="74">
        <f t="shared" si="1584"/>
        <v>37542.379999999997</v>
      </c>
      <c r="JM59" s="74">
        <f t="shared" si="1584"/>
        <v>0</v>
      </c>
      <c r="JN59" s="74">
        <f t="shared" si="1584"/>
        <v>0</v>
      </c>
      <c r="JO59" s="74">
        <f t="shared" si="1584"/>
        <v>0</v>
      </c>
      <c r="JP59" s="74">
        <f t="shared" si="1584"/>
        <v>0</v>
      </c>
      <c r="JQ59" s="74">
        <f t="shared" si="1584"/>
        <v>0</v>
      </c>
      <c r="JR59" s="74">
        <f t="shared" si="1584"/>
        <v>0</v>
      </c>
      <c r="JS59" s="74">
        <f t="shared" si="1584"/>
        <v>64067.62</v>
      </c>
      <c r="JT59" s="382">
        <f t="shared" si="1584"/>
        <v>64067.62</v>
      </c>
      <c r="JU59" s="671"/>
      <c r="JV59" s="492"/>
      <c r="JW59" s="490"/>
      <c r="JX59" s="549">
        <f>SUM(JX393,JX286)</f>
        <v>1715</v>
      </c>
      <c r="JY59" s="549">
        <f>SUM(JY393,JY286)</f>
        <v>0</v>
      </c>
      <c r="JZ59" s="581">
        <f t="shared" si="42"/>
        <v>101715</v>
      </c>
      <c r="KA59" s="581">
        <f t="shared" si="43"/>
        <v>0</v>
      </c>
      <c r="KB59" s="549">
        <f>SUM(KB393,KB286)</f>
        <v>101715</v>
      </c>
      <c r="KC59" s="709">
        <f t="shared" si="41"/>
        <v>0</v>
      </c>
      <c r="KD59" s="126" t="s">
        <v>63</v>
      </c>
      <c r="KE59" s="127" t="s">
        <v>529</v>
      </c>
      <c r="KF59" s="127">
        <f t="shared" ref="KF59:KK59" si="1585">SUM(KF19)</f>
        <v>218400</v>
      </c>
      <c r="KG59" s="127">
        <f t="shared" si="1585"/>
        <v>213987</v>
      </c>
      <c r="KH59" s="127">
        <f t="shared" si="1585"/>
        <v>194133</v>
      </c>
      <c r="KI59" s="127" t="e">
        <f t="shared" si="1585"/>
        <v>#REF!</v>
      </c>
      <c r="KJ59" s="127">
        <f t="shared" si="1585"/>
        <v>213987</v>
      </c>
      <c r="KK59" s="127">
        <f t="shared" si="1585"/>
        <v>194133</v>
      </c>
    </row>
    <row r="60" spans="1:297" s="8" customFormat="1" ht="13.5" thickBot="1">
      <c r="A60" s="75"/>
      <c r="B60" s="72"/>
      <c r="C60" s="74"/>
      <c r="D60" s="549"/>
      <c r="E60" s="675"/>
      <c r="F60" s="549"/>
      <c r="G60" s="675"/>
      <c r="H60" s="549"/>
      <c r="I60" s="675"/>
      <c r="J60" s="549"/>
      <c r="K60" s="675"/>
      <c r="L60" s="549"/>
      <c r="M60" s="675"/>
      <c r="N60" s="549"/>
      <c r="O60" s="675"/>
      <c r="P60" s="549"/>
      <c r="Q60" s="675"/>
      <c r="R60" s="549"/>
      <c r="S60" s="675"/>
      <c r="T60" s="549"/>
      <c r="U60" s="675"/>
      <c r="V60" s="549"/>
      <c r="W60" s="675"/>
      <c r="X60" s="549"/>
      <c r="Y60" s="675"/>
      <c r="Z60" s="549"/>
      <c r="AA60" s="675"/>
      <c r="AB60" s="549"/>
      <c r="AC60" s="675"/>
      <c r="AD60" s="549"/>
      <c r="AE60" s="675"/>
      <c r="AF60" s="549"/>
      <c r="AG60" s="675"/>
      <c r="AH60" s="549"/>
      <c r="AI60" s="675"/>
      <c r="AJ60" s="549"/>
      <c r="AK60" s="675"/>
      <c r="AL60" s="549"/>
      <c r="AM60" s="675"/>
      <c r="AN60" s="549"/>
      <c r="AO60" s="675"/>
      <c r="AP60" s="549"/>
      <c r="AQ60" s="675"/>
      <c r="AR60" s="549"/>
      <c r="AS60" s="675"/>
      <c r="AT60" s="549"/>
      <c r="AU60" s="675"/>
      <c r="AV60" s="549"/>
      <c r="AW60" s="675"/>
      <c r="AX60" s="549"/>
      <c r="AY60" s="675"/>
      <c r="AZ60" s="549"/>
      <c r="BA60" s="675"/>
      <c r="BB60" s="549"/>
      <c r="BC60" s="675"/>
      <c r="BD60" s="549"/>
      <c r="BE60" s="675"/>
      <c r="BF60" s="549"/>
      <c r="BG60" s="675"/>
      <c r="BH60" s="549"/>
      <c r="BI60" s="675"/>
      <c r="BJ60" s="549"/>
      <c r="BK60" s="675"/>
      <c r="BL60" s="549"/>
      <c r="BM60" s="675"/>
      <c r="BN60" s="549"/>
      <c r="BO60" s="675"/>
      <c r="BP60" s="549"/>
      <c r="BQ60" s="675"/>
      <c r="BR60" s="549"/>
      <c r="BS60" s="675"/>
      <c r="BT60" s="549"/>
      <c r="BU60" s="675"/>
      <c r="BV60" s="549"/>
      <c r="BW60" s="675"/>
      <c r="BX60" s="549"/>
      <c r="BY60" s="675"/>
      <c r="BZ60" s="549"/>
      <c r="CA60" s="675"/>
      <c r="CB60" s="549"/>
      <c r="CC60" s="675"/>
      <c r="CD60" s="549"/>
      <c r="CE60" s="675"/>
      <c r="CF60" s="549"/>
      <c r="CG60" s="675"/>
      <c r="CH60" s="549"/>
      <c r="CI60" s="675"/>
      <c r="CJ60" s="549"/>
      <c r="CK60" s="675"/>
      <c r="CL60" s="549"/>
      <c r="CM60" s="675"/>
      <c r="CN60" s="549"/>
      <c r="CO60" s="675"/>
      <c r="CP60" s="549"/>
      <c r="CQ60" s="675"/>
      <c r="CR60" s="549"/>
      <c r="CS60" s="675"/>
      <c r="CT60" s="549"/>
      <c r="CU60" s="675"/>
      <c r="CV60" s="549"/>
      <c r="CW60" s="675"/>
      <c r="CX60" s="549"/>
      <c r="CY60" s="675"/>
      <c r="CZ60" s="549"/>
      <c r="DA60" s="675"/>
      <c r="DB60" s="549"/>
      <c r="DC60" s="675"/>
      <c r="DD60" s="549"/>
      <c r="DE60" s="675"/>
      <c r="DF60" s="549"/>
      <c r="DG60" s="675"/>
      <c r="DH60" s="549"/>
      <c r="DI60" s="675"/>
      <c r="DJ60" s="549"/>
      <c r="DK60" s="675"/>
      <c r="DL60" s="549"/>
      <c r="DM60" s="675"/>
      <c r="DN60" s="549"/>
      <c r="DO60" s="675"/>
      <c r="DP60" s="549"/>
      <c r="DQ60" s="675"/>
      <c r="DR60" s="549"/>
      <c r="DS60" s="675"/>
      <c r="DT60" s="549"/>
      <c r="DU60" s="675"/>
      <c r="DV60" s="549"/>
      <c r="DW60" s="675"/>
      <c r="DX60" s="549"/>
      <c r="DY60" s="675"/>
      <c r="DZ60" s="549"/>
      <c r="EA60" s="675"/>
      <c r="EB60" s="549"/>
      <c r="EC60" s="675"/>
      <c r="ED60" s="549"/>
      <c r="EE60" s="675"/>
      <c r="EF60" s="549"/>
      <c r="EG60" s="675"/>
      <c r="EH60" s="549"/>
      <c r="EI60" s="675"/>
      <c r="EJ60" s="549"/>
      <c r="EK60" s="675"/>
      <c r="EL60" s="549"/>
      <c r="EM60" s="675"/>
      <c r="EN60" s="549"/>
      <c r="EO60" s="675"/>
      <c r="EP60" s="549"/>
      <c r="EQ60" s="675"/>
      <c r="ER60" s="549"/>
      <c r="ES60" s="675"/>
      <c r="ET60" s="549"/>
      <c r="EU60" s="675"/>
      <c r="EV60" s="549"/>
      <c r="EW60" s="675"/>
      <c r="EX60" s="549"/>
      <c r="EY60" s="675"/>
      <c r="EZ60" s="549"/>
      <c r="FA60" s="675"/>
      <c r="FB60" s="549"/>
      <c r="FC60" s="675"/>
      <c r="FD60" s="549"/>
      <c r="FE60" s="675"/>
      <c r="FF60" s="549"/>
      <c r="FG60" s="675"/>
      <c r="FH60" s="549"/>
      <c r="FI60" s="675"/>
      <c r="FJ60" s="549"/>
      <c r="FK60" s="675"/>
      <c r="FL60" s="549"/>
      <c r="FM60" s="675"/>
      <c r="FN60" s="549"/>
      <c r="FO60" s="675"/>
      <c r="FP60" s="549"/>
      <c r="FQ60" s="675"/>
      <c r="FR60" s="549"/>
      <c r="FS60" s="675"/>
      <c r="FT60" s="549"/>
      <c r="FU60" s="675"/>
      <c r="FV60" s="549"/>
      <c r="FW60" s="675"/>
      <c r="FX60" s="549"/>
      <c r="FY60" s="675"/>
      <c r="FZ60" s="549"/>
      <c r="GA60" s="675"/>
      <c r="GB60" s="549"/>
      <c r="GC60" s="675"/>
      <c r="GD60" s="549"/>
      <c r="GE60" s="675"/>
      <c r="GF60" s="549"/>
      <c r="GG60" s="675"/>
      <c r="GH60" s="549"/>
      <c r="GI60" s="675"/>
      <c r="GJ60" s="549"/>
      <c r="GK60" s="675"/>
      <c r="GL60" s="549"/>
      <c r="GM60" s="675"/>
      <c r="GN60" s="549"/>
      <c r="GO60" s="675"/>
      <c r="GP60" s="74"/>
      <c r="GQ60" s="675"/>
      <c r="GR60" s="74"/>
      <c r="GS60" s="74"/>
      <c r="GT60" s="549"/>
      <c r="GU60" s="74"/>
      <c r="GV60" s="74"/>
      <c r="GW60" s="549"/>
      <c r="GX60" s="549"/>
      <c r="GY60" s="74"/>
      <c r="GZ60" s="74"/>
      <c r="HA60" s="74"/>
      <c r="HB60" s="74"/>
      <c r="HC60" s="74"/>
      <c r="HD60" s="74"/>
      <c r="HE60" s="74"/>
      <c r="HF60" s="74"/>
      <c r="HG60" s="74"/>
      <c r="HH60" s="74"/>
      <c r="HI60" s="74"/>
      <c r="HJ60" s="74"/>
      <c r="HK60" s="74"/>
      <c r="HL60" s="74"/>
      <c r="HM60" s="74"/>
      <c r="HN60" s="74"/>
      <c r="HO60" s="74"/>
      <c r="HP60" s="74"/>
      <c r="HQ60" s="74"/>
      <c r="HR60" s="74"/>
      <c r="HS60" s="74"/>
      <c r="HT60" s="74"/>
      <c r="HU60" s="74"/>
      <c r="HV60" s="74"/>
      <c r="HW60" s="74"/>
      <c r="HX60" s="74"/>
      <c r="HY60" s="74"/>
      <c r="HZ60" s="74"/>
      <c r="IA60" s="74"/>
      <c r="IB60" s="74"/>
      <c r="IC60" s="74"/>
      <c r="ID60" s="74"/>
      <c r="IE60" s="792"/>
      <c r="IF60" s="841"/>
      <c r="IG60" s="263"/>
      <c r="IH60" s="842"/>
      <c r="II60" s="155"/>
      <c r="IJ60" s="74"/>
      <c r="IK60" s="74"/>
      <c r="IL60" s="74"/>
      <c r="IM60" s="74"/>
      <c r="IN60" s="74"/>
      <c r="IO60" s="74"/>
      <c r="IP60" s="74"/>
      <c r="IQ60" s="74"/>
      <c r="IR60" s="74"/>
      <c r="IS60" s="74"/>
      <c r="IT60" s="74"/>
      <c r="IU60" s="74"/>
      <c r="IV60" s="74"/>
      <c r="IW60" s="74"/>
      <c r="IX60" s="74"/>
      <c r="IY60" s="74"/>
      <c r="IZ60" s="74"/>
      <c r="JA60" s="74"/>
      <c r="JB60" s="74"/>
      <c r="JC60" s="74"/>
      <c r="JD60" s="74"/>
      <c r="JE60" s="74"/>
      <c r="JF60" s="74"/>
      <c r="JG60" s="74"/>
      <c r="JH60" s="74"/>
      <c r="JI60" s="74"/>
      <c r="JJ60" s="74"/>
      <c r="JK60" s="74"/>
      <c r="JL60" s="74"/>
      <c r="JM60" s="74"/>
      <c r="JN60" s="74"/>
      <c r="JO60" s="74"/>
      <c r="JP60" s="74"/>
      <c r="JQ60" s="74"/>
      <c r="JR60" s="74"/>
      <c r="JS60" s="74"/>
      <c r="JT60" s="382"/>
      <c r="JU60" s="671"/>
      <c r="JV60" s="492"/>
      <c r="JW60" s="490"/>
      <c r="JX60" s="549"/>
      <c r="JY60" s="549"/>
      <c r="JZ60" s="581">
        <f t="shared" si="42"/>
        <v>0</v>
      </c>
      <c r="KA60" s="581">
        <f t="shared" si="43"/>
        <v>0</v>
      </c>
      <c r="KB60" s="549"/>
      <c r="KC60" s="709">
        <f t="shared" si="41"/>
        <v>0</v>
      </c>
      <c r="KD60" s="126" t="s">
        <v>65</v>
      </c>
      <c r="KE60" s="127" t="s">
        <v>66</v>
      </c>
      <c r="KF60" s="127">
        <f t="shared" ref="KF60:KK60" si="1586">SUM(KF20,KF40)</f>
        <v>1014600</v>
      </c>
      <c r="KG60" s="127">
        <f t="shared" si="1586"/>
        <v>853627</v>
      </c>
      <c r="KH60" s="127">
        <f t="shared" si="1586"/>
        <v>515428</v>
      </c>
      <c r="KI60" s="127" t="e">
        <f t="shared" si="1586"/>
        <v>#REF!</v>
      </c>
      <c r="KJ60" s="127">
        <f t="shared" si="1586"/>
        <v>853627</v>
      </c>
      <c r="KK60" s="127">
        <f t="shared" si="1586"/>
        <v>545261</v>
      </c>
    </row>
    <row r="61" spans="1:297" s="8" customFormat="1" ht="13.5" thickBot="1">
      <c r="A61" s="75">
        <v>120</v>
      </c>
      <c r="B61" s="72" t="s">
        <v>94</v>
      </c>
      <c r="C61" s="74">
        <f t="shared" ref="C61:AS61" si="1587">SUM(C395,)</f>
        <v>75000</v>
      </c>
      <c r="D61" s="549">
        <f t="shared" si="1587"/>
        <v>0</v>
      </c>
      <c r="E61" s="675">
        <f t="shared" si="1587"/>
        <v>0</v>
      </c>
      <c r="F61" s="549">
        <f t="shared" si="1587"/>
        <v>0</v>
      </c>
      <c r="G61" s="675">
        <f t="shared" si="1587"/>
        <v>0</v>
      </c>
      <c r="H61" s="549">
        <f t="shared" si="1587"/>
        <v>0</v>
      </c>
      <c r="I61" s="675">
        <f t="shared" si="1587"/>
        <v>0</v>
      </c>
      <c r="J61" s="549">
        <f t="shared" si="1587"/>
        <v>0</v>
      </c>
      <c r="K61" s="675">
        <f t="shared" si="1587"/>
        <v>0</v>
      </c>
      <c r="L61" s="549">
        <f t="shared" si="1587"/>
        <v>0</v>
      </c>
      <c r="M61" s="675">
        <f t="shared" si="1587"/>
        <v>0</v>
      </c>
      <c r="N61" s="549">
        <f t="shared" si="1587"/>
        <v>0</v>
      </c>
      <c r="O61" s="675">
        <f t="shared" si="1587"/>
        <v>0</v>
      </c>
      <c r="P61" s="549">
        <f t="shared" si="1587"/>
        <v>0</v>
      </c>
      <c r="Q61" s="675">
        <f t="shared" si="1587"/>
        <v>0</v>
      </c>
      <c r="R61" s="549">
        <f t="shared" si="1587"/>
        <v>0</v>
      </c>
      <c r="S61" s="675">
        <f t="shared" si="1587"/>
        <v>0</v>
      </c>
      <c r="T61" s="549">
        <f t="shared" si="1587"/>
        <v>0</v>
      </c>
      <c r="U61" s="675">
        <f t="shared" si="1587"/>
        <v>0</v>
      </c>
      <c r="V61" s="549">
        <f t="shared" si="1587"/>
        <v>30000</v>
      </c>
      <c r="W61" s="675">
        <f t="shared" si="1587"/>
        <v>0</v>
      </c>
      <c r="X61" s="549">
        <f t="shared" si="1587"/>
        <v>0</v>
      </c>
      <c r="Y61" s="675">
        <f t="shared" si="1587"/>
        <v>0</v>
      </c>
      <c r="Z61" s="549">
        <f t="shared" si="1587"/>
        <v>0</v>
      </c>
      <c r="AA61" s="675">
        <f t="shared" si="1587"/>
        <v>0</v>
      </c>
      <c r="AB61" s="549">
        <f t="shared" si="1587"/>
        <v>0</v>
      </c>
      <c r="AC61" s="675">
        <f t="shared" si="1587"/>
        <v>0</v>
      </c>
      <c r="AD61" s="549">
        <f t="shared" si="1587"/>
        <v>0</v>
      </c>
      <c r="AE61" s="675">
        <f t="shared" si="1587"/>
        <v>0</v>
      </c>
      <c r="AF61" s="549">
        <f t="shared" si="1587"/>
        <v>0</v>
      </c>
      <c r="AG61" s="675">
        <f t="shared" si="1587"/>
        <v>0</v>
      </c>
      <c r="AH61" s="549">
        <f t="shared" si="1587"/>
        <v>0</v>
      </c>
      <c r="AI61" s="675">
        <f t="shared" si="1587"/>
        <v>0</v>
      </c>
      <c r="AJ61" s="549">
        <f t="shared" si="1587"/>
        <v>0</v>
      </c>
      <c r="AK61" s="675">
        <f t="shared" si="1587"/>
        <v>0</v>
      </c>
      <c r="AL61" s="549">
        <f t="shared" si="1587"/>
        <v>0</v>
      </c>
      <c r="AM61" s="675">
        <f t="shared" si="1587"/>
        <v>0</v>
      </c>
      <c r="AN61" s="549">
        <f t="shared" si="1587"/>
        <v>0</v>
      </c>
      <c r="AO61" s="675">
        <f t="shared" si="1587"/>
        <v>0</v>
      </c>
      <c r="AP61" s="549">
        <f t="shared" si="1587"/>
        <v>0</v>
      </c>
      <c r="AQ61" s="675">
        <f t="shared" si="1587"/>
        <v>0</v>
      </c>
      <c r="AR61" s="549">
        <f t="shared" si="1587"/>
        <v>0</v>
      </c>
      <c r="AS61" s="675">
        <f t="shared" si="1587"/>
        <v>0</v>
      </c>
      <c r="AT61" s="549">
        <f t="shared" ref="AT61:AU61" si="1588">SUM(AT395,)</f>
        <v>0</v>
      </c>
      <c r="AU61" s="675">
        <f t="shared" si="1588"/>
        <v>0</v>
      </c>
      <c r="AV61" s="549">
        <f t="shared" ref="AV61:AW61" si="1589">SUM(AV395,)</f>
        <v>0</v>
      </c>
      <c r="AW61" s="675">
        <f t="shared" si="1589"/>
        <v>0</v>
      </c>
      <c r="AX61" s="549">
        <f t="shared" ref="AX61:AY61" si="1590">SUM(AX395,)</f>
        <v>0</v>
      </c>
      <c r="AY61" s="675">
        <f t="shared" si="1590"/>
        <v>0</v>
      </c>
      <c r="AZ61" s="549">
        <f t="shared" ref="AZ61:BA61" si="1591">SUM(AZ395,)</f>
        <v>0</v>
      </c>
      <c r="BA61" s="675">
        <f t="shared" si="1591"/>
        <v>0</v>
      </c>
      <c r="BB61" s="549">
        <f t="shared" ref="BB61:BC61" si="1592">SUM(BB395,)</f>
        <v>0</v>
      </c>
      <c r="BC61" s="675">
        <f t="shared" si="1592"/>
        <v>0</v>
      </c>
      <c r="BD61" s="549">
        <f t="shared" ref="BD61:BE61" si="1593">SUM(BD395,)</f>
        <v>0</v>
      </c>
      <c r="BE61" s="675">
        <f t="shared" si="1593"/>
        <v>0</v>
      </c>
      <c r="BF61" s="549">
        <f t="shared" ref="BF61:BG61" si="1594">SUM(BF395,)</f>
        <v>0</v>
      </c>
      <c r="BG61" s="675">
        <f t="shared" si="1594"/>
        <v>0</v>
      </c>
      <c r="BH61" s="549">
        <f t="shared" ref="BH61:BI61" si="1595">SUM(BH395,)</f>
        <v>0</v>
      </c>
      <c r="BI61" s="675">
        <f t="shared" si="1595"/>
        <v>0</v>
      </c>
      <c r="BJ61" s="549">
        <f t="shared" ref="BJ61:BK61" si="1596">SUM(BJ395,)</f>
        <v>0</v>
      </c>
      <c r="BK61" s="675">
        <f t="shared" si="1596"/>
        <v>0</v>
      </c>
      <c r="BL61" s="549">
        <f t="shared" ref="BL61:BS61" si="1597">SUM(BL395,)</f>
        <v>0</v>
      </c>
      <c r="BM61" s="675">
        <f t="shared" si="1597"/>
        <v>0</v>
      </c>
      <c r="BN61" s="549">
        <f t="shared" si="1597"/>
        <v>0</v>
      </c>
      <c r="BO61" s="675">
        <f t="shared" si="1597"/>
        <v>0</v>
      </c>
      <c r="BP61" s="549">
        <f t="shared" si="1597"/>
        <v>0</v>
      </c>
      <c r="BQ61" s="675">
        <f t="shared" si="1597"/>
        <v>0</v>
      </c>
      <c r="BR61" s="549">
        <f t="shared" si="1597"/>
        <v>0</v>
      </c>
      <c r="BS61" s="675">
        <f t="shared" si="1597"/>
        <v>0</v>
      </c>
      <c r="BT61" s="549">
        <f t="shared" ref="BT61:BU61" si="1598">SUM(BT395,)</f>
        <v>0</v>
      </c>
      <c r="BU61" s="675">
        <f t="shared" si="1598"/>
        <v>0</v>
      </c>
      <c r="BV61" s="549">
        <f t="shared" ref="BV61:BW61" si="1599">SUM(BV395,)</f>
        <v>0</v>
      </c>
      <c r="BW61" s="675">
        <f t="shared" si="1599"/>
        <v>0</v>
      </c>
      <c r="BX61" s="549">
        <f t="shared" ref="BX61:BY61" si="1600">SUM(BX395,)</f>
        <v>0</v>
      </c>
      <c r="BY61" s="675">
        <f t="shared" si="1600"/>
        <v>0</v>
      </c>
      <c r="BZ61" s="549">
        <f t="shared" ref="BZ61:CA61" si="1601">SUM(BZ395,)</f>
        <v>0</v>
      </c>
      <c r="CA61" s="675">
        <f t="shared" si="1601"/>
        <v>0</v>
      </c>
      <c r="CB61" s="549">
        <f t="shared" ref="CB61:CE61" si="1602">SUM(CB395,)</f>
        <v>0</v>
      </c>
      <c r="CC61" s="675">
        <f t="shared" si="1602"/>
        <v>0</v>
      </c>
      <c r="CD61" s="549">
        <f t="shared" si="1602"/>
        <v>0</v>
      </c>
      <c r="CE61" s="675">
        <f t="shared" si="1602"/>
        <v>0</v>
      </c>
      <c r="CF61" s="549">
        <f t="shared" ref="CF61:CG61" si="1603">SUM(CF395,)</f>
        <v>0</v>
      </c>
      <c r="CG61" s="675">
        <f t="shared" si="1603"/>
        <v>0</v>
      </c>
      <c r="CH61" s="549">
        <f t="shared" ref="CH61:CQ61" si="1604">SUM(CH395,)</f>
        <v>0</v>
      </c>
      <c r="CI61" s="675">
        <f t="shared" si="1604"/>
        <v>0</v>
      </c>
      <c r="CJ61" s="549">
        <f t="shared" si="1604"/>
        <v>0</v>
      </c>
      <c r="CK61" s="675">
        <f t="shared" si="1604"/>
        <v>0</v>
      </c>
      <c r="CL61" s="549">
        <f t="shared" si="1604"/>
        <v>0</v>
      </c>
      <c r="CM61" s="675">
        <f t="shared" si="1604"/>
        <v>0</v>
      </c>
      <c r="CN61" s="549">
        <f t="shared" si="1604"/>
        <v>0</v>
      </c>
      <c r="CO61" s="675">
        <f t="shared" si="1604"/>
        <v>0</v>
      </c>
      <c r="CP61" s="549">
        <f t="shared" si="1604"/>
        <v>0</v>
      </c>
      <c r="CQ61" s="675">
        <f t="shared" si="1604"/>
        <v>0</v>
      </c>
      <c r="CR61" s="549">
        <f t="shared" ref="CR61:CY61" si="1605">SUM(CR395,)</f>
        <v>0</v>
      </c>
      <c r="CS61" s="675">
        <f t="shared" si="1605"/>
        <v>0</v>
      </c>
      <c r="CT61" s="549">
        <f t="shared" si="1605"/>
        <v>0</v>
      </c>
      <c r="CU61" s="675">
        <f t="shared" si="1605"/>
        <v>0</v>
      </c>
      <c r="CV61" s="549">
        <f t="shared" si="1605"/>
        <v>0</v>
      </c>
      <c r="CW61" s="675">
        <f t="shared" si="1605"/>
        <v>0</v>
      </c>
      <c r="CX61" s="549">
        <f t="shared" si="1605"/>
        <v>0</v>
      </c>
      <c r="CY61" s="675">
        <f t="shared" si="1605"/>
        <v>0</v>
      </c>
      <c r="CZ61" s="549">
        <f t="shared" ref="CZ61:DI61" si="1606">SUM(CZ395,)</f>
        <v>0</v>
      </c>
      <c r="DA61" s="675">
        <f t="shared" si="1606"/>
        <v>0</v>
      </c>
      <c r="DB61" s="549">
        <f t="shared" si="1606"/>
        <v>0</v>
      </c>
      <c r="DC61" s="675">
        <f t="shared" si="1606"/>
        <v>0</v>
      </c>
      <c r="DD61" s="549">
        <f t="shared" si="1606"/>
        <v>0</v>
      </c>
      <c r="DE61" s="675">
        <f t="shared" si="1606"/>
        <v>0</v>
      </c>
      <c r="DF61" s="549">
        <f t="shared" si="1606"/>
        <v>0</v>
      </c>
      <c r="DG61" s="675">
        <f t="shared" si="1606"/>
        <v>0</v>
      </c>
      <c r="DH61" s="549">
        <f t="shared" si="1606"/>
        <v>0</v>
      </c>
      <c r="DI61" s="675">
        <f t="shared" si="1606"/>
        <v>-3000</v>
      </c>
      <c r="DJ61" s="549">
        <f t="shared" ref="DJ61:DK61" si="1607">SUM(DJ395,)</f>
        <v>0</v>
      </c>
      <c r="DK61" s="675">
        <f t="shared" si="1607"/>
        <v>0</v>
      </c>
      <c r="DL61" s="549">
        <f t="shared" ref="DL61:DM61" si="1608">SUM(DL395,)</f>
        <v>0</v>
      </c>
      <c r="DM61" s="675">
        <f t="shared" si="1608"/>
        <v>0</v>
      </c>
      <c r="DN61" s="549">
        <f t="shared" ref="DN61:DW61" si="1609">SUM(DN395,)</f>
        <v>0</v>
      </c>
      <c r="DO61" s="675">
        <f t="shared" si="1609"/>
        <v>0</v>
      </c>
      <c r="DP61" s="549">
        <f t="shared" si="1609"/>
        <v>0</v>
      </c>
      <c r="DQ61" s="675">
        <f t="shared" si="1609"/>
        <v>-6000</v>
      </c>
      <c r="DR61" s="549">
        <f t="shared" si="1609"/>
        <v>0</v>
      </c>
      <c r="DS61" s="675">
        <f t="shared" si="1609"/>
        <v>0</v>
      </c>
      <c r="DT61" s="549">
        <f t="shared" si="1609"/>
        <v>0</v>
      </c>
      <c r="DU61" s="675">
        <f t="shared" si="1609"/>
        <v>0</v>
      </c>
      <c r="DV61" s="549">
        <f t="shared" si="1609"/>
        <v>0</v>
      </c>
      <c r="DW61" s="675">
        <f t="shared" si="1609"/>
        <v>0</v>
      </c>
      <c r="DX61" s="549">
        <f t="shared" ref="DX61:EG61" si="1610">SUM(DX395,)</f>
        <v>0</v>
      </c>
      <c r="DY61" s="675">
        <f t="shared" si="1610"/>
        <v>0</v>
      </c>
      <c r="DZ61" s="549">
        <f t="shared" si="1610"/>
        <v>0</v>
      </c>
      <c r="EA61" s="675">
        <f t="shared" si="1610"/>
        <v>0</v>
      </c>
      <c r="EB61" s="549">
        <f t="shared" si="1610"/>
        <v>0</v>
      </c>
      <c r="EC61" s="675">
        <f t="shared" si="1610"/>
        <v>0</v>
      </c>
      <c r="ED61" s="549">
        <f t="shared" si="1610"/>
        <v>0</v>
      </c>
      <c r="EE61" s="675">
        <f t="shared" si="1610"/>
        <v>0</v>
      </c>
      <c r="EF61" s="549">
        <f t="shared" si="1610"/>
        <v>0</v>
      </c>
      <c r="EG61" s="675">
        <f t="shared" si="1610"/>
        <v>0</v>
      </c>
      <c r="EH61" s="549">
        <f t="shared" ref="EH61:EM61" si="1611">SUM(EH395,)</f>
        <v>0</v>
      </c>
      <c r="EI61" s="675">
        <f t="shared" si="1611"/>
        <v>0</v>
      </c>
      <c r="EJ61" s="549">
        <f t="shared" si="1611"/>
        <v>0</v>
      </c>
      <c r="EK61" s="675">
        <f t="shared" si="1611"/>
        <v>0</v>
      </c>
      <c r="EL61" s="549">
        <f t="shared" si="1611"/>
        <v>0</v>
      </c>
      <c r="EM61" s="675">
        <f t="shared" si="1611"/>
        <v>-2000</v>
      </c>
      <c r="EN61" s="549">
        <f t="shared" ref="EN61:EO61" si="1612">SUM(EN395,)</f>
        <v>0</v>
      </c>
      <c r="EO61" s="675">
        <f t="shared" si="1612"/>
        <v>0</v>
      </c>
      <c r="EP61" s="549">
        <f t="shared" ref="EP61:FA61" si="1613">SUM(EP395,)</f>
        <v>0</v>
      </c>
      <c r="EQ61" s="675">
        <f t="shared" si="1613"/>
        <v>0</v>
      </c>
      <c r="ER61" s="549">
        <f t="shared" si="1613"/>
        <v>0</v>
      </c>
      <c r="ES61" s="675">
        <f t="shared" si="1613"/>
        <v>0</v>
      </c>
      <c r="ET61" s="549">
        <f t="shared" si="1613"/>
        <v>0</v>
      </c>
      <c r="EU61" s="675">
        <f t="shared" si="1613"/>
        <v>0</v>
      </c>
      <c r="EV61" s="549">
        <f t="shared" ref="EV61:EW61" si="1614">SUM(EV395,)</f>
        <v>0</v>
      </c>
      <c r="EW61" s="675">
        <f t="shared" si="1614"/>
        <v>0</v>
      </c>
      <c r="EX61" s="549">
        <f t="shared" si="1613"/>
        <v>0</v>
      </c>
      <c r="EY61" s="675">
        <f t="shared" si="1613"/>
        <v>0</v>
      </c>
      <c r="EZ61" s="549">
        <f t="shared" si="1613"/>
        <v>0</v>
      </c>
      <c r="FA61" s="675">
        <f t="shared" si="1613"/>
        <v>0</v>
      </c>
      <c r="FB61" s="549">
        <f t="shared" ref="FB61:FC61" si="1615">SUM(FB395,)</f>
        <v>0</v>
      </c>
      <c r="FC61" s="675">
        <f t="shared" si="1615"/>
        <v>0</v>
      </c>
      <c r="FD61" s="549">
        <f t="shared" ref="FD61:FE61" si="1616">SUM(FD395,)</f>
        <v>0</v>
      </c>
      <c r="FE61" s="675">
        <f t="shared" si="1616"/>
        <v>0</v>
      </c>
      <c r="FF61" s="549">
        <f t="shared" ref="FF61:FG61" si="1617">SUM(FF395,)</f>
        <v>0</v>
      </c>
      <c r="FG61" s="675">
        <f t="shared" si="1617"/>
        <v>0</v>
      </c>
      <c r="FH61" s="549">
        <f t="shared" ref="FH61:FI61" si="1618">SUM(FH395,)</f>
        <v>0</v>
      </c>
      <c r="FI61" s="675">
        <f t="shared" si="1618"/>
        <v>0</v>
      </c>
      <c r="FJ61" s="549">
        <f t="shared" ref="FJ61:FK61" si="1619">SUM(FJ395,)</f>
        <v>0</v>
      </c>
      <c r="FK61" s="675">
        <f t="shared" si="1619"/>
        <v>0</v>
      </c>
      <c r="FL61" s="549">
        <f t="shared" ref="FL61:FM61" si="1620">SUM(FL395,)</f>
        <v>2000</v>
      </c>
      <c r="FM61" s="675">
        <f t="shared" si="1620"/>
        <v>0</v>
      </c>
      <c r="FN61" s="549">
        <f t="shared" ref="FN61:FO61" si="1621">SUM(FN395,)</f>
        <v>0</v>
      </c>
      <c r="FO61" s="675">
        <f t="shared" si="1621"/>
        <v>0</v>
      </c>
      <c r="FP61" s="549">
        <f t="shared" ref="FP61:FQ61" si="1622">SUM(FP395,)</f>
        <v>0</v>
      </c>
      <c r="FQ61" s="675">
        <f t="shared" si="1622"/>
        <v>0</v>
      </c>
      <c r="FR61" s="549">
        <f t="shared" ref="FR61:FS61" si="1623">SUM(FR395,)</f>
        <v>0</v>
      </c>
      <c r="FS61" s="675">
        <f t="shared" si="1623"/>
        <v>-10000</v>
      </c>
      <c r="FT61" s="549">
        <f t="shared" ref="FT61:FU61" si="1624">SUM(FT395,)</f>
        <v>0</v>
      </c>
      <c r="FU61" s="675">
        <f t="shared" si="1624"/>
        <v>0</v>
      </c>
      <c r="FV61" s="549">
        <f t="shared" ref="FV61:GK61" si="1625">SUM(FV395,)</f>
        <v>0</v>
      </c>
      <c r="FW61" s="675">
        <f t="shared" si="1625"/>
        <v>0</v>
      </c>
      <c r="FX61" s="549">
        <f t="shared" si="1625"/>
        <v>0</v>
      </c>
      <c r="FY61" s="675">
        <f t="shared" si="1625"/>
        <v>0</v>
      </c>
      <c r="FZ61" s="549">
        <f t="shared" ref="FZ61:GI61" si="1626">SUM(FZ395,)</f>
        <v>0</v>
      </c>
      <c r="GA61" s="675">
        <f t="shared" si="1626"/>
        <v>0</v>
      </c>
      <c r="GB61" s="549">
        <f t="shared" si="1626"/>
        <v>0</v>
      </c>
      <c r="GC61" s="675">
        <f t="shared" si="1626"/>
        <v>0</v>
      </c>
      <c r="GD61" s="549">
        <f t="shared" si="1626"/>
        <v>0</v>
      </c>
      <c r="GE61" s="675">
        <f t="shared" si="1626"/>
        <v>0</v>
      </c>
      <c r="GF61" s="549">
        <f t="shared" si="1626"/>
        <v>0</v>
      </c>
      <c r="GG61" s="675">
        <f t="shared" si="1626"/>
        <v>0</v>
      </c>
      <c r="GH61" s="549">
        <f t="shared" si="1626"/>
        <v>0</v>
      </c>
      <c r="GI61" s="675">
        <f t="shared" si="1626"/>
        <v>0</v>
      </c>
      <c r="GJ61" s="549">
        <f t="shared" si="1625"/>
        <v>0</v>
      </c>
      <c r="GK61" s="675">
        <f t="shared" si="1625"/>
        <v>0</v>
      </c>
      <c r="GL61" s="549">
        <f t="shared" ref="GL61:GQ61" si="1627">SUM(GL395,)</f>
        <v>0</v>
      </c>
      <c r="GM61" s="675">
        <f t="shared" si="1627"/>
        <v>0</v>
      </c>
      <c r="GN61" s="549">
        <f t="shared" ref="GN61:GO61" si="1628">SUM(GN395,)</f>
        <v>0</v>
      </c>
      <c r="GO61" s="675">
        <f t="shared" si="1628"/>
        <v>0</v>
      </c>
      <c r="GP61" s="74">
        <f t="shared" si="1627"/>
        <v>32000</v>
      </c>
      <c r="GQ61" s="675">
        <f t="shared" si="1627"/>
        <v>-21000</v>
      </c>
      <c r="GR61" s="74">
        <f t="shared" ref="GR61:HK61" si="1629">SUM(GR395,)</f>
        <v>86000</v>
      </c>
      <c r="GS61" s="74">
        <f t="shared" si="1629"/>
        <v>79182</v>
      </c>
      <c r="GT61" s="74">
        <f t="shared" si="1629"/>
        <v>86000</v>
      </c>
      <c r="GU61" s="74">
        <f t="shared" si="1629"/>
        <v>6820</v>
      </c>
      <c r="GV61" s="74">
        <f t="shared" si="1629"/>
        <v>6818</v>
      </c>
      <c r="GW61" s="74">
        <f t="shared" si="1629"/>
        <v>6818</v>
      </c>
      <c r="GX61" s="74">
        <f t="shared" si="1629"/>
        <v>6818</v>
      </c>
      <c r="GY61" s="74">
        <f t="shared" si="1629"/>
        <v>6818</v>
      </c>
      <c r="GZ61" s="74">
        <f t="shared" si="1629"/>
        <v>6818</v>
      </c>
      <c r="HA61" s="74">
        <f t="shared" si="1629"/>
        <v>6818</v>
      </c>
      <c r="HB61" s="74">
        <f t="shared" si="1629"/>
        <v>6818</v>
      </c>
      <c r="HC61" s="74">
        <f t="shared" si="1629"/>
        <v>6818</v>
      </c>
      <c r="HD61" s="74">
        <f t="shared" si="1629"/>
        <v>6818</v>
      </c>
      <c r="HE61" s="74">
        <f t="shared" si="1629"/>
        <v>6818</v>
      </c>
      <c r="HF61" s="74">
        <f t="shared" si="1629"/>
        <v>0</v>
      </c>
      <c r="HG61" s="74">
        <f t="shared" si="1629"/>
        <v>86000</v>
      </c>
      <c r="HH61" s="74">
        <f t="shared" si="1629"/>
        <v>6820</v>
      </c>
      <c r="HI61" s="74">
        <f t="shared" si="1629"/>
        <v>0</v>
      </c>
      <c r="HJ61" s="74">
        <f t="shared" si="1629"/>
        <v>6818</v>
      </c>
      <c r="HK61" s="74">
        <f t="shared" si="1629"/>
        <v>0</v>
      </c>
      <c r="HL61" s="74">
        <f t="shared" ref="HL61:JT61" si="1630">SUM(HL395,)</f>
        <v>36818</v>
      </c>
      <c r="HM61" s="74">
        <f t="shared" si="1630"/>
        <v>0</v>
      </c>
      <c r="HN61" s="74">
        <f t="shared" si="1630"/>
        <v>6818</v>
      </c>
      <c r="HO61" s="74">
        <f t="shared" si="1630"/>
        <v>0</v>
      </c>
      <c r="HP61" s="74">
        <f t="shared" si="1630"/>
        <v>6818</v>
      </c>
      <c r="HQ61" s="74">
        <f t="shared" si="1630"/>
        <v>0</v>
      </c>
      <c r="HR61" s="74">
        <f t="shared" si="1630"/>
        <v>6818</v>
      </c>
      <c r="HS61" s="74">
        <f t="shared" si="1630"/>
        <v>0</v>
      </c>
      <c r="HT61" s="74">
        <f t="shared" si="1630"/>
        <v>6818</v>
      </c>
      <c r="HU61" s="74">
        <f t="shared" si="1630"/>
        <v>0</v>
      </c>
      <c r="HV61" s="74">
        <f t="shared" si="1630"/>
        <v>3818</v>
      </c>
      <c r="HW61" s="74">
        <f t="shared" si="1630"/>
        <v>0</v>
      </c>
      <c r="HX61" s="74">
        <f t="shared" si="1630"/>
        <v>-1182</v>
      </c>
      <c r="HY61" s="74">
        <f t="shared" si="1630"/>
        <v>0</v>
      </c>
      <c r="HZ61" s="74">
        <f t="shared" si="1630"/>
        <v>5636</v>
      </c>
      <c r="IA61" s="74">
        <f t="shared" si="1630"/>
        <v>0</v>
      </c>
      <c r="IB61" s="74">
        <f t="shared" si="1630"/>
        <v>0</v>
      </c>
      <c r="IC61" s="74">
        <f t="shared" si="1630"/>
        <v>0</v>
      </c>
      <c r="ID61" s="74">
        <f t="shared" si="1630"/>
        <v>0</v>
      </c>
      <c r="IE61" s="792">
        <f t="shared" si="1630"/>
        <v>0</v>
      </c>
      <c r="IF61" s="841">
        <f t="shared" si="1630"/>
        <v>78792.13</v>
      </c>
      <c r="IG61" s="263">
        <f t="shared" si="1630"/>
        <v>78792.13</v>
      </c>
      <c r="IH61" s="842">
        <f t="shared" si="1630"/>
        <v>78792.13</v>
      </c>
      <c r="II61" s="155">
        <f t="shared" si="1630"/>
        <v>150</v>
      </c>
      <c r="IJ61" s="74">
        <f t="shared" si="1630"/>
        <v>150</v>
      </c>
      <c r="IK61" s="74">
        <f t="shared" si="1630"/>
        <v>150</v>
      </c>
      <c r="IL61" s="74">
        <f t="shared" si="1630"/>
        <v>2940</v>
      </c>
      <c r="IM61" s="74">
        <f t="shared" si="1630"/>
        <v>2940</v>
      </c>
      <c r="IN61" s="74">
        <f t="shared" si="1630"/>
        <v>2940</v>
      </c>
      <c r="IO61" s="74">
        <f t="shared" si="1630"/>
        <v>42655</v>
      </c>
      <c r="IP61" s="74">
        <f t="shared" si="1630"/>
        <v>42655</v>
      </c>
      <c r="IQ61" s="74">
        <f t="shared" si="1630"/>
        <v>42655</v>
      </c>
      <c r="IR61" s="74">
        <f t="shared" si="1630"/>
        <v>6875</v>
      </c>
      <c r="IS61" s="74">
        <f t="shared" si="1630"/>
        <v>6875</v>
      </c>
      <c r="IT61" s="74">
        <f t="shared" si="1630"/>
        <v>6875</v>
      </c>
      <c r="IU61" s="74">
        <f t="shared" si="1630"/>
        <v>5166.1299999999974</v>
      </c>
      <c r="IV61" s="74">
        <f t="shared" si="1630"/>
        <v>5166.1299999999974</v>
      </c>
      <c r="IW61" s="74">
        <f t="shared" si="1630"/>
        <v>5166.1299999999974</v>
      </c>
      <c r="IX61" s="74">
        <f t="shared" si="1630"/>
        <v>5476</v>
      </c>
      <c r="IY61" s="74">
        <f t="shared" si="1630"/>
        <v>5476</v>
      </c>
      <c r="IZ61" s="74">
        <f t="shared" si="1630"/>
        <v>5476</v>
      </c>
      <c r="JA61" s="74">
        <f t="shared" si="1630"/>
        <v>4789.0000000000073</v>
      </c>
      <c r="JB61" s="74">
        <f t="shared" si="1630"/>
        <v>4789.0000000000073</v>
      </c>
      <c r="JC61" s="74">
        <f t="shared" si="1630"/>
        <v>4789.0000000000073</v>
      </c>
      <c r="JD61" s="74">
        <f t="shared" si="1630"/>
        <v>6246</v>
      </c>
      <c r="JE61" s="74">
        <f t="shared" si="1630"/>
        <v>6246</v>
      </c>
      <c r="JF61" s="74">
        <f t="shared" si="1630"/>
        <v>6246</v>
      </c>
      <c r="JG61" s="74">
        <f t="shared" si="1630"/>
        <v>2000</v>
      </c>
      <c r="JH61" s="74">
        <f t="shared" si="1630"/>
        <v>2000</v>
      </c>
      <c r="JI61" s="74">
        <f t="shared" si="1630"/>
        <v>2000</v>
      </c>
      <c r="JJ61" s="74">
        <f t="shared" si="1630"/>
        <v>2495</v>
      </c>
      <c r="JK61" s="74">
        <f t="shared" si="1630"/>
        <v>2495</v>
      </c>
      <c r="JL61" s="74">
        <f t="shared" si="1630"/>
        <v>2495</v>
      </c>
      <c r="JM61" s="74">
        <f t="shared" si="1630"/>
        <v>0</v>
      </c>
      <c r="JN61" s="74">
        <f t="shared" si="1630"/>
        <v>0</v>
      </c>
      <c r="JO61" s="74">
        <f t="shared" si="1630"/>
        <v>0</v>
      </c>
      <c r="JP61" s="74">
        <f t="shared" si="1630"/>
        <v>0</v>
      </c>
      <c r="JQ61" s="74">
        <f t="shared" si="1630"/>
        <v>0</v>
      </c>
      <c r="JR61" s="74">
        <f t="shared" si="1630"/>
        <v>0</v>
      </c>
      <c r="JS61" s="74">
        <f t="shared" si="1630"/>
        <v>7207.8699999999953</v>
      </c>
      <c r="JT61" s="102">
        <f t="shared" si="1630"/>
        <v>389.86999999999534</v>
      </c>
      <c r="JU61" s="671"/>
      <c r="JV61" s="492"/>
      <c r="JW61" s="490"/>
      <c r="JX61" s="549">
        <f>SUM(JX395,)</f>
        <v>86000</v>
      </c>
      <c r="JY61" s="549">
        <f>SUM(JY395,)</f>
        <v>0</v>
      </c>
      <c r="JZ61" s="581">
        <f t="shared" si="42"/>
        <v>32000</v>
      </c>
      <c r="KA61" s="581">
        <f t="shared" si="43"/>
        <v>-21000</v>
      </c>
      <c r="KB61" s="549">
        <f>SUM(KB395,)</f>
        <v>86000</v>
      </c>
      <c r="KC61" s="709">
        <f t="shared" si="41"/>
        <v>0</v>
      </c>
      <c r="KD61" s="146"/>
      <c r="KE61" s="147" t="s">
        <v>544</v>
      </c>
      <c r="KF61" s="147">
        <f t="shared" ref="KF61:KK61" si="1631">SUM(KF62:KF64)</f>
        <v>6420200</v>
      </c>
      <c r="KG61" s="147">
        <f t="shared" si="1631"/>
        <v>7482981</v>
      </c>
      <c r="KH61" s="147">
        <f t="shared" si="1631"/>
        <v>6681906</v>
      </c>
      <c r="KI61" s="147" t="e">
        <f t="shared" si="1631"/>
        <v>#REF!</v>
      </c>
      <c r="KJ61" s="147">
        <f t="shared" si="1631"/>
        <v>7754525</v>
      </c>
      <c r="KK61" s="147">
        <f t="shared" si="1631"/>
        <v>7200075</v>
      </c>
    </row>
    <row r="62" spans="1:297" s="8" customFormat="1">
      <c r="A62" s="75"/>
      <c r="B62" s="72"/>
      <c r="C62" s="74"/>
      <c r="D62" s="549"/>
      <c r="E62" s="675"/>
      <c r="F62" s="549"/>
      <c r="G62" s="675"/>
      <c r="H62" s="549"/>
      <c r="I62" s="675"/>
      <c r="J62" s="549"/>
      <c r="K62" s="675"/>
      <c r="L62" s="549"/>
      <c r="M62" s="675"/>
      <c r="N62" s="549"/>
      <c r="O62" s="675"/>
      <c r="P62" s="549"/>
      <c r="Q62" s="675"/>
      <c r="R62" s="549"/>
      <c r="S62" s="675"/>
      <c r="T62" s="549"/>
      <c r="U62" s="675"/>
      <c r="V62" s="549"/>
      <c r="W62" s="675"/>
      <c r="X62" s="549"/>
      <c r="Y62" s="675"/>
      <c r="Z62" s="549"/>
      <c r="AA62" s="675"/>
      <c r="AB62" s="549"/>
      <c r="AC62" s="675"/>
      <c r="AD62" s="549"/>
      <c r="AE62" s="675"/>
      <c r="AF62" s="549"/>
      <c r="AG62" s="675"/>
      <c r="AH62" s="549"/>
      <c r="AI62" s="675"/>
      <c r="AJ62" s="549"/>
      <c r="AK62" s="675"/>
      <c r="AL62" s="549"/>
      <c r="AM62" s="675"/>
      <c r="AN62" s="549"/>
      <c r="AO62" s="675"/>
      <c r="AP62" s="549"/>
      <c r="AQ62" s="675"/>
      <c r="AR62" s="549"/>
      <c r="AS62" s="675"/>
      <c r="AT62" s="549"/>
      <c r="AU62" s="675"/>
      <c r="AV62" s="549"/>
      <c r="AW62" s="675"/>
      <c r="AX62" s="549"/>
      <c r="AY62" s="675"/>
      <c r="AZ62" s="549"/>
      <c r="BA62" s="675"/>
      <c r="BB62" s="549"/>
      <c r="BC62" s="675"/>
      <c r="BD62" s="549"/>
      <c r="BE62" s="675"/>
      <c r="BF62" s="549"/>
      <c r="BG62" s="675"/>
      <c r="BH62" s="549"/>
      <c r="BI62" s="675"/>
      <c r="BJ62" s="549"/>
      <c r="BK62" s="675"/>
      <c r="BL62" s="549"/>
      <c r="BM62" s="675"/>
      <c r="BN62" s="549"/>
      <c r="BO62" s="675"/>
      <c r="BP62" s="549"/>
      <c r="BQ62" s="675"/>
      <c r="BR62" s="549"/>
      <c r="BS62" s="675"/>
      <c r="BT62" s="549"/>
      <c r="BU62" s="675"/>
      <c r="BV62" s="549"/>
      <c r="BW62" s="675"/>
      <c r="BX62" s="549"/>
      <c r="BY62" s="675"/>
      <c r="BZ62" s="549"/>
      <c r="CA62" s="675"/>
      <c r="CB62" s="549"/>
      <c r="CC62" s="675"/>
      <c r="CD62" s="549"/>
      <c r="CE62" s="675"/>
      <c r="CF62" s="549"/>
      <c r="CG62" s="675"/>
      <c r="CH62" s="549"/>
      <c r="CI62" s="675"/>
      <c r="CJ62" s="549"/>
      <c r="CK62" s="675"/>
      <c r="CL62" s="549"/>
      <c r="CM62" s="675"/>
      <c r="CN62" s="549"/>
      <c r="CO62" s="675"/>
      <c r="CP62" s="549"/>
      <c r="CQ62" s="675"/>
      <c r="CR62" s="549"/>
      <c r="CS62" s="675"/>
      <c r="CT62" s="549"/>
      <c r="CU62" s="675"/>
      <c r="CV62" s="549"/>
      <c r="CW62" s="675"/>
      <c r="CX62" s="549"/>
      <c r="CY62" s="675"/>
      <c r="CZ62" s="549"/>
      <c r="DA62" s="675"/>
      <c r="DB62" s="549"/>
      <c r="DC62" s="675"/>
      <c r="DD62" s="549"/>
      <c r="DE62" s="675"/>
      <c r="DF62" s="549"/>
      <c r="DG62" s="675"/>
      <c r="DH62" s="549"/>
      <c r="DI62" s="675"/>
      <c r="DJ62" s="549"/>
      <c r="DK62" s="675"/>
      <c r="DL62" s="549"/>
      <c r="DM62" s="675"/>
      <c r="DN62" s="549"/>
      <c r="DO62" s="675"/>
      <c r="DP62" s="549"/>
      <c r="DQ62" s="675"/>
      <c r="DR62" s="549"/>
      <c r="DS62" s="675"/>
      <c r="DT62" s="549"/>
      <c r="DU62" s="675"/>
      <c r="DV62" s="549"/>
      <c r="DW62" s="675"/>
      <c r="DX62" s="549"/>
      <c r="DY62" s="675"/>
      <c r="DZ62" s="549"/>
      <c r="EA62" s="675"/>
      <c r="EB62" s="549"/>
      <c r="EC62" s="675"/>
      <c r="ED62" s="549"/>
      <c r="EE62" s="675"/>
      <c r="EF62" s="549"/>
      <c r="EG62" s="675"/>
      <c r="EH62" s="549"/>
      <c r="EI62" s="675"/>
      <c r="EJ62" s="549"/>
      <c r="EK62" s="675"/>
      <c r="EL62" s="549"/>
      <c r="EM62" s="675"/>
      <c r="EN62" s="549"/>
      <c r="EO62" s="675"/>
      <c r="EP62" s="549"/>
      <c r="EQ62" s="675"/>
      <c r="ER62" s="549"/>
      <c r="ES62" s="675"/>
      <c r="ET62" s="549"/>
      <c r="EU62" s="675"/>
      <c r="EV62" s="549"/>
      <c r="EW62" s="675"/>
      <c r="EX62" s="549"/>
      <c r="EY62" s="675"/>
      <c r="EZ62" s="549"/>
      <c r="FA62" s="675"/>
      <c r="FB62" s="549"/>
      <c r="FC62" s="675"/>
      <c r="FD62" s="549"/>
      <c r="FE62" s="675"/>
      <c r="FF62" s="549"/>
      <c r="FG62" s="675"/>
      <c r="FH62" s="549"/>
      <c r="FI62" s="675"/>
      <c r="FJ62" s="549"/>
      <c r="FK62" s="675"/>
      <c r="FL62" s="549"/>
      <c r="FM62" s="675"/>
      <c r="FN62" s="549"/>
      <c r="FO62" s="675"/>
      <c r="FP62" s="549"/>
      <c r="FQ62" s="675"/>
      <c r="FR62" s="549"/>
      <c r="FS62" s="675"/>
      <c r="FT62" s="549"/>
      <c r="FU62" s="675"/>
      <c r="FV62" s="549"/>
      <c r="FW62" s="675"/>
      <c r="FX62" s="549"/>
      <c r="FY62" s="675"/>
      <c r="FZ62" s="549"/>
      <c r="GA62" s="675"/>
      <c r="GB62" s="549"/>
      <c r="GC62" s="675"/>
      <c r="GD62" s="549"/>
      <c r="GE62" s="675"/>
      <c r="GF62" s="549"/>
      <c r="GG62" s="675"/>
      <c r="GH62" s="549"/>
      <c r="GI62" s="675"/>
      <c r="GJ62" s="549"/>
      <c r="GK62" s="675"/>
      <c r="GL62" s="549"/>
      <c r="GM62" s="675"/>
      <c r="GN62" s="549"/>
      <c r="GO62" s="675"/>
      <c r="GP62" s="74"/>
      <c r="GQ62" s="675"/>
      <c r="GR62" s="74"/>
      <c r="GS62" s="74"/>
      <c r="GT62" s="549"/>
      <c r="GU62" s="74"/>
      <c r="GV62" s="74"/>
      <c r="GW62" s="549"/>
      <c r="GX62" s="549"/>
      <c r="GY62" s="74"/>
      <c r="GZ62" s="74"/>
      <c r="HA62" s="74"/>
      <c r="HB62" s="74"/>
      <c r="HC62" s="74"/>
      <c r="HD62" s="74"/>
      <c r="HE62" s="74"/>
      <c r="HF62" s="74"/>
      <c r="HG62" s="74"/>
      <c r="HH62" s="74"/>
      <c r="HI62" s="74"/>
      <c r="HJ62" s="74"/>
      <c r="HK62" s="74"/>
      <c r="HL62" s="74"/>
      <c r="HM62" s="74"/>
      <c r="HN62" s="74"/>
      <c r="HO62" s="74"/>
      <c r="HP62" s="74"/>
      <c r="HQ62" s="74"/>
      <c r="HR62" s="74"/>
      <c r="HS62" s="74"/>
      <c r="HT62" s="74"/>
      <c r="HU62" s="74"/>
      <c r="HV62" s="74"/>
      <c r="HW62" s="74"/>
      <c r="HX62" s="74"/>
      <c r="HY62" s="74"/>
      <c r="HZ62" s="74"/>
      <c r="IA62" s="74"/>
      <c r="IB62" s="74"/>
      <c r="IC62" s="74"/>
      <c r="ID62" s="74"/>
      <c r="IE62" s="792"/>
      <c r="IF62" s="841"/>
      <c r="IG62" s="263"/>
      <c r="IH62" s="842"/>
      <c r="II62" s="155"/>
      <c r="IJ62" s="74"/>
      <c r="IK62" s="74"/>
      <c r="IL62" s="74"/>
      <c r="IM62" s="74"/>
      <c r="IN62" s="74"/>
      <c r="IO62" s="74"/>
      <c r="IP62" s="74"/>
      <c r="IQ62" s="74"/>
      <c r="IR62" s="74"/>
      <c r="IS62" s="74"/>
      <c r="IT62" s="74"/>
      <c r="IU62" s="74"/>
      <c r="IV62" s="74"/>
      <c r="IW62" s="74"/>
      <c r="IX62" s="74"/>
      <c r="IY62" s="74"/>
      <c r="IZ62" s="74"/>
      <c r="JA62" s="74"/>
      <c r="JB62" s="74"/>
      <c r="JC62" s="74"/>
      <c r="JD62" s="74"/>
      <c r="JE62" s="74"/>
      <c r="JF62" s="74"/>
      <c r="JG62" s="74"/>
      <c r="JH62" s="74"/>
      <c r="JI62" s="74"/>
      <c r="JJ62" s="74"/>
      <c r="JK62" s="74"/>
      <c r="JL62" s="74"/>
      <c r="JM62" s="74"/>
      <c r="JN62" s="74"/>
      <c r="JO62" s="74"/>
      <c r="JP62" s="74"/>
      <c r="JQ62" s="74"/>
      <c r="JR62" s="74"/>
      <c r="JS62" s="74"/>
      <c r="JT62" s="382"/>
      <c r="JU62" s="671"/>
      <c r="JV62" s="492"/>
      <c r="JW62" s="490"/>
      <c r="JX62" s="549"/>
      <c r="JY62" s="549"/>
      <c r="JZ62" s="581">
        <f t="shared" si="42"/>
        <v>0</v>
      </c>
      <c r="KA62" s="581">
        <f t="shared" si="43"/>
        <v>0</v>
      </c>
      <c r="KB62" s="549"/>
      <c r="KC62" s="709">
        <f t="shared" si="41"/>
        <v>0</v>
      </c>
      <c r="KD62" s="126" t="s">
        <v>67</v>
      </c>
      <c r="KE62" s="127" t="s">
        <v>531</v>
      </c>
      <c r="KF62" s="127">
        <f t="shared" ref="KF62:KK63" si="1632">SUM(KF22)</f>
        <v>6220200</v>
      </c>
      <c r="KG62" s="127">
        <f t="shared" si="1632"/>
        <v>6220200</v>
      </c>
      <c r="KH62" s="127">
        <f t="shared" si="1632"/>
        <v>5665750</v>
      </c>
      <c r="KI62" s="127" t="e">
        <f t="shared" si="1632"/>
        <v>#REF!</v>
      </c>
      <c r="KJ62" s="127">
        <f t="shared" si="1632"/>
        <v>6220200</v>
      </c>
      <c r="KK62" s="127">
        <f t="shared" si="1632"/>
        <v>5665750</v>
      </c>
    </row>
    <row r="63" spans="1:297" s="8" customFormat="1">
      <c r="A63" s="75">
        <v>130</v>
      </c>
      <c r="B63" s="72" t="s">
        <v>95</v>
      </c>
      <c r="C63" s="74">
        <f t="shared" ref="C63:AM63" si="1633">SUM(C64:C65)</f>
        <v>18000</v>
      </c>
      <c r="D63" s="549">
        <f t="shared" si="1633"/>
        <v>0</v>
      </c>
      <c r="E63" s="675">
        <f t="shared" si="1633"/>
        <v>0</v>
      </c>
      <c r="F63" s="549">
        <f t="shared" si="1633"/>
        <v>0</v>
      </c>
      <c r="G63" s="675">
        <f t="shared" si="1633"/>
        <v>0</v>
      </c>
      <c r="H63" s="549">
        <f t="shared" si="1633"/>
        <v>0</v>
      </c>
      <c r="I63" s="675">
        <f t="shared" si="1633"/>
        <v>0</v>
      </c>
      <c r="J63" s="549">
        <f t="shared" si="1633"/>
        <v>0</v>
      </c>
      <c r="K63" s="675">
        <f t="shared" si="1633"/>
        <v>0</v>
      </c>
      <c r="L63" s="549">
        <f t="shared" si="1633"/>
        <v>0</v>
      </c>
      <c r="M63" s="675">
        <f t="shared" si="1633"/>
        <v>0</v>
      </c>
      <c r="N63" s="549">
        <f t="shared" si="1633"/>
        <v>0</v>
      </c>
      <c r="O63" s="675">
        <f t="shared" si="1633"/>
        <v>0</v>
      </c>
      <c r="P63" s="549">
        <f t="shared" si="1633"/>
        <v>0</v>
      </c>
      <c r="Q63" s="675">
        <f t="shared" si="1633"/>
        <v>0</v>
      </c>
      <c r="R63" s="549">
        <f t="shared" si="1633"/>
        <v>0</v>
      </c>
      <c r="S63" s="675">
        <f t="shared" si="1633"/>
        <v>0</v>
      </c>
      <c r="T63" s="549">
        <f t="shared" si="1633"/>
        <v>0</v>
      </c>
      <c r="U63" s="675">
        <f t="shared" si="1633"/>
        <v>0</v>
      </c>
      <c r="V63" s="549">
        <f t="shared" si="1633"/>
        <v>8700</v>
      </c>
      <c r="W63" s="675">
        <f t="shared" si="1633"/>
        <v>0</v>
      </c>
      <c r="X63" s="549">
        <f t="shared" si="1633"/>
        <v>0</v>
      </c>
      <c r="Y63" s="675">
        <f t="shared" si="1633"/>
        <v>0</v>
      </c>
      <c r="Z63" s="549">
        <f t="shared" si="1633"/>
        <v>0</v>
      </c>
      <c r="AA63" s="675">
        <f t="shared" si="1633"/>
        <v>0</v>
      </c>
      <c r="AB63" s="549">
        <f t="shared" si="1633"/>
        <v>0</v>
      </c>
      <c r="AC63" s="675">
        <f t="shared" si="1633"/>
        <v>0</v>
      </c>
      <c r="AD63" s="549">
        <f t="shared" ref="AD63:AK63" si="1634">SUM(AD64:AD65)</f>
        <v>0</v>
      </c>
      <c r="AE63" s="675">
        <f t="shared" si="1634"/>
        <v>0</v>
      </c>
      <c r="AF63" s="549">
        <f t="shared" si="1634"/>
        <v>0</v>
      </c>
      <c r="AG63" s="675">
        <f t="shared" si="1634"/>
        <v>0</v>
      </c>
      <c r="AH63" s="549">
        <f t="shared" si="1634"/>
        <v>0</v>
      </c>
      <c r="AI63" s="675">
        <f t="shared" si="1634"/>
        <v>0</v>
      </c>
      <c r="AJ63" s="549">
        <f t="shared" si="1634"/>
        <v>0</v>
      </c>
      <c r="AK63" s="675">
        <f t="shared" si="1634"/>
        <v>0</v>
      </c>
      <c r="AL63" s="549">
        <f t="shared" si="1633"/>
        <v>0</v>
      </c>
      <c r="AM63" s="675">
        <f t="shared" si="1633"/>
        <v>0</v>
      </c>
      <c r="AN63" s="549">
        <f t="shared" ref="AN63:AS63" si="1635">SUM(AN64:AN65)</f>
        <v>0</v>
      </c>
      <c r="AO63" s="675">
        <f t="shared" si="1635"/>
        <v>0</v>
      </c>
      <c r="AP63" s="549">
        <f t="shared" si="1635"/>
        <v>0</v>
      </c>
      <c r="AQ63" s="675">
        <f t="shared" si="1635"/>
        <v>0</v>
      </c>
      <c r="AR63" s="549">
        <f t="shared" si="1635"/>
        <v>0</v>
      </c>
      <c r="AS63" s="675">
        <f t="shared" si="1635"/>
        <v>0</v>
      </c>
      <c r="AT63" s="549">
        <f t="shared" ref="AT63:AU63" si="1636">SUM(AT64:AT65)</f>
        <v>0</v>
      </c>
      <c r="AU63" s="675">
        <f t="shared" si="1636"/>
        <v>0</v>
      </c>
      <c r="AV63" s="549">
        <f t="shared" ref="AV63:AW63" si="1637">SUM(AV64:AV65)</f>
        <v>0</v>
      </c>
      <c r="AW63" s="675">
        <f t="shared" si="1637"/>
        <v>0</v>
      </c>
      <c r="AX63" s="549">
        <f t="shared" ref="AX63:AY63" si="1638">SUM(AX64:AX65)</f>
        <v>0</v>
      </c>
      <c r="AY63" s="675">
        <f t="shared" si="1638"/>
        <v>0</v>
      </c>
      <c r="AZ63" s="549">
        <f t="shared" ref="AZ63:BA63" si="1639">SUM(AZ64:AZ65)</f>
        <v>0</v>
      </c>
      <c r="BA63" s="675">
        <f t="shared" si="1639"/>
        <v>-6000</v>
      </c>
      <c r="BB63" s="549">
        <f t="shared" ref="BB63:BC63" si="1640">SUM(BB64:BB65)</f>
        <v>0</v>
      </c>
      <c r="BC63" s="675">
        <f t="shared" si="1640"/>
        <v>0</v>
      </c>
      <c r="BD63" s="549">
        <f t="shared" ref="BD63:BE63" si="1641">SUM(BD64:BD65)</f>
        <v>0</v>
      </c>
      <c r="BE63" s="675">
        <f t="shared" si="1641"/>
        <v>0</v>
      </c>
      <c r="BF63" s="549">
        <f t="shared" ref="BF63:BG63" si="1642">SUM(BF64:BF65)</f>
        <v>0</v>
      </c>
      <c r="BG63" s="675">
        <f t="shared" si="1642"/>
        <v>0</v>
      </c>
      <c r="BH63" s="549">
        <f t="shared" ref="BH63:BI63" si="1643">SUM(BH64:BH65)</f>
        <v>0</v>
      </c>
      <c r="BI63" s="675">
        <f t="shared" si="1643"/>
        <v>0</v>
      </c>
      <c r="BJ63" s="549">
        <f t="shared" ref="BJ63:BK63" si="1644">SUM(BJ64:BJ65)</f>
        <v>0</v>
      </c>
      <c r="BK63" s="675">
        <f t="shared" si="1644"/>
        <v>0</v>
      </c>
      <c r="BL63" s="549">
        <f t="shared" ref="BL63:BS63" si="1645">SUM(BL64:BL65)</f>
        <v>0</v>
      </c>
      <c r="BM63" s="675">
        <f t="shared" si="1645"/>
        <v>0</v>
      </c>
      <c r="BN63" s="549">
        <f t="shared" si="1645"/>
        <v>0</v>
      </c>
      <c r="BO63" s="675">
        <f t="shared" si="1645"/>
        <v>0</v>
      </c>
      <c r="BP63" s="549">
        <f t="shared" si="1645"/>
        <v>0</v>
      </c>
      <c r="BQ63" s="675">
        <f t="shared" si="1645"/>
        <v>0</v>
      </c>
      <c r="BR63" s="549">
        <f t="shared" si="1645"/>
        <v>0</v>
      </c>
      <c r="BS63" s="675">
        <f t="shared" si="1645"/>
        <v>0</v>
      </c>
      <c r="BT63" s="549">
        <f t="shared" ref="BT63:BU63" si="1646">SUM(BT64:BT65)</f>
        <v>0</v>
      </c>
      <c r="BU63" s="675">
        <f t="shared" si="1646"/>
        <v>0</v>
      </c>
      <c r="BV63" s="549">
        <f t="shared" ref="BV63:BW63" si="1647">SUM(BV64:BV65)</f>
        <v>0</v>
      </c>
      <c r="BW63" s="675">
        <f t="shared" si="1647"/>
        <v>0</v>
      </c>
      <c r="BX63" s="549">
        <f t="shared" ref="BX63:BY63" si="1648">SUM(BX64:BX65)</f>
        <v>0</v>
      </c>
      <c r="BY63" s="675">
        <f t="shared" si="1648"/>
        <v>0</v>
      </c>
      <c r="BZ63" s="549">
        <f t="shared" ref="BZ63:CA63" si="1649">SUM(BZ64:BZ65)</f>
        <v>0</v>
      </c>
      <c r="CA63" s="675">
        <f t="shared" si="1649"/>
        <v>0</v>
      </c>
      <c r="CB63" s="549">
        <f t="shared" ref="CB63:CE63" si="1650">SUM(CB64:CB65)</f>
        <v>0</v>
      </c>
      <c r="CC63" s="675">
        <f t="shared" si="1650"/>
        <v>0</v>
      </c>
      <c r="CD63" s="549">
        <f t="shared" si="1650"/>
        <v>0</v>
      </c>
      <c r="CE63" s="675">
        <f t="shared" si="1650"/>
        <v>0</v>
      </c>
      <c r="CF63" s="549">
        <f t="shared" ref="CF63:CQ63" si="1651">SUM(CF64:CF65)</f>
        <v>0</v>
      </c>
      <c r="CG63" s="675">
        <f t="shared" si="1651"/>
        <v>0</v>
      </c>
      <c r="CH63" s="549">
        <f t="shared" si="1651"/>
        <v>0</v>
      </c>
      <c r="CI63" s="675">
        <f t="shared" si="1651"/>
        <v>0</v>
      </c>
      <c r="CJ63" s="549">
        <f t="shared" si="1651"/>
        <v>0</v>
      </c>
      <c r="CK63" s="675">
        <f t="shared" si="1651"/>
        <v>0</v>
      </c>
      <c r="CL63" s="549">
        <f t="shared" si="1651"/>
        <v>0</v>
      </c>
      <c r="CM63" s="675">
        <f t="shared" si="1651"/>
        <v>0</v>
      </c>
      <c r="CN63" s="549">
        <f t="shared" si="1651"/>
        <v>0</v>
      </c>
      <c r="CO63" s="675">
        <f t="shared" si="1651"/>
        <v>0</v>
      </c>
      <c r="CP63" s="549">
        <f t="shared" si="1651"/>
        <v>0</v>
      </c>
      <c r="CQ63" s="675">
        <f t="shared" si="1651"/>
        <v>0</v>
      </c>
      <c r="CR63" s="549">
        <f t="shared" ref="CR63:CY63" si="1652">SUM(CR64:CR65)</f>
        <v>0</v>
      </c>
      <c r="CS63" s="675">
        <f t="shared" si="1652"/>
        <v>0</v>
      </c>
      <c r="CT63" s="549">
        <f t="shared" si="1652"/>
        <v>0</v>
      </c>
      <c r="CU63" s="675">
        <f t="shared" si="1652"/>
        <v>0</v>
      </c>
      <c r="CV63" s="549">
        <f t="shared" si="1652"/>
        <v>0</v>
      </c>
      <c r="CW63" s="675">
        <f t="shared" si="1652"/>
        <v>0</v>
      </c>
      <c r="CX63" s="549">
        <f t="shared" si="1652"/>
        <v>0</v>
      </c>
      <c r="CY63" s="675">
        <f t="shared" si="1652"/>
        <v>0</v>
      </c>
      <c r="CZ63" s="549">
        <f t="shared" ref="CZ63:DG63" si="1653">SUM(CZ64:CZ65)</f>
        <v>0</v>
      </c>
      <c r="DA63" s="675">
        <f t="shared" si="1653"/>
        <v>0</v>
      </c>
      <c r="DB63" s="549">
        <f t="shared" si="1653"/>
        <v>0</v>
      </c>
      <c r="DC63" s="675">
        <f t="shared" si="1653"/>
        <v>0</v>
      </c>
      <c r="DD63" s="549">
        <f t="shared" si="1653"/>
        <v>0</v>
      </c>
      <c r="DE63" s="675">
        <f t="shared" si="1653"/>
        <v>0</v>
      </c>
      <c r="DF63" s="549">
        <f t="shared" si="1653"/>
        <v>0</v>
      </c>
      <c r="DG63" s="675">
        <f t="shared" si="1653"/>
        <v>0</v>
      </c>
      <c r="DH63" s="549">
        <f t="shared" ref="DH63:DM63" si="1654">SUM(DH64:DH65)</f>
        <v>0</v>
      </c>
      <c r="DI63" s="675">
        <f t="shared" si="1654"/>
        <v>0</v>
      </c>
      <c r="DJ63" s="549">
        <f t="shared" si="1654"/>
        <v>0</v>
      </c>
      <c r="DK63" s="675">
        <f t="shared" si="1654"/>
        <v>0</v>
      </c>
      <c r="DL63" s="549">
        <f t="shared" si="1654"/>
        <v>0</v>
      </c>
      <c r="DM63" s="675">
        <f t="shared" si="1654"/>
        <v>0</v>
      </c>
      <c r="DN63" s="549">
        <f t="shared" ref="DN63:DW63" si="1655">SUM(DN64:DN65)</f>
        <v>0</v>
      </c>
      <c r="DO63" s="675">
        <f t="shared" si="1655"/>
        <v>0</v>
      </c>
      <c r="DP63" s="549">
        <f t="shared" si="1655"/>
        <v>0</v>
      </c>
      <c r="DQ63" s="675">
        <f t="shared" si="1655"/>
        <v>0</v>
      </c>
      <c r="DR63" s="549">
        <f t="shared" si="1655"/>
        <v>0</v>
      </c>
      <c r="DS63" s="675">
        <f t="shared" si="1655"/>
        <v>0</v>
      </c>
      <c r="DT63" s="549">
        <f t="shared" si="1655"/>
        <v>0</v>
      </c>
      <c r="DU63" s="675">
        <f t="shared" si="1655"/>
        <v>0</v>
      </c>
      <c r="DV63" s="549">
        <f t="shared" si="1655"/>
        <v>0</v>
      </c>
      <c r="DW63" s="675">
        <f t="shared" si="1655"/>
        <v>0</v>
      </c>
      <c r="DX63" s="549">
        <f t="shared" ref="DX63:EG63" si="1656">SUM(DX64:DX65)</f>
        <v>0</v>
      </c>
      <c r="DY63" s="675">
        <f t="shared" si="1656"/>
        <v>0</v>
      </c>
      <c r="DZ63" s="549">
        <f t="shared" si="1656"/>
        <v>0</v>
      </c>
      <c r="EA63" s="675">
        <f t="shared" si="1656"/>
        <v>0</v>
      </c>
      <c r="EB63" s="549">
        <f t="shared" si="1656"/>
        <v>0</v>
      </c>
      <c r="EC63" s="675">
        <f t="shared" si="1656"/>
        <v>0</v>
      </c>
      <c r="ED63" s="549">
        <f t="shared" si="1656"/>
        <v>0</v>
      </c>
      <c r="EE63" s="675">
        <f t="shared" si="1656"/>
        <v>0</v>
      </c>
      <c r="EF63" s="549">
        <f t="shared" si="1656"/>
        <v>0</v>
      </c>
      <c r="EG63" s="675">
        <f t="shared" si="1656"/>
        <v>0</v>
      </c>
      <c r="EH63" s="549">
        <f t="shared" ref="EH63:EM63" si="1657">SUM(EH64:EH65)</f>
        <v>0</v>
      </c>
      <c r="EI63" s="675">
        <f t="shared" si="1657"/>
        <v>0</v>
      </c>
      <c r="EJ63" s="549">
        <f t="shared" si="1657"/>
        <v>0</v>
      </c>
      <c r="EK63" s="675">
        <f t="shared" si="1657"/>
        <v>0</v>
      </c>
      <c r="EL63" s="549">
        <f t="shared" si="1657"/>
        <v>0</v>
      </c>
      <c r="EM63" s="675">
        <f t="shared" si="1657"/>
        <v>-2000</v>
      </c>
      <c r="EN63" s="549">
        <f t="shared" ref="EN63:EO63" si="1658">SUM(EN64:EN65)</f>
        <v>0</v>
      </c>
      <c r="EO63" s="675">
        <f t="shared" si="1658"/>
        <v>0</v>
      </c>
      <c r="EP63" s="549">
        <f t="shared" ref="EP63:EQ63" si="1659">SUM(EP64:EP65)</f>
        <v>0</v>
      </c>
      <c r="EQ63" s="675">
        <f t="shared" si="1659"/>
        <v>0</v>
      </c>
      <c r="ER63" s="549">
        <f t="shared" ref="ER63:ES63" si="1660">SUM(ER64:ER65)</f>
        <v>0</v>
      </c>
      <c r="ES63" s="675">
        <f t="shared" si="1660"/>
        <v>0</v>
      </c>
      <c r="ET63" s="549">
        <f t="shared" ref="ET63:EU63" si="1661">SUM(ET64:ET65)</f>
        <v>3000</v>
      </c>
      <c r="EU63" s="675">
        <f t="shared" si="1661"/>
        <v>0</v>
      </c>
      <c r="EV63" s="549">
        <f t="shared" ref="EV63:EW63" si="1662">SUM(EV64:EV65)</f>
        <v>0</v>
      </c>
      <c r="EW63" s="675">
        <f t="shared" si="1662"/>
        <v>0</v>
      </c>
      <c r="EX63" s="549">
        <f t="shared" ref="EX63:EY63" si="1663">SUM(EX64:EX65)</f>
        <v>0</v>
      </c>
      <c r="EY63" s="675">
        <f t="shared" si="1663"/>
        <v>0</v>
      </c>
      <c r="EZ63" s="549">
        <f t="shared" ref="EZ63:FA63" si="1664">SUM(EZ64:EZ65)</f>
        <v>0</v>
      </c>
      <c r="FA63" s="675">
        <f t="shared" si="1664"/>
        <v>0</v>
      </c>
      <c r="FB63" s="549">
        <f t="shared" ref="FB63:FC63" si="1665">SUM(FB64:FB65)</f>
        <v>0</v>
      </c>
      <c r="FC63" s="675">
        <f t="shared" si="1665"/>
        <v>0</v>
      </c>
      <c r="FD63" s="549">
        <f t="shared" ref="FD63:FE63" si="1666">SUM(FD64:FD65)</f>
        <v>0</v>
      </c>
      <c r="FE63" s="675">
        <f t="shared" si="1666"/>
        <v>0</v>
      </c>
      <c r="FF63" s="549">
        <f t="shared" ref="FF63:FG63" si="1667">SUM(FF64:FF65)</f>
        <v>0</v>
      </c>
      <c r="FG63" s="675">
        <f t="shared" si="1667"/>
        <v>0</v>
      </c>
      <c r="FH63" s="549">
        <f t="shared" ref="FH63:FI63" si="1668">SUM(FH64:FH65)</f>
        <v>0</v>
      </c>
      <c r="FI63" s="675">
        <f t="shared" si="1668"/>
        <v>0</v>
      </c>
      <c r="FJ63" s="549">
        <f t="shared" ref="FJ63:FK63" si="1669">SUM(FJ64:FJ65)</f>
        <v>0</v>
      </c>
      <c r="FK63" s="675">
        <f t="shared" si="1669"/>
        <v>0</v>
      </c>
      <c r="FL63" s="549">
        <f t="shared" ref="FL63:FM63" si="1670">SUM(FL64:FL65)</f>
        <v>0</v>
      </c>
      <c r="FM63" s="675">
        <f t="shared" si="1670"/>
        <v>0</v>
      </c>
      <c r="FN63" s="549">
        <f t="shared" ref="FN63:FO63" si="1671">SUM(FN64:FN65)</f>
        <v>0</v>
      </c>
      <c r="FO63" s="675">
        <f t="shared" si="1671"/>
        <v>0</v>
      </c>
      <c r="FP63" s="549">
        <f t="shared" ref="FP63:FQ63" si="1672">SUM(FP64:FP65)</f>
        <v>0</v>
      </c>
      <c r="FQ63" s="675">
        <f t="shared" si="1672"/>
        <v>0</v>
      </c>
      <c r="FR63" s="549">
        <f t="shared" ref="FR63:FS63" si="1673">SUM(FR64:FR65)</f>
        <v>0</v>
      </c>
      <c r="FS63" s="675">
        <f t="shared" si="1673"/>
        <v>0</v>
      </c>
      <c r="FT63" s="549">
        <f t="shared" ref="FT63:FU63" si="1674">SUM(FT64:FT65)</f>
        <v>0</v>
      </c>
      <c r="FU63" s="675">
        <f t="shared" si="1674"/>
        <v>0</v>
      </c>
      <c r="FV63" s="549">
        <f t="shared" ref="FV63:GK63" si="1675">SUM(FV64:FV65)</f>
        <v>0</v>
      </c>
      <c r="FW63" s="675">
        <f t="shared" si="1675"/>
        <v>0</v>
      </c>
      <c r="FX63" s="549">
        <f t="shared" si="1675"/>
        <v>0</v>
      </c>
      <c r="FY63" s="675">
        <f t="shared" si="1675"/>
        <v>0</v>
      </c>
      <c r="FZ63" s="549">
        <f t="shared" ref="FZ63:GI63" si="1676">SUM(FZ64:FZ65)</f>
        <v>0</v>
      </c>
      <c r="GA63" s="675">
        <f t="shared" si="1676"/>
        <v>0</v>
      </c>
      <c r="GB63" s="549">
        <f t="shared" si="1676"/>
        <v>0</v>
      </c>
      <c r="GC63" s="675">
        <f t="shared" si="1676"/>
        <v>0</v>
      </c>
      <c r="GD63" s="549">
        <f t="shared" si="1676"/>
        <v>0</v>
      </c>
      <c r="GE63" s="675">
        <f t="shared" si="1676"/>
        <v>0</v>
      </c>
      <c r="GF63" s="549">
        <f t="shared" si="1676"/>
        <v>0</v>
      </c>
      <c r="GG63" s="675">
        <f t="shared" si="1676"/>
        <v>0</v>
      </c>
      <c r="GH63" s="549">
        <f t="shared" si="1676"/>
        <v>0</v>
      </c>
      <c r="GI63" s="675">
        <f t="shared" si="1676"/>
        <v>0</v>
      </c>
      <c r="GJ63" s="549">
        <f t="shared" si="1675"/>
        <v>0</v>
      </c>
      <c r="GK63" s="675">
        <f t="shared" si="1675"/>
        <v>0</v>
      </c>
      <c r="GL63" s="549">
        <f t="shared" ref="GL63:GR63" si="1677">SUM(GL64:GL65)</f>
        <v>0</v>
      </c>
      <c r="GM63" s="675">
        <f t="shared" si="1677"/>
        <v>0</v>
      </c>
      <c r="GN63" s="549">
        <f t="shared" ref="GN63:GO63" si="1678">SUM(GN64:GN65)</f>
        <v>0</v>
      </c>
      <c r="GO63" s="675">
        <f t="shared" si="1678"/>
        <v>0</v>
      </c>
      <c r="GP63" s="74">
        <f t="shared" si="1677"/>
        <v>11700</v>
      </c>
      <c r="GQ63" s="675">
        <f t="shared" si="1677"/>
        <v>-8000</v>
      </c>
      <c r="GR63" s="74">
        <f t="shared" si="1677"/>
        <v>21700</v>
      </c>
      <c r="GS63" s="74">
        <f t="shared" ref="GS63:JA63" si="1679">SUM(GS64:GS65)</f>
        <v>21700</v>
      </c>
      <c r="GT63" s="549">
        <f t="shared" si="1679"/>
        <v>21700</v>
      </c>
      <c r="GU63" s="74">
        <f>SUM(GU64:GU65)</f>
        <v>6000</v>
      </c>
      <c r="GV63" s="74">
        <f t="shared" ref="GV63:HA63" si="1680">SUM(GV64:GV65)</f>
        <v>0</v>
      </c>
      <c r="GW63" s="74">
        <f t="shared" si="1680"/>
        <v>6000</v>
      </c>
      <c r="GX63" s="74">
        <f t="shared" si="1680"/>
        <v>0</v>
      </c>
      <c r="GY63" s="74">
        <f t="shared" si="1680"/>
        <v>0</v>
      </c>
      <c r="GZ63" s="74">
        <f t="shared" si="1680"/>
        <v>6000</v>
      </c>
      <c r="HA63" s="74">
        <f t="shared" si="1680"/>
        <v>0</v>
      </c>
      <c r="HB63" s="74">
        <f t="shared" si="1679"/>
        <v>0</v>
      </c>
      <c r="HC63" s="74">
        <f t="shared" si="1679"/>
        <v>0</v>
      </c>
      <c r="HD63" s="74">
        <f t="shared" si="1679"/>
        <v>0</v>
      </c>
      <c r="HE63" s="74">
        <f t="shared" si="1679"/>
        <v>0</v>
      </c>
      <c r="HF63" s="74">
        <f t="shared" si="1679"/>
        <v>0</v>
      </c>
      <c r="HG63" s="74">
        <f t="shared" si="1679"/>
        <v>21700</v>
      </c>
      <c r="HH63" s="74">
        <f t="shared" ref="HH63:HU63" si="1681">SUM(HH64:HH65)</f>
        <v>6000</v>
      </c>
      <c r="HI63" s="74">
        <f t="shared" si="1681"/>
        <v>0</v>
      </c>
      <c r="HJ63" s="74">
        <f t="shared" si="1681"/>
        <v>0</v>
      </c>
      <c r="HK63" s="74">
        <f t="shared" si="1681"/>
        <v>0</v>
      </c>
      <c r="HL63" s="74">
        <f t="shared" si="1681"/>
        <v>576.29999999999995</v>
      </c>
      <c r="HM63" s="74">
        <f t="shared" si="1681"/>
        <v>0</v>
      </c>
      <c r="HN63" s="74">
        <f t="shared" si="1681"/>
        <v>14123</v>
      </c>
      <c r="HO63" s="74">
        <f t="shared" si="1681"/>
        <v>0</v>
      </c>
      <c r="HP63" s="74">
        <f t="shared" si="1681"/>
        <v>-6000</v>
      </c>
      <c r="HQ63" s="74">
        <f t="shared" si="1681"/>
        <v>0</v>
      </c>
      <c r="HR63" s="74">
        <f t="shared" si="1681"/>
        <v>0</v>
      </c>
      <c r="HS63" s="74">
        <f t="shared" si="1681"/>
        <v>0</v>
      </c>
      <c r="HT63" s="74">
        <f t="shared" si="1681"/>
        <v>6000</v>
      </c>
      <c r="HU63" s="74">
        <f t="shared" si="1681"/>
        <v>0</v>
      </c>
      <c r="HV63" s="74">
        <f t="shared" si="1679"/>
        <v>0</v>
      </c>
      <c r="HW63" s="74">
        <f t="shared" si="1679"/>
        <v>0</v>
      </c>
      <c r="HX63" s="74">
        <f t="shared" si="1679"/>
        <v>1000.7</v>
      </c>
      <c r="HY63" s="74">
        <f t="shared" si="1679"/>
        <v>0</v>
      </c>
      <c r="HZ63" s="74">
        <f t="shared" si="1679"/>
        <v>0</v>
      </c>
      <c r="IA63" s="74">
        <f t="shared" si="1679"/>
        <v>0</v>
      </c>
      <c r="IB63" s="74">
        <f t="shared" si="1679"/>
        <v>0</v>
      </c>
      <c r="IC63" s="74">
        <f t="shared" si="1679"/>
        <v>0</v>
      </c>
      <c r="ID63" s="74">
        <f t="shared" si="1679"/>
        <v>0</v>
      </c>
      <c r="IE63" s="792">
        <f t="shared" si="1679"/>
        <v>0</v>
      </c>
      <c r="IF63" s="841">
        <f t="shared" si="1679"/>
        <v>20573.900000000001</v>
      </c>
      <c r="IG63" s="263">
        <f t="shared" si="1679"/>
        <v>20573.900000000001</v>
      </c>
      <c r="IH63" s="842">
        <f t="shared" si="1679"/>
        <v>20573.900000000001</v>
      </c>
      <c r="II63" s="155">
        <f t="shared" si="1679"/>
        <v>0</v>
      </c>
      <c r="IJ63" s="74">
        <f t="shared" si="1679"/>
        <v>0</v>
      </c>
      <c r="IK63" s="74">
        <f t="shared" si="1679"/>
        <v>0</v>
      </c>
      <c r="IL63" s="74">
        <f t="shared" si="1679"/>
        <v>5578.8</v>
      </c>
      <c r="IM63" s="74">
        <f t="shared" si="1679"/>
        <v>5578.8</v>
      </c>
      <c r="IN63" s="74">
        <f t="shared" si="1679"/>
        <v>5578.8</v>
      </c>
      <c r="IO63" s="74">
        <f t="shared" si="1679"/>
        <v>997.5</v>
      </c>
      <c r="IP63" s="74">
        <f t="shared" si="1679"/>
        <v>997.5</v>
      </c>
      <c r="IQ63" s="74">
        <f t="shared" si="1679"/>
        <v>997.5</v>
      </c>
      <c r="IR63" s="74">
        <f t="shared" si="1679"/>
        <v>0</v>
      </c>
      <c r="IS63" s="74">
        <f t="shared" si="1679"/>
        <v>0</v>
      </c>
      <c r="IT63" s="74">
        <f t="shared" si="1679"/>
        <v>0</v>
      </c>
      <c r="IU63" s="74">
        <f t="shared" si="1679"/>
        <v>2599.9999999999991</v>
      </c>
      <c r="IV63" s="74">
        <f t="shared" si="1679"/>
        <v>2599.9999999999991</v>
      </c>
      <c r="IW63" s="74">
        <f t="shared" si="1679"/>
        <v>2599.9999999999991</v>
      </c>
      <c r="IX63" s="74">
        <f t="shared" si="1679"/>
        <v>0</v>
      </c>
      <c r="IY63" s="74">
        <f t="shared" si="1679"/>
        <v>0</v>
      </c>
      <c r="IZ63" s="74">
        <f t="shared" si="1679"/>
        <v>0</v>
      </c>
      <c r="JA63" s="74">
        <f t="shared" si="1679"/>
        <v>1500</v>
      </c>
      <c r="JB63" s="74">
        <f t="shared" ref="JB63:JT63" si="1682">SUM(JB64:JB65)</f>
        <v>1500</v>
      </c>
      <c r="JC63" s="74">
        <f t="shared" si="1682"/>
        <v>1500</v>
      </c>
      <c r="JD63" s="74">
        <f t="shared" si="1682"/>
        <v>620</v>
      </c>
      <c r="JE63" s="74">
        <f t="shared" si="1682"/>
        <v>620</v>
      </c>
      <c r="JF63" s="74">
        <f t="shared" si="1682"/>
        <v>620</v>
      </c>
      <c r="JG63" s="74">
        <f t="shared" si="1682"/>
        <v>5120</v>
      </c>
      <c r="JH63" s="74">
        <f t="shared" si="1682"/>
        <v>5120</v>
      </c>
      <c r="JI63" s="74">
        <f t="shared" si="1682"/>
        <v>5120</v>
      </c>
      <c r="JJ63" s="74">
        <f t="shared" si="1682"/>
        <v>4157.6000000000022</v>
      </c>
      <c r="JK63" s="74">
        <f t="shared" si="1682"/>
        <v>4157.6000000000022</v>
      </c>
      <c r="JL63" s="74">
        <f t="shared" si="1682"/>
        <v>4157.6000000000022</v>
      </c>
      <c r="JM63" s="74">
        <f t="shared" si="1682"/>
        <v>0</v>
      </c>
      <c r="JN63" s="74">
        <f t="shared" si="1682"/>
        <v>0</v>
      </c>
      <c r="JO63" s="74">
        <f t="shared" si="1682"/>
        <v>0</v>
      </c>
      <c r="JP63" s="74">
        <f t="shared" si="1682"/>
        <v>0</v>
      </c>
      <c r="JQ63" s="74">
        <f t="shared" si="1682"/>
        <v>0</v>
      </c>
      <c r="JR63" s="74">
        <f t="shared" si="1682"/>
        <v>0</v>
      </c>
      <c r="JS63" s="74">
        <f t="shared" si="1682"/>
        <v>1126.0999999999985</v>
      </c>
      <c r="JT63" s="102">
        <f t="shared" si="1682"/>
        <v>1126.0999999999985</v>
      </c>
      <c r="JU63" s="671"/>
      <c r="JV63" s="492"/>
      <c r="JW63" s="490"/>
      <c r="JX63" s="549">
        <f>SUM(JX64:JX65)</f>
        <v>21700</v>
      </c>
      <c r="JY63" s="549">
        <f>SUM(JY64:JY65)</f>
        <v>0</v>
      </c>
      <c r="JZ63" s="581">
        <f t="shared" si="42"/>
        <v>11700</v>
      </c>
      <c r="KA63" s="581">
        <f t="shared" si="43"/>
        <v>-8000</v>
      </c>
      <c r="KB63" s="549">
        <f>SUM(KB64:KB65)</f>
        <v>21700</v>
      </c>
      <c r="KC63" s="709">
        <f t="shared" si="41"/>
        <v>0</v>
      </c>
      <c r="KD63" s="126" t="s">
        <v>77</v>
      </c>
      <c r="KE63" s="127" t="s">
        <v>532</v>
      </c>
      <c r="KF63" s="127">
        <f t="shared" si="1632"/>
        <v>200000</v>
      </c>
      <c r="KG63" s="127">
        <f t="shared" si="1632"/>
        <v>1016156</v>
      </c>
      <c r="KH63" s="127">
        <f t="shared" si="1632"/>
        <v>1016156</v>
      </c>
      <c r="KI63" s="127" t="e">
        <f t="shared" si="1632"/>
        <v>#REF!</v>
      </c>
      <c r="KJ63" s="127">
        <f t="shared" si="1632"/>
        <v>1287700</v>
      </c>
      <c r="KK63" s="127">
        <f t="shared" si="1632"/>
        <v>1287700</v>
      </c>
    </row>
    <row r="64" spans="1:297" s="8" customFormat="1" ht="12.75" hidden="1" customHeight="1">
      <c r="A64" s="262" t="s">
        <v>728</v>
      </c>
      <c r="B64" s="72" t="s">
        <v>96</v>
      </c>
      <c r="C64" s="74">
        <f t="shared" ref="C64" si="1683">SUM(C398)</f>
        <v>0</v>
      </c>
      <c r="D64" s="549">
        <f t="shared" ref="D64:E64" si="1684">SUM(D398)</f>
        <v>0</v>
      </c>
      <c r="E64" s="675">
        <f t="shared" si="1684"/>
        <v>0</v>
      </c>
      <c r="F64" s="549">
        <f t="shared" ref="F64:G64" si="1685">SUM(F398)</f>
        <v>0</v>
      </c>
      <c r="G64" s="675">
        <f t="shared" si="1685"/>
        <v>0</v>
      </c>
      <c r="H64" s="549">
        <f t="shared" ref="H64:I64" si="1686">SUM(H398)</f>
        <v>0</v>
      </c>
      <c r="I64" s="675">
        <f t="shared" si="1686"/>
        <v>0</v>
      </c>
      <c r="J64" s="549">
        <f t="shared" ref="J64:K64" si="1687">SUM(J398)</f>
        <v>0</v>
      </c>
      <c r="K64" s="675">
        <f t="shared" si="1687"/>
        <v>0</v>
      </c>
      <c r="L64" s="549">
        <f t="shared" ref="L64:M64" si="1688">SUM(L398)</f>
        <v>0</v>
      </c>
      <c r="M64" s="675">
        <f t="shared" si="1688"/>
        <v>0</v>
      </c>
      <c r="N64" s="549">
        <f t="shared" ref="N64:O64" si="1689">SUM(N398)</f>
        <v>0</v>
      </c>
      <c r="O64" s="675">
        <f t="shared" si="1689"/>
        <v>0</v>
      </c>
      <c r="P64" s="549">
        <f t="shared" ref="P64:Q64" si="1690">SUM(P398)</f>
        <v>0</v>
      </c>
      <c r="Q64" s="675">
        <f t="shared" si="1690"/>
        <v>0</v>
      </c>
      <c r="R64" s="549">
        <f t="shared" ref="R64:S64" si="1691">SUM(R398)</f>
        <v>0</v>
      </c>
      <c r="S64" s="675">
        <f t="shared" si="1691"/>
        <v>0</v>
      </c>
      <c r="T64" s="549">
        <f t="shared" ref="T64:U64" si="1692">SUM(T398)</f>
        <v>0</v>
      </c>
      <c r="U64" s="675">
        <f t="shared" si="1692"/>
        <v>0</v>
      </c>
      <c r="V64" s="549">
        <f t="shared" ref="V64:W64" si="1693">SUM(V398)</f>
        <v>0</v>
      </c>
      <c r="W64" s="675">
        <f t="shared" si="1693"/>
        <v>0</v>
      </c>
      <c r="X64" s="549">
        <f t="shared" ref="X64:Y64" si="1694">SUM(X398)</f>
        <v>0</v>
      </c>
      <c r="Y64" s="675">
        <f t="shared" si="1694"/>
        <v>0</v>
      </c>
      <c r="Z64" s="549">
        <f t="shared" ref="Z64:AA64" si="1695">SUM(Z398)</f>
        <v>0</v>
      </c>
      <c r="AA64" s="675">
        <f t="shared" si="1695"/>
        <v>0</v>
      </c>
      <c r="AB64" s="549">
        <f t="shared" ref="AB64:AC64" si="1696">SUM(AB398)</f>
        <v>0</v>
      </c>
      <c r="AC64" s="675">
        <f t="shared" si="1696"/>
        <v>0</v>
      </c>
      <c r="AD64" s="549">
        <f t="shared" ref="AD64:AK64" si="1697">SUM(AD398)</f>
        <v>0</v>
      </c>
      <c r="AE64" s="675">
        <f t="shared" si="1697"/>
        <v>0</v>
      </c>
      <c r="AF64" s="549">
        <f t="shared" si="1697"/>
        <v>0</v>
      </c>
      <c r="AG64" s="675">
        <f t="shared" si="1697"/>
        <v>0</v>
      </c>
      <c r="AH64" s="549">
        <f t="shared" si="1697"/>
        <v>0</v>
      </c>
      <c r="AI64" s="675">
        <f t="shared" si="1697"/>
        <v>0</v>
      </c>
      <c r="AJ64" s="549">
        <f t="shared" si="1697"/>
        <v>0</v>
      </c>
      <c r="AK64" s="675">
        <f t="shared" si="1697"/>
        <v>0</v>
      </c>
      <c r="AL64" s="549">
        <f t="shared" ref="AL64:AM64" si="1698">SUM(AL398)</f>
        <v>0</v>
      </c>
      <c r="AM64" s="675">
        <f t="shared" si="1698"/>
        <v>0</v>
      </c>
      <c r="AN64" s="549">
        <f t="shared" ref="AN64:AS64" si="1699">SUM(AN398)</f>
        <v>0</v>
      </c>
      <c r="AO64" s="675">
        <f t="shared" si="1699"/>
        <v>0</v>
      </c>
      <c r="AP64" s="549">
        <f t="shared" si="1699"/>
        <v>0</v>
      </c>
      <c r="AQ64" s="675">
        <f t="shared" si="1699"/>
        <v>0</v>
      </c>
      <c r="AR64" s="549">
        <f t="shared" si="1699"/>
        <v>0</v>
      </c>
      <c r="AS64" s="675">
        <f t="shared" si="1699"/>
        <v>0</v>
      </c>
      <c r="AT64" s="549">
        <f t="shared" ref="AT64:AU64" si="1700">SUM(AT398)</f>
        <v>0</v>
      </c>
      <c r="AU64" s="675">
        <f t="shared" si="1700"/>
        <v>0</v>
      </c>
      <c r="AV64" s="549">
        <f t="shared" ref="AV64:AW64" si="1701">SUM(AV398)</f>
        <v>0</v>
      </c>
      <c r="AW64" s="675">
        <f t="shared" si="1701"/>
        <v>0</v>
      </c>
      <c r="AX64" s="549">
        <f t="shared" ref="AX64:AY64" si="1702">SUM(AX398)</f>
        <v>0</v>
      </c>
      <c r="AY64" s="675">
        <f t="shared" si="1702"/>
        <v>0</v>
      </c>
      <c r="AZ64" s="549">
        <f t="shared" ref="AZ64:BA64" si="1703">SUM(AZ398)</f>
        <v>0</v>
      </c>
      <c r="BA64" s="675">
        <f t="shared" si="1703"/>
        <v>0</v>
      </c>
      <c r="BB64" s="549">
        <f t="shared" ref="BB64:BC64" si="1704">SUM(BB398)</f>
        <v>0</v>
      </c>
      <c r="BC64" s="675">
        <f t="shared" si="1704"/>
        <v>0</v>
      </c>
      <c r="BD64" s="549">
        <f t="shared" ref="BD64:BE64" si="1705">SUM(BD398)</f>
        <v>0</v>
      </c>
      <c r="BE64" s="675">
        <f t="shared" si="1705"/>
        <v>0</v>
      </c>
      <c r="BF64" s="549">
        <f t="shared" ref="BF64:BG64" si="1706">SUM(BF398)</f>
        <v>0</v>
      </c>
      <c r="BG64" s="675">
        <f t="shared" si="1706"/>
        <v>0</v>
      </c>
      <c r="BH64" s="549">
        <f t="shared" ref="BH64:BI64" si="1707">SUM(BH398)</f>
        <v>0</v>
      </c>
      <c r="BI64" s="675">
        <f t="shared" si="1707"/>
        <v>0</v>
      </c>
      <c r="BJ64" s="549">
        <f t="shared" ref="BJ64:BK64" si="1708">SUM(BJ398)</f>
        <v>0</v>
      </c>
      <c r="BK64" s="675">
        <f t="shared" si="1708"/>
        <v>0</v>
      </c>
      <c r="BL64" s="549">
        <f t="shared" ref="BL64:BM64" si="1709">SUM(BL398)</f>
        <v>0</v>
      </c>
      <c r="BM64" s="675">
        <f t="shared" si="1709"/>
        <v>0</v>
      </c>
      <c r="BN64" s="549">
        <f t="shared" ref="BN64:BO64" si="1710">SUM(BN398)</f>
        <v>0</v>
      </c>
      <c r="BO64" s="675">
        <f t="shared" si="1710"/>
        <v>0</v>
      </c>
      <c r="BP64" s="549">
        <f t="shared" ref="BP64:BQ64" si="1711">SUM(BP398)</f>
        <v>0</v>
      </c>
      <c r="BQ64" s="675">
        <f t="shared" si="1711"/>
        <v>0</v>
      </c>
      <c r="BR64" s="549">
        <f t="shared" ref="BR64:BS64" si="1712">SUM(BR398)</f>
        <v>0</v>
      </c>
      <c r="BS64" s="675">
        <f t="shared" si="1712"/>
        <v>0</v>
      </c>
      <c r="BT64" s="549">
        <f t="shared" ref="BT64:BU64" si="1713">SUM(BT398)</f>
        <v>0</v>
      </c>
      <c r="BU64" s="675">
        <f t="shared" si="1713"/>
        <v>0</v>
      </c>
      <c r="BV64" s="549">
        <f t="shared" ref="BV64:BW64" si="1714">SUM(BV398)</f>
        <v>0</v>
      </c>
      <c r="BW64" s="675">
        <f t="shared" si="1714"/>
        <v>0</v>
      </c>
      <c r="BX64" s="549">
        <f t="shared" ref="BX64:BY64" si="1715">SUM(BX398)</f>
        <v>0</v>
      </c>
      <c r="BY64" s="675">
        <f t="shared" si="1715"/>
        <v>0</v>
      </c>
      <c r="BZ64" s="549">
        <f t="shared" ref="BZ64:CA64" si="1716">SUM(BZ398)</f>
        <v>0</v>
      </c>
      <c r="CA64" s="675">
        <f t="shared" si="1716"/>
        <v>0</v>
      </c>
      <c r="CB64" s="549">
        <f t="shared" ref="CB64:CC64" si="1717">SUM(CB398)</f>
        <v>0</v>
      </c>
      <c r="CC64" s="675">
        <f t="shared" si="1717"/>
        <v>0</v>
      </c>
      <c r="CD64" s="549">
        <f t="shared" ref="CD64:CE64" si="1718">SUM(CD398)</f>
        <v>0</v>
      </c>
      <c r="CE64" s="675">
        <f t="shared" si="1718"/>
        <v>0</v>
      </c>
      <c r="CF64" s="549">
        <f t="shared" ref="CF64:CG64" si="1719">SUM(CF398)</f>
        <v>0</v>
      </c>
      <c r="CG64" s="675">
        <f t="shared" si="1719"/>
        <v>0</v>
      </c>
      <c r="CH64" s="549">
        <f t="shared" ref="CH64:CI64" si="1720">SUM(CH398)</f>
        <v>0</v>
      </c>
      <c r="CI64" s="675">
        <f t="shared" si="1720"/>
        <v>0</v>
      </c>
      <c r="CJ64" s="549">
        <f t="shared" ref="CJ64:CK64" si="1721">SUM(CJ398)</f>
        <v>0</v>
      </c>
      <c r="CK64" s="675">
        <f t="shared" si="1721"/>
        <v>0</v>
      </c>
      <c r="CL64" s="549">
        <f t="shared" ref="CL64:CM64" si="1722">SUM(CL398)</f>
        <v>0</v>
      </c>
      <c r="CM64" s="675">
        <f t="shared" si="1722"/>
        <v>0</v>
      </c>
      <c r="CN64" s="549">
        <f t="shared" ref="CN64:CO64" si="1723">SUM(CN398)</f>
        <v>0</v>
      </c>
      <c r="CO64" s="675">
        <f t="shared" si="1723"/>
        <v>0</v>
      </c>
      <c r="CP64" s="549">
        <f t="shared" ref="CP64:CQ64" si="1724">SUM(CP398)</f>
        <v>0</v>
      </c>
      <c r="CQ64" s="675">
        <f t="shared" si="1724"/>
        <v>0</v>
      </c>
      <c r="CR64" s="549">
        <f t="shared" ref="CR64:CS64" si="1725">SUM(CR398)</f>
        <v>0</v>
      </c>
      <c r="CS64" s="675">
        <f t="shared" si="1725"/>
        <v>0</v>
      </c>
      <c r="CT64" s="549">
        <f t="shared" ref="CT64:CU64" si="1726">SUM(CT398)</f>
        <v>0</v>
      </c>
      <c r="CU64" s="675">
        <f t="shared" si="1726"/>
        <v>0</v>
      </c>
      <c r="CV64" s="549">
        <f t="shared" ref="CV64:CW64" si="1727">SUM(CV398)</f>
        <v>0</v>
      </c>
      <c r="CW64" s="675">
        <f t="shared" si="1727"/>
        <v>0</v>
      </c>
      <c r="CX64" s="549">
        <f t="shared" ref="CX64:CY64" si="1728">SUM(CX398)</f>
        <v>0</v>
      </c>
      <c r="CY64" s="675">
        <f t="shared" si="1728"/>
        <v>0</v>
      </c>
      <c r="CZ64" s="549">
        <f t="shared" ref="CZ64:DA64" si="1729">SUM(CZ398)</f>
        <v>0</v>
      </c>
      <c r="DA64" s="675">
        <f t="shared" si="1729"/>
        <v>0</v>
      </c>
      <c r="DB64" s="549">
        <f t="shared" ref="DB64:DC64" si="1730">SUM(DB398)</f>
        <v>0</v>
      </c>
      <c r="DC64" s="675">
        <f t="shared" si="1730"/>
        <v>0</v>
      </c>
      <c r="DD64" s="549">
        <f t="shared" ref="DD64:DE64" si="1731">SUM(DD398)</f>
        <v>0</v>
      </c>
      <c r="DE64" s="675">
        <f t="shared" si="1731"/>
        <v>0</v>
      </c>
      <c r="DF64" s="549">
        <f t="shared" ref="DF64:DG64" si="1732">SUM(DF398)</f>
        <v>0</v>
      </c>
      <c r="DG64" s="675">
        <f t="shared" si="1732"/>
        <v>0</v>
      </c>
      <c r="DH64" s="549">
        <f t="shared" ref="DH64:DI64" si="1733">SUM(DH398)</f>
        <v>0</v>
      </c>
      <c r="DI64" s="675">
        <f t="shared" si="1733"/>
        <v>0</v>
      </c>
      <c r="DJ64" s="549">
        <f t="shared" ref="DJ64:DK64" si="1734">SUM(DJ398)</f>
        <v>0</v>
      </c>
      <c r="DK64" s="675">
        <f t="shared" si="1734"/>
        <v>0</v>
      </c>
      <c r="DL64" s="549">
        <f t="shared" ref="DL64:DM64" si="1735">SUM(DL398)</f>
        <v>0</v>
      </c>
      <c r="DM64" s="675">
        <f t="shared" si="1735"/>
        <v>0</v>
      </c>
      <c r="DN64" s="549">
        <f t="shared" ref="DN64:DO64" si="1736">SUM(DN398)</f>
        <v>0</v>
      </c>
      <c r="DO64" s="675">
        <f t="shared" si="1736"/>
        <v>0</v>
      </c>
      <c r="DP64" s="549">
        <f t="shared" ref="DP64:DQ64" si="1737">SUM(DP398)</f>
        <v>0</v>
      </c>
      <c r="DQ64" s="675">
        <f t="shared" si="1737"/>
        <v>0</v>
      </c>
      <c r="DR64" s="549">
        <f t="shared" ref="DR64:DS64" si="1738">SUM(DR398)</f>
        <v>0</v>
      </c>
      <c r="DS64" s="675">
        <f t="shared" si="1738"/>
        <v>0</v>
      </c>
      <c r="DT64" s="549">
        <f t="shared" ref="DT64:DU64" si="1739">SUM(DT398)</f>
        <v>0</v>
      </c>
      <c r="DU64" s="675">
        <f t="shared" si="1739"/>
        <v>0</v>
      </c>
      <c r="DV64" s="549">
        <f t="shared" ref="DV64:DW64" si="1740">SUM(DV398)</f>
        <v>0</v>
      </c>
      <c r="DW64" s="675">
        <f t="shared" si="1740"/>
        <v>0</v>
      </c>
      <c r="DX64" s="549">
        <f t="shared" ref="DX64:DY64" si="1741">SUM(DX398)</f>
        <v>0</v>
      </c>
      <c r="DY64" s="675">
        <f t="shared" si="1741"/>
        <v>0</v>
      </c>
      <c r="DZ64" s="549">
        <f t="shared" ref="DZ64:EA64" si="1742">SUM(DZ398)</f>
        <v>0</v>
      </c>
      <c r="EA64" s="675">
        <f t="shared" si="1742"/>
        <v>0</v>
      </c>
      <c r="EB64" s="549">
        <f t="shared" ref="EB64:EC64" si="1743">SUM(EB398)</f>
        <v>0</v>
      </c>
      <c r="EC64" s="675">
        <f t="shared" si="1743"/>
        <v>0</v>
      </c>
      <c r="ED64" s="549">
        <f t="shared" ref="ED64:EE64" si="1744">SUM(ED398)</f>
        <v>0</v>
      </c>
      <c r="EE64" s="675">
        <f t="shared" si="1744"/>
        <v>0</v>
      </c>
      <c r="EF64" s="549">
        <f t="shared" ref="EF64:EG64" si="1745">SUM(EF398)</f>
        <v>0</v>
      </c>
      <c r="EG64" s="675">
        <f t="shared" si="1745"/>
        <v>0</v>
      </c>
      <c r="EH64" s="549">
        <f t="shared" ref="EH64:EI64" si="1746">SUM(EH398)</f>
        <v>0</v>
      </c>
      <c r="EI64" s="675">
        <f t="shared" si="1746"/>
        <v>0</v>
      </c>
      <c r="EJ64" s="549">
        <f t="shared" ref="EJ64:EK64" si="1747">SUM(EJ398)</f>
        <v>0</v>
      </c>
      <c r="EK64" s="675">
        <f t="shared" si="1747"/>
        <v>0</v>
      </c>
      <c r="EL64" s="549">
        <f t="shared" ref="EL64:EM64" si="1748">SUM(EL398)</f>
        <v>0</v>
      </c>
      <c r="EM64" s="675">
        <f t="shared" si="1748"/>
        <v>0</v>
      </c>
      <c r="EN64" s="549">
        <f t="shared" ref="EN64:EO64" si="1749">SUM(EN398)</f>
        <v>0</v>
      </c>
      <c r="EO64" s="675">
        <f t="shared" si="1749"/>
        <v>0</v>
      </c>
      <c r="EP64" s="549">
        <f t="shared" ref="EP64:EQ64" si="1750">SUM(EP398)</f>
        <v>0</v>
      </c>
      <c r="EQ64" s="675">
        <f t="shared" si="1750"/>
        <v>0</v>
      </c>
      <c r="ER64" s="549">
        <f t="shared" ref="ER64:ES64" si="1751">SUM(ER398)</f>
        <v>0</v>
      </c>
      <c r="ES64" s="675">
        <f t="shared" si="1751"/>
        <v>0</v>
      </c>
      <c r="ET64" s="549">
        <f t="shared" ref="ET64:EU64" si="1752">SUM(ET398)</f>
        <v>0</v>
      </c>
      <c r="EU64" s="675">
        <f t="shared" si="1752"/>
        <v>0</v>
      </c>
      <c r="EV64" s="549">
        <f t="shared" ref="EV64:EW64" si="1753">SUM(EV398)</f>
        <v>0</v>
      </c>
      <c r="EW64" s="675">
        <f t="shared" si="1753"/>
        <v>0</v>
      </c>
      <c r="EX64" s="549">
        <f t="shared" ref="EX64:EY64" si="1754">SUM(EX398)</f>
        <v>0</v>
      </c>
      <c r="EY64" s="675">
        <f t="shared" si="1754"/>
        <v>0</v>
      </c>
      <c r="EZ64" s="549">
        <f t="shared" ref="EZ64:FA64" si="1755">SUM(EZ398)</f>
        <v>0</v>
      </c>
      <c r="FA64" s="675">
        <f t="shared" si="1755"/>
        <v>0</v>
      </c>
      <c r="FB64" s="549">
        <f t="shared" ref="FB64:FC64" si="1756">SUM(FB398)</f>
        <v>0</v>
      </c>
      <c r="FC64" s="675">
        <f t="shared" si="1756"/>
        <v>0</v>
      </c>
      <c r="FD64" s="549">
        <f t="shared" ref="FD64:FE64" si="1757">SUM(FD398)</f>
        <v>0</v>
      </c>
      <c r="FE64" s="675">
        <f t="shared" si="1757"/>
        <v>0</v>
      </c>
      <c r="FF64" s="549">
        <f t="shared" ref="FF64:FG64" si="1758">SUM(FF398)</f>
        <v>0</v>
      </c>
      <c r="FG64" s="675">
        <f t="shared" si="1758"/>
        <v>0</v>
      </c>
      <c r="FH64" s="549">
        <f t="shared" ref="FH64:FI64" si="1759">SUM(FH398)</f>
        <v>0</v>
      </c>
      <c r="FI64" s="675">
        <f t="shared" si="1759"/>
        <v>0</v>
      </c>
      <c r="FJ64" s="549">
        <f t="shared" ref="FJ64:FK64" si="1760">SUM(FJ398)</f>
        <v>0</v>
      </c>
      <c r="FK64" s="675">
        <f t="shared" si="1760"/>
        <v>0</v>
      </c>
      <c r="FL64" s="549">
        <f t="shared" ref="FL64:FM64" si="1761">SUM(FL398)</f>
        <v>0</v>
      </c>
      <c r="FM64" s="675">
        <f t="shared" si="1761"/>
        <v>0</v>
      </c>
      <c r="FN64" s="549">
        <f t="shared" ref="FN64:FO64" si="1762">SUM(FN398)</f>
        <v>0</v>
      </c>
      <c r="FO64" s="675">
        <f t="shared" si="1762"/>
        <v>0</v>
      </c>
      <c r="FP64" s="549">
        <f t="shared" ref="FP64:FQ64" si="1763">SUM(FP398)</f>
        <v>0</v>
      </c>
      <c r="FQ64" s="675">
        <f t="shared" si="1763"/>
        <v>0</v>
      </c>
      <c r="FR64" s="549">
        <f t="shared" ref="FR64:FS64" si="1764">SUM(FR398)</f>
        <v>0</v>
      </c>
      <c r="FS64" s="675">
        <f t="shared" si="1764"/>
        <v>0</v>
      </c>
      <c r="FT64" s="549">
        <f t="shared" ref="FT64:FU64" si="1765">SUM(FT398)</f>
        <v>0</v>
      </c>
      <c r="FU64" s="675">
        <f t="shared" si="1765"/>
        <v>0</v>
      </c>
      <c r="FV64" s="549">
        <f t="shared" ref="FV64:GK64" si="1766">SUM(FV398)</f>
        <v>0</v>
      </c>
      <c r="FW64" s="675">
        <f t="shared" si="1766"/>
        <v>0</v>
      </c>
      <c r="FX64" s="549">
        <f t="shared" si="1766"/>
        <v>0</v>
      </c>
      <c r="FY64" s="675">
        <f t="shared" si="1766"/>
        <v>0</v>
      </c>
      <c r="FZ64" s="549">
        <f t="shared" ref="FZ64:GI64" si="1767">SUM(FZ398)</f>
        <v>0</v>
      </c>
      <c r="GA64" s="675">
        <f t="shared" si="1767"/>
        <v>0</v>
      </c>
      <c r="GB64" s="549">
        <f t="shared" si="1767"/>
        <v>0</v>
      </c>
      <c r="GC64" s="675">
        <f t="shared" si="1767"/>
        <v>0</v>
      </c>
      <c r="GD64" s="549">
        <f t="shared" si="1767"/>
        <v>0</v>
      </c>
      <c r="GE64" s="675">
        <f t="shared" si="1767"/>
        <v>0</v>
      </c>
      <c r="GF64" s="549">
        <f t="shared" si="1767"/>
        <v>0</v>
      </c>
      <c r="GG64" s="675">
        <f t="shared" si="1767"/>
        <v>0</v>
      </c>
      <c r="GH64" s="549">
        <f t="shared" si="1767"/>
        <v>0</v>
      </c>
      <c r="GI64" s="675">
        <f t="shared" si="1767"/>
        <v>0</v>
      </c>
      <c r="GJ64" s="549">
        <f t="shared" si="1766"/>
        <v>0</v>
      </c>
      <c r="GK64" s="675">
        <f t="shared" si="1766"/>
        <v>0</v>
      </c>
      <c r="GL64" s="549">
        <f t="shared" ref="GL64:GQ64" si="1768">SUM(GL398)</f>
        <v>0</v>
      </c>
      <c r="GM64" s="675">
        <f t="shared" si="1768"/>
        <v>0</v>
      </c>
      <c r="GN64" s="549">
        <f t="shared" ref="GN64:GO64" si="1769">SUM(GN398)</f>
        <v>0</v>
      </c>
      <c r="GO64" s="675">
        <f t="shared" si="1769"/>
        <v>0</v>
      </c>
      <c r="GP64" s="74">
        <f t="shared" si="1768"/>
        <v>0</v>
      </c>
      <c r="GQ64" s="675">
        <f t="shared" si="1768"/>
        <v>0</v>
      </c>
      <c r="GR64" s="74">
        <f t="shared" ref="GR64:JA64" si="1770">SUM(GR398)</f>
        <v>0</v>
      </c>
      <c r="GS64" s="74">
        <f t="shared" si="1770"/>
        <v>0</v>
      </c>
      <c r="GT64" s="549">
        <f t="shared" si="1770"/>
        <v>0</v>
      </c>
      <c r="GU64" s="74">
        <f t="shared" si="1770"/>
        <v>0</v>
      </c>
      <c r="GV64" s="74">
        <f t="shared" si="1770"/>
        <v>0</v>
      </c>
      <c r="GW64" s="549">
        <f t="shared" si="1770"/>
        <v>0</v>
      </c>
      <c r="GX64" s="549">
        <f t="shared" si="1770"/>
        <v>0</v>
      </c>
      <c r="GY64" s="74">
        <f t="shared" si="1770"/>
        <v>0</v>
      </c>
      <c r="GZ64" s="74">
        <f t="shared" si="1770"/>
        <v>0</v>
      </c>
      <c r="HA64" s="74">
        <f t="shared" si="1770"/>
        <v>0</v>
      </c>
      <c r="HB64" s="74">
        <f t="shared" si="1770"/>
        <v>0</v>
      </c>
      <c r="HC64" s="74">
        <f t="shared" si="1770"/>
        <v>0</v>
      </c>
      <c r="HD64" s="74">
        <f t="shared" si="1770"/>
        <v>0</v>
      </c>
      <c r="HE64" s="74">
        <f t="shared" si="1770"/>
        <v>0</v>
      </c>
      <c r="HF64" s="74">
        <f t="shared" si="1770"/>
        <v>0</v>
      </c>
      <c r="HG64" s="74">
        <f t="shared" si="1770"/>
        <v>0</v>
      </c>
      <c r="HH64" s="74">
        <f t="shared" ref="HH64:HU64" si="1771">SUM(HH398)</f>
        <v>0</v>
      </c>
      <c r="HI64" s="74">
        <f t="shared" si="1771"/>
        <v>0</v>
      </c>
      <c r="HJ64" s="74">
        <f t="shared" si="1771"/>
        <v>0</v>
      </c>
      <c r="HK64" s="74">
        <f t="shared" si="1771"/>
        <v>0</v>
      </c>
      <c r="HL64" s="74">
        <f t="shared" si="1771"/>
        <v>0</v>
      </c>
      <c r="HM64" s="74">
        <f t="shared" si="1771"/>
        <v>0</v>
      </c>
      <c r="HN64" s="74">
        <f t="shared" si="1771"/>
        <v>0</v>
      </c>
      <c r="HO64" s="74">
        <f t="shared" si="1771"/>
        <v>0</v>
      </c>
      <c r="HP64" s="74">
        <f t="shared" si="1771"/>
        <v>0</v>
      </c>
      <c r="HQ64" s="74">
        <f t="shared" si="1771"/>
        <v>0</v>
      </c>
      <c r="HR64" s="74">
        <f t="shared" si="1771"/>
        <v>0</v>
      </c>
      <c r="HS64" s="74">
        <f t="shared" si="1771"/>
        <v>0</v>
      </c>
      <c r="HT64" s="74">
        <f t="shared" si="1771"/>
        <v>0</v>
      </c>
      <c r="HU64" s="74">
        <f t="shared" si="1771"/>
        <v>0</v>
      </c>
      <c r="HV64" s="74">
        <f t="shared" si="1770"/>
        <v>0</v>
      </c>
      <c r="HW64" s="74">
        <f t="shared" si="1770"/>
        <v>0</v>
      </c>
      <c r="HX64" s="74">
        <f t="shared" si="1770"/>
        <v>0</v>
      </c>
      <c r="HY64" s="74">
        <f t="shared" si="1770"/>
        <v>0</v>
      </c>
      <c r="HZ64" s="74">
        <f t="shared" si="1770"/>
        <v>0</v>
      </c>
      <c r="IA64" s="74">
        <f t="shared" si="1770"/>
        <v>0</v>
      </c>
      <c r="IB64" s="74">
        <f t="shared" si="1770"/>
        <v>0</v>
      </c>
      <c r="IC64" s="74">
        <f t="shared" si="1770"/>
        <v>0</v>
      </c>
      <c r="ID64" s="74">
        <f t="shared" si="1770"/>
        <v>0</v>
      </c>
      <c r="IE64" s="792">
        <f t="shared" si="1770"/>
        <v>0</v>
      </c>
      <c r="IF64" s="841">
        <f t="shared" si="1770"/>
        <v>0</v>
      </c>
      <c r="IG64" s="263">
        <f t="shared" si="1770"/>
        <v>0</v>
      </c>
      <c r="IH64" s="842">
        <f t="shared" si="1770"/>
        <v>0</v>
      </c>
      <c r="II64" s="155">
        <f t="shared" si="1770"/>
        <v>0</v>
      </c>
      <c r="IJ64" s="74">
        <f t="shared" si="1770"/>
        <v>0</v>
      </c>
      <c r="IK64" s="74">
        <f t="shared" si="1770"/>
        <v>0</v>
      </c>
      <c r="IL64" s="74">
        <f t="shared" si="1770"/>
        <v>0</v>
      </c>
      <c r="IM64" s="74">
        <f t="shared" si="1770"/>
        <v>0</v>
      </c>
      <c r="IN64" s="74">
        <f t="shared" si="1770"/>
        <v>0</v>
      </c>
      <c r="IO64" s="74">
        <f t="shared" si="1770"/>
        <v>0</v>
      </c>
      <c r="IP64" s="74">
        <f t="shared" si="1770"/>
        <v>0</v>
      </c>
      <c r="IQ64" s="74">
        <f t="shared" si="1770"/>
        <v>0</v>
      </c>
      <c r="IR64" s="74">
        <f t="shared" si="1770"/>
        <v>0</v>
      </c>
      <c r="IS64" s="74">
        <f t="shared" si="1770"/>
        <v>0</v>
      </c>
      <c r="IT64" s="74">
        <f t="shared" si="1770"/>
        <v>0</v>
      </c>
      <c r="IU64" s="74">
        <f t="shared" si="1770"/>
        <v>0</v>
      </c>
      <c r="IV64" s="74">
        <f t="shared" si="1770"/>
        <v>0</v>
      </c>
      <c r="IW64" s="74">
        <f t="shared" si="1770"/>
        <v>0</v>
      </c>
      <c r="IX64" s="74">
        <f t="shared" si="1770"/>
        <v>0</v>
      </c>
      <c r="IY64" s="74">
        <f t="shared" si="1770"/>
        <v>0</v>
      </c>
      <c r="IZ64" s="74">
        <f t="shared" si="1770"/>
        <v>0</v>
      </c>
      <c r="JA64" s="74">
        <f t="shared" si="1770"/>
        <v>0</v>
      </c>
      <c r="JB64" s="74">
        <f t="shared" ref="JB64:JT64" si="1772">SUM(JB398)</f>
        <v>0</v>
      </c>
      <c r="JC64" s="74">
        <f t="shared" si="1772"/>
        <v>0</v>
      </c>
      <c r="JD64" s="74">
        <f t="shared" si="1772"/>
        <v>0</v>
      </c>
      <c r="JE64" s="74">
        <f t="shared" si="1772"/>
        <v>0</v>
      </c>
      <c r="JF64" s="74">
        <f t="shared" si="1772"/>
        <v>0</v>
      </c>
      <c r="JG64" s="74">
        <f t="shared" si="1772"/>
        <v>0</v>
      </c>
      <c r="JH64" s="74">
        <f t="shared" si="1772"/>
        <v>0</v>
      </c>
      <c r="JI64" s="74">
        <f t="shared" si="1772"/>
        <v>0</v>
      </c>
      <c r="JJ64" s="74">
        <f t="shared" si="1772"/>
        <v>0</v>
      </c>
      <c r="JK64" s="74">
        <f t="shared" si="1772"/>
        <v>0</v>
      </c>
      <c r="JL64" s="74">
        <f t="shared" si="1772"/>
        <v>0</v>
      </c>
      <c r="JM64" s="74">
        <f t="shared" si="1772"/>
        <v>0</v>
      </c>
      <c r="JN64" s="74">
        <f t="shared" si="1772"/>
        <v>0</v>
      </c>
      <c r="JO64" s="74">
        <f t="shared" si="1772"/>
        <v>0</v>
      </c>
      <c r="JP64" s="74">
        <f t="shared" si="1772"/>
        <v>0</v>
      </c>
      <c r="JQ64" s="74">
        <f t="shared" si="1772"/>
        <v>0</v>
      </c>
      <c r="JR64" s="74">
        <f t="shared" si="1772"/>
        <v>0</v>
      </c>
      <c r="JS64" s="74">
        <f t="shared" si="1772"/>
        <v>0</v>
      </c>
      <c r="JT64" s="102">
        <f t="shared" si="1772"/>
        <v>0</v>
      </c>
      <c r="JU64" s="671"/>
      <c r="JV64" s="492"/>
      <c r="JW64" s="490"/>
      <c r="JX64" s="549">
        <f>SUM(JX398)</f>
        <v>0</v>
      </c>
      <c r="JY64" s="549">
        <f>SUM(JY398)</f>
        <v>0</v>
      </c>
      <c r="JZ64" s="581">
        <f t="shared" si="42"/>
        <v>0</v>
      </c>
      <c r="KA64" s="581">
        <f t="shared" si="43"/>
        <v>0</v>
      </c>
      <c r="KB64" s="549">
        <f>SUM(KB398)</f>
        <v>0</v>
      </c>
      <c r="KC64" s="709">
        <f t="shared" si="41"/>
        <v>0</v>
      </c>
      <c r="KD64" s="132" t="s">
        <v>533</v>
      </c>
      <c r="KE64" s="138" t="s">
        <v>534</v>
      </c>
      <c r="KF64" s="138">
        <f>KF25</f>
        <v>0</v>
      </c>
      <c r="KG64" s="138">
        <f>GR38</f>
        <v>246625</v>
      </c>
      <c r="KH64" s="138">
        <f>KH25</f>
        <v>0</v>
      </c>
      <c r="KI64" s="138" t="e">
        <f>KI25</f>
        <v>#REF!</v>
      </c>
      <c r="KJ64" s="138">
        <f>KJ25</f>
        <v>246625</v>
      </c>
      <c r="KK64" s="138">
        <f>KK25</f>
        <v>246625</v>
      </c>
    </row>
    <row r="65" spans="1:297" s="8" customFormat="1" ht="13.5" thickBot="1">
      <c r="A65" s="262" t="s">
        <v>931</v>
      </c>
      <c r="B65" s="72"/>
      <c r="C65" s="74">
        <f t="shared" ref="C65:AM65" si="1773">C399</f>
        <v>18000</v>
      </c>
      <c r="D65" s="549">
        <f t="shared" si="1773"/>
        <v>0</v>
      </c>
      <c r="E65" s="675">
        <f t="shared" si="1773"/>
        <v>0</v>
      </c>
      <c r="F65" s="549">
        <f t="shared" si="1773"/>
        <v>0</v>
      </c>
      <c r="G65" s="675">
        <f t="shared" si="1773"/>
        <v>0</v>
      </c>
      <c r="H65" s="549">
        <f t="shared" si="1773"/>
        <v>0</v>
      </c>
      <c r="I65" s="675">
        <f t="shared" si="1773"/>
        <v>0</v>
      </c>
      <c r="J65" s="549">
        <f t="shared" si="1773"/>
        <v>0</v>
      </c>
      <c r="K65" s="675">
        <f t="shared" si="1773"/>
        <v>0</v>
      </c>
      <c r="L65" s="549">
        <f t="shared" si="1773"/>
        <v>0</v>
      </c>
      <c r="M65" s="675">
        <f t="shared" si="1773"/>
        <v>0</v>
      </c>
      <c r="N65" s="549">
        <f t="shared" si="1773"/>
        <v>0</v>
      </c>
      <c r="O65" s="675">
        <f t="shared" si="1773"/>
        <v>0</v>
      </c>
      <c r="P65" s="549">
        <f t="shared" si="1773"/>
        <v>0</v>
      </c>
      <c r="Q65" s="675">
        <f t="shared" si="1773"/>
        <v>0</v>
      </c>
      <c r="R65" s="549">
        <f t="shared" si="1773"/>
        <v>0</v>
      </c>
      <c r="S65" s="675">
        <f t="shared" si="1773"/>
        <v>0</v>
      </c>
      <c r="T65" s="549">
        <f t="shared" si="1773"/>
        <v>0</v>
      </c>
      <c r="U65" s="675">
        <f t="shared" si="1773"/>
        <v>0</v>
      </c>
      <c r="V65" s="549">
        <f t="shared" si="1773"/>
        <v>8700</v>
      </c>
      <c r="W65" s="675">
        <f t="shared" si="1773"/>
        <v>0</v>
      </c>
      <c r="X65" s="549">
        <f t="shared" si="1773"/>
        <v>0</v>
      </c>
      <c r="Y65" s="675">
        <f t="shared" si="1773"/>
        <v>0</v>
      </c>
      <c r="Z65" s="549">
        <f t="shared" si="1773"/>
        <v>0</v>
      </c>
      <c r="AA65" s="675">
        <f t="shared" si="1773"/>
        <v>0</v>
      </c>
      <c r="AB65" s="549">
        <f t="shared" si="1773"/>
        <v>0</v>
      </c>
      <c r="AC65" s="675">
        <f t="shared" si="1773"/>
        <v>0</v>
      </c>
      <c r="AD65" s="549">
        <f t="shared" ref="AD65:AK65" si="1774">AD399</f>
        <v>0</v>
      </c>
      <c r="AE65" s="675">
        <f t="shared" si="1774"/>
        <v>0</v>
      </c>
      <c r="AF65" s="549">
        <f t="shared" si="1774"/>
        <v>0</v>
      </c>
      <c r="AG65" s="675">
        <f t="shared" si="1774"/>
        <v>0</v>
      </c>
      <c r="AH65" s="549">
        <f t="shared" si="1774"/>
        <v>0</v>
      </c>
      <c r="AI65" s="675">
        <f t="shared" si="1774"/>
        <v>0</v>
      </c>
      <c r="AJ65" s="549">
        <f t="shared" si="1774"/>
        <v>0</v>
      </c>
      <c r="AK65" s="675">
        <f t="shared" si="1774"/>
        <v>0</v>
      </c>
      <c r="AL65" s="549">
        <f t="shared" si="1773"/>
        <v>0</v>
      </c>
      <c r="AM65" s="675">
        <f t="shared" si="1773"/>
        <v>0</v>
      </c>
      <c r="AN65" s="549">
        <f t="shared" ref="AN65:AS65" si="1775">AN399</f>
        <v>0</v>
      </c>
      <c r="AO65" s="675">
        <f t="shared" si="1775"/>
        <v>0</v>
      </c>
      <c r="AP65" s="549">
        <f t="shared" si="1775"/>
        <v>0</v>
      </c>
      <c r="AQ65" s="675">
        <f t="shared" si="1775"/>
        <v>0</v>
      </c>
      <c r="AR65" s="549">
        <f t="shared" si="1775"/>
        <v>0</v>
      </c>
      <c r="AS65" s="675">
        <f t="shared" si="1775"/>
        <v>0</v>
      </c>
      <c r="AT65" s="549">
        <f t="shared" ref="AT65:AU65" si="1776">AT399</f>
        <v>0</v>
      </c>
      <c r="AU65" s="675">
        <f t="shared" si="1776"/>
        <v>0</v>
      </c>
      <c r="AV65" s="549">
        <f t="shared" ref="AV65:AW65" si="1777">AV399</f>
        <v>0</v>
      </c>
      <c r="AW65" s="675">
        <f t="shared" si="1777"/>
        <v>0</v>
      </c>
      <c r="AX65" s="549">
        <f t="shared" ref="AX65:AY65" si="1778">AX399</f>
        <v>0</v>
      </c>
      <c r="AY65" s="675">
        <f t="shared" si="1778"/>
        <v>0</v>
      </c>
      <c r="AZ65" s="549">
        <f t="shared" ref="AZ65:BA65" si="1779">AZ399</f>
        <v>0</v>
      </c>
      <c r="BA65" s="675">
        <f t="shared" si="1779"/>
        <v>-6000</v>
      </c>
      <c r="BB65" s="549">
        <f t="shared" ref="BB65:BC65" si="1780">BB399</f>
        <v>0</v>
      </c>
      <c r="BC65" s="675">
        <f t="shared" si="1780"/>
        <v>0</v>
      </c>
      <c r="BD65" s="549">
        <f t="shared" ref="BD65:BE65" si="1781">BD399</f>
        <v>0</v>
      </c>
      <c r="BE65" s="675">
        <f t="shared" si="1781"/>
        <v>0</v>
      </c>
      <c r="BF65" s="549">
        <f t="shared" ref="BF65:BG65" si="1782">BF399</f>
        <v>0</v>
      </c>
      <c r="BG65" s="675">
        <f t="shared" si="1782"/>
        <v>0</v>
      </c>
      <c r="BH65" s="549">
        <f t="shared" ref="BH65:BI65" si="1783">BH399</f>
        <v>0</v>
      </c>
      <c r="BI65" s="675">
        <f t="shared" si="1783"/>
        <v>0</v>
      </c>
      <c r="BJ65" s="549">
        <f t="shared" ref="BJ65:BK65" si="1784">BJ399</f>
        <v>0</v>
      </c>
      <c r="BK65" s="675">
        <f t="shared" si="1784"/>
        <v>0</v>
      </c>
      <c r="BL65" s="549">
        <f t="shared" ref="BL65:BS65" si="1785">BL399</f>
        <v>0</v>
      </c>
      <c r="BM65" s="675">
        <f t="shared" si="1785"/>
        <v>0</v>
      </c>
      <c r="BN65" s="549">
        <f t="shared" si="1785"/>
        <v>0</v>
      </c>
      <c r="BO65" s="675">
        <f t="shared" si="1785"/>
        <v>0</v>
      </c>
      <c r="BP65" s="549">
        <f t="shared" si="1785"/>
        <v>0</v>
      </c>
      <c r="BQ65" s="675">
        <f t="shared" si="1785"/>
        <v>0</v>
      </c>
      <c r="BR65" s="549">
        <f t="shared" si="1785"/>
        <v>0</v>
      </c>
      <c r="BS65" s="675">
        <f t="shared" si="1785"/>
        <v>0</v>
      </c>
      <c r="BT65" s="549">
        <f t="shared" ref="BT65:BU65" si="1786">BT399</f>
        <v>0</v>
      </c>
      <c r="BU65" s="675">
        <f t="shared" si="1786"/>
        <v>0</v>
      </c>
      <c r="BV65" s="549">
        <f t="shared" ref="BV65:BW65" si="1787">BV399</f>
        <v>0</v>
      </c>
      <c r="BW65" s="675">
        <f t="shared" si="1787"/>
        <v>0</v>
      </c>
      <c r="BX65" s="549">
        <f t="shared" ref="BX65:BY65" si="1788">BX399</f>
        <v>0</v>
      </c>
      <c r="BY65" s="675">
        <f t="shared" si="1788"/>
        <v>0</v>
      </c>
      <c r="BZ65" s="549">
        <f t="shared" ref="BZ65:CA65" si="1789">BZ399</f>
        <v>0</v>
      </c>
      <c r="CA65" s="675">
        <f t="shared" si="1789"/>
        <v>0</v>
      </c>
      <c r="CB65" s="549">
        <f t="shared" ref="CB65:CE65" si="1790">CB399</f>
        <v>0</v>
      </c>
      <c r="CC65" s="675">
        <f t="shared" si="1790"/>
        <v>0</v>
      </c>
      <c r="CD65" s="549">
        <f t="shared" si="1790"/>
        <v>0</v>
      </c>
      <c r="CE65" s="675">
        <f t="shared" si="1790"/>
        <v>0</v>
      </c>
      <c r="CF65" s="549">
        <f t="shared" ref="CF65:CQ65" si="1791">CF399</f>
        <v>0</v>
      </c>
      <c r="CG65" s="675">
        <f t="shared" si="1791"/>
        <v>0</v>
      </c>
      <c r="CH65" s="549">
        <f t="shared" si="1791"/>
        <v>0</v>
      </c>
      <c r="CI65" s="675">
        <f t="shared" si="1791"/>
        <v>0</v>
      </c>
      <c r="CJ65" s="549">
        <f t="shared" si="1791"/>
        <v>0</v>
      </c>
      <c r="CK65" s="675">
        <f t="shared" si="1791"/>
        <v>0</v>
      </c>
      <c r="CL65" s="549">
        <f t="shared" si="1791"/>
        <v>0</v>
      </c>
      <c r="CM65" s="675">
        <f t="shared" si="1791"/>
        <v>0</v>
      </c>
      <c r="CN65" s="549">
        <f t="shared" si="1791"/>
        <v>0</v>
      </c>
      <c r="CO65" s="675">
        <f t="shared" si="1791"/>
        <v>0</v>
      </c>
      <c r="CP65" s="549">
        <f t="shared" si="1791"/>
        <v>0</v>
      </c>
      <c r="CQ65" s="675">
        <f t="shared" si="1791"/>
        <v>0</v>
      </c>
      <c r="CR65" s="549">
        <f t="shared" ref="CR65:CY65" si="1792">CR399</f>
        <v>0</v>
      </c>
      <c r="CS65" s="675">
        <f t="shared" si="1792"/>
        <v>0</v>
      </c>
      <c r="CT65" s="549">
        <f t="shared" si="1792"/>
        <v>0</v>
      </c>
      <c r="CU65" s="675">
        <f t="shared" si="1792"/>
        <v>0</v>
      </c>
      <c r="CV65" s="549">
        <f t="shared" si="1792"/>
        <v>0</v>
      </c>
      <c r="CW65" s="675">
        <f t="shared" si="1792"/>
        <v>0</v>
      </c>
      <c r="CX65" s="549">
        <f t="shared" si="1792"/>
        <v>0</v>
      </c>
      <c r="CY65" s="675">
        <f t="shared" si="1792"/>
        <v>0</v>
      </c>
      <c r="CZ65" s="549">
        <f t="shared" ref="CZ65:DG65" si="1793">CZ399</f>
        <v>0</v>
      </c>
      <c r="DA65" s="675">
        <f t="shared" si="1793"/>
        <v>0</v>
      </c>
      <c r="DB65" s="549">
        <f t="shared" si="1793"/>
        <v>0</v>
      </c>
      <c r="DC65" s="675">
        <f t="shared" si="1793"/>
        <v>0</v>
      </c>
      <c r="DD65" s="549">
        <f t="shared" si="1793"/>
        <v>0</v>
      </c>
      <c r="DE65" s="675">
        <f t="shared" si="1793"/>
        <v>0</v>
      </c>
      <c r="DF65" s="549">
        <f t="shared" si="1793"/>
        <v>0</v>
      </c>
      <c r="DG65" s="675">
        <f t="shared" si="1793"/>
        <v>0</v>
      </c>
      <c r="DH65" s="549">
        <f t="shared" ref="DH65:DM65" si="1794">DH399</f>
        <v>0</v>
      </c>
      <c r="DI65" s="675">
        <f t="shared" si="1794"/>
        <v>0</v>
      </c>
      <c r="DJ65" s="549">
        <f t="shared" si="1794"/>
        <v>0</v>
      </c>
      <c r="DK65" s="675">
        <f t="shared" si="1794"/>
        <v>0</v>
      </c>
      <c r="DL65" s="549">
        <f t="shared" si="1794"/>
        <v>0</v>
      </c>
      <c r="DM65" s="675">
        <f t="shared" si="1794"/>
        <v>0</v>
      </c>
      <c r="DN65" s="549">
        <f t="shared" ref="DN65:DW65" si="1795">DN399</f>
        <v>0</v>
      </c>
      <c r="DO65" s="675">
        <f t="shared" si="1795"/>
        <v>0</v>
      </c>
      <c r="DP65" s="549">
        <f t="shared" si="1795"/>
        <v>0</v>
      </c>
      <c r="DQ65" s="675">
        <f t="shared" si="1795"/>
        <v>0</v>
      </c>
      <c r="DR65" s="549">
        <f t="shared" si="1795"/>
        <v>0</v>
      </c>
      <c r="DS65" s="675">
        <f t="shared" si="1795"/>
        <v>0</v>
      </c>
      <c r="DT65" s="549">
        <f t="shared" si="1795"/>
        <v>0</v>
      </c>
      <c r="DU65" s="675">
        <f t="shared" si="1795"/>
        <v>0</v>
      </c>
      <c r="DV65" s="549">
        <f t="shared" si="1795"/>
        <v>0</v>
      </c>
      <c r="DW65" s="675">
        <f t="shared" si="1795"/>
        <v>0</v>
      </c>
      <c r="DX65" s="549">
        <f t="shared" ref="DX65:EG65" si="1796">DX399</f>
        <v>0</v>
      </c>
      <c r="DY65" s="675">
        <f t="shared" si="1796"/>
        <v>0</v>
      </c>
      <c r="DZ65" s="549">
        <f t="shared" si="1796"/>
        <v>0</v>
      </c>
      <c r="EA65" s="675">
        <f t="shared" si="1796"/>
        <v>0</v>
      </c>
      <c r="EB65" s="549">
        <f t="shared" si="1796"/>
        <v>0</v>
      </c>
      <c r="EC65" s="675">
        <f t="shared" si="1796"/>
        <v>0</v>
      </c>
      <c r="ED65" s="549">
        <f t="shared" si="1796"/>
        <v>0</v>
      </c>
      <c r="EE65" s="675">
        <f t="shared" si="1796"/>
        <v>0</v>
      </c>
      <c r="EF65" s="549">
        <f t="shared" si="1796"/>
        <v>0</v>
      </c>
      <c r="EG65" s="675">
        <f t="shared" si="1796"/>
        <v>0</v>
      </c>
      <c r="EH65" s="549">
        <f t="shared" ref="EH65:EM65" si="1797">EH399</f>
        <v>0</v>
      </c>
      <c r="EI65" s="675">
        <f t="shared" si="1797"/>
        <v>0</v>
      </c>
      <c r="EJ65" s="549">
        <f t="shared" si="1797"/>
        <v>0</v>
      </c>
      <c r="EK65" s="675">
        <f t="shared" si="1797"/>
        <v>0</v>
      </c>
      <c r="EL65" s="549">
        <f t="shared" si="1797"/>
        <v>0</v>
      </c>
      <c r="EM65" s="675">
        <f t="shared" si="1797"/>
        <v>-2000</v>
      </c>
      <c r="EN65" s="549">
        <f t="shared" ref="EN65:EO65" si="1798">EN399</f>
        <v>0</v>
      </c>
      <c r="EO65" s="675">
        <f t="shared" si="1798"/>
        <v>0</v>
      </c>
      <c r="EP65" s="549">
        <f t="shared" ref="EP65:FA65" si="1799">EP399</f>
        <v>0</v>
      </c>
      <c r="EQ65" s="675">
        <f t="shared" si="1799"/>
        <v>0</v>
      </c>
      <c r="ER65" s="549">
        <f t="shared" si="1799"/>
        <v>0</v>
      </c>
      <c r="ES65" s="675">
        <f t="shared" si="1799"/>
        <v>0</v>
      </c>
      <c r="ET65" s="549">
        <f t="shared" si="1799"/>
        <v>3000</v>
      </c>
      <c r="EU65" s="675">
        <f t="shared" si="1799"/>
        <v>0</v>
      </c>
      <c r="EV65" s="549">
        <f t="shared" ref="EV65:EW65" si="1800">EV399</f>
        <v>0</v>
      </c>
      <c r="EW65" s="675">
        <f t="shared" si="1800"/>
        <v>0</v>
      </c>
      <c r="EX65" s="549">
        <f t="shared" si="1799"/>
        <v>0</v>
      </c>
      <c r="EY65" s="675">
        <f t="shared" si="1799"/>
        <v>0</v>
      </c>
      <c r="EZ65" s="549">
        <f t="shared" si="1799"/>
        <v>0</v>
      </c>
      <c r="FA65" s="675">
        <f t="shared" si="1799"/>
        <v>0</v>
      </c>
      <c r="FB65" s="549">
        <f t="shared" ref="FB65:FC65" si="1801">FB399</f>
        <v>0</v>
      </c>
      <c r="FC65" s="675">
        <f t="shared" si="1801"/>
        <v>0</v>
      </c>
      <c r="FD65" s="549">
        <f t="shared" ref="FD65:FE65" si="1802">FD399</f>
        <v>0</v>
      </c>
      <c r="FE65" s="675">
        <f t="shared" si="1802"/>
        <v>0</v>
      </c>
      <c r="FF65" s="549">
        <f t="shared" ref="FF65:FG65" si="1803">FF399</f>
        <v>0</v>
      </c>
      <c r="FG65" s="675">
        <f t="shared" si="1803"/>
        <v>0</v>
      </c>
      <c r="FH65" s="549">
        <f t="shared" ref="FH65:FI65" si="1804">FH399</f>
        <v>0</v>
      </c>
      <c r="FI65" s="675">
        <f t="shared" si="1804"/>
        <v>0</v>
      </c>
      <c r="FJ65" s="549">
        <f t="shared" ref="FJ65:FK65" si="1805">FJ399</f>
        <v>0</v>
      </c>
      <c r="FK65" s="675">
        <f t="shared" si="1805"/>
        <v>0</v>
      </c>
      <c r="FL65" s="549">
        <f t="shared" ref="FL65:FM65" si="1806">FL399</f>
        <v>0</v>
      </c>
      <c r="FM65" s="675">
        <f t="shared" si="1806"/>
        <v>0</v>
      </c>
      <c r="FN65" s="549">
        <f t="shared" ref="FN65:FO65" si="1807">FN399</f>
        <v>0</v>
      </c>
      <c r="FO65" s="675">
        <f t="shared" si="1807"/>
        <v>0</v>
      </c>
      <c r="FP65" s="549">
        <f t="shared" ref="FP65:FQ65" si="1808">FP399</f>
        <v>0</v>
      </c>
      <c r="FQ65" s="675">
        <f t="shared" si="1808"/>
        <v>0</v>
      </c>
      <c r="FR65" s="549">
        <f t="shared" ref="FR65:FS65" si="1809">FR399</f>
        <v>0</v>
      </c>
      <c r="FS65" s="675">
        <f t="shared" si="1809"/>
        <v>0</v>
      </c>
      <c r="FT65" s="549">
        <f t="shared" ref="FT65:FU65" si="1810">FT399</f>
        <v>0</v>
      </c>
      <c r="FU65" s="675">
        <f t="shared" si="1810"/>
        <v>0</v>
      </c>
      <c r="FV65" s="549">
        <f t="shared" ref="FV65:GK65" si="1811">FV399</f>
        <v>0</v>
      </c>
      <c r="FW65" s="675">
        <f t="shared" si="1811"/>
        <v>0</v>
      </c>
      <c r="FX65" s="549">
        <f t="shared" si="1811"/>
        <v>0</v>
      </c>
      <c r="FY65" s="675">
        <f t="shared" si="1811"/>
        <v>0</v>
      </c>
      <c r="FZ65" s="549">
        <f t="shared" ref="FZ65:GI65" si="1812">FZ399</f>
        <v>0</v>
      </c>
      <c r="GA65" s="675">
        <f t="shared" si="1812"/>
        <v>0</v>
      </c>
      <c r="GB65" s="549">
        <f t="shared" si="1812"/>
        <v>0</v>
      </c>
      <c r="GC65" s="675">
        <f t="shared" si="1812"/>
        <v>0</v>
      </c>
      <c r="GD65" s="549">
        <f t="shared" si="1812"/>
        <v>0</v>
      </c>
      <c r="GE65" s="675">
        <f t="shared" si="1812"/>
        <v>0</v>
      </c>
      <c r="GF65" s="549">
        <f t="shared" si="1812"/>
        <v>0</v>
      </c>
      <c r="GG65" s="675">
        <f t="shared" si="1812"/>
        <v>0</v>
      </c>
      <c r="GH65" s="549">
        <f t="shared" si="1812"/>
        <v>0</v>
      </c>
      <c r="GI65" s="675">
        <f t="shared" si="1812"/>
        <v>0</v>
      </c>
      <c r="GJ65" s="549">
        <f t="shared" si="1811"/>
        <v>0</v>
      </c>
      <c r="GK65" s="675">
        <f t="shared" si="1811"/>
        <v>0</v>
      </c>
      <c r="GL65" s="549">
        <f t="shared" ref="GL65:GQ65" si="1813">GL399</f>
        <v>0</v>
      </c>
      <c r="GM65" s="675">
        <f t="shared" si="1813"/>
        <v>0</v>
      </c>
      <c r="GN65" s="549">
        <f t="shared" ref="GN65:GO65" si="1814">GN399</f>
        <v>0</v>
      </c>
      <c r="GO65" s="675">
        <f t="shared" si="1814"/>
        <v>0</v>
      </c>
      <c r="GP65" s="74">
        <f t="shared" si="1813"/>
        <v>11700</v>
      </c>
      <c r="GQ65" s="675">
        <f t="shared" si="1813"/>
        <v>-8000</v>
      </c>
      <c r="GR65" s="74">
        <f t="shared" ref="GR65:JA65" si="1815">GR399</f>
        <v>21700</v>
      </c>
      <c r="GS65" s="74">
        <f t="shared" si="1815"/>
        <v>21700</v>
      </c>
      <c r="GT65" s="549">
        <f t="shared" si="1815"/>
        <v>21700</v>
      </c>
      <c r="GU65" s="74">
        <f t="shared" si="1815"/>
        <v>6000</v>
      </c>
      <c r="GV65" s="74">
        <f t="shared" si="1815"/>
        <v>0</v>
      </c>
      <c r="GW65" s="549">
        <f t="shared" si="1815"/>
        <v>6000</v>
      </c>
      <c r="GX65" s="549">
        <f t="shared" si="1815"/>
        <v>0</v>
      </c>
      <c r="GY65" s="74">
        <f t="shared" si="1815"/>
        <v>0</v>
      </c>
      <c r="GZ65" s="74">
        <f t="shared" si="1815"/>
        <v>6000</v>
      </c>
      <c r="HA65" s="74">
        <f t="shared" si="1815"/>
        <v>0</v>
      </c>
      <c r="HB65" s="74">
        <f t="shared" si="1815"/>
        <v>0</v>
      </c>
      <c r="HC65" s="74">
        <f t="shared" si="1815"/>
        <v>0</v>
      </c>
      <c r="HD65" s="74">
        <f t="shared" si="1815"/>
        <v>0</v>
      </c>
      <c r="HE65" s="74">
        <f t="shared" si="1815"/>
        <v>0</v>
      </c>
      <c r="HF65" s="74">
        <f t="shared" si="1815"/>
        <v>0</v>
      </c>
      <c r="HG65" s="74">
        <f t="shared" si="1815"/>
        <v>21700</v>
      </c>
      <c r="HH65" s="74">
        <f t="shared" ref="HH65:HU65" si="1816">HH399</f>
        <v>6000</v>
      </c>
      <c r="HI65" s="74">
        <f t="shared" si="1816"/>
        <v>0</v>
      </c>
      <c r="HJ65" s="74">
        <f t="shared" si="1816"/>
        <v>0</v>
      </c>
      <c r="HK65" s="74">
        <f t="shared" si="1816"/>
        <v>0</v>
      </c>
      <c r="HL65" s="74">
        <f t="shared" si="1816"/>
        <v>576.29999999999995</v>
      </c>
      <c r="HM65" s="74">
        <f t="shared" si="1816"/>
        <v>0</v>
      </c>
      <c r="HN65" s="74">
        <f t="shared" si="1816"/>
        <v>14123</v>
      </c>
      <c r="HO65" s="74">
        <f t="shared" si="1816"/>
        <v>0</v>
      </c>
      <c r="HP65" s="74">
        <f t="shared" si="1816"/>
        <v>-6000</v>
      </c>
      <c r="HQ65" s="74">
        <f t="shared" si="1816"/>
        <v>0</v>
      </c>
      <c r="HR65" s="74">
        <f t="shared" si="1816"/>
        <v>0</v>
      </c>
      <c r="HS65" s="74">
        <f t="shared" si="1816"/>
        <v>0</v>
      </c>
      <c r="HT65" s="74">
        <f t="shared" si="1816"/>
        <v>6000</v>
      </c>
      <c r="HU65" s="74">
        <f t="shared" si="1816"/>
        <v>0</v>
      </c>
      <c r="HV65" s="74">
        <f t="shared" si="1815"/>
        <v>0</v>
      </c>
      <c r="HW65" s="74">
        <f t="shared" si="1815"/>
        <v>0</v>
      </c>
      <c r="HX65" s="74">
        <f t="shared" si="1815"/>
        <v>1000.7</v>
      </c>
      <c r="HY65" s="74">
        <f t="shared" si="1815"/>
        <v>0</v>
      </c>
      <c r="HZ65" s="74">
        <f t="shared" si="1815"/>
        <v>0</v>
      </c>
      <c r="IA65" s="74">
        <f t="shared" si="1815"/>
        <v>0</v>
      </c>
      <c r="IB65" s="74">
        <f t="shared" si="1815"/>
        <v>0</v>
      </c>
      <c r="IC65" s="74">
        <f t="shared" si="1815"/>
        <v>0</v>
      </c>
      <c r="ID65" s="74">
        <f t="shared" si="1815"/>
        <v>0</v>
      </c>
      <c r="IE65" s="792">
        <f t="shared" si="1815"/>
        <v>0</v>
      </c>
      <c r="IF65" s="841">
        <f t="shared" si="1815"/>
        <v>20573.900000000001</v>
      </c>
      <c r="IG65" s="263">
        <f t="shared" si="1815"/>
        <v>20573.900000000001</v>
      </c>
      <c r="IH65" s="842">
        <f t="shared" si="1815"/>
        <v>20573.900000000001</v>
      </c>
      <c r="II65" s="155">
        <f t="shared" si="1815"/>
        <v>0</v>
      </c>
      <c r="IJ65" s="74">
        <f t="shared" si="1815"/>
        <v>0</v>
      </c>
      <c r="IK65" s="74">
        <f t="shared" si="1815"/>
        <v>0</v>
      </c>
      <c r="IL65" s="74">
        <f t="shared" si="1815"/>
        <v>5578.8</v>
      </c>
      <c r="IM65" s="74">
        <f t="shared" si="1815"/>
        <v>5578.8</v>
      </c>
      <c r="IN65" s="74">
        <f t="shared" si="1815"/>
        <v>5578.8</v>
      </c>
      <c r="IO65" s="74">
        <f t="shared" si="1815"/>
        <v>997.5</v>
      </c>
      <c r="IP65" s="74">
        <f t="shared" si="1815"/>
        <v>997.5</v>
      </c>
      <c r="IQ65" s="74">
        <f t="shared" si="1815"/>
        <v>997.5</v>
      </c>
      <c r="IR65" s="74">
        <f t="shared" si="1815"/>
        <v>0</v>
      </c>
      <c r="IS65" s="74">
        <f t="shared" si="1815"/>
        <v>0</v>
      </c>
      <c r="IT65" s="74">
        <f t="shared" si="1815"/>
        <v>0</v>
      </c>
      <c r="IU65" s="74">
        <f t="shared" si="1815"/>
        <v>2599.9999999999991</v>
      </c>
      <c r="IV65" s="74">
        <f t="shared" si="1815"/>
        <v>2599.9999999999991</v>
      </c>
      <c r="IW65" s="74">
        <f t="shared" si="1815"/>
        <v>2599.9999999999991</v>
      </c>
      <c r="IX65" s="74">
        <f t="shared" si="1815"/>
        <v>0</v>
      </c>
      <c r="IY65" s="74">
        <f t="shared" si="1815"/>
        <v>0</v>
      </c>
      <c r="IZ65" s="74">
        <f t="shared" si="1815"/>
        <v>0</v>
      </c>
      <c r="JA65" s="74">
        <f t="shared" si="1815"/>
        <v>1500</v>
      </c>
      <c r="JB65" s="74">
        <f t="shared" ref="JB65:JT65" si="1817">JB399</f>
        <v>1500</v>
      </c>
      <c r="JC65" s="74">
        <f t="shared" si="1817"/>
        <v>1500</v>
      </c>
      <c r="JD65" s="74">
        <f t="shared" si="1817"/>
        <v>620</v>
      </c>
      <c r="JE65" s="74">
        <f t="shared" si="1817"/>
        <v>620</v>
      </c>
      <c r="JF65" s="74">
        <f t="shared" si="1817"/>
        <v>620</v>
      </c>
      <c r="JG65" s="74">
        <f t="shared" si="1817"/>
        <v>5120</v>
      </c>
      <c r="JH65" s="74">
        <f t="shared" si="1817"/>
        <v>5120</v>
      </c>
      <c r="JI65" s="74">
        <f t="shared" si="1817"/>
        <v>5120</v>
      </c>
      <c r="JJ65" s="74">
        <f t="shared" si="1817"/>
        <v>4157.6000000000022</v>
      </c>
      <c r="JK65" s="74">
        <f t="shared" si="1817"/>
        <v>4157.6000000000022</v>
      </c>
      <c r="JL65" s="74">
        <f t="shared" si="1817"/>
        <v>4157.6000000000022</v>
      </c>
      <c r="JM65" s="74">
        <f t="shared" si="1817"/>
        <v>0</v>
      </c>
      <c r="JN65" s="74">
        <f t="shared" si="1817"/>
        <v>0</v>
      </c>
      <c r="JO65" s="74">
        <f t="shared" si="1817"/>
        <v>0</v>
      </c>
      <c r="JP65" s="74">
        <f t="shared" si="1817"/>
        <v>0</v>
      </c>
      <c r="JQ65" s="74">
        <f t="shared" si="1817"/>
        <v>0</v>
      </c>
      <c r="JR65" s="74">
        <f t="shared" si="1817"/>
        <v>0</v>
      </c>
      <c r="JS65" s="74">
        <f t="shared" si="1817"/>
        <v>1126.0999999999985</v>
      </c>
      <c r="JT65" s="102">
        <f t="shared" si="1817"/>
        <v>1126.0999999999985</v>
      </c>
      <c r="JU65" s="671"/>
      <c r="JV65" s="492"/>
      <c r="JW65" s="490"/>
      <c r="JX65" s="549">
        <f>JX399</f>
        <v>21700</v>
      </c>
      <c r="JY65" s="549">
        <f>JY399</f>
        <v>0</v>
      </c>
      <c r="JZ65" s="581">
        <f t="shared" si="42"/>
        <v>11700</v>
      </c>
      <c r="KA65" s="581">
        <f t="shared" si="43"/>
        <v>-8000</v>
      </c>
      <c r="KB65" s="549">
        <f>KB399</f>
        <v>21700</v>
      </c>
      <c r="KC65" s="709">
        <f t="shared" si="41"/>
        <v>0</v>
      </c>
      <c r="KD65" s="484"/>
      <c r="KE65" s="485"/>
      <c r="KF65" s="485"/>
      <c r="KG65" s="485"/>
      <c r="KH65" s="485"/>
      <c r="KI65" s="485"/>
      <c r="KJ65" s="485"/>
      <c r="KK65" s="485"/>
    </row>
    <row r="66" spans="1:297" s="8" customFormat="1" ht="13.5" thickBot="1">
      <c r="A66" s="75"/>
      <c r="B66" s="72"/>
      <c r="C66" s="74"/>
      <c r="D66" s="549"/>
      <c r="E66" s="675"/>
      <c r="F66" s="549"/>
      <c r="G66" s="675"/>
      <c r="H66" s="549"/>
      <c r="I66" s="675"/>
      <c r="J66" s="549"/>
      <c r="K66" s="675"/>
      <c r="L66" s="549"/>
      <c r="M66" s="675"/>
      <c r="N66" s="549"/>
      <c r="O66" s="675"/>
      <c r="P66" s="549"/>
      <c r="Q66" s="675"/>
      <c r="R66" s="549"/>
      <c r="S66" s="675"/>
      <c r="T66" s="549"/>
      <c r="U66" s="675"/>
      <c r="V66" s="549"/>
      <c r="W66" s="675"/>
      <c r="X66" s="549"/>
      <c r="Y66" s="675"/>
      <c r="Z66" s="549"/>
      <c r="AA66" s="675"/>
      <c r="AB66" s="549"/>
      <c r="AC66" s="675"/>
      <c r="AD66" s="549"/>
      <c r="AE66" s="675"/>
      <c r="AF66" s="549"/>
      <c r="AG66" s="675"/>
      <c r="AH66" s="549"/>
      <c r="AI66" s="675"/>
      <c r="AJ66" s="549"/>
      <c r="AK66" s="675"/>
      <c r="AL66" s="549"/>
      <c r="AM66" s="675"/>
      <c r="AN66" s="549"/>
      <c r="AO66" s="675"/>
      <c r="AP66" s="549"/>
      <c r="AQ66" s="675"/>
      <c r="AR66" s="549"/>
      <c r="AS66" s="675"/>
      <c r="AT66" s="549"/>
      <c r="AU66" s="675"/>
      <c r="AV66" s="549"/>
      <c r="AW66" s="675"/>
      <c r="AX66" s="549"/>
      <c r="AY66" s="675"/>
      <c r="AZ66" s="549"/>
      <c r="BA66" s="675"/>
      <c r="BB66" s="549"/>
      <c r="BC66" s="675"/>
      <c r="BD66" s="549"/>
      <c r="BE66" s="675"/>
      <c r="BF66" s="549"/>
      <c r="BG66" s="675"/>
      <c r="BH66" s="549"/>
      <c r="BI66" s="675"/>
      <c r="BJ66" s="549"/>
      <c r="BK66" s="675"/>
      <c r="BL66" s="549"/>
      <c r="BM66" s="675"/>
      <c r="BN66" s="549"/>
      <c r="BO66" s="675"/>
      <c r="BP66" s="549"/>
      <c r="BQ66" s="675"/>
      <c r="BR66" s="549"/>
      <c r="BS66" s="675"/>
      <c r="BT66" s="549"/>
      <c r="BU66" s="675"/>
      <c r="BV66" s="549"/>
      <c r="BW66" s="675"/>
      <c r="BX66" s="549"/>
      <c r="BY66" s="675"/>
      <c r="BZ66" s="549"/>
      <c r="CA66" s="675"/>
      <c r="CB66" s="549"/>
      <c r="CC66" s="675"/>
      <c r="CD66" s="549"/>
      <c r="CE66" s="675"/>
      <c r="CF66" s="549"/>
      <c r="CG66" s="675"/>
      <c r="CH66" s="549"/>
      <c r="CI66" s="675"/>
      <c r="CJ66" s="549"/>
      <c r="CK66" s="675"/>
      <c r="CL66" s="549"/>
      <c r="CM66" s="675"/>
      <c r="CN66" s="549"/>
      <c r="CO66" s="675"/>
      <c r="CP66" s="549"/>
      <c r="CQ66" s="675"/>
      <c r="CR66" s="549"/>
      <c r="CS66" s="675"/>
      <c r="CT66" s="549"/>
      <c r="CU66" s="675"/>
      <c r="CV66" s="549"/>
      <c r="CW66" s="675"/>
      <c r="CX66" s="549"/>
      <c r="CY66" s="675"/>
      <c r="CZ66" s="549"/>
      <c r="DA66" s="675"/>
      <c r="DB66" s="549"/>
      <c r="DC66" s="675"/>
      <c r="DD66" s="549"/>
      <c r="DE66" s="675"/>
      <c r="DF66" s="549"/>
      <c r="DG66" s="675"/>
      <c r="DH66" s="549"/>
      <c r="DI66" s="675"/>
      <c r="DJ66" s="549"/>
      <c r="DK66" s="675"/>
      <c r="DL66" s="549"/>
      <c r="DM66" s="675"/>
      <c r="DN66" s="549"/>
      <c r="DO66" s="675"/>
      <c r="DP66" s="549"/>
      <c r="DQ66" s="675"/>
      <c r="DR66" s="549"/>
      <c r="DS66" s="675"/>
      <c r="DT66" s="549"/>
      <c r="DU66" s="675"/>
      <c r="DV66" s="549"/>
      <c r="DW66" s="675"/>
      <c r="DX66" s="549"/>
      <c r="DY66" s="675"/>
      <c r="DZ66" s="549"/>
      <c r="EA66" s="675"/>
      <c r="EB66" s="549"/>
      <c r="EC66" s="675"/>
      <c r="ED66" s="549"/>
      <c r="EE66" s="675"/>
      <c r="EF66" s="549"/>
      <c r="EG66" s="675"/>
      <c r="EH66" s="549"/>
      <c r="EI66" s="675"/>
      <c r="EJ66" s="549"/>
      <c r="EK66" s="675"/>
      <c r="EL66" s="549"/>
      <c r="EM66" s="675"/>
      <c r="EN66" s="549"/>
      <c r="EO66" s="675"/>
      <c r="EP66" s="549"/>
      <c r="EQ66" s="675"/>
      <c r="ER66" s="549"/>
      <c r="ES66" s="675"/>
      <c r="ET66" s="549"/>
      <c r="EU66" s="675"/>
      <c r="EV66" s="549"/>
      <c r="EW66" s="675"/>
      <c r="EX66" s="549"/>
      <c r="EY66" s="675"/>
      <c r="EZ66" s="549"/>
      <c r="FA66" s="675"/>
      <c r="FB66" s="549"/>
      <c r="FC66" s="675"/>
      <c r="FD66" s="549"/>
      <c r="FE66" s="675"/>
      <c r="FF66" s="549"/>
      <c r="FG66" s="675"/>
      <c r="FH66" s="549"/>
      <c r="FI66" s="675"/>
      <c r="FJ66" s="549"/>
      <c r="FK66" s="675"/>
      <c r="FL66" s="549"/>
      <c r="FM66" s="675"/>
      <c r="FN66" s="549"/>
      <c r="FO66" s="675"/>
      <c r="FP66" s="549"/>
      <c r="FQ66" s="675"/>
      <c r="FR66" s="549"/>
      <c r="FS66" s="675"/>
      <c r="FT66" s="549"/>
      <c r="FU66" s="675"/>
      <c r="FV66" s="549"/>
      <c r="FW66" s="675"/>
      <c r="FX66" s="549"/>
      <c r="FY66" s="675"/>
      <c r="FZ66" s="549"/>
      <c r="GA66" s="675"/>
      <c r="GB66" s="549"/>
      <c r="GC66" s="675"/>
      <c r="GD66" s="549"/>
      <c r="GE66" s="675"/>
      <c r="GF66" s="549"/>
      <c r="GG66" s="675"/>
      <c r="GH66" s="549"/>
      <c r="GI66" s="675"/>
      <c r="GJ66" s="549"/>
      <c r="GK66" s="675"/>
      <c r="GL66" s="549"/>
      <c r="GM66" s="675"/>
      <c r="GN66" s="549"/>
      <c r="GO66" s="675"/>
      <c r="GP66" s="74"/>
      <c r="GQ66" s="675"/>
      <c r="GR66" s="74"/>
      <c r="GS66" s="74"/>
      <c r="GT66" s="549"/>
      <c r="GU66" s="74"/>
      <c r="GV66" s="74"/>
      <c r="GW66" s="549"/>
      <c r="GX66" s="549"/>
      <c r="GY66" s="74"/>
      <c r="GZ66" s="74"/>
      <c r="HA66" s="74"/>
      <c r="HB66" s="74"/>
      <c r="HC66" s="74"/>
      <c r="HD66" s="74"/>
      <c r="HE66" s="74"/>
      <c r="HF66" s="74"/>
      <c r="HG66" s="74"/>
      <c r="HH66" s="74"/>
      <c r="HI66" s="74"/>
      <c r="HJ66" s="74"/>
      <c r="HK66" s="74"/>
      <c r="HL66" s="74"/>
      <c r="HM66" s="74"/>
      <c r="HN66" s="74"/>
      <c r="HO66" s="74"/>
      <c r="HP66" s="74"/>
      <c r="HQ66" s="74"/>
      <c r="HR66" s="74"/>
      <c r="HS66" s="74"/>
      <c r="HT66" s="74"/>
      <c r="HU66" s="74"/>
      <c r="HV66" s="74"/>
      <c r="HW66" s="74"/>
      <c r="HX66" s="74"/>
      <c r="HY66" s="74"/>
      <c r="HZ66" s="74"/>
      <c r="IA66" s="74"/>
      <c r="IB66" s="74"/>
      <c r="IC66" s="74"/>
      <c r="ID66" s="74"/>
      <c r="IE66" s="792"/>
      <c r="IF66" s="841"/>
      <c r="IG66" s="263"/>
      <c r="IH66" s="842"/>
      <c r="II66" s="155"/>
      <c r="IJ66" s="74"/>
      <c r="IK66" s="74"/>
      <c r="IL66" s="74"/>
      <c r="IM66" s="74"/>
      <c r="IN66" s="74"/>
      <c r="IO66" s="74"/>
      <c r="IP66" s="74"/>
      <c r="IQ66" s="74"/>
      <c r="IR66" s="74"/>
      <c r="IS66" s="74"/>
      <c r="IT66" s="74"/>
      <c r="IU66" s="74"/>
      <c r="IV66" s="74"/>
      <c r="IW66" s="74"/>
      <c r="IX66" s="74"/>
      <c r="IY66" s="74"/>
      <c r="IZ66" s="74"/>
      <c r="JA66" s="74"/>
      <c r="JB66" s="74"/>
      <c r="JC66" s="74"/>
      <c r="JD66" s="74"/>
      <c r="JE66" s="74"/>
      <c r="JF66" s="74"/>
      <c r="JG66" s="74"/>
      <c r="JH66" s="74"/>
      <c r="JI66" s="74"/>
      <c r="JJ66" s="74"/>
      <c r="JK66" s="74"/>
      <c r="JL66" s="74"/>
      <c r="JM66" s="74"/>
      <c r="JN66" s="74"/>
      <c r="JO66" s="74"/>
      <c r="JP66" s="74"/>
      <c r="JQ66" s="74"/>
      <c r="JR66" s="74"/>
      <c r="JS66" s="74"/>
      <c r="JT66" s="382"/>
      <c r="JU66" s="671"/>
      <c r="JV66" s="492"/>
      <c r="JW66" s="490"/>
      <c r="JX66" s="549"/>
      <c r="JY66" s="549"/>
      <c r="JZ66" s="581">
        <f t="shared" si="42"/>
        <v>0</v>
      </c>
      <c r="KA66" s="581">
        <f t="shared" si="43"/>
        <v>0</v>
      </c>
      <c r="KB66" s="549"/>
      <c r="KC66" s="709">
        <f t="shared" si="41"/>
        <v>0</v>
      </c>
      <c r="KD66" s="146"/>
      <c r="KE66" s="147" t="s">
        <v>535</v>
      </c>
      <c r="KF66" s="147" t="e">
        <f t="shared" ref="KF66:KK66" si="1818">SUM(KF67:KF73)</f>
        <v>#REF!</v>
      </c>
      <c r="KG66" s="147" t="e">
        <f t="shared" si="1818"/>
        <v>#REF!</v>
      </c>
      <c r="KH66" s="147" t="e">
        <f t="shared" si="1818"/>
        <v>#REF!</v>
      </c>
      <c r="KI66" s="147" t="e">
        <f t="shared" si="1818"/>
        <v>#REF!</v>
      </c>
      <c r="KJ66" s="147" t="e">
        <f t="shared" si="1818"/>
        <v>#REF!</v>
      </c>
      <c r="KK66" s="147" t="e">
        <f t="shared" si="1818"/>
        <v>#REF!</v>
      </c>
    </row>
    <row r="67" spans="1:297" s="8" customFormat="1">
      <c r="A67" s="75" t="s">
        <v>97</v>
      </c>
      <c r="B67" s="72" t="s">
        <v>98</v>
      </c>
      <c r="C67" s="74">
        <f t="shared" ref="C67:AC67" si="1819">SUM(C68:C70)</f>
        <v>258600</v>
      </c>
      <c r="D67" s="549">
        <f t="shared" si="1819"/>
        <v>0</v>
      </c>
      <c r="E67" s="675">
        <f t="shared" si="1819"/>
        <v>0</v>
      </c>
      <c r="F67" s="549">
        <f t="shared" si="1819"/>
        <v>0</v>
      </c>
      <c r="G67" s="675">
        <f t="shared" si="1819"/>
        <v>0</v>
      </c>
      <c r="H67" s="549">
        <f t="shared" si="1819"/>
        <v>0</v>
      </c>
      <c r="I67" s="675">
        <f t="shared" si="1819"/>
        <v>0</v>
      </c>
      <c r="J67" s="549">
        <f t="shared" si="1819"/>
        <v>0</v>
      </c>
      <c r="K67" s="675">
        <f t="shared" si="1819"/>
        <v>0</v>
      </c>
      <c r="L67" s="549">
        <f t="shared" si="1819"/>
        <v>0</v>
      </c>
      <c r="M67" s="675">
        <f t="shared" si="1819"/>
        <v>0</v>
      </c>
      <c r="N67" s="549">
        <f t="shared" si="1819"/>
        <v>0</v>
      </c>
      <c r="O67" s="675">
        <f t="shared" si="1819"/>
        <v>0</v>
      </c>
      <c r="P67" s="549">
        <f t="shared" si="1819"/>
        <v>0</v>
      </c>
      <c r="Q67" s="675">
        <f t="shared" si="1819"/>
        <v>0</v>
      </c>
      <c r="R67" s="549">
        <f t="shared" si="1819"/>
        <v>0</v>
      </c>
      <c r="S67" s="675">
        <f t="shared" si="1819"/>
        <v>0</v>
      </c>
      <c r="T67" s="549">
        <f t="shared" si="1819"/>
        <v>0</v>
      </c>
      <c r="U67" s="675">
        <f t="shared" si="1819"/>
        <v>0</v>
      </c>
      <c r="V67" s="549">
        <f t="shared" si="1819"/>
        <v>0</v>
      </c>
      <c r="W67" s="675">
        <f t="shared" si="1819"/>
        <v>0</v>
      </c>
      <c r="X67" s="549">
        <f t="shared" si="1819"/>
        <v>0</v>
      </c>
      <c r="Y67" s="675">
        <f t="shared" si="1819"/>
        <v>0</v>
      </c>
      <c r="Z67" s="549">
        <f t="shared" si="1819"/>
        <v>0</v>
      </c>
      <c r="AA67" s="675">
        <f t="shared" si="1819"/>
        <v>0</v>
      </c>
      <c r="AB67" s="549">
        <f t="shared" si="1819"/>
        <v>0</v>
      </c>
      <c r="AC67" s="675">
        <f t="shared" si="1819"/>
        <v>0</v>
      </c>
      <c r="AD67" s="549">
        <f t="shared" ref="AD67:AK67" si="1820">SUM(AD68:AD70)</f>
        <v>4000</v>
      </c>
      <c r="AE67" s="675">
        <f t="shared" si="1820"/>
        <v>0</v>
      </c>
      <c r="AF67" s="549">
        <f t="shared" si="1820"/>
        <v>0</v>
      </c>
      <c r="AG67" s="675">
        <f t="shared" si="1820"/>
        <v>0</v>
      </c>
      <c r="AH67" s="549">
        <f t="shared" si="1820"/>
        <v>0</v>
      </c>
      <c r="AI67" s="675">
        <f t="shared" si="1820"/>
        <v>0</v>
      </c>
      <c r="AJ67" s="549">
        <f t="shared" si="1820"/>
        <v>0</v>
      </c>
      <c r="AK67" s="675">
        <f t="shared" si="1820"/>
        <v>0</v>
      </c>
      <c r="AL67" s="549">
        <f t="shared" ref="AL67:AM67" si="1821">SUM(AL68:AL70)</f>
        <v>0</v>
      </c>
      <c r="AM67" s="675">
        <f t="shared" si="1821"/>
        <v>0</v>
      </c>
      <c r="AN67" s="549">
        <f t="shared" ref="AN67:AS67" si="1822">SUM(AN68:AN70)</f>
        <v>0</v>
      </c>
      <c r="AO67" s="675">
        <f t="shared" si="1822"/>
        <v>0</v>
      </c>
      <c r="AP67" s="549">
        <f t="shared" si="1822"/>
        <v>0</v>
      </c>
      <c r="AQ67" s="675">
        <f t="shared" si="1822"/>
        <v>0</v>
      </c>
      <c r="AR67" s="549">
        <f t="shared" si="1822"/>
        <v>0</v>
      </c>
      <c r="AS67" s="675">
        <f t="shared" si="1822"/>
        <v>0</v>
      </c>
      <c r="AT67" s="549">
        <f t="shared" ref="AT67:AU67" si="1823">SUM(AT68:AT70)</f>
        <v>0</v>
      </c>
      <c r="AU67" s="675">
        <f t="shared" si="1823"/>
        <v>0</v>
      </c>
      <c r="AV67" s="549">
        <f t="shared" ref="AV67:AW67" si="1824">SUM(AV68:AV70)</f>
        <v>0</v>
      </c>
      <c r="AW67" s="675">
        <f t="shared" si="1824"/>
        <v>0</v>
      </c>
      <c r="AX67" s="549">
        <f t="shared" ref="AX67:AY67" si="1825">SUM(AX68:AX70)</f>
        <v>0</v>
      </c>
      <c r="AY67" s="675">
        <f t="shared" si="1825"/>
        <v>0</v>
      </c>
      <c r="AZ67" s="549">
        <f t="shared" ref="AZ67:BA67" si="1826">SUM(AZ68:AZ70)</f>
        <v>0</v>
      </c>
      <c r="BA67" s="675">
        <f t="shared" si="1826"/>
        <v>0</v>
      </c>
      <c r="BB67" s="549">
        <f t="shared" ref="BB67:BC67" si="1827">SUM(BB68:BB70)</f>
        <v>0</v>
      </c>
      <c r="BC67" s="675">
        <f t="shared" si="1827"/>
        <v>0</v>
      </c>
      <c r="BD67" s="549">
        <f t="shared" ref="BD67:BE67" si="1828">SUM(BD68:BD70)</f>
        <v>0</v>
      </c>
      <c r="BE67" s="675">
        <f t="shared" si="1828"/>
        <v>0</v>
      </c>
      <c r="BF67" s="549">
        <f t="shared" ref="BF67:BG67" si="1829">SUM(BF68:BF70)</f>
        <v>0</v>
      </c>
      <c r="BG67" s="675">
        <f t="shared" si="1829"/>
        <v>0</v>
      </c>
      <c r="BH67" s="549">
        <f t="shared" ref="BH67:BI67" si="1830">SUM(BH68:BH70)</f>
        <v>0</v>
      </c>
      <c r="BI67" s="675">
        <f t="shared" si="1830"/>
        <v>0</v>
      </c>
      <c r="BJ67" s="549">
        <f t="shared" ref="BJ67:BK67" si="1831">SUM(BJ68:BJ70)</f>
        <v>0</v>
      </c>
      <c r="BK67" s="675">
        <f t="shared" si="1831"/>
        <v>0</v>
      </c>
      <c r="BL67" s="549">
        <f t="shared" ref="BL67:BS67" si="1832">SUM(BL68:BL70)</f>
        <v>0</v>
      </c>
      <c r="BM67" s="675">
        <f t="shared" si="1832"/>
        <v>0</v>
      </c>
      <c r="BN67" s="549">
        <f t="shared" si="1832"/>
        <v>0</v>
      </c>
      <c r="BO67" s="675">
        <f t="shared" si="1832"/>
        <v>0</v>
      </c>
      <c r="BP67" s="549">
        <f t="shared" si="1832"/>
        <v>5000</v>
      </c>
      <c r="BQ67" s="675">
        <f t="shared" si="1832"/>
        <v>0</v>
      </c>
      <c r="BR67" s="549">
        <f t="shared" si="1832"/>
        <v>0</v>
      </c>
      <c r="BS67" s="675">
        <f t="shared" si="1832"/>
        <v>0</v>
      </c>
      <c r="BT67" s="549">
        <f t="shared" ref="BT67:BU67" si="1833">SUM(BT68:BT70)</f>
        <v>0</v>
      </c>
      <c r="BU67" s="675">
        <f t="shared" si="1833"/>
        <v>0</v>
      </c>
      <c r="BV67" s="549">
        <f t="shared" ref="BV67:BW67" si="1834">SUM(BV68:BV70)</f>
        <v>0</v>
      </c>
      <c r="BW67" s="675">
        <f t="shared" si="1834"/>
        <v>0</v>
      </c>
      <c r="BX67" s="549">
        <f t="shared" ref="BX67:BY67" si="1835">SUM(BX68:BX70)</f>
        <v>0</v>
      </c>
      <c r="BY67" s="675">
        <f t="shared" si="1835"/>
        <v>0</v>
      </c>
      <c r="BZ67" s="549">
        <f t="shared" ref="BZ67:CA67" si="1836">SUM(BZ68:BZ70)</f>
        <v>0</v>
      </c>
      <c r="CA67" s="675">
        <f t="shared" si="1836"/>
        <v>0</v>
      </c>
      <c r="CB67" s="549">
        <f t="shared" ref="CB67:CE67" si="1837">SUM(CB68:CB70)</f>
        <v>15000</v>
      </c>
      <c r="CC67" s="675">
        <f t="shared" si="1837"/>
        <v>0</v>
      </c>
      <c r="CD67" s="549">
        <f t="shared" si="1837"/>
        <v>0</v>
      </c>
      <c r="CE67" s="675">
        <f t="shared" si="1837"/>
        <v>0</v>
      </c>
      <c r="CF67" s="549">
        <f t="shared" ref="CF67:CQ67" si="1838">SUM(CF68:CF70)</f>
        <v>0</v>
      </c>
      <c r="CG67" s="675">
        <f t="shared" si="1838"/>
        <v>0</v>
      </c>
      <c r="CH67" s="549">
        <f t="shared" si="1838"/>
        <v>5000</v>
      </c>
      <c r="CI67" s="675">
        <f t="shared" si="1838"/>
        <v>0</v>
      </c>
      <c r="CJ67" s="549">
        <f t="shared" si="1838"/>
        <v>0</v>
      </c>
      <c r="CK67" s="675">
        <f t="shared" si="1838"/>
        <v>0</v>
      </c>
      <c r="CL67" s="549">
        <f t="shared" si="1838"/>
        <v>0</v>
      </c>
      <c r="CM67" s="675">
        <f t="shared" si="1838"/>
        <v>0</v>
      </c>
      <c r="CN67" s="549">
        <f t="shared" si="1838"/>
        <v>0</v>
      </c>
      <c r="CO67" s="675">
        <f t="shared" si="1838"/>
        <v>0</v>
      </c>
      <c r="CP67" s="549">
        <f t="shared" si="1838"/>
        <v>0</v>
      </c>
      <c r="CQ67" s="675">
        <f t="shared" si="1838"/>
        <v>0</v>
      </c>
      <c r="CR67" s="549">
        <f t="shared" ref="CR67:CY67" si="1839">SUM(CR68:CR70)</f>
        <v>0</v>
      </c>
      <c r="CS67" s="675">
        <f t="shared" si="1839"/>
        <v>0</v>
      </c>
      <c r="CT67" s="549">
        <f t="shared" si="1839"/>
        <v>0</v>
      </c>
      <c r="CU67" s="675">
        <f t="shared" si="1839"/>
        <v>0</v>
      </c>
      <c r="CV67" s="549">
        <f t="shared" si="1839"/>
        <v>0</v>
      </c>
      <c r="CW67" s="675">
        <f t="shared" si="1839"/>
        <v>0</v>
      </c>
      <c r="CX67" s="549">
        <f t="shared" si="1839"/>
        <v>0</v>
      </c>
      <c r="CY67" s="675">
        <f t="shared" si="1839"/>
        <v>0</v>
      </c>
      <c r="CZ67" s="549">
        <f t="shared" ref="CZ67:DG67" si="1840">SUM(CZ68:CZ70)</f>
        <v>15000</v>
      </c>
      <c r="DA67" s="675">
        <f t="shared" si="1840"/>
        <v>0</v>
      </c>
      <c r="DB67" s="549">
        <f t="shared" si="1840"/>
        <v>0</v>
      </c>
      <c r="DC67" s="675">
        <f t="shared" si="1840"/>
        <v>0</v>
      </c>
      <c r="DD67" s="549">
        <f t="shared" si="1840"/>
        <v>0</v>
      </c>
      <c r="DE67" s="675">
        <f t="shared" si="1840"/>
        <v>0</v>
      </c>
      <c r="DF67" s="549">
        <f t="shared" si="1840"/>
        <v>0</v>
      </c>
      <c r="DG67" s="675">
        <f t="shared" si="1840"/>
        <v>0</v>
      </c>
      <c r="DH67" s="549">
        <f t="shared" ref="DH67:DM67" si="1841">SUM(DH68:DH70)</f>
        <v>5000</v>
      </c>
      <c r="DI67" s="675">
        <f t="shared" si="1841"/>
        <v>0</v>
      </c>
      <c r="DJ67" s="549">
        <f t="shared" si="1841"/>
        <v>5000</v>
      </c>
      <c r="DK67" s="675">
        <f t="shared" si="1841"/>
        <v>0</v>
      </c>
      <c r="DL67" s="549">
        <f t="shared" si="1841"/>
        <v>0</v>
      </c>
      <c r="DM67" s="675">
        <f t="shared" si="1841"/>
        <v>0</v>
      </c>
      <c r="DN67" s="549">
        <f t="shared" ref="DN67:DW67" si="1842">SUM(DN68:DN70)</f>
        <v>0</v>
      </c>
      <c r="DO67" s="675">
        <f t="shared" si="1842"/>
        <v>0</v>
      </c>
      <c r="DP67" s="549">
        <f t="shared" si="1842"/>
        <v>0</v>
      </c>
      <c r="DQ67" s="675">
        <f t="shared" si="1842"/>
        <v>0</v>
      </c>
      <c r="DR67" s="549">
        <f t="shared" si="1842"/>
        <v>0</v>
      </c>
      <c r="DS67" s="675">
        <f t="shared" si="1842"/>
        <v>0</v>
      </c>
      <c r="DT67" s="549">
        <f t="shared" si="1842"/>
        <v>0</v>
      </c>
      <c r="DU67" s="675">
        <f t="shared" si="1842"/>
        <v>0</v>
      </c>
      <c r="DV67" s="549">
        <f t="shared" si="1842"/>
        <v>0</v>
      </c>
      <c r="DW67" s="675">
        <f t="shared" si="1842"/>
        <v>0</v>
      </c>
      <c r="DX67" s="549">
        <f t="shared" ref="DX67:EG67" si="1843">SUM(DX68:DX70)</f>
        <v>0</v>
      </c>
      <c r="DY67" s="675">
        <f t="shared" si="1843"/>
        <v>0</v>
      </c>
      <c r="DZ67" s="549">
        <f t="shared" si="1843"/>
        <v>0</v>
      </c>
      <c r="EA67" s="675">
        <f t="shared" si="1843"/>
        <v>0</v>
      </c>
      <c r="EB67" s="549">
        <f t="shared" si="1843"/>
        <v>0</v>
      </c>
      <c r="EC67" s="675">
        <f t="shared" si="1843"/>
        <v>0</v>
      </c>
      <c r="ED67" s="549">
        <f t="shared" si="1843"/>
        <v>31000</v>
      </c>
      <c r="EE67" s="675">
        <f t="shared" si="1843"/>
        <v>0</v>
      </c>
      <c r="EF67" s="549">
        <f t="shared" si="1843"/>
        <v>0</v>
      </c>
      <c r="EG67" s="675">
        <f t="shared" si="1843"/>
        <v>0</v>
      </c>
      <c r="EH67" s="549">
        <f t="shared" ref="EH67:EM67" si="1844">SUM(EH68:EH70)</f>
        <v>0</v>
      </c>
      <c r="EI67" s="675">
        <f t="shared" si="1844"/>
        <v>0</v>
      </c>
      <c r="EJ67" s="549">
        <f t="shared" si="1844"/>
        <v>0</v>
      </c>
      <c r="EK67" s="675">
        <f t="shared" si="1844"/>
        <v>0</v>
      </c>
      <c r="EL67" s="549">
        <f t="shared" si="1844"/>
        <v>0</v>
      </c>
      <c r="EM67" s="675">
        <f t="shared" si="1844"/>
        <v>0</v>
      </c>
      <c r="EN67" s="549">
        <f t="shared" ref="EN67:EO67" si="1845">SUM(EN68:EN70)</f>
        <v>0</v>
      </c>
      <c r="EO67" s="675">
        <f t="shared" si="1845"/>
        <v>0</v>
      </c>
      <c r="EP67" s="549">
        <f t="shared" ref="EP67:FA67" si="1846">SUM(EP68:EP70)</f>
        <v>0</v>
      </c>
      <c r="EQ67" s="675">
        <f t="shared" si="1846"/>
        <v>0</v>
      </c>
      <c r="ER67" s="549">
        <f t="shared" si="1846"/>
        <v>0</v>
      </c>
      <c r="ES67" s="675">
        <f t="shared" si="1846"/>
        <v>0</v>
      </c>
      <c r="ET67" s="549">
        <f t="shared" si="1846"/>
        <v>0</v>
      </c>
      <c r="EU67" s="675">
        <f t="shared" si="1846"/>
        <v>0</v>
      </c>
      <c r="EV67" s="549">
        <f t="shared" ref="EV67:EW67" si="1847">SUM(EV68:EV70)</f>
        <v>0</v>
      </c>
      <c r="EW67" s="675">
        <f t="shared" si="1847"/>
        <v>0</v>
      </c>
      <c r="EX67" s="549">
        <f t="shared" si="1846"/>
        <v>0</v>
      </c>
      <c r="EY67" s="675">
        <f t="shared" si="1846"/>
        <v>0</v>
      </c>
      <c r="EZ67" s="549">
        <f t="shared" si="1846"/>
        <v>0</v>
      </c>
      <c r="FA67" s="675">
        <f t="shared" si="1846"/>
        <v>0</v>
      </c>
      <c r="FB67" s="549">
        <f t="shared" ref="FB67:FC67" si="1848">SUM(FB68:FB70)</f>
        <v>0</v>
      </c>
      <c r="FC67" s="675">
        <f t="shared" si="1848"/>
        <v>0</v>
      </c>
      <c r="FD67" s="549">
        <f t="shared" ref="FD67:FE67" si="1849">SUM(FD68:FD70)</f>
        <v>0</v>
      </c>
      <c r="FE67" s="675">
        <f t="shared" si="1849"/>
        <v>0</v>
      </c>
      <c r="FF67" s="549">
        <f t="shared" ref="FF67:FG67" si="1850">SUM(FF68:FF70)</f>
        <v>0</v>
      </c>
      <c r="FG67" s="675">
        <f t="shared" si="1850"/>
        <v>0</v>
      </c>
      <c r="FH67" s="549">
        <f t="shared" ref="FH67:FI67" si="1851">SUM(FH68:FH70)</f>
        <v>0</v>
      </c>
      <c r="FI67" s="675">
        <f t="shared" si="1851"/>
        <v>0</v>
      </c>
      <c r="FJ67" s="549">
        <f t="shared" ref="FJ67:FK67" si="1852">SUM(FJ68:FJ70)</f>
        <v>0</v>
      </c>
      <c r="FK67" s="675">
        <f t="shared" si="1852"/>
        <v>0</v>
      </c>
      <c r="FL67" s="549">
        <f t="shared" ref="FL67:FM67" si="1853">SUM(FL68:FL70)</f>
        <v>10000</v>
      </c>
      <c r="FM67" s="675">
        <f t="shared" si="1853"/>
        <v>-15000</v>
      </c>
      <c r="FN67" s="549">
        <f t="shared" ref="FN67:FO67" si="1854">SUM(FN68:FN70)</f>
        <v>0</v>
      </c>
      <c r="FO67" s="675">
        <f t="shared" si="1854"/>
        <v>0</v>
      </c>
      <c r="FP67" s="549">
        <f t="shared" ref="FP67:FQ67" si="1855">SUM(FP68:FP70)</f>
        <v>0</v>
      </c>
      <c r="FQ67" s="675">
        <f t="shared" si="1855"/>
        <v>0</v>
      </c>
      <c r="FR67" s="549">
        <f t="shared" ref="FR67:FS67" si="1856">SUM(FR68:FR70)</f>
        <v>18000</v>
      </c>
      <c r="FS67" s="675">
        <f t="shared" si="1856"/>
        <v>0</v>
      </c>
      <c r="FT67" s="549">
        <f t="shared" ref="FT67:FU67" si="1857">SUM(FT68:FT70)</f>
        <v>0</v>
      </c>
      <c r="FU67" s="675">
        <f t="shared" si="1857"/>
        <v>0</v>
      </c>
      <c r="FV67" s="549">
        <f t="shared" ref="FV67:GK67" si="1858">SUM(FV68:FV70)</f>
        <v>0</v>
      </c>
      <c r="FW67" s="675">
        <f t="shared" si="1858"/>
        <v>0</v>
      </c>
      <c r="FX67" s="549">
        <f t="shared" si="1858"/>
        <v>0</v>
      </c>
      <c r="FY67" s="675">
        <f t="shared" si="1858"/>
        <v>0</v>
      </c>
      <c r="FZ67" s="549">
        <f t="shared" ref="FZ67:GI67" si="1859">SUM(FZ68:FZ70)</f>
        <v>0</v>
      </c>
      <c r="GA67" s="675">
        <f t="shared" si="1859"/>
        <v>0</v>
      </c>
      <c r="GB67" s="549">
        <f t="shared" si="1859"/>
        <v>0</v>
      </c>
      <c r="GC67" s="675">
        <f t="shared" si="1859"/>
        <v>0</v>
      </c>
      <c r="GD67" s="549">
        <f t="shared" si="1859"/>
        <v>0</v>
      </c>
      <c r="GE67" s="675">
        <f t="shared" si="1859"/>
        <v>0</v>
      </c>
      <c r="GF67" s="549">
        <f t="shared" si="1859"/>
        <v>0</v>
      </c>
      <c r="GG67" s="675">
        <f t="shared" si="1859"/>
        <v>0</v>
      </c>
      <c r="GH67" s="549">
        <f t="shared" si="1859"/>
        <v>0</v>
      </c>
      <c r="GI67" s="675">
        <f t="shared" si="1859"/>
        <v>0</v>
      </c>
      <c r="GJ67" s="549">
        <f t="shared" si="1858"/>
        <v>0</v>
      </c>
      <c r="GK67" s="675">
        <f t="shared" si="1858"/>
        <v>0</v>
      </c>
      <c r="GL67" s="549">
        <f t="shared" ref="GL67:GR67" si="1860">SUM(GL68:GL70)</f>
        <v>0</v>
      </c>
      <c r="GM67" s="675">
        <f t="shared" si="1860"/>
        <v>0</v>
      </c>
      <c r="GN67" s="549">
        <f t="shared" ref="GN67:GO67" si="1861">SUM(GN68:GN70)</f>
        <v>0</v>
      </c>
      <c r="GO67" s="675">
        <f t="shared" si="1861"/>
        <v>0</v>
      </c>
      <c r="GP67" s="74">
        <f t="shared" si="1860"/>
        <v>113000</v>
      </c>
      <c r="GQ67" s="675">
        <f t="shared" si="1860"/>
        <v>-15000</v>
      </c>
      <c r="GR67" s="74">
        <f t="shared" si="1860"/>
        <v>356600</v>
      </c>
      <c r="GS67" s="74">
        <f>SUM(GS68:GS70)</f>
        <v>356600</v>
      </c>
      <c r="GT67" s="549">
        <f t="shared" ref="GT67:JM67" si="1862">SUM(GT68:GT70)</f>
        <v>356600</v>
      </c>
      <c r="GU67" s="74">
        <f>SUM(GU68:GU70)</f>
        <v>48266</v>
      </c>
      <c r="GV67" s="74">
        <f t="shared" ref="GV67:HA67" si="1863">SUM(GV68:GV70)</f>
        <v>11737</v>
      </c>
      <c r="GW67" s="74">
        <f t="shared" si="1863"/>
        <v>11737</v>
      </c>
      <c r="GX67" s="74">
        <f t="shared" si="1863"/>
        <v>48262</v>
      </c>
      <c r="GY67" s="74">
        <f t="shared" si="1863"/>
        <v>11737</v>
      </c>
      <c r="GZ67" s="74">
        <f t="shared" si="1863"/>
        <v>11737</v>
      </c>
      <c r="HA67" s="74">
        <f t="shared" si="1863"/>
        <v>48262</v>
      </c>
      <c r="HB67" s="74">
        <f t="shared" ref="HB67:HF67" si="1864">SUM(HB68:HB70)</f>
        <v>11737</v>
      </c>
      <c r="HC67" s="74">
        <f t="shared" si="1864"/>
        <v>45825</v>
      </c>
      <c r="HD67" s="74">
        <f t="shared" si="1864"/>
        <v>9300</v>
      </c>
      <c r="HE67" s="74">
        <f t="shared" si="1864"/>
        <v>0</v>
      </c>
      <c r="HF67" s="74">
        <f t="shared" si="1864"/>
        <v>0</v>
      </c>
      <c r="HG67" s="74">
        <f>SUM(HG68:HG70)</f>
        <v>356600</v>
      </c>
      <c r="HH67" s="74">
        <f t="shared" ref="HH67:HU67" si="1865">SUM(HH68:HH70)</f>
        <v>48266</v>
      </c>
      <c r="HI67" s="74">
        <f t="shared" si="1865"/>
        <v>0</v>
      </c>
      <c r="HJ67" s="74">
        <f t="shared" si="1865"/>
        <v>11737</v>
      </c>
      <c r="HK67" s="74">
        <f t="shared" si="1865"/>
        <v>0</v>
      </c>
      <c r="HL67" s="74">
        <f t="shared" si="1865"/>
        <v>15737</v>
      </c>
      <c r="HM67" s="74">
        <f t="shared" si="1865"/>
        <v>0</v>
      </c>
      <c r="HN67" s="74">
        <f t="shared" si="1865"/>
        <v>48262</v>
      </c>
      <c r="HO67" s="74">
        <f t="shared" si="1865"/>
        <v>0</v>
      </c>
      <c r="HP67" s="74">
        <f t="shared" si="1865"/>
        <v>11737</v>
      </c>
      <c r="HQ67" s="74">
        <f t="shared" si="1865"/>
        <v>0</v>
      </c>
      <c r="HR67" s="74">
        <f t="shared" si="1865"/>
        <v>36737</v>
      </c>
      <c r="HS67" s="74">
        <f t="shared" si="1865"/>
        <v>0</v>
      </c>
      <c r="HT67" s="74">
        <f t="shared" si="1865"/>
        <v>50231.31</v>
      </c>
      <c r="HU67" s="74">
        <f t="shared" si="1865"/>
        <v>0</v>
      </c>
      <c r="HV67" s="74">
        <f t="shared" si="1862"/>
        <v>32330.690000000002</v>
      </c>
      <c r="HW67" s="74">
        <f t="shared" si="1862"/>
        <v>0</v>
      </c>
      <c r="HX67" s="74">
        <f t="shared" si="1862"/>
        <v>48262</v>
      </c>
      <c r="HY67" s="74">
        <f t="shared" si="1862"/>
        <v>0</v>
      </c>
      <c r="HZ67" s="74">
        <f t="shared" si="1862"/>
        <v>22300</v>
      </c>
      <c r="IA67" s="74">
        <f t="shared" si="1862"/>
        <v>0</v>
      </c>
      <c r="IB67" s="74">
        <f t="shared" si="1862"/>
        <v>0</v>
      </c>
      <c r="IC67" s="74">
        <f t="shared" si="1862"/>
        <v>0</v>
      </c>
      <c r="ID67" s="74">
        <f t="shared" si="1862"/>
        <v>0</v>
      </c>
      <c r="IE67" s="792">
        <f t="shared" si="1862"/>
        <v>0</v>
      </c>
      <c r="IF67" s="841">
        <f t="shared" si="1862"/>
        <v>338407.55</v>
      </c>
      <c r="IG67" s="263">
        <f t="shared" si="1862"/>
        <v>338407.55</v>
      </c>
      <c r="IH67" s="842">
        <f t="shared" si="1862"/>
        <v>338407.55</v>
      </c>
      <c r="II67" s="155">
        <f t="shared" si="1862"/>
        <v>6566</v>
      </c>
      <c r="IJ67" s="74">
        <f t="shared" si="1862"/>
        <v>6566</v>
      </c>
      <c r="IK67" s="74">
        <f t="shared" si="1862"/>
        <v>6566</v>
      </c>
      <c r="IL67" s="74">
        <f t="shared" si="1862"/>
        <v>32373.75</v>
      </c>
      <c r="IM67" s="74">
        <f t="shared" si="1862"/>
        <v>32373.75</v>
      </c>
      <c r="IN67" s="74">
        <f t="shared" si="1862"/>
        <v>32373.75</v>
      </c>
      <c r="IO67" s="74">
        <f t="shared" si="1862"/>
        <v>23245</v>
      </c>
      <c r="IP67" s="74">
        <f t="shared" si="1862"/>
        <v>23245</v>
      </c>
      <c r="IQ67" s="74">
        <f t="shared" si="1862"/>
        <v>23245</v>
      </c>
      <c r="IR67" s="74">
        <f t="shared" si="1862"/>
        <v>21474</v>
      </c>
      <c r="IS67" s="74">
        <f t="shared" si="1862"/>
        <v>21474</v>
      </c>
      <c r="IT67" s="74">
        <f t="shared" si="1862"/>
        <v>21474</v>
      </c>
      <c r="IU67" s="74">
        <f t="shared" si="1862"/>
        <v>34250.800000000003</v>
      </c>
      <c r="IV67" s="74">
        <f t="shared" si="1862"/>
        <v>34250.800000000003</v>
      </c>
      <c r="IW67" s="74">
        <f t="shared" si="1862"/>
        <v>34250.800000000003</v>
      </c>
      <c r="IX67" s="74">
        <f t="shared" si="1862"/>
        <v>36504</v>
      </c>
      <c r="IY67" s="74">
        <f t="shared" si="1862"/>
        <v>36504</v>
      </c>
      <c r="IZ67" s="74">
        <f t="shared" si="1862"/>
        <v>36504</v>
      </c>
      <c r="JA67" s="74">
        <f t="shared" si="1862"/>
        <v>22119.5</v>
      </c>
      <c r="JB67" s="74">
        <f t="shared" si="1862"/>
        <v>22119.5</v>
      </c>
      <c r="JC67" s="74">
        <f t="shared" si="1862"/>
        <v>22119.5</v>
      </c>
      <c r="JD67" s="74">
        <f t="shared" si="1862"/>
        <v>45751</v>
      </c>
      <c r="JE67" s="74">
        <f t="shared" si="1862"/>
        <v>45751</v>
      </c>
      <c r="JF67" s="74">
        <f t="shared" si="1862"/>
        <v>45751</v>
      </c>
      <c r="JG67" s="74">
        <f t="shared" si="1862"/>
        <v>33674</v>
      </c>
      <c r="JH67" s="74">
        <f t="shared" si="1862"/>
        <v>33449</v>
      </c>
      <c r="JI67" s="74">
        <f t="shared" si="1862"/>
        <v>33449</v>
      </c>
      <c r="JJ67" s="74">
        <f t="shared" si="1862"/>
        <v>82449.5</v>
      </c>
      <c r="JK67" s="74">
        <f t="shared" si="1862"/>
        <v>82674.5</v>
      </c>
      <c r="JL67" s="74">
        <f t="shared" si="1862"/>
        <v>82674.5</v>
      </c>
      <c r="JM67" s="74">
        <f t="shared" si="1862"/>
        <v>0</v>
      </c>
      <c r="JN67" s="74">
        <f t="shared" ref="JN67:JT67" si="1866">SUM(JN68:JN70)</f>
        <v>0</v>
      </c>
      <c r="JO67" s="74">
        <f t="shared" si="1866"/>
        <v>0</v>
      </c>
      <c r="JP67" s="74">
        <f t="shared" si="1866"/>
        <v>0</v>
      </c>
      <c r="JQ67" s="74">
        <f t="shared" si="1866"/>
        <v>0</v>
      </c>
      <c r="JR67" s="74">
        <f t="shared" si="1866"/>
        <v>0</v>
      </c>
      <c r="JS67" s="74">
        <f t="shared" si="1866"/>
        <v>18192.449999999997</v>
      </c>
      <c r="JT67" s="382">
        <f t="shared" si="1866"/>
        <v>18192.449999999997</v>
      </c>
      <c r="JU67" s="671"/>
      <c r="JV67" s="492"/>
      <c r="JW67" s="490"/>
      <c r="JX67" s="549">
        <f>SUM(JX68:JX70)</f>
        <v>325600</v>
      </c>
      <c r="JY67" s="549">
        <f>SUM(JY68:JY70)</f>
        <v>0</v>
      </c>
      <c r="JZ67" s="581">
        <f t="shared" si="42"/>
        <v>113000</v>
      </c>
      <c r="KA67" s="581">
        <f t="shared" si="43"/>
        <v>-15000</v>
      </c>
      <c r="KB67" s="549">
        <f>SUM(KB68:KB70)</f>
        <v>356600</v>
      </c>
      <c r="KC67" s="709">
        <f t="shared" si="41"/>
        <v>0</v>
      </c>
      <c r="KD67" s="134" t="s">
        <v>471</v>
      </c>
      <c r="KE67" s="139" t="s">
        <v>542</v>
      </c>
      <c r="KF67" s="139">
        <f t="shared" ref="KF67:KK67" si="1867">KF42</f>
        <v>500000</v>
      </c>
      <c r="KG67" s="139">
        <f t="shared" si="1867"/>
        <v>799968</v>
      </c>
      <c r="KH67" s="139">
        <f t="shared" si="1867"/>
        <v>754514</v>
      </c>
      <c r="KI67" s="139" t="e">
        <f t="shared" si="1867"/>
        <v>#REF!</v>
      </c>
      <c r="KJ67" s="139">
        <f t="shared" si="1867"/>
        <v>799968</v>
      </c>
      <c r="KK67" s="139">
        <f t="shared" si="1867"/>
        <v>799968</v>
      </c>
    </row>
    <row r="68" spans="1:297" s="8" customFormat="1">
      <c r="A68" s="75" t="s">
        <v>99</v>
      </c>
      <c r="B68" s="72" t="s">
        <v>100</v>
      </c>
      <c r="C68" s="74">
        <f t="shared" ref="C68:BP68" si="1868">SUM(C402,C289)</f>
        <v>93000</v>
      </c>
      <c r="D68" s="549">
        <f t="shared" si="1868"/>
        <v>0</v>
      </c>
      <c r="E68" s="675">
        <f t="shared" si="1868"/>
        <v>0</v>
      </c>
      <c r="F68" s="549">
        <f t="shared" si="1868"/>
        <v>0</v>
      </c>
      <c r="G68" s="675">
        <f t="shared" si="1868"/>
        <v>0</v>
      </c>
      <c r="H68" s="549">
        <f t="shared" si="1868"/>
        <v>0</v>
      </c>
      <c r="I68" s="675">
        <f t="shared" si="1868"/>
        <v>0</v>
      </c>
      <c r="J68" s="549">
        <f t="shared" si="1868"/>
        <v>0</v>
      </c>
      <c r="K68" s="675">
        <f t="shared" si="1868"/>
        <v>0</v>
      </c>
      <c r="L68" s="549">
        <f t="shared" si="1868"/>
        <v>0</v>
      </c>
      <c r="M68" s="675">
        <f t="shared" si="1868"/>
        <v>0</v>
      </c>
      <c r="N68" s="549">
        <f t="shared" si="1868"/>
        <v>0</v>
      </c>
      <c r="O68" s="675">
        <f t="shared" si="1868"/>
        <v>0</v>
      </c>
      <c r="P68" s="549">
        <f t="shared" si="1868"/>
        <v>0</v>
      </c>
      <c r="Q68" s="675">
        <f t="shared" si="1868"/>
        <v>0</v>
      </c>
      <c r="R68" s="549">
        <f t="shared" si="1868"/>
        <v>0</v>
      </c>
      <c r="S68" s="675">
        <f t="shared" si="1868"/>
        <v>0</v>
      </c>
      <c r="T68" s="549">
        <f t="shared" si="1868"/>
        <v>0</v>
      </c>
      <c r="U68" s="675">
        <f t="shared" si="1868"/>
        <v>0</v>
      </c>
      <c r="V68" s="549">
        <f t="shared" si="1868"/>
        <v>0</v>
      </c>
      <c r="W68" s="675">
        <f t="shared" si="1868"/>
        <v>0</v>
      </c>
      <c r="X68" s="549">
        <f t="shared" si="1868"/>
        <v>0</v>
      </c>
      <c r="Y68" s="675">
        <f t="shared" si="1868"/>
        <v>0</v>
      </c>
      <c r="Z68" s="549">
        <f t="shared" si="1868"/>
        <v>0</v>
      </c>
      <c r="AA68" s="675">
        <f t="shared" si="1868"/>
        <v>0</v>
      </c>
      <c r="AB68" s="549">
        <f t="shared" si="1868"/>
        <v>0</v>
      </c>
      <c r="AC68" s="675">
        <f t="shared" si="1868"/>
        <v>0</v>
      </c>
      <c r="AD68" s="549">
        <f t="shared" si="1868"/>
        <v>0</v>
      </c>
      <c r="AE68" s="675">
        <f t="shared" si="1868"/>
        <v>0</v>
      </c>
      <c r="AF68" s="549">
        <f t="shared" si="1868"/>
        <v>0</v>
      </c>
      <c r="AG68" s="675">
        <f t="shared" si="1868"/>
        <v>0</v>
      </c>
      <c r="AH68" s="549">
        <f t="shared" si="1868"/>
        <v>0</v>
      </c>
      <c r="AI68" s="675">
        <f t="shared" si="1868"/>
        <v>0</v>
      </c>
      <c r="AJ68" s="549">
        <f t="shared" si="1868"/>
        <v>0</v>
      </c>
      <c r="AK68" s="675">
        <f t="shared" si="1868"/>
        <v>0</v>
      </c>
      <c r="AL68" s="549">
        <f t="shared" si="1868"/>
        <v>0</v>
      </c>
      <c r="AM68" s="675">
        <f t="shared" si="1868"/>
        <v>0</v>
      </c>
      <c r="AN68" s="549">
        <f t="shared" si="1868"/>
        <v>0</v>
      </c>
      <c r="AO68" s="675">
        <f t="shared" si="1868"/>
        <v>0</v>
      </c>
      <c r="AP68" s="549">
        <f t="shared" si="1868"/>
        <v>0</v>
      </c>
      <c r="AQ68" s="675">
        <f t="shared" si="1868"/>
        <v>0</v>
      </c>
      <c r="AR68" s="549">
        <f t="shared" si="1868"/>
        <v>0</v>
      </c>
      <c r="AS68" s="675">
        <f t="shared" si="1868"/>
        <v>0</v>
      </c>
      <c r="AT68" s="549">
        <f t="shared" ref="AT68:AU68" si="1869">SUM(AT402,AT289)</f>
        <v>0</v>
      </c>
      <c r="AU68" s="675">
        <f t="shared" si="1869"/>
        <v>0</v>
      </c>
      <c r="AV68" s="549">
        <f t="shared" ref="AV68:AW68" si="1870">SUM(AV402,AV289)</f>
        <v>0</v>
      </c>
      <c r="AW68" s="675">
        <f t="shared" si="1870"/>
        <v>0</v>
      </c>
      <c r="AX68" s="549">
        <f t="shared" ref="AX68:AY68" si="1871">SUM(AX402,AX289)</f>
        <v>0</v>
      </c>
      <c r="AY68" s="675">
        <f t="shared" si="1871"/>
        <v>0</v>
      </c>
      <c r="AZ68" s="549">
        <f t="shared" ref="AZ68:BA68" si="1872">SUM(AZ402,AZ289)</f>
        <v>0</v>
      </c>
      <c r="BA68" s="675">
        <f t="shared" si="1872"/>
        <v>0</v>
      </c>
      <c r="BB68" s="549">
        <f t="shared" ref="BB68:BC68" si="1873">SUM(BB402,BB289)</f>
        <v>0</v>
      </c>
      <c r="BC68" s="675">
        <f t="shared" si="1873"/>
        <v>0</v>
      </c>
      <c r="BD68" s="549">
        <f t="shared" ref="BD68:BE68" si="1874">SUM(BD402,BD289)</f>
        <v>0</v>
      </c>
      <c r="BE68" s="675">
        <f t="shared" si="1874"/>
        <v>0</v>
      </c>
      <c r="BF68" s="549">
        <f t="shared" ref="BF68:BG68" si="1875">SUM(BF402,BF289)</f>
        <v>0</v>
      </c>
      <c r="BG68" s="675">
        <f t="shared" si="1875"/>
        <v>0</v>
      </c>
      <c r="BH68" s="549">
        <f t="shared" ref="BH68:BI68" si="1876">SUM(BH402,BH289)</f>
        <v>0</v>
      </c>
      <c r="BI68" s="675">
        <f t="shared" si="1876"/>
        <v>0</v>
      </c>
      <c r="BJ68" s="549">
        <f t="shared" ref="BJ68:BK68" si="1877">SUM(BJ402,BJ289)</f>
        <v>0</v>
      </c>
      <c r="BK68" s="675">
        <f t="shared" si="1877"/>
        <v>0</v>
      </c>
      <c r="BL68" s="549">
        <f t="shared" si="1868"/>
        <v>0</v>
      </c>
      <c r="BM68" s="675">
        <f t="shared" si="1868"/>
        <v>0</v>
      </c>
      <c r="BN68" s="549">
        <f t="shared" si="1868"/>
        <v>0</v>
      </c>
      <c r="BO68" s="675">
        <f t="shared" si="1868"/>
        <v>0</v>
      </c>
      <c r="BP68" s="549">
        <f t="shared" si="1868"/>
        <v>5000</v>
      </c>
      <c r="BQ68" s="675">
        <f t="shared" ref="BQ68" si="1878">SUM(BQ402,BQ289)</f>
        <v>0</v>
      </c>
      <c r="BR68" s="549">
        <f t="shared" ref="BR68:BS68" si="1879">SUM(BR402,BR289)</f>
        <v>0</v>
      </c>
      <c r="BS68" s="675">
        <f t="shared" si="1879"/>
        <v>0</v>
      </c>
      <c r="BT68" s="549">
        <f t="shared" ref="BT68:BU68" si="1880">SUM(BT402,BT289)</f>
        <v>0</v>
      </c>
      <c r="BU68" s="675">
        <f t="shared" si="1880"/>
        <v>0</v>
      </c>
      <c r="BV68" s="549">
        <f t="shared" ref="BV68:BW68" si="1881">SUM(BV402,BV289)</f>
        <v>0</v>
      </c>
      <c r="BW68" s="675">
        <f t="shared" si="1881"/>
        <v>0</v>
      </c>
      <c r="BX68" s="549">
        <f t="shared" ref="BX68:BY68" si="1882">SUM(BX402,BX289)</f>
        <v>0</v>
      </c>
      <c r="BY68" s="675">
        <f t="shared" si="1882"/>
        <v>0</v>
      </c>
      <c r="BZ68" s="549">
        <f t="shared" ref="BZ68:CA68" si="1883">SUM(BZ402,BZ289)</f>
        <v>0</v>
      </c>
      <c r="CA68" s="675">
        <f t="shared" si="1883"/>
        <v>0</v>
      </c>
      <c r="CB68" s="549">
        <f t="shared" ref="CB68:EC68" si="1884">SUM(CB402,CB289)</f>
        <v>0</v>
      </c>
      <c r="CC68" s="675">
        <f t="shared" si="1884"/>
        <v>0</v>
      </c>
      <c r="CD68" s="549">
        <f t="shared" si="1884"/>
        <v>0</v>
      </c>
      <c r="CE68" s="675">
        <f t="shared" si="1884"/>
        <v>0</v>
      </c>
      <c r="CF68" s="549">
        <f t="shared" si="1884"/>
        <v>0</v>
      </c>
      <c r="CG68" s="675">
        <f t="shared" si="1884"/>
        <v>0</v>
      </c>
      <c r="CH68" s="549">
        <f t="shared" si="1884"/>
        <v>0</v>
      </c>
      <c r="CI68" s="675">
        <f t="shared" si="1884"/>
        <v>0</v>
      </c>
      <c r="CJ68" s="549">
        <f t="shared" si="1884"/>
        <v>0</v>
      </c>
      <c r="CK68" s="675">
        <f t="shared" si="1884"/>
        <v>0</v>
      </c>
      <c r="CL68" s="549">
        <f t="shared" si="1884"/>
        <v>0</v>
      </c>
      <c r="CM68" s="675">
        <f t="shared" si="1884"/>
        <v>0</v>
      </c>
      <c r="CN68" s="549">
        <f t="shared" si="1884"/>
        <v>0</v>
      </c>
      <c r="CO68" s="675">
        <f t="shared" si="1884"/>
        <v>0</v>
      </c>
      <c r="CP68" s="549">
        <f t="shared" si="1884"/>
        <v>0</v>
      </c>
      <c r="CQ68" s="675">
        <f t="shared" si="1884"/>
        <v>0</v>
      </c>
      <c r="CR68" s="549">
        <f t="shared" si="1884"/>
        <v>0</v>
      </c>
      <c r="CS68" s="675">
        <f t="shared" si="1884"/>
        <v>0</v>
      </c>
      <c r="CT68" s="549">
        <f t="shared" si="1884"/>
        <v>0</v>
      </c>
      <c r="CU68" s="675">
        <f t="shared" si="1884"/>
        <v>0</v>
      </c>
      <c r="CV68" s="549">
        <f t="shared" si="1884"/>
        <v>0</v>
      </c>
      <c r="CW68" s="675">
        <f t="shared" si="1884"/>
        <v>0</v>
      </c>
      <c r="CX68" s="549">
        <f t="shared" si="1884"/>
        <v>0</v>
      </c>
      <c r="CY68" s="675">
        <f t="shared" si="1884"/>
        <v>0</v>
      </c>
      <c r="CZ68" s="549">
        <f t="shared" si="1884"/>
        <v>5000</v>
      </c>
      <c r="DA68" s="675">
        <f t="shared" si="1884"/>
        <v>0</v>
      </c>
      <c r="DB68" s="549">
        <f t="shared" si="1884"/>
        <v>0</v>
      </c>
      <c r="DC68" s="675">
        <f t="shared" si="1884"/>
        <v>0</v>
      </c>
      <c r="DD68" s="549">
        <f t="shared" si="1884"/>
        <v>0</v>
      </c>
      <c r="DE68" s="675">
        <f t="shared" si="1884"/>
        <v>0</v>
      </c>
      <c r="DF68" s="549">
        <f t="shared" si="1884"/>
        <v>0</v>
      </c>
      <c r="DG68" s="675">
        <f t="shared" si="1884"/>
        <v>0</v>
      </c>
      <c r="DH68" s="549">
        <f t="shared" si="1884"/>
        <v>5000</v>
      </c>
      <c r="DI68" s="675">
        <f t="shared" si="1884"/>
        <v>0</v>
      </c>
      <c r="DJ68" s="549">
        <f t="shared" si="1884"/>
        <v>5000</v>
      </c>
      <c r="DK68" s="675">
        <f t="shared" si="1884"/>
        <v>0</v>
      </c>
      <c r="DL68" s="549">
        <f t="shared" si="1884"/>
        <v>0</v>
      </c>
      <c r="DM68" s="675">
        <f t="shared" si="1884"/>
        <v>0</v>
      </c>
      <c r="DN68" s="549">
        <f t="shared" si="1884"/>
        <v>0</v>
      </c>
      <c r="DO68" s="675">
        <f t="shared" si="1884"/>
        <v>0</v>
      </c>
      <c r="DP68" s="549">
        <f t="shared" si="1884"/>
        <v>0</v>
      </c>
      <c r="DQ68" s="675">
        <f t="shared" si="1884"/>
        <v>0</v>
      </c>
      <c r="DR68" s="549">
        <f t="shared" si="1884"/>
        <v>0</v>
      </c>
      <c r="DS68" s="675">
        <f t="shared" si="1884"/>
        <v>0</v>
      </c>
      <c r="DT68" s="549">
        <f t="shared" si="1884"/>
        <v>0</v>
      </c>
      <c r="DU68" s="675">
        <f t="shared" si="1884"/>
        <v>0</v>
      </c>
      <c r="DV68" s="549">
        <f t="shared" si="1884"/>
        <v>0</v>
      </c>
      <c r="DW68" s="675">
        <f t="shared" si="1884"/>
        <v>0</v>
      </c>
      <c r="DX68" s="549">
        <f t="shared" si="1884"/>
        <v>0</v>
      </c>
      <c r="DY68" s="675">
        <f t="shared" si="1884"/>
        <v>0</v>
      </c>
      <c r="DZ68" s="549">
        <f t="shared" si="1884"/>
        <v>0</v>
      </c>
      <c r="EA68" s="675">
        <f t="shared" si="1884"/>
        <v>0</v>
      </c>
      <c r="EB68" s="549">
        <f t="shared" si="1884"/>
        <v>0</v>
      </c>
      <c r="EC68" s="675">
        <f t="shared" si="1884"/>
        <v>0</v>
      </c>
      <c r="ED68" s="549">
        <f t="shared" ref="ED68:EE68" si="1885">SUM(ED402,ED289)</f>
        <v>15000</v>
      </c>
      <c r="EE68" s="675">
        <f t="shared" si="1885"/>
        <v>0</v>
      </c>
      <c r="EF68" s="549">
        <f t="shared" ref="EF68:HV68" si="1886">SUM(EF402,EF289)</f>
        <v>0</v>
      </c>
      <c r="EG68" s="675">
        <f t="shared" si="1886"/>
        <v>0</v>
      </c>
      <c r="EH68" s="549">
        <f t="shared" si="1886"/>
        <v>0</v>
      </c>
      <c r="EI68" s="675">
        <f t="shared" si="1886"/>
        <v>0</v>
      </c>
      <c r="EJ68" s="549">
        <f t="shared" si="1886"/>
        <v>0</v>
      </c>
      <c r="EK68" s="675">
        <f t="shared" si="1886"/>
        <v>0</v>
      </c>
      <c r="EL68" s="549">
        <f t="shared" si="1886"/>
        <v>0</v>
      </c>
      <c r="EM68" s="675">
        <f t="shared" si="1886"/>
        <v>0</v>
      </c>
      <c r="EN68" s="549">
        <f t="shared" si="1886"/>
        <v>0</v>
      </c>
      <c r="EO68" s="675">
        <f t="shared" si="1886"/>
        <v>0</v>
      </c>
      <c r="EP68" s="549">
        <f t="shared" si="1886"/>
        <v>0</v>
      </c>
      <c r="EQ68" s="675">
        <f t="shared" si="1886"/>
        <v>0</v>
      </c>
      <c r="ER68" s="549">
        <f t="shared" si="1886"/>
        <v>0</v>
      </c>
      <c r="ES68" s="675">
        <f t="shared" si="1886"/>
        <v>0</v>
      </c>
      <c r="ET68" s="549">
        <f t="shared" si="1886"/>
        <v>0</v>
      </c>
      <c r="EU68" s="675">
        <f t="shared" si="1886"/>
        <v>0</v>
      </c>
      <c r="EV68" s="549">
        <f t="shared" si="1886"/>
        <v>0</v>
      </c>
      <c r="EW68" s="675">
        <f t="shared" si="1886"/>
        <v>0</v>
      </c>
      <c r="EX68" s="549">
        <f t="shared" si="1886"/>
        <v>0</v>
      </c>
      <c r="EY68" s="675">
        <f t="shared" si="1886"/>
        <v>0</v>
      </c>
      <c r="EZ68" s="549">
        <f t="shared" si="1886"/>
        <v>0</v>
      </c>
      <c r="FA68" s="675">
        <f t="shared" si="1886"/>
        <v>0</v>
      </c>
      <c r="FB68" s="549">
        <f t="shared" si="1886"/>
        <v>0</v>
      </c>
      <c r="FC68" s="675">
        <f t="shared" si="1886"/>
        <v>0</v>
      </c>
      <c r="FD68" s="549">
        <f t="shared" si="1886"/>
        <v>0</v>
      </c>
      <c r="FE68" s="675">
        <f t="shared" si="1886"/>
        <v>0</v>
      </c>
      <c r="FF68" s="549">
        <f t="shared" si="1886"/>
        <v>0</v>
      </c>
      <c r="FG68" s="675">
        <f t="shared" si="1886"/>
        <v>0</v>
      </c>
      <c r="FH68" s="549">
        <f t="shared" si="1886"/>
        <v>0</v>
      </c>
      <c r="FI68" s="675">
        <f t="shared" si="1886"/>
        <v>0</v>
      </c>
      <c r="FJ68" s="549">
        <f t="shared" si="1886"/>
        <v>0</v>
      </c>
      <c r="FK68" s="675">
        <f t="shared" si="1886"/>
        <v>0</v>
      </c>
      <c r="FL68" s="549">
        <f t="shared" ref="FL68:FM68" si="1887">SUM(FL402,FL289)</f>
        <v>5000</v>
      </c>
      <c r="FM68" s="675">
        <f t="shared" si="1887"/>
        <v>0</v>
      </c>
      <c r="FN68" s="549">
        <f t="shared" ref="FN68:FO68" si="1888">SUM(FN402,FN289)</f>
        <v>0</v>
      </c>
      <c r="FO68" s="675">
        <f t="shared" si="1888"/>
        <v>0</v>
      </c>
      <c r="FP68" s="549">
        <f t="shared" ref="FP68:FQ68" si="1889">SUM(FP402,FP289)</f>
        <v>0</v>
      </c>
      <c r="FQ68" s="675">
        <f t="shared" si="1889"/>
        <v>0</v>
      </c>
      <c r="FR68" s="549">
        <f t="shared" ref="FR68:FS68" si="1890">SUM(FR402,FR289)</f>
        <v>18000</v>
      </c>
      <c r="FS68" s="675">
        <f t="shared" si="1890"/>
        <v>0</v>
      </c>
      <c r="FT68" s="549">
        <f t="shared" ref="FT68:FU68" si="1891">SUM(FT402,FT289)</f>
        <v>0</v>
      </c>
      <c r="FU68" s="675">
        <f t="shared" si="1891"/>
        <v>0</v>
      </c>
      <c r="FV68" s="549">
        <f t="shared" ref="FV68:GK68" si="1892">SUM(FV402,FV289)</f>
        <v>0</v>
      </c>
      <c r="FW68" s="675">
        <f t="shared" si="1892"/>
        <v>0</v>
      </c>
      <c r="FX68" s="549">
        <f t="shared" si="1892"/>
        <v>0</v>
      </c>
      <c r="FY68" s="675">
        <f t="shared" si="1892"/>
        <v>0</v>
      </c>
      <c r="FZ68" s="549">
        <f t="shared" ref="FZ68:GI68" si="1893">SUM(FZ402,FZ289)</f>
        <v>0</v>
      </c>
      <c r="GA68" s="675">
        <f t="shared" si="1893"/>
        <v>0</v>
      </c>
      <c r="GB68" s="549">
        <f t="shared" si="1893"/>
        <v>0</v>
      </c>
      <c r="GC68" s="675">
        <f t="shared" si="1893"/>
        <v>0</v>
      </c>
      <c r="GD68" s="549">
        <f t="shared" si="1893"/>
        <v>0</v>
      </c>
      <c r="GE68" s="675">
        <f t="shared" si="1893"/>
        <v>0</v>
      </c>
      <c r="GF68" s="549">
        <f t="shared" si="1893"/>
        <v>0</v>
      </c>
      <c r="GG68" s="675">
        <f t="shared" si="1893"/>
        <v>0</v>
      </c>
      <c r="GH68" s="549">
        <f t="shared" si="1893"/>
        <v>0</v>
      </c>
      <c r="GI68" s="675">
        <f t="shared" si="1893"/>
        <v>0</v>
      </c>
      <c r="GJ68" s="549">
        <f t="shared" si="1892"/>
        <v>0</v>
      </c>
      <c r="GK68" s="675">
        <f t="shared" si="1892"/>
        <v>0</v>
      </c>
      <c r="GL68" s="549">
        <f t="shared" ref="GL68:GM68" si="1894">SUM(GL402,GL289)</f>
        <v>0</v>
      </c>
      <c r="GM68" s="675">
        <f t="shared" si="1894"/>
        <v>0</v>
      </c>
      <c r="GN68" s="549">
        <f t="shared" ref="GN68:GO68" si="1895">SUM(GN402,GN289)</f>
        <v>0</v>
      </c>
      <c r="GO68" s="675">
        <f t="shared" si="1895"/>
        <v>0</v>
      </c>
      <c r="GP68" s="74">
        <f t="shared" si="1886"/>
        <v>58000</v>
      </c>
      <c r="GQ68" s="675">
        <f t="shared" si="1886"/>
        <v>0</v>
      </c>
      <c r="GR68" s="74">
        <f t="shared" si="1886"/>
        <v>151000</v>
      </c>
      <c r="GS68" s="74">
        <f t="shared" si="1886"/>
        <v>151000</v>
      </c>
      <c r="GT68" s="74">
        <f t="shared" si="1886"/>
        <v>151000</v>
      </c>
      <c r="GU68" s="74">
        <f>SUM(GU402,GU289)</f>
        <v>9300</v>
      </c>
      <c r="GV68" s="74">
        <f t="shared" si="1886"/>
        <v>9300</v>
      </c>
      <c r="GW68" s="74">
        <f t="shared" si="1886"/>
        <v>9300</v>
      </c>
      <c r="GX68" s="74">
        <f t="shared" si="1886"/>
        <v>9300</v>
      </c>
      <c r="GY68" s="74">
        <f t="shared" si="1886"/>
        <v>9300</v>
      </c>
      <c r="GZ68" s="74">
        <f t="shared" si="1886"/>
        <v>9300</v>
      </c>
      <c r="HA68" s="74">
        <f t="shared" si="1886"/>
        <v>9300</v>
      </c>
      <c r="HB68" s="74">
        <f t="shared" si="1886"/>
        <v>9300</v>
      </c>
      <c r="HC68" s="74">
        <f t="shared" si="1886"/>
        <v>9300</v>
      </c>
      <c r="HD68" s="74">
        <f t="shared" si="1886"/>
        <v>9300</v>
      </c>
      <c r="HE68" s="74">
        <f t="shared" si="1886"/>
        <v>0</v>
      </c>
      <c r="HF68" s="74">
        <f t="shared" si="1886"/>
        <v>0</v>
      </c>
      <c r="HG68" s="74">
        <f t="shared" si="1886"/>
        <v>151000</v>
      </c>
      <c r="HH68" s="74">
        <f t="shared" si="1886"/>
        <v>9300</v>
      </c>
      <c r="HI68" s="74">
        <f t="shared" si="1886"/>
        <v>0</v>
      </c>
      <c r="HJ68" s="74">
        <f t="shared" si="1886"/>
        <v>9300</v>
      </c>
      <c r="HK68" s="74">
        <f t="shared" si="1886"/>
        <v>0</v>
      </c>
      <c r="HL68" s="74">
        <f t="shared" si="1886"/>
        <v>9300</v>
      </c>
      <c r="HM68" s="74">
        <f t="shared" si="1886"/>
        <v>0</v>
      </c>
      <c r="HN68" s="74">
        <f t="shared" si="1886"/>
        <v>9300</v>
      </c>
      <c r="HO68" s="74">
        <f t="shared" si="1886"/>
        <v>0</v>
      </c>
      <c r="HP68" s="74">
        <f t="shared" si="1886"/>
        <v>9300</v>
      </c>
      <c r="HQ68" s="74">
        <f t="shared" si="1886"/>
        <v>0</v>
      </c>
      <c r="HR68" s="74">
        <f t="shared" si="1886"/>
        <v>14300</v>
      </c>
      <c r="HS68" s="74">
        <f t="shared" si="1886"/>
        <v>0</v>
      </c>
      <c r="HT68" s="74">
        <f t="shared" si="1886"/>
        <v>14300</v>
      </c>
      <c r="HU68" s="74">
        <f t="shared" si="1886"/>
        <v>0</v>
      </c>
      <c r="HV68" s="74">
        <f t="shared" si="1886"/>
        <v>19300</v>
      </c>
      <c r="HW68" s="74">
        <f t="shared" ref="HW68:JT68" si="1896">SUM(HW402,HW289)</f>
        <v>0</v>
      </c>
      <c r="HX68" s="74">
        <f t="shared" si="1896"/>
        <v>9300</v>
      </c>
      <c r="HY68" s="74">
        <f t="shared" si="1896"/>
        <v>0</v>
      </c>
      <c r="HZ68" s="74">
        <f t="shared" si="1896"/>
        <v>32300</v>
      </c>
      <c r="IA68" s="74">
        <f t="shared" si="1896"/>
        <v>0</v>
      </c>
      <c r="IB68" s="74">
        <f t="shared" si="1896"/>
        <v>0</v>
      </c>
      <c r="IC68" s="74">
        <f t="shared" si="1896"/>
        <v>0</v>
      </c>
      <c r="ID68" s="74">
        <f t="shared" si="1896"/>
        <v>0</v>
      </c>
      <c r="IE68" s="792">
        <f t="shared" si="1896"/>
        <v>0</v>
      </c>
      <c r="IF68" s="841">
        <f t="shared" si="1896"/>
        <v>144963.25</v>
      </c>
      <c r="IG68" s="263">
        <f t="shared" si="1896"/>
        <v>144963.25</v>
      </c>
      <c r="IH68" s="842">
        <f t="shared" si="1896"/>
        <v>144963.25</v>
      </c>
      <c r="II68" s="155">
        <f t="shared" si="1896"/>
        <v>6566</v>
      </c>
      <c r="IJ68" s="74">
        <f t="shared" si="1896"/>
        <v>6566</v>
      </c>
      <c r="IK68" s="74">
        <f t="shared" si="1896"/>
        <v>6566</v>
      </c>
      <c r="IL68" s="74">
        <f t="shared" si="1896"/>
        <v>9923.75</v>
      </c>
      <c r="IM68" s="74">
        <f t="shared" si="1896"/>
        <v>9923.75</v>
      </c>
      <c r="IN68" s="74">
        <f t="shared" si="1896"/>
        <v>9923.75</v>
      </c>
      <c r="IO68" s="74">
        <f t="shared" si="1896"/>
        <v>4783</v>
      </c>
      <c r="IP68" s="74">
        <f t="shared" si="1896"/>
        <v>4783</v>
      </c>
      <c r="IQ68" s="74">
        <f t="shared" si="1896"/>
        <v>4783</v>
      </c>
      <c r="IR68" s="74">
        <f t="shared" si="1896"/>
        <v>9982</v>
      </c>
      <c r="IS68" s="74">
        <f t="shared" si="1896"/>
        <v>9982</v>
      </c>
      <c r="IT68" s="74">
        <f t="shared" si="1896"/>
        <v>9982</v>
      </c>
      <c r="IU68" s="74">
        <f t="shared" si="1896"/>
        <v>12067</v>
      </c>
      <c r="IV68" s="74">
        <f t="shared" si="1896"/>
        <v>12067</v>
      </c>
      <c r="IW68" s="74">
        <f t="shared" si="1896"/>
        <v>12067</v>
      </c>
      <c r="IX68" s="74">
        <f t="shared" si="1896"/>
        <v>14240</v>
      </c>
      <c r="IY68" s="74">
        <f t="shared" si="1896"/>
        <v>14240</v>
      </c>
      <c r="IZ68" s="74">
        <f t="shared" si="1896"/>
        <v>14240</v>
      </c>
      <c r="JA68" s="74">
        <f t="shared" si="1896"/>
        <v>10879</v>
      </c>
      <c r="JB68" s="74">
        <f t="shared" si="1896"/>
        <v>10879</v>
      </c>
      <c r="JC68" s="74">
        <f t="shared" si="1896"/>
        <v>10879</v>
      </c>
      <c r="JD68" s="74">
        <f t="shared" si="1896"/>
        <v>21382.5</v>
      </c>
      <c r="JE68" s="74">
        <f t="shared" si="1896"/>
        <v>21382.5</v>
      </c>
      <c r="JF68" s="74">
        <f t="shared" si="1896"/>
        <v>21382.5</v>
      </c>
      <c r="JG68" s="74">
        <f t="shared" si="1896"/>
        <v>11327</v>
      </c>
      <c r="JH68" s="74">
        <f t="shared" si="1896"/>
        <v>11102</v>
      </c>
      <c r="JI68" s="74">
        <f t="shared" si="1896"/>
        <v>11102</v>
      </c>
      <c r="JJ68" s="74">
        <f t="shared" si="1896"/>
        <v>43813</v>
      </c>
      <c r="JK68" s="74">
        <f t="shared" si="1896"/>
        <v>44038</v>
      </c>
      <c r="JL68" s="74">
        <f t="shared" si="1896"/>
        <v>44038</v>
      </c>
      <c r="JM68" s="74">
        <f t="shared" si="1896"/>
        <v>0</v>
      </c>
      <c r="JN68" s="74">
        <f t="shared" si="1896"/>
        <v>0</v>
      </c>
      <c r="JO68" s="74">
        <f t="shared" si="1896"/>
        <v>0</v>
      </c>
      <c r="JP68" s="74">
        <f t="shared" si="1896"/>
        <v>0</v>
      </c>
      <c r="JQ68" s="74">
        <f t="shared" si="1896"/>
        <v>0</v>
      </c>
      <c r="JR68" s="74">
        <f t="shared" si="1896"/>
        <v>0</v>
      </c>
      <c r="JS68" s="74">
        <f t="shared" si="1896"/>
        <v>6036.75</v>
      </c>
      <c r="JT68" s="74">
        <f t="shared" si="1896"/>
        <v>6036.75</v>
      </c>
      <c r="JU68" s="671"/>
      <c r="JV68" s="492"/>
      <c r="JW68" s="490"/>
      <c r="JX68" s="74">
        <f t="shared" ref="JX68:JY70" si="1897">SUM(JX402,JX289)</f>
        <v>136000</v>
      </c>
      <c r="JY68" s="74">
        <f t="shared" si="1897"/>
        <v>0</v>
      </c>
      <c r="JZ68" s="581">
        <f t="shared" si="42"/>
        <v>58000</v>
      </c>
      <c r="KA68" s="581">
        <f t="shared" si="43"/>
        <v>0</v>
      </c>
      <c r="KB68" s="74">
        <f>SUM(KB402,KB289)</f>
        <v>151000</v>
      </c>
      <c r="KC68" s="709">
        <f t="shared" si="41"/>
        <v>0</v>
      </c>
      <c r="KD68" s="126" t="s">
        <v>522</v>
      </c>
      <c r="KE68" s="127" t="s">
        <v>81</v>
      </c>
      <c r="KF68" s="127" t="e">
        <f>#REF!+KF28</f>
        <v>#REF!</v>
      </c>
      <c r="KG68" s="127" t="e">
        <f>#REF!+KG28</f>
        <v>#REF!</v>
      </c>
      <c r="KH68" s="127" t="e">
        <f>#REF!+KH28</f>
        <v>#REF!</v>
      </c>
      <c r="KI68" s="127" t="e">
        <f>#REF!+KI28</f>
        <v>#REF!</v>
      </c>
      <c r="KJ68" s="127" t="e">
        <f>#REF!+KJ28</f>
        <v>#REF!</v>
      </c>
      <c r="KK68" s="127" t="e">
        <f>#REF!+KK28</f>
        <v>#REF!</v>
      </c>
    </row>
    <row r="69" spans="1:297" s="8" customFormat="1">
      <c r="A69" s="75" t="s">
        <v>101</v>
      </c>
      <c r="B69" s="72" t="s">
        <v>102</v>
      </c>
      <c r="C69" s="74">
        <f t="shared" ref="C69:BP69" si="1898">SUM(C403,C290)</f>
        <v>146100</v>
      </c>
      <c r="D69" s="549">
        <f t="shared" si="1898"/>
        <v>0</v>
      </c>
      <c r="E69" s="675">
        <f t="shared" si="1898"/>
        <v>0</v>
      </c>
      <c r="F69" s="549">
        <f t="shared" si="1898"/>
        <v>0</v>
      </c>
      <c r="G69" s="675">
        <f t="shared" si="1898"/>
        <v>0</v>
      </c>
      <c r="H69" s="549">
        <f t="shared" si="1898"/>
        <v>0</v>
      </c>
      <c r="I69" s="675">
        <f t="shared" si="1898"/>
        <v>0</v>
      </c>
      <c r="J69" s="549">
        <f t="shared" si="1898"/>
        <v>0</v>
      </c>
      <c r="K69" s="675">
        <f t="shared" si="1898"/>
        <v>0</v>
      </c>
      <c r="L69" s="549">
        <f t="shared" si="1898"/>
        <v>0</v>
      </c>
      <c r="M69" s="675">
        <f t="shared" si="1898"/>
        <v>0</v>
      </c>
      <c r="N69" s="549">
        <f t="shared" si="1898"/>
        <v>0</v>
      </c>
      <c r="O69" s="675">
        <f t="shared" si="1898"/>
        <v>0</v>
      </c>
      <c r="P69" s="549">
        <f t="shared" si="1898"/>
        <v>0</v>
      </c>
      <c r="Q69" s="675">
        <f t="shared" si="1898"/>
        <v>0</v>
      </c>
      <c r="R69" s="549">
        <f t="shared" si="1898"/>
        <v>0</v>
      </c>
      <c r="S69" s="675">
        <f t="shared" si="1898"/>
        <v>0</v>
      </c>
      <c r="T69" s="549">
        <f t="shared" si="1898"/>
        <v>0</v>
      </c>
      <c r="U69" s="675">
        <f t="shared" si="1898"/>
        <v>0</v>
      </c>
      <c r="V69" s="549">
        <f t="shared" si="1898"/>
        <v>0</v>
      </c>
      <c r="W69" s="675">
        <f t="shared" si="1898"/>
        <v>0</v>
      </c>
      <c r="X69" s="549">
        <f t="shared" si="1898"/>
        <v>0</v>
      </c>
      <c r="Y69" s="675">
        <f t="shared" si="1898"/>
        <v>0</v>
      </c>
      <c r="Z69" s="549">
        <f t="shared" si="1898"/>
        <v>0</v>
      </c>
      <c r="AA69" s="675">
        <f t="shared" si="1898"/>
        <v>0</v>
      </c>
      <c r="AB69" s="549">
        <f t="shared" si="1898"/>
        <v>0</v>
      </c>
      <c r="AC69" s="675">
        <f t="shared" si="1898"/>
        <v>0</v>
      </c>
      <c r="AD69" s="549">
        <f t="shared" si="1898"/>
        <v>4000</v>
      </c>
      <c r="AE69" s="675">
        <f t="shared" si="1898"/>
        <v>0</v>
      </c>
      <c r="AF69" s="549">
        <f t="shared" si="1898"/>
        <v>0</v>
      </c>
      <c r="AG69" s="675">
        <f t="shared" si="1898"/>
        <v>0</v>
      </c>
      <c r="AH69" s="549">
        <f t="shared" si="1898"/>
        <v>0</v>
      </c>
      <c r="AI69" s="675">
        <f t="shared" si="1898"/>
        <v>0</v>
      </c>
      <c r="AJ69" s="549">
        <f t="shared" si="1898"/>
        <v>0</v>
      </c>
      <c r="AK69" s="675">
        <f t="shared" si="1898"/>
        <v>0</v>
      </c>
      <c r="AL69" s="549">
        <f t="shared" si="1898"/>
        <v>0</v>
      </c>
      <c r="AM69" s="675">
        <f t="shared" si="1898"/>
        <v>0</v>
      </c>
      <c r="AN69" s="549">
        <f t="shared" si="1898"/>
        <v>0</v>
      </c>
      <c r="AO69" s="675">
        <f t="shared" si="1898"/>
        <v>0</v>
      </c>
      <c r="AP69" s="549">
        <f t="shared" si="1898"/>
        <v>0</v>
      </c>
      <c r="AQ69" s="675">
        <f t="shared" si="1898"/>
        <v>0</v>
      </c>
      <c r="AR69" s="549">
        <f t="shared" si="1898"/>
        <v>0</v>
      </c>
      <c r="AS69" s="675">
        <f t="shared" si="1898"/>
        <v>0</v>
      </c>
      <c r="AT69" s="549">
        <f t="shared" ref="AT69:AU69" si="1899">SUM(AT403,AT290)</f>
        <v>0</v>
      </c>
      <c r="AU69" s="675">
        <f t="shared" si="1899"/>
        <v>0</v>
      </c>
      <c r="AV69" s="549">
        <f t="shared" ref="AV69:AW69" si="1900">SUM(AV403,AV290)</f>
        <v>0</v>
      </c>
      <c r="AW69" s="675">
        <f t="shared" si="1900"/>
        <v>0</v>
      </c>
      <c r="AX69" s="549">
        <f t="shared" ref="AX69:AY69" si="1901">SUM(AX403,AX290)</f>
        <v>0</v>
      </c>
      <c r="AY69" s="675">
        <f t="shared" si="1901"/>
        <v>0</v>
      </c>
      <c r="AZ69" s="549">
        <f t="shared" ref="AZ69:BA69" si="1902">SUM(AZ403,AZ290)</f>
        <v>0</v>
      </c>
      <c r="BA69" s="675">
        <f t="shared" si="1902"/>
        <v>0</v>
      </c>
      <c r="BB69" s="549">
        <f t="shared" ref="BB69:BC69" si="1903">SUM(BB403,BB290)</f>
        <v>0</v>
      </c>
      <c r="BC69" s="675">
        <f t="shared" si="1903"/>
        <v>0</v>
      </c>
      <c r="BD69" s="549">
        <f t="shared" ref="BD69:BE69" si="1904">SUM(BD403,BD290)</f>
        <v>0</v>
      </c>
      <c r="BE69" s="675">
        <f t="shared" si="1904"/>
        <v>0</v>
      </c>
      <c r="BF69" s="549">
        <f t="shared" ref="BF69:BG69" si="1905">SUM(BF403,BF290)</f>
        <v>0</v>
      </c>
      <c r="BG69" s="675">
        <f t="shared" si="1905"/>
        <v>0</v>
      </c>
      <c r="BH69" s="549">
        <f t="shared" ref="BH69:BI69" si="1906">SUM(BH403,BH290)</f>
        <v>0</v>
      </c>
      <c r="BI69" s="675">
        <f t="shared" si="1906"/>
        <v>0</v>
      </c>
      <c r="BJ69" s="549">
        <f t="shared" ref="BJ69:BK69" si="1907">SUM(BJ403,BJ290)</f>
        <v>0</v>
      </c>
      <c r="BK69" s="675">
        <f t="shared" si="1907"/>
        <v>0</v>
      </c>
      <c r="BL69" s="549">
        <f t="shared" si="1898"/>
        <v>0</v>
      </c>
      <c r="BM69" s="675">
        <f t="shared" si="1898"/>
        <v>0</v>
      </c>
      <c r="BN69" s="549">
        <f t="shared" si="1898"/>
        <v>0</v>
      </c>
      <c r="BO69" s="675">
        <f t="shared" si="1898"/>
        <v>0</v>
      </c>
      <c r="BP69" s="549">
        <f t="shared" si="1898"/>
        <v>0</v>
      </c>
      <c r="BQ69" s="675">
        <f t="shared" ref="BQ69" si="1908">SUM(BQ403,BQ290)</f>
        <v>0</v>
      </c>
      <c r="BR69" s="549">
        <f t="shared" ref="BR69:BS69" si="1909">SUM(BR403,BR290)</f>
        <v>0</v>
      </c>
      <c r="BS69" s="675">
        <f t="shared" si="1909"/>
        <v>0</v>
      </c>
      <c r="BT69" s="549">
        <f t="shared" ref="BT69:BU69" si="1910">SUM(BT403,BT290)</f>
        <v>0</v>
      </c>
      <c r="BU69" s="675">
        <f t="shared" si="1910"/>
        <v>0</v>
      </c>
      <c r="BV69" s="549">
        <f t="shared" ref="BV69:BW69" si="1911">SUM(BV403,BV290)</f>
        <v>0</v>
      </c>
      <c r="BW69" s="675">
        <f t="shared" si="1911"/>
        <v>0</v>
      </c>
      <c r="BX69" s="549">
        <f t="shared" ref="BX69:BY69" si="1912">SUM(BX403,BX290)</f>
        <v>0</v>
      </c>
      <c r="BY69" s="675">
        <f t="shared" si="1912"/>
        <v>0</v>
      </c>
      <c r="BZ69" s="549">
        <f t="shared" ref="BZ69:CA69" si="1913">SUM(BZ403,BZ290)</f>
        <v>0</v>
      </c>
      <c r="CA69" s="675">
        <f t="shared" si="1913"/>
        <v>0</v>
      </c>
      <c r="CB69" s="549">
        <f t="shared" ref="CB69:EC69" si="1914">SUM(CB403,CB290)</f>
        <v>15000</v>
      </c>
      <c r="CC69" s="675">
        <f t="shared" si="1914"/>
        <v>0</v>
      </c>
      <c r="CD69" s="549">
        <f t="shared" si="1914"/>
        <v>0</v>
      </c>
      <c r="CE69" s="675">
        <f t="shared" si="1914"/>
        <v>0</v>
      </c>
      <c r="CF69" s="549">
        <f t="shared" si="1914"/>
        <v>0</v>
      </c>
      <c r="CG69" s="675">
        <f t="shared" si="1914"/>
        <v>0</v>
      </c>
      <c r="CH69" s="549">
        <f t="shared" si="1914"/>
        <v>0</v>
      </c>
      <c r="CI69" s="675">
        <f t="shared" si="1914"/>
        <v>0</v>
      </c>
      <c r="CJ69" s="549">
        <f t="shared" si="1914"/>
        <v>0</v>
      </c>
      <c r="CK69" s="675">
        <f t="shared" si="1914"/>
        <v>0</v>
      </c>
      <c r="CL69" s="549">
        <f t="shared" si="1914"/>
        <v>0</v>
      </c>
      <c r="CM69" s="675">
        <f t="shared" si="1914"/>
        <v>0</v>
      </c>
      <c r="CN69" s="549">
        <f t="shared" si="1914"/>
        <v>0</v>
      </c>
      <c r="CO69" s="675">
        <f t="shared" si="1914"/>
        <v>0</v>
      </c>
      <c r="CP69" s="549">
        <f t="shared" si="1914"/>
        <v>0</v>
      </c>
      <c r="CQ69" s="675">
        <f t="shared" si="1914"/>
        <v>0</v>
      </c>
      <c r="CR69" s="549">
        <f t="shared" si="1914"/>
        <v>0</v>
      </c>
      <c r="CS69" s="675">
        <f t="shared" si="1914"/>
        <v>0</v>
      </c>
      <c r="CT69" s="549">
        <f t="shared" si="1914"/>
        <v>0</v>
      </c>
      <c r="CU69" s="675">
        <f t="shared" si="1914"/>
        <v>0</v>
      </c>
      <c r="CV69" s="549">
        <f t="shared" si="1914"/>
        <v>0</v>
      </c>
      <c r="CW69" s="675">
        <f t="shared" si="1914"/>
        <v>0</v>
      </c>
      <c r="CX69" s="549">
        <f t="shared" si="1914"/>
        <v>0</v>
      </c>
      <c r="CY69" s="675">
        <f t="shared" si="1914"/>
        <v>0</v>
      </c>
      <c r="CZ69" s="549">
        <f t="shared" si="1914"/>
        <v>0</v>
      </c>
      <c r="DA69" s="675">
        <f t="shared" si="1914"/>
        <v>0</v>
      </c>
      <c r="DB69" s="549">
        <f t="shared" si="1914"/>
        <v>0</v>
      </c>
      <c r="DC69" s="675">
        <f t="shared" si="1914"/>
        <v>0</v>
      </c>
      <c r="DD69" s="549">
        <f t="shared" si="1914"/>
        <v>0</v>
      </c>
      <c r="DE69" s="675">
        <f t="shared" si="1914"/>
        <v>0</v>
      </c>
      <c r="DF69" s="549">
        <f t="shared" si="1914"/>
        <v>0</v>
      </c>
      <c r="DG69" s="675">
        <f t="shared" si="1914"/>
        <v>0</v>
      </c>
      <c r="DH69" s="549">
        <f t="shared" si="1914"/>
        <v>0</v>
      </c>
      <c r="DI69" s="675">
        <f t="shared" si="1914"/>
        <v>0</v>
      </c>
      <c r="DJ69" s="549">
        <f t="shared" si="1914"/>
        <v>0</v>
      </c>
      <c r="DK69" s="675">
        <f t="shared" si="1914"/>
        <v>0</v>
      </c>
      <c r="DL69" s="549">
        <f t="shared" si="1914"/>
        <v>0</v>
      </c>
      <c r="DM69" s="675">
        <f t="shared" si="1914"/>
        <v>0</v>
      </c>
      <c r="DN69" s="549">
        <f t="shared" si="1914"/>
        <v>0</v>
      </c>
      <c r="DO69" s="675">
        <f t="shared" si="1914"/>
        <v>0</v>
      </c>
      <c r="DP69" s="549">
        <f t="shared" si="1914"/>
        <v>0</v>
      </c>
      <c r="DQ69" s="675">
        <f t="shared" si="1914"/>
        <v>0</v>
      </c>
      <c r="DR69" s="549">
        <f t="shared" si="1914"/>
        <v>0</v>
      </c>
      <c r="DS69" s="675">
        <f t="shared" si="1914"/>
        <v>0</v>
      </c>
      <c r="DT69" s="549">
        <f t="shared" si="1914"/>
        <v>0</v>
      </c>
      <c r="DU69" s="675">
        <f t="shared" si="1914"/>
        <v>0</v>
      </c>
      <c r="DV69" s="549">
        <f t="shared" si="1914"/>
        <v>0</v>
      </c>
      <c r="DW69" s="675">
        <f t="shared" si="1914"/>
        <v>0</v>
      </c>
      <c r="DX69" s="549">
        <f t="shared" si="1914"/>
        <v>0</v>
      </c>
      <c r="DY69" s="675">
        <f t="shared" si="1914"/>
        <v>0</v>
      </c>
      <c r="DZ69" s="549">
        <f t="shared" si="1914"/>
        <v>0</v>
      </c>
      <c r="EA69" s="675">
        <f t="shared" si="1914"/>
        <v>0</v>
      </c>
      <c r="EB69" s="549">
        <f t="shared" si="1914"/>
        <v>0</v>
      </c>
      <c r="EC69" s="675">
        <f t="shared" si="1914"/>
        <v>0</v>
      </c>
      <c r="ED69" s="549">
        <f t="shared" ref="ED69:EE69" si="1915">SUM(ED403,ED290)</f>
        <v>16000</v>
      </c>
      <c r="EE69" s="675">
        <f t="shared" si="1915"/>
        <v>0</v>
      </c>
      <c r="EF69" s="549">
        <f t="shared" ref="EF69:HV69" si="1916">SUM(EF403,EF290)</f>
        <v>0</v>
      </c>
      <c r="EG69" s="675">
        <f t="shared" si="1916"/>
        <v>0</v>
      </c>
      <c r="EH69" s="549">
        <f t="shared" si="1916"/>
        <v>0</v>
      </c>
      <c r="EI69" s="675">
        <f t="shared" si="1916"/>
        <v>0</v>
      </c>
      <c r="EJ69" s="549">
        <f t="shared" si="1916"/>
        <v>0</v>
      </c>
      <c r="EK69" s="675">
        <f t="shared" si="1916"/>
        <v>0</v>
      </c>
      <c r="EL69" s="549">
        <f t="shared" si="1916"/>
        <v>0</v>
      </c>
      <c r="EM69" s="675">
        <f t="shared" si="1916"/>
        <v>0</v>
      </c>
      <c r="EN69" s="549">
        <f t="shared" si="1916"/>
        <v>0</v>
      </c>
      <c r="EO69" s="675">
        <f t="shared" si="1916"/>
        <v>0</v>
      </c>
      <c r="EP69" s="549">
        <f t="shared" si="1916"/>
        <v>0</v>
      </c>
      <c r="EQ69" s="675">
        <f t="shared" si="1916"/>
        <v>0</v>
      </c>
      <c r="ER69" s="549">
        <f t="shared" si="1916"/>
        <v>0</v>
      </c>
      <c r="ES69" s="675">
        <f t="shared" si="1916"/>
        <v>0</v>
      </c>
      <c r="ET69" s="549">
        <f t="shared" si="1916"/>
        <v>0</v>
      </c>
      <c r="EU69" s="675">
        <f t="shared" si="1916"/>
        <v>0</v>
      </c>
      <c r="EV69" s="549">
        <f t="shared" si="1916"/>
        <v>0</v>
      </c>
      <c r="EW69" s="675">
        <f t="shared" si="1916"/>
        <v>0</v>
      </c>
      <c r="EX69" s="549">
        <f t="shared" si="1916"/>
        <v>0</v>
      </c>
      <c r="EY69" s="675">
        <f t="shared" si="1916"/>
        <v>0</v>
      </c>
      <c r="EZ69" s="549">
        <f t="shared" si="1916"/>
        <v>0</v>
      </c>
      <c r="FA69" s="675">
        <f t="shared" si="1916"/>
        <v>0</v>
      </c>
      <c r="FB69" s="549">
        <f t="shared" si="1916"/>
        <v>0</v>
      </c>
      <c r="FC69" s="675">
        <f t="shared" si="1916"/>
        <v>0</v>
      </c>
      <c r="FD69" s="549">
        <f t="shared" si="1916"/>
        <v>0</v>
      </c>
      <c r="FE69" s="675">
        <f t="shared" si="1916"/>
        <v>0</v>
      </c>
      <c r="FF69" s="549">
        <f t="shared" si="1916"/>
        <v>0</v>
      </c>
      <c r="FG69" s="675">
        <f t="shared" si="1916"/>
        <v>0</v>
      </c>
      <c r="FH69" s="549">
        <f t="shared" si="1916"/>
        <v>0</v>
      </c>
      <c r="FI69" s="675">
        <f t="shared" si="1916"/>
        <v>0</v>
      </c>
      <c r="FJ69" s="549">
        <f t="shared" si="1916"/>
        <v>0</v>
      </c>
      <c r="FK69" s="675">
        <f t="shared" si="1916"/>
        <v>0</v>
      </c>
      <c r="FL69" s="549">
        <f t="shared" ref="FL69:FM69" si="1917">SUM(FL403,FL290)</f>
        <v>0</v>
      </c>
      <c r="FM69" s="675">
        <f t="shared" si="1917"/>
        <v>-15000</v>
      </c>
      <c r="FN69" s="549">
        <f t="shared" ref="FN69:FO69" si="1918">SUM(FN403,FN290)</f>
        <v>0</v>
      </c>
      <c r="FO69" s="675">
        <f t="shared" si="1918"/>
        <v>0</v>
      </c>
      <c r="FP69" s="549">
        <f t="shared" ref="FP69:FQ69" si="1919">SUM(FP403,FP290)</f>
        <v>0</v>
      </c>
      <c r="FQ69" s="675">
        <f t="shared" si="1919"/>
        <v>0</v>
      </c>
      <c r="FR69" s="549">
        <f t="shared" ref="FR69:FS69" si="1920">SUM(FR403,FR290)</f>
        <v>0</v>
      </c>
      <c r="FS69" s="675">
        <f t="shared" si="1920"/>
        <v>0</v>
      </c>
      <c r="FT69" s="549">
        <f t="shared" ref="FT69:FU69" si="1921">SUM(FT403,FT290)</f>
        <v>0</v>
      </c>
      <c r="FU69" s="675">
        <f t="shared" si="1921"/>
        <v>0</v>
      </c>
      <c r="FV69" s="549">
        <f t="shared" ref="FV69:GK69" si="1922">SUM(FV403,FV290)</f>
        <v>0</v>
      </c>
      <c r="FW69" s="675">
        <f t="shared" si="1922"/>
        <v>0</v>
      </c>
      <c r="FX69" s="549">
        <f t="shared" si="1922"/>
        <v>0</v>
      </c>
      <c r="FY69" s="675">
        <f t="shared" si="1922"/>
        <v>0</v>
      </c>
      <c r="FZ69" s="549">
        <f t="shared" ref="FZ69:GI69" si="1923">SUM(FZ403,FZ290)</f>
        <v>0</v>
      </c>
      <c r="GA69" s="675">
        <f t="shared" si="1923"/>
        <v>0</v>
      </c>
      <c r="GB69" s="549">
        <f t="shared" si="1923"/>
        <v>0</v>
      </c>
      <c r="GC69" s="675">
        <f t="shared" si="1923"/>
        <v>0</v>
      </c>
      <c r="GD69" s="549">
        <f t="shared" si="1923"/>
        <v>0</v>
      </c>
      <c r="GE69" s="675">
        <f t="shared" si="1923"/>
        <v>0</v>
      </c>
      <c r="GF69" s="549">
        <f t="shared" si="1923"/>
        <v>0</v>
      </c>
      <c r="GG69" s="675">
        <f t="shared" si="1923"/>
        <v>0</v>
      </c>
      <c r="GH69" s="549">
        <f t="shared" si="1923"/>
        <v>0</v>
      </c>
      <c r="GI69" s="675">
        <f t="shared" si="1923"/>
        <v>0</v>
      </c>
      <c r="GJ69" s="549">
        <f t="shared" si="1922"/>
        <v>0</v>
      </c>
      <c r="GK69" s="675">
        <f t="shared" si="1922"/>
        <v>0</v>
      </c>
      <c r="GL69" s="549">
        <f t="shared" ref="GL69:GM69" si="1924">SUM(GL403,GL290)</f>
        <v>0</v>
      </c>
      <c r="GM69" s="675">
        <f t="shared" si="1924"/>
        <v>0</v>
      </c>
      <c r="GN69" s="549">
        <f t="shared" ref="GN69:GO69" si="1925">SUM(GN403,GN290)</f>
        <v>0</v>
      </c>
      <c r="GO69" s="675">
        <f t="shared" si="1925"/>
        <v>0</v>
      </c>
      <c r="GP69" s="74">
        <f t="shared" si="1916"/>
        <v>35000</v>
      </c>
      <c r="GQ69" s="675">
        <f t="shared" si="1916"/>
        <v>-15000</v>
      </c>
      <c r="GR69" s="74">
        <f t="shared" si="1916"/>
        <v>166100</v>
      </c>
      <c r="GS69" s="74">
        <f t="shared" si="1916"/>
        <v>166100</v>
      </c>
      <c r="GT69" s="74">
        <f t="shared" si="1916"/>
        <v>166100</v>
      </c>
      <c r="GU69" s="74">
        <f t="shared" si="1916"/>
        <v>36525</v>
      </c>
      <c r="GV69" s="74">
        <f t="shared" si="1916"/>
        <v>0</v>
      </c>
      <c r="GW69" s="74">
        <f t="shared" si="1916"/>
        <v>0</v>
      </c>
      <c r="GX69" s="74">
        <f t="shared" si="1916"/>
        <v>36525</v>
      </c>
      <c r="GY69" s="74">
        <f t="shared" si="1916"/>
        <v>0</v>
      </c>
      <c r="GZ69" s="74">
        <f t="shared" si="1916"/>
        <v>0</v>
      </c>
      <c r="HA69" s="74">
        <f t="shared" si="1916"/>
        <v>36525</v>
      </c>
      <c r="HB69" s="74">
        <f t="shared" si="1916"/>
        <v>0</v>
      </c>
      <c r="HC69" s="74">
        <f t="shared" si="1916"/>
        <v>36525</v>
      </c>
      <c r="HD69" s="74">
        <f t="shared" si="1916"/>
        <v>0</v>
      </c>
      <c r="HE69" s="74">
        <f t="shared" si="1916"/>
        <v>0</v>
      </c>
      <c r="HF69" s="74">
        <f t="shared" si="1916"/>
        <v>0</v>
      </c>
      <c r="HG69" s="74">
        <f t="shared" si="1916"/>
        <v>166100</v>
      </c>
      <c r="HH69" s="74">
        <f t="shared" si="1916"/>
        <v>36525</v>
      </c>
      <c r="HI69" s="74">
        <f t="shared" si="1916"/>
        <v>0</v>
      </c>
      <c r="HJ69" s="74">
        <f t="shared" si="1916"/>
        <v>0</v>
      </c>
      <c r="HK69" s="74">
        <f t="shared" si="1916"/>
        <v>0</v>
      </c>
      <c r="HL69" s="74">
        <f t="shared" si="1916"/>
        <v>4000</v>
      </c>
      <c r="HM69" s="74">
        <f t="shared" si="1916"/>
        <v>0</v>
      </c>
      <c r="HN69" s="74">
        <f t="shared" si="1916"/>
        <v>36525</v>
      </c>
      <c r="HO69" s="74">
        <f t="shared" si="1916"/>
        <v>0</v>
      </c>
      <c r="HP69" s="74">
        <f t="shared" si="1916"/>
        <v>0</v>
      </c>
      <c r="HQ69" s="74">
        <f t="shared" si="1916"/>
        <v>0</v>
      </c>
      <c r="HR69" s="74">
        <f t="shared" si="1916"/>
        <v>15000</v>
      </c>
      <c r="HS69" s="74">
        <f t="shared" si="1916"/>
        <v>0</v>
      </c>
      <c r="HT69" s="74">
        <f t="shared" si="1916"/>
        <v>23494.31</v>
      </c>
      <c r="HU69" s="74">
        <f t="shared" si="1916"/>
        <v>0</v>
      </c>
      <c r="HV69" s="74">
        <f t="shared" si="1916"/>
        <v>13030.69</v>
      </c>
      <c r="HW69" s="74">
        <f t="shared" ref="HW69:JT69" si="1926">SUM(HW403,HW290)</f>
        <v>0</v>
      </c>
      <c r="HX69" s="74">
        <f t="shared" si="1926"/>
        <v>36525</v>
      </c>
      <c r="HY69" s="74">
        <f t="shared" si="1926"/>
        <v>0</v>
      </c>
      <c r="HZ69" s="74">
        <f t="shared" si="1926"/>
        <v>-15000</v>
      </c>
      <c r="IA69" s="74">
        <f t="shared" si="1926"/>
        <v>0</v>
      </c>
      <c r="IB69" s="74">
        <f t="shared" si="1926"/>
        <v>0</v>
      </c>
      <c r="IC69" s="74">
        <f t="shared" si="1926"/>
        <v>0</v>
      </c>
      <c r="ID69" s="74">
        <f t="shared" si="1926"/>
        <v>0</v>
      </c>
      <c r="IE69" s="792">
        <f t="shared" si="1926"/>
        <v>0</v>
      </c>
      <c r="IF69" s="841">
        <f t="shared" si="1926"/>
        <v>155975</v>
      </c>
      <c r="IG69" s="263">
        <f t="shared" si="1926"/>
        <v>155975</v>
      </c>
      <c r="IH69" s="842">
        <f t="shared" si="1926"/>
        <v>155975</v>
      </c>
      <c r="II69" s="155">
        <f t="shared" si="1926"/>
        <v>0</v>
      </c>
      <c r="IJ69" s="74">
        <f t="shared" si="1926"/>
        <v>0</v>
      </c>
      <c r="IK69" s="74">
        <f t="shared" si="1926"/>
        <v>0</v>
      </c>
      <c r="IL69" s="74">
        <f t="shared" si="1926"/>
        <v>22450</v>
      </c>
      <c r="IM69" s="74">
        <f t="shared" si="1926"/>
        <v>22450</v>
      </c>
      <c r="IN69" s="74">
        <f t="shared" si="1926"/>
        <v>22450</v>
      </c>
      <c r="IO69" s="74">
        <f t="shared" si="1926"/>
        <v>17700</v>
      </c>
      <c r="IP69" s="74">
        <f t="shared" si="1926"/>
        <v>17700</v>
      </c>
      <c r="IQ69" s="74">
        <f t="shared" si="1926"/>
        <v>17700</v>
      </c>
      <c r="IR69" s="74">
        <f t="shared" si="1926"/>
        <v>7800</v>
      </c>
      <c r="IS69" s="74">
        <f t="shared" si="1926"/>
        <v>7800</v>
      </c>
      <c r="IT69" s="74">
        <f t="shared" si="1926"/>
        <v>7800</v>
      </c>
      <c r="IU69" s="74">
        <f t="shared" si="1926"/>
        <v>16900</v>
      </c>
      <c r="IV69" s="74">
        <f t="shared" si="1926"/>
        <v>16900</v>
      </c>
      <c r="IW69" s="74">
        <f t="shared" si="1926"/>
        <v>16900</v>
      </c>
      <c r="IX69" s="74">
        <f t="shared" si="1926"/>
        <v>18425</v>
      </c>
      <c r="IY69" s="74">
        <f t="shared" si="1926"/>
        <v>18425</v>
      </c>
      <c r="IZ69" s="74">
        <f t="shared" si="1926"/>
        <v>18425</v>
      </c>
      <c r="JA69" s="74">
        <f t="shared" si="1926"/>
        <v>8300</v>
      </c>
      <c r="JB69" s="74">
        <f t="shared" si="1926"/>
        <v>8300</v>
      </c>
      <c r="JC69" s="74">
        <f t="shared" si="1926"/>
        <v>8300</v>
      </c>
      <c r="JD69" s="74">
        <f t="shared" si="1926"/>
        <v>16000</v>
      </c>
      <c r="JE69" s="74">
        <f t="shared" si="1926"/>
        <v>16000</v>
      </c>
      <c r="JF69" s="74">
        <f t="shared" si="1926"/>
        <v>16000</v>
      </c>
      <c r="JG69" s="74">
        <f t="shared" si="1926"/>
        <v>17800</v>
      </c>
      <c r="JH69" s="74">
        <f t="shared" si="1926"/>
        <v>17800</v>
      </c>
      <c r="JI69" s="74">
        <f t="shared" si="1926"/>
        <v>17800</v>
      </c>
      <c r="JJ69" s="74">
        <f t="shared" si="1926"/>
        <v>30600</v>
      </c>
      <c r="JK69" s="74">
        <f t="shared" si="1926"/>
        <v>30600</v>
      </c>
      <c r="JL69" s="74">
        <f t="shared" si="1926"/>
        <v>30600</v>
      </c>
      <c r="JM69" s="74">
        <f t="shared" si="1926"/>
        <v>0</v>
      </c>
      <c r="JN69" s="74">
        <f t="shared" si="1926"/>
        <v>0</v>
      </c>
      <c r="JO69" s="74">
        <f t="shared" si="1926"/>
        <v>0</v>
      </c>
      <c r="JP69" s="74">
        <f t="shared" si="1926"/>
        <v>0</v>
      </c>
      <c r="JQ69" s="74">
        <f t="shared" si="1926"/>
        <v>0</v>
      </c>
      <c r="JR69" s="74">
        <f t="shared" si="1926"/>
        <v>0</v>
      </c>
      <c r="JS69" s="74">
        <f t="shared" si="1926"/>
        <v>10125</v>
      </c>
      <c r="JT69" s="74">
        <f t="shared" si="1926"/>
        <v>10125</v>
      </c>
      <c r="JU69" s="671"/>
      <c r="JV69" s="492"/>
      <c r="JW69" s="490"/>
      <c r="JX69" s="74">
        <f t="shared" si="1897"/>
        <v>150100</v>
      </c>
      <c r="JY69" s="74">
        <f t="shared" si="1897"/>
        <v>0</v>
      </c>
      <c r="JZ69" s="581">
        <f t="shared" si="42"/>
        <v>35000</v>
      </c>
      <c r="KA69" s="581">
        <f t="shared" si="43"/>
        <v>-15000</v>
      </c>
      <c r="KB69" s="74">
        <f>SUM(KB403,KB290)</f>
        <v>166100</v>
      </c>
      <c r="KC69" s="709">
        <f t="shared" si="41"/>
        <v>0</v>
      </c>
      <c r="KD69" s="131" t="s">
        <v>124</v>
      </c>
      <c r="KE69" s="127" t="s">
        <v>125</v>
      </c>
      <c r="KF69" s="127" t="e">
        <f>KF43+KF29</f>
        <v>#REF!</v>
      </c>
      <c r="KG69" s="127" t="e">
        <f t="shared" ref="KG69:KH71" si="1927">KG43</f>
        <v>#REF!</v>
      </c>
      <c r="KH69" s="127" t="e">
        <f t="shared" si="1927"/>
        <v>#REF!</v>
      </c>
      <c r="KI69" s="127" t="e">
        <f t="shared" ref="KI69:KK70" si="1928">KI43+KI29</f>
        <v>#REF!</v>
      </c>
      <c r="KJ69" s="127" t="e">
        <f t="shared" si="1928"/>
        <v>#REF!</v>
      </c>
      <c r="KK69" s="127" t="e">
        <f t="shared" si="1928"/>
        <v>#REF!</v>
      </c>
    </row>
    <row r="70" spans="1:297" s="8" customFormat="1">
      <c r="A70" s="75">
        <v>143</v>
      </c>
      <c r="B70" s="72" t="s">
        <v>103</v>
      </c>
      <c r="C70" s="74">
        <f t="shared" ref="C70:BP70" si="1929">SUM(C404,C291)</f>
        <v>19500</v>
      </c>
      <c r="D70" s="549">
        <f t="shared" si="1929"/>
        <v>0</v>
      </c>
      <c r="E70" s="675">
        <f t="shared" si="1929"/>
        <v>0</v>
      </c>
      <c r="F70" s="549">
        <f t="shared" si="1929"/>
        <v>0</v>
      </c>
      <c r="G70" s="675">
        <f t="shared" si="1929"/>
        <v>0</v>
      </c>
      <c r="H70" s="549">
        <f t="shared" si="1929"/>
        <v>0</v>
      </c>
      <c r="I70" s="675">
        <f t="shared" si="1929"/>
        <v>0</v>
      </c>
      <c r="J70" s="549">
        <f t="shared" si="1929"/>
        <v>0</v>
      </c>
      <c r="K70" s="675">
        <f t="shared" si="1929"/>
        <v>0</v>
      </c>
      <c r="L70" s="549">
        <f t="shared" si="1929"/>
        <v>0</v>
      </c>
      <c r="M70" s="675">
        <f t="shared" si="1929"/>
        <v>0</v>
      </c>
      <c r="N70" s="549">
        <f t="shared" si="1929"/>
        <v>0</v>
      </c>
      <c r="O70" s="675">
        <f t="shared" si="1929"/>
        <v>0</v>
      </c>
      <c r="P70" s="549">
        <f t="shared" si="1929"/>
        <v>0</v>
      </c>
      <c r="Q70" s="675">
        <f t="shared" si="1929"/>
        <v>0</v>
      </c>
      <c r="R70" s="549">
        <f t="shared" si="1929"/>
        <v>0</v>
      </c>
      <c r="S70" s="675">
        <f t="shared" si="1929"/>
        <v>0</v>
      </c>
      <c r="T70" s="549">
        <f t="shared" si="1929"/>
        <v>0</v>
      </c>
      <c r="U70" s="675">
        <f t="shared" si="1929"/>
        <v>0</v>
      </c>
      <c r="V70" s="549">
        <f t="shared" si="1929"/>
        <v>0</v>
      </c>
      <c r="W70" s="675">
        <f t="shared" si="1929"/>
        <v>0</v>
      </c>
      <c r="X70" s="549">
        <f t="shared" si="1929"/>
        <v>0</v>
      </c>
      <c r="Y70" s="675">
        <f t="shared" si="1929"/>
        <v>0</v>
      </c>
      <c r="Z70" s="549">
        <f t="shared" si="1929"/>
        <v>0</v>
      </c>
      <c r="AA70" s="675">
        <f t="shared" si="1929"/>
        <v>0</v>
      </c>
      <c r="AB70" s="549">
        <f t="shared" si="1929"/>
        <v>0</v>
      </c>
      <c r="AC70" s="675">
        <f t="shared" si="1929"/>
        <v>0</v>
      </c>
      <c r="AD70" s="549">
        <f t="shared" si="1929"/>
        <v>0</v>
      </c>
      <c r="AE70" s="675">
        <f t="shared" si="1929"/>
        <v>0</v>
      </c>
      <c r="AF70" s="549">
        <f t="shared" si="1929"/>
        <v>0</v>
      </c>
      <c r="AG70" s="675">
        <f t="shared" si="1929"/>
        <v>0</v>
      </c>
      <c r="AH70" s="549">
        <f t="shared" si="1929"/>
        <v>0</v>
      </c>
      <c r="AI70" s="675">
        <f t="shared" si="1929"/>
        <v>0</v>
      </c>
      <c r="AJ70" s="549">
        <f t="shared" si="1929"/>
        <v>0</v>
      </c>
      <c r="AK70" s="675">
        <f t="shared" si="1929"/>
        <v>0</v>
      </c>
      <c r="AL70" s="549">
        <f t="shared" si="1929"/>
        <v>0</v>
      </c>
      <c r="AM70" s="675">
        <f t="shared" si="1929"/>
        <v>0</v>
      </c>
      <c r="AN70" s="549">
        <f t="shared" si="1929"/>
        <v>0</v>
      </c>
      <c r="AO70" s="675">
        <f t="shared" si="1929"/>
        <v>0</v>
      </c>
      <c r="AP70" s="549">
        <f t="shared" si="1929"/>
        <v>0</v>
      </c>
      <c r="AQ70" s="675">
        <f t="shared" si="1929"/>
        <v>0</v>
      </c>
      <c r="AR70" s="549">
        <f t="shared" si="1929"/>
        <v>0</v>
      </c>
      <c r="AS70" s="675">
        <f t="shared" si="1929"/>
        <v>0</v>
      </c>
      <c r="AT70" s="549">
        <f t="shared" ref="AT70:AU70" si="1930">SUM(AT404,AT291)</f>
        <v>0</v>
      </c>
      <c r="AU70" s="675">
        <f t="shared" si="1930"/>
        <v>0</v>
      </c>
      <c r="AV70" s="549">
        <f t="shared" ref="AV70:AW70" si="1931">SUM(AV404,AV291)</f>
        <v>0</v>
      </c>
      <c r="AW70" s="675">
        <f t="shared" si="1931"/>
        <v>0</v>
      </c>
      <c r="AX70" s="549">
        <f t="shared" ref="AX70:AY70" si="1932">SUM(AX404,AX291)</f>
        <v>0</v>
      </c>
      <c r="AY70" s="675">
        <f t="shared" si="1932"/>
        <v>0</v>
      </c>
      <c r="AZ70" s="549">
        <f t="shared" ref="AZ70:BA70" si="1933">SUM(AZ404,AZ291)</f>
        <v>0</v>
      </c>
      <c r="BA70" s="675">
        <f t="shared" si="1933"/>
        <v>0</v>
      </c>
      <c r="BB70" s="549">
        <f t="shared" ref="BB70:BC70" si="1934">SUM(BB404,BB291)</f>
        <v>0</v>
      </c>
      <c r="BC70" s="675">
        <f t="shared" si="1934"/>
        <v>0</v>
      </c>
      <c r="BD70" s="549">
        <f t="shared" ref="BD70:BE70" si="1935">SUM(BD404,BD291)</f>
        <v>0</v>
      </c>
      <c r="BE70" s="675">
        <f t="shared" si="1935"/>
        <v>0</v>
      </c>
      <c r="BF70" s="549">
        <f t="shared" ref="BF70:BG70" si="1936">SUM(BF404,BF291)</f>
        <v>0</v>
      </c>
      <c r="BG70" s="675">
        <f t="shared" si="1936"/>
        <v>0</v>
      </c>
      <c r="BH70" s="549">
        <f t="shared" ref="BH70:BI70" si="1937">SUM(BH404,BH291)</f>
        <v>0</v>
      </c>
      <c r="BI70" s="675">
        <f t="shared" si="1937"/>
        <v>0</v>
      </c>
      <c r="BJ70" s="549">
        <f t="shared" ref="BJ70:BK70" si="1938">SUM(BJ404,BJ291)</f>
        <v>0</v>
      </c>
      <c r="BK70" s="675">
        <f t="shared" si="1938"/>
        <v>0</v>
      </c>
      <c r="BL70" s="549">
        <f t="shared" si="1929"/>
        <v>0</v>
      </c>
      <c r="BM70" s="675">
        <f t="shared" si="1929"/>
        <v>0</v>
      </c>
      <c r="BN70" s="549">
        <f t="shared" si="1929"/>
        <v>0</v>
      </c>
      <c r="BO70" s="675">
        <f t="shared" si="1929"/>
        <v>0</v>
      </c>
      <c r="BP70" s="549">
        <f t="shared" si="1929"/>
        <v>0</v>
      </c>
      <c r="BQ70" s="675">
        <f t="shared" ref="BQ70" si="1939">SUM(BQ404,BQ291)</f>
        <v>0</v>
      </c>
      <c r="BR70" s="549">
        <f t="shared" ref="BR70:BS70" si="1940">SUM(BR404,BR291)</f>
        <v>0</v>
      </c>
      <c r="BS70" s="675">
        <f t="shared" si="1940"/>
        <v>0</v>
      </c>
      <c r="BT70" s="549">
        <f t="shared" ref="BT70:BU70" si="1941">SUM(BT404,BT291)</f>
        <v>0</v>
      </c>
      <c r="BU70" s="675">
        <f t="shared" si="1941"/>
        <v>0</v>
      </c>
      <c r="BV70" s="549">
        <f t="shared" ref="BV70:BW70" si="1942">SUM(BV404,BV291)</f>
        <v>0</v>
      </c>
      <c r="BW70" s="675">
        <f t="shared" si="1942"/>
        <v>0</v>
      </c>
      <c r="BX70" s="549">
        <f t="shared" ref="BX70:BY70" si="1943">SUM(BX404,BX291)</f>
        <v>0</v>
      </c>
      <c r="BY70" s="675">
        <f t="shared" si="1943"/>
        <v>0</v>
      </c>
      <c r="BZ70" s="549">
        <f t="shared" ref="BZ70:CA70" si="1944">SUM(BZ404,BZ291)</f>
        <v>0</v>
      </c>
      <c r="CA70" s="675">
        <f t="shared" si="1944"/>
        <v>0</v>
      </c>
      <c r="CB70" s="549">
        <f t="shared" ref="CB70:EC70" si="1945">SUM(CB404,CB291)</f>
        <v>0</v>
      </c>
      <c r="CC70" s="675">
        <f t="shared" si="1945"/>
        <v>0</v>
      </c>
      <c r="CD70" s="549">
        <f t="shared" si="1945"/>
        <v>0</v>
      </c>
      <c r="CE70" s="675">
        <f t="shared" si="1945"/>
        <v>0</v>
      </c>
      <c r="CF70" s="549">
        <f t="shared" si="1945"/>
        <v>0</v>
      </c>
      <c r="CG70" s="675">
        <f t="shared" si="1945"/>
        <v>0</v>
      </c>
      <c r="CH70" s="549">
        <f t="shared" si="1945"/>
        <v>5000</v>
      </c>
      <c r="CI70" s="675">
        <f t="shared" si="1945"/>
        <v>0</v>
      </c>
      <c r="CJ70" s="549">
        <f t="shared" si="1945"/>
        <v>0</v>
      </c>
      <c r="CK70" s="675">
        <f t="shared" si="1945"/>
        <v>0</v>
      </c>
      <c r="CL70" s="549">
        <f t="shared" si="1945"/>
        <v>0</v>
      </c>
      <c r="CM70" s="675">
        <f t="shared" si="1945"/>
        <v>0</v>
      </c>
      <c r="CN70" s="549">
        <f t="shared" si="1945"/>
        <v>0</v>
      </c>
      <c r="CO70" s="675">
        <f t="shared" si="1945"/>
        <v>0</v>
      </c>
      <c r="CP70" s="549">
        <f t="shared" si="1945"/>
        <v>0</v>
      </c>
      <c r="CQ70" s="675">
        <f t="shared" si="1945"/>
        <v>0</v>
      </c>
      <c r="CR70" s="549">
        <f t="shared" si="1945"/>
        <v>0</v>
      </c>
      <c r="CS70" s="675">
        <f t="shared" si="1945"/>
        <v>0</v>
      </c>
      <c r="CT70" s="549">
        <f t="shared" si="1945"/>
        <v>0</v>
      </c>
      <c r="CU70" s="675">
        <f t="shared" si="1945"/>
        <v>0</v>
      </c>
      <c r="CV70" s="549">
        <f t="shared" si="1945"/>
        <v>0</v>
      </c>
      <c r="CW70" s="675">
        <f t="shared" si="1945"/>
        <v>0</v>
      </c>
      <c r="CX70" s="549">
        <f t="shared" si="1945"/>
        <v>0</v>
      </c>
      <c r="CY70" s="675">
        <f t="shared" si="1945"/>
        <v>0</v>
      </c>
      <c r="CZ70" s="549">
        <f t="shared" si="1945"/>
        <v>10000</v>
      </c>
      <c r="DA70" s="675">
        <f t="shared" si="1945"/>
        <v>0</v>
      </c>
      <c r="DB70" s="549">
        <f t="shared" si="1945"/>
        <v>0</v>
      </c>
      <c r="DC70" s="675">
        <f t="shared" si="1945"/>
        <v>0</v>
      </c>
      <c r="DD70" s="549">
        <f t="shared" si="1945"/>
        <v>0</v>
      </c>
      <c r="DE70" s="675">
        <f t="shared" si="1945"/>
        <v>0</v>
      </c>
      <c r="DF70" s="549">
        <f t="shared" si="1945"/>
        <v>0</v>
      </c>
      <c r="DG70" s="675">
        <f t="shared" si="1945"/>
        <v>0</v>
      </c>
      <c r="DH70" s="549">
        <f t="shared" si="1945"/>
        <v>0</v>
      </c>
      <c r="DI70" s="675">
        <f t="shared" si="1945"/>
        <v>0</v>
      </c>
      <c r="DJ70" s="549">
        <f t="shared" si="1945"/>
        <v>0</v>
      </c>
      <c r="DK70" s="675">
        <f t="shared" si="1945"/>
        <v>0</v>
      </c>
      <c r="DL70" s="549">
        <f t="shared" si="1945"/>
        <v>0</v>
      </c>
      <c r="DM70" s="675">
        <f t="shared" si="1945"/>
        <v>0</v>
      </c>
      <c r="DN70" s="549">
        <f t="shared" si="1945"/>
        <v>0</v>
      </c>
      <c r="DO70" s="675">
        <f t="shared" si="1945"/>
        <v>0</v>
      </c>
      <c r="DP70" s="549">
        <f t="shared" si="1945"/>
        <v>0</v>
      </c>
      <c r="DQ70" s="675">
        <f t="shared" si="1945"/>
        <v>0</v>
      </c>
      <c r="DR70" s="549">
        <f t="shared" si="1945"/>
        <v>0</v>
      </c>
      <c r="DS70" s="675">
        <f t="shared" si="1945"/>
        <v>0</v>
      </c>
      <c r="DT70" s="549">
        <f t="shared" si="1945"/>
        <v>0</v>
      </c>
      <c r="DU70" s="675">
        <f t="shared" si="1945"/>
        <v>0</v>
      </c>
      <c r="DV70" s="549">
        <f t="shared" si="1945"/>
        <v>0</v>
      </c>
      <c r="DW70" s="675">
        <f t="shared" si="1945"/>
        <v>0</v>
      </c>
      <c r="DX70" s="549">
        <f t="shared" si="1945"/>
        <v>0</v>
      </c>
      <c r="DY70" s="675">
        <f t="shared" si="1945"/>
        <v>0</v>
      </c>
      <c r="DZ70" s="549">
        <f t="shared" si="1945"/>
        <v>0</v>
      </c>
      <c r="EA70" s="675">
        <f t="shared" si="1945"/>
        <v>0</v>
      </c>
      <c r="EB70" s="549">
        <f t="shared" si="1945"/>
        <v>0</v>
      </c>
      <c r="EC70" s="675">
        <f t="shared" si="1945"/>
        <v>0</v>
      </c>
      <c r="ED70" s="549">
        <f t="shared" ref="ED70:EE70" si="1946">SUM(ED404,ED291)</f>
        <v>0</v>
      </c>
      <c r="EE70" s="675">
        <f t="shared" si="1946"/>
        <v>0</v>
      </c>
      <c r="EF70" s="549">
        <f t="shared" ref="EF70:HV70" si="1947">SUM(EF404,EF291)</f>
        <v>0</v>
      </c>
      <c r="EG70" s="675">
        <f t="shared" si="1947"/>
        <v>0</v>
      </c>
      <c r="EH70" s="549">
        <f t="shared" si="1947"/>
        <v>0</v>
      </c>
      <c r="EI70" s="675">
        <f t="shared" si="1947"/>
        <v>0</v>
      </c>
      <c r="EJ70" s="549">
        <f t="shared" si="1947"/>
        <v>0</v>
      </c>
      <c r="EK70" s="675">
        <f t="shared" si="1947"/>
        <v>0</v>
      </c>
      <c r="EL70" s="549">
        <f t="shared" si="1947"/>
        <v>0</v>
      </c>
      <c r="EM70" s="675">
        <f t="shared" si="1947"/>
        <v>0</v>
      </c>
      <c r="EN70" s="549">
        <f t="shared" si="1947"/>
        <v>0</v>
      </c>
      <c r="EO70" s="675">
        <f t="shared" si="1947"/>
        <v>0</v>
      </c>
      <c r="EP70" s="549">
        <f t="shared" si="1947"/>
        <v>0</v>
      </c>
      <c r="EQ70" s="675">
        <f t="shared" si="1947"/>
        <v>0</v>
      </c>
      <c r="ER70" s="549">
        <f t="shared" si="1947"/>
        <v>0</v>
      </c>
      <c r="ES70" s="675">
        <f t="shared" si="1947"/>
        <v>0</v>
      </c>
      <c r="ET70" s="549">
        <f t="shared" si="1947"/>
        <v>0</v>
      </c>
      <c r="EU70" s="675">
        <f t="shared" si="1947"/>
        <v>0</v>
      </c>
      <c r="EV70" s="549">
        <f t="shared" si="1947"/>
        <v>0</v>
      </c>
      <c r="EW70" s="675">
        <f t="shared" si="1947"/>
        <v>0</v>
      </c>
      <c r="EX70" s="549">
        <f t="shared" si="1947"/>
        <v>0</v>
      </c>
      <c r="EY70" s="675">
        <f t="shared" si="1947"/>
        <v>0</v>
      </c>
      <c r="EZ70" s="549">
        <f t="shared" si="1947"/>
        <v>0</v>
      </c>
      <c r="FA70" s="675">
        <f t="shared" si="1947"/>
        <v>0</v>
      </c>
      <c r="FB70" s="549">
        <f t="shared" si="1947"/>
        <v>0</v>
      </c>
      <c r="FC70" s="675">
        <f t="shared" si="1947"/>
        <v>0</v>
      </c>
      <c r="FD70" s="549">
        <f t="shared" si="1947"/>
        <v>0</v>
      </c>
      <c r="FE70" s="675">
        <f t="shared" si="1947"/>
        <v>0</v>
      </c>
      <c r="FF70" s="549">
        <f t="shared" si="1947"/>
        <v>0</v>
      </c>
      <c r="FG70" s="675">
        <f t="shared" si="1947"/>
        <v>0</v>
      </c>
      <c r="FH70" s="549">
        <f t="shared" si="1947"/>
        <v>0</v>
      </c>
      <c r="FI70" s="675">
        <f t="shared" si="1947"/>
        <v>0</v>
      </c>
      <c r="FJ70" s="549">
        <f t="shared" si="1947"/>
        <v>0</v>
      </c>
      <c r="FK70" s="675">
        <f t="shared" si="1947"/>
        <v>0</v>
      </c>
      <c r="FL70" s="549">
        <f t="shared" ref="FL70:FM70" si="1948">SUM(FL404,FL291)</f>
        <v>5000</v>
      </c>
      <c r="FM70" s="675">
        <f t="shared" si="1948"/>
        <v>0</v>
      </c>
      <c r="FN70" s="549">
        <f t="shared" ref="FN70:FO70" si="1949">SUM(FN404,FN291)</f>
        <v>0</v>
      </c>
      <c r="FO70" s="675">
        <f t="shared" si="1949"/>
        <v>0</v>
      </c>
      <c r="FP70" s="549">
        <f t="shared" ref="FP70:FQ70" si="1950">SUM(FP404,FP291)</f>
        <v>0</v>
      </c>
      <c r="FQ70" s="675">
        <f t="shared" si="1950"/>
        <v>0</v>
      </c>
      <c r="FR70" s="549">
        <f t="shared" ref="FR70:FS70" si="1951">SUM(FR404,FR291)</f>
        <v>0</v>
      </c>
      <c r="FS70" s="675">
        <f t="shared" si="1951"/>
        <v>0</v>
      </c>
      <c r="FT70" s="549">
        <f t="shared" ref="FT70:FU70" si="1952">SUM(FT404,FT291)</f>
        <v>0</v>
      </c>
      <c r="FU70" s="675">
        <f t="shared" si="1952"/>
        <v>0</v>
      </c>
      <c r="FV70" s="549">
        <f t="shared" ref="FV70:GK70" si="1953">SUM(FV404,FV291)</f>
        <v>0</v>
      </c>
      <c r="FW70" s="675">
        <f t="shared" si="1953"/>
        <v>0</v>
      </c>
      <c r="FX70" s="549">
        <f t="shared" si="1953"/>
        <v>0</v>
      </c>
      <c r="FY70" s="675">
        <f t="shared" si="1953"/>
        <v>0</v>
      </c>
      <c r="FZ70" s="549">
        <f t="shared" ref="FZ70:GI70" si="1954">SUM(FZ404,FZ291)</f>
        <v>0</v>
      </c>
      <c r="GA70" s="675">
        <f t="shared" si="1954"/>
        <v>0</v>
      </c>
      <c r="GB70" s="549">
        <f t="shared" si="1954"/>
        <v>0</v>
      </c>
      <c r="GC70" s="675">
        <f t="shared" si="1954"/>
        <v>0</v>
      </c>
      <c r="GD70" s="549">
        <f t="shared" si="1954"/>
        <v>0</v>
      </c>
      <c r="GE70" s="675">
        <f t="shared" si="1954"/>
        <v>0</v>
      </c>
      <c r="GF70" s="549">
        <f t="shared" si="1954"/>
        <v>0</v>
      </c>
      <c r="GG70" s="675">
        <f t="shared" si="1954"/>
        <v>0</v>
      </c>
      <c r="GH70" s="549">
        <f t="shared" si="1954"/>
        <v>0</v>
      </c>
      <c r="GI70" s="675">
        <f t="shared" si="1954"/>
        <v>0</v>
      </c>
      <c r="GJ70" s="549">
        <f t="shared" si="1953"/>
        <v>0</v>
      </c>
      <c r="GK70" s="675">
        <f t="shared" si="1953"/>
        <v>0</v>
      </c>
      <c r="GL70" s="549">
        <f t="shared" ref="GL70:GM70" si="1955">SUM(GL404,GL291)</f>
        <v>0</v>
      </c>
      <c r="GM70" s="675">
        <f t="shared" si="1955"/>
        <v>0</v>
      </c>
      <c r="GN70" s="549">
        <f t="shared" ref="GN70:GO70" si="1956">SUM(GN404,GN291)</f>
        <v>0</v>
      </c>
      <c r="GO70" s="675">
        <f t="shared" si="1956"/>
        <v>0</v>
      </c>
      <c r="GP70" s="74">
        <f t="shared" si="1947"/>
        <v>20000</v>
      </c>
      <c r="GQ70" s="675">
        <f t="shared" si="1947"/>
        <v>0</v>
      </c>
      <c r="GR70" s="74">
        <f t="shared" si="1947"/>
        <v>39500</v>
      </c>
      <c r="GS70" s="74">
        <f t="shared" si="1947"/>
        <v>39500</v>
      </c>
      <c r="GT70" s="74">
        <f t="shared" si="1947"/>
        <v>39500</v>
      </c>
      <c r="GU70" s="74">
        <f t="shared" si="1947"/>
        <v>2441</v>
      </c>
      <c r="GV70" s="74">
        <f t="shared" si="1947"/>
        <v>2437</v>
      </c>
      <c r="GW70" s="74">
        <f t="shared" si="1947"/>
        <v>2437</v>
      </c>
      <c r="GX70" s="74">
        <f t="shared" si="1947"/>
        <v>2437</v>
      </c>
      <c r="GY70" s="74">
        <f t="shared" si="1947"/>
        <v>2437</v>
      </c>
      <c r="GZ70" s="74">
        <f t="shared" si="1947"/>
        <v>2437</v>
      </c>
      <c r="HA70" s="74">
        <f t="shared" si="1947"/>
        <v>2437</v>
      </c>
      <c r="HB70" s="74">
        <f t="shared" si="1947"/>
        <v>2437</v>
      </c>
      <c r="HC70" s="74">
        <f t="shared" si="1947"/>
        <v>0</v>
      </c>
      <c r="HD70" s="74">
        <f t="shared" si="1947"/>
        <v>0</v>
      </c>
      <c r="HE70" s="74">
        <f t="shared" si="1947"/>
        <v>0</v>
      </c>
      <c r="HF70" s="74">
        <f t="shared" si="1947"/>
        <v>0</v>
      </c>
      <c r="HG70" s="74">
        <f t="shared" si="1947"/>
        <v>39500</v>
      </c>
      <c r="HH70" s="74">
        <f t="shared" si="1947"/>
        <v>2441</v>
      </c>
      <c r="HI70" s="74">
        <f t="shared" si="1947"/>
        <v>0</v>
      </c>
      <c r="HJ70" s="74">
        <f t="shared" si="1947"/>
        <v>2437</v>
      </c>
      <c r="HK70" s="74">
        <f t="shared" si="1947"/>
        <v>0</v>
      </c>
      <c r="HL70" s="74">
        <f t="shared" si="1947"/>
        <v>2437</v>
      </c>
      <c r="HM70" s="74">
        <f t="shared" si="1947"/>
        <v>0</v>
      </c>
      <c r="HN70" s="74">
        <f t="shared" si="1947"/>
        <v>2437</v>
      </c>
      <c r="HO70" s="74">
        <f t="shared" si="1947"/>
        <v>0</v>
      </c>
      <c r="HP70" s="74">
        <f t="shared" si="1947"/>
        <v>2437</v>
      </c>
      <c r="HQ70" s="74">
        <f t="shared" si="1947"/>
        <v>0</v>
      </c>
      <c r="HR70" s="74">
        <f t="shared" si="1947"/>
        <v>7437</v>
      </c>
      <c r="HS70" s="74">
        <f t="shared" si="1947"/>
        <v>0</v>
      </c>
      <c r="HT70" s="74">
        <f t="shared" si="1947"/>
        <v>12437</v>
      </c>
      <c r="HU70" s="74">
        <f t="shared" si="1947"/>
        <v>0</v>
      </c>
      <c r="HV70" s="74">
        <f t="shared" si="1947"/>
        <v>0</v>
      </c>
      <c r="HW70" s="74">
        <f t="shared" ref="HW70:JT70" si="1957">SUM(HW404,HW291)</f>
        <v>0</v>
      </c>
      <c r="HX70" s="74">
        <f t="shared" si="1957"/>
        <v>2437</v>
      </c>
      <c r="HY70" s="74">
        <f t="shared" si="1957"/>
        <v>0</v>
      </c>
      <c r="HZ70" s="74">
        <f t="shared" si="1957"/>
        <v>5000</v>
      </c>
      <c r="IA70" s="74">
        <f t="shared" si="1957"/>
        <v>0</v>
      </c>
      <c r="IB70" s="74">
        <f t="shared" si="1957"/>
        <v>0</v>
      </c>
      <c r="IC70" s="74">
        <f t="shared" si="1957"/>
        <v>0</v>
      </c>
      <c r="ID70" s="74">
        <f t="shared" si="1957"/>
        <v>0</v>
      </c>
      <c r="IE70" s="792">
        <f t="shared" si="1957"/>
        <v>0</v>
      </c>
      <c r="IF70" s="841">
        <f t="shared" si="1957"/>
        <v>37469.300000000003</v>
      </c>
      <c r="IG70" s="263">
        <f t="shared" si="1957"/>
        <v>37469.300000000003</v>
      </c>
      <c r="IH70" s="842">
        <f t="shared" si="1957"/>
        <v>37469.300000000003</v>
      </c>
      <c r="II70" s="155">
        <f t="shared" si="1957"/>
        <v>0</v>
      </c>
      <c r="IJ70" s="74">
        <f t="shared" si="1957"/>
        <v>0</v>
      </c>
      <c r="IK70" s="74">
        <f t="shared" si="1957"/>
        <v>0</v>
      </c>
      <c r="IL70" s="74">
        <f t="shared" si="1957"/>
        <v>0</v>
      </c>
      <c r="IM70" s="74">
        <f t="shared" si="1957"/>
        <v>0</v>
      </c>
      <c r="IN70" s="74">
        <f t="shared" si="1957"/>
        <v>0</v>
      </c>
      <c r="IO70" s="74">
        <f t="shared" si="1957"/>
        <v>762</v>
      </c>
      <c r="IP70" s="74">
        <f t="shared" si="1957"/>
        <v>762</v>
      </c>
      <c r="IQ70" s="74">
        <f t="shared" si="1957"/>
        <v>762</v>
      </c>
      <c r="IR70" s="74">
        <f t="shared" si="1957"/>
        <v>3692</v>
      </c>
      <c r="IS70" s="74">
        <f t="shared" si="1957"/>
        <v>3692</v>
      </c>
      <c r="IT70" s="74">
        <f t="shared" si="1957"/>
        <v>3692</v>
      </c>
      <c r="IU70" s="74">
        <f t="shared" si="1957"/>
        <v>5283.7999999999993</v>
      </c>
      <c r="IV70" s="74">
        <f t="shared" si="1957"/>
        <v>5283.7999999999993</v>
      </c>
      <c r="IW70" s="74">
        <f t="shared" si="1957"/>
        <v>5283.7999999999993</v>
      </c>
      <c r="IX70" s="74">
        <f t="shared" si="1957"/>
        <v>3839</v>
      </c>
      <c r="IY70" s="74">
        <f t="shared" si="1957"/>
        <v>3839</v>
      </c>
      <c r="IZ70" s="74">
        <f t="shared" si="1957"/>
        <v>3839</v>
      </c>
      <c r="JA70" s="74">
        <f t="shared" si="1957"/>
        <v>2940.5</v>
      </c>
      <c r="JB70" s="74">
        <f t="shared" si="1957"/>
        <v>2940.5</v>
      </c>
      <c r="JC70" s="74">
        <f t="shared" si="1957"/>
        <v>2940.5</v>
      </c>
      <c r="JD70" s="74">
        <f t="shared" si="1957"/>
        <v>8368.5</v>
      </c>
      <c r="JE70" s="74">
        <f t="shared" si="1957"/>
        <v>8368.5</v>
      </c>
      <c r="JF70" s="74">
        <f t="shared" si="1957"/>
        <v>8368.5</v>
      </c>
      <c r="JG70" s="74">
        <f t="shared" si="1957"/>
        <v>4547</v>
      </c>
      <c r="JH70" s="74">
        <f t="shared" si="1957"/>
        <v>4547</v>
      </c>
      <c r="JI70" s="74">
        <f t="shared" si="1957"/>
        <v>4547</v>
      </c>
      <c r="JJ70" s="74">
        <f t="shared" si="1957"/>
        <v>8036.5000000000036</v>
      </c>
      <c r="JK70" s="74">
        <f t="shared" si="1957"/>
        <v>8036.5000000000036</v>
      </c>
      <c r="JL70" s="74">
        <f t="shared" si="1957"/>
        <v>8036.5000000000036</v>
      </c>
      <c r="JM70" s="74">
        <f t="shared" si="1957"/>
        <v>0</v>
      </c>
      <c r="JN70" s="74">
        <f t="shared" si="1957"/>
        <v>0</v>
      </c>
      <c r="JO70" s="74">
        <f t="shared" si="1957"/>
        <v>0</v>
      </c>
      <c r="JP70" s="74">
        <f t="shared" si="1957"/>
        <v>0</v>
      </c>
      <c r="JQ70" s="74">
        <f t="shared" si="1957"/>
        <v>0</v>
      </c>
      <c r="JR70" s="74">
        <f t="shared" si="1957"/>
        <v>0</v>
      </c>
      <c r="JS70" s="74">
        <f t="shared" si="1957"/>
        <v>2030.6999999999971</v>
      </c>
      <c r="JT70" s="74">
        <f t="shared" si="1957"/>
        <v>2030.6999999999971</v>
      </c>
      <c r="JU70" s="671"/>
      <c r="JV70" s="492"/>
      <c r="JW70" s="490"/>
      <c r="JX70" s="74">
        <f t="shared" si="1897"/>
        <v>39500</v>
      </c>
      <c r="JY70" s="74">
        <f t="shared" si="1897"/>
        <v>0</v>
      </c>
      <c r="JZ70" s="581">
        <f t="shared" si="42"/>
        <v>20000</v>
      </c>
      <c r="KA70" s="581">
        <f t="shared" si="43"/>
        <v>0</v>
      </c>
      <c r="KB70" s="74">
        <f>SUM(KB404,KB291)</f>
        <v>39500</v>
      </c>
      <c r="KC70" s="709">
        <f t="shared" si="41"/>
        <v>0</v>
      </c>
      <c r="KD70" s="126" t="s">
        <v>451</v>
      </c>
      <c r="KE70" s="148" t="s">
        <v>536</v>
      </c>
      <c r="KF70" s="127" t="e">
        <f>KF44+KF30</f>
        <v>#REF!</v>
      </c>
      <c r="KG70" s="127" t="e">
        <f t="shared" si="1927"/>
        <v>#REF!</v>
      </c>
      <c r="KH70" s="127" t="e">
        <f t="shared" si="1927"/>
        <v>#REF!</v>
      </c>
      <c r="KI70" s="127" t="e">
        <f t="shared" si="1928"/>
        <v>#REF!</v>
      </c>
      <c r="KJ70" s="127" t="e">
        <f t="shared" si="1928"/>
        <v>#REF!</v>
      </c>
      <c r="KK70" s="127" t="e">
        <f t="shared" si="1928"/>
        <v>#REF!</v>
      </c>
    </row>
    <row r="71" spans="1:297" s="8" customFormat="1">
      <c r="A71" s="75"/>
      <c r="B71" s="72"/>
      <c r="C71" s="74"/>
      <c r="D71" s="549"/>
      <c r="E71" s="675"/>
      <c r="F71" s="549"/>
      <c r="G71" s="675"/>
      <c r="H71" s="549"/>
      <c r="I71" s="675"/>
      <c r="J71" s="549"/>
      <c r="K71" s="675"/>
      <c r="L71" s="549"/>
      <c r="M71" s="675"/>
      <c r="N71" s="549"/>
      <c r="O71" s="675"/>
      <c r="P71" s="549"/>
      <c r="Q71" s="675"/>
      <c r="R71" s="549"/>
      <c r="S71" s="675"/>
      <c r="T71" s="549"/>
      <c r="U71" s="675"/>
      <c r="V71" s="549"/>
      <c r="W71" s="675"/>
      <c r="X71" s="549"/>
      <c r="Y71" s="675"/>
      <c r="Z71" s="549"/>
      <c r="AA71" s="675"/>
      <c r="AB71" s="549"/>
      <c r="AC71" s="675"/>
      <c r="AD71" s="549"/>
      <c r="AE71" s="675"/>
      <c r="AF71" s="549"/>
      <c r="AG71" s="675"/>
      <c r="AH71" s="549"/>
      <c r="AI71" s="675"/>
      <c r="AJ71" s="549"/>
      <c r="AK71" s="675"/>
      <c r="AL71" s="549"/>
      <c r="AM71" s="675"/>
      <c r="AN71" s="549"/>
      <c r="AO71" s="675"/>
      <c r="AP71" s="549"/>
      <c r="AQ71" s="675"/>
      <c r="AR71" s="549"/>
      <c r="AS71" s="675"/>
      <c r="AT71" s="549"/>
      <c r="AU71" s="675"/>
      <c r="AV71" s="549"/>
      <c r="AW71" s="675"/>
      <c r="AX71" s="549"/>
      <c r="AY71" s="675"/>
      <c r="AZ71" s="549"/>
      <c r="BA71" s="675"/>
      <c r="BB71" s="549"/>
      <c r="BC71" s="675"/>
      <c r="BD71" s="549"/>
      <c r="BE71" s="675"/>
      <c r="BF71" s="549"/>
      <c r="BG71" s="675"/>
      <c r="BH71" s="549"/>
      <c r="BI71" s="675"/>
      <c r="BJ71" s="549"/>
      <c r="BK71" s="675"/>
      <c r="BL71" s="549"/>
      <c r="BM71" s="675"/>
      <c r="BN71" s="549"/>
      <c r="BO71" s="675"/>
      <c r="BP71" s="549"/>
      <c r="BQ71" s="675"/>
      <c r="BR71" s="549"/>
      <c r="BS71" s="675"/>
      <c r="BT71" s="549"/>
      <c r="BU71" s="675"/>
      <c r="BV71" s="549"/>
      <c r="BW71" s="675"/>
      <c r="BX71" s="549"/>
      <c r="BY71" s="675"/>
      <c r="BZ71" s="549"/>
      <c r="CA71" s="675"/>
      <c r="CB71" s="549"/>
      <c r="CC71" s="675"/>
      <c r="CD71" s="549"/>
      <c r="CE71" s="675"/>
      <c r="CF71" s="549"/>
      <c r="CG71" s="675"/>
      <c r="CH71" s="549"/>
      <c r="CI71" s="675"/>
      <c r="CJ71" s="549"/>
      <c r="CK71" s="675"/>
      <c r="CL71" s="549"/>
      <c r="CM71" s="675"/>
      <c r="CN71" s="549"/>
      <c r="CO71" s="675"/>
      <c r="CP71" s="549"/>
      <c r="CQ71" s="675"/>
      <c r="CR71" s="549"/>
      <c r="CS71" s="675"/>
      <c r="CT71" s="549"/>
      <c r="CU71" s="675"/>
      <c r="CV71" s="549"/>
      <c r="CW71" s="675"/>
      <c r="CX71" s="549"/>
      <c r="CY71" s="675"/>
      <c r="CZ71" s="549"/>
      <c r="DA71" s="675"/>
      <c r="DB71" s="549"/>
      <c r="DC71" s="675"/>
      <c r="DD71" s="549"/>
      <c r="DE71" s="675"/>
      <c r="DF71" s="549"/>
      <c r="DG71" s="675"/>
      <c r="DH71" s="549"/>
      <c r="DI71" s="675"/>
      <c r="DJ71" s="549"/>
      <c r="DK71" s="675"/>
      <c r="DL71" s="549"/>
      <c r="DM71" s="675"/>
      <c r="DN71" s="549"/>
      <c r="DO71" s="675"/>
      <c r="DP71" s="549"/>
      <c r="DQ71" s="675"/>
      <c r="DR71" s="549"/>
      <c r="DS71" s="675"/>
      <c r="DT71" s="549"/>
      <c r="DU71" s="675"/>
      <c r="DV71" s="549"/>
      <c r="DW71" s="675"/>
      <c r="DX71" s="549"/>
      <c r="DY71" s="675"/>
      <c r="DZ71" s="549"/>
      <c r="EA71" s="675"/>
      <c r="EB71" s="549"/>
      <c r="EC71" s="675"/>
      <c r="ED71" s="549"/>
      <c r="EE71" s="675"/>
      <c r="EF71" s="549"/>
      <c r="EG71" s="675"/>
      <c r="EH71" s="549"/>
      <c r="EI71" s="675"/>
      <c r="EJ71" s="549"/>
      <c r="EK71" s="675"/>
      <c r="EL71" s="549"/>
      <c r="EM71" s="675"/>
      <c r="EN71" s="549"/>
      <c r="EO71" s="675"/>
      <c r="EP71" s="549"/>
      <c r="EQ71" s="675"/>
      <c r="ER71" s="549"/>
      <c r="ES71" s="675"/>
      <c r="ET71" s="549"/>
      <c r="EU71" s="675"/>
      <c r="EV71" s="549"/>
      <c r="EW71" s="675"/>
      <c r="EX71" s="549"/>
      <c r="EY71" s="675"/>
      <c r="EZ71" s="549"/>
      <c r="FA71" s="675"/>
      <c r="FB71" s="549"/>
      <c r="FC71" s="675"/>
      <c r="FD71" s="549"/>
      <c r="FE71" s="675"/>
      <c r="FF71" s="549"/>
      <c r="FG71" s="675"/>
      <c r="FH71" s="549"/>
      <c r="FI71" s="675"/>
      <c r="FJ71" s="549"/>
      <c r="FK71" s="675"/>
      <c r="FL71" s="549"/>
      <c r="FM71" s="675"/>
      <c r="FN71" s="549"/>
      <c r="FO71" s="675"/>
      <c r="FP71" s="549"/>
      <c r="FQ71" s="675"/>
      <c r="FR71" s="549"/>
      <c r="FS71" s="675"/>
      <c r="FT71" s="549"/>
      <c r="FU71" s="675"/>
      <c r="FV71" s="549"/>
      <c r="FW71" s="675"/>
      <c r="FX71" s="549"/>
      <c r="FY71" s="675"/>
      <c r="FZ71" s="549"/>
      <c r="GA71" s="675"/>
      <c r="GB71" s="549"/>
      <c r="GC71" s="675"/>
      <c r="GD71" s="549"/>
      <c r="GE71" s="675"/>
      <c r="GF71" s="549"/>
      <c r="GG71" s="675"/>
      <c r="GH71" s="549"/>
      <c r="GI71" s="675"/>
      <c r="GJ71" s="549"/>
      <c r="GK71" s="675"/>
      <c r="GL71" s="549"/>
      <c r="GM71" s="675"/>
      <c r="GN71" s="549"/>
      <c r="GO71" s="675"/>
      <c r="GP71" s="74"/>
      <c r="GQ71" s="675"/>
      <c r="GR71" s="74"/>
      <c r="GS71" s="74"/>
      <c r="GT71" s="549"/>
      <c r="GU71" s="74"/>
      <c r="GV71" s="74"/>
      <c r="GW71" s="549"/>
      <c r="GX71" s="549"/>
      <c r="GY71" s="74"/>
      <c r="GZ71" s="74"/>
      <c r="HA71" s="74"/>
      <c r="HB71" s="74"/>
      <c r="HC71" s="74"/>
      <c r="HD71" s="74"/>
      <c r="HE71" s="74"/>
      <c r="HF71" s="74"/>
      <c r="HG71" s="74"/>
      <c r="HH71" s="74"/>
      <c r="HI71" s="74"/>
      <c r="HJ71" s="74"/>
      <c r="HK71" s="74"/>
      <c r="HL71" s="74"/>
      <c r="HM71" s="74"/>
      <c r="HN71" s="74"/>
      <c r="HO71" s="74"/>
      <c r="HP71" s="74"/>
      <c r="HQ71" s="74"/>
      <c r="HR71" s="74"/>
      <c r="HS71" s="74"/>
      <c r="HT71" s="74"/>
      <c r="HU71" s="74"/>
      <c r="HV71" s="74"/>
      <c r="HW71" s="74"/>
      <c r="HX71" s="74"/>
      <c r="HY71" s="74"/>
      <c r="HZ71" s="74"/>
      <c r="IA71" s="74"/>
      <c r="IB71" s="74"/>
      <c r="IC71" s="74"/>
      <c r="ID71" s="74"/>
      <c r="IE71" s="792"/>
      <c r="IF71" s="841"/>
      <c r="IG71" s="263"/>
      <c r="IH71" s="842"/>
      <c r="II71" s="155"/>
      <c r="IJ71" s="74"/>
      <c r="IK71" s="74"/>
      <c r="IL71" s="74"/>
      <c r="IM71" s="74"/>
      <c r="IN71" s="74"/>
      <c r="IO71" s="74"/>
      <c r="IP71" s="74"/>
      <c r="IQ71" s="74"/>
      <c r="IR71" s="74"/>
      <c r="IS71" s="74"/>
      <c r="IT71" s="74"/>
      <c r="IU71" s="74"/>
      <c r="IV71" s="74"/>
      <c r="IW71" s="74"/>
      <c r="IX71" s="74"/>
      <c r="IY71" s="74"/>
      <c r="IZ71" s="74"/>
      <c r="JA71" s="74"/>
      <c r="JB71" s="74"/>
      <c r="JC71" s="74"/>
      <c r="JD71" s="74"/>
      <c r="JE71" s="74"/>
      <c r="JF71" s="74"/>
      <c r="JG71" s="74"/>
      <c r="JH71" s="74"/>
      <c r="JI71" s="74"/>
      <c r="JJ71" s="74"/>
      <c r="JK71" s="74"/>
      <c r="JL71" s="74"/>
      <c r="JM71" s="74"/>
      <c r="JN71" s="74"/>
      <c r="JO71" s="74"/>
      <c r="JP71" s="74"/>
      <c r="JQ71" s="74"/>
      <c r="JR71" s="74"/>
      <c r="JS71" s="74"/>
      <c r="JT71" s="382"/>
      <c r="JU71" s="671"/>
      <c r="JV71" s="492"/>
      <c r="JW71" s="490"/>
      <c r="JX71" s="549"/>
      <c r="JY71" s="549"/>
      <c r="JZ71" s="581">
        <f t="shared" si="42"/>
        <v>0</v>
      </c>
      <c r="KA71" s="581">
        <f t="shared" si="43"/>
        <v>0</v>
      </c>
      <c r="KB71" s="549"/>
      <c r="KC71" s="709">
        <f t="shared" si="41"/>
        <v>0</v>
      </c>
      <c r="KD71" s="126" t="s">
        <v>197</v>
      </c>
      <c r="KE71" s="140" t="s">
        <v>537</v>
      </c>
      <c r="KF71" s="127">
        <f>KF45</f>
        <v>615300</v>
      </c>
      <c r="KG71" s="127">
        <f t="shared" si="1927"/>
        <v>425898</v>
      </c>
      <c r="KH71" s="127">
        <f t="shared" si="1927"/>
        <v>425898</v>
      </c>
      <c r="KI71" s="127" t="e">
        <f>KI45</f>
        <v>#REF!</v>
      </c>
      <c r="KJ71" s="127">
        <f>KJ45</f>
        <v>425898</v>
      </c>
      <c r="KK71" s="127">
        <f>KK45</f>
        <v>425897.5</v>
      </c>
    </row>
    <row r="72" spans="1:297" s="8" customFormat="1">
      <c r="A72" s="75" t="s">
        <v>104</v>
      </c>
      <c r="B72" s="72" t="s">
        <v>105</v>
      </c>
      <c r="C72" s="74">
        <f t="shared" ref="C72" si="1958">SUM(C73:C75)</f>
        <v>130000</v>
      </c>
      <c r="D72" s="549">
        <f t="shared" ref="D72:E72" si="1959">SUM(D73:D75)</f>
        <v>0</v>
      </c>
      <c r="E72" s="675">
        <f t="shared" si="1959"/>
        <v>0</v>
      </c>
      <c r="F72" s="549">
        <f t="shared" ref="F72:G72" si="1960">SUM(F73:F75)</f>
        <v>0</v>
      </c>
      <c r="G72" s="675">
        <f t="shared" si="1960"/>
        <v>0</v>
      </c>
      <c r="H72" s="549">
        <f t="shared" ref="H72:I72" si="1961">SUM(H73:H75)</f>
        <v>0</v>
      </c>
      <c r="I72" s="675">
        <f t="shared" si="1961"/>
        <v>0</v>
      </c>
      <c r="J72" s="549">
        <f t="shared" ref="J72:K72" si="1962">SUM(J73:J75)</f>
        <v>0</v>
      </c>
      <c r="K72" s="675">
        <f t="shared" si="1962"/>
        <v>0</v>
      </c>
      <c r="L72" s="549">
        <f t="shared" ref="L72:M72" si="1963">SUM(L73:L75)</f>
        <v>0</v>
      </c>
      <c r="M72" s="675">
        <f t="shared" si="1963"/>
        <v>0</v>
      </c>
      <c r="N72" s="549">
        <f t="shared" ref="N72:O72" si="1964">SUM(N73:N75)</f>
        <v>0</v>
      </c>
      <c r="O72" s="675">
        <f t="shared" si="1964"/>
        <v>0</v>
      </c>
      <c r="P72" s="549">
        <f t="shared" ref="P72:Q72" si="1965">SUM(P73:P75)</f>
        <v>0</v>
      </c>
      <c r="Q72" s="675">
        <f t="shared" si="1965"/>
        <v>0</v>
      </c>
      <c r="R72" s="549">
        <f t="shared" ref="R72:S72" si="1966">SUM(R73:R75)</f>
        <v>0</v>
      </c>
      <c r="S72" s="675">
        <f t="shared" si="1966"/>
        <v>0</v>
      </c>
      <c r="T72" s="549">
        <f t="shared" ref="T72:U72" si="1967">SUM(T73:T75)</f>
        <v>0</v>
      </c>
      <c r="U72" s="675">
        <f t="shared" si="1967"/>
        <v>0</v>
      </c>
      <c r="V72" s="549">
        <f t="shared" ref="V72:W72" si="1968">SUM(V73:V75)</f>
        <v>0</v>
      </c>
      <c r="W72" s="675">
        <f t="shared" si="1968"/>
        <v>0</v>
      </c>
      <c r="X72" s="549">
        <f t="shared" ref="X72:Y72" si="1969">SUM(X73:X75)</f>
        <v>10000</v>
      </c>
      <c r="Y72" s="675">
        <f t="shared" si="1969"/>
        <v>0</v>
      </c>
      <c r="Z72" s="549">
        <f t="shared" ref="Z72:AA72" si="1970">SUM(Z73:Z75)</f>
        <v>0</v>
      </c>
      <c r="AA72" s="675">
        <f t="shared" si="1970"/>
        <v>0</v>
      </c>
      <c r="AB72" s="549">
        <f t="shared" ref="AB72:AC72" si="1971">SUM(AB73:AB75)</f>
        <v>0</v>
      </c>
      <c r="AC72" s="675">
        <f t="shared" si="1971"/>
        <v>0</v>
      </c>
      <c r="AD72" s="549">
        <f t="shared" ref="AD72:AK72" si="1972">SUM(AD73:AD75)</f>
        <v>0</v>
      </c>
      <c r="AE72" s="675">
        <f t="shared" si="1972"/>
        <v>0</v>
      </c>
      <c r="AF72" s="549">
        <f t="shared" si="1972"/>
        <v>0</v>
      </c>
      <c r="AG72" s="675">
        <f t="shared" si="1972"/>
        <v>0</v>
      </c>
      <c r="AH72" s="549">
        <f t="shared" si="1972"/>
        <v>0</v>
      </c>
      <c r="AI72" s="675">
        <f t="shared" si="1972"/>
        <v>0</v>
      </c>
      <c r="AJ72" s="549">
        <f t="shared" si="1972"/>
        <v>0</v>
      </c>
      <c r="AK72" s="675">
        <f t="shared" si="1972"/>
        <v>0</v>
      </c>
      <c r="AL72" s="549">
        <f t="shared" ref="AL72:AM72" si="1973">SUM(AL73:AL75)</f>
        <v>0</v>
      </c>
      <c r="AM72" s="675">
        <f t="shared" si="1973"/>
        <v>0</v>
      </c>
      <c r="AN72" s="549">
        <f t="shared" ref="AN72:AS72" si="1974">SUM(AN73:AN75)</f>
        <v>0</v>
      </c>
      <c r="AO72" s="675">
        <f t="shared" si="1974"/>
        <v>0</v>
      </c>
      <c r="AP72" s="549">
        <f t="shared" si="1974"/>
        <v>0</v>
      </c>
      <c r="AQ72" s="675">
        <f t="shared" si="1974"/>
        <v>0</v>
      </c>
      <c r="AR72" s="549">
        <f t="shared" si="1974"/>
        <v>0</v>
      </c>
      <c r="AS72" s="675">
        <f t="shared" si="1974"/>
        <v>0</v>
      </c>
      <c r="AT72" s="549">
        <f t="shared" ref="AT72:AU72" si="1975">SUM(AT73:AT75)</f>
        <v>0</v>
      </c>
      <c r="AU72" s="675">
        <f t="shared" si="1975"/>
        <v>0</v>
      </c>
      <c r="AV72" s="549">
        <f t="shared" ref="AV72:AW72" si="1976">SUM(AV73:AV75)</f>
        <v>0</v>
      </c>
      <c r="AW72" s="675">
        <f t="shared" si="1976"/>
        <v>0</v>
      </c>
      <c r="AX72" s="549">
        <f t="shared" ref="AX72:AY72" si="1977">SUM(AX73:AX75)</f>
        <v>0</v>
      </c>
      <c r="AY72" s="675">
        <f t="shared" si="1977"/>
        <v>0</v>
      </c>
      <c r="AZ72" s="549">
        <f t="shared" ref="AZ72:BA72" si="1978">SUM(AZ73:AZ75)</f>
        <v>0</v>
      </c>
      <c r="BA72" s="675">
        <f t="shared" si="1978"/>
        <v>0</v>
      </c>
      <c r="BB72" s="549">
        <f t="shared" ref="BB72:BC72" si="1979">SUM(BB73:BB75)</f>
        <v>0</v>
      </c>
      <c r="BC72" s="675">
        <f t="shared" si="1979"/>
        <v>0</v>
      </c>
      <c r="BD72" s="549">
        <f t="shared" ref="BD72:BE72" si="1980">SUM(BD73:BD75)</f>
        <v>0</v>
      </c>
      <c r="BE72" s="675">
        <f t="shared" si="1980"/>
        <v>0</v>
      </c>
      <c r="BF72" s="549">
        <f t="shared" ref="BF72:BG72" si="1981">SUM(BF73:BF75)</f>
        <v>0</v>
      </c>
      <c r="BG72" s="675">
        <f t="shared" si="1981"/>
        <v>0</v>
      </c>
      <c r="BH72" s="549">
        <f t="shared" ref="BH72:BI72" si="1982">SUM(BH73:BH75)</f>
        <v>0</v>
      </c>
      <c r="BI72" s="675">
        <f t="shared" si="1982"/>
        <v>0</v>
      </c>
      <c r="BJ72" s="549">
        <f t="shared" ref="BJ72:BK72" si="1983">SUM(BJ73:BJ75)</f>
        <v>0</v>
      </c>
      <c r="BK72" s="675">
        <f t="shared" si="1983"/>
        <v>0</v>
      </c>
      <c r="BL72" s="549">
        <f t="shared" ref="BL72:BS72" si="1984">SUM(BL73:BL75)</f>
        <v>0</v>
      </c>
      <c r="BM72" s="675">
        <f t="shared" si="1984"/>
        <v>0</v>
      </c>
      <c r="BN72" s="549">
        <f t="shared" si="1984"/>
        <v>5000</v>
      </c>
      <c r="BO72" s="675">
        <f t="shared" si="1984"/>
        <v>0</v>
      </c>
      <c r="BP72" s="549">
        <f t="shared" si="1984"/>
        <v>10000</v>
      </c>
      <c r="BQ72" s="675">
        <f t="shared" si="1984"/>
        <v>0</v>
      </c>
      <c r="BR72" s="549">
        <f t="shared" si="1984"/>
        <v>0</v>
      </c>
      <c r="BS72" s="675">
        <f t="shared" si="1984"/>
        <v>0</v>
      </c>
      <c r="BT72" s="549">
        <f t="shared" ref="BT72:BU72" si="1985">SUM(BT73:BT75)</f>
        <v>0</v>
      </c>
      <c r="BU72" s="675">
        <f t="shared" si="1985"/>
        <v>0</v>
      </c>
      <c r="BV72" s="549">
        <f t="shared" ref="BV72:BW72" si="1986">SUM(BV73:BV75)</f>
        <v>0</v>
      </c>
      <c r="BW72" s="675">
        <f t="shared" si="1986"/>
        <v>0</v>
      </c>
      <c r="BX72" s="549">
        <f t="shared" ref="BX72:BY72" si="1987">SUM(BX73:BX75)</f>
        <v>0</v>
      </c>
      <c r="BY72" s="675">
        <f t="shared" si="1987"/>
        <v>0</v>
      </c>
      <c r="BZ72" s="549">
        <f t="shared" ref="BZ72:CA72" si="1988">SUM(BZ73:BZ75)</f>
        <v>0</v>
      </c>
      <c r="CA72" s="675">
        <f t="shared" si="1988"/>
        <v>0</v>
      </c>
      <c r="CB72" s="549">
        <f t="shared" ref="CB72:CE72" si="1989">SUM(CB73:CB75)</f>
        <v>0</v>
      </c>
      <c r="CC72" s="675">
        <f t="shared" si="1989"/>
        <v>0</v>
      </c>
      <c r="CD72" s="549">
        <f t="shared" si="1989"/>
        <v>0</v>
      </c>
      <c r="CE72" s="675">
        <f t="shared" si="1989"/>
        <v>0</v>
      </c>
      <c r="CF72" s="549">
        <f t="shared" ref="CF72:CQ72" si="1990">SUM(CF73:CF75)</f>
        <v>0</v>
      </c>
      <c r="CG72" s="675">
        <f t="shared" si="1990"/>
        <v>0</v>
      </c>
      <c r="CH72" s="549">
        <f t="shared" si="1990"/>
        <v>5000</v>
      </c>
      <c r="CI72" s="675">
        <f t="shared" si="1990"/>
        <v>0</v>
      </c>
      <c r="CJ72" s="549">
        <f t="shared" si="1990"/>
        <v>0</v>
      </c>
      <c r="CK72" s="675">
        <f t="shared" si="1990"/>
        <v>0</v>
      </c>
      <c r="CL72" s="549">
        <f t="shared" si="1990"/>
        <v>0</v>
      </c>
      <c r="CM72" s="675">
        <f t="shared" si="1990"/>
        <v>0</v>
      </c>
      <c r="CN72" s="549">
        <f t="shared" si="1990"/>
        <v>0</v>
      </c>
      <c r="CO72" s="675">
        <f t="shared" si="1990"/>
        <v>0</v>
      </c>
      <c r="CP72" s="549">
        <f t="shared" si="1990"/>
        <v>0</v>
      </c>
      <c r="CQ72" s="675">
        <f t="shared" si="1990"/>
        <v>0</v>
      </c>
      <c r="CR72" s="549">
        <f t="shared" ref="CR72:CY72" si="1991">SUM(CR73:CR75)</f>
        <v>0</v>
      </c>
      <c r="CS72" s="675">
        <f t="shared" si="1991"/>
        <v>0</v>
      </c>
      <c r="CT72" s="549">
        <f t="shared" si="1991"/>
        <v>0</v>
      </c>
      <c r="CU72" s="675">
        <f t="shared" si="1991"/>
        <v>0</v>
      </c>
      <c r="CV72" s="549">
        <f t="shared" si="1991"/>
        <v>0</v>
      </c>
      <c r="CW72" s="675">
        <f t="shared" si="1991"/>
        <v>0</v>
      </c>
      <c r="CX72" s="549">
        <f t="shared" si="1991"/>
        <v>0</v>
      </c>
      <c r="CY72" s="675">
        <f t="shared" si="1991"/>
        <v>0</v>
      </c>
      <c r="CZ72" s="549">
        <f t="shared" ref="CZ72:DG72" si="1992">SUM(CZ73:CZ75)</f>
        <v>5000</v>
      </c>
      <c r="DA72" s="675">
        <f t="shared" si="1992"/>
        <v>0</v>
      </c>
      <c r="DB72" s="549">
        <f t="shared" si="1992"/>
        <v>0</v>
      </c>
      <c r="DC72" s="675">
        <f t="shared" si="1992"/>
        <v>0</v>
      </c>
      <c r="DD72" s="549">
        <f t="shared" si="1992"/>
        <v>0</v>
      </c>
      <c r="DE72" s="675">
        <f t="shared" si="1992"/>
        <v>0</v>
      </c>
      <c r="DF72" s="549">
        <f t="shared" si="1992"/>
        <v>0</v>
      </c>
      <c r="DG72" s="675">
        <f t="shared" si="1992"/>
        <v>0</v>
      </c>
      <c r="DH72" s="549">
        <f t="shared" ref="DH72:DM72" si="1993">SUM(DH73:DH75)</f>
        <v>8000</v>
      </c>
      <c r="DI72" s="675">
        <f t="shared" si="1993"/>
        <v>0</v>
      </c>
      <c r="DJ72" s="549">
        <f t="shared" si="1993"/>
        <v>5000</v>
      </c>
      <c r="DK72" s="675">
        <f t="shared" si="1993"/>
        <v>0</v>
      </c>
      <c r="DL72" s="549">
        <f t="shared" si="1993"/>
        <v>0</v>
      </c>
      <c r="DM72" s="675">
        <f t="shared" si="1993"/>
        <v>0</v>
      </c>
      <c r="DN72" s="549">
        <f t="shared" ref="DN72:DW72" si="1994">SUM(DN73:DN75)</f>
        <v>0</v>
      </c>
      <c r="DO72" s="675">
        <f t="shared" si="1994"/>
        <v>0</v>
      </c>
      <c r="DP72" s="549">
        <f t="shared" si="1994"/>
        <v>0</v>
      </c>
      <c r="DQ72" s="675">
        <f t="shared" si="1994"/>
        <v>0</v>
      </c>
      <c r="DR72" s="549">
        <f t="shared" si="1994"/>
        <v>0</v>
      </c>
      <c r="DS72" s="675">
        <f t="shared" si="1994"/>
        <v>0</v>
      </c>
      <c r="DT72" s="549">
        <f t="shared" si="1994"/>
        <v>0</v>
      </c>
      <c r="DU72" s="675">
        <f t="shared" si="1994"/>
        <v>0</v>
      </c>
      <c r="DV72" s="549">
        <f t="shared" si="1994"/>
        <v>0</v>
      </c>
      <c r="DW72" s="675">
        <f t="shared" si="1994"/>
        <v>0</v>
      </c>
      <c r="DX72" s="549">
        <f t="shared" ref="DX72:EG72" si="1995">SUM(DX73:DX75)</f>
        <v>0</v>
      </c>
      <c r="DY72" s="675">
        <f t="shared" si="1995"/>
        <v>0</v>
      </c>
      <c r="DZ72" s="549">
        <f t="shared" si="1995"/>
        <v>0</v>
      </c>
      <c r="EA72" s="675">
        <f t="shared" si="1995"/>
        <v>0</v>
      </c>
      <c r="EB72" s="549">
        <f t="shared" si="1995"/>
        <v>0</v>
      </c>
      <c r="EC72" s="675">
        <f t="shared" si="1995"/>
        <v>0</v>
      </c>
      <c r="ED72" s="549">
        <f t="shared" si="1995"/>
        <v>17000</v>
      </c>
      <c r="EE72" s="675">
        <f t="shared" si="1995"/>
        <v>0</v>
      </c>
      <c r="EF72" s="549">
        <f t="shared" si="1995"/>
        <v>0</v>
      </c>
      <c r="EG72" s="675">
        <f t="shared" si="1995"/>
        <v>0</v>
      </c>
      <c r="EH72" s="549">
        <f t="shared" ref="EH72:EM72" si="1996">SUM(EH73:EH75)</f>
        <v>0</v>
      </c>
      <c r="EI72" s="675">
        <f t="shared" si="1996"/>
        <v>0</v>
      </c>
      <c r="EJ72" s="549">
        <f t="shared" si="1996"/>
        <v>0</v>
      </c>
      <c r="EK72" s="675">
        <f t="shared" si="1996"/>
        <v>0</v>
      </c>
      <c r="EL72" s="549">
        <f t="shared" si="1996"/>
        <v>0</v>
      </c>
      <c r="EM72" s="675">
        <f t="shared" si="1996"/>
        <v>0</v>
      </c>
      <c r="EN72" s="549">
        <f t="shared" ref="EN72:EO72" si="1997">SUM(EN73:EN75)</f>
        <v>0</v>
      </c>
      <c r="EO72" s="675">
        <f t="shared" si="1997"/>
        <v>0</v>
      </c>
      <c r="EP72" s="549">
        <f t="shared" ref="EP72:FA72" si="1998">SUM(EP73:EP75)</f>
        <v>0</v>
      </c>
      <c r="EQ72" s="675">
        <f t="shared" si="1998"/>
        <v>0</v>
      </c>
      <c r="ER72" s="549">
        <f t="shared" si="1998"/>
        <v>0</v>
      </c>
      <c r="ES72" s="675">
        <f t="shared" si="1998"/>
        <v>0</v>
      </c>
      <c r="ET72" s="549">
        <f t="shared" si="1998"/>
        <v>0</v>
      </c>
      <c r="EU72" s="675">
        <f t="shared" si="1998"/>
        <v>0</v>
      </c>
      <c r="EV72" s="549">
        <f t="shared" ref="EV72:EW72" si="1999">SUM(EV73:EV75)</f>
        <v>0</v>
      </c>
      <c r="EW72" s="675">
        <f t="shared" si="1999"/>
        <v>0</v>
      </c>
      <c r="EX72" s="549">
        <f t="shared" si="1998"/>
        <v>0</v>
      </c>
      <c r="EY72" s="675">
        <f t="shared" si="1998"/>
        <v>0</v>
      </c>
      <c r="EZ72" s="549">
        <f t="shared" si="1998"/>
        <v>0</v>
      </c>
      <c r="FA72" s="675">
        <f t="shared" si="1998"/>
        <v>0</v>
      </c>
      <c r="FB72" s="549">
        <f t="shared" ref="FB72:FC72" si="2000">SUM(FB73:FB75)</f>
        <v>0</v>
      </c>
      <c r="FC72" s="675">
        <f t="shared" si="2000"/>
        <v>0</v>
      </c>
      <c r="FD72" s="549">
        <f t="shared" ref="FD72:FE72" si="2001">SUM(FD73:FD75)</f>
        <v>0</v>
      </c>
      <c r="FE72" s="675">
        <f t="shared" si="2001"/>
        <v>0</v>
      </c>
      <c r="FF72" s="549">
        <f t="shared" ref="FF72:FG72" si="2002">SUM(FF73:FF75)</f>
        <v>0</v>
      </c>
      <c r="FG72" s="675">
        <f t="shared" si="2002"/>
        <v>0</v>
      </c>
      <c r="FH72" s="549">
        <f t="shared" ref="FH72:FI72" si="2003">SUM(FH73:FH75)</f>
        <v>0</v>
      </c>
      <c r="FI72" s="675">
        <f t="shared" si="2003"/>
        <v>0</v>
      </c>
      <c r="FJ72" s="549">
        <f t="shared" ref="FJ72:FK72" si="2004">SUM(FJ73:FJ75)</f>
        <v>5000</v>
      </c>
      <c r="FK72" s="675">
        <f t="shared" si="2004"/>
        <v>0</v>
      </c>
      <c r="FL72" s="549">
        <f t="shared" ref="FL72:FM72" si="2005">SUM(FL73:FL75)</f>
        <v>5000</v>
      </c>
      <c r="FM72" s="675">
        <f t="shared" si="2005"/>
        <v>0</v>
      </c>
      <c r="FN72" s="549">
        <f t="shared" ref="FN72:FO72" si="2006">SUM(FN73:FN75)</f>
        <v>0</v>
      </c>
      <c r="FO72" s="675">
        <f t="shared" si="2006"/>
        <v>0</v>
      </c>
      <c r="FP72" s="549">
        <f t="shared" ref="FP72:FQ72" si="2007">SUM(FP73:FP75)</f>
        <v>0</v>
      </c>
      <c r="FQ72" s="675">
        <f t="shared" si="2007"/>
        <v>0</v>
      </c>
      <c r="FR72" s="549">
        <f t="shared" ref="FR72:FS72" si="2008">SUM(FR73:FR75)</f>
        <v>2000</v>
      </c>
      <c r="FS72" s="675">
        <f t="shared" si="2008"/>
        <v>0</v>
      </c>
      <c r="FT72" s="549">
        <f t="shared" ref="FT72:FU72" si="2009">SUM(FT73:FT75)</f>
        <v>0</v>
      </c>
      <c r="FU72" s="675">
        <f t="shared" si="2009"/>
        <v>0</v>
      </c>
      <c r="FV72" s="549">
        <f t="shared" ref="FV72:GK72" si="2010">SUM(FV73:FV75)</f>
        <v>0</v>
      </c>
      <c r="FW72" s="675">
        <f t="shared" si="2010"/>
        <v>0</v>
      </c>
      <c r="FX72" s="549">
        <f t="shared" si="2010"/>
        <v>0</v>
      </c>
      <c r="FY72" s="675">
        <f t="shared" si="2010"/>
        <v>0</v>
      </c>
      <c r="FZ72" s="549">
        <f t="shared" ref="FZ72:GI72" si="2011">SUM(FZ73:FZ75)</f>
        <v>0</v>
      </c>
      <c r="GA72" s="675">
        <f t="shared" si="2011"/>
        <v>0</v>
      </c>
      <c r="GB72" s="549">
        <f t="shared" si="2011"/>
        <v>0</v>
      </c>
      <c r="GC72" s="675">
        <f t="shared" si="2011"/>
        <v>0</v>
      </c>
      <c r="GD72" s="549">
        <f t="shared" si="2011"/>
        <v>0</v>
      </c>
      <c r="GE72" s="675">
        <f t="shared" si="2011"/>
        <v>0</v>
      </c>
      <c r="GF72" s="549">
        <f t="shared" si="2011"/>
        <v>0</v>
      </c>
      <c r="GG72" s="675">
        <f t="shared" si="2011"/>
        <v>0</v>
      </c>
      <c r="GH72" s="549">
        <f t="shared" si="2011"/>
        <v>0</v>
      </c>
      <c r="GI72" s="675">
        <f t="shared" si="2011"/>
        <v>0</v>
      </c>
      <c r="GJ72" s="549">
        <f t="shared" si="2010"/>
        <v>0</v>
      </c>
      <c r="GK72" s="675">
        <f t="shared" si="2010"/>
        <v>0</v>
      </c>
      <c r="GL72" s="549">
        <f t="shared" ref="GL72:GQ72" si="2012">SUM(GL73:GL75)</f>
        <v>0</v>
      </c>
      <c r="GM72" s="675">
        <f t="shared" si="2012"/>
        <v>0</v>
      </c>
      <c r="GN72" s="549">
        <f t="shared" ref="GN72:GO72" si="2013">SUM(GN73:GN75)</f>
        <v>0</v>
      </c>
      <c r="GO72" s="675">
        <f t="shared" si="2013"/>
        <v>0</v>
      </c>
      <c r="GP72" s="74">
        <f>SUM(GP73:GP75)</f>
        <v>77000</v>
      </c>
      <c r="GQ72" s="675">
        <f t="shared" si="2012"/>
        <v>0</v>
      </c>
      <c r="GR72" s="74">
        <f t="shared" ref="GR72:JM72" si="2014">SUM(GR73:GR75)</f>
        <v>207000</v>
      </c>
      <c r="GS72" s="74">
        <f>SUM(GS73:GS75)</f>
        <v>207000</v>
      </c>
      <c r="GT72" s="549">
        <f t="shared" si="2014"/>
        <v>207000</v>
      </c>
      <c r="GU72" s="74">
        <f>SUM(GU73:GU75)</f>
        <v>18991</v>
      </c>
      <c r="GV72" s="74">
        <f t="shared" ref="GV72:HA72" si="2015">SUM(GV73:GV75)</f>
        <v>10112</v>
      </c>
      <c r="GW72" s="74">
        <f t="shared" si="2015"/>
        <v>10112</v>
      </c>
      <c r="GX72" s="74">
        <f t="shared" si="2015"/>
        <v>18987</v>
      </c>
      <c r="GY72" s="74">
        <f t="shared" si="2015"/>
        <v>10112</v>
      </c>
      <c r="GZ72" s="74">
        <f t="shared" si="2015"/>
        <v>10112</v>
      </c>
      <c r="HA72" s="74">
        <f t="shared" si="2015"/>
        <v>18987</v>
      </c>
      <c r="HB72" s="74">
        <f t="shared" ref="HB72:HF72" si="2016">SUM(HB73:HB75)</f>
        <v>10112</v>
      </c>
      <c r="HC72" s="74">
        <f t="shared" si="2016"/>
        <v>15675</v>
      </c>
      <c r="HD72" s="74">
        <f t="shared" si="2016"/>
        <v>6800</v>
      </c>
      <c r="HE72" s="74">
        <f t="shared" si="2016"/>
        <v>0</v>
      </c>
      <c r="HF72" s="74">
        <f t="shared" si="2016"/>
        <v>0</v>
      </c>
      <c r="HG72" s="74">
        <f>SUM(HG73:HG75)</f>
        <v>207000</v>
      </c>
      <c r="HH72" s="74">
        <f t="shared" ref="HH72:HU72" si="2017">SUM(HH73:HH75)</f>
        <v>18991</v>
      </c>
      <c r="HI72" s="74">
        <f t="shared" si="2017"/>
        <v>0</v>
      </c>
      <c r="HJ72" s="74">
        <f t="shared" si="2017"/>
        <v>10112</v>
      </c>
      <c r="HK72" s="74">
        <f t="shared" si="2017"/>
        <v>0</v>
      </c>
      <c r="HL72" s="74">
        <f t="shared" si="2017"/>
        <v>20112</v>
      </c>
      <c r="HM72" s="74">
        <f t="shared" si="2017"/>
        <v>0</v>
      </c>
      <c r="HN72" s="74">
        <f t="shared" si="2017"/>
        <v>18987</v>
      </c>
      <c r="HO72" s="74">
        <f t="shared" si="2017"/>
        <v>0</v>
      </c>
      <c r="HP72" s="74">
        <f t="shared" si="2017"/>
        <v>25112</v>
      </c>
      <c r="HQ72" s="74">
        <f t="shared" si="2017"/>
        <v>0</v>
      </c>
      <c r="HR72" s="74">
        <f t="shared" si="2017"/>
        <v>3312</v>
      </c>
      <c r="HS72" s="74">
        <f t="shared" si="2017"/>
        <v>0</v>
      </c>
      <c r="HT72" s="74">
        <f t="shared" si="2017"/>
        <v>22213.279999999999</v>
      </c>
      <c r="HU72" s="74">
        <f t="shared" si="2017"/>
        <v>0</v>
      </c>
      <c r="HV72" s="74">
        <f t="shared" si="2014"/>
        <v>33685.72</v>
      </c>
      <c r="HW72" s="74">
        <f t="shared" si="2014"/>
        <v>0</v>
      </c>
      <c r="HX72" s="74">
        <f t="shared" si="2014"/>
        <v>18675</v>
      </c>
      <c r="HY72" s="74">
        <f t="shared" si="2014"/>
        <v>0</v>
      </c>
      <c r="HZ72" s="74">
        <f t="shared" si="2014"/>
        <v>18800</v>
      </c>
      <c r="IA72" s="74">
        <f t="shared" si="2014"/>
        <v>0</v>
      </c>
      <c r="IB72" s="74">
        <f t="shared" si="2014"/>
        <v>0</v>
      </c>
      <c r="IC72" s="74">
        <f t="shared" si="2014"/>
        <v>0</v>
      </c>
      <c r="ID72" s="74">
        <f t="shared" si="2014"/>
        <v>0</v>
      </c>
      <c r="IE72" s="792">
        <f t="shared" si="2014"/>
        <v>0</v>
      </c>
      <c r="IF72" s="841">
        <f t="shared" si="2014"/>
        <v>177692.47</v>
      </c>
      <c r="IG72" s="263">
        <f t="shared" si="2014"/>
        <v>177692.47</v>
      </c>
      <c r="IH72" s="842">
        <f t="shared" si="2014"/>
        <v>177692.47</v>
      </c>
      <c r="II72" s="155">
        <f t="shared" si="2014"/>
        <v>2977.37</v>
      </c>
      <c r="IJ72" s="74">
        <f t="shared" si="2014"/>
        <v>2977.37</v>
      </c>
      <c r="IK72" s="74">
        <f t="shared" si="2014"/>
        <v>2977.37</v>
      </c>
      <c r="IL72" s="74">
        <f t="shared" si="2014"/>
        <v>10836.73</v>
      </c>
      <c r="IM72" s="74">
        <f t="shared" si="2014"/>
        <v>10836.73</v>
      </c>
      <c r="IN72" s="74">
        <f t="shared" si="2014"/>
        <v>10836.73</v>
      </c>
      <c r="IO72" s="74">
        <f t="shared" si="2014"/>
        <v>19779.330000000002</v>
      </c>
      <c r="IP72" s="74">
        <f t="shared" si="2014"/>
        <v>19779.330000000002</v>
      </c>
      <c r="IQ72" s="74">
        <f t="shared" si="2014"/>
        <v>19779.330000000002</v>
      </c>
      <c r="IR72" s="74">
        <f t="shared" si="2014"/>
        <v>11857.869999999999</v>
      </c>
      <c r="IS72" s="74">
        <f t="shared" si="2014"/>
        <v>11857.869999999999</v>
      </c>
      <c r="IT72" s="74">
        <f t="shared" si="2014"/>
        <v>11857.869999999999</v>
      </c>
      <c r="IU72" s="74">
        <f t="shared" si="2014"/>
        <v>22408.73</v>
      </c>
      <c r="IV72" s="74">
        <f t="shared" si="2014"/>
        <v>22408.73</v>
      </c>
      <c r="IW72" s="74">
        <f t="shared" si="2014"/>
        <v>22408.73</v>
      </c>
      <c r="IX72" s="74">
        <f t="shared" si="2014"/>
        <v>14592.230000000003</v>
      </c>
      <c r="IY72" s="74">
        <f t="shared" si="2014"/>
        <v>14592.230000000003</v>
      </c>
      <c r="IZ72" s="74">
        <f t="shared" si="2014"/>
        <v>14592.230000000003</v>
      </c>
      <c r="JA72" s="74">
        <f t="shared" si="2014"/>
        <v>10718.319999999996</v>
      </c>
      <c r="JB72" s="74">
        <f t="shared" si="2014"/>
        <v>10718.319999999996</v>
      </c>
      <c r="JC72" s="74">
        <f t="shared" si="2014"/>
        <v>10718.319999999996</v>
      </c>
      <c r="JD72" s="74">
        <f t="shared" si="2014"/>
        <v>32653.350000000002</v>
      </c>
      <c r="JE72" s="74">
        <f t="shared" si="2014"/>
        <v>32653.350000000002</v>
      </c>
      <c r="JF72" s="74">
        <f t="shared" si="2014"/>
        <v>32653.350000000002</v>
      </c>
      <c r="JG72" s="74">
        <f t="shared" si="2014"/>
        <v>12344.189999999995</v>
      </c>
      <c r="JH72" s="74">
        <f t="shared" si="2014"/>
        <v>12324.189999999995</v>
      </c>
      <c r="JI72" s="74">
        <f t="shared" si="2014"/>
        <v>12324.189999999995</v>
      </c>
      <c r="JJ72" s="74">
        <f t="shared" si="2014"/>
        <v>39524.350000000006</v>
      </c>
      <c r="JK72" s="74">
        <f t="shared" si="2014"/>
        <v>39544.350000000006</v>
      </c>
      <c r="JL72" s="74">
        <f t="shared" si="2014"/>
        <v>39544.350000000006</v>
      </c>
      <c r="JM72" s="74">
        <f t="shared" si="2014"/>
        <v>0</v>
      </c>
      <c r="JN72" s="74">
        <f t="shared" ref="JN72:JT72" si="2018">SUM(JN73:JN75)</f>
        <v>0</v>
      </c>
      <c r="JO72" s="74">
        <f t="shared" si="2018"/>
        <v>0</v>
      </c>
      <c r="JP72" s="74">
        <f t="shared" si="2018"/>
        <v>0</v>
      </c>
      <c r="JQ72" s="74">
        <f t="shared" si="2018"/>
        <v>0</v>
      </c>
      <c r="JR72" s="74">
        <f t="shared" si="2018"/>
        <v>0</v>
      </c>
      <c r="JS72" s="74">
        <f t="shared" si="2018"/>
        <v>29307.53</v>
      </c>
      <c r="JT72" s="382">
        <f t="shared" si="2018"/>
        <v>29307.53</v>
      </c>
      <c r="JU72" s="671"/>
      <c r="JV72" s="492"/>
      <c r="JW72" s="490"/>
      <c r="JX72" s="549">
        <f>SUM(JX73:JX75)</f>
        <v>190000</v>
      </c>
      <c r="JY72" s="549">
        <f>SUM(JY73:JY75)</f>
        <v>0</v>
      </c>
      <c r="JZ72" s="581">
        <f t="shared" si="42"/>
        <v>77000</v>
      </c>
      <c r="KA72" s="581">
        <f t="shared" si="43"/>
        <v>0</v>
      </c>
      <c r="KB72" s="549">
        <f>SUM(KB73:KB75)</f>
        <v>207000</v>
      </c>
      <c r="KC72" s="709">
        <f t="shared" si="41"/>
        <v>0</v>
      </c>
      <c r="KD72" s="126" t="s">
        <v>203</v>
      </c>
      <c r="KE72" s="140" t="s">
        <v>408</v>
      </c>
      <c r="KF72" s="127" t="e">
        <f t="shared" ref="KF72:KK72" si="2019">KF46+KF31</f>
        <v>#REF!</v>
      </c>
      <c r="KG72" s="127" t="e">
        <f t="shared" si="2019"/>
        <v>#REF!</v>
      </c>
      <c r="KH72" s="127" t="e">
        <f t="shared" si="2019"/>
        <v>#REF!</v>
      </c>
      <c r="KI72" s="127" t="e">
        <f t="shared" si="2019"/>
        <v>#REF!</v>
      </c>
      <c r="KJ72" s="127" t="e">
        <f t="shared" si="2019"/>
        <v>#REF!</v>
      </c>
      <c r="KK72" s="127" t="e">
        <f t="shared" si="2019"/>
        <v>#REF!</v>
      </c>
    </row>
    <row r="73" spans="1:297" s="8" customFormat="1" ht="13.5" thickBot="1">
      <c r="A73" s="75" t="s">
        <v>106</v>
      </c>
      <c r="B73" s="72" t="s">
        <v>107</v>
      </c>
      <c r="C73" s="74">
        <f t="shared" ref="C73:BP73" si="2020">SUM(C407,C294)</f>
        <v>68000</v>
      </c>
      <c r="D73" s="549">
        <f t="shared" si="2020"/>
        <v>0</v>
      </c>
      <c r="E73" s="675">
        <f t="shared" si="2020"/>
        <v>0</v>
      </c>
      <c r="F73" s="549">
        <f t="shared" si="2020"/>
        <v>0</v>
      </c>
      <c r="G73" s="675">
        <f t="shared" si="2020"/>
        <v>0</v>
      </c>
      <c r="H73" s="549">
        <f t="shared" si="2020"/>
        <v>0</v>
      </c>
      <c r="I73" s="675">
        <f t="shared" si="2020"/>
        <v>0</v>
      </c>
      <c r="J73" s="549">
        <f t="shared" si="2020"/>
        <v>0</v>
      </c>
      <c r="K73" s="675">
        <f t="shared" si="2020"/>
        <v>0</v>
      </c>
      <c r="L73" s="549">
        <f t="shared" si="2020"/>
        <v>0</v>
      </c>
      <c r="M73" s="675">
        <f t="shared" si="2020"/>
        <v>0</v>
      </c>
      <c r="N73" s="549">
        <f t="shared" si="2020"/>
        <v>0</v>
      </c>
      <c r="O73" s="675">
        <f t="shared" si="2020"/>
        <v>0</v>
      </c>
      <c r="P73" s="549">
        <f t="shared" si="2020"/>
        <v>0</v>
      </c>
      <c r="Q73" s="675">
        <f t="shared" si="2020"/>
        <v>0</v>
      </c>
      <c r="R73" s="549">
        <f t="shared" si="2020"/>
        <v>0</v>
      </c>
      <c r="S73" s="675">
        <f t="shared" si="2020"/>
        <v>0</v>
      </c>
      <c r="T73" s="549">
        <f t="shared" si="2020"/>
        <v>0</v>
      </c>
      <c r="U73" s="675">
        <f t="shared" si="2020"/>
        <v>0</v>
      </c>
      <c r="V73" s="549">
        <f t="shared" si="2020"/>
        <v>0</v>
      </c>
      <c r="W73" s="675">
        <f t="shared" si="2020"/>
        <v>0</v>
      </c>
      <c r="X73" s="549">
        <f t="shared" si="2020"/>
        <v>0</v>
      </c>
      <c r="Y73" s="675">
        <f t="shared" si="2020"/>
        <v>0</v>
      </c>
      <c r="Z73" s="549">
        <f t="shared" si="2020"/>
        <v>0</v>
      </c>
      <c r="AA73" s="675">
        <f t="shared" si="2020"/>
        <v>0</v>
      </c>
      <c r="AB73" s="549">
        <f t="shared" si="2020"/>
        <v>0</v>
      </c>
      <c r="AC73" s="675">
        <f t="shared" si="2020"/>
        <v>0</v>
      </c>
      <c r="AD73" s="549">
        <f t="shared" si="2020"/>
        <v>0</v>
      </c>
      <c r="AE73" s="675">
        <f t="shared" si="2020"/>
        <v>0</v>
      </c>
      <c r="AF73" s="549">
        <f t="shared" si="2020"/>
        <v>0</v>
      </c>
      <c r="AG73" s="675">
        <f t="shared" si="2020"/>
        <v>0</v>
      </c>
      <c r="AH73" s="549">
        <f t="shared" si="2020"/>
        <v>0</v>
      </c>
      <c r="AI73" s="675">
        <f t="shared" si="2020"/>
        <v>0</v>
      </c>
      <c r="AJ73" s="549">
        <f t="shared" si="2020"/>
        <v>0</v>
      </c>
      <c r="AK73" s="675">
        <f t="shared" si="2020"/>
        <v>0</v>
      </c>
      <c r="AL73" s="549">
        <f t="shared" si="2020"/>
        <v>0</v>
      </c>
      <c r="AM73" s="675">
        <f t="shared" si="2020"/>
        <v>0</v>
      </c>
      <c r="AN73" s="549">
        <f t="shared" si="2020"/>
        <v>0</v>
      </c>
      <c r="AO73" s="675">
        <f t="shared" si="2020"/>
        <v>0</v>
      </c>
      <c r="AP73" s="549">
        <f t="shared" si="2020"/>
        <v>0</v>
      </c>
      <c r="AQ73" s="675">
        <f t="shared" si="2020"/>
        <v>0</v>
      </c>
      <c r="AR73" s="549">
        <f t="shared" si="2020"/>
        <v>0</v>
      </c>
      <c r="AS73" s="675">
        <f t="shared" si="2020"/>
        <v>0</v>
      </c>
      <c r="AT73" s="549">
        <f t="shared" ref="AT73:AU73" si="2021">SUM(AT407,AT294)</f>
        <v>0</v>
      </c>
      <c r="AU73" s="675">
        <f t="shared" si="2021"/>
        <v>0</v>
      </c>
      <c r="AV73" s="549">
        <f t="shared" ref="AV73:AW73" si="2022">SUM(AV407,AV294)</f>
        <v>0</v>
      </c>
      <c r="AW73" s="675">
        <f t="shared" si="2022"/>
        <v>0</v>
      </c>
      <c r="AX73" s="549">
        <f t="shared" ref="AX73:AY73" si="2023">SUM(AX407,AX294)</f>
        <v>0</v>
      </c>
      <c r="AY73" s="675">
        <f t="shared" si="2023"/>
        <v>0</v>
      </c>
      <c r="AZ73" s="549">
        <f t="shared" ref="AZ73:BA73" si="2024">SUM(AZ407,AZ294)</f>
        <v>0</v>
      </c>
      <c r="BA73" s="675">
        <f t="shared" si="2024"/>
        <v>0</v>
      </c>
      <c r="BB73" s="549">
        <f t="shared" ref="BB73:BC73" si="2025">SUM(BB407,BB294)</f>
        <v>0</v>
      </c>
      <c r="BC73" s="675">
        <f t="shared" si="2025"/>
        <v>0</v>
      </c>
      <c r="BD73" s="549">
        <f t="shared" ref="BD73:BE73" si="2026">SUM(BD407,BD294)</f>
        <v>0</v>
      </c>
      <c r="BE73" s="675">
        <f t="shared" si="2026"/>
        <v>0</v>
      </c>
      <c r="BF73" s="549">
        <f t="shared" ref="BF73:BG73" si="2027">SUM(BF407,BF294)</f>
        <v>0</v>
      </c>
      <c r="BG73" s="675">
        <f t="shared" si="2027"/>
        <v>0</v>
      </c>
      <c r="BH73" s="549">
        <f t="shared" ref="BH73:BI73" si="2028">SUM(BH407,BH294)</f>
        <v>0</v>
      </c>
      <c r="BI73" s="675">
        <f t="shared" si="2028"/>
        <v>0</v>
      </c>
      <c r="BJ73" s="549">
        <f t="shared" ref="BJ73:BK73" si="2029">SUM(BJ407,BJ294)</f>
        <v>0</v>
      </c>
      <c r="BK73" s="675">
        <f t="shared" si="2029"/>
        <v>0</v>
      </c>
      <c r="BL73" s="549">
        <f t="shared" si="2020"/>
        <v>0</v>
      </c>
      <c r="BM73" s="675">
        <f t="shared" si="2020"/>
        <v>0</v>
      </c>
      <c r="BN73" s="549">
        <f t="shared" si="2020"/>
        <v>0</v>
      </c>
      <c r="BO73" s="675">
        <f t="shared" si="2020"/>
        <v>0</v>
      </c>
      <c r="BP73" s="549">
        <f t="shared" si="2020"/>
        <v>0</v>
      </c>
      <c r="BQ73" s="675">
        <f t="shared" ref="BQ73" si="2030">SUM(BQ407,BQ294)</f>
        <v>0</v>
      </c>
      <c r="BR73" s="549">
        <f t="shared" ref="BR73:BS73" si="2031">SUM(BR407,BR294)</f>
        <v>0</v>
      </c>
      <c r="BS73" s="675">
        <f t="shared" si="2031"/>
        <v>0</v>
      </c>
      <c r="BT73" s="549">
        <f t="shared" ref="BT73:BU73" si="2032">SUM(BT407,BT294)</f>
        <v>0</v>
      </c>
      <c r="BU73" s="675">
        <f t="shared" si="2032"/>
        <v>0</v>
      </c>
      <c r="BV73" s="549">
        <f t="shared" ref="BV73:BW73" si="2033">SUM(BV407,BV294)</f>
        <v>0</v>
      </c>
      <c r="BW73" s="675">
        <f t="shared" si="2033"/>
        <v>0</v>
      </c>
      <c r="BX73" s="549">
        <f t="shared" ref="BX73:BY73" si="2034">SUM(BX407,BX294)</f>
        <v>0</v>
      </c>
      <c r="BY73" s="675">
        <f t="shared" si="2034"/>
        <v>0</v>
      </c>
      <c r="BZ73" s="549">
        <f t="shared" ref="BZ73:CA73" si="2035">SUM(BZ407,BZ294)</f>
        <v>0</v>
      </c>
      <c r="CA73" s="675">
        <f t="shared" si="2035"/>
        <v>0</v>
      </c>
      <c r="CB73" s="549">
        <f t="shared" ref="CB73:EC73" si="2036">SUM(CB407,CB294)</f>
        <v>0</v>
      </c>
      <c r="CC73" s="675">
        <f t="shared" si="2036"/>
        <v>0</v>
      </c>
      <c r="CD73" s="549">
        <f t="shared" si="2036"/>
        <v>0</v>
      </c>
      <c r="CE73" s="675">
        <f t="shared" si="2036"/>
        <v>0</v>
      </c>
      <c r="CF73" s="549">
        <f t="shared" si="2036"/>
        <v>0</v>
      </c>
      <c r="CG73" s="675">
        <f t="shared" si="2036"/>
        <v>0</v>
      </c>
      <c r="CH73" s="549">
        <f t="shared" si="2036"/>
        <v>0</v>
      </c>
      <c r="CI73" s="675">
        <f t="shared" si="2036"/>
        <v>0</v>
      </c>
      <c r="CJ73" s="549">
        <f t="shared" si="2036"/>
        <v>0</v>
      </c>
      <c r="CK73" s="675">
        <f t="shared" si="2036"/>
        <v>0</v>
      </c>
      <c r="CL73" s="549">
        <f t="shared" si="2036"/>
        <v>0</v>
      </c>
      <c r="CM73" s="675">
        <f t="shared" si="2036"/>
        <v>0</v>
      </c>
      <c r="CN73" s="549">
        <f t="shared" si="2036"/>
        <v>0</v>
      </c>
      <c r="CO73" s="675">
        <f t="shared" si="2036"/>
        <v>0</v>
      </c>
      <c r="CP73" s="549">
        <f t="shared" si="2036"/>
        <v>0</v>
      </c>
      <c r="CQ73" s="675">
        <f t="shared" si="2036"/>
        <v>0</v>
      </c>
      <c r="CR73" s="549">
        <f t="shared" si="2036"/>
        <v>0</v>
      </c>
      <c r="CS73" s="675">
        <f t="shared" si="2036"/>
        <v>0</v>
      </c>
      <c r="CT73" s="549">
        <f t="shared" si="2036"/>
        <v>0</v>
      </c>
      <c r="CU73" s="675">
        <f t="shared" si="2036"/>
        <v>0</v>
      </c>
      <c r="CV73" s="549">
        <f t="shared" si="2036"/>
        <v>0</v>
      </c>
      <c r="CW73" s="675">
        <f t="shared" si="2036"/>
        <v>0</v>
      </c>
      <c r="CX73" s="549">
        <f t="shared" si="2036"/>
        <v>0</v>
      </c>
      <c r="CY73" s="675">
        <f t="shared" si="2036"/>
        <v>0</v>
      </c>
      <c r="CZ73" s="549">
        <f t="shared" si="2036"/>
        <v>0</v>
      </c>
      <c r="DA73" s="675">
        <f t="shared" si="2036"/>
        <v>0</v>
      </c>
      <c r="DB73" s="549">
        <f t="shared" si="2036"/>
        <v>0</v>
      </c>
      <c r="DC73" s="675">
        <f t="shared" si="2036"/>
        <v>0</v>
      </c>
      <c r="DD73" s="549">
        <f t="shared" si="2036"/>
        <v>0</v>
      </c>
      <c r="DE73" s="675">
        <f t="shared" si="2036"/>
        <v>0</v>
      </c>
      <c r="DF73" s="549">
        <f t="shared" si="2036"/>
        <v>0</v>
      </c>
      <c r="DG73" s="675">
        <f t="shared" si="2036"/>
        <v>0</v>
      </c>
      <c r="DH73" s="549">
        <f t="shared" si="2036"/>
        <v>0</v>
      </c>
      <c r="DI73" s="675">
        <f t="shared" si="2036"/>
        <v>0</v>
      </c>
      <c r="DJ73" s="549">
        <f t="shared" si="2036"/>
        <v>0</v>
      </c>
      <c r="DK73" s="675">
        <f t="shared" si="2036"/>
        <v>0</v>
      </c>
      <c r="DL73" s="549">
        <f t="shared" si="2036"/>
        <v>0</v>
      </c>
      <c r="DM73" s="675">
        <f t="shared" si="2036"/>
        <v>0</v>
      </c>
      <c r="DN73" s="549">
        <f t="shared" si="2036"/>
        <v>0</v>
      </c>
      <c r="DO73" s="675">
        <f t="shared" si="2036"/>
        <v>0</v>
      </c>
      <c r="DP73" s="549">
        <f t="shared" si="2036"/>
        <v>0</v>
      </c>
      <c r="DQ73" s="675">
        <f t="shared" si="2036"/>
        <v>0</v>
      </c>
      <c r="DR73" s="549">
        <f t="shared" si="2036"/>
        <v>0</v>
      </c>
      <c r="DS73" s="675">
        <f t="shared" si="2036"/>
        <v>0</v>
      </c>
      <c r="DT73" s="549">
        <f t="shared" si="2036"/>
        <v>0</v>
      </c>
      <c r="DU73" s="675">
        <f t="shared" si="2036"/>
        <v>0</v>
      </c>
      <c r="DV73" s="549">
        <f t="shared" si="2036"/>
        <v>0</v>
      </c>
      <c r="DW73" s="675">
        <f t="shared" si="2036"/>
        <v>0</v>
      </c>
      <c r="DX73" s="549">
        <f t="shared" si="2036"/>
        <v>0</v>
      </c>
      <c r="DY73" s="675">
        <f t="shared" si="2036"/>
        <v>0</v>
      </c>
      <c r="DZ73" s="549">
        <f t="shared" si="2036"/>
        <v>0</v>
      </c>
      <c r="EA73" s="675">
        <f t="shared" si="2036"/>
        <v>0</v>
      </c>
      <c r="EB73" s="549">
        <f t="shared" si="2036"/>
        <v>0</v>
      </c>
      <c r="EC73" s="675">
        <f t="shared" si="2036"/>
        <v>0</v>
      </c>
      <c r="ED73" s="549">
        <f t="shared" ref="ED73:EE73" si="2037">SUM(ED407,ED294)</f>
        <v>7000</v>
      </c>
      <c r="EE73" s="675">
        <f t="shared" si="2037"/>
        <v>0</v>
      </c>
      <c r="EF73" s="549">
        <f t="shared" ref="EF73:HV73" si="2038">SUM(EF407,EF294)</f>
        <v>0</v>
      </c>
      <c r="EG73" s="675">
        <f t="shared" si="2038"/>
        <v>0</v>
      </c>
      <c r="EH73" s="549">
        <f t="shared" si="2038"/>
        <v>0</v>
      </c>
      <c r="EI73" s="675">
        <f t="shared" si="2038"/>
        <v>0</v>
      </c>
      <c r="EJ73" s="549">
        <f t="shared" si="2038"/>
        <v>0</v>
      </c>
      <c r="EK73" s="675">
        <f t="shared" si="2038"/>
        <v>0</v>
      </c>
      <c r="EL73" s="549">
        <f t="shared" si="2038"/>
        <v>0</v>
      </c>
      <c r="EM73" s="675">
        <f t="shared" si="2038"/>
        <v>0</v>
      </c>
      <c r="EN73" s="549">
        <f t="shared" si="2038"/>
        <v>0</v>
      </c>
      <c r="EO73" s="675">
        <f t="shared" si="2038"/>
        <v>0</v>
      </c>
      <c r="EP73" s="549">
        <f t="shared" si="2038"/>
        <v>0</v>
      </c>
      <c r="EQ73" s="675">
        <f t="shared" si="2038"/>
        <v>0</v>
      </c>
      <c r="ER73" s="549">
        <f t="shared" si="2038"/>
        <v>0</v>
      </c>
      <c r="ES73" s="675">
        <f t="shared" si="2038"/>
        <v>0</v>
      </c>
      <c r="ET73" s="549">
        <f t="shared" si="2038"/>
        <v>0</v>
      </c>
      <c r="EU73" s="675">
        <f t="shared" si="2038"/>
        <v>0</v>
      </c>
      <c r="EV73" s="549">
        <f t="shared" si="2038"/>
        <v>0</v>
      </c>
      <c r="EW73" s="675">
        <f t="shared" si="2038"/>
        <v>0</v>
      </c>
      <c r="EX73" s="549">
        <f t="shared" si="2038"/>
        <v>0</v>
      </c>
      <c r="EY73" s="675">
        <f t="shared" si="2038"/>
        <v>0</v>
      </c>
      <c r="EZ73" s="549">
        <f t="shared" si="2038"/>
        <v>0</v>
      </c>
      <c r="FA73" s="675">
        <f t="shared" si="2038"/>
        <v>0</v>
      </c>
      <c r="FB73" s="549">
        <f t="shared" si="2038"/>
        <v>0</v>
      </c>
      <c r="FC73" s="675">
        <f t="shared" si="2038"/>
        <v>0</v>
      </c>
      <c r="FD73" s="549">
        <f t="shared" si="2038"/>
        <v>0</v>
      </c>
      <c r="FE73" s="675">
        <f t="shared" si="2038"/>
        <v>0</v>
      </c>
      <c r="FF73" s="549">
        <f t="shared" si="2038"/>
        <v>0</v>
      </c>
      <c r="FG73" s="675">
        <f t="shared" si="2038"/>
        <v>0</v>
      </c>
      <c r="FH73" s="549">
        <f t="shared" si="2038"/>
        <v>0</v>
      </c>
      <c r="FI73" s="675">
        <f t="shared" si="2038"/>
        <v>0</v>
      </c>
      <c r="FJ73" s="549">
        <f t="shared" si="2038"/>
        <v>0</v>
      </c>
      <c r="FK73" s="675">
        <f t="shared" si="2038"/>
        <v>0</v>
      </c>
      <c r="FL73" s="549">
        <f t="shared" ref="FL73:FM73" si="2039">SUM(FL407,FL294)</f>
        <v>0</v>
      </c>
      <c r="FM73" s="675">
        <f t="shared" si="2039"/>
        <v>0</v>
      </c>
      <c r="FN73" s="549">
        <f t="shared" ref="FN73:FO73" si="2040">SUM(FN407,FN294)</f>
        <v>0</v>
      </c>
      <c r="FO73" s="675">
        <f t="shared" si="2040"/>
        <v>0</v>
      </c>
      <c r="FP73" s="549">
        <f t="shared" ref="FP73:FQ73" si="2041">SUM(FP407,FP294)</f>
        <v>0</v>
      </c>
      <c r="FQ73" s="675">
        <f t="shared" si="2041"/>
        <v>0</v>
      </c>
      <c r="FR73" s="549">
        <f t="shared" ref="FR73:FS73" si="2042">SUM(FR407,FR294)</f>
        <v>0</v>
      </c>
      <c r="FS73" s="675">
        <f t="shared" si="2042"/>
        <v>0</v>
      </c>
      <c r="FT73" s="549">
        <f t="shared" ref="FT73:FU73" si="2043">SUM(FT407,FT294)</f>
        <v>0</v>
      </c>
      <c r="FU73" s="675">
        <f t="shared" si="2043"/>
        <v>0</v>
      </c>
      <c r="FV73" s="549">
        <f t="shared" ref="FV73:GK73" si="2044">SUM(FV407,FV294)</f>
        <v>0</v>
      </c>
      <c r="FW73" s="675">
        <f t="shared" si="2044"/>
        <v>0</v>
      </c>
      <c r="FX73" s="549">
        <f t="shared" si="2044"/>
        <v>0</v>
      </c>
      <c r="FY73" s="675">
        <f t="shared" si="2044"/>
        <v>0</v>
      </c>
      <c r="FZ73" s="549">
        <f t="shared" ref="FZ73:GI73" si="2045">SUM(FZ407,FZ294)</f>
        <v>0</v>
      </c>
      <c r="GA73" s="675">
        <f t="shared" si="2045"/>
        <v>0</v>
      </c>
      <c r="GB73" s="549">
        <f t="shared" si="2045"/>
        <v>0</v>
      </c>
      <c r="GC73" s="675">
        <f t="shared" si="2045"/>
        <v>0</v>
      </c>
      <c r="GD73" s="549">
        <f t="shared" si="2045"/>
        <v>0</v>
      </c>
      <c r="GE73" s="675">
        <f t="shared" si="2045"/>
        <v>0</v>
      </c>
      <c r="GF73" s="549">
        <f t="shared" si="2045"/>
        <v>0</v>
      </c>
      <c r="GG73" s="675">
        <f t="shared" si="2045"/>
        <v>0</v>
      </c>
      <c r="GH73" s="549">
        <f t="shared" si="2045"/>
        <v>0</v>
      </c>
      <c r="GI73" s="675">
        <f t="shared" si="2045"/>
        <v>0</v>
      </c>
      <c r="GJ73" s="549">
        <f t="shared" si="2044"/>
        <v>0</v>
      </c>
      <c r="GK73" s="675">
        <f t="shared" si="2044"/>
        <v>0</v>
      </c>
      <c r="GL73" s="549">
        <f t="shared" ref="GL73:GM73" si="2046">SUM(GL407,GL294)</f>
        <v>0</v>
      </c>
      <c r="GM73" s="675">
        <f t="shared" si="2046"/>
        <v>0</v>
      </c>
      <c r="GN73" s="549">
        <f t="shared" ref="GN73:GO73" si="2047">SUM(GN407,GN294)</f>
        <v>0</v>
      </c>
      <c r="GO73" s="675">
        <f t="shared" si="2047"/>
        <v>0</v>
      </c>
      <c r="GP73" s="74">
        <f>SUM(GP407,GP294)</f>
        <v>7000</v>
      </c>
      <c r="GQ73" s="675">
        <f t="shared" si="2038"/>
        <v>0</v>
      </c>
      <c r="GR73" s="74">
        <f t="shared" si="2038"/>
        <v>75000</v>
      </c>
      <c r="GS73" s="74">
        <f t="shared" si="2038"/>
        <v>75000</v>
      </c>
      <c r="GT73" s="74">
        <f t="shared" si="2038"/>
        <v>75000</v>
      </c>
      <c r="GU73" s="74">
        <f t="shared" si="2038"/>
        <v>6800</v>
      </c>
      <c r="GV73" s="74">
        <f t="shared" si="2038"/>
        <v>6800</v>
      </c>
      <c r="GW73" s="74">
        <f t="shared" si="2038"/>
        <v>6800</v>
      </c>
      <c r="GX73" s="74">
        <f t="shared" si="2038"/>
        <v>6800</v>
      </c>
      <c r="GY73" s="74">
        <f t="shared" si="2038"/>
        <v>6800</v>
      </c>
      <c r="GZ73" s="74">
        <f t="shared" si="2038"/>
        <v>6800</v>
      </c>
      <c r="HA73" s="74">
        <f t="shared" si="2038"/>
        <v>6800</v>
      </c>
      <c r="HB73" s="74">
        <f t="shared" si="2038"/>
        <v>6800</v>
      </c>
      <c r="HC73" s="74">
        <f t="shared" si="2038"/>
        <v>6800</v>
      </c>
      <c r="HD73" s="74">
        <f t="shared" si="2038"/>
        <v>6800</v>
      </c>
      <c r="HE73" s="74">
        <f t="shared" si="2038"/>
        <v>0</v>
      </c>
      <c r="HF73" s="74">
        <f t="shared" si="2038"/>
        <v>0</v>
      </c>
      <c r="HG73" s="74">
        <f t="shared" si="2038"/>
        <v>75000</v>
      </c>
      <c r="HH73" s="74">
        <f t="shared" si="2038"/>
        <v>6800</v>
      </c>
      <c r="HI73" s="74">
        <f t="shared" si="2038"/>
        <v>0</v>
      </c>
      <c r="HJ73" s="74">
        <f t="shared" si="2038"/>
        <v>6800</v>
      </c>
      <c r="HK73" s="74">
        <f t="shared" si="2038"/>
        <v>0</v>
      </c>
      <c r="HL73" s="74">
        <f t="shared" si="2038"/>
        <v>6800</v>
      </c>
      <c r="HM73" s="74">
        <f t="shared" si="2038"/>
        <v>0</v>
      </c>
      <c r="HN73" s="74">
        <f t="shared" si="2038"/>
        <v>6800</v>
      </c>
      <c r="HO73" s="74">
        <f t="shared" si="2038"/>
        <v>0</v>
      </c>
      <c r="HP73" s="74">
        <f t="shared" si="2038"/>
        <v>6800</v>
      </c>
      <c r="HQ73" s="74">
        <f t="shared" si="2038"/>
        <v>0</v>
      </c>
      <c r="HR73" s="74">
        <f t="shared" si="2038"/>
        <v>0</v>
      </c>
      <c r="HS73" s="74">
        <f t="shared" si="2038"/>
        <v>0</v>
      </c>
      <c r="HT73" s="74">
        <f t="shared" si="2038"/>
        <v>13600</v>
      </c>
      <c r="HU73" s="74">
        <f t="shared" si="2038"/>
        <v>0</v>
      </c>
      <c r="HV73" s="74">
        <f t="shared" si="2038"/>
        <v>6800</v>
      </c>
      <c r="HW73" s="74">
        <f t="shared" ref="HW73:JT73" si="2048">SUM(HW407,HW294)</f>
        <v>0</v>
      </c>
      <c r="HX73" s="74">
        <f t="shared" si="2048"/>
        <v>6800</v>
      </c>
      <c r="HY73" s="74">
        <f t="shared" si="2048"/>
        <v>0</v>
      </c>
      <c r="HZ73" s="74">
        <f t="shared" si="2048"/>
        <v>6800</v>
      </c>
      <c r="IA73" s="74">
        <f t="shared" si="2048"/>
        <v>0</v>
      </c>
      <c r="IB73" s="74">
        <f t="shared" si="2048"/>
        <v>0</v>
      </c>
      <c r="IC73" s="74">
        <f t="shared" si="2048"/>
        <v>0</v>
      </c>
      <c r="ID73" s="74">
        <f t="shared" si="2048"/>
        <v>0</v>
      </c>
      <c r="IE73" s="792">
        <f t="shared" si="2048"/>
        <v>0</v>
      </c>
      <c r="IF73" s="841">
        <f t="shared" si="2048"/>
        <v>66138.180000000008</v>
      </c>
      <c r="IG73" s="263">
        <f t="shared" si="2048"/>
        <v>66138.180000000008</v>
      </c>
      <c r="IH73" s="842">
        <f t="shared" si="2048"/>
        <v>66138.180000000008</v>
      </c>
      <c r="II73" s="155">
        <f t="shared" si="2048"/>
        <v>2977.37</v>
      </c>
      <c r="IJ73" s="74">
        <f t="shared" si="2048"/>
        <v>2977.37</v>
      </c>
      <c r="IK73" s="74">
        <f t="shared" si="2048"/>
        <v>2977.37</v>
      </c>
      <c r="IL73" s="74">
        <f t="shared" si="2048"/>
        <v>5377.2300000000005</v>
      </c>
      <c r="IM73" s="74">
        <f t="shared" si="2048"/>
        <v>5377.2300000000005</v>
      </c>
      <c r="IN73" s="74">
        <f t="shared" si="2048"/>
        <v>5377.2300000000005</v>
      </c>
      <c r="IO73" s="74">
        <f t="shared" si="2048"/>
        <v>4481.84</v>
      </c>
      <c r="IP73" s="74">
        <f t="shared" si="2048"/>
        <v>4481.84</v>
      </c>
      <c r="IQ73" s="74">
        <f t="shared" si="2048"/>
        <v>4481.84</v>
      </c>
      <c r="IR73" s="74">
        <f t="shared" si="2048"/>
        <v>3558.4499999999989</v>
      </c>
      <c r="IS73" s="74">
        <f t="shared" si="2048"/>
        <v>3558.4499999999989</v>
      </c>
      <c r="IT73" s="74">
        <f t="shared" si="2048"/>
        <v>3558.4499999999989</v>
      </c>
      <c r="IU73" s="74">
        <f t="shared" si="2048"/>
        <v>5181.9000000000015</v>
      </c>
      <c r="IV73" s="74">
        <f t="shared" si="2048"/>
        <v>5181.9000000000015</v>
      </c>
      <c r="IW73" s="74">
        <f t="shared" si="2048"/>
        <v>5181.9000000000015</v>
      </c>
      <c r="IX73" s="74">
        <f t="shared" si="2048"/>
        <v>5107.2299999999996</v>
      </c>
      <c r="IY73" s="74">
        <f t="shared" si="2048"/>
        <v>5107.2299999999996</v>
      </c>
      <c r="IZ73" s="74">
        <f t="shared" si="2048"/>
        <v>5107.2299999999996</v>
      </c>
      <c r="JA73" s="74">
        <f t="shared" si="2048"/>
        <v>4167.1399999999994</v>
      </c>
      <c r="JB73" s="74">
        <f t="shared" si="2048"/>
        <v>4167.1399999999994</v>
      </c>
      <c r="JC73" s="74">
        <f t="shared" si="2048"/>
        <v>4167.1399999999994</v>
      </c>
      <c r="JD73" s="74">
        <f t="shared" si="2048"/>
        <v>9793.98</v>
      </c>
      <c r="JE73" s="74">
        <f t="shared" si="2048"/>
        <v>9793.98</v>
      </c>
      <c r="JF73" s="74">
        <f t="shared" si="2048"/>
        <v>9793.98</v>
      </c>
      <c r="JG73" s="74">
        <f t="shared" si="2048"/>
        <v>5592.3899999999994</v>
      </c>
      <c r="JH73" s="74">
        <f t="shared" si="2048"/>
        <v>5572.3899999999994</v>
      </c>
      <c r="JI73" s="74">
        <f t="shared" si="2048"/>
        <v>5572.3899999999994</v>
      </c>
      <c r="JJ73" s="74">
        <f t="shared" si="2048"/>
        <v>19900.650000000001</v>
      </c>
      <c r="JK73" s="74">
        <f t="shared" si="2048"/>
        <v>19920.650000000001</v>
      </c>
      <c r="JL73" s="74">
        <f t="shared" si="2048"/>
        <v>19920.650000000001</v>
      </c>
      <c r="JM73" s="74">
        <f t="shared" si="2048"/>
        <v>0</v>
      </c>
      <c r="JN73" s="74">
        <f t="shared" si="2048"/>
        <v>0</v>
      </c>
      <c r="JO73" s="74">
        <f t="shared" si="2048"/>
        <v>0</v>
      </c>
      <c r="JP73" s="74">
        <f t="shared" si="2048"/>
        <v>0</v>
      </c>
      <c r="JQ73" s="74">
        <f t="shared" si="2048"/>
        <v>0</v>
      </c>
      <c r="JR73" s="74">
        <f t="shared" si="2048"/>
        <v>0</v>
      </c>
      <c r="JS73" s="74">
        <f t="shared" si="2048"/>
        <v>8861.82</v>
      </c>
      <c r="JT73" s="74">
        <f t="shared" si="2048"/>
        <v>8861.82</v>
      </c>
      <c r="JU73" s="671"/>
      <c r="JV73" s="492"/>
      <c r="JW73" s="490"/>
      <c r="JX73" s="74">
        <f>SUM(JX407,JX294)</f>
        <v>68000</v>
      </c>
      <c r="JY73" s="74">
        <f>SUM(JY407,JY294)</f>
        <v>0</v>
      </c>
      <c r="JZ73" s="581">
        <f t="shared" si="42"/>
        <v>7000</v>
      </c>
      <c r="KA73" s="581">
        <f t="shared" si="43"/>
        <v>0</v>
      </c>
      <c r="KB73" s="74">
        <f>SUM(KB407,KB294)</f>
        <v>75000</v>
      </c>
      <c r="KC73" s="709">
        <f t="shared" si="41"/>
        <v>0</v>
      </c>
      <c r="KD73" s="132" t="s">
        <v>509</v>
      </c>
      <c r="KE73" s="149" t="s">
        <v>538</v>
      </c>
      <c r="KF73" s="127" t="e">
        <f t="shared" ref="KF73:KK73" si="2049">KF50</f>
        <v>#REF!</v>
      </c>
      <c r="KG73" s="127" t="e">
        <f t="shared" si="2049"/>
        <v>#REF!</v>
      </c>
      <c r="KH73" s="127" t="e">
        <f t="shared" si="2049"/>
        <v>#REF!</v>
      </c>
      <c r="KI73" s="127" t="e">
        <f t="shared" si="2049"/>
        <v>#REF!</v>
      </c>
      <c r="KJ73" s="127" t="e">
        <f t="shared" si="2049"/>
        <v>#REF!</v>
      </c>
      <c r="KK73" s="127" t="e">
        <f t="shared" si="2049"/>
        <v>#REF!</v>
      </c>
    </row>
    <row r="74" spans="1:297" s="8" customFormat="1" ht="13.5" thickBot="1">
      <c r="A74" s="75" t="s">
        <v>108</v>
      </c>
      <c r="B74" s="72" t="s">
        <v>109</v>
      </c>
      <c r="C74" s="74">
        <f t="shared" ref="C74:BP74" si="2050">SUM(C408,C295)</f>
        <v>35500</v>
      </c>
      <c r="D74" s="549">
        <f t="shared" si="2050"/>
        <v>0</v>
      </c>
      <c r="E74" s="675">
        <f t="shared" si="2050"/>
        <v>0</v>
      </c>
      <c r="F74" s="549">
        <f t="shared" si="2050"/>
        <v>0</v>
      </c>
      <c r="G74" s="675">
        <f t="shared" si="2050"/>
        <v>0</v>
      </c>
      <c r="H74" s="549">
        <f t="shared" si="2050"/>
        <v>0</v>
      </c>
      <c r="I74" s="675">
        <f t="shared" si="2050"/>
        <v>0</v>
      </c>
      <c r="J74" s="549">
        <f t="shared" si="2050"/>
        <v>0</v>
      </c>
      <c r="K74" s="675">
        <f t="shared" si="2050"/>
        <v>0</v>
      </c>
      <c r="L74" s="549">
        <f t="shared" si="2050"/>
        <v>0</v>
      </c>
      <c r="M74" s="675">
        <f t="shared" si="2050"/>
        <v>0</v>
      </c>
      <c r="N74" s="549">
        <f t="shared" si="2050"/>
        <v>0</v>
      </c>
      <c r="O74" s="675">
        <f t="shared" si="2050"/>
        <v>0</v>
      </c>
      <c r="P74" s="549">
        <f t="shared" si="2050"/>
        <v>0</v>
      </c>
      <c r="Q74" s="675">
        <f t="shared" si="2050"/>
        <v>0</v>
      </c>
      <c r="R74" s="549">
        <f t="shared" si="2050"/>
        <v>0</v>
      </c>
      <c r="S74" s="675">
        <f t="shared" si="2050"/>
        <v>0</v>
      </c>
      <c r="T74" s="549">
        <f t="shared" si="2050"/>
        <v>0</v>
      </c>
      <c r="U74" s="675">
        <f t="shared" si="2050"/>
        <v>0</v>
      </c>
      <c r="V74" s="549">
        <f t="shared" si="2050"/>
        <v>0</v>
      </c>
      <c r="W74" s="675">
        <f t="shared" si="2050"/>
        <v>0</v>
      </c>
      <c r="X74" s="549">
        <f t="shared" si="2050"/>
        <v>10000</v>
      </c>
      <c r="Y74" s="675">
        <f t="shared" si="2050"/>
        <v>0</v>
      </c>
      <c r="Z74" s="549">
        <f t="shared" si="2050"/>
        <v>0</v>
      </c>
      <c r="AA74" s="675">
        <f t="shared" si="2050"/>
        <v>0</v>
      </c>
      <c r="AB74" s="549">
        <f t="shared" si="2050"/>
        <v>0</v>
      </c>
      <c r="AC74" s="675">
        <f t="shared" si="2050"/>
        <v>0</v>
      </c>
      <c r="AD74" s="549">
        <f t="shared" si="2050"/>
        <v>0</v>
      </c>
      <c r="AE74" s="675">
        <f t="shared" si="2050"/>
        <v>0</v>
      </c>
      <c r="AF74" s="549">
        <f t="shared" si="2050"/>
        <v>0</v>
      </c>
      <c r="AG74" s="675">
        <f t="shared" si="2050"/>
        <v>0</v>
      </c>
      <c r="AH74" s="549">
        <f t="shared" si="2050"/>
        <v>0</v>
      </c>
      <c r="AI74" s="675">
        <f t="shared" si="2050"/>
        <v>0</v>
      </c>
      <c r="AJ74" s="549">
        <f t="shared" si="2050"/>
        <v>0</v>
      </c>
      <c r="AK74" s="675">
        <f t="shared" si="2050"/>
        <v>0</v>
      </c>
      <c r="AL74" s="549">
        <f t="shared" si="2050"/>
        <v>0</v>
      </c>
      <c r="AM74" s="675">
        <f t="shared" si="2050"/>
        <v>0</v>
      </c>
      <c r="AN74" s="549">
        <f t="shared" si="2050"/>
        <v>0</v>
      </c>
      <c r="AO74" s="675">
        <f t="shared" si="2050"/>
        <v>0</v>
      </c>
      <c r="AP74" s="549">
        <f t="shared" si="2050"/>
        <v>0</v>
      </c>
      <c r="AQ74" s="675">
        <f t="shared" si="2050"/>
        <v>0</v>
      </c>
      <c r="AR74" s="549">
        <f t="shared" si="2050"/>
        <v>0</v>
      </c>
      <c r="AS74" s="675">
        <f t="shared" si="2050"/>
        <v>0</v>
      </c>
      <c r="AT74" s="549">
        <f t="shared" ref="AT74:AU74" si="2051">SUM(AT408,AT295)</f>
        <v>0</v>
      </c>
      <c r="AU74" s="675">
        <f t="shared" si="2051"/>
        <v>0</v>
      </c>
      <c r="AV74" s="549">
        <f t="shared" ref="AV74:AW74" si="2052">SUM(AV408,AV295)</f>
        <v>0</v>
      </c>
      <c r="AW74" s="675">
        <f t="shared" si="2052"/>
        <v>0</v>
      </c>
      <c r="AX74" s="549">
        <f t="shared" ref="AX74:AY74" si="2053">SUM(AX408,AX295)</f>
        <v>0</v>
      </c>
      <c r="AY74" s="675">
        <f t="shared" si="2053"/>
        <v>0</v>
      </c>
      <c r="AZ74" s="549">
        <f t="shared" ref="AZ74:BA74" si="2054">SUM(AZ408,AZ295)</f>
        <v>0</v>
      </c>
      <c r="BA74" s="675">
        <f t="shared" si="2054"/>
        <v>0</v>
      </c>
      <c r="BB74" s="549">
        <f t="shared" ref="BB74:BC74" si="2055">SUM(BB408,BB295)</f>
        <v>0</v>
      </c>
      <c r="BC74" s="675">
        <f t="shared" si="2055"/>
        <v>0</v>
      </c>
      <c r="BD74" s="549">
        <f t="shared" ref="BD74:BE74" si="2056">SUM(BD408,BD295)</f>
        <v>0</v>
      </c>
      <c r="BE74" s="675">
        <f t="shared" si="2056"/>
        <v>0</v>
      </c>
      <c r="BF74" s="549">
        <f t="shared" ref="BF74:BG74" si="2057">SUM(BF408,BF295)</f>
        <v>0</v>
      </c>
      <c r="BG74" s="675">
        <f t="shared" si="2057"/>
        <v>0</v>
      </c>
      <c r="BH74" s="549">
        <f t="shared" ref="BH74:BI74" si="2058">SUM(BH408,BH295)</f>
        <v>0</v>
      </c>
      <c r="BI74" s="675">
        <f t="shared" si="2058"/>
        <v>0</v>
      </c>
      <c r="BJ74" s="549">
        <f t="shared" ref="BJ74:BK74" si="2059">SUM(BJ408,BJ295)</f>
        <v>0</v>
      </c>
      <c r="BK74" s="675">
        <f t="shared" si="2059"/>
        <v>0</v>
      </c>
      <c r="BL74" s="549">
        <f t="shared" si="2050"/>
        <v>0</v>
      </c>
      <c r="BM74" s="675">
        <f t="shared" si="2050"/>
        <v>0</v>
      </c>
      <c r="BN74" s="549">
        <f t="shared" si="2050"/>
        <v>0</v>
      </c>
      <c r="BO74" s="675">
        <f t="shared" si="2050"/>
        <v>0</v>
      </c>
      <c r="BP74" s="549">
        <f t="shared" si="2050"/>
        <v>10000</v>
      </c>
      <c r="BQ74" s="675">
        <f t="shared" ref="BQ74" si="2060">SUM(BQ408,BQ295)</f>
        <v>0</v>
      </c>
      <c r="BR74" s="549">
        <f t="shared" ref="BR74:BS74" si="2061">SUM(BR408,BR295)</f>
        <v>0</v>
      </c>
      <c r="BS74" s="675">
        <f t="shared" si="2061"/>
        <v>0</v>
      </c>
      <c r="BT74" s="549">
        <f t="shared" ref="BT74:BU74" si="2062">SUM(BT408,BT295)</f>
        <v>0</v>
      </c>
      <c r="BU74" s="675">
        <f t="shared" si="2062"/>
        <v>0</v>
      </c>
      <c r="BV74" s="549">
        <f t="shared" ref="BV74:BW74" si="2063">SUM(BV408,BV295)</f>
        <v>0</v>
      </c>
      <c r="BW74" s="675">
        <f t="shared" si="2063"/>
        <v>0</v>
      </c>
      <c r="BX74" s="549">
        <f t="shared" ref="BX74:BY74" si="2064">SUM(BX408,BX295)</f>
        <v>0</v>
      </c>
      <c r="BY74" s="675">
        <f t="shared" si="2064"/>
        <v>0</v>
      </c>
      <c r="BZ74" s="549">
        <f t="shared" ref="BZ74:CA74" si="2065">SUM(BZ408,BZ295)</f>
        <v>0</v>
      </c>
      <c r="CA74" s="675">
        <f t="shared" si="2065"/>
        <v>0</v>
      </c>
      <c r="CB74" s="549">
        <f t="shared" ref="CB74:EC74" si="2066">SUM(CB408,CB295)</f>
        <v>0</v>
      </c>
      <c r="CC74" s="675">
        <f t="shared" si="2066"/>
        <v>0</v>
      </c>
      <c r="CD74" s="549">
        <f t="shared" si="2066"/>
        <v>0</v>
      </c>
      <c r="CE74" s="675">
        <f t="shared" si="2066"/>
        <v>0</v>
      </c>
      <c r="CF74" s="549">
        <f t="shared" si="2066"/>
        <v>0</v>
      </c>
      <c r="CG74" s="675">
        <f t="shared" si="2066"/>
        <v>0</v>
      </c>
      <c r="CH74" s="549">
        <f t="shared" si="2066"/>
        <v>0</v>
      </c>
      <c r="CI74" s="675">
        <f t="shared" si="2066"/>
        <v>0</v>
      </c>
      <c r="CJ74" s="549">
        <f t="shared" si="2066"/>
        <v>0</v>
      </c>
      <c r="CK74" s="675">
        <f t="shared" si="2066"/>
        <v>0</v>
      </c>
      <c r="CL74" s="549">
        <f t="shared" si="2066"/>
        <v>0</v>
      </c>
      <c r="CM74" s="675">
        <f t="shared" si="2066"/>
        <v>0</v>
      </c>
      <c r="CN74" s="549">
        <f t="shared" si="2066"/>
        <v>0</v>
      </c>
      <c r="CO74" s="675">
        <f t="shared" si="2066"/>
        <v>0</v>
      </c>
      <c r="CP74" s="549">
        <f t="shared" si="2066"/>
        <v>0</v>
      </c>
      <c r="CQ74" s="675">
        <f t="shared" si="2066"/>
        <v>0</v>
      </c>
      <c r="CR74" s="549">
        <f t="shared" si="2066"/>
        <v>0</v>
      </c>
      <c r="CS74" s="675">
        <f t="shared" si="2066"/>
        <v>0</v>
      </c>
      <c r="CT74" s="549">
        <f t="shared" si="2066"/>
        <v>0</v>
      </c>
      <c r="CU74" s="675">
        <f t="shared" si="2066"/>
        <v>0</v>
      </c>
      <c r="CV74" s="549">
        <f t="shared" si="2066"/>
        <v>0</v>
      </c>
      <c r="CW74" s="675">
        <f t="shared" si="2066"/>
        <v>0</v>
      </c>
      <c r="CX74" s="549">
        <f t="shared" si="2066"/>
        <v>0</v>
      </c>
      <c r="CY74" s="675">
        <f t="shared" si="2066"/>
        <v>0</v>
      </c>
      <c r="CZ74" s="549">
        <f t="shared" si="2066"/>
        <v>0</v>
      </c>
      <c r="DA74" s="675">
        <f t="shared" si="2066"/>
        <v>0</v>
      </c>
      <c r="DB74" s="549">
        <f t="shared" si="2066"/>
        <v>0</v>
      </c>
      <c r="DC74" s="675">
        <f t="shared" si="2066"/>
        <v>0</v>
      </c>
      <c r="DD74" s="549">
        <f t="shared" si="2066"/>
        <v>0</v>
      </c>
      <c r="DE74" s="675">
        <f t="shared" si="2066"/>
        <v>0</v>
      </c>
      <c r="DF74" s="549">
        <f t="shared" si="2066"/>
        <v>0</v>
      </c>
      <c r="DG74" s="675">
        <f t="shared" si="2066"/>
        <v>0</v>
      </c>
      <c r="DH74" s="549">
        <f t="shared" si="2066"/>
        <v>0</v>
      </c>
      <c r="DI74" s="675">
        <f t="shared" si="2066"/>
        <v>0</v>
      </c>
      <c r="DJ74" s="549">
        <f t="shared" si="2066"/>
        <v>5000</v>
      </c>
      <c r="DK74" s="675">
        <f t="shared" si="2066"/>
        <v>0</v>
      </c>
      <c r="DL74" s="549">
        <f t="shared" si="2066"/>
        <v>0</v>
      </c>
      <c r="DM74" s="675">
        <f t="shared" si="2066"/>
        <v>0</v>
      </c>
      <c r="DN74" s="549">
        <f t="shared" si="2066"/>
        <v>0</v>
      </c>
      <c r="DO74" s="675">
        <f t="shared" si="2066"/>
        <v>0</v>
      </c>
      <c r="DP74" s="549">
        <f t="shared" si="2066"/>
        <v>0</v>
      </c>
      <c r="DQ74" s="675">
        <f t="shared" si="2066"/>
        <v>0</v>
      </c>
      <c r="DR74" s="549">
        <f t="shared" si="2066"/>
        <v>0</v>
      </c>
      <c r="DS74" s="675">
        <f t="shared" si="2066"/>
        <v>0</v>
      </c>
      <c r="DT74" s="549">
        <f t="shared" si="2066"/>
        <v>0</v>
      </c>
      <c r="DU74" s="675">
        <f t="shared" si="2066"/>
        <v>0</v>
      </c>
      <c r="DV74" s="549">
        <f t="shared" si="2066"/>
        <v>0</v>
      </c>
      <c r="DW74" s="675">
        <f t="shared" si="2066"/>
        <v>0</v>
      </c>
      <c r="DX74" s="549">
        <f t="shared" si="2066"/>
        <v>0</v>
      </c>
      <c r="DY74" s="675">
        <f t="shared" si="2066"/>
        <v>0</v>
      </c>
      <c r="DZ74" s="549">
        <f t="shared" si="2066"/>
        <v>0</v>
      </c>
      <c r="EA74" s="675">
        <f t="shared" si="2066"/>
        <v>0</v>
      </c>
      <c r="EB74" s="549">
        <f t="shared" si="2066"/>
        <v>0</v>
      </c>
      <c r="EC74" s="675">
        <f t="shared" si="2066"/>
        <v>0</v>
      </c>
      <c r="ED74" s="549">
        <f t="shared" ref="ED74:EE74" si="2067">SUM(ED408,ED295)</f>
        <v>10000</v>
      </c>
      <c r="EE74" s="675">
        <f t="shared" si="2067"/>
        <v>0</v>
      </c>
      <c r="EF74" s="549">
        <f t="shared" ref="EF74:HV74" si="2068">SUM(EF408,EF295)</f>
        <v>0</v>
      </c>
      <c r="EG74" s="675">
        <f t="shared" si="2068"/>
        <v>0</v>
      </c>
      <c r="EH74" s="549">
        <f t="shared" si="2068"/>
        <v>0</v>
      </c>
      <c r="EI74" s="675">
        <f t="shared" si="2068"/>
        <v>0</v>
      </c>
      <c r="EJ74" s="549">
        <f t="shared" si="2068"/>
        <v>0</v>
      </c>
      <c r="EK74" s="675">
        <f t="shared" si="2068"/>
        <v>0</v>
      </c>
      <c r="EL74" s="549">
        <f t="shared" si="2068"/>
        <v>0</v>
      </c>
      <c r="EM74" s="675">
        <f t="shared" si="2068"/>
        <v>0</v>
      </c>
      <c r="EN74" s="549">
        <f t="shared" si="2068"/>
        <v>0</v>
      </c>
      <c r="EO74" s="675">
        <f t="shared" si="2068"/>
        <v>0</v>
      </c>
      <c r="EP74" s="549">
        <f t="shared" si="2068"/>
        <v>0</v>
      </c>
      <c r="EQ74" s="675">
        <f t="shared" si="2068"/>
        <v>0</v>
      </c>
      <c r="ER74" s="549">
        <f t="shared" si="2068"/>
        <v>0</v>
      </c>
      <c r="ES74" s="675">
        <f t="shared" si="2068"/>
        <v>0</v>
      </c>
      <c r="ET74" s="549">
        <f t="shared" si="2068"/>
        <v>0</v>
      </c>
      <c r="EU74" s="675">
        <f t="shared" si="2068"/>
        <v>0</v>
      </c>
      <c r="EV74" s="549">
        <f t="shared" si="2068"/>
        <v>0</v>
      </c>
      <c r="EW74" s="675">
        <f t="shared" si="2068"/>
        <v>0</v>
      </c>
      <c r="EX74" s="549">
        <f t="shared" si="2068"/>
        <v>0</v>
      </c>
      <c r="EY74" s="675">
        <f t="shared" si="2068"/>
        <v>0</v>
      </c>
      <c r="EZ74" s="549">
        <f t="shared" si="2068"/>
        <v>0</v>
      </c>
      <c r="FA74" s="675">
        <f t="shared" si="2068"/>
        <v>0</v>
      </c>
      <c r="FB74" s="549">
        <f t="shared" si="2068"/>
        <v>0</v>
      </c>
      <c r="FC74" s="675">
        <f t="shared" si="2068"/>
        <v>0</v>
      </c>
      <c r="FD74" s="549">
        <f t="shared" si="2068"/>
        <v>0</v>
      </c>
      <c r="FE74" s="675">
        <f t="shared" si="2068"/>
        <v>0</v>
      </c>
      <c r="FF74" s="549">
        <f t="shared" si="2068"/>
        <v>0</v>
      </c>
      <c r="FG74" s="675">
        <f t="shared" si="2068"/>
        <v>0</v>
      </c>
      <c r="FH74" s="549">
        <f t="shared" si="2068"/>
        <v>0</v>
      </c>
      <c r="FI74" s="675">
        <f t="shared" si="2068"/>
        <v>0</v>
      </c>
      <c r="FJ74" s="549">
        <f t="shared" si="2068"/>
        <v>0</v>
      </c>
      <c r="FK74" s="675">
        <f t="shared" si="2068"/>
        <v>0</v>
      </c>
      <c r="FL74" s="549">
        <f t="shared" ref="FL74:FM74" si="2069">SUM(FL408,FL295)</f>
        <v>0</v>
      </c>
      <c r="FM74" s="675">
        <f t="shared" si="2069"/>
        <v>0</v>
      </c>
      <c r="FN74" s="549">
        <f t="shared" ref="FN74:FO74" si="2070">SUM(FN408,FN295)</f>
        <v>0</v>
      </c>
      <c r="FO74" s="675">
        <f t="shared" si="2070"/>
        <v>0</v>
      </c>
      <c r="FP74" s="549">
        <f t="shared" ref="FP74:FQ74" si="2071">SUM(FP408,FP295)</f>
        <v>0</v>
      </c>
      <c r="FQ74" s="675">
        <f t="shared" si="2071"/>
        <v>0</v>
      </c>
      <c r="FR74" s="549">
        <f t="shared" ref="FR74:FS74" si="2072">SUM(FR408,FR295)</f>
        <v>0</v>
      </c>
      <c r="FS74" s="675">
        <f t="shared" si="2072"/>
        <v>0</v>
      </c>
      <c r="FT74" s="549">
        <f t="shared" ref="FT74:FU74" si="2073">SUM(FT408,FT295)</f>
        <v>0</v>
      </c>
      <c r="FU74" s="675">
        <f t="shared" si="2073"/>
        <v>0</v>
      </c>
      <c r="FV74" s="549">
        <f t="shared" ref="FV74:GK74" si="2074">SUM(FV408,FV295)</f>
        <v>0</v>
      </c>
      <c r="FW74" s="675">
        <f t="shared" si="2074"/>
        <v>0</v>
      </c>
      <c r="FX74" s="549">
        <f t="shared" si="2074"/>
        <v>0</v>
      </c>
      <c r="FY74" s="675">
        <f t="shared" si="2074"/>
        <v>0</v>
      </c>
      <c r="FZ74" s="549">
        <f t="shared" ref="FZ74:GI74" si="2075">SUM(FZ408,FZ295)</f>
        <v>0</v>
      </c>
      <c r="GA74" s="675">
        <f t="shared" si="2075"/>
        <v>0</v>
      </c>
      <c r="GB74" s="549">
        <f t="shared" si="2075"/>
        <v>0</v>
      </c>
      <c r="GC74" s="675">
        <f t="shared" si="2075"/>
        <v>0</v>
      </c>
      <c r="GD74" s="549">
        <f t="shared" si="2075"/>
        <v>0</v>
      </c>
      <c r="GE74" s="675">
        <f t="shared" si="2075"/>
        <v>0</v>
      </c>
      <c r="GF74" s="549">
        <f t="shared" si="2075"/>
        <v>0</v>
      </c>
      <c r="GG74" s="675">
        <f t="shared" si="2075"/>
        <v>0</v>
      </c>
      <c r="GH74" s="549">
        <f t="shared" si="2075"/>
        <v>0</v>
      </c>
      <c r="GI74" s="675">
        <f t="shared" si="2075"/>
        <v>0</v>
      </c>
      <c r="GJ74" s="549">
        <f t="shared" si="2074"/>
        <v>0</v>
      </c>
      <c r="GK74" s="675">
        <f t="shared" si="2074"/>
        <v>0</v>
      </c>
      <c r="GL74" s="549">
        <f t="shared" ref="GL74:GM74" si="2076">SUM(GL408,GL295)</f>
        <v>0</v>
      </c>
      <c r="GM74" s="675">
        <f t="shared" si="2076"/>
        <v>0</v>
      </c>
      <c r="GN74" s="549">
        <f t="shared" ref="GN74:GO74" si="2077">SUM(GN408,GN295)</f>
        <v>0</v>
      </c>
      <c r="GO74" s="675">
        <f t="shared" si="2077"/>
        <v>0</v>
      </c>
      <c r="GP74" s="74">
        <f t="shared" si="2068"/>
        <v>35000</v>
      </c>
      <c r="GQ74" s="675">
        <f t="shared" si="2068"/>
        <v>0</v>
      </c>
      <c r="GR74" s="74">
        <f t="shared" si="2068"/>
        <v>70500</v>
      </c>
      <c r="GS74" s="74">
        <f t="shared" si="2068"/>
        <v>70500</v>
      </c>
      <c r="GT74" s="74">
        <f t="shared" si="2068"/>
        <v>70500</v>
      </c>
      <c r="GU74" s="74">
        <f t="shared" si="2068"/>
        <v>8875</v>
      </c>
      <c r="GV74" s="74">
        <f t="shared" si="2068"/>
        <v>0</v>
      </c>
      <c r="GW74" s="74">
        <f t="shared" si="2068"/>
        <v>0</v>
      </c>
      <c r="GX74" s="74">
        <f t="shared" si="2068"/>
        <v>8875</v>
      </c>
      <c r="GY74" s="74">
        <f t="shared" si="2068"/>
        <v>0</v>
      </c>
      <c r="GZ74" s="74">
        <f t="shared" si="2068"/>
        <v>0</v>
      </c>
      <c r="HA74" s="74">
        <f t="shared" si="2068"/>
        <v>8875</v>
      </c>
      <c r="HB74" s="74">
        <f t="shared" si="2068"/>
        <v>0</v>
      </c>
      <c r="HC74" s="74">
        <f t="shared" si="2068"/>
        <v>8875</v>
      </c>
      <c r="HD74" s="74">
        <f t="shared" si="2068"/>
        <v>0</v>
      </c>
      <c r="HE74" s="74">
        <f t="shared" si="2068"/>
        <v>0</v>
      </c>
      <c r="HF74" s="74">
        <f t="shared" si="2068"/>
        <v>0</v>
      </c>
      <c r="HG74" s="74">
        <f t="shared" si="2068"/>
        <v>70500</v>
      </c>
      <c r="HH74" s="74">
        <f t="shared" si="2068"/>
        <v>8875</v>
      </c>
      <c r="HI74" s="74">
        <f t="shared" si="2068"/>
        <v>0</v>
      </c>
      <c r="HJ74" s="74">
        <f t="shared" si="2068"/>
        <v>0</v>
      </c>
      <c r="HK74" s="74">
        <f t="shared" si="2068"/>
        <v>0</v>
      </c>
      <c r="HL74" s="74">
        <f t="shared" si="2068"/>
        <v>10000</v>
      </c>
      <c r="HM74" s="74">
        <f t="shared" si="2068"/>
        <v>0</v>
      </c>
      <c r="HN74" s="74">
        <f t="shared" si="2068"/>
        <v>8875</v>
      </c>
      <c r="HO74" s="74">
        <f t="shared" si="2068"/>
        <v>0</v>
      </c>
      <c r="HP74" s="74">
        <f t="shared" si="2068"/>
        <v>10000</v>
      </c>
      <c r="HQ74" s="74">
        <f t="shared" si="2068"/>
        <v>0</v>
      </c>
      <c r="HR74" s="74">
        <f t="shared" si="2068"/>
        <v>0</v>
      </c>
      <c r="HS74" s="74">
        <f t="shared" si="2068"/>
        <v>0</v>
      </c>
      <c r="HT74" s="74">
        <f t="shared" si="2068"/>
        <v>301.27999999999997</v>
      </c>
      <c r="HU74" s="74">
        <f t="shared" si="2068"/>
        <v>0</v>
      </c>
      <c r="HV74" s="74">
        <f t="shared" si="2068"/>
        <v>13573.72</v>
      </c>
      <c r="HW74" s="74">
        <f t="shared" ref="HW74:JT74" si="2078">SUM(HW408,HW295)</f>
        <v>0</v>
      </c>
      <c r="HX74" s="74">
        <f t="shared" si="2078"/>
        <v>8875</v>
      </c>
      <c r="HY74" s="74">
        <f t="shared" si="2078"/>
        <v>0</v>
      </c>
      <c r="HZ74" s="74">
        <f t="shared" si="2078"/>
        <v>0</v>
      </c>
      <c r="IA74" s="74">
        <f t="shared" si="2078"/>
        <v>0</v>
      </c>
      <c r="IB74" s="74">
        <f t="shared" si="2078"/>
        <v>0</v>
      </c>
      <c r="IC74" s="74">
        <f t="shared" si="2078"/>
        <v>0</v>
      </c>
      <c r="ID74" s="74">
        <f t="shared" si="2078"/>
        <v>0</v>
      </c>
      <c r="IE74" s="792">
        <f t="shared" si="2078"/>
        <v>0</v>
      </c>
      <c r="IF74" s="841">
        <f t="shared" si="2078"/>
        <v>59964.82</v>
      </c>
      <c r="IG74" s="263">
        <f t="shared" si="2078"/>
        <v>59964.82</v>
      </c>
      <c r="IH74" s="842">
        <f t="shared" si="2078"/>
        <v>59964.82</v>
      </c>
      <c r="II74" s="155">
        <f t="shared" si="2078"/>
        <v>0</v>
      </c>
      <c r="IJ74" s="74">
        <f t="shared" si="2078"/>
        <v>0</v>
      </c>
      <c r="IK74" s="74">
        <f t="shared" si="2078"/>
        <v>0</v>
      </c>
      <c r="IL74" s="74">
        <f t="shared" si="2078"/>
        <v>4698.96</v>
      </c>
      <c r="IM74" s="74">
        <f t="shared" si="2078"/>
        <v>4698.96</v>
      </c>
      <c r="IN74" s="74">
        <f t="shared" si="2078"/>
        <v>4698.96</v>
      </c>
      <c r="IO74" s="74">
        <f t="shared" si="2078"/>
        <v>10768.27</v>
      </c>
      <c r="IP74" s="74">
        <f t="shared" si="2078"/>
        <v>10768.27</v>
      </c>
      <c r="IQ74" s="74">
        <f t="shared" si="2078"/>
        <v>10768.27</v>
      </c>
      <c r="IR74" s="74">
        <f t="shared" si="2078"/>
        <v>3711.7299999999996</v>
      </c>
      <c r="IS74" s="74">
        <f t="shared" si="2078"/>
        <v>3711.7299999999996</v>
      </c>
      <c r="IT74" s="74">
        <f t="shared" si="2078"/>
        <v>3711.7299999999996</v>
      </c>
      <c r="IU74" s="74">
        <f t="shared" si="2078"/>
        <v>8233.32</v>
      </c>
      <c r="IV74" s="74">
        <f t="shared" si="2078"/>
        <v>8233.32</v>
      </c>
      <c r="IW74" s="74">
        <f t="shared" si="2078"/>
        <v>8233.32</v>
      </c>
      <c r="IX74" s="74">
        <f t="shared" si="2078"/>
        <v>6456.7000000000044</v>
      </c>
      <c r="IY74" s="74">
        <f t="shared" si="2078"/>
        <v>6456.7000000000044</v>
      </c>
      <c r="IZ74" s="74">
        <f t="shared" si="2078"/>
        <v>6456.7000000000044</v>
      </c>
      <c r="JA74" s="74">
        <f t="shared" si="2078"/>
        <v>4182.2999999999956</v>
      </c>
      <c r="JB74" s="74">
        <f t="shared" si="2078"/>
        <v>4182.2999999999956</v>
      </c>
      <c r="JC74" s="74">
        <f t="shared" si="2078"/>
        <v>4182.2999999999956</v>
      </c>
      <c r="JD74" s="74">
        <f t="shared" si="2078"/>
        <v>4423.3700000000026</v>
      </c>
      <c r="JE74" s="74">
        <f t="shared" si="2078"/>
        <v>4423.3700000000026</v>
      </c>
      <c r="JF74" s="74">
        <f t="shared" si="2078"/>
        <v>4423.3700000000026</v>
      </c>
      <c r="JG74" s="74">
        <f t="shared" si="2078"/>
        <v>4164.4499999999971</v>
      </c>
      <c r="JH74" s="74">
        <f t="shared" si="2078"/>
        <v>4164.4499999999971</v>
      </c>
      <c r="JI74" s="74">
        <f t="shared" si="2078"/>
        <v>4164.4499999999971</v>
      </c>
      <c r="JJ74" s="74">
        <f t="shared" si="2078"/>
        <v>13325.720000000001</v>
      </c>
      <c r="JK74" s="74">
        <f t="shared" si="2078"/>
        <v>13325.720000000001</v>
      </c>
      <c r="JL74" s="74">
        <f t="shared" si="2078"/>
        <v>13325.720000000001</v>
      </c>
      <c r="JM74" s="74">
        <f t="shared" si="2078"/>
        <v>0</v>
      </c>
      <c r="JN74" s="74">
        <f t="shared" si="2078"/>
        <v>0</v>
      </c>
      <c r="JO74" s="74">
        <f t="shared" si="2078"/>
        <v>0</v>
      </c>
      <c r="JP74" s="74">
        <f t="shared" si="2078"/>
        <v>0</v>
      </c>
      <c r="JQ74" s="74">
        <f t="shared" si="2078"/>
        <v>0</v>
      </c>
      <c r="JR74" s="74">
        <f t="shared" si="2078"/>
        <v>0</v>
      </c>
      <c r="JS74" s="74">
        <f t="shared" si="2078"/>
        <v>10535.18</v>
      </c>
      <c r="JT74" s="74">
        <f t="shared" si="2078"/>
        <v>10535.18</v>
      </c>
      <c r="JU74" s="671"/>
      <c r="JV74" s="492"/>
      <c r="JW74" s="490"/>
      <c r="JX74" s="74">
        <f>SUM(JX408,JX295)</f>
        <v>60500</v>
      </c>
      <c r="JY74" s="74">
        <f>SUM(JY408,JY295)</f>
        <v>0</v>
      </c>
      <c r="JZ74" s="581">
        <f t="shared" si="42"/>
        <v>35000</v>
      </c>
      <c r="KA74" s="581">
        <f t="shared" si="43"/>
        <v>0</v>
      </c>
      <c r="KB74" s="74">
        <f>SUM(KB408,KB295)</f>
        <v>70500</v>
      </c>
      <c r="KC74" s="709">
        <f t="shared" ref="KC74:KC140" si="2079">HG74-KB74</f>
        <v>0</v>
      </c>
      <c r="KD74" s="121" t="s">
        <v>510</v>
      </c>
      <c r="KE74" s="150" t="s">
        <v>539</v>
      </c>
      <c r="KF74" s="122">
        <f>C658</f>
        <v>5000000</v>
      </c>
      <c r="KG74" s="122">
        <f t="shared" ref="KG74:KK74" si="2080">KG33</f>
        <v>5000000</v>
      </c>
      <c r="KH74" s="122">
        <f t="shared" si="2080"/>
        <v>5000000</v>
      </c>
      <c r="KI74" s="122" t="e">
        <f t="shared" si="2080"/>
        <v>#REF!</v>
      </c>
      <c r="KJ74" s="122">
        <f t="shared" si="2080"/>
        <v>5000000</v>
      </c>
      <c r="KK74" s="122">
        <f t="shared" si="2080"/>
        <v>5000000</v>
      </c>
    </row>
    <row r="75" spans="1:297" s="8" customFormat="1">
      <c r="A75" s="75">
        <v>153</v>
      </c>
      <c r="B75" s="72" t="s">
        <v>110</v>
      </c>
      <c r="C75" s="74">
        <f t="shared" ref="C75:BP75" si="2081">SUM(+C409,C296)</f>
        <v>26500</v>
      </c>
      <c r="D75" s="549">
        <f t="shared" si="2081"/>
        <v>0</v>
      </c>
      <c r="E75" s="675">
        <f t="shared" si="2081"/>
        <v>0</v>
      </c>
      <c r="F75" s="549">
        <f t="shared" si="2081"/>
        <v>0</v>
      </c>
      <c r="G75" s="675">
        <f t="shared" si="2081"/>
        <v>0</v>
      </c>
      <c r="H75" s="549">
        <f t="shared" si="2081"/>
        <v>0</v>
      </c>
      <c r="I75" s="675">
        <f t="shared" si="2081"/>
        <v>0</v>
      </c>
      <c r="J75" s="549">
        <f t="shared" si="2081"/>
        <v>0</v>
      </c>
      <c r="K75" s="675">
        <f t="shared" si="2081"/>
        <v>0</v>
      </c>
      <c r="L75" s="549">
        <f t="shared" si="2081"/>
        <v>0</v>
      </c>
      <c r="M75" s="675">
        <f t="shared" si="2081"/>
        <v>0</v>
      </c>
      <c r="N75" s="549">
        <f t="shared" si="2081"/>
        <v>0</v>
      </c>
      <c r="O75" s="675">
        <f t="shared" si="2081"/>
        <v>0</v>
      </c>
      <c r="P75" s="549">
        <f t="shared" si="2081"/>
        <v>0</v>
      </c>
      <c r="Q75" s="675">
        <f t="shared" si="2081"/>
        <v>0</v>
      </c>
      <c r="R75" s="549">
        <f t="shared" si="2081"/>
        <v>0</v>
      </c>
      <c r="S75" s="675">
        <f t="shared" si="2081"/>
        <v>0</v>
      </c>
      <c r="T75" s="549">
        <f t="shared" si="2081"/>
        <v>0</v>
      </c>
      <c r="U75" s="675">
        <f t="shared" si="2081"/>
        <v>0</v>
      </c>
      <c r="V75" s="549">
        <f t="shared" si="2081"/>
        <v>0</v>
      </c>
      <c r="W75" s="675">
        <f t="shared" si="2081"/>
        <v>0</v>
      </c>
      <c r="X75" s="549">
        <f t="shared" si="2081"/>
        <v>0</v>
      </c>
      <c r="Y75" s="675">
        <f t="shared" si="2081"/>
        <v>0</v>
      </c>
      <c r="Z75" s="549">
        <f t="shared" si="2081"/>
        <v>0</v>
      </c>
      <c r="AA75" s="675">
        <f t="shared" si="2081"/>
        <v>0</v>
      </c>
      <c r="AB75" s="549">
        <f t="shared" si="2081"/>
        <v>0</v>
      </c>
      <c r="AC75" s="675">
        <f t="shared" si="2081"/>
        <v>0</v>
      </c>
      <c r="AD75" s="549">
        <f t="shared" si="2081"/>
        <v>0</v>
      </c>
      <c r="AE75" s="675">
        <f t="shared" si="2081"/>
        <v>0</v>
      </c>
      <c r="AF75" s="549">
        <f t="shared" si="2081"/>
        <v>0</v>
      </c>
      <c r="AG75" s="675">
        <f t="shared" si="2081"/>
        <v>0</v>
      </c>
      <c r="AH75" s="549">
        <f t="shared" si="2081"/>
        <v>0</v>
      </c>
      <c r="AI75" s="675">
        <f t="shared" si="2081"/>
        <v>0</v>
      </c>
      <c r="AJ75" s="549">
        <f t="shared" si="2081"/>
        <v>0</v>
      </c>
      <c r="AK75" s="675">
        <f t="shared" si="2081"/>
        <v>0</v>
      </c>
      <c r="AL75" s="549">
        <f t="shared" si="2081"/>
        <v>0</v>
      </c>
      <c r="AM75" s="675">
        <f t="shared" si="2081"/>
        <v>0</v>
      </c>
      <c r="AN75" s="549">
        <f t="shared" si="2081"/>
        <v>0</v>
      </c>
      <c r="AO75" s="675">
        <f t="shared" si="2081"/>
        <v>0</v>
      </c>
      <c r="AP75" s="549">
        <f t="shared" si="2081"/>
        <v>0</v>
      </c>
      <c r="AQ75" s="675">
        <f t="shared" si="2081"/>
        <v>0</v>
      </c>
      <c r="AR75" s="549">
        <f t="shared" si="2081"/>
        <v>0</v>
      </c>
      <c r="AS75" s="675">
        <f t="shared" si="2081"/>
        <v>0</v>
      </c>
      <c r="AT75" s="549">
        <f t="shared" ref="AT75:AU75" si="2082">SUM(+AT409,AT296)</f>
        <v>0</v>
      </c>
      <c r="AU75" s="675">
        <f t="shared" si="2082"/>
        <v>0</v>
      </c>
      <c r="AV75" s="549">
        <f t="shared" ref="AV75:AW75" si="2083">SUM(+AV409,AV296)</f>
        <v>0</v>
      </c>
      <c r="AW75" s="675">
        <f t="shared" si="2083"/>
        <v>0</v>
      </c>
      <c r="AX75" s="549">
        <f t="shared" ref="AX75:AY75" si="2084">SUM(+AX409,AX296)</f>
        <v>0</v>
      </c>
      <c r="AY75" s="675">
        <f t="shared" si="2084"/>
        <v>0</v>
      </c>
      <c r="AZ75" s="549">
        <f t="shared" ref="AZ75:BA75" si="2085">SUM(+AZ409,AZ296)</f>
        <v>0</v>
      </c>
      <c r="BA75" s="675">
        <f t="shared" si="2085"/>
        <v>0</v>
      </c>
      <c r="BB75" s="549">
        <f t="shared" ref="BB75:BC75" si="2086">SUM(+BB409,BB296)</f>
        <v>0</v>
      </c>
      <c r="BC75" s="675">
        <f t="shared" si="2086"/>
        <v>0</v>
      </c>
      <c r="BD75" s="549">
        <f t="shared" ref="BD75:BE75" si="2087">SUM(+BD409,BD296)</f>
        <v>0</v>
      </c>
      <c r="BE75" s="675">
        <f t="shared" si="2087"/>
        <v>0</v>
      </c>
      <c r="BF75" s="549">
        <f t="shared" ref="BF75:BG75" si="2088">SUM(+BF409,BF296)</f>
        <v>0</v>
      </c>
      <c r="BG75" s="675">
        <f t="shared" si="2088"/>
        <v>0</v>
      </c>
      <c r="BH75" s="549">
        <f t="shared" ref="BH75:BI75" si="2089">SUM(+BH409,BH296)</f>
        <v>0</v>
      </c>
      <c r="BI75" s="675">
        <f t="shared" si="2089"/>
        <v>0</v>
      </c>
      <c r="BJ75" s="549">
        <f t="shared" ref="BJ75:BK75" si="2090">SUM(+BJ409,BJ296)</f>
        <v>0</v>
      </c>
      <c r="BK75" s="675">
        <f t="shared" si="2090"/>
        <v>0</v>
      </c>
      <c r="BL75" s="549">
        <f t="shared" si="2081"/>
        <v>0</v>
      </c>
      <c r="BM75" s="675">
        <f t="shared" si="2081"/>
        <v>0</v>
      </c>
      <c r="BN75" s="549">
        <f t="shared" si="2081"/>
        <v>5000</v>
      </c>
      <c r="BO75" s="675">
        <f t="shared" si="2081"/>
        <v>0</v>
      </c>
      <c r="BP75" s="549">
        <f t="shared" si="2081"/>
        <v>0</v>
      </c>
      <c r="BQ75" s="675">
        <f t="shared" ref="BQ75" si="2091">SUM(+BQ409,BQ296)</f>
        <v>0</v>
      </c>
      <c r="BR75" s="549">
        <f t="shared" ref="BR75:BS75" si="2092">SUM(+BR409,BR296)</f>
        <v>0</v>
      </c>
      <c r="BS75" s="675">
        <f t="shared" si="2092"/>
        <v>0</v>
      </c>
      <c r="BT75" s="549">
        <f t="shared" ref="BT75:BU75" si="2093">SUM(+BT409,BT296)</f>
        <v>0</v>
      </c>
      <c r="BU75" s="675">
        <f t="shared" si="2093"/>
        <v>0</v>
      </c>
      <c r="BV75" s="549">
        <f t="shared" ref="BV75:BW75" si="2094">SUM(+BV409,BV296)</f>
        <v>0</v>
      </c>
      <c r="BW75" s="675">
        <f t="shared" si="2094"/>
        <v>0</v>
      </c>
      <c r="BX75" s="549">
        <f t="shared" ref="BX75:BY75" si="2095">SUM(+BX409,BX296)</f>
        <v>0</v>
      </c>
      <c r="BY75" s="675">
        <f t="shared" si="2095"/>
        <v>0</v>
      </c>
      <c r="BZ75" s="549">
        <f t="shared" ref="BZ75:CA75" si="2096">SUM(+BZ409,BZ296)</f>
        <v>0</v>
      </c>
      <c r="CA75" s="675">
        <f t="shared" si="2096"/>
        <v>0</v>
      </c>
      <c r="CB75" s="549">
        <f t="shared" ref="CB75:EC75" si="2097">SUM(+CB409,CB296)</f>
        <v>0</v>
      </c>
      <c r="CC75" s="675">
        <f t="shared" si="2097"/>
        <v>0</v>
      </c>
      <c r="CD75" s="549">
        <f t="shared" si="2097"/>
        <v>0</v>
      </c>
      <c r="CE75" s="675">
        <f t="shared" si="2097"/>
        <v>0</v>
      </c>
      <c r="CF75" s="549">
        <f t="shared" si="2097"/>
        <v>0</v>
      </c>
      <c r="CG75" s="675">
        <f t="shared" si="2097"/>
        <v>0</v>
      </c>
      <c r="CH75" s="549">
        <f t="shared" si="2097"/>
        <v>5000</v>
      </c>
      <c r="CI75" s="675">
        <f t="shared" si="2097"/>
        <v>0</v>
      </c>
      <c r="CJ75" s="549">
        <f t="shared" si="2097"/>
        <v>0</v>
      </c>
      <c r="CK75" s="675">
        <f t="shared" si="2097"/>
        <v>0</v>
      </c>
      <c r="CL75" s="549">
        <f t="shared" si="2097"/>
        <v>0</v>
      </c>
      <c r="CM75" s="675">
        <f t="shared" si="2097"/>
        <v>0</v>
      </c>
      <c r="CN75" s="549">
        <f t="shared" si="2097"/>
        <v>0</v>
      </c>
      <c r="CO75" s="675">
        <f t="shared" si="2097"/>
        <v>0</v>
      </c>
      <c r="CP75" s="549">
        <f t="shared" si="2097"/>
        <v>0</v>
      </c>
      <c r="CQ75" s="675">
        <f t="shared" si="2097"/>
        <v>0</v>
      </c>
      <c r="CR75" s="549">
        <f t="shared" si="2097"/>
        <v>0</v>
      </c>
      <c r="CS75" s="675">
        <f t="shared" si="2097"/>
        <v>0</v>
      </c>
      <c r="CT75" s="549">
        <f t="shared" si="2097"/>
        <v>0</v>
      </c>
      <c r="CU75" s="675">
        <f t="shared" si="2097"/>
        <v>0</v>
      </c>
      <c r="CV75" s="549">
        <f t="shared" si="2097"/>
        <v>0</v>
      </c>
      <c r="CW75" s="675">
        <f t="shared" si="2097"/>
        <v>0</v>
      </c>
      <c r="CX75" s="549">
        <f t="shared" si="2097"/>
        <v>0</v>
      </c>
      <c r="CY75" s="675">
        <f t="shared" si="2097"/>
        <v>0</v>
      </c>
      <c r="CZ75" s="549">
        <f t="shared" si="2097"/>
        <v>5000</v>
      </c>
      <c r="DA75" s="675">
        <f t="shared" si="2097"/>
        <v>0</v>
      </c>
      <c r="DB75" s="549">
        <f t="shared" si="2097"/>
        <v>0</v>
      </c>
      <c r="DC75" s="675">
        <f t="shared" si="2097"/>
        <v>0</v>
      </c>
      <c r="DD75" s="549">
        <f t="shared" si="2097"/>
        <v>0</v>
      </c>
      <c r="DE75" s="675">
        <f t="shared" si="2097"/>
        <v>0</v>
      </c>
      <c r="DF75" s="549">
        <f t="shared" si="2097"/>
        <v>0</v>
      </c>
      <c r="DG75" s="675">
        <f t="shared" si="2097"/>
        <v>0</v>
      </c>
      <c r="DH75" s="549">
        <f t="shared" si="2097"/>
        <v>8000</v>
      </c>
      <c r="DI75" s="675">
        <f t="shared" si="2097"/>
        <v>0</v>
      </c>
      <c r="DJ75" s="549">
        <f t="shared" si="2097"/>
        <v>0</v>
      </c>
      <c r="DK75" s="675">
        <f t="shared" si="2097"/>
        <v>0</v>
      </c>
      <c r="DL75" s="549">
        <f t="shared" si="2097"/>
        <v>0</v>
      </c>
      <c r="DM75" s="675">
        <f t="shared" si="2097"/>
        <v>0</v>
      </c>
      <c r="DN75" s="549">
        <f t="shared" si="2097"/>
        <v>0</v>
      </c>
      <c r="DO75" s="675">
        <f t="shared" si="2097"/>
        <v>0</v>
      </c>
      <c r="DP75" s="549">
        <f t="shared" si="2097"/>
        <v>0</v>
      </c>
      <c r="DQ75" s="675">
        <f t="shared" si="2097"/>
        <v>0</v>
      </c>
      <c r="DR75" s="549">
        <f t="shared" si="2097"/>
        <v>0</v>
      </c>
      <c r="DS75" s="675">
        <f t="shared" si="2097"/>
        <v>0</v>
      </c>
      <c r="DT75" s="549">
        <f t="shared" si="2097"/>
        <v>0</v>
      </c>
      <c r="DU75" s="675">
        <f t="shared" si="2097"/>
        <v>0</v>
      </c>
      <c r="DV75" s="549">
        <f t="shared" si="2097"/>
        <v>0</v>
      </c>
      <c r="DW75" s="675">
        <f t="shared" si="2097"/>
        <v>0</v>
      </c>
      <c r="DX75" s="549">
        <f t="shared" si="2097"/>
        <v>0</v>
      </c>
      <c r="DY75" s="675">
        <f t="shared" si="2097"/>
        <v>0</v>
      </c>
      <c r="DZ75" s="549">
        <f t="shared" si="2097"/>
        <v>0</v>
      </c>
      <c r="EA75" s="675">
        <f t="shared" si="2097"/>
        <v>0</v>
      </c>
      <c r="EB75" s="549">
        <f t="shared" si="2097"/>
        <v>0</v>
      </c>
      <c r="EC75" s="675">
        <f t="shared" si="2097"/>
        <v>0</v>
      </c>
      <c r="ED75" s="549">
        <f t="shared" ref="ED75:EE75" si="2098">SUM(+ED409,ED296)</f>
        <v>0</v>
      </c>
      <c r="EE75" s="675">
        <f t="shared" si="2098"/>
        <v>0</v>
      </c>
      <c r="EF75" s="549">
        <f t="shared" ref="EF75:HV75" si="2099">SUM(+EF409,EF296)</f>
        <v>0</v>
      </c>
      <c r="EG75" s="675">
        <f t="shared" si="2099"/>
        <v>0</v>
      </c>
      <c r="EH75" s="549">
        <f t="shared" si="2099"/>
        <v>0</v>
      </c>
      <c r="EI75" s="675">
        <f t="shared" si="2099"/>
        <v>0</v>
      </c>
      <c r="EJ75" s="549">
        <f t="shared" si="2099"/>
        <v>0</v>
      </c>
      <c r="EK75" s="675">
        <f t="shared" si="2099"/>
        <v>0</v>
      </c>
      <c r="EL75" s="549">
        <f t="shared" si="2099"/>
        <v>0</v>
      </c>
      <c r="EM75" s="675">
        <f t="shared" si="2099"/>
        <v>0</v>
      </c>
      <c r="EN75" s="549">
        <f t="shared" si="2099"/>
        <v>0</v>
      </c>
      <c r="EO75" s="675">
        <f t="shared" si="2099"/>
        <v>0</v>
      </c>
      <c r="EP75" s="549">
        <f t="shared" si="2099"/>
        <v>0</v>
      </c>
      <c r="EQ75" s="675">
        <f t="shared" si="2099"/>
        <v>0</v>
      </c>
      <c r="ER75" s="549">
        <f t="shared" si="2099"/>
        <v>0</v>
      </c>
      <c r="ES75" s="675">
        <f t="shared" si="2099"/>
        <v>0</v>
      </c>
      <c r="ET75" s="549">
        <f t="shared" si="2099"/>
        <v>0</v>
      </c>
      <c r="EU75" s="675">
        <f t="shared" si="2099"/>
        <v>0</v>
      </c>
      <c r="EV75" s="549">
        <f t="shared" si="2099"/>
        <v>0</v>
      </c>
      <c r="EW75" s="675">
        <f t="shared" si="2099"/>
        <v>0</v>
      </c>
      <c r="EX75" s="549">
        <f t="shared" si="2099"/>
        <v>0</v>
      </c>
      <c r="EY75" s="675">
        <f t="shared" si="2099"/>
        <v>0</v>
      </c>
      <c r="EZ75" s="549">
        <f t="shared" si="2099"/>
        <v>0</v>
      </c>
      <c r="FA75" s="675">
        <f t="shared" si="2099"/>
        <v>0</v>
      </c>
      <c r="FB75" s="549">
        <f t="shared" si="2099"/>
        <v>0</v>
      </c>
      <c r="FC75" s="675">
        <f t="shared" si="2099"/>
        <v>0</v>
      </c>
      <c r="FD75" s="549">
        <f t="shared" si="2099"/>
        <v>0</v>
      </c>
      <c r="FE75" s="675">
        <f t="shared" si="2099"/>
        <v>0</v>
      </c>
      <c r="FF75" s="549">
        <f t="shared" si="2099"/>
        <v>0</v>
      </c>
      <c r="FG75" s="675">
        <f t="shared" si="2099"/>
        <v>0</v>
      </c>
      <c r="FH75" s="549">
        <f t="shared" si="2099"/>
        <v>0</v>
      </c>
      <c r="FI75" s="675">
        <f t="shared" si="2099"/>
        <v>0</v>
      </c>
      <c r="FJ75" s="549">
        <f t="shared" si="2099"/>
        <v>5000</v>
      </c>
      <c r="FK75" s="675">
        <f t="shared" si="2099"/>
        <v>0</v>
      </c>
      <c r="FL75" s="549">
        <f t="shared" ref="FL75:FM75" si="2100">SUM(+FL409,FL296)</f>
        <v>5000</v>
      </c>
      <c r="FM75" s="675">
        <f t="shared" si="2100"/>
        <v>0</v>
      </c>
      <c r="FN75" s="549">
        <f t="shared" ref="FN75:FO75" si="2101">SUM(+FN409,FN296)</f>
        <v>0</v>
      </c>
      <c r="FO75" s="675">
        <f t="shared" si="2101"/>
        <v>0</v>
      </c>
      <c r="FP75" s="549">
        <f t="shared" ref="FP75:FQ75" si="2102">SUM(+FP409,FP296)</f>
        <v>0</v>
      </c>
      <c r="FQ75" s="675">
        <f t="shared" si="2102"/>
        <v>0</v>
      </c>
      <c r="FR75" s="549">
        <f t="shared" ref="FR75:FS75" si="2103">SUM(+FR409,FR296)</f>
        <v>2000</v>
      </c>
      <c r="FS75" s="675">
        <f t="shared" si="2103"/>
        <v>0</v>
      </c>
      <c r="FT75" s="549">
        <f t="shared" ref="FT75:FU75" si="2104">SUM(+FT409,FT296)</f>
        <v>0</v>
      </c>
      <c r="FU75" s="675">
        <f t="shared" si="2104"/>
        <v>0</v>
      </c>
      <c r="FV75" s="549">
        <f t="shared" ref="FV75:GK75" si="2105">SUM(+FV409,FV296)</f>
        <v>0</v>
      </c>
      <c r="FW75" s="675">
        <f t="shared" si="2105"/>
        <v>0</v>
      </c>
      <c r="FX75" s="549">
        <f t="shared" si="2105"/>
        <v>0</v>
      </c>
      <c r="FY75" s="675">
        <f t="shared" si="2105"/>
        <v>0</v>
      </c>
      <c r="FZ75" s="549">
        <f t="shared" ref="FZ75:GI75" si="2106">SUM(+FZ409,FZ296)</f>
        <v>0</v>
      </c>
      <c r="GA75" s="675">
        <f t="shared" si="2106"/>
        <v>0</v>
      </c>
      <c r="GB75" s="549">
        <f t="shared" si="2106"/>
        <v>0</v>
      </c>
      <c r="GC75" s="675">
        <f t="shared" si="2106"/>
        <v>0</v>
      </c>
      <c r="GD75" s="549">
        <f t="shared" si="2106"/>
        <v>0</v>
      </c>
      <c r="GE75" s="675">
        <f t="shared" si="2106"/>
        <v>0</v>
      </c>
      <c r="GF75" s="549">
        <f t="shared" si="2106"/>
        <v>0</v>
      </c>
      <c r="GG75" s="675">
        <f t="shared" si="2106"/>
        <v>0</v>
      </c>
      <c r="GH75" s="549">
        <f t="shared" si="2106"/>
        <v>0</v>
      </c>
      <c r="GI75" s="675">
        <f t="shared" si="2106"/>
        <v>0</v>
      </c>
      <c r="GJ75" s="549">
        <f t="shared" si="2105"/>
        <v>0</v>
      </c>
      <c r="GK75" s="675">
        <f t="shared" si="2105"/>
        <v>0</v>
      </c>
      <c r="GL75" s="549">
        <f t="shared" ref="GL75:GM75" si="2107">SUM(+GL409,GL296)</f>
        <v>0</v>
      </c>
      <c r="GM75" s="675">
        <f t="shared" si="2107"/>
        <v>0</v>
      </c>
      <c r="GN75" s="549">
        <f t="shared" ref="GN75:GO75" si="2108">SUM(+GN409,GN296)</f>
        <v>0</v>
      </c>
      <c r="GO75" s="675">
        <f t="shared" si="2108"/>
        <v>0</v>
      </c>
      <c r="GP75" s="74">
        <f t="shared" si="2099"/>
        <v>35000</v>
      </c>
      <c r="GQ75" s="675">
        <f t="shared" si="2099"/>
        <v>0</v>
      </c>
      <c r="GR75" s="74">
        <f t="shared" si="2099"/>
        <v>61500</v>
      </c>
      <c r="GS75" s="74">
        <f t="shared" si="2099"/>
        <v>61500</v>
      </c>
      <c r="GT75" s="74">
        <f t="shared" si="2099"/>
        <v>61500</v>
      </c>
      <c r="GU75" s="74">
        <f t="shared" si="2099"/>
        <v>3316</v>
      </c>
      <c r="GV75" s="74">
        <f t="shared" si="2099"/>
        <v>3312</v>
      </c>
      <c r="GW75" s="74">
        <f t="shared" si="2099"/>
        <v>3312</v>
      </c>
      <c r="GX75" s="74">
        <f t="shared" si="2099"/>
        <v>3312</v>
      </c>
      <c r="GY75" s="74">
        <f t="shared" si="2099"/>
        <v>3312</v>
      </c>
      <c r="GZ75" s="74">
        <f t="shared" si="2099"/>
        <v>3312</v>
      </c>
      <c r="HA75" s="74">
        <f t="shared" si="2099"/>
        <v>3312</v>
      </c>
      <c r="HB75" s="74">
        <f t="shared" si="2099"/>
        <v>3312</v>
      </c>
      <c r="HC75" s="74">
        <f t="shared" si="2099"/>
        <v>0</v>
      </c>
      <c r="HD75" s="74">
        <f t="shared" si="2099"/>
        <v>0</v>
      </c>
      <c r="HE75" s="74">
        <f t="shared" si="2099"/>
        <v>0</v>
      </c>
      <c r="HF75" s="74">
        <f t="shared" si="2099"/>
        <v>0</v>
      </c>
      <c r="HG75" s="74">
        <f t="shared" si="2099"/>
        <v>61500</v>
      </c>
      <c r="HH75" s="74">
        <f t="shared" si="2099"/>
        <v>3316</v>
      </c>
      <c r="HI75" s="74">
        <f t="shared" si="2099"/>
        <v>0</v>
      </c>
      <c r="HJ75" s="74">
        <f t="shared" si="2099"/>
        <v>3312</v>
      </c>
      <c r="HK75" s="74">
        <f t="shared" si="2099"/>
        <v>0</v>
      </c>
      <c r="HL75" s="74">
        <f t="shared" si="2099"/>
        <v>3312</v>
      </c>
      <c r="HM75" s="74">
        <f t="shared" si="2099"/>
        <v>0</v>
      </c>
      <c r="HN75" s="74">
        <f t="shared" si="2099"/>
        <v>3312</v>
      </c>
      <c r="HO75" s="74">
        <f t="shared" si="2099"/>
        <v>0</v>
      </c>
      <c r="HP75" s="74">
        <f t="shared" si="2099"/>
        <v>8312</v>
      </c>
      <c r="HQ75" s="74">
        <f t="shared" si="2099"/>
        <v>0</v>
      </c>
      <c r="HR75" s="74">
        <f t="shared" si="2099"/>
        <v>3312</v>
      </c>
      <c r="HS75" s="74">
        <f t="shared" si="2099"/>
        <v>0</v>
      </c>
      <c r="HT75" s="74">
        <f t="shared" si="2099"/>
        <v>8312</v>
      </c>
      <c r="HU75" s="74">
        <f t="shared" si="2099"/>
        <v>0</v>
      </c>
      <c r="HV75" s="74">
        <f t="shared" si="2099"/>
        <v>13312</v>
      </c>
      <c r="HW75" s="74">
        <f t="shared" ref="HW75:JT75" si="2109">SUM(+HW409,HW296)</f>
        <v>0</v>
      </c>
      <c r="HX75" s="74">
        <f t="shared" si="2109"/>
        <v>3000</v>
      </c>
      <c r="HY75" s="74">
        <f t="shared" si="2109"/>
        <v>0</v>
      </c>
      <c r="HZ75" s="74">
        <f t="shared" si="2109"/>
        <v>12000</v>
      </c>
      <c r="IA75" s="74">
        <f t="shared" si="2109"/>
        <v>0</v>
      </c>
      <c r="IB75" s="74">
        <f t="shared" si="2109"/>
        <v>0</v>
      </c>
      <c r="IC75" s="74">
        <f t="shared" si="2109"/>
        <v>0</v>
      </c>
      <c r="ID75" s="74">
        <f t="shared" si="2109"/>
        <v>0</v>
      </c>
      <c r="IE75" s="792">
        <f t="shared" si="2109"/>
        <v>0</v>
      </c>
      <c r="IF75" s="841">
        <f t="shared" si="2109"/>
        <v>51589.47</v>
      </c>
      <c r="IG75" s="263">
        <f t="shared" si="2109"/>
        <v>51589.47</v>
      </c>
      <c r="IH75" s="842">
        <f t="shared" si="2109"/>
        <v>51589.47</v>
      </c>
      <c r="II75" s="155">
        <f t="shared" si="2109"/>
        <v>0</v>
      </c>
      <c r="IJ75" s="74">
        <f t="shared" si="2109"/>
        <v>0</v>
      </c>
      <c r="IK75" s="74">
        <f t="shared" si="2109"/>
        <v>0</v>
      </c>
      <c r="IL75" s="74">
        <f t="shared" si="2109"/>
        <v>760.54</v>
      </c>
      <c r="IM75" s="74">
        <f t="shared" si="2109"/>
        <v>760.54</v>
      </c>
      <c r="IN75" s="74">
        <f t="shared" si="2109"/>
        <v>760.54</v>
      </c>
      <c r="IO75" s="74">
        <f t="shared" si="2109"/>
        <v>4529.22</v>
      </c>
      <c r="IP75" s="74">
        <f t="shared" si="2109"/>
        <v>4529.22</v>
      </c>
      <c r="IQ75" s="74">
        <f t="shared" si="2109"/>
        <v>4529.22</v>
      </c>
      <c r="IR75" s="74">
        <f t="shared" si="2109"/>
        <v>4587.6900000000005</v>
      </c>
      <c r="IS75" s="74">
        <f t="shared" si="2109"/>
        <v>4587.6900000000005</v>
      </c>
      <c r="IT75" s="74">
        <f t="shared" si="2109"/>
        <v>4587.6900000000005</v>
      </c>
      <c r="IU75" s="74">
        <f t="shared" si="2109"/>
        <v>8993.5099999999984</v>
      </c>
      <c r="IV75" s="74">
        <f t="shared" si="2109"/>
        <v>8993.5099999999984</v>
      </c>
      <c r="IW75" s="74">
        <f t="shared" si="2109"/>
        <v>8993.5099999999984</v>
      </c>
      <c r="IX75" s="74">
        <f t="shared" si="2109"/>
        <v>3028.2999999999993</v>
      </c>
      <c r="IY75" s="74">
        <f t="shared" si="2109"/>
        <v>3028.2999999999993</v>
      </c>
      <c r="IZ75" s="74">
        <f t="shared" si="2109"/>
        <v>3028.2999999999993</v>
      </c>
      <c r="JA75" s="74">
        <f t="shared" si="2109"/>
        <v>2368.880000000001</v>
      </c>
      <c r="JB75" s="74">
        <f t="shared" si="2109"/>
        <v>2368.880000000001</v>
      </c>
      <c r="JC75" s="74">
        <f t="shared" si="2109"/>
        <v>2368.880000000001</v>
      </c>
      <c r="JD75" s="74">
        <f t="shared" si="2109"/>
        <v>18436</v>
      </c>
      <c r="JE75" s="74">
        <f t="shared" si="2109"/>
        <v>18436</v>
      </c>
      <c r="JF75" s="74">
        <f t="shared" si="2109"/>
        <v>18436</v>
      </c>
      <c r="JG75" s="74">
        <f t="shared" si="2109"/>
        <v>2587.3499999999985</v>
      </c>
      <c r="JH75" s="74">
        <f t="shared" si="2109"/>
        <v>2587.3499999999985</v>
      </c>
      <c r="JI75" s="74">
        <f t="shared" si="2109"/>
        <v>2587.3499999999985</v>
      </c>
      <c r="JJ75" s="74">
        <f t="shared" si="2109"/>
        <v>6297.9800000000032</v>
      </c>
      <c r="JK75" s="74">
        <f t="shared" si="2109"/>
        <v>6297.9800000000032</v>
      </c>
      <c r="JL75" s="74">
        <f t="shared" si="2109"/>
        <v>6297.9800000000032</v>
      </c>
      <c r="JM75" s="74">
        <f t="shared" si="2109"/>
        <v>0</v>
      </c>
      <c r="JN75" s="74">
        <f t="shared" si="2109"/>
        <v>0</v>
      </c>
      <c r="JO75" s="74">
        <f t="shared" si="2109"/>
        <v>0</v>
      </c>
      <c r="JP75" s="74">
        <f t="shared" si="2109"/>
        <v>0</v>
      </c>
      <c r="JQ75" s="74">
        <f t="shared" si="2109"/>
        <v>0</v>
      </c>
      <c r="JR75" s="74">
        <f t="shared" si="2109"/>
        <v>0</v>
      </c>
      <c r="JS75" s="74">
        <f t="shared" si="2109"/>
        <v>9910.5299999999988</v>
      </c>
      <c r="JT75" s="74">
        <f t="shared" si="2109"/>
        <v>9910.5299999999988</v>
      </c>
      <c r="JU75" s="671"/>
      <c r="JV75" s="492"/>
      <c r="JW75" s="490"/>
      <c r="JX75" s="74">
        <f>SUM(+JX409,JX296)</f>
        <v>61500</v>
      </c>
      <c r="JY75" s="74">
        <f>SUM(+JY409,JY296)</f>
        <v>0</v>
      </c>
      <c r="JZ75" s="581">
        <f t="shared" ref="JZ75:JZ141" si="2110">GP75</f>
        <v>35000</v>
      </c>
      <c r="KA75" s="581">
        <f t="shared" ref="KA75:KA141" si="2111">GQ75</f>
        <v>0</v>
      </c>
      <c r="KB75" s="74">
        <f>SUM(+KB409,KB296)</f>
        <v>61500</v>
      </c>
      <c r="KC75" s="709">
        <f t="shared" si="2079"/>
        <v>0</v>
      </c>
      <c r="KD75" s="151"/>
      <c r="KE75" s="9"/>
      <c r="KF75" s="152"/>
      <c r="KG75" s="152"/>
      <c r="KH75" s="9"/>
      <c r="KI75" s="9"/>
      <c r="KJ75" s="9"/>
      <c r="KK75" s="9"/>
    </row>
    <row r="76" spans="1:297" s="8" customFormat="1">
      <c r="A76" s="75"/>
      <c r="B76" s="72"/>
      <c r="C76" s="74"/>
      <c r="D76" s="549"/>
      <c r="E76" s="675"/>
      <c r="F76" s="549"/>
      <c r="G76" s="675"/>
      <c r="H76" s="549"/>
      <c r="I76" s="675"/>
      <c r="J76" s="549"/>
      <c r="K76" s="675"/>
      <c r="L76" s="549"/>
      <c r="M76" s="675"/>
      <c r="N76" s="549"/>
      <c r="O76" s="675"/>
      <c r="P76" s="549"/>
      <c r="Q76" s="675"/>
      <c r="R76" s="549"/>
      <c r="S76" s="675"/>
      <c r="T76" s="549"/>
      <c r="U76" s="675"/>
      <c r="V76" s="549"/>
      <c r="W76" s="675"/>
      <c r="X76" s="549"/>
      <c r="Y76" s="675"/>
      <c r="Z76" s="549"/>
      <c r="AA76" s="675"/>
      <c r="AB76" s="549"/>
      <c r="AC76" s="675"/>
      <c r="AD76" s="549"/>
      <c r="AE76" s="675"/>
      <c r="AF76" s="549"/>
      <c r="AG76" s="675"/>
      <c r="AH76" s="549"/>
      <c r="AI76" s="675"/>
      <c r="AJ76" s="549"/>
      <c r="AK76" s="675"/>
      <c r="AL76" s="549"/>
      <c r="AM76" s="675"/>
      <c r="AN76" s="549"/>
      <c r="AO76" s="675"/>
      <c r="AP76" s="549"/>
      <c r="AQ76" s="675"/>
      <c r="AR76" s="549"/>
      <c r="AS76" s="675"/>
      <c r="AT76" s="549"/>
      <c r="AU76" s="675"/>
      <c r="AV76" s="549"/>
      <c r="AW76" s="675"/>
      <c r="AX76" s="549"/>
      <c r="AY76" s="675"/>
      <c r="AZ76" s="549"/>
      <c r="BA76" s="675"/>
      <c r="BB76" s="549"/>
      <c r="BC76" s="675"/>
      <c r="BD76" s="549"/>
      <c r="BE76" s="675"/>
      <c r="BF76" s="549"/>
      <c r="BG76" s="675"/>
      <c r="BH76" s="549"/>
      <c r="BI76" s="675"/>
      <c r="BJ76" s="549"/>
      <c r="BK76" s="675"/>
      <c r="BL76" s="549"/>
      <c r="BM76" s="675"/>
      <c r="BN76" s="549"/>
      <c r="BO76" s="675"/>
      <c r="BP76" s="549"/>
      <c r="BQ76" s="675"/>
      <c r="BR76" s="549"/>
      <c r="BS76" s="675"/>
      <c r="BT76" s="549"/>
      <c r="BU76" s="675"/>
      <c r="BV76" s="549"/>
      <c r="BW76" s="675"/>
      <c r="BX76" s="549"/>
      <c r="BY76" s="675"/>
      <c r="BZ76" s="549"/>
      <c r="CA76" s="675"/>
      <c r="CB76" s="549"/>
      <c r="CC76" s="675"/>
      <c r="CD76" s="549"/>
      <c r="CE76" s="675"/>
      <c r="CF76" s="549"/>
      <c r="CG76" s="675"/>
      <c r="CH76" s="549"/>
      <c r="CI76" s="675"/>
      <c r="CJ76" s="549"/>
      <c r="CK76" s="675"/>
      <c r="CL76" s="549"/>
      <c r="CM76" s="675"/>
      <c r="CN76" s="549"/>
      <c r="CO76" s="675"/>
      <c r="CP76" s="549"/>
      <c r="CQ76" s="675"/>
      <c r="CR76" s="549"/>
      <c r="CS76" s="675"/>
      <c r="CT76" s="549"/>
      <c r="CU76" s="675"/>
      <c r="CV76" s="549"/>
      <c r="CW76" s="675"/>
      <c r="CX76" s="549"/>
      <c r="CY76" s="675"/>
      <c r="CZ76" s="549"/>
      <c r="DA76" s="675"/>
      <c r="DB76" s="549"/>
      <c r="DC76" s="675"/>
      <c r="DD76" s="549"/>
      <c r="DE76" s="675"/>
      <c r="DF76" s="549"/>
      <c r="DG76" s="675"/>
      <c r="DH76" s="549"/>
      <c r="DI76" s="675"/>
      <c r="DJ76" s="549"/>
      <c r="DK76" s="675"/>
      <c r="DL76" s="549"/>
      <c r="DM76" s="675"/>
      <c r="DN76" s="549"/>
      <c r="DO76" s="675"/>
      <c r="DP76" s="549"/>
      <c r="DQ76" s="675"/>
      <c r="DR76" s="549"/>
      <c r="DS76" s="675"/>
      <c r="DT76" s="549"/>
      <c r="DU76" s="675"/>
      <c r="DV76" s="549"/>
      <c r="DW76" s="675"/>
      <c r="DX76" s="549"/>
      <c r="DY76" s="675"/>
      <c r="DZ76" s="549"/>
      <c r="EA76" s="675"/>
      <c r="EB76" s="549"/>
      <c r="EC76" s="675"/>
      <c r="ED76" s="549"/>
      <c r="EE76" s="675"/>
      <c r="EF76" s="549"/>
      <c r="EG76" s="675"/>
      <c r="EH76" s="549"/>
      <c r="EI76" s="675"/>
      <c r="EJ76" s="549"/>
      <c r="EK76" s="675"/>
      <c r="EL76" s="549"/>
      <c r="EM76" s="675"/>
      <c r="EN76" s="549"/>
      <c r="EO76" s="675"/>
      <c r="EP76" s="549"/>
      <c r="EQ76" s="675"/>
      <c r="ER76" s="549"/>
      <c r="ES76" s="675"/>
      <c r="ET76" s="549"/>
      <c r="EU76" s="675"/>
      <c r="EV76" s="549"/>
      <c r="EW76" s="675"/>
      <c r="EX76" s="549"/>
      <c r="EY76" s="675"/>
      <c r="EZ76" s="549"/>
      <c r="FA76" s="675"/>
      <c r="FB76" s="549"/>
      <c r="FC76" s="675"/>
      <c r="FD76" s="549"/>
      <c r="FE76" s="675"/>
      <c r="FF76" s="549"/>
      <c r="FG76" s="675"/>
      <c r="FH76" s="549"/>
      <c r="FI76" s="675"/>
      <c r="FJ76" s="549"/>
      <c r="FK76" s="675"/>
      <c r="FL76" s="549"/>
      <c r="FM76" s="675"/>
      <c r="FN76" s="549"/>
      <c r="FO76" s="675"/>
      <c r="FP76" s="549"/>
      <c r="FQ76" s="675"/>
      <c r="FR76" s="549"/>
      <c r="FS76" s="675"/>
      <c r="FT76" s="549"/>
      <c r="FU76" s="675"/>
      <c r="FV76" s="549"/>
      <c r="FW76" s="675"/>
      <c r="FX76" s="549"/>
      <c r="FY76" s="675"/>
      <c r="FZ76" s="549"/>
      <c r="GA76" s="675"/>
      <c r="GB76" s="549"/>
      <c r="GC76" s="675"/>
      <c r="GD76" s="549"/>
      <c r="GE76" s="675"/>
      <c r="GF76" s="549"/>
      <c r="GG76" s="675"/>
      <c r="GH76" s="549"/>
      <c r="GI76" s="675"/>
      <c r="GJ76" s="549"/>
      <c r="GK76" s="675"/>
      <c r="GL76" s="549"/>
      <c r="GM76" s="675"/>
      <c r="GN76" s="549"/>
      <c r="GO76" s="675"/>
      <c r="GP76" s="74"/>
      <c r="GQ76" s="675"/>
      <c r="GR76" s="74"/>
      <c r="GS76" s="74"/>
      <c r="GT76" s="549"/>
      <c r="GU76" s="74"/>
      <c r="GV76" s="74"/>
      <c r="GW76" s="549"/>
      <c r="GX76" s="549"/>
      <c r="GY76" s="74"/>
      <c r="GZ76" s="74"/>
      <c r="HA76" s="74"/>
      <c r="HB76" s="74"/>
      <c r="HC76" s="74"/>
      <c r="HD76" s="74"/>
      <c r="HE76" s="74"/>
      <c r="HF76" s="74"/>
      <c r="HG76" s="74"/>
      <c r="HH76" s="74"/>
      <c r="HI76" s="74"/>
      <c r="HJ76" s="74"/>
      <c r="HK76" s="74"/>
      <c r="HL76" s="74"/>
      <c r="HM76" s="74"/>
      <c r="HN76" s="74"/>
      <c r="HO76" s="74"/>
      <c r="HP76" s="74"/>
      <c r="HQ76" s="74"/>
      <c r="HR76" s="74"/>
      <c r="HS76" s="74"/>
      <c r="HT76" s="74"/>
      <c r="HU76" s="74"/>
      <c r="HV76" s="74"/>
      <c r="HW76" s="74"/>
      <c r="HX76" s="74"/>
      <c r="HY76" s="74"/>
      <c r="HZ76" s="74"/>
      <c r="IA76" s="74"/>
      <c r="IB76" s="74"/>
      <c r="IC76" s="74"/>
      <c r="ID76" s="74"/>
      <c r="IE76" s="792"/>
      <c r="IF76" s="841"/>
      <c r="IG76" s="263"/>
      <c r="IH76" s="842"/>
      <c r="II76" s="155"/>
      <c r="IJ76" s="74"/>
      <c r="IK76" s="74"/>
      <c r="IL76" s="74"/>
      <c r="IM76" s="74"/>
      <c r="IN76" s="74"/>
      <c r="IO76" s="74"/>
      <c r="IP76" s="74"/>
      <c r="IQ76" s="74"/>
      <c r="IR76" s="74"/>
      <c r="IS76" s="74"/>
      <c r="IT76" s="74"/>
      <c r="IU76" s="74"/>
      <c r="IV76" s="74"/>
      <c r="IW76" s="74"/>
      <c r="IX76" s="74"/>
      <c r="IY76" s="74"/>
      <c r="IZ76" s="74"/>
      <c r="JA76" s="74"/>
      <c r="JB76" s="74"/>
      <c r="JC76" s="74"/>
      <c r="JD76" s="74"/>
      <c r="JE76" s="74"/>
      <c r="JF76" s="74"/>
      <c r="JG76" s="74"/>
      <c r="JH76" s="74"/>
      <c r="JI76" s="74"/>
      <c r="JJ76" s="74"/>
      <c r="JK76" s="74"/>
      <c r="JL76" s="74"/>
      <c r="JM76" s="74"/>
      <c r="JN76" s="74"/>
      <c r="JO76" s="74"/>
      <c r="JP76" s="74"/>
      <c r="JQ76" s="74"/>
      <c r="JR76" s="74"/>
      <c r="JS76" s="74"/>
      <c r="JT76" s="102"/>
      <c r="JU76" s="671"/>
      <c r="JV76" s="492"/>
      <c r="JW76" s="490"/>
      <c r="JX76" s="549"/>
      <c r="JY76" s="549"/>
      <c r="JZ76" s="581">
        <f t="shared" si="2110"/>
        <v>0</v>
      </c>
      <c r="KA76" s="581">
        <f t="shared" si="2111"/>
        <v>0</v>
      </c>
      <c r="KB76" s="549"/>
      <c r="KC76" s="709">
        <f t="shared" si="2079"/>
        <v>0</v>
      </c>
      <c r="KD76" s="151"/>
      <c r="KE76" s="31"/>
      <c r="KF76" s="31"/>
      <c r="KG76" s="31"/>
      <c r="KH76" s="31"/>
      <c r="KI76" s="31"/>
      <c r="KJ76" s="31"/>
      <c r="KK76" s="9"/>
    </row>
    <row r="77" spans="1:297" s="8" customFormat="1">
      <c r="A77" s="75" t="s">
        <v>111</v>
      </c>
      <c r="B77" s="72" t="s">
        <v>112</v>
      </c>
      <c r="C77" s="74">
        <f t="shared" ref="C77" si="2112">SUM(C78:C80)</f>
        <v>100000</v>
      </c>
      <c r="D77" s="549">
        <f t="shared" ref="D77:E77" si="2113">SUM(D78:D80)</f>
        <v>0</v>
      </c>
      <c r="E77" s="675">
        <f t="shared" si="2113"/>
        <v>0</v>
      </c>
      <c r="F77" s="549">
        <f t="shared" ref="F77:G77" si="2114">SUM(F78:F80)</f>
        <v>0</v>
      </c>
      <c r="G77" s="675">
        <f t="shared" si="2114"/>
        <v>0</v>
      </c>
      <c r="H77" s="549">
        <f t="shared" ref="H77:I77" si="2115">SUM(H78:H80)</f>
        <v>0</v>
      </c>
      <c r="I77" s="675">
        <f t="shared" si="2115"/>
        <v>0</v>
      </c>
      <c r="J77" s="549">
        <f t="shared" ref="J77:K77" si="2116">SUM(J78:J80)</f>
        <v>0</v>
      </c>
      <c r="K77" s="675">
        <f t="shared" si="2116"/>
        <v>0</v>
      </c>
      <c r="L77" s="549">
        <f t="shared" ref="L77:M77" si="2117">SUM(L78:L80)</f>
        <v>0</v>
      </c>
      <c r="M77" s="675">
        <f t="shared" si="2117"/>
        <v>0</v>
      </c>
      <c r="N77" s="549">
        <f t="shared" ref="N77:O77" si="2118">SUM(N78:N80)</f>
        <v>0</v>
      </c>
      <c r="O77" s="675">
        <f t="shared" si="2118"/>
        <v>0</v>
      </c>
      <c r="P77" s="549">
        <f t="shared" ref="P77:Q77" si="2119">SUM(P78:P80)</f>
        <v>0</v>
      </c>
      <c r="Q77" s="675">
        <f t="shared" si="2119"/>
        <v>0</v>
      </c>
      <c r="R77" s="549">
        <f t="shared" ref="R77:S77" si="2120">SUM(R78:R80)</f>
        <v>0</v>
      </c>
      <c r="S77" s="675">
        <f t="shared" si="2120"/>
        <v>0</v>
      </c>
      <c r="T77" s="549">
        <f t="shared" ref="T77:U77" si="2121">SUM(T78:T80)</f>
        <v>0</v>
      </c>
      <c r="U77" s="675">
        <f t="shared" si="2121"/>
        <v>0</v>
      </c>
      <c r="V77" s="549">
        <f t="shared" ref="V77:W77" si="2122">SUM(V78:V80)</f>
        <v>0</v>
      </c>
      <c r="W77" s="675">
        <f t="shared" si="2122"/>
        <v>0</v>
      </c>
      <c r="X77" s="549">
        <f t="shared" ref="X77:Y77" si="2123">SUM(X78:X80)</f>
        <v>0</v>
      </c>
      <c r="Y77" s="675">
        <f t="shared" si="2123"/>
        <v>0</v>
      </c>
      <c r="Z77" s="549">
        <f t="shared" ref="Z77:AA77" si="2124">SUM(Z78:Z80)</f>
        <v>0</v>
      </c>
      <c r="AA77" s="675">
        <f t="shared" si="2124"/>
        <v>0</v>
      </c>
      <c r="AB77" s="549">
        <f t="shared" ref="AB77:AC77" si="2125">SUM(AB78:AB80)</f>
        <v>0</v>
      </c>
      <c r="AC77" s="675">
        <f t="shared" si="2125"/>
        <v>0</v>
      </c>
      <c r="AD77" s="549">
        <f t="shared" ref="AD77:AE77" si="2126">SUM(AD78:AD80)</f>
        <v>0</v>
      </c>
      <c r="AE77" s="675">
        <f t="shared" si="2126"/>
        <v>0</v>
      </c>
      <c r="AF77" s="549">
        <f t="shared" ref="AF77:AI77" si="2127">SUM(AF78:AF80)</f>
        <v>0</v>
      </c>
      <c r="AG77" s="675">
        <f t="shared" si="2127"/>
        <v>0</v>
      </c>
      <c r="AH77" s="549">
        <f t="shared" si="2127"/>
        <v>0</v>
      </c>
      <c r="AI77" s="675">
        <f t="shared" si="2127"/>
        <v>0</v>
      </c>
      <c r="AJ77" s="549">
        <f t="shared" ref="AJ77:AK77" si="2128">SUM(AJ78:AJ80)</f>
        <v>0</v>
      </c>
      <c r="AK77" s="675">
        <f t="shared" si="2128"/>
        <v>0</v>
      </c>
      <c r="AL77" s="549">
        <f t="shared" ref="AL77:AM77" si="2129">SUM(AL78:AL80)</f>
        <v>0</v>
      </c>
      <c r="AM77" s="675">
        <f t="shared" si="2129"/>
        <v>0</v>
      </c>
      <c r="AN77" s="549">
        <f t="shared" ref="AN77:AO77" si="2130">SUM(AN78:AN80)</f>
        <v>0</v>
      </c>
      <c r="AO77" s="675">
        <f t="shared" si="2130"/>
        <v>0</v>
      </c>
      <c r="AP77" s="549">
        <f t="shared" ref="AP77:AQ77" si="2131">SUM(AP78:AP80)</f>
        <v>0</v>
      </c>
      <c r="AQ77" s="675">
        <f t="shared" si="2131"/>
        <v>0</v>
      </c>
      <c r="AR77" s="549">
        <f t="shared" ref="AR77:AS77" si="2132">SUM(AR78:AR80)</f>
        <v>0</v>
      </c>
      <c r="AS77" s="675">
        <f t="shared" si="2132"/>
        <v>0</v>
      </c>
      <c r="AT77" s="549">
        <f t="shared" ref="AT77:AU77" si="2133">SUM(AT78:AT80)</f>
        <v>0</v>
      </c>
      <c r="AU77" s="675">
        <f t="shared" si="2133"/>
        <v>0</v>
      </c>
      <c r="AV77" s="549">
        <f t="shared" ref="AV77:AW77" si="2134">SUM(AV78:AV80)</f>
        <v>0</v>
      </c>
      <c r="AW77" s="675">
        <f t="shared" si="2134"/>
        <v>0</v>
      </c>
      <c r="AX77" s="549">
        <f t="shared" ref="AX77:AY77" si="2135">SUM(AX78:AX80)</f>
        <v>0</v>
      </c>
      <c r="AY77" s="675">
        <f t="shared" si="2135"/>
        <v>0</v>
      </c>
      <c r="AZ77" s="549">
        <f t="shared" ref="AZ77:BA77" si="2136">SUM(AZ78:AZ80)</f>
        <v>5000</v>
      </c>
      <c r="BA77" s="675">
        <f t="shared" si="2136"/>
        <v>0</v>
      </c>
      <c r="BB77" s="549">
        <f t="shared" ref="BB77:BC77" si="2137">SUM(BB78:BB80)</f>
        <v>0</v>
      </c>
      <c r="BC77" s="675">
        <f t="shared" si="2137"/>
        <v>0</v>
      </c>
      <c r="BD77" s="549">
        <f t="shared" ref="BD77:BE77" si="2138">SUM(BD78:BD80)</f>
        <v>0</v>
      </c>
      <c r="BE77" s="675">
        <f t="shared" si="2138"/>
        <v>0</v>
      </c>
      <c r="BF77" s="549">
        <f t="shared" ref="BF77:BG77" si="2139">SUM(BF78:BF80)</f>
        <v>0</v>
      </c>
      <c r="BG77" s="675">
        <f t="shared" si="2139"/>
        <v>0</v>
      </c>
      <c r="BH77" s="549">
        <f t="shared" ref="BH77:BI77" si="2140">SUM(BH78:BH80)</f>
        <v>0</v>
      </c>
      <c r="BI77" s="675">
        <f t="shared" si="2140"/>
        <v>0</v>
      </c>
      <c r="BJ77" s="549">
        <f t="shared" ref="BJ77:BK77" si="2141">SUM(BJ78:BJ80)</f>
        <v>0</v>
      </c>
      <c r="BK77" s="675">
        <f t="shared" si="2141"/>
        <v>0</v>
      </c>
      <c r="BL77" s="549">
        <f t="shared" ref="BL77:BS77" si="2142">SUM(BL78:BL80)</f>
        <v>0</v>
      </c>
      <c r="BM77" s="675">
        <f t="shared" si="2142"/>
        <v>0</v>
      </c>
      <c r="BN77" s="549">
        <f t="shared" si="2142"/>
        <v>0</v>
      </c>
      <c r="BO77" s="675">
        <f t="shared" si="2142"/>
        <v>0</v>
      </c>
      <c r="BP77" s="549">
        <f t="shared" si="2142"/>
        <v>0</v>
      </c>
      <c r="BQ77" s="675">
        <f t="shared" si="2142"/>
        <v>0</v>
      </c>
      <c r="BR77" s="549">
        <f t="shared" si="2142"/>
        <v>0</v>
      </c>
      <c r="BS77" s="675">
        <f t="shared" si="2142"/>
        <v>0</v>
      </c>
      <c r="BT77" s="549">
        <f t="shared" ref="BT77:BU77" si="2143">SUM(BT78:BT80)</f>
        <v>0</v>
      </c>
      <c r="BU77" s="675">
        <f t="shared" si="2143"/>
        <v>0</v>
      </c>
      <c r="BV77" s="549">
        <f t="shared" ref="BV77:BW77" si="2144">SUM(BV78:BV80)</f>
        <v>0</v>
      </c>
      <c r="BW77" s="675">
        <f t="shared" si="2144"/>
        <v>0</v>
      </c>
      <c r="BX77" s="549">
        <f t="shared" ref="BX77:BY77" si="2145">SUM(BX78:BX80)</f>
        <v>0</v>
      </c>
      <c r="BY77" s="675">
        <f t="shared" si="2145"/>
        <v>0</v>
      </c>
      <c r="BZ77" s="549">
        <f t="shared" ref="BZ77:CA77" si="2146">SUM(BZ78:BZ80)</f>
        <v>0</v>
      </c>
      <c r="CA77" s="675">
        <f t="shared" si="2146"/>
        <v>0</v>
      </c>
      <c r="CB77" s="549">
        <f t="shared" ref="CB77:CE77" si="2147">SUM(CB78:CB80)</f>
        <v>0</v>
      </c>
      <c r="CC77" s="675">
        <f t="shared" si="2147"/>
        <v>0</v>
      </c>
      <c r="CD77" s="549">
        <f t="shared" si="2147"/>
        <v>0</v>
      </c>
      <c r="CE77" s="675">
        <f t="shared" si="2147"/>
        <v>0</v>
      </c>
      <c r="CF77" s="549">
        <f t="shared" ref="CF77:CG77" si="2148">SUM(CF78:CF80)</f>
        <v>0</v>
      </c>
      <c r="CG77" s="675">
        <f t="shared" si="2148"/>
        <v>0</v>
      </c>
      <c r="CH77" s="549">
        <f t="shared" ref="CH77:CQ77" si="2149">SUM(CH78:CH80)</f>
        <v>0</v>
      </c>
      <c r="CI77" s="675">
        <f t="shared" si="2149"/>
        <v>-3000</v>
      </c>
      <c r="CJ77" s="549">
        <f t="shared" si="2149"/>
        <v>0</v>
      </c>
      <c r="CK77" s="675">
        <f t="shared" si="2149"/>
        <v>-25000</v>
      </c>
      <c r="CL77" s="549">
        <f t="shared" si="2149"/>
        <v>7000</v>
      </c>
      <c r="CM77" s="675">
        <f t="shared" si="2149"/>
        <v>0</v>
      </c>
      <c r="CN77" s="549">
        <f t="shared" si="2149"/>
        <v>0</v>
      </c>
      <c r="CO77" s="675">
        <f t="shared" si="2149"/>
        <v>0</v>
      </c>
      <c r="CP77" s="549">
        <f t="shared" si="2149"/>
        <v>0</v>
      </c>
      <c r="CQ77" s="675">
        <f t="shared" si="2149"/>
        <v>0</v>
      </c>
      <c r="CR77" s="549">
        <f t="shared" ref="CR77:CY77" si="2150">SUM(CR78:CR80)</f>
        <v>0</v>
      </c>
      <c r="CS77" s="675">
        <f t="shared" si="2150"/>
        <v>0</v>
      </c>
      <c r="CT77" s="549">
        <f t="shared" si="2150"/>
        <v>0</v>
      </c>
      <c r="CU77" s="675">
        <f t="shared" si="2150"/>
        <v>0</v>
      </c>
      <c r="CV77" s="549">
        <f t="shared" si="2150"/>
        <v>0</v>
      </c>
      <c r="CW77" s="675">
        <f t="shared" si="2150"/>
        <v>0</v>
      </c>
      <c r="CX77" s="549">
        <f t="shared" si="2150"/>
        <v>0</v>
      </c>
      <c r="CY77" s="675">
        <f t="shared" si="2150"/>
        <v>0</v>
      </c>
      <c r="CZ77" s="549">
        <f t="shared" ref="CZ77:DI77" si="2151">SUM(CZ78:CZ80)</f>
        <v>0</v>
      </c>
      <c r="DA77" s="675">
        <f t="shared" si="2151"/>
        <v>0</v>
      </c>
      <c r="DB77" s="549">
        <f t="shared" si="2151"/>
        <v>0</v>
      </c>
      <c r="DC77" s="675">
        <f t="shared" si="2151"/>
        <v>0</v>
      </c>
      <c r="DD77" s="549">
        <f t="shared" si="2151"/>
        <v>0</v>
      </c>
      <c r="DE77" s="675">
        <f t="shared" si="2151"/>
        <v>0</v>
      </c>
      <c r="DF77" s="549">
        <f t="shared" si="2151"/>
        <v>0</v>
      </c>
      <c r="DG77" s="675">
        <f t="shared" si="2151"/>
        <v>0</v>
      </c>
      <c r="DH77" s="549">
        <f t="shared" si="2151"/>
        <v>0</v>
      </c>
      <c r="DI77" s="675">
        <f t="shared" si="2151"/>
        <v>-5000</v>
      </c>
      <c r="DJ77" s="549">
        <f t="shared" ref="DJ77:DK77" si="2152">SUM(DJ78:DJ80)</f>
        <v>0</v>
      </c>
      <c r="DK77" s="675">
        <f t="shared" si="2152"/>
        <v>0</v>
      </c>
      <c r="DL77" s="549">
        <f t="shared" ref="DL77:DM77" si="2153">SUM(DL78:DL80)</f>
        <v>0</v>
      </c>
      <c r="DM77" s="675">
        <f t="shared" si="2153"/>
        <v>0</v>
      </c>
      <c r="DN77" s="549">
        <f t="shared" ref="DN77:DW77" si="2154">SUM(DN78:DN80)</f>
        <v>0</v>
      </c>
      <c r="DO77" s="675">
        <f t="shared" si="2154"/>
        <v>0</v>
      </c>
      <c r="DP77" s="549">
        <f t="shared" si="2154"/>
        <v>0</v>
      </c>
      <c r="DQ77" s="675">
        <f t="shared" si="2154"/>
        <v>0</v>
      </c>
      <c r="DR77" s="549">
        <f t="shared" si="2154"/>
        <v>0</v>
      </c>
      <c r="DS77" s="675">
        <f t="shared" si="2154"/>
        <v>0</v>
      </c>
      <c r="DT77" s="549">
        <f t="shared" si="2154"/>
        <v>0</v>
      </c>
      <c r="DU77" s="675">
        <f t="shared" si="2154"/>
        <v>0</v>
      </c>
      <c r="DV77" s="549">
        <f t="shared" si="2154"/>
        <v>0</v>
      </c>
      <c r="DW77" s="675">
        <f t="shared" si="2154"/>
        <v>0</v>
      </c>
      <c r="DX77" s="549">
        <f t="shared" ref="DX77:DY77" si="2155">SUM(DX78:DX80)</f>
        <v>0</v>
      </c>
      <c r="DY77" s="675">
        <f t="shared" si="2155"/>
        <v>0</v>
      </c>
      <c r="DZ77" s="549">
        <f t="shared" ref="DZ77:EU77" si="2156">SUM(DZ78:DZ80)</f>
        <v>0</v>
      </c>
      <c r="EA77" s="675">
        <f t="shared" si="2156"/>
        <v>0</v>
      </c>
      <c r="EB77" s="549">
        <f t="shared" si="2156"/>
        <v>0</v>
      </c>
      <c r="EC77" s="675">
        <f t="shared" si="2156"/>
        <v>0</v>
      </c>
      <c r="ED77" s="549">
        <f t="shared" si="2156"/>
        <v>0</v>
      </c>
      <c r="EE77" s="675">
        <f t="shared" si="2156"/>
        <v>0</v>
      </c>
      <c r="EF77" s="549">
        <f t="shared" si="2156"/>
        <v>0</v>
      </c>
      <c r="EG77" s="675">
        <f t="shared" si="2156"/>
        <v>0</v>
      </c>
      <c r="EH77" s="549">
        <f t="shared" ref="EH77:EM77" si="2157">SUM(EH78:EH80)</f>
        <v>0</v>
      </c>
      <c r="EI77" s="675">
        <f t="shared" si="2157"/>
        <v>0</v>
      </c>
      <c r="EJ77" s="549">
        <f t="shared" si="2157"/>
        <v>0</v>
      </c>
      <c r="EK77" s="675">
        <f t="shared" si="2157"/>
        <v>0</v>
      </c>
      <c r="EL77" s="549">
        <f t="shared" si="2157"/>
        <v>5000</v>
      </c>
      <c r="EM77" s="675">
        <f t="shared" si="2157"/>
        <v>0</v>
      </c>
      <c r="EN77" s="549">
        <f t="shared" si="2156"/>
        <v>0</v>
      </c>
      <c r="EO77" s="675">
        <f t="shared" si="2156"/>
        <v>0</v>
      </c>
      <c r="EP77" s="549">
        <f t="shared" si="2156"/>
        <v>0</v>
      </c>
      <c r="EQ77" s="675">
        <f t="shared" si="2156"/>
        <v>0</v>
      </c>
      <c r="ER77" s="549">
        <f t="shared" si="2156"/>
        <v>0</v>
      </c>
      <c r="ES77" s="675">
        <f t="shared" si="2156"/>
        <v>0</v>
      </c>
      <c r="ET77" s="549">
        <f t="shared" si="2156"/>
        <v>0</v>
      </c>
      <c r="EU77" s="675">
        <f t="shared" si="2156"/>
        <v>0</v>
      </c>
      <c r="EV77" s="549">
        <f t="shared" ref="EV77:FA77" si="2158">SUM(EV78:EV80)</f>
        <v>0</v>
      </c>
      <c r="EW77" s="675">
        <f t="shared" si="2158"/>
        <v>0</v>
      </c>
      <c r="EX77" s="549">
        <f t="shared" si="2158"/>
        <v>0</v>
      </c>
      <c r="EY77" s="675">
        <f t="shared" si="2158"/>
        <v>0</v>
      </c>
      <c r="EZ77" s="549">
        <f t="shared" si="2158"/>
        <v>0</v>
      </c>
      <c r="FA77" s="675">
        <f t="shared" si="2158"/>
        <v>0</v>
      </c>
      <c r="FB77" s="549">
        <f t="shared" ref="FB77:HK77" si="2159">SUM(FB78:FB80)</f>
        <v>0</v>
      </c>
      <c r="FC77" s="675">
        <f t="shared" si="2159"/>
        <v>0</v>
      </c>
      <c r="FD77" s="549">
        <f t="shared" si="2159"/>
        <v>5000</v>
      </c>
      <c r="FE77" s="675">
        <f t="shared" si="2159"/>
        <v>0</v>
      </c>
      <c r="FF77" s="549">
        <f t="shared" ref="FF77:FG77" si="2160">SUM(FF78:FF80)</f>
        <v>0</v>
      </c>
      <c r="FG77" s="675">
        <f t="shared" si="2160"/>
        <v>0</v>
      </c>
      <c r="FH77" s="549">
        <f t="shared" ref="FH77:FI77" si="2161">SUM(FH78:FH80)</f>
        <v>0</v>
      </c>
      <c r="FI77" s="675">
        <f t="shared" si="2161"/>
        <v>0</v>
      </c>
      <c r="FJ77" s="549">
        <f t="shared" ref="FJ77:FK77" si="2162">SUM(FJ78:FJ80)</f>
        <v>0</v>
      </c>
      <c r="FK77" s="675">
        <f t="shared" si="2162"/>
        <v>0</v>
      </c>
      <c r="FL77" s="549">
        <f t="shared" ref="FL77:FM77" si="2163">SUM(FL78:FL80)</f>
        <v>5000</v>
      </c>
      <c r="FM77" s="675">
        <f t="shared" si="2163"/>
        <v>-10000</v>
      </c>
      <c r="FN77" s="549">
        <f t="shared" ref="FN77:FO77" si="2164">SUM(FN78:FN80)</f>
        <v>0</v>
      </c>
      <c r="FO77" s="675">
        <f t="shared" si="2164"/>
        <v>0</v>
      </c>
      <c r="FP77" s="549">
        <f t="shared" ref="FP77:FQ77" si="2165">SUM(FP78:FP80)</f>
        <v>0</v>
      </c>
      <c r="FQ77" s="675">
        <f t="shared" si="2165"/>
        <v>0</v>
      </c>
      <c r="FR77" s="549">
        <f t="shared" ref="FR77:FS77" si="2166">SUM(FR78:FR80)</f>
        <v>5000</v>
      </c>
      <c r="FS77" s="675">
        <f t="shared" si="2166"/>
        <v>-300</v>
      </c>
      <c r="FT77" s="549">
        <f t="shared" ref="FT77:FU77" si="2167">SUM(FT78:FT80)</f>
        <v>0</v>
      </c>
      <c r="FU77" s="675">
        <f t="shared" si="2167"/>
        <v>0</v>
      </c>
      <c r="FV77" s="549">
        <f t="shared" ref="FV77:GK77" si="2168">SUM(FV78:FV80)</f>
        <v>0</v>
      </c>
      <c r="FW77" s="675">
        <f t="shared" si="2168"/>
        <v>0</v>
      </c>
      <c r="FX77" s="549">
        <f t="shared" si="2168"/>
        <v>4703</v>
      </c>
      <c r="FY77" s="675">
        <f t="shared" si="2168"/>
        <v>0</v>
      </c>
      <c r="FZ77" s="549">
        <f t="shared" ref="FZ77:GI77" si="2169">SUM(FZ78:FZ80)</f>
        <v>0</v>
      </c>
      <c r="GA77" s="675">
        <f t="shared" si="2169"/>
        <v>0</v>
      </c>
      <c r="GB77" s="549">
        <f t="shared" si="2169"/>
        <v>0</v>
      </c>
      <c r="GC77" s="675">
        <f t="shared" si="2169"/>
        <v>0</v>
      </c>
      <c r="GD77" s="549">
        <f t="shared" si="2169"/>
        <v>0</v>
      </c>
      <c r="GE77" s="675">
        <f t="shared" si="2169"/>
        <v>0</v>
      </c>
      <c r="GF77" s="549">
        <f t="shared" si="2169"/>
        <v>0</v>
      </c>
      <c r="GG77" s="675">
        <f t="shared" si="2169"/>
        <v>0</v>
      </c>
      <c r="GH77" s="549">
        <f t="shared" si="2169"/>
        <v>0</v>
      </c>
      <c r="GI77" s="675">
        <f t="shared" si="2169"/>
        <v>0</v>
      </c>
      <c r="GJ77" s="549">
        <f t="shared" si="2168"/>
        <v>0</v>
      </c>
      <c r="GK77" s="675">
        <f t="shared" si="2168"/>
        <v>0</v>
      </c>
      <c r="GL77" s="549">
        <f t="shared" ref="GL77:GM77" si="2170">SUM(GL78:GL80)</f>
        <v>0</v>
      </c>
      <c r="GM77" s="675">
        <f t="shared" si="2170"/>
        <v>0</v>
      </c>
      <c r="GN77" s="549">
        <f t="shared" ref="GN77:GO77" si="2171">SUM(GN78:GN80)</f>
        <v>0</v>
      </c>
      <c r="GO77" s="675">
        <f t="shared" si="2171"/>
        <v>0</v>
      </c>
      <c r="GP77" s="74">
        <f t="shared" si="2159"/>
        <v>36703</v>
      </c>
      <c r="GQ77" s="675">
        <f t="shared" si="2159"/>
        <v>-43300</v>
      </c>
      <c r="GR77" s="74">
        <f t="shared" si="2159"/>
        <v>93403</v>
      </c>
      <c r="GS77" s="74">
        <f>SUM(GS78:GS80)</f>
        <v>93403</v>
      </c>
      <c r="GT77" s="74">
        <f t="shared" si="2159"/>
        <v>93403</v>
      </c>
      <c r="GU77" s="74">
        <f>SUM(GU78:GU80)</f>
        <v>95000</v>
      </c>
      <c r="GV77" s="74">
        <f t="shared" ref="GV77:HA77" si="2172">SUM(GV78:GV80)</f>
        <v>0</v>
      </c>
      <c r="GW77" s="74">
        <f t="shared" si="2172"/>
        <v>5000</v>
      </c>
      <c r="GX77" s="74">
        <f t="shared" si="2172"/>
        <v>0</v>
      </c>
      <c r="GY77" s="74">
        <f t="shared" si="2172"/>
        <v>0</v>
      </c>
      <c r="GZ77" s="74">
        <f t="shared" si="2172"/>
        <v>0</v>
      </c>
      <c r="HA77" s="74">
        <f t="shared" si="2172"/>
        <v>0</v>
      </c>
      <c r="HB77" s="74">
        <f t="shared" si="2159"/>
        <v>0</v>
      </c>
      <c r="HC77" s="74">
        <f t="shared" si="2159"/>
        <v>0</v>
      </c>
      <c r="HD77" s="74">
        <f t="shared" si="2159"/>
        <v>0</v>
      </c>
      <c r="HE77" s="74">
        <f t="shared" si="2159"/>
        <v>0</v>
      </c>
      <c r="HF77" s="74">
        <f t="shared" si="2159"/>
        <v>0</v>
      </c>
      <c r="HG77" s="74">
        <f t="shared" si="2159"/>
        <v>93403</v>
      </c>
      <c r="HH77" s="74">
        <f t="shared" si="2159"/>
        <v>95000</v>
      </c>
      <c r="HI77" s="74">
        <f t="shared" si="2159"/>
        <v>0</v>
      </c>
      <c r="HJ77" s="74">
        <f t="shared" si="2159"/>
        <v>0</v>
      </c>
      <c r="HK77" s="74">
        <f t="shared" si="2159"/>
        <v>0</v>
      </c>
      <c r="HL77" s="74">
        <f t="shared" ref="HL77:JT77" si="2173">SUM(HL78:HL80)</f>
        <v>5000</v>
      </c>
      <c r="HM77" s="74">
        <f t="shared" si="2173"/>
        <v>0</v>
      </c>
      <c r="HN77" s="74">
        <f t="shared" si="2173"/>
        <v>0</v>
      </c>
      <c r="HO77" s="74">
        <f t="shared" si="2173"/>
        <v>0</v>
      </c>
      <c r="HP77" s="74">
        <f t="shared" si="2173"/>
        <v>5000</v>
      </c>
      <c r="HQ77" s="74">
        <f t="shared" si="2173"/>
        <v>0</v>
      </c>
      <c r="HR77" s="74">
        <f t="shared" si="2173"/>
        <v>-3000</v>
      </c>
      <c r="HS77" s="74">
        <f t="shared" si="2173"/>
        <v>0</v>
      </c>
      <c r="HT77" s="74">
        <f t="shared" si="2173"/>
        <v>-18000</v>
      </c>
      <c r="HU77" s="74">
        <f t="shared" si="2173"/>
        <v>0</v>
      </c>
      <c r="HV77" s="74">
        <f t="shared" si="2173"/>
        <v>-5000</v>
      </c>
      <c r="HW77" s="74">
        <f t="shared" si="2173"/>
        <v>0</v>
      </c>
      <c r="HX77" s="74">
        <f t="shared" si="2173"/>
        <v>5000</v>
      </c>
      <c r="HY77" s="74">
        <f t="shared" si="2173"/>
        <v>0</v>
      </c>
      <c r="HZ77" s="74">
        <f t="shared" si="2173"/>
        <v>9403</v>
      </c>
      <c r="IA77" s="74">
        <f t="shared" si="2173"/>
        <v>0</v>
      </c>
      <c r="IB77" s="74">
        <f t="shared" si="2173"/>
        <v>0</v>
      </c>
      <c r="IC77" s="74">
        <f t="shared" si="2173"/>
        <v>0</v>
      </c>
      <c r="ID77" s="74">
        <f t="shared" si="2173"/>
        <v>0</v>
      </c>
      <c r="IE77" s="792">
        <f t="shared" si="2173"/>
        <v>0</v>
      </c>
      <c r="IF77" s="841">
        <f t="shared" si="2173"/>
        <v>70440.790000000008</v>
      </c>
      <c r="IG77" s="263">
        <f t="shared" si="2173"/>
        <v>70440.790000000008</v>
      </c>
      <c r="IH77" s="842">
        <f t="shared" si="2173"/>
        <v>70440.790000000008</v>
      </c>
      <c r="II77" s="155">
        <f t="shared" si="2173"/>
        <v>1810.4</v>
      </c>
      <c r="IJ77" s="74">
        <f t="shared" si="2173"/>
        <v>1810.4</v>
      </c>
      <c r="IK77" s="74">
        <f t="shared" si="2173"/>
        <v>1810.4</v>
      </c>
      <c r="IL77" s="74">
        <f t="shared" si="2173"/>
        <v>46654</v>
      </c>
      <c r="IM77" s="74">
        <f t="shared" si="2173"/>
        <v>46654</v>
      </c>
      <c r="IN77" s="74">
        <f t="shared" si="2173"/>
        <v>46654</v>
      </c>
      <c r="IO77" s="74">
        <f t="shared" si="2173"/>
        <v>2356.25</v>
      </c>
      <c r="IP77" s="74">
        <f t="shared" si="2173"/>
        <v>2356.25</v>
      </c>
      <c r="IQ77" s="74">
        <f t="shared" si="2173"/>
        <v>2356.25</v>
      </c>
      <c r="IR77" s="74">
        <f t="shared" si="2173"/>
        <v>623</v>
      </c>
      <c r="IS77" s="74">
        <f t="shared" si="2173"/>
        <v>623</v>
      </c>
      <c r="IT77" s="74">
        <f t="shared" si="2173"/>
        <v>623</v>
      </c>
      <c r="IU77" s="74">
        <f t="shared" si="2173"/>
        <v>3771.0500000000011</v>
      </c>
      <c r="IV77" s="74">
        <f t="shared" si="2173"/>
        <v>3771.0500000000011</v>
      </c>
      <c r="IW77" s="74">
        <f t="shared" si="2173"/>
        <v>3771.0500000000011</v>
      </c>
      <c r="IX77" s="74">
        <f t="shared" si="2173"/>
        <v>3655.9699999999993</v>
      </c>
      <c r="IY77" s="74">
        <f t="shared" si="2173"/>
        <v>3655.9699999999993</v>
      </c>
      <c r="IZ77" s="74">
        <f t="shared" si="2173"/>
        <v>3655.9699999999993</v>
      </c>
      <c r="JA77" s="74">
        <f t="shared" si="2173"/>
        <v>679.59000000000015</v>
      </c>
      <c r="JB77" s="74">
        <f t="shared" si="2173"/>
        <v>679.59000000000015</v>
      </c>
      <c r="JC77" s="74">
        <f t="shared" si="2173"/>
        <v>679.59000000000015</v>
      </c>
      <c r="JD77" s="74">
        <f t="shared" si="2173"/>
        <v>3708.8099999999995</v>
      </c>
      <c r="JE77" s="74">
        <f t="shared" si="2173"/>
        <v>3708.8099999999995</v>
      </c>
      <c r="JF77" s="74">
        <f t="shared" si="2173"/>
        <v>3708.8099999999995</v>
      </c>
      <c r="JG77" s="74">
        <f t="shared" si="2173"/>
        <v>4102.32</v>
      </c>
      <c r="JH77" s="74">
        <f t="shared" si="2173"/>
        <v>4102.32</v>
      </c>
      <c r="JI77" s="74">
        <f t="shared" si="2173"/>
        <v>4102.32</v>
      </c>
      <c r="JJ77" s="74">
        <f t="shared" si="2173"/>
        <v>3079.4000000000015</v>
      </c>
      <c r="JK77" s="74">
        <f t="shared" si="2173"/>
        <v>3079.4000000000015</v>
      </c>
      <c r="JL77" s="74">
        <f t="shared" si="2173"/>
        <v>3079.4000000000015</v>
      </c>
      <c r="JM77" s="74">
        <f t="shared" si="2173"/>
        <v>0</v>
      </c>
      <c r="JN77" s="74">
        <f t="shared" si="2173"/>
        <v>0</v>
      </c>
      <c r="JO77" s="74">
        <f t="shared" si="2173"/>
        <v>0</v>
      </c>
      <c r="JP77" s="74">
        <f t="shared" si="2173"/>
        <v>0</v>
      </c>
      <c r="JQ77" s="74">
        <f t="shared" si="2173"/>
        <v>0</v>
      </c>
      <c r="JR77" s="74">
        <f t="shared" si="2173"/>
        <v>0</v>
      </c>
      <c r="JS77" s="74">
        <f t="shared" si="2173"/>
        <v>22962.21</v>
      </c>
      <c r="JT77" s="102">
        <f t="shared" si="2173"/>
        <v>22962.21</v>
      </c>
      <c r="JU77" s="671"/>
      <c r="JV77" s="492"/>
      <c r="JW77" s="490"/>
      <c r="JX77" s="549">
        <f>SUM(JX78:JX80)</f>
        <v>93403</v>
      </c>
      <c r="JY77" s="549">
        <f>SUM(JY78:JY80)</f>
        <v>0</v>
      </c>
      <c r="JZ77" s="581">
        <f t="shared" si="2110"/>
        <v>36703</v>
      </c>
      <c r="KA77" s="581">
        <f t="shared" si="2111"/>
        <v>-43300</v>
      </c>
      <c r="KB77" s="549">
        <f>SUM(KB78:KB80)</f>
        <v>93403</v>
      </c>
      <c r="KC77" s="709">
        <f t="shared" si="2079"/>
        <v>0</v>
      </c>
      <c r="KD77" s="151"/>
      <c r="KE77" s="31" t="s">
        <v>545</v>
      </c>
      <c r="KF77" s="31"/>
      <c r="KG77" s="31"/>
      <c r="KH77" s="31"/>
      <c r="KI77" s="31" t="s">
        <v>546</v>
      </c>
      <c r="KJ77" s="31"/>
      <c r="KK77" s="9"/>
    </row>
    <row r="78" spans="1:297" s="8" customFormat="1" ht="12.75" hidden="1" customHeight="1">
      <c r="A78" s="262" t="s">
        <v>1060</v>
      </c>
      <c r="B78" s="72"/>
      <c r="C78" s="74">
        <f t="shared" ref="C78:AS78" si="2174">C412</f>
        <v>0</v>
      </c>
      <c r="D78" s="549">
        <f t="shared" si="2174"/>
        <v>0</v>
      </c>
      <c r="E78" s="675">
        <f t="shared" si="2174"/>
        <v>0</v>
      </c>
      <c r="F78" s="549">
        <f t="shared" si="2174"/>
        <v>0</v>
      </c>
      <c r="G78" s="675">
        <f t="shared" si="2174"/>
        <v>0</v>
      </c>
      <c r="H78" s="549">
        <f t="shared" si="2174"/>
        <v>0</v>
      </c>
      <c r="I78" s="675">
        <f t="shared" si="2174"/>
        <v>0</v>
      </c>
      <c r="J78" s="549">
        <f t="shared" si="2174"/>
        <v>0</v>
      </c>
      <c r="K78" s="675">
        <f t="shared" si="2174"/>
        <v>0</v>
      </c>
      <c r="L78" s="549">
        <f t="shared" si="2174"/>
        <v>0</v>
      </c>
      <c r="M78" s="675">
        <f t="shared" si="2174"/>
        <v>0</v>
      </c>
      <c r="N78" s="549">
        <f t="shared" si="2174"/>
        <v>0</v>
      </c>
      <c r="O78" s="675">
        <f t="shared" si="2174"/>
        <v>0</v>
      </c>
      <c r="P78" s="549">
        <f t="shared" si="2174"/>
        <v>0</v>
      </c>
      <c r="Q78" s="675">
        <f t="shared" si="2174"/>
        <v>0</v>
      </c>
      <c r="R78" s="549">
        <f t="shared" si="2174"/>
        <v>0</v>
      </c>
      <c r="S78" s="675">
        <f t="shared" si="2174"/>
        <v>0</v>
      </c>
      <c r="T78" s="549">
        <f t="shared" si="2174"/>
        <v>0</v>
      </c>
      <c r="U78" s="675">
        <f t="shared" si="2174"/>
        <v>0</v>
      </c>
      <c r="V78" s="549">
        <f t="shared" si="2174"/>
        <v>0</v>
      </c>
      <c r="W78" s="675">
        <f t="shared" si="2174"/>
        <v>0</v>
      </c>
      <c r="X78" s="549">
        <f t="shared" si="2174"/>
        <v>0</v>
      </c>
      <c r="Y78" s="675">
        <f t="shared" si="2174"/>
        <v>0</v>
      </c>
      <c r="Z78" s="549">
        <f t="shared" si="2174"/>
        <v>0</v>
      </c>
      <c r="AA78" s="675">
        <f t="shared" si="2174"/>
        <v>0</v>
      </c>
      <c r="AB78" s="549">
        <f t="shared" si="2174"/>
        <v>0</v>
      </c>
      <c r="AC78" s="675">
        <f t="shared" si="2174"/>
        <v>0</v>
      </c>
      <c r="AD78" s="549">
        <f t="shared" si="2174"/>
        <v>0</v>
      </c>
      <c r="AE78" s="675">
        <f t="shared" si="2174"/>
        <v>0</v>
      </c>
      <c r="AF78" s="549">
        <f t="shared" si="2174"/>
        <v>0</v>
      </c>
      <c r="AG78" s="675">
        <f t="shared" si="2174"/>
        <v>0</v>
      </c>
      <c r="AH78" s="549">
        <f t="shared" si="2174"/>
        <v>0</v>
      </c>
      <c r="AI78" s="675">
        <f t="shared" si="2174"/>
        <v>0</v>
      </c>
      <c r="AJ78" s="549">
        <f t="shared" si="2174"/>
        <v>0</v>
      </c>
      <c r="AK78" s="675">
        <f t="shared" si="2174"/>
        <v>0</v>
      </c>
      <c r="AL78" s="549">
        <f t="shared" si="2174"/>
        <v>0</v>
      </c>
      <c r="AM78" s="675">
        <f t="shared" si="2174"/>
        <v>0</v>
      </c>
      <c r="AN78" s="549">
        <f t="shared" si="2174"/>
        <v>0</v>
      </c>
      <c r="AO78" s="675">
        <f t="shared" si="2174"/>
        <v>0</v>
      </c>
      <c r="AP78" s="549">
        <f t="shared" si="2174"/>
        <v>0</v>
      </c>
      <c r="AQ78" s="675">
        <f t="shared" si="2174"/>
        <v>0</v>
      </c>
      <c r="AR78" s="549">
        <f t="shared" si="2174"/>
        <v>0</v>
      </c>
      <c r="AS78" s="675">
        <f t="shared" si="2174"/>
        <v>0</v>
      </c>
      <c r="AT78" s="549">
        <f t="shared" ref="AT78:AU78" si="2175">AT412</f>
        <v>0</v>
      </c>
      <c r="AU78" s="675">
        <f t="shared" si="2175"/>
        <v>0</v>
      </c>
      <c r="AV78" s="549">
        <f t="shared" ref="AV78:AW78" si="2176">AV412</f>
        <v>0</v>
      </c>
      <c r="AW78" s="675">
        <f t="shared" si="2176"/>
        <v>0</v>
      </c>
      <c r="AX78" s="549">
        <f t="shared" ref="AX78:AY78" si="2177">AX412</f>
        <v>0</v>
      </c>
      <c r="AY78" s="675">
        <f t="shared" si="2177"/>
        <v>0</v>
      </c>
      <c r="AZ78" s="549">
        <f t="shared" ref="AZ78:BA78" si="2178">AZ412</f>
        <v>0</v>
      </c>
      <c r="BA78" s="675">
        <f t="shared" si="2178"/>
        <v>0</v>
      </c>
      <c r="BB78" s="549">
        <f t="shared" ref="BB78:BC78" si="2179">BB412</f>
        <v>0</v>
      </c>
      <c r="BC78" s="675">
        <f t="shared" si="2179"/>
        <v>0</v>
      </c>
      <c r="BD78" s="549">
        <f t="shared" ref="BD78:BE78" si="2180">BD412</f>
        <v>0</v>
      </c>
      <c r="BE78" s="675">
        <f t="shared" si="2180"/>
        <v>0</v>
      </c>
      <c r="BF78" s="549">
        <f t="shared" ref="BF78:BG78" si="2181">BF412</f>
        <v>0</v>
      </c>
      <c r="BG78" s="675">
        <f t="shared" si="2181"/>
        <v>0</v>
      </c>
      <c r="BH78" s="549">
        <f t="shared" ref="BH78:BI78" si="2182">BH412</f>
        <v>0</v>
      </c>
      <c r="BI78" s="675">
        <f t="shared" si="2182"/>
        <v>0</v>
      </c>
      <c r="BJ78" s="549">
        <f t="shared" ref="BJ78:BK78" si="2183">BJ412</f>
        <v>0</v>
      </c>
      <c r="BK78" s="675">
        <f t="shared" si="2183"/>
        <v>0</v>
      </c>
      <c r="BL78" s="549">
        <f t="shared" ref="BL78:BS78" si="2184">BL412</f>
        <v>0</v>
      </c>
      <c r="BM78" s="675">
        <f t="shared" si="2184"/>
        <v>0</v>
      </c>
      <c r="BN78" s="549">
        <f t="shared" si="2184"/>
        <v>0</v>
      </c>
      <c r="BO78" s="675">
        <f t="shared" si="2184"/>
        <v>0</v>
      </c>
      <c r="BP78" s="549">
        <f t="shared" si="2184"/>
        <v>0</v>
      </c>
      <c r="BQ78" s="675">
        <f t="shared" si="2184"/>
        <v>0</v>
      </c>
      <c r="BR78" s="549">
        <f t="shared" si="2184"/>
        <v>0</v>
      </c>
      <c r="BS78" s="675">
        <f t="shared" si="2184"/>
        <v>0</v>
      </c>
      <c r="BT78" s="549">
        <f t="shared" ref="BT78:BU78" si="2185">BT412</f>
        <v>0</v>
      </c>
      <c r="BU78" s="675">
        <f t="shared" si="2185"/>
        <v>0</v>
      </c>
      <c r="BV78" s="549">
        <f t="shared" ref="BV78:BW78" si="2186">BV412</f>
        <v>0</v>
      </c>
      <c r="BW78" s="675">
        <f t="shared" si="2186"/>
        <v>0</v>
      </c>
      <c r="BX78" s="549">
        <f t="shared" ref="BX78:BY78" si="2187">BX412</f>
        <v>0</v>
      </c>
      <c r="BY78" s="675">
        <f t="shared" si="2187"/>
        <v>0</v>
      </c>
      <c r="BZ78" s="549">
        <f t="shared" ref="BZ78:CA78" si="2188">BZ412</f>
        <v>0</v>
      </c>
      <c r="CA78" s="675">
        <f t="shared" si="2188"/>
        <v>0</v>
      </c>
      <c r="CB78" s="549">
        <f t="shared" ref="CB78:CE78" si="2189">CB412</f>
        <v>0</v>
      </c>
      <c r="CC78" s="675">
        <f t="shared" si="2189"/>
        <v>0</v>
      </c>
      <c r="CD78" s="549">
        <f t="shared" si="2189"/>
        <v>0</v>
      </c>
      <c r="CE78" s="675">
        <f t="shared" si="2189"/>
        <v>0</v>
      </c>
      <c r="CF78" s="549">
        <f t="shared" ref="CF78:CG78" si="2190">CF412</f>
        <v>0</v>
      </c>
      <c r="CG78" s="675">
        <f t="shared" si="2190"/>
        <v>0</v>
      </c>
      <c r="CH78" s="549">
        <f t="shared" ref="CH78:CQ78" si="2191">CH412</f>
        <v>0</v>
      </c>
      <c r="CI78" s="675">
        <f t="shared" si="2191"/>
        <v>0</v>
      </c>
      <c r="CJ78" s="549">
        <f t="shared" si="2191"/>
        <v>0</v>
      </c>
      <c r="CK78" s="675">
        <f t="shared" si="2191"/>
        <v>0</v>
      </c>
      <c r="CL78" s="549">
        <f t="shared" si="2191"/>
        <v>0</v>
      </c>
      <c r="CM78" s="675">
        <f t="shared" si="2191"/>
        <v>0</v>
      </c>
      <c r="CN78" s="549">
        <f t="shared" si="2191"/>
        <v>0</v>
      </c>
      <c r="CO78" s="675">
        <f t="shared" si="2191"/>
        <v>0</v>
      </c>
      <c r="CP78" s="549">
        <f t="shared" si="2191"/>
        <v>0</v>
      </c>
      <c r="CQ78" s="675">
        <f t="shared" si="2191"/>
        <v>0</v>
      </c>
      <c r="CR78" s="549">
        <f t="shared" ref="CR78:CY78" si="2192">CR412</f>
        <v>0</v>
      </c>
      <c r="CS78" s="675">
        <f t="shared" si="2192"/>
        <v>0</v>
      </c>
      <c r="CT78" s="549">
        <f t="shared" si="2192"/>
        <v>0</v>
      </c>
      <c r="CU78" s="675">
        <f t="shared" si="2192"/>
        <v>0</v>
      </c>
      <c r="CV78" s="549">
        <f t="shared" si="2192"/>
        <v>0</v>
      </c>
      <c r="CW78" s="675">
        <f t="shared" si="2192"/>
        <v>0</v>
      </c>
      <c r="CX78" s="549">
        <f t="shared" si="2192"/>
        <v>0</v>
      </c>
      <c r="CY78" s="675">
        <f t="shared" si="2192"/>
        <v>0</v>
      </c>
      <c r="CZ78" s="549">
        <f t="shared" ref="CZ78:DI78" si="2193">CZ412</f>
        <v>0</v>
      </c>
      <c r="DA78" s="675">
        <f t="shared" si="2193"/>
        <v>0</v>
      </c>
      <c r="DB78" s="549">
        <f t="shared" si="2193"/>
        <v>0</v>
      </c>
      <c r="DC78" s="675">
        <f t="shared" si="2193"/>
        <v>0</v>
      </c>
      <c r="DD78" s="549">
        <f t="shared" si="2193"/>
        <v>0</v>
      </c>
      <c r="DE78" s="675">
        <f t="shared" si="2193"/>
        <v>0</v>
      </c>
      <c r="DF78" s="549">
        <f t="shared" si="2193"/>
        <v>0</v>
      </c>
      <c r="DG78" s="675">
        <f t="shared" si="2193"/>
        <v>0</v>
      </c>
      <c r="DH78" s="549">
        <f t="shared" si="2193"/>
        <v>0</v>
      </c>
      <c r="DI78" s="675">
        <f t="shared" si="2193"/>
        <v>0</v>
      </c>
      <c r="DJ78" s="549">
        <f t="shared" ref="DJ78:DK78" si="2194">DJ412</f>
        <v>0</v>
      </c>
      <c r="DK78" s="675">
        <f t="shared" si="2194"/>
        <v>0</v>
      </c>
      <c r="DL78" s="549">
        <f t="shared" ref="DL78:DM78" si="2195">DL412</f>
        <v>0</v>
      </c>
      <c r="DM78" s="675">
        <f t="shared" si="2195"/>
        <v>0</v>
      </c>
      <c r="DN78" s="549">
        <f t="shared" ref="DN78:DW78" si="2196">DN412</f>
        <v>0</v>
      </c>
      <c r="DO78" s="675">
        <f t="shared" si="2196"/>
        <v>0</v>
      </c>
      <c r="DP78" s="549">
        <f t="shared" si="2196"/>
        <v>0</v>
      </c>
      <c r="DQ78" s="675">
        <f t="shared" si="2196"/>
        <v>0</v>
      </c>
      <c r="DR78" s="549">
        <f t="shared" si="2196"/>
        <v>0</v>
      </c>
      <c r="DS78" s="675">
        <f t="shared" si="2196"/>
        <v>0</v>
      </c>
      <c r="DT78" s="549">
        <f t="shared" si="2196"/>
        <v>0</v>
      </c>
      <c r="DU78" s="675">
        <f t="shared" si="2196"/>
        <v>0</v>
      </c>
      <c r="DV78" s="549">
        <f t="shared" si="2196"/>
        <v>0</v>
      </c>
      <c r="DW78" s="675">
        <f t="shared" si="2196"/>
        <v>0</v>
      </c>
      <c r="DX78" s="549">
        <f t="shared" ref="DX78:EG78" si="2197">DX412</f>
        <v>0</v>
      </c>
      <c r="DY78" s="675">
        <f t="shared" si="2197"/>
        <v>0</v>
      </c>
      <c r="DZ78" s="549">
        <f t="shared" si="2197"/>
        <v>0</v>
      </c>
      <c r="EA78" s="675">
        <f t="shared" si="2197"/>
        <v>0</v>
      </c>
      <c r="EB78" s="549">
        <f t="shared" si="2197"/>
        <v>0</v>
      </c>
      <c r="EC78" s="675">
        <f t="shared" si="2197"/>
        <v>0</v>
      </c>
      <c r="ED78" s="549">
        <f t="shared" si="2197"/>
        <v>0</v>
      </c>
      <c r="EE78" s="675">
        <f t="shared" si="2197"/>
        <v>0</v>
      </c>
      <c r="EF78" s="549">
        <f t="shared" si="2197"/>
        <v>0</v>
      </c>
      <c r="EG78" s="675">
        <f t="shared" si="2197"/>
        <v>0</v>
      </c>
      <c r="EH78" s="549">
        <f t="shared" ref="EH78:EM78" si="2198">EH412</f>
        <v>0</v>
      </c>
      <c r="EI78" s="675">
        <f t="shared" si="2198"/>
        <v>0</v>
      </c>
      <c r="EJ78" s="549">
        <f t="shared" si="2198"/>
        <v>0</v>
      </c>
      <c r="EK78" s="675">
        <f t="shared" si="2198"/>
        <v>0</v>
      </c>
      <c r="EL78" s="549">
        <f t="shared" si="2198"/>
        <v>0</v>
      </c>
      <c r="EM78" s="675">
        <f t="shared" si="2198"/>
        <v>0</v>
      </c>
      <c r="EN78" s="549">
        <f t="shared" ref="EN78:EO78" si="2199">EN412</f>
        <v>0</v>
      </c>
      <c r="EO78" s="675">
        <f t="shared" si="2199"/>
        <v>0</v>
      </c>
      <c r="EP78" s="549">
        <f t="shared" ref="EP78:FA78" si="2200">EP412</f>
        <v>0</v>
      </c>
      <c r="EQ78" s="675">
        <f t="shared" si="2200"/>
        <v>0</v>
      </c>
      <c r="ER78" s="549">
        <f t="shared" si="2200"/>
        <v>0</v>
      </c>
      <c r="ES78" s="675">
        <f t="shared" si="2200"/>
        <v>0</v>
      </c>
      <c r="ET78" s="549">
        <f t="shared" si="2200"/>
        <v>0</v>
      </c>
      <c r="EU78" s="675">
        <f t="shared" si="2200"/>
        <v>0</v>
      </c>
      <c r="EV78" s="549">
        <f t="shared" ref="EV78:EW78" si="2201">EV412</f>
        <v>0</v>
      </c>
      <c r="EW78" s="675">
        <f t="shared" si="2201"/>
        <v>0</v>
      </c>
      <c r="EX78" s="549">
        <f t="shared" si="2200"/>
        <v>0</v>
      </c>
      <c r="EY78" s="675">
        <f t="shared" si="2200"/>
        <v>0</v>
      </c>
      <c r="EZ78" s="549">
        <f t="shared" si="2200"/>
        <v>0</v>
      </c>
      <c r="FA78" s="675">
        <f t="shared" si="2200"/>
        <v>0</v>
      </c>
      <c r="FB78" s="549">
        <f t="shared" ref="FB78:FC78" si="2202">FB412</f>
        <v>0</v>
      </c>
      <c r="FC78" s="675">
        <f t="shared" si="2202"/>
        <v>0</v>
      </c>
      <c r="FD78" s="549">
        <f t="shared" ref="FD78:FE78" si="2203">FD412</f>
        <v>0</v>
      </c>
      <c r="FE78" s="675">
        <f t="shared" si="2203"/>
        <v>0</v>
      </c>
      <c r="FF78" s="549">
        <f t="shared" ref="FF78:FG78" si="2204">FF412</f>
        <v>0</v>
      </c>
      <c r="FG78" s="675">
        <f t="shared" si="2204"/>
        <v>0</v>
      </c>
      <c r="FH78" s="549">
        <f t="shared" ref="FH78:FI78" si="2205">FH412</f>
        <v>0</v>
      </c>
      <c r="FI78" s="675">
        <f t="shared" si="2205"/>
        <v>0</v>
      </c>
      <c r="FJ78" s="549">
        <f t="shared" ref="FJ78:FK78" si="2206">FJ412</f>
        <v>0</v>
      </c>
      <c r="FK78" s="675">
        <f t="shared" si="2206"/>
        <v>0</v>
      </c>
      <c r="FL78" s="549">
        <f t="shared" ref="FL78:FM78" si="2207">FL412</f>
        <v>0</v>
      </c>
      <c r="FM78" s="675">
        <f t="shared" si="2207"/>
        <v>0</v>
      </c>
      <c r="FN78" s="549">
        <f t="shared" ref="FN78:FO78" si="2208">FN412</f>
        <v>0</v>
      </c>
      <c r="FO78" s="675">
        <f t="shared" si="2208"/>
        <v>0</v>
      </c>
      <c r="FP78" s="549">
        <f t="shared" ref="FP78:FQ78" si="2209">FP412</f>
        <v>0</v>
      </c>
      <c r="FQ78" s="675">
        <f t="shared" si="2209"/>
        <v>0</v>
      </c>
      <c r="FR78" s="549">
        <f t="shared" ref="FR78:FS78" si="2210">FR412</f>
        <v>0</v>
      </c>
      <c r="FS78" s="675">
        <f t="shared" si="2210"/>
        <v>0</v>
      </c>
      <c r="FT78" s="549">
        <f t="shared" ref="FT78:FU78" si="2211">FT412</f>
        <v>0</v>
      </c>
      <c r="FU78" s="675">
        <f t="shared" si="2211"/>
        <v>0</v>
      </c>
      <c r="FV78" s="549">
        <f t="shared" ref="FV78:GK78" si="2212">FV412</f>
        <v>0</v>
      </c>
      <c r="FW78" s="675">
        <f t="shared" si="2212"/>
        <v>0</v>
      </c>
      <c r="FX78" s="549">
        <f t="shared" si="2212"/>
        <v>0</v>
      </c>
      <c r="FY78" s="675">
        <f t="shared" si="2212"/>
        <v>0</v>
      </c>
      <c r="FZ78" s="549">
        <f t="shared" ref="FZ78:GI78" si="2213">FZ412</f>
        <v>0</v>
      </c>
      <c r="GA78" s="675">
        <f t="shared" si="2213"/>
        <v>0</v>
      </c>
      <c r="GB78" s="549">
        <f t="shared" si="2213"/>
        <v>0</v>
      </c>
      <c r="GC78" s="675">
        <f t="shared" si="2213"/>
        <v>0</v>
      </c>
      <c r="GD78" s="549">
        <f t="shared" si="2213"/>
        <v>0</v>
      </c>
      <c r="GE78" s="675">
        <f t="shared" si="2213"/>
        <v>0</v>
      </c>
      <c r="GF78" s="549">
        <f t="shared" si="2213"/>
        <v>0</v>
      </c>
      <c r="GG78" s="675">
        <f t="shared" si="2213"/>
        <v>0</v>
      </c>
      <c r="GH78" s="549">
        <f t="shared" si="2213"/>
        <v>0</v>
      </c>
      <c r="GI78" s="675">
        <f t="shared" si="2213"/>
        <v>0</v>
      </c>
      <c r="GJ78" s="549">
        <f t="shared" si="2212"/>
        <v>0</v>
      </c>
      <c r="GK78" s="675">
        <f t="shared" si="2212"/>
        <v>0</v>
      </c>
      <c r="GL78" s="549">
        <f t="shared" ref="GL78:GQ78" si="2214">GL412</f>
        <v>0</v>
      </c>
      <c r="GM78" s="675">
        <f t="shared" si="2214"/>
        <v>0</v>
      </c>
      <c r="GN78" s="549">
        <f t="shared" ref="GN78:GO78" si="2215">GN412</f>
        <v>0</v>
      </c>
      <c r="GO78" s="675">
        <f t="shared" si="2215"/>
        <v>0</v>
      </c>
      <c r="GP78" s="74">
        <f t="shared" si="2214"/>
        <v>0</v>
      </c>
      <c r="GQ78" s="675">
        <f t="shared" si="2214"/>
        <v>0</v>
      </c>
      <c r="GR78" s="74">
        <f t="shared" ref="GR78:HK78" si="2216">GR412</f>
        <v>0</v>
      </c>
      <c r="GS78" s="74">
        <f t="shared" si="2216"/>
        <v>0</v>
      </c>
      <c r="GT78" s="74">
        <f t="shared" si="2216"/>
        <v>0</v>
      </c>
      <c r="GU78" s="74">
        <f t="shared" si="2216"/>
        <v>0</v>
      </c>
      <c r="GV78" s="74">
        <f t="shared" si="2216"/>
        <v>0</v>
      </c>
      <c r="GW78" s="74">
        <f t="shared" si="2216"/>
        <v>0</v>
      </c>
      <c r="GX78" s="74">
        <f t="shared" si="2216"/>
        <v>0</v>
      </c>
      <c r="GY78" s="74">
        <f t="shared" si="2216"/>
        <v>0</v>
      </c>
      <c r="GZ78" s="74">
        <f t="shared" si="2216"/>
        <v>0</v>
      </c>
      <c r="HA78" s="74">
        <f t="shared" si="2216"/>
        <v>0</v>
      </c>
      <c r="HB78" s="74">
        <f t="shared" si="2216"/>
        <v>0</v>
      </c>
      <c r="HC78" s="74">
        <f t="shared" si="2216"/>
        <v>0</v>
      </c>
      <c r="HD78" s="74">
        <f t="shared" si="2216"/>
        <v>0</v>
      </c>
      <c r="HE78" s="74">
        <f t="shared" si="2216"/>
        <v>0</v>
      </c>
      <c r="HF78" s="74">
        <f t="shared" si="2216"/>
        <v>0</v>
      </c>
      <c r="HG78" s="74">
        <f t="shared" si="2216"/>
        <v>0</v>
      </c>
      <c r="HH78" s="74">
        <f t="shared" si="2216"/>
        <v>0</v>
      </c>
      <c r="HI78" s="74">
        <f t="shared" si="2216"/>
        <v>0</v>
      </c>
      <c r="HJ78" s="74">
        <f t="shared" si="2216"/>
        <v>0</v>
      </c>
      <c r="HK78" s="74">
        <f t="shared" si="2216"/>
        <v>0</v>
      </c>
      <c r="HL78" s="74">
        <f t="shared" ref="HL78:JT78" si="2217">HL412</f>
        <v>0</v>
      </c>
      <c r="HM78" s="74">
        <f t="shared" si="2217"/>
        <v>0</v>
      </c>
      <c r="HN78" s="74">
        <f t="shared" si="2217"/>
        <v>0</v>
      </c>
      <c r="HO78" s="74">
        <f t="shared" si="2217"/>
        <v>0</v>
      </c>
      <c r="HP78" s="74">
        <f t="shared" si="2217"/>
        <v>0</v>
      </c>
      <c r="HQ78" s="74">
        <f t="shared" si="2217"/>
        <v>0</v>
      </c>
      <c r="HR78" s="74">
        <f t="shared" si="2217"/>
        <v>0</v>
      </c>
      <c r="HS78" s="74">
        <f t="shared" si="2217"/>
        <v>0</v>
      </c>
      <c r="HT78" s="74">
        <f t="shared" si="2217"/>
        <v>0</v>
      </c>
      <c r="HU78" s="74">
        <f t="shared" si="2217"/>
        <v>0</v>
      </c>
      <c r="HV78" s="74">
        <f t="shared" si="2217"/>
        <v>0</v>
      </c>
      <c r="HW78" s="74">
        <f t="shared" si="2217"/>
        <v>0</v>
      </c>
      <c r="HX78" s="74">
        <f t="shared" si="2217"/>
        <v>0</v>
      </c>
      <c r="HY78" s="74">
        <f t="shared" si="2217"/>
        <v>0</v>
      </c>
      <c r="HZ78" s="74">
        <f t="shared" si="2217"/>
        <v>0</v>
      </c>
      <c r="IA78" s="74">
        <f t="shared" si="2217"/>
        <v>0</v>
      </c>
      <c r="IB78" s="74">
        <f t="shared" si="2217"/>
        <v>0</v>
      </c>
      <c r="IC78" s="74">
        <f t="shared" si="2217"/>
        <v>0</v>
      </c>
      <c r="ID78" s="74">
        <f t="shared" si="2217"/>
        <v>0</v>
      </c>
      <c r="IE78" s="792">
        <f t="shared" si="2217"/>
        <v>0</v>
      </c>
      <c r="IF78" s="841">
        <f t="shared" si="2217"/>
        <v>0</v>
      </c>
      <c r="IG78" s="263">
        <f t="shared" si="2217"/>
        <v>0</v>
      </c>
      <c r="IH78" s="842">
        <f t="shared" si="2217"/>
        <v>0</v>
      </c>
      <c r="II78" s="155">
        <f t="shared" si="2217"/>
        <v>0</v>
      </c>
      <c r="IJ78" s="74">
        <f t="shared" si="2217"/>
        <v>0</v>
      </c>
      <c r="IK78" s="74">
        <f t="shared" si="2217"/>
        <v>0</v>
      </c>
      <c r="IL78" s="74">
        <f t="shared" si="2217"/>
        <v>0</v>
      </c>
      <c r="IM78" s="74">
        <f t="shared" si="2217"/>
        <v>0</v>
      </c>
      <c r="IN78" s="74">
        <f t="shared" si="2217"/>
        <v>0</v>
      </c>
      <c r="IO78" s="74">
        <f t="shared" si="2217"/>
        <v>0</v>
      </c>
      <c r="IP78" s="74">
        <f t="shared" si="2217"/>
        <v>0</v>
      </c>
      <c r="IQ78" s="74">
        <f t="shared" si="2217"/>
        <v>0</v>
      </c>
      <c r="IR78" s="74">
        <f t="shared" si="2217"/>
        <v>0</v>
      </c>
      <c r="IS78" s="74">
        <f t="shared" si="2217"/>
        <v>0</v>
      </c>
      <c r="IT78" s="74">
        <f t="shared" si="2217"/>
        <v>0</v>
      </c>
      <c r="IU78" s="74">
        <f t="shared" si="2217"/>
        <v>0</v>
      </c>
      <c r="IV78" s="74">
        <f t="shared" si="2217"/>
        <v>0</v>
      </c>
      <c r="IW78" s="74">
        <f t="shared" si="2217"/>
        <v>0</v>
      </c>
      <c r="IX78" s="74">
        <f t="shared" si="2217"/>
        <v>0</v>
      </c>
      <c r="IY78" s="74">
        <f t="shared" si="2217"/>
        <v>0</v>
      </c>
      <c r="IZ78" s="74">
        <f t="shared" si="2217"/>
        <v>0</v>
      </c>
      <c r="JA78" s="74">
        <f t="shared" si="2217"/>
        <v>0</v>
      </c>
      <c r="JB78" s="74">
        <f t="shared" si="2217"/>
        <v>0</v>
      </c>
      <c r="JC78" s="74">
        <f t="shared" si="2217"/>
        <v>0</v>
      </c>
      <c r="JD78" s="74">
        <f t="shared" si="2217"/>
        <v>0</v>
      </c>
      <c r="JE78" s="74">
        <f t="shared" si="2217"/>
        <v>0</v>
      </c>
      <c r="JF78" s="74">
        <f t="shared" si="2217"/>
        <v>0</v>
      </c>
      <c r="JG78" s="74">
        <f t="shared" si="2217"/>
        <v>0</v>
      </c>
      <c r="JH78" s="74">
        <f t="shared" si="2217"/>
        <v>0</v>
      </c>
      <c r="JI78" s="74">
        <f t="shared" si="2217"/>
        <v>0</v>
      </c>
      <c r="JJ78" s="74">
        <f t="shared" si="2217"/>
        <v>0</v>
      </c>
      <c r="JK78" s="74">
        <f t="shared" si="2217"/>
        <v>0</v>
      </c>
      <c r="JL78" s="74">
        <f t="shared" si="2217"/>
        <v>0</v>
      </c>
      <c r="JM78" s="74">
        <f t="shared" si="2217"/>
        <v>0</v>
      </c>
      <c r="JN78" s="74">
        <f t="shared" si="2217"/>
        <v>0</v>
      </c>
      <c r="JO78" s="74">
        <f t="shared" si="2217"/>
        <v>0</v>
      </c>
      <c r="JP78" s="74">
        <f t="shared" si="2217"/>
        <v>0</v>
      </c>
      <c r="JQ78" s="74">
        <f t="shared" si="2217"/>
        <v>0</v>
      </c>
      <c r="JR78" s="74">
        <f t="shared" si="2217"/>
        <v>0</v>
      </c>
      <c r="JS78" s="74">
        <f t="shared" si="2217"/>
        <v>0</v>
      </c>
      <c r="JT78" s="102">
        <f t="shared" si="2217"/>
        <v>0</v>
      </c>
      <c r="JU78" s="671"/>
      <c r="JV78" s="492"/>
      <c r="JW78" s="490"/>
      <c r="JX78" s="549">
        <f>JX412</f>
        <v>0</v>
      </c>
      <c r="JY78" s="549">
        <f>JY412</f>
        <v>0</v>
      </c>
      <c r="JZ78" s="581">
        <f t="shared" si="2110"/>
        <v>0</v>
      </c>
      <c r="KA78" s="581">
        <f t="shared" si="2111"/>
        <v>0</v>
      </c>
      <c r="KB78" s="549">
        <f>KB412</f>
        <v>0</v>
      </c>
      <c r="KC78" s="709">
        <f t="shared" si="2079"/>
        <v>0</v>
      </c>
      <c r="KD78" s="151"/>
      <c r="KE78" s="31"/>
      <c r="KF78" s="31"/>
      <c r="KG78" s="31"/>
      <c r="KH78" s="31"/>
      <c r="KI78" s="31"/>
      <c r="KJ78" s="31"/>
      <c r="KK78" s="9"/>
    </row>
    <row r="79" spans="1:297" s="8" customFormat="1">
      <c r="A79" s="75">
        <v>164</v>
      </c>
      <c r="B79" s="72" t="str">
        <f>[1]septiembre!$B$50</f>
        <v>GASTOS DE SSEGURO</v>
      </c>
      <c r="C79" s="74">
        <f t="shared" ref="C79" si="2218">SUM(C413)</f>
        <v>89300</v>
      </c>
      <c r="D79" s="549">
        <f t="shared" ref="D79:E79" si="2219">SUM(D413)+D299</f>
        <v>0</v>
      </c>
      <c r="E79" s="675">
        <f t="shared" si="2219"/>
        <v>0</v>
      </c>
      <c r="F79" s="549">
        <f t="shared" ref="F79:G79" si="2220">SUM(F413)+F299</f>
        <v>0</v>
      </c>
      <c r="G79" s="675">
        <f t="shared" si="2220"/>
        <v>0</v>
      </c>
      <c r="H79" s="549">
        <f t="shared" ref="H79:I79" si="2221">SUM(H413)+H299</f>
        <v>0</v>
      </c>
      <c r="I79" s="675">
        <f t="shared" si="2221"/>
        <v>0</v>
      </c>
      <c r="J79" s="549">
        <f t="shared" ref="J79:K79" si="2222">SUM(J413)+J299</f>
        <v>0</v>
      </c>
      <c r="K79" s="675">
        <f t="shared" si="2222"/>
        <v>0</v>
      </c>
      <c r="L79" s="549">
        <f t="shared" ref="L79:M79" si="2223">SUM(L413)+L299</f>
        <v>0</v>
      </c>
      <c r="M79" s="675">
        <f t="shared" si="2223"/>
        <v>0</v>
      </c>
      <c r="N79" s="549">
        <f t="shared" ref="N79:O79" si="2224">SUM(N413)+N299</f>
        <v>0</v>
      </c>
      <c r="O79" s="675">
        <f t="shared" si="2224"/>
        <v>0</v>
      </c>
      <c r="P79" s="549">
        <f t="shared" ref="P79:Q79" si="2225">SUM(P413)+P299</f>
        <v>0</v>
      </c>
      <c r="Q79" s="675">
        <f t="shared" si="2225"/>
        <v>0</v>
      </c>
      <c r="R79" s="549">
        <f t="shared" ref="R79:S79" si="2226">SUM(R413)+R299</f>
        <v>0</v>
      </c>
      <c r="S79" s="675">
        <f t="shared" si="2226"/>
        <v>0</v>
      </c>
      <c r="T79" s="549">
        <f t="shared" ref="T79:U79" si="2227">SUM(T413)+T299</f>
        <v>0</v>
      </c>
      <c r="U79" s="675">
        <f t="shared" si="2227"/>
        <v>0</v>
      </c>
      <c r="V79" s="549">
        <f t="shared" ref="V79:W79" si="2228">SUM(V413)+V299</f>
        <v>0</v>
      </c>
      <c r="W79" s="675">
        <f t="shared" si="2228"/>
        <v>0</v>
      </c>
      <c r="X79" s="549">
        <f t="shared" ref="X79:Y79" si="2229">SUM(X413)+X299</f>
        <v>0</v>
      </c>
      <c r="Y79" s="675">
        <f t="shared" si="2229"/>
        <v>0</v>
      </c>
      <c r="Z79" s="549">
        <f t="shared" ref="Z79:AA79" si="2230">SUM(Z413)+Z299</f>
        <v>0</v>
      </c>
      <c r="AA79" s="675">
        <f t="shared" si="2230"/>
        <v>0</v>
      </c>
      <c r="AB79" s="549">
        <f t="shared" ref="AB79:AC79" si="2231">SUM(AB413)+AB299</f>
        <v>0</v>
      </c>
      <c r="AC79" s="675">
        <f t="shared" si="2231"/>
        <v>0</v>
      </c>
      <c r="AD79" s="549">
        <f t="shared" ref="AD79:AE79" si="2232">SUM(AD413)+AD299</f>
        <v>0</v>
      </c>
      <c r="AE79" s="675">
        <f t="shared" si="2232"/>
        <v>0</v>
      </c>
      <c r="AF79" s="549">
        <f t="shared" ref="AF79:AI79" si="2233">SUM(AF413)+AF299</f>
        <v>0</v>
      </c>
      <c r="AG79" s="675">
        <f t="shared" si="2233"/>
        <v>0</v>
      </c>
      <c r="AH79" s="549">
        <f t="shared" si="2233"/>
        <v>0</v>
      </c>
      <c r="AI79" s="675">
        <f t="shared" si="2233"/>
        <v>0</v>
      </c>
      <c r="AJ79" s="549">
        <f t="shared" ref="AJ79:AK79" si="2234">SUM(AJ413)+AJ299</f>
        <v>0</v>
      </c>
      <c r="AK79" s="675">
        <f t="shared" si="2234"/>
        <v>0</v>
      </c>
      <c r="AL79" s="549">
        <f t="shared" ref="AL79:AM79" si="2235">SUM(AL413)+AL299</f>
        <v>0</v>
      </c>
      <c r="AM79" s="675">
        <f t="shared" si="2235"/>
        <v>0</v>
      </c>
      <c r="AN79" s="549">
        <f t="shared" ref="AN79:AO79" si="2236">SUM(AN413)+AN299</f>
        <v>0</v>
      </c>
      <c r="AO79" s="675">
        <f t="shared" si="2236"/>
        <v>0</v>
      </c>
      <c r="AP79" s="549">
        <f t="shared" ref="AP79:AQ79" si="2237">SUM(AP413)+AP299</f>
        <v>0</v>
      </c>
      <c r="AQ79" s="675">
        <f t="shared" si="2237"/>
        <v>0</v>
      </c>
      <c r="AR79" s="549">
        <f t="shared" ref="AR79:AS79" si="2238">SUM(AR413)+AR299</f>
        <v>0</v>
      </c>
      <c r="AS79" s="675">
        <f t="shared" si="2238"/>
        <v>0</v>
      </c>
      <c r="AT79" s="549">
        <f t="shared" ref="AT79:AU79" si="2239">SUM(AT413)+AT299</f>
        <v>0</v>
      </c>
      <c r="AU79" s="675">
        <f t="shared" si="2239"/>
        <v>0</v>
      </c>
      <c r="AV79" s="549">
        <f t="shared" ref="AV79:AW79" si="2240">SUM(AV413)+AV299</f>
        <v>0</v>
      </c>
      <c r="AW79" s="675">
        <f t="shared" si="2240"/>
        <v>0</v>
      </c>
      <c r="AX79" s="549">
        <f t="shared" ref="AX79:AY79" si="2241">SUM(AX413)+AX299</f>
        <v>0</v>
      </c>
      <c r="AY79" s="675">
        <f t="shared" si="2241"/>
        <v>0</v>
      </c>
      <c r="AZ79" s="549">
        <f t="shared" ref="AZ79:BA79" si="2242">SUM(AZ413)+AZ299</f>
        <v>0</v>
      </c>
      <c r="BA79" s="675">
        <f t="shared" si="2242"/>
        <v>0</v>
      </c>
      <c r="BB79" s="549">
        <f t="shared" ref="BB79:BC79" si="2243">SUM(BB413)+BB299</f>
        <v>0</v>
      </c>
      <c r="BC79" s="675">
        <f t="shared" si="2243"/>
        <v>0</v>
      </c>
      <c r="BD79" s="549">
        <f t="shared" ref="BD79:BE79" si="2244">SUM(BD413)+BD299</f>
        <v>0</v>
      </c>
      <c r="BE79" s="675">
        <f t="shared" si="2244"/>
        <v>0</v>
      </c>
      <c r="BF79" s="549">
        <f t="shared" ref="BF79:BG79" si="2245">SUM(BF413)+BF299</f>
        <v>0</v>
      </c>
      <c r="BG79" s="675">
        <f t="shared" si="2245"/>
        <v>0</v>
      </c>
      <c r="BH79" s="549">
        <f t="shared" ref="BH79:BI79" si="2246">SUM(BH413)+BH299</f>
        <v>0</v>
      </c>
      <c r="BI79" s="675">
        <f t="shared" si="2246"/>
        <v>0</v>
      </c>
      <c r="BJ79" s="549">
        <f t="shared" ref="BJ79:BK79" si="2247">SUM(BJ413)+BJ299</f>
        <v>0</v>
      </c>
      <c r="BK79" s="675">
        <f t="shared" si="2247"/>
        <v>0</v>
      </c>
      <c r="BL79" s="549">
        <f t="shared" ref="BL79:BM79" si="2248">SUM(BL413)+BL299</f>
        <v>0</v>
      </c>
      <c r="BM79" s="675">
        <f t="shared" si="2248"/>
        <v>0</v>
      </c>
      <c r="BN79" s="549">
        <f t="shared" ref="BN79:BO79" si="2249">SUM(BN413)+BN299</f>
        <v>0</v>
      </c>
      <c r="BO79" s="675">
        <f t="shared" si="2249"/>
        <v>0</v>
      </c>
      <c r="BP79" s="549">
        <f t="shared" ref="BP79:BQ79" si="2250">SUM(BP413)+BP299</f>
        <v>0</v>
      </c>
      <c r="BQ79" s="675">
        <f t="shared" si="2250"/>
        <v>0</v>
      </c>
      <c r="BR79" s="549">
        <f t="shared" ref="BR79:BS79" si="2251">SUM(BR413)+BR299</f>
        <v>0</v>
      </c>
      <c r="BS79" s="675">
        <f t="shared" si="2251"/>
        <v>0</v>
      </c>
      <c r="BT79" s="549">
        <f t="shared" ref="BT79:BU79" si="2252">SUM(BT413)+BT299</f>
        <v>0</v>
      </c>
      <c r="BU79" s="675">
        <f t="shared" si="2252"/>
        <v>0</v>
      </c>
      <c r="BV79" s="549">
        <f t="shared" ref="BV79:BW79" si="2253">SUM(BV413)+BV299</f>
        <v>0</v>
      </c>
      <c r="BW79" s="675">
        <f t="shared" si="2253"/>
        <v>0</v>
      </c>
      <c r="BX79" s="549">
        <f t="shared" ref="BX79:BY79" si="2254">SUM(BX413)+BX299</f>
        <v>0</v>
      </c>
      <c r="BY79" s="675">
        <f t="shared" si="2254"/>
        <v>0</v>
      </c>
      <c r="BZ79" s="549">
        <f t="shared" ref="BZ79:CA79" si="2255">SUM(BZ413)+BZ299</f>
        <v>0</v>
      </c>
      <c r="CA79" s="675">
        <f t="shared" si="2255"/>
        <v>0</v>
      </c>
      <c r="CB79" s="549">
        <f t="shared" ref="CB79:CC79" si="2256">SUM(CB413)+CB299</f>
        <v>0</v>
      </c>
      <c r="CC79" s="675">
        <f t="shared" si="2256"/>
        <v>0</v>
      </c>
      <c r="CD79" s="549">
        <f t="shared" ref="CD79:CE79" si="2257">SUM(CD413)+CD299</f>
        <v>0</v>
      </c>
      <c r="CE79" s="675">
        <f t="shared" si="2257"/>
        <v>0</v>
      </c>
      <c r="CF79" s="549">
        <f t="shared" ref="CF79:CG79" si="2258">SUM(CF413)+CF299</f>
        <v>0</v>
      </c>
      <c r="CG79" s="675">
        <f t="shared" si="2258"/>
        <v>0</v>
      </c>
      <c r="CH79" s="549">
        <f t="shared" ref="CH79:CI79" si="2259">SUM(CH413)+CH299</f>
        <v>0</v>
      </c>
      <c r="CI79" s="675">
        <f t="shared" si="2259"/>
        <v>-3000</v>
      </c>
      <c r="CJ79" s="549">
        <f t="shared" ref="CJ79:CK79" si="2260">SUM(CJ413)+CJ299</f>
        <v>0</v>
      </c>
      <c r="CK79" s="675">
        <f t="shared" si="2260"/>
        <v>-25000</v>
      </c>
      <c r="CL79" s="549">
        <f t="shared" ref="CL79:CM79" si="2261">SUM(CL413)+CL299</f>
        <v>0</v>
      </c>
      <c r="CM79" s="675">
        <f t="shared" si="2261"/>
        <v>0</v>
      </c>
      <c r="CN79" s="549">
        <f t="shared" ref="CN79:CO79" si="2262">SUM(CN413)+CN299</f>
        <v>0</v>
      </c>
      <c r="CO79" s="675">
        <f t="shared" si="2262"/>
        <v>0</v>
      </c>
      <c r="CP79" s="549">
        <f t="shared" ref="CP79:CQ79" si="2263">SUM(CP413)+CP299</f>
        <v>0</v>
      </c>
      <c r="CQ79" s="675">
        <f t="shared" si="2263"/>
        <v>0</v>
      </c>
      <c r="CR79" s="549">
        <f t="shared" ref="CR79:CS79" si="2264">SUM(CR413)+CR299</f>
        <v>0</v>
      </c>
      <c r="CS79" s="675">
        <f t="shared" si="2264"/>
        <v>0</v>
      </c>
      <c r="CT79" s="549">
        <f t="shared" ref="CT79:CU79" si="2265">SUM(CT413)+CT299</f>
        <v>0</v>
      </c>
      <c r="CU79" s="675">
        <f t="shared" si="2265"/>
        <v>0</v>
      </c>
      <c r="CV79" s="549">
        <f t="shared" ref="CV79:CW79" si="2266">SUM(CV413)+CV299</f>
        <v>0</v>
      </c>
      <c r="CW79" s="675">
        <f t="shared" si="2266"/>
        <v>0</v>
      </c>
      <c r="CX79" s="549">
        <f t="shared" ref="CX79:CY79" si="2267">SUM(CX413)+CX299</f>
        <v>0</v>
      </c>
      <c r="CY79" s="675">
        <f t="shared" si="2267"/>
        <v>0</v>
      </c>
      <c r="CZ79" s="549">
        <f t="shared" ref="CZ79:DA79" si="2268">SUM(CZ413)+CZ299</f>
        <v>0</v>
      </c>
      <c r="DA79" s="675">
        <f t="shared" si="2268"/>
        <v>0</v>
      </c>
      <c r="DB79" s="549">
        <f t="shared" ref="DB79:DC79" si="2269">SUM(DB413)+DB299</f>
        <v>0</v>
      </c>
      <c r="DC79" s="675">
        <f t="shared" si="2269"/>
        <v>0</v>
      </c>
      <c r="DD79" s="549">
        <f t="shared" ref="DD79:DE79" si="2270">SUM(DD413)+DD299</f>
        <v>0</v>
      </c>
      <c r="DE79" s="675">
        <f t="shared" si="2270"/>
        <v>0</v>
      </c>
      <c r="DF79" s="549">
        <f t="shared" ref="DF79:DG79" si="2271">SUM(DF413)+DF299</f>
        <v>0</v>
      </c>
      <c r="DG79" s="675">
        <f t="shared" si="2271"/>
        <v>0</v>
      </c>
      <c r="DH79" s="549">
        <f t="shared" ref="DH79:DI79" si="2272">SUM(DH413)+DH299</f>
        <v>0</v>
      </c>
      <c r="DI79" s="675">
        <f t="shared" si="2272"/>
        <v>-5000</v>
      </c>
      <c r="DJ79" s="549">
        <f t="shared" ref="DJ79:DK79" si="2273">SUM(DJ413)+DJ299</f>
        <v>0</v>
      </c>
      <c r="DK79" s="675">
        <f t="shared" si="2273"/>
        <v>0</v>
      </c>
      <c r="DL79" s="549">
        <f t="shared" ref="DL79:DM79" si="2274">SUM(DL413)+DL299</f>
        <v>0</v>
      </c>
      <c r="DM79" s="675">
        <f t="shared" si="2274"/>
        <v>0</v>
      </c>
      <c r="DN79" s="549">
        <f t="shared" ref="DN79:DO79" si="2275">SUM(DN413)+DN299</f>
        <v>0</v>
      </c>
      <c r="DO79" s="675">
        <f t="shared" si="2275"/>
        <v>0</v>
      </c>
      <c r="DP79" s="549">
        <f t="shared" ref="DP79:DQ79" si="2276">SUM(DP413)+DP299</f>
        <v>0</v>
      </c>
      <c r="DQ79" s="675">
        <f t="shared" si="2276"/>
        <v>0</v>
      </c>
      <c r="DR79" s="549">
        <f t="shared" ref="DR79:DS79" si="2277">SUM(DR413)+DR299</f>
        <v>0</v>
      </c>
      <c r="DS79" s="675">
        <f t="shared" si="2277"/>
        <v>0</v>
      </c>
      <c r="DT79" s="549">
        <f t="shared" ref="DT79:DU79" si="2278">SUM(DT413)+DT299</f>
        <v>0</v>
      </c>
      <c r="DU79" s="675">
        <f t="shared" si="2278"/>
        <v>0</v>
      </c>
      <c r="DV79" s="549">
        <f t="shared" ref="DV79:DW79" si="2279">SUM(DV413)+DV299</f>
        <v>0</v>
      </c>
      <c r="DW79" s="675">
        <f t="shared" si="2279"/>
        <v>0</v>
      </c>
      <c r="DX79" s="549">
        <f t="shared" ref="DX79:DY79" si="2280">SUM(DX413)+DX299</f>
        <v>0</v>
      </c>
      <c r="DY79" s="675">
        <f t="shared" si="2280"/>
        <v>0</v>
      </c>
      <c r="DZ79" s="549">
        <f t="shared" ref="DZ79:EA79" si="2281">SUM(DZ413)+DZ299</f>
        <v>0</v>
      </c>
      <c r="EA79" s="675">
        <f t="shared" si="2281"/>
        <v>0</v>
      </c>
      <c r="EB79" s="549">
        <f t="shared" ref="EB79:EC79" si="2282">SUM(EB413)+EB299</f>
        <v>0</v>
      </c>
      <c r="EC79" s="675">
        <f t="shared" si="2282"/>
        <v>0</v>
      </c>
      <c r="ED79" s="549">
        <f t="shared" ref="ED79:EE79" si="2283">SUM(ED413)+ED299</f>
        <v>0</v>
      </c>
      <c r="EE79" s="675">
        <f t="shared" si="2283"/>
        <v>0</v>
      </c>
      <c r="EF79" s="549">
        <f t="shared" ref="EF79:EG79" si="2284">SUM(EF413)+EF299</f>
        <v>0</v>
      </c>
      <c r="EG79" s="675">
        <f t="shared" si="2284"/>
        <v>0</v>
      </c>
      <c r="EH79" s="549">
        <f t="shared" ref="EH79:EI79" si="2285">SUM(EH413)+EH299</f>
        <v>0</v>
      </c>
      <c r="EI79" s="675">
        <f t="shared" si="2285"/>
        <v>0</v>
      </c>
      <c r="EJ79" s="549">
        <f t="shared" ref="EJ79:EK79" si="2286">SUM(EJ413)+EJ299</f>
        <v>0</v>
      </c>
      <c r="EK79" s="675">
        <f t="shared" si="2286"/>
        <v>0</v>
      </c>
      <c r="EL79" s="549">
        <f t="shared" ref="EL79:EM79" si="2287">SUM(EL413)+EL299</f>
        <v>0</v>
      </c>
      <c r="EM79" s="675">
        <f t="shared" si="2287"/>
        <v>0</v>
      </c>
      <c r="EN79" s="549">
        <f t="shared" ref="EN79:EO79" si="2288">SUM(EN413)+EN299</f>
        <v>0</v>
      </c>
      <c r="EO79" s="675">
        <f t="shared" si="2288"/>
        <v>0</v>
      </c>
      <c r="EP79" s="549">
        <f t="shared" ref="EP79:EQ79" si="2289">SUM(EP413)+EP299</f>
        <v>0</v>
      </c>
      <c r="EQ79" s="675">
        <f t="shared" si="2289"/>
        <v>0</v>
      </c>
      <c r="ER79" s="549">
        <f t="shared" ref="ER79:ES79" si="2290">SUM(ER413)+ER299</f>
        <v>0</v>
      </c>
      <c r="ES79" s="675">
        <f t="shared" si="2290"/>
        <v>0</v>
      </c>
      <c r="ET79" s="549">
        <f t="shared" ref="ET79:EU79" si="2291">SUM(ET413)+ET299</f>
        <v>0</v>
      </c>
      <c r="EU79" s="675">
        <f t="shared" si="2291"/>
        <v>0</v>
      </c>
      <c r="EV79" s="549">
        <f t="shared" ref="EV79:EW79" si="2292">SUM(EV413)+EV299</f>
        <v>0</v>
      </c>
      <c r="EW79" s="675">
        <f t="shared" si="2292"/>
        <v>0</v>
      </c>
      <c r="EX79" s="549">
        <f t="shared" ref="EX79:EY79" si="2293">SUM(EX413)+EX299</f>
        <v>0</v>
      </c>
      <c r="EY79" s="675">
        <f t="shared" si="2293"/>
        <v>0</v>
      </c>
      <c r="EZ79" s="549">
        <f t="shared" ref="EZ79:FA79" si="2294">SUM(EZ413)+EZ299</f>
        <v>0</v>
      </c>
      <c r="FA79" s="675">
        <f t="shared" si="2294"/>
        <v>0</v>
      </c>
      <c r="FB79" s="549">
        <f t="shared" ref="FB79:FC79" si="2295">SUM(FB413)+FB299</f>
        <v>0</v>
      </c>
      <c r="FC79" s="675">
        <f t="shared" si="2295"/>
        <v>0</v>
      </c>
      <c r="FD79" s="549">
        <f t="shared" ref="FD79:FE79" si="2296">SUM(FD413)+FD299</f>
        <v>0</v>
      </c>
      <c r="FE79" s="675">
        <f t="shared" si="2296"/>
        <v>0</v>
      </c>
      <c r="FF79" s="549">
        <f t="shared" ref="FF79:FG79" si="2297">SUM(FF413)+FF299</f>
        <v>0</v>
      </c>
      <c r="FG79" s="675">
        <f t="shared" si="2297"/>
        <v>0</v>
      </c>
      <c r="FH79" s="549">
        <f t="shared" ref="FH79:FI79" si="2298">SUM(FH413)+FH299</f>
        <v>0</v>
      </c>
      <c r="FI79" s="675">
        <f t="shared" si="2298"/>
        <v>0</v>
      </c>
      <c r="FJ79" s="549">
        <f t="shared" ref="FJ79:FK79" si="2299">SUM(FJ413)+FJ299</f>
        <v>0</v>
      </c>
      <c r="FK79" s="675">
        <f t="shared" si="2299"/>
        <v>0</v>
      </c>
      <c r="FL79" s="549">
        <f t="shared" ref="FL79:FM79" si="2300">SUM(FL413)+FL299</f>
        <v>0</v>
      </c>
      <c r="FM79" s="675">
        <f t="shared" si="2300"/>
        <v>-10000</v>
      </c>
      <c r="FN79" s="549">
        <f t="shared" ref="FN79:FO79" si="2301">SUM(FN413)+FN299</f>
        <v>0</v>
      </c>
      <c r="FO79" s="675">
        <f t="shared" si="2301"/>
        <v>0</v>
      </c>
      <c r="FP79" s="549">
        <f t="shared" ref="FP79:FQ79" si="2302">SUM(FP413)+FP299</f>
        <v>0</v>
      </c>
      <c r="FQ79" s="675">
        <f t="shared" si="2302"/>
        <v>0</v>
      </c>
      <c r="FR79" s="549">
        <f t="shared" ref="FR79:FS79" si="2303">SUM(FR413)+FR299</f>
        <v>0</v>
      </c>
      <c r="FS79" s="675">
        <f t="shared" si="2303"/>
        <v>-300</v>
      </c>
      <c r="FT79" s="549">
        <f t="shared" ref="FT79:FU79" si="2304">SUM(FT413)+FT299</f>
        <v>0</v>
      </c>
      <c r="FU79" s="675">
        <f t="shared" si="2304"/>
        <v>0</v>
      </c>
      <c r="FV79" s="549">
        <f t="shared" ref="FV79:GK79" si="2305">SUM(FV413)+FV299</f>
        <v>0</v>
      </c>
      <c r="FW79" s="675">
        <f t="shared" si="2305"/>
        <v>0</v>
      </c>
      <c r="FX79" s="549">
        <f t="shared" si="2305"/>
        <v>4703</v>
      </c>
      <c r="FY79" s="675">
        <f t="shared" si="2305"/>
        <v>0</v>
      </c>
      <c r="FZ79" s="549">
        <f t="shared" ref="FZ79:GI79" si="2306">SUM(FZ413)+FZ299</f>
        <v>0</v>
      </c>
      <c r="GA79" s="675">
        <f t="shared" si="2306"/>
        <v>0</v>
      </c>
      <c r="GB79" s="549">
        <f t="shared" si="2306"/>
        <v>0</v>
      </c>
      <c r="GC79" s="675">
        <f t="shared" si="2306"/>
        <v>0</v>
      </c>
      <c r="GD79" s="549">
        <f t="shared" si="2306"/>
        <v>0</v>
      </c>
      <c r="GE79" s="675">
        <f t="shared" si="2306"/>
        <v>0</v>
      </c>
      <c r="GF79" s="549">
        <f t="shared" si="2306"/>
        <v>0</v>
      </c>
      <c r="GG79" s="675">
        <f t="shared" si="2306"/>
        <v>0</v>
      </c>
      <c r="GH79" s="549">
        <f t="shared" si="2306"/>
        <v>0</v>
      </c>
      <c r="GI79" s="675">
        <f t="shared" si="2306"/>
        <v>0</v>
      </c>
      <c r="GJ79" s="549">
        <f t="shared" si="2305"/>
        <v>0</v>
      </c>
      <c r="GK79" s="675">
        <f t="shared" si="2305"/>
        <v>0</v>
      </c>
      <c r="GL79" s="549">
        <f t="shared" ref="GL79:GM79" si="2307">SUM(GL413)+GL299</f>
        <v>0</v>
      </c>
      <c r="GM79" s="675">
        <f t="shared" si="2307"/>
        <v>0</v>
      </c>
      <c r="GN79" s="549">
        <f t="shared" ref="GN79:GO79" si="2308">SUM(GN413)+GN299</f>
        <v>0</v>
      </c>
      <c r="GO79" s="675">
        <f t="shared" si="2308"/>
        <v>0</v>
      </c>
      <c r="GP79" s="74">
        <f t="shared" ref="GP79:GS79" si="2309">SUM(GP413)+GP299</f>
        <v>4703</v>
      </c>
      <c r="GQ79" s="675">
        <f t="shared" si="2309"/>
        <v>-43300</v>
      </c>
      <c r="GR79" s="74">
        <f t="shared" si="2309"/>
        <v>50703</v>
      </c>
      <c r="GS79" s="74">
        <f t="shared" si="2309"/>
        <v>50703</v>
      </c>
      <c r="GT79" s="74">
        <f t="shared" ref="GT79:HF79" si="2310">SUM(GT413)</f>
        <v>50703</v>
      </c>
      <c r="GU79" s="74">
        <f t="shared" si="2310"/>
        <v>89300</v>
      </c>
      <c r="GV79" s="74">
        <f t="shared" si="2310"/>
        <v>0</v>
      </c>
      <c r="GW79" s="74">
        <f t="shared" si="2310"/>
        <v>0</v>
      </c>
      <c r="GX79" s="74">
        <f t="shared" si="2310"/>
        <v>0</v>
      </c>
      <c r="GY79" s="74">
        <f t="shared" si="2310"/>
        <v>0</v>
      </c>
      <c r="GZ79" s="74">
        <f t="shared" si="2310"/>
        <v>0</v>
      </c>
      <c r="HA79" s="74">
        <f t="shared" si="2310"/>
        <v>0</v>
      </c>
      <c r="HB79" s="74">
        <f t="shared" si="2310"/>
        <v>0</v>
      </c>
      <c r="HC79" s="74">
        <f t="shared" si="2310"/>
        <v>0</v>
      </c>
      <c r="HD79" s="74">
        <f t="shared" si="2310"/>
        <v>0</v>
      </c>
      <c r="HE79" s="74">
        <f t="shared" si="2310"/>
        <v>0</v>
      </c>
      <c r="HF79" s="74">
        <f t="shared" si="2310"/>
        <v>0</v>
      </c>
      <c r="HG79" s="74">
        <f>SUM(HG413)+HG299</f>
        <v>50703</v>
      </c>
      <c r="HH79" s="74">
        <f t="shared" ref="HH79:IA79" si="2311">SUM(HH413)</f>
        <v>89300</v>
      </c>
      <c r="HI79" s="74">
        <f t="shared" si="2311"/>
        <v>0</v>
      </c>
      <c r="HJ79" s="74">
        <f t="shared" si="2311"/>
        <v>0</v>
      </c>
      <c r="HK79" s="74">
        <f t="shared" si="2311"/>
        <v>0</v>
      </c>
      <c r="HL79" s="74">
        <f t="shared" si="2311"/>
        <v>0</v>
      </c>
      <c r="HM79" s="74">
        <f t="shared" si="2311"/>
        <v>0</v>
      </c>
      <c r="HN79" s="74">
        <f t="shared" si="2311"/>
        <v>0</v>
      </c>
      <c r="HO79" s="74">
        <f t="shared" si="2311"/>
        <v>0</v>
      </c>
      <c r="HP79" s="74">
        <f t="shared" si="2311"/>
        <v>0</v>
      </c>
      <c r="HQ79" s="74">
        <f t="shared" si="2311"/>
        <v>0</v>
      </c>
      <c r="HR79" s="74">
        <f t="shared" si="2311"/>
        <v>-3000</v>
      </c>
      <c r="HS79" s="74">
        <f t="shared" si="2311"/>
        <v>0</v>
      </c>
      <c r="HT79" s="74">
        <f t="shared" si="2311"/>
        <v>-25000</v>
      </c>
      <c r="HU79" s="74">
        <f t="shared" si="2311"/>
        <v>0</v>
      </c>
      <c r="HV79" s="74">
        <f t="shared" si="2311"/>
        <v>-5000</v>
      </c>
      <c r="HW79" s="74">
        <f t="shared" si="2311"/>
        <v>0</v>
      </c>
      <c r="HX79" s="74">
        <f t="shared" si="2311"/>
        <v>0</v>
      </c>
      <c r="HY79" s="74">
        <f t="shared" si="2311"/>
        <v>0</v>
      </c>
      <c r="HZ79" s="74">
        <f t="shared" si="2311"/>
        <v>-5597</v>
      </c>
      <c r="IA79" s="74">
        <f t="shared" si="2311"/>
        <v>0</v>
      </c>
      <c r="IB79" s="74">
        <f>SUM(IB413)+IB299</f>
        <v>0</v>
      </c>
      <c r="IC79" s="74">
        <f>SUM(IC413)+IC299</f>
        <v>0</v>
      </c>
      <c r="ID79" s="74">
        <f>SUM(ID413)</f>
        <v>0</v>
      </c>
      <c r="IE79" s="792">
        <f>SUM(IE413)</f>
        <v>0</v>
      </c>
      <c r="IF79" s="841">
        <f t="shared" ref="IF79:IH80" si="2312">SUM(IF413)+IF299</f>
        <v>45934</v>
      </c>
      <c r="IG79" s="263">
        <f t="shared" si="2312"/>
        <v>45934</v>
      </c>
      <c r="IH79" s="842">
        <f t="shared" si="2312"/>
        <v>45934</v>
      </c>
      <c r="II79" s="155">
        <f t="shared" ref="II79:JL79" si="2313">SUM(II413)</f>
        <v>0</v>
      </c>
      <c r="IJ79" s="74">
        <f t="shared" si="2313"/>
        <v>0</v>
      </c>
      <c r="IK79" s="74">
        <f t="shared" si="2313"/>
        <v>0</v>
      </c>
      <c r="IL79" s="74">
        <f t="shared" si="2313"/>
        <v>44075</v>
      </c>
      <c r="IM79" s="74">
        <f t="shared" si="2313"/>
        <v>44075</v>
      </c>
      <c r="IN79" s="74">
        <f t="shared" si="2313"/>
        <v>44075</v>
      </c>
      <c r="IO79" s="74">
        <f t="shared" si="2313"/>
        <v>0</v>
      </c>
      <c r="IP79" s="74">
        <f t="shared" si="2313"/>
        <v>0</v>
      </c>
      <c r="IQ79" s="74">
        <f t="shared" si="2313"/>
        <v>0</v>
      </c>
      <c r="IR79" s="74">
        <f t="shared" si="2313"/>
        <v>0</v>
      </c>
      <c r="IS79" s="74">
        <f t="shared" si="2313"/>
        <v>0</v>
      </c>
      <c r="IT79" s="74">
        <f t="shared" si="2313"/>
        <v>0</v>
      </c>
      <c r="IU79" s="74">
        <f t="shared" si="2313"/>
        <v>0</v>
      </c>
      <c r="IV79" s="74">
        <f t="shared" si="2313"/>
        <v>0</v>
      </c>
      <c r="IW79" s="74">
        <f t="shared" si="2313"/>
        <v>0</v>
      </c>
      <c r="IX79" s="74">
        <f t="shared" si="2313"/>
        <v>1859</v>
      </c>
      <c r="IY79" s="74">
        <f t="shared" si="2313"/>
        <v>1859</v>
      </c>
      <c r="IZ79" s="74">
        <f t="shared" si="2313"/>
        <v>1859</v>
      </c>
      <c r="JA79" s="74">
        <f t="shared" si="2313"/>
        <v>0</v>
      </c>
      <c r="JB79" s="74">
        <f t="shared" si="2313"/>
        <v>0</v>
      </c>
      <c r="JC79" s="74">
        <f t="shared" si="2313"/>
        <v>0</v>
      </c>
      <c r="JD79" s="74">
        <f t="shared" si="2313"/>
        <v>0</v>
      </c>
      <c r="JE79" s="74">
        <f t="shared" si="2313"/>
        <v>0</v>
      </c>
      <c r="JF79" s="74">
        <f t="shared" si="2313"/>
        <v>0</v>
      </c>
      <c r="JG79" s="74">
        <f t="shared" si="2313"/>
        <v>0</v>
      </c>
      <c r="JH79" s="74">
        <f t="shared" si="2313"/>
        <v>0</v>
      </c>
      <c r="JI79" s="74">
        <f t="shared" si="2313"/>
        <v>0</v>
      </c>
      <c r="JJ79" s="74">
        <f t="shared" si="2313"/>
        <v>0</v>
      </c>
      <c r="JK79" s="74">
        <f t="shared" si="2313"/>
        <v>0</v>
      </c>
      <c r="JL79" s="74">
        <f t="shared" si="2313"/>
        <v>0</v>
      </c>
      <c r="JM79" s="74">
        <f t="shared" ref="JM79:JO80" si="2314">SUM(JM413)+JM299</f>
        <v>0</v>
      </c>
      <c r="JN79" s="74">
        <f t="shared" si="2314"/>
        <v>0</v>
      </c>
      <c r="JO79" s="74">
        <f t="shared" si="2314"/>
        <v>0</v>
      </c>
      <c r="JP79" s="74">
        <f>SUM(JP413)</f>
        <v>0</v>
      </c>
      <c r="JQ79" s="74">
        <f>SUM(JQ413)</f>
        <v>0</v>
      </c>
      <c r="JR79" s="74">
        <f>SUM(JR413)</f>
        <v>0</v>
      </c>
      <c r="JS79" s="74">
        <f>SUM(JS413)+JS299</f>
        <v>4769</v>
      </c>
      <c r="JT79" s="102">
        <f>SUM(JT413)+JT299</f>
        <v>4769</v>
      </c>
      <c r="JU79" s="671"/>
      <c r="JV79" s="492"/>
      <c r="JW79" s="490"/>
      <c r="JX79" s="549">
        <f>SUM(JX413)+JX299</f>
        <v>50703</v>
      </c>
      <c r="JY79" s="549">
        <f>SUM(JY413)+JY299</f>
        <v>0</v>
      </c>
      <c r="JZ79" s="581">
        <f t="shared" si="2110"/>
        <v>4703</v>
      </c>
      <c r="KA79" s="581">
        <f t="shared" si="2111"/>
        <v>-43300</v>
      </c>
      <c r="KB79" s="549">
        <f>SUM(KB413)+KB299</f>
        <v>50703</v>
      </c>
      <c r="KC79" s="709">
        <f t="shared" si="2079"/>
        <v>0</v>
      </c>
      <c r="KD79" s="151"/>
      <c r="KE79" s="31" t="s">
        <v>547</v>
      </c>
      <c r="KF79" s="31"/>
      <c r="KG79" s="31"/>
      <c r="KH79" s="31"/>
      <c r="KI79" s="31"/>
      <c r="KJ79" s="31" t="s">
        <v>681</v>
      </c>
      <c r="KK79" s="9"/>
    </row>
    <row r="80" spans="1:297" s="8" customFormat="1">
      <c r="A80" s="75" t="s">
        <v>113</v>
      </c>
      <c r="B80" s="72" t="s">
        <v>114</v>
      </c>
      <c r="C80" s="74">
        <f t="shared" ref="C80" si="2315">SUM(C414)</f>
        <v>10700</v>
      </c>
      <c r="D80" s="549">
        <f t="shared" ref="D80:E80" si="2316">SUM(D414)+D300</f>
        <v>0</v>
      </c>
      <c r="E80" s="675">
        <f t="shared" si="2316"/>
        <v>0</v>
      </c>
      <c r="F80" s="549">
        <f t="shared" ref="F80:G80" si="2317">SUM(F414)+F300</f>
        <v>0</v>
      </c>
      <c r="G80" s="675">
        <f t="shared" si="2317"/>
        <v>0</v>
      </c>
      <c r="H80" s="549">
        <f t="shared" ref="H80:I80" si="2318">SUM(H414)+H300</f>
        <v>0</v>
      </c>
      <c r="I80" s="675">
        <f t="shared" si="2318"/>
        <v>0</v>
      </c>
      <c r="J80" s="549">
        <f t="shared" ref="J80:K80" si="2319">SUM(J414)+J300</f>
        <v>0</v>
      </c>
      <c r="K80" s="675">
        <f t="shared" si="2319"/>
        <v>0</v>
      </c>
      <c r="L80" s="549">
        <f t="shared" ref="L80:M80" si="2320">SUM(L414)+L300</f>
        <v>0</v>
      </c>
      <c r="M80" s="675">
        <f t="shared" si="2320"/>
        <v>0</v>
      </c>
      <c r="N80" s="549">
        <f t="shared" ref="N80:O80" si="2321">SUM(N414)+N300</f>
        <v>0</v>
      </c>
      <c r="O80" s="675">
        <f t="shared" si="2321"/>
        <v>0</v>
      </c>
      <c r="P80" s="549">
        <f t="shared" ref="P80:Q80" si="2322">SUM(P414)+P300</f>
        <v>0</v>
      </c>
      <c r="Q80" s="675">
        <f t="shared" si="2322"/>
        <v>0</v>
      </c>
      <c r="R80" s="549">
        <f t="shared" ref="R80:S80" si="2323">SUM(R414)+R300</f>
        <v>0</v>
      </c>
      <c r="S80" s="675">
        <f t="shared" si="2323"/>
        <v>0</v>
      </c>
      <c r="T80" s="549">
        <f t="shared" ref="T80:U80" si="2324">SUM(T414)+T300</f>
        <v>0</v>
      </c>
      <c r="U80" s="675">
        <f t="shared" si="2324"/>
        <v>0</v>
      </c>
      <c r="V80" s="549">
        <f t="shared" ref="V80:W80" si="2325">SUM(V414)+V300</f>
        <v>0</v>
      </c>
      <c r="W80" s="675">
        <f t="shared" si="2325"/>
        <v>0</v>
      </c>
      <c r="X80" s="549">
        <f t="shared" ref="X80:Y80" si="2326">SUM(X414)+X300</f>
        <v>0</v>
      </c>
      <c r="Y80" s="675">
        <f t="shared" si="2326"/>
        <v>0</v>
      </c>
      <c r="Z80" s="549">
        <f t="shared" ref="Z80:AA80" si="2327">SUM(Z414)+Z300</f>
        <v>0</v>
      </c>
      <c r="AA80" s="675">
        <f t="shared" si="2327"/>
        <v>0</v>
      </c>
      <c r="AB80" s="549">
        <f t="shared" ref="AB80:AC80" si="2328">SUM(AB414)+AB300</f>
        <v>0</v>
      </c>
      <c r="AC80" s="675">
        <f t="shared" si="2328"/>
        <v>0</v>
      </c>
      <c r="AD80" s="549">
        <f t="shared" ref="AD80:AE80" si="2329">SUM(AD414)+AD300</f>
        <v>0</v>
      </c>
      <c r="AE80" s="675">
        <f t="shared" si="2329"/>
        <v>0</v>
      </c>
      <c r="AF80" s="549">
        <f t="shared" ref="AF80:AI80" si="2330">SUM(AF414)+AF300</f>
        <v>0</v>
      </c>
      <c r="AG80" s="675">
        <f t="shared" si="2330"/>
        <v>0</v>
      </c>
      <c r="AH80" s="549">
        <f t="shared" si="2330"/>
        <v>0</v>
      </c>
      <c r="AI80" s="675">
        <f t="shared" si="2330"/>
        <v>0</v>
      </c>
      <c r="AJ80" s="549">
        <f t="shared" ref="AJ80:AK80" si="2331">SUM(AJ414)+AJ300</f>
        <v>0</v>
      </c>
      <c r="AK80" s="675">
        <f t="shared" si="2331"/>
        <v>0</v>
      </c>
      <c r="AL80" s="549">
        <f t="shared" ref="AL80:AM80" si="2332">SUM(AL414)+AL300</f>
        <v>0</v>
      </c>
      <c r="AM80" s="675">
        <f t="shared" si="2332"/>
        <v>0</v>
      </c>
      <c r="AN80" s="549">
        <f t="shared" ref="AN80:AO80" si="2333">SUM(AN414)+AN300</f>
        <v>0</v>
      </c>
      <c r="AO80" s="675">
        <f t="shared" si="2333"/>
        <v>0</v>
      </c>
      <c r="AP80" s="549">
        <f t="shared" ref="AP80:AQ80" si="2334">SUM(AP414)+AP300</f>
        <v>0</v>
      </c>
      <c r="AQ80" s="675">
        <f t="shared" si="2334"/>
        <v>0</v>
      </c>
      <c r="AR80" s="549">
        <f t="shared" ref="AR80:AS80" si="2335">SUM(AR414)+AR300</f>
        <v>0</v>
      </c>
      <c r="AS80" s="675">
        <f t="shared" si="2335"/>
        <v>0</v>
      </c>
      <c r="AT80" s="549">
        <f t="shared" ref="AT80:AU80" si="2336">SUM(AT414)+AT300</f>
        <v>0</v>
      </c>
      <c r="AU80" s="675">
        <f t="shared" si="2336"/>
        <v>0</v>
      </c>
      <c r="AV80" s="549">
        <f t="shared" ref="AV80:AW80" si="2337">SUM(AV414)+AV300</f>
        <v>0</v>
      </c>
      <c r="AW80" s="675">
        <f t="shared" si="2337"/>
        <v>0</v>
      </c>
      <c r="AX80" s="549">
        <f t="shared" ref="AX80:AY80" si="2338">SUM(AX414)+AX300</f>
        <v>0</v>
      </c>
      <c r="AY80" s="675">
        <f t="shared" si="2338"/>
        <v>0</v>
      </c>
      <c r="AZ80" s="549">
        <f t="shared" ref="AZ80:BA80" si="2339">SUM(AZ414)+AZ300</f>
        <v>5000</v>
      </c>
      <c r="BA80" s="675">
        <f t="shared" si="2339"/>
        <v>0</v>
      </c>
      <c r="BB80" s="549">
        <f t="shared" ref="BB80:BC80" si="2340">SUM(BB414)+BB300</f>
        <v>0</v>
      </c>
      <c r="BC80" s="675">
        <f t="shared" si="2340"/>
        <v>0</v>
      </c>
      <c r="BD80" s="549">
        <f t="shared" ref="BD80:BE80" si="2341">SUM(BD414)+BD300</f>
        <v>0</v>
      </c>
      <c r="BE80" s="675">
        <f t="shared" si="2341"/>
        <v>0</v>
      </c>
      <c r="BF80" s="549">
        <f t="shared" ref="BF80:BG80" si="2342">SUM(BF414)+BF300</f>
        <v>0</v>
      </c>
      <c r="BG80" s="675">
        <f t="shared" si="2342"/>
        <v>0</v>
      </c>
      <c r="BH80" s="549">
        <f t="shared" ref="BH80:BI80" si="2343">SUM(BH414)+BH300</f>
        <v>0</v>
      </c>
      <c r="BI80" s="675">
        <f t="shared" si="2343"/>
        <v>0</v>
      </c>
      <c r="BJ80" s="549">
        <f t="shared" ref="BJ80:BK80" si="2344">SUM(BJ414)+BJ300</f>
        <v>0</v>
      </c>
      <c r="BK80" s="675">
        <f t="shared" si="2344"/>
        <v>0</v>
      </c>
      <c r="BL80" s="549">
        <f t="shared" ref="BL80:BM80" si="2345">SUM(BL414)+BL300</f>
        <v>0</v>
      </c>
      <c r="BM80" s="675">
        <f t="shared" si="2345"/>
        <v>0</v>
      </c>
      <c r="BN80" s="549">
        <f t="shared" ref="BN80:BO80" si="2346">SUM(BN414)+BN300</f>
        <v>0</v>
      </c>
      <c r="BO80" s="675">
        <f t="shared" si="2346"/>
        <v>0</v>
      </c>
      <c r="BP80" s="549">
        <f t="shared" ref="BP80:BQ80" si="2347">SUM(BP414)+BP300</f>
        <v>0</v>
      </c>
      <c r="BQ80" s="675">
        <f t="shared" si="2347"/>
        <v>0</v>
      </c>
      <c r="BR80" s="549">
        <f t="shared" ref="BR80:BS80" si="2348">SUM(BR414)+BR300</f>
        <v>0</v>
      </c>
      <c r="BS80" s="675">
        <f t="shared" si="2348"/>
        <v>0</v>
      </c>
      <c r="BT80" s="549">
        <f t="shared" ref="BT80:BU80" si="2349">SUM(BT414)+BT300</f>
        <v>0</v>
      </c>
      <c r="BU80" s="675">
        <f t="shared" si="2349"/>
        <v>0</v>
      </c>
      <c r="BV80" s="549">
        <f t="shared" ref="BV80:BW80" si="2350">SUM(BV414)+BV300</f>
        <v>0</v>
      </c>
      <c r="BW80" s="675">
        <f t="shared" si="2350"/>
        <v>0</v>
      </c>
      <c r="BX80" s="549">
        <f t="shared" ref="BX80:BY80" si="2351">SUM(BX414)+BX300</f>
        <v>0</v>
      </c>
      <c r="BY80" s="675">
        <f t="shared" si="2351"/>
        <v>0</v>
      </c>
      <c r="BZ80" s="549">
        <f t="shared" ref="BZ80:CA80" si="2352">SUM(BZ414)+BZ300</f>
        <v>0</v>
      </c>
      <c r="CA80" s="675">
        <f t="shared" si="2352"/>
        <v>0</v>
      </c>
      <c r="CB80" s="549">
        <f t="shared" ref="CB80:CC80" si="2353">SUM(CB414)+CB300</f>
        <v>0</v>
      </c>
      <c r="CC80" s="675">
        <f t="shared" si="2353"/>
        <v>0</v>
      </c>
      <c r="CD80" s="549">
        <f t="shared" ref="CD80:CE80" si="2354">SUM(CD414)+CD300</f>
        <v>0</v>
      </c>
      <c r="CE80" s="675">
        <f t="shared" si="2354"/>
        <v>0</v>
      </c>
      <c r="CF80" s="549">
        <f t="shared" ref="CF80:CG80" si="2355">SUM(CF414)+CF300</f>
        <v>0</v>
      </c>
      <c r="CG80" s="675">
        <f t="shared" si="2355"/>
        <v>0</v>
      </c>
      <c r="CH80" s="549">
        <f t="shared" ref="CH80:CI80" si="2356">SUM(CH414)+CH300</f>
        <v>0</v>
      </c>
      <c r="CI80" s="675">
        <f t="shared" si="2356"/>
        <v>0</v>
      </c>
      <c r="CJ80" s="549">
        <f t="shared" ref="CJ80:CK80" si="2357">SUM(CJ414)+CJ300</f>
        <v>0</v>
      </c>
      <c r="CK80" s="675">
        <f t="shared" si="2357"/>
        <v>0</v>
      </c>
      <c r="CL80" s="549">
        <f t="shared" ref="CL80:CM80" si="2358">SUM(CL414)+CL300</f>
        <v>7000</v>
      </c>
      <c r="CM80" s="675">
        <f t="shared" si="2358"/>
        <v>0</v>
      </c>
      <c r="CN80" s="549">
        <f t="shared" ref="CN80:CO80" si="2359">SUM(CN414)+CN300</f>
        <v>0</v>
      </c>
      <c r="CO80" s="675">
        <f t="shared" si="2359"/>
        <v>0</v>
      </c>
      <c r="CP80" s="549">
        <f t="shared" ref="CP80:CQ80" si="2360">SUM(CP414)+CP300</f>
        <v>0</v>
      </c>
      <c r="CQ80" s="675">
        <f t="shared" si="2360"/>
        <v>0</v>
      </c>
      <c r="CR80" s="549">
        <f t="shared" ref="CR80:CS80" si="2361">SUM(CR414)+CR300</f>
        <v>0</v>
      </c>
      <c r="CS80" s="675">
        <f t="shared" si="2361"/>
        <v>0</v>
      </c>
      <c r="CT80" s="549">
        <f t="shared" ref="CT80:CU80" si="2362">SUM(CT414)+CT300</f>
        <v>0</v>
      </c>
      <c r="CU80" s="675">
        <f t="shared" si="2362"/>
        <v>0</v>
      </c>
      <c r="CV80" s="549">
        <f t="shared" ref="CV80:CW80" si="2363">SUM(CV414)+CV300</f>
        <v>0</v>
      </c>
      <c r="CW80" s="675">
        <f t="shared" si="2363"/>
        <v>0</v>
      </c>
      <c r="CX80" s="549">
        <f t="shared" ref="CX80:CY80" si="2364">SUM(CX414)+CX300</f>
        <v>0</v>
      </c>
      <c r="CY80" s="675">
        <f t="shared" si="2364"/>
        <v>0</v>
      </c>
      <c r="CZ80" s="549">
        <f t="shared" ref="CZ80:DA80" si="2365">SUM(CZ414)+CZ300</f>
        <v>0</v>
      </c>
      <c r="DA80" s="675">
        <f t="shared" si="2365"/>
        <v>0</v>
      </c>
      <c r="DB80" s="549">
        <f t="shared" ref="DB80:DC80" si="2366">SUM(DB414)+DB300</f>
        <v>0</v>
      </c>
      <c r="DC80" s="675">
        <f t="shared" si="2366"/>
        <v>0</v>
      </c>
      <c r="DD80" s="549">
        <f t="shared" ref="DD80:DE80" si="2367">SUM(DD414)+DD300</f>
        <v>0</v>
      </c>
      <c r="DE80" s="675">
        <f t="shared" si="2367"/>
        <v>0</v>
      </c>
      <c r="DF80" s="549">
        <f t="shared" ref="DF80:DG80" si="2368">SUM(DF414)+DF300</f>
        <v>0</v>
      </c>
      <c r="DG80" s="675">
        <f t="shared" si="2368"/>
        <v>0</v>
      </c>
      <c r="DH80" s="549">
        <f t="shared" ref="DH80:DI80" si="2369">SUM(DH414)+DH300</f>
        <v>0</v>
      </c>
      <c r="DI80" s="675">
        <f t="shared" si="2369"/>
        <v>0</v>
      </c>
      <c r="DJ80" s="549">
        <f t="shared" ref="DJ80:DK80" si="2370">SUM(DJ414)+DJ300</f>
        <v>0</v>
      </c>
      <c r="DK80" s="675">
        <f t="shared" si="2370"/>
        <v>0</v>
      </c>
      <c r="DL80" s="549">
        <f t="shared" ref="DL80:DM80" si="2371">SUM(DL414)+DL300</f>
        <v>0</v>
      </c>
      <c r="DM80" s="675">
        <f t="shared" si="2371"/>
        <v>0</v>
      </c>
      <c r="DN80" s="549">
        <f t="shared" ref="DN80:DO80" si="2372">SUM(DN414)+DN300</f>
        <v>0</v>
      </c>
      <c r="DO80" s="675">
        <f t="shared" si="2372"/>
        <v>0</v>
      </c>
      <c r="DP80" s="549">
        <f t="shared" ref="DP80:DQ80" si="2373">SUM(DP414)+DP300</f>
        <v>0</v>
      </c>
      <c r="DQ80" s="675">
        <f t="shared" si="2373"/>
        <v>0</v>
      </c>
      <c r="DR80" s="549">
        <f t="shared" ref="DR80:DS80" si="2374">SUM(DR414)+DR300</f>
        <v>0</v>
      </c>
      <c r="DS80" s="675">
        <f t="shared" si="2374"/>
        <v>0</v>
      </c>
      <c r="DT80" s="549">
        <f t="shared" ref="DT80:DU80" si="2375">SUM(DT414)+DT300</f>
        <v>0</v>
      </c>
      <c r="DU80" s="675">
        <f t="shared" si="2375"/>
        <v>0</v>
      </c>
      <c r="DV80" s="549">
        <f t="shared" ref="DV80:DW80" si="2376">SUM(DV414)+DV300</f>
        <v>0</v>
      </c>
      <c r="DW80" s="675">
        <f t="shared" si="2376"/>
        <v>0</v>
      </c>
      <c r="DX80" s="549">
        <f t="shared" ref="DX80:DY80" si="2377">SUM(DX414)+DX300</f>
        <v>0</v>
      </c>
      <c r="DY80" s="675">
        <f t="shared" si="2377"/>
        <v>0</v>
      </c>
      <c r="DZ80" s="549">
        <f t="shared" ref="DZ80:EA80" si="2378">SUM(DZ414)+DZ300</f>
        <v>0</v>
      </c>
      <c r="EA80" s="675">
        <f t="shared" si="2378"/>
        <v>0</v>
      </c>
      <c r="EB80" s="549">
        <f t="shared" ref="EB80:EC80" si="2379">SUM(EB414)+EB300</f>
        <v>0</v>
      </c>
      <c r="EC80" s="675">
        <f t="shared" si="2379"/>
        <v>0</v>
      </c>
      <c r="ED80" s="549">
        <f t="shared" ref="ED80:EE80" si="2380">SUM(ED414)+ED300</f>
        <v>0</v>
      </c>
      <c r="EE80" s="675">
        <f t="shared" si="2380"/>
        <v>0</v>
      </c>
      <c r="EF80" s="549">
        <f t="shared" ref="EF80:EG80" si="2381">SUM(EF414)+EF300</f>
        <v>0</v>
      </c>
      <c r="EG80" s="675">
        <f t="shared" si="2381"/>
        <v>0</v>
      </c>
      <c r="EH80" s="549">
        <f t="shared" ref="EH80:EI80" si="2382">SUM(EH414)+EH300</f>
        <v>0</v>
      </c>
      <c r="EI80" s="675">
        <f t="shared" si="2382"/>
        <v>0</v>
      </c>
      <c r="EJ80" s="549">
        <f t="shared" ref="EJ80:EK80" si="2383">SUM(EJ414)+EJ300</f>
        <v>0</v>
      </c>
      <c r="EK80" s="675">
        <f t="shared" si="2383"/>
        <v>0</v>
      </c>
      <c r="EL80" s="549">
        <f t="shared" ref="EL80:EM80" si="2384">SUM(EL414)+EL300</f>
        <v>5000</v>
      </c>
      <c r="EM80" s="675">
        <f t="shared" si="2384"/>
        <v>0</v>
      </c>
      <c r="EN80" s="549">
        <f t="shared" ref="EN80:EO80" si="2385">SUM(EN414)+EN300</f>
        <v>0</v>
      </c>
      <c r="EO80" s="675">
        <f t="shared" si="2385"/>
        <v>0</v>
      </c>
      <c r="EP80" s="549">
        <f t="shared" ref="EP80:EQ80" si="2386">SUM(EP414)+EP300</f>
        <v>0</v>
      </c>
      <c r="EQ80" s="675">
        <f t="shared" si="2386"/>
        <v>0</v>
      </c>
      <c r="ER80" s="549">
        <f t="shared" ref="ER80:ES80" si="2387">SUM(ER414)+ER300</f>
        <v>0</v>
      </c>
      <c r="ES80" s="675">
        <f t="shared" si="2387"/>
        <v>0</v>
      </c>
      <c r="ET80" s="549">
        <f t="shared" ref="ET80:EU80" si="2388">SUM(ET414)+ET300</f>
        <v>0</v>
      </c>
      <c r="EU80" s="675">
        <f t="shared" si="2388"/>
        <v>0</v>
      </c>
      <c r="EV80" s="549">
        <f t="shared" ref="EV80:EW80" si="2389">SUM(EV414)+EV300</f>
        <v>0</v>
      </c>
      <c r="EW80" s="675">
        <f t="shared" si="2389"/>
        <v>0</v>
      </c>
      <c r="EX80" s="549">
        <f t="shared" ref="EX80:EY80" si="2390">SUM(EX414)+EX300</f>
        <v>0</v>
      </c>
      <c r="EY80" s="675">
        <f t="shared" si="2390"/>
        <v>0</v>
      </c>
      <c r="EZ80" s="549">
        <f t="shared" ref="EZ80:FA80" si="2391">SUM(EZ414)+EZ300</f>
        <v>0</v>
      </c>
      <c r="FA80" s="675">
        <f t="shared" si="2391"/>
        <v>0</v>
      </c>
      <c r="FB80" s="549">
        <f t="shared" ref="FB80:FC80" si="2392">SUM(FB414)+FB300</f>
        <v>0</v>
      </c>
      <c r="FC80" s="675">
        <f t="shared" si="2392"/>
        <v>0</v>
      </c>
      <c r="FD80" s="549">
        <f t="shared" ref="FD80:FE80" si="2393">SUM(FD414)+FD300</f>
        <v>5000</v>
      </c>
      <c r="FE80" s="675">
        <f t="shared" si="2393"/>
        <v>0</v>
      </c>
      <c r="FF80" s="549">
        <f t="shared" ref="FF80:FG80" si="2394">SUM(FF414)+FF300</f>
        <v>0</v>
      </c>
      <c r="FG80" s="675">
        <f t="shared" si="2394"/>
        <v>0</v>
      </c>
      <c r="FH80" s="549">
        <f t="shared" ref="FH80:FI80" si="2395">SUM(FH414)+FH300</f>
        <v>0</v>
      </c>
      <c r="FI80" s="675">
        <f t="shared" si="2395"/>
        <v>0</v>
      </c>
      <c r="FJ80" s="549">
        <f t="shared" ref="FJ80:FK80" si="2396">SUM(FJ414)+FJ300</f>
        <v>0</v>
      </c>
      <c r="FK80" s="675">
        <f t="shared" si="2396"/>
        <v>0</v>
      </c>
      <c r="FL80" s="549">
        <f t="shared" ref="FL80:FM80" si="2397">SUM(FL414)+FL300</f>
        <v>5000</v>
      </c>
      <c r="FM80" s="675">
        <f t="shared" si="2397"/>
        <v>0</v>
      </c>
      <c r="FN80" s="549">
        <f t="shared" ref="FN80:FO80" si="2398">SUM(FN414)+FN300</f>
        <v>0</v>
      </c>
      <c r="FO80" s="675">
        <f t="shared" si="2398"/>
        <v>0</v>
      </c>
      <c r="FP80" s="549">
        <f t="shared" ref="FP80:FQ80" si="2399">SUM(FP414)+FP300</f>
        <v>0</v>
      </c>
      <c r="FQ80" s="675">
        <f t="shared" si="2399"/>
        <v>0</v>
      </c>
      <c r="FR80" s="549">
        <f t="shared" ref="FR80:FS80" si="2400">SUM(FR414)+FR300</f>
        <v>5000</v>
      </c>
      <c r="FS80" s="675">
        <f t="shared" si="2400"/>
        <v>0</v>
      </c>
      <c r="FT80" s="549">
        <f t="shared" ref="FT80:FU80" si="2401">SUM(FT414)+FT300</f>
        <v>0</v>
      </c>
      <c r="FU80" s="675">
        <f t="shared" si="2401"/>
        <v>0</v>
      </c>
      <c r="FV80" s="549">
        <f t="shared" ref="FV80:GK80" si="2402">SUM(FV414)+FV300</f>
        <v>0</v>
      </c>
      <c r="FW80" s="675">
        <f t="shared" si="2402"/>
        <v>0</v>
      </c>
      <c r="FX80" s="549">
        <f t="shared" si="2402"/>
        <v>0</v>
      </c>
      <c r="FY80" s="675">
        <f t="shared" si="2402"/>
        <v>0</v>
      </c>
      <c r="FZ80" s="549">
        <f t="shared" ref="FZ80:GI80" si="2403">SUM(FZ414)+FZ300</f>
        <v>0</v>
      </c>
      <c r="GA80" s="675">
        <f t="shared" si="2403"/>
        <v>0</v>
      </c>
      <c r="GB80" s="549">
        <f t="shared" si="2403"/>
        <v>0</v>
      </c>
      <c r="GC80" s="675">
        <f t="shared" si="2403"/>
        <v>0</v>
      </c>
      <c r="GD80" s="549">
        <f t="shared" si="2403"/>
        <v>0</v>
      </c>
      <c r="GE80" s="675">
        <f t="shared" si="2403"/>
        <v>0</v>
      </c>
      <c r="GF80" s="549">
        <f t="shared" si="2403"/>
        <v>0</v>
      </c>
      <c r="GG80" s="675">
        <f t="shared" si="2403"/>
        <v>0</v>
      </c>
      <c r="GH80" s="549">
        <f t="shared" si="2403"/>
        <v>0</v>
      </c>
      <c r="GI80" s="675">
        <f t="shared" si="2403"/>
        <v>0</v>
      </c>
      <c r="GJ80" s="549">
        <f t="shared" si="2402"/>
        <v>0</v>
      </c>
      <c r="GK80" s="675">
        <f t="shared" si="2402"/>
        <v>0</v>
      </c>
      <c r="GL80" s="549">
        <f t="shared" ref="GL80:GM80" si="2404">SUM(GL414)+GL300</f>
        <v>0</v>
      </c>
      <c r="GM80" s="675">
        <f t="shared" si="2404"/>
        <v>0</v>
      </c>
      <c r="GN80" s="549">
        <f t="shared" ref="GN80:GO80" si="2405">SUM(GN414)+GN300</f>
        <v>0</v>
      </c>
      <c r="GO80" s="675">
        <f t="shared" si="2405"/>
        <v>0</v>
      </c>
      <c r="GP80" s="74">
        <f t="shared" ref="GP80:HF80" si="2406">SUM(GP414)+GP300</f>
        <v>32000</v>
      </c>
      <c r="GQ80" s="675">
        <f t="shared" si="2406"/>
        <v>0</v>
      </c>
      <c r="GR80" s="74">
        <f t="shared" si="2406"/>
        <v>42700</v>
      </c>
      <c r="GS80" s="74">
        <f t="shared" si="2406"/>
        <v>42700</v>
      </c>
      <c r="GT80" s="74">
        <f t="shared" si="2406"/>
        <v>42700</v>
      </c>
      <c r="GU80" s="74">
        <f>SUM(GU414)+GU300</f>
        <v>5700</v>
      </c>
      <c r="GV80" s="74">
        <f t="shared" si="2406"/>
        <v>0</v>
      </c>
      <c r="GW80" s="74">
        <f t="shared" si="2406"/>
        <v>5000</v>
      </c>
      <c r="GX80" s="74">
        <f t="shared" si="2406"/>
        <v>0</v>
      </c>
      <c r="GY80" s="74">
        <f t="shared" si="2406"/>
        <v>0</v>
      </c>
      <c r="GZ80" s="74">
        <f t="shared" si="2406"/>
        <v>0</v>
      </c>
      <c r="HA80" s="74">
        <f t="shared" si="2406"/>
        <v>0</v>
      </c>
      <c r="HB80" s="74">
        <f t="shared" si="2406"/>
        <v>0</v>
      </c>
      <c r="HC80" s="74">
        <f t="shared" si="2406"/>
        <v>0</v>
      </c>
      <c r="HD80" s="74">
        <f t="shared" si="2406"/>
        <v>0</v>
      </c>
      <c r="HE80" s="74">
        <f t="shared" si="2406"/>
        <v>0</v>
      </c>
      <c r="HF80" s="74">
        <f t="shared" si="2406"/>
        <v>0</v>
      </c>
      <c r="HG80" s="74">
        <f>SUM(HG414)+HG300</f>
        <v>42700</v>
      </c>
      <c r="HH80" s="74">
        <f t="shared" ref="HH80:IA80" si="2407">SUM(HH414)+HH300</f>
        <v>5700</v>
      </c>
      <c r="HI80" s="74">
        <f t="shared" si="2407"/>
        <v>0</v>
      </c>
      <c r="HJ80" s="74">
        <f t="shared" si="2407"/>
        <v>0</v>
      </c>
      <c r="HK80" s="74">
        <f t="shared" si="2407"/>
        <v>0</v>
      </c>
      <c r="HL80" s="74">
        <f t="shared" si="2407"/>
        <v>5000</v>
      </c>
      <c r="HM80" s="74">
        <f t="shared" si="2407"/>
        <v>0</v>
      </c>
      <c r="HN80" s="74">
        <f t="shared" si="2407"/>
        <v>0</v>
      </c>
      <c r="HO80" s="74">
        <f t="shared" si="2407"/>
        <v>0</v>
      </c>
      <c r="HP80" s="74">
        <f t="shared" si="2407"/>
        <v>5000</v>
      </c>
      <c r="HQ80" s="74">
        <f t="shared" si="2407"/>
        <v>0</v>
      </c>
      <c r="HR80" s="74">
        <f t="shared" si="2407"/>
        <v>0</v>
      </c>
      <c r="HS80" s="74">
        <f t="shared" si="2407"/>
        <v>0</v>
      </c>
      <c r="HT80" s="74">
        <f t="shared" si="2407"/>
        <v>7000</v>
      </c>
      <c r="HU80" s="74">
        <f t="shared" si="2407"/>
        <v>0</v>
      </c>
      <c r="HV80" s="74">
        <f t="shared" si="2407"/>
        <v>0</v>
      </c>
      <c r="HW80" s="74">
        <f t="shared" si="2407"/>
        <v>0</v>
      </c>
      <c r="HX80" s="74">
        <f t="shared" si="2407"/>
        <v>5000</v>
      </c>
      <c r="HY80" s="74">
        <f t="shared" si="2407"/>
        <v>0</v>
      </c>
      <c r="HZ80" s="74">
        <f t="shared" si="2407"/>
        <v>15000</v>
      </c>
      <c r="IA80" s="74">
        <f t="shared" si="2407"/>
        <v>0</v>
      </c>
      <c r="IB80" s="74">
        <f>SUM(IB414)+IB300</f>
        <v>0</v>
      </c>
      <c r="IC80" s="74">
        <f>SUM(IC414)+IC300</f>
        <v>0</v>
      </c>
      <c r="ID80" s="74">
        <f>SUM(ID414)+ID300</f>
        <v>0</v>
      </c>
      <c r="IE80" s="792">
        <f>SUM(IE414)+IE300</f>
        <v>0</v>
      </c>
      <c r="IF80" s="841">
        <f t="shared" si="2312"/>
        <v>24506.79</v>
      </c>
      <c r="IG80" s="263">
        <f t="shared" si="2312"/>
        <v>24506.79</v>
      </c>
      <c r="IH80" s="842">
        <f t="shared" si="2312"/>
        <v>24506.79</v>
      </c>
      <c r="II80" s="155">
        <f t="shared" ref="II80:JL80" si="2408">SUM(II414)+II300</f>
        <v>1810.4</v>
      </c>
      <c r="IJ80" s="74">
        <f t="shared" si="2408"/>
        <v>1810.4</v>
      </c>
      <c r="IK80" s="74">
        <f t="shared" si="2408"/>
        <v>1810.4</v>
      </c>
      <c r="IL80" s="74">
        <f t="shared" si="2408"/>
        <v>2578.9999999999995</v>
      </c>
      <c r="IM80" s="74">
        <f t="shared" si="2408"/>
        <v>2578.9999999999995</v>
      </c>
      <c r="IN80" s="74">
        <f t="shared" si="2408"/>
        <v>2578.9999999999995</v>
      </c>
      <c r="IO80" s="74">
        <f t="shared" si="2408"/>
        <v>2356.25</v>
      </c>
      <c r="IP80" s="74">
        <f t="shared" si="2408"/>
        <v>2356.25</v>
      </c>
      <c r="IQ80" s="74">
        <f t="shared" si="2408"/>
        <v>2356.25</v>
      </c>
      <c r="IR80" s="74">
        <f t="shared" si="2408"/>
        <v>623</v>
      </c>
      <c r="IS80" s="74">
        <f t="shared" si="2408"/>
        <v>623</v>
      </c>
      <c r="IT80" s="74">
        <f t="shared" si="2408"/>
        <v>623</v>
      </c>
      <c r="IU80" s="74">
        <f t="shared" si="2408"/>
        <v>3771.0500000000011</v>
      </c>
      <c r="IV80" s="74">
        <f t="shared" si="2408"/>
        <v>3771.0500000000011</v>
      </c>
      <c r="IW80" s="74">
        <f t="shared" si="2408"/>
        <v>3771.0500000000011</v>
      </c>
      <c r="IX80" s="74">
        <f t="shared" si="2408"/>
        <v>1796.9699999999993</v>
      </c>
      <c r="IY80" s="74">
        <f t="shared" si="2408"/>
        <v>1796.9699999999993</v>
      </c>
      <c r="IZ80" s="74">
        <f t="shared" si="2408"/>
        <v>1796.9699999999993</v>
      </c>
      <c r="JA80" s="74">
        <f t="shared" si="2408"/>
        <v>679.59000000000015</v>
      </c>
      <c r="JB80" s="74">
        <f t="shared" si="2408"/>
        <v>679.59000000000015</v>
      </c>
      <c r="JC80" s="74">
        <f t="shared" si="2408"/>
        <v>679.59000000000015</v>
      </c>
      <c r="JD80" s="74">
        <f t="shared" si="2408"/>
        <v>3708.8099999999995</v>
      </c>
      <c r="JE80" s="74">
        <f t="shared" si="2408"/>
        <v>3708.8099999999995</v>
      </c>
      <c r="JF80" s="74">
        <f t="shared" si="2408"/>
        <v>3708.8099999999995</v>
      </c>
      <c r="JG80" s="74">
        <f t="shared" si="2408"/>
        <v>4102.32</v>
      </c>
      <c r="JH80" s="74">
        <f t="shared" si="2408"/>
        <v>4102.32</v>
      </c>
      <c r="JI80" s="74">
        <f t="shared" si="2408"/>
        <v>4102.32</v>
      </c>
      <c r="JJ80" s="74">
        <f t="shared" si="2408"/>
        <v>3079.4000000000015</v>
      </c>
      <c r="JK80" s="74">
        <f t="shared" si="2408"/>
        <v>3079.4000000000015</v>
      </c>
      <c r="JL80" s="74">
        <f t="shared" si="2408"/>
        <v>3079.4000000000015</v>
      </c>
      <c r="JM80" s="74">
        <f t="shared" si="2314"/>
        <v>0</v>
      </c>
      <c r="JN80" s="74">
        <f t="shared" si="2314"/>
        <v>0</v>
      </c>
      <c r="JO80" s="74">
        <f t="shared" si="2314"/>
        <v>0</v>
      </c>
      <c r="JP80" s="74">
        <f>SUM(JP414)+JP300</f>
        <v>0</v>
      </c>
      <c r="JQ80" s="74">
        <f>SUM(JQ414)+JQ300</f>
        <v>0</v>
      </c>
      <c r="JR80" s="74">
        <f>SUM(JR414)+JR300</f>
        <v>0</v>
      </c>
      <c r="JS80" s="74">
        <f>SUM(JS414)+JS300</f>
        <v>18193.21</v>
      </c>
      <c r="JT80" s="102">
        <f>SUM(JT414)+JT300</f>
        <v>18193.21</v>
      </c>
      <c r="JU80" s="671"/>
      <c r="JV80" s="492"/>
      <c r="JW80" s="490"/>
      <c r="JX80" s="549">
        <f>SUM(JX414)+JX300</f>
        <v>42700</v>
      </c>
      <c r="JY80" s="549">
        <f>SUM(JY414)+JY300</f>
        <v>0</v>
      </c>
      <c r="JZ80" s="581">
        <f t="shared" si="2110"/>
        <v>32000</v>
      </c>
      <c r="KA80" s="581">
        <f t="shared" si="2111"/>
        <v>0</v>
      </c>
      <c r="KB80" s="549">
        <f>SUM(KB414)+KB300</f>
        <v>42700</v>
      </c>
      <c r="KC80" s="709">
        <f t="shared" si="2079"/>
        <v>0</v>
      </c>
      <c r="KD80" s="36"/>
      <c r="KE80" s="36"/>
      <c r="KF80" s="36"/>
      <c r="KG80" s="36"/>
      <c r="KH80" s="36"/>
      <c r="KI80" s="36"/>
      <c r="KJ80" s="36"/>
      <c r="KK80" s="36"/>
    </row>
    <row r="81" spans="1:297" s="8" customFormat="1">
      <c r="A81" s="75"/>
      <c r="B81" s="72"/>
      <c r="C81" s="74"/>
      <c r="D81" s="549"/>
      <c r="E81" s="675"/>
      <c r="F81" s="549"/>
      <c r="G81" s="675"/>
      <c r="H81" s="549"/>
      <c r="I81" s="675"/>
      <c r="J81" s="549"/>
      <c r="K81" s="675"/>
      <c r="L81" s="549"/>
      <c r="M81" s="675"/>
      <c r="N81" s="549"/>
      <c r="O81" s="675"/>
      <c r="P81" s="549"/>
      <c r="Q81" s="675"/>
      <c r="R81" s="549"/>
      <c r="S81" s="675"/>
      <c r="T81" s="549"/>
      <c r="U81" s="675"/>
      <c r="V81" s="549"/>
      <c r="W81" s="675"/>
      <c r="X81" s="549"/>
      <c r="Y81" s="675"/>
      <c r="Z81" s="549"/>
      <c r="AA81" s="675"/>
      <c r="AB81" s="549"/>
      <c r="AC81" s="675"/>
      <c r="AD81" s="549"/>
      <c r="AE81" s="675"/>
      <c r="AF81" s="549"/>
      <c r="AG81" s="675"/>
      <c r="AH81" s="549"/>
      <c r="AI81" s="675"/>
      <c r="AJ81" s="549"/>
      <c r="AK81" s="675"/>
      <c r="AL81" s="549"/>
      <c r="AM81" s="675"/>
      <c r="AN81" s="549"/>
      <c r="AO81" s="675"/>
      <c r="AP81" s="549"/>
      <c r="AQ81" s="675"/>
      <c r="AR81" s="549"/>
      <c r="AS81" s="675"/>
      <c r="AT81" s="549"/>
      <c r="AU81" s="675"/>
      <c r="AV81" s="549"/>
      <c r="AW81" s="675"/>
      <c r="AX81" s="549"/>
      <c r="AY81" s="675"/>
      <c r="AZ81" s="549"/>
      <c r="BA81" s="675"/>
      <c r="BB81" s="549"/>
      <c r="BC81" s="675"/>
      <c r="BD81" s="549"/>
      <c r="BE81" s="675"/>
      <c r="BF81" s="549"/>
      <c r="BG81" s="675"/>
      <c r="BH81" s="549"/>
      <c r="BI81" s="675"/>
      <c r="BJ81" s="549"/>
      <c r="BK81" s="675"/>
      <c r="BL81" s="549"/>
      <c r="BM81" s="675"/>
      <c r="BN81" s="549"/>
      <c r="BO81" s="675"/>
      <c r="BP81" s="549"/>
      <c r="BQ81" s="675"/>
      <c r="BR81" s="549"/>
      <c r="BS81" s="675"/>
      <c r="BT81" s="549"/>
      <c r="BU81" s="675"/>
      <c r="BV81" s="549"/>
      <c r="BW81" s="675"/>
      <c r="BX81" s="549"/>
      <c r="BY81" s="675"/>
      <c r="BZ81" s="549"/>
      <c r="CA81" s="675"/>
      <c r="CB81" s="549"/>
      <c r="CC81" s="675"/>
      <c r="CD81" s="549"/>
      <c r="CE81" s="675"/>
      <c r="CF81" s="549"/>
      <c r="CG81" s="675"/>
      <c r="CH81" s="549"/>
      <c r="CI81" s="675"/>
      <c r="CJ81" s="549"/>
      <c r="CK81" s="675"/>
      <c r="CL81" s="549"/>
      <c r="CM81" s="675"/>
      <c r="CN81" s="549"/>
      <c r="CO81" s="675"/>
      <c r="CP81" s="549"/>
      <c r="CQ81" s="675"/>
      <c r="CR81" s="549"/>
      <c r="CS81" s="675"/>
      <c r="CT81" s="549"/>
      <c r="CU81" s="675"/>
      <c r="CV81" s="549"/>
      <c r="CW81" s="675"/>
      <c r="CX81" s="549"/>
      <c r="CY81" s="675"/>
      <c r="CZ81" s="549"/>
      <c r="DA81" s="675"/>
      <c r="DB81" s="549"/>
      <c r="DC81" s="675"/>
      <c r="DD81" s="549"/>
      <c r="DE81" s="675"/>
      <c r="DF81" s="549"/>
      <c r="DG81" s="675"/>
      <c r="DH81" s="549"/>
      <c r="DI81" s="675"/>
      <c r="DJ81" s="549"/>
      <c r="DK81" s="675"/>
      <c r="DL81" s="549"/>
      <c r="DM81" s="675"/>
      <c r="DN81" s="549"/>
      <c r="DO81" s="675"/>
      <c r="DP81" s="549"/>
      <c r="DQ81" s="675"/>
      <c r="DR81" s="549"/>
      <c r="DS81" s="675"/>
      <c r="DT81" s="549"/>
      <c r="DU81" s="675"/>
      <c r="DV81" s="549"/>
      <c r="DW81" s="675"/>
      <c r="DX81" s="549"/>
      <c r="DY81" s="675"/>
      <c r="DZ81" s="549"/>
      <c r="EA81" s="675"/>
      <c r="EB81" s="549"/>
      <c r="EC81" s="675"/>
      <c r="ED81" s="549"/>
      <c r="EE81" s="675"/>
      <c r="EF81" s="549"/>
      <c r="EG81" s="675"/>
      <c r="EH81" s="549"/>
      <c r="EI81" s="675"/>
      <c r="EJ81" s="549"/>
      <c r="EK81" s="675"/>
      <c r="EL81" s="549"/>
      <c r="EM81" s="675"/>
      <c r="EN81" s="549"/>
      <c r="EO81" s="675"/>
      <c r="EP81" s="549"/>
      <c r="EQ81" s="675"/>
      <c r="ER81" s="549"/>
      <c r="ES81" s="675"/>
      <c r="ET81" s="549"/>
      <c r="EU81" s="675"/>
      <c r="EV81" s="549"/>
      <c r="EW81" s="675"/>
      <c r="EX81" s="549"/>
      <c r="EY81" s="675"/>
      <c r="EZ81" s="549"/>
      <c r="FA81" s="675"/>
      <c r="FB81" s="549"/>
      <c r="FC81" s="675"/>
      <c r="FD81" s="549"/>
      <c r="FE81" s="675"/>
      <c r="FF81" s="549"/>
      <c r="FG81" s="675"/>
      <c r="FH81" s="549"/>
      <c r="FI81" s="675"/>
      <c r="FJ81" s="549"/>
      <c r="FK81" s="675"/>
      <c r="FL81" s="549"/>
      <c r="FM81" s="675"/>
      <c r="FN81" s="549"/>
      <c r="FO81" s="675"/>
      <c r="FP81" s="549"/>
      <c r="FQ81" s="675"/>
      <c r="FR81" s="549"/>
      <c r="FS81" s="675"/>
      <c r="FT81" s="549"/>
      <c r="FU81" s="675"/>
      <c r="FV81" s="549"/>
      <c r="FW81" s="675"/>
      <c r="FX81" s="549"/>
      <c r="FY81" s="675"/>
      <c r="FZ81" s="549"/>
      <c r="GA81" s="675"/>
      <c r="GB81" s="549"/>
      <c r="GC81" s="675"/>
      <c r="GD81" s="549"/>
      <c r="GE81" s="675"/>
      <c r="GF81" s="549"/>
      <c r="GG81" s="675"/>
      <c r="GH81" s="549"/>
      <c r="GI81" s="675"/>
      <c r="GJ81" s="549"/>
      <c r="GK81" s="675"/>
      <c r="GL81" s="549"/>
      <c r="GM81" s="675"/>
      <c r="GN81" s="549"/>
      <c r="GO81" s="675"/>
      <c r="GP81" s="74"/>
      <c r="GQ81" s="675"/>
      <c r="GR81" s="74"/>
      <c r="GS81" s="74"/>
      <c r="GT81" s="549"/>
      <c r="GU81" s="74"/>
      <c r="GV81" s="74"/>
      <c r="GW81" s="549"/>
      <c r="GX81" s="549"/>
      <c r="GY81" s="74"/>
      <c r="GZ81" s="74"/>
      <c r="HA81" s="74"/>
      <c r="HB81" s="74"/>
      <c r="HC81" s="74"/>
      <c r="HD81" s="74"/>
      <c r="HE81" s="74"/>
      <c r="HF81" s="74"/>
      <c r="HG81" s="74"/>
      <c r="HH81" s="74"/>
      <c r="HI81" s="74"/>
      <c r="HJ81" s="74"/>
      <c r="HK81" s="74"/>
      <c r="HL81" s="74"/>
      <c r="HM81" s="74"/>
      <c r="HN81" s="74"/>
      <c r="HO81" s="74"/>
      <c r="HP81" s="74"/>
      <c r="HQ81" s="74"/>
      <c r="HR81" s="74"/>
      <c r="HS81" s="74"/>
      <c r="HT81" s="74"/>
      <c r="HU81" s="74"/>
      <c r="HV81" s="74"/>
      <c r="HW81" s="74"/>
      <c r="HX81" s="74"/>
      <c r="HY81" s="74"/>
      <c r="HZ81" s="74"/>
      <c r="IA81" s="74"/>
      <c r="IB81" s="74"/>
      <c r="IC81" s="74"/>
      <c r="ID81" s="74"/>
      <c r="IE81" s="792"/>
      <c r="IF81" s="841"/>
      <c r="IG81" s="263"/>
      <c r="IH81" s="842"/>
      <c r="II81" s="155"/>
      <c r="IJ81" s="74"/>
      <c r="IK81" s="74"/>
      <c r="IL81" s="74"/>
      <c r="IM81" s="74"/>
      <c r="IN81" s="74"/>
      <c r="IO81" s="74"/>
      <c r="IP81" s="74"/>
      <c r="IQ81" s="74"/>
      <c r="IR81" s="74"/>
      <c r="IS81" s="74"/>
      <c r="IT81" s="74"/>
      <c r="IU81" s="74"/>
      <c r="IV81" s="74"/>
      <c r="IW81" s="74"/>
      <c r="IX81" s="74"/>
      <c r="IY81" s="74"/>
      <c r="IZ81" s="74"/>
      <c r="JA81" s="74"/>
      <c r="JB81" s="74"/>
      <c r="JC81" s="74"/>
      <c r="JD81" s="74"/>
      <c r="JE81" s="74"/>
      <c r="JF81" s="74"/>
      <c r="JG81" s="74"/>
      <c r="JH81" s="74"/>
      <c r="JI81" s="74"/>
      <c r="JJ81" s="74"/>
      <c r="JK81" s="74"/>
      <c r="JL81" s="74"/>
      <c r="JM81" s="74"/>
      <c r="JN81" s="74"/>
      <c r="JO81" s="74"/>
      <c r="JP81" s="74"/>
      <c r="JQ81" s="74"/>
      <c r="JR81" s="74"/>
      <c r="JS81" s="74"/>
      <c r="JT81" s="102"/>
      <c r="JU81" s="671"/>
      <c r="JV81" s="492"/>
      <c r="JW81" s="490"/>
      <c r="JX81" s="549"/>
      <c r="JY81" s="549"/>
      <c r="JZ81" s="581">
        <f t="shared" si="2110"/>
        <v>0</v>
      </c>
      <c r="KA81" s="581">
        <f t="shared" si="2111"/>
        <v>0</v>
      </c>
      <c r="KB81" s="549"/>
      <c r="KC81" s="709">
        <f t="shared" si="2079"/>
        <v>0</v>
      </c>
      <c r="KD81" s="36"/>
      <c r="KE81" s="36"/>
      <c r="KF81" s="36"/>
      <c r="KG81" s="36"/>
      <c r="KH81" s="36"/>
      <c r="KI81" s="36"/>
      <c r="KJ81" s="36"/>
      <c r="KK81" s="36"/>
    </row>
    <row r="82" spans="1:297" s="8" customFormat="1" ht="12.75" customHeight="1">
      <c r="A82" s="75" t="s">
        <v>470</v>
      </c>
      <c r="B82" s="72"/>
      <c r="C82" s="74">
        <f t="shared" ref="C82" si="2409">SUM(C83:C84)</f>
        <v>500000</v>
      </c>
      <c r="D82" s="549">
        <f t="shared" ref="D82:E82" si="2410">SUM(D83:D84)</f>
        <v>0</v>
      </c>
      <c r="E82" s="675">
        <f t="shared" si="2410"/>
        <v>0</v>
      </c>
      <c r="F82" s="549">
        <f t="shared" ref="F82:G82" si="2411">SUM(F83:F84)</f>
        <v>0</v>
      </c>
      <c r="G82" s="675">
        <f t="shared" si="2411"/>
        <v>0</v>
      </c>
      <c r="H82" s="549">
        <f t="shared" ref="H82:I82" si="2412">SUM(H83:H84)</f>
        <v>0</v>
      </c>
      <c r="I82" s="675">
        <f t="shared" si="2412"/>
        <v>0</v>
      </c>
      <c r="J82" s="549">
        <f t="shared" ref="J82:K82" si="2413">SUM(J83:J84)</f>
        <v>0</v>
      </c>
      <c r="K82" s="675">
        <f t="shared" si="2413"/>
        <v>0</v>
      </c>
      <c r="L82" s="549">
        <f t="shared" ref="L82:M82" si="2414">SUM(L83:L84)</f>
        <v>0</v>
      </c>
      <c r="M82" s="675">
        <f t="shared" si="2414"/>
        <v>0</v>
      </c>
      <c r="N82" s="549">
        <f t="shared" ref="N82:O82" si="2415">SUM(N83:N84)</f>
        <v>0</v>
      </c>
      <c r="O82" s="675">
        <f t="shared" si="2415"/>
        <v>0</v>
      </c>
      <c r="P82" s="549">
        <f t="shared" ref="P82:Q82" si="2416">SUM(P83:P84)</f>
        <v>0</v>
      </c>
      <c r="Q82" s="675">
        <f t="shared" si="2416"/>
        <v>0</v>
      </c>
      <c r="R82" s="549">
        <f t="shared" ref="R82:S82" si="2417">SUM(R83:R84)</f>
        <v>0</v>
      </c>
      <c r="S82" s="675">
        <f t="shared" si="2417"/>
        <v>0</v>
      </c>
      <c r="T82" s="549">
        <f t="shared" ref="T82:U82" si="2418">SUM(T83:T84)</f>
        <v>0</v>
      </c>
      <c r="U82" s="675">
        <f t="shared" si="2418"/>
        <v>0</v>
      </c>
      <c r="V82" s="549">
        <f t="shared" ref="V82:W82" si="2419">SUM(V83:V84)</f>
        <v>0</v>
      </c>
      <c r="W82" s="675">
        <f t="shared" si="2419"/>
        <v>0</v>
      </c>
      <c r="X82" s="549">
        <f t="shared" ref="X82:Y82" si="2420">SUM(X83:X84)</f>
        <v>0</v>
      </c>
      <c r="Y82" s="675">
        <f t="shared" si="2420"/>
        <v>0</v>
      </c>
      <c r="Z82" s="549">
        <f t="shared" ref="Z82:AA82" si="2421">SUM(Z83:Z84)</f>
        <v>0</v>
      </c>
      <c r="AA82" s="675">
        <f t="shared" si="2421"/>
        <v>0</v>
      </c>
      <c r="AB82" s="549">
        <f t="shared" ref="AB82:AC82" si="2422">SUM(AB83:AB84)</f>
        <v>0</v>
      </c>
      <c r="AC82" s="675">
        <f t="shared" si="2422"/>
        <v>0</v>
      </c>
      <c r="AD82" s="549">
        <f t="shared" ref="AD82:AK82" si="2423">SUM(AD83:AD84)</f>
        <v>0</v>
      </c>
      <c r="AE82" s="675">
        <f t="shared" si="2423"/>
        <v>0</v>
      </c>
      <c r="AF82" s="549">
        <f t="shared" si="2423"/>
        <v>0</v>
      </c>
      <c r="AG82" s="675">
        <f t="shared" si="2423"/>
        <v>0</v>
      </c>
      <c r="AH82" s="549">
        <f t="shared" si="2423"/>
        <v>0</v>
      </c>
      <c r="AI82" s="675">
        <f t="shared" si="2423"/>
        <v>0</v>
      </c>
      <c r="AJ82" s="549">
        <f t="shared" si="2423"/>
        <v>0</v>
      </c>
      <c r="AK82" s="675">
        <f t="shared" si="2423"/>
        <v>0</v>
      </c>
      <c r="AL82" s="549">
        <f t="shared" ref="AL82:AM82" si="2424">SUM(AL83:AL84)</f>
        <v>0</v>
      </c>
      <c r="AM82" s="675">
        <f t="shared" si="2424"/>
        <v>0</v>
      </c>
      <c r="AN82" s="549">
        <f t="shared" ref="AN82:AO82" si="2425">SUM(AN83:AN84)</f>
        <v>0</v>
      </c>
      <c r="AO82" s="675">
        <f t="shared" si="2425"/>
        <v>0</v>
      </c>
      <c r="AP82" s="549">
        <f t="shared" ref="AP82:AS82" si="2426">SUM(AP83:AP84)</f>
        <v>0</v>
      </c>
      <c r="AQ82" s="675">
        <f t="shared" si="2426"/>
        <v>0</v>
      </c>
      <c r="AR82" s="549">
        <f t="shared" si="2426"/>
        <v>0</v>
      </c>
      <c r="AS82" s="675">
        <f t="shared" si="2426"/>
        <v>0</v>
      </c>
      <c r="AT82" s="549">
        <f t="shared" ref="AT82:AU82" si="2427">SUM(AT83:AT84)</f>
        <v>0</v>
      </c>
      <c r="AU82" s="675">
        <f t="shared" si="2427"/>
        <v>0</v>
      </c>
      <c r="AV82" s="549">
        <f t="shared" ref="AV82:AW82" si="2428">SUM(AV83:AV84)</f>
        <v>0</v>
      </c>
      <c r="AW82" s="675">
        <f t="shared" si="2428"/>
        <v>0</v>
      </c>
      <c r="AX82" s="549">
        <f t="shared" ref="AX82:AY82" si="2429">SUM(AX83:AX84)</f>
        <v>0</v>
      </c>
      <c r="AY82" s="675">
        <f t="shared" si="2429"/>
        <v>0</v>
      </c>
      <c r="AZ82" s="549">
        <f t="shared" ref="AZ82:BA82" si="2430">SUM(AZ83:AZ84)</f>
        <v>0</v>
      </c>
      <c r="BA82" s="675">
        <f t="shared" si="2430"/>
        <v>0</v>
      </c>
      <c r="BB82" s="549">
        <f t="shared" ref="BB82:BC82" si="2431">SUM(BB83:BB84)</f>
        <v>0</v>
      </c>
      <c r="BC82" s="675">
        <f t="shared" si="2431"/>
        <v>0</v>
      </c>
      <c r="BD82" s="549">
        <f t="shared" ref="BD82:BE82" si="2432">SUM(BD83:BD84)</f>
        <v>0</v>
      </c>
      <c r="BE82" s="675">
        <f t="shared" si="2432"/>
        <v>0</v>
      </c>
      <c r="BF82" s="549">
        <f t="shared" ref="BF82:BG82" si="2433">SUM(BF83:BF84)</f>
        <v>0</v>
      </c>
      <c r="BG82" s="675">
        <f t="shared" si="2433"/>
        <v>0</v>
      </c>
      <c r="BH82" s="549">
        <f t="shared" ref="BH82:BI82" si="2434">SUM(BH83:BH84)</f>
        <v>0</v>
      </c>
      <c r="BI82" s="675">
        <f t="shared" si="2434"/>
        <v>0</v>
      </c>
      <c r="BJ82" s="549">
        <f t="shared" ref="BJ82:BK82" si="2435">SUM(BJ83:BJ84)</f>
        <v>0</v>
      </c>
      <c r="BK82" s="675">
        <f t="shared" si="2435"/>
        <v>0</v>
      </c>
      <c r="BL82" s="549">
        <f t="shared" ref="BL82:BS82" si="2436">SUM(BL83:BL84)</f>
        <v>0</v>
      </c>
      <c r="BM82" s="675">
        <f t="shared" si="2436"/>
        <v>0</v>
      </c>
      <c r="BN82" s="549">
        <f t="shared" si="2436"/>
        <v>0</v>
      </c>
      <c r="BO82" s="675">
        <f t="shared" si="2436"/>
        <v>0</v>
      </c>
      <c r="BP82" s="549">
        <f t="shared" si="2436"/>
        <v>0</v>
      </c>
      <c r="BQ82" s="675">
        <f t="shared" si="2436"/>
        <v>0</v>
      </c>
      <c r="BR82" s="549">
        <f t="shared" si="2436"/>
        <v>0</v>
      </c>
      <c r="BS82" s="675">
        <f t="shared" si="2436"/>
        <v>0</v>
      </c>
      <c r="BT82" s="549">
        <f t="shared" ref="BT82:BU82" si="2437">SUM(BT83:BT84)</f>
        <v>0</v>
      </c>
      <c r="BU82" s="675">
        <f t="shared" si="2437"/>
        <v>0</v>
      </c>
      <c r="BV82" s="549">
        <f t="shared" ref="BV82:BW82" si="2438">SUM(BV83:BV84)</f>
        <v>0</v>
      </c>
      <c r="BW82" s="675">
        <f t="shared" si="2438"/>
        <v>0</v>
      </c>
      <c r="BX82" s="549">
        <f t="shared" ref="BX82:BY82" si="2439">SUM(BX83:BX84)</f>
        <v>0</v>
      </c>
      <c r="BY82" s="675">
        <f t="shared" si="2439"/>
        <v>0</v>
      </c>
      <c r="BZ82" s="549">
        <f t="shared" ref="BZ82:CA82" si="2440">SUM(BZ83:BZ84)</f>
        <v>0</v>
      </c>
      <c r="CA82" s="675">
        <f t="shared" si="2440"/>
        <v>0</v>
      </c>
      <c r="CB82" s="549">
        <f t="shared" ref="CB82:CE82" si="2441">SUM(CB83:CB84)</f>
        <v>0</v>
      </c>
      <c r="CC82" s="675">
        <f t="shared" si="2441"/>
        <v>0</v>
      </c>
      <c r="CD82" s="549">
        <f t="shared" si="2441"/>
        <v>0</v>
      </c>
      <c r="CE82" s="675">
        <f t="shared" si="2441"/>
        <v>0</v>
      </c>
      <c r="CF82" s="549">
        <f t="shared" ref="CF82:CQ82" si="2442">SUM(CF83:CF84)</f>
        <v>0</v>
      </c>
      <c r="CG82" s="675">
        <f t="shared" si="2442"/>
        <v>0</v>
      </c>
      <c r="CH82" s="549">
        <f t="shared" si="2442"/>
        <v>0</v>
      </c>
      <c r="CI82" s="675">
        <f t="shared" si="2442"/>
        <v>0</v>
      </c>
      <c r="CJ82" s="549">
        <f t="shared" si="2442"/>
        <v>299968</v>
      </c>
      <c r="CK82" s="675">
        <f t="shared" si="2442"/>
        <v>0</v>
      </c>
      <c r="CL82" s="549">
        <f t="shared" si="2442"/>
        <v>0</v>
      </c>
      <c r="CM82" s="675">
        <f t="shared" si="2442"/>
        <v>0</v>
      </c>
      <c r="CN82" s="549">
        <f t="shared" si="2442"/>
        <v>0</v>
      </c>
      <c r="CO82" s="675">
        <f t="shared" si="2442"/>
        <v>0</v>
      </c>
      <c r="CP82" s="549">
        <f t="shared" si="2442"/>
        <v>0</v>
      </c>
      <c r="CQ82" s="675">
        <f t="shared" si="2442"/>
        <v>0</v>
      </c>
      <c r="CR82" s="549">
        <f t="shared" ref="CR82:CY82" si="2443">SUM(CR83:CR84)</f>
        <v>0</v>
      </c>
      <c r="CS82" s="675">
        <f t="shared" si="2443"/>
        <v>0</v>
      </c>
      <c r="CT82" s="549">
        <f t="shared" si="2443"/>
        <v>0</v>
      </c>
      <c r="CU82" s="675">
        <f t="shared" si="2443"/>
        <v>0</v>
      </c>
      <c r="CV82" s="549">
        <f t="shared" si="2443"/>
        <v>0</v>
      </c>
      <c r="CW82" s="675">
        <f t="shared" si="2443"/>
        <v>0</v>
      </c>
      <c r="CX82" s="549">
        <f t="shared" si="2443"/>
        <v>0</v>
      </c>
      <c r="CY82" s="675">
        <f t="shared" si="2443"/>
        <v>0</v>
      </c>
      <c r="CZ82" s="549">
        <f t="shared" ref="CZ82:DG82" si="2444">SUM(CZ83:CZ84)</f>
        <v>0</v>
      </c>
      <c r="DA82" s="675">
        <f t="shared" si="2444"/>
        <v>0</v>
      </c>
      <c r="DB82" s="549">
        <f t="shared" si="2444"/>
        <v>0</v>
      </c>
      <c r="DC82" s="675">
        <f t="shared" si="2444"/>
        <v>0</v>
      </c>
      <c r="DD82" s="549">
        <f t="shared" si="2444"/>
        <v>0</v>
      </c>
      <c r="DE82" s="675">
        <f t="shared" si="2444"/>
        <v>0</v>
      </c>
      <c r="DF82" s="549">
        <f t="shared" si="2444"/>
        <v>0</v>
      </c>
      <c r="DG82" s="675">
        <f t="shared" si="2444"/>
        <v>0</v>
      </c>
      <c r="DH82" s="549">
        <f t="shared" ref="DH82:DM82" si="2445">SUM(DH83:DH84)</f>
        <v>0</v>
      </c>
      <c r="DI82" s="675">
        <f t="shared" si="2445"/>
        <v>0</v>
      </c>
      <c r="DJ82" s="549">
        <f t="shared" si="2445"/>
        <v>0</v>
      </c>
      <c r="DK82" s="675">
        <f t="shared" si="2445"/>
        <v>0</v>
      </c>
      <c r="DL82" s="549">
        <f t="shared" si="2445"/>
        <v>0</v>
      </c>
      <c r="DM82" s="675">
        <f t="shared" si="2445"/>
        <v>0</v>
      </c>
      <c r="DN82" s="549">
        <f t="shared" ref="DN82:DW82" si="2446">SUM(DN83:DN84)</f>
        <v>0</v>
      </c>
      <c r="DO82" s="675">
        <f t="shared" si="2446"/>
        <v>0</v>
      </c>
      <c r="DP82" s="549">
        <f t="shared" si="2446"/>
        <v>0</v>
      </c>
      <c r="DQ82" s="675">
        <f t="shared" si="2446"/>
        <v>0</v>
      </c>
      <c r="DR82" s="549">
        <f t="shared" si="2446"/>
        <v>0</v>
      </c>
      <c r="DS82" s="675">
        <f t="shared" si="2446"/>
        <v>0</v>
      </c>
      <c r="DT82" s="549">
        <f t="shared" si="2446"/>
        <v>0</v>
      </c>
      <c r="DU82" s="675">
        <f t="shared" si="2446"/>
        <v>0</v>
      </c>
      <c r="DV82" s="549">
        <f t="shared" si="2446"/>
        <v>0</v>
      </c>
      <c r="DW82" s="675">
        <f t="shared" si="2446"/>
        <v>0</v>
      </c>
      <c r="DX82" s="549">
        <f t="shared" ref="DX82:EG82" si="2447">SUM(DX83:DX84)</f>
        <v>0</v>
      </c>
      <c r="DY82" s="675">
        <f t="shared" si="2447"/>
        <v>0</v>
      </c>
      <c r="DZ82" s="549">
        <f t="shared" si="2447"/>
        <v>0</v>
      </c>
      <c r="EA82" s="675">
        <f t="shared" si="2447"/>
        <v>0</v>
      </c>
      <c r="EB82" s="549">
        <f t="shared" si="2447"/>
        <v>0</v>
      </c>
      <c r="EC82" s="675">
        <f t="shared" si="2447"/>
        <v>0</v>
      </c>
      <c r="ED82" s="549">
        <f t="shared" si="2447"/>
        <v>0</v>
      </c>
      <c r="EE82" s="675">
        <f t="shared" si="2447"/>
        <v>0</v>
      </c>
      <c r="EF82" s="549">
        <f t="shared" si="2447"/>
        <v>0</v>
      </c>
      <c r="EG82" s="675">
        <f t="shared" si="2447"/>
        <v>0</v>
      </c>
      <c r="EH82" s="549">
        <f t="shared" ref="EH82:EM82" si="2448">SUM(EH83:EH84)</f>
        <v>0</v>
      </c>
      <c r="EI82" s="675">
        <f t="shared" si="2448"/>
        <v>0</v>
      </c>
      <c r="EJ82" s="549">
        <f t="shared" si="2448"/>
        <v>0</v>
      </c>
      <c r="EK82" s="675">
        <f t="shared" si="2448"/>
        <v>0</v>
      </c>
      <c r="EL82" s="549">
        <f t="shared" si="2448"/>
        <v>0</v>
      </c>
      <c r="EM82" s="675">
        <f t="shared" si="2448"/>
        <v>0</v>
      </c>
      <c r="EN82" s="549">
        <f t="shared" ref="EN82:EO82" si="2449">SUM(EN83:EN84)</f>
        <v>0</v>
      </c>
      <c r="EO82" s="675">
        <f t="shared" si="2449"/>
        <v>0</v>
      </c>
      <c r="EP82" s="549">
        <f t="shared" ref="EP82:FA82" si="2450">SUM(EP83:EP84)</f>
        <v>0</v>
      </c>
      <c r="EQ82" s="675">
        <f t="shared" si="2450"/>
        <v>0</v>
      </c>
      <c r="ER82" s="549">
        <f t="shared" si="2450"/>
        <v>0</v>
      </c>
      <c r="ES82" s="675">
        <f t="shared" si="2450"/>
        <v>0</v>
      </c>
      <c r="ET82" s="549">
        <f t="shared" si="2450"/>
        <v>0</v>
      </c>
      <c r="EU82" s="675">
        <f t="shared" si="2450"/>
        <v>0</v>
      </c>
      <c r="EV82" s="549">
        <f t="shared" ref="EV82:EW82" si="2451">SUM(EV83:EV84)</f>
        <v>0</v>
      </c>
      <c r="EW82" s="675">
        <f t="shared" si="2451"/>
        <v>0</v>
      </c>
      <c r="EX82" s="549">
        <f t="shared" si="2450"/>
        <v>0</v>
      </c>
      <c r="EY82" s="675">
        <f t="shared" si="2450"/>
        <v>0</v>
      </c>
      <c r="EZ82" s="549">
        <f t="shared" si="2450"/>
        <v>0</v>
      </c>
      <c r="FA82" s="675">
        <f t="shared" si="2450"/>
        <v>0</v>
      </c>
      <c r="FB82" s="549">
        <f t="shared" ref="FB82:FC82" si="2452">SUM(FB83:FB84)</f>
        <v>0</v>
      </c>
      <c r="FC82" s="675">
        <f t="shared" si="2452"/>
        <v>0</v>
      </c>
      <c r="FD82" s="549">
        <f t="shared" ref="FD82:FE82" si="2453">SUM(FD83:FD84)</f>
        <v>0</v>
      </c>
      <c r="FE82" s="675">
        <f t="shared" si="2453"/>
        <v>0</v>
      </c>
      <c r="FF82" s="549">
        <f t="shared" ref="FF82:FG82" si="2454">SUM(FF83:FF84)</f>
        <v>0</v>
      </c>
      <c r="FG82" s="675">
        <f t="shared" si="2454"/>
        <v>0</v>
      </c>
      <c r="FH82" s="549">
        <f t="shared" ref="FH82:FI82" si="2455">SUM(FH83:FH84)</f>
        <v>0</v>
      </c>
      <c r="FI82" s="675">
        <f t="shared" si="2455"/>
        <v>0</v>
      </c>
      <c r="FJ82" s="549">
        <f t="shared" ref="FJ82:FK82" si="2456">SUM(FJ83:FJ84)</f>
        <v>0</v>
      </c>
      <c r="FK82" s="675">
        <f t="shared" si="2456"/>
        <v>0</v>
      </c>
      <c r="FL82" s="549">
        <f t="shared" ref="FL82:FM82" si="2457">SUM(FL83:FL84)</f>
        <v>0</v>
      </c>
      <c r="FM82" s="675">
        <f t="shared" si="2457"/>
        <v>0</v>
      </c>
      <c r="FN82" s="549">
        <f t="shared" ref="FN82:FO82" si="2458">SUM(FN83:FN84)</f>
        <v>0</v>
      </c>
      <c r="FO82" s="675">
        <f t="shared" si="2458"/>
        <v>0</v>
      </c>
      <c r="FP82" s="549">
        <f t="shared" ref="FP82:FQ82" si="2459">SUM(FP83:FP84)</f>
        <v>0</v>
      </c>
      <c r="FQ82" s="675">
        <f t="shared" si="2459"/>
        <v>0</v>
      </c>
      <c r="FR82" s="549">
        <f t="shared" ref="FR82:FS82" si="2460">SUM(FR83:FR84)</f>
        <v>0</v>
      </c>
      <c r="FS82" s="675">
        <f t="shared" si="2460"/>
        <v>0</v>
      </c>
      <c r="FT82" s="549">
        <f t="shared" ref="FT82:FU82" si="2461">SUM(FT83:FT84)</f>
        <v>0</v>
      </c>
      <c r="FU82" s="675">
        <f t="shared" si="2461"/>
        <v>0</v>
      </c>
      <c r="FV82" s="549">
        <f t="shared" ref="FV82:GK82" si="2462">SUM(FV83:FV84)</f>
        <v>0</v>
      </c>
      <c r="FW82" s="675">
        <f t="shared" si="2462"/>
        <v>0</v>
      </c>
      <c r="FX82" s="549">
        <f t="shared" si="2462"/>
        <v>0</v>
      </c>
      <c r="FY82" s="675">
        <f t="shared" si="2462"/>
        <v>0</v>
      </c>
      <c r="FZ82" s="549">
        <f t="shared" ref="FZ82:GI82" si="2463">SUM(FZ83:FZ84)</f>
        <v>0</v>
      </c>
      <c r="GA82" s="675">
        <f t="shared" si="2463"/>
        <v>0</v>
      </c>
      <c r="GB82" s="549">
        <f t="shared" si="2463"/>
        <v>0</v>
      </c>
      <c r="GC82" s="675">
        <f t="shared" si="2463"/>
        <v>0</v>
      </c>
      <c r="GD82" s="549">
        <f t="shared" si="2463"/>
        <v>0</v>
      </c>
      <c r="GE82" s="675">
        <f t="shared" si="2463"/>
        <v>0</v>
      </c>
      <c r="GF82" s="549">
        <f t="shared" si="2463"/>
        <v>0</v>
      </c>
      <c r="GG82" s="675">
        <f t="shared" si="2463"/>
        <v>0</v>
      </c>
      <c r="GH82" s="549">
        <f t="shared" si="2463"/>
        <v>0</v>
      </c>
      <c r="GI82" s="675">
        <f t="shared" si="2463"/>
        <v>0</v>
      </c>
      <c r="GJ82" s="549">
        <f t="shared" si="2462"/>
        <v>0</v>
      </c>
      <c r="GK82" s="675">
        <f t="shared" si="2462"/>
        <v>0</v>
      </c>
      <c r="GL82" s="549">
        <f t="shared" ref="GL82:GQ82" si="2464">SUM(GL83:GL84)</f>
        <v>0</v>
      </c>
      <c r="GM82" s="675">
        <f t="shared" si="2464"/>
        <v>0</v>
      </c>
      <c r="GN82" s="549">
        <f t="shared" ref="GN82:GO82" si="2465">SUM(GN83:GN84)</f>
        <v>0</v>
      </c>
      <c r="GO82" s="675">
        <f t="shared" si="2465"/>
        <v>0</v>
      </c>
      <c r="GP82" s="74">
        <f t="shared" si="2464"/>
        <v>299968</v>
      </c>
      <c r="GQ82" s="675">
        <f t="shared" si="2464"/>
        <v>0</v>
      </c>
      <c r="GR82" s="74">
        <f t="shared" ref="GR82:JA82" si="2466">SUM(GR83:GR84)</f>
        <v>799968</v>
      </c>
      <c r="GS82" s="74">
        <f t="shared" si="2466"/>
        <v>754514</v>
      </c>
      <c r="GT82" s="549">
        <f t="shared" si="2466"/>
        <v>799968</v>
      </c>
      <c r="GU82" s="74">
        <f>SUM(GU83:GU84)</f>
        <v>45460</v>
      </c>
      <c r="GV82" s="74">
        <f t="shared" ref="GV82:HA82" si="2467">SUM(GV83:GV84)</f>
        <v>45454</v>
      </c>
      <c r="GW82" s="74">
        <f t="shared" si="2467"/>
        <v>45454</v>
      </c>
      <c r="GX82" s="74">
        <f t="shared" si="2467"/>
        <v>45454</v>
      </c>
      <c r="GY82" s="74">
        <f t="shared" si="2467"/>
        <v>45454</v>
      </c>
      <c r="GZ82" s="74">
        <f t="shared" si="2467"/>
        <v>45454</v>
      </c>
      <c r="HA82" s="74">
        <f t="shared" si="2467"/>
        <v>45454</v>
      </c>
      <c r="HB82" s="74">
        <f t="shared" si="2466"/>
        <v>45454</v>
      </c>
      <c r="HC82" s="74">
        <f t="shared" si="2466"/>
        <v>45454</v>
      </c>
      <c r="HD82" s="74">
        <f t="shared" si="2466"/>
        <v>45454</v>
      </c>
      <c r="HE82" s="74">
        <f t="shared" si="2466"/>
        <v>45454</v>
      </c>
      <c r="HF82" s="74">
        <f t="shared" si="2466"/>
        <v>0</v>
      </c>
      <c r="HG82" s="74">
        <f t="shared" si="2466"/>
        <v>799968</v>
      </c>
      <c r="HH82" s="74">
        <f t="shared" ref="HH82:HU82" si="2468">SUM(HH83:HH84)</f>
        <v>12068.52</v>
      </c>
      <c r="HI82" s="74">
        <f t="shared" si="2468"/>
        <v>0</v>
      </c>
      <c r="HJ82" s="74">
        <f t="shared" si="2468"/>
        <v>66776.960000000006</v>
      </c>
      <c r="HK82" s="74">
        <f t="shared" si="2468"/>
        <v>0</v>
      </c>
      <c r="HL82" s="74">
        <f t="shared" si="2468"/>
        <v>57522.52</v>
      </c>
      <c r="HM82" s="74">
        <f t="shared" si="2468"/>
        <v>0</v>
      </c>
      <c r="HN82" s="74">
        <f t="shared" si="2468"/>
        <v>45454</v>
      </c>
      <c r="HO82" s="74">
        <f t="shared" si="2468"/>
        <v>0</v>
      </c>
      <c r="HP82" s="74">
        <f t="shared" si="2468"/>
        <v>45454</v>
      </c>
      <c r="HQ82" s="74">
        <f t="shared" si="2468"/>
        <v>0</v>
      </c>
      <c r="HR82" s="74">
        <f t="shared" si="2468"/>
        <v>45454</v>
      </c>
      <c r="HS82" s="74">
        <f t="shared" si="2468"/>
        <v>0</v>
      </c>
      <c r="HT82" s="74">
        <f t="shared" si="2468"/>
        <v>45454</v>
      </c>
      <c r="HU82" s="74">
        <f t="shared" si="2468"/>
        <v>0</v>
      </c>
      <c r="HV82" s="74">
        <f t="shared" si="2466"/>
        <v>481784</v>
      </c>
      <c r="HW82" s="74">
        <f t="shared" si="2466"/>
        <v>0</v>
      </c>
      <c r="HX82" s="74">
        <f t="shared" si="2466"/>
        <v>0</v>
      </c>
      <c r="HY82" s="74">
        <f t="shared" si="2466"/>
        <v>0</v>
      </c>
      <c r="HZ82" s="74">
        <f t="shared" si="2466"/>
        <v>0</v>
      </c>
      <c r="IA82" s="74">
        <f t="shared" si="2466"/>
        <v>0</v>
      </c>
      <c r="IB82" s="74">
        <f>SUM(IB83:IB84)</f>
        <v>0</v>
      </c>
      <c r="IC82" s="74">
        <f t="shared" si="2466"/>
        <v>0</v>
      </c>
      <c r="ID82" s="74">
        <f t="shared" si="2466"/>
        <v>0</v>
      </c>
      <c r="IE82" s="792">
        <f t="shared" si="2466"/>
        <v>0</v>
      </c>
      <c r="IF82" s="841">
        <f t="shared" si="2466"/>
        <v>528807.51</v>
      </c>
      <c r="IG82" s="263">
        <f t="shared" si="2466"/>
        <v>528807.51</v>
      </c>
      <c r="IH82" s="842">
        <f t="shared" si="2466"/>
        <v>528807.51</v>
      </c>
      <c r="II82" s="155">
        <f t="shared" si="2466"/>
        <v>3634.49</v>
      </c>
      <c r="IJ82" s="74">
        <f t="shared" si="2466"/>
        <v>3634.49</v>
      </c>
      <c r="IK82" s="74">
        <f t="shared" si="2466"/>
        <v>3634.49</v>
      </c>
      <c r="IL82" s="74">
        <f t="shared" si="2466"/>
        <v>7059.3899999999994</v>
      </c>
      <c r="IM82" s="74">
        <f t="shared" si="2466"/>
        <v>7059.3899999999994</v>
      </c>
      <c r="IN82" s="74">
        <f t="shared" si="2466"/>
        <v>7059.3899999999994</v>
      </c>
      <c r="IO82" s="74">
        <f t="shared" si="2466"/>
        <v>6678.8600000000024</v>
      </c>
      <c r="IP82" s="74">
        <f t="shared" si="2466"/>
        <v>6678.8600000000024</v>
      </c>
      <c r="IQ82" s="74">
        <f t="shared" si="2466"/>
        <v>6678.8600000000024</v>
      </c>
      <c r="IR82" s="74">
        <f t="shared" si="2466"/>
        <v>28993.209999999995</v>
      </c>
      <c r="IS82" s="74">
        <f t="shared" si="2466"/>
        <v>28993.209999999995</v>
      </c>
      <c r="IT82" s="74">
        <f t="shared" si="2466"/>
        <v>28993.209999999995</v>
      </c>
      <c r="IU82" s="74">
        <f t="shared" si="2466"/>
        <v>38647.17</v>
      </c>
      <c r="IV82" s="74">
        <f t="shared" si="2466"/>
        <v>38647.17</v>
      </c>
      <c r="IW82" s="74">
        <f t="shared" si="2466"/>
        <v>38647.17</v>
      </c>
      <c r="IX82" s="74">
        <f t="shared" si="2466"/>
        <v>147936.51</v>
      </c>
      <c r="IY82" s="74">
        <f t="shared" si="2466"/>
        <v>147936.51</v>
      </c>
      <c r="IZ82" s="74">
        <f t="shared" si="2466"/>
        <v>147936.51</v>
      </c>
      <c r="JA82" s="74">
        <f t="shared" si="2466"/>
        <v>61015</v>
      </c>
      <c r="JB82" s="74">
        <f t="shared" ref="JB82:JT82" si="2469">SUM(JB83:JB84)</f>
        <v>61015</v>
      </c>
      <c r="JC82" s="74">
        <f t="shared" si="2469"/>
        <v>61015</v>
      </c>
      <c r="JD82" s="74">
        <f t="shared" si="2469"/>
        <v>76944.13</v>
      </c>
      <c r="JE82" s="74">
        <f t="shared" si="2469"/>
        <v>76944.13</v>
      </c>
      <c r="JF82" s="74">
        <f t="shared" si="2469"/>
        <v>76944.13</v>
      </c>
      <c r="JG82" s="74">
        <f t="shared" si="2469"/>
        <v>104558.26000000001</v>
      </c>
      <c r="JH82" s="74">
        <f t="shared" si="2469"/>
        <v>104558.26000000001</v>
      </c>
      <c r="JI82" s="74">
        <f t="shared" si="2469"/>
        <v>104558.26000000001</v>
      </c>
      <c r="JJ82" s="74">
        <f t="shared" si="2469"/>
        <v>53340.489999999991</v>
      </c>
      <c r="JK82" s="74">
        <f t="shared" si="2469"/>
        <v>53340.489999999991</v>
      </c>
      <c r="JL82" s="74">
        <f t="shared" si="2469"/>
        <v>53340.489999999991</v>
      </c>
      <c r="JM82" s="74">
        <f t="shared" si="2469"/>
        <v>0</v>
      </c>
      <c r="JN82" s="74">
        <f t="shared" si="2469"/>
        <v>0</v>
      </c>
      <c r="JO82" s="74">
        <f t="shared" si="2469"/>
        <v>0</v>
      </c>
      <c r="JP82" s="74">
        <f t="shared" si="2469"/>
        <v>0</v>
      </c>
      <c r="JQ82" s="74">
        <f t="shared" si="2469"/>
        <v>0</v>
      </c>
      <c r="JR82" s="74">
        <f t="shared" si="2469"/>
        <v>0</v>
      </c>
      <c r="JS82" s="74">
        <f t="shared" si="2469"/>
        <v>271160.49</v>
      </c>
      <c r="JT82" s="102">
        <f t="shared" si="2469"/>
        <v>225706.49</v>
      </c>
      <c r="JU82" s="671"/>
      <c r="JV82" s="492"/>
      <c r="JW82" s="490"/>
      <c r="JX82" s="549">
        <f>SUM(JX83:JX84)</f>
        <v>799968</v>
      </c>
      <c r="JY82" s="549">
        <f>SUM(JY83:JY84)</f>
        <v>0</v>
      </c>
      <c r="JZ82" s="581">
        <f>GP82</f>
        <v>299968</v>
      </c>
      <c r="KA82" s="581">
        <f>GQ82</f>
        <v>0</v>
      </c>
      <c r="KB82" s="549">
        <f>SUM(KB83:KB84)</f>
        <v>799968</v>
      </c>
      <c r="KC82" s="709">
        <f t="shared" si="2079"/>
        <v>0</v>
      </c>
      <c r="KD82" s="36"/>
      <c r="KE82" s="36"/>
      <c r="KF82" s="36"/>
      <c r="KG82" s="36"/>
      <c r="KH82" s="36"/>
      <c r="KI82" s="36"/>
      <c r="KJ82" s="36"/>
      <c r="KK82" s="36"/>
    </row>
    <row r="83" spans="1:297" s="8" customFormat="1" ht="12.75" hidden="1" customHeight="1">
      <c r="A83" s="262" t="s">
        <v>710</v>
      </c>
      <c r="B83" s="72"/>
      <c r="C83" s="74">
        <f t="shared" ref="C83" si="2470">C622</f>
        <v>0</v>
      </c>
      <c r="D83" s="549">
        <f t="shared" ref="D83:E83" si="2471">D622+D417</f>
        <v>0</v>
      </c>
      <c r="E83" s="675">
        <f t="shared" si="2471"/>
        <v>0</v>
      </c>
      <c r="F83" s="549">
        <f t="shared" ref="F83:G83" si="2472">F622+F417</f>
        <v>0</v>
      </c>
      <c r="G83" s="675">
        <f t="shared" si="2472"/>
        <v>0</v>
      </c>
      <c r="H83" s="549">
        <f t="shared" ref="H83:I83" si="2473">H622+H417</f>
        <v>0</v>
      </c>
      <c r="I83" s="675">
        <f t="shared" si="2473"/>
        <v>0</v>
      </c>
      <c r="J83" s="549">
        <f t="shared" ref="J83:K83" si="2474">J622+J417</f>
        <v>0</v>
      </c>
      <c r="K83" s="675">
        <f t="shared" si="2474"/>
        <v>0</v>
      </c>
      <c r="L83" s="549">
        <f t="shared" ref="L83:M83" si="2475">L622+L417</f>
        <v>0</v>
      </c>
      <c r="M83" s="675">
        <f t="shared" si="2475"/>
        <v>0</v>
      </c>
      <c r="N83" s="549">
        <f t="shared" ref="N83:O83" si="2476">N622+N417</f>
        <v>0</v>
      </c>
      <c r="O83" s="675">
        <f t="shared" si="2476"/>
        <v>0</v>
      </c>
      <c r="P83" s="549">
        <f t="shared" ref="P83:Q83" si="2477">P622+P417</f>
        <v>0</v>
      </c>
      <c r="Q83" s="675">
        <f t="shared" si="2477"/>
        <v>0</v>
      </c>
      <c r="R83" s="549">
        <f t="shared" ref="R83:S83" si="2478">R622+R417</f>
        <v>0</v>
      </c>
      <c r="S83" s="675">
        <f t="shared" si="2478"/>
        <v>0</v>
      </c>
      <c r="T83" s="549">
        <f t="shared" ref="T83:U83" si="2479">T622+T417</f>
        <v>0</v>
      </c>
      <c r="U83" s="675">
        <f t="shared" si="2479"/>
        <v>0</v>
      </c>
      <c r="V83" s="549">
        <f t="shared" ref="V83:W83" si="2480">V622+V417</f>
        <v>0</v>
      </c>
      <c r="W83" s="675">
        <f t="shared" si="2480"/>
        <v>0</v>
      </c>
      <c r="X83" s="549">
        <f t="shared" ref="X83:Y83" si="2481">X622+X417</f>
        <v>0</v>
      </c>
      <c r="Y83" s="675">
        <f t="shared" si="2481"/>
        <v>0</v>
      </c>
      <c r="Z83" s="549">
        <f t="shared" ref="Z83:AA83" si="2482">Z622+Z417</f>
        <v>0</v>
      </c>
      <c r="AA83" s="675">
        <f t="shared" si="2482"/>
        <v>0</v>
      </c>
      <c r="AB83" s="549">
        <f t="shared" ref="AB83:AC83" si="2483">AB622+AB417</f>
        <v>0</v>
      </c>
      <c r="AC83" s="675">
        <f t="shared" si="2483"/>
        <v>0</v>
      </c>
      <c r="AD83" s="549">
        <f t="shared" ref="AD83:AE83" si="2484">AD622+AD417</f>
        <v>0</v>
      </c>
      <c r="AE83" s="675">
        <f t="shared" si="2484"/>
        <v>0</v>
      </c>
      <c r="AF83" s="549">
        <f t="shared" ref="AF83:AI83" si="2485">AF622+AF417</f>
        <v>0</v>
      </c>
      <c r="AG83" s="675">
        <f t="shared" si="2485"/>
        <v>0</v>
      </c>
      <c r="AH83" s="549">
        <f t="shared" si="2485"/>
        <v>0</v>
      </c>
      <c r="AI83" s="675">
        <f t="shared" si="2485"/>
        <v>0</v>
      </c>
      <c r="AJ83" s="549">
        <f t="shared" ref="AJ83:AK83" si="2486">AJ622+AJ417</f>
        <v>0</v>
      </c>
      <c r="AK83" s="675">
        <f t="shared" si="2486"/>
        <v>0</v>
      </c>
      <c r="AL83" s="549">
        <f t="shared" ref="AL83:AM83" si="2487">AL622+AL417</f>
        <v>0</v>
      </c>
      <c r="AM83" s="675">
        <f t="shared" si="2487"/>
        <v>0</v>
      </c>
      <c r="AN83" s="549">
        <f t="shared" ref="AN83:BS83" si="2488">AN622+AN417</f>
        <v>0</v>
      </c>
      <c r="AO83" s="675">
        <f t="shared" si="2488"/>
        <v>0</v>
      </c>
      <c r="AP83" s="549">
        <f t="shared" si="2488"/>
        <v>0</v>
      </c>
      <c r="AQ83" s="675">
        <f t="shared" si="2488"/>
        <v>0</v>
      </c>
      <c r="AR83" s="549">
        <f t="shared" si="2488"/>
        <v>0</v>
      </c>
      <c r="AS83" s="675">
        <f t="shared" si="2488"/>
        <v>0</v>
      </c>
      <c r="AT83" s="549">
        <f t="shared" ref="AT83:AU83" si="2489">AT622+AT417</f>
        <v>0</v>
      </c>
      <c r="AU83" s="675">
        <f t="shared" si="2489"/>
        <v>0</v>
      </c>
      <c r="AV83" s="549">
        <f t="shared" ref="AV83:AW83" si="2490">AV622+AV417</f>
        <v>0</v>
      </c>
      <c r="AW83" s="675">
        <f t="shared" si="2490"/>
        <v>0</v>
      </c>
      <c r="AX83" s="549">
        <f t="shared" ref="AX83:AY83" si="2491">AX622+AX417</f>
        <v>0</v>
      </c>
      <c r="AY83" s="675">
        <f t="shared" si="2491"/>
        <v>0</v>
      </c>
      <c r="AZ83" s="549">
        <f t="shared" ref="AZ83:BA83" si="2492">AZ622+AZ417</f>
        <v>0</v>
      </c>
      <c r="BA83" s="675">
        <f t="shared" si="2492"/>
        <v>0</v>
      </c>
      <c r="BB83" s="549">
        <f t="shared" ref="BB83:BC83" si="2493">BB622+BB417</f>
        <v>0</v>
      </c>
      <c r="BC83" s="675">
        <f t="shared" si="2493"/>
        <v>0</v>
      </c>
      <c r="BD83" s="549">
        <f t="shared" ref="BD83:BE83" si="2494">BD622+BD417</f>
        <v>0</v>
      </c>
      <c r="BE83" s="675">
        <f t="shared" si="2494"/>
        <v>0</v>
      </c>
      <c r="BF83" s="549">
        <f t="shared" ref="BF83:BG83" si="2495">BF622+BF417</f>
        <v>0</v>
      </c>
      <c r="BG83" s="675">
        <f t="shared" si="2495"/>
        <v>0</v>
      </c>
      <c r="BH83" s="549">
        <f t="shared" ref="BH83:BI83" si="2496">BH622+BH417</f>
        <v>0</v>
      </c>
      <c r="BI83" s="675">
        <f t="shared" si="2496"/>
        <v>0</v>
      </c>
      <c r="BJ83" s="549">
        <f t="shared" ref="BJ83:BK83" si="2497">BJ622+BJ417</f>
        <v>0</v>
      </c>
      <c r="BK83" s="675">
        <f t="shared" si="2497"/>
        <v>0</v>
      </c>
      <c r="BL83" s="549">
        <f t="shared" si="2488"/>
        <v>0</v>
      </c>
      <c r="BM83" s="675">
        <f t="shared" si="2488"/>
        <v>0</v>
      </c>
      <c r="BN83" s="549">
        <f t="shared" si="2488"/>
        <v>0</v>
      </c>
      <c r="BO83" s="675">
        <f t="shared" si="2488"/>
        <v>0</v>
      </c>
      <c r="BP83" s="549">
        <f t="shared" si="2488"/>
        <v>0</v>
      </c>
      <c r="BQ83" s="675">
        <f t="shared" si="2488"/>
        <v>0</v>
      </c>
      <c r="BR83" s="549">
        <f t="shared" si="2488"/>
        <v>0</v>
      </c>
      <c r="BS83" s="675">
        <f t="shared" si="2488"/>
        <v>0</v>
      </c>
      <c r="BT83" s="549">
        <f t="shared" ref="BT83:BU83" si="2498">BT622+BT417</f>
        <v>0</v>
      </c>
      <c r="BU83" s="675">
        <f t="shared" si="2498"/>
        <v>0</v>
      </c>
      <c r="BV83" s="549">
        <f t="shared" ref="BV83:BW83" si="2499">BV622+BV417</f>
        <v>0</v>
      </c>
      <c r="BW83" s="675">
        <f t="shared" si="2499"/>
        <v>0</v>
      </c>
      <c r="BX83" s="549">
        <f t="shared" ref="BX83:BY83" si="2500">BX622+BX417</f>
        <v>0</v>
      </c>
      <c r="BY83" s="675">
        <f t="shared" si="2500"/>
        <v>0</v>
      </c>
      <c r="BZ83" s="549">
        <f t="shared" ref="BZ83:CA83" si="2501">BZ622+BZ417</f>
        <v>0</v>
      </c>
      <c r="CA83" s="675">
        <f t="shared" si="2501"/>
        <v>0</v>
      </c>
      <c r="CB83" s="549">
        <f t="shared" ref="CB83:CY83" si="2502">CB622+CB417</f>
        <v>0</v>
      </c>
      <c r="CC83" s="675">
        <f t="shared" si="2502"/>
        <v>0</v>
      </c>
      <c r="CD83" s="549">
        <f t="shared" si="2502"/>
        <v>0</v>
      </c>
      <c r="CE83" s="675">
        <f t="shared" si="2502"/>
        <v>0</v>
      </c>
      <c r="CF83" s="549">
        <f t="shared" si="2502"/>
        <v>0</v>
      </c>
      <c r="CG83" s="675">
        <f t="shared" si="2502"/>
        <v>0</v>
      </c>
      <c r="CH83" s="549">
        <f t="shared" si="2502"/>
        <v>0</v>
      </c>
      <c r="CI83" s="675">
        <f t="shared" si="2502"/>
        <v>0</v>
      </c>
      <c r="CJ83" s="549">
        <f t="shared" si="2502"/>
        <v>0</v>
      </c>
      <c r="CK83" s="675">
        <f t="shared" si="2502"/>
        <v>0</v>
      </c>
      <c r="CL83" s="549">
        <f t="shared" si="2502"/>
        <v>0</v>
      </c>
      <c r="CM83" s="675">
        <f t="shared" si="2502"/>
        <v>0</v>
      </c>
      <c r="CN83" s="549">
        <f t="shared" si="2502"/>
        <v>0</v>
      </c>
      <c r="CO83" s="675">
        <f t="shared" si="2502"/>
        <v>0</v>
      </c>
      <c r="CP83" s="549">
        <f t="shared" si="2502"/>
        <v>0</v>
      </c>
      <c r="CQ83" s="675">
        <f t="shared" si="2502"/>
        <v>0</v>
      </c>
      <c r="CR83" s="549">
        <f t="shared" si="2502"/>
        <v>0</v>
      </c>
      <c r="CS83" s="675">
        <f t="shared" si="2502"/>
        <v>0</v>
      </c>
      <c r="CT83" s="549">
        <f t="shared" si="2502"/>
        <v>0</v>
      </c>
      <c r="CU83" s="675">
        <f t="shared" si="2502"/>
        <v>0</v>
      </c>
      <c r="CV83" s="549">
        <f t="shared" si="2502"/>
        <v>0</v>
      </c>
      <c r="CW83" s="675">
        <f t="shared" si="2502"/>
        <v>0</v>
      </c>
      <c r="CX83" s="549">
        <f t="shared" si="2502"/>
        <v>0</v>
      </c>
      <c r="CY83" s="675">
        <f t="shared" si="2502"/>
        <v>0</v>
      </c>
      <c r="CZ83" s="549">
        <f t="shared" ref="CZ83:EE83" si="2503">CZ622+CZ417</f>
        <v>0</v>
      </c>
      <c r="DA83" s="675">
        <f t="shared" si="2503"/>
        <v>0</v>
      </c>
      <c r="DB83" s="549">
        <f t="shared" si="2503"/>
        <v>0</v>
      </c>
      <c r="DC83" s="675">
        <f t="shared" si="2503"/>
        <v>0</v>
      </c>
      <c r="DD83" s="549">
        <f t="shared" si="2503"/>
        <v>0</v>
      </c>
      <c r="DE83" s="675">
        <f t="shared" si="2503"/>
        <v>0</v>
      </c>
      <c r="DF83" s="549">
        <f t="shared" si="2503"/>
        <v>0</v>
      </c>
      <c r="DG83" s="675">
        <f t="shared" si="2503"/>
        <v>0</v>
      </c>
      <c r="DH83" s="549">
        <f t="shared" si="2503"/>
        <v>0</v>
      </c>
      <c r="DI83" s="675">
        <f t="shared" si="2503"/>
        <v>0</v>
      </c>
      <c r="DJ83" s="549">
        <f t="shared" si="2503"/>
        <v>0</v>
      </c>
      <c r="DK83" s="675">
        <f t="shared" si="2503"/>
        <v>0</v>
      </c>
      <c r="DL83" s="549">
        <f t="shared" si="2503"/>
        <v>0</v>
      </c>
      <c r="DM83" s="675">
        <f t="shared" si="2503"/>
        <v>0</v>
      </c>
      <c r="DN83" s="549">
        <f t="shared" si="2503"/>
        <v>0</v>
      </c>
      <c r="DO83" s="675">
        <f t="shared" si="2503"/>
        <v>0</v>
      </c>
      <c r="DP83" s="549">
        <f t="shared" si="2503"/>
        <v>0</v>
      </c>
      <c r="DQ83" s="675">
        <f t="shared" si="2503"/>
        <v>0</v>
      </c>
      <c r="DR83" s="549">
        <f t="shared" si="2503"/>
        <v>0</v>
      </c>
      <c r="DS83" s="675">
        <f t="shared" si="2503"/>
        <v>0</v>
      </c>
      <c r="DT83" s="549">
        <f t="shared" si="2503"/>
        <v>0</v>
      </c>
      <c r="DU83" s="675">
        <f t="shared" si="2503"/>
        <v>0</v>
      </c>
      <c r="DV83" s="549">
        <f t="shared" si="2503"/>
        <v>0</v>
      </c>
      <c r="DW83" s="675">
        <f t="shared" si="2503"/>
        <v>0</v>
      </c>
      <c r="DX83" s="549">
        <f t="shared" si="2503"/>
        <v>0</v>
      </c>
      <c r="DY83" s="675">
        <f t="shared" si="2503"/>
        <v>0</v>
      </c>
      <c r="DZ83" s="549">
        <f t="shared" si="2503"/>
        <v>0</v>
      </c>
      <c r="EA83" s="675">
        <f t="shared" si="2503"/>
        <v>0</v>
      </c>
      <c r="EB83" s="549">
        <f t="shared" si="2503"/>
        <v>0</v>
      </c>
      <c r="EC83" s="675">
        <f t="shared" si="2503"/>
        <v>0</v>
      </c>
      <c r="ED83" s="549">
        <f t="shared" si="2503"/>
        <v>0</v>
      </c>
      <c r="EE83" s="675">
        <f t="shared" si="2503"/>
        <v>0</v>
      </c>
      <c r="EF83" s="549">
        <f t="shared" ref="EF83:FK83" si="2504">EF622+EF417</f>
        <v>0</v>
      </c>
      <c r="EG83" s="675">
        <f t="shared" si="2504"/>
        <v>0</v>
      </c>
      <c r="EH83" s="549">
        <f t="shared" si="2504"/>
        <v>0</v>
      </c>
      <c r="EI83" s="675">
        <f t="shared" si="2504"/>
        <v>0</v>
      </c>
      <c r="EJ83" s="549">
        <f t="shared" si="2504"/>
        <v>0</v>
      </c>
      <c r="EK83" s="675">
        <f t="shared" si="2504"/>
        <v>0</v>
      </c>
      <c r="EL83" s="549">
        <f t="shared" si="2504"/>
        <v>0</v>
      </c>
      <c r="EM83" s="675">
        <f t="shared" si="2504"/>
        <v>0</v>
      </c>
      <c r="EN83" s="549">
        <f t="shared" si="2504"/>
        <v>0</v>
      </c>
      <c r="EO83" s="675">
        <f t="shared" si="2504"/>
        <v>0</v>
      </c>
      <c r="EP83" s="549">
        <f t="shared" si="2504"/>
        <v>0</v>
      </c>
      <c r="EQ83" s="675">
        <f t="shared" si="2504"/>
        <v>0</v>
      </c>
      <c r="ER83" s="549">
        <f t="shared" si="2504"/>
        <v>0</v>
      </c>
      <c r="ES83" s="675">
        <f t="shared" si="2504"/>
        <v>0</v>
      </c>
      <c r="ET83" s="549">
        <f t="shared" si="2504"/>
        <v>0</v>
      </c>
      <c r="EU83" s="675">
        <f t="shared" si="2504"/>
        <v>0</v>
      </c>
      <c r="EV83" s="549">
        <f t="shared" si="2504"/>
        <v>0</v>
      </c>
      <c r="EW83" s="675">
        <f t="shared" si="2504"/>
        <v>0</v>
      </c>
      <c r="EX83" s="549">
        <f t="shared" si="2504"/>
        <v>0</v>
      </c>
      <c r="EY83" s="675">
        <f t="shared" si="2504"/>
        <v>0</v>
      </c>
      <c r="EZ83" s="549">
        <f t="shared" si="2504"/>
        <v>0</v>
      </c>
      <c r="FA83" s="675">
        <f t="shared" si="2504"/>
        <v>0</v>
      </c>
      <c r="FB83" s="549">
        <f t="shared" si="2504"/>
        <v>0</v>
      </c>
      <c r="FC83" s="675">
        <f t="shared" si="2504"/>
        <v>0</v>
      </c>
      <c r="FD83" s="549">
        <f t="shared" si="2504"/>
        <v>0</v>
      </c>
      <c r="FE83" s="675">
        <f t="shared" si="2504"/>
        <v>0</v>
      </c>
      <c r="FF83" s="549">
        <f t="shared" si="2504"/>
        <v>0</v>
      </c>
      <c r="FG83" s="675">
        <f t="shared" si="2504"/>
        <v>0</v>
      </c>
      <c r="FH83" s="549">
        <f t="shared" si="2504"/>
        <v>0</v>
      </c>
      <c r="FI83" s="675">
        <f t="shared" si="2504"/>
        <v>0</v>
      </c>
      <c r="FJ83" s="549">
        <f t="shared" si="2504"/>
        <v>0</v>
      </c>
      <c r="FK83" s="675">
        <f t="shared" si="2504"/>
        <v>0</v>
      </c>
      <c r="FL83" s="549">
        <f t="shared" ref="FL83:FM83" si="2505">FL622+FL417</f>
        <v>0</v>
      </c>
      <c r="FM83" s="675">
        <f t="shared" si="2505"/>
        <v>0</v>
      </c>
      <c r="FN83" s="549">
        <f t="shared" ref="FN83:FO83" si="2506">FN622+FN417</f>
        <v>0</v>
      </c>
      <c r="FO83" s="675">
        <f t="shared" si="2506"/>
        <v>0</v>
      </c>
      <c r="FP83" s="549">
        <f t="shared" ref="FP83:FQ83" si="2507">FP622+FP417</f>
        <v>0</v>
      </c>
      <c r="FQ83" s="675">
        <f t="shared" si="2507"/>
        <v>0</v>
      </c>
      <c r="FR83" s="549">
        <f t="shared" ref="FR83:FS83" si="2508">FR622+FR417</f>
        <v>0</v>
      </c>
      <c r="FS83" s="675">
        <f t="shared" si="2508"/>
        <v>0</v>
      </c>
      <c r="FT83" s="549">
        <f t="shared" ref="FT83:FU83" si="2509">FT622+FT417</f>
        <v>0</v>
      </c>
      <c r="FU83" s="675">
        <f t="shared" si="2509"/>
        <v>0</v>
      </c>
      <c r="FV83" s="549">
        <f t="shared" ref="FV83:GK83" si="2510">FV622+FV417</f>
        <v>0</v>
      </c>
      <c r="FW83" s="675">
        <f t="shared" si="2510"/>
        <v>0</v>
      </c>
      <c r="FX83" s="549">
        <f t="shared" si="2510"/>
        <v>0</v>
      </c>
      <c r="FY83" s="675">
        <f t="shared" si="2510"/>
        <v>0</v>
      </c>
      <c r="FZ83" s="549">
        <f t="shared" ref="FZ83:GI83" si="2511">FZ622+FZ417</f>
        <v>0</v>
      </c>
      <c r="GA83" s="675">
        <f t="shared" si="2511"/>
        <v>0</v>
      </c>
      <c r="GB83" s="549">
        <f t="shared" si="2511"/>
        <v>0</v>
      </c>
      <c r="GC83" s="675">
        <f t="shared" si="2511"/>
        <v>0</v>
      </c>
      <c r="GD83" s="549">
        <f t="shared" si="2511"/>
        <v>0</v>
      </c>
      <c r="GE83" s="675">
        <f t="shared" si="2511"/>
        <v>0</v>
      </c>
      <c r="GF83" s="549">
        <f t="shared" si="2511"/>
        <v>0</v>
      </c>
      <c r="GG83" s="675">
        <f t="shared" si="2511"/>
        <v>0</v>
      </c>
      <c r="GH83" s="549">
        <f t="shared" si="2511"/>
        <v>0</v>
      </c>
      <c r="GI83" s="675">
        <f t="shared" si="2511"/>
        <v>0</v>
      </c>
      <c r="GJ83" s="549">
        <f t="shared" si="2510"/>
        <v>0</v>
      </c>
      <c r="GK83" s="675">
        <f t="shared" si="2510"/>
        <v>0</v>
      </c>
      <c r="GL83" s="549">
        <f t="shared" ref="GL83:GM83" si="2512">GL622+GL417</f>
        <v>0</v>
      </c>
      <c r="GM83" s="675">
        <f t="shared" si="2512"/>
        <v>0</v>
      </c>
      <c r="GN83" s="549">
        <f t="shared" ref="GN83:GO83" si="2513">GN622+GN417</f>
        <v>0</v>
      </c>
      <c r="GO83" s="675">
        <f t="shared" si="2513"/>
        <v>0</v>
      </c>
      <c r="GP83" s="74">
        <f t="shared" ref="GP83:GU83" si="2514">GP622+GP417</f>
        <v>0</v>
      </c>
      <c r="GQ83" s="675">
        <f t="shared" si="2514"/>
        <v>0</v>
      </c>
      <c r="GR83" s="74">
        <f t="shared" si="2514"/>
        <v>0</v>
      </c>
      <c r="GS83" s="74">
        <f t="shared" si="2514"/>
        <v>0</v>
      </c>
      <c r="GT83" s="74">
        <f t="shared" si="2514"/>
        <v>0</v>
      </c>
      <c r="GU83" s="74">
        <f t="shared" si="2514"/>
        <v>0</v>
      </c>
      <c r="GV83" s="74">
        <f t="shared" ref="GV83:HA83" si="2515">GV622+GV417</f>
        <v>0</v>
      </c>
      <c r="GW83" s="74">
        <f t="shared" si="2515"/>
        <v>0</v>
      </c>
      <c r="GX83" s="74">
        <f t="shared" si="2515"/>
        <v>0</v>
      </c>
      <c r="GY83" s="74">
        <f t="shared" si="2515"/>
        <v>0</v>
      </c>
      <c r="GZ83" s="74">
        <f t="shared" si="2515"/>
        <v>0</v>
      </c>
      <c r="HA83" s="74">
        <f t="shared" si="2515"/>
        <v>0</v>
      </c>
      <c r="HB83" s="74">
        <f t="shared" ref="HB83" si="2516">HB622+HB417+GZ670</f>
        <v>0</v>
      </c>
      <c r="HC83" s="74">
        <f t="shared" ref="HC83" si="2517">HC622+HC417+HA670</f>
        <v>0</v>
      </c>
      <c r="HD83" s="74">
        <f t="shared" ref="HD83" si="2518">HD622+HD417+HB670</f>
        <v>0</v>
      </c>
      <c r="HE83" s="74">
        <f t="shared" ref="HE83" si="2519">HE622+HE417+HC670</f>
        <v>0</v>
      </c>
      <c r="HF83" s="74">
        <f t="shared" ref="HF83" si="2520">HF622+HF417+HD670</f>
        <v>0</v>
      </c>
      <c r="HG83" s="74">
        <f>HG622+HG417</f>
        <v>0</v>
      </c>
      <c r="HH83" s="74">
        <f t="shared" ref="HH83" si="2521">HH622+HH417+HF670</f>
        <v>0</v>
      </c>
      <c r="HI83" s="74">
        <f t="shared" ref="HI83" si="2522">HI622+HI417+HG670</f>
        <v>0</v>
      </c>
      <c r="HJ83" s="74">
        <f t="shared" ref="HJ83" si="2523">HJ622+HJ417+HH670</f>
        <v>0</v>
      </c>
      <c r="HK83" s="74">
        <f t="shared" ref="HK83" si="2524">HK622+HK417+HI670</f>
        <v>0</v>
      </c>
      <c r="HL83" s="74">
        <f t="shared" ref="HL83" si="2525">HL622+HL417+HJ670</f>
        <v>0</v>
      </c>
      <c r="HM83" s="74">
        <f t="shared" ref="HM83" si="2526">HM622+HM417+HK670</f>
        <v>0</v>
      </c>
      <c r="HN83" s="74">
        <f t="shared" ref="HN83" si="2527">HN622+HN417+HL670</f>
        <v>0</v>
      </c>
      <c r="HO83" s="74">
        <f t="shared" ref="HO83" si="2528">HO622+HO417+HM670</f>
        <v>0</v>
      </c>
      <c r="HP83" s="74">
        <f t="shared" ref="HP83" si="2529">HP622+HP417+HN670</f>
        <v>0</v>
      </c>
      <c r="HQ83" s="74">
        <f t="shared" ref="HQ83" si="2530">HQ622+HQ417+HO670</f>
        <v>0</v>
      </c>
      <c r="HR83" s="74">
        <f t="shared" ref="HR83" si="2531">HR622+HR417+HP670</f>
        <v>0</v>
      </c>
      <c r="HS83" s="74">
        <f t="shared" ref="HS83" si="2532">HS622+HS417+HQ670</f>
        <v>0</v>
      </c>
      <c r="HT83" s="74">
        <f>HT622+HT417</f>
        <v>0</v>
      </c>
      <c r="HU83" s="74">
        <f>HU622+HU417</f>
        <v>0</v>
      </c>
      <c r="HV83" s="74">
        <f t="shared" ref="HV83" si="2533">HV622+HV417+HT670</f>
        <v>0</v>
      </c>
      <c r="HW83" s="74">
        <f t="shared" ref="HW83" si="2534">HW622+HW417+HU670</f>
        <v>0</v>
      </c>
      <c r="HX83" s="74">
        <f t="shared" ref="HX83" si="2535">HX622+HX417+HV670</f>
        <v>0</v>
      </c>
      <c r="HY83" s="74">
        <f t="shared" ref="HY83" si="2536">HY622+HY417+HW670</f>
        <v>0</v>
      </c>
      <c r="HZ83" s="74">
        <f t="shared" ref="HZ83" si="2537">HZ622+HZ417+HX670</f>
        <v>0</v>
      </c>
      <c r="IA83" s="74">
        <f t="shared" ref="IA83" si="2538">IA622+IA417+HY670</f>
        <v>0</v>
      </c>
      <c r="IB83" s="74">
        <f t="shared" ref="IB83" si="2539">IB622+IB417+HZ670</f>
        <v>0</v>
      </c>
      <c r="IC83" s="74">
        <f t="shared" ref="IC83" si="2540">IC622+IC417+IA670</f>
        <v>0</v>
      </c>
      <c r="ID83" s="74">
        <f t="shared" ref="ID83" si="2541">ID622+ID417+IB670</f>
        <v>0</v>
      </c>
      <c r="IE83" s="792">
        <f t="shared" ref="IE83" si="2542">IE622+IE417+IC670</f>
        <v>0</v>
      </c>
      <c r="IF83" s="853">
        <f>IF622+IF417</f>
        <v>0</v>
      </c>
      <c r="IG83" s="74">
        <f>IG622+IG417</f>
        <v>0</v>
      </c>
      <c r="IH83" s="575">
        <f>IH622+IH417</f>
        <v>0</v>
      </c>
      <c r="II83" s="155">
        <f t="shared" ref="II83" si="2543">II622+II417+IG670</f>
        <v>0</v>
      </c>
      <c r="IJ83" s="74">
        <f t="shared" ref="IJ83" si="2544">IJ622+IJ417+IH670</f>
        <v>0</v>
      </c>
      <c r="IK83" s="74">
        <f t="shared" ref="IK83" si="2545">IK622+IK417+II670</f>
        <v>0</v>
      </c>
      <c r="IL83" s="74">
        <f t="shared" ref="IL83" si="2546">IL622+IL417+IJ670</f>
        <v>0</v>
      </c>
      <c r="IM83" s="74">
        <f t="shared" ref="IM83" si="2547">IM622+IM417+IK670</f>
        <v>0</v>
      </c>
      <c r="IN83" s="74">
        <f t="shared" ref="IN83" si="2548">IN622+IN417+IL670</f>
        <v>0</v>
      </c>
      <c r="IO83" s="74">
        <f t="shared" ref="IO83" si="2549">IO622+IO417+IM670</f>
        <v>0</v>
      </c>
      <c r="IP83" s="74">
        <f t="shared" ref="IP83" si="2550">IP622+IP417+IN670</f>
        <v>0</v>
      </c>
      <c r="IQ83" s="74">
        <f t="shared" ref="IQ83" si="2551">IQ622+IQ417+IO670</f>
        <v>0</v>
      </c>
      <c r="IR83" s="74">
        <f t="shared" ref="IR83" si="2552">IR622+IR417+IP670</f>
        <v>0</v>
      </c>
      <c r="IS83" s="74">
        <f t="shared" ref="IS83" si="2553">IS622+IS417+IQ670</f>
        <v>0</v>
      </c>
      <c r="IT83" s="74">
        <f t="shared" ref="IT83" si="2554">IT622+IT417+IR670</f>
        <v>0</v>
      </c>
      <c r="IU83" s="74">
        <f t="shared" ref="IU83" si="2555">IU622+IU417+IS670</f>
        <v>0</v>
      </c>
      <c r="IV83" s="74">
        <f t="shared" ref="IV83" si="2556">IV622+IV417+IT670</f>
        <v>0</v>
      </c>
      <c r="IW83" s="74">
        <f t="shared" ref="IW83" si="2557">IW622+IW417+IU670</f>
        <v>0</v>
      </c>
      <c r="IX83" s="74">
        <f t="shared" ref="IX83" si="2558">IX622+IX417+IV670</f>
        <v>0</v>
      </c>
      <c r="IY83" s="74">
        <f t="shared" ref="IY83" si="2559">IY622+IY417+IW670</f>
        <v>0</v>
      </c>
      <c r="IZ83" s="74">
        <f t="shared" ref="IZ83" si="2560">IZ622+IZ417+IX670</f>
        <v>0</v>
      </c>
      <c r="JA83" s="74">
        <f>JA622+JA417</f>
        <v>0</v>
      </c>
      <c r="JB83" s="74">
        <f>JB622+JB417</f>
        <v>0</v>
      </c>
      <c r="JC83" s="74">
        <f>JC622+JC417</f>
        <v>0</v>
      </c>
      <c r="JD83" s="74">
        <f t="shared" ref="JD83" si="2561">JD622+JD417+JB670</f>
        <v>0</v>
      </c>
      <c r="JE83" s="74">
        <f t="shared" ref="JE83" si="2562">JE622+JE417+JC670</f>
        <v>0</v>
      </c>
      <c r="JF83" s="74">
        <f t="shared" ref="JF83" si="2563">JF622+JF417+JD670</f>
        <v>0</v>
      </c>
      <c r="JG83" s="74">
        <f>+JG417</f>
        <v>0</v>
      </c>
      <c r="JH83" s="74">
        <f t="shared" ref="JH83:JI83" si="2564">+JH417</f>
        <v>0</v>
      </c>
      <c r="JI83" s="74">
        <f t="shared" si="2564"/>
        <v>0</v>
      </c>
      <c r="JJ83" s="74">
        <f t="shared" ref="JJ83" si="2565">JJ622+JJ417+JH670</f>
        <v>0</v>
      </c>
      <c r="JK83" s="74">
        <f t="shared" ref="JK83" si="2566">JK622+JK417+JI670</f>
        <v>0</v>
      </c>
      <c r="JL83" s="74">
        <f t="shared" ref="JL83" si="2567">JL622+JL417+JJ670</f>
        <v>0</v>
      </c>
      <c r="JM83" s="74">
        <f t="shared" ref="JM83" si="2568">JM622+JM417+JK670</f>
        <v>0</v>
      </c>
      <c r="JN83" s="74">
        <f t="shared" ref="JN83" si="2569">JN622+JN417+JL670</f>
        <v>0</v>
      </c>
      <c r="JO83" s="74">
        <f t="shared" ref="JO83" si="2570">JO622+JO417+JM670</f>
        <v>0</v>
      </c>
      <c r="JP83" s="74">
        <f t="shared" ref="JP83" si="2571">JP622+JP417+JN670</f>
        <v>0</v>
      </c>
      <c r="JQ83" s="74">
        <f t="shared" ref="JQ83" si="2572">JQ622+JQ417+JO670</f>
        <v>0</v>
      </c>
      <c r="JR83" s="74">
        <f t="shared" ref="JR83" si="2573">JR622+JR417+JP670</f>
        <v>0</v>
      </c>
      <c r="JS83" s="74">
        <f>JS622+JS417</f>
        <v>0</v>
      </c>
      <c r="JT83" s="74">
        <f>JT622+JT417</f>
        <v>0</v>
      </c>
      <c r="JU83" s="671"/>
      <c r="JV83" s="492"/>
      <c r="JW83" s="490"/>
      <c r="JX83" s="549">
        <f>JX417</f>
        <v>0</v>
      </c>
      <c r="JY83" s="549">
        <f>JY622+JY303</f>
        <v>0</v>
      </c>
      <c r="JZ83" s="581">
        <f>GP83</f>
        <v>0</v>
      </c>
      <c r="KA83" s="581">
        <f>GQ83</f>
        <v>0</v>
      </c>
      <c r="KB83" s="549">
        <f>JX417</f>
        <v>0</v>
      </c>
      <c r="KC83" s="709">
        <f t="shared" si="2079"/>
        <v>0</v>
      </c>
      <c r="KD83" s="36"/>
      <c r="KE83" s="36"/>
      <c r="KF83" s="36"/>
      <c r="KG83" s="36"/>
      <c r="KH83" s="36"/>
      <c r="KI83" s="36"/>
      <c r="KJ83" s="36"/>
      <c r="KK83" s="36"/>
    </row>
    <row r="84" spans="1:297" s="8" customFormat="1">
      <c r="A84" s="75" t="s">
        <v>471</v>
      </c>
      <c r="B84" s="72"/>
      <c r="C84" s="74">
        <f t="shared" ref="C84:AM84" si="2574">SUM(C623)</f>
        <v>500000</v>
      </c>
      <c r="D84" s="549">
        <f t="shared" si="2574"/>
        <v>0</v>
      </c>
      <c r="E84" s="675">
        <f t="shared" si="2574"/>
        <v>0</v>
      </c>
      <c r="F84" s="549">
        <f t="shared" si="2574"/>
        <v>0</v>
      </c>
      <c r="G84" s="675">
        <f t="shared" si="2574"/>
        <v>0</v>
      </c>
      <c r="H84" s="549">
        <f t="shared" si="2574"/>
        <v>0</v>
      </c>
      <c r="I84" s="675">
        <f t="shared" si="2574"/>
        <v>0</v>
      </c>
      <c r="J84" s="549">
        <f t="shared" si="2574"/>
        <v>0</v>
      </c>
      <c r="K84" s="675">
        <f t="shared" si="2574"/>
        <v>0</v>
      </c>
      <c r="L84" s="549">
        <f t="shared" si="2574"/>
        <v>0</v>
      </c>
      <c r="M84" s="675">
        <f t="shared" si="2574"/>
        <v>0</v>
      </c>
      <c r="N84" s="549">
        <f t="shared" si="2574"/>
        <v>0</v>
      </c>
      <c r="O84" s="675">
        <f t="shared" si="2574"/>
        <v>0</v>
      </c>
      <c r="P84" s="549">
        <f t="shared" si="2574"/>
        <v>0</v>
      </c>
      <c r="Q84" s="675">
        <f t="shared" si="2574"/>
        <v>0</v>
      </c>
      <c r="R84" s="549">
        <f t="shared" si="2574"/>
        <v>0</v>
      </c>
      <c r="S84" s="675">
        <f t="shared" si="2574"/>
        <v>0</v>
      </c>
      <c r="T84" s="549">
        <f t="shared" si="2574"/>
        <v>0</v>
      </c>
      <c r="U84" s="675">
        <f t="shared" si="2574"/>
        <v>0</v>
      </c>
      <c r="V84" s="549">
        <f t="shared" si="2574"/>
        <v>0</v>
      </c>
      <c r="W84" s="675">
        <f t="shared" si="2574"/>
        <v>0</v>
      </c>
      <c r="X84" s="549">
        <f t="shared" si="2574"/>
        <v>0</v>
      </c>
      <c r="Y84" s="675">
        <f t="shared" si="2574"/>
        <v>0</v>
      </c>
      <c r="Z84" s="549">
        <f t="shared" si="2574"/>
        <v>0</v>
      </c>
      <c r="AA84" s="675">
        <f t="shared" si="2574"/>
        <v>0</v>
      </c>
      <c r="AB84" s="549">
        <f t="shared" si="2574"/>
        <v>0</v>
      </c>
      <c r="AC84" s="675">
        <f t="shared" si="2574"/>
        <v>0</v>
      </c>
      <c r="AD84" s="549">
        <f t="shared" ref="AD84:AK84" si="2575">SUM(AD623)</f>
        <v>0</v>
      </c>
      <c r="AE84" s="675">
        <f t="shared" si="2575"/>
        <v>0</v>
      </c>
      <c r="AF84" s="549">
        <f t="shared" si="2575"/>
        <v>0</v>
      </c>
      <c r="AG84" s="675">
        <f t="shared" si="2575"/>
        <v>0</v>
      </c>
      <c r="AH84" s="549">
        <f t="shared" si="2575"/>
        <v>0</v>
      </c>
      <c r="AI84" s="675">
        <f t="shared" si="2575"/>
        <v>0</v>
      </c>
      <c r="AJ84" s="549">
        <f t="shared" si="2575"/>
        <v>0</v>
      </c>
      <c r="AK84" s="675">
        <f t="shared" si="2575"/>
        <v>0</v>
      </c>
      <c r="AL84" s="549">
        <f t="shared" si="2574"/>
        <v>0</v>
      </c>
      <c r="AM84" s="675">
        <f t="shared" si="2574"/>
        <v>0</v>
      </c>
      <c r="AN84" s="549">
        <f t="shared" ref="AN84:AS84" si="2576">SUM(AN623)</f>
        <v>0</v>
      </c>
      <c r="AO84" s="675">
        <f t="shared" si="2576"/>
        <v>0</v>
      </c>
      <c r="AP84" s="549">
        <f t="shared" si="2576"/>
        <v>0</v>
      </c>
      <c r="AQ84" s="675">
        <f t="shared" si="2576"/>
        <v>0</v>
      </c>
      <c r="AR84" s="549">
        <f t="shared" si="2576"/>
        <v>0</v>
      </c>
      <c r="AS84" s="675">
        <f t="shared" si="2576"/>
        <v>0</v>
      </c>
      <c r="AT84" s="549">
        <f t="shared" ref="AT84:AU84" si="2577">SUM(AT623)</f>
        <v>0</v>
      </c>
      <c r="AU84" s="675">
        <f t="shared" si="2577"/>
        <v>0</v>
      </c>
      <c r="AV84" s="549">
        <f t="shared" ref="AV84:AW84" si="2578">SUM(AV623)</f>
        <v>0</v>
      </c>
      <c r="AW84" s="675">
        <f t="shared" si="2578"/>
        <v>0</v>
      </c>
      <c r="AX84" s="549">
        <f t="shared" ref="AX84:AY84" si="2579">SUM(AX623)</f>
        <v>0</v>
      </c>
      <c r="AY84" s="675">
        <f t="shared" si="2579"/>
        <v>0</v>
      </c>
      <c r="AZ84" s="549">
        <f t="shared" ref="AZ84:BA84" si="2580">SUM(AZ623)</f>
        <v>0</v>
      </c>
      <c r="BA84" s="675">
        <f t="shared" si="2580"/>
        <v>0</v>
      </c>
      <c r="BB84" s="549">
        <f t="shared" ref="BB84:BC84" si="2581">SUM(BB623)</f>
        <v>0</v>
      </c>
      <c r="BC84" s="675">
        <f t="shared" si="2581"/>
        <v>0</v>
      </c>
      <c r="BD84" s="549">
        <f t="shared" ref="BD84:BE84" si="2582">SUM(BD623)</f>
        <v>0</v>
      </c>
      <c r="BE84" s="675">
        <f t="shared" si="2582"/>
        <v>0</v>
      </c>
      <c r="BF84" s="549">
        <f t="shared" ref="BF84:BG84" si="2583">SUM(BF623)</f>
        <v>0</v>
      </c>
      <c r="BG84" s="675">
        <f t="shared" si="2583"/>
        <v>0</v>
      </c>
      <c r="BH84" s="549">
        <f t="shared" ref="BH84:BI84" si="2584">SUM(BH623)</f>
        <v>0</v>
      </c>
      <c r="BI84" s="675">
        <f t="shared" si="2584"/>
        <v>0</v>
      </c>
      <c r="BJ84" s="549">
        <f t="shared" ref="BJ84:BK84" si="2585">SUM(BJ623)</f>
        <v>0</v>
      </c>
      <c r="BK84" s="675">
        <f t="shared" si="2585"/>
        <v>0</v>
      </c>
      <c r="BL84" s="549">
        <f t="shared" ref="BL84:BS84" si="2586">SUM(BL623)</f>
        <v>0</v>
      </c>
      <c r="BM84" s="675">
        <f t="shared" si="2586"/>
        <v>0</v>
      </c>
      <c r="BN84" s="549">
        <f t="shared" si="2586"/>
        <v>0</v>
      </c>
      <c r="BO84" s="675">
        <f t="shared" si="2586"/>
        <v>0</v>
      </c>
      <c r="BP84" s="549">
        <f t="shared" si="2586"/>
        <v>0</v>
      </c>
      <c r="BQ84" s="675">
        <f t="shared" si="2586"/>
        <v>0</v>
      </c>
      <c r="BR84" s="549">
        <f t="shared" si="2586"/>
        <v>0</v>
      </c>
      <c r="BS84" s="675">
        <f t="shared" si="2586"/>
        <v>0</v>
      </c>
      <c r="BT84" s="549">
        <f t="shared" ref="BT84:BU84" si="2587">SUM(BT623)</f>
        <v>0</v>
      </c>
      <c r="BU84" s="675">
        <f t="shared" si="2587"/>
        <v>0</v>
      </c>
      <c r="BV84" s="549">
        <f t="shared" ref="BV84:BW84" si="2588">SUM(BV623)</f>
        <v>0</v>
      </c>
      <c r="BW84" s="675">
        <f t="shared" si="2588"/>
        <v>0</v>
      </c>
      <c r="BX84" s="549">
        <f t="shared" ref="BX84:BY84" si="2589">SUM(BX623)</f>
        <v>0</v>
      </c>
      <c r="BY84" s="675">
        <f t="shared" si="2589"/>
        <v>0</v>
      </c>
      <c r="BZ84" s="549">
        <f t="shared" ref="BZ84:CA84" si="2590">SUM(BZ623)</f>
        <v>0</v>
      </c>
      <c r="CA84" s="675">
        <f t="shared" si="2590"/>
        <v>0</v>
      </c>
      <c r="CB84" s="549">
        <f t="shared" ref="CB84:CE84" si="2591">SUM(CB623)</f>
        <v>0</v>
      </c>
      <c r="CC84" s="675">
        <f t="shared" si="2591"/>
        <v>0</v>
      </c>
      <c r="CD84" s="549">
        <f t="shared" si="2591"/>
        <v>0</v>
      </c>
      <c r="CE84" s="675">
        <f t="shared" si="2591"/>
        <v>0</v>
      </c>
      <c r="CF84" s="549">
        <f t="shared" ref="CF84:CQ84" si="2592">SUM(CF623)</f>
        <v>0</v>
      </c>
      <c r="CG84" s="675">
        <f t="shared" si="2592"/>
        <v>0</v>
      </c>
      <c r="CH84" s="549">
        <f t="shared" si="2592"/>
        <v>0</v>
      </c>
      <c r="CI84" s="675">
        <f t="shared" si="2592"/>
        <v>0</v>
      </c>
      <c r="CJ84" s="549">
        <f t="shared" si="2592"/>
        <v>299968</v>
      </c>
      <c r="CK84" s="675">
        <f t="shared" si="2592"/>
        <v>0</v>
      </c>
      <c r="CL84" s="549">
        <f t="shared" si="2592"/>
        <v>0</v>
      </c>
      <c r="CM84" s="675">
        <f t="shared" si="2592"/>
        <v>0</v>
      </c>
      <c r="CN84" s="549">
        <f t="shared" si="2592"/>
        <v>0</v>
      </c>
      <c r="CO84" s="675">
        <f t="shared" si="2592"/>
        <v>0</v>
      </c>
      <c r="CP84" s="549">
        <f t="shared" si="2592"/>
        <v>0</v>
      </c>
      <c r="CQ84" s="675">
        <f t="shared" si="2592"/>
        <v>0</v>
      </c>
      <c r="CR84" s="549">
        <f t="shared" ref="CR84:CY84" si="2593">SUM(CR623)</f>
        <v>0</v>
      </c>
      <c r="CS84" s="675">
        <f t="shared" si="2593"/>
        <v>0</v>
      </c>
      <c r="CT84" s="549">
        <f t="shared" si="2593"/>
        <v>0</v>
      </c>
      <c r="CU84" s="675">
        <f t="shared" si="2593"/>
        <v>0</v>
      </c>
      <c r="CV84" s="549">
        <f t="shared" si="2593"/>
        <v>0</v>
      </c>
      <c r="CW84" s="675">
        <f t="shared" si="2593"/>
        <v>0</v>
      </c>
      <c r="CX84" s="549">
        <f t="shared" si="2593"/>
        <v>0</v>
      </c>
      <c r="CY84" s="675">
        <f t="shared" si="2593"/>
        <v>0</v>
      </c>
      <c r="CZ84" s="549">
        <f t="shared" ref="CZ84:DG84" si="2594">SUM(CZ623)</f>
        <v>0</v>
      </c>
      <c r="DA84" s="675">
        <f t="shared" si="2594"/>
        <v>0</v>
      </c>
      <c r="DB84" s="549">
        <f t="shared" si="2594"/>
        <v>0</v>
      </c>
      <c r="DC84" s="675">
        <f t="shared" si="2594"/>
        <v>0</v>
      </c>
      <c r="DD84" s="549">
        <f t="shared" si="2594"/>
        <v>0</v>
      </c>
      <c r="DE84" s="675">
        <f t="shared" si="2594"/>
        <v>0</v>
      </c>
      <c r="DF84" s="549">
        <f t="shared" si="2594"/>
        <v>0</v>
      </c>
      <c r="DG84" s="675">
        <f t="shared" si="2594"/>
        <v>0</v>
      </c>
      <c r="DH84" s="549">
        <f t="shared" ref="DH84:DM84" si="2595">SUM(DH623)</f>
        <v>0</v>
      </c>
      <c r="DI84" s="675">
        <f t="shared" si="2595"/>
        <v>0</v>
      </c>
      <c r="DJ84" s="549">
        <f t="shared" si="2595"/>
        <v>0</v>
      </c>
      <c r="DK84" s="675">
        <f t="shared" si="2595"/>
        <v>0</v>
      </c>
      <c r="DL84" s="549">
        <f t="shared" si="2595"/>
        <v>0</v>
      </c>
      <c r="DM84" s="675">
        <f t="shared" si="2595"/>
        <v>0</v>
      </c>
      <c r="DN84" s="549">
        <f t="shared" ref="DN84:DW84" si="2596">SUM(DN623)</f>
        <v>0</v>
      </c>
      <c r="DO84" s="675">
        <f t="shared" si="2596"/>
        <v>0</v>
      </c>
      <c r="DP84" s="549">
        <f t="shared" si="2596"/>
        <v>0</v>
      </c>
      <c r="DQ84" s="675">
        <f t="shared" si="2596"/>
        <v>0</v>
      </c>
      <c r="DR84" s="549">
        <f t="shared" si="2596"/>
        <v>0</v>
      </c>
      <c r="DS84" s="675">
        <f t="shared" si="2596"/>
        <v>0</v>
      </c>
      <c r="DT84" s="549">
        <f t="shared" si="2596"/>
        <v>0</v>
      </c>
      <c r="DU84" s="675">
        <f t="shared" si="2596"/>
        <v>0</v>
      </c>
      <c r="DV84" s="549">
        <f t="shared" si="2596"/>
        <v>0</v>
      </c>
      <c r="DW84" s="675">
        <f t="shared" si="2596"/>
        <v>0</v>
      </c>
      <c r="DX84" s="549">
        <f t="shared" ref="DX84:EG84" si="2597">SUM(DX623)</f>
        <v>0</v>
      </c>
      <c r="DY84" s="675">
        <f t="shared" si="2597"/>
        <v>0</v>
      </c>
      <c r="DZ84" s="549">
        <f t="shared" si="2597"/>
        <v>0</v>
      </c>
      <c r="EA84" s="675">
        <f t="shared" si="2597"/>
        <v>0</v>
      </c>
      <c r="EB84" s="549">
        <f t="shared" si="2597"/>
        <v>0</v>
      </c>
      <c r="EC84" s="675">
        <f t="shared" si="2597"/>
        <v>0</v>
      </c>
      <c r="ED84" s="549">
        <f t="shared" si="2597"/>
        <v>0</v>
      </c>
      <c r="EE84" s="675">
        <f t="shared" si="2597"/>
        <v>0</v>
      </c>
      <c r="EF84" s="549">
        <f t="shared" si="2597"/>
        <v>0</v>
      </c>
      <c r="EG84" s="675">
        <f t="shared" si="2597"/>
        <v>0</v>
      </c>
      <c r="EH84" s="549">
        <f t="shared" ref="EH84:EM84" si="2598">SUM(EH623)</f>
        <v>0</v>
      </c>
      <c r="EI84" s="675">
        <f t="shared" si="2598"/>
        <v>0</v>
      </c>
      <c r="EJ84" s="549">
        <f t="shared" si="2598"/>
        <v>0</v>
      </c>
      <c r="EK84" s="675">
        <f t="shared" si="2598"/>
        <v>0</v>
      </c>
      <c r="EL84" s="549">
        <f t="shared" si="2598"/>
        <v>0</v>
      </c>
      <c r="EM84" s="675">
        <f t="shared" si="2598"/>
        <v>0</v>
      </c>
      <c r="EN84" s="549">
        <f t="shared" ref="EN84:EO84" si="2599">SUM(EN623)</f>
        <v>0</v>
      </c>
      <c r="EO84" s="675">
        <f t="shared" si="2599"/>
        <v>0</v>
      </c>
      <c r="EP84" s="549">
        <f t="shared" ref="EP84:FA84" si="2600">SUM(EP623)</f>
        <v>0</v>
      </c>
      <c r="EQ84" s="675">
        <f t="shared" si="2600"/>
        <v>0</v>
      </c>
      <c r="ER84" s="549">
        <f t="shared" si="2600"/>
        <v>0</v>
      </c>
      <c r="ES84" s="675">
        <f t="shared" si="2600"/>
        <v>0</v>
      </c>
      <c r="ET84" s="549">
        <f t="shared" si="2600"/>
        <v>0</v>
      </c>
      <c r="EU84" s="675">
        <f t="shared" si="2600"/>
        <v>0</v>
      </c>
      <c r="EV84" s="549">
        <f t="shared" ref="EV84:EW84" si="2601">SUM(EV623)</f>
        <v>0</v>
      </c>
      <c r="EW84" s="675">
        <f t="shared" si="2601"/>
        <v>0</v>
      </c>
      <c r="EX84" s="549">
        <f t="shared" si="2600"/>
        <v>0</v>
      </c>
      <c r="EY84" s="675">
        <f t="shared" si="2600"/>
        <v>0</v>
      </c>
      <c r="EZ84" s="549">
        <f t="shared" si="2600"/>
        <v>0</v>
      </c>
      <c r="FA84" s="675">
        <f t="shared" si="2600"/>
        <v>0</v>
      </c>
      <c r="FB84" s="549">
        <f t="shared" ref="FB84:FC84" si="2602">SUM(FB623)</f>
        <v>0</v>
      </c>
      <c r="FC84" s="675">
        <f t="shared" si="2602"/>
        <v>0</v>
      </c>
      <c r="FD84" s="549">
        <f t="shared" ref="FD84:FE84" si="2603">SUM(FD623)</f>
        <v>0</v>
      </c>
      <c r="FE84" s="675">
        <f t="shared" si="2603"/>
        <v>0</v>
      </c>
      <c r="FF84" s="549">
        <f t="shared" ref="FF84:FG84" si="2604">SUM(FF623)</f>
        <v>0</v>
      </c>
      <c r="FG84" s="675">
        <f t="shared" si="2604"/>
        <v>0</v>
      </c>
      <c r="FH84" s="549">
        <f t="shared" ref="FH84:FI84" si="2605">SUM(FH623)</f>
        <v>0</v>
      </c>
      <c r="FI84" s="675">
        <f t="shared" si="2605"/>
        <v>0</v>
      </c>
      <c r="FJ84" s="549">
        <f t="shared" ref="FJ84:FK84" si="2606">SUM(FJ623)</f>
        <v>0</v>
      </c>
      <c r="FK84" s="675">
        <f t="shared" si="2606"/>
        <v>0</v>
      </c>
      <c r="FL84" s="549">
        <f t="shared" ref="FL84:FM84" si="2607">SUM(FL623)</f>
        <v>0</v>
      </c>
      <c r="FM84" s="675">
        <f t="shared" si="2607"/>
        <v>0</v>
      </c>
      <c r="FN84" s="549">
        <f t="shared" ref="FN84:FO84" si="2608">SUM(FN623)</f>
        <v>0</v>
      </c>
      <c r="FO84" s="675">
        <f t="shared" si="2608"/>
        <v>0</v>
      </c>
      <c r="FP84" s="549">
        <f t="shared" ref="FP84:FQ84" si="2609">SUM(FP623)</f>
        <v>0</v>
      </c>
      <c r="FQ84" s="675">
        <f t="shared" si="2609"/>
        <v>0</v>
      </c>
      <c r="FR84" s="549">
        <f t="shared" ref="FR84:FS84" si="2610">SUM(FR623)</f>
        <v>0</v>
      </c>
      <c r="FS84" s="675">
        <f t="shared" si="2610"/>
        <v>0</v>
      </c>
      <c r="FT84" s="549">
        <f t="shared" ref="FT84:FU84" si="2611">SUM(FT623)</f>
        <v>0</v>
      </c>
      <c r="FU84" s="675">
        <f t="shared" si="2611"/>
        <v>0</v>
      </c>
      <c r="FV84" s="549">
        <f t="shared" ref="FV84:GK84" si="2612">SUM(FV623)</f>
        <v>0</v>
      </c>
      <c r="FW84" s="675">
        <f t="shared" si="2612"/>
        <v>0</v>
      </c>
      <c r="FX84" s="549">
        <f t="shared" si="2612"/>
        <v>0</v>
      </c>
      <c r="FY84" s="675">
        <f t="shared" si="2612"/>
        <v>0</v>
      </c>
      <c r="FZ84" s="549">
        <f t="shared" ref="FZ84:GI84" si="2613">SUM(FZ623)</f>
        <v>0</v>
      </c>
      <c r="GA84" s="675">
        <f t="shared" si="2613"/>
        <v>0</v>
      </c>
      <c r="GB84" s="549">
        <f t="shared" si="2613"/>
        <v>0</v>
      </c>
      <c r="GC84" s="675">
        <f t="shared" si="2613"/>
        <v>0</v>
      </c>
      <c r="GD84" s="549">
        <f t="shared" si="2613"/>
        <v>0</v>
      </c>
      <c r="GE84" s="675">
        <f t="shared" si="2613"/>
        <v>0</v>
      </c>
      <c r="GF84" s="549">
        <f t="shared" si="2613"/>
        <v>0</v>
      </c>
      <c r="GG84" s="675">
        <f t="shared" si="2613"/>
        <v>0</v>
      </c>
      <c r="GH84" s="549">
        <f t="shared" si="2613"/>
        <v>0</v>
      </c>
      <c r="GI84" s="675">
        <f t="shared" si="2613"/>
        <v>0</v>
      </c>
      <c r="GJ84" s="549">
        <f t="shared" si="2612"/>
        <v>0</v>
      </c>
      <c r="GK84" s="675">
        <f t="shared" si="2612"/>
        <v>0</v>
      </c>
      <c r="GL84" s="549">
        <f t="shared" ref="GL84:GQ84" si="2614">SUM(GL623)</f>
        <v>0</v>
      </c>
      <c r="GM84" s="675">
        <f t="shared" si="2614"/>
        <v>0</v>
      </c>
      <c r="GN84" s="549">
        <f t="shared" ref="GN84:GO84" si="2615">SUM(GN623)</f>
        <v>0</v>
      </c>
      <c r="GO84" s="675">
        <f t="shared" si="2615"/>
        <v>0</v>
      </c>
      <c r="GP84" s="74">
        <f t="shared" si="2614"/>
        <v>299968</v>
      </c>
      <c r="GQ84" s="675">
        <f t="shared" si="2614"/>
        <v>0</v>
      </c>
      <c r="GR84" s="74">
        <f t="shared" ref="GR84:JA84" si="2616">SUM(GR623)</f>
        <v>799968</v>
      </c>
      <c r="GS84" s="74">
        <f t="shared" si="2616"/>
        <v>754514</v>
      </c>
      <c r="GT84" s="549">
        <f t="shared" si="2616"/>
        <v>799968</v>
      </c>
      <c r="GU84" s="74">
        <f t="shared" si="2616"/>
        <v>45460</v>
      </c>
      <c r="GV84" s="74">
        <f t="shared" si="2616"/>
        <v>45454</v>
      </c>
      <c r="GW84" s="549">
        <f t="shared" si="2616"/>
        <v>45454</v>
      </c>
      <c r="GX84" s="549">
        <f t="shared" si="2616"/>
        <v>45454</v>
      </c>
      <c r="GY84" s="74">
        <f t="shared" si="2616"/>
        <v>45454</v>
      </c>
      <c r="GZ84" s="74">
        <f t="shared" si="2616"/>
        <v>45454</v>
      </c>
      <c r="HA84" s="74">
        <f t="shared" si="2616"/>
        <v>45454</v>
      </c>
      <c r="HB84" s="74">
        <f t="shared" si="2616"/>
        <v>45454</v>
      </c>
      <c r="HC84" s="74">
        <f t="shared" si="2616"/>
        <v>45454</v>
      </c>
      <c r="HD84" s="74">
        <f t="shared" si="2616"/>
        <v>45454</v>
      </c>
      <c r="HE84" s="74">
        <f t="shared" si="2616"/>
        <v>45454</v>
      </c>
      <c r="HF84" s="74">
        <f t="shared" si="2616"/>
        <v>0</v>
      </c>
      <c r="HG84" s="74">
        <f t="shared" si="2616"/>
        <v>799968</v>
      </c>
      <c r="HH84" s="74">
        <f t="shared" ref="HH84:HU84" si="2617">SUM(HH623)</f>
        <v>12068.52</v>
      </c>
      <c r="HI84" s="74">
        <f t="shared" si="2617"/>
        <v>0</v>
      </c>
      <c r="HJ84" s="74">
        <f t="shared" si="2617"/>
        <v>66776.960000000006</v>
      </c>
      <c r="HK84" s="74">
        <f t="shared" si="2617"/>
        <v>0</v>
      </c>
      <c r="HL84" s="74">
        <f t="shared" si="2617"/>
        <v>57522.52</v>
      </c>
      <c r="HM84" s="74">
        <f t="shared" si="2617"/>
        <v>0</v>
      </c>
      <c r="HN84" s="74">
        <f t="shared" si="2617"/>
        <v>45454</v>
      </c>
      <c r="HO84" s="74">
        <f t="shared" si="2617"/>
        <v>0</v>
      </c>
      <c r="HP84" s="74">
        <f t="shared" si="2617"/>
        <v>45454</v>
      </c>
      <c r="HQ84" s="74">
        <f t="shared" si="2617"/>
        <v>0</v>
      </c>
      <c r="HR84" s="74">
        <f t="shared" si="2617"/>
        <v>45454</v>
      </c>
      <c r="HS84" s="74">
        <f t="shared" si="2617"/>
        <v>0</v>
      </c>
      <c r="HT84" s="74">
        <f t="shared" si="2617"/>
        <v>45454</v>
      </c>
      <c r="HU84" s="74">
        <f t="shared" si="2617"/>
        <v>0</v>
      </c>
      <c r="HV84" s="74">
        <f t="shared" si="2616"/>
        <v>481784</v>
      </c>
      <c r="HW84" s="74">
        <f t="shared" si="2616"/>
        <v>0</v>
      </c>
      <c r="HX84" s="74">
        <f t="shared" si="2616"/>
        <v>0</v>
      </c>
      <c r="HY84" s="74">
        <f t="shared" si="2616"/>
        <v>0</v>
      </c>
      <c r="HZ84" s="74">
        <f t="shared" si="2616"/>
        <v>0</v>
      </c>
      <c r="IA84" s="74">
        <f t="shared" si="2616"/>
        <v>0</v>
      </c>
      <c r="IB84" s="74">
        <f t="shared" si="2616"/>
        <v>0</v>
      </c>
      <c r="IC84" s="74">
        <f t="shared" si="2616"/>
        <v>0</v>
      </c>
      <c r="ID84" s="74">
        <f t="shared" si="2616"/>
        <v>0</v>
      </c>
      <c r="IE84" s="792">
        <f t="shared" si="2616"/>
        <v>0</v>
      </c>
      <c r="IF84" s="841">
        <f t="shared" si="2616"/>
        <v>528807.51</v>
      </c>
      <c r="IG84" s="263">
        <f t="shared" si="2616"/>
        <v>528807.51</v>
      </c>
      <c r="IH84" s="842">
        <f t="shared" si="2616"/>
        <v>528807.51</v>
      </c>
      <c r="II84" s="155">
        <f t="shared" si="2616"/>
        <v>3634.49</v>
      </c>
      <c r="IJ84" s="74">
        <f t="shared" si="2616"/>
        <v>3634.49</v>
      </c>
      <c r="IK84" s="74">
        <f t="shared" si="2616"/>
        <v>3634.49</v>
      </c>
      <c r="IL84" s="74">
        <f t="shared" si="2616"/>
        <v>7059.3899999999994</v>
      </c>
      <c r="IM84" s="74">
        <f t="shared" si="2616"/>
        <v>7059.3899999999994</v>
      </c>
      <c r="IN84" s="74">
        <f t="shared" si="2616"/>
        <v>7059.3899999999994</v>
      </c>
      <c r="IO84" s="74">
        <f t="shared" si="2616"/>
        <v>6678.8600000000024</v>
      </c>
      <c r="IP84" s="74">
        <f t="shared" si="2616"/>
        <v>6678.8600000000024</v>
      </c>
      <c r="IQ84" s="74">
        <f t="shared" si="2616"/>
        <v>6678.8600000000024</v>
      </c>
      <c r="IR84" s="74">
        <f t="shared" si="2616"/>
        <v>28993.209999999995</v>
      </c>
      <c r="IS84" s="74">
        <f t="shared" si="2616"/>
        <v>28993.209999999995</v>
      </c>
      <c r="IT84" s="74">
        <f t="shared" si="2616"/>
        <v>28993.209999999995</v>
      </c>
      <c r="IU84" s="74">
        <f t="shared" si="2616"/>
        <v>38647.17</v>
      </c>
      <c r="IV84" s="74">
        <f t="shared" si="2616"/>
        <v>38647.17</v>
      </c>
      <c r="IW84" s="74">
        <f t="shared" si="2616"/>
        <v>38647.17</v>
      </c>
      <c r="IX84" s="74">
        <f t="shared" si="2616"/>
        <v>147936.51</v>
      </c>
      <c r="IY84" s="74">
        <f t="shared" si="2616"/>
        <v>147936.51</v>
      </c>
      <c r="IZ84" s="74">
        <f t="shared" si="2616"/>
        <v>147936.51</v>
      </c>
      <c r="JA84" s="74">
        <f t="shared" si="2616"/>
        <v>61015</v>
      </c>
      <c r="JB84" s="74">
        <f t="shared" ref="JB84:JT84" si="2618">SUM(JB623)</f>
        <v>61015</v>
      </c>
      <c r="JC84" s="74">
        <f t="shared" si="2618"/>
        <v>61015</v>
      </c>
      <c r="JD84" s="74">
        <f t="shared" si="2618"/>
        <v>76944.13</v>
      </c>
      <c r="JE84" s="74">
        <f t="shared" si="2618"/>
        <v>76944.13</v>
      </c>
      <c r="JF84" s="74">
        <f t="shared" si="2618"/>
        <v>76944.13</v>
      </c>
      <c r="JG84" s="74">
        <f t="shared" si="2618"/>
        <v>104558.26000000001</v>
      </c>
      <c r="JH84" s="74">
        <f t="shared" si="2618"/>
        <v>104558.26000000001</v>
      </c>
      <c r="JI84" s="74">
        <f t="shared" si="2618"/>
        <v>104558.26000000001</v>
      </c>
      <c r="JJ84" s="74">
        <f t="shared" si="2618"/>
        <v>53340.489999999991</v>
      </c>
      <c r="JK84" s="74">
        <f t="shared" si="2618"/>
        <v>53340.489999999991</v>
      </c>
      <c r="JL84" s="74">
        <f t="shared" si="2618"/>
        <v>53340.489999999991</v>
      </c>
      <c r="JM84" s="74">
        <f t="shared" si="2618"/>
        <v>0</v>
      </c>
      <c r="JN84" s="74">
        <f t="shared" si="2618"/>
        <v>0</v>
      </c>
      <c r="JO84" s="74">
        <f t="shared" si="2618"/>
        <v>0</v>
      </c>
      <c r="JP84" s="74">
        <f t="shared" si="2618"/>
        <v>0</v>
      </c>
      <c r="JQ84" s="74">
        <f t="shared" si="2618"/>
        <v>0</v>
      </c>
      <c r="JR84" s="74">
        <f t="shared" si="2618"/>
        <v>0</v>
      </c>
      <c r="JS84" s="74">
        <f t="shared" si="2618"/>
        <v>271160.49</v>
      </c>
      <c r="JT84" s="382">
        <f t="shared" si="2618"/>
        <v>225706.49</v>
      </c>
      <c r="JU84" s="671"/>
      <c r="JV84" s="492"/>
      <c r="JW84" s="490"/>
      <c r="JX84" s="549">
        <f>SUM(JX623)</f>
        <v>799968</v>
      </c>
      <c r="JY84" s="549">
        <f>SUM(JY623)</f>
        <v>0</v>
      </c>
      <c r="JZ84" s="581">
        <f t="shared" si="2110"/>
        <v>299968</v>
      </c>
      <c r="KA84" s="581">
        <f t="shared" si="2111"/>
        <v>0</v>
      </c>
      <c r="KB84" s="549">
        <f>SUM(KB623)</f>
        <v>799968</v>
      </c>
      <c r="KC84" s="709">
        <f t="shared" si="2079"/>
        <v>0</v>
      </c>
      <c r="KD84" s="36"/>
      <c r="KE84" s="36"/>
      <c r="KF84" s="36"/>
      <c r="KG84" s="36"/>
      <c r="KH84" s="36"/>
      <c r="KI84" s="36"/>
      <c r="KJ84" s="36"/>
      <c r="KK84" s="36"/>
    </row>
    <row r="85" spans="1:297" s="8" customFormat="1">
      <c r="A85" s="75"/>
      <c r="B85" s="72"/>
      <c r="C85" s="74"/>
      <c r="D85" s="549"/>
      <c r="E85" s="675"/>
      <c r="F85" s="549"/>
      <c r="G85" s="675"/>
      <c r="H85" s="549"/>
      <c r="I85" s="675"/>
      <c r="J85" s="549"/>
      <c r="K85" s="675"/>
      <c r="L85" s="549"/>
      <c r="M85" s="675"/>
      <c r="N85" s="549"/>
      <c r="O85" s="675"/>
      <c r="P85" s="549"/>
      <c r="Q85" s="675"/>
      <c r="R85" s="549"/>
      <c r="S85" s="675"/>
      <c r="T85" s="549"/>
      <c r="U85" s="675"/>
      <c r="V85" s="549"/>
      <c r="W85" s="675"/>
      <c r="X85" s="549"/>
      <c r="Y85" s="675"/>
      <c r="Z85" s="549"/>
      <c r="AA85" s="675"/>
      <c r="AB85" s="549"/>
      <c r="AC85" s="675"/>
      <c r="AD85" s="549"/>
      <c r="AE85" s="675"/>
      <c r="AF85" s="549"/>
      <c r="AG85" s="675"/>
      <c r="AH85" s="549"/>
      <c r="AI85" s="675"/>
      <c r="AJ85" s="549"/>
      <c r="AK85" s="675"/>
      <c r="AL85" s="549"/>
      <c r="AM85" s="675"/>
      <c r="AN85" s="549"/>
      <c r="AO85" s="675"/>
      <c r="AP85" s="549"/>
      <c r="AQ85" s="675"/>
      <c r="AR85" s="549"/>
      <c r="AS85" s="675"/>
      <c r="AT85" s="549"/>
      <c r="AU85" s="675"/>
      <c r="AV85" s="549"/>
      <c r="AW85" s="675"/>
      <c r="AX85" s="549"/>
      <c r="AY85" s="675"/>
      <c r="AZ85" s="549"/>
      <c r="BA85" s="675"/>
      <c r="BB85" s="549"/>
      <c r="BC85" s="675"/>
      <c r="BD85" s="549"/>
      <c r="BE85" s="675"/>
      <c r="BF85" s="549"/>
      <c r="BG85" s="675"/>
      <c r="BH85" s="549"/>
      <c r="BI85" s="675"/>
      <c r="BJ85" s="549"/>
      <c r="BK85" s="675"/>
      <c r="BL85" s="549"/>
      <c r="BM85" s="675"/>
      <c r="BN85" s="549"/>
      <c r="BO85" s="675"/>
      <c r="BP85" s="549"/>
      <c r="BQ85" s="675"/>
      <c r="BR85" s="549"/>
      <c r="BS85" s="675"/>
      <c r="BT85" s="549"/>
      <c r="BU85" s="675"/>
      <c r="BV85" s="549"/>
      <c r="BW85" s="675"/>
      <c r="BX85" s="549"/>
      <c r="BY85" s="675"/>
      <c r="BZ85" s="549"/>
      <c r="CA85" s="675"/>
      <c r="CB85" s="549"/>
      <c r="CC85" s="675"/>
      <c r="CD85" s="549"/>
      <c r="CE85" s="675"/>
      <c r="CF85" s="549"/>
      <c r="CG85" s="675"/>
      <c r="CH85" s="549"/>
      <c r="CI85" s="675"/>
      <c r="CJ85" s="549"/>
      <c r="CK85" s="675"/>
      <c r="CL85" s="549"/>
      <c r="CM85" s="675"/>
      <c r="CN85" s="549"/>
      <c r="CO85" s="675"/>
      <c r="CP85" s="549"/>
      <c r="CQ85" s="675"/>
      <c r="CR85" s="549"/>
      <c r="CS85" s="675"/>
      <c r="CT85" s="549"/>
      <c r="CU85" s="675"/>
      <c r="CV85" s="549"/>
      <c r="CW85" s="675"/>
      <c r="CX85" s="549"/>
      <c r="CY85" s="675"/>
      <c r="CZ85" s="549"/>
      <c r="DA85" s="675"/>
      <c r="DB85" s="549"/>
      <c r="DC85" s="675"/>
      <c r="DD85" s="549"/>
      <c r="DE85" s="675"/>
      <c r="DF85" s="549"/>
      <c r="DG85" s="675"/>
      <c r="DH85" s="549"/>
      <c r="DI85" s="675"/>
      <c r="DJ85" s="549"/>
      <c r="DK85" s="675"/>
      <c r="DL85" s="549"/>
      <c r="DM85" s="675"/>
      <c r="DN85" s="549"/>
      <c r="DO85" s="675"/>
      <c r="DP85" s="549"/>
      <c r="DQ85" s="675"/>
      <c r="DR85" s="549"/>
      <c r="DS85" s="675"/>
      <c r="DT85" s="549"/>
      <c r="DU85" s="675"/>
      <c r="DV85" s="549"/>
      <c r="DW85" s="675"/>
      <c r="DX85" s="549"/>
      <c r="DY85" s="675"/>
      <c r="DZ85" s="549"/>
      <c r="EA85" s="675"/>
      <c r="EB85" s="549"/>
      <c r="EC85" s="675"/>
      <c r="ED85" s="549"/>
      <c r="EE85" s="675"/>
      <c r="EF85" s="549"/>
      <c r="EG85" s="675"/>
      <c r="EH85" s="549"/>
      <c r="EI85" s="675"/>
      <c r="EJ85" s="549"/>
      <c r="EK85" s="675"/>
      <c r="EL85" s="549"/>
      <c r="EM85" s="675"/>
      <c r="EN85" s="549"/>
      <c r="EO85" s="675"/>
      <c r="EP85" s="549"/>
      <c r="EQ85" s="675"/>
      <c r="ER85" s="549"/>
      <c r="ES85" s="675"/>
      <c r="ET85" s="549"/>
      <c r="EU85" s="675"/>
      <c r="EV85" s="549"/>
      <c r="EW85" s="675"/>
      <c r="EX85" s="549"/>
      <c r="EY85" s="675"/>
      <c r="EZ85" s="549"/>
      <c r="FA85" s="675"/>
      <c r="FB85" s="549"/>
      <c r="FC85" s="675"/>
      <c r="FD85" s="549"/>
      <c r="FE85" s="675"/>
      <c r="FF85" s="549"/>
      <c r="FG85" s="675"/>
      <c r="FH85" s="549"/>
      <c r="FI85" s="675"/>
      <c r="FJ85" s="549"/>
      <c r="FK85" s="675"/>
      <c r="FL85" s="549"/>
      <c r="FM85" s="675"/>
      <c r="FN85" s="549"/>
      <c r="FO85" s="675"/>
      <c r="FP85" s="549"/>
      <c r="FQ85" s="675"/>
      <c r="FR85" s="549"/>
      <c r="FS85" s="675"/>
      <c r="FT85" s="549"/>
      <c r="FU85" s="675"/>
      <c r="FV85" s="549"/>
      <c r="FW85" s="675"/>
      <c r="FX85" s="549"/>
      <c r="FY85" s="675"/>
      <c r="FZ85" s="549"/>
      <c r="GA85" s="675"/>
      <c r="GB85" s="549"/>
      <c r="GC85" s="675"/>
      <c r="GD85" s="549"/>
      <c r="GE85" s="675"/>
      <c r="GF85" s="549"/>
      <c r="GG85" s="675"/>
      <c r="GH85" s="549"/>
      <c r="GI85" s="675"/>
      <c r="GJ85" s="549"/>
      <c r="GK85" s="675"/>
      <c r="GL85" s="549"/>
      <c r="GM85" s="675"/>
      <c r="GN85" s="549"/>
      <c r="GO85" s="675"/>
      <c r="GP85" s="74"/>
      <c r="GQ85" s="675"/>
      <c r="GR85" s="74"/>
      <c r="GS85" s="74"/>
      <c r="GT85" s="549"/>
      <c r="GU85" s="74"/>
      <c r="GV85" s="74"/>
      <c r="GW85" s="549"/>
      <c r="GX85" s="549"/>
      <c r="GY85" s="74"/>
      <c r="GZ85" s="74"/>
      <c r="HA85" s="74"/>
      <c r="HB85" s="74"/>
      <c r="HC85" s="74"/>
      <c r="HD85" s="74"/>
      <c r="HE85" s="74"/>
      <c r="HF85" s="74"/>
      <c r="HG85" s="74"/>
      <c r="HH85" s="74"/>
      <c r="HI85" s="74"/>
      <c r="HJ85" s="74"/>
      <c r="HK85" s="74"/>
      <c r="HL85" s="74"/>
      <c r="HM85" s="74"/>
      <c r="HN85" s="74"/>
      <c r="HO85" s="74"/>
      <c r="HP85" s="74"/>
      <c r="HQ85" s="74"/>
      <c r="HR85" s="74"/>
      <c r="HS85" s="74"/>
      <c r="HT85" s="74"/>
      <c r="HU85" s="74"/>
      <c r="HV85" s="74"/>
      <c r="HW85" s="74"/>
      <c r="HX85" s="74"/>
      <c r="HY85" s="74"/>
      <c r="HZ85" s="74"/>
      <c r="IA85" s="74"/>
      <c r="IB85" s="74"/>
      <c r="IC85" s="74"/>
      <c r="ID85" s="74"/>
      <c r="IE85" s="792"/>
      <c r="IF85" s="841"/>
      <c r="IG85" s="263"/>
      <c r="IH85" s="842"/>
      <c r="II85" s="155"/>
      <c r="IJ85" s="74"/>
      <c r="IK85" s="74"/>
      <c r="IL85" s="74"/>
      <c r="IM85" s="74"/>
      <c r="IN85" s="74"/>
      <c r="IO85" s="74"/>
      <c r="IP85" s="74"/>
      <c r="IQ85" s="74"/>
      <c r="IR85" s="74"/>
      <c r="IS85" s="74"/>
      <c r="IT85" s="74"/>
      <c r="IU85" s="74"/>
      <c r="IV85" s="74"/>
      <c r="IW85" s="74"/>
      <c r="IX85" s="74"/>
      <c r="IY85" s="74"/>
      <c r="IZ85" s="74"/>
      <c r="JA85" s="74"/>
      <c r="JB85" s="74"/>
      <c r="JC85" s="74"/>
      <c r="JD85" s="74"/>
      <c r="JE85" s="74"/>
      <c r="JF85" s="74"/>
      <c r="JG85" s="74"/>
      <c r="JH85" s="74"/>
      <c r="JI85" s="74"/>
      <c r="JJ85" s="74"/>
      <c r="JK85" s="74"/>
      <c r="JL85" s="74"/>
      <c r="JM85" s="74"/>
      <c r="JN85" s="74"/>
      <c r="JO85" s="74"/>
      <c r="JP85" s="74"/>
      <c r="JQ85" s="74"/>
      <c r="JR85" s="74"/>
      <c r="JS85" s="74"/>
      <c r="JT85" s="382"/>
      <c r="JU85" s="671"/>
      <c r="JV85" s="492"/>
      <c r="JW85" s="490"/>
      <c r="JX85" s="549"/>
      <c r="JY85" s="549"/>
      <c r="JZ85" s="581">
        <f t="shared" si="2110"/>
        <v>0</v>
      </c>
      <c r="KA85" s="581">
        <f t="shared" si="2111"/>
        <v>0</v>
      </c>
      <c r="KB85" s="549"/>
      <c r="KC85" s="709">
        <f t="shared" si="2079"/>
        <v>0</v>
      </c>
      <c r="KD85" s="36"/>
      <c r="KE85" s="36"/>
      <c r="KF85" s="36"/>
      <c r="KG85" s="36"/>
      <c r="KH85" s="36"/>
      <c r="KI85" s="36"/>
      <c r="KJ85" s="36"/>
      <c r="KK85" s="36"/>
    </row>
    <row r="86" spans="1:297" s="8" customFormat="1">
      <c r="A86" s="75" t="s">
        <v>115</v>
      </c>
      <c r="B86" s="72" t="s">
        <v>116</v>
      </c>
      <c r="C86" s="74">
        <f t="shared" ref="C86" si="2619">SUM(C87:C92)</f>
        <v>115000</v>
      </c>
      <c r="D86" s="549">
        <f t="shared" ref="D86:E86" si="2620">SUM(D87:D92)</f>
        <v>0</v>
      </c>
      <c r="E86" s="675">
        <f t="shared" si="2620"/>
        <v>0</v>
      </c>
      <c r="F86" s="549">
        <f t="shared" ref="F86:G86" si="2621">SUM(F87:F92)</f>
        <v>0</v>
      </c>
      <c r="G86" s="675">
        <f t="shared" si="2621"/>
        <v>0</v>
      </c>
      <c r="H86" s="549">
        <f t="shared" ref="H86:I86" si="2622">SUM(H87:H92)</f>
        <v>0</v>
      </c>
      <c r="I86" s="675">
        <f t="shared" si="2622"/>
        <v>0</v>
      </c>
      <c r="J86" s="549">
        <f t="shared" ref="J86:K86" si="2623">SUM(J87:J92)</f>
        <v>0</v>
      </c>
      <c r="K86" s="675">
        <f t="shared" si="2623"/>
        <v>0</v>
      </c>
      <c r="L86" s="549">
        <f t="shared" ref="L86:M86" si="2624">SUM(L87:L92)</f>
        <v>0</v>
      </c>
      <c r="M86" s="675">
        <f t="shared" si="2624"/>
        <v>0</v>
      </c>
      <c r="N86" s="549">
        <f t="shared" ref="N86:O86" si="2625">SUM(N87:N92)</f>
        <v>0</v>
      </c>
      <c r="O86" s="675">
        <f t="shared" si="2625"/>
        <v>0</v>
      </c>
      <c r="P86" s="549">
        <f t="shared" ref="P86:Q86" si="2626">SUM(P87:P92)</f>
        <v>0</v>
      </c>
      <c r="Q86" s="675">
        <f t="shared" si="2626"/>
        <v>0</v>
      </c>
      <c r="R86" s="549">
        <f t="shared" ref="R86:S86" si="2627">SUM(R87:R92)</f>
        <v>0</v>
      </c>
      <c r="S86" s="675">
        <f t="shared" si="2627"/>
        <v>0</v>
      </c>
      <c r="T86" s="549">
        <f t="shared" ref="T86:U86" si="2628">SUM(T87:T92)</f>
        <v>0</v>
      </c>
      <c r="U86" s="675">
        <f t="shared" si="2628"/>
        <v>0</v>
      </c>
      <c r="V86" s="549">
        <f t="shared" ref="V86:W86" si="2629">SUM(V87:V92)</f>
        <v>0</v>
      </c>
      <c r="W86" s="675">
        <f t="shared" si="2629"/>
        <v>0</v>
      </c>
      <c r="X86" s="549">
        <f t="shared" ref="X86:Y86" si="2630">SUM(X87:X92)</f>
        <v>0</v>
      </c>
      <c r="Y86" s="675">
        <f t="shared" si="2630"/>
        <v>-10000</v>
      </c>
      <c r="Z86" s="549">
        <f t="shared" ref="Z86:AA86" si="2631">SUM(Z87:Z92)</f>
        <v>0</v>
      </c>
      <c r="AA86" s="675">
        <f t="shared" si="2631"/>
        <v>0</v>
      </c>
      <c r="AB86" s="549">
        <f t="shared" ref="AB86:AC86" si="2632">SUM(AB87:AB92)</f>
        <v>0</v>
      </c>
      <c r="AC86" s="675">
        <f t="shared" si="2632"/>
        <v>0</v>
      </c>
      <c r="AD86" s="549">
        <f t="shared" ref="AD86:AE86" si="2633">SUM(AD87:AD92)</f>
        <v>0</v>
      </c>
      <c r="AE86" s="675">
        <f t="shared" si="2633"/>
        <v>0</v>
      </c>
      <c r="AF86" s="549">
        <f t="shared" ref="AF86:AI86" si="2634">SUM(AF87:AF92)</f>
        <v>0</v>
      </c>
      <c r="AG86" s="675">
        <f t="shared" si="2634"/>
        <v>-10000</v>
      </c>
      <c r="AH86" s="549">
        <f t="shared" si="2634"/>
        <v>0</v>
      </c>
      <c r="AI86" s="675">
        <f t="shared" si="2634"/>
        <v>0</v>
      </c>
      <c r="AJ86" s="549">
        <f t="shared" ref="AJ86:AK86" si="2635">SUM(AJ87:AJ92)</f>
        <v>0</v>
      </c>
      <c r="AK86" s="675">
        <f t="shared" si="2635"/>
        <v>0</v>
      </c>
      <c r="AL86" s="549">
        <f t="shared" ref="AL86:AM86" si="2636">SUM(AL87:AL92)</f>
        <v>0</v>
      </c>
      <c r="AM86" s="675">
        <f t="shared" si="2636"/>
        <v>0</v>
      </c>
      <c r="AN86" s="549">
        <f t="shared" ref="AN86:AO86" si="2637">SUM(AN87:AN92)</f>
        <v>0</v>
      </c>
      <c r="AO86" s="675">
        <f t="shared" si="2637"/>
        <v>0</v>
      </c>
      <c r="AP86" s="549">
        <f t="shared" ref="AP86:AQ86" si="2638">SUM(AP87:AP92)</f>
        <v>0</v>
      </c>
      <c r="AQ86" s="675">
        <f t="shared" si="2638"/>
        <v>0</v>
      </c>
      <c r="AR86" s="549">
        <f t="shared" ref="AR86:AS86" si="2639">SUM(AR87:AR92)</f>
        <v>0</v>
      </c>
      <c r="AS86" s="675">
        <f t="shared" si="2639"/>
        <v>0</v>
      </c>
      <c r="AT86" s="549">
        <f t="shared" ref="AT86:AU86" si="2640">SUM(AT87:AT92)</f>
        <v>0</v>
      </c>
      <c r="AU86" s="675">
        <f t="shared" si="2640"/>
        <v>0</v>
      </c>
      <c r="AV86" s="549">
        <f t="shared" ref="AV86:AW86" si="2641">SUM(AV87:AV92)</f>
        <v>0</v>
      </c>
      <c r="AW86" s="675">
        <f t="shared" si="2641"/>
        <v>0</v>
      </c>
      <c r="AX86" s="549">
        <f t="shared" ref="AX86:AY86" si="2642">SUM(AX87:AX92)</f>
        <v>0</v>
      </c>
      <c r="AY86" s="675">
        <f t="shared" si="2642"/>
        <v>0</v>
      </c>
      <c r="AZ86" s="549">
        <f t="shared" ref="AZ86:BA86" si="2643">SUM(AZ87:AZ92)</f>
        <v>0</v>
      </c>
      <c r="BA86" s="675">
        <f t="shared" si="2643"/>
        <v>-10000</v>
      </c>
      <c r="BB86" s="549">
        <f t="shared" ref="BB86:BC86" si="2644">SUM(BB87:BB92)</f>
        <v>0</v>
      </c>
      <c r="BC86" s="675">
        <f t="shared" si="2644"/>
        <v>0</v>
      </c>
      <c r="BD86" s="549">
        <f t="shared" ref="BD86:BE86" si="2645">SUM(BD87:BD92)</f>
        <v>0</v>
      </c>
      <c r="BE86" s="675">
        <f t="shared" si="2645"/>
        <v>0</v>
      </c>
      <c r="BF86" s="549">
        <f t="shared" ref="BF86:BG86" si="2646">SUM(BF87:BF92)</f>
        <v>0</v>
      </c>
      <c r="BG86" s="675">
        <f t="shared" si="2646"/>
        <v>0</v>
      </c>
      <c r="BH86" s="549">
        <f t="shared" ref="BH86:BI86" si="2647">SUM(BH87:BH92)</f>
        <v>0</v>
      </c>
      <c r="BI86" s="675">
        <f t="shared" si="2647"/>
        <v>0</v>
      </c>
      <c r="BJ86" s="549">
        <f t="shared" ref="BJ86:BK86" si="2648">SUM(BJ87:BJ92)</f>
        <v>0</v>
      </c>
      <c r="BK86" s="675">
        <f t="shared" si="2648"/>
        <v>0</v>
      </c>
      <c r="BL86" s="549">
        <f t="shared" ref="BL86:BM86" si="2649">SUM(BL87:BL92)</f>
        <v>0</v>
      </c>
      <c r="BM86" s="675">
        <f t="shared" si="2649"/>
        <v>0</v>
      </c>
      <c r="BN86" s="549">
        <f t="shared" ref="BN86:BO86" si="2650">SUM(BN87:BN92)</f>
        <v>0</v>
      </c>
      <c r="BO86" s="675">
        <f t="shared" si="2650"/>
        <v>0</v>
      </c>
      <c r="BP86" s="549">
        <f t="shared" ref="BP86:BQ86" si="2651">SUM(BP87:BP92)</f>
        <v>0</v>
      </c>
      <c r="BQ86" s="675">
        <f t="shared" si="2651"/>
        <v>0</v>
      </c>
      <c r="BR86" s="549">
        <f t="shared" ref="BR86:BS86" si="2652">SUM(BR87:BR92)</f>
        <v>0</v>
      </c>
      <c r="BS86" s="675">
        <f t="shared" si="2652"/>
        <v>0</v>
      </c>
      <c r="BT86" s="549">
        <f t="shared" ref="BT86:BU86" si="2653">SUM(BT87:BT92)</f>
        <v>0</v>
      </c>
      <c r="BU86" s="675">
        <f t="shared" si="2653"/>
        <v>0</v>
      </c>
      <c r="BV86" s="549">
        <f t="shared" ref="BV86:BW86" si="2654">SUM(BV87:BV92)</f>
        <v>0</v>
      </c>
      <c r="BW86" s="675">
        <f t="shared" si="2654"/>
        <v>0</v>
      </c>
      <c r="BX86" s="549">
        <f t="shared" ref="BX86:BY86" si="2655">SUM(BX87:BX92)</f>
        <v>0</v>
      </c>
      <c r="BY86" s="675">
        <f t="shared" si="2655"/>
        <v>0</v>
      </c>
      <c r="BZ86" s="549">
        <f t="shared" ref="BZ86:CA86" si="2656">SUM(BZ87:BZ92)</f>
        <v>0</v>
      </c>
      <c r="CA86" s="675">
        <f t="shared" si="2656"/>
        <v>0</v>
      </c>
      <c r="CB86" s="549">
        <f t="shared" ref="CB86:CC86" si="2657">SUM(CB87:CB92)</f>
        <v>0</v>
      </c>
      <c r="CC86" s="675">
        <f t="shared" si="2657"/>
        <v>0</v>
      </c>
      <c r="CD86" s="549">
        <f t="shared" ref="CD86:CE86" si="2658">SUM(CD87:CD92)</f>
        <v>0</v>
      </c>
      <c r="CE86" s="675">
        <f t="shared" si="2658"/>
        <v>0</v>
      </c>
      <c r="CF86" s="549">
        <f t="shared" ref="CF86:CG86" si="2659">SUM(CF87:CF92)</f>
        <v>0</v>
      </c>
      <c r="CG86" s="675">
        <f t="shared" si="2659"/>
        <v>0</v>
      </c>
      <c r="CH86" s="549">
        <f t="shared" ref="CH86:CI86" si="2660">SUM(CH87:CH92)</f>
        <v>0</v>
      </c>
      <c r="CI86" s="675">
        <f t="shared" si="2660"/>
        <v>0</v>
      </c>
      <c r="CJ86" s="549">
        <f t="shared" ref="CJ86:CK86" si="2661">SUM(CJ87:CJ92)</f>
        <v>0</v>
      </c>
      <c r="CK86" s="675">
        <f t="shared" si="2661"/>
        <v>-25000</v>
      </c>
      <c r="CL86" s="549">
        <f t="shared" ref="CL86:CM86" si="2662">SUM(CL87:CL92)</f>
        <v>0</v>
      </c>
      <c r="CM86" s="675">
        <f t="shared" si="2662"/>
        <v>-10000</v>
      </c>
      <c r="CN86" s="549">
        <f t="shared" ref="CN86:CO86" si="2663">SUM(CN87:CN92)</f>
        <v>0</v>
      </c>
      <c r="CO86" s="675">
        <f t="shared" si="2663"/>
        <v>0</v>
      </c>
      <c r="CP86" s="549">
        <f t="shared" ref="CP86:CQ86" si="2664">SUM(CP87:CP92)</f>
        <v>0</v>
      </c>
      <c r="CQ86" s="675">
        <f t="shared" si="2664"/>
        <v>0</v>
      </c>
      <c r="CR86" s="549">
        <f t="shared" ref="CR86:CS86" si="2665">SUM(CR87:CR92)</f>
        <v>0</v>
      </c>
      <c r="CS86" s="675">
        <f t="shared" si="2665"/>
        <v>0</v>
      </c>
      <c r="CT86" s="549">
        <f t="shared" ref="CT86:CU86" si="2666">SUM(CT87:CT92)</f>
        <v>0</v>
      </c>
      <c r="CU86" s="675">
        <f t="shared" si="2666"/>
        <v>0</v>
      </c>
      <c r="CV86" s="549">
        <f t="shared" ref="CV86:CW86" si="2667">SUM(CV87:CV92)</f>
        <v>0</v>
      </c>
      <c r="CW86" s="675">
        <f t="shared" si="2667"/>
        <v>0</v>
      </c>
      <c r="CX86" s="549">
        <f t="shared" ref="CX86:CY86" si="2668">SUM(CX87:CX92)</f>
        <v>0</v>
      </c>
      <c r="CY86" s="675">
        <f t="shared" si="2668"/>
        <v>0</v>
      </c>
      <c r="CZ86" s="549">
        <f t="shared" ref="CZ86:DG86" si="2669">SUM(CZ87:CZ92)</f>
        <v>0</v>
      </c>
      <c r="DA86" s="675">
        <f t="shared" si="2669"/>
        <v>0</v>
      </c>
      <c r="DB86" s="549">
        <f t="shared" si="2669"/>
        <v>0</v>
      </c>
      <c r="DC86" s="675">
        <f t="shared" si="2669"/>
        <v>0</v>
      </c>
      <c r="DD86" s="549">
        <f t="shared" si="2669"/>
        <v>0</v>
      </c>
      <c r="DE86" s="675">
        <f t="shared" si="2669"/>
        <v>0</v>
      </c>
      <c r="DF86" s="549">
        <f t="shared" si="2669"/>
        <v>0</v>
      </c>
      <c r="DG86" s="675">
        <f t="shared" si="2669"/>
        <v>0</v>
      </c>
      <c r="DH86" s="549">
        <f t="shared" ref="DH86:DM86" si="2670">SUM(DH87:DH92)</f>
        <v>0</v>
      </c>
      <c r="DI86" s="675">
        <f t="shared" si="2670"/>
        <v>-12000</v>
      </c>
      <c r="DJ86" s="549">
        <f t="shared" si="2670"/>
        <v>0</v>
      </c>
      <c r="DK86" s="675">
        <f t="shared" si="2670"/>
        <v>-4000</v>
      </c>
      <c r="DL86" s="549">
        <f t="shared" si="2670"/>
        <v>0</v>
      </c>
      <c r="DM86" s="675">
        <f t="shared" si="2670"/>
        <v>0</v>
      </c>
      <c r="DN86" s="549">
        <f t="shared" ref="DN86:DW86" si="2671">SUM(DN87:DN92)</f>
        <v>0</v>
      </c>
      <c r="DO86" s="675">
        <f t="shared" si="2671"/>
        <v>0</v>
      </c>
      <c r="DP86" s="549">
        <f t="shared" si="2671"/>
        <v>0</v>
      </c>
      <c r="DQ86" s="675">
        <f t="shared" si="2671"/>
        <v>0</v>
      </c>
      <c r="DR86" s="549">
        <f t="shared" si="2671"/>
        <v>0</v>
      </c>
      <c r="DS86" s="675">
        <f t="shared" si="2671"/>
        <v>0</v>
      </c>
      <c r="DT86" s="549">
        <f t="shared" si="2671"/>
        <v>0</v>
      </c>
      <c r="DU86" s="675">
        <f t="shared" si="2671"/>
        <v>0</v>
      </c>
      <c r="DV86" s="549">
        <f t="shared" si="2671"/>
        <v>0</v>
      </c>
      <c r="DW86" s="675">
        <f t="shared" si="2671"/>
        <v>0</v>
      </c>
      <c r="DX86" s="549">
        <f t="shared" ref="DX86:EG86" si="2672">SUM(DX87:DX92)</f>
        <v>0</v>
      </c>
      <c r="DY86" s="675">
        <f t="shared" si="2672"/>
        <v>0</v>
      </c>
      <c r="DZ86" s="549">
        <f t="shared" si="2672"/>
        <v>0</v>
      </c>
      <c r="EA86" s="675">
        <f t="shared" si="2672"/>
        <v>0</v>
      </c>
      <c r="EB86" s="549">
        <f t="shared" si="2672"/>
        <v>0</v>
      </c>
      <c r="EC86" s="675">
        <f t="shared" si="2672"/>
        <v>0</v>
      </c>
      <c r="ED86" s="549">
        <f t="shared" si="2672"/>
        <v>0</v>
      </c>
      <c r="EE86" s="675">
        <f t="shared" si="2672"/>
        <v>0</v>
      </c>
      <c r="EF86" s="549">
        <f t="shared" si="2672"/>
        <v>0</v>
      </c>
      <c r="EG86" s="675">
        <f t="shared" si="2672"/>
        <v>0</v>
      </c>
      <c r="EH86" s="549">
        <f t="shared" ref="EH86:EM86" si="2673">SUM(EH87:EH92)</f>
        <v>0</v>
      </c>
      <c r="EI86" s="675">
        <f t="shared" si="2673"/>
        <v>0</v>
      </c>
      <c r="EJ86" s="549">
        <f t="shared" si="2673"/>
        <v>0</v>
      </c>
      <c r="EK86" s="675">
        <f t="shared" si="2673"/>
        <v>0</v>
      </c>
      <c r="EL86" s="549">
        <f t="shared" si="2673"/>
        <v>0</v>
      </c>
      <c r="EM86" s="675">
        <f t="shared" si="2673"/>
        <v>-10000</v>
      </c>
      <c r="EN86" s="549">
        <f t="shared" ref="EN86:EO86" si="2674">SUM(EN87:EN92)</f>
        <v>0</v>
      </c>
      <c r="EO86" s="675">
        <f t="shared" si="2674"/>
        <v>0</v>
      </c>
      <c r="EP86" s="549">
        <f t="shared" ref="EP86:FA86" si="2675">SUM(EP87:EP92)</f>
        <v>0</v>
      </c>
      <c r="EQ86" s="675">
        <f t="shared" si="2675"/>
        <v>0</v>
      </c>
      <c r="ER86" s="549">
        <f t="shared" si="2675"/>
        <v>0</v>
      </c>
      <c r="ES86" s="675">
        <f t="shared" si="2675"/>
        <v>0</v>
      </c>
      <c r="ET86" s="549">
        <f t="shared" si="2675"/>
        <v>0</v>
      </c>
      <c r="EU86" s="675">
        <f t="shared" si="2675"/>
        <v>0</v>
      </c>
      <c r="EV86" s="549">
        <f t="shared" ref="EV86:EW86" si="2676">SUM(EV87:EV92)</f>
        <v>0</v>
      </c>
      <c r="EW86" s="675">
        <f t="shared" si="2676"/>
        <v>0</v>
      </c>
      <c r="EX86" s="549">
        <f t="shared" si="2675"/>
        <v>0</v>
      </c>
      <c r="EY86" s="675">
        <f t="shared" si="2675"/>
        <v>0</v>
      </c>
      <c r="EZ86" s="549">
        <f t="shared" si="2675"/>
        <v>0</v>
      </c>
      <c r="FA86" s="675">
        <f t="shared" si="2675"/>
        <v>0</v>
      </c>
      <c r="FB86" s="549">
        <f t="shared" ref="FB86:FC86" si="2677">SUM(FB87:FB92)</f>
        <v>0</v>
      </c>
      <c r="FC86" s="675">
        <f t="shared" si="2677"/>
        <v>0</v>
      </c>
      <c r="FD86" s="549">
        <f t="shared" ref="FD86:FE86" si="2678">SUM(FD87:FD92)</f>
        <v>0</v>
      </c>
      <c r="FE86" s="675">
        <f t="shared" si="2678"/>
        <v>0</v>
      </c>
      <c r="FF86" s="549">
        <f t="shared" ref="FF86:FG86" si="2679">SUM(FF87:FF92)</f>
        <v>0</v>
      </c>
      <c r="FG86" s="675">
        <f t="shared" si="2679"/>
        <v>0</v>
      </c>
      <c r="FH86" s="549">
        <f t="shared" ref="FH86:FI86" si="2680">SUM(FH87:FH92)</f>
        <v>0</v>
      </c>
      <c r="FI86" s="675">
        <f t="shared" si="2680"/>
        <v>0</v>
      </c>
      <c r="FJ86" s="549">
        <f t="shared" ref="FJ86:FK86" si="2681">SUM(FJ87:FJ92)</f>
        <v>0</v>
      </c>
      <c r="FK86" s="675">
        <f t="shared" si="2681"/>
        <v>0</v>
      </c>
      <c r="FL86" s="549">
        <f t="shared" ref="FL86:FM86" si="2682">SUM(FL87:FL92)</f>
        <v>2000</v>
      </c>
      <c r="FM86" s="675">
        <f t="shared" si="2682"/>
        <v>0</v>
      </c>
      <c r="FN86" s="549">
        <f t="shared" ref="FN86:FO86" si="2683">SUM(FN87:FN92)</f>
        <v>0</v>
      </c>
      <c r="FO86" s="675">
        <f t="shared" si="2683"/>
        <v>0</v>
      </c>
      <c r="FP86" s="549">
        <f t="shared" ref="FP86:FQ86" si="2684">SUM(FP87:FP92)</f>
        <v>0</v>
      </c>
      <c r="FQ86" s="675">
        <f t="shared" si="2684"/>
        <v>0</v>
      </c>
      <c r="FR86" s="549">
        <f t="shared" ref="FR86:FS86" si="2685">SUM(FR87:FR92)</f>
        <v>17000</v>
      </c>
      <c r="FS86" s="675">
        <f t="shared" si="2685"/>
        <v>0</v>
      </c>
      <c r="FT86" s="549">
        <f t="shared" ref="FT86:FU86" si="2686">SUM(FT87:FT92)</f>
        <v>0</v>
      </c>
      <c r="FU86" s="675">
        <f t="shared" si="2686"/>
        <v>0</v>
      </c>
      <c r="FV86" s="549">
        <f t="shared" ref="FV86:GK86" si="2687">SUM(FV87:FV92)</f>
        <v>0</v>
      </c>
      <c r="FW86" s="675">
        <f t="shared" si="2687"/>
        <v>0</v>
      </c>
      <c r="FX86" s="549">
        <f t="shared" si="2687"/>
        <v>0</v>
      </c>
      <c r="FY86" s="675">
        <f t="shared" si="2687"/>
        <v>0</v>
      </c>
      <c r="FZ86" s="549">
        <f t="shared" ref="FZ86:GI86" si="2688">SUM(FZ87:FZ92)</f>
        <v>0</v>
      </c>
      <c r="GA86" s="675">
        <f t="shared" si="2688"/>
        <v>0</v>
      </c>
      <c r="GB86" s="549">
        <f t="shared" si="2688"/>
        <v>0</v>
      </c>
      <c r="GC86" s="675">
        <f t="shared" si="2688"/>
        <v>0</v>
      </c>
      <c r="GD86" s="549">
        <f t="shared" si="2688"/>
        <v>0</v>
      </c>
      <c r="GE86" s="675">
        <f t="shared" si="2688"/>
        <v>0</v>
      </c>
      <c r="GF86" s="549">
        <f t="shared" si="2688"/>
        <v>0</v>
      </c>
      <c r="GG86" s="675">
        <f t="shared" si="2688"/>
        <v>0</v>
      </c>
      <c r="GH86" s="549">
        <f t="shared" si="2688"/>
        <v>0</v>
      </c>
      <c r="GI86" s="675">
        <f t="shared" si="2688"/>
        <v>0</v>
      </c>
      <c r="GJ86" s="549">
        <f t="shared" si="2687"/>
        <v>0</v>
      </c>
      <c r="GK86" s="675">
        <f t="shared" si="2687"/>
        <v>0</v>
      </c>
      <c r="GL86" s="549">
        <f t="shared" ref="GL86:GP86" si="2689">SUM(GL87:GL92)</f>
        <v>0</v>
      </c>
      <c r="GM86" s="675">
        <f t="shared" si="2689"/>
        <v>0</v>
      </c>
      <c r="GN86" s="549">
        <f t="shared" ref="GN86:GO86" si="2690">SUM(GN87:GN92)</f>
        <v>0</v>
      </c>
      <c r="GO86" s="675">
        <f t="shared" si="2690"/>
        <v>0</v>
      </c>
      <c r="GP86" s="74">
        <f t="shared" si="2689"/>
        <v>19000</v>
      </c>
      <c r="GQ86" s="675">
        <f>SUM(GQ87:GQ92)</f>
        <v>-91000</v>
      </c>
      <c r="GR86" s="74">
        <f t="shared" ref="GR86:JM86" si="2691">SUM(GR87:GR92)</f>
        <v>43000</v>
      </c>
      <c r="GS86" s="74">
        <f>SUM(GS87:GS92)</f>
        <v>43000</v>
      </c>
      <c r="GT86" s="549">
        <f t="shared" si="2691"/>
        <v>43000</v>
      </c>
      <c r="GU86" s="74">
        <f>SUM(GU87:GU92)</f>
        <v>7500</v>
      </c>
      <c r="GV86" s="74">
        <f t="shared" ref="GV86:HA86" si="2692">SUM(GV87:GV92)</f>
        <v>17500</v>
      </c>
      <c r="GW86" s="74">
        <f t="shared" si="2692"/>
        <v>7500</v>
      </c>
      <c r="GX86" s="74">
        <f t="shared" si="2692"/>
        <v>17500</v>
      </c>
      <c r="GY86" s="74">
        <f t="shared" si="2692"/>
        <v>7500</v>
      </c>
      <c r="GZ86" s="74">
        <f t="shared" si="2692"/>
        <v>17500</v>
      </c>
      <c r="HA86" s="74">
        <f t="shared" si="2692"/>
        <v>7500</v>
      </c>
      <c r="HB86" s="74">
        <f t="shared" ref="HB86:HF86" si="2693">SUM(HB87:HB92)</f>
        <v>17500</v>
      </c>
      <c r="HC86" s="74">
        <f t="shared" si="2693"/>
        <v>7500</v>
      </c>
      <c r="HD86" s="74">
        <f t="shared" si="2693"/>
        <v>7500</v>
      </c>
      <c r="HE86" s="74">
        <f t="shared" si="2693"/>
        <v>0</v>
      </c>
      <c r="HF86" s="74">
        <f t="shared" si="2693"/>
        <v>0</v>
      </c>
      <c r="HG86" s="74">
        <f t="shared" si="2691"/>
        <v>43000</v>
      </c>
      <c r="HH86" s="74">
        <f t="shared" ref="HH86:HU86" si="2694">SUM(HH87:HH92)</f>
        <v>7500</v>
      </c>
      <c r="HI86" s="74">
        <f t="shared" si="2694"/>
        <v>0</v>
      </c>
      <c r="HJ86" s="74">
        <f t="shared" si="2694"/>
        <v>7500</v>
      </c>
      <c r="HK86" s="74">
        <f t="shared" si="2694"/>
        <v>0</v>
      </c>
      <c r="HL86" s="74">
        <f t="shared" si="2694"/>
        <v>-2500</v>
      </c>
      <c r="HM86" s="74">
        <f t="shared" si="2694"/>
        <v>0</v>
      </c>
      <c r="HN86" s="74">
        <f t="shared" si="2694"/>
        <v>7500</v>
      </c>
      <c r="HO86" s="74">
        <f t="shared" si="2694"/>
        <v>0</v>
      </c>
      <c r="HP86" s="74">
        <f t="shared" si="2694"/>
        <v>-2500</v>
      </c>
      <c r="HQ86" s="74">
        <f t="shared" si="2694"/>
        <v>0</v>
      </c>
      <c r="HR86" s="74">
        <f t="shared" si="2694"/>
        <v>1375.61</v>
      </c>
      <c r="HS86" s="74">
        <f t="shared" si="2694"/>
        <v>0</v>
      </c>
      <c r="HT86" s="74">
        <f t="shared" si="2694"/>
        <v>-1375.61</v>
      </c>
      <c r="HU86" s="74">
        <f t="shared" si="2694"/>
        <v>0</v>
      </c>
      <c r="HV86" s="74">
        <f t="shared" si="2691"/>
        <v>1500</v>
      </c>
      <c r="HW86" s="74">
        <f t="shared" si="2691"/>
        <v>0</v>
      </c>
      <c r="HX86" s="74">
        <f t="shared" si="2691"/>
        <v>-2500</v>
      </c>
      <c r="HY86" s="74">
        <f t="shared" si="2691"/>
        <v>0</v>
      </c>
      <c r="HZ86" s="74">
        <f t="shared" si="2691"/>
        <v>26500</v>
      </c>
      <c r="IA86" s="74">
        <f t="shared" si="2691"/>
        <v>0</v>
      </c>
      <c r="IB86" s="74">
        <f t="shared" si="2691"/>
        <v>0</v>
      </c>
      <c r="IC86" s="74">
        <f t="shared" si="2691"/>
        <v>0</v>
      </c>
      <c r="ID86" s="74">
        <f t="shared" si="2691"/>
        <v>0</v>
      </c>
      <c r="IE86" s="792">
        <f t="shared" si="2691"/>
        <v>0</v>
      </c>
      <c r="IF86" s="841">
        <f t="shared" si="2691"/>
        <v>19539.330000000002</v>
      </c>
      <c r="IG86" s="263">
        <f t="shared" si="2691"/>
        <v>19539.330000000002</v>
      </c>
      <c r="IH86" s="842">
        <f t="shared" si="2691"/>
        <v>19539.330000000002</v>
      </c>
      <c r="II86" s="155">
        <f t="shared" si="2691"/>
        <v>0</v>
      </c>
      <c r="IJ86" s="74">
        <f t="shared" si="2691"/>
        <v>0</v>
      </c>
      <c r="IK86" s="74">
        <f t="shared" si="2691"/>
        <v>0</v>
      </c>
      <c r="IL86" s="74">
        <f t="shared" si="2691"/>
        <v>257.17</v>
      </c>
      <c r="IM86" s="74">
        <f t="shared" si="2691"/>
        <v>257.17</v>
      </c>
      <c r="IN86" s="74">
        <f t="shared" si="2691"/>
        <v>257.17</v>
      </c>
      <c r="IO86" s="74">
        <f t="shared" si="2691"/>
        <v>487.2</v>
      </c>
      <c r="IP86" s="74">
        <f t="shared" si="2691"/>
        <v>487.2</v>
      </c>
      <c r="IQ86" s="74">
        <f t="shared" si="2691"/>
        <v>487.2</v>
      </c>
      <c r="IR86" s="74">
        <f t="shared" si="2691"/>
        <v>921.80000000000007</v>
      </c>
      <c r="IS86" s="74">
        <f t="shared" si="2691"/>
        <v>921.80000000000007</v>
      </c>
      <c r="IT86" s="74">
        <f t="shared" si="2691"/>
        <v>921.80000000000007</v>
      </c>
      <c r="IU86" s="74">
        <f t="shared" si="2691"/>
        <v>2833.6899999999996</v>
      </c>
      <c r="IV86" s="74">
        <f t="shared" si="2691"/>
        <v>2833.6899999999996</v>
      </c>
      <c r="IW86" s="74">
        <f t="shared" si="2691"/>
        <v>2833.6899999999996</v>
      </c>
      <c r="IX86" s="74">
        <f t="shared" si="2691"/>
        <v>1238.4400000000005</v>
      </c>
      <c r="IY86" s="74">
        <f t="shared" si="2691"/>
        <v>1238.4400000000005</v>
      </c>
      <c r="IZ86" s="74">
        <f t="shared" si="2691"/>
        <v>1238.4400000000005</v>
      </c>
      <c r="JA86" s="74">
        <f t="shared" si="2691"/>
        <v>1907.17</v>
      </c>
      <c r="JB86" s="74">
        <f t="shared" si="2691"/>
        <v>1907.17</v>
      </c>
      <c r="JC86" s="74">
        <f t="shared" si="2691"/>
        <v>1907.17</v>
      </c>
      <c r="JD86" s="74">
        <f t="shared" si="2691"/>
        <v>3427.95</v>
      </c>
      <c r="JE86" s="74">
        <f t="shared" si="2691"/>
        <v>3427.95</v>
      </c>
      <c r="JF86" s="74">
        <f t="shared" si="2691"/>
        <v>3427.95</v>
      </c>
      <c r="JG86" s="74">
        <f t="shared" si="2691"/>
        <v>3222.58</v>
      </c>
      <c r="JH86" s="74">
        <f t="shared" si="2691"/>
        <v>3222.58</v>
      </c>
      <c r="JI86" s="74">
        <f t="shared" si="2691"/>
        <v>3222.58</v>
      </c>
      <c r="JJ86" s="74">
        <f t="shared" si="2691"/>
        <v>5243.3300000000017</v>
      </c>
      <c r="JK86" s="74">
        <f t="shared" si="2691"/>
        <v>5243.3300000000017</v>
      </c>
      <c r="JL86" s="74">
        <f t="shared" si="2691"/>
        <v>5243.3300000000017</v>
      </c>
      <c r="JM86" s="74">
        <f t="shared" si="2691"/>
        <v>0</v>
      </c>
      <c r="JN86" s="74">
        <f t="shared" ref="JN86:JT86" si="2695">SUM(JN87:JN92)</f>
        <v>0</v>
      </c>
      <c r="JO86" s="74">
        <f t="shared" si="2695"/>
        <v>0</v>
      </c>
      <c r="JP86" s="74">
        <f t="shared" si="2695"/>
        <v>0</v>
      </c>
      <c r="JQ86" s="74">
        <f t="shared" si="2695"/>
        <v>0</v>
      </c>
      <c r="JR86" s="74">
        <f t="shared" si="2695"/>
        <v>0</v>
      </c>
      <c r="JS86" s="74">
        <f t="shared" si="2695"/>
        <v>23460.67</v>
      </c>
      <c r="JT86" s="382">
        <f t="shared" si="2695"/>
        <v>23460.67</v>
      </c>
      <c r="JU86" s="671"/>
      <c r="JV86" s="492"/>
      <c r="JW86" s="490"/>
      <c r="JX86" s="549">
        <f>SUM(JX87:JX92)</f>
        <v>43000</v>
      </c>
      <c r="JY86" s="549">
        <f>SUM(JY87:JY92)</f>
        <v>0</v>
      </c>
      <c r="JZ86" s="581">
        <f t="shared" si="2110"/>
        <v>19000</v>
      </c>
      <c r="KA86" s="581">
        <f t="shared" si="2111"/>
        <v>-91000</v>
      </c>
      <c r="KB86" s="549">
        <f>SUM(KB87:KB92)</f>
        <v>43000</v>
      </c>
      <c r="KC86" s="709">
        <f t="shared" si="2079"/>
        <v>0</v>
      </c>
      <c r="KD86" s="36"/>
      <c r="KE86" s="36"/>
      <c r="KF86" s="36"/>
      <c r="KG86" s="36"/>
      <c r="KH86" s="36"/>
      <c r="KI86" s="36"/>
      <c r="KJ86" s="36"/>
      <c r="KK86" s="36"/>
    </row>
    <row r="87" spans="1:297" s="8" customFormat="1">
      <c r="A87" s="75">
        <v>181</v>
      </c>
      <c r="B87" s="72" t="s">
        <v>117</v>
      </c>
      <c r="C87" s="74">
        <f t="shared" ref="C87" si="2696">SUM(C420)</f>
        <v>40000</v>
      </c>
      <c r="D87" s="549">
        <f t="shared" ref="D87:E87" si="2697">SUM(D420)</f>
        <v>0</v>
      </c>
      <c r="E87" s="675">
        <f t="shared" si="2697"/>
        <v>0</v>
      </c>
      <c r="F87" s="549">
        <f t="shared" ref="F87:G87" si="2698">SUM(F420)</f>
        <v>0</v>
      </c>
      <c r="G87" s="675">
        <f t="shared" si="2698"/>
        <v>0</v>
      </c>
      <c r="H87" s="549">
        <f t="shared" ref="H87:I87" si="2699">SUM(H420)</f>
        <v>0</v>
      </c>
      <c r="I87" s="675">
        <f t="shared" si="2699"/>
        <v>0</v>
      </c>
      <c r="J87" s="549">
        <f t="shared" ref="J87:K87" si="2700">SUM(J420)</f>
        <v>0</v>
      </c>
      <c r="K87" s="675">
        <f t="shared" si="2700"/>
        <v>0</v>
      </c>
      <c r="L87" s="549">
        <f t="shared" ref="L87:M87" si="2701">SUM(L420)</f>
        <v>0</v>
      </c>
      <c r="M87" s="675">
        <f t="shared" si="2701"/>
        <v>0</v>
      </c>
      <c r="N87" s="549">
        <f t="shared" ref="N87:O87" si="2702">SUM(N420)</f>
        <v>0</v>
      </c>
      <c r="O87" s="675">
        <f t="shared" si="2702"/>
        <v>0</v>
      </c>
      <c r="P87" s="549">
        <f t="shared" ref="P87:Q87" si="2703">SUM(P420)</f>
        <v>0</v>
      </c>
      <c r="Q87" s="675">
        <f t="shared" si="2703"/>
        <v>0</v>
      </c>
      <c r="R87" s="549">
        <f t="shared" ref="R87:S87" si="2704">SUM(R420)</f>
        <v>0</v>
      </c>
      <c r="S87" s="675">
        <f t="shared" si="2704"/>
        <v>0</v>
      </c>
      <c r="T87" s="549">
        <f t="shared" ref="T87:U87" si="2705">SUM(T420)</f>
        <v>0</v>
      </c>
      <c r="U87" s="675">
        <f t="shared" si="2705"/>
        <v>0</v>
      </c>
      <c r="V87" s="549">
        <f t="shared" ref="V87:W87" si="2706">SUM(V420)</f>
        <v>0</v>
      </c>
      <c r="W87" s="675">
        <f t="shared" si="2706"/>
        <v>0</v>
      </c>
      <c r="X87" s="549">
        <f t="shared" ref="X87:Y87" si="2707">SUM(X420)</f>
        <v>0</v>
      </c>
      <c r="Y87" s="675">
        <f t="shared" si="2707"/>
        <v>-10000</v>
      </c>
      <c r="Z87" s="549">
        <f t="shared" ref="Z87:AA87" si="2708">SUM(Z420)</f>
        <v>0</v>
      </c>
      <c r="AA87" s="675">
        <f t="shared" si="2708"/>
        <v>0</v>
      </c>
      <c r="AB87" s="549">
        <f t="shared" ref="AB87:AC87" si="2709">SUM(AB420)</f>
        <v>0</v>
      </c>
      <c r="AC87" s="675">
        <f t="shared" si="2709"/>
        <v>0</v>
      </c>
      <c r="AD87" s="549">
        <f t="shared" ref="AD87:AE87" si="2710">SUM(AD420)</f>
        <v>0</v>
      </c>
      <c r="AE87" s="675">
        <f t="shared" si="2710"/>
        <v>0</v>
      </c>
      <c r="AF87" s="549">
        <f t="shared" ref="AF87:AI87" si="2711">SUM(AF420)</f>
        <v>0</v>
      </c>
      <c r="AG87" s="675">
        <f t="shared" si="2711"/>
        <v>0</v>
      </c>
      <c r="AH87" s="549">
        <f t="shared" si="2711"/>
        <v>0</v>
      </c>
      <c r="AI87" s="675">
        <f t="shared" si="2711"/>
        <v>0</v>
      </c>
      <c r="AJ87" s="549">
        <f t="shared" ref="AJ87:AK87" si="2712">SUM(AJ420)</f>
        <v>0</v>
      </c>
      <c r="AK87" s="675">
        <f t="shared" si="2712"/>
        <v>0</v>
      </c>
      <c r="AL87" s="549">
        <f t="shared" ref="AL87:AM87" si="2713">SUM(AL420)</f>
        <v>0</v>
      </c>
      <c r="AM87" s="675">
        <f t="shared" si="2713"/>
        <v>0</v>
      </c>
      <c r="AN87" s="549">
        <f t="shared" ref="AN87:AO87" si="2714">SUM(AN420)</f>
        <v>0</v>
      </c>
      <c r="AO87" s="675">
        <f t="shared" si="2714"/>
        <v>0</v>
      </c>
      <c r="AP87" s="549">
        <f t="shared" ref="AP87:AQ87" si="2715">SUM(AP420)</f>
        <v>0</v>
      </c>
      <c r="AQ87" s="675">
        <f t="shared" si="2715"/>
        <v>0</v>
      </c>
      <c r="AR87" s="549">
        <f t="shared" ref="AR87:AS87" si="2716">SUM(AR420)</f>
        <v>0</v>
      </c>
      <c r="AS87" s="675">
        <f t="shared" si="2716"/>
        <v>0</v>
      </c>
      <c r="AT87" s="549">
        <f t="shared" ref="AT87:AU87" si="2717">SUM(AT420)</f>
        <v>0</v>
      </c>
      <c r="AU87" s="675">
        <f t="shared" si="2717"/>
        <v>0</v>
      </c>
      <c r="AV87" s="549">
        <f t="shared" ref="AV87:AW87" si="2718">SUM(AV420)</f>
        <v>0</v>
      </c>
      <c r="AW87" s="675">
        <f t="shared" si="2718"/>
        <v>0</v>
      </c>
      <c r="AX87" s="549">
        <f t="shared" ref="AX87:AY87" si="2719">SUM(AX420)</f>
        <v>0</v>
      </c>
      <c r="AY87" s="675">
        <f t="shared" si="2719"/>
        <v>0</v>
      </c>
      <c r="AZ87" s="549">
        <f t="shared" ref="AZ87:BA87" si="2720">SUM(AZ420)</f>
        <v>0</v>
      </c>
      <c r="BA87" s="675">
        <f t="shared" si="2720"/>
        <v>0</v>
      </c>
      <c r="BB87" s="549">
        <f t="shared" ref="BB87:BC87" si="2721">SUM(BB420)</f>
        <v>0</v>
      </c>
      <c r="BC87" s="675">
        <f t="shared" si="2721"/>
        <v>0</v>
      </c>
      <c r="BD87" s="549">
        <f t="shared" ref="BD87:BE87" si="2722">SUM(BD420)</f>
        <v>0</v>
      </c>
      <c r="BE87" s="675">
        <f t="shared" si="2722"/>
        <v>0</v>
      </c>
      <c r="BF87" s="549">
        <f t="shared" ref="BF87:BG87" si="2723">SUM(BF420)</f>
        <v>0</v>
      </c>
      <c r="BG87" s="675">
        <f t="shared" si="2723"/>
        <v>0</v>
      </c>
      <c r="BH87" s="549">
        <f t="shared" ref="BH87:BI87" si="2724">SUM(BH420)</f>
        <v>0</v>
      </c>
      <c r="BI87" s="675">
        <f t="shared" si="2724"/>
        <v>0</v>
      </c>
      <c r="BJ87" s="549">
        <f t="shared" ref="BJ87:BK87" si="2725">SUM(BJ420)</f>
        <v>0</v>
      </c>
      <c r="BK87" s="675">
        <f t="shared" si="2725"/>
        <v>0</v>
      </c>
      <c r="BL87" s="549">
        <f t="shared" ref="BL87:BM87" si="2726">SUM(BL420)</f>
        <v>0</v>
      </c>
      <c r="BM87" s="675">
        <f t="shared" si="2726"/>
        <v>0</v>
      </c>
      <c r="BN87" s="549">
        <f t="shared" ref="BN87:BO87" si="2727">SUM(BN420)</f>
        <v>0</v>
      </c>
      <c r="BO87" s="675">
        <f t="shared" si="2727"/>
        <v>0</v>
      </c>
      <c r="BP87" s="549">
        <f t="shared" ref="BP87:BQ87" si="2728">SUM(BP420)</f>
        <v>0</v>
      </c>
      <c r="BQ87" s="675">
        <f t="shared" si="2728"/>
        <v>0</v>
      </c>
      <c r="BR87" s="549">
        <f t="shared" ref="BR87:BS87" si="2729">SUM(BR420)</f>
        <v>0</v>
      </c>
      <c r="BS87" s="675">
        <f t="shared" si="2729"/>
        <v>0</v>
      </c>
      <c r="BT87" s="549">
        <f t="shared" ref="BT87:BU87" si="2730">SUM(BT420)</f>
        <v>0</v>
      </c>
      <c r="BU87" s="675">
        <f t="shared" si="2730"/>
        <v>0</v>
      </c>
      <c r="BV87" s="549">
        <f t="shared" ref="BV87:BW87" si="2731">SUM(BV420)</f>
        <v>0</v>
      </c>
      <c r="BW87" s="675">
        <f t="shared" si="2731"/>
        <v>0</v>
      </c>
      <c r="BX87" s="549">
        <f t="shared" ref="BX87:BY87" si="2732">SUM(BX420)</f>
        <v>0</v>
      </c>
      <c r="BY87" s="675">
        <f t="shared" si="2732"/>
        <v>0</v>
      </c>
      <c r="BZ87" s="549">
        <f t="shared" ref="BZ87:CA87" si="2733">SUM(BZ420)</f>
        <v>0</v>
      </c>
      <c r="CA87" s="675">
        <f t="shared" si="2733"/>
        <v>0</v>
      </c>
      <c r="CB87" s="549">
        <f t="shared" ref="CB87:CC87" si="2734">SUM(CB420)</f>
        <v>0</v>
      </c>
      <c r="CC87" s="675">
        <f t="shared" si="2734"/>
        <v>0</v>
      </c>
      <c r="CD87" s="549">
        <f t="shared" ref="CD87:CE87" si="2735">SUM(CD420)</f>
        <v>0</v>
      </c>
      <c r="CE87" s="675">
        <f t="shared" si="2735"/>
        <v>0</v>
      </c>
      <c r="CF87" s="549">
        <f t="shared" ref="CF87:CG87" si="2736">SUM(CF420)</f>
        <v>0</v>
      </c>
      <c r="CG87" s="675">
        <f t="shared" si="2736"/>
        <v>0</v>
      </c>
      <c r="CH87" s="549">
        <f t="shared" ref="CH87:CI87" si="2737">SUM(CH420)</f>
        <v>0</v>
      </c>
      <c r="CI87" s="675">
        <f t="shared" si="2737"/>
        <v>0</v>
      </c>
      <c r="CJ87" s="549">
        <f t="shared" ref="CJ87:CK87" si="2738">SUM(CJ420)</f>
        <v>0</v>
      </c>
      <c r="CK87" s="675">
        <f t="shared" si="2738"/>
        <v>-20000</v>
      </c>
      <c r="CL87" s="549">
        <f t="shared" ref="CL87:CM87" si="2739">SUM(CL420)</f>
        <v>0</v>
      </c>
      <c r="CM87" s="675">
        <f t="shared" si="2739"/>
        <v>0</v>
      </c>
      <c r="CN87" s="549">
        <f t="shared" ref="CN87:CO87" si="2740">SUM(CN420)</f>
        <v>0</v>
      </c>
      <c r="CO87" s="675">
        <f t="shared" si="2740"/>
        <v>0</v>
      </c>
      <c r="CP87" s="549">
        <f t="shared" ref="CP87:CQ87" si="2741">SUM(CP420)</f>
        <v>0</v>
      </c>
      <c r="CQ87" s="675">
        <f t="shared" si="2741"/>
        <v>0</v>
      </c>
      <c r="CR87" s="549">
        <f t="shared" ref="CR87:CS87" si="2742">SUM(CR420)</f>
        <v>0</v>
      </c>
      <c r="CS87" s="675">
        <f t="shared" si="2742"/>
        <v>0</v>
      </c>
      <c r="CT87" s="549">
        <f t="shared" ref="CT87:CU87" si="2743">SUM(CT420)</f>
        <v>0</v>
      </c>
      <c r="CU87" s="675">
        <f t="shared" si="2743"/>
        <v>0</v>
      </c>
      <c r="CV87" s="549">
        <f t="shared" ref="CV87:CW87" si="2744">SUM(CV420)</f>
        <v>0</v>
      </c>
      <c r="CW87" s="675">
        <f t="shared" si="2744"/>
        <v>0</v>
      </c>
      <c r="CX87" s="549">
        <f t="shared" ref="CX87:CY87" si="2745">SUM(CX420)</f>
        <v>0</v>
      </c>
      <c r="CY87" s="675">
        <f t="shared" si="2745"/>
        <v>0</v>
      </c>
      <c r="CZ87" s="549">
        <f t="shared" ref="CZ87:DA87" si="2746">SUM(CZ420)</f>
        <v>0</v>
      </c>
      <c r="DA87" s="675">
        <f t="shared" si="2746"/>
        <v>0</v>
      </c>
      <c r="DB87" s="549">
        <f t="shared" ref="DB87:DC87" si="2747">SUM(DB420)</f>
        <v>0</v>
      </c>
      <c r="DC87" s="675">
        <f t="shared" si="2747"/>
        <v>0</v>
      </c>
      <c r="DD87" s="549">
        <f t="shared" ref="DD87:DE87" si="2748">SUM(DD420)</f>
        <v>0</v>
      </c>
      <c r="DE87" s="675">
        <f t="shared" si="2748"/>
        <v>0</v>
      </c>
      <c r="DF87" s="549">
        <f t="shared" ref="DF87:DG87" si="2749">SUM(DF420)</f>
        <v>0</v>
      </c>
      <c r="DG87" s="675">
        <f t="shared" si="2749"/>
        <v>0</v>
      </c>
      <c r="DH87" s="549">
        <f t="shared" ref="DH87:DI87" si="2750">SUM(DH420)</f>
        <v>0</v>
      </c>
      <c r="DI87" s="675">
        <f t="shared" si="2750"/>
        <v>-10000</v>
      </c>
      <c r="DJ87" s="549">
        <f t="shared" ref="DJ87:DK87" si="2751">SUM(DJ420)</f>
        <v>0</v>
      </c>
      <c r="DK87" s="675">
        <f t="shared" si="2751"/>
        <v>0</v>
      </c>
      <c r="DL87" s="549">
        <f t="shared" ref="DL87:DM87" si="2752">SUM(DL420)</f>
        <v>0</v>
      </c>
      <c r="DM87" s="675">
        <f t="shared" si="2752"/>
        <v>0</v>
      </c>
      <c r="DN87" s="549">
        <f t="shared" ref="DN87:DO87" si="2753">SUM(DN420)</f>
        <v>0</v>
      </c>
      <c r="DO87" s="675">
        <f t="shared" si="2753"/>
        <v>0</v>
      </c>
      <c r="DP87" s="549">
        <f t="shared" ref="DP87:DU87" si="2754">SUM(DP420)</f>
        <v>0</v>
      </c>
      <c r="DQ87" s="675">
        <f t="shared" si="2754"/>
        <v>0</v>
      </c>
      <c r="DR87" s="549">
        <f t="shared" si="2754"/>
        <v>0</v>
      </c>
      <c r="DS87" s="675">
        <f t="shared" si="2754"/>
        <v>0</v>
      </c>
      <c r="DT87" s="549">
        <f t="shared" si="2754"/>
        <v>0</v>
      </c>
      <c r="DU87" s="675">
        <f t="shared" si="2754"/>
        <v>0</v>
      </c>
      <c r="DV87" s="549">
        <f t="shared" ref="DV87:DW89" si="2755">SUM(DV420)</f>
        <v>0</v>
      </c>
      <c r="DW87" s="675">
        <f t="shared" si="2755"/>
        <v>0</v>
      </c>
      <c r="DX87" s="549">
        <f t="shared" ref="DX87:EG87" si="2756">SUM(DX420)</f>
        <v>0</v>
      </c>
      <c r="DY87" s="675">
        <f t="shared" si="2756"/>
        <v>0</v>
      </c>
      <c r="DZ87" s="549">
        <f t="shared" si="2756"/>
        <v>0</v>
      </c>
      <c r="EA87" s="675">
        <f t="shared" si="2756"/>
        <v>0</v>
      </c>
      <c r="EB87" s="549">
        <f t="shared" si="2756"/>
        <v>0</v>
      </c>
      <c r="EC87" s="675">
        <f t="shared" si="2756"/>
        <v>0</v>
      </c>
      <c r="ED87" s="549">
        <f t="shared" si="2756"/>
        <v>0</v>
      </c>
      <c r="EE87" s="675">
        <f t="shared" si="2756"/>
        <v>0</v>
      </c>
      <c r="EF87" s="549">
        <f t="shared" si="2756"/>
        <v>0</v>
      </c>
      <c r="EG87" s="675">
        <f t="shared" si="2756"/>
        <v>0</v>
      </c>
      <c r="EH87" s="549">
        <f t="shared" ref="EH87:EM87" si="2757">SUM(EH420)</f>
        <v>0</v>
      </c>
      <c r="EI87" s="675">
        <f t="shared" si="2757"/>
        <v>0</v>
      </c>
      <c r="EJ87" s="549">
        <f t="shared" si="2757"/>
        <v>0</v>
      </c>
      <c r="EK87" s="675">
        <f t="shared" si="2757"/>
        <v>0</v>
      </c>
      <c r="EL87" s="549">
        <f t="shared" si="2757"/>
        <v>0</v>
      </c>
      <c r="EM87" s="675">
        <f t="shared" si="2757"/>
        <v>0</v>
      </c>
      <c r="EN87" s="549">
        <f t="shared" ref="EN87:EO89" si="2758">SUM(EN420)</f>
        <v>0</v>
      </c>
      <c r="EO87" s="675">
        <f t="shared" si="2758"/>
        <v>0</v>
      </c>
      <c r="EP87" s="549">
        <f t="shared" ref="EP87:EU87" si="2759">SUM(EP420)</f>
        <v>0</v>
      </c>
      <c r="EQ87" s="675">
        <f t="shared" si="2759"/>
        <v>0</v>
      </c>
      <c r="ER87" s="549">
        <f t="shared" si="2759"/>
        <v>0</v>
      </c>
      <c r="ES87" s="675">
        <f t="shared" si="2759"/>
        <v>0</v>
      </c>
      <c r="ET87" s="549">
        <f t="shared" si="2759"/>
        <v>0</v>
      </c>
      <c r="EU87" s="675">
        <f t="shared" si="2759"/>
        <v>0</v>
      </c>
      <c r="EV87" s="549">
        <f t="shared" ref="EV87:GQ87" si="2760">SUM(EV420)</f>
        <v>0</v>
      </c>
      <c r="EW87" s="675">
        <f t="shared" si="2760"/>
        <v>0</v>
      </c>
      <c r="EX87" s="549">
        <f t="shared" si="2760"/>
        <v>0</v>
      </c>
      <c r="EY87" s="675">
        <f t="shared" si="2760"/>
        <v>0</v>
      </c>
      <c r="EZ87" s="549">
        <f t="shared" si="2760"/>
        <v>0</v>
      </c>
      <c r="FA87" s="675">
        <f t="shared" si="2760"/>
        <v>0</v>
      </c>
      <c r="FB87" s="549">
        <f t="shared" si="2760"/>
        <v>0</v>
      </c>
      <c r="FC87" s="675">
        <f t="shared" si="2760"/>
        <v>0</v>
      </c>
      <c r="FD87" s="549">
        <f t="shared" si="2760"/>
        <v>0</v>
      </c>
      <c r="FE87" s="675">
        <f t="shared" si="2760"/>
        <v>0</v>
      </c>
      <c r="FF87" s="549">
        <f t="shared" ref="FF87:FG87" si="2761">SUM(FF420)</f>
        <v>0</v>
      </c>
      <c r="FG87" s="675">
        <f t="shared" si="2761"/>
        <v>0</v>
      </c>
      <c r="FH87" s="549">
        <f t="shared" ref="FH87:FI87" si="2762">SUM(FH420)</f>
        <v>0</v>
      </c>
      <c r="FI87" s="675">
        <f t="shared" si="2762"/>
        <v>0</v>
      </c>
      <c r="FJ87" s="549">
        <f t="shared" ref="FJ87:FK87" si="2763">SUM(FJ420)</f>
        <v>0</v>
      </c>
      <c r="FK87" s="675">
        <f t="shared" si="2763"/>
        <v>0</v>
      </c>
      <c r="FL87" s="549">
        <f t="shared" ref="FL87:FM87" si="2764">SUM(FL420)</f>
        <v>0</v>
      </c>
      <c r="FM87" s="675">
        <f t="shared" si="2764"/>
        <v>0</v>
      </c>
      <c r="FN87" s="549">
        <f t="shared" ref="FN87:FO87" si="2765">SUM(FN420)</f>
        <v>0</v>
      </c>
      <c r="FO87" s="675">
        <f t="shared" si="2765"/>
        <v>0</v>
      </c>
      <c r="FP87" s="549">
        <f t="shared" ref="FP87:FQ87" si="2766">SUM(FP420)</f>
        <v>0</v>
      </c>
      <c r="FQ87" s="675">
        <f t="shared" si="2766"/>
        <v>0</v>
      </c>
      <c r="FR87" s="549">
        <f t="shared" ref="FR87:FS87" si="2767">SUM(FR420)</f>
        <v>0</v>
      </c>
      <c r="FS87" s="675">
        <f t="shared" si="2767"/>
        <v>0</v>
      </c>
      <c r="FT87" s="549">
        <f t="shared" ref="FT87:FU87" si="2768">SUM(FT420)</f>
        <v>0</v>
      </c>
      <c r="FU87" s="675">
        <f t="shared" si="2768"/>
        <v>0</v>
      </c>
      <c r="FV87" s="549">
        <f t="shared" ref="FV87:GK87" si="2769">SUM(FV420)</f>
        <v>0</v>
      </c>
      <c r="FW87" s="675">
        <f t="shared" si="2769"/>
        <v>0</v>
      </c>
      <c r="FX87" s="549">
        <f t="shared" si="2769"/>
        <v>0</v>
      </c>
      <c r="FY87" s="675">
        <f t="shared" si="2769"/>
        <v>0</v>
      </c>
      <c r="FZ87" s="549">
        <f t="shared" ref="FZ87:GI87" si="2770">SUM(FZ420)</f>
        <v>0</v>
      </c>
      <c r="GA87" s="675">
        <f t="shared" si="2770"/>
        <v>0</v>
      </c>
      <c r="GB87" s="549">
        <f t="shared" si="2770"/>
        <v>0</v>
      </c>
      <c r="GC87" s="675">
        <f t="shared" si="2770"/>
        <v>0</v>
      </c>
      <c r="GD87" s="549">
        <f t="shared" si="2770"/>
        <v>0</v>
      </c>
      <c r="GE87" s="675">
        <f t="shared" si="2770"/>
        <v>0</v>
      </c>
      <c r="GF87" s="549">
        <f t="shared" si="2770"/>
        <v>0</v>
      </c>
      <c r="GG87" s="675">
        <f t="shared" si="2770"/>
        <v>0</v>
      </c>
      <c r="GH87" s="549">
        <f t="shared" si="2770"/>
        <v>0</v>
      </c>
      <c r="GI87" s="675">
        <f t="shared" si="2770"/>
        <v>0</v>
      </c>
      <c r="GJ87" s="549">
        <f t="shared" si="2769"/>
        <v>0</v>
      </c>
      <c r="GK87" s="675">
        <f t="shared" si="2769"/>
        <v>0</v>
      </c>
      <c r="GL87" s="549">
        <f t="shared" ref="GL87:GM87" si="2771">SUM(GL420)</f>
        <v>0</v>
      </c>
      <c r="GM87" s="675">
        <f t="shared" si="2771"/>
        <v>0</v>
      </c>
      <c r="GN87" s="549">
        <f t="shared" ref="GN87:GO87" si="2772">SUM(GN420)</f>
        <v>0</v>
      </c>
      <c r="GO87" s="675">
        <f t="shared" si="2772"/>
        <v>0</v>
      </c>
      <c r="GP87" s="74">
        <f t="shared" si="2760"/>
        <v>0</v>
      </c>
      <c r="GQ87" s="675">
        <f t="shared" si="2760"/>
        <v>-40000</v>
      </c>
      <c r="GR87" s="74">
        <f t="shared" ref="GR87:HK87" si="2773">SUM(GR420)</f>
        <v>0</v>
      </c>
      <c r="GS87" s="74">
        <f t="shared" si="2773"/>
        <v>0</v>
      </c>
      <c r="GT87" s="74">
        <f t="shared" si="2773"/>
        <v>0</v>
      </c>
      <c r="GU87" s="74">
        <f t="shared" si="2773"/>
        <v>0</v>
      </c>
      <c r="GV87" s="74">
        <f t="shared" si="2773"/>
        <v>10000</v>
      </c>
      <c r="GW87" s="74">
        <f t="shared" si="2773"/>
        <v>0</v>
      </c>
      <c r="GX87" s="74">
        <f t="shared" si="2773"/>
        <v>10000</v>
      </c>
      <c r="GY87" s="74">
        <f t="shared" si="2773"/>
        <v>0</v>
      </c>
      <c r="GZ87" s="74">
        <f t="shared" si="2773"/>
        <v>10000</v>
      </c>
      <c r="HA87" s="74">
        <f t="shared" si="2773"/>
        <v>0</v>
      </c>
      <c r="HB87" s="74">
        <f t="shared" si="2773"/>
        <v>10000</v>
      </c>
      <c r="HC87" s="74">
        <f t="shared" si="2773"/>
        <v>0</v>
      </c>
      <c r="HD87" s="74">
        <f t="shared" si="2773"/>
        <v>0</v>
      </c>
      <c r="HE87" s="74">
        <f t="shared" si="2773"/>
        <v>0</v>
      </c>
      <c r="HF87" s="74">
        <f t="shared" si="2773"/>
        <v>0</v>
      </c>
      <c r="HG87" s="74">
        <f t="shared" si="2773"/>
        <v>0</v>
      </c>
      <c r="HH87" s="74">
        <f t="shared" si="2773"/>
        <v>0</v>
      </c>
      <c r="HI87" s="74">
        <f t="shared" si="2773"/>
        <v>0</v>
      </c>
      <c r="HJ87" s="74">
        <f t="shared" si="2773"/>
        <v>0</v>
      </c>
      <c r="HK87" s="74">
        <f t="shared" si="2773"/>
        <v>0</v>
      </c>
      <c r="HL87" s="74">
        <f t="shared" ref="HL87:JT87" si="2774">SUM(HL420)</f>
        <v>0</v>
      </c>
      <c r="HM87" s="74">
        <f t="shared" si="2774"/>
        <v>0</v>
      </c>
      <c r="HN87" s="74">
        <f t="shared" si="2774"/>
        <v>0</v>
      </c>
      <c r="HO87" s="74">
        <f t="shared" si="2774"/>
        <v>0</v>
      </c>
      <c r="HP87" s="74">
        <f t="shared" si="2774"/>
        <v>0</v>
      </c>
      <c r="HQ87" s="74">
        <f t="shared" si="2774"/>
        <v>0</v>
      </c>
      <c r="HR87" s="74">
        <f t="shared" si="2774"/>
        <v>0</v>
      </c>
      <c r="HS87" s="74">
        <f t="shared" si="2774"/>
        <v>0</v>
      </c>
      <c r="HT87" s="74">
        <f t="shared" si="2774"/>
        <v>0</v>
      </c>
      <c r="HU87" s="74">
        <f t="shared" si="2774"/>
        <v>0</v>
      </c>
      <c r="HV87" s="74">
        <f t="shared" si="2774"/>
        <v>0</v>
      </c>
      <c r="HW87" s="74">
        <f t="shared" si="2774"/>
        <v>0</v>
      </c>
      <c r="HX87" s="74">
        <f t="shared" si="2774"/>
        <v>0</v>
      </c>
      <c r="HY87" s="74">
        <f t="shared" si="2774"/>
        <v>0</v>
      </c>
      <c r="HZ87" s="74">
        <f t="shared" si="2774"/>
        <v>0</v>
      </c>
      <c r="IA87" s="74">
        <f t="shared" si="2774"/>
        <v>0</v>
      </c>
      <c r="IB87" s="74">
        <f t="shared" si="2774"/>
        <v>0</v>
      </c>
      <c r="IC87" s="74">
        <f t="shared" si="2774"/>
        <v>0</v>
      </c>
      <c r="ID87" s="74">
        <f t="shared" si="2774"/>
        <v>0</v>
      </c>
      <c r="IE87" s="792">
        <f t="shared" si="2774"/>
        <v>0</v>
      </c>
      <c r="IF87" s="841">
        <f t="shared" si="2774"/>
        <v>0</v>
      </c>
      <c r="IG87" s="263">
        <f t="shared" si="2774"/>
        <v>0</v>
      </c>
      <c r="IH87" s="842">
        <f t="shared" si="2774"/>
        <v>0</v>
      </c>
      <c r="II87" s="155">
        <f t="shared" si="2774"/>
        <v>0</v>
      </c>
      <c r="IJ87" s="74">
        <f t="shared" si="2774"/>
        <v>0</v>
      </c>
      <c r="IK87" s="74">
        <f t="shared" si="2774"/>
        <v>0</v>
      </c>
      <c r="IL87" s="74">
        <f t="shared" si="2774"/>
        <v>0</v>
      </c>
      <c r="IM87" s="74">
        <f t="shared" si="2774"/>
        <v>0</v>
      </c>
      <c r="IN87" s="74">
        <f t="shared" si="2774"/>
        <v>0</v>
      </c>
      <c r="IO87" s="74">
        <f t="shared" si="2774"/>
        <v>0</v>
      </c>
      <c r="IP87" s="74">
        <f t="shared" si="2774"/>
        <v>0</v>
      </c>
      <c r="IQ87" s="74">
        <f t="shared" si="2774"/>
        <v>0</v>
      </c>
      <c r="IR87" s="74">
        <f t="shared" si="2774"/>
        <v>0</v>
      </c>
      <c r="IS87" s="74">
        <f t="shared" si="2774"/>
        <v>0</v>
      </c>
      <c r="IT87" s="74">
        <f t="shared" si="2774"/>
        <v>0</v>
      </c>
      <c r="IU87" s="74">
        <f t="shared" si="2774"/>
        <v>0</v>
      </c>
      <c r="IV87" s="74">
        <f t="shared" si="2774"/>
        <v>0</v>
      </c>
      <c r="IW87" s="74">
        <f t="shared" si="2774"/>
        <v>0</v>
      </c>
      <c r="IX87" s="74">
        <f t="shared" si="2774"/>
        <v>0</v>
      </c>
      <c r="IY87" s="74">
        <f t="shared" si="2774"/>
        <v>0</v>
      </c>
      <c r="IZ87" s="74">
        <f t="shared" si="2774"/>
        <v>0</v>
      </c>
      <c r="JA87" s="74">
        <f t="shared" si="2774"/>
        <v>0</v>
      </c>
      <c r="JB87" s="74">
        <f t="shared" si="2774"/>
        <v>0</v>
      </c>
      <c r="JC87" s="74">
        <f t="shared" si="2774"/>
        <v>0</v>
      </c>
      <c r="JD87" s="74">
        <f t="shared" si="2774"/>
        <v>0</v>
      </c>
      <c r="JE87" s="74">
        <f t="shared" si="2774"/>
        <v>0</v>
      </c>
      <c r="JF87" s="74">
        <f t="shared" si="2774"/>
        <v>0</v>
      </c>
      <c r="JG87" s="74">
        <f t="shared" si="2774"/>
        <v>0</v>
      </c>
      <c r="JH87" s="74">
        <f t="shared" si="2774"/>
        <v>0</v>
      </c>
      <c r="JI87" s="74">
        <f t="shared" si="2774"/>
        <v>0</v>
      </c>
      <c r="JJ87" s="74">
        <f t="shared" si="2774"/>
        <v>0</v>
      </c>
      <c r="JK87" s="74">
        <f t="shared" si="2774"/>
        <v>0</v>
      </c>
      <c r="JL87" s="74">
        <f t="shared" si="2774"/>
        <v>0</v>
      </c>
      <c r="JM87" s="74">
        <f t="shared" si="2774"/>
        <v>0</v>
      </c>
      <c r="JN87" s="74">
        <f t="shared" si="2774"/>
        <v>0</v>
      </c>
      <c r="JO87" s="74">
        <f t="shared" si="2774"/>
        <v>0</v>
      </c>
      <c r="JP87" s="74">
        <f t="shared" si="2774"/>
        <v>0</v>
      </c>
      <c r="JQ87" s="74">
        <f t="shared" si="2774"/>
        <v>0</v>
      </c>
      <c r="JR87" s="74">
        <f t="shared" si="2774"/>
        <v>0</v>
      </c>
      <c r="JS87" s="74">
        <f t="shared" si="2774"/>
        <v>0</v>
      </c>
      <c r="JT87" s="102">
        <f t="shared" si="2774"/>
        <v>0</v>
      </c>
      <c r="JU87" s="671"/>
      <c r="JV87" s="492"/>
      <c r="JW87" s="490"/>
      <c r="JX87" s="549">
        <f t="shared" ref="JX87:KB89" si="2775">SUM(JX420)</f>
        <v>0</v>
      </c>
      <c r="JY87" s="549">
        <f t="shared" si="2775"/>
        <v>0</v>
      </c>
      <c r="JZ87" s="581">
        <f t="shared" si="2110"/>
        <v>0</v>
      </c>
      <c r="KA87" s="581">
        <f t="shared" si="2111"/>
        <v>-40000</v>
      </c>
      <c r="KB87" s="549">
        <f t="shared" si="2775"/>
        <v>0</v>
      </c>
      <c r="KC87" s="709">
        <f t="shared" si="2079"/>
        <v>0</v>
      </c>
      <c r="KD87" s="36"/>
      <c r="KE87" s="36"/>
      <c r="KF87" s="36"/>
      <c r="KG87" s="36"/>
      <c r="KH87" s="36"/>
      <c r="KI87" s="36"/>
      <c r="KJ87" s="36"/>
      <c r="KK87" s="36"/>
    </row>
    <row r="88" spans="1:297" s="8" customFormat="1" ht="12.75" hidden="1" customHeight="1">
      <c r="A88" s="75" t="s">
        <v>118</v>
      </c>
      <c r="B88" s="72" t="s">
        <v>119</v>
      </c>
      <c r="C88" s="74">
        <f t="shared" ref="C88:AS88" si="2776">SUM(C421)</f>
        <v>0</v>
      </c>
      <c r="D88" s="549">
        <f t="shared" si="2776"/>
        <v>0</v>
      </c>
      <c r="E88" s="675">
        <f t="shared" si="2776"/>
        <v>0</v>
      </c>
      <c r="F88" s="549">
        <f t="shared" si="2776"/>
        <v>0</v>
      </c>
      <c r="G88" s="675">
        <f t="shared" si="2776"/>
        <v>0</v>
      </c>
      <c r="H88" s="549">
        <f t="shared" si="2776"/>
        <v>0</v>
      </c>
      <c r="I88" s="675">
        <f t="shared" si="2776"/>
        <v>0</v>
      </c>
      <c r="J88" s="549">
        <f t="shared" si="2776"/>
        <v>0</v>
      </c>
      <c r="K88" s="675">
        <f t="shared" si="2776"/>
        <v>0</v>
      </c>
      <c r="L88" s="549">
        <f t="shared" si="2776"/>
        <v>0</v>
      </c>
      <c r="M88" s="675">
        <f t="shared" si="2776"/>
        <v>0</v>
      </c>
      <c r="N88" s="549">
        <f t="shared" si="2776"/>
        <v>0</v>
      </c>
      <c r="O88" s="675">
        <f t="shared" si="2776"/>
        <v>0</v>
      </c>
      <c r="P88" s="549">
        <f t="shared" si="2776"/>
        <v>0</v>
      </c>
      <c r="Q88" s="675">
        <f t="shared" si="2776"/>
        <v>0</v>
      </c>
      <c r="R88" s="549">
        <f t="shared" si="2776"/>
        <v>0</v>
      </c>
      <c r="S88" s="675">
        <f t="shared" si="2776"/>
        <v>0</v>
      </c>
      <c r="T88" s="549">
        <f t="shared" si="2776"/>
        <v>0</v>
      </c>
      <c r="U88" s="675">
        <f t="shared" si="2776"/>
        <v>0</v>
      </c>
      <c r="V88" s="549">
        <f t="shared" si="2776"/>
        <v>0</v>
      </c>
      <c r="W88" s="675">
        <f t="shared" si="2776"/>
        <v>0</v>
      </c>
      <c r="X88" s="549">
        <f t="shared" si="2776"/>
        <v>0</v>
      </c>
      <c r="Y88" s="675">
        <f t="shared" si="2776"/>
        <v>0</v>
      </c>
      <c r="Z88" s="549">
        <f t="shared" si="2776"/>
        <v>0</v>
      </c>
      <c r="AA88" s="675">
        <f t="shared" si="2776"/>
        <v>0</v>
      </c>
      <c r="AB88" s="549">
        <f t="shared" si="2776"/>
        <v>0</v>
      </c>
      <c r="AC88" s="675">
        <f t="shared" si="2776"/>
        <v>0</v>
      </c>
      <c r="AD88" s="549">
        <f t="shared" si="2776"/>
        <v>0</v>
      </c>
      <c r="AE88" s="675">
        <f t="shared" si="2776"/>
        <v>0</v>
      </c>
      <c r="AF88" s="549">
        <f t="shared" si="2776"/>
        <v>0</v>
      </c>
      <c r="AG88" s="675">
        <f t="shared" si="2776"/>
        <v>0</v>
      </c>
      <c r="AH88" s="549">
        <f t="shared" si="2776"/>
        <v>0</v>
      </c>
      <c r="AI88" s="675">
        <f t="shared" si="2776"/>
        <v>0</v>
      </c>
      <c r="AJ88" s="549">
        <f t="shared" si="2776"/>
        <v>0</v>
      </c>
      <c r="AK88" s="675">
        <f t="shared" si="2776"/>
        <v>0</v>
      </c>
      <c r="AL88" s="549">
        <f t="shared" si="2776"/>
        <v>0</v>
      </c>
      <c r="AM88" s="675">
        <f t="shared" si="2776"/>
        <v>0</v>
      </c>
      <c r="AN88" s="549">
        <f t="shared" si="2776"/>
        <v>0</v>
      </c>
      <c r="AO88" s="675">
        <f t="shared" si="2776"/>
        <v>0</v>
      </c>
      <c r="AP88" s="549">
        <f t="shared" si="2776"/>
        <v>0</v>
      </c>
      <c r="AQ88" s="675">
        <f t="shared" si="2776"/>
        <v>0</v>
      </c>
      <c r="AR88" s="549">
        <f t="shared" si="2776"/>
        <v>0</v>
      </c>
      <c r="AS88" s="675">
        <f t="shared" si="2776"/>
        <v>0</v>
      </c>
      <c r="AT88" s="549">
        <f t="shared" ref="AT88:AU88" si="2777">SUM(AT421)</f>
        <v>0</v>
      </c>
      <c r="AU88" s="675">
        <f t="shared" si="2777"/>
        <v>0</v>
      </c>
      <c r="AV88" s="549">
        <f t="shared" ref="AV88:AW88" si="2778">SUM(AV421)</f>
        <v>0</v>
      </c>
      <c r="AW88" s="675">
        <f t="shared" si="2778"/>
        <v>0</v>
      </c>
      <c r="AX88" s="549">
        <f t="shared" ref="AX88:AY88" si="2779">SUM(AX421)</f>
        <v>0</v>
      </c>
      <c r="AY88" s="675">
        <f t="shared" si="2779"/>
        <v>0</v>
      </c>
      <c r="AZ88" s="549">
        <f t="shared" ref="AZ88:BA88" si="2780">SUM(AZ421)</f>
        <v>0</v>
      </c>
      <c r="BA88" s="675">
        <f t="shared" si="2780"/>
        <v>0</v>
      </c>
      <c r="BB88" s="549">
        <f t="shared" ref="BB88:BC88" si="2781">SUM(BB421)</f>
        <v>0</v>
      </c>
      <c r="BC88" s="675">
        <f t="shared" si="2781"/>
        <v>0</v>
      </c>
      <c r="BD88" s="549">
        <f t="shared" ref="BD88:BE88" si="2782">SUM(BD421)</f>
        <v>0</v>
      </c>
      <c r="BE88" s="675">
        <f t="shared" si="2782"/>
        <v>0</v>
      </c>
      <c r="BF88" s="549">
        <f t="shared" ref="BF88:BG88" si="2783">SUM(BF421)</f>
        <v>0</v>
      </c>
      <c r="BG88" s="675">
        <f t="shared" si="2783"/>
        <v>0</v>
      </c>
      <c r="BH88" s="549">
        <f t="shared" ref="BH88:BI88" si="2784">SUM(BH421)</f>
        <v>0</v>
      </c>
      <c r="BI88" s="675">
        <f t="shared" si="2784"/>
        <v>0</v>
      </c>
      <c r="BJ88" s="549">
        <f t="shared" ref="BJ88:BK88" si="2785">SUM(BJ421)</f>
        <v>0</v>
      </c>
      <c r="BK88" s="675">
        <f t="shared" si="2785"/>
        <v>0</v>
      </c>
      <c r="BL88" s="549">
        <f t="shared" ref="BL88:BS88" si="2786">SUM(BL421)</f>
        <v>0</v>
      </c>
      <c r="BM88" s="675">
        <f t="shared" si="2786"/>
        <v>0</v>
      </c>
      <c r="BN88" s="549">
        <f t="shared" si="2786"/>
        <v>0</v>
      </c>
      <c r="BO88" s="675">
        <f t="shared" si="2786"/>
        <v>0</v>
      </c>
      <c r="BP88" s="549">
        <f t="shared" si="2786"/>
        <v>0</v>
      </c>
      <c r="BQ88" s="675">
        <f t="shared" si="2786"/>
        <v>0</v>
      </c>
      <c r="BR88" s="549">
        <f t="shared" si="2786"/>
        <v>0</v>
      </c>
      <c r="BS88" s="675">
        <f t="shared" si="2786"/>
        <v>0</v>
      </c>
      <c r="BT88" s="549">
        <f t="shared" ref="BT88:BU88" si="2787">SUM(BT421)</f>
        <v>0</v>
      </c>
      <c r="BU88" s="675">
        <f t="shared" si="2787"/>
        <v>0</v>
      </c>
      <c r="BV88" s="549">
        <f t="shared" ref="BV88:BW88" si="2788">SUM(BV421)</f>
        <v>0</v>
      </c>
      <c r="BW88" s="675">
        <f t="shared" si="2788"/>
        <v>0</v>
      </c>
      <c r="BX88" s="549">
        <f t="shared" ref="BX88:BY88" si="2789">SUM(BX421)</f>
        <v>0</v>
      </c>
      <c r="BY88" s="675">
        <f t="shared" si="2789"/>
        <v>0</v>
      </c>
      <c r="BZ88" s="549">
        <f t="shared" ref="BZ88:CA88" si="2790">SUM(BZ421)</f>
        <v>0</v>
      </c>
      <c r="CA88" s="675">
        <f t="shared" si="2790"/>
        <v>0</v>
      </c>
      <c r="CB88" s="549">
        <f t="shared" ref="CB88:CE88" si="2791">SUM(CB421)</f>
        <v>0</v>
      </c>
      <c r="CC88" s="675">
        <f t="shared" si="2791"/>
        <v>0</v>
      </c>
      <c r="CD88" s="549">
        <f t="shared" si="2791"/>
        <v>0</v>
      </c>
      <c r="CE88" s="675">
        <f t="shared" si="2791"/>
        <v>0</v>
      </c>
      <c r="CF88" s="549">
        <f t="shared" ref="CF88:CG88" si="2792">SUM(CF421)</f>
        <v>0</v>
      </c>
      <c r="CG88" s="675">
        <f t="shared" si="2792"/>
        <v>0</v>
      </c>
      <c r="CH88" s="549">
        <f t="shared" ref="CH88:CQ88" si="2793">SUM(CH421)</f>
        <v>0</v>
      </c>
      <c r="CI88" s="675">
        <f t="shared" si="2793"/>
        <v>0</v>
      </c>
      <c r="CJ88" s="549">
        <f t="shared" si="2793"/>
        <v>0</v>
      </c>
      <c r="CK88" s="675">
        <f t="shared" si="2793"/>
        <v>0</v>
      </c>
      <c r="CL88" s="549">
        <f t="shared" si="2793"/>
        <v>0</v>
      </c>
      <c r="CM88" s="675">
        <f t="shared" si="2793"/>
        <v>0</v>
      </c>
      <c r="CN88" s="549">
        <f t="shared" si="2793"/>
        <v>0</v>
      </c>
      <c r="CO88" s="675">
        <f t="shared" si="2793"/>
        <v>0</v>
      </c>
      <c r="CP88" s="549">
        <f t="shared" si="2793"/>
        <v>0</v>
      </c>
      <c r="CQ88" s="675">
        <f t="shared" si="2793"/>
        <v>0</v>
      </c>
      <c r="CR88" s="549">
        <f t="shared" ref="CR88:CS88" si="2794">SUM(CR421)</f>
        <v>0</v>
      </c>
      <c r="CS88" s="675">
        <f t="shared" si="2794"/>
        <v>0</v>
      </c>
      <c r="CT88" s="549">
        <f t="shared" ref="CT88:CU88" si="2795">SUM(CT421)</f>
        <v>0</v>
      </c>
      <c r="CU88" s="675">
        <f t="shared" si="2795"/>
        <v>0</v>
      </c>
      <c r="CV88" s="549">
        <f t="shared" ref="CV88:CW88" si="2796">SUM(CV421)</f>
        <v>0</v>
      </c>
      <c r="CW88" s="675">
        <f t="shared" si="2796"/>
        <v>0</v>
      </c>
      <c r="CX88" s="549">
        <f t="shared" ref="CX88:CY88" si="2797">SUM(CX421)</f>
        <v>0</v>
      </c>
      <c r="CY88" s="675">
        <f t="shared" si="2797"/>
        <v>0</v>
      </c>
      <c r="CZ88" s="549">
        <f t="shared" ref="CZ88:DA88" si="2798">SUM(CZ421)</f>
        <v>0</v>
      </c>
      <c r="DA88" s="675">
        <f t="shared" si="2798"/>
        <v>0</v>
      </c>
      <c r="DB88" s="549">
        <f t="shared" ref="DB88:DC88" si="2799">SUM(DB421)</f>
        <v>0</v>
      </c>
      <c r="DC88" s="675">
        <f t="shared" si="2799"/>
        <v>0</v>
      </c>
      <c r="DD88" s="549">
        <f t="shared" ref="DD88:DE88" si="2800">SUM(DD421)</f>
        <v>0</v>
      </c>
      <c r="DE88" s="675">
        <f t="shared" si="2800"/>
        <v>0</v>
      </c>
      <c r="DF88" s="549">
        <f t="shared" ref="DF88:DG88" si="2801">SUM(DF421)</f>
        <v>0</v>
      </c>
      <c r="DG88" s="675">
        <f t="shared" si="2801"/>
        <v>0</v>
      </c>
      <c r="DH88" s="549">
        <f t="shared" ref="DH88:DI88" si="2802">SUM(DH421)</f>
        <v>0</v>
      </c>
      <c r="DI88" s="675">
        <f t="shared" si="2802"/>
        <v>0</v>
      </c>
      <c r="DJ88" s="549">
        <f t="shared" ref="DJ88:DK88" si="2803">SUM(DJ421)</f>
        <v>0</v>
      </c>
      <c r="DK88" s="675">
        <f t="shared" si="2803"/>
        <v>0</v>
      </c>
      <c r="DL88" s="549">
        <f t="shared" ref="DL88:DM88" si="2804">SUM(DL421)</f>
        <v>0</v>
      </c>
      <c r="DM88" s="675">
        <f t="shared" si="2804"/>
        <v>0</v>
      </c>
      <c r="DN88" s="549">
        <f t="shared" ref="DN88:DO88" si="2805">SUM(DN421)</f>
        <v>0</v>
      </c>
      <c r="DO88" s="675">
        <f t="shared" si="2805"/>
        <v>0</v>
      </c>
      <c r="DP88" s="549">
        <f t="shared" ref="DP88:DU88" si="2806">SUM(DP421)</f>
        <v>0</v>
      </c>
      <c r="DQ88" s="675">
        <f t="shared" si="2806"/>
        <v>0</v>
      </c>
      <c r="DR88" s="549">
        <f t="shared" si="2806"/>
        <v>0</v>
      </c>
      <c r="DS88" s="675">
        <f t="shared" si="2806"/>
        <v>0</v>
      </c>
      <c r="DT88" s="549">
        <f t="shared" si="2806"/>
        <v>0</v>
      </c>
      <c r="DU88" s="675">
        <f t="shared" si="2806"/>
        <v>0</v>
      </c>
      <c r="DV88" s="549">
        <f t="shared" si="2755"/>
        <v>0</v>
      </c>
      <c r="DW88" s="675">
        <f t="shared" si="2755"/>
        <v>0</v>
      </c>
      <c r="DX88" s="549">
        <f t="shared" ref="DX88:EA89" si="2807">SUM(DX421)</f>
        <v>0</v>
      </c>
      <c r="DY88" s="675">
        <f t="shared" si="2807"/>
        <v>0</v>
      </c>
      <c r="DZ88" s="549">
        <f t="shared" si="2807"/>
        <v>0</v>
      </c>
      <c r="EA88" s="675">
        <f t="shared" si="2807"/>
        <v>0</v>
      </c>
      <c r="EB88" s="549">
        <f t="shared" ref="EB88:EM88" si="2808">SUM(EB421)</f>
        <v>0</v>
      </c>
      <c r="EC88" s="675">
        <f t="shared" si="2808"/>
        <v>0</v>
      </c>
      <c r="ED88" s="549">
        <f t="shared" si="2808"/>
        <v>0</v>
      </c>
      <c r="EE88" s="675">
        <f t="shared" si="2808"/>
        <v>0</v>
      </c>
      <c r="EF88" s="549">
        <f t="shared" si="2808"/>
        <v>0</v>
      </c>
      <c r="EG88" s="675">
        <f t="shared" si="2808"/>
        <v>0</v>
      </c>
      <c r="EH88" s="549">
        <f t="shared" si="2808"/>
        <v>0</v>
      </c>
      <c r="EI88" s="675">
        <f t="shared" si="2808"/>
        <v>0</v>
      </c>
      <c r="EJ88" s="549">
        <f t="shared" si="2808"/>
        <v>0</v>
      </c>
      <c r="EK88" s="675">
        <f t="shared" si="2808"/>
        <v>0</v>
      </c>
      <c r="EL88" s="549">
        <f t="shared" si="2808"/>
        <v>0</v>
      </c>
      <c r="EM88" s="675">
        <f t="shared" si="2808"/>
        <v>0</v>
      </c>
      <c r="EN88" s="549">
        <f t="shared" si="2758"/>
        <v>0</v>
      </c>
      <c r="EO88" s="675">
        <f t="shared" si="2758"/>
        <v>0</v>
      </c>
      <c r="EP88" s="549">
        <f t="shared" ref="EP88:FA88" si="2809">SUM(EP421)</f>
        <v>0</v>
      </c>
      <c r="EQ88" s="675">
        <f t="shared" si="2809"/>
        <v>0</v>
      </c>
      <c r="ER88" s="549">
        <f t="shared" si="2809"/>
        <v>0</v>
      </c>
      <c r="ES88" s="675">
        <f t="shared" si="2809"/>
        <v>0</v>
      </c>
      <c r="ET88" s="549">
        <f t="shared" si="2809"/>
        <v>0</v>
      </c>
      <c r="EU88" s="675">
        <f t="shared" si="2809"/>
        <v>0</v>
      </c>
      <c r="EV88" s="549">
        <f t="shared" ref="EV88:EW88" si="2810">SUM(EV421)</f>
        <v>0</v>
      </c>
      <c r="EW88" s="675">
        <f t="shared" si="2810"/>
        <v>0</v>
      </c>
      <c r="EX88" s="549">
        <f t="shared" si="2809"/>
        <v>0</v>
      </c>
      <c r="EY88" s="675">
        <f t="shared" si="2809"/>
        <v>0</v>
      </c>
      <c r="EZ88" s="549">
        <f t="shared" si="2809"/>
        <v>0</v>
      </c>
      <c r="FA88" s="675">
        <f t="shared" si="2809"/>
        <v>0</v>
      </c>
      <c r="FB88" s="549">
        <f t="shared" ref="FB88:GQ89" si="2811">SUM(FB421)</f>
        <v>0</v>
      </c>
      <c r="FC88" s="675">
        <f t="shared" si="2811"/>
        <v>0</v>
      </c>
      <c r="FD88" s="549">
        <f t="shared" si="2811"/>
        <v>0</v>
      </c>
      <c r="FE88" s="675">
        <f t="shared" si="2811"/>
        <v>0</v>
      </c>
      <c r="FF88" s="549">
        <f t="shared" ref="FF88:FG88" si="2812">SUM(FF421)</f>
        <v>0</v>
      </c>
      <c r="FG88" s="675">
        <f t="shared" si="2812"/>
        <v>0</v>
      </c>
      <c r="FH88" s="549">
        <f t="shared" ref="FH88:FI88" si="2813">SUM(FH421)</f>
        <v>0</v>
      </c>
      <c r="FI88" s="675">
        <f t="shared" si="2813"/>
        <v>0</v>
      </c>
      <c r="FJ88" s="549">
        <f t="shared" ref="FJ88:FK88" si="2814">SUM(FJ421)</f>
        <v>0</v>
      </c>
      <c r="FK88" s="675">
        <f t="shared" si="2814"/>
        <v>0</v>
      </c>
      <c r="FL88" s="549">
        <f t="shared" ref="FL88:FM88" si="2815">SUM(FL421)</f>
        <v>0</v>
      </c>
      <c r="FM88" s="675">
        <f t="shared" si="2815"/>
        <v>0</v>
      </c>
      <c r="FN88" s="549">
        <f t="shared" ref="FN88:FO88" si="2816">SUM(FN421)</f>
        <v>0</v>
      </c>
      <c r="FO88" s="675">
        <f t="shared" si="2816"/>
        <v>0</v>
      </c>
      <c r="FP88" s="549">
        <f t="shared" ref="FP88:FQ88" si="2817">SUM(FP421)</f>
        <v>0</v>
      </c>
      <c r="FQ88" s="675">
        <f t="shared" si="2817"/>
        <v>0</v>
      </c>
      <c r="FR88" s="549">
        <f t="shared" ref="FR88:FS88" si="2818">SUM(FR421)</f>
        <v>0</v>
      </c>
      <c r="FS88" s="675">
        <f t="shared" si="2818"/>
        <v>0</v>
      </c>
      <c r="FT88" s="549">
        <f t="shared" ref="FT88:FU88" si="2819">SUM(FT421)</f>
        <v>0</v>
      </c>
      <c r="FU88" s="675">
        <f t="shared" si="2819"/>
        <v>0</v>
      </c>
      <c r="FV88" s="549">
        <f t="shared" ref="FV88:GK88" si="2820">SUM(FV421)</f>
        <v>0</v>
      </c>
      <c r="FW88" s="675">
        <f t="shared" si="2820"/>
        <v>0</v>
      </c>
      <c r="FX88" s="549">
        <f t="shared" si="2820"/>
        <v>0</v>
      </c>
      <c r="FY88" s="675">
        <f t="shared" si="2820"/>
        <v>0</v>
      </c>
      <c r="FZ88" s="549">
        <f t="shared" ref="FZ88:GI88" si="2821">SUM(FZ421)</f>
        <v>0</v>
      </c>
      <c r="GA88" s="675">
        <f t="shared" si="2821"/>
        <v>0</v>
      </c>
      <c r="GB88" s="549">
        <f t="shared" si="2821"/>
        <v>0</v>
      </c>
      <c r="GC88" s="675">
        <f t="shared" si="2821"/>
        <v>0</v>
      </c>
      <c r="GD88" s="549">
        <f t="shared" si="2821"/>
        <v>0</v>
      </c>
      <c r="GE88" s="675">
        <f t="shared" si="2821"/>
        <v>0</v>
      </c>
      <c r="GF88" s="549">
        <f t="shared" si="2821"/>
        <v>0</v>
      </c>
      <c r="GG88" s="675">
        <f t="shared" si="2821"/>
        <v>0</v>
      </c>
      <c r="GH88" s="549">
        <f t="shared" si="2821"/>
        <v>0</v>
      </c>
      <c r="GI88" s="675">
        <f t="shared" si="2821"/>
        <v>0</v>
      </c>
      <c r="GJ88" s="549">
        <f t="shared" si="2820"/>
        <v>0</v>
      </c>
      <c r="GK88" s="675">
        <f t="shared" si="2820"/>
        <v>0</v>
      </c>
      <c r="GL88" s="549">
        <f t="shared" ref="GL88:GM88" si="2822">SUM(GL421)</f>
        <v>0</v>
      </c>
      <c r="GM88" s="675">
        <f t="shared" si="2822"/>
        <v>0</v>
      </c>
      <c r="GN88" s="549">
        <f t="shared" ref="GN88:GO88" si="2823">SUM(GN421)</f>
        <v>0</v>
      </c>
      <c r="GO88" s="675">
        <f t="shared" si="2823"/>
        <v>0</v>
      </c>
      <c r="GP88" s="74">
        <f t="shared" si="2811"/>
        <v>0</v>
      </c>
      <c r="GQ88" s="675">
        <f t="shared" si="2811"/>
        <v>0</v>
      </c>
      <c r="GR88" s="74">
        <f t="shared" ref="GR88:HK88" si="2824">SUM(GR421)</f>
        <v>0</v>
      </c>
      <c r="GS88" s="74">
        <f t="shared" si="2824"/>
        <v>0</v>
      </c>
      <c r="GT88" s="74">
        <f t="shared" si="2824"/>
        <v>0</v>
      </c>
      <c r="GU88" s="74">
        <f t="shared" si="2824"/>
        <v>0</v>
      </c>
      <c r="GV88" s="74">
        <f t="shared" si="2824"/>
        <v>0</v>
      </c>
      <c r="GW88" s="74">
        <f t="shared" si="2824"/>
        <v>0</v>
      </c>
      <c r="GX88" s="74">
        <f t="shared" si="2824"/>
        <v>0</v>
      </c>
      <c r="GY88" s="74">
        <f t="shared" si="2824"/>
        <v>0</v>
      </c>
      <c r="GZ88" s="74">
        <f t="shared" si="2824"/>
        <v>0</v>
      </c>
      <c r="HA88" s="74">
        <f t="shared" si="2824"/>
        <v>0</v>
      </c>
      <c r="HB88" s="74">
        <f t="shared" si="2824"/>
        <v>0</v>
      </c>
      <c r="HC88" s="74">
        <f t="shared" si="2824"/>
        <v>0</v>
      </c>
      <c r="HD88" s="74">
        <f t="shared" si="2824"/>
        <v>0</v>
      </c>
      <c r="HE88" s="74">
        <f t="shared" si="2824"/>
        <v>0</v>
      </c>
      <c r="HF88" s="74">
        <f t="shared" si="2824"/>
        <v>0</v>
      </c>
      <c r="HG88" s="74">
        <f t="shared" si="2824"/>
        <v>0</v>
      </c>
      <c r="HH88" s="74">
        <f t="shared" si="2824"/>
        <v>0</v>
      </c>
      <c r="HI88" s="74">
        <f t="shared" si="2824"/>
        <v>0</v>
      </c>
      <c r="HJ88" s="74">
        <f t="shared" si="2824"/>
        <v>0</v>
      </c>
      <c r="HK88" s="74">
        <f t="shared" si="2824"/>
        <v>0</v>
      </c>
      <c r="HL88" s="74">
        <f t="shared" ref="HL88:JT88" si="2825">SUM(HL421)</f>
        <v>0</v>
      </c>
      <c r="HM88" s="74">
        <f t="shared" si="2825"/>
        <v>0</v>
      </c>
      <c r="HN88" s="74">
        <f t="shared" si="2825"/>
        <v>0</v>
      </c>
      <c r="HO88" s="74">
        <f t="shared" si="2825"/>
        <v>0</v>
      </c>
      <c r="HP88" s="74">
        <f t="shared" si="2825"/>
        <v>0</v>
      </c>
      <c r="HQ88" s="74">
        <f t="shared" si="2825"/>
        <v>0</v>
      </c>
      <c r="HR88" s="74">
        <f t="shared" si="2825"/>
        <v>0</v>
      </c>
      <c r="HS88" s="74">
        <f t="shared" si="2825"/>
        <v>0</v>
      </c>
      <c r="HT88" s="74">
        <f t="shared" si="2825"/>
        <v>0</v>
      </c>
      <c r="HU88" s="74">
        <f t="shared" si="2825"/>
        <v>0</v>
      </c>
      <c r="HV88" s="74">
        <f t="shared" si="2825"/>
        <v>0</v>
      </c>
      <c r="HW88" s="74">
        <f t="shared" si="2825"/>
        <v>0</v>
      </c>
      <c r="HX88" s="74">
        <f t="shared" si="2825"/>
        <v>0</v>
      </c>
      <c r="HY88" s="74">
        <f t="shared" si="2825"/>
        <v>0</v>
      </c>
      <c r="HZ88" s="74">
        <f t="shared" si="2825"/>
        <v>0</v>
      </c>
      <c r="IA88" s="74">
        <f t="shared" si="2825"/>
        <v>0</v>
      </c>
      <c r="IB88" s="74">
        <f t="shared" si="2825"/>
        <v>0</v>
      </c>
      <c r="IC88" s="74">
        <f t="shared" si="2825"/>
        <v>0</v>
      </c>
      <c r="ID88" s="74">
        <f t="shared" si="2825"/>
        <v>0</v>
      </c>
      <c r="IE88" s="792">
        <f t="shared" si="2825"/>
        <v>0</v>
      </c>
      <c r="IF88" s="841">
        <f t="shared" si="2825"/>
        <v>0</v>
      </c>
      <c r="IG88" s="263">
        <f t="shared" si="2825"/>
        <v>0</v>
      </c>
      <c r="IH88" s="842">
        <f t="shared" si="2825"/>
        <v>0</v>
      </c>
      <c r="II88" s="155">
        <f t="shared" si="2825"/>
        <v>0</v>
      </c>
      <c r="IJ88" s="74">
        <f t="shared" si="2825"/>
        <v>0</v>
      </c>
      <c r="IK88" s="74">
        <f t="shared" si="2825"/>
        <v>0</v>
      </c>
      <c r="IL88" s="74">
        <f t="shared" si="2825"/>
        <v>0</v>
      </c>
      <c r="IM88" s="74">
        <f t="shared" si="2825"/>
        <v>0</v>
      </c>
      <c r="IN88" s="74">
        <f t="shared" si="2825"/>
        <v>0</v>
      </c>
      <c r="IO88" s="74">
        <f t="shared" si="2825"/>
        <v>0</v>
      </c>
      <c r="IP88" s="74">
        <f t="shared" si="2825"/>
        <v>0</v>
      </c>
      <c r="IQ88" s="74">
        <f t="shared" si="2825"/>
        <v>0</v>
      </c>
      <c r="IR88" s="74">
        <f t="shared" si="2825"/>
        <v>0</v>
      </c>
      <c r="IS88" s="74">
        <f t="shared" si="2825"/>
        <v>0</v>
      </c>
      <c r="IT88" s="74">
        <f t="shared" si="2825"/>
        <v>0</v>
      </c>
      <c r="IU88" s="74">
        <f t="shared" si="2825"/>
        <v>0</v>
      </c>
      <c r="IV88" s="74">
        <f t="shared" si="2825"/>
        <v>0</v>
      </c>
      <c r="IW88" s="74">
        <f t="shared" si="2825"/>
        <v>0</v>
      </c>
      <c r="IX88" s="74">
        <f t="shared" si="2825"/>
        <v>0</v>
      </c>
      <c r="IY88" s="74">
        <f t="shared" si="2825"/>
        <v>0</v>
      </c>
      <c r="IZ88" s="74">
        <f t="shared" si="2825"/>
        <v>0</v>
      </c>
      <c r="JA88" s="74">
        <f t="shared" si="2825"/>
        <v>0</v>
      </c>
      <c r="JB88" s="74">
        <f t="shared" si="2825"/>
        <v>0</v>
      </c>
      <c r="JC88" s="74">
        <f t="shared" si="2825"/>
        <v>0</v>
      </c>
      <c r="JD88" s="74">
        <f t="shared" si="2825"/>
        <v>0</v>
      </c>
      <c r="JE88" s="74">
        <f t="shared" si="2825"/>
        <v>0</v>
      </c>
      <c r="JF88" s="74">
        <f t="shared" si="2825"/>
        <v>0</v>
      </c>
      <c r="JG88" s="74">
        <f t="shared" si="2825"/>
        <v>0</v>
      </c>
      <c r="JH88" s="74">
        <f t="shared" si="2825"/>
        <v>0</v>
      </c>
      <c r="JI88" s="74">
        <f t="shared" si="2825"/>
        <v>0</v>
      </c>
      <c r="JJ88" s="74">
        <f t="shared" si="2825"/>
        <v>0</v>
      </c>
      <c r="JK88" s="74">
        <f t="shared" si="2825"/>
        <v>0</v>
      </c>
      <c r="JL88" s="74">
        <f t="shared" si="2825"/>
        <v>0</v>
      </c>
      <c r="JM88" s="74">
        <f t="shared" si="2825"/>
        <v>0</v>
      </c>
      <c r="JN88" s="74">
        <f t="shared" si="2825"/>
        <v>0</v>
      </c>
      <c r="JO88" s="74">
        <f t="shared" si="2825"/>
        <v>0</v>
      </c>
      <c r="JP88" s="74">
        <f t="shared" si="2825"/>
        <v>0</v>
      </c>
      <c r="JQ88" s="74">
        <f t="shared" si="2825"/>
        <v>0</v>
      </c>
      <c r="JR88" s="74">
        <f t="shared" si="2825"/>
        <v>0</v>
      </c>
      <c r="JS88" s="74">
        <f t="shared" si="2825"/>
        <v>0</v>
      </c>
      <c r="JT88" s="102">
        <f t="shared" si="2825"/>
        <v>0</v>
      </c>
      <c r="JU88" s="671"/>
      <c r="JV88" s="492"/>
      <c r="JW88" s="490"/>
      <c r="JX88" s="549">
        <f t="shared" si="2775"/>
        <v>0</v>
      </c>
      <c r="JY88" s="549">
        <f t="shared" si="2775"/>
        <v>0</v>
      </c>
      <c r="JZ88" s="581">
        <f t="shared" si="2110"/>
        <v>0</v>
      </c>
      <c r="KA88" s="581">
        <f t="shared" si="2111"/>
        <v>0</v>
      </c>
      <c r="KB88" s="549">
        <f t="shared" si="2775"/>
        <v>0</v>
      </c>
      <c r="KC88" s="709">
        <f t="shared" si="2079"/>
        <v>0</v>
      </c>
      <c r="KD88" s="36"/>
      <c r="KE88" s="36"/>
      <c r="KF88" s="36"/>
      <c r="KG88" s="36"/>
      <c r="KH88" s="36"/>
      <c r="KI88" s="36"/>
      <c r="KJ88" s="36"/>
      <c r="KK88" s="36"/>
    </row>
    <row r="89" spans="1:297" s="8" customFormat="1" ht="12.75" hidden="1" customHeight="1">
      <c r="A89" s="75" t="s">
        <v>120</v>
      </c>
      <c r="B89" s="72" t="s">
        <v>121</v>
      </c>
      <c r="C89" s="74">
        <f>SUM(C422)</f>
        <v>0</v>
      </c>
      <c r="D89" s="549">
        <f t="shared" ref="D89:E89" si="2826">SUM(D422)</f>
        <v>0</v>
      </c>
      <c r="E89" s="675">
        <f t="shared" si="2826"/>
        <v>0</v>
      </c>
      <c r="F89" s="549">
        <f t="shared" ref="F89:G89" si="2827">SUM(F422)</f>
        <v>0</v>
      </c>
      <c r="G89" s="675">
        <f t="shared" si="2827"/>
        <v>0</v>
      </c>
      <c r="H89" s="549">
        <f t="shared" ref="H89:AS89" si="2828">SUM(H422)</f>
        <v>0</v>
      </c>
      <c r="I89" s="675">
        <f t="shared" si="2828"/>
        <v>0</v>
      </c>
      <c r="J89" s="549">
        <f t="shared" si="2828"/>
        <v>0</v>
      </c>
      <c r="K89" s="675">
        <f t="shared" si="2828"/>
        <v>0</v>
      </c>
      <c r="L89" s="549">
        <f t="shared" si="2828"/>
        <v>0</v>
      </c>
      <c r="M89" s="675">
        <f t="shared" si="2828"/>
        <v>0</v>
      </c>
      <c r="N89" s="549">
        <f t="shared" si="2828"/>
        <v>0</v>
      </c>
      <c r="O89" s="675">
        <f t="shared" si="2828"/>
        <v>0</v>
      </c>
      <c r="P89" s="549">
        <f t="shared" si="2828"/>
        <v>0</v>
      </c>
      <c r="Q89" s="675">
        <f t="shared" si="2828"/>
        <v>0</v>
      </c>
      <c r="R89" s="549">
        <f t="shared" si="2828"/>
        <v>0</v>
      </c>
      <c r="S89" s="675">
        <f t="shared" si="2828"/>
        <v>0</v>
      </c>
      <c r="T89" s="549">
        <f t="shared" si="2828"/>
        <v>0</v>
      </c>
      <c r="U89" s="675">
        <f t="shared" si="2828"/>
        <v>0</v>
      </c>
      <c r="V89" s="549">
        <f t="shared" si="2828"/>
        <v>0</v>
      </c>
      <c r="W89" s="675">
        <f t="shared" si="2828"/>
        <v>0</v>
      </c>
      <c r="X89" s="549">
        <f t="shared" si="2828"/>
        <v>0</v>
      </c>
      <c r="Y89" s="675">
        <f t="shared" si="2828"/>
        <v>0</v>
      </c>
      <c r="Z89" s="549">
        <f t="shared" si="2828"/>
        <v>0</v>
      </c>
      <c r="AA89" s="675">
        <f t="shared" si="2828"/>
        <v>0</v>
      </c>
      <c r="AB89" s="549">
        <f t="shared" si="2828"/>
        <v>0</v>
      </c>
      <c r="AC89" s="675">
        <f t="shared" si="2828"/>
        <v>0</v>
      </c>
      <c r="AD89" s="549">
        <f t="shared" si="2828"/>
        <v>0</v>
      </c>
      <c r="AE89" s="675">
        <f t="shared" si="2828"/>
        <v>0</v>
      </c>
      <c r="AF89" s="549">
        <f t="shared" si="2828"/>
        <v>0</v>
      </c>
      <c r="AG89" s="675">
        <f t="shared" si="2828"/>
        <v>0</v>
      </c>
      <c r="AH89" s="549">
        <f t="shared" si="2828"/>
        <v>0</v>
      </c>
      <c r="AI89" s="675">
        <f t="shared" si="2828"/>
        <v>0</v>
      </c>
      <c r="AJ89" s="549">
        <f t="shared" si="2828"/>
        <v>0</v>
      </c>
      <c r="AK89" s="675">
        <f t="shared" si="2828"/>
        <v>0</v>
      </c>
      <c r="AL89" s="549">
        <f t="shared" si="2828"/>
        <v>0</v>
      </c>
      <c r="AM89" s="675">
        <f t="shared" si="2828"/>
        <v>0</v>
      </c>
      <c r="AN89" s="549">
        <f t="shared" si="2828"/>
        <v>0</v>
      </c>
      <c r="AO89" s="675">
        <f t="shared" si="2828"/>
        <v>0</v>
      </c>
      <c r="AP89" s="549">
        <f t="shared" si="2828"/>
        <v>0</v>
      </c>
      <c r="AQ89" s="675">
        <f t="shared" si="2828"/>
        <v>0</v>
      </c>
      <c r="AR89" s="549">
        <f t="shared" si="2828"/>
        <v>0</v>
      </c>
      <c r="AS89" s="675">
        <f t="shared" si="2828"/>
        <v>0</v>
      </c>
      <c r="AT89" s="549">
        <f t="shared" ref="AT89:AU89" si="2829">SUM(AT422)</f>
        <v>0</v>
      </c>
      <c r="AU89" s="675">
        <f t="shared" si="2829"/>
        <v>0</v>
      </c>
      <c r="AV89" s="549">
        <f t="shared" ref="AV89:AW89" si="2830">SUM(AV422)</f>
        <v>0</v>
      </c>
      <c r="AW89" s="675">
        <f t="shared" si="2830"/>
        <v>0</v>
      </c>
      <c r="AX89" s="549">
        <f t="shared" ref="AX89:AY89" si="2831">SUM(AX422)</f>
        <v>0</v>
      </c>
      <c r="AY89" s="675">
        <f t="shared" si="2831"/>
        <v>0</v>
      </c>
      <c r="AZ89" s="549">
        <f t="shared" ref="AZ89:BA89" si="2832">SUM(AZ422)</f>
        <v>0</v>
      </c>
      <c r="BA89" s="675">
        <f t="shared" si="2832"/>
        <v>0</v>
      </c>
      <c r="BB89" s="549">
        <f t="shared" ref="BB89:BC89" si="2833">SUM(BB422)</f>
        <v>0</v>
      </c>
      <c r="BC89" s="675">
        <f t="shared" si="2833"/>
        <v>0</v>
      </c>
      <c r="BD89" s="549">
        <f t="shared" ref="BD89:BE89" si="2834">SUM(BD422)</f>
        <v>0</v>
      </c>
      <c r="BE89" s="675">
        <f t="shared" si="2834"/>
        <v>0</v>
      </c>
      <c r="BF89" s="549">
        <f t="shared" ref="BF89:BG89" si="2835">SUM(BF422)</f>
        <v>0</v>
      </c>
      <c r="BG89" s="675">
        <f t="shared" si="2835"/>
        <v>0</v>
      </c>
      <c r="BH89" s="549">
        <f t="shared" ref="BH89:BI89" si="2836">SUM(BH422)</f>
        <v>0</v>
      </c>
      <c r="BI89" s="675">
        <f t="shared" si="2836"/>
        <v>0</v>
      </c>
      <c r="BJ89" s="549">
        <f t="shared" ref="BJ89:BK89" si="2837">SUM(BJ422)</f>
        <v>0</v>
      </c>
      <c r="BK89" s="675">
        <f t="shared" si="2837"/>
        <v>0</v>
      </c>
      <c r="BL89" s="549">
        <f t="shared" ref="BL89:BS89" si="2838">SUM(BL422)</f>
        <v>0</v>
      </c>
      <c r="BM89" s="675">
        <f t="shared" si="2838"/>
        <v>0</v>
      </c>
      <c r="BN89" s="549">
        <f t="shared" si="2838"/>
        <v>0</v>
      </c>
      <c r="BO89" s="675">
        <f t="shared" si="2838"/>
        <v>0</v>
      </c>
      <c r="BP89" s="549">
        <f t="shared" si="2838"/>
        <v>0</v>
      </c>
      <c r="BQ89" s="675">
        <f t="shared" si="2838"/>
        <v>0</v>
      </c>
      <c r="BR89" s="549">
        <f t="shared" si="2838"/>
        <v>0</v>
      </c>
      <c r="BS89" s="675">
        <f t="shared" si="2838"/>
        <v>0</v>
      </c>
      <c r="BT89" s="549">
        <f t="shared" ref="BT89:BU89" si="2839">SUM(BT422)</f>
        <v>0</v>
      </c>
      <c r="BU89" s="675">
        <f t="shared" si="2839"/>
        <v>0</v>
      </c>
      <c r="BV89" s="549">
        <f t="shared" ref="BV89:BW89" si="2840">SUM(BV422)</f>
        <v>0</v>
      </c>
      <c r="BW89" s="675">
        <f t="shared" si="2840"/>
        <v>0</v>
      </c>
      <c r="BX89" s="549">
        <f t="shared" ref="BX89:BY89" si="2841">SUM(BX422)</f>
        <v>0</v>
      </c>
      <c r="BY89" s="675">
        <f t="shared" si="2841"/>
        <v>0</v>
      </c>
      <c r="BZ89" s="549">
        <f t="shared" ref="BZ89:CA89" si="2842">SUM(BZ422)</f>
        <v>0</v>
      </c>
      <c r="CA89" s="675">
        <f t="shared" si="2842"/>
        <v>0</v>
      </c>
      <c r="CB89" s="549">
        <f t="shared" ref="CB89:CE89" si="2843">SUM(CB422)</f>
        <v>0</v>
      </c>
      <c r="CC89" s="675">
        <f t="shared" si="2843"/>
        <v>0</v>
      </c>
      <c r="CD89" s="549">
        <f t="shared" si="2843"/>
        <v>0</v>
      </c>
      <c r="CE89" s="675">
        <f t="shared" si="2843"/>
        <v>0</v>
      </c>
      <c r="CF89" s="549">
        <f t="shared" ref="CF89:CG89" si="2844">SUM(CF422)</f>
        <v>0</v>
      </c>
      <c r="CG89" s="675">
        <f t="shared" si="2844"/>
        <v>0</v>
      </c>
      <c r="CH89" s="549">
        <f t="shared" ref="CH89:CQ89" si="2845">SUM(CH422)</f>
        <v>0</v>
      </c>
      <c r="CI89" s="675">
        <f t="shared" si="2845"/>
        <v>0</v>
      </c>
      <c r="CJ89" s="549">
        <f t="shared" si="2845"/>
        <v>0</v>
      </c>
      <c r="CK89" s="675">
        <f t="shared" si="2845"/>
        <v>0</v>
      </c>
      <c r="CL89" s="549">
        <f t="shared" si="2845"/>
        <v>0</v>
      </c>
      <c r="CM89" s="675">
        <f t="shared" si="2845"/>
        <v>0</v>
      </c>
      <c r="CN89" s="549">
        <f t="shared" si="2845"/>
        <v>0</v>
      </c>
      <c r="CO89" s="675">
        <f t="shared" si="2845"/>
        <v>0</v>
      </c>
      <c r="CP89" s="549">
        <f t="shared" si="2845"/>
        <v>0</v>
      </c>
      <c r="CQ89" s="675">
        <f t="shared" si="2845"/>
        <v>0</v>
      </c>
      <c r="CR89" s="549">
        <f t="shared" ref="CR89:CS89" si="2846">SUM(CR422)</f>
        <v>0</v>
      </c>
      <c r="CS89" s="675">
        <f t="shared" si="2846"/>
        <v>0</v>
      </c>
      <c r="CT89" s="549">
        <f t="shared" ref="CT89:CU89" si="2847">SUM(CT422)</f>
        <v>0</v>
      </c>
      <c r="CU89" s="675">
        <f t="shared" si="2847"/>
        <v>0</v>
      </c>
      <c r="CV89" s="549">
        <f t="shared" ref="CV89:CW89" si="2848">SUM(CV422)</f>
        <v>0</v>
      </c>
      <c r="CW89" s="675">
        <f t="shared" si="2848"/>
        <v>0</v>
      </c>
      <c r="CX89" s="549">
        <f t="shared" ref="CX89:CY89" si="2849">SUM(CX422)</f>
        <v>0</v>
      </c>
      <c r="CY89" s="675">
        <f t="shared" si="2849"/>
        <v>0</v>
      </c>
      <c r="CZ89" s="549">
        <f t="shared" ref="CZ89:DA89" si="2850">SUM(CZ422)</f>
        <v>0</v>
      </c>
      <c r="DA89" s="675">
        <f t="shared" si="2850"/>
        <v>0</v>
      </c>
      <c r="DB89" s="549">
        <f t="shared" ref="DB89:DC89" si="2851">SUM(DB422)</f>
        <v>0</v>
      </c>
      <c r="DC89" s="675">
        <f t="shared" si="2851"/>
        <v>0</v>
      </c>
      <c r="DD89" s="549">
        <f t="shared" ref="DD89:DE89" si="2852">SUM(DD422)</f>
        <v>0</v>
      </c>
      <c r="DE89" s="675">
        <f t="shared" si="2852"/>
        <v>0</v>
      </c>
      <c r="DF89" s="549">
        <f t="shared" ref="DF89:DG89" si="2853">SUM(DF422)</f>
        <v>0</v>
      </c>
      <c r="DG89" s="675">
        <f t="shared" si="2853"/>
        <v>0</v>
      </c>
      <c r="DH89" s="549">
        <f t="shared" ref="DH89:DI89" si="2854">SUM(DH422)</f>
        <v>0</v>
      </c>
      <c r="DI89" s="675">
        <f t="shared" si="2854"/>
        <v>0</v>
      </c>
      <c r="DJ89" s="549">
        <f t="shared" ref="DJ89:DK89" si="2855">SUM(DJ422)</f>
        <v>0</v>
      </c>
      <c r="DK89" s="675">
        <f t="shared" si="2855"/>
        <v>0</v>
      </c>
      <c r="DL89" s="549">
        <f t="shared" ref="DL89:DM89" si="2856">SUM(DL422)</f>
        <v>0</v>
      </c>
      <c r="DM89" s="675">
        <f t="shared" si="2856"/>
        <v>0</v>
      </c>
      <c r="DN89" s="549">
        <f t="shared" ref="DN89:DO89" si="2857">SUM(DN422)</f>
        <v>0</v>
      </c>
      <c r="DO89" s="675">
        <f t="shared" si="2857"/>
        <v>0</v>
      </c>
      <c r="DP89" s="549">
        <f t="shared" ref="DP89:DU89" si="2858">SUM(DP422)</f>
        <v>0</v>
      </c>
      <c r="DQ89" s="675">
        <f t="shared" si="2858"/>
        <v>0</v>
      </c>
      <c r="DR89" s="549">
        <f t="shared" si="2858"/>
        <v>0</v>
      </c>
      <c r="DS89" s="675">
        <f t="shared" si="2858"/>
        <v>0</v>
      </c>
      <c r="DT89" s="549">
        <f t="shared" si="2858"/>
        <v>0</v>
      </c>
      <c r="DU89" s="675">
        <f t="shared" si="2858"/>
        <v>0</v>
      </c>
      <c r="DV89" s="549">
        <f t="shared" si="2755"/>
        <v>0</v>
      </c>
      <c r="DW89" s="675">
        <f t="shared" si="2755"/>
        <v>0</v>
      </c>
      <c r="DX89" s="549">
        <f t="shared" si="2807"/>
        <v>0</v>
      </c>
      <c r="DY89" s="675">
        <f t="shared" si="2807"/>
        <v>0</v>
      </c>
      <c r="DZ89" s="549">
        <f t="shared" si="2807"/>
        <v>0</v>
      </c>
      <c r="EA89" s="675">
        <f t="shared" si="2807"/>
        <v>0</v>
      </c>
      <c r="EB89" s="549">
        <f t="shared" ref="EB89:EM89" si="2859">SUM(EB422)</f>
        <v>0</v>
      </c>
      <c r="EC89" s="675">
        <f t="shared" si="2859"/>
        <v>0</v>
      </c>
      <c r="ED89" s="549">
        <f t="shared" si="2859"/>
        <v>0</v>
      </c>
      <c r="EE89" s="675">
        <f t="shared" si="2859"/>
        <v>0</v>
      </c>
      <c r="EF89" s="549">
        <f t="shared" si="2859"/>
        <v>0</v>
      </c>
      <c r="EG89" s="675">
        <f t="shared" si="2859"/>
        <v>0</v>
      </c>
      <c r="EH89" s="549">
        <f t="shared" si="2859"/>
        <v>0</v>
      </c>
      <c r="EI89" s="675">
        <f t="shared" si="2859"/>
        <v>0</v>
      </c>
      <c r="EJ89" s="549">
        <f t="shared" si="2859"/>
        <v>0</v>
      </c>
      <c r="EK89" s="675">
        <f t="shared" si="2859"/>
        <v>0</v>
      </c>
      <c r="EL89" s="549">
        <f t="shared" si="2859"/>
        <v>0</v>
      </c>
      <c r="EM89" s="675">
        <f t="shared" si="2859"/>
        <v>0</v>
      </c>
      <c r="EN89" s="549">
        <f t="shared" si="2758"/>
        <v>0</v>
      </c>
      <c r="EO89" s="675">
        <f t="shared" si="2758"/>
        <v>0</v>
      </c>
      <c r="EP89" s="549">
        <f t="shared" ref="EP89:FA89" si="2860">SUM(EP422)</f>
        <v>0</v>
      </c>
      <c r="EQ89" s="675">
        <f t="shared" si="2860"/>
        <v>0</v>
      </c>
      <c r="ER89" s="549">
        <f t="shared" si="2860"/>
        <v>0</v>
      </c>
      <c r="ES89" s="675">
        <f t="shared" si="2860"/>
        <v>0</v>
      </c>
      <c r="ET89" s="549">
        <f t="shared" si="2860"/>
        <v>0</v>
      </c>
      <c r="EU89" s="675">
        <f t="shared" si="2860"/>
        <v>0</v>
      </c>
      <c r="EV89" s="549">
        <f t="shared" ref="EV89:EW89" si="2861">SUM(EV422)</f>
        <v>0</v>
      </c>
      <c r="EW89" s="675">
        <f t="shared" si="2861"/>
        <v>0</v>
      </c>
      <c r="EX89" s="549">
        <f t="shared" si="2860"/>
        <v>0</v>
      </c>
      <c r="EY89" s="675">
        <f t="shared" si="2860"/>
        <v>0</v>
      </c>
      <c r="EZ89" s="549">
        <f t="shared" si="2860"/>
        <v>0</v>
      </c>
      <c r="FA89" s="675">
        <f t="shared" si="2860"/>
        <v>0</v>
      </c>
      <c r="FB89" s="549">
        <f t="shared" si="2811"/>
        <v>0</v>
      </c>
      <c r="FC89" s="675">
        <f t="shared" si="2811"/>
        <v>0</v>
      </c>
      <c r="FD89" s="549">
        <f t="shared" si="2811"/>
        <v>0</v>
      </c>
      <c r="FE89" s="675">
        <f t="shared" si="2811"/>
        <v>0</v>
      </c>
      <c r="FF89" s="549">
        <f t="shared" ref="FF89:FG89" si="2862">SUM(FF422)</f>
        <v>0</v>
      </c>
      <c r="FG89" s="675">
        <f t="shared" si="2862"/>
        <v>0</v>
      </c>
      <c r="FH89" s="549">
        <f t="shared" ref="FH89:FI89" si="2863">SUM(FH422)</f>
        <v>0</v>
      </c>
      <c r="FI89" s="675">
        <f t="shared" si="2863"/>
        <v>0</v>
      </c>
      <c r="FJ89" s="549">
        <f t="shared" ref="FJ89:FK89" si="2864">SUM(FJ422)</f>
        <v>0</v>
      </c>
      <c r="FK89" s="675">
        <f t="shared" si="2864"/>
        <v>0</v>
      </c>
      <c r="FL89" s="549">
        <f t="shared" ref="FL89:FM89" si="2865">SUM(FL422)</f>
        <v>0</v>
      </c>
      <c r="FM89" s="675">
        <f t="shared" si="2865"/>
        <v>0</v>
      </c>
      <c r="FN89" s="549">
        <f t="shared" ref="FN89:FO89" si="2866">SUM(FN422)</f>
        <v>0</v>
      </c>
      <c r="FO89" s="675">
        <f t="shared" si="2866"/>
        <v>0</v>
      </c>
      <c r="FP89" s="549">
        <f t="shared" ref="FP89:FQ89" si="2867">SUM(FP422)</f>
        <v>0</v>
      </c>
      <c r="FQ89" s="675">
        <f t="shared" si="2867"/>
        <v>0</v>
      </c>
      <c r="FR89" s="549">
        <f t="shared" ref="FR89:FS89" si="2868">SUM(FR422)</f>
        <v>0</v>
      </c>
      <c r="FS89" s="675">
        <f t="shared" si="2868"/>
        <v>0</v>
      </c>
      <c r="FT89" s="549">
        <f t="shared" ref="FT89:FU89" si="2869">SUM(FT422)</f>
        <v>0</v>
      </c>
      <c r="FU89" s="675">
        <f t="shared" si="2869"/>
        <v>0</v>
      </c>
      <c r="FV89" s="549">
        <f t="shared" ref="FV89:GK89" si="2870">SUM(FV422)</f>
        <v>0</v>
      </c>
      <c r="FW89" s="675">
        <f t="shared" si="2870"/>
        <v>0</v>
      </c>
      <c r="FX89" s="549">
        <f t="shared" si="2870"/>
        <v>0</v>
      </c>
      <c r="FY89" s="675">
        <f t="shared" si="2870"/>
        <v>0</v>
      </c>
      <c r="FZ89" s="549">
        <f t="shared" ref="FZ89:GI89" si="2871">SUM(FZ422)</f>
        <v>0</v>
      </c>
      <c r="GA89" s="675">
        <f t="shared" si="2871"/>
        <v>0</v>
      </c>
      <c r="GB89" s="549">
        <f t="shared" si="2871"/>
        <v>0</v>
      </c>
      <c r="GC89" s="675">
        <f t="shared" si="2871"/>
        <v>0</v>
      </c>
      <c r="GD89" s="549">
        <f t="shared" si="2871"/>
        <v>0</v>
      </c>
      <c r="GE89" s="675">
        <f t="shared" si="2871"/>
        <v>0</v>
      </c>
      <c r="GF89" s="549">
        <f t="shared" si="2871"/>
        <v>0</v>
      </c>
      <c r="GG89" s="675">
        <f t="shared" si="2871"/>
        <v>0</v>
      </c>
      <c r="GH89" s="549">
        <f t="shared" si="2871"/>
        <v>0</v>
      </c>
      <c r="GI89" s="675">
        <f t="shared" si="2871"/>
        <v>0</v>
      </c>
      <c r="GJ89" s="549">
        <f t="shared" si="2870"/>
        <v>0</v>
      </c>
      <c r="GK89" s="675">
        <f t="shared" si="2870"/>
        <v>0</v>
      </c>
      <c r="GL89" s="549">
        <f t="shared" ref="GL89:GM89" si="2872">SUM(GL422)</f>
        <v>0</v>
      </c>
      <c r="GM89" s="675">
        <f t="shared" si="2872"/>
        <v>0</v>
      </c>
      <c r="GN89" s="549">
        <f t="shared" ref="GN89:GO89" si="2873">SUM(GN422)</f>
        <v>0</v>
      </c>
      <c r="GO89" s="675">
        <f t="shared" si="2873"/>
        <v>0</v>
      </c>
      <c r="GP89" s="74">
        <f t="shared" si="2811"/>
        <v>0</v>
      </c>
      <c r="GQ89" s="675">
        <f t="shared" si="2811"/>
        <v>0</v>
      </c>
      <c r="GR89" s="74">
        <f t="shared" ref="GR89:HK89" si="2874">SUM(GR422)</f>
        <v>0</v>
      </c>
      <c r="GS89" s="74">
        <f t="shared" si="2874"/>
        <v>0</v>
      </c>
      <c r="GT89" s="74">
        <f t="shared" si="2874"/>
        <v>0</v>
      </c>
      <c r="GU89" s="74">
        <f t="shared" si="2874"/>
        <v>0</v>
      </c>
      <c r="GV89" s="74">
        <f t="shared" si="2874"/>
        <v>0</v>
      </c>
      <c r="GW89" s="74">
        <f t="shared" si="2874"/>
        <v>0</v>
      </c>
      <c r="GX89" s="74">
        <f t="shared" si="2874"/>
        <v>0</v>
      </c>
      <c r="GY89" s="74">
        <f t="shared" si="2874"/>
        <v>0</v>
      </c>
      <c r="GZ89" s="74">
        <f t="shared" si="2874"/>
        <v>0</v>
      </c>
      <c r="HA89" s="74">
        <f t="shared" si="2874"/>
        <v>0</v>
      </c>
      <c r="HB89" s="74">
        <f t="shared" si="2874"/>
        <v>0</v>
      </c>
      <c r="HC89" s="74">
        <f t="shared" si="2874"/>
        <v>0</v>
      </c>
      <c r="HD89" s="74">
        <f t="shared" si="2874"/>
        <v>0</v>
      </c>
      <c r="HE89" s="74">
        <f t="shared" si="2874"/>
        <v>0</v>
      </c>
      <c r="HF89" s="74">
        <f t="shared" si="2874"/>
        <v>0</v>
      </c>
      <c r="HG89" s="74">
        <f t="shared" si="2874"/>
        <v>0</v>
      </c>
      <c r="HH89" s="74">
        <f t="shared" si="2874"/>
        <v>0</v>
      </c>
      <c r="HI89" s="74">
        <f t="shared" si="2874"/>
        <v>0</v>
      </c>
      <c r="HJ89" s="74">
        <f t="shared" si="2874"/>
        <v>0</v>
      </c>
      <c r="HK89" s="74">
        <f t="shared" si="2874"/>
        <v>0</v>
      </c>
      <c r="HL89" s="74">
        <f t="shared" ref="HL89:JT89" si="2875">SUM(HL422)</f>
        <v>0</v>
      </c>
      <c r="HM89" s="74">
        <f t="shared" si="2875"/>
        <v>0</v>
      </c>
      <c r="HN89" s="74">
        <f t="shared" si="2875"/>
        <v>0</v>
      </c>
      <c r="HO89" s="74">
        <f t="shared" si="2875"/>
        <v>0</v>
      </c>
      <c r="HP89" s="74">
        <f t="shared" si="2875"/>
        <v>0</v>
      </c>
      <c r="HQ89" s="74">
        <f t="shared" si="2875"/>
        <v>0</v>
      </c>
      <c r="HR89" s="74">
        <f t="shared" si="2875"/>
        <v>0</v>
      </c>
      <c r="HS89" s="74">
        <f t="shared" si="2875"/>
        <v>0</v>
      </c>
      <c r="HT89" s="74">
        <f t="shared" si="2875"/>
        <v>0</v>
      </c>
      <c r="HU89" s="74">
        <f t="shared" si="2875"/>
        <v>0</v>
      </c>
      <c r="HV89" s="74">
        <f t="shared" si="2875"/>
        <v>0</v>
      </c>
      <c r="HW89" s="74">
        <f t="shared" si="2875"/>
        <v>0</v>
      </c>
      <c r="HX89" s="74">
        <f t="shared" si="2875"/>
        <v>0</v>
      </c>
      <c r="HY89" s="74">
        <f t="shared" si="2875"/>
        <v>0</v>
      </c>
      <c r="HZ89" s="74">
        <f t="shared" si="2875"/>
        <v>0</v>
      </c>
      <c r="IA89" s="74">
        <f t="shared" si="2875"/>
        <v>0</v>
      </c>
      <c r="IB89" s="74">
        <f t="shared" si="2875"/>
        <v>0</v>
      </c>
      <c r="IC89" s="74">
        <f t="shared" si="2875"/>
        <v>0</v>
      </c>
      <c r="ID89" s="74">
        <f t="shared" si="2875"/>
        <v>0</v>
      </c>
      <c r="IE89" s="792">
        <f t="shared" si="2875"/>
        <v>0</v>
      </c>
      <c r="IF89" s="841">
        <f t="shared" si="2875"/>
        <v>0</v>
      </c>
      <c r="IG89" s="263">
        <f t="shared" si="2875"/>
        <v>0</v>
      </c>
      <c r="IH89" s="842">
        <f t="shared" si="2875"/>
        <v>0</v>
      </c>
      <c r="II89" s="155">
        <f t="shared" si="2875"/>
        <v>0</v>
      </c>
      <c r="IJ89" s="74">
        <f t="shared" si="2875"/>
        <v>0</v>
      </c>
      <c r="IK89" s="74">
        <f t="shared" si="2875"/>
        <v>0</v>
      </c>
      <c r="IL89" s="74">
        <f t="shared" si="2875"/>
        <v>0</v>
      </c>
      <c r="IM89" s="74">
        <f t="shared" si="2875"/>
        <v>0</v>
      </c>
      <c r="IN89" s="74">
        <f t="shared" si="2875"/>
        <v>0</v>
      </c>
      <c r="IO89" s="74">
        <f t="shared" si="2875"/>
        <v>0</v>
      </c>
      <c r="IP89" s="74">
        <f t="shared" si="2875"/>
        <v>0</v>
      </c>
      <c r="IQ89" s="74">
        <f t="shared" si="2875"/>
        <v>0</v>
      </c>
      <c r="IR89" s="74">
        <f t="shared" si="2875"/>
        <v>0</v>
      </c>
      <c r="IS89" s="74">
        <f t="shared" si="2875"/>
        <v>0</v>
      </c>
      <c r="IT89" s="74">
        <f t="shared" si="2875"/>
        <v>0</v>
      </c>
      <c r="IU89" s="74">
        <f t="shared" si="2875"/>
        <v>0</v>
      </c>
      <c r="IV89" s="74">
        <f t="shared" si="2875"/>
        <v>0</v>
      </c>
      <c r="IW89" s="74">
        <f t="shared" si="2875"/>
        <v>0</v>
      </c>
      <c r="IX89" s="74">
        <f t="shared" si="2875"/>
        <v>0</v>
      </c>
      <c r="IY89" s="74">
        <f t="shared" si="2875"/>
        <v>0</v>
      </c>
      <c r="IZ89" s="74">
        <f t="shared" si="2875"/>
        <v>0</v>
      </c>
      <c r="JA89" s="74">
        <f t="shared" si="2875"/>
        <v>0</v>
      </c>
      <c r="JB89" s="74">
        <f t="shared" si="2875"/>
        <v>0</v>
      </c>
      <c r="JC89" s="74">
        <f t="shared" si="2875"/>
        <v>0</v>
      </c>
      <c r="JD89" s="74">
        <f t="shared" si="2875"/>
        <v>0</v>
      </c>
      <c r="JE89" s="74">
        <f t="shared" si="2875"/>
        <v>0</v>
      </c>
      <c r="JF89" s="74">
        <f t="shared" si="2875"/>
        <v>0</v>
      </c>
      <c r="JG89" s="74">
        <f t="shared" si="2875"/>
        <v>0</v>
      </c>
      <c r="JH89" s="74">
        <f t="shared" si="2875"/>
        <v>0</v>
      </c>
      <c r="JI89" s="74">
        <f t="shared" si="2875"/>
        <v>0</v>
      </c>
      <c r="JJ89" s="74">
        <f t="shared" si="2875"/>
        <v>0</v>
      </c>
      <c r="JK89" s="74">
        <f t="shared" si="2875"/>
        <v>0</v>
      </c>
      <c r="JL89" s="74">
        <f t="shared" si="2875"/>
        <v>0</v>
      </c>
      <c r="JM89" s="74">
        <f t="shared" si="2875"/>
        <v>0</v>
      </c>
      <c r="JN89" s="74">
        <f t="shared" si="2875"/>
        <v>0</v>
      </c>
      <c r="JO89" s="74">
        <f t="shared" si="2875"/>
        <v>0</v>
      </c>
      <c r="JP89" s="74">
        <f t="shared" si="2875"/>
        <v>0</v>
      </c>
      <c r="JQ89" s="74">
        <f t="shared" si="2875"/>
        <v>0</v>
      </c>
      <c r="JR89" s="74">
        <f t="shared" si="2875"/>
        <v>0</v>
      </c>
      <c r="JS89" s="74">
        <f t="shared" si="2875"/>
        <v>0</v>
      </c>
      <c r="JT89" s="102">
        <f t="shared" si="2875"/>
        <v>0</v>
      </c>
      <c r="JU89" s="671"/>
      <c r="JV89" s="492"/>
      <c r="JW89" s="490"/>
      <c r="JX89" s="549">
        <f t="shared" si="2775"/>
        <v>0</v>
      </c>
      <c r="JY89" s="549">
        <f t="shared" si="2775"/>
        <v>0</v>
      </c>
      <c r="JZ89" s="581">
        <f t="shared" si="2110"/>
        <v>0</v>
      </c>
      <c r="KA89" s="581">
        <f t="shared" si="2111"/>
        <v>0</v>
      </c>
      <c r="KB89" s="549">
        <f t="shared" si="2775"/>
        <v>0</v>
      </c>
      <c r="KC89" s="709">
        <f t="shared" si="2079"/>
        <v>0</v>
      </c>
      <c r="KD89" s="36"/>
      <c r="KE89" s="36"/>
      <c r="KF89" s="36"/>
      <c r="KG89" s="36"/>
      <c r="KH89" s="36"/>
      <c r="KI89" s="36"/>
      <c r="KJ89" s="36"/>
      <c r="KK89" s="36"/>
    </row>
    <row r="90" spans="1:297" s="8" customFormat="1" ht="12.75" hidden="1" customHeight="1">
      <c r="A90" s="262" t="s">
        <v>1061</v>
      </c>
      <c r="B90" s="72"/>
      <c r="C90" s="74">
        <f t="shared" ref="C90:AS90" si="2876">C423</f>
        <v>0</v>
      </c>
      <c r="D90" s="549">
        <f t="shared" si="2876"/>
        <v>0</v>
      </c>
      <c r="E90" s="675">
        <f t="shared" si="2876"/>
        <v>0</v>
      </c>
      <c r="F90" s="549">
        <f t="shared" si="2876"/>
        <v>0</v>
      </c>
      <c r="G90" s="675">
        <f t="shared" si="2876"/>
        <v>0</v>
      </c>
      <c r="H90" s="549">
        <f t="shared" si="2876"/>
        <v>0</v>
      </c>
      <c r="I90" s="675">
        <f t="shared" si="2876"/>
        <v>0</v>
      </c>
      <c r="J90" s="549">
        <f t="shared" si="2876"/>
        <v>0</v>
      </c>
      <c r="K90" s="675">
        <f t="shared" si="2876"/>
        <v>0</v>
      </c>
      <c r="L90" s="549">
        <f t="shared" si="2876"/>
        <v>0</v>
      </c>
      <c r="M90" s="675">
        <f t="shared" si="2876"/>
        <v>0</v>
      </c>
      <c r="N90" s="549">
        <f t="shared" si="2876"/>
        <v>0</v>
      </c>
      <c r="O90" s="675">
        <f t="shared" si="2876"/>
        <v>0</v>
      </c>
      <c r="P90" s="549">
        <f t="shared" si="2876"/>
        <v>0</v>
      </c>
      <c r="Q90" s="675">
        <f t="shared" si="2876"/>
        <v>0</v>
      </c>
      <c r="R90" s="549">
        <f t="shared" si="2876"/>
        <v>0</v>
      </c>
      <c r="S90" s="675">
        <f t="shared" si="2876"/>
        <v>0</v>
      </c>
      <c r="T90" s="549">
        <f t="shared" si="2876"/>
        <v>0</v>
      </c>
      <c r="U90" s="675">
        <f t="shared" si="2876"/>
        <v>0</v>
      </c>
      <c r="V90" s="549">
        <f t="shared" si="2876"/>
        <v>0</v>
      </c>
      <c r="W90" s="675">
        <f t="shared" si="2876"/>
        <v>0</v>
      </c>
      <c r="X90" s="549">
        <f t="shared" si="2876"/>
        <v>0</v>
      </c>
      <c r="Y90" s="675">
        <f t="shared" si="2876"/>
        <v>0</v>
      </c>
      <c r="Z90" s="549">
        <f t="shared" si="2876"/>
        <v>0</v>
      </c>
      <c r="AA90" s="675">
        <f t="shared" si="2876"/>
        <v>0</v>
      </c>
      <c r="AB90" s="549">
        <f t="shared" si="2876"/>
        <v>0</v>
      </c>
      <c r="AC90" s="675">
        <f t="shared" si="2876"/>
        <v>0</v>
      </c>
      <c r="AD90" s="549">
        <f t="shared" si="2876"/>
        <v>0</v>
      </c>
      <c r="AE90" s="675">
        <f t="shared" si="2876"/>
        <v>0</v>
      </c>
      <c r="AF90" s="549">
        <f t="shared" si="2876"/>
        <v>0</v>
      </c>
      <c r="AG90" s="675">
        <f t="shared" si="2876"/>
        <v>0</v>
      </c>
      <c r="AH90" s="549">
        <f t="shared" si="2876"/>
        <v>0</v>
      </c>
      <c r="AI90" s="675">
        <f t="shared" si="2876"/>
        <v>0</v>
      </c>
      <c r="AJ90" s="549">
        <f t="shared" si="2876"/>
        <v>0</v>
      </c>
      <c r="AK90" s="675">
        <f t="shared" si="2876"/>
        <v>0</v>
      </c>
      <c r="AL90" s="549">
        <f t="shared" si="2876"/>
        <v>0</v>
      </c>
      <c r="AM90" s="675">
        <f t="shared" si="2876"/>
        <v>0</v>
      </c>
      <c r="AN90" s="549">
        <f t="shared" si="2876"/>
        <v>0</v>
      </c>
      <c r="AO90" s="675">
        <f t="shared" si="2876"/>
        <v>0</v>
      </c>
      <c r="AP90" s="549">
        <f t="shared" si="2876"/>
        <v>0</v>
      </c>
      <c r="AQ90" s="675">
        <f t="shared" si="2876"/>
        <v>0</v>
      </c>
      <c r="AR90" s="549">
        <f t="shared" si="2876"/>
        <v>0</v>
      </c>
      <c r="AS90" s="675">
        <f t="shared" si="2876"/>
        <v>0</v>
      </c>
      <c r="AT90" s="549">
        <f t="shared" ref="AT90:AU90" si="2877">AT423</f>
        <v>0</v>
      </c>
      <c r="AU90" s="675">
        <f t="shared" si="2877"/>
        <v>0</v>
      </c>
      <c r="AV90" s="549">
        <f t="shared" ref="AV90:AW90" si="2878">AV423</f>
        <v>0</v>
      </c>
      <c r="AW90" s="675">
        <f t="shared" si="2878"/>
        <v>0</v>
      </c>
      <c r="AX90" s="549">
        <f t="shared" ref="AX90:AY90" si="2879">AX423</f>
        <v>0</v>
      </c>
      <c r="AY90" s="675">
        <f t="shared" si="2879"/>
        <v>0</v>
      </c>
      <c r="AZ90" s="549">
        <f t="shared" ref="AZ90:BA90" si="2880">AZ423</f>
        <v>0</v>
      </c>
      <c r="BA90" s="675">
        <f t="shared" si="2880"/>
        <v>0</v>
      </c>
      <c r="BB90" s="549">
        <f t="shared" ref="BB90:BC90" si="2881">BB423</f>
        <v>0</v>
      </c>
      <c r="BC90" s="675">
        <f t="shared" si="2881"/>
        <v>0</v>
      </c>
      <c r="BD90" s="549">
        <f t="shared" ref="BD90:BE90" si="2882">BD423</f>
        <v>0</v>
      </c>
      <c r="BE90" s="675">
        <f t="shared" si="2882"/>
        <v>0</v>
      </c>
      <c r="BF90" s="549">
        <f t="shared" ref="BF90:BG90" si="2883">BF423</f>
        <v>0</v>
      </c>
      <c r="BG90" s="675">
        <f t="shared" si="2883"/>
        <v>0</v>
      </c>
      <c r="BH90" s="549">
        <f t="shared" ref="BH90:BI90" si="2884">BH423</f>
        <v>0</v>
      </c>
      <c r="BI90" s="675">
        <f t="shared" si="2884"/>
        <v>0</v>
      </c>
      <c r="BJ90" s="549">
        <f t="shared" ref="BJ90:BK90" si="2885">BJ423</f>
        <v>0</v>
      </c>
      <c r="BK90" s="675">
        <f t="shared" si="2885"/>
        <v>0</v>
      </c>
      <c r="BL90" s="549">
        <f t="shared" ref="BL90:BS90" si="2886">BL423</f>
        <v>0</v>
      </c>
      <c r="BM90" s="675">
        <f t="shared" si="2886"/>
        <v>0</v>
      </c>
      <c r="BN90" s="549">
        <f t="shared" si="2886"/>
        <v>0</v>
      </c>
      <c r="BO90" s="675">
        <f t="shared" si="2886"/>
        <v>0</v>
      </c>
      <c r="BP90" s="549">
        <f t="shared" si="2886"/>
        <v>0</v>
      </c>
      <c r="BQ90" s="675">
        <f t="shared" si="2886"/>
        <v>0</v>
      </c>
      <c r="BR90" s="549">
        <f t="shared" si="2886"/>
        <v>0</v>
      </c>
      <c r="BS90" s="675">
        <f t="shared" si="2886"/>
        <v>0</v>
      </c>
      <c r="BT90" s="549">
        <f t="shared" ref="BT90:BU90" si="2887">BT423</f>
        <v>0</v>
      </c>
      <c r="BU90" s="675">
        <f t="shared" si="2887"/>
        <v>0</v>
      </c>
      <c r="BV90" s="549">
        <f t="shared" ref="BV90:BW90" si="2888">BV423</f>
        <v>0</v>
      </c>
      <c r="BW90" s="675">
        <f t="shared" si="2888"/>
        <v>0</v>
      </c>
      <c r="BX90" s="549">
        <f t="shared" ref="BX90:BY90" si="2889">BX423</f>
        <v>0</v>
      </c>
      <c r="BY90" s="675">
        <f t="shared" si="2889"/>
        <v>0</v>
      </c>
      <c r="BZ90" s="549">
        <f t="shared" ref="BZ90:CA90" si="2890">BZ423</f>
        <v>0</v>
      </c>
      <c r="CA90" s="675">
        <f t="shared" si="2890"/>
        <v>0</v>
      </c>
      <c r="CB90" s="549">
        <f t="shared" ref="CB90:CE90" si="2891">CB423</f>
        <v>0</v>
      </c>
      <c r="CC90" s="675">
        <f t="shared" si="2891"/>
        <v>0</v>
      </c>
      <c r="CD90" s="549">
        <f t="shared" si="2891"/>
        <v>0</v>
      </c>
      <c r="CE90" s="675">
        <f t="shared" si="2891"/>
        <v>0</v>
      </c>
      <c r="CF90" s="549">
        <f t="shared" ref="CF90:CG90" si="2892">CF423</f>
        <v>0</v>
      </c>
      <c r="CG90" s="675">
        <f t="shared" si="2892"/>
        <v>0</v>
      </c>
      <c r="CH90" s="549">
        <f t="shared" ref="CH90:CQ90" si="2893">CH423</f>
        <v>0</v>
      </c>
      <c r="CI90" s="675">
        <f t="shared" si="2893"/>
        <v>0</v>
      </c>
      <c r="CJ90" s="549">
        <f t="shared" si="2893"/>
        <v>0</v>
      </c>
      <c r="CK90" s="675">
        <f t="shared" si="2893"/>
        <v>0</v>
      </c>
      <c r="CL90" s="549">
        <f t="shared" si="2893"/>
        <v>0</v>
      </c>
      <c r="CM90" s="675">
        <f t="shared" si="2893"/>
        <v>0</v>
      </c>
      <c r="CN90" s="549">
        <f t="shared" si="2893"/>
        <v>0</v>
      </c>
      <c r="CO90" s="675">
        <f t="shared" si="2893"/>
        <v>0</v>
      </c>
      <c r="CP90" s="549">
        <f t="shared" si="2893"/>
        <v>0</v>
      </c>
      <c r="CQ90" s="675">
        <f t="shared" si="2893"/>
        <v>0</v>
      </c>
      <c r="CR90" s="549">
        <f t="shared" ref="CR90:CY90" si="2894">CR423</f>
        <v>0</v>
      </c>
      <c r="CS90" s="675">
        <f t="shared" si="2894"/>
        <v>0</v>
      </c>
      <c r="CT90" s="549">
        <f t="shared" si="2894"/>
        <v>0</v>
      </c>
      <c r="CU90" s="675">
        <f t="shared" si="2894"/>
        <v>0</v>
      </c>
      <c r="CV90" s="549">
        <f t="shared" si="2894"/>
        <v>0</v>
      </c>
      <c r="CW90" s="675">
        <f t="shared" si="2894"/>
        <v>0</v>
      </c>
      <c r="CX90" s="549">
        <f t="shared" si="2894"/>
        <v>0</v>
      </c>
      <c r="CY90" s="675">
        <f t="shared" si="2894"/>
        <v>0</v>
      </c>
      <c r="CZ90" s="549">
        <f t="shared" ref="CZ90:DI90" si="2895">CZ423</f>
        <v>0</v>
      </c>
      <c r="DA90" s="675">
        <f t="shared" si="2895"/>
        <v>0</v>
      </c>
      <c r="DB90" s="549">
        <f t="shared" si="2895"/>
        <v>0</v>
      </c>
      <c r="DC90" s="675">
        <f t="shared" si="2895"/>
        <v>0</v>
      </c>
      <c r="DD90" s="549">
        <f t="shared" si="2895"/>
        <v>0</v>
      </c>
      <c r="DE90" s="675">
        <f t="shared" si="2895"/>
        <v>0</v>
      </c>
      <c r="DF90" s="549">
        <f t="shared" si="2895"/>
        <v>0</v>
      </c>
      <c r="DG90" s="675">
        <f t="shared" si="2895"/>
        <v>0</v>
      </c>
      <c r="DH90" s="549">
        <f t="shared" si="2895"/>
        <v>0</v>
      </c>
      <c r="DI90" s="675">
        <f t="shared" si="2895"/>
        <v>0</v>
      </c>
      <c r="DJ90" s="549">
        <f t="shared" ref="DJ90:DY90" si="2896">DJ423</f>
        <v>0</v>
      </c>
      <c r="DK90" s="675">
        <f t="shared" si="2896"/>
        <v>0</v>
      </c>
      <c r="DL90" s="549">
        <f t="shared" si="2896"/>
        <v>0</v>
      </c>
      <c r="DM90" s="675">
        <f t="shared" si="2896"/>
        <v>0</v>
      </c>
      <c r="DN90" s="549">
        <f t="shared" si="2896"/>
        <v>0</v>
      </c>
      <c r="DO90" s="675">
        <f t="shared" si="2896"/>
        <v>0</v>
      </c>
      <c r="DP90" s="549">
        <f t="shared" si="2896"/>
        <v>0</v>
      </c>
      <c r="DQ90" s="675">
        <f t="shared" si="2896"/>
        <v>0</v>
      </c>
      <c r="DR90" s="549">
        <f t="shared" si="2896"/>
        <v>0</v>
      </c>
      <c r="DS90" s="675">
        <f t="shared" si="2896"/>
        <v>0</v>
      </c>
      <c r="DT90" s="549">
        <f t="shared" si="2896"/>
        <v>0</v>
      </c>
      <c r="DU90" s="675">
        <f t="shared" si="2896"/>
        <v>0</v>
      </c>
      <c r="DV90" s="549">
        <f t="shared" si="2896"/>
        <v>0</v>
      </c>
      <c r="DW90" s="675">
        <f t="shared" si="2896"/>
        <v>0</v>
      </c>
      <c r="DX90" s="549">
        <f t="shared" si="2896"/>
        <v>0</v>
      </c>
      <c r="DY90" s="675">
        <f t="shared" si="2896"/>
        <v>0</v>
      </c>
      <c r="DZ90" s="549">
        <f t="shared" ref="DZ90:EU90" si="2897">DZ423</f>
        <v>0</v>
      </c>
      <c r="EA90" s="675">
        <f t="shared" si="2897"/>
        <v>0</v>
      </c>
      <c r="EB90" s="549">
        <f t="shared" si="2897"/>
        <v>0</v>
      </c>
      <c r="EC90" s="675">
        <f t="shared" si="2897"/>
        <v>0</v>
      </c>
      <c r="ED90" s="549">
        <f t="shared" si="2897"/>
        <v>0</v>
      </c>
      <c r="EE90" s="675">
        <f t="shared" si="2897"/>
        <v>0</v>
      </c>
      <c r="EF90" s="549">
        <f t="shared" si="2897"/>
        <v>0</v>
      </c>
      <c r="EG90" s="675">
        <f t="shared" si="2897"/>
        <v>0</v>
      </c>
      <c r="EH90" s="549">
        <f t="shared" ref="EH90:EM90" si="2898">EH423</f>
        <v>0</v>
      </c>
      <c r="EI90" s="675">
        <f t="shared" si="2898"/>
        <v>0</v>
      </c>
      <c r="EJ90" s="549">
        <f t="shared" si="2898"/>
        <v>0</v>
      </c>
      <c r="EK90" s="675">
        <f t="shared" si="2898"/>
        <v>0</v>
      </c>
      <c r="EL90" s="549">
        <f t="shared" si="2898"/>
        <v>0</v>
      </c>
      <c r="EM90" s="675">
        <f t="shared" si="2898"/>
        <v>0</v>
      </c>
      <c r="EN90" s="549">
        <f t="shared" si="2897"/>
        <v>0</v>
      </c>
      <c r="EO90" s="675">
        <f t="shared" si="2897"/>
        <v>0</v>
      </c>
      <c r="EP90" s="549">
        <f t="shared" si="2897"/>
        <v>0</v>
      </c>
      <c r="EQ90" s="675">
        <f t="shared" si="2897"/>
        <v>0</v>
      </c>
      <c r="ER90" s="549">
        <f t="shared" si="2897"/>
        <v>0</v>
      </c>
      <c r="ES90" s="675">
        <f t="shared" si="2897"/>
        <v>0</v>
      </c>
      <c r="ET90" s="549">
        <f t="shared" si="2897"/>
        <v>0</v>
      </c>
      <c r="EU90" s="675">
        <f t="shared" si="2897"/>
        <v>0</v>
      </c>
      <c r="EV90" s="549">
        <f t="shared" ref="EV90:FE90" si="2899">EV423</f>
        <v>0</v>
      </c>
      <c r="EW90" s="675">
        <f t="shared" si="2899"/>
        <v>0</v>
      </c>
      <c r="EX90" s="549">
        <f t="shared" si="2899"/>
        <v>0</v>
      </c>
      <c r="EY90" s="675">
        <f t="shared" si="2899"/>
        <v>0</v>
      </c>
      <c r="EZ90" s="549">
        <f t="shared" si="2899"/>
        <v>0</v>
      </c>
      <c r="FA90" s="675">
        <f t="shared" si="2899"/>
        <v>0</v>
      </c>
      <c r="FB90" s="549">
        <f t="shared" si="2899"/>
        <v>0</v>
      </c>
      <c r="FC90" s="675">
        <f t="shared" si="2899"/>
        <v>0</v>
      </c>
      <c r="FD90" s="549">
        <f t="shared" si="2899"/>
        <v>0</v>
      </c>
      <c r="FE90" s="675">
        <f t="shared" si="2899"/>
        <v>0</v>
      </c>
      <c r="FF90" s="549">
        <f t="shared" ref="FF90:FG90" si="2900">FF423</f>
        <v>0</v>
      </c>
      <c r="FG90" s="675">
        <f t="shared" si="2900"/>
        <v>0</v>
      </c>
      <c r="FH90" s="549">
        <f t="shared" ref="FH90:FI90" si="2901">FH423</f>
        <v>0</v>
      </c>
      <c r="FI90" s="675">
        <f t="shared" si="2901"/>
        <v>0</v>
      </c>
      <c r="FJ90" s="549">
        <f t="shared" ref="FJ90:FK90" si="2902">FJ423</f>
        <v>0</v>
      </c>
      <c r="FK90" s="675">
        <f t="shared" si="2902"/>
        <v>0</v>
      </c>
      <c r="FL90" s="549">
        <f t="shared" ref="FL90:FM90" si="2903">FL423</f>
        <v>0</v>
      </c>
      <c r="FM90" s="675">
        <f t="shared" si="2903"/>
        <v>0</v>
      </c>
      <c r="FN90" s="549">
        <f t="shared" ref="FN90:FO90" si="2904">FN423</f>
        <v>0</v>
      </c>
      <c r="FO90" s="675">
        <f t="shared" si="2904"/>
        <v>0</v>
      </c>
      <c r="FP90" s="549">
        <f t="shared" ref="FP90:FQ90" si="2905">FP423</f>
        <v>0</v>
      </c>
      <c r="FQ90" s="675">
        <f t="shared" si="2905"/>
        <v>0</v>
      </c>
      <c r="FR90" s="549">
        <f t="shared" ref="FR90:FS90" si="2906">FR423</f>
        <v>0</v>
      </c>
      <c r="FS90" s="675">
        <f t="shared" si="2906"/>
        <v>0</v>
      </c>
      <c r="FT90" s="549">
        <f t="shared" ref="FT90:FU90" si="2907">FT423</f>
        <v>0</v>
      </c>
      <c r="FU90" s="675">
        <f t="shared" si="2907"/>
        <v>0</v>
      </c>
      <c r="FV90" s="549">
        <f t="shared" ref="FV90:GK90" si="2908">FV423</f>
        <v>0</v>
      </c>
      <c r="FW90" s="675">
        <f t="shared" si="2908"/>
        <v>0</v>
      </c>
      <c r="FX90" s="549">
        <f t="shared" si="2908"/>
        <v>0</v>
      </c>
      <c r="FY90" s="675">
        <f t="shared" si="2908"/>
        <v>0</v>
      </c>
      <c r="FZ90" s="549">
        <f t="shared" ref="FZ90:GI90" si="2909">FZ423</f>
        <v>0</v>
      </c>
      <c r="GA90" s="675">
        <f t="shared" si="2909"/>
        <v>0</v>
      </c>
      <c r="GB90" s="549">
        <f t="shared" si="2909"/>
        <v>0</v>
      </c>
      <c r="GC90" s="675">
        <f t="shared" si="2909"/>
        <v>0</v>
      </c>
      <c r="GD90" s="549">
        <f t="shared" si="2909"/>
        <v>0</v>
      </c>
      <c r="GE90" s="675">
        <f t="shared" si="2909"/>
        <v>0</v>
      </c>
      <c r="GF90" s="549">
        <f t="shared" si="2909"/>
        <v>0</v>
      </c>
      <c r="GG90" s="675">
        <f t="shared" si="2909"/>
        <v>0</v>
      </c>
      <c r="GH90" s="549">
        <f t="shared" si="2909"/>
        <v>0</v>
      </c>
      <c r="GI90" s="675">
        <f t="shared" si="2909"/>
        <v>0</v>
      </c>
      <c r="GJ90" s="549">
        <f t="shared" si="2908"/>
        <v>0</v>
      </c>
      <c r="GK90" s="675">
        <f t="shared" si="2908"/>
        <v>0</v>
      </c>
      <c r="GL90" s="549">
        <f t="shared" ref="GL90:GM90" si="2910">GL423</f>
        <v>0</v>
      </c>
      <c r="GM90" s="675">
        <f t="shared" si="2910"/>
        <v>0</v>
      </c>
      <c r="GN90" s="549">
        <f t="shared" ref="GN90:GO90" si="2911">GN423</f>
        <v>0</v>
      </c>
      <c r="GO90" s="675">
        <f t="shared" si="2911"/>
        <v>0</v>
      </c>
      <c r="GP90" s="74">
        <f>SUM(GP423)</f>
        <v>0</v>
      </c>
      <c r="GQ90" s="675">
        <f>SUM(GQ423)</f>
        <v>0</v>
      </c>
      <c r="GR90" s="74">
        <f>SUM(GR423)</f>
        <v>0</v>
      </c>
      <c r="GS90" s="74">
        <f t="shared" ref="GS90:HK90" si="2912">GS423</f>
        <v>0</v>
      </c>
      <c r="GT90" s="74">
        <f t="shared" si="2912"/>
        <v>0</v>
      </c>
      <c r="GU90" s="74">
        <f t="shared" si="2912"/>
        <v>0</v>
      </c>
      <c r="GV90" s="74">
        <f t="shared" si="2912"/>
        <v>0</v>
      </c>
      <c r="GW90" s="74">
        <f t="shared" si="2912"/>
        <v>0</v>
      </c>
      <c r="GX90" s="74">
        <f t="shared" si="2912"/>
        <v>0</v>
      </c>
      <c r="GY90" s="74">
        <f t="shared" si="2912"/>
        <v>0</v>
      </c>
      <c r="GZ90" s="74">
        <f t="shared" si="2912"/>
        <v>0</v>
      </c>
      <c r="HA90" s="74">
        <f t="shared" si="2912"/>
        <v>0</v>
      </c>
      <c r="HB90" s="74">
        <f t="shared" si="2912"/>
        <v>0</v>
      </c>
      <c r="HC90" s="74">
        <f t="shared" si="2912"/>
        <v>0</v>
      </c>
      <c r="HD90" s="74">
        <f t="shared" si="2912"/>
        <v>0</v>
      </c>
      <c r="HE90" s="74">
        <f t="shared" si="2912"/>
        <v>0</v>
      </c>
      <c r="HF90" s="74">
        <f t="shared" si="2912"/>
        <v>0</v>
      </c>
      <c r="HG90" s="74">
        <f t="shared" si="2912"/>
        <v>0</v>
      </c>
      <c r="HH90" s="74">
        <f t="shared" si="2912"/>
        <v>0</v>
      </c>
      <c r="HI90" s="74">
        <f t="shared" si="2912"/>
        <v>0</v>
      </c>
      <c r="HJ90" s="74">
        <f t="shared" si="2912"/>
        <v>0</v>
      </c>
      <c r="HK90" s="74">
        <f t="shared" si="2912"/>
        <v>0</v>
      </c>
      <c r="HL90" s="74">
        <f t="shared" ref="HL90:JT90" si="2913">HL423</f>
        <v>0</v>
      </c>
      <c r="HM90" s="74">
        <f t="shared" si="2913"/>
        <v>0</v>
      </c>
      <c r="HN90" s="74">
        <f t="shared" si="2913"/>
        <v>0</v>
      </c>
      <c r="HO90" s="74">
        <f t="shared" si="2913"/>
        <v>0</v>
      </c>
      <c r="HP90" s="74">
        <f t="shared" si="2913"/>
        <v>0</v>
      </c>
      <c r="HQ90" s="74">
        <f t="shared" si="2913"/>
        <v>0</v>
      </c>
      <c r="HR90" s="74">
        <f t="shared" si="2913"/>
        <v>0</v>
      </c>
      <c r="HS90" s="74">
        <f t="shared" si="2913"/>
        <v>0</v>
      </c>
      <c r="HT90" s="74">
        <f t="shared" si="2913"/>
        <v>0</v>
      </c>
      <c r="HU90" s="74">
        <f t="shared" si="2913"/>
        <v>0</v>
      </c>
      <c r="HV90" s="74">
        <f t="shared" si="2913"/>
        <v>0</v>
      </c>
      <c r="HW90" s="74">
        <f t="shared" si="2913"/>
        <v>0</v>
      </c>
      <c r="HX90" s="74">
        <f t="shared" si="2913"/>
        <v>0</v>
      </c>
      <c r="HY90" s="74">
        <f t="shared" si="2913"/>
        <v>0</v>
      </c>
      <c r="HZ90" s="74">
        <f t="shared" si="2913"/>
        <v>0</v>
      </c>
      <c r="IA90" s="74">
        <f t="shared" si="2913"/>
        <v>0</v>
      </c>
      <c r="IB90" s="74">
        <f t="shared" si="2913"/>
        <v>0</v>
      </c>
      <c r="IC90" s="74">
        <f t="shared" si="2913"/>
        <v>0</v>
      </c>
      <c r="ID90" s="74">
        <f t="shared" si="2913"/>
        <v>0</v>
      </c>
      <c r="IE90" s="792">
        <f t="shared" si="2913"/>
        <v>0</v>
      </c>
      <c r="IF90" s="841">
        <f t="shared" si="2913"/>
        <v>0</v>
      </c>
      <c r="IG90" s="263">
        <f t="shared" si="2913"/>
        <v>0</v>
      </c>
      <c r="IH90" s="842">
        <f t="shared" si="2913"/>
        <v>0</v>
      </c>
      <c r="II90" s="155">
        <f t="shared" si="2913"/>
        <v>0</v>
      </c>
      <c r="IJ90" s="74">
        <f t="shared" si="2913"/>
        <v>0</v>
      </c>
      <c r="IK90" s="74">
        <f t="shared" si="2913"/>
        <v>0</v>
      </c>
      <c r="IL90" s="74">
        <f t="shared" si="2913"/>
        <v>0</v>
      </c>
      <c r="IM90" s="74">
        <f t="shared" si="2913"/>
        <v>0</v>
      </c>
      <c r="IN90" s="74">
        <f t="shared" si="2913"/>
        <v>0</v>
      </c>
      <c r="IO90" s="74">
        <f t="shared" si="2913"/>
        <v>0</v>
      </c>
      <c r="IP90" s="74">
        <f t="shared" si="2913"/>
        <v>0</v>
      </c>
      <c r="IQ90" s="74">
        <f t="shared" si="2913"/>
        <v>0</v>
      </c>
      <c r="IR90" s="74">
        <f t="shared" si="2913"/>
        <v>0</v>
      </c>
      <c r="IS90" s="74">
        <f t="shared" si="2913"/>
        <v>0</v>
      </c>
      <c r="IT90" s="74">
        <f t="shared" si="2913"/>
        <v>0</v>
      </c>
      <c r="IU90" s="74">
        <f t="shared" si="2913"/>
        <v>0</v>
      </c>
      <c r="IV90" s="74">
        <f t="shared" si="2913"/>
        <v>0</v>
      </c>
      <c r="IW90" s="74">
        <f t="shared" si="2913"/>
        <v>0</v>
      </c>
      <c r="IX90" s="74">
        <f t="shared" si="2913"/>
        <v>0</v>
      </c>
      <c r="IY90" s="74">
        <f t="shared" si="2913"/>
        <v>0</v>
      </c>
      <c r="IZ90" s="74">
        <f t="shared" si="2913"/>
        <v>0</v>
      </c>
      <c r="JA90" s="74">
        <f t="shared" si="2913"/>
        <v>0</v>
      </c>
      <c r="JB90" s="74">
        <f t="shared" si="2913"/>
        <v>0</v>
      </c>
      <c r="JC90" s="74">
        <f t="shared" si="2913"/>
        <v>0</v>
      </c>
      <c r="JD90" s="74">
        <f t="shared" si="2913"/>
        <v>0</v>
      </c>
      <c r="JE90" s="74">
        <f t="shared" si="2913"/>
        <v>0</v>
      </c>
      <c r="JF90" s="74">
        <f t="shared" si="2913"/>
        <v>0</v>
      </c>
      <c r="JG90" s="74">
        <f t="shared" si="2913"/>
        <v>0</v>
      </c>
      <c r="JH90" s="74">
        <f t="shared" si="2913"/>
        <v>0</v>
      </c>
      <c r="JI90" s="74">
        <f t="shared" si="2913"/>
        <v>0</v>
      </c>
      <c r="JJ90" s="74">
        <f t="shared" si="2913"/>
        <v>0</v>
      </c>
      <c r="JK90" s="74">
        <f t="shared" si="2913"/>
        <v>0</v>
      </c>
      <c r="JL90" s="74">
        <f t="shared" si="2913"/>
        <v>0</v>
      </c>
      <c r="JM90" s="74">
        <f t="shared" si="2913"/>
        <v>0</v>
      </c>
      <c r="JN90" s="74">
        <f t="shared" si="2913"/>
        <v>0</v>
      </c>
      <c r="JO90" s="74">
        <f t="shared" si="2913"/>
        <v>0</v>
      </c>
      <c r="JP90" s="74">
        <f t="shared" si="2913"/>
        <v>0</v>
      </c>
      <c r="JQ90" s="74">
        <f t="shared" si="2913"/>
        <v>0</v>
      </c>
      <c r="JR90" s="74">
        <f t="shared" si="2913"/>
        <v>0</v>
      </c>
      <c r="JS90" s="74">
        <f t="shared" si="2913"/>
        <v>0</v>
      </c>
      <c r="JT90" s="102">
        <f t="shared" si="2913"/>
        <v>0</v>
      </c>
      <c r="JU90" s="671"/>
      <c r="JV90" s="492"/>
      <c r="JW90" s="490"/>
      <c r="JX90" s="549">
        <f>JX423</f>
        <v>0</v>
      </c>
      <c r="JY90" s="549">
        <f>JY423</f>
        <v>0</v>
      </c>
      <c r="JZ90" s="581">
        <f t="shared" si="2110"/>
        <v>0</v>
      </c>
      <c r="KA90" s="581">
        <f t="shared" si="2111"/>
        <v>0</v>
      </c>
      <c r="KB90" s="549">
        <f>KB423</f>
        <v>0</v>
      </c>
      <c r="KC90" s="709">
        <f t="shared" si="2079"/>
        <v>0</v>
      </c>
      <c r="KD90" s="36"/>
      <c r="KE90" s="36"/>
      <c r="KF90" s="36"/>
      <c r="KG90" s="36"/>
      <c r="KH90" s="36"/>
      <c r="KI90" s="36"/>
      <c r="KJ90" s="36"/>
      <c r="KK90" s="36"/>
    </row>
    <row r="91" spans="1:297" s="8" customFormat="1" ht="12.75" hidden="1" customHeight="1">
      <c r="A91" s="75" t="s">
        <v>450</v>
      </c>
      <c r="B91" s="72"/>
      <c r="C91" s="74">
        <f t="shared" ref="C91:AS91" si="2914">SUM(C424)</f>
        <v>0</v>
      </c>
      <c r="D91" s="549">
        <f t="shared" si="2914"/>
        <v>0</v>
      </c>
      <c r="E91" s="675">
        <f t="shared" si="2914"/>
        <v>0</v>
      </c>
      <c r="F91" s="549">
        <f t="shared" si="2914"/>
        <v>0</v>
      </c>
      <c r="G91" s="675">
        <f t="shared" si="2914"/>
        <v>0</v>
      </c>
      <c r="H91" s="549">
        <f t="shared" si="2914"/>
        <v>0</v>
      </c>
      <c r="I91" s="675">
        <f t="shared" si="2914"/>
        <v>0</v>
      </c>
      <c r="J91" s="549">
        <f t="shared" si="2914"/>
        <v>0</v>
      </c>
      <c r="K91" s="675">
        <f t="shared" si="2914"/>
        <v>0</v>
      </c>
      <c r="L91" s="549">
        <f t="shared" si="2914"/>
        <v>0</v>
      </c>
      <c r="M91" s="675">
        <f t="shared" si="2914"/>
        <v>0</v>
      </c>
      <c r="N91" s="549">
        <f t="shared" si="2914"/>
        <v>0</v>
      </c>
      <c r="O91" s="675">
        <f t="shared" si="2914"/>
        <v>0</v>
      </c>
      <c r="P91" s="549">
        <f t="shared" si="2914"/>
        <v>0</v>
      </c>
      <c r="Q91" s="675">
        <f t="shared" si="2914"/>
        <v>0</v>
      </c>
      <c r="R91" s="549">
        <f t="shared" si="2914"/>
        <v>0</v>
      </c>
      <c r="S91" s="675">
        <f t="shared" si="2914"/>
        <v>0</v>
      </c>
      <c r="T91" s="549">
        <f t="shared" si="2914"/>
        <v>0</v>
      </c>
      <c r="U91" s="675">
        <f t="shared" si="2914"/>
        <v>0</v>
      </c>
      <c r="V91" s="549">
        <f t="shared" si="2914"/>
        <v>0</v>
      </c>
      <c r="W91" s="675">
        <f t="shared" si="2914"/>
        <v>0</v>
      </c>
      <c r="X91" s="549">
        <f t="shared" si="2914"/>
        <v>0</v>
      </c>
      <c r="Y91" s="675">
        <f t="shared" si="2914"/>
        <v>0</v>
      </c>
      <c r="Z91" s="549">
        <f t="shared" si="2914"/>
        <v>0</v>
      </c>
      <c r="AA91" s="675">
        <f t="shared" si="2914"/>
        <v>0</v>
      </c>
      <c r="AB91" s="549">
        <f t="shared" si="2914"/>
        <v>0</v>
      </c>
      <c r="AC91" s="675">
        <f t="shared" si="2914"/>
        <v>0</v>
      </c>
      <c r="AD91" s="549">
        <f t="shared" si="2914"/>
        <v>0</v>
      </c>
      <c r="AE91" s="675">
        <f t="shared" si="2914"/>
        <v>0</v>
      </c>
      <c r="AF91" s="549">
        <f t="shared" si="2914"/>
        <v>0</v>
      </c>
      <c r="AG91" s="675">
        <f t="shared" si="2914"/>
        <v>0</v>
      </c>
      <c r="AH91" s="549">
        <f t="shared" si="2914"/>
        <v>0</v>
      </c>
      <c r="AI91" s="675">
        <f t="shared" si="2914"/>
        <v>0</v>
      </c>
      <c r="AJ91" s="549">
        <f t="shared" si="2914"/>
        <v>0</v>
      </c>
      <c r="AK91" s="675">
        <f t="shared" si="2914"/>
        <v>0</v>
      </c>
      <c r="AL91" s="549">
        <f t="shared" si="2914"/>
        <v>0</v>
      </c>
      <c r="AM91" s="675">
        <f t="shared" si="2914"/>
        <v>0</v>
      </c>
      <c r="AN91" s="549">
        <f t="shared" si="2914"/>
        <v>0</v>
      </c>
      <c r="AO91" s="675">
        <f t="shared" si="2914"/>
        <v>0</v>
      </c>
      <c r="AP91" s="549">
        <f t="shared" si="2914"/>
        <v>0</v>
      </c>
      <c r="AQ91" s="675">
        <f t="shared" si="2914"/>
        <v>0</v>
      </c>
      <c r="AR91" s="549">
        <f t="shared" si="2914"/>
        <v>0</v>
      </c>
      <c r="AS91" s="675">
        <f t="shared" si="2914"/>
        <v>0</v>
      </c>
      <c r="AT91" s="549">
        <f t="shared" ref="AT91:AU91" si="2915">SUM(AT424)</f>
        <v>0</v>
      </c>
      <c r="AU91" s="675">
        <f t="shared" si="2915"/>
        <v>0</v>
      </c>
      <c r="AV91" s="549">
        <f t="shared" ref="AV91:AW91" si="2916">SUM(AV424)</f>
        <v>0</v>
      </c>
      <c r="AW91" s="675">
        <f t="shared" si="2916"/>
        <v>0</v>
      </c>
      <c r="AX91" s="549">
        <f t="shared" ref="AX91:AY91" si="2917">SUM(AX424)</f>
        <v>0</v>
      </c>
      <c r="AY91" s="675">
        <f t="shared" si="2917"/>
        <v>0</v>
      </c>
      <c r="AZ91" s="549">
        <f t="shared" ref="AZ91:BA91" si="2918">SUM(AZ424)</f>
        <v>0</v>
      </c>
      <c r="BA91" s="675">
        <f t="shared" si="2918"/>
        <v>0</v>
      </c>
      <c r="BB91" s="549">
        <f t="shared" ref="BB91:BC91" si="2919">SUM(BB424)</f>
        <v>0</v>
      </c>
      <c r="BC91" s="675">
        <f t="shared" si="2919"/>
        <v>0</v>
      </c>
      <c r="BD91" s="549">
        <f t="shared" ref="BD91:BE91" si="2920">SUM(BD424)</f>
        <v>0</v>
      </c>
      <c r="BE91" s="675">
        <f t="shared" si="2920"/>
        <v>0</v>
      </c>
      <c r="BF91" s="549">
        <f t="shared" ref="BF91:BG91" si="2921">SUM(BF424)</f>
        <v>0</v>
      </c>
      <c r="BG91" s="675">
        <f t="shared" si="2921"/>
        <v>0</v>
      </c>
      <c r="BH91" s="549">
        <f t="shared" ref="BH91:BI91" si="2922">SUM(BH424)</f>
        <v>0</v>
      </c>
      <c r="BI91" s="675">
        <f t="shared" si="2922"/>
        <v>0</v>
      </c>
      <c r="BJ91" s="549">
        <f t="shared" ref="BJ91:BK91" si="2923">SUM(BJ424)</f>
        <v>0</v>
      </c>
      <c r="BK91" s="675">
        <f t="shared" si="2923"/>
        <v>0</v>
      </c>
      <c r="BL91" s="549">
        <f t="shared" ref="BL91:BS91" si="2924">SUM(BL424)</f>
        <v>0</v>
      </c>
      <c r="BM91" s="675">
        <f t="shared" si="2924"/>
        <v>0</v>
      </c>
      <c r="BN91" s="549">
        <f t="shared" si="2924"/>
        <v>0</v>
      </c>
      <c r="BO91" s="675">
        <f t="shared" si="2924"/>
        <v>0</v>
      </c>
      <c r="BP91" s="549">
        <f t="shared" si="2924"/>
        <v>0</v>
      </c>
      <c r="BQ91" s="675">
        <f t="shared" si="2924"/>
        <v>0</v>
      </c>
      <c r="BR91" s="549">
        <f t="shared" si="2924"/>
        <v>0</v>
      </c>
      <c r="BS91" s="675">
        <f t="shared" si="2924"/>
        <v>0</v>
      </c>
      <c r="BT91" s="549">
        <f t="shared" ref="BT91:BU91" si="2925">SUM(BT424)</f>
        <v>0</v>
      </c>
      <c r="BU91" s="675">
        <f t="shared" si="2925"/>
        <v>0</v>
      </c>
      <c r="BV91" s="549">
        <f t="shared" ref="BV91:BW91" si="2926">SUM(BV424)</f>
        <v>0</v>
      </c>
      <c r="BW91" s="675">
        <f t="shared" si="2926"/>
        <v>0</v>
      </c>
      <c r="BX91" s="549">
        <f t="shared" ref="BX91:BY91" si="2927">SUM(BX424)</f>
        <v>0</v>
      </c>
      <c r="BY91" s="675">
        <f t="shared" si="2927"/>
        <v>0</v>
      </c>
      <c r="BZ91" s="549">
        <f t="shared" ref="BZ91:CA91" si="2928">SUM(BZ424)</f>
        <v>0</v>
      </c>
      <c r="CA91" s="675">
        <f t="shared" si="2928"/>
        <v>0</v>
      </c>
      <c r="CB91" s="549">
        <f t="shared" ref="CB91:CE91" si="2929">SUM(CB424)</f>
        <v>0</v>
      </c>
      <c r="CC91" s="675">
        <f t="shared" si="2929"/>
        <v>0</v>
      </c>
      <c r="CD91" s="549">
        <f t="shared" si="2929"/>
        <v>0</v>
      </c>
      <c r="CE91" s="675">
        <f t="shared" si="2929"/>
        <v>0</v>
      </c>
      <c r="CF91" s="549">
        <f t="shared" ref="CF91:CG91" si="2930">SUM(CF424)</f>
        <v>0</v>
      </c>
      <c r="CG91" s="675">
        <f t="shared" si="2930"/>
        <v>0</v>
      </c>
      <c r="CH91" s="549">
        <f t="shared" ref="CH91:CQ91" si="2931">SUM(CH424)</f>
        <v>0</v>
      </c>
      <c r="CI91" s="675">
        <f t="shared" si="2931"/>
        <v>0</v>
      </c>
      <c r="CJ91" s="549">
        <f t="shared" si="2931"/>
        <v>0</v>
      </c>
      <c r="CK91" s="675">
        <f t="shared" si="2931"/>
        <v>0</v>
      </c>
      <c r="CL91" s="549">
        <f t="shared" si="2931"/>
        <v>0</v>
      </c>
      <c r="CM91" s="675">
        <f t="shared" si="2931"/>
        <v>0</v>
      </c>
      <c r="CN91" s="549">
        <f t="shared" si="2931"/>
        <v>0</v>
      </c>
      <c r="CO91" s="675">
        <f t="shared" si="2931"/>
        <v>0</v>
      </c>
      <c r="CP91" s="549">
        <f t="shared" si="2931"/>
        <v>0</v>
      </c>
      <c r="CQ91" s="675">
        <f t="shared" si="2931"/>
        <v>0</v>
      </c>
      <c r="CR91" s="549">
        <f t="shared" ref="CR91:CY91" si="2932">SUM(CR424)</f>
        <v>0</v>
      </c>
      <c r="CS91" s="675">
        <f t="shared" si="2932"/>
        <v>0</v>
      </c>
      <c r="CT91" s="549">
        <f t="shared" si="2932"/>
        <v>0</v>
      </c>
      <c r="CU91" s="675">
        <f t="shared" si="2932"/>
        <v>0</v>
      </c>
      <c r="CV91" s="549">
        <f t="shared" si="2932"/>
        <v>0</v>
      </c>
      <c r="CW91" s="675">
        <f t="shared" si="2932"/>
        <v>0</v>
      </c>
      <c r="CX91" s="549">
        <f t="shared" si="2932"/>
        <v>0</v>
      </c>
      <c r="CY91" s="675">
        <f t="shared" si="2932"/>
        <v>0</v>
      </c>
      <c r="CZ91" s="549">
        <f t="shared" ref="CZ91:DI91" si="2933">SUM(CZ424)</f>
        <v>0</v>
      </c>
      <c r="DA91" s="675">
        <f t="shared" si="2933"/>
        <v>0</v>
      </c>
      <c r="DB91" s="549">
        <f t="shared" si="2933"/>
        <v>0</v>
      </c>
      <c r="DC91" s="675">
        <f t="shared" si="2933"/>
        <v>0</v>
      </c>
      <c r="DD91" s="549">
        <f t="shared" si="2933"/>
        <v>0</v>
      </c>
      <c r="DE91" s="675">
        <f t="shared" si="2933"/>
        <v>0</v>
      </c>
      <c r="DF91" s="549">
        <f t="shared" si="2933"/>
        <v>0</v>
      </c>
      <c r="DG91" s="675">
        <f t="shared" si="2933"/>
        <v>0</v>
      </c>
      <c r="DH91" s="549">
        <f t="shared" si="2933"/>
        <v>0</v>
      </c>
      <c r="DI91" s="675">
        <f t="shared" si="2933"/>
        <v>0</v>
      </c>
      <c r="DJ91" s="549">
        <f t="shared" ref="DJ91:DK91" si="2934">SUM(DJ424)</f>
        <v>0</v>
      </c>
      <c r="DK91" s="675">
        <f t="shared" si="2934"/>
        <v>0</v>
      </c>
      <c r="DL91" s="549">
        <f t="shared" ref="DL91:DM91" si="2935">SUM(DL424)</f>
        <v>0</v>
      </c>
      <c r="DM91" s="675">
        <f t="shared" si="2935"/>
        <v>0</v>
      </c>
      <c r="DN91" s="549">
        <f t="shared" ref="DN91:DW91" si="2936">SUM(DN424)</f>
        <v>0</v>
      </c>
      <c r="DO91" s="675">
        <f t="shared" si="2936"/>
        <v>0</v>
      </c>
      <c r="DP91" s="549">
        <f t="shared" si="2936"/>
        <v>0</v>
      </c>
      <c r="DQ91" s="675">
        <f t="shared" si="2936"/>
        <v>0</v>
      </c>
      <c r="DR91" s="549">
        <f t="shared" si="2936"/>
        <v>0</v>
      </c>
      <c r="DS91" s="675">
        <f t="shared" si="2936"/>
        <v>0</v>
      </c>
      <c r="DT91" s="549">
        <f t="shared" si="2936"/>
        <v>0</v>
      </c>
      <c r="DU91" s="675">
        <f t="shared" si="2936"/>
        <v>0</v>
      </c>
      <c r="DV91" s="549">
        <f t="shared" si="2936"/>
        <v>0</v>
      </c>
      <c r="DW91" s="675">
        <f t="shared" si="2936"/>
        <v>0</v>
      </c>
      <c r="DX91" s="549">
        <f t="shared" ref="DX91:EG91" si="2937">SUM(DX424)</f>
        <v>0</v>
      </c>
      <c r="DY91" s="675">
        <f t="shared" si="2937"/>
        <v>0</v>
      </c>
      <c r="DZ91" s="549">
        <f t="shared" si="2937"/>
        <v>0</v>
      </c>
      <c r="EA91" s="675">
        <f t="shared" si="2937"/>
        <v>0</v>
      </c>
      <c r="EB91" s="549">
        <f t="shared" si="2937"/>
        <v>0</v>
      </c>
      <c r="EC91" s="675">
        <f t="shared" si="2937"/>
        <v>0</v>
      </c>
      <c r="ED91" s="549">
        <f t="shared" si="2937"/>
        <v>0</v>
      </c>
      <c r="EE91" s="675">
        <f t="shared" si="2937"/>
        <v>0</v>
      </c>
      <c r="EF91" s="549">
        <f t="shared" si="2937"/>
        <v>0</v>
      </c>
      <c r="EG91" s="675">
        <f t="shared" si="2937"/>
        <v>0</v>
      </c>
      <c r="EH91" s="549">
        <f t="shared" ref="EH91:EM91" si="2938">SUM(EH424)</f>
        <v>0</v>
      </c>
      <c r="EI91" s="675">
        <f t="shared" si="2938"/>
        <v>0</v>
      </c>
      <c r="EJ91" s="549">
        <f t="shared" si="2938"/>
        <v>0</v>
      </c>
      <c r="EK91" s="675">
        <f t="shared" si="2938"/>
        <v>0</v>
      </c>
      <c r="EL91" s="549">
        <f t="shared" si="2938"/>
        <v>0</v>
      </c>
      <c r="EM91" s="675">
        <f t="shared" si="2938"/>
        <v>0</v>
      </c>
      <c r="EN91" s="549">
        <f t="shared" ref="EN91:EO91" si="2939">SUM(EN424)</f>
        <v>0</v>
      </c>
      <c r="EO91" s="675">
        <f t="shared" si="2939"/>
        <v>0</v>
      </c>
      <c r="EP91" s="549">
        <f t="shared" ref="EP91:FA91" si="2940">SUM(EP424)</f>
        <v>0</v>
      </c>
      <c r="EQ91" s="675">
        <f t="shared" si="2940"/>
        <v>0</v>
      </c>
      <c r="ER91" s="549">
        <f t="shared" si="2940"/>
        <v>0</v>
      </c>
      <c r="ES91" s="675">
        <f t="shared" si="2940"/>
        <v>0</v>
      </c>
      <c r="ET91" s="549">
        <f t="shared" si="2940"/>
        <v>0</v>
      </c>
      <c r="EU91" s="675">
        <f t="shared" si="2940"/>
        <v>0</v>
      </c>
      <c r="EV91" s="549">
        <f t="shared" ref="EV91:EW91" si="2941">SUM(EV424)</f>
        <v>0</v>
      </c>
      <c r="EW91" s="675">
        <f t="shared" si="2941"/>
        <v>0</v>
      </c>
      <c r="EX91" s="549">
        <f t="shared" si="2940"/>
        <v>0</v>
      </c>
      <c r="EY91" s="675">
        <f t="shared" si="2940"/>
        <v>0</v>
      </c>
      <c r="EZ91" s="549">
        <f t="shared" si="2940"/>
        <v>0</v>
      </c>
      <c r="FA91" s="675">
        <f t="shared" si="2940"/>
        <v>0</v>
      </c>
      <c r="FB91" s="549">
        <f t="shared" ref="FB91:FC91" si="2942">SUM(FB424)</f>
        <v>0</v>
      </c>
      <c r="FC91" s="675">
        <f t="shared" si="2942"/>
        <v>0</v>
      </c>
      <c r="FD91" s="549">
        <f t="shared" ref="FD91:FE91" si="2943">SUM(FD424)</f>
        <v>0</v>
      </c>
      <c r="FE91" s="675">
        <f t="shared" si="2943"/>
        <v>0</v>
      </c>
      <c r="FF91" s="549">
        <f t="shared" ref="FF91:FG91" si="2944">SUM(FF424)</f>
        <v>0</v>
      </c>
      <c r="FG91" s="675">
        <f t="shared" si="2944"/>
        <v>0</v>
      </c>
      <c r="FH91" s="549">
        <f t="shared" ref="FH91:FI91" si="2945">SUM(FH424)</f>
        <v>0</v>
      </c>
      <c r="FI91" s="675">
        <f t="shared" si="2945"/>
        <v>0</v>
      </c>
      <c r="FJ91" s="549">
        <f t="shared" ref="FJ91:FK91" si="2946">SUM(FJ424)</f>
        <v>0</v>
      </c>
      <c r="FK91" s="675">
        <f t="shared" si="2946"/>
        <v>0</v>
      </c>
      <c r="FL91" s="549">
        <f t="shared" ref="FL91:FM91" si="2947">SUM(FL424)</f>
        <v>0</v>
      </c>
      <c r="FM91" s="675">
        <f t="shared" si="2947"/>
        <v>0</v>
      </c>
      <c r="FN91" s="549">
        <f t="shared" ref="FN91:FO91" si="2948">SUM(FN424)</f>
        <v>0</v>
      </c>
      <c r="FO91" s="675">
        <f t="shared" si="2948"/>
        <v>0</v>
      </c>
      <c r="FP91" s="549">
        <f t="shared" ref="FP91:FQ91" si="2949">SUM(FP424)</f>
        <v>0</v>
      </c>
      <c r="FQ91" s="675">
        <f t="shared" si="2949"/>
        <v>0</v>
      </c>
      <c r="FR91" s="549">
        <f t="shared" ref="FR91:FS91" si="2950">SUM(FR424)</f>
        <v>0</v>
      </c>
      <c r="FS91" s="675">
        <f t="shared" si="2950"/>
        <v>0</v>
      </c>
      <c r="FT91" s="549">
        <f t="shared" ref="FT91:FU91" si="2951">SUM(FT424)</f>
        <v>0</v>
      </c>
      <c r="FU91" s="675">
        <f t="shared" si="2951"/>
        <v>0</v>
      </c>
      <c r="FV91" s="549">
        <f t="shared" ref="FV91:GK91" si="2952">SUM(FV424)</f>
        <v>0</v>
      </c>
      <c r="FW91" s="675">
        <f t="shared" si="2952"/>
        <v>0</v>
      </c>
      <c r="FX91" s="549">
        <f t="shared" si="2952"/>
        <v>0</v>
      </c>
      <c r="FY91" s="675">
        <f t="shared" si="2952"/>
        <v>0</v>
      </c>
      <c r="FZ91" s="549">
        <f t="shared" ref="FZ91:GI91" si="2953">SUM(FZ424)</f>
        <v>0</v>
      </c>
      <c r="GA91" s="675">
        <f t="shared" si="2953"/>
        <v>0</v>
      </c>
      <c r="GB91" s="549">
        <f t="shared" si="2953"/>
        <v>0</v>
      </c>
      <c r="GC91" s="675">
        <f t="shared" si="2953"/>
        <v>0</v>
      </c>
      <c r="GD91" s="549">
        <f t="shared" si="2953"/>
        <v>0</v>
      </c>
      <c r="GE91" s="675">
        <f t="shared" si="2953"/>
        <v>0</v>
      </c>
      <c r="GF91" s="549">
        <f t="shared" si="2953"/>
        <v>0</v>
      </c>
      <c r="GG91" s="675">
        <f t="shared" si="2953"/>
        <v>0</v>
      </c>
      <c r="GH91" s="549">
        <f t="shared" si="2953"/>
        <v>0</v>
      </c>
      <c r="GI91" s="675">
        <f t="shared" si="2953"/>
        <v>0</v>
      </c>
      <c r="GJ91" s="549">
        <f t="shared" si="2952"/>
        <v>0</v>
      </c>
      <c r="GK91" s="675">
        <f t="shared" si="2952"/>
        <v>0</v>
      </c>
      <c r="GL91" s="549">
        <f t="shared" ref="GL91:GQ91" si="2954">SUM(GL424)</f>
        <v>0</v>
      </c>
      <c r="GM91" s="675">
        <f t="shared" si="2954"/>
        <v>0</v>
      </c>
      <c r="GN91" s="549">
        <f t="shared" ref="GN91:GO91" si="2955">SUM(GN424)</f>
        <v>0</v>
      </c>
      <c r="GO91" s="675">
        <f t="shared" si="2955"/>
        <v>0</v>
      </c>
      <c r="GP91" s="74">
        <f t="shared" si="2954"/>
        <v>0</v>
      </c>
      <c r="GQ91" s="675">
        <f t="shared" si="2954"/>
        <v>0</v>
      </c>
      <c r="GR91" s="74">
        <f t="shared" ref="GR91:HK91" si="2956">SUM(GR424)</f>
        <v>0</v>
      </c>
      <c r="GS91" s="74">
        <f t="shared" si="2956"/>
        <v>0</v>
      </c>
      <c r="GT91" s="74">
        <f t="shared" si="2956"/>
        <v>0</v>
      </c>
      <c r="GU91" s="74">
        <f t="shared" si="2956"/>
        <v>0</v>
      </c>
      <c r="GV91" s="74">
        <f t="shared" si="2956"/>
        <v>0</v>
      </c>
      <c r="GW91" s="74">
        <f t="shared" si="2956"/>
        <v>0</v>
      </c>
      <c r="GX91" s="74">
        <f t="shared" si="2956"/>
        <v>0</v>
      </c>
      <c r="GY91" s="74">
        <f t="shared" si="2956"/>
        <v>0</v>
      </c>
      <c r="GZ91" s="74">
        <f t="shared" si="2956"/>
        <v>0</v>
      </c>
      <c r="HA91" s="74">
        <f t="shared" si="2956"/>
        <v>0</v>
      </c>
      <c r="HB91" s="74">
        <f t="shared" si="2956"/>
        <v>0</v>
      </c>
      <c r="HC91" s="74">
        <f t="shared" si="2956"/>
        <v>0</v>
      </c>
      <c r="HD91" s="74">
        <f t="shared" si="2956"/>
        <v>0</v>
      </c>
      <c r="HE91" s="74">
        <f t="shared" si="2956"/>
        <v>0</v>
      </c>
      <c r="HF91" s="74">
        <f t="shared" si="2956"/>
        <v>0</v>
      </c>
      <c r="HG91" s="74">
        <f t="shared" si="2956"/>
        <v>0</v>
      </c>
      <c r="HH91" s="74">
        <f t="shared" si="2956"/>
        <v>0</v>
      </c>
      <c r="HI91" s="74">
        <f t="shared" si="2956"/>
        <v>0</v>
      </c>
      <c r="HJ91" s="74">
        <f t="shared" si="2956"/>
        <v>0</v>
      </c>
      <c r="HK91" s="74">
        <f t="shared" si="2956"/>
        <v>0</v>
      </c>
      <c r="HL91" s="74">
        <f t="shared" ref="HL91:JT91" si="2957">SUM(HL424)</f>
        <v>0</v>
      </c>
      <c r="HM91" s="74">
        <f t="shared" si="2957"/>
        <v>0</v>
      </c>
      <c r="HN91" s="74">
        <f t="shared" si="2957"/>
        <v>0</v>
      </c>
      <c r="HO91" s="74">
        <f t="shared" si="2957"/>
        <v>0</v>
      </c>
      <c r="HP91" s="74">
        <f t="shared" si="2957"/>
        <v>0</v>
      </c>
      <c r="HQ91" s="74">
        <f t="shared" si="2957"/>
        <v>0</v>
      </c>
      <c r="HR91" s="74">
        <f t="shared" si="2957"/>
        <v>0</v>
      </c>
      <c r="HS91" s="74">
        <f t="shared" si="2957"/>
        <v>0</v>
      </c>
      <c r="HT91" s="74">
        <f t="shared" si="2957"/>
        <v>0</v>
      </c>
      <c r="HU91" s="74">
        <f t="shared" si="2957"/>
        <v>0</v>
      </c>
      <c r="HV91" s="74">
        <f t="shared" si="2957"/>
        <v>0</v>
      </c>
      <c r="HW91" s="74">
        <f t="shared" si="2957"/>
        <v>0</v>
      </c>
      <c r="HX91" s="74">
        <f t="shared" si="2957"/>
        <v>0</v>
      </c>
      <c r="HY91" s="74">
        <f t="shared" si="2957"/>
        <v>0</v>
      </c>
      <c r="HZ91" s="74">
        <f t="shared" si="2957"/>
        <v>0</v>
      </c>
      <c r="IA91" s="74">
        <f t="shared" si="2957"/>
        <v>0</v>
      </c>
      <c r="IB91" s="74">
        <f t="shared" si="2957"/>
        <v>0</v>
      </c>
      <c r="IC91" s="74">
        <f t="shared" si="2957"/>
        <v>0</v>
      </c>
      <c r="ID91" s="74">
        <f t="shared" si="2957"/>
        <v>0</v>
      </c>
      <c r="IE91" s="792">
        <f t="shared" si="2957"/>
        <v>0</v>
      </c>
      <c r="IF91" s="841">
        <f t="shared" si="2957"/>
        <v>0</v>
      </c>
      <c r="IG91" s="263">
        <f t="shared" si="2957"/>
        <v>0</v>
      </c>
      <c r="IH91" s="842">
        <f t="shared" si="2957"/>
        <v>0</v>
      </c>
      <c r="II91" s="155">
        <f t="shared" si="2957"/>
        <v>0</v>
      </c>
      <c r="IJ91" s="74">
        <f t="shared" si="2957"/>
        <v>0</v>
      </c>
      <c r="IK91" s="74">
        <f t="shared" si="2957"/>
        <v>0</v>
      </c>
      <c r="IL91" s="74">
        <f t="shared" si="2957"/>
        <v>0</v>
      </c>
      <c r="IM91" s="74">
        <f t="shared" si="2957"/>
        <v>0</v>
      </c>
      <c r="IN91" s="74">
        <f t="shared" si="2957"/>
        <v>0</v>
      </c>
      <c r="IO91" s="74">
        <f t="shared" si="2957"/>
        <v>0</v>
      </c>
      <c r="IP91" s="74">
        <f t="shared" si="2957"/>
        <v>0</v>
      </c>
      <c r="IQ91" s="74">
        <f t="shared" si="2957"/>
        <v>0</v>
      </c>
      <c r="IR91" s="74">
        <f t="shared" si="2957"/>
        <v>0</v>
      </c>
      <c r="IS91" s="74">
        <f t="shared" si="2957"/>
        <v>0</v>
      </c>
      <c r="IT91" s="74">
        <f t="shared" si="2957"/>
        <v>0</v>
      </c>
      <c r="IU91" s="74">
        <f t="shared" si="2957"/>
        <v>0</v>
      </c>
      <c r="IV91" s="74">
        <f t="shared" si="2957"/>
        <v>0</v>
      </c>
      <c r="IW91" s="74">
        <f t="shared" si="2957"/>
        <v>0</v>
      </c>
      <c r="IX91" s="74">
        <f t="shared" si="2957"/>
        <v>0</v>
      </c>
      <c r="IY91" s="74">
        <f t="shared" si="2957"/>
        <v>0</v>
      </c>
      <c r="IZ91" s="74">
        <f t="shared" si="2957"/>
        <v>0</v>
      </c>
      <c r="JA91" s="74">
        <f t="shared" si="2957"/>
        <v>0</v>
      </c>
      <c r="JB91" s="74">
        <f t="shared" si="2957"/>
        <v>0</v>
      </c>
      <c r="JC91" s="74">
        <f t="shared" si="2957"/>
        <v>0</v>
      </c>
      <c r="JD91" s="74">
        <f t="shared" si="2957"/>
        <v>0</v>
      </c>
      <c r="JE91" s="74">
        <f t="shared" si="2957"/>
        <v>0</v>
      </c>
      <c r="JF91" s="74">
        <f t="shared" si="2957"/>
        <v>0</v>
      </c>
      <c r="JG91" s="74">
        <f t="shared" si="2957"/>
        <v>0</v>
      </c>
      <c r="JH91" s="74">
        <f t="shared" si="2957"/>
        <v>0</v>
      </c>
      <c r="JI91" s="74">
        <f t="shared" si="2957"/>
        <v>0</v>
      </c>
      <c r="JJ91" s="74">
        <f t="shared" si="2957"/>
        <v>0</v>
      </c>
      <c r="JK91" s="74">
        <f t="shared" si="2957"/>
        <v>0</v>
      </c>
      <c r="JL91" s="74">
        <f t="shared" si="2957"/>
        <v>0</v>
      </c>
      <c r="JM91" s="74">
        <f t="shared" si="2957"/>
        <v>0</v>
      </c>
      <c r="JN91" s="74">
        <f t="shared" si="2957"/>
        <v>0</v>
      </c>
      <c r="JO91" s="74">
        <f t="shared" si="2957"/>
        <v>0</v>
      </c>
      <c r="JP91" s="74">
        <f t="shared" si="2957"/>
        <v>0</v>
      </c>
      <c r="JQ91" s="74">
        <f t="shared" si="2957"/>
        <v>0</v>
      </c>
      <c r="JR91" s="74">
        <f t="shared" si="2957"/>
        <v>0</v>
      </c>
      <c r="JS91" s="74">
        <f t="shared" si="2957"/>
        <v>0</v>
      </c>
      <c r="JT91" s="102">
        <f t="shared" si="2957"/>
        <v>0</v>
      </c>
      <c r="JU91" s="671"/>
      <c r="JV91" s="492"/>
      <c r="JW91" s="490"/>
      <c r="JX91" s="549">
        <f>SUM(JX424)</f>
        <v>0</v>
      </c>
      <c r="JY91" s="549">
        <f>SUM(JY424)</f>
        <v>0</v>
      </c>
      <c r="JZ91" s="581">
        <f t="shared" si="2110"/>
        <v>0</v>
      </c>
      <c r="KA91" s="581">
        <f t="shared" si="2111"/>
        <v>0</v>
      </c>
      <c r="KB91" s="549">
        <f>SUM(KB424)</f>
        <v>0</v>
      </c>
      <c r="KC91" s="709">
        <f t="shared" si="2079"/>
        <v>0</v>
      </c>
      <c r="KD91" s="36"/>
      <c r="KE91" s="36"/>
      <c r="KF91" s="36"/>
      <c r="KG91" s="36"/>
      <c r="KH91" s="36"/>
      <c r="KI91" s="36"/>
      <c r="KJ91" s="36"/>
      <c r="KK91" s="36"/>
    </row>
    <row r="92" spans="1:297" s="8" customFormat="1">
      <c r="A92" s="75" t="s">
        <v>122</v>
      </c>
      <c r="B92" s="72" t="s">
        <v>123</v>
      </c>
      <c r="C92" s="74">
        <f>SUM(C425)+C306</f>
        <v>75000</v>
      </c>
      <c r="D92" s="74">
        <f t="shared" ref="D92:E92" si="2958">SUM(D425)+D306</f>
        <v>0</v>
      </c>
      <c r="E92" s="74">
        <f t="shared" si="2958"/>
        <v>0</v>
      </c>
      <c r="F92" s="74">
        <f t="shared" ref="F92:G92" si="2959">SUM(F425)+F306</f>
        <v>0</v>
      </c>
      <c r="G92" s="74">
        <f t="shared" si="2959"/>
        <v>0</v>
      </c>
      <c r="H92" s="74">
        <f t="shared" ref="H92:I92" si="2960">SUM(H425)+H306</f>
        <v>0</v>
      </c>
      <c r="I92" s="74">
        <f t="shared" si="2960"/>
        <v>0</v>
      </c>
      <c r="J92" s="74">
        <f t="shared" ref="J92:K92" si="2961">SUM(J425)+J306</f>
        <v>0</v>
      </c>
      <c r="K92" s="74">
        <f t="shared" si="2961"/>
        <v>0</v>
      </c>
      <c r="L92" s="74">
        <f t="shared" ref="L92:M92" si="2962">SUM(L425)+L306</f>
        <v>0</v>
      </c>
      <c r="M92" s="74">
        <f t="shared" si="2962"/>
        <v>0</v>
      </c>
      <c r="N92" s="74">
        <f t="shared" ref="N92:O92" si="2963">SUM(N425)+N306</f>
        <v>0</v>
      </c>
      <c r="O92" s="74">
        <f t="shared" si="2963"/>
        <v>0</v>
      </c>
      <c r="P92" s="74">
        <f t="shared" ref="P92:Q92" si="2964">SUM(P425)+P306</f>
        <v>0</v>
      </c>
      <c r="Q92" s="74">
        <f t="shared" si="2964"/>
        <v>0</v>
      </c>
      <c r="R92" s="74">
        <f t="shared" ref="R92:S92" si="2965">SUM(R425)+R306</f>
        <v>0</v>
      </c>
      <c r="S92" s="74">
        <f t="shared" si="2965"/>
        <v>0</v>
      </c>
      <c r="T92" s="74">
        <f t="shared" ref="T92:U92" si="2966">SUM(T425)+T306</f>
        <v>0</v>
      </c>
      <c r="U92" s="74">
        <f t="shared" si="2966"/>
        <v>0</v>
      </c>
      <c r="V92" s="74">
        <f t="shared" ref="V92:W92" si="2967">SUM(V425)+V306</f>
        <v>0</v>
      </c>
      <c r="W92" s="74">
        <f t="shared" si="2967"/>
        <v>0</v>
      </c>
      <c r="X92" s="74">
        <f t="shared" ref="X92:Y92" si="2968">SUM(X425)+X306</f>
        <v>0</v>
      </c>
      <c r="Y92" s="74">
        <f t="shared" si="2968"/>
        <v>0</v>
      </c>
      <c r="Z92" s="74">
        <f t="shared" ref="Z92:AA92" si="2969">SUM(Z425)+Z306</f>
        <v>0</v>
      </c>
      <c r="AA92" s="74">
        <f t="shared" si="2969"/>
        <v>0</v>
      </c>
      <c r="AB92" s="74">
        <f t="shared" ref="AB92:AC92" si="2970">SUM(AB425)+AB306</f>
        <v>0</v>
      </c>
      <c r="AC92" s="74">
        <f t="shared" si="2970"/>
        <v>0</v>
      </c>
      <c r="AD92" s="74">
        <f t="shared" ref="AD92:AE92" si="2971">SUM(AD425)+AD306</f>
        <v>0</v>
      </c>
      <c r="AE92" s="74">
        <f t="shared" si="2971"/>
        <v>0</v>
      </c>
      <c r="AF92" s="74">
        <f t="shared" ref="AF92:AI92" si="2972">SUM(AF425)+AF306</f>
        <v>0</v>
      </c>
      <c r="AG92" s="74">
        <f t="shared" si="2972"/>
        <v>-10000</v>
      </c>
      <c r="AH92" s="74">
        <f t="shared" si="2972"/>
        <v>0</v>
      </c>
      <c r="AI92" s="74">
        <f t="shared" si="2972"/>
        <v>0</v>
      </c>
      <c r="AJ92" s="74">
        <f t="shared" ref="AJ92:AK92" si="2973">SUM(AJ425)+AJ306</f>
        <v>0</v>
      </c>
      <c r="AK92" s="74">
        <f t="shared" si="2973"/>
        <v>0</v>
      </c>
      <c r="AL92" s="74">
        <f t="shared" ref="AL92:AM92" si="2974">SUM(AL425)+AL306</f>
        <v>0</v>
      </c>
      <c r="AM92" s="74">
        <f t="shared" si="2974"/>
        <v>0</v>
      </c>
      <c r="AN92" s="74">
        <f t="shared" ref="AN92:AO92" si="2975">SUM(AN425)+AN306</f>
        <v>0</v>
      </c>
      <c r="AO92" s="74">
        <f t="shared" si="2975"/>
        <v>0</v>
      </c>
      <c r="AP92" s="74">
        <f t="shared" ref="AP92:AQ92" si="2976">SUM(AP425)+AP306</f>
        <v>0</v>
      </c>
      <c r="AQ92" s="74">
        <f t="shared" si="2976"/>
        <v>0</v>
      </c>
      <c r="AR92" s="74">
        <f t="shared" ref="AR92:AS92" si="2977">SUM(AR425)+AR306</f>
        <v>0</v>
      </c>
      <c r="AS92" s="74">
        <f t="shared" si="2977"/>
        <v>0</v>
      </c>
      <c r="AT92" s="74">
        <f t="shared" ref="AT92:AU92" si="2978">SUM(AT425)+AT306</f>
        <v>0</v>
      </c>
      <c r="AU92" s="74">
        <f t="shared" si="2978"/>
        <v>0</v>
      </c>
      <c r="AV92" s="74">
        <f t="shared" ref="AV92:AW92" si="2979">SUM(AV425)+AV306</f>
        <v>0</v>
      </c>
      <c r="AW92" s="74">
        <f t="shared" si="2979"/>
        <v>0</v>
      </c>
      <c r="AX92" s="74">
        <f t="shared" ref="AX92:AY92" si="2980">SUM(AX425)+AX306</f>
        <v>0</v>
      </c>
      <c r="AY92" s="74">
        <f t="shared" si="2980"/>
        <v>0</v>
      </c>
      <c r="AZ92" s="74">
        <f t="shared" ref="AZ92:BA92" si="2981">SUM(AZ425)+AZ306</f>
        <v>0</v>
      </c>
      <c r="BA92" s="74">
        <f t="shared" si="2981"/>
        <v>-10000</v>
      </c>
      <c r="BB92" s="74">
        <f t="shared" ref="BB92:BC92" si="2982">SUM(BB425)+BB306</f>
        <v>0</v>
      </c>
      <c r="BC92" s="74">
        <f t="shared" si="2982"/>
        <v>0</v>
      </c>
      <c r="BD92" s="74">
        <f t="shared" ref="BD92:BE92" si="2983">SUM(BD425)+BD306</f>
        <v>0</v>
      </c>
      <c r="BE92" s="74">
        <f t="shared" si="2983"/>
        <v>0</v>
      </c>
      <c r="BF92" s="74">
        <f t="shared" ref="BF92:BG92" si="2984">SUM(BF425)+BF306</f>
        <v>0</v>
      </c>
      <c r="BG92" s="74">
        <f t="shared" si="2984"/>
        <v>0</v>
      </c>
      <c r="BH92" s="74">
        <f t="shared" ref="BH92:BI92" si="2985">SUM(BH425)+BH306</f>
        <v>0</v>
      </c>
      <c r="BI92" s="74">
        <f t="shared" si="2985"/>
        <v>0</v>
      </c>
      <c r="BJ92" s="74">
        <f t="shared" ref="BJ92:BK92" si="2986">SUM(BJ425)+BJ306</f>
        <v>0</v>
      </c>
      <c r="BK92" s="74">
        <f t="shared" si="2986"/>
        <v>0</v>
      </c>
      <c r="BL92" s="74">
        <f t="shared" ref="BL92:BM92" si="2987">SUM(BL425)+BL306</f>
        <v>0</v>
      </c>
      <c r="BM92" s="74">
        <f t="shared" si="2987"/>
        <v>0</v>
      </c>
      <c r="BN92" s="74">
        <f t="shared" ref="BN92:BO92" si="2988">SUM(BN425)+BN306</f>
        <v>0</v>
      </c>
      <c r="BO92" s="74">
        <f t="shared" si="2988"/>
        <v>0</v>
      </c>
      <c r="BP92" s="74">
        <f t="shared" ref="BP92:BQ92" si="2989">SUM(BP425)+BP306</f>
        <v>0</v>
      </c>
      <c r="BQ92" s="74">
        <f t="shared" si="2989"/>
        <v>0</v>
      </c>
      <c r="BR92" s="74">
        <f t="shared" ref="BR92:BS92" si="2990">SUM(BR425)+BR306</f>
        <v>0</v>
      </c>
      <c r="BS92" s="74">
        <f t="shared" si="2990"/>
        <v>0</v>
      </c>
      <c r="BT92" s="74">
        <f t="shared" ref="BT92:BU92" si="2991">SUM(BT425)+BT306</f>
        <v>0</v>
      </c>
      <c r="BU92" s="74">
        <f t="shared" si="2991"/>
        <v>0</v>
      </c>
      <c r="BV92" s="74">
        <f t="shared" ref="BV92:BW92" si="2992">SUM(BV425)+BV306</f>
        <v>0</v>
      </c>
      <c r="BW92" s="74">
        <f t="shared" si="2992"/>
        <v>0</v>
      </c>
      <c r="BX92" s="74">
        <f t="shared" ref="BX92:BY92" si="2993">SUM(BX425)+BX306</f>
        <v>0</v>
      </c>
      <c r="BY92" s="74">
        <f t="shared" si="2993"/>
        <v>0</v>
      </c>
      <c r="BZ92" s="74">
        <f t="shared" ref="BZ92:CA92" si="2994">SUM(BZ425)+BZ306</f>
        <v>0</v>
      </c>
      <c r="CA92" s="74">
        <f t="shared" si="2994"/>
        <v>0</v>
      </c>
      <c r="CB92" s="74">
        <f t="shared" ref="CB92:CC92" si="2995">SUM(CB425)+CB306</f>
        <v>0</v>
      </c>
      <c r="CC92" s="74">
        <f t="shared" si="2995"/>
        <v>0</v>
      </c>
      <c r="CD92" s="74">
        <f t="shared" ref="CD92:CE92" si="2996">SUM(CD425)+CD306</f>
        <v>0</v>
      </c>
      <c r="CE92" s="74">
        <f t="shared" si="2996"/>
        <v>0</v>
      </c>
      <c r="CF92" s="74">
        <f t="shared" ref="CF92:CG92" si="2997">SUM(CF425)+CF306</f>
        <v>0</v>
      </c>
      <c r="CG92" s="74">
        <f t="shared" si="2997"/>
        <v>0</v>
      </c>
      <c r="CH92" s="74">
        <f t="shared" ref="CH92:CI92" si="2998">SUM(CH425)+CH306</f>
        <v>0</v>
      </c>
      <c r="CI92" s="74">
        <f t="shared" si="2998"/>
        <v>0</v>
      </c>
      <c r="CJ92" s="74">
        <f t="shared" ref="CJ92:CK92" si="2999">SUM(CJ425)+CJ306</f>
        <v>0</v>
      </c>
      <c r="CK92" s="74">
        <f t="shared" si="2999"/>
        <v>-5000</v>
      </c>
      <c r="CL92" s="74">
        <f t="shared" ref="CL92:CM92" si="3000">SUM(CL425)+CL306</f>
        <v>0</v>
      </c>
      <c r="CM92" s="74">
        <f t="shared" si="3000"/>
        <v>-10000</v>
      </c>
      <c r="CN92" s="74">
        <f t="shared" ref="CN92:CO92" si="3001">SUM(CN425)+CN306</f>
        <v>0</v>
      </c>
      <c r="CO92" s="74">
        <f t="shared" si="3001"/>
        <v>0</v>
      </c>
      <c r="CP92" s="74">
        <f t="shared" ref="CP92:CQ92" si="3002">SUM(CP425)+CP306</f>
        <v>0</v>
      </c>
      <c r="CQ92" s="74">
        <f t="shared" si="3002"/>
        <v>0</v>
      </c>
      <c r="CR92" s="74">
        <f t="shared" ref="CR92:CS92" si="3003">SUM(CR425)+CR306</f>
        <v>0</v>
      </c>
      <c r="CS92" s="74">
        <f t="shared" si="3003"/>
        <v>0</v>
      </c>
      <c r="CT92" s="74">
        <f t="shared" ref="CT92:CU92" si="3004">SUM(CT425)+CT306</f>
        <v>0</v>
      </c>
      <c r="CU92" s="74">
        <f t="shared" si="3004"/>
        <v>0</v>
      </c>
      <c r="CV92" s="74">
        <f t="shared" ref="CV92:CW92" si="3005">SUM(CV425)+CV306</f>
        <v>0</v>
      </c>
      <c r="CW92" s="74">
        <f t="shared" si="3005"/>
        <v>0</v>
      </c>
      <c r="CX92" s="74">
        <f t="shared" ref="CX92:CY92" si="3006">SUM(CX425)+CX306</f>
        <v>0</v>
      </c>
      <c r="CY92" s="74">
        <f t="shared" si="3006"/>
        <v>0</v>
      </c>
      <c r="CZ92" s="74">
        <f t="shared" ref="CZ92:DA92" si="3007">SUM(CZ425)+CZ306</f>
        <v>0</v>
      </c>
      <c r="DA92" s="74">
        <f t="shared" si="3007"/>
        <v>0</v>
      </c>
      <c r="DB92" s="74">
        <f t="shared" ref="DB92:DC92" si="3008">SUM(DB425)+DB306</f>
        <v>0</v>
      </c>
      <c r="DC92" s="74">
        <f t="shared" si="3008"/>
        <v>0</v>
      </c>
      <c r="DD92" s="74">
        <f t="shared" ref="DD92:DE92" si="3009">SUM(DD425)+DD306</f>
        <v>0</v>
      </c>
      <c r="DE92" s="74">
        <f t="shared" si="3009"/>
        <v>0</v>
      </c>
      <c r="DF92" s="74">
        <f t="shared" ref="DF92:DG92" si="3010">SUM(DF425)+DF306</f>
        <v>0</v>
      </c>
      <c r="DG92" s="74">
        <f t="shared" si="3010"/>
        <v>0</v>
      </c>
      <c r="DH92" s="74">
        <f t="shared" ref="DH92:DI92" si="3011">SUM(DH425)+DH306</f>
        <v>0</v>
      </c>
      <c r="DI92" s="74">
        <f t="shared" si="3011"/>
        <v>-2000</v>
      </c>
      <c r="DJ92" s="74">
        <f t="shared" ref="DJ92:DK92" si="3012">SUM(DJ425)+DJ306</f>
        <v>0</v>
      </c>
      <c r="DK92" s="74">
        <f t="shared" si="3012"/>
        <v>-4000</v>
      </c>
      <c r="DL92" s="74">
        <f t="shared" ref="DL92:DM92" si="3013">SUM(DL425)+DL306</f>
        <v>0</v>
      </c>
      <c r="DM92" s="74">
        <f t="shared" si="3013"/>
        <v>0</v>
      </c>
      <c r="DN92" s="74">
        <f t="shared" ref="DN92:DO92" si="3014">SUM(DN425)+DN306</f>
        <v>0</v>
      </c>
      <c r="DO92" s="74">
        <f t="shared" si="3014"/>
        <v>0</v>
      </c>
      <c r="DP92" s="74">
        <f t="shared" ref="DP92:DQ92" si="3015">SUM(DP425)+DP306</f>
        <v>0</v>
      </c>
      <c r="DQ92" s="74">
        <f t="shared" si="3015"/>
        <v>0</v>
      </c>
      <c r="DR92" s="74">
        <f t="shared" ref="DR92:DS92" si="3016">SUM(DR425)+DR306</f>
        <v>0</v>
      </c>
      <c r="DS92" s="74">
        <f t="shared" si="3016"/>
        <v>0</v>
      </c>
      <c r="DT92" s="74">
        <f t="shared" ref="DT92:DU92" si="3017">SUM(DT425)+DT306</f>
        <v>0</v>
      </c>
      <c r="DU92" s="74">
        <f t="shared" si="3017"/>
        <v>0</v>
      </c>
      <c r="DV92" s="74">
        <f t="shared" ref="DV92:DW92" si="3018">SUM(DV425)+DV306</f>
        <v>0</v>
      </c>
      <c r="DW92" s="74">
        <f t="shared" si="3018"/>
        <v>0</v>
      </c>
      <c r="DX92" s="74">
        <f t="shared" ref="DX92:DY92" si="3019">SUM(DX425)+DX306</f>
        <v>0</v>
      </c>
      <c r="DY92" s="74">
        <f t="shared" si="3019"/>
        <v>0</v>
      </c>
      <c r="DZ92" s="74">
        <f t="shared" ref="DZ92:EA92" si="3020">SUM(DZ425)+DZ306</f>
        <v>0</v>
      </c>
      <c r="EA92" s="74">
        <f t="shared" si="3020"/>
        <v>0</v>
      </c>
      <c r="EB92" s="74">
        <f t="shared" ref="EB92:EC92" si="3021">SUM(EB425)+EB306</f>
        <v>0</v>
      </c>
      <c r="EC92" s="74">
        <f t="shared" si="3021"/>
        <v>0</v>
      </c>
      <c r="ED92" s="74">
        <f t="shared" ref="ED92:EE92" si="3022">SUM(ED425)+ED306</f>
        <v>0</v>
      </c>
      <c r="EE92" s="74">
        <f t="shared" si="3022"/>
        <v>0</v>
      </c>
      <c r="EF92" s="74">
        <f t="shared" ref="EF92:EG92" si="3023">SUM(EF425)+EF306</f>
        <v>0</v>
      </c>
      <c r="EG92" s="74">
        <f t="shared" si="3023"/>
        <v>0</v>
      </c>
      <c r="EH92" s="74">
        <f t="shared" ref="EH92:EI92" si="3024">SUM(EH425)+EH306</f>
        <v>0</v>
      </c>
      <c r="EI92" s="74">
        <f t="shared" si="3024"/>
        <v>0</v>
      </c>
      <c r="EJ92" s="74">
        <f t="shared" ref="EJ92:EK92" si="3025">SUM(EJ425)+EJ306</f>
        <v>0</v>
      </c>
      <c r="EK92" s="74">
        <f t="shared" si="3025"/>
        <v>0</v>
      </c>
      <c r="EL92" s="74">
        <f t="shared" ref="EL92:EM92" si="3026">SUM(EL425)+EL306</f>
        <v>0</v>
      </c>
      <c r="EM92" s="74">
        <f t="shared" si="3026"/>
        <v>-10000</v>
      </c>
      <c r="EN92" s="74">
        <f t="shared" ref="EN92:EO92" si="3027">SUM(EN425)+EN306</f>
        <v>0</v>
      </c>
      <c r="EO92" s="74">
        <f t="shared" si="3027"/>
        <v>0</v>
      </c>
      <c r="EP92" s="74">
        <f t="shared" ref="EP92:EQ92" si="3028">SUM(EP425)+EP306</f>
        <v>0</v>
      </c>
      <c r="EQ92" s="74">
        <f t="shared" si="3028"/>
        <v>0</v>
      </c>
      <c r="ER92" s="74">
        <f t="shared" ref="ER92:ES92" si="3029">SUM(ER425)+ER306</f>
        <v>0</v>
      </c>
      <c r="ES92" s="74">
        <f t="shared" si="3029"/>
        <v>0</v>
      </c>
      <c r="ET92" s="74">
        <f t="shared" ref="ET92:EU92" si="3030">SUM(ET425)+ET306</f>
        <v>0</v>
      </c>
      <c r="EU92" s="74">
        <f t="shared" si="3030"/>
        <v>0</v>
      </c>
      <c r="EV92" s="74">
        <f t="shared" ref="EV92:EW92" si="3031">SUM(EV425)+EV306</f>
        <v>0</v>
      </c>
      <c r="EW92" s="74">
        <f t="shared" si="3031"/>
        <v>0</v>
      </c>
      <c r="EX92" s="74">
        <f t="shared" ref="EX92:EY92" si="3032">SUM(EX425)+EX306</f>
        <v>0</v>
      </c>
      <c r="EY92" s="74">
        <f t="shared" si="3032"/>
        <v>0</v>
      </c>
      <c r="EZ92" s="74">
        <f t="shared" ref="EZ92:FA92" si="3033">SUM(EZ425)+EZ306</f>
        <v>0</v>
      </c>
      <c r="FA92" s="74">
        <f t="shared" si="3033"/>
        <v>0</v>
      </c>
      <c r="FB92" s="74">
        <f t="shared" ref="FB92:FC92" si="3034">SUM(FB425)+FB306</f>
        <v>0</v>
      </c>
      <c r="FC92" s="74">
        <f t="shared" si="3034"/>
        <v>0</v>
      </c>
      <c r="FD92" s="74">
        <f t="shared" ref="FD92:FE92" si="3035">SUM(FD425)+FD306</f>
        <v>0</v>
      </c>
      <c r="FE92" s="74">
        <f t="shared" si="3035"/>
        <v>0</v>
      </c>
      <c r="FF92" s="74">
        <f t="shared" ref="FF92:FG92" si="3036">SUM(FF425)+FF306</f>
        <v>0</v>
      </c>
      <c r="FG92" s="74">
        <f t="shared" si="3036"/>
        <v>0</v>
      </c>
      <c r="FH92" s="74">
        <f t="shared" ref="FH92:FI92" si="3037">SUM(FH425)+FH306</f>
        <v>0</v>
      </c>
      <c r="FI92" s="74">
        <f t="shared" si="3037"/>
        <v>0</v>
      </c>
      <c r="FJ92" s="74">
        <f t="shared" ref="FJ92:FK92" si="3038">SUM(FJ425)+FJ306</f>
        <v>0</v>
      </c>
      <c r="FK92" s="74">
        <f t="shared" si="3038"/>
        <v>0</v>
      </c>
      <c r="FL92" s="74">
        <f t="shared" ref="FL92:FM92" si="3039">SUM(FL425)+FL306</f>
        <v>2000</v>
      </c>
      <c r="FM92" s="74">
        <f t="shared" si="3039"/>
        <v>0</v>
      </c>
      <c r="FN92" s="74">
        <f t="shared" ref="FN92:FO92" si="3040">SUM(FN425)+FN306</f>
        <v>0</v>
      </c>
      <c r="FO92" s="74">
        <f t="shared" si="3040"/>
        <v>0</v>
      </c>
      <c r="FP92" s="74">
        <f t="shared" ref="FP92:FQ92" si="3041">SUM(FP425)+FP306</f>
        <v>0</v>
      </c>
      <c r="FQ92" s="74">
        <f t="shared" si="3041"/>
        <v>0</v>
      </c>
      <c r="FR92" s="74">
        <f t="shared" ref="FR92:FS92" si="3042">SUM(FR425)+FR306</f>
        <v>17000</v>
      </c>
      <c r="FS92" s="74">
        <f t="shared" si="3042"/>
        <v>0</v>
      </c>
      <c r="FT92" s="74">
        <f t="shared" ref="FT92:FU92" si="3043">SUM(FT425)+FT306</f>
        <v>0</v>
      </c>
      <c r="FU92" s="74">
        <f t="shared" si="3043"/>
        <v>0</v>
      </c>
      <c r="FV92" s="74">
        <f t="shared" ref="FV92:GK92" si="3044">SUM(FV425)+FV306</f>
        <v>0</v>
      </c>
      <c r="FW92" s="74">
        <f t="shared" si="3044"/>
        <v>0</v>
      </c>
      <c r="FX92" s="74">
        <f t="shared" si="3044"/>
        <v>0</v>
      </c>
      <c r="FY92" s="74">
        <f t="shared" si="3044"/>
        <v>0</v>
      </c>
      <c r="FZ92" s="74">
        <f t="shared" ref="FZ92:GI92" si="3045">SUM(FZ425)+FZ306</f>
        <v>0</v>
      </c>
      <c r="GA92" s="74">
        <f t="shared" si="3045"/>
        <v>0</v>
      </c>
      <c r="GB92" s="74">
        <f t="shared" si="3045"/>
        <v>0</v>
      </c>
      <c r="GC92" s="74">
        <f t="shared" si="3045"/>
        <v>0</v>
      </c>
      <c r="GD92" s="74">
        <f t="shared" si="3045"/>
        <v>0</v>
      </c>
      <c r="GE92" s="74">
        <f t="shared" si="3045"/>
        <v>0</v>
      </c>
      <c r="GF92" s="74">
        <f t="shared" si="3045"/>
        <v>0</v>
      </c>
      <c r="GG92" s="74">
        <f t="shared" si="3045"/>
        <v>0</v>
      </c>
      <c r="GH92" s="74">
        <f t="shared" si="3045"/>
        <v>0</v>
      </c>
      <c r="GI92" s="74">
        <f t="shared" si="3045"/>
        <v>0</v>
      </c>
      <c r="GJ92" s="74">
        <f t="shared" si="3044"/>
        <v>0</v>
      </c>
      <c r="GK92" s="74">
        <f t="shared" si="3044"/>
        <v>0</v>
      </c>
      <c r="GL92" s="74">
        <f t="shared" ref="GL92:GM92" si="3046">SUM(GL425)+GL306</f>
        <v>0</v>
      </c>
      <c r="GM92" s="74">
        <f t="shared" si="3046"/>
        <v>0</v>
      </c>
      <c r="GN92" s="74">
        <f t="shared" ref="GN92:GO92" si="3047">SUM(GN425)+GN306</f>
        <v>0</v>
      </c>
      <c r="GO92" s="74">
        <f t="shared" si="3047"/>
        <v>0</v>
      </c>
      <c r="GP92" s="74">
        <f t="shared" ref="GP92:GS92" si="3048">SUM(GP425)+GP306</f>
        <v>19000</v>
      </c>
      <c r="GQ92" s="675">
        <f t="shared" si="3048"/>
        <v>-51000</v>
      </c>
      <c r="GR92" s="74">
        <f t="shared" si="3048"/>
        <v>43000</v>
      </c>
      <c r="GS92" s="74">
        <f t="shared" si="3048"/>
        <v>43000</v>
      </c>
      <c r="GT92" s="74">
        <f t="shared" ref="GT92:HY92" si="3049">SUM(GT425)+GT306</f>
        <v>43000</v>
      </c>
      <c r="GU92" s="74">
        <f>SUM(GU425)+GU306</f>
        <v>7500</v>
      </c>
      <c r="GV92" s="74">
        <f t="shared" si="3049"/>
        <v>7500</v>
      </c>
      <c r="GW92" s="74">
        <f t="shared" si="3049"/>
        <v>7500</v>
      </c>
      <c r="GX92" s="74">
        <f t="shared" si="3049"/>
        <v>7500</v>
      </c>
      <c r="GY92" s="74">
        <f t="shared" si="3049"/>
        <v>7500</v>
      </c>
      <c r="GZ92" s="74">
        <f t="shared" si="3049"/>
        <v>7500</v>
      </c>
      <c r="HA92" s="74">
        <f t="shared" si="3049"/>
        <v>7500</v>
      </c>
      <c r="HB92" s="74">
        <f t="shared" si="3049"/>
        <v>7500</v>
      </c>
      <c r="HC92" s="74">
        <f t="shared" si="3049"/>
        <v>7500</v>
      </c>
      <c r="HD92" s="74">
        <f t="shared" si="3049"/>
        <v>7500</v>
      </c>
      <c r="HE92" s="74">
        <f t="shared" si="3049"/>
        <v>0</v>
      </c>
      <c r="HF92" s="74">
        <f t="shared" si="3049"/>
        <v>0</v>
      </c>
      <c r="HG92" s="74">
        <f t="shared" si="3049"/>
        <v>43000</v>
      </c>
      <c r="HH92" s="74">
        <f t="shared" si="3049"/>
        <v>7500</v>
      </c>
      <c r="HI92" s="74">
        <f t="shared" si="3049"/>
        <v>0</v>
      </c>
      <c r="HJ92" s="74">
        <f t="shared" si="3049"/>
        <v>7500</v>
      </c>
      <c r="HK92" s="74">
        <f t="shared" si="3049"/>
        <v>0</v>
      </c>
      <c r="HL92" s="74">
        <f t="shared" si="3049"/>
        <v>-2500</v>
      </c>
      <c r="HM92" s="74">
        <f t="shared" si="3049"/>
        <v>0</v>
      </c>
      <c r="HN92" s="74">
        <f t="shared" si="3049"/>
        <v>7500</v>
      </c>
      <c r="HO92" s="74">
        <f t="shared" si="3049"/>
        <v>0</v>
      </c>
      <c r="HP92" s="74">
        <f t="shared" si="3049"/>
        <v>-2500</v>
      </c>
      <c r="HQ92" s="74">
        <f t="shared" si="3049"/>
        <v>0</v>
      </c>
      <c r="HR92" s="74">
        <f t="shared" si="3049"/>
        <v>1375.61</v>
      </c>
      <c r="HS92" s="74">
        <f t="shared" si="3049"/>
        <v>0</v>
      </c>
      <c r="HT92" s="74">
        <f t="shared" si="3049"/>
        <v>-1375.61</v>
      </c>
      <c r="HU92" s="74">
        <f t="shared" si="3049"/>
        <v>0</v>
      </c>
      <c r="HV92" s="74">
        <f t="shared" si="3049"/>
        <v>1500</v>
      </c>
      <c r="HW92" s="74">
        <f t="shared" si="3049"/>
        <v>0</v>
      </c>
      <c r="HX92" s="74">
        <f t="shared" si="3049"/>
        <v>-2500</v>
      </c>
      <c r="HY92" s="74">
        <f t="shared" si="3049"/>
        <v>0</v>
      </c>
      <c r="HZ92" s="74">
        <f t="shared" ref="HZ92:JE92" si="3050">SUM(HZ425)+HZ306</f>
        <v>26500</v>
      </c>
      <c r="IA92" s="74">
        <f t="shared" si="3050"/>
        <v>0</v>
      </c>
      <c r="IB92" s="74">
        <f t="shared" si="3050"/>
        <v>0</v>
      </c>
      <c r="IC92" s="74">
        <f t="shared" si="3050"/>
        <v>0</v>
      </c>
      <c r="ID92" s="74">
        <f t="shared" si="3050"/>
        <v>0</v>
      </c>
      <c r="IE92" s="792">
        <f t="shared" si="3050"/>
        <v>0</v>
      </c>
      <c r="IF92" s="853">
        <f t="shared" si="3050"/>
        <v>19539.330000000002</v>
      </c>
      <c r="IG92" s="74">
        <f t="shared" si="3050"/>
        <v>19539.330000000002</v>
      </c>
      <c r="IH92" s="575">
        <f t="shared" si="3050"/>
        <v>19539.330000000002</v>
      </c>
      <c r="II92" s="155">
        <f t="shared" si="3050"/>
        <v>0</v>
      </c>
      <c r="IJ92" s="74">
        <f t="shared" si="3050"/>
        <v>0</v>
      </c>
      <c r="IK92" s="74">
        <f t="shared" si="3050"/>
        <v>0</v>
      </c>
      <c r="IL92" s="74">
        <f t="shared" si="3050"/>
        <v>257.17</v>
      </c>
      <c r="IM92" s="74">
        <f t="shared" si="3050"/>
        <v>257.17</v>
      </c>
      <c r="IN92" s="74">
        <f t="shared" si="3050"/>
        <v>257.17</v>
      </c>
      <c r="IO92" s="74">
        <f t="shared" si="3050"/>
        <v>487.2</v>
      </c>
      <c r="IP92" s="74">
        <f t="shared" si="3050"/>
        <v>487.2</v>
      </c>
      <c r="IQ92" s="74">
        <f t="shared" si="3050"/>
        <v>487.2</v>
      </c>
      <c r="IR92" s="74">
        <f t="shared" si="3050"/>
        <v>921.80000000000007</v>
      </c>
      <c r="IS92" s="74">
        <f t="shared" si="3050"/>
        <v>921.80000000000007</v>
      </c>
      <c r="IT92" s="74">
        <f t="shared" si="3050"/>
        <v>921.80000000000007</v>
      </c>
      <c r="IU92" s="74">
        <f t="shared" si="3050"/>
        <v>2833.6899999999996</v>
      </c>
      <c r="IV92" s="74">
        <f t="shared" si="3050"/>
        <v>2833.6899999999996</v>
      </c>
      <c r="IW92" s="74">
        <f t="shared" si="3050"/>
        <v>2833.6899999999996</v>
      </c>
      <c r="IX92" s="74">
        <f t="shared" si="3050"/>
        <v>1238.4400000000005</v>
      </c>
      <c r="IY92" s="74">
        <f t="shared" si="3050"/>
        <v>1238.4400000000005</v>
      </c>
      <c r="IZ92" s="74">
        <f t="shared" si="3050"/>
        <v>1238.4400000000005</v>
      </c>
      <c r="JA92" s="74">
        <f t="shared" si="3050"/>
        <v>1907.17</v>
      </c>
      <c r="JB92" s="74">
        <f t="shared" si="3050"/>
        <v>1907.17</v>
      </c>
      <c r="JC92" s="74">
        <f t="shared" si="3050"/>
        <v>1907.17</v>
      </c>
      <c r="JD92" s="74">
        <f t="shared" si="3050"/>
        <v>3427.95</v>
      </c>
      <c r="JE92" s="74">
        <f t="shared" si="3050"/>
        <v>3427.95</v>
      </c>
      <c r="JF92" s="74">
        <f t="shared" ref="JF92:KB92" si="3051">SUM(JF425)+JF306</f>
        <v>3427.95</v>
      </c>
      <c r="JG92" s="74">
        <f t="shared" si="3051"/>
        <v>3222.58</v>
      </c>
      <c r="JH92" s="74">
        <f t="shared" si="3051"/>
        <v>3222.58</v>
      </c>
      <c r="JI92" s="74">
        <f t="shared" si="3051"/>
        <v>3222.58</v>
      </c>
      <c r="JJ92" s="74">
        <f t="shared" si="3051"/>
        <v>5243.3300000000017</v>
      </c>
      <c r="JK92" s="74">
        <f t="shared" si="3051"/>
        <v>5243.3300000000017</v>
      </c>
      <c r="JL92" s="74">
        <f t="shared" si="3051"/>
        <v>5243.3300000000017</v>
      </c>
      <c r="JM92" s="74">
        <f t="shared" si="3051"/>
        <v>0</v>
      </c>
      <c r="JN92" s="74">
        <f t="shared" si="3051"/>
        <v>0</v>
      </c>
      <c r="JO92" s="74">
        <f t="shared" si="3051"/>
        <v>0</v>
      </c>
      <c r="JP92" s="74">
        <f t="shared" si="3051"/>
        <v>0</v>
      </c>
      <c r="JQ92" s="74">
        <f t="shared" si="3051"/>
        <v>0</v>
      </c>
      <c r="JR92" s="74">
        <f t="shared" si="3051"/>
        <v>0</v>
      </c>
      <c r="JS92" s="74">
        <f t="shared" si="3051"/>
        <v>23460.67</v>
      </c>
      <c r="JT92" s="74">
        <f t="shared" si="3051"/>
        <v>23460.67</v>
      </c>
      <c r="JU92" s="74">
        <f t="shared" si="3051"/>
        <v>0</v>
      </c>
      <c r="JV92" s="74">
        <f t="shared" si="3051"/>
        <v>0</v>
      </c>
      <c r="JW92" s="74">
        <f t="shared" si="3051"/>
        <v>0</v>
      </c>
      <c r="JX92" s="74">
        <f t="shared" si="3051"/>
        <v>43000</v>
      </c>
      <c r="JY92" s="74">
        <f t="shared" si="3051"/>
        <v>0</v>
      </c>
      <c r="JZ92" s="74">
        <f t="shared" si="3051"/>
        <v>19000</v>
      </c>
      <c r="KA92" s="74">
        <f t="shared" si="3051"/>
        <v>-51000</v>
      </c>
      <c r="KB92" s="74">
        <f t="shared" si="3051"/>
        <v>43000</v>
      </c>
      <c r="KC92" s="709">
        <f t="shared" si="2079"/>
        <v>0</v>
      </c>
      <c r="KD92" s="36"/>
      <c r="KE92" s="36"/>
      <c r="KF92" s="36"/>
      <c r="KG92" s="36"/>
      <c r="KH92" s="36"/>
      <c r="KI92" s="36"/>
      <c r="KJ92" s="36"/>
      <c r="KK92" s="36"/>
    </row>
    <row r="93" spans="1:297" s="8" customFormat="1">
      <c r="A93" s="75"/>
      <c r="B93" s="72"/>
      <c r="C93" s="74"/>
      <c r="D93" s="549"/>
      <c r="E93" s="675"/>
      <c r="F93" s="549"/>
      <c r="G93" s="675"/>
      <c r="H93" s="549"/>
      <c r="I93" s="675"/>
      <c r="J93" s="549"/>
      <c r="K93" s="675"/>
      <c r="L93" s="549"/>
      <c r="M93" s="675"/>
      <c r="N93" s="549"/>
      <c r="O93" s="675"/>
      <c r="P93" s="549"/>
      <c r="Q93" s="675"/>
      <c r="R93" s="549"/>
      <c r="S93" s="675"/>
      <c r="T93" s="549"/>
      <c r="U93" s="675"/>
      <c r="V93" s="549"/>
      <c r="W93" s="675"/>
      <c r="X93" s="549"/>
      <c r="Y93" s="675"/>
      <c r="Z93" s="549"/>
      <c r="AA93" s="675"/>
      <c r="AB93" s="549"/>
      <c r="AC93" s="675"/>
      <c r="AD93" s="549"/>
      <c r="AE93" s="675"/>
      <c r="AF93" s="549"/>
      <c r="AG93" s="675"/>
      <c r="AH93" s="549"/>
      <c r="AI93" s="675"/>
      <c r="AJ93" s="549"/>
      <c r="AK93" s="675"/>
      <c r="AL93" s="549"/>
      <c r="AM93" s="675"/>
      <c r="AN93" s="549"/>
      <c r="AO93" s="675"/>
      <c r="AP93" s="549"/>
      <c r="AQ93" s="675"/>
      <c r="AR93" s="549"/>
      <c r="AS93" s="675"/>
      <c r="AT93" s="549"/>
      <c r="AU93" s="675"/>
      <c r="AV93" s="549"/>
      <c r="AW93" s="675"/>
      <c r="AX93" s="549"/>
      <c r="AY93" s="675"/>
      <c r="AZ93" s="549"/>
      <c r="BA93" s="675"/>
      <c r="BB93" s="549"/>
      <c r="BC93" s="675"/>
      <c r="BD93" s="549"/>
      <c r="BE93" s="675"/>
      <c r="BF93" s="549"/>
      <c r="BG93" s="675"/>
      <c r="BH93" s="549"/>
      <c r="BI93" s="675"/>
      <c r="BJ93" s="549"/>
      <c r="BK93" s="675"/>
      <c r="BL93" s="549"/>
      <c r="BM93" s="675"/>
      <c r="BN93" s="549"/>
      <c r="BO93" s="675"/>
      <c r="BP93" s="549"/>
      <c r="BQ93" s="675"/>
      <c r="BR93" s="549"/>
      <c r="BS93" s="675"/>
      <c r="BT93" s="549"/>
      <c r="BU93" s="675"/>
      <c r="BV93" s="549"/>
      <c r="BW93" s="675"/>
      <c r="BX93" s="549"/>
      <c r="BY93" s="675"/>
      <c r="BZ93" s="549"/>
      <c r="CA93" s="675"/>
      <c r="CB93" s="549"/>
      <c r="CC93" s="675"/>
      <c r="CD93" s="549"/>
      <c r="CE93" s="675"/>
      <c r="CF93" s="549"/>
      <c r="CG93" s="675"/>
      <c r="CH93" s="549"/>
      <c r="CI93" s="675"/>
      <c r="CJ93" s="549"/>
      <c r="CK93" s="675"/>
      <c r="CL93" s="549"/>
      <c r="CM93" s="675"/>
      <c r="CN93" s="549"/>
      <c r="CO93" s="675"/>
      <c r="CP93" s="549"/>
      <c r="CQ93" s="675"/>
      <c r="CR93" s="549"/>
      <c r="CS93" s="675"/>
      <c r="CT93" s="549"/>
      <c r="CU93" s="675"/>
      <c r="CV93" s="549"/>
      <c r="CW93" s="675"/>
      <c r="CX93" s="549"/>
      <c r="CY93" s="675"/>
      <c r="CZ93" s="549"/>
      <c r="DA93" s="675"/>
      <c r="DB93" s="549"/>
      <c r="DC93" s="675"/>
      <c r="DD93" s="549"/>
      <c r="DE93" s="675"/>
      <c r="DF93" s="549"/>
      <c r="DG93" s="675"/>
      <c r="DH93" s="549"/>
      <c r="DI93" s="675"/>
      <c r="DJ93" s="549"/>
      <c r="DK93" s="675"/>
      <c r="DL93" s="549"/>
      <c r="DM93" s="675"/>
      <c r="DN93" s="549"/>
      <c r="DO93" s="675"/>
      <c r="DP93" s="549"/>
      <c r="DQ93" s="675"/>
      <c r="DR93" s="549"/>
      <c r="DS93" s="675"/>
      <c r="DT93" s="549"/>
      <c r="DU93" s="675"/>
      <c r="DV93" s="549"/>
      <c r="DW93" s="675"/>
      <c r="DX93" s="549"/>
      <c r="DY93" s="675"/>
      <c r="DZ93" s="549"/>
      <c r="EA93" s="675"/>
      <c r="EB93" s="549"/>
      <c r="EC93" s="675"/>
      <c r="ED93" s="549"/>
      <c r="EE93" s="675"/>
      <c r="EF93" s="549"/>
      <c r="EG93" s="675"/>
      <c r="EH93" s="549"/>
      <c r="EI93" s="675"/>
      <c r="EJ93" s="549"/>
      <c r="EK93" s="675"/>
      <c r="EL93" s="549"/>
      <c r="EM93" s="675"/>
      <c r="EN93" s="549"/>
      <c r="EO93" s="675"/>
      <c r="EP93" s="549"/>
      <c r="EQ93" s="675"/>
      <c r="ER93" s="549"/>
      <c r="ES93" s="675"/>
      <c r="ET93" s="549"/>
      <c r="EU93" s="675"/>
      <c r="EV93" s="549"/>
      <c r="EW93" s="675"/>
      <c r="EX93" s="549"/>
      <c r="EY93" s="675"/>
      <c r="EZ93" s="549"/>
      <c r="FA93" s="675"/>
      <c r="FB93" s="549"/>
      <c r="FC93" s="675"/>
      <c r="FD93" s="549"/>
      <c r="FE93" s="675"/>
      <c r="FF93" s="549"/>
      <c r="FG93" s="675"/>
      <c r="FH93" s="549"/>
      <c r="FI93" s="675"/>
      <c r="FJ93" s="549"/>
      <c r="FK93" s="675"/>
      <c r="FL93" s="549"/>
      <c r="FM93" s="675"/>
      <c r="FN93" s="549"/>
      <c r="FO93" s="675"/>
      <c r="FP93" s="549"/>
      <c r="FQ93" s="675"/>
      <c r="FR93" s="549"/>
      <c r="FS93" s="675"/>
      <c r="FT93" s="549"/>
      <c r="FU93" s="675"/>
      <c r="FV93" s="549"/>
      <c r="FW93" s="675"/>
      <c r="FX93" s="549"/>
      <c r="FY93" s="675"/>
      <c r="FZ93" s="549"/>
      <c r="GA93" s="675"/>
      <c r="GB93" s="549"/>
      <c r="GC93" s="675"/>
      <c r="GD93" s="549"/>
      <c r="GE93" s="675"/>
      <c r="GF93" s="549"/>
      <c r="GG93" s="675"/>
      <c r="GH93" s="549"/>
      <c r="GI93" s="675"/>
      <c r="GJ93" s="549"/>
      <c r="GK93" s="675"/>
      <c r="GL93" s="549"/>
      <c r="GM93" s="675"/>
      <c r="GN93" s="549"/>
      <c r="GO93" s="675"/>
      <c r="GP93" s="74"/>
      <c r="GQ93" s="675"/>
      <c r="GR93" s="74"/>
      <c r="GS93" s="74"/>
      <c r="GT93" s="549"/>
      <c r="GU93" s="74"/>
      <c r="GV93" s="74"/>
      <c r="GW93" s="549"/>
      <c r="GX93" s="549"/>
      <c r="GY93" s="74"/>
      <c r="GZ93" s="74"/>
      <c r="HA93" s="74"/>
      <c r="HB93" s="74"/>
      <c r="HC93" s="74"/>
      <c r="HD93" s="74"/>
      <c r="HE93" s="74"/>
      <c r="HF93" s="74"/>
      <c r="HG93" s="74"/>
      <c r="HH93" s="74"/>
      <c r="HI93" s="74"/>
      <c r="HJ93" s="74"/>
      <c r="HK93" s="74"/>
      <c r="HL93" s="74"/>
      <c r="HM93" s="74"/>
      <c r="HN93" s="74"/>
      <c r="HO93" s="74"/>
      <c r="HP93" s="74"/>
      <c r="HQ93" s="74"/>
      <c r="HR93" s="74"/>
      <c r="HS93" s="74"/>
      <c r="HT93" s="74"/>
      <c r="HU93" s="74"/>
      <c r="HV93" s="74"/>
      <c r="HW93" s="74"/>
      <c r="HX93" s="74"/>
      <c r="HY93" s="74"/>
      <c r="HZ93" s="74"/>
      <c r="IA93" s="74"/>
      <c r="IB93" s="74"/>
      <c r="IC93" s="74"/>
      <c r="ID93" s="74"/>
      <c r="IE93" s="792"/>
      <c r="IF93" s="841"/>
      <c r="IG93" s="263"/>
      <c r="IH93" s="842"/>
      <c r="II93" s="155"/>
      <c r="IJ93" s="74"/>
      <c r="IK93" s="74"/>
      <c r="IL93" s="74"/>
      <c r="IM93" s="74"/>
      <c r="IN93" s="74"/>
      <c r="IO93" s="74"/>
      <c r="IP93" s="74"/>
      <c r="IQ93" s="74"/>
      <c r="IR93" s="74"/>
      <c r="IS93" s="74"/>
      <c r="IT93" s="74"/>
      <c r="IU93" s="74"/>
      <c r="IV93" s="74"/>
      <c r="IW93" s="74"/>
      <c r="IX93" s="74"/>
      <c r="IY93" s="74"/>
      <c r="IZ93" s="74"/>
      <c r="JA93" s="74"/>
      <c r="JB93" s="74"/>
      <c r="JC93" s="74"/>
      <c r="JD93" s="74"/>
      <c r="JE93" s="74"/>
      <c r="JF93" s="74"/>
      <c r="JG93" s="74"/>
      <c r="JH93" s="74"/>
      <c r="JI93" s="74"/>
      <c r="JJ93" s="74"/>
      <c r="JK93" s="74"/>
      <c r="JL93" s="74"/>
      <c r="JM93" s="74"/>
      <c r="JN93" s="74"/>
      <c r="JO93" s="74"/>
      <c r="JP93" s="74"/>
      <c r="JQ93" s="74"/>
      <c r="JR93" s="74"/>
      <c r="JS93" s="74"/>
      <c r="JT93" s="382"/>
      <c r="JU93" s="671"/>
      <c r="JV93" s="492"/>
      <c r="JW93" s="490"/>
      <c r="JX93" s="549"/>
      <c r="JY93" s="549"/>
      <c r="JZ93" s="581">
        <f t="shared" si="2110"/>
        <v>0</v>
      </c>
      <c r="KA93" s="581">
        <f t="shared" si="2111"/>
        <v>0</v>
      </c>
      <c r="KB93" s="549"/>
      <c r="KC93" s="709">
        <f t="shared" si="2079"/>
        <v>0</v>
      </c>
      <c r="KD93" s="36"/>
      <c r="KE93" s="36"/>
      <c r="KF93" s="36"/>
      <c r="KG93" s="36"/>
      <c r="KH93" s="36"/>
      <c r="KI93" s="36"/>
      <c r="KJ93" s="36"/>
      <c r="KK93" s="36"/>
    </row>
    <row r="94" spans="1:297" s="8" customFormat="1">
      <c r="A94" s="75" t="s">
        <v>688</v>
      </c>
      <c r="B94" s="72"/>
      <c r="C94" s="74">
        <f t="shared" ref="C94" si="3052">SUM(C95:C102)</f>
        <v>0</v>
      </c>
      <c r="D94" s="549">
        <f t="shared" ref="D94:E94" si="3053">SUM(D95:D102)</f>
        <v>0</v>
      </c>
      <c r="E94" s="675">
        <f t="shared" si="3053"/>
        <v>0</v>
      </c>
      <c r="F94" s="549">
        <f t="shared" ref="F94:G94" si="3054">SUM(F95:F102)</f>
        <v>0</v>
      </c>
      <c r="G94" s="675">
        <f t="shared" si="3054"/>
        <v>0</v>
      </c>
      <c r="H94" s="549">
        <f t="shared" ref="H94:I94" si="3055">SUM(H95:H102)</f>
        <v>0</v>
      </c>
      <c r="I94" s="675">
        <f t="shared" si="3055"/>
        <v>0</v>
      </c>
      <c r="J94" s="549">
        <f t="shared" ref="J94:K94" si="3056">SUM(J95:J102)</f>
        <v>0</v>
      </c>
      <c r="K94" s="675">
        <f t="shared" si="3056"/>
        <v>0</v>
      </c>
      <c r="L94" s="549">
        <f t="shared" ref="L94:M94" si="3057">SUM(L95:L102)</f>
        <v>0</v>
      </c>
      <c r="M94" s="675">
        <f t="shared" si="3057"/>
        <v>0</v>
      </c>
      <c r="N94" s="549">
        <f t="shared" ref="N94:O94" si="3058">SUM(N95:N102)</f>
        <v>0</v>
      </c>
      <c r="O94" s="675">
        <f t="shared" si="3058"/>
        <v>0</v>
      </c>
      <c r="P94" s="549">
        <f t="shared" ref="P94:Q94" si="3059">SUM(P95:P102)</f>
        <v>0</v>
      </c>
      <c r="Q94" s="675">
        <f t="shared" si="3059"/>
        <v>0</v>
      </c>
      <c r="R94" s="549">
        <f t="shared" ref="R94:S94" si="3060">SUM(R95:R102)</f>
        <v>0</v>
      </c>
      <c r="S94" s="675">
        <f t="shared" si="3060"/>
        <v>0</v>
      </c>
      <c r="T94" s="549">
        <f t="shared" ref="T94:U94" si="3061">SUM(T95:T102)</f>
        <v>0</v>
      </c>
      <c r="U94" s="675">
        <f t="shared" si="3061"/>
        <v>0</v>
      </c>
      <c r="V94" s="549">
        <f t="shared" ref="V94:W94" si="3062">SUM(V95:V102)</f>
        <v>0</v>
      </c>
      <c r="W94" s="675">
        <f t="shared" si="3062"/>
        <v>0</v>
      </c>
      <c r="X94" s="549">
        <f t="shared" ref="X94:Y94" si="3063">SUM(X95:X102)</f>
        <v>0</v>
      </c>
      <c r="Y94" s="675">
        <f t="shared" si="3063"/>
        <v>0</v>
      </c>
      <c r="Z94" s="549">
        <f t="shared" ref="Z94:AA94" si="3064">SUM(Z95:Z102)</f>
        <v>0</v>
      </c>
      <c r="AA94" s="675">
        <f t="shared" si="3064"/>
        <v>0</v>
      </c>
      <c r="AB94" s="549">
        <f t="shared" ref="AB94:AC94" si="3065">SUM(AB95:AB102)</f>
        <v>0</v>
      </c>
      <c r="AC94" s="675">
        <f t="shared" si="3065"/>
        <v>0</v>
      </c>
      <c r="AD94" s="549">
        <f t="shared" ref="AD94:AK94" si="3066">SUM(AD95:AD102)</f>
        <v>0</v>
      </c>
      <c r="AE94" s="675">
        <f t="shared" si="3066"/>
        <v>0</v>
      </c>
      <c r="AF94" s="549">
        <f t="shared" si="3066"/>
        <v>0</v>
      </c>
      <c r="AG94" s="675">
        <f t="shared" si="3066"/>
        <v>0</v>
      </c>
      <c r="AH94" s="549">
        <f t="shared" si="3066"/>
        <v>0</v>
      </c>
      <c r="AI94" s="675">
        <f t="shared" si="3066"/>
        <v>0</v>
      </c>
      <c r="AJ94" s="549">
        <f t="shared" si="3066"/>
        <v>0</v>
      </c>
      <c r="AK94" s="675">
        <f t="shared" si="3066"/>
        <v>0</v>
      </c>
      <c r="AL94" s="549">
        <f t="shared" ref="AL94:AM94" si="3067">SUM(AL95:AL102)</f>
        <v>0</v>
      </c>
      <c r="AM94" s="675">
        <f t="shared" si="3067"/>
        <v>0</v>
      </c>
      <c r="AN94" s="549">
        <f t="shared" ref="AN94:AS94" si="3068">SUM(AN95:AN102)</f>
        <v>0</v>
      </c>
      <c r="AO94" s="675">
        <f t="shared" si="3068"/>
        <v>0</v>
      </c>
      <c r="AP94" s="549">
        <f t="shared" si="3068"/>
        <v>0</v>
      </c>
      <c r="AQ94" s="675">
        <f t="shared" si="3068"/>
        <v>0</v>
      </c>
      <c r="AR94" s="549">
        <f t="shared" si="3068"/>
        <v>0</v>
      </c>
      <c r="AS94" s="675">
        <f t="shared" si="3068"/>
        <v>0</v>
      </c>
      <c r="AT94" s="549">
        <f t="shared" ref="AT94:AU94" si="3069">SUM(AT95:AT102)</f>
        <v>0</v>
      </c>
      <c r="AU94" s="675">
        <f t="shared" si="3069"/>
        <v>0</v>
      </c>
      <c r="AV94" s="549">
        <f t="shared" ref="AV94:AW94" si="3070">SUM(AV95:AV102)</f>
        <v>0</v>
      </c>
      <c r="AW94" s="675">
        <f t="shared" si="3070"/>
        <v>0</v>
      </c>
      <c r="AX94" s="549">
        <f t="shared" ref="AX94:AY94" si="3071">SUM(AX95:AX102)</f>
        <v>0</v>
      </c>
      <c r="AY94" s="675">
        <f t="shared" si="3071"/>
        <v>0</v>
      </c>
      <c r="AZ94" s="549">
        <f t="shared" ref="AZ94:BA94" si="3072">SUM(AZ95:AZ102)</f>
        <v>0</v>
      </c>
      <c r="BA94" s="675">
        <f t="shared" si="3072"/>
        <v>0</v>
      </c>
      <c r="BB94" s="549">
        <f t="shared" ref="BB94:BC94" si="3073">SUM(BB95:BB102)</f>
        <v>0</v>
      </c>
      <c r="BC94" s="675">
        <f t="shared" si="3073"/>
        <v>0</v>
      </c>
      <c r="BD94" s="549">
        <f t="shared" ref="BD94:BE94" si="3074">SUM(BD95:BD102)</f>
        <v>0</v>
      </c>
      <c r="BE94" s="675">
        <f t="shared" si="3074"/>
        <v>0</v>
      </c>
      <c r="BF94" s="549">
        <f t="shared" ref="BF94:BG94" si="3075">SUM(BF95:BF102)</f>
        <v>0</v>
      </c>
      <c r="BG94" s="675">
        <f t="shared" si="3075"/>
        <v>0</v>
      </c>
      <c r="BH94" s="549">
        <f t="shared" ref="BH94:BI94" si="3076">SUM(BH95:BH102)</f>
        <v>0</v>
      </c>
      <c r="BI94" s="675">
        <f t="shared" si="3076"/>
        <v>0</v>
      </c>
      <c r="BJ94" s="549">
        <f t="shared" ref="BJ94:BK94" si="3077">SUM(BJ95:BJ102)</f>
        <v>0</v>
      </c>
      <c r="BK94" s="675">
        <f t="shared" si="3077"/>
        <v>0</v>
      </c>
      <c r="BL94" s="549">
        <f t="shared" ref="BL94:BS94" si="3078">SUM(BL95:BL102)</f>
        <v>3182</v>
      </c>
      <c r="BM94" s="675">
        <f t="shared" si="3078"/>
        <v>0</v>
      </c>
      <c r="BN94" s="549">
        <f t="shared" si="3078"/>
        <v>0</v>
      </c>
      <c r="BO94" s="675">
        <f t="shared" si="3078"/>
        <v>0</v>
      </c>
      <c r="BP94" s="549">
        <f t="shared" si="3078"/>
        <v>0</v>
      </c>
      <c r="BQ94" s="675">
        <f t="shared" si="3078"/>
        <v>0</v>
      </c>
      <c r="BR94" s="549">
        <f t="shared" si="3078"/>
        <v>0</v>
      </c>
      <c r="BS94" s="675">
        <f t="shared" si="3078"/>
        <v>0</v>
      </c>
      <c r="BT94" s="549">
        <f t="shared" ref="BT94:BU94" si="3079">SUM(BT95:BT102)</f>
        <v>0</v>
      </c>
      <c r="BU94" s="675">
        <f t="shared" si="3079"/>
        <v>0</v>
      </c>
      <c r="BV94" s="549">
        <f t="shared" ref="BV94:BW94" si="3080">SUM(BV95:BV102)</f>
        <v>0</v>
      </c>
      <c r="BW94" s="675">
        <f t="shared" si="3080"/>
        <v>0</v>
      </c>
      <c r="BX94" s="549">
        <f t="shared" ref="BX94:BY94" si="3081">SUM(BX95:BX102)</f>
        <v>0</v>
      </c>
      <c r="BY94" s="675">
        <f t="shared" si="3081"/>
        <v>0</v>
      </c>
      <c r="BZ94" s="549">
        <f t="shared" ref="BZ94:CA94" si="3082">SUM(BZ95:BZ102)</f>
        <v>1775</v>
      </c>
      <c r="CA94" s="675">
        <f t="shared" si="3082"/>
        <v>-1775</v>
      </c>
      <c r="CB94" s="549">
        <f t="shared" ref="CB94:CE94" si="3083">SUM(CB95:CB102)</f>
        <v>0</v>
      </c>
      <c r="CC94" s="675">
        <f t="shared" si="3083"/>
        <v>0</v>
      </c>
      <c r="CD94" s="549">
        <f t="shared" si="3083"/>
        <v>0</v>
      </c>
      <c r="CE94" s="675">
        <f t="shared" si="3083"/>
        <v>0</v>
      </c>
      <c r="CF94" s="549">
        <f t="shared" ref="CF94:CQ94" si="3084">SUM(CF95:CF102)</f>
        <v>0</v>
      </c>
      <c r="CG94" s="675">
        <f t="shared" si="3084"/>
        <v>0</v>
      </c>
      <c r="CH94" s="549">
        <f t="shared" si="3084"/>
        <v>0</v>
      </c>
      <c r="CI94" s="675">
        <f t="shared" si="3084"/>
        <v>0</v>
      </c>
      <c r="CJ94" s="549">
        <f t="shared" si="3084"/>
        <v>0</v>
      </c>
      <c r="CK94" s="675">
        <f t="shared" si="3084"/>
        <v>0</v>
      </c>
      <c r="CL94" s="549">
        <f t="shared" si="3084"/>
        <v>0</v>
      </c>
      <c r="CM94" s="675">
        <f t="shared" si="3084"/>
        <v>0</v>
      </c>
      <c r="CN94" s="549">
        <f t="shared" si="3084"/>
        <v>0</v>
      </c>
      <c r="CO94" s="675">
        <f t="shared" si="3084"/>
        <v>0</v>
      </c>
      <c r="CP94" s="549">
        <f t="shared" si="3084"/>
        <v>0</v>
      </c>
      <c r="CQ94" s="675">
        <f t="shared" si="3084"/>
        <v>0</v>
      </c>
      <c r="CR94" s="549">
        <f t="shared" ref="CR94:CY94" si="3085">SUM(CR95:CR102)</f>
        <v>0</v>
      </c>
      <c r="CS94" s="675">
        <f t="shared" si="3085"/>
        <v>0</v>
      </c>
      <c r="CT94" s="549">
        <f t="shared" si="3085"/>
        <v>0</v>
      </c>
      <c r="CU94" s="675">
        <f t="shared" si="3085"/>
        <v>0</v>
      </c>
      <c r="CV94" s="549">
        <f t="shared" si="3085"/>
        <v>0</v>
      </c>
      <c r="CW94" s="675">
        <f t="shared" si="3085"/>
        <v>0</v>
      </c>
      <c r="CX94" s="549">
        <f t="shared" si="3085"/>
        <v>0</v>
      </c>
      <c r="CY94" s="675">
        <f t="shared" si="3085"/>
        <v>0</v>
      </c>
      <c r="CZ94" s="549">
        <f t="shared" ref="CZ94:DG94" si="3086">SUM(CZ95:CZ102)</f>
        <v>0</v>
      </c>
      <c r="DA94" s="675">
        <f t="shared" si="3086"/>
        <v>0</v>
      </c>
      <c r="DB94" s="549">
        <f t="shared" si="3086"/>
        <v>0</v>
      </c>
      <c r="DC94" s="675">
        <f t="shared" si="3086"/>
        <v>0</v>
      </c>
      <c r="DD94" s="549">
        <f t="shared" si="3086"/>
        <v>0</v>
      </c>
      <c r="DE94" s="675">
        <f t="shared" si="3086"/>
        <v>0</v>
      </c>
      <c r="DF94" s="549">
        <f t="shared" si="3086"/>
        <v>0</v>
      </c>
      <c r="DG94" s="675">
        <f t="shared" si="3086"/>
        <v>0</v>
      </c>
      <c r="DH94" s="549">
        <f t="shared" ref="DH94:DM94" si="3087">SUM(DH95:DH102)</f>
        <v>0</v>
      </c>
      <c r="DI94" s="675">
        <f t="shared" si="3087"/>
        <v>0</v>
      </c>
      <c r="DJ94" s="549">
        <f t="shared" si="3087"/>
        <v>0</v>
      </c>
      <c r="DK94" s="675">
        <f t="shared" si="3087"/>
        <v>0</v>
      </c>
      <c r="DL94" s="549">
        <f t="shared" si="3087"/>
        <v>0</v>
      </c>
      <c r="DM94" s="675">
        <f t="shared" si="3087"/>
        <v>0</v>
      </c>
      <c r="DN94" s="549">
        <f t="shared" ref="DN94:DW94" si="3088">SUM(DN95:DN102)</f>
        <v>0</v>
      </c>
      <c r="DO94" s="675">
        <f t="shared" si="3088"/>
        <v>0</v>
      </c>
      <c r="DP94" s="549">
        <f t="shared" si="3088"/>
        <v>0</v>
      </c>
      <c r="DQ94" s="675">
        <f t="shared" si="3088"/>
        <v>0</v>
      </c>
      <c r="DR94" s="549">
        <f t="shared" si="3088"/>
        <v>0</v>
      </c>
      <c r="DS94" s="675">
        <f t="shared" si="3088"/>
        <v>0</v>
      </c>
      <c r="DT94" s="549">
        <f t="shared" si="3088"/>
        <v>0</v>
      </c>
      <c r="DU94" s="675">
        <f t="shared" si="3088"/>
        <v>0</v>
      </c>
      <c r="DV94" s="549">
        <f t="shared" si="3088"/>
        <v>0</v>
      </c>
      <c r="DW94" s="675">
        <f t="shared" si="3088"/>
        <v>0</v>
      </c>
      <c r="DX94" s="549">
        <f t="shared" ref="DX94:EG94" si="3089">SUM(DX95:DX102)</f>
        <v>0</v>
      </c>
      <c r="DY94" s="675">
        <f t="shared" si="3089"/>
        <v>0</v>
      </c>
      <c r="DZ94" s="549">
        <f t="shared" si="3089"/>
        <v>0</v>
      </c>
      <c r="EA94" s="675">
        <f t="shared" si="3089"/>
        <v>0</v>
      </c>
      <c r="EB94" s="549">
        <f t="shared" si="3089"/>
        <v>0</v>
      </c>
      <c r="EC94" s="675">
        <f t="shared" si="3089"/>
        <v>0</v>
      </c>
      <c r="ED94" s="549">
        <f t="shared" si="3089"/>
        <v>0</v>
      </c>
      <c r="EE94" s="675">
        <f t="shared" si="3089"/>
        <v>0</v>
      </c>
      <c r="EF94" s="549">
        <f t="shared" si="3089"/>
        <v>0</v>
      </c>
      <c r="EG94" s="675">
        <f t="shared" si="3089"/>
        <v>0</v>
      </c>
      <c r="EH94" s="549">
        <f t="shared" ref="EH94:EM94" si="3090">SUM(EH95:EH102)</f>
        <v>0</v>
      </c>
      <c r="EI94" s="675">
        <f t="shared" si="3090"/>
        <v>0</v>
      </c>
      <c r="EJ94" s="549">
        <f t="shared" si="3090"/>
        <v>0</v>
      </c>
      <c r="EK94" s="675">
        <f t="shared" si="3090"/>
        <v>0</v>
      </c>
      <c r="EL94" s="549">
        <f t="shared" si="3090"/>
        <v>0</v>
      </c>
      <c r="EM94" s="675">
        <f t="shared" si="3090"/>
        <v>0</v>
      </c>
      <c r="EN94" s="549">
        <f t="shared" ref="EN94:EO94" si="3091">SUM(EN95:EN102)</f>
        <v>0</v>
      </c>
      <c r="EO94" s="675">
        <f t="shared" si="3091"/>
        <v>0</v>
      </c>
      <c r="EP94" s="549">
        <f t="shared" ref="EP94:FA94" si="3092">SUM(EP95:EP102)</f>
        <v>0</v>
      </c>
      <c r="EQ94" s="675">
        <f t="shared" si="3092"/>
        <v>0</v>
      </c>
      <c r="ER94" s="549">
        <f t="shared" si="3092"/>
        <v>0</v>
      </c>
      <c r="ES94" s="675">
        <f t="shared" si="3092"/>
        <v>0</v>
      </c>
      <c r="ET94" s="549">
        <f t="shared" si="3092"/>
        <v>0</v>
      </c>
      <c r="EU94" s="675">
        <f t="shared" si="3092"/>
        <v>0</v>
      </c>
      <c r="EV94" s="549">
        <f t="shared" ref="EV94:EW94" si="3093">SUM(EV95:EV102)</f>
        <v>1803</v>
      </c>
      <c r="EW94" s="675">
        <f t="shared" si="3093"/>
        <v>0</v>
      </c>
      <c r="EX94" s="549">
        <f t="shared" si="3092"/>
        <v>0</v>
      </c>
      <c r="EY94" s="675">
        <f t="shared" si="3092"/>
        <v>0</v>
      </c>
      <c r="EZ94" s="549">
        <f t="shared" si="3092"/>
        <v>0</v>
      </c>
      <c r="FA94" s="675">
        <f t="shared" si="3092"/>
        <v>0</v>
      </c>
      <c r="FB94" s="549">
        <f t="shared" ref="FB94:FC94" si="3094">SUM(FB95:FB102)</f>
        <v>0</v>
      </c>
      <c r="FC94" s="675">
        <f t="shared" si="3094"/>
        <v>0</v>
      </c>
      <c r="FD94" s="549">
        <f t="shared" ref="FD94:FE94" si="3095">SUM(FD95:FD102)</f>
        <v>0</v>
      </c>
      <c r="FE94" s="675">
        <f t="shared" si="3095"/>
        <v>0</v>
      </c>
      <c r="FF94" s="549">
        <f t="shared" ref="FF94:FG94" si="3096">SUM(FF95:FF102)</f>
        <v>1140</v>
      </c>
      <c r="FG94" s="675">
        <f t="shared" si="3096"/>
        <v>0</v>
      </c>
      <c r="FH94" s="549">
        <f t="shared" ref="FH94:FI94" si="3097">SUM(FH95:FH102)</f>
        <v>0</v>
      </c>
      <c r="FI94" s="675">
        <f t="shared" si="3097"/>
        <v>0</v>
      </c>
      <c r="FJ94" s="549">
        <f t="shared" ref="FJ94:FK94" si="3098">SUM(FJ95:FJ102)</f>
        <v>0</v>
      </c>
      <c r="FK94" s="675">
        <f t="shared" si="3098"/>
        <v>0</v>
      </c>
      <c r="FL94" s="549">
        <f t="shared" ref="FL94:FM94" si="3099">SUM(FL95:FL102)</f>
        <v>0</v>
      </c>
      <c r="FM94" s="675">
        <f t="shared" si="3099"/>
        <v>0</v>
      </c>
      <c r="FN94" s="549">
        <f t="shared" ref="FN94:FO94" si="3100">SUM(FN95:FN102)</f>
        <v>0</v>
      </c>
      <c r="FO94" s="675">
        <f t="shared" si="3100"/>
        <v>0</v>
      </c>
      <c r="FP94" s="549">
        <f t="shared" ref="FP94:FQ94" si="3101">SUM(FP95:FP102)</f>
        <v>0</v>
      </c>
      <c r="FQ94" s="675">
        <f t="shared" si="3101"/>
        <v>0</v>
      </c>
      <c r="FR94" s="549">
        <f t="shared" ref="FR94:FS94" si="3102">SUM(FR95:FR102)</f>
        <v>0</v>
      </c>
      <c r="FS94" s="675">
        <f t="shared" si="3102"/>
        <v>0</v>
      </c>
      <c r="FT94" s="549">
        <f t="shared" ref="FT94:FU94" si="3103">SUM(FT95:FT102)</f>
        <v>0</v>
      </c>
      <c r="FU94" s="675">
        <f t="shared" si="3103"/>
        <v>0</v>
      </c>
      <c r="FV94" s="549">
        <f t="shared" ref="FV94:GK94" si="3104">SUM(FV95:FV102)</f>
        <v>0</v>
      </c>
      <c r="FW94" s="675">
        <f t="shared" si="3104"/>
        <v>0</v>
      </c>
      <c r="FX94" s="549">
        <f t="shared" si="3104"/>
        <v>0</v>
      </c>
      <c r="FY94" s="675">
        <f t="shared" si="3104"/>
        <v>0</v>
      </c>
      <c r="FZ94" s="549">
        <f t="shared" ref="FZ94:GI94" si="3105">SUM(FZ95:FZ102)</f>
        <v>0</v>
      </c>
      <c r="GA94" s="675">
        <f t="shared" si="3105"/>
        <v>0</v>
      </c>
      <c r="GB94" s="549">
        <f t="shared" si="3105"/>
        <v>0</v>
      </c>
      <c r="GC94" s="675">
        <f t="shared" si="3105"/>
        <v>0</v>
      </c>
      <c r="GD94" s="549">
        <f t="shared" si="3105"/>
        <v>0</v>
      </c>
      <c r="GE94" s="675">
        <f t="shared" si="3105"/>
        <v>0</v>
      </c>
      <c r="GF94" s="549">
        <f t="shared" si="3105"/>
        <v>0</v>
      </c>
      <c r="GG94" s="675">
        <f t="shared" si="3105"/>
        <v>0</v>
      </c>
      <c r="GH94" s="549">
        <f t="shared" si="3105"/>
        <v>0</v>
      </c>
      <c r="GI94" s="675">
        <f t="shared" si="3105"/>
        <v>0</v>
      </c>
      <c r="GJ94" s="549">
        <f t="shared" si="3104"/>
        <v>0</v>
      </c>
      <c r="GK94" s="675">
        <f t="shared" si="3104"/>
        <v>0</v>
      </c>
      <c r="GL94" s="549">
        <f t="shared" ref="GL94:GQ94" si="3106">SUM(GL95:GL102)</f>
        <v>0</v>
      </c>
      <c r="GM94" s="675">
        <f t="shared" si="3106"/>
        <v>0</v>
      </c>
      <c r="GN94" s="549">
        <f t="shared" ref="GN94:GO94" si="3107">SUM(GN95:GN102)</f>
        <v>0</v>
      </c>
      <c r="GO94" s="675">
        <f t="shared" si="3107"/>
        <v>0</v>
      </c>
      <c r="GP94" s="74">
        <f t="shared" si="3106"/>
        <v>7900</v>
      </c>
      <c r="GQ94" s="675">
        <f t="shared" si="3106"/>
        <v>-1775</v>
      </c>
      <c r="GR94" s="74">
        <f t="shared" ref="GR94:JA94" si="3108">SUM(GR95:GR102)</f>
        <v>6125</v>
      </c>
      <c r="GS94" s="74">
        <f>SUM(GS95:GS102)</f>
        <v>6125</v>
      </c>
      <c r="GT94" s="549">
        <f t="shared" si="3108"/>
        <v>6125</v>
      </c>
      <c r="GU94" s="74">
        <f>SUM(GU95:GU102)</f>
        <v>0</v>
      </c>
      <c r="GV94" s="74">
        <f t="shared" ref="GV94:HA94" si="3109">SUM(GV95:GV102)</f>
        <v>0</v>
      </c>
      <c r="GW94" s="74">
        <f t="shared" si="3109"/>
        <v>0</v>
      </c>
      <c r="GX94" s="74">
        <f t="shared" si="3109"/>
        <v>0</v>
      </c>
      <c r="GY94" s="74">
        <f t="shared" si="3109"/>
        <v>0</v>
      </c>
      <c r="GZ94" s="74">
        <f t="shared" si="3109"/>
        <v>0</v>
      </c>
      <c r="HA94" s="74">
        <f t="shared" si="3109"/>
        <v>0</v>
      </c>
      <c r="HB94" s="74">
        <f t="shared" si="3108"/>
        <v>0</v>
      </c>
      <c r="HC94" s="74">
        <f t="shared" si="3108"/>
        <v>0</v>
      </c>
      <c r="HD94" s="74">
        <f t="shared" si="3108"/>
        <v>0</v>
      </c>
      <c r="HE94" s="74">
        <f t="shared" si="3108"/>
        <v>0</v>
      </c>
      <c r="HF94" s="74">
        <f t="shared" si="3108"/>
        <v>0</v>
      </c>
      <c r="HG94" s="74">
        <f t="shared" si="3108"/>
        <v>6124.5</v>
      </c>
      <c r="HH94" s="74">
        <f t="shared" ref="HH94:HU94" si="3110">SUM(HH95:HH102)</f>
        <v>0</v>
      </c>
      <c r="HI94" s="74">
        <f t="shared" si="3110"/>
        <v>0</v>
      </c>
      <c r="HJ94" s="74">
        <f t="shared" si="3110"/>
        <v>0</v>
      </c>
      <c r="HK94" s="74">
        <f t="shared" si="3110"/>
        <v>0</v>
      </c>
      <c r="HL94" s="74">
        <f t="shared" si="3110"/>
        <v>0</v>
      </c>
      <c r="HM94" s="74">
        <f t="shared" si="3110"/>
        <v>0</v>
      </c>
      <c r="HN94" s="74">
        <f t="shared" si="3110"/>
        <v>0</v>
      </c>
      <c r="HO94" s="74">
        <f t="shared" si="3110"/>
        <v>0</v>
      </c>
      <c r="HP94" s="74">
        <f t="shared" si="3110"/>
        <v>0</v>
      </c>
      <c r="HQ94" s="74">
        <f t="shared" si="3110"/>
        <v>0</v>
      </c>
      <c r="HR94" s="74">
        <f t="shared" si="3110"/>
        <v>1406.5</v>
      </c>
      <c r="HS94" s="74">
        <f t="shared" si="3110"/>
        <v>0</v>
      </c>
      <c r="HT94" s="74">
        <f t="shared" si="3110"/>
        <v>0</v>
      </c>
      <c r="HU94" s="74">
        <f t="shared" si="3110"/>
        <v>0</v>
      </c>
      <c r="HV94" s="74">
        <f t="shared" si="3108"/>
        <v>0</v>
      </c>
      <c r="HW94" s="74">
        <f t="shared" si="3108"/>
        <v>0</v>
      </c>
      <c r="HX94" s="74">
        <f t="shared" si="3108"/>
        <v>3578</v>
      </c>
      <c r="HY94" s="74">
        <f t="shared" si="3108"/>
        <v>0</v>
      </c>
      <c r="HZ94" s="74">
        <f t="shared" si="3108"/>
        <v>1140</v>
      </c>
      <c r="IA94" s="74">
        <f t="shared" si="3108"/>
        <v>0</v>
      </c>
      <c r="IB94" s="74">
        <f t="shared" si="3108"/>
        <v>0</v>
      </c>
      <c r="IC94" s="74">
        <f t="shared" si="3108"/>
        <v>0</v>
      </c>
      <c r="ID94" s="74">
        <f t="shared" si="3108"/>
        <v>0</v>
      </c>
      <c r="IE94" s="792">
        <f t="shared" si="3108"/>
        <v>0</v>
      </c>
      <c r="IF94" s="841">
        <f t="shared" si="3108"/>
        <v>3181.5</v>
      </c>
      <c r="IG94" s="263">
        <f t="shared" si="3108"/>
        <v>3181.5</v>
      </c>
      <c r="IH94" s="842">
        <f t="shared" si="3108"/>
        <v>3181.5</v>
      </c>
      <c r="II94" s="155">
        <f t="shared" si="3108"/>
        <v>0</v>
      </c>
      <c r="IJ94" s="74">
        <f t="shared" si="3108"/>
        <v>0</v>
      </c>
      <c r="IK94" s="74">
        <f t="shared" si="3108"/>
        <v>0</v>
      </c>
      <c r="IL94" s="74">
        <f t="shared" si="3108"/>
        <v>0</v>
      </c>
      <c r="IM94" s="74">
        <f t="shared" si="3108"/>
        <v>0</v>
      </c>
      <c r="IN94" s="74">
        <f t="shared" si="3108"/>
        <v>0</v>
      </c>
      <c r="IO94" s="74">
        <f t="shared" si="3108"/>
        <v>0</v>
      </c>
      <c r="IP94" s="74">
        <f t="shared" si="3108"/>
        <v>0</v>
      </c>
      <c r="IQ94" s="74">
        <f t="shared" si="3108"/>
        <v>0</v>
      </c>
      <c r="IR94" s="74">
        <f t="shared" si="3108"/>
        <v>0</v>
      </c>
      <c r="IS94" s="74">
        <f t="shared" si="3108"/>
        <v>0</v>
      </c>
      <c r="IT94" s="74">
        <f t="shared" si="3108"/>
        <v>0</v>
      </c>
      <c r="IU94" s="74">
        <f t="shared" si="3108"/>
        <v>0</v>
      </c>
      <c r="IV94" s="74">
        <f t="shared" si="3108"/>
        <v>0</v>
      </c>
      <c r="IW94" s="74">
        <f t="shared" si="3108"/>
        <v>0</v>
      </c>
      <c r="IX94" s="74">
        <f t="shared" si="3108"/>
        <v>1406.5</v>
      </c>
      <c r="IY94" s="74">
        <f t="shared" si="3108"/>
        <v>1406.5</v>
      </c>
      <c r="IZ94" s="74">
        <f t="shared" si="3108"/>
        <v>1406.5</v>
      </c>
      <c r="JA94" s="74">
        <f t="shared" si="3108"/>
        <v>0</v>
      </c>
      <c r="JB94" s="74">
        <f t="shared" ref="JB94:JT94" si="3111">SUM(JB95:JB102)</f>
        <v>0</v>
      </c>
      <c r="JC94" s="74">
        <f t="shared" si="3111"/>
        <v>0</v>
      </c>
      <c r="JD94" s="74">
        <f t="shared" si="3111"/>
        <v>0</v>
      </c>
      <c r="JE94" s="74">
        <f t="shared" si="3111"/>
        <v>0</v>
      </c>
      <c r="JF94" s="74">
        <f t="shared" si="3111"/>
        <v>0</v>
      </c>
      <c r="JG94" s="74">
        <f t="shared" si="3111"/>
        <v>1775</v>
      </c>
      <c r="JH94" s="74">
        <f t="shared" si="3111"/>
        <v>1775</v>
      </c>
      <c r="JI94" s="74">
        <f t="shared" si="3111"/>
        <v>1775</v>
      </c>
      <c r="JJ94" s="74">
        <f t="shared" si="3111"/>
        <v>0</v>
      </c>
      <c r="JK94" s="74">
        <f t="shared" si="3111"/>
        <v>0</v>
      </c>
      <c r="JL94" s="74">
        <f t="shared" si="3111"/>
        <v>0</v>
      </c>
      <c r="JM94" s="74">
        <f t="shared" si="3111"/>
        <v>0</v>
      </c>
      <c r="JN94" s="74">
        <f t="shared" si="3111"/>
        <v>0</v>
      </c>
      <c r="JO94" s="74">
        <f t="shared" si="3111"/>
        <v>0</v>
      </c>
      <c r="JP94" s="74">
        <f t="shared" si="3111"/>
        <v>0</v>
      </c>
      <c r="JQ94" s="74">
        <f t="shared" si="3111"/>
        <v>0</v>
      </c>
      <c r="JR94" s="74">
        <f t="shared" si="3111"/>
        <v>0</v>
      </c>
      <c r="JS94" s="74">
        <f t="shared" si="3111"/>
        <v>2943</v>
      </c>
      <c r="JT94" s="102">
        <f t="shared" si="3111"/>
        <v>2943.5</v>
      </c>
      <c r="JU94" s="671"/>
      <c r="JV94" s="492"/>
      <c r="JW94" s="490"/>
      <c r="JX94" s="549">
        <f>SUM(JX95:JX102)</f>
        <v>6124.5</v>
      </c>
      <c r="JY94" s="549">
        <f>SUM(JY95:JY102)</f>
        <v>0</v>
      </c>
      <c r="JZ94" s="581">
        <f t="shared" si="2110"/>
        <v>7900</v>
      </c>
      <c r="KA94" s="581">
        <f t="shared" si="2111"/>
        <v>-1775</v>
      </c>
      <c r="KB94" s="549">
        <f>SUM(KB95:KB102)</f>
        <v>6124.5</v>
      </c>
      <c r="KC94" s="709">
        <f t="shared" si="2079"/>
        <v>0</v>
      </c>
      <c r="KD94" s="36"/>
      <c r="KE94" s="36"/>
      <c r="KF94" s="36"/>
      <c r="KG94" s="36"/>
      <c r="KH94" s="36"/>
      <c r="KI94" s="36"/>
      <c r="KJ94" s="36"/>
      <c r="KK94" s="36"/>
    </row>
    <row r="95" spans="1:297" s="8" customFormat="1" ht="12.75" hidden="1" customHeight="1">
      <c r="A95" s="262" t="s">
        <v>791</v>
      </c>
      <c r="B95" s="72"/>
      <c r="C95" s="74">
        <v>0</v>
      </c>
      <c r="D95" s="549">
        <f t="shared" ref="D95:E95" si="3112">D428</f>
        <v>0</v>
      </c>
      <c r="E95" s="675">
        <f t="shared" si="3112"/>
        <v>0</v>
      </c>
      <c r="F95" s="549">
        <f t="shared" ref="F95:G95" si="3113">F428</f>
        <v>0</v>
      </c>
      <c r="G95" s="675">
        <f t="shared" si="3113"/>
        <v>0</v>
      </c>
      <c r="H95" s="549">
        <f t="shared" ref="H95:M100" si="3114">H428</f>
        <v>0</v>
      </c>
      <c r="I95" s="675">
        <f t="shared" si="3114"/>
        <v>0</v>
      </c>
      <c r="J95" s="549">
        <f t="shared" si="3114"/>
        <v>0</v>
      </c>
      <c r="K95" s="675">
        <f t="shared" si="3114"/>
        <v>0</v>
      </c>
      <c r="L95" s="549">
        <f t="shared" si="3114"/>
        <v>0</v>
      </c>
      <c r="M95" s="675">
        <f t="shared" si="3114"/>
        <v>0</v>
      </c>
      <c r="N95" s="549">
        <f t="shared" ref="N95:Q100" si="3115">N428</f>
        <v>0</v>
      </c>
      <c r="O95" s="675">
        <f t="shared" si="3115"/>
        <v>0</v>
      </c>
      <c r="P95" s="549">
        <f t="shared" si="3115"/>
        <v>0</v>
      </c>
      <c r="Q95" s="675">
        <f t="shared" si="3115"/>
        <v>0</v>
      </c>
      <c r="R95" s="549">
        <f t="shared" ref="R95:U100" si="3116">R428</f>
        <v>0</v>
      </c>
      <c r="S95" s="675">
        <f t="shared" si="3116"/>
        <v>0</v>
      </c>
      <c r="T95" s="549">
        <f t="shared" si="3116"/>
        <v>0</v>
      </c>
      <c r="U95" s="675">
        <f t="shared" si="3116"/>
        <v>0</v>
      </c>
      <c r="V95" s="549">
        <f t="shared" ref="V95:AC100" si="3117">V428</f>
        <v>0</v>
      </c>
      <c r="W95" s="675">
        <f t="shared" si="3117"/>
        <v>0</v>
      </c>
      <c r="X95" s="549">
        <f t="shared" ref="X95:Y100" si="3118">X428</f>
        <v>0</v>
      </c>
      <c r="Y95" s="675">
        <f t="shared" si="3118"/>
        <v>0</v>
      </c>
      <c r="Z95" s="549">
        <f t="shared" si="3117"/>
        <v>0</v>
      </c>
      <c r="AA95" s="675">
        <f t="shared" si="3117"/>
        <v>0</v>
      </c>
      <c r="AB95" s="549">
        <f t="shared" si="3117"/>
        <v>0</v>
      </c>
      <c r="AC95" s="675">
        <f t="shared" si="3117"/>
        <v>0</v>
      </c>
      <c r="AD95" s="549">
        <f t="shared" ref="AD95:AK95" si="3119">AD428</f>
        <v>0</v>
      </c>
      <c r="AE95" s="675">
        <f t="shared" si="3119"/>
        <v>0</v>
      </c>
      <c r="AF95" s="549">
        <f t="shared" si="3119"/>
        <v>0</v>
      </c>
      <c r="AG95" s="675">
        <f t="shared" si="3119"/>
        <v>0</v>
      </c>
      <c r="AH95" s="549">
        <f t="shared" si="3119"/>
        <v>0</v>
      </c>
      <c r="AI95" s="675">
        <f t="shared" si="3119"/>
        <v>0</v>
      </c>
      <c r="AJ95" s="549">
        <f t="shared" si="3119"/>
        <v>0</v>
      </c>
      <c r="AK95" s="675">
        <f t="shared" si="3119"/>
        <v>0</v>
      </c>
      <c r="AL95" s="549">
        <f t="shared" ref="AL95:AM100" si="3120">AL428</f>
        <v>0</v>
      </c>
      <c r="AM95" s="675">
        <f t="shared" si="3120"/>
        <v>0</v>
      </c>
      <c r="AN95" s="549">
        <f t="shared" ref="AN95:AQ100" si="3121">AN428</f>
        <v>0</v>
      </c>
      <c r="AO95" s="675">
        <f t="shared" si="3121"/>
        <v>0</v>
      </c>
      <c r="AP95" s="549">
        <f t="shared" si="3121"/>
        <v>0</v>
      </c>
      <c r="AQ95" s="675">
        <f t="shared" si="3121"/>
        <v>0</v>
      </c>
      <c r="AR95" s="549">
        <f t="shared" ref="AR95:AS100" si="3122">AR428</f>
        <v>0</v>
      </c>
      <c r="AS95" s="675">
        <f t="shared" si="3122"/>
        <v>0</v>
      </c>
      <c r="AT95" s="549">
        <f t="shared" ref="AT95:AU95" si="3123">AT428</f>
        <v>0</v>
      </c>
      <c r="AU95" s="675">
        <f t="shared" si="3123"/>
        <v>0</v>
      </c>
      <c r="AV95" s="549">
        <f t="shared" ref="AV95:AW95" si="3124">AV428</f>
        <v>0</v>
      </c>
      <c r="AW95" s="675">
        <f t="shared" si="3124"/>
        <v>0</v>
      </c>
      <c r="AX95" s="549">
        <f t="shared" ref="AX95:AY95" si="3125">AX428</f>
        <v>0</v>
      </c>
      <c r="AY95" s="675">
        <f t="shared" si="3125"/>
        <v>0</v>
      </c>
      <c r="AZ95" s="549">
        <f t="shared" ref="AZ95:BA95" si="3126">AZ428</f>
        <v>0</v>
      </c>
      <c r="BA95" s="675">
        <f t="shared" si="3126"/>
        <v>0</v>
      </c>
      <c r="BB95" s="549">
        <f t="shared" ref="BB95:BC95" si="3127">BB428</f>
        <v>0</v>
      </c>
      <c r="BC95" s="675">
        <f t="shared" si="3127"/>
        <v>0</v>
      </c>
      <c r="BD95" s="549">
        <f t="shared" ref="BD95:BE95" si="3128">BD428</f>
        <v>0</v>
      </c>
      <c r="BE95" s="675">
        <f t="shared" si="3128"/>
        <v>0</v>
      </c>
      <c r="BF95" s="549">
        <f t="shared" ref="BF95:BG95" si="3129">BF428</f>
        <v>0</v>
      </c>
      <c r="BG95" s="675">
        <f t="shared" si="3129"/>
        <v>0</v>
      </c>
      <c r="BH95" s="549">
        <f t="shared" ref="BH95:BI95" si="3130">BH428</f>
        <v>0</v>
      </c>
      <c r="BI95" s="675">
        <f t="shared" si="3130"/>
        <v>0</v>
      </c>
      <c r="BJ95" s="549">
        <f t="shared" ref="BJ95:BK95" si="3131">BJ428</f>
        <v>0</v>
      </c>
      <c r="BK95" s="675">
        <f t="shared" si="3131"/>
        <v>0</v>
      </c>
      <c r="BL95" s="549">
        <f t="shared" ref="BL95:BS95" si="3132">BL428</f>
        <v>0</v>
      </c>
      <c r="BM95" s="675">
        <f t="shared" si="3132"/>
        <v>0</v>
      </c>
      <c r="BN95" s="549">
        <f t="shared" si="3132"/>
        <v>0</v>
      </c>
      <c r="BO95" s="675">
        <f t="shared" si="3132"/>
        <v>0</v>
      </c>
      <c r="BP95" s="549">
        <f t="shared" si="3132"/>
        <v>0</v>
      </c>
      <c r="BQ95" s="675">
        <f t="shared" si="3132"/>
        <v>0</v>
      </c>
      <c r="BR95" s="549">
        <f t="shared" si="3132"/>
        <v>0</v>
      </c>
      <c r="BS95" s="675">
        <f t="shared" si="3132"/>
        <v>0</v>
      </c>
      <c r="BT95" s="549">
        <f t="shared" ref="BT95:BW100" si="3133">BT428</f>
        <v>0</v>
      </c>
      <c r="BU95" s="675">
        <f t="shared" si="3133"/>
        <v>0</v>
      </c>
      <c r="BV95" s="549">
        <f t="shared" si="3133"/>
        <v>0</v>
      </c>
      <c r="BW95" s="675">
        <f t="shared" si="3133"/>
        <v>0</v>
      </c>
      <c r="BX95" s="549">
        <f t="shared" ref="BX95:BY95" si="3134">BX428</f>
        <v>0</v>
      </c>
      <c r="BY95" s="675">
        <f t="shared" si="3134"/>
        <v>0</v>
      </c>
      <c r="BZ95" s="549">
        <f t="shared" ref="BZ95:CA95" si="3135">BZ428</f>
        <v>0</v>
      </c>
      <c r="CA95" s="675">
        <f t="shared" si="3135"/>
        <v>0</v>
      </c>
      <c r="CB95" s="549">
        <f t="shared" ref="CB95:CE95" si="3136">CB428</f>
        <v>0</v>
      </c>
      <c r="CC95" s="675">
        <f t="shared" si="3136"/>
        <v>0</v>
      </c>
      <c r="CD95" s="549">
        <f t="shared" si="3136"/>
        <v>0</v>
      </c>
      <c r="CE95" s="675">
        <f t="shared" si="3136"/>
        <v>0</v>
      </c>
      <c r="CF95" s="549">
        <f t="shared" ref="CF95:CG100" si="3137">CF428</f>
        <v>0</v>
      </c>
      <c r="CG95" s="675">
        <f t="shared" si="3137"/>
        <v>0</v>
      </c>
      <c r="CH95" s="549">
        <f t="shared" ref="CH95:CQ95" si="3138">CH428</f>
        <v>0</v>
      </c>
      <c r="CI95" s="675">
        <f t="shared" si="3138"/>
        <v>0</v>
      </c>
      <c r="CJ95" s="549">
        <f t="shared" si="3138"/>
        <v>0</v>
      </c>
      <c r="CK95" s="675">
        <f t="shared" si="3138"/>
        <v>0</v>
      </c>
      <c r="CL95" s="549">
        <f t="shared" si="3138"/>
        <v>0</v>
      </c>
      <c r="CM95" s="675">
        <f t="shared" si="3138"/>
        <v>0</v>
      </c>
      <c r="CN95" s="549">
        <f t="shared" si="3138"/>
        <v>0</v>
      </c>
      <c r="CO95" s="675">
        <f t="shared" si="3138"/>
        <v>0</v>
      </c>
      <c r="CP95" s="549">
        <f t="shared" si="3138"/>
        <v>0</v>
      </c>
      <c r="CQ95" s="675">
        <f t="shared" si="3138"/>
        <v>0</v>
      </c>
      <c r="CR95" s="549">
        <f t="shared" ref="CR95:CY100" si="3139">CR428</f>
        <v>0</v>
      </c>
      <c r="CS95" s="675">
        <f t="shared" si="3139"/>
        <v>0</v>
      </c>
      <c r="CT95" s="549">
        <f t="shared" si="3139"/>
        <v>0</v>
      </c>
      <c r="CU95" s="675">
        <f t="shared" si="3139"/>
        <v>0</v>
      </c>
      <c r="CV95" s="549">
        <f t="shared" si="3139"/>
        <v>0</v>
      </c>
      <c r="CW95" s="675">
        <f t="shared" si="3139"/>
        <v>0</v>
      </c>
      <c r="CX95" s="549">
        <f t="shared" si="3139"/>
        <v>0</v>
      </c>
      <c r="CY95" s="675">
        <f t="shared" si="3139"/>
        <v>0</v>
      </c>
      <c r="CZ95" s="549">
        <f t="shared" ref="CZ95:DG100" si="3140">CZ428</f>
        <v>0</v>
      </c>
      <c r="DA95" s="675">
        <f t="shared" si="3140"/>
        <v>0</v>
      </c>
      <c r="DB95" s="549">
        <f t="shared" si="3140"/>
        <v>0</v>
      </c>
      <c r="DC95" s="675">
        <f t="shared" si="3140"/>
        <v>0</v>
      </c>
      <c r="DD95" s="549">
        <f t="shared" ref="DD95:DE100" si="3141">DD428</f>
        <v>0</v>
      </c>
      <c r="DE95" s="675">
        <f t="shared" si="3141"/>
        <v>0</v>
      </c>
      <c r="DF95" s="549">
        <f t="shared" si="3140"/>
        <v>0</v>
      </c>
      <c r="DG95" s="675">
        <f t="shared" si="3140"/>
        <v>0</v>
      </c>
      <c r="DH95" s="549">
        <f t="shared" ref="DH95:DI100" si="3142">DH428</f>
        <v>0</v>
      </c>
      <c r="DI95" s="675">
        <f t="shared" si="3142"/>
        <v>0</v>
      </c>
      <c r="DJ95" s="549">
        <f t="shared" ref="DJ95:DM100" si="3143">DJ428</f>
        <v>0</v>
      </c>
      <c r="DK95" s="675">
        <f t="shared" si="3143"/>
        <v>0</v>
      </c>
      <c r="DL95" s="549">
        <f t="shared" si="3143"/>
        <v>0</v>
      </c>
      <c r="DM95" s="675">
        <f t="shared" si="3143"/>
        <v>0</v>
      </c>
      <c r="DN95" s="549">
        <f t="shared" ref="DN95:DO100" si="3144">DN428</f>
        <v>0</v>
      </c>
      <c r="DO95" s="675">
        <f t="shared" si="3144"/>
        <v>0</v>
      </c>
      <c r="DP95" s="549">
        <f t="shared" ref="DP95:DU95" si="3145">DP428</f>
        <v>0</v>
      </c>
      <c r="DQ95" s="675">
        <f t="shared" si="3145"/>
        <v>0</v>
      </c>
      <c r="DR95" s="549">
        <f t="shared" si="3145"/>
        <v>0</v>
      </c>
      <c r="DS95" s="675">
        <f t="shared" si="3145"/>
        <v>0</v>
      </c>
      <c r="DT95" s="549">
        <f t="shared" si="3145"/>
        <v>0</v>
      </c>
      <c r="DU95" s="675">
        <f t="shared" si="3145"/>
        <v>0</v>
      </c>
      <c r="DV95" s="549">
        <f t="shared" ref="DV95:DW100" si="3146">DV428</f>
        <v>0</v>
      </c>
      <c r="DW95" s="675">
        <f t="shared" si="3146"/>
        <v>0</v>
      </c>
      <c r="DX95" s="549">
        <f t="shared" ref="DX95:EG95" si="3147">DX428</f>
        <v>0</v>
      </c>
      <c r="DY95" s="675">
        <f t="shared" si="3147"/>
        <v>0</v>
      </c>
      <c r="DZ95" s="549">
        <f t="shared" si="3147"/>
        <v>0</v>
      </c>
      <c r="EA95" s="675">
        <f t="shared" si="3147"/>
        <v>0</v>
      </c>
      <c r="EB95" s="549">
        <f t="shared" si="3147"/>
        <v>0</v>
      </c>
      <c r="EC95" s="675">
        <f t="shared" si="3147"/>
        <v>0</v>
      </c>
      <c r="ED95" s="549">
        <f t="shared" si="3147"/>
        <v>0</v>
      </c>
      <c r="EE95" s="675">
        <f t="shared" si="3147"/>
        <v>0</v>
      </c>
      <c r="EF95" s="549">
        <f t="shared" si="3147"/>
        <v>0</v>
      </c>
      <c r="EG95" s="675">
        <f t="shared" si="3147"/>
        <v>0</v>
      </c>
      <c r="EH95" s="549">
        <f t="shared" ref="EH95:EM95" si="3148">EH428</f>
        <v>0</v>
      </c>
      <c r="EI95" s="675">
        <f t="shared" si="3148"/>
        <v>0</v>
      </c>
      <c r="EJ95" s="549">
        <f t="shared" si="3148"/>
        <v>0</v>
      </c>
      <c r="EK95" s="675">
        <f t="shared" si="3148"/>
        <v>0</v>
      </c>
      <c r="EL95" s="549">
        <f t="shared" si="3148"/>
        <v>0</v>
      </c>
      <c r="EM95" s="675">
        <f t="shared" si="3148"/>
        <v>0</v>
      </c>
      <c r="EN95" s="549">
        <f t="shared" ref="EN95:EO100" si="3149">EN428</f>
        <v>0</v>
      </c>
      <c r="EO95" s="675">
        <f t="shared" si="3149"/>
        <v>0</v>
      </c>
      <c r="EP95" s="549">
        <f t="shared" ref="EP95:EU95" si="3150">EP428</f>
        <v>0</v>
      </c>
      <c r="EQ95" s="675">
        <f t="shared" si="3150"/>
        <v>0</v>
      </c>
      <c r="ER95" s="549">
        <f t="shared" si="3150"/>
        <v>0</v>
      </c>
      <c r="ES95" s="675">
        <f t="shared" si="3150"/>
        <v>0</v>
      </c>
      <c r="ET95" s="549">
        <f t="shared" si="3150"/>
        <v>0</v>
      </c>
      <c r="EU95" s="675">
        <f t="shared" si="3150"/>
        <v>0</v>
      </c>
      <c r="EV95" s="549">
        <f t="shared" ref="EV95:GQ95" si="3151">EV428</f>
        <v>0</v>
      </c>
      <c r="EW95" s="675">
        <f t="shared" si="3151"/>
        <v>0</v>
      </c>
      <c r="EX95" s="549">
        <f t="shared" si="3151"/>
        <v>0</v>
      </c>
      <c r="EY95" s="675">
        <f t="shared" si="3151"/>
        <v>0</v>
      </c>
      <c r="EZ95" s="549">
        <f t="shared" si="3151"/>
        <v>0</v>
      </c>
      <c r="FA95" s="675">
        <f t="shared" si="3151"/>
        <v>0</v>
      </c>
      <c r="FB95" s="549">
        <f t="shared" si="3151"/>
        <v>0</v>
      </c>
      <c r="FC95" s="675">
        <f t="shared" si="3151"/>
        <v>0</v>
      </c>
      <c r="FD95" s="549">
        <f t="shared" si="3151"/>
        <v>0</v>
      </c>
      <c r="FE95" s="675">
        <f t="shared" si="3151"/>
        <v>0</v>
      </c>
      <c r="FF95" s="549">
        <f t="shared" ref="FF95:FG95" si="3152">FF428</f>
        <v>0</v>
      </c>
      <c r="FG95" s="675">
        <f t="shared" si="3152"/>
        <v>0</v>
      </c>
      <c r="FH95" s="549">
        <f t="shared" ref="FH95:FI95" si="3153">FH428</f>
        <v>0</v>
      </c>
      <c r="FI95" s="675">
        <f t="shared" si="3153"/>
        <v>0</v>
      </c>
      <c r="FJ95" s="549">
        <f t="shared" ref="FJ95:FK95" si="3154">FJ428</f>
        <v>0</v>
      </c>
      <c r="FK95" s="675">
        <f t="shared" si="3154"/>
        <v>0</v>
      </c>
      <c r="FL95" s="549">
        <f t="shared" ref="FL95:FM95" si="3155">FL428</f>
        <v>0</v>
      </c>
      <c r="FM95" s="675">
        <f t="shared" si="3155"/>
        <v>0</v>
      </c>
      <c r="FN95" s="549">
        <f t="shared" ref="FN95:FO95" si="3156">FN428</f>
        <v>0</v>
      </c>
      <c r="FO95" s="675">
        <f t="shared" si="3156"/>
        <v>0</v>
      </c>
      <c r="FP95" s="549">
        <f t="shared" ref="FP95:FQ95" si="3157">FP428</f>
        <v>0</v>
      </c>
      <c r="FQ95" s="675">
        <f t="shared" si="3157"/>
        <v>0</v>
      </c>
      <c r="FR95" s="549">
        <f t="shared" ref="FR95:FS95" si="3158">FR428</f>
        <v>0</v>
      </c>
      <c r="FS95" s="675">
        <f t="shared" si="3158"/>
        <v>0</v>
      </c>
      <c r="FT95" s="549">
        <f t="shared" ref="FT95:FU95" si="3159">FT428</f>
        <v>0</v>
      </c>
      <c r="FU95" s="675">
        <f t="shared" si="3159"/>
        <v>0</v>
      </c>
      <c r="FV95" s="549">
        <f t="shared" ref="FV95:GK95" si="3160">FV428</f>
        <v>0</v>
      </c>
      <c r="FW95" s="675">
        <f t="shared" si="3160"/>
        <v>0</v>
      </c>
      <c r="FX95" s="549">
        <f t="shared" si="3160"/>
        <v>0</v>
      </c>
      <c r="FY95" s="675">
        <f t="shared" si="3160"/>
        <v>0</v>
      </c>
      <c r="FZ95" s="549">
        <f t="shared" ref="FZ95:GI95" si="3161">FZ428</f>
        <v>0</v>
      </c>
      <c r="GA95" s="675">
        <f t="shared" si="3161"/>
        <v>0</v>
      </c>
      <c r="GB95" s="549">
        <f t="shared" si="3161"/>
        <v>0</v>
      </c>
      <c r="GC95" s="675">
        <f t="shared" si="3161"/>
        <v>0</v>
      </c>
      <c r="GD95" s="549">
        <f t="shared" si="3161"/>
        <v>0</v>
      </c>
      <c r="GE95" s="675">
        <f t="shared" si="3161"/>
        <v>0</v>
      </c>
      <c r="GF95" s="549">
        <f t="shared" si="3161"/>
        <v>0</v>
      </c>
      <c r="GG95" s="675">
        <f t="shared" si="3161"/>
        <v>0</v>
      </c>
      <c r="GH95" s="549">
        <f t="shared" si="3161"/>
        <v>0</v>
      </c>
      <c r="GI95" s="675">
        <f t="shared" si="3161"/>
        <v>0</v>
      </c>
      <c r="GJ95" s="549">
        <f t="shared" si="3160"/>
        <v>0</v>
      </c>
      <c r="GK95" s="675">
        <f t="shared" si="3160"/>
        <v>0</v>
      </c>
      <c r="GL95" s="549">
        <f t="shared" ref="GL95:GM95" si="3162">GL428</f>
        <v>0</v>
      </c>
      <c r="GM95" s="675">
        <f t="shared" si="3162"/>
        <v>0</v>
      </c>
      <c r="GN95" s="549">
        <f t="shared" ref="GN95:GO95" si="3163">GN428</f>
        <v>0</v>
      </c>
      <c r="GO95" s="675">
        <f t="shared" si="3163"/>
        <v>0</v>
      </c>
      <c r="GP95" s="74">
        <f t="shared" si="3151"/>
        <v>0</v>
      </c>
      <c r="GQ95" s="675">
        <f t="shared" si="3151"/>
        <v>0</v>
      </c>
      <c r="GR95" s="74">
        <f t="shared" ref="GR95:HD95" si="3164">GR428</f>
        <v>0</v>
      </c>
      <c r="GS95" s="74">
        <f t="shared" si="3164"/>
        <v>0</v>
      </c>
      <c r="GT95" s="549">
        <f t="shared" si="3164"/>
        <v>0</v>
      </c>
      <c r="GU95" s="74">
        <f t="shared" si="3164"/>
        <v>0</v>
      </c>
      <c r="GV95" s="74">
        <f t="shared" si="3164"/>
        <v>0</v>
      </c>
      <c r="GW95" s="549">
        <f t="shared" si="3164"/>
        <v>0</v>
      </c>
      <c r="GX95" s="549">
        <f t="shared" si="3164"/>
        <v>0</v>
      </c>
      <c r="GY95" s="74">
        <f t="shared" si="3164"/>
        <v>0</v>
      </c>
      <c r="GZ95" s="74">
        <f t="shared" si="3164"/>
        <v>0</v>
      </c>
      <c r="HA95" s="74">
        <f t="shared" si="3164"/>
        <v>0</v>
      </c>
      <c r="HB95" s="74">
        <f t="shared" si="3164"/>
        <v>0</v>
      </c>
      <c r="HC95" s="74">
        <f t="shared" si="3164"/>
        <v>0</v>
      </c>
      <c r="HD95" s="74">
        <f t="shared" si="3164"/>
        <v>0</v>
      </c>
      <c r="HE95" s="74">
        <f t="shared" ref="HE95:IJ95" si="3165">HE428</f>
        <v>0</v>
      </c>
      <c r="HF95" s="74">
        <f t="shared" si="3165"/>
        <v>0</v>
      </c>
      <c r="HG95" s="74">
        <f t="shared" si="3165"/>
        <v>0</v>
      </c>
      <c r="HH95" s="74">
        <f t="shared" ref="HH95:HU95" si="3166">HH428</f>
        <v>0</v>
      </c>
      <c r="HI95" s="74">
        <f t="shared" si="3166"/>
        <v>0</v>
      </c>
      <c r="HJ95" s="74">
        <f t="shared" si="3166"/>
        <v>0</v>
      </c>
      <c r="HK95" s="74">
        <f t="shared" si="3166"/>
        <v>0</v>
      </c>
      <c r="HL95" s="74">
        <f t="shared" si="3166"/>
        <v>0</v>
      </c>
      <c r="HM95" s="74">
        <f t="shared" si="3166"/>
        <v>0</v>
      </c>
      <c r="HN95" s="74">
        <f t="shared" si="3166"/>
        <v>0</v>
      </c>
      <c r="HO95" s="74">
        <f t="shared" si="3166"/>
        <v>0</v>
      </c>
      <c r="HP95" s="74">
        <f t="shared" si="3166"/>
        <v>0</v>
      </c>
      <c r="HQ95" s="74">
        <f t="shared" si="3166"/>
        <v>0</v>
      </c>
      <c r="HR95" s="74">
        <f t="shared" si="3166"/>
        <v>0</v>
      </c>
      <c r="HS95" s="74">
        <f t="shared" si="3166"/>
        <v>0</v>
      </c>
      <c r="HT95" s="74">
        <f t="shared" si="3166"/>
        <v>0</v>
      </c>
      <c r="HU95" s="74">
        <f t="shared" si="3166"/>
        <v>0</v>
      </c>
      <c r="HV95" s="74">
        <f t="shared" si="3165"/>
        <v>0</v>
      </c>
      <c r="HW95" s="74">
        <f t="shared" si="3165"/>
        <v>0</v>
      </c>
      <c r="HX95" s="74">
        <f t="shared" si="3165"/>
        <v>0</v>
      </c>
      <c r="HY95" s="74">
        <f t="shared" si="3165"/>
        <v>0</v>
      </c>
      <c r="HZ95" s="74">
        <f t="shared" si="3165"/>
        <v>0</v>
      </c>
      <c r="IA95" s="74">
        <f t="shared" si="3165"/>
        <v>0</v>
      </c>
      <c r="IB95" s="74">
        <f t="shared" si="3165"/>
        <v>0</v>
      </c>
      <c r="IC95" s="74">
        <f t="shared" si="3165"/>
        <v>0</v>
      </c>
      <c r="ID95" s="74">
        <f t="shared" si="3165"/>
        <v>0</v>
      </c>
      <c r="IE95" s="792">
        <f t="shared" si="3165"/>
        <v>0</v>
      </c>
      <c r="IF95" s="841">
        <f t="shared" si="3165"/>
        <v>0</v>
      </c>
      <c r="IG95" s="263">
        <f t="shared" si="3165"/>
        <v>0</v>
      </c>
      <c r="IH95" s="842">
        <f t="shared" si="3165"/>
        <v>0</v>
      </c>
      <c r="II95" s="155">
        <f t="shared" si="3165"/>
        <v>0</v>
      </c>
      <c r="IJ95" s="74">
        <f t="shared" si="3165"/>
        <v>0</v>
      </c>
      <c r="IK95" s="74">
        <f t="shared" ref="IK95:JB95" si="3167">IK428</f>
        <v>0</v>
      </c>
      <c r="IL95" s="74">
        <f t="shared" si="3167"/>
        <v>0</v>
      </c>
      <c r="IM95" s="74">
        <f t="shared" si="3167"/>
        <v>0</v>
      </c>
      <c r="IN95" s="74">
        <f t="shared" si="3167"/>
        <v>0</v>
      </c>
      <c r="IO95" s="74">
        <f t="shared" si="3167"/>
        <v>0</v>
      </c>
      <c r="IP95" s="74">
        <f t="shared" si="3167"/>
        <v>0</v>
      </c>
      <c r="IQ95" s="74">
        <f t="shared" si="3167"/>
        <v>0</v>
      </c>
      <c r="IR95" s="74">
        <f t="shared" si="3167"/>
        <v>0</v>
      </c>
      <c r="IS95" s="74">
        <f t="shared" si="3167"/>
        <v>0</v>
      </c>
      <c r="IT95" s="74">
        <f t="shared" si="3167"/>
        <v>0</v>
      </c>
      <c r="IU95" s="74">
        <f t="shared" si="3167"/>
        <v>0</v>
      </c>
      <c r="IV95" s="74">
        <f t="shared" si="3167"/>
        <v>0</v>
      </c>
      <c r="IW95" s="74">
        <f t="shared" si="3167"/>
        <v>0</v>
      </c>
      <c r="IX95" s="74">
        <f t="shared" si="3167"/>
        <v>0</v>
      </c>
      <c r="IY95" s="74">
        <f t="shared" si="3167"/>
        <v>0</v>
      </c>
      <c r="IZ95" s="74">
        <f t="shared" si="3167"/>
        <v>0</v>
      </c>
      <c r="JA95" s="74">
        <f t="shared" si="3167"/>
        <v>0</v>
      </c>
      <c r="JB95" s="74">
        <f t="shared" si="3167"/>
        <v>0</v>
      </c>
      <c r="JC95" s="74">
        <f t="shared" ref="JC95:JT95" si="3168">JC428</f>
        <v>0</v>
      </c>
      <c r="JD95" s="74">
        <f t="shared" si="3168"/>
        <v>0</v>
      </c>
      <c r="JE95" s="74">
        <f t="shared" si="3168"/>
        <v>0</v>
      </c>
      <c r="JF95" s="74">
        <f t="shared" si="3168"/>
        <v>0</v>
      </c>
      <c r="JG95" s="74">
        <f t="shared" si="3168"/>
        <v>0</v>
      </c>
      <c r="JH95" s="74">
        <f t="shared" si="3168"/>
        <v>0</v>
      </c>
      <c r="JI95" s="74">
        <f t="shared" si="3168"/>
        <v>0</v>
      </c>
      <c r="JJ95" s="74">
        <f t="shared" si="3168"/>
        <v>0</v>
      </c>
      <c r="JK95" s="74">
        <f t="shared" si="3168"/>
        <v>0</v>
      </c>
      <c r="JL95" s="74">
        <f t="shared" si="3168"/>
        <v>0</v>
      </c>
      <c r="JM95" s="74">
        <f t="shared" si="3168"/>
        <v>0</v>
      </c>
      <c r="JN95" s="74">
        <f t="shared" si="3168"/>
        <v>0</v>
      </c>
      <c r="JO95" s="74">
        <f t="shared" si="3168"/>
        <v>0</v>
      </c>
      <c r="JP95" s="74">
        <f t="shared" si="3168"/>
        <v>0</v>
      </c>
      <c r="JQ95" s="74">
        <f t="shared" si="3168"/>
        <v>0</v>
      </c>
      <c r="JR95" s="74">
        <f t="shared" si="3168"/>
        <v>0</v>
      </c>
      <c r="JS95" s="74">
        <f t="shared" si="3168"/>
        <v>0</v>
      </c>
      <c r="JT95" s="102">
        <f t="shared" si="3168"/>
        <v>0</v>
      </c>
      <c r="JU95" s="671"/>
      <c r="JV95" s="492"/>
      <c r="JW95" s="490"/>
      <c r="JX95" s="549">
        <f t="shared" ref="JX95:KB100" si="3169">JX428</f>
        <v>0</v>
      </c>
      <c r="JY95" s="549">
        <f t="shared" si="3169"/>
        <v>0</v>
      </c>
      <c r="JZ95" s="581">
        <f t="shared" si="2110"/>
        <v>0</v>
      </c>
      <c r="KA95" s="581">
        <f t="shared" si="2111"/>
        <v>0</v>
      </c>
      <c r="KB95" s="549">
        <f t="shared" si="3169"/>
        <v>0</v>
      </c>
      <c r="KC95" s="709">
        <f t="shared" si="2079"/>
        <v>0</v>
      </c>
      <c r="KD95" s="36"/>
      <c r="KE95" s="36"/>
      <c r="KF95" s="36"/>
      <c r="KG95" s="36"/>
      <c r="KH95" s="36"/>
      <c r="KI95" s="36"/>
      <c r="KJ95" s="36"/>
      <c r="KK95" s="36"/>
    </row>
    <row r="96" spans="1:297" s="8" customFormat="1" ht="12.75" customHeight="1">
      <c r="A96" s="262" t="s">
        <v>792</v>
      </c>
      <c r="B96" s="72"/>
      <c r="C96" s="74">
        <v>0</v>
      </c>
      <c r="D96" s="549">
        <f t="shared" ref="D96:E96" si="3170">D429</f>
        <v>0</v>
      </c>
      <c r="E96" s="675">
        <f t="shared" si="3170"/>
        <v>0</v>
      </c>
      <c r="F96" s="549">
        <f t="shared" ref="F96:G96" si="3171">F429</f>
        <v>0</v>
      </c>
      <c r="G96" s="675">
        <f t="shared" si="3171"/>
        <v>0</v>
      </c>
      <c r="H96" s="549">
        <f t="shared" si="3114"/>
        <v>0</v>
      </c>
      <c r="I96" s="675">
        <f t="shared" si="3114"/>
        <v>0</v>
      </c>
      <c r="J96" s="549">
        <f t="shared" si="3114"/>
        <v>0</v>
      </c>
      <c r="K96" s="675">
        <f t="shared" si="3114"/>
        <v>0</v>
      </c>
      <c r="L96" s="549">
        <f t="shared" si="3114"/>
        <v>0</v>
      </c>
      <c r="M96" s="675">
        <f t="shared" si="3114"/>
        <v>0</v>
      </c>
      <c r="N96" s="549">
        <f t="shared" si="3115"/>
        <v>0</v>
      </c>
      <c r="O96" s="675">
        <f t="shared" si="3115"/>
        <v>0</v>
      </c>
      <c r="P96" s="549">
        <f t="shared" si="3115"/>
        <v>0</v>
      </c>
      <c r="Q96" s="675">
        <f t="shared" si="3115"/>
        <v>0</v>
      </c>
      <c r="R96" s="549">
        <f t="shared" si="3116"/>
        <v>0</v>
      </c>
      <c r="S96" s="675">
        <f t="shared" si="3116"/>
        <v>0</v>
      </c>
      <c r="T96" s="549">
        <f t="shared" si="3116"/>
        <v>0</v>
      </c>
      <c r="U96" s="675">
        <f t="shared" si="3116"/>
        <v>0</v>
      </c>
      <c r="V96" s="549">
        <f t="shared" si="3117"/>
        <v>0</v>
      </c>
      <c r="W96" s="675">
        <f t="shared" si="3117"/>
        <v>0</v>
      </c>
      <c r="X96" s="549">
        <f t="shared" si="3118"/>
        <v>0</v>
      </c>
      <c r="Y96" s="675">
        <f t="shared" si="3118"/>
        <v>0</v>
      </c>
      <c r="Z96" s="549">
        <f t="shared" si="3117"/>
        <v>0</v>
      </c>
      <c r="AA96" s="675">
        <f t="shared" si="3117"/>
        <v>0</v>
      </c>
      <c r="AB96" s="549">
        <f t="shared" si="3117"/>
        <v>0</v>
      </c>
      <c r="AC96" s="675">
        <f t="shared" si="3117"/>
        <v>0</v>
      </c>
      <c r="AD96" s="549">
        <f t="shared" ref="AD96:AK96" si="3172">AD429</f>
        <v>0</v>
      </c>
      <c r="AE96" s="675">
        <f t="shared" si="3172"/>
        <v>0</v>
      </c>
      <c r="AF96" s="549">
        <f t="shared" si="3172"/>
        <v>0</v>
      </c>
      <c r="AG96" s="675">
        <f t="shared" si="3172"/>
        <v>0</v>
      </c>
      <c r="AH96" s="549">
        <f t="shared" si="3172"/>
        <v>0</v>
      </c>
      <c r="AI96" s="675">
        <f t="shared" si="3172"/>
        <v>0</v>
      </c>
      <c r="AJ96" s="549">
        <f t="shared" si="3172"/>
        <v>0</v>
      </c>
      <c r="AK96" s="675">
        <f t="shared" si="3172"/>
        <v>0</v>
      </c>
      <c r="AL96" s="549">
        <f t="shared" si="3120"/>
        <v>0</v>
      </c>
      <c r="AM96" s="675">
        <f t="shared" si="3120"/>
        <v>0</v>
      </c>
      <c r="AN96" s="549">
        <f t="shared" si="3121"/>
        <v>0</v>
      </c>
      <c r="AO96" s="675">
        <f t="shared" si="3121"/>
        <v>0</v>
      </c>
      <c r="AP96" s="549">
        <f t="shared" si="3121"/>
        <v>0</v>
      </c>
      <c r="AQ96" s="675">
        <f t="shared" si="3121"/>
        <v>0</v>
      </c>
      <c r="AR96" s="549">
        <f t="shared" si="3122"/>
        <v>0</v>
      </c>
      <c r="AS96" s="675">
        <f t="shared" si="3122"/>
        <v>0</v>
      </c>
      <c r="AT96" s="549">
        <f t="shared" ref="AT96:AU96" si="3173">AT429</f>
        <v>0</v>
      </c>
      <c r="AU96" s="675">
        <f t="shared" si="3173"/>
        <v>0</v>
      </c>
      <c r="AV96" s="549">
        <f t="shared" ref="AV96:AW96" si="3174">AV429</f>
        <v>0</v>
      </c>
      <c r="AW96" s="675">
        <f t="shared" si="3174"/>
        <v>0</v>
      </c>
      <c r="AX96" s="549">
        <f t="shared" ref="AX96:AY96" si="3175">AX429</f>
        <v>0</v>
      </c>
      <c r="AY96" s="675">
        <f t="shared" si="3175"/>
        <v>0</v>
      </c>
      <c r="AZ96" s="549">
        <f t="shared" ref="AZ96:BA96" si="3176">AZ429</f>
        <v>0</v>
      </c>
      <c r="BA96" s="675">
        <f t="shared" si="3176"/>
        <v>0</v>
      </c>
      <c r="BB96" s="549">
        <f t="shared" ref="BB96:BC96" si="3177">BB429</f>
        <v>0</v>
      </c>
      <c r="BC96" s="675">
        <f t="shared" si="3177"/>
        <v>0</v>
      </c>
      <c r="BD96" s="549">
        <f t="shared" ref="BD96:BE96" si="3178">BD429</f>
        <v>0</v>
      </c>
      <c r="BE96" s="675">
        <f t="shared" si="3178"/>
        <v>0</v>
      </c>
      <c r="BF96" s="549">
        <f t="shared" ref="BF96:BG96" si="3179">BF429</f>
        <v>0</v>
      </c>
      <c r="BG96" s="675">
        <f t="shared" si="3179"/>
        <v>0</v>
      </c>
      <c r="BH96" s="549">
        <f t="shared" ref="BH96:BI96" si="3180">BH429</f>
        <v>0</v>
      </c>
      <c r="BI96" s="675">
        <f t="shared" si="3180"/>
        <v>0</v>
      </c>
      <c r="BJ96" s="549">
        <f t="shared" ref="BJ96:BK96" si="3181">BJ429</f>
        <v>0</v>
      </c>
      <c r="BK96" s="675">
        <f t="shared" si="3181"/>
        <v>0</v>
      </c>
      <c r="BL96" s="549">
        <f t="shared" ref="BL96:BS96" si="3182">BL429</f>
        <v>0</v>
      </c>
      <c r="BM96" s="675">
        <f t="shared" si="3182"/>
        <v>0</v>
      </c>
      <c r="BN96" s="549">
        <f t="shared" si="3182"/>
        <v>0</v>
      </c>
      <c r="BO96" s="675">
        <f t="shared" si="3182"/>
        <v>0</v>
      </c>
      <c r="BP96" s="549">
        <f t="shared" si="3182"/>
        <v>0</v>
      </c>
      <c r="BQ96" s="675">
        <f t="shared" si="3182"/>
        <v>0</v>
      </c>
      <c r="BR96" s="549">
        <f t="shared" si="3182"/>
        <v>0</v>
      </c>
      <c r="BS96" s="675">
        <f t="shared" si="3182"/>
        <v>0</v>
      </c>
      <c r="BT96" s="549">
        <f t="shared" si="3133"/>
        <v>0</v>
      </c>
      <c r="BU96" s="675">
        <f t="shared" si="3133"/>
        <v>0</v>
      </c>
      <c r="BV96" s="549">
        <f t="shared" si="3133"/>
        <v>0</v>
      </c>
      <c r="BW96" s="675">
        <f t="shared" si="3133"/>
        <v>0</v>
      </c>
      <c r="BX96" s="549">
        <f t="shared" ref="BX96:BY96" si="3183">BX429</f>
        <v>0</v>
      </c>
      <c r="BY96" s="675">
        <f t="shared" si="3183"/>
        <v>0</v>
      </c>
      <c r="BZ96" s="549">
        <f t="shared" ref="BZ96:CA96" si="3184">BZ429</f>
        <v>0</v>
      </c>
      <c r="CA96" s="675">
        <f t="shared" si="3184"/>
        <v>0</v>
      </c>
      <c r="CB96" s="549">
        <f t="shared" ref="CB96:CE96" si="3185">CB429</f>
        <v>0</v>
      </c>
      <c r="CC96" s="675">
        <f t="shared" si="3185"/>
        <v>0</v>
      </c>
      <c r="CD96" s="549">
        <f t="shared" si="3185"/>
        <v>0</v>
      </c>
      <c r="CE96" s="675">
        <f t="shared" si="3185"/>
        <v>0</v>
      </c>
      <c r="CF96" s="549">
        <f t="shared" si="3137"/>
        <v>0</v>
      </c>
      <c r="CG96" s="675">
        <f t="shared" si="3137"/>
        <v>0</v>
      </c>
      <c r="CH96" s="549">
        <f t="shared" ref="CH96:CQ96" si="3186">CH429</f>
        <v>0</v>
      </c>
      <c r="CI96" s="675">
        <f t="shared" si="3186"/>
        <v>0</v>
      </c>
      <c r="CJ96" s="549">
        <f t="shared" si="3186"/>
        <v>0</v>
      </c>
      <c r="CK96" s="675">
        <f t="shared" si="3186"/>
        <v>0</v>
      </c>
      <c r="CL96" s="549">
        <f t="shared" si="3186"/>
        <v>0</v>
      </c>
      <c r="CM96" s="675">
        <f t="shared" si="3186"/>
        <v>0</v>
      </c>
      <c r="CN96" s="549">
        <f t="shared" si="3186"/>
        <v>0</v>
      </c>
      <c r="CO96" s="675">
        <f t="shared" si="3186"/>
        <v>0</v>
      </c>
      <c r="CP96" s="549">
        <f t="shared" si="3186"/>
        <v>0</v>
      </c>
      <c r="CQ96" s="675">
        <f t="shared" si="3186"/>
        <v>0</v>
      </c>
      <c r="CR96" s="549">
        <f t="shared" si="3139"/>
        <v>0</v>
      </c>
      <c r="CS96" s="675">
        <f t="shared" si="3139"/>
        <v>0</v>
      </c>
      <c r="CT96" s="549">
        <f t="shared" si="3139"/>
        <v>0</v>
      </c>
      <c r="CU96" s="675">
        <f t="shared" si="3139"/>
        <v>0</v>
      </c>
      <c r="CV96" s="549">
        <f t="shared" si="3139"/>
        <v>0</v>
      </c>
      <c r="CW96" s="675">
        <f t="shared" si="3139"/>
        <v>0</v>
      </c>
      <c r="CX96" s="549">
        <f t="shared" si="3139"/>
        <v>0</v>
      </c>
      <c r="CY96" s="675">
        <f t="shared" si="3139"/>
        <v>0</v>
      </c>
      <c r="CZ96" s="549">
        <f t="shared" si="3140"/>
        <v>0</v>
      </c>
      <c r="DA96" s="675">
        <f t="shared" si="3140"/>
        <v>0</v>
      </c>
      <c r="DB96" s="549">
        <f t="shared" si="3140"/>
        <v>0</v>
      </c>
      <c r="DC96" s="675">
        <f t="shared" si="3140"/>
        <v>0</v>
      </c>
      <c r="DD96" s="549">
        <f t="shared" si="3141"/>
        <v>0</v>
      </c>
      <c r="DE96" s="675">
        <f t="shared" si="3141"/>
        <v>0</v>
      </c>
      <c r="DF96" s="549">
        <f t="shared" si="3140"/>
        <v>0</v>
      </c>
      <c r="DG96" s="675">
        <f t="shared" si="3140"/>
        <v>0</v>
      </c>
      <c r="DH96" s="549">
        <f t="shared" si="3142"/>
        <v>0</v>
      </c>
      <c r="DI96" s="675">
        <f t="shared" si="3142"/>
        <v>0</v>
      </c>
      <c r="DJ96" s="549">
        <f t="shared" si="3143"/>
        <v>0</v>
      </c>
      <c r="DK96" s="675">
        <f t="shared" si="3143"/>
        <v>0</v>
      </c>
      <c r="DL96" s="549">
        <f t="shared" si="3143"/>
        <v>0</v>
      </c>
      <c r="DM96" s="675">
        <f t="shared" si="3143"/>
        <v>0</v>
      </c>
      <c r="DN96" s="549">
        <f t="shared" si="3144"/>
        <v>0</v>
      </c>
      <c r="DO96" s="675">
        <f t="shared" si="3144"/>
        <v>0</v>
      </c>
      <c r="DP96" s="549">
        <f t="shared" ref="DP96:DU96" si="3187">DP429</f>
        <v>0</v>
      </c>
      <c r="DQ96" s="675">
        <f t="shared" si="3187"/>
        <v>0</v>
      </c>
      <c r="DR96" s="549">
        <f t="shared" si="3187"/>
        <v>0</v>
      </c>
      <c r="DS96" s="675">
        <f t="shared" si="3187"/>
        <v>0</v>
      </c>
      <c r="DT96" s="549">
        <f t="shared" si="3187"/>
        <v>0</v>
      </c>
      <c r="DU96" s="675">
        <f t="shared" si="3187"/>
        <v>0</v>
      </c>
      <c r="DV96" s="549">
        <f t="shared" si="3146"/>
        <v>0</v>
      </c>
      <c r="DW96" s="675">
        <f t="shared" si="3146"/>
        <v>0</v>
      </c>
      <c r="DX96" s="549">
        <f t="shared" ref="DX96:EA100" si="3188">DX429</f>
        <v>0</v>
      </c>
      <c r="DY96" s="675">
        <f t="shared" si="3188"/>
        <v>0</v>
      </c>
      <c r="DZ96" s="549">
        <f t="shared" si="3188"/>
        <v>0</v>
      </c>
      <c r="EA96" s="675">
        <f t="shared" si="3188"/>
        <v>0</v>
      </c>
      <c r="EB96" s="549">
        <f t="shared" ref="EB96:EM96" si="3189">EB429</f>
        <v>0</v>
      </c>
      <c r="EC96" s="675">
        <f t="shared" si="3189"/>
        <v>0</v>
      </c>
      <c r="ED96" s="549">
        <f t="shared" si="3189"/>
        <v>0</v>
      </c>
      <c r="EE96" s="675">
        <f t="shared" si="3189"/>
        <v>0</v>
      </c>
      <c r="EF96" s="549">
        <f t="shared" si="3189"/>
        <v>0</v>
      </c>
      <c r="EG96" s="675">
        <f t="shared" si="3189"/>
        <v>0</v>
      </c>
      <c r="EH96" s="549">
        <f t="shared" si="3189"/>
        <v>0</v>
      </c>
      <c r="EI96" s="675">
        <f t="shared" si="3189"/>
        <v>0</v>
      </c>
      <c r="EJ96" s="549">
        <f t="shared" si="3189"/>
        <v>0</v>
      </c>
      <c r="EK96" s="675">
        <f t="shared" si="3189"/>
        <v>0</v>
      </c>
      <c r="EL96" s="549">
        <f t="shared" si="3189"/>
        <v>0</v>
      </c>
      <c r="EM96" s="675">
        <f t="shared" si="3189"/>
        <v>0</v>
      </c>
      <c r="EN96" s="549">
        <f t="shared" si="3149"/>
        <v>0</v>
      </c>
      <c r="EO96" s="675">
        <f t="shared" si="3149"/>
        <v>0</v>
      </c>
      <c r="EP96" s="549">
        <f t="shared" ref="EP96:FA96" si="3190">EP429</f>
        <v>0</v>
      </c>
      <c r="EQ96" s="675">
        <f t="shared" si="3190"/>
        <v>0</v>
      </c>
      <c r="ER96" s="549">
        <f t="shared" si="3190"/>
        <v>0</v>
      </c>
      <c r="ES96" s="675">
        <f t="shared" si="3190"/>
        <v>0</v>
      </c>
      <c r="ET96" s="549">
        <f t="shared" si="3190"/>
        <v>0</v>
      </c>
      <c r="EU96" s="675">
        <f t="shared" si="3190"/>
        <v>0</v>
      </c>
      <c r="EV96" s="549">
        <f t="shared" ref="EV96:EW100" si="3191">EV429</f>
        <v>0</v>
      </c>
      <c r="EW96" s="675">
        <f t="shared" si="3191"/>
        <v>0</v>
      </c>
      <c r="EX96" s="549">
        <f t="shared" si="3190"/>
        <v>0</v>
      </c>
      <c r="EY96" s="675">
        <f t="shared" si="3190"/>
        <v>0</v>
      </c>
      <c r="EZ96" s="549">
        <f t="shared" si="3190"/>
        <v>0</v>
      </c>
      <c r="FA96" s="675">
        <f t="shared" si="3190"/>
        <v>0</v>
      </c>
      <c r="FB96" s="549">
        <f t="shared" ref="FB96:GQ100" si="3192">FB429</f>
        <v>0</v>
      </c>
      <c r="FC96" s="675">
        <f t="shared" si="3192"/>
        <v>0</v>
      </c>
      <c r="FD96" s="549">
        <f t="shared" si="3192"/>
        <v>0</v>
      </c>
      <c r="FE96" s="675">
        <f t="shared" si="3192"/>
        <v>0</v>
      </c>
      <c r="FF96" s="549">
        <f t="shared" ref="FF96:FG96" si="3193">FF429</f>
        <v>0</v>
      </c>
      <c r="FG96" s="675">
        <f t="shared" si="3193"/>
        <v>0</v>
      </c>
      <c r="FH96" s="549">
        <f t="shared" ref="FH96:FI96" si="3194">FH429</f>
        <v>0</v>
      </c>
      <c r="FI96" s="675">
        <f t="shared" si="3194"/>
        <v>0</v>
      </c>
      <c r="FJ96" s="549">
        <f t="shared" ref="FJ96:FK96" si="3195">FJ429</f>
        <v>0</v>
      </c>
      <c r="FK96" s="675">
        <f t="shared" si="3195"/>
        <v>0</v>
      </c>
      <c r="FL96" s="549">
        <f t="shared" ref="FL96:FM96" si="3196">FL429</f>
        <v>0</v>
      </c>
      <c r="FM96" s="675">
        <f t="shared" si="3196"/>
        <v>0</v>
      </c>
      <c r="FN96" s="549">
        <f t="shared" ref="FN96:FO96" si="3197">FN429</f>
        <v>0</v>
      </c>
      <c r="FO96" s="675">
        <f t="shared" si="3197"/>
        <v>0</v>
      </c>
      <c r="FP96" s="549">
        <f t="shared" ref="FP96:FQ96" si="3198">FP429</f>
        <v>0</v>
      </c>
      <c r="FQ96" s="675">
        <f t="shared" si="3198"/>
        <v>0</v>
      </c>
      <c r="FR96" s="549">
        <f t="shared" ref="FR96:FS96" si="3199">FR429</f>
        <v>0</v>
      </c>
      <c r="FS96" s="675">
        <f t="shared" si="3199"/>
        <v>0</v>
      </c>
      <c r="FT96" s="549">
        <f t="shared" ref="FT96:FU96" si="3200">FT429</f>
        <v>0</v>
      </c>
      <c r="FU96" s="675">
        <f t="shared" si="3200"/>
        <v>0</v>
      </c>
      <c r="FV96" s="549">
        <f t="shared" ref="FV96:GK96" si="3201">FV429</f>
        <v>0</v>
      </c>
      <c r="FW96" s="675">
        <f t="shared" si="3201"/>
        <v>0</v>
      </c>
      <c r="FX96" s="549">
        <f t="shared" si="3201"/>
        <v>0</v>
      </c>
      <c r="FY96" s="675">
        <f t="shared" si="3201"/>
        <v>0</v>
      </c>
      <c r="FZ96" s="549">
        <f t="shared" ref="FZ96:GI96" si="3202">FZ429</f>
        <v>0</v>
      </c>
      <c r="GA96" s="675">
        <f t="shared" si="3202"/>
        <v>0</v>
      </c>
      <c r="GB96" s="549">
        <f t="shared" si="3202"/>
        <v>0</v>
      </c>
      <c r="GC96" s="675">
        <f t="shared" si="3202"/>
        <v>0</v>
      </c>
      <c r="GD96" s="549">
        <f t="shared" si="3202"/>
        <v>0</v>
      </c>
      <c r="GE96" s="675">
        <f t="shared" si="3202"/>
        <v>0</v>
      </c>
      <c r="GF96" s="549">
        <f t="shared" si="3202"/>
        <v>0</v>
      </c>
      <c r="GG96" s="675">
        <f t="shared" si="3202"/>
        <v>0</v>
      </c>
      <c r="GH96" s="549">
        <f t="shared" si="3202"/>
        <v>0</v>
      </c>
      <c r="GI96" s="675">
        <f t="shared" si="3202"/>
        <v>0</v>
      </c>
      <c r="GJ96" s="549">
        <f t="shared" si="3201"/>
        <v>0</v>
      </c>
      <c r="GK96" s="675">
        <f t="shared" si="3201"/>
        <v>0</v>
      </c>
      <c r="GL96" s="549">
        <f t="shared" ref="GL96:GM96" si="3203">GL429</f>
        <v>0</v>
      </c>
      <c r="GM96" s="675">
        <f t="shared" si="3203"/>
        <v>0</v>
      </c>
      <c r="GN96" s="549">
        <f t="shared" ref="GN96:GO96" si="3204">GN429</f>
        <v>0</v>
      </c>
      <c r="GO96" s="675">
        <f t="shared" si="3204"/>
        <v>0</v>
      </c>
      <c r="GP96" s="74">
        <f t="shared" si="3192"/>
        <v>0</v>
      </c>
      <c r="GQ96" s="675">
        <f t="shared" si="3192"/>
        <v>0</v>
      </c>
      <c r="GR96" s="74">
        <f t="shared" ref="GR96:JB96" si="3205">GR429</f>
        <v>0</v>
      </c>
      <c r="GS96" s="74">
        <f t="shared" si="3205"/>
        <v>0</v>
      </c>
      <c r="GT96" s="549">
        <f t="shared" si="3205"/>
        <v>0</v>
      </c>
      <c r="GU96" s="74">
        <f t="shared" si="3205"/>
        <v>0</v>
      </c>
      <c r="GV96" s="74">
        <f t="shared" si="3205"/>
        <v>0</v>
      </c>
      <c r="GW96" s="549">
        <f t="shared" si="3205"/>
        <v>0</v>
      </c>
      <c r="GX96" s="549">
        <f t="shared" si="3205"/>
        <v>0</v>
      </c>
      <c r="GY96" s="74">
        <f t="shared" si="3205"/>
        <v>0</v>
      </c>
      <c r="GZ96" s="74">
        <f t="shared" si="3205"/>
        <v>0</v>
      </c>
      <c r="HA96" s="74">
        <f t="shared" si="3205"/>
        <v>0</v>
      </c>
      <c r="HB96" s="74">
        <f t="shared" si="3205"/>
        <v>0</v>
      </c>
      <c r="HC96" s="74">
        <f t="shared" si="3205"/>
        <v>0</v>
      </c>
      <c r="HD96" s="74">
        <f t="shared" si="3205"/>
        <v>0</v>
      </c>
      <c r="HE96" s="74">
        <f t="shared" si="3205"/>
        <v>0</v>
      </c>
      <c r="HF96" s="74">
        <f t="shared" si="3205"/>
        <v>0</v>
      </c>
      <c r="HG96" s="74">
        <f t="shared" si="3205"/>
        <v>0</v>
      </c>
      <c r="HH96" s="74">
        <f t="shared" ref="HH96:HU96" si="3206">HH429</f>
        <v>0</v>
      </c>
      <c r="HI96" s="74">
        <f t="shared" si="3206"/>
        <v>0</v>
      </c>
      <c r="HJ96" s="74">
        <f t="shared" si="3206"/>
        <v>0</v>
      </c>
      <c r="HK96" s="74">
        <f t="shared" si="3206"/>
        <v>0</v>
      </c>
      <c r="HL96" s="74">
        <f t="shared" si="3206"/>
        <v>0</v>
      </c>
      <c r="HM96" s="74">
        <f t="shared" si="3206"/>
        <v>0</v>
      </c>
      <c r="HN96" s="74">
        <f t="shared" si="3206"/>
        <v>0</v>
      </c>
      <c r="HO96" s="74">
        <f t="shared" si="3206"/>
        <v>0</v>
      </c>
      <c r="HP96" s="74">
        <f t="shared" si="3206"/>
        <v>0</v>
      </c>
      <c r="HQ96" s="74">
        <f t="shared" si="3206"/>
        <v>0</v>
      </c>
      <c r="HR96" s="74">
        <f t="shared" si="3206"/>
        <v>0</v>
      </c>
      <c r="HS96" s="74">
        <f t="shared" si="3206"/>
        <v>0</v>
      </c>
      <c r="HT96" s="74">
        <f t="shared" si="3206"/>
        <v>0</v>
      </c>
      <c r="HU96" s="74">
        <f t="shared" si="3206"/>
        <v>0</v>
      </c>
      <c r="HV96" s="74">
        <f t="shared" si="3205"/>
        <v>0</v>
      </c>
      <c r="HW96" s="74">
        <f t="shared" si="3205"/>
        <v>0</v>
      </c>
      <c r="HX96" s="74">
        <f t="shared" si="3205"/>
        <v>0</v>
      </c>
      <c r="HY96" s="74">
        <f t="shared" si="3205"/>
        <v>0</v>
      </c>
      <c r="HZ96" s="74">
        <f t="shared" si="3205"/>
        <v>0</v>
      </c>
      <c r="IA96" s="74">
        <f t="shared" si="3205"/>
        <v>0</v>
      </c>
      <c r="IB96" s="74">
        <f t="shared" si="3205"/>
        <v>0</v>
      </c>
      <c r="IC96" s="74">
        <f t="shared" si="3205"/>
        <v>0</v>
      </c>
      <c r="ID96" s="74">
        <f t="shared" si="3205"/>
        <v>0</v>
      </c>
      <c r="IE96" s="792">
        <f t="shared" si="3205"/>
        <v>0</v>
      </c>
      <c r="IF96" s="841">
        <f t="shared" si="3205"/>
        <v>0</v>
      </c>
      <c r="IG96" s="263">
        <f t="shared" si="3205"/>
        <v>0</v>
      </c>
      <c r="IH96" s="842">
        <f t="shared" si="3205"/>
        <v>0</v>
      </c>
      <c r="II96" s="155">
        <f t="shared" si="3205"/>
        <v>0</v>
      </c>
      <c r="IJ96" s="74">
        <f t="shared" si="3205"/>
        <v>0</v>
      </c>
      <c r="IK96" s="74">
        <f t="shared" si="3205"/>
        <v>0</v>
      </c>
      <c r="IL96" s="74">
        <f t="shared" si="3205"/>
        <v>0</v>
      </c>
      <c r="IM96" s="74">
        <f t="shared" si="3205"/>
        <v>0</v>
      </c>
      <c r="IN96" s="74">
        <f t="shared" si="3205"/>
        <v>0</v>
      </c>
      <c r="IO96" s="74">
        <f t="shared" si="3205"/>
        <v>0</v>
      </c>
      <c r="IP96" s="74">
        <f t="shared" si="3205"/>
        <v>0</v>
      </c>
      <c r="IQ96" s="74">
        <f t="shared" si="3205"/>
        <v>0</v>
      </c>
      <c r="IR96" s="74">
        <f t="shared" si="3205"/>
        <v>0</v>
      </c>
      <c r="IS96" s="74">
        <f t="shared" si="3205"/>
        <v>0</v>
      </c>
      <c r="IT96" s="74">
        <f t="shared" si="3205"/>
        <v>0</v>
      </c>
      <c r="IU96" s="74">
        <f t="shared" si="3205"/>
        <v>0</v>
      </c>
      <c r="IV96" s="74">
        <f t="shared" si="3205"/>
        <v>0</v>
      </c>
      <c r="IW96" s="74">
        <f t="shared" si="3205"/>
        <v>0</v>
      </c>
      <c r="IX96" s="74">
        <f t="shared" si="3205"/>
        <v>0</v>
      </c>
      <c r="IY96" s="74">
        <f t="shared" si="3205"/>
        <v>0</v>
      </c>
      <c r="IZ96" s="74">
        <f t="shared" si="3205"/>
        <v>0</v>
      </c>
      <c r="JA96" s="74">
        <f t="shared" si="3205"/>
        <v>0</v>
      </c>
      <c r="JB96" s="74">
        <f t="shared" si="3205"/>
        <v>0</v>
      </c>
      <c r="JC96" s="74">
        <f t="shared" ref="JC96:JT96" si="3207">JC429</f>
        <v>0</v>
      </c>
      <c r="JD96" s="74">
        <f t="shared" si="3207"/>
        <v>0</v>
      </c>
      <c r="JE96" s="74">
        <f t="shared" si="3207"/>
        <v>0</v>
      </c>
      <c r="JF96" s="74">
        <f t="shared" si="3207"/>
        <v>0</v>
      </c>
      <c r="JG96" s="74">
        <f t="shared" si="3207"/>
        <v>0</v>
      </c>
      <c r="JH96" s="74">
        <f t="shared" si="3207"/>
        <v>0</v>
      </c>
      <c r="JI96" s="74">
        <f t="shared" si="3207"/>
        <v>0</v>
      </c>
      <c r="JJ96" s="74">
        <f t="shared" si="3207"/>
        <v>0</v>
      </c>
      <c r="JK96" s="74">
        <f t="shared" si="3207"/>
        <v>0</v>
      </c>
      <c r="JL96" s="74">
        <f t="shared" si="3207"/>
        <v>0</v>
      </c>
      <c r="JM96" s="74">
        <f t="shared" si="3207"/>
        <v>0</v>
      </c>
      <c r="JN96" s="74">
        <f t="shared" si="3207"/>
        <v>0</v>
      </c>
      <c r="JO96" s="74">
        <f t="shared" si="3207"/>
        <v>0</v>
      </c>
      <c r="JP96" s="74">
        <f t="shared" si="3207"/>
        <v>0</v>
      </c>
      <c r="JQ96" s="74">
        <f t="shared" si="3207"/>
        <v>0</v>
      </c>
      <c r="JR96" s="74">
        <f t="shared" si="3207"/>
        <v>0</v>
      </c>
      <c r="JS96" s="74">
        <f t="shared" si="3207"/>
        <v>0</v>
      </c>
      <c r="JT96" s="102">
        <f t="shared" si="3207"/>
        <v>0</v>
      </c>
      <c r="JU96" s="671"/>
      <c r="JV96" s="492"/>
      <c r="JW96" s="490"/>
      <c r="JX96" s="549">
        <f t="shared" si="3169"/>
        <v>0</v>
      </c>
      <c r="JY96" s="549">
        <f t="shared" si="3169"/>
        <v>0</v>
      </c>
      <c r="JZ96" s="581">
        <f t="shared" si="2110"/>
        <v>0</v>
      </c>
      <c r="KA96" s="581">
        <f t="shared" si="2111"/>
        <v>0</v>
      </c>
      <c r="KB96" s="549">
        <f t="shared" si="3169"/>
        <v>0</v>
      </c>
      <c r="KC96" s="709">
        <f t="shared" si="2079"/>
        <v>0</v>
      </c>
      <c r="KD96" s="36"/>
      <c r="KE96" s="36"/>
      <c r="KF96" s="36"/>
      <c r="KG96" s="36"/>
      <c r="KH96" s="36"/>
      <c r="KI96" s="36"/>
      <c r="KJ96" s="36"/>
      <c r="KK96" s="36"/>
    </row>
    <row r="97" spans="1:297" s="8" customFormat="1" ht="12.75" hidden="1" customHeight="1">
      <c r="A97" s="262" t="s">
        <v>793</v>
      </c>
      <c r="B97" s="72"/>
      <c r="C97" s="74">
        <v>0</v>
      </c>
      <c r="D97" s="549">
        <f t="shared" ref="D97:E97" si="3208">D430</f>
        <v>0</v>
      </c>
      <c r="E97" s="675">
        <f t="shared" si="3208"/>
        <v>0</v>
      </c>
      <c r="F97" s="549">
        <f t="shared" ref="F97:G97" si="3209">F430</f>
        <v>0</v>
      </c>
      <c r="G97" s="675">
        <f t="shared" si="3209"/>
        <v>0</v>
      </c>
      <c r="H97" s="549">
        <f t="shared" si="3114"/>
        <v>0</v>
      </c>
      <c r="I97" s="675">
        <f t="shared" si="3114"/>
        <v>0</v>
      </c>
      <c r="J97" s="549">
        <f t="shared" si="3114"/>
        <v>0</v>
      </c>
      <c r="K97" s="675">
        <f t="shared" si="3114"/>
        <v>0</v>
      </c>
      <c r="L97" s="549">
        <f t="shared" si="3114"/>
        <v>0</v>
      </c>
      <c r="M97" s="675">
        <f t="shared" si="3114"/>
        <v>0</v>
      </c>
      <c r="N97" s="549">
        <f t="shared" si="3115"/>
        <v>0</v>
      </c>
      <c r="O97" s="675">
        <f t="shared" si="3115"/>
        <v>0</v>
      </c>
      <c r="P97" s="549">
        <f t="shared" si="3115"/>
        <v>0</v>
      </c>
      <c r="Q97" s="675">
        <f t="shared" si="3115"/>
        <v>0</v>
      </c>
      <c r="R97" s="549">
        <f t="shared" si="3116"/>
        <v>0</v>
      </c>
      <c r="S97" s="675">
        <f t="shared" si="3116"/>
        <v>0</v>
      </c>
      <c r="T97" s="549">
        <f t="shared" si="3116"/>
        <v>0</v>
      </c>
      <c r="U97" s="675">
        <f t="shared" si="3116"/>
        <v>0</v>
      </c>
      <c r="V97" s="549">
        <f t="shared" si="3117"/>
        <v>0</v>
      </c>
      <c r="W97" s="675">
        <f t="shared" si="3117"/>
        <v>0</v>
      </c>
      <c r="X97" s="549">
        <f t="shared" si="3118"/>
        <v>0</v>
      </c>
      <c r="Y97" s="675">
        <f t="shared" si="3118"/>
        <v>0</v>
      </c>
      <c r="Z97" s="549">
        <f t="shared" si="3117"/>
        <v>0</v>
      </c>
      <c r="AA97" s="675">
        <f t="shared" si="3117"/>
        <v>0</v>
      </c>
      <c r="AB97" s="549">
        <f t="shared" si="3117"/>
        <v>0</v>
      </c>
      <c r="AC97" s="675">
        <f t="shared" si="3117"/>
        <v>0</v>
      </c>
      <c r="AD97" s="549">
        <f t="shared" ref="AD97:AK97" si="3210">AD430</f>
        <v>0</v>
      </c>
      <c r="AE97" s="675">
        <f t="shared" si="3210"/>
        <v>0</v>
      </c>
      <c r="AF97" s="549">
        <f t="shared" si="3210"/>
        <v>0</v>
      </c>
      <c r="AG97" s="675">
        <f t="shared" si="3210"/>
        <v>0</v>
      </c>
      <c r="AH97" s="549">
        <f t="shared" si="3210"/>
        <v>0</v>
      </c>
      <c r="AI97" s="675">
        <f t="shared" si="3210"/>
        <v>0</v>
      </c>
      <c r="AJ97" s="549">
        <f t="shared" si="3210"/>
        <v>0</v>
      </c>
      <c r="AK97" s="675">
        <f t="shared" si="3210"/>
        <v>0</v>
      </c>
      <c r="AL97" s="549">
        <f t="shared" si="3120"/>
        <v>0</v>
      </c>
      <c r="AM97" s="675">
        <f t="shared" si="3120"/>
        <v>0</v>
      </c>
      <c r="AN97" s="549">
        <f t="shared" si="3121"/>
        <v>0</v>
      </c>
      <c r="AO97" s="675">
        <f t="shared" si="3121"/>
        <v>0</v>
      </c>
      <c r="AP97" s="549">
        <f t="shared" si="3121"/>
        <v>0</v>
      </c>
      <c r="AQ97" s="675">
        <f t="shared" si="3121"/>
        <v>0</v>
      </c>
      <c r="AR97" s="549">
        <f t="shared" si="3122"/>
        <v>0</v>
      </c>
      <c r="AS97" s="675">
        <f t="shared" si="3122"/>
        <v>0</v>
      </c>
      <c r="AT97" s="549">
        <f t="shared" ref="AT97:AU97" si="3211">AT430</f>
        <v>0</v>
      </c>
      <c r="AU97" s="675">
        <f t="shared" si="3211"/>
        <v>0</v>
      </c>
      <c r="AV97" s="549">
        <f t="shared" ref="AV97:AW97" si="3212">AV430</f>
        <v>0</v>
      </c>
      <c r="AW97" s="675">
        <f t="shared" si="3212"/>
        <v>0</v>
      </c>
      <c r="AX97" s="549">
        <f t="shared" ref="AX97:AY97" si="3213">AX430</f>
        <v>0</v>
      </c>
      <c r="AY97" s="675">
        <f t="shared" si="3213"/>
        <v>0</v>
      </c>
      <c r="AZ97" s="549">
        <f t="shared" ref="AZ97:BA97" si="3214">AZ430</f>
        <v>0</v>
      </c>
      <c r="BA97" s="675">
        <f t="shared" si="3214"/>
        <v>0</v>
      </c>
      <c r="BB97" s="549">
        <f t="shared" ref="BB97:BC97" si="3215">BB430</f>
        <v>0</v>
      </c>
      <c r="BC97" s="675">
        <f t="shared" si="3215"/>
        <v>0</v>
      </c>
      <c r="BD97" s="549">
        <f t="shared" ref="BD97:BE97" si="3216">BD430</f>
        <v>0</v>
      </c>
      <c r="BE97" s="675">
        <f t="shared" si="3216"/>
        <v>0</v>
      </c>
      <c r="BF97" s="549">
        <f t="shared" ref="BF97:BG97" si="3217">BF430</f>
        <v>0</v>
      </c>
      <c r="BG97" s="675">
        <f t="shared" si="3217"/>
        <v>0</v>
      </c>
      <c r="BH97" s="549">
        <f t="shared" ref="BH97:BI97" si="3218">BH430</f>
        <v>0</v>
      </c>
      <c r="BI97" s="675">
        <f t="shared" si="3218"/>
        <v>0</v>
      </c>
      <c r="BJ97" s="549">
        <f t="shared" ref="BJ97:BK97" si="3219">BJ430</f>
        <v>0</v>
      </c>
      <c r="BK97" s="675">
        <f t="shared" si="3219"/>
        <v>0</v>
      </c>
      <c r="BL97" s="549">
        <f t="shared" ref="BL97:BS97" si="3220">BL430</f>
        <v>0</v>
      </c>
      <c r="BM97" s="675">
        <f t="shared" si="3220"/>
        <v>0</v>
      </c>
      <c r="BN97" s="549">
        <f t="shared" si="3220"/>
        <v>0</v>
      </c>
      <c r="BO97" s="675">
        <f t="shared" si="3220"/>
        <v>0</v>
      </c>
      <c r="BP97" s="549">
        <f t="shared" si="3220"/>
        <v>0</v>
      </c>
      <c r="BQ97" s="675">
        <f t="shared" si="3220"/>
        <v>0</v>
      </c>
      <c r="BR97" s="549">
        <f t="shared" si="3220"/>
        <v>0</v>
      </c>
      <c r="BS97" s="675">
        <f t="shared" si="3220"/>
        <v>0</v>
      </c>
      <c r="BT97" s="549">
        <f t="shared" si="3133"/>
        <v>0</v>
      </c>
      <c r="BU97" s="675">
        <f t="shared" si="3133"/>
        <v>0</v>
      </c>
      <c r="BV97" s="549">
        <f t="shared" si="3133"/>
        <v>0</v>
      </c>
      <c r="BW97" s="675">
        <f t="shared" si="3133"/>
        <v>0</v>
      </c>
      <c r="BX97" s="549">
        <f t="shared" ref="BX97:BY97" si="3221">BX430</f>
        <v>0</v>
      </c>
      <c r="BY97" s="675">
        <f t="shared" si="3221"/>
        <v>0</v>
      </c>
      <c r="BZ97" s="549">
        <f t="shared" ref="BZ97:CA97" si="3222">BZ430</f>
        <v>0</v>
      </c>
      <c r="CA97" s="675">
        <f t="shared" si="3222"/>
        <v>0</v>
      </c>
      <c r="CB97" s="549">
        <f t="shared" ref="CB97:CE97" si="3223">CB430</f>
        <v>0</v>
      </c>
      <c r="CC97" s="675">
        <f t="shared" si="3223"/>
        <v>0</v>
      </c>
      <c r="CD97" s="549">
        <f t="shared" si="3223"/>
        <v>0</v>
      </c>
      <c r="CE97" s="675">
        <f t="shared" si="3223"/>
        <v>0</v>
      </c>
      <c r="CF97" s="549">
        <f t="shared" si="3137"/>
        <v>0</v>
      </c>
      <c r="CG97" s="675">
        <f t="shared" si="3137"/>
        <v>0</v>
      </c>
      <c r="CH97" s="549">
        <f t="shared" ref="CH97:CQ97" si="3224">CH430</f>
        <v>0</v>
      </c>
      <c r="CI97" s="675">
        <f t="shared" si="3224"/>
        <v>0</v>
      </c>
      <c r="CJ97" s="549">
        <f t="shared" si="3224"/>
        <v>0</v>
      </c>
      <c r="CK97" s="675">
        <f t="shared" si="3224"/>
        <v>0</v>
      </c>
      <c r="CL97" s="549">
        <f t="shared" si="3224"/>
        <v>0</v>
      </c>
      <c r="CM97" s="675">
        <f t="shared" si="3224"/>
        <v>0</v>
      </c>
      <c r="CN97" s="549">
        <f t="shared" si="3224"/>
        <v>0</v>
      </c>
      <c r="CO97" s="675">
        <f t="shared" si="3224"/>
        <v>0</v>
      </c>
      <c r="CP97" s="549">
        <f t="shared" si="3224"/>
        <v>0</v>
      </c>
      <c r="CQ97" s="675">
        <f t="shared" si="3224"/>
        <v>0</v>
      </c>
      <c r="CR97" s="549">
        <f t="shared" si="3139"/>
        <v>0</v>
      </c>
      <c r="CS97" s="675">
        <f t="shared" si="3139"/>
        <v>0</v>
      </c>
      <c r="CT97" s="549">
        <f t="shared" si="3139"/>
        <v>0</v>
      </c>
      <c r="CU97" s="675">
        <f t="shared" si="3139"/>
        <v>0</v>
      </c>
      <c r="CV97" s="549">
        <f t="shared" si="3139"/>
        <v>0</v>
      </c>
      <c r="CW97" s="675">
        <f t="shared" si="3139"/>
        <v>0</v>
      </c>
      <c r="CX97" s="549">
        <f t="shared" si="3139"/>
        <v>0</v>
      </c>
      <c r="CY97" s="675">
        <f t="shared" si="3139"/>
        <v>0</v>
      </c>
      <c r="CZ97" s="549">
        <f t="shared" si="3140"/>
        <v>0</v>
      </c>
      <c r="DA97" s="675">
        <f t="shared" si="3140"/>
        <v>0</v>
      </c>
      <c r="DB97" s="549">
        <f t="shared" si="3140"/>
        <v>0</v>
      </c>
      <c r="DC97" s="675">
        <f t="shared" si="3140"/>
        <v>0</v>
      </c>
      <c r="DD97" s="549">
        <f t="shared" si="3141"/>
        <v>0</v>
      </c>
      <c r="DE97" s="675">
        <f t="shared" si="3141"/>
        <v>0</v>
      </c>
      <c r="DF97" s="549">
        <f t="shared" si="3140"/>
        <v>0</v>
      </c>
      <c r="DG97" s="675">
        <f t="shared" si="3140"/>
        <v>0</v>
      </c>
      <c r="DH97" s="549">
        <f t="shared" si="3142"/>
        <v>0</v>
      </c>
      <c r="DI97" s="675">
        <f t="shared" si="3142"/>
        <v>0</v>
      </c>
      <c r="DJ97" s="549">
        <f t="shared" si="3143"/>
        <v>0</v>
      </c>
      <c r="DK97" s="675">
        <f t="shared" si="3143"/>
        <v>0</v>
      </c>
      <c r="DL97" s="549">
        <f t="shared" si="3143"/>
        <v>0</v>
      </c>
      <c r="DM97" s="675">
        <f t="shared" si="3143"/>
        <v>0</v>
      </c>
      <c r="DN97" s="549">
        <f t="shared" si="3144"/>
        <v>0</v>
      </c>
      <c r="DO97" s="675">
        <f t="shared" si="3144"/>
        <v>0</v>
      </c>
      <c r="DP97" s="549">
        <f t="shared" ref="DP97:DU97" si="3225">DP430</f>
        <v>0</v>
      </c>
      <c r="DQ97" s="675">
        <f t="shared" si="3225"/>
        <v>0</v>
      </c>
      <c r="DR97" s="549">
        <f t="shared" si="3225"/>
        <v>0</v>
      </c>
      <c r="DS97" s="675">
        <f t="shared" si="3225"/>
        <v>0</v>
      </c>
      <c r="DT97" s="549">
        <f t="shared" si="3225"/>
        <v>0</v>
      </c>
      <c r="DU97" s="675">
        <f t="shared" si="3225"/>
        <v>0</v>
      </c>
      <c r="DV97" s="549">
        <f t="shared" si="3146"/>
        <v>0</v>
      </c>
      <c r="DW97" s="675">
        <f t="shared" si="3146"/>
        <v>0</v>
      </c>
      <c r="DX97" s="549">
        <f t="shared" si="3188"/>
        <v>0</v>
      </c>
      <c r="DY97" s="675">
        <f t="shared" si="3188"/>
        <v>0</v>
      </c>
      <c r="DZ97" s="549">
        <f t="shared" si="3188"/>
        <v>0</v>
      </c>
      <c r="EA97" s="675">
        <f t="shared" si="3188"/>
        <v>0</v>
      </c>
      <c r="EB97" s="549">
        <f t="shared" ref="EB97:EM97" si="3226">EB430</f>
        <v>0</v>
      </c>
      <c r="EC97" s="675">
        <f t="shared" si="3226"/>
        <v>0</v>
      </c>
      <c r="ED97" s="549">
        <f t="shared" si="3226"/>
        <v>0</v>
      </c>
      <c r="EE97" s="675">
        <f t="shared" si="3226"/>
        <v>0</v>
      </c>
      <c r="EF97" s="549">
        <f t="shared" si="3226"/>
        <v>0</v>
      </c>
      <c r="EG97" s="675">
        <f t="shared" si="3226"/>
        <v>0</v>
      </c>
      <c r="EH97" s="549">
        <f t="shared" si="3226"/>
        <v>0</v>
      </c>
      <c r="EI97" s="675">
        <f t="shared" si="3226"/>
        <v>0</v>
      </c>
      <c r="EJ97" s="549">
        <f t="shared" si="3226"/>
        <v>0</v>
      </c>
      <c r="EK97" s="675">
        <f t="shared" si="3226"/>
        <v>0</v>
      </c>
      <c r="EL97" s="549">
        <f t="shared" si="3226"/>
        <v>0</v>
      </c>
      <c r="EM97" s="675">
        <f t="shared" si="3226"/>
        <v>0</v>
      </c>
      <c r="EN97" s="549">
        <f t="shared" si="3149"/>
        <v>0</v>
      </c>
      <c r="EO97" s="675">
        <f t="shared" si="3149"/>
        <v>0</v>
      </c>
      <c r="EP97" s="549">
        <f t="shared" ref="EP97:FA97" si="3227">EP430</f>
        <v>0</v>
      </c>
      <c r="EQ97" s="675">
        <f t="shared" si="3227"/>
        <v>0</v>
      </c>
      <c r="ER97" s="549">
        <f t="shared" si="3227"/>
        <v>0</v>
      </c>
      <c r="ES97" s="675">
        <f t="shared" si="3227"/>
        <v>0</v>
      </c>
      <c r="ET97" s="549">
        <f t="shared" si="3227"/>
        <v>0</v>
      </c>
      <c r="EU97" s="675">
        <f t="shared" si="3227"/>
        <v>0</v>
      </c>
      <c r="EV97" s="549">
        <f t="shared" si="3191"/>
        <v>0</v>
      </c>
      <c r="EW97" s="675">
        <f t="shared" si="3191"/>
        <v>0</v>
      </c>
      <c r="EX97" s="549">
        <f t="shared" si="3227"/>
        <v>0</v>
      </c>
      <c r="EY97" s="675">
        <f t="shared" si="3227"/>
        <v>0</v>
      </c>
      <c r="EZ97" s="549">
        <f t="shared" si="3227"/>
        <v>0</v>
      </c>
      <c r="FA97" s="675">
        <f t="shared" si="3227"/>
        <v>0</v>
      </c>
      <c r="FB97" s="549">
        <f t="shared" si="3192"/>
        <v>0</v>
      </c>
      <c r="FC97" s="675">
        <f t="shared" si="3192"/>
        <v>0</v>
      </c>
      <c r="FD97" s="549">
        <f t="shared" si="3192"/>
        <v>0</v>
      </c>
      <c r="FE97" s="675">
        <f t="shared" si="3192"/>
        <v>0</v>
      </c>
      <c r="FF97" s="549">
        <f t="shared" ref="FF97:FG97" si="3228">FF430</f>
        <v>0</v>
      </c>
      <c r="FG97" s="675">
        <f t="shared" si="3228"/>
        <v>0</v>
      </c>
      <c r="FH97" s="549">
        <f t="shared" ref="FH97:FI97" si="3229">FH430</f>
        <v>0</v>
      </c>
      <c r="FI97" s="675">
        <f t="shared" si="3229"/>
        <v>0</v>
      </c>
      <c r="FJ97" s="549">
        <f t="shared" ref="FJ97:FK97" si="3230">FJ430</f>
        <v>0</v>
      </c>
      <c r="FK97" s="675">
        <f t="shared" si="3230"/>
        <v>0</v>
      </c>
      <c r="FL97" s="549">
        <f t="shared" ref="FL97:FM97" si="3231">FL430</f>
        <v>0</v>
      </c>
      <c r="FM97" s="675">
        <f t="shared" si="3231"/>
        <v>0</v>
      </c>
      <c r="FN97" s="549">
        <f t="shared" ref="FN97:FO97" si="3232">FN430</f>
        <v>0</v>
      </c>
      <c r="FO97" s="675">
        <f t="shared" si="3232"/>
        <v>0</v>
      </c>
      <c r="FP97" s="549">
        <f t="shared" ref="FP97:FQ97" si="3233">FP430</f>
        <v>0</v>
      </c>
      <c r="FQ97" s="675">
        <f t="shared" si="3233"/>
        <v>0</v>
      </c>
      <c r="FR97" s="549">
        <f t="shared" ref="FR97:FS97" si="3234">FR430</f>
        <v>0</v>
      </c>
      <c r="FS97" s="675">
        <f t="shared" si="3234"/>
        <v>0</v>
      </c>
      <c r="FT97" s="549">
        <f t="shared" ref="FT97:FU97" si="3235">FT430</f>
        <v>0</v>
      </c>
      <c r="FU97" s="675">
        <f t="shared" si="3235"/>
        <v>0</v>
      </c>
      <c r="FV97" s="549">
        <f t="shared" ref="FV97:GK97" si="3236">FV430</f>
        <v>0</v>
      </c>
      <c r="FW97" s="675">
        <f t="shared" si="3236"/>
        <v>0</v>
      </c>
      <c r="FX97" s="549">
        <f t="shared" si="3236"/>
        <v>0</v>
      </c>
      <c r="FY97" s="675">
        <f t="shared" si="3236"/>
        <v>0</v>
      </c>
      <c r="FZ97" s="549">
        <f t="shared" ref="FZ97:GI97" si="3237">FZ430</f>
        <v>0</v>
      </c>
      <c r="GA97" s="675">
        <f t="shared" si="3237"/>
        <v>0</v>
      </c>
      <c r="GB97" s="549">
        <f t="shared" si="3237"/>
        <v>0</v>
      </c>
      <c r="GC97" s="675">
        <f t="shared" si="3237"/>
        <v>0</v>
      </c>
      <c r="GD97" s="549">
        <f t="shared" si="3237"/>
        <v>0</v>
      </c>
      <c r="GE97" s="675">
        <f t="shared" si="3237"/>
        <v>0</v>
      </c>
      <c r="GF97" s="549">
        <f t="shared" si="3237"/>
        <v>0</v>
      </c>
      <c r="GG97" s="675">
        <f t="shared" si="3237"/>
        <v>0</v>
      </c>
      <c r="GH97" s="549">
        <f t="shared" si="3237"/>
        <v>0</v>
      </c>
      <c r="GI97" s="675">
        <f t="shared" si="3237"/>
        <v>0</v>
      </c>
      <c r="GJ97" s="549">
        <f t="shared" si="3236"/>
        <v>0</v>
      </c>
      <c r="GK97" s="675">
        <f t="shared" si="3236"/>
        <v>0</v>
      </c>
      <c r="GL97" s="549">
        <f t="shared" ref="GL97:GM97" si="3238">GL430</f>
        <v>0</v>
      </c>
      <c r="GM97" s="675">
        <f t="shared" si="3238"/>
        <v>0</v>
      </c>
      <c r="GN97" s="549">
        <f t="shared" ref="GN97:GO97" si="3239">GN430</f>
        <v>0</v>
      </c>
      <c r="GO97" s="675">
        <f t="shared" si="3239"/>
        <v>0</v>
      </c>
      <c r="GP97" s="74">
        <f t="shared" si="3192"/>
        <v>0</v>
      </c>
      <c r="GQ97" s="675">
        <f t="shared" si="3192"/>
        <v>0</v>
      </c>
      <c r="GR97" s="74">
        <f t="shared" ref="GR97:JB97" si="3240">GR430</f>
        <v>0</v>
      </c>
      <c r="GS97" s="74">
        <f t="shared" si="3240"/>
        <v>0</v>
      </c>
      <c r="GT97" s="549">
        <f t="shared" si="3240"/>
        <v>0</v>
      </c>
      <c r="GU97" s="74">
        <f t="shared" si="3240"/>
        <v>0</v>
      </c>
      <c r="GV97" s="74">
        <f t="shared" si="3240"/>
        <v>0</v>
      </c>
      <c r="GW97" s="549">
        <f t="shared" si="3240"/>
        <v>0</v>
      </c>
      <c r="GX97" s="549">
        <f t="shared" si="3240"/>
        <v>0</v>
      </c>
      <c r="GY97" s="74">
        <f t="shared" si="3240"/>
        <v>0</v>
      </c>
      <c r="GZ97" s="74">
        <f t="shared" si="3240"/>
        <v>0</v>
      </c>
      <c r="HA97" s="74">
        <f t="shared" si="3240"/>
        <v>0</v>
      </c>
      <c r="HB97" s="74">
        <f t="shared" si="3240"/>
        <v>0</v>
      </c>
      <c r="HC97" s="74">
        <f t="shared" si="3240"/>
        <v>0</v>
      </c>
      <c r="HD97" s="74">
        <f t="shared" si="3240"/>
        <v>0</v>
      </c>
      <c r="HE97" s="74">
        <f t="shared" si="3240"/>
        <v>0</v>
      </c>
      <c r="HF97" s="74">
        <f t="shared" si="3240"/>
        <v>0</v>
      </c>
      <c r="HG97" s="74">
        <f t="shared" si="3240"/>
        <v>0</v>
      </c>
      <c r="HH97" s="74">
        <f t="shared" ref="HH97:HU97" si="3241">HH430</f>
        <v>0</v>
      </c>
      <c r="HI97" s="74">
        <f t="shared" si="3241"/>
        <v>0</v>
      </c>
      <c r="HJ97" s="74">
        <f t="shared" si="3241"/>
        <v>0</v>
      </c>
      <c r="HK97" s="74">
        <f t="shared" si="3241"/>
        <v>0</v>
      </c>
      <c r="HL97" s="74">
        <f t="shared" si="3241"/>
        <v>0</v>
      </c>
      <c r="HM97" s="74">
        <f t="shared" si="3241"/>
        <v>0</v>
      </c>
      <c r="HN97" s="74">
        <f t="shared" si="3241"/>
        <v>0</v>
      </c>
      <c r="HO97" s="74">
        <f t="shared" si="3241"/>
        <v>0</v>
      </c>
      <c r="HP97" s="74">
        <f t="shared" si="3241"/>
        <v>0</v>
      </c>
      <c r="HQ97" s="74">
        <f t="shared" si="3241"/>
        <v>0</v>
      </c>
      <c r="HR97" s="74">
        <f t="shared" si="3241"/>
        <v>0</v>
      </c>
      <c r="HS97" s="74">
        <f t="shared" si="3241"/>
        <v>0</v>
      </c>
      <c r="HT97" s="74">
        <f t="shared" si="3241"/>
        <v>0</v>
      </c>
      <c r="HU97" s="74">
        <f t="shared" si="3241"/>
        <v>0</v>
      </c>
      <c r="HV97" s="74">
        <f t="shared" si="3240"/>
        <v>0</v>
      </c>
      <c r="HW97" s="74">
        <f t="shared" si="3240"/>
        <v>0</v>
      </c>
      <c r="HX97" s="74">
        <f t="shared" si="3240"/>
        <v>0</v>
      </c>
      <c r="HY97" s="74">
        <f t="shared" si="3240"/>
        <v>0</v>
      </c>
      <c r="HZ97" s="74">
        <f t="shared" si="3240"/>
        <v>0</v>
      </c>
      <c r="IA97" s="74">
        <f t="shared" si="3240"/>
        <v>0</v>
      </c>
      <c r="IB97" s="74">
        <f t="shared" si="3240"/>
        <v>0</v>
      </c>
      <c r="IC97" s="74">
        <f t="shared" si="3240"/>
        <v>0</v>
      </c>
      <c r="ID97" s="74">
        <f t="shared" si="3240"/>
        <v>0</v>
      </c>
      <c r="IE97" s="792">
        <f t="shared" si="3240"/>
        <v>0</v>
      </c>
      <c r="IF97" s="841">
        <f t="shared" si="3240"/>
        <v>0</v>
      </c>
      <c r="IG97" s="263">
        <f t="shared" si="3240"/>
        <v>0</v>
      </c>
      <c r="IH97" s="842">
        <f t="shared" si="3240"/>
        <v>0</v>
      </c>
      <c r="II97" s="155">
        <f t="shared" si="3240"/>
        <v>0</v>
      </c>
      <c r="IJ97" s="74">
        <f t="shared" si="3240"/>
        <v>0</v>
      </c>
      <c r="IK97" s="74">
        <f t="shared" si="3240"/>
        <v>0</v>
      </c>
      <c r="IL97" s="74">
        <f t="shared" si="3240"/>
        <v>0</v>
      </c>
      <c r="IM97" s="74">
        <f t="shared" si="3240"/>
        <v>0</v>
      </c>
      <c r="IN97" s="74">
        <f t="shared" si="3240"/>
        <v>0</v>
      </c>
      <c r="IO97" s="74">
        <f t="shared" si="3240"/>
        <v>0</v>
      </c>
      <c r="IP97" s="74">
        <f t="shared" si="3240"/>
        <v>0</v>
      </c>
      <c r="IQ97" s="74">
        <f t="shared" si="3240"/>
        <v>0</v>
      </c>
      <c r="IR97" s="74">
        <f t="shared" si="3240"/>
        <v>0</v>
      </c>
      <c r="IS97" s="74">
        <f t="shared" si="3240"/>
        <v>0</v>
      </c>
      <c r="IT97" s="74">
        <f t="shared" si="3240"/>
        <v>0</v>
      </c>
      <c r="IU97" s="74">
        <f t="shared" si="3240"/>
        <v>0</v>
      </c>
      <c r="IV97" s="74">
        <f t="shared" si="3240"/>
        <v>0</v>
      </c>
      <c r="IW97" s="74">
        <f t="shared" si="3240"/>
        <v>0</v>
      </c>
      <c r="IX97" s="74">
        <f t="shared" si="3240"/>
        <v>0</v>
      </c>
      <c r="IY97" s="74">
        <f t="shared" si="3240"/>
        <v>0</v>
      </c>
      <c r="IZ97" s="74">
        <f t="shared" si="3240"/>
        <v>0</v>
      </c>
      <c r="JA97" s="74">
        <f t="shared" si="3240"/>
        <v>0</v>
      </c>
      <c r="JB97" s="74">
        <f t="shared" si="3240"/>
        <v>0</v>
      </c>
      <c r="JC97" s="74">
        <f t="shared" ref="JC97:JT97" si="3242">JC430</f>
        <v>0</v>
      </c>
      <c r="JD97" s="74">
        <f t="shared" si="3242"/>
        <v>0</v>
      </c>
      <c r="JE97" s="74">
        <f t="shared" si="3242"/>
        <v>0</v>
      </c>
      <c r="JF97" s="74">
        <f t="shared" si="3242"/>
        <v>0</v>
      </c>
      <c r="JG97" s="74">
        <f t="shared" si="3242"/>
        <v>0</v>
      </c>
      <c r="JH97" s="74">
        <f t="shared" si="3242"/>
        <v>0</v>
      </c>
      <c r="JI97" s="74">
        <f t="shared" si="3242"/>
        <v>0</v>
      </c>
      <c r="JJ97" s="74">
        <f t="shared" si="3242"/>
        <v>0</v>
      </c>
      <c r="JK97" s="74">
        <f t="shared" si="3242"/>
        <v>0</v>
      </c>
      <c r="JL97" s="74">
        <f t="shared" si="3242"/>
        <v>0</v>
      </c>
      <c r="JM97" s="74">
        <f t="shared" si="3242"/>
        <v>0</v>
      </c>
      <c r="JN97" s="74">
        <f t="shared" si="3242"/>
        <v>0</v>
      </c>
      <c r="JO97" s="74">
        <f t="shared" si="3242"/>
        <v>0</v>
      </c>
      <c r="JP97" s="74">
        <f t="shared" si="3242"/>
        <v>0</v>
      </c>
      <c r="JQ97" s="74">
        <f t="shared" si="3242"/>
        <v>0</v>
      </c>
      <c r="JR97" s="74">
        <f t="shared" si="3242"/>
        <v>0</v>
      </c>
      <c r="JS97" s="74">
        <f t="shared" si="3242"/>
        <v>0</v>
      </c>
      <c r="JT97" s="102">
        <f t="shared" si="3242"/>
        <v>0</v>
      </c>
      <c r="JU97" s="671"/>
      <c r="JV97" s="492"/>
      <c r="JW97" s="490"/>
      <c r="JX97" s="549">
        <f t="shared" si="3169"/>
        <v>0</v>
      </c>
      <c r="JY97" s="549">
        <f t="shared" si="3169"/>
        <v>0</v>
      </c>
      <c r="JZ97" s="581">
        <f t="shared" si="2110"/>
        <v>0</v>
      </c>
      <c r="KA97" s="581">
        <f t="shared" si="2111"/>
        <v>0</v>
      </c>
      <c r="KB97" s="549">
        <f t="shared" si="3169"/>
        <v>0</v>
      </c>
      <c r="KC97" s="709">
        <f t="shared" si="2079"/>
        <v>0</v>
      </c>
      <c r="KD97" s="36"/>
      <c r="KE97" s="36"/>
      <c r="KF97" s="36"/>
      <c r="KG97" s="36"/>
      <c r="KH97" s="36"/>
      <c r="KI97" s="36"/>
      <c r="KJ97" s="36"/>
      <c r="KK97" s="36"/>
    </row>
    <row r="98" spans="1:297" s="8" customFormat="1" ht="12.75" customHeight="1">
      <c r="A98" s="75" t="s">
        <v>700</v>
      </c>
      <c r="B98" s="72"/>
      <c r="C98" s="74">
        <v>0</v>
      </c>
      <c r="D98" s="549">
        <f t="shared" ref="D98:E98" si="3243">D431</f>
        <v>0</v>
      </c>
      <c r="E98" s="675">
        <f t="shared" si="3243"/>
        <v>0</v>
      </c>
      <c r="F98" s="549">
        <f t="shared" ref="F98:G98" si="3244">F431</f>
        <v>0</v>
      </c>
      <c r="G98" s="675">
        <f t="shared" si="3244"/>
        <v>0</v>
      </c>
      <c r="H98" s="549">
        <f t="shared" si="3114"/>
        <v>0</v>
      </c>
      <c r="I98" s="675">
        <f t="shared" si="3114"/>
        <v>0</v>
      </c>
      <c r="J98" s="549">
        <f t="shared" si="3114"/>
        <v>0</v>
      </c>
      <c r="K98" s="675">
        <f t="shared" si="3114"/>
        <v>0</v>
      </c>
      <c r="L98" s="549">
        <f t="shared" si="3114"/>
        <v>0</v>
      </c>
      <c r="M98" s="675">
        <f t="shared" si="3114"/>
        <v>0</v>
      </c>
      <c r="N98" s="549">
        <f t="shared" si="3115"/>
        <v>0</v>
      </c>
      <c r="O98" s="675">
        <f t="shared" si="3115"/>
        <v>0</v>
      </c>
      <c r="P98" s="549">
        <f t="shared" si="3115"/>
        <v>0</v>
      </c>
      <c r="Q98" s="675">
        <f t="shared" si="3115"/>
        <v>0</v>
      </c>
      <c r="R98" s="549">
        <f t="shared" si="3116"/>
        <v>0</v>
      </c>
      <c r="S98" s="675">
        <f t="shared" si="3116"/>
        <v>0</v>
      </c>
      <c r="T98" s="549">
        <f t="shared" si="3116"/>
        <v>0</v>
      </c>
      <c r="U98" s="675">
        <f t="shared" si="3116"/>
        <v>0</v>
      </c>
      <c r="V98" s="549">
        <f t="shared" si="3117"/>
        <v>0</v>
      </c>
      <c r="W98" s="675">
        <f t="shared" si="3117"/>
        <v>0</v>
      </c>
      <c r="X98" s="549">
        <f t="shared" si="3118"/>
        <v>0</v>
      </c>
      <c r="Y98" s="675">
        <f t="shared" si="3118"/>
        <v>0</v>
      </c>
      <c r="Z98" s="549">
        <f t="shared" si="3117"/>
        <v>0</v>
      </c>
      <c r="AA98" s="675">
        <f t="shared" si="3117"/>
        <v>0</v>
      </c>
      <c r="AB98" s="549">
        <f t="shared" si="3117"/>
        <v>0</v>
      </c>
      <c r="AC98" s="675">
        <f t="shared" si="3117"/>
        <v>0</v>
      </c>
      <c r="AD98" s="549">
        <f t="shared" ref="AD98:AK98" si="3245">AD431</f>
        <v>0</v>
      </c>
      <c r="AE98" s="675">
        <f t="shared" si="3245"/>
        <v>0</v>
      </c>
      <c r="AF98" s="549">
        <f t="shared" si="3245"/>
        <v>0</v>
      </c>
      <c r="AG98" s="675">
        <f t="shared" si="3245"/>
        <v>0</v>
      </c>
      <c r="AH98" s="549">
        <f t="shared" si="3245"/>
        <v>0</v>
      </c>
      <c r="AI98" s="675">
        <f t="shared" si="3245"/>
        <v>0</v>
      </c>
      <c r="AJ98" s="549">
        <f t="shared" si="3245"/>
        <v>0</v>
      </c>
      <c r="AK98" s="675">
        <f t="shared" si="3245"/>
        <v>0</v>
      </c>
      <c r="AL98" s="549">
        <f t="shared" si="3120"/>
        <v>0</v>
      </c>
      <c r="AM98" s="675">
        <f t="shared" si="3120"/>
        <v>0</v>
      </c>
      <c r="AN98" s="549">
        <f t="shared" si="3121"/>
        <v>0</v>
      </c>
      <c r="AO98" s="675">
        <f t="shared" si="3121"/>
        <v>0</v>
      </c>
      <c r="AP98" s="549">
        <f t="shared" si="3121"/>
        <v>0</v>
      </c>
      <c r="AQ98" s="675">
        <f t="shared" si="3121"/>
        <v>0</v>
      </c>
      <c r="AR98" s="549">
        <f t="shared" si="3122"/>
        <v>0</v>
      </c>
      <c r="AS98" s="675">
        <f t="shared" si="3122"/>
        <v>0</v>
      </c>
      <c r="AT98" s="549">
        <f t="shared" ref="AT98:AU98" si="3246">AT431</f>
        <v>0</v>
      </c>
      <c r="AU98" s="675">
        <f t="shared" si="3246"/>
        <v>0</v>
      </c>
      <c r="AV98" s="549">
        <f t="shared" ref="AV98:AW98" si="3247">AV431</f>
        <v>0</v>
      </c>
      <c r="AW98" s="675">
        <f t="shared" si="3247"/>
        <v>0</v>
      </c>
      <c r="AX98" s="549">
        <f t="shared" ref="AX98:AY98" si="3248">AX431</f>
        <v>0</v>
      </c>
      <c r="AY98" s="675">
        <f t="shared" si="3248"/>
        <v>0</v>
      </c>
      <c r="AZ98" s="549">
        <f t="shared" ref="AZ98:BA98" si="3249">AZ431</f>
        <v>0</v>
      </c>
      <c r="BA98" s="675">
        <f t="shared" si="3249"/>
        <v>0</v>
      </c>
      <c r="BB98" s="549">
        <f t="shared" ref="BB98:BC98" si="3250">BB431</f>
        <v>0</v>
      </c>
      <c r="BC98" s="675">
        <f t="shared" si="3250"/>
        <v>0</v>
      </c>
      <c r="BD98" s="549">
        <f t="shared" ref="BD98:BE98" si="3251">BD431</f>
        <v>0</v>
      </c>
      <c r="BE98" s="675">
        <f t="shared" si="3251"/>
        <v>0</v>
      </c>
      <c r="BF98" s="549">
        <f t="shared" ref="BF98:BG98" si="3252">BF431</f>
        <v>0</v>
      </c>
      <c r="BG98" s="675">
        <f t="shared" si="3252"/>
        <v>0</v>
      </c>
      <c r="BH98" s="549">
        <f t="shared" ref="BH98:BI98" si="3253">BH431</f>
        <v>0</v>
      </c>
      <c r="BI98" s="675">
        <f t="shared" si="3253"/>
        <v>0</v>
      </c>
      <c r="BJ98" s="549">
        <f t="shared" ref="BJ98:BK98" si="3254">BJ431</f>
        <v>0</v>
      </c>
      <c r="BK98" s="675">
        <f t="shared" si="3254"/>
        <v>0</v>
      </c>
      <c r="BL98" s="549">
        <f t="shared" ref="BL98:BS98" si="3255">BL431</f>
        <v>1356</v>
      </c>
      <c r="BM98" s="675">
        <f t="shared" si="3255"/>
        <v>0</v>
      </c>
      <c r="BN98" s="549">
        <f t="shared" si="3255"/>
        <v>0</v>
      </c>
      <c r="BO98" s="675">
        <f t="shared" si="3255"/>
        <v>0</v>
      </c>
      <c r="BP98" s="549">
        <f t="shared" si="3255"/>
        <v>0</v>
      </c>
      <c r="BQ98" s="675">
        <f t="shared" si="3255"/>
        <v>0</v>
      </c>
      <c r="BR98" s="549">
        <f t="shared" si="3255"/>
        <v>0</v>
      </c>
      <c r="BS98" s="675">
        <f t="shared" si="3255"/>
        <v>0</v>
      </c>
      <c r="BT98" s="549">
        <f t="shared" si="3133"/>
        <v>0</v>
      </c>
      <c r="BU98" s="675">
        <f t="shared" si="3133"/>
        <v>0</v>
      </c>
      <c r="BV98" s="549">
        <f t="shared" si="3133"/>
        <v>0</v>
      </c>
      <c r="BW98" s="675">
        <f t="shared" si="3133"/>
        <v>0</v>
      </c>
      <c r="BX98" s="549">
        <f t="shared" ref="BX98:BY98" si="3256">BX431</f>
        <v>0</v>
      </c>
      <c r="BY98" s="675">
        <f t="shared" si="3256"/>
        <v>0</v>
      </c>
      <c r="BZ98" s="549">
        <f t="shared" ref="BZ98:CA98" si="3257">BZ431</f>
        <v>0</v>
      </c>
      <c r="CA98" s="675">
        <f t="shared" si="3257"/>
        <v>0</v>
      </c>
      <c r="CB98" s="549">
        <f t="shared" ref="CB98:CE98" si="3258">CB431</f>
        <v>0</v>
      </c>
      <c r="CC98" s="675">
        <f t="shared" si="3258"/>
        <v>0</v>
      </c>
      <c r="CD98" s="549">
        <f t="shared" si="3258"/>
        <v>0</v>
      </c>
      <c r="CE98" s="675">
        <f t="shared" si="3258"/>
        <v>0</v>
      </c>
      <c r="CF98" s="549">
        <f t="shared" si="3137"/>
        <v>0</v>
      </c>
      <c r="CG98" s="675">
        <f t="shared" si="3137"/>
        <v>0</v>
      </c>
      <c r="CH98" s="549">
        <f t="shared" ref="CH98:CQ98" si="3259">CH431</f>
        <v>0</v>
      </c>
      <c r="CI98" s="675">
        <f t="shared" si="3259"/>
        <v>0</v>
      </c>
      <c r="CJ98" s="549">
        <f t="shared" si="3259"/>
        <v>0</v>
      </c>
      <c r="CK98" s="675">
        <f t="shared" si="3259"/>
        <v>0</v>
      </c>
      <c r="CL98" s="549">
        <f t="shared" si="3259"/>
        <v>0</v>
      </c>
      <c r="CM98" s="675">
        <f t="shared" si="3259"/>
        <v>0</v>
      </c>
      <c r="CN98" s="549">
        <f t="shared" si="3259"/>
        <v>0</v>
      </c>
      <c r="CO98" s="675">
        <f t="shared" si="3259"/>
        <v>0</v>
      </c>
      <c r="CP98" s="549">
        <f t="shared" si="3259"/>
        <v>0</v>
      </c>
      <c r="CQ98" s="675">
        <f t="shared" si="3259"/>
        <v>0</v>
      </c>
      <c r="CR98" s="549">
        <f t="shared" si="3139"/>
        <v>0</v>
      </c>
      <c r="CS98" s="675">
        <f t="shared" si="3139"/>
        <v>0</v>
      </c>
      <c r="CT98" s="549">
        <f t="shared" si="3139"/>
        <v>0</v>
      </c>
      <c r="CU98" s="675">
        <f t="shared" si="3139"/>
        <v>0</v>
      </c>
      <c r="CV98" s="549">
        <f t="shared" si="3139"/>
        <v>0</v>
      </c>
      <c r="CW98" s="675">
        <f t="shared" si="3139"/>
        <v>0</v>
      </c>
      <c r="CX98" s="549">
        <f t="shared" si="3139"/>
        <v>0</v>
      </c>
      <c r="CY98" s="675">
        <f t="shared" si="3139"/>
        <v>0</v>
      </c>
      <c r="CZ98" s="549">
        <f t="shared" si="3140"/>
        <v>0</v>
      </c>
      <c r="DA98" s="675">
        <f t="shared" si="3140"/>
        <v>0</v>
      </c>
      <c r="DB98" s="549">
        <f t="shared" si="3140"/>
        <v>0</v>
      </c>
      <c r="DC98" s="675">
        <f t="shared" si="3140"/>
        <v>0</v>
      </c>
      <c r="DD98" s="549">
        <f t="shared" si="3141"/>
        <v>0</v>
      </c>
      <c r="DE98" s="675">
        <f t="shared" si="3141"/>
        <v>0</v>
      </c>
      <c r="DF98" s="549">
        <f t="shared" si="3140"/>
        <v>0</v>
      </c>
      <c r="DG98" s="675">
        <f t="shared" si="3140"/>
        <v>0</v>
      </c>
      <c r="DH98" s="549">
        <f t="shared" si="3142"/>
        <v>0</v>
      </c>
      <c r="DI98" s="675">
        <f t="shared" si="3142"/>
        <v>0</v>
      </c>
      <c r="DJ98" s="549">
        <f t="shared" si="3143"/>
        <v>0</v>
      </c>
      <c r="DK98" s="675">
        <f t="shared" si="3143"/>
        <v>0</v>
      </c>
      <c r="DL98" s="549">
        <f t="shared" si="3143"/>
        <v>0</v>
      </c>
      <c r="DM98" s="675">
        <f t="shared" si="3143"/>
        <v>0</v>
      </c>
      <c r="DN98" s="549">
        <f t="shared" si="3144"/>
        <v>0</v>
      </c>
      <c r="DO98" s="675">
        <f t="shared" si="3144"/>
        <v>0</v>
      </c>
      <c r="DP98" s="549">
        <f t="shared" ref="DP98:DU98" si="3260">DP431</f>
        <v>0</v>
      </c>
      <c r="DQ98" s="675">
        <f t="shared" si="3260"/>
        <v>0</v>
      </c>
      <c r="DR98" s="549">
        <f t="shared" si="3260"/>
        <v>0</v>
      </c>
      <c r="DS98" s="675">
        <f t="shared" si="3260"/>
        <v>0</v>
      </c>
      <c r="DT98" s="549">
        <f t="shared" si="3260"/>
        <v>0</v>
      </c>
      <c r="DU98" s="675">
        <f t="shared" si="3260"/>
        <v>0</v>
      </c>
      <c r="DV98" s="549">
        <f t="shared" si="3146"/>
        <v>0</v>
      </c>
      <c r="DW98" s="675">
        <f t="shared" si="3146"/>
        <v>0</v>
      </c>
      <c r="DX98" s="549">
        <f t="shared" si="3188"/>
        <v>0</v>
      </c>
      <c r="DY98" s="675">
        <f t="shared" si="3188"/>
        <v>0</v>
      </c>
      <c r="DZ98" s="549">
        <f t="shared" si="3188"/>
        <v>0</v>
      </c>
      <c r="EA98" s="675">
        <f t="shared" si="3188"/>
        <v>0</v>
      </c>
      <c r="EB98" s="549">
        <f t="shared" ref="EB98:EM98" si="3261">EB431</f>
        <v>0</v>
      </c>
      <c r="EC98" s="675">
        <f t="shared" si="3261"/>
        <v>0</v>
      </c>
      <c r="ED98" s="549">
        <f t="shared" si="3261"/>
        <v>0</v>
      </c>
      <c r="EE98" s="675">
        <f t="shared" si="3261"/>
        <v>0</v>
      </c>
      <c r="EF98" s="549">
        <f t="shared" si="3261"/>
        <v>0</v>
      </c>
      <c r="EG98" s="675">
        <f t="shared" si="3261"/>
        <v>0</v>
      </c>
      <c r="EH98" s="549">
        <f t="shared" si="3261"/>
        <v>0</v>
      </c>
      <c r="EI98" s="675">
        <f t="shared" si="3261"/>
        <v>0</v>
      </c>
      <c r="EJ98" s="549">
        <f t="shared" si="3261"/>
        <v>0</v>
      </c>
      <c r="EK98" s="675">
        <f t="shared" si="3261"/>
        <v>0</v>
      </c>
      <c r="EL98" s="549">
        <f t="shared" si="3261"/>
        <v>0</v>
      </c>
      <c r="EM98" s="675">
        <f t="shared" si="3261"/>
        <v>0</v>
      </c>
      <c r="EN98" s="549">
        <f t="shared" si="3149"/>
        <v>0</v>
      </c>
      <c r="EO98" s="675">
        <f t="shared" si="3149"/>
        <v>0</v>
      </c>
      <c r="EP98" s="549">
        <f t="shared" ref="EP98:FA98" si="3262">EP431</f>
        <v>0</v>
      </c>
      <c r="EQ98" s="675">
        <f t="shared" si="3262"/>
        <v>0</v>
      </c>
      <c r="ER98" s="549">
        <f t="shared" si="3262"/>
        <v>0</v>
      </c>
      <c r="ES98" s="675">
        <f t="shared" si="3262"/>
        <v>0</v>
      </c>
      <c r="ET98" s="549">
        <f t="shared" si="3262"/>
        <v>0</v>
      </c>
      <c r="EU98" s="675">
        <f t="shared" si="3262"/>
        <v>0</v>
      </c>
      <c r="EV98" s="549">
        <f t="shared" si="3191"/>
        <v>0</v>
      </c>
      <c r="EW98" s="675">
        <f t="shared" si="3191"/>
        <v>0</v>
      </c>
      <c r="EX98" s="549">
        <f t="shared" si="3262"/>
        <v>0</v>
      </c>
      <c r="EY98" s="675">
        <f t="shared" si="3262"/>
        <v>0</v>
      </c>
      <c r="EZ98" s="549">
        <f t="shared" si="3262"/>
        <v>0</v>
      </c>
      <c r="FA98" s="675">
        <f t="shared" si="3262"/>
        <v>0</v>
      </c>
      <c r="FB98" s="549">
        <f t="shared" si="3192"/>
        <v>0</v>
      </c>
      <c r="FC98" s="675">
        <f t="shared" si="3192"/>
        <v>0</v>
      </c>
      <c r="FD98" s="549">
        <f t="shared" si="3192"/>
        <v>0</v>
      </c>
      <c r="FE98" s="675">
        <f t="shared" si="3192"/>
        <v>0</v>
      </c>
      <c r="FF98" s="549">
        <f t="shared" ref="FF98:FG98" si="3263">FF431</f>
        <v>0</v>
      </c>
      <c r="FG98" s="675">
        <f t="shared" si="3263"/>
        <v>0</v>
      </c>
      <c r="FH98" s="549">
        <f t="shared" ref="FH98:FI98" si="3264">FH431</f>
        <v>0</v>
      </c>
      <c r="FI98" s="675">
        <f t="shared" si="3264"/>
        <v>0</v>
      </c>
      <c r="FJ98" s="549">
        <f t="shared" ref="FJ98:FK98" si="3265">FJ431</f>
        <v>0</v>
      </c>
      <c r="FK98" s="675">
        <f t="shared" si="3265"/>
        <v>0</v>
      </c>
      <c r="FL98" s="549">
        <f t="shared" ref="FL98:FM98" si="3266">FL431</f>
        <v>0</v>
      </c>
      <c r="FM98" s="675">
        <f t="shared" si="3266"/>
        <v>0</v>
      </c>
      <c r="FN98" s="549">
        <f t="shared" ref="FN98:FO98" si="3267">FN431</f>
        <v>0</v>
      </c>
      <c r="FO98" s="675">
        <f t="shared" si="3267"/>
        <v>0</v>
      </c>
      <c r="FP98" s="549">
        <f t="shared" ref="FP98:FQ98" si="3268">FP431</f>
        <v>0</v>
      </c>
      <c r="FQ98" s="675">
        <f t="shared" si="3268"/>
        <v>0</v>
      </c>
      <c r="FR98" s="549">
        <f t="shared" ref="FR98:FS98" si="3269">FR431</f>
        <v>0</v>
      </c>
      <c r="FS98" s="675">
        <f t="shared" si="3269"/>
        <v>0</v>
      </c>
      <c r="FT98" s="549">
        <f t="shared" ref="FT98:FU98" si="3270">FT431</f>
        <v>0</v>
      </c>
      <c r="FU98" s="675">
        <f t="shared" si="3270"/>
        <v>0</v>
      </c>
      <c r="FV98" s="549">
        <f t="shared" ref="FV98:GK98" si="3271">FV431</f>
        <v>0</v>
      </c>
      <c r="FW98" s="675">
        <f t="shared" si="3271"/>
        <v>0</v>
      </c>
      <c r="FX98" s="549">
        <f t="shared" si="3271"/>
        <v>0</v>
      </c>
      <c r="FY98" s="675">
        <f t="shared" si="3271"/>
        <v>0</v>
      </c>
      <c r="FZ98" s="549">
        <f t="shared" ref="FZ98:GI98" si="3272">FZ431</f>
        <v>0</v>
      </c>
      <c r="GA98" s="675">
        <f t="shared" si="3272"/>
        <v>0</v>
      </c>
      <c r="GB98" s="549">
        <f t="shared" si="3272"/>
        <v>0</v>
      </c>
      <c r="GC98" s="675">
        <f t="shared" si="3272"/>
        <v>0</v>
      </c>
      <c r="GD98" s="549">
        <f t="shared" si="3272"/>
        <v>0</v>
      </c>
      <c r="GE98" s="675">
        <f t="shared" si="3272"/>
        <v>0</v>
      </c>
      <c r="GF98" s="549">
        <f t="shared" si="3272"/>
        <v>0</v>
      </c>
      <c r="GG98" s="675">
        <f t="shared" si="3272"/>
        <v>0</v>
      </c>
      <c r="GH98" s="549">
        <f t="shared" si="3272"/>
        <v>0</v>
      </c>
      <c r="GI98" s="675">
        <f t="shared" si="3272"/>
        <v>0</v>
      </c>
      <c r="GJ98" s="549">
        <f t="shared" si="3271"/>
        <v>0</v>
      </c>
      <c r="GK98" s="675">
        <f t="shared" si="3271"/>
        <v>0</v>
      </c>
      <c r="GL98" s="549">
        <f t="shared" ref="GL98:GM98" si="3273">GL431</f>
        <v>0</v>
      </c>
      <c r="GM98" s="675">
        <f t="shared" si="3273"/>
        <v>0</v>
      </c>
      <c r="GN98" s="549">
        <f t="shared" ref="GN98:GO98" si="3274">GN431</f>
        <v>0</v>
      </c>
      <c r="GO98" s="675">
        <f t="shared" si="3274"/>
        <v>0</v>
      </c>
      <c r="GP98" s="74">
        <f t="shared" si="3192"/>
        <v>1356</v>
      </c>
      <c r="GQ98" s="675">
        <f t="shared" si="3192"/>
        <v>0</v>
      </c>
      <c r="GR98" s="74">
        <f t="shared" ref="GR98:JB98" si="3275">GR431</f>
        <v>1356</v>
      </c>
      <c r="GS98" s="74">
        <f t="shared" si="3275"/>
        <v>1356</v>
      </c>
      <c r="GT98" s="549">
        <f t="shared" si="3275"/>
        <v>1356</v>
      </c>
      <c r="GU98" s="74">
        <f t="shared" si="3275"/>
        <v>0</v>
      </c>
      <c r="GV98" s="74">
        <f t="shared" si="3275"/>
        <v>0</v>
      </c>
      <c r="GW98" s="549">
        <f t="shared" si="3275"/>
        <v>0</v>
      </c>
      <c r="GX98" s="549">
        <f t="shared" si="3275"/>
        <v>0</v>
      </c>
      <c r="GY98" s="74">
        <f t="shared" si="3275"/>
        <v>0</v>
      </c>
      <c r="GZ98" s="74">
        <f t="shared" si="3275"/>
        <v>0</v>
      </c>
      <c r="HA98" s="74">
        <f t="shared" si="3275"/>
        <v>0</v>
      </c>
      <c r="HB98" s="74">
        <f t="shared" si="3275"/>
        <v>0</v>
      </c>
      <c r="HC98" s="74">
        <f t="shared" si="3275"/>
        <v>0</v>
      </c>
      <c r="HD98" s="74">
        <f t="shared" si="3275"/>
        <v>0</v>
      </c>
      <c r="HE98" s="74">
        <f t="shared" si="3275"/>
        <v>0</v>
      </c>
      <c r="HF98" s="74">
        <f t="shared" si="3275"/>
        <v>0</v>
      </c>
      <c r="HG98" s="74">
        <f t="shared" si="3275"/>
        <v>1356</v>
      </c>
      <c r="HH98" s="74">
        <f t="shared" ref="HH98:HU98" si="3276">HH431</f>
        <v>0</v>
      </c>
      <c r="HI98" s="74">
        <f t="shared" si="3276"/>
        <v>0</v>
      </c>
      <c r="HJ98" s="74">
        <f t="shared" si="3276"/>
        <v>0</v>
      </c>
      <c r="HK98" s="74">
        <f t="shared" si="3276"/>
        <v>0</v>
      </c>
      <c r="HL98" s="74">
        <f t="shared" si="3276"/>
        <v>0</v>
      </c>
      <c r="HM98" s="74">
        <f t="shared" si="3276"/>
        <v>0</v>
      </c>
      <c r="HN98" s="74">
        <f t="shared" si="3276"/>
        <v>0</v>
      </c>
      <c r="HO98" s="74">
        <f t="shared" si="3276"/>
        <v>0</v>
      </c>
      <c r="HP98" s="74">
        <f t="shared" si="3276"/>
        <v>0</v>
      </c>
      <c r="HQ98" s="74">
        <f t="shared" si="3276"/>
        <v>0</v>
      </c>
      <c r="HR98" s="74">
        <f t="shared" si="3276"/>
        <v>1356</v>
      </c>
      <c r="HS98" s="74">
        <f t="shared" si="3276"/>
        <v>0</v>
      </c>
      <c r="HT98" s="74">
        <f t="shared" si="3276"/>
        <v>0</v>
      </c>
      <c r="HU98" s="74">
        <f t="shared" si="3276"/>
        <v>0</v>
      </c>
      <c r="HV98" s="74">
        <f t="shared" si="3275"/>
        <v>0</v>
      </c>
      <c r="HW98" s="74">
        <f t="shared" si="3275"/>
        <v>0</v>
      </c>
      <c r="HX98" s="74">
        <f t="shared" si="3275"/>
        <v>0</v>
      </c>
      <c r="HY98" s="74">
        <f t="shared" si="3275"/>
        <v>0</v>
      </c>
      <c r="HZ98" s="74">
        <f t="shared" si="3275"/>
        <v>0</v>
      </c>
      <c r="IA98" s="74">
        <f t="shared" si="3275"/>
        <v>0</v>
      </c>
      <c r="IB98" s="74">
        <f t="shared" si="3275"/>
        <v>0</v>
      </c>
      <c r="IC98" s="74">
        <f t="shared" si="3275"/>
        <v>0</v>
      </c>
      <c r="ID98" s="74">
        <f t="shared" si="3275"/>
        <v>0</v>
      </c>
      <c r="IE98" s="792">
        <f t="shared" si="3275"/>
        <v>0</v>
      </c>
      <c r="IF98" s="841">
        <f t="shared" si="3275"/>
        <v>1356</v>
      </c>
      <c r="IG98" s="263">
        <f t="shared" si="3275"/>
        <v>1356</v>
      </c>
      <c r="IH98" s="842">
        <f t="shared" si="3275"/>
        <v>1356</v>
      </c>
      <c r="II98" s="155">
        <f t="shared" si="3275"/>
        <v>0</v>
      </c>
      <c r="IJ98" s="74">
        <f t="shared" si="3275"/>
        <v>0</v>
      </c>
      <c r="IK98" s="74">
        <f t="shared" si="3275"/>
        <v>0</v>
      </c>
      <c r="IL98" s="74">
        <f t="shared" si="3275"/>
        <v>0</v>
      </c>
      <c r="IM98" s="74">
        <f t="shared" si="3275"/>
        <v>0</v>
      </c>
      <c r="IN98" s="74">
        <f t="shared" si="3275"/>
        <v>0</v>
      </c>
      <c r="IO98" s="74">
        <f t="shared" si="3275"/>
        <v>0</v>
      </c>
      <c r="IP98" s="74">
        <f t="shared" si="3275"/>
        <v>0</v>
      </c>
      <c r="IQ98" s="74">
        <f t="shared" si="3275"/>
        <v>0</v>
      </c>
      <c r="IR98" s="74">
        <f t="shared" si="3275"/>
        <v>0</v>
      </c>
      <c r="IS98" s="74">
        <f t="shared" si="3275"/>
        <v>0</v>
      </c>
      <c r="IT98" s="74">
        <f t="shared" si="3275"/>
        <v>0</v>
      </c>
      <c r="IU98" s="74">
        <f t="shared" si="3275"/>
        <v>0</v>
      </c>
      <c r="IV98" s="74">
        <f t="shared" si="3275"/>
        <v>0</v>
      </c>
      <c r="IW98" s="74">
        <f t="shared" si="3275"/>
        <v>0</v>
      </c>
      <c r="IX98" s="74">
        <f t="shared" si="3275"/>
        <v>1356</v>
      </c>
      <c r="IY98" s="74">
        <f t="shared" si="3275"/>
        <v>1356</v>
      </c>
      <c r="IZ98" s="74">
        <f t="shared" si="3275"/>
        <v>1356</v>
      </c>
      <c r="JA98" s="74">
        <f t="shared" si="3275"/>
        <v>0</v>
      </c>
      <c r="JB98" s="74">
        <f t="shared" si="3275"/>
        <v>0</v>
      </c>
      <c r="JC98" s="74">
        <f t="shared" ref="JC98:JT98" si="3277">JC431</f>
        <v>0</v>
      </c>
      <c r="JD98" s="74">
        <f t="shared" si="3277"/>
        <v>0</v>
      </c>
      <c r="JE98" s="74">
        <f t="shared" si="3277"/>
        <v>0</v>
      </c>
      <c r="JF98" s="74">
        <f t="shared" si="3277"/>
        <v>0</v>
      </c>
      <c r="JG98" s="74">
        <f t="shared" si="3277"/>
        <v>0</v>
      </c>
      <c r="JH98" s="74">
        <f t="shared" si="3277"/>
        <v>0</v>
      </c>
      <c r="JI98" s="74">
        <f t="shared" si="3277"/>
        <v>0</v>
      </c>
      <c r="JJ98" s="74">
        <f t="shared" si="3277"/>
        <v>0</v>
      </c>
      <c r="JK98" s="74">
        <f t="shared" si="3277"/>
        <v>0</v>
      </c>
      <c r="JL98" s="74">
        <f t="shared" si="3277"/>
        <v>0</v>
      </c>
      <c r="JM98" s="74">
        <f t="shared" si="3277"/>
        <v>0</v>
      </c>
      <c r="JN98" s="74">
        <f t="shared" si="3277"/>
        <v>0</v>
      </c>
      <c r="JO98" s="74">
        <f t="shared" si="3277"/>
        <v>0</v>
      </c>
      <c r="JP98" s="74">
        <f t="shared" si="3277"/>
        <v>0</v>
      </c>
      <c r="JQ98" s="74">
        <f t="shared" si="3277"/>
        <v>0</v>
      </c>
      <c r="JR98" s="74">
        <f t="shared" si="3277"/>
        <v>0</v>
      </c>
      <c r="JS98" s="74">
        <f t="shared" si="3277"/>
        <v>0</v>
      </c>
      <c r="JT98" s="102">
        <f t="shared" si="3277"/>
        <v>0</v>
      </c>
      <c r="JU98" s="671"/>
      <c r="JV98" s="492"/>
      <c r="JW98" s="490"/>
      <c r="JX98" s="549">
        <f t="shared" si="3169"/>
        <v>1356</v>
      </c>
      <c r="JY98" s="549">
        <f t="shared" si="3169"/>
        <v>0</v>
      </c>
      <c r="JZ98" s="581">
        <f t="shared" si="2110"/>
        <v>1356</v>
      </c>
      <c r="KA98" s="581">
        <f t="shared" si="2111"/>
        <v>0</v>
      </c>
      <c r="KB98" s="549">
        <f t="shared" si="3169"/>
        <v>1356</v>
      </c>
      <c r="KC98" s="709">
        <f t="shared" si="2079"/>
        <v>0</v>
      </c>
      <c r="KD98" s="36"/>
      <c r="KE98" s="36"/>
      <c r="KF98" s="36"/>
      <c r="KG98" s="36"/>
      <c r="KH98" s="36"/>
      <c r="KI98" s="36"/>
      <c r="KJ98" s="36"/>
      <c r="KK98" s="36"/>
    </row>
    <row r="99" spans="1:297" s="8" customFormat="1" ht="12.75" customHeight="1">
      <c r="A99" s="75" t="s">
        <v>701</v>
      </c>
      <c r="B99" s="72"/>
      <c r="C99" s="74">
        <v>0</v>
      </c>
      <c r="D99" s="549">
        <f t="shared" ref="D99:E99" si="3278">D432</f>
        <v>0</v>
      </c>
      <c r="E99" s="675">
        <f t="shared" si="3278"/>
        <v>0</v>
      </c>
      <c r="F99" s="549">
        <f t="shared" ref="F99:G99" si="3279">F432</f>
        <v>0</v>
      </c>
      <c r="G99" s="675">
        <f t="shared" si="3279"/>
        <v>0</v>
      </c>
      <c r="H99" s="549">
        <f t="shared" si="3114"/>
        <v>0</v>
      </c>
      <c r="I99" s="675">
        <f t="shared" si="3114"/>
        <v>0</v>
      </c>
      <c r="J99" s="549">
        <f t="shared" si="3114"/>
        <v>0</v>
      </c>
      <c r="K99" s="675">
        <f t="shared" si="3114"/>
        <v>0</v>
      </c>
      <c r="L99" s="549">
        <f t="shared" si="3114"/>
        <v>0</v>
      </c>
      <c r="M99" s="675">
        <f t="shared" si="3114"/>
        <v>0</v>
      </c>
      <c r="N99" s="549">
        <f t="shared" si="3115"/>
        <v>0</v>
      </c>
      <c r="O99" s="675">
        <f t="shared" si="3115"/>
        <v>0</v>
      </c>
      <c r="P99" s="549">
        <f t="shared" si="3115"/>
        <v>0</v>
      </c>
      <c r="Q99" s="675">
        <f t="shared" si="3115"/>
        <v>0</v>
      </c>
      <c r="R99" s="549">
        <f t="shared" si="3116"/>
        <v>0</v>
      </c>
      <c r="S99" s="675">
        <f t="shared" si="3116"/>
        <v>0</v>
      </c>
      <c r="T99" s="549">
        <f t="shared" si="3116"/>
        <v>0</v>
      </c>
      <c r="U99" s="675">
        <f t="shared" si="3116"/>
        <v>0</v>
      </c>
      <c r="V99" s="549">
        <f t="shared" si="3117"/>
        <v>0</v>
      </c>
      <c r="W99" s="675">
        <f t="shared" si="3117"/>
        <v>0</v>
      </c>
      <c r="X99" s="549">
        <f t="shared" si="3118"/>
        <v>0</v>
      </c>
      <c r="Y99" s="675">
        <f t="shared" si="3118"/>
        <v>0</v>
      </c>
      <c r="Z99" s="549">
        <f t="shared" si="3117"/>
        <v>0</v>
      </c>
      <c r="AA99" s="675">
        <f t="shared" si="3117"/>
        <v>0</v>
      </c>
      <c r="AB99" s="549">
        <f t="shared" si="3117"/>
        <v>0</v>
      </c>
      <c r="AC99" s="675">
        <f t="shared" si="3117"/>
        <v>0</v>
      </c>
      <c r="AD99" s="549">
        <f t="shared" ref="AD99:AK99" si="3280">AD432</f>
        <v>0</v>
      </c>
      <c r="AE99" s="675">
        <f t="shared" si="3280"/>
        <v>0</v>
      </c>
      <c r="AF99" s="549">
        <f t="shared" si="3280"/>
        <v>0</v>
      </c>
      <c r="AG99" s="675">
        <f t="shared" si="3280"/>
        <v>0</v>
      </c>
      <c r="AH99" s="549">
        <f t="shared" si="3280"/>
        <v>0</v>
      </c>
      <c r="AI99" s="675">
        <f t="shared" si="3280"/>
        <v>0</v>
      </c>
      <c r="AJ99" s="549">
        <f t="shared" si="3280"/>
        <v>0</v>
      </c>
      <c r="AK99" s="675">
        <f t="shared" si="3280"/>
        <v>0</v>
      </c>
      <c r="AL99" s="549">
        <f t="shared" si="3120"/>
        <v>0</v>
      </c>
      <c r="AM99" s="675">
        <f t="shared" si="3120"/>
        <v>0</v>
      </c>
      <c r="AN99" s="549">
        <f t="shared" si="3121"/>
        <v>0</v>
      </c>
      <c r="AO99" s="675">
        <f t="shared" si="3121"/>
        <v>0</v>
      </c>
      <c r="AP99" s="549">
        <f t="shared" si="3121"/>
        <v>0</v>
      </c>
      <c r="AQ99" s="675">
        <f t="shared" si="3121"/>
        <v>0</v>
      </c>
      <c r="AR99" s="549">
        <f t="shared" si="3122"/>
        <v>0</v>
      </c>
      <c r="AS99" s="675">
        <f t="shared" si="3122"/>
        <v>0</v>
      </c>
      <c r="AT99" s="549">
        <f t="shared" ref="AT99:AU99" si="3281">AT432</f>
        <v>0</v>
      </c>
      <c r="AU99" s="675">
        <f t="shared" si="3281"/>
        <v>0</v>
      </c>
      <c r="AV99" s="549">
        <f t="shared" ref="AV99:AW99" si="3282">AV432</f>
        <v>0</v>
      </c>
      <c r="AW99" s="675">
        <f t="shared" si="3282"/>
        <v>0</v>
      </c>
      <c r="AX99" s="549">
        <f t="shared" ref="AX99:AY99" si="3283">AX432</f>
        <v>0</v>
      </c>
      <c r="AY99" s="675">
        <f t="shared" si="3283"/>
        <v>0</v>
      </c>
      <c r="AZ99" s="549">
        <f t="shared" ref="AZ99:BA99" si="3284">AZ432</f>
        <v>0</v>
      </c>
      <c r="BA99" s="675">
        <f t="shared" si="3284"/>
        <v>0</v>
      </c>
      <c r="BB99" s="549">
        <f t="shared" ref="BB99:BC99" si="3285">BB432</f>
        <v>0</v>
      </c>
      <c r="BC99" s="675">
        <f t="shared" si="3285"/>
        <v>0</v>
      </c>
      <c r="BD99" s="549">
        <f t="shared" ref="BD99:BE99" si="3286">BD432</f>
        <v>0</v>
      </c>
      <c r="BE99" s="675">
        <f t="shared" si="3286"/>
        <v>0</v>
      </c>
      <c r="BF99" s="549">
        <f t="shared" ref="BF99:BG99" si="3287">BF432</f>
        <v>0</v>
      </c>
      <c r="BG99" s="675">
        <f t="shared" si="3287"/>
        <v>0</v>
      </c>
      <c r="BH99" s="549">
        <f t="shared" ref="BH99:BI99" si="3288">BH432</f>
        <v>0</v>
      </c>
      <c r="BI99" s="675">
        <f t="shared" si="3288"/>
        <v>0</v>
      </c>
      <c r="BJ99" s="549">
        <f t="shared" ref="BJ99:BK99" si="3289">BJ432</f>
        <v>0</v>
      </c>
      <c r="BK99" s="675">
        <f t="shared" si="3289"/>
        <v>0</v>
      </c>
      <c r="BL99" s="549">
        <f t="shared" ref="BL99:BS99" si="3290">BL432</f>
        <v>51</v>
      </c>
      <c r="BM99" s="675">
        <f t="shared" si="3290"/>
        <v>0</v>
      </c>
      <c r="BN99" s="549">
        <f t="shared" si="3290"/>
        <v>0</v>
      </c>
      <c r="BO99" s="675">
        <f t="shared" si="3290"/>
        <v>0</v>
      </c>
      <c r="BP99" s="549">
        <f t="shared" si="3290"/>
        <v>0</v>
      </c>
      <c r="BQ99" s="675">
        <f t="shared" si="3290"/>
        <v>0</v>
      </c>
      <c r="BR99" s="549">
        <f t="shared" si="3290"/>
        <v>0</v>
      </c>
      <c r="BS99" s="675">
        <f t="shared" si="3290"/>
        <v>0</v>
      </c>
      <c r="BT99" s="549">
        <f t="shared" si="3133"/>
        <v>0</v>
      </c>
      <c r="BU99" s="675">
        <f t="shared" si="3133"/>
        <v>0</v>
      </c>
      <c r="BV99" s="549">
        <f t="shared" si="3133"/>
        <v>0</v>
      </c>
      <c r="BW99" s="675">
        <f t="shared" si="3133"/>
        <v>0</v>
      </c>
      <c r="BX99" s="549">
        <f t="shared" ref="BX99:BY99" si="3291">BX432</f>
        <v>0</v>
      </c>
      <c r="BY99" s="675">
        <f t="shared" si="3291"/>
        <v>0</v>
      </c>
      <c r="BZ99" s="549">
        <f t="shared" ref="BZ99:CA99" si="3292">BZ432</f>
        <v>0</v>
      </c>
      <c r="CA99" s="675">
        <f t="shared" si="3292"/>
        <v>0</v>
      </c>
      <c r="CB99" s="549">
        <f t="shared" ref="CB99:CE99" si="3293">CB432</f>
        <v>0</v>
      </c>
      <c r="CC99" s="675">
        <f t="shared" si="3293"/>
        <v>0</v>
      </c>
      <c r="CD99" s="549">
        <f t="shared" si="3293"/>
        <v>0</v>
      </c>
      <c r="CE99" s="675">
        <f t="shared" si="3293"/>
        <v>0</v>
      </c>
      <c r="CF99" s="549">
        <f t="shared" si="3137"/>
        <v>0</v>
      </c>
      <c r="CG99" s="675">
        <f t="shared" si="3137"/>
        <v>0</v>
      </c>
      <c r="CH99" s="549">
        <f t="shared" ref="CH99:CQ99" si="3294">CH432</f>
        <v>0</v>
      </c>
      <c r="CI99" s="675">
        <f t="shared" si="3294"/>
        <v>0</v>
      </c>
      <c r="CJ99" s="549">
        <f t="shared" si="3294"/>
        <v>0</v>
      </c>
      <c r="CK99" s="675">
        <f t="shared" si="3294"/>
        <v>0</v>
      </c>
      <c r="CL99" s="549">
        <f t="shared" si="3294"/>
        <v>0</v>
      </c>
      <c r="CM99" s="675">
        <f t="shared" si="3294"/>
        <v>0</v>
      </c>
      <c r="CN99" s="549">
        <f t="shared" si="3294"/>
        <v>0</v>
      </c>
      <c r="CO99" s="675">
        <f t="shared" si="3294"/>
        <v>0</v>
      </c>
      <c r="CP99" s="549">
        <f t="shared" si="3294"/>
        <v>0</v>
      </c>
      <c r="CQ99" s="675">
        <f t="shared" si="3294"/>
        <v>0</v>
      </c>
      <c r="CR99" s="549">
        <f t="shared" si="3139"/>
        <v>0</v>
      </c>
      <c r="CS99" s="675">
        <f t="shared" si="3139"/>
        <v>0</v>
      </c>
      <c r="CT99" s="549">
        <f t="shared" si="3139"/>
        <v>0</v>
      </c>
      <c r="CU99" s="675">
        <f t="shared" si="3139"/>
        <v>0</v>
      </c>
      <c r="CV99" s="549">
        <f t="shared" si="3139"/>
        <v>0</v>
      </c>
      <c r="CW99" s="675">
        <f t="shared" si="3139"/>
        <v>0</v>
      </c>
      <c r="CX99" s="549">
        <f t="shared" si="3139"/>
        <v>0</v>
      </c>
      <c r="CY99" s="675">
        <f t="shared" si="3139"/>
        <v>0</v>
      </c>
      <c r="CZ99" s="549">
        <f t="shared" si="3140"/>
        <v>0</v>
      </c>
      <c r="DA99" s="675">
        <f t="shared" si="3140"/>
        <v>0</v>
      </c>
      <c r="DB99" s="549">
        <f t="shared" si="3140"/>
        <v>0</v>
      </c>
      <c r="DC99" s="675">
        <f t="shared" si="3140"/>
        <v>0</v>
      </c>
      <c r="DD99" s="549">
        <f t="shared" si="3141"/>
        <v>0</v>
      </c>
      <c r="DE99" s="675">
        <f t="shared" si="3141"/>
        <v>0</v>
      </c>
      <c r="DF99" s="549">
        <f t="shared" si="3140"/>
        <v>0</v>
      </c>
      <c r="DG99" s="675">
        <f t="shared" si="3140"/>
        <v>0</v>
      </c>
      <c r="DH99" s="549">
        <f t="shared" si="3142"/>
        <v>0</v>
      </c>
      <c r="DI99" s="675">
        <f t="shared" si="3142"/>
        <v>0</v>
      </c>
      <c r="DJ99" s="549">
        <f t="shared" si="3143"/>
        <v>0</v>
      </c>
      <c r="DK99" s="675">
        <f t="shared" si="3143"/>
        <v>0</v>
      </c>
      <c r="DL99" s="549">
        <f t="shared" si="3143"/>
        <v>0</v>
      </c>
      <c r="DM99" s="675">
        <f t="shared" si="3143"/>
        <v>0</v>
      </c>
      <c r="DN99" s="549">
        <f t="shared" si="3144"/>
        <v>0</v>
      </c>
      <c r="DO99" s="675">
        <f t="shared" si="3144"/>
        <v>0</v>
      </c>
      <c r="DP99" s="549">
        <f t="shared" ref="DP99:DU99" si="3295">DP432</f>
        <v>0</v>
      </c>
      <c r="DQ99" s="675">
        <f t="shared" si="3295"/>
        <v>0</v>
      </c>
      <c r="DR99" s="549">
        <f t="shared" si="3295"/>
        <v>0</v>
      </c>
      <c r="DS99" s="675">
        <f t="shared" si="3295"/>
        <v>0</v>
      </c>
      <c r="DT99" s="549">
        <f t="shared" si="3295"/>
        <v>0</v>
      </c>
      <c r="DU99" s="675">
        <f t="shared" si="3295"/>
        <v>0</v>
      </c>
      <c r="DV99" s="549">
        <f t="shared" si="3146"/>
        <v>0</v>
      </c>
      <c r="DW99" s="675">
        <f t="shared" si="3146"/>
        <v>0</v>
      </c>
      <c r="DX99" s="549">
        <f t="shared" si="3188"/>
        <v>0</v>
      </c>
      <c r="DY99" s="675">
        <f t="shared" si="3188"/>
        <v>0</v>
      </c>
      <c r="DZ99" s="549">
        <f t="shared" si="3188"/>
        <v>0</v>
      </c>
      <c r="EA99" s="675">
        <f t="shared" si="3188"/>
        <v>0</v>
      </c>
      <c r="EB99" s="549">
        <f t="shared" ref="EB99:EM99" si="3296">EB432</f>
        <v>0</v>
      </c>
      <c r="EC99" s="675">
        <f t="shared" si="3296"/>
        <v>0</v>
      </c>
      <c r="ED99" s="549">
        <f t="shared" si="3296"/>
        <v>0</v>
      </c>
      <c r="EE99" s="675">
        <f t="shared" si="3296"/>
        <v>0</v>
      </c>
      <c r="EF99" s="549">
        <f t="shared" si="3296"/>
        <v>0</v>
      </c>
      <c r="EG99" s="675">
        <f t="shared" si="3296"/>
        <v>0</v>
      </c>
      <c r="EH99" s="549">
        <f t="shared" si="3296"/>
        <v>0</v>
      </c>
      <c r="EI99" s="675">
        <f t="shared" si="3296"/>
        <v>0</v>
      </c>
      <c r="EJ99" s="549">
        <f t="shared" si="3296"/>
        <v>0</v>
      </c>
      <c r="EK99" s="675">
        <f t="shared" si="3296"/>
        <v>0</v>
      </c>
      <c r="EL99" s="549">
        <f t="shared" si="3296"/>
        <v>0</v>
      </c>
      <c r="EM99" s="675">
        <f t="shared" si="3296"/>
        <v>0</v>
      </c>
      <c r="EN99" s="549">
        <f t="shared" si="3149"/>
        <v>0</v>
      </c>
      <c r="EO99" s="675">
        <f t="shared" si="3149"/>
        <v>0</v>
      </c>
      <c r="EP99" s="549">
        <f t="shared" ref="EP99:FA99" si="3297">EP432</f>
        <v>0</v>
      </c>
      <c r="EQ99" s="675">
        <f t="shared" si="3297"/>
        <v>0</v>
      </c>
      <c r="ER99" s="549">
        <f t="shared" si="3297"/>
        <v>0</v>
      </c>
      <c r="ES99" s="675">
        <f t="shared" si="3297"/>
        <v>0</v>
      </c>
      <c r="ET99" s="549">
        <f t="shared" si="3297"/>
        <v>0</v>
      </c>
      <c r="EU99" s="675">
        <f t="shared" si="3297"/>
        <v>0</v>
      </c>
      <c r="EV99" s="549">
        <f t="shared" si="3191"/>
        <v>0</v>
      </c>
      <c r="EW99" s="675">
        <f t="shared" si="3191"/>
        <v>0</v>
      </c>
      <c r="EX99" s="549">
        <f t="shared" si="3297"/>
        <v>0</v>
      </c>
      <c r="EY99" s="675">
        <f t="shared" si="3297"/>
        <v>0</v>
      </c>
      <c r="EZ99" s="549">
        <f t="shared" si="3297"/>
        <v>0</v>
      </c>
      <c r="FA99" s="675">
        <f t="shared" si="3297"/>
        <v>0</v>
      </c>
      <c r="FB99" s="549">
        <f t="shared" si="3192"/>
        <v>0</v>
      </c>
      <c r="FC99" s="675">
        <f t="shared" si="3192"/>
        <v>0</v>
      </c>
      <c r="FD99" s="549">
        <f t="shared" si="3192"/>
        <v>0</v>
      </c>
      <c r="FE99" s="675">
        <f t="shared" si="3192"/>
        <v>0</v>
      </c>
      <c r="FF99" s="549">
        <f t="shared" ref="FF99:FG99" si="3298">FF432</f>
        <v>0</v>
      </c>
      <c r="FG99" s="675">
        <f t="shared" si="3298"/>
        <v>0</v>
      </c>
      <c r="FH99" s="549">
        <f t="shared" ref="FH99:FI99" si="3299">FH432</f>
        <v>0</v>
      </c>
      <c r="FI99" s="675">
        <f t="shared" si="3299"/>
        <v>0</v>
      </c>
      <c r="FJ99" s="549">
        <f t="shared" ref="FJ99:FK99" si="3300">FJ432</f>
        <v>0</v>
      </c>
      <c r="FK99" s="675">
        <f t="shared" si="3300"/>
        <v>0</v>
      </c>
      <c r="FL99" s="549">
        <f t="shared" ref="FL99:FM99" si="3301">FL432</f>
        <v>0</v>
      </c>
      <c r="FM99" s="675">
        <f t="shared" si="3301"/>
        <v>0</v>
      </c>
      <c r="FN99" s="549">
        <f t="shared" ref="FN99:FO99" si="3302">FN432</f>
        <v>0</v>
      </c>
      <c r="FO99" s="675">
        <f t="shared" si="3302"/>
        <v>0</v>
      </c>
      <c r="FP99" s="549">
        <f t="shared" ref="FP99:FQ99" si="3303">FP432</f>
        <v>0</v>
      </c>
      <c r="FQ99" s="675">
        <f t="shared" si="3303"/>
        <v>0</v>
      </c>
      <c r="FR99" s="549">
        <f t="shared" ref="FR99:FS99" si="3304">FR432</f>
        <v>0</v>
      </c>
      <c r="FS99" s="675">
        <f t="shared" si="3304"/>
        <v>0</v>
      </c>
      <c r="FT99" s="549">
        <f t="shared" ref="FT99:FU99" si="3305">FT432</f>
        <v>0</v>
      </c>
      <c r="FU99" s="675">
        <f t="shared" si="3305"/>
        <v>0</v>
      </c>
      <c r="FV99" s="549">
        <f t="shared" ref="FV99:GK99" si="3306">FV432</f>
        <v>0</v>
      </c>
      <c r="FW99" s="675">
        <f t="shared" si="3306"/>
        <v>0</v>
      </c>
      <c r="FX99" s="549">
        <f t="shared" si="3306"/>
        <v>0</v>
      </c>
      <c r="FY99" s="675">
        <f t="shared" si="3306"/>
        <v>0</v>
      </c>
      <c r="FZ99" s="549">
        <f t="shared" ref="FZ99:GI99" si="3307">FZ432</f>
        <v>0</v>
      </c>
      <c r="GA99" s="675">
        <f t="shared" si="3307"/>
        <v>0</v>
      </c>
      <c r="GB99" s="549">
        <f t="shared" si="3307"/>
        <v>0</v>
      </c>
      <c r="GC99" s="675">
        <f t="shared" si="3307"/>
        <v>0</v>
      </c>
      <c r="GD99" s="549">
        <f t="shared" si="3307"/>
        <v>0</v>
      </c>
      <c r="GE99" s="675">
        <f t="shared" si="3307"/>
        <v>0</v>
      </c>
      <c r="GF99" s="549">
        <f t="shared" si="3307"/>
        <v>0</v>
      </c>
      <c r="GG99" s="675">
        <f t="shared" si="3307"/>
        <v>0</v>
      </c>
      <c r="GH99" s="549">
        <f t="shared" si="3307"/>
        <v>0</v>
      </c>
      <c r="GI99" s="675">
        <f t="shared" si="3307"/>
        <v>0</v>
      </c>
      <c r="GJ99" s="549">
        <f t="shared" si="3306"/>
        <v>0</v>
      </c>
      <c r="GK99" s="675">
        <f t="shared" si="3306"/>
        <v>0</v>
      </c>
      <c r="GL99" s="549">
        <f t="shared" ref="GL99:GM99" si="3308">GL432</f>
        <v>0</v>
      </c>
      <c r="GM99" s="675">
        <f t="shared" si="3308"/>
        <v>0</v>
      </c>
      <c r="GN99" s="549">
        <f t="shared" ref="GN99:GO99" si="3309">GN432</f>
        <v>0</v>
      </c>
      <c r="GO99" s="675">
        <f t="shared" si="3309"/>
        <v>0</v>
      </c>
      <c r="GP99" s="74">
        <f t="shared" si="3192"/>
        <v>51</v>
      </c>
      <c r="GQ99" s="675">
        <f t="shared" si="3192"/>
        <v>0</v>
      </c>
      <c r="GR99" s="74">
        <f t="shared" ref="GR99:JB99" si="3310">GR432</f>
        <v>51</v>
      </c>
      <c r="GS99" s="74">
        <f t="shared" si="3310"/>
        <v>51</v>
      </c>
      <c r="GT99" s="549">
        <f t="shared" si="3310"/>
        <v>51</v>
      </c>
      <c r="GU99" s="74">
        <f t="shared" si="3310"/>
        <v>0</v>
      </c>
      <c r="GV99" s="74">
        <f t="shared" si="3310"/>
        <v>0</v>
      </c>
      <c r="GW99" s="549">
        <f t="shared" si="3310"/>
        <v>0</v>
      </c>
      <c r="GX99" s="549">
        <f t="shared" si="3310"/>
        <v>0</v>
      </c>
      <c r="GY99" s="74">
        <f t="shared" si="3310"/>
        <v>0</v>
      </c>
      <c r="GZ99" s="74">
        <f t="shared" si="3310"/>
        <v>0</v>
      </c>
      <c r="HA99" s="74">
        <f t="shared" si="3310"/>
        <v>0</v>
      </c>
      <c r="HB99" s="74">
        <f t="shared" si="3310"/>
        <v>0</v>
      </c>
      <c r="HC99" s="74">
        <f t="shared" si="3310"/>
        <v>0</v>
      </c>
      <c r="HD99" s="74">
        <f t="shared" si="3310"/>
        <v>0</v>
      </c>
      <c r="HE99" s="74">
        <f t="shared" si="3310"/>
        <v>0</v>
      </c>
      <c r="HF99" s="74">
        <f t="shared" si="3310"/>
        <v>0</v>
      </c>
      <c r="HG99" s="74">
        <f t="shared" si="3310"/>
        <v>50.5</v>
      </c>
      <c r="HH99" s="74">
        <f t="shared" ref="HH99:HU99" si="3311">HH432</f>
        <v>0</v>
      </c>
      <c r="HI99" s="74">
        <f t="shared" si="3311"/>
        <v>0</v>
      </c>
      <c r="HJ99" s="74">
        <f t="shared" si="3311"/>
        <v>0</v>
      </c>
      <c r="HK99" s="74">
        <f t="shared" si="3311"/>
        <v>0</v>
      </c>
      <c r="HL99" s="74">
        <f t="shared" si="3311"/>
        <v>0</v>
      </c>
      <c r="HM99" s="74">
        <f t="shared" si="3311"/>
        <v>0</v>
      </c>
      <c r="HN99" s="74">
        <f t="shared" si="3311"/>
        <v>0</v>
      </c>
      <c r="HO99" s="74">
        <f t="shared" si="3311"/>
        <v>0</v>
      </c>
      <c r="HP99" s="74">
        <f t="shared" si="3311"/>
        <v>0</v>
      </c>
      <c r="HQ99" s="74">
        <f t="shared" si="3311"/>
        <v>0</v>
      </c>
      <c r="HR99" s="74">
        <f t="shared" si="3311"/>
        <v>50.5</v>
      </c>
      <c r="HS99" s="74">
        <f t="shared" si="3311"/>
        <v>0</v>
      </c>
      <c r="HT99" s="74">
        <f t="shared" si="3311"/>
        <v>0</v>
      </c>
      <c r="HU99" s="74">
        <f t="shared" si="3311"/>
        <v>0</v>
      </c>
      <c r="HV99" s="74">
        <f t="shared" si="3310"/>
        <v>0</v>
      </c>
      <c r="HW99" s="74">
        <f t="shared" si="3310"/>
        <v>0</v>
      </c>
      <c r="HX99" s="74">
        <f t="shared" si="3310"/>
        <v>0</v>
      </c>
      <c r="HY99" s="74">
        <f t="shared" si="3310"/>
        <v>0</v>
      </c>
      <c r="HZ99" s="74">
        <f t="shared" si="3310"/>
        <v>0</v>
      </c>
      <c r="IA99" s="74">
        <f t="shared" si="3310"/>
        <v>0</v>
      </c>
      <c r="IB99" s="74">
        <f t="shared" si="3310"/>
        <v>0</v>
      </c>
      <c r="IC99" s="74">
        <f t="shared" si="3310"/>
        <v>0</v>
      </c>
      <c r="ID99" s="74">
        <f t="shared" si="3310"/>
        <v>0</v>
      </c>
      <c r="IE99" s="792">
        <f t="shared" si="3310"/>
        <v>0</v>
      </c>
      <c r="IF99" s="841">
        <f t="shared" si="3310"/>
        <v>50.5</v>
      </c>
      <c r="IG99" s="263">
        <f t="shared" si="3310"/>
        <v>50.5</v>
      </c>
      <c r="IH99" s="842">
        <f t="shared" si="3310"/>
        <v>50.5</v>
      </c>
      <c r="II99" s="155">
        <f t="shared" si="3310"/>
        <v>0</v>
      </c>
      <c r="IJ99" s="74">
        <f t="shared" si="3310"/>
        <v>0</v>
      </c>
      <c r="IK99" s="74">
        <f t="shared" si="3310"/>
        <v>0</v>
      </c>
      <c r="IL99" s="74">
        <f t="shared" si="3310"/>
        <v>0</v>
      </c>
      <c r="IM99" s="74">
        <f t="shared" si="3310"/>
        <v>0</v>
      </c>
      <c r="IN99" s="74">
        <f t="shared" si="3310"/>
        <v>0</v>
      </c>
      <c r="IO99" s="74">
        <f t="shared" si="3310"/>
        <v>0</v>
      </c>
      <c r="IP99" s="74">
        <f t="shared" si="3310"/>
        <v>0</v>
      </c>
      <c r="IQ99" s="74">
        <f t="shared" si="3310"/>
        <v>0</v>
      </c>
      <c r="IR99" s="74">
        <f t="shared" si="3310"/>
        <v>0</v>
      </c>
      <c r="IS99" s="74">
        <f t="shared" si="3310"/>
        <v>0</v>
      </c>
      <c r="IT99" s="74">
        <f t="shared" si="3310"/>
        <v>0</v>
      </c>
      <c r="IU99" s="74">
        <f t="shared" si="3310"/>
        <v>0</v>
      </c>
      <c r="IV99" s="74">
        <f t="shared" si="3310"/>
        <v>0</v>
      </c>
      <c r="IW99" s="74">
        <f t="shared" si="3310"/>
        <v>0</v>
      </c>
      <c r="IX99" s="74">
        <f t="shared" si="3310"/>
        <v>50.5</v>
      </c>
      <c r="IY99" s="74">
        <f t="shared" si="3310"/>
        <v>50.5</v>
      </c>
      <c r="IZ99" s="74">
        <f t="shared" si="3310"/>
        <v>50.5</v>
      </c>
      <c r="JA99" s="74">
        <f t="shared" si="3310"/>
        <v>0</v>
      </c>
      <c r="JB99" s="74">
        <f t="shared" si="3310"/>
        <v>0</v>
      </c>
      <c r="JC99" s="74">
        <f t="shared" ref="JC99:JT99" si="3312">JC432</f>
        <v>0</v>
      </c>
      <c r="JD99" s="74">
        <f t="shared" si="3312"/>
        <v>0</v>
      </c>
      <c r="JE99" s="74">
        <f t="shared" si="3312"/>
        <v>0</v>
      </c>
      <c r="JF99" s="74">
        <f t="shared" si="3312"/>
        <v>0</v>
      </c>
      <c r="JG99" s="74">
        <f t="shared" si="3312"/>
        <v>0</v>
      </c>
      <c r="JH99" s="74">
        <f t="shared" si="3312"/>
        <v>0</v>
      </c>
      <c r="JI99" s="74">
        <f t="shared" si="3312"/>
        <v>0</v>
      </c>
      <c r="JJ99" s="74">
        <f t="shared" si="3312"/>
        <v>0</v>
      </c>
      <c r="JK99" s="74">
        <f t="shared" si="3312"/>
        <v>0</v>
      </c>
      <c r="JL99" s="74">
        <f t="shared" si="3312"/>
        <v>0</v>
      </c>
      <c r="JM99" s="74">
        <f t="shared" si="3312"/>
        <v>0</v>
      </c>
      <c r="JN99" s="74">
        <f t="shared" si="3312"/>
        <v>0</v>
      </c>
      <c r="JO99" s="74">
        <f t="shared" si="3312"/>
        <v>0</v>
      </c>
      <c r="JP99" s="74">
        <f t="shared" si="3312"/>
        <v>0</v>
      </c>
      <c r="JQ99" s="74">
        <f t="shared" si="3312"/>
        <v>0</v>
      </c>
      <c r="JR99" s="74">
        <f t="shared" si="3312"/>
        <v>0</v>
      </c>
      <c r="JS99" s="74">
        <f t="shared" si="3312"/>
        <v>0</v>
      </c>
      <c r="JT99" s="102">
        <f t="shared" si="3312"/>
        <v>0.5</v>
      </c>
      <c r="JU99" s="671"/>
      <c r="JV99" s="492"/>
      <c r="JW99" s="490"/>
      <c r="JX99" s="549">
        <f t="shared" si="3169"/>
        <v>50.5</v>
      </c>
      <c r="JY99" s="549">
        <f t="shared" si="3169"/>
        <v>0</v>
      </c>
      <c r="JZ99" s="581">
        <f t="shared" si="2110"/>
        <v>51</v>
      </c>
      <c r="KA99" s="581">
        <f t="shared" si="2111"/>
        <v>0</v>
      </c>
      <c r="KB99" s="549">
        <f t="shared" si="3169"/>
        <v>50.5</v>
      </c>
      <c r="KC99" s="709">
        <f t="shared" si="2079"/>
        <v>0</v>
      </c>
      <c r="KD99" s="36"/>
      <c r="KE99" s="36"/>
      <c r="KF99" s="36"/>
      <c r="KG99" s="36"/>
      <c r="KH99" s="36"/>
      <c r="KI99" s="36"/>
      <c r="KJ99" s="36"/>
      <c r="KK99" s="36"/>
    </row>
    <row r="100" spans="1:297" s="8" customFormat="1" ht="12.75" hidden="1" customHeight="1">
      <c r="A100" s="75" t="s">
        <v>702</v>
      </c>
      <c r="B100" s="72"/>
      <c r="C100" s="74">
        <v>0</v>
      </c>
      <c r="D100" s="549">
        <f t="shared" ref="D100:E100" si="3313">D433</f>
        <v>0</v>
      </c>
      <c r="E100" s="675">
        <f t="shared" si="3313"/>
        <v>0</v>
      </c>
      <c r="F100" s="549">
        <f t="shared" ref="F100:G100" si="3314">F433</f>
        <v>0</v>
      </c>
      <c r="G100" s="675">
        <f t="shared" si="3314"/>
        <v>0</v>
      </c>
      <c r="H100" s="549">
        <f t="shared" si="3114"/>
        <v>0</v>
      </c>
      <c r="I100" s="675">
        <f t="shared" si="3114"/>
        <v>0</v>
      </c>
      <c r="J100" s="549">
        <f t="shared" si="3114"/>
        <v>0</v>
      </c>
      <c r="K100" s="675">
        <f t="shared" si="3114"/>
        <v>0</v>
      </c>
      <c r="L100" s="549">
        <f t="shared" si="3114"/>
        <v>0</v>
      </c>
      <c r="M100" s="675">
        <f t="shared" si="3114"/>
        <v>0</v>
      </c>
      <c r="N100" s="549">
        <f t="shared" si="3115"/>
        <v>0</v>
      </c>
      <c r="O100" s="675">
        <f t="shared" si="3115"/>
        <v>0</v>
      </c>
      <c r="P100" s="549">
        <f t="shared" si="3115"/>
        <v>0</v>
      </c>
      <c r="Q100" s="675">
        <f t="shared" si="3115"/>
        <v>0</v>
      </c>
      <c r="R100" s="549">
        <f t="shared" si="3116"/>
        <v>0</v>
      </c>
      <c r="S100" s="675">
        <f t="shared" si="3116"/>
        <v>0</v>
      </c>
      <c r="T100" s="549">
        <f t="shared" si="3116"/>
        <v>0</v>
      </c>
      <c r="U100" s="675">
        <f t="shared" si="3116"/>
        <v>0</v>
      </c>
      <c r="V100" s="549">
        <f t="shared" si="3117"/>
        <v>0</v>
      </c>
      <c r="W100" s="675">
        <f t="shared" si="3117"/>
        <v>0</v>
      </c>
      <c r="X100" s="549">
        <f t="shared" si="3118"/>
        <v>0</v>
      </c>
      <c r="Y100" s="675">
        <f t="shared" si="3118"/>
        <v>0</v>
      </c>
      <c r="Z100" s="549">
        <f t="shared" si="3117"/>
        <v>0</v>
      </c>
      <c r="AA100" s="675">
        <f t="shared" si="3117"/>
        <v>0</v>
      </c>
      <c r="AB100" s="549">
        <f t="shared" si="3117"/>
        <v>0</v>
      </c>
      <c r="AC100" s="675">
        <f t="shared" si="3117"/>
        <v>0</v>
      </c>
      <c r="AD100" s="549">
        <f t="shared" ref="AD100:AK100" si="3315">AD433</f>
        <v>0</v>
      </c>
      <c r="AE100" s="675">
        <f t="shared" si="3315"/>
        <v>0</v>
      </c>
      <c r="AF100" s="549">
        <f t="shared" si="3315"/>
        <v>0</v>
      </c>
      <c r="AG100" s="675">
        <f t="shared" si="3315"/>
        <v>0</v>
      </c>
      <c r="AH100" s="549">
        <f t="shared" si="3315"/>
        <v>0</v>
      </c>
      <c r="AI100" s="675">
        <f t="shared" si="3315"/>
        <v>0</v>
      </c>
      <c r="AJ100" s="549">
        <f t="shared" si="3315"/>
        <v>0</v>
      </c>
      <c r="AK100" s="675">
        <f t="shared" si="3315"/>
        <v>0</v>
      </c>
      <c r="AL100" s="549">
        <f t="shared" si="3120"/>
        <v>0</v>
      </c>
      <c r="AM100" s="675">
        <f t="shared" si="3120"/>
        <v>0</v>
      </c>
      <c r="AN100" s="549">
        <f t="shared" si="3121"/>
        <v>0</v>
      </c>
      <c r="AO100" s="675">
        <f t="shared" si="3121"/>
        <v>0</v>
      </c>
      <c r="AP100" s="549">
        <f t="shared" si="3121"/>
        <v>0</v>
      </c>
      <c r="AQ100" s="675">
        <f t="shared" si="3121"/>
        <v>0</v>
      </c>
      <c r="AR100" s="549">
        <f t="shared" si="3122"/>
        <v>0</v>
      </c>
      <c r="AS100" s="675">
        <f t="shared" si="3122"/>
        <v>0</v>
      </c>
      <c r="AT100" s="549">
        <f t="shared" ref="AT100:AU100" si="3316">AT433</f>
        <v>0</v>
      </c>
      <c r="AU100" s="675">
        <f t="shared" si="3316"/>
        <v>0</v>
      </c>
      <c r="AV100" s="549">
        <f t="shared" ref="AV100:AW100" si="3317">AV433</f>
        <v>0</v>
      </c>
      <c r="AW100" s="675">
        <f t="shared" si="3317"/>
        <v>0</v>
      </c>
      <c r="AX100" s="549">
        <f t="shared" ref="AX100:AY100" si="3318">AX433</f>
        <v>0</v>
      </c>
      <c r="AY100" s="675">
        <f t="shared" si="3318"/>
        <v>0</v>
      </c>
      <c r="AZ100" s="549">
        <f t="shared" ref="AZ100:BA100" si="3319">AZ433</f>
        <v>0</v>
      </c>
      <c r="BA100" s="675">
        <f t="shared" si="3319"/>
        <v>0</v>
      </c>
      <c r="BB100" s="549">
        <f t="shared" ref="BB100:BC100" si="3320">BB433</f>
        <v>0</v>
      </c>
      <c r="BC100" s="675">
        <f t="shared" si="3320"/>
        <v>0</v>
      </c>
      <c r="BD100" s="549">
        <f t="shared" ref="BD100:BE100" si="3321">BD433</f>
        <v>0</v>
      </c>
      <c r="BE100" s="675">
        <f t="shared" si="3321"/>
        <v>0</v>
      </c>
      <c r="BF100" s="549">
        <f t="shared" ref="BF100:BG100" si="3322">BF433</f>
        <v>0</v>
      </c>
      <c r="BG100" s="675">
        <f t="shared" si="3322"/>
        <v>0</v>
      </c>
      <c r="BH100" s="549">
        <f t="shared" ref="BH100:BI100" si="3323">BH433</f>
        <v>0</v>
      </c>
      <c r="BI100" s="675">
        <f t="shared" si="3323"/>
        <v>0</v>
      </c>
      <c r="BJ100" s="549">
        <f t="shared" ref="BJ100:BK100" si="3324">BJ433</f>
        <v>0</v>
      </c>
      <c r="BK100" s="675">
        <f t="shared" si="3324"/>
        <v>0</v>
      </c>
      <c r="BL100" s="549">
        <f t="shared" ref="BL100:BS100" si="3325">BL433</f>
        <v>1775</v>
      </c>
      <c r="BM100" s="675">
        <f t="shared" si="3325"/>
        <v>0</v>
      </c>
      <c r="BN100" s="549">
        <f t="shared" si="3325"/>
        <v>0</v>
      </c>
      <c r="BO100" s="675">
        <f t="shared" si="3325"/>
        <v>0</v>
      </c>
      <c r="BP100" s="549">
        <f t="shared" si="3325"/>
        <v>0</v>
      </c>
      <c r="BQ100" s="675">
        <f t="shared" si="3325"/>
        <v>0</v>
      </c>
      <c r="BR100" s="549">
        <f t="shared" si="3325"/>
        <v>0</v>
      </c>
      <c r="BS100" s="675">
        <f t="shared" si="3325"/>
        <v>0</v>
      </c>
      <c r="BT100" s="549">
        <f t="shared" si="3133"/>
        <v>0</v>
      </c>
      <c r="BU100" s="675">
        <f t="shared" si="3133"/>
        <v>0</v>
      </c>
      <c r="BV100" s="549">
        <f t="shared" si="3133"/>
        <v>0</v>
      </c>
      <c r="BW100" s="675">
        <f t="shared" si="3133"/>
        <v>0</v>
      </c>
      <c r="BX100" s="549">
        <f t="shared" ref="BX100:BY100" si="3326">BX433</f>
        <v>0</v>
      </c>
      <c r="BY100" s="675">
        <f t="shared" si="3326"/>
        <v>0</v>
      </c>
      <c r="BZ100" s="549">
        <f t="shared" ref="BZ100:CA100" si="3327">BZ433</f>
        <v>0</v>
      </c>
      <c r="CA100" s="675">
        <f t="shared" si="3327"/>
        <v>-1775</v>
      </c>
      <c r="CB100" s="549">
        <f t="shared" ref="CB100:CE100" si="3328">CB433</f>
        <v>0</v>
      </c>
      <c r="CC100" s="675">
        <f t="shared" si="3328"/>
        <v>0</v>
      </c>
      <c r="CD100" s="549">
        <f t="shared" si="3328"/>
        <v>0</v>
      </c>
      <c r="CE100" s="675">
        <f t="shared" si="3328"/>
        <v>0</v>
      </c>
      <c r="CF100" s="549">
        <f t="shared" si="3137"/>
        <v>0</v>
      </c>
      <c r="CG100" s="675">
        <f t="shared" si="3137"/>
        <v>0</v>
      </c>
      <c r="CH100" s="549">
        <f t="shared" ref="CH100:CQ100" si="3329">CH433</f>
        <v>0</v>
      </c>
      <c r="CI100" s="675">
        <f t="shared" si="3329"/>
        <v>0</v>
      </c>
      <c r="CJ100" s="549">
        <f t="shared" si="3329"/>
        <v>0</v>
      </c>
      <c r="CK100" s="675">
        <f t="shared" si="3329"/>
        <v>0</v>
      </c>
      <c r="CL100" s="549">
        <f t="shared" si="3329"/>
        <v>0</v>
      </c>
      <c r="CM100" s="675">
        <f t="shared" si="3329"/>
        <v>0</v>
      </c>
      <c r="CN100" s="549">
        <f t="shared" si="3329"/>
        <v>0</v>
      </c>
      <c r="CO100" s="675">
        <f t="shared" si="3329"/>
        <v>0</v>
      </c>
      <c r="CP100" s="549">
        <f t="shared" si="3329"/>
        <v>0</v>
      </c>
      <c r="CQ100" s="675">
        <f t="shared" si="3329"/>
        <v>0</v>
      </c>
      <c r="CR100" s="549">
        <f t="shared" si="3139"/>
        <v>0</v>
      </c>
      <c r="CS100" s="675">
        <f t="shared" si="3139"/>
        <v>0</v>
      </c>
      <c r="CT100" s="549">
        <f t="shared" si="3139"/>
        <v>0</v>
      </c>
      <c r="CU100" s="675">
        <f t="shared" si="3139"/>
        <v>0</v>
      </c>
      <c r="CV100" s="549">
        <f t="shared" si="3139"/>
        <v>0</v>
      </c>
      <c r="CW100" s="675">
        <f t="shared" si="3139"/>
        <v>0</v>
      </c>
      <c r="CX100" s="549">
        <f t="shared" si="3139"/>
        <v>0</v>
      </c>
      <c r="CY100" s="675">
        <f t="shared" si="3139"/>
        <v>0</v>
      </c>
      <c r="CZ100" s="549">
        <f t="shared" si="3140"/>
        <v>0</v>
      </c>
      <c r="DA100" s="675">
        <f t="shared" si="3140"/>
        <v>0</v>
      </c>
      <c r="DB100" s="549">
        <f t="shared" si="3140"/>
        <v>0</v>
      </c>
      <c r="DC100" s="675">
        <f t="shared" si="3140"/>
        <v>0</v>
      </c>
      <c r="DD100" s="549">
        <f t="shared" si="3141"/>
        <v>0</v>
      </c>
      <c r="DE100" s="675">
        <f t="shared" si="3141"/>
        <v>0</v>
      </c>
      <c r="DF100" s="549">
        <f t="shared" si="3140"/>
        <v>0</v>
      </c>
      <c r="DG100" s="675">
        <f t="shared" si="3140"/>
        <v>0</v>
      </c>
      <c r="DH100" s="549">
        <f t="shared" si="3142"/>
        <v>0</v>
      </c>
      <c r="DI100" s="675">
        <f t="shared" si="3142"/>
        <v>0</v>
      </c>
      <c r="DJ100" s="549">
        <f t="shared" si="3143"/>
        <v>0</v>
      </c>
      <c r="DK100" s="675">
        <f t="shared" si="3143"/>
        <v>0</v>
      </c>
      <c r="DL100" s="549">
        <f t="shared" si="3143"/>
        <v>0</v>
      </c>
      <c r="DM100" s="675">
        <f t="shared" si="3143"/>
        <v>0</v>
      </c>
      <c r="DN100" s="549">
        <f t="shared" si="3144"/>
        <v>0</v>
      </c>
      <c r="DO100" s="675">
        <f t="shared" si="3144"/>
        <v>0</v>
      </c>
      <c r="DP100" s="549">
        <f t="shared" ref="DP100:DU100" si="3330">DP433</f>
        <v>0</v>
      </c>
      <c r="DQ100" s="675">
        <f t="shared" si="3330"/>
        <v>0</v>
      </c>
      <c r="DR100" s="549">
        <f t="shared" si="3330"/>
        <v>0</v>
      </c>
      <c r="DS100" s="675">
        <f t="shared" si="3330"/>
        <v>0</v>
      </c>
      <c r="DT100" s="549">
        <f t="shared" si="3330"/>
        <v>0</v>
      </c>
      <c r="DU100" s="675">
        <f t="shared" si="3330"/>
        <v>0</v>
      </c>
      <c r="DV100" s="549">
        <f t="shared" si="3146"/>
        <v>0</v>
      </c>
      <c r="DW100" s="675">
        <f t="shared" si="3146"/>
        <v>0</v>
      </c>
      <c r="DX100" s="549">
        <f t="shared" si="3188"/>
        <v>0</v>
      </c>
      <c r="DY100" s="675">
        <f t="shared" si="3188"/>
        <v>0</v>
      </c>
      <c r="DZ100" s="549">
        <f t="shared" si="3188"/>
        <v>0</v>
      </c>
      <c r="EA100" s="675">
        <f t="shared" si="3188"/>
        <v>0</v>
      </c>
      <c r="EB100" s="549">
        <f t="shared" ref="EB100:EM100" si="3331">EB433</f>
        <v>0</v>
      </c>
      <c r="EC100" s="675">
        <f t="shared" si="3331"/>
        <v>0</v>
      </c>
      <c r="ED100" s="549">
        <f t="shared" si="3331"/>
        <v>0</v>
      </c>
      <c r="EE100" s="675">
        <f t="shared" si="3331"/>
        <v>0</v>
      </c>
      <c r="EF100" s="549">
        <f t="shared" si="3331"/>
        <v>0</v>
      </c>
      <c r="EG100" s="675">
        <f t="shared" si="3331"/>
        <v>0</v>
      </c>
      <c r="EH100" s="549">
        <f t="shared" si="3331"/>
        <v>0</v>
      </c>
      <c r="EI100" s="675">
        <f t="shared" si="3331"/>
        <v>0</v>
      </c>
      <c r="EJ100" s="549">
        <f t="shared" si="3331"/>
        <v>0</v>
      </c>
      <c r="EK100" s="675">
        <f t="shared" si="3331"/>
        <v>0</v>
      </c>
      <c r="EL100" s="549">
        <f t="shared" si="3331"/>
        <v>0</v>
      </c>
      <c r="EM100" s="675">
        <f t="shared" si="3331"/>
        <v>0</v>
      </c>
      <c r="EN100" s="549">
        <f t="shared" si="3149"/>
        <v>0</v>
      </c>
      <c r="EO100" s="675">
        <f t="shared" si="3149"/>
        <v>0</v>
      </c>
      <c r="EP100" s="549">
        <f t="shared" ref="EP100:FA100" si="3332">EP433</f>
        <v>0</v>
      </c>
      <c r="EQ100" s="675">
        <f t="shared" si="3332"/>
        <v>0</v>
      </c>
      <c r="ER100" s="549">
        <f t="shared" si="3332"/>
        <v>0</v>
      </c>
      <c r="ES100" s="675">
        <f t="shared" si="3332"/>
        <v>0</v>
      </c>
      <c r="ET100" s="549">
        <f t="shared" si="3332"/>
        <v>0</v>
      </c>
      <c r="EU100" s="675">
        <f t="shared" si="3332"/>
        <v>0</v>
      </c>
      <c r="EV100" s="549">
        <f t="shared" si="3191"/>
        <v>0</v>
      </c>
      <c r="EW100" s="675">
        <f t="shared" si="3191"/>
        <v>0</v>
      </c>
      <c r="EX100" s="549">
        <f t="shared" si="3332"/>
        <v>0</v>
      </c>
      <c r="EY100" s="675">
        <f t="shared" si="3332"/>
        <v>0</v>
      </c>
      <c r="EZ100" s="549">
        <f t="shared" si="3332"/>
        <v>0</v>
      </c>
      <c r="FA100" s="675">
        <f t="shared" si="3332"/>
        <v>0</v>
      </c>
      <c r="FB100" s="549">
        <f t="shared" si="3192"/>
        <v>0</v>
      </c>
      <c r="FC100" s="675">
        <f t="shared" si="3192"/>
        <v>0</v>
      </c>
      <c r="FD100" s="549">
        <f t="shared" si="3192"/>
        <v>0</v>
      </c>
      <c r="FE100" s="675">
        <f t="shared" si="3192"/>
        <v>0</v>
      </c>
      <c r="FF100" s="549">
        <f t="shared" ref="FF100:FG100" si="3333">FF433</f>
        <v>0</v>
      </c>
      <c r="FG100" s="675">
        <f t="shared" si="3333"/>
        <v>0</v>
      </c>
      <c r="FH100" s="549">
        <f t="shared" ref="FH100:FI100" si="3334">FH433</f>
        <v>0</v>
      </c>
      <c r="FI100" s="675">
        <f t="shared" si="3334"/>
        <v>0</v>
      </c>
      <c r="FJ100" s="549">
        <f t="shared" ref="FJ100:FK100" si="3335">FJ433</f>
        <v>0</v>
      </c>
      <c r="FK100" s="675">
        <f t="shared" si="3335"/>
        <v>0</v>
      </c>
      <c r="FL100" s="549">
        <f t="shared" ref="FL100:FM100" si="3336">FL433</f>
        <v>0</v>
      </c>
      <c r="FM100" s="675">
        <f t="shared" si="3336"/>
        <v>0</v>
      </c>
      <c r="FN100" s="549">
        <f t="shared" ref="FN100:FO100" si="3337">FN433</f>
        <v>0</v>
      </c>
      <c r="FO100" s="675">
        <f t="shared" si="3337"/>
        <v>0</v>
      </c>
      <c r="FP100" s="549">
        <f t="shared" ref="FP100:FQ100" si="3338">FP433</f>
        <v>0</v>
      </c>
      <c r="FQ100" s="675">
        <f t="shared" si="3338"/>
        <v>0</v>
      </c>
      <c r="FR100" s="549">
        <f t="shared" ref="FR100:FS100" si="3339">FR433</f>
        <v>0</v>
      </c>
      <c r="FS100" s="675">
        <f t="shared" si="3339"/>
        <v>0</v>
      </c>
      <c r="FT100" s="549">
        <f t="shared" ref="FT100:FU100" si="3340">FT433</f>
        <v>0</v>
      </c>
      <c r="FU100" s="675">
        <f t="shared" si="3340"/>
        <v>0</v>
      </c>
      <c r="FV100" s="549">
        <f t="shared" ref="FV100:GK100" si="3341">FV433</f>
        <v>0</v>
      </c>
      <c r="FW100" s="675">
        <f t="shared" si="3341"/>
        <v>0</v>
      </c>
      <c r="FX100" s="549">
        <f t="shared" si="3341"/>
        <v>0</v>
      </c>
      <c r="FY100" s="675">
        <f t="shared" si="3341"/>
        <v>0</v>
      </c>
      <c r="FZ100" s="549">
        <f t="shared" ref="FZ100:GI100" si="3342">FZ433</f>
        <v>0</v>
      </c>
      <c r="GA100" s="675">
        <f t="shared" si="3342"/>
        <v>0</v>
      </c>
      <c r="GB100" s="549">
        <f t="shared" si="3342"/>
        <v>0</v>
      </c>
      <c r="GC100" s="675">
        <f t="shared" si="3342"/>
        <v>0</v>
      </c>
      <c r="GD100" s="549">
        <f t="shared" si="3342"/>
        <v>0</v>
      </c>
      <c r="GE100" s="675">
        <f t="shared" si="3342"/>
        <v>0</v>
      </c>
      <c r="GF100" s="549">
        <f t="shared" si="3342"/>
        <v>0</v>
      </c>
      <c r="GG100" s="675">
        <f t="shared" si="3342"/>
        <v>0</v>
      </c>
      <c r="GH100" s="549">
        <f t="shared" si="3342"/>
        <v>0</v>
      </c>
      <c r="GI100" s="675">
        <f t="shared" si="3342"/>
        <v>0</v>
      </c>
      <c r="GJ100" s="549">
        <f t="shared" si="3341"/>
        <v>0</v>
      </c>
      <c r="GK100" s="675">
        <f t="shared" si="3341"/>
        <v>0</v>
      </c>
      <c r="GL100" s="549">
        <f t="shared" ref="GL100:GM100" si="3343">GL433</f>
        <v>0</v>
      </c>
      <c r="GM100" s="675">
        <f t="shared" si="3343"/>
        <v>0</v>
      </c>
      <c r="GN100" s="549">
        <f t="shared" ref="GN100:GO100" si="3344">GN433</f>
        <v>0</v>
      </c>
      <c r="GO100" s="675">
        <f t="shared" si="3344"/>
        <v>0</v>
      </c>
      <c r="GP100" s="74">
        <f t="shared" si="3192"/>
        <v>1775</v>
      </c>
      <c r="GQ100" s="675">
        <f t="shared" si="3192"/>
        <v>-1775</v>
      </c>
      <c r="GR100" s="74">
        <f t="shared" ref="GR100:JB100" si="3345">GR433</f>
        <v>0</v>
      </c>
      <c r="GS100" s="74">
        <f t="shared" si="3345"/>
        <v>0</v>
      </c>
      <c r="GT100" s="549">
        <f t="shared" si="3345"/>
        <v>0</v>
      </c>
      <c r="GU100" s="74">
        <f t="shared" si="3345"/>
        <v>0</v>
      </c>
      <c r="GV100" s="74">
        <f t="shared" si="3345"/>
        <v>0</v>
      </c>
      <c r="GW100" s="549">
        <f t="shared" si="3345"/>
        <v>0</v>
      </c>
      <c r="GX100" s="549">
        <f t="shared" si="3345"/>
        <v>0</v>
      </c>
      <c r="GY100" s="74">
        <f t="shared" si="3345"/>
        <v>0</v>
      </c>
      <c r="GZ100" s="74">
        <f t="shared" si="3345"/>
        <v>0</v>
      </c>
      <c r="HA100" s="74">
        <f t="shared" si="3345"/>
        <v>0</v>
      </c>
      <c r="HB100" s="74">
        <f t="shared" si="3345"/>
        <v>0</v>
      </c>
      <c r="HC100" s="74">
        <f t="shared" si="3345"/>
        <v>0</v>
      </c>
      <c r="HD100" s="74">
        <f t="shared" si="3345"/>
        <v>0</v>
      </c>
      <c r="HE100" s="74">
        <f t="shared" si="3345"/>
        <v>0</v>
      </c>
      <c r="HF100" s="74">
        <f t="shared" si="3345"/>
        <v>0</v>
      </c>
      <c r="HG100" s="74">
        <f t="shared" si="3345"/>
        <v>0</v>
      </c>
      <c r="HH100" s="74">
        <f t="shared" ref="HH100:HU100" si="3346">HH433</f>
        <v>0</v>
      </c>
      <c r="HI100" s="74">
        <f t="shared" si="3346"/>
        <v>0</v>
      </c>
      <c r="HJ100" s="74">
        <f t="shared" si="3346"/>
        <v>0</v>
      </c>
      <c r="HK100" s="74">
        <f t="shared" si="3346"/>
        <v>0</v>
      </c>
      <c r="HL100" s="74">
        <f t="shared" si="3346"/>
        <v>0</v>
      </c>
      <c r="HM100" s="74">
        <f t="shared" si="3346"/>
        <v>0</v>
      </c>
      <c r="HN100" s="74">
        <f t="shared" si="3346"/>
        <v>0</v>
      </c>
      <c r="HO100" s="74">
        <f t="shared" si="3346"/>
        <v>0</v>
      </c>
      <c r="HP100" s="74">
        <f t="shared" si="3346"/>
        <v>0</v>
      </c>
      <c r="HQ100" s="74">
        <f t="shared" si="3346"/>
        <v>0</v>
      </c>
      <c r="HR100" s="74">
        <f t="shared" si="3346"/>
        <v>0</v>
      </c>
      <c r="HS100" s="74">
        <f t="shared" si="3346"/>
        <v>0</v>
      </c>
      <c r="HT100" s="74">
        <f t="shared" si="3346"/>
        <v>0</v>
      </c>
      <c r="HU100" s="74">
        <f t="shared" si="3346"/>
        <v>0</v>
      </c>
      <c r="HV100" s="74">
        <f t="shared" si="3345"/>
        <v>0</v>
      </c>
      <c r="HW100" s="74">
        <f t="shared" si="3345"/>
        <v>0</v>
      </c>
      <c r="HX100" s="74">
        <f t="shared" si="3345"/>
        <v>0</v>
      </c>
      <c r="HY100" s="74">
        <f t="shared" si="3345"/>
        <v>0</v>
      </c>
      <c r="HZ100" s="74">
        <f t="shared" si="3345"/>
        <v>0</v>
      </c>
      <c r="IA100" s="74">
        <f t="shared" si="3345"/>
        <v>0</v>
      </c>
      <c r="IB100" s="74">
        <f t="shared" si="3345"/>
        <v>0</v>
      </c>
      <c r="IC100" s="74">
        <f t="shared" si="3345"/>
        <v>0</v>
      </c>
      <c r="ID100" s="74">
        <f t="shared" si="3345"/>
        <v>0</v>
      </c>
      <c r="IE100" s="792">
        <f t="shared" si="3345"/>
        <v>0</v>
      </c>
      <c r="IF100" s="841">
        <f t="shared" si="3345"/>
        <v>0</v>
      </c>
      <c r="IG100" s="263">
        <f t="shared" si="3345"/>
        <v>0</v>
      </c>
      <c r="IH100" s="842">
        <f t="shared" si="3345"/>
        <v>0</v>
      </c>
      <c r="II100" s="155">
        <f t="shared" si="3345"/>
        <v>0</v>
      </c>
      <c r="IJ100" s="74">
        <f t="shared" si="3345"/>
        <v>0</v>
      </c>
      <c r="IK100" s="74">
        <f t="shared" si="3345"/>
        <v>0</v>
      </c>
      <c r="IL100" s="74">
        <f t="shared" si="3345"/>
        <v>0</v>
      </c>
      <c r="IM100" s="74">
        <f t="shared" si="3345"/>
        <v>0</v>
      </c>
      <c r="IN100" s="74">
        <f t="shared" si="3345"/>
        <v>0</v>
      </c>
      <c r="IO100" s="74">
        <f t="shared" si="3345"/>
        <v>0</v>
      </c>
      <c r="IP100" s="74">
        <f t="shared" si="3345"/>
        <v>0</v>
      </c>
      <c r="IQ100" s="74">
        <f t="shared" si="3345"/>
        <v>0</v>
      </c>
      <c r="IR100" s="74">
        <f t="shared" si="3345"/>
        <v>0</v>
      </c>
      <c r="IS100" s="74">
        <f t="shared" si="3345"/>
        <v>0</v>
      </c>
      <c r="IT100" s="74">
        <f t="shared" si="3345"/>
        <v>0</v>
      </c>
      <c r="IU100" s="74">
        <f t="shared" si="3345"/>
        <v>0</v>
      </c>
      <c r="IV100" s="74">
        <f t="shared" si="3345"/>
        <v>0</v>
      </c>
      <c r="IW100" s="74">
        <f t="shared" si="3345"/>
        <v>0</v>
      </c>
      <c r="IX100" s="74">
        <f t="shared" si="3345"/>
        <v>0</v>
      </c>
      <c r="IY100" s="74">
        <f t="shared" si="3345"/>
        <v>0</v>
      </c>
      <c r="IZ100" s="74">
        <f t="shared" si="3345"/>
        <v>0</v>
      </c>
      <c r="JA100" s="74">
        <f t="shared" si="3345"/>
        <v>0</v>
      </c>
      <c r="JB100" s="74">
        <f t="shared" si="3345"/>
        <v>0</v>
      </c>
      <c r="JC100" s="74">
        <f t="shared" ref="JC100:JT100" si="3347">JC433</f>
        <v>0</v>
      </c>
      <c r="JD100" s="74">
        <f t="shared" si="3347"/>
        <v>0</v>
      </c>
      <c r="JE100" s="74">
        <f t="shared" si="3347"/>
        <v>0</v>
      </c>
      <c r="JF100" s="74">
        <f t="shared" si="3347"/>
        <v>0</v>
      </c>
      <c r="JG100" s="74">
        <f t="shared" si="3347"/>
        <v>0</v>
      </c>
      <c r="JH100" s="74">
        <f t="shared" si="3347"/>
        <v>0</v>
      </c>
      <c r="JI100" s="74">
        <f t="shared" si="3347"/>
        <v>0</v>
      </c>
      <c r="JJ100" s="74">
        <f t="shared" si="3347"/>
        <v>0</v>
      </c>
      <c r="JK100" s="74">
        <f t="shared" si="3347"/>
        <v>0</v>
      </c>
      <c r="JL100" s="74">
        <f t="shared" si="3347"/>
        <v>0</v>
      </c>
      <c r="JM100" s="74">
        <f t="shared" si="3347"/>
        <v>0</v>
      </c>
      <c r="JN100" s="74">
        <f t="shared" si="3347"/>
        <v>0</v>
      </c>
      <c r="JO100" s="74">
        <f t="shared" si="3347"/>
        <v>0</v>
      </c>
      <c r="JP100" s="74">
        <f t="shared" si="3347"/>
        <v>0</v>
      </c>
      <c r="JQ100" s="74">
        <f t="shared" si="3347"/>
        <v>0</v>
      </c>
      <c r="JR100" s="74">
        <f t="shared" si="3347"/>
        <v>0</v>
      </c>
      <c r="JS100" s="74">
        <f t="shared" si="3347"/>
        <v>0</v>
      </c>
      <c r="JT100" s="102">
        <f t="shared" si="3347"/>
        <v>0</v>
      </c>
      <c r="JU100" s="671"/>
      <c r="JV100" s="492"/>
      <c r="JW100" s="490"/>
      <c r="JX100" s="549">
        <f t="shared" si="3169"/>
        <v>0</v>
      </c>
      <c r="JY100" s="549">
        <f t="shared" si="3169"/>
        <v>0</v>
      </c>
      <c r="JZ100" s="581">
        <f t="shared" si="2110"/>
        <v>1775</v>
      </c>
      <c r="KA100" s="581">
        <f t="shared" si="2111"/>
        <v>-1775</v>
      </c>
      <c r="KB100" s="549">
        <f t="shared" si="3169"/>
        <v>0</v>
      </c>
      <c r="KC100" s="709">
        <f t="shared" si="2079"/>
        <v>0</v>
      </c>
      <c r="KD100" s="36"/>
      <c r="KE100" s="36"/>
      <c r="KF100" s="36"/>
      <c r="KG100" s="36"/>
      <c r="KH100" s="36"/>
      <c r="KI100" s="36"/>
      <c r="KJ100" s="36"/>
      <c r="KK100" s="36"/>
    </row>
    <row r="101" spans="1:297" s="8" customFormat="1">
      <c r="A101" s="75" t="s">
        <v>689</v>
      </c>
      <c r="B101" s="72"/>
      <c r="C101" s="263">
        <f t="shared" ref="C101" si="3348">C626</f>
        <v>0</v>
      </c>
      <c r="D101" s="549">
        <f t="shared" ref="D101:E101" si="3349">D626+D434</f>
        <v>0</v>
      </c>
      <c r="E101" s="675">
        <f t="shared" si="3349"/>
        <v>0</v>
      </c>
      <c r="F101" s="549">
        <f t="shared" ref="F101:G101" si="3350">F626+F434</f>
        <v>0</v>
      </c>
      <c r="G101" s="675">
        <f t="shared" si="3350"/>
        <v>0</v>
      </c>
      <c r="H101" s="549">
        <f t="shared" ref="H101:I101" si="3351">H626+H434</f>
        <v>0</v>
      </c>
      <c r="I101" s="675">
        <f t="shared" si="3351"/>
        <v>0</v>
      </c>
      <c r="J101" s="549">
        <f t="shared" ref="J101:K101" si="3352">J626+J434</f>
        <v>0</v>
      </c>
      <c r="K101" s="675">
        <f t="shared" si="3352"/>
        <v>0</v>
      </c>
      <c r="L101" s="549">
        <f t="shared" ref="L101:M101" si="3353">L626+L434</f>
        <v>0</v>
      </c>
      <c r="M101" s="675">
        <f t="shared" si="3353"/>
        <v>0</v>
      </c>
      <c r="N101" s="549">
        <f t="shared" ref="N101:O101" si="3354">N626+N434</f>
        <v>0</v>
      </c>
      <c r="O101" s="675">
        <f t="shared" si="3354"/>
        <v>0</v>
      </c>
      <c r="P101" s="549">
        <f t="shared" ref="P101:Q101" si="3355">P626+P434</f>
        <v>0</v>
      </c>
      <c r="Q101" s="675">
        <f t="shared" si="3355"/>
        <v>0</v>
      </c>
      <c r="R101" s="549">
        <f t="shared" ref="R101:S101" si="3356">R626+R434</f>
        <v>0</v>
      </c>
      <c r="S101" s="675">
        <f t="shared" si="3356"/>
        <v>0</v>
      </c>
      <c r="T101" s="549">
        <f t="shared" ref="T101:U101" si="3357">T626+T434</f>
        <v>0</v>
      </c>
      <c r="U101" s="675">
        <f t="shared" si="3357"/>
        <v>0</v>
      </c>
      <c r="V101" s="549">
        <f t="shared" ref="V101:W101" si="3358">V626+V434</f>
        <v>0</v>
      </c>
      <c r="W101" s="675">
        <f t="shared" si="3358"/>
        <v>0</v>
      </c>
      <c r="X101" s="549">
        <f t="shared" ref="X101:Y101" si="3359">X626+X434</f>
        <v>0</v>
      </c>
      <c r="Y101" s="675">
        <f t="shared" si="3359"/>
        <v>0</v>
      </c>
      <c r="Z101" s="549">
        <f t="shared" ref="Z101:AA101" si="3360">Z626+Z434</f>
        <v>0</v>
      </c>
      <c r="AA101" s="675">
        <f t="shared" si="3360"/>
        <v>0</v>
      </c>
      <c r="AB101" s="549">
        <f t="shared" ref="AB101:AC101" si="3361">AB626+AB434</f>
        <v>0</v>
      </c>
      <c r="AC101" s="675">
        <f t="shared" si="3361"/>
        <v>0</v>
      </c>
      <c r="AD101" s="549">
        <f t="shared" ref="AD101:AE101" si="3362">AD626+AD434</f>
        <v>0</v>
      </c>
      <c r="AE101" s="675">
        <f t="shared" si="3362"/>
        <v>0</v>
      </c>
      <c r="AF101" s="549">
        <f t="shared" ref="AF101:AI101" si="3363">AF626+AF434</f>
        <v>0</v>
      </c>
      <c r="AG101" s="675">
        <f t="shared" si="3363"/>
        <v>0</v>
      </c>
      <c r="AH101" s="549">
        <f t="shared" si="3363"/>
        <v>0</v>
      </c>
      <c r="AI101" s="675">
        <f t="shared" si="3363"/>
        <v>0</v>
      </c>
      <c r="AJ101" s="549">
        <f t="shared" ref="AJ101:AK101" si="3364">AJ626+AJ434</f>
        <v>0</v>
      </c>
      <c r="AK101" s="675">
        <f t="shared" si="3364"/>
        <v>0</v>
      </c>
      <c r="AL101" s="549">
        <f t="shared" ref="AL101:AM101" si="3365">AL626+AL434</f>
        <v>0</v>
      </c>
      <c r="AM101" s="675">
        <f t="shared" si="3365"/>
        <v>0</v>
      </c>
      <c r="AN101" s="549">
        <f t="shared" ref="AN101:AO101" si="3366">AN626+AN434</f>
        <v>0</v>
      </c>
      <c r="AO101" s="675">
        <f t="shared" si="3366"/>
        <v>0</v>
      </c>
      <c r="AP101" s="549">
        <f t="shared" ref="AP101:AQ101" si="3367">AP626+AP434</f>
        <v>0</v>
      </c>
      <c r="AQ101" s="675">
        <f t="shared" si="3367"/>
        <v>0</v>
      </c>
      <c r="AR101" s="549">
        <f t="shared" ref="AR101:BW101" si="3368">AR626+AR434</f>
        <v>0</v>
      </c>
      <c r="AS101" s="675">
        <f t="shared" si="3368"/>
        <v>0</v>
      </c>
      <c r="AT101" s="549">
        <f t="shared" ref="AT101:AU101" si="3369">AT626+AT434</f>
        <v>0</v>
      </c>
      <c r="AU101" s="675">
        <f t="shared" si="3369"/>
        <v>0</v>
      </c>
      <c r="AV101" s="549">
        <f t="shared" ref="AV101:AW101" si="3370">AV626+AV434</f>
        <v>0</v>
      </c>
      <c r="AW101" s="675">
        <f t="shared" si="3370"/>
        <v>0</v>
      </c>
      <c r="AX101" s="549">
        <f t="shared" ref="AX101:AY101" si="3371">AX626+AX434</f>
        <v>0</v>
      </c>
      <c r="AY101" s="675">
        <f t="shared" si="3371"/>
        <v>0</v>
      </c>
      <c r="AZ101" s="549">
        <f t="shared" ref="AZ101:BA101" si="3372">AZ626+AZ434</f>
        <v>0</v>
      </c>
      <c r="BA101" s="675">
        <f t="shared" si="3372"/>
        <v>0</v>
      </c>
      <c r="BB101" s="549">
        <f t="shared" ref="BB101:BC101" si="3373">BB626+BB434</f>
        <v>0</v>
      </c>
      <c r="BC101" s="675">
        <f t="shared" si="3373"/>
        <v>0</v>
      </c>
      <c r="BD101" s="549">
        <f t="shared" ref="BD101:BE101" si="3374">BD626+BD434</f>
        <v>0</v>
      </c>
      <c r="BE101" s="675">
        <f t="shared" si="3374"/>
        <v>0</v>
      </c>
      <c r="BF101" s="549">
        <f t="shared" ref="BF101:BG101" si="3375">BF626+BF434</f>
        <v>0</v>
      </c>
      <c r="BG101" s="675">
        <f t="shared" si="3375"/>
        <v>0</v>
      </c>
      <c r="BH101" s="549">
        <f t="shared" ref="BH101:BI101" si="3376">BH626+BH434</f>
        <v>0</v>
      </c>
      <c r="BI101" s="675">
        <f t="shared" si="3376"/>
        <v>0</v>
      </c>
      <c r="BJ101" s="549">
        <f t="shared" ref="BJ101:BK101" si="3377">BJ626+BJ434</f>
        <v>0</v>
      </c>
      <c r="BK101" s="675">
        <f t="shared" si="3377"/>
        <v>0</v>
      </c>
      <c r="BL101" s="549">
        <f t="shared" si="3368"/>
        <v>0</v>
      </c>
      <c r="BM101" s="675">
        <f t="shared" si="3368"/>
        <v>0</v>
      </c>
      <c r="BN101" s="549">
        <f t="shared" si="3368"/>
        <v>0</v>
      </c>
      <c r="BO101" s="675">
        <f t="shared" si="3368"/>
        <v>0</v>
      </c>
      <c r="BP101" s="549">
        <f t="shared" si="3368"/>
        <v>0</v>
      </c>
      <c r="BQ101" s="675">
        <f t="shared" si="3368"/>
        <v>0</v>
      </c>
      <c r="BR101" s="549">
        <f t="shared" si="3368"/>
        <v>0</v>
      </c>
      <c r="BS101" s="675">
        <f t="shared" si="3368"/>
        <v>0</v>
      </c>
      <c r="BT101" s="549">
        <f t="shared" si="3368"/>
        <v>0</v>
      </c>
      <c r="BU101" s="675">
        <f t="shared" si="3368"/>
        <v>0</v>
      </c>
      <c r="BV101" s="549">
        <f t="shared" si="3368"/>
        <v>0</v>
      </c>
      <c r="BW101" s="675">
        <f t="shared" si="3368"/>
        <v>0</v>
      </c>
      <c r="BX101" s="549">
        <f t="shared" ref="BX101:BY101" si="3378">BX626+BX434</f>
        <v>0</v>
      </c>
      <c r="BY101" s="675">
        <f t="shared" si="3378"/>
        <v>0</v>
      </c>
      <c r="BZ101" s="549">
        <f t="shared" ref="BZ101:CA101" si="3379">BZ626+BZ434</f>
        <v>1775</v>
      </c>
      <c r="CA101" s="675">
        <f t="shared" si="3379"/>
        <v>0</v>
      </c>
      <c r="CB101" s="549">
        <f t="shared" ref="CB101:DC101" si="3380">CB626+CB434</f>
        <v>0</v>
      </c>
      <c r="CC101" s="675">
        <f t="shared" si="3380"/>
        <v>0</v>
      </c>
      <c r="CD101" s="549">
        <f t="shared" si="3380"/>
        <v>0</v>
      </c>
      <c r="CE101" s="675">
        <f t="shared" si="3380"/>
        <v>0</v>
      </c>
      <c r="CF101" s="549">
        <f t="shared" si="3380"/>
        <v>0</v>
      </c>
      <c r="CG101" s="675">
        <f t="shared" si="3380"/>
        <v>0</v>
      </c>
      <c r="CH101" s="549">
        <f t="shared" si="3380"/>
        <v>0</v>
      </c>
      <c r="CI101" s="675">
        <f t="shared" si="3380"/>
        <v>0</v>
      </c>
      <c r="CJ101" s="549">
        <f t="shared" si="3380"/>
        <v>0</v>
      </c>
      <c r="CK101" s="675">
        <f t="shared" si="3380"/>
        <v>0</v>
      </c>
      <c r="CL101" s="549">
        <f t="shared" si="3380"/>
        <v>0</v>
      </c>
      <c r="CM101" s="675">
        <f t="shared" si="3380"/>
        <v>0</v>
      </c>
      <c r="CN101" s="549">
        <f t="shared" si="3380"/>
        <v>0</v>
      </c>
      <c r="CO101" s="675">
        <f t="shared" si="3380"/>
        <v>0</v>
      </c>
      <c r="CP101" s="549">
        <f t="shared" si="3380"/>
        <v>0</v>
      </c>
      <c r="CQ101" s="675">
        <f t="shared" si="3380"/>
        <v>0</v>
      </c>
      <c r="CR101" s="549">
        <f t="shared" si="3380"/>
        <v>0</v>
      </c>
      <c r="CS101" s="675">
        <f t="shared" si="3380"/>
        <v>0</v>
      </c>
      <c r="CT101" s="549">
        <f t="shared" si="3380"/>
        <v>0</v>
      </c>
      <c r="CU101" s="675">
        <f t="shared" si="3380"/>
        <v>0</v>
      </c>
      <c r="CV101" s="549">
        <f t="shared" si="3380"/>
        <v>0</v>
      </c>
      <c r="CW101" s="675">
        <f t="shared" si="3380"/>
        <v>0</v>
      </c>
      <c r="CX101" s="549">
        <f t="shared" si="3380"/>
        <v>0</v>
      </c>
      <c r="CY101" s="675">
        <f t="shared" si="3380"/>
        <v>0</v>
      </c>
      <c r="CZ101" s="549">
        <f t="shared" si="3380"/>
        <v>0</v>
      </c>
      <c r="DA101" s="675">
        <f t="shared" si="3380"/>
        <v>0</v>
      </c>
      <c r="DB101" s="549">
        <f t="shared" si="3380"/>
        <v>0</v>
      </c>
      <c r="DC101" s="675">
        <f t="shared" si="3380"/>
        <v>0</v>
      </c>
      <c r="DD101" s="549">
        <f t="shared" ref="DD101:EI101" si="3381">DD626+DD434</f>
        <v>0</v>
      </c>
      <c r="DE101" s="675">
        <f t="shared" si="3381"/>
        <v>0</v>
      </c>
      <c r="DF101" s="549">
        <f t="shared" si="3381"/>
        <v>0</v>
      </c>
      <c r="DG101" s="675">
        <f t="shared" si="3381"/>
        <v>0</v>
      </c>
      <c r="DH101" s="549">
        <f t="shared" si="3381"/>
        <v>0</v>
      </c>
      <c r="DI101" s="675">
        <f t="shared" si="3381"/>
        <v>0</v>
      </c>
      <c r="DJ101" s="549">
        <f t="shared" si="3381"/>
        <v>0</v>
      </c>
      <c r="DK101" s="675">
        <f t="shared" si="3381"/>
        <v>0</v>
      </c>
      <c r="DL101" s="549">
        <f t="shared" si="3381"/>
        <v>0</v>
      </c>
      <c r="DM101" s="675">
        <f t="shared" si="3381"/>
        <v>0</v>
      </c>
      <c r="DN101" s="549">
        <f t="shared" si="3381"/>
        <v>0</v>
      </c>
      <c r="DO101" s="675">
        <f t="shared" si="3381"/>
        <v>0</v>
      </c>
      <c r="DP101" s="549">
        <f t="shared" si="3381"/>
        <v>0</v>
      </c>
      <c r="DQ101" s="675">
        <f t="shared" si="3381"/>
        <v>0</v>
      </c>
      <c r="DR101" s="549">
        <f t="shared" si="3381"/>
        <v>0</v>
      </c>
      <c r="DS101" s="675">
        <f t="shared" si="3381"/>
        <v>0</v>
      </c>
      <c r="DT101" s="549">
        <f t="shared" si="3381"/>
        <v>0</v>
      </c>
      <c r="DU101" s="675">
        <f t="shared" si="3381"/>
        <v>0</v>
      </c>
      <c r="DV101" s="549">
        <f t="shared" si="3381"/>
        <v>0</v>
      </c>
      <c r="DW101" s="675">
        <f t="shared" si="3381"/>
        <v>0</v>
      </c>
      <c r="DX101" s="549">
        <f t="shared" si="3381"/>
        <v>0</v>
      </c>
      <c r="DY101" s="675">
        <f t="shared" si="3381"/>
        <v>0</v>
      </c>
      <c r="DZ101" s="549">
        <f t="shared" si="3381"/>
        <v>0</v>
      </c>
      <c r="EA101" s="675">
        <f t="shared" si="3381"/>
        <v>0</v>
      </c>
      <c r="EB101" s="549">
        <f t="shared" si="3381"/>
        <v>0</v>
      </c>
      <c r="EC101" s="675">
        <f t="shared" si="3381"/>
        <v>0</v>
      </c>
      <c r="ED101" s="549">
        <f t="shared" si="3381"/>
        <v>0</v>
      </c>
      <c r="EE101" s="675">
        <f t="shared" si="3381"/>
        <v>0</v>
      </c>
      <c r="EF101" s="549">
        <f t="shared" si="3381"/>
        <v>0</v>
      </c>
      <c r="EG101" s="675">
        <f t="shared" si="3381"/>
        <v>0</v>
      </c>
      <c r="EH101" s="549">
        <f t="shared" si="3381"/>
        <v>0</v>
      </c>
      <c r="EI101" s="675">
        <f t="shared" si="3381"/>
        <v>0</v>
      </c>
      <c r="EJ101" s="549">
        <f t="shared" ref="EJ101:GS101" si="3382">EJ626+EJ434</f>
        <v>0</v>
      </c>
      <c r="EK101" s="675">
        <f t="shared" si="3382"/>
        <v>0</v>
      </c>
      <c r="EL101" s="549">
        <f t="shared" si="3382"/>
        <v>0</v>
      </c>
      <c r="EM101" s="675">
        <f t="shared" si="3382"/>
        <v>0</v>
      </c>
      <c r="EN101" s="549">
        <f t="shared" si="3382"/>
        <v>0</v>
      </c>
      <c r="EO101" s="675">
        <f t="shared" si="3382"/>
        <v>0</v>
      </c>
      <c r="EP101" s="549">
        <f t="shared" si="3382"/>
        <v>0</v>
      </c>
      <c r="EQ101" s="675">
        <f t="shared" si="3382"/>
        <v>0</v>
      </c>
      <c r="ER101" s="549">
        <f t="shared" si="3382"/>
        <v>0</v>
      </c>
      <c r="ES101" s="675">
        <f t="shared" si="3382"/>
        <v>0</v>
      </c>
      <c r="ET101" s="549">
        <f t="shared" si="3382"/>
        <v>0</v>
      </c>
      <c r="EU101" s="675">
        <f t="shared" si="3382"/>
        <v>0</v>
      </c>
      <c r="EV101" s="549">
        <f t="shared" si="3382"/>
        <v>0</v>
      </c>
      <c r="EW101" s="675">
        <f t="shared" si="3382"/>
        <v>0</v>
      </c>
      <c r="EX101" s="549">
        <f t="shared" si="3382"/>
        <v>0</v>
      </c>
      <c r="EY101" s="675">
        <f t="shared" si="3382"/>
        <v>0</v>
      </c>
      <c r="EZ101" s="549">
        <f t="shared" si="3382"/>
        <v>0</v>
      </c>
      <c r="FA101" s="675">
        <f t="shared" si="3382"/>
        <v>0</v>
      </c>
      <c r="FB101" s="549">
        <f t="shared" si="3382"/>
        <v>0</v>
      </c>
      <c r="FC101" s="675">
        <f t="shared" si="3382"/>
        <v>0</v>
      </c>
      <c r="FD101" s="549">
        <f t="shared" si="3382"/>
        <v>0</v>
      </c>
      <c r="FE101" s="675">
        <f t="shared" si="3382"/>
        <v>0</v>
      </c>
      <c r="FF101" s="549">
        <f t="shared" si="3382"/>
        <v>1140</v>
      </c>
      <c r="FG101" s="675">
        <f t="shared" si="3382"/>
        <v>0</v>
      </c>
      <c r="FH101" s="549">
        <f t="shared" si="3382"/>
        <v>0</v>
      </c>
      <c r="FI101" s="675">
        <f t="shared" si="3382"/>
        <v>0</v>
      </c>
      <c r="FJ101" s="549">
        <f t="shared" si="3382"/>
        <v>0</v>
      </c>
      <c r="FK101" s="675">
        <f t="shared" si="3382"/>
        <v>0</v>
      </c>
      <c r="FL101" s="549">
        <f t="shared" ref="FL101:FM101" si="3383">FL626+FL434</f>
        <v>0</v>
      </c>
      <c r="FM101" s="675">
        <f t="shared" si="3383"/>
        <v>0</v>
      </c>
      <c r="FN101" s="549">
        <f t="shared" ref="FN101:FO101" si="3384">FN626+FN434</f>
        <v>0</v>
      </c>
      <c r="FO101" s="675">
        <f t="shared" si="3384"/>
        <v>0</v>
      </c>
      <c r="FP101" s="549">
        <f t="shared" ref="FP101:FQ101" si="3385">FP626+FP434</f>
        <v>0</v>
      </c>
      <c r="FQ101" s="675">
        <f t="shared" si="3385"/>
        <v>0</v>
      </c>
      <c r="FR101" s="549">
        <f t="shared" ref="FR101:FS101" si="3386">FR626+FR434</f>
        <v>0</v>
      </c>
      <c r="FS101" s="675">
        <f t="shared" si="3386"/>
        <v>0</v>
      </c>
      <c r="FT101" s="549">
        <f t="shared" ref="FT101:FU101" si="3387">FT626+FT434</f>
        <v>0</v>
      </c>
      <c r="FU101" s="675">
        <f t="shared" si="3387"/>
        <v>0</v>
      </c>
      <c r="FV101" s="549">
        <f t="shared" ref="FV101:GK101" si="3388">FV626+FV434</f>
        <v>0</v>
      </c>
      <c r="FW101" s="675">
        <f t="shared" si="3388"/>
        <v>0</v>
      </c>
      <c r="FX101" s="549">
        <f t="shared" si="3388"/>
        <v>0</v>
      </c>
      <c r="FY101" s="675">
        <f t="shared" si="3388"/>
        <v>0</v>
      </c>
      <c r="FZ101" s="549">
        <f t="shared" ref="FZ101:GI101" si="3389">FZ626+FZ434</f>
        <v>0</v>
      </c>
      <c r="GA101" s="675">
        <f t="shared" si="3389"/>
        <v>0</v>
      </c>
      <c r="GB101" s="549">
        <f t="shared" si="3389"/>
        <v>0</v>
      </c>
      <c r="GC101" s="675">
        <f t="shared" si="3389"/>
        <v>0</v>
      </c>
      <c r="GD101" s="549">
        <f t="shared" si="3389"/>
        <v>0</v>
      </c>
      <c r="GE101" s="675">
        <f t="shared" si="3389"/>
        <v>0</v>
      </c>
      <c r="GF101" s="549">
        <f t="shared" si="3389"/>
        <v>0</v>
      </c>
      <c r="GG101" s="675">
        <f t="shared" si="3389"/>
        <v>0</v>
      </c>
      <c r="GH101" s="549">
        <f t="shared" si="3389"/>
        <v>0</v>
      </c>
      <c r="GI101" s="675">
        <f t="shared" si="3389"/>
        <v>0</v>
      </c>
      <c r="GJ101" s="549">
        <f t="shared" si="3388"/>
        <v>0</v>
      </c>
      <c r="GK101" s="675">
        <f t="shared" si="3388"/>
        <v>0</v>
      </c>
      <c r="GL101" s="549">
        <f t="shared" ref="GL101:GM101" si="3390">GL626+GL434</f>
        <v>0</v>
      </c>
      <c r="GM101" s="675">
        <f t="shared" si="3390"/>
        <v>0</v>
      </c>
      <c r="GN101" s="549">
        <f t="shared" ref="GN101:GO101" si="3391">GN626+GN434</f>
        <v>0</v>
      </c>
      <c r="GO101" s="675">
        <f t="shared" si="3391"/>
        <v>0</v>
      </c>
      <c r="GP101" s="263">
        <f t="shared" si="3382"/>
        <v>2915</v>
      </c>
      <c r="GQ101" s="675">
        <f t="shared" si="3382"/>
        <v>0</v>
      </c>
      <c r="GR101" s="263">
        <f t="shared" si="3382"/>
        <v>2915</v>
      </c>
      <c r="GS101" s="263">
        <f t="shared" si="3382"/>
        <v>2915</v>
      </c>
      <c r="GT101" s="549">
        <f t="shared" ref="GT101:HJ101" si="3392">GT626</f>
        <v>2915</v>
      </c>
      <c r="GU101" s="263">
        <f t="shared" si="3392"/>
        <v>0</v>
      </c>
      <c r="GV101" s="263">
        <f t="shared" si="3392"/>
        <v>0</v>
      </c>
      <c r="GW101" s="549">
        <f t="shared" si="3392"/>
        <v>0</v>
      </c>
      <c r="GX101" s="549">
        <f t="shared" si="3392"/>
        <v>0</v>
      </c>
      <c r="GY101" s="263">
        <f t="shared" si="3392"/>
        <v>0</v>
      </c>
      <c r="GZ101" s="263">
        <f t="shared" si="3392"/>
        <v>0</v>
      </c>
      <c r="HA101" s="263">
        <f t="shared" si="3392"/>
        <v>0</v>
      </c>
      <c r="HB101" s="263">
        <f t="shared" si="3392"/>
        <v>0</v>
      </c>
      <c r="HC101" s="263">
        <f t="shared" si="3392"/>
        <v>0</v>
      </c>
      <c r="HD101" s="263">
        <f t="shared" si="3392"/>
        <v>0</v>
      </c>
      <c r="HE101" s="263">
        <f t="shared" si="3392"/>
        <v>0</v>
      </c>
      <c r="HF101" s="263">
        <f t="shared" si="3392"/>
        <v>0</v>
      </c>
      <c r="HG101" s="263">
        <f>HG626+HG434</f>
        <v>2915</v>
      </c>
      <c r="HH101" s="263">
        <f t="shared" si="3392"/>
        <v>0</v>
      </c>
      <c r="HI101" s="263">
        <f t="shared" si="3392"/>
        <v>0</v>
      </c>
      <c r="HJ101" s="263">
        <f t="shared" si="3392"/>
        <v>0</v>
      </c>
      <c r="HK101" s="263">
        <f t="shared" ref="HK101:IP101" si="3393">HK626</f>
        <v>0</v>
      </c>
      <c r="HL101" s="263">
        <f t="shared" si="3393"/>
        <v>0</v>
      </c>
      <c r="HM101" s="263">
        <f t="shared" si="3393"/>
        <v>0</v>
      </c>
      <c r="HN101" s="263">
        <f t="shared" si="3393"/>
        <v>0</v>
      </c>
      <c r="HO101" s="263">
        <f t="shared" si="3393"/>
        <v>0</v>
      </c>
      <c r="HP101" s="263">
        <f>HP626+HP434</f>
        <v>0</v>
      </c>
      <c r="HQ101" s="263">
        <f>HQ626+HQ434</f>
        <v>0</v>
      </c>
      <c r="HR101" s="263">
        <f t="shared" si="3393"/>
        <v>0</v>
      </c>
      <c r="HS101" s="263">
        <f t="shared" si="3393"/>
        <v>0</v>
      </c>
      <c r="HT101" s="263">
        <f t="shared" si="3393"/>
        <v>0</v>
      </c>
      <c r="HU101" s="263">
        <f t="shared" si="3393"/>
        <v>0</v>
      </c>
      <c r="HV101" s="263">
        <f t="shared" si="3393"/>
        <v>0</v>
      </c>
      <c r="HW101" s="263">
        <f t="shared" si="3393"/>
        <v>0</v>
      </c>
      <c r="HX101" s="263">
        <f t="shared" si="3393"/>
        <v>1775</v>
      </c>
      <c r="HY101" s="263">
        <f t="shared" si="3393"/>
        <v>0</v>
      </c>
      <c r="HZ101" s="263">
        <f t="shared" si="3393"/>
        <v>1140</v>
      </c>
      <c r="IA101" s="263">
        <f t="shared" si="3393"/>
        <v>0</v>
      </c>
      <c r="IB101" s="263">
        <f t="shared" si="3393"/>
        <v>0</v>
      </c>
      <c r="IC101" s="263">
        <f t="shared" si="3393"/>
        <v>0</v>
      </c>
      <c r="ID101" s="263">
        <f t="shared" si="3393"/>
        <v>0</v>
      </c>
      <c r="IE101" s="812">
        <f t="shared" si="3393"/>
        <v>0</v>
      </c>
      <c r="IF101" s="841">
        <f>IF626+IF434</f>
        <v>1775</v>
      </c>
      <c r="IG101" s="263">
        <f>IG626+IG434</f>
        <v>1775</v>
      </c>
      <c r="IH101" s="842">
        <f>IH626+IH434</f>
        <v>1775</v>
      </c>
      <c r="II101" s="383">
        <f t="shared" si="3393"/>
        <v>0</v>
      </c>
      <c r="IJ101" s="263">
        <f t="shared" si="3393"/>
        <v>0</v>
      </c>
      <c r="IK101" s="263">
        <f t="shared" si="3393"/>
        <v>0</v>
      </c>
      <c r="IL101" s="263">
        <f t="shared" si="3393"/>
        <v>0</v>
      </c>
      <c r="IM101" s="263">
        <f t="shared" si="3393"/>
        <v>0</v>
      </c>
      <c r="IN101" s="263">
        <f t="shared" si="3393"/>
        <v>0</v>
      </c>
      <c r="IO101" s="263">
        <f t="shared" si="3393"/>
        <v>0</v>
      </c>
      <c r="IP101" s="263">
        <f t="shared" si="3393"/>
        <v>0</v>
      </c>
      <c r="IQ101" s="263">
        <f t="shared" ref="IQ101:JR101" si="3394">IQ626</f>
        <v>0</v>
      </c>
      <c r="IR101" s="263">
        <f t="shared" si="3394"/>
        <v>0</v>
      </c>
      <c r="IS101" s="263">
        <f t="shared" si="3394"/>
        <v>0</v>
      </c>
      <c r="IT101" s="263">
        <f t="shared" si="3394"/>
        <v>0</v>
      </c>
      <c r="IU101" s="263">
        <f>IU626+IU434</f>
        <v>0</v>
      </c>
      <c r="IV101" s="263">
        <f>IV626+IV434</f>
        <v>0</v>
      </c>
      <c r="IW101" s="263">
        <f>IW626+IW434</f>
        <v>0</v>
      </c>
      <c r="IX101" s="263">
        <f t="shared" si="3394"/>
        <v>0</v>
      </c>
      <c r="IY101" s="263">
        <f t="shared" si="3394"/>
        <v>0</v>
      </c>
      <c r="IZ101" s="263">
        <f t="shared" si="3394"/>
        <v>0</v>
      </c>
      <c r="JA101" s="263">
        <f t="shared" si="3394"/>
        <v>0</v>
      </c>
      <c r="JB101" s="263">
        <f t="shared" si="3394"/>
        <v>0</v>
      </c>
      <c r="JC101" s="263">
        <f t="shared" si="3394"/>
        <v>0</v>
      </c>
      <c r="JD101" s="263">
        <f t="shared" si="3394"/>
        <v>0</v>
      </c>
      <c r="JE101" s="263">
        <f t="shared" si="3394"/>
        <v>0</v>
      </c>
      <c r="JF101" s="263">
        <f t="shared" si="3394"/>
        <v>0</v>
      </c>
      <c r="JG101" s="263">
        <f t="shared" si="3394"/>
        <v>1775</v>
      </c>
      <c r="JH101" s="263">
        <f t="shared" si="3394"/>
        <v>1775</v>
      </c>
      <c r="JI101" s="263">
        <f t="shared" si="3394"/>
        <v>1775</v>
      </c>
      <c r="JJ101" s="263">
        <f t="shared" si="3394"/>
        <v>0</v>
      </c>
      <c r="JK101" s="263">
        <f t="shared" si="3394"/>
        <v>0</v>
      </c>
      <c r="JL101" s="263">
        <f t="shared" si="3394"/>
        <v>0</v>
      </c>
      <c r="JM101" s="263">
        <f t="shared" si="3394"/>
        <v>0</v>
      </c>
      <c r="JN101" s="263">
        <f t="shared" si="3394"/>
        <v>0</v>
      </c>
      <c r="JO101" s="263">
        <f t="shared" si="3394"/>
        <v>0</v>
      </c>
      <c r="JP101" s="263">
        <f t="shared" si="3394"/>
        <v>0</v>
      </c>
      <c r="JQ101" s="263">
        <f t="shared" si="3394"/>
        <v>0</v>
      </c>
      <c r="JR101" s="263">
        <f t="shared" si="3394"/>
        <v>0</v>
      </c>
      <c r="JS101" s="263">
        <f>JS626+JS434</f>
        <v>1140</v>
      </c>
      <c r="JT101" s="382">
        <f>JT626+JT434</f>
        <v>1140</v>
      </c>
      <c r="JU101" s="671"/>
      <c r="JV101" s="492"/>
      <c r="JW101" s="490"/>
      <c r="JX101" s="549">
        <f>JX626</f>
        <v>2915</v>
      </c>
      <c r="JY101" s="549">
        <f>JY626</f>
        <v>0</v>
      </c>
      <c r="JZ101" s="581">
        <f t="shared" si="2110"/>
        <v>2915</v>
      </c>
      <c r="KA101" s="581">
        <f t="shared" si="2111"/>
        <v>0</v>
      </c>
      <c r="KB101" s="549">
        <f>KB626</f>
        <v>2915</v>
      </c>
      <c r="KC101" s="709">
        <f t="shared" si="2079"/>
        <v>0</v>
      </c>
      <c r="KD101" s="36"/>
      <c r="KE101" s="36"/>
      <c r="KF101" s="36"/>
      <c r="KG101" s="36"/>
      <c r="KH101" s="36"/>
      <c r="KI101" s="36"/>
      <c r="KJ101" s="36"/>
      <c r="KK101" s="36"/>
    </row>
    <row r="102" spans="1:297" s="8" customFormat="1" ht="12.75" hidden="1" customHeight="1">
      <c r="A102" s="262" t="s">
        <v>794</v>
      </c>
      <c r="B102" s="72"/>
      <c r="C102" s="74">
        <f t="shared" ref="C102:AM102" si="3395">C435</f>
        <v>0</v>
      </c>
      <c r="D102" s="549">
        <f t="shared" si="3395"/>
        <v>0</v>
      </c>
      <c r="E102" s="675">
        <f t="shared" si="3395"/>
        <v>0</v>
      </c>
      <c r="F102" s="549">
        <f t="shared" si="3395"/>
        <v>0</v>
      </c>
      <c r="G102" s="675">
        <f t="shared" si="3395"/>
        <v>0</v>
      </c>
      <c r="H102" s="549">
        <f t="shared" si="3395"/>
        <v>0</v>
      </c>
      <c r="I102" s="675">
        <f t="shared" si="3395"/>
        <v>0</v>
      </c>
      <c r="J102" s="549">
        <f t="shared" si="3395"/>
        <v>0</v>
      </c>
      <c r="K102" s="675">
        <f t="shared" si="3395"/>
        <v>0</v>
      </c>
      <c r="L102" s="549">
        <f t="shared" si="3395"/>
        <v>0</v>
      </c>
      <c r="M102" s="675">
        <f t="shared" si="3395"/>
        <v>0</v>
      </c>
      <c r="N102" s="549">
        <f t="shared" si="3395"/>
        <v>0</v>
      </c>
      <c r="O102" s="675">
        <f t="shared" si="3395"/>
        <v>0</v>
      </c>
      <c r="P102" s="549">
        <f t="shared" si="3395"/>
        <v>0</v>
      </c>
      <c r="Q102" s="675">
        <f t="shared" si="3395"/>
        <v>0</v>
      </c>
      <c r="R102" s="549">
        <f t="shared" si="3395"/>
        <v>0</v>
      </c>
      <c r="S102" s="675">
        <f t="shared" si="3395"/>
        <v>0</v>
      </c>
      <c r="T102" s="549">
        <f t="shared" si="3395"/>
        <v>0</v>
      </c>
      <c r="U102" s="675">
        <f t="shared" si="3395"/>
        <v>0</v>
      </c>
      <c r="V102" s="549">
        <f t="shared" si="3395"/>
        <v>0</v>
      </c>
      <c r="W102" s="675">
        <f t="shared" si="3395"/>
        <v>0</v>
      </c>
      <c r="X102" s="549">
        <f t="shared" si="3395"/>
        <v>0</v>
      </c>
      <c r="Y102" s="675">
        <f t="shared" si="3395"/>
        <v>0</v>
      </c>
      <c r="Z102" s="549">
        <f t="shared" si="3395"/>
        <v>0</v>
      </c>
      <c r="AA102" s="675">
        <f t="shared" si="3395"/>
        <v>0</v>
      </c>
      <c r="AB102" s="549">
        <f t="shared" si="3395"/>
        <v>0</v>
      </c>
      <c r="AC102" s="675">
        <f t="shared" si="3395"/>
        <v>0</v>
      </c>
      <c r="AD102" s="549">
        <f t="shared" ref="AD102:AK102" si="3396">AD435</f>
        <v>0</v>
      </c>
      <c r="AE102" s="675">
        <f t="shared" si="3396"/>
        <v>0</v>
      </c>
      <c r="AF102" s="549">
        <f t="shared" si="3396"/>
        <v>0</v>
      </c>
      <c r="AG102" s="675">
        <f t="shared" si="3396"/>
        <v>0</v>
      </c>
      <c r="AH102" s="549">
        <f t="shared" si="3396"/>
        <v>0</v>
      </c>
      <c r="AI102" s="675">
        <f t="shared" si="3396"/>
        <v>0</v>
      </c>
      <c r="AJ102" s="549">
        <f t="shared" si="3396"/>
        <v>0</v>
      </c>
      <c r="AK102" s="675">
        <f t="shared" si="3396"/>
        <v>0</v>
      </c>
      <c r="AL102" s="549">
        <f t="shared" si="3395"/>
        <v>0</v>
      </c>
      <c r="AM102" s="675">
        <f t="shared" si="3395"/>
        <v>0</v>
      </c>
      <c r="AN102" s="549">
        <f t="shared" ref="AN102:AS102" si="3397">AN435</f>
        <v>0</v>
      </c>
      <c r="AO102" s="675">
        <f t="shared" si="3397"/>
        <v>0</v>
      </c>
      <c r="AP102" s="549">
        <f t="shared" si="3397"/>
        <v>0</v>
      </c>
      <c r="AQ102" s="675">
        <f t="shared" si="3397"/>
        <v>0</v>
      </c>
      <c r="AR102" s="549">
        <f t="shared" si="3397"/>
        <v>0</v>
      </c>
      <c r="AS102" s="675">
        <f t="shared" si="3397"/>
        <v>0</v>
      </c>
      <c r="AT102" s="549">
        <f t="shared" ref="AT102:AU102" si="3398">AT435</f>
        <v>0</v>
      </c>
      <c r="AU102" s="675">
        <f t="shared" si="3398"/>
        <v>0</v>
      </c>
      <c r="AV102" s="549">
        <f t="shared" ref="AV102:AW102" si="3399">AV435</f>
        <v>0</v>
      </c>
      <c r="AW102" s="675">
        <f t="shared" si="3399"/>
        <v>0</v>
      </c>
      <c r="AX102" s="549">
        <f t="shared" ref="AX102:AY102" si="3400">AX435</f>
        <v>0</v>
      </c>
      <c r="AY102" s="675">
        <f t="shared" si="3400"/>
        <v>0</v>
      </c>
      <c r="AZ102" s="549">
        <f t="shared" ref="AZ102:BA102" si="3401">AZ435</f>
        <v>0</v>
      </c>
      <c r="BA102" s="675">
        <f t="shared" si="3401"/>
        <v>0</v>
      </c>
      <c r="BB102" s="549">
        <f t="shared" ref="BB102:BC102" si="3402">BB435</f>
        <v>0</v>
      </c>
      <c r="BC102" s="675">
        <f t="shared" si="3402"/>
        <v>0</v>
      </c>
      <c r="BD102" s="549">
        <f t="shared" ref="BD102:BE102" si="3403">BD435</f>
        <v>0</v>
      </c>
      <c r="BE102" s="675">
        <f t="shared" si="3403"/>
        <v>0</v>
      </c>
      <c r="BF102" s="549">
        <f t="shared" ref="BF102:BG102" si="3404">BF435</f>
        <v>0</v>
      </c>
      <c r="BG102" s="675">
        <f t="shared" si="3404"/>
        <v>0</v>
      </c>
      <c r="BH102" s="549">
        <f t="shared" ref="BH102:BI102" si="3405">BH435</f>
        <v>0</v>
      </c>
      <c r="BI102" s="675">
        <f t="shared" si="3405"/>
        <v>0</v>
      </c>
      <c r="BJ102" s="549">
        <f t="shared" ref="BJ102:BK102" si="3406">BJ435</f>
        <v>0</v>
      </c>
      <c r="BK102" s="675">
        <f t="shared" si="3406"/>
        <v>0</v>
      </c>
      <c r="BL102" s="549">
        <f t="shared" ref="BL102:BS102" si="3407">BL435</f>
        <v>0</v>
      </c>
      <c r="BM102" s="675">
        <f t="shared" si="3407"/>
        <v>0</v>
      </c>
      <c r="BN102" s="549">
        <f t="shared" si="3407"/>
        <v>0</v>
      </c>
      <c r="BO102" s="675">
        <f t="shared" si="3407"/>
        <v>0</v>
      </c>
      <c r="BP102" s="549">
        <f t="shared" si="3407"/>
        <v>0</v>
      </c>
      <c r="BQ102" s="675">
        <f t="shared" si="3407"/>
        <v>0</v>
      </c>
      <c r="BR102" s="549">
        <f t="shared" si="3407"/>
        <v>0</v>
      </c>
      <c r="BS102" s="675">
        <f t="shared" si="3407"/>
        <v>0</v>
      </c>
      <c r="BT102" s="549">
        <f t="shared" ref="BT102:BU102" si="3408">BT435</f>
        <v>0</v>
      </c>
      <c r="BU102" s="675">
        <f t="shared" si="3408"/>
        <v>0</v>
      </c>
      <c r="BV102" s="549">
        <f t="shared" ref="BV102:BW102" si="3409">BV435</f>
        <v>0</v>
      </c>
      <c r="BW102" s="675">
        <f t="shared" si="3409"/>
        <v>0</v>
      </c>
      <c r="BX102" s="549">
        <f t="shared" ref="BX102:BY102" si="3410">BX435</f>
        <v>0</v>
      </c>
      <c r="BY102" s="675">
        <f t="shared" si="3410"/>
        <v>0</v>
      </c>
      <c r="BZ102" s="549">
        <f t="shared" ref="BZ102:CA102" si="3411">BZ435</f>
        <v>0</v>
      </c>
      <c r="CA102" s="675">
        <f t="shared" si="3411"/>
        <v>0</v>
      </c>
      <c r="CB102" s="549">
        <f t="shared" ref="CB102:CE102" si="3412">CB435</f>
        <v>0</v>
      </c>
      <c r="CC102" s="675">
        <f t="shared" si="3412"/>
        <v>0</v>
      </c>
      <c r="CD102" s="549">
        <f t="shared" si="3412"/>
        <v>0</v>
      </c>
      <c r="CE102" s="675">
        <f t="shared" si="3412"/>
        <v>0</v>
      </c>
      <c r="CF102" s="549">
        <f t="shared" ref="CF102:CQ102" si="3413">CF435</f>
        <v>0</v>
      </c>
      <c r="CG102" s="675">
        <f t="shared" si="3413"/>
        <v>0</v>
      </c>
      <c r="CH102" s="549">
        <f t="shared" si="3413"/>
        <v>0</v>
      </c>
      <c r="CI102" s="675">
        <f t="shared" si="3413"/>
        <v>0</v>
      </c>
      <c r="CJ102" s="549">
        <f t="shared" si="3413"/>
        <v>0</v>
      </c>
      <c r="CK102" s="675">
        <f t="shared" si="3413"/>
        <v>0</v>
      </c>
      <c r="CL102" s="549">
        <f t="shared" si="3413"/>
        <v>0</v>
      </c>
      <c r="CM102" s="675">
        <f t="shared" si="3413"/>
        <v>0</v>
      </c>
      <c r="CN102" s="549">
        <f t="shared" si="3413"/>
        <v>0</v>
      </c>
      <c r="CO102" s="675">
        <f t="shared" si="3413"/>
        <v>0</v>
      </c>
      <c r="CP102" s="549">
        <f t="shared" si="3413"/>
        <v>0</v>
      </c>
      <c r="CQ102" s="675">
        <f t="shared" si="3413"/>
        <v>0</v>
      </c>
      <c r="CR102" s="549">
        <f t="shared" ref="CR102:CY102" si="3414">CR435</f>
        <v>0</v>
      </c>
      <c r="CS102" s="675">
        <f t="shared" si="3414"/>
        <v>0</v>
      </c>
      <c r="CT102" s="549">
        <f t="shared" si="3414"/>
        <v>0</v>
      </c>
      <c r="CU102" s="675">
        <f t="shared" si="3414"/>
        <v>0</v>
      </c>
      <c r="CV102" s="549">
        <f t="shared" si="3414"/>
        <v>0</v>
      </c>
      <c r="CW102" s="675">
        <f t="shared" si="3414"/>
        <v>0</v>
      </c>
      <c r="CX102" s="549">
        <f t="shared" si="3414"/>
        <v>0</v>
      </c>
      <c r="CY102" s="675">
        <f t="shared" si="3414"/>
        <v>0</v>
      </c>
      <c r="CZ102" s="549">
        <f t="shared" ref="CZ102:DG102" si="3415">CZ435</f>
        <v>0</v>
      </c>
      <c r="DA102" s="675">
        <f t="shared" si="3415"/>
        <v>0</v>
      </c>
      <c r="DB102" s="549">
        <f t="shared" si="3415"/>
        <v>0</v>
      </c>
      <c r="DC102" s="675">
        <f t="shared" si="3415"/>
        <v>0</v>
      </c>
      <c r="DD102" s="549">
        <f t="shared" si="3415"/>
        <v>0</v>
      </c>
      <c r="DE102" s="675">
        <f t="shared" si="3415"/>
        <v>0</v>
      </c>
      <c r="DF102" s="549">
        <f t="shared" si="3415"/>
        <v>0</v>
      </c>
      <c r="DG102" s="675">
        <f t="shared" si="3415"/>
        <v>0</v>
      </c>
      <c r="DH102" s="549">
        <f t="shared" ref="DH102:DM102" si="3416">DH435</f>
        <v>0</v>
      </c>
      <c r="DI102" s="675">
        <f t="shared" si="3416"/>
        <v>0</v>
      </c>
      <c r="DJ102" s="549">
        <f t="shared" si="3416"/>
        <v>0</v>
      </c>
      <c r="DK102" s="675">
        <f t="shared" si="3416"/>
        <v>0</v>
      </c>
      <c r="DL102" s="549">
        <f t="shared" si="3416"/>
        <v>0</v>
      </c>
      <c r="DM102" s="675">
        <f t="shared" si="3416"/>
        <v>0</v>
      </c>
      <c r="DN102" s="549">
        <f t="shared" ref="DN102:DW102" si="3417">DN435</f>
        <v>0</v>
      </c>
      <c r="DO102" s="675">
        <f t="shared" si="3417"/>
        <v>0</v>
      </c>
      <c r="DP102" s="549">
        <f t="shared" si="3417"/>
        <v>0</v>
      </c>
      <c r="DQ102" s="675">
        <f t="shared" si="3417"/>
        <v>0</v>
      </c>
      <c r="DR102" s="549">
        <f t="shared" si="3417"/>
        <v>0</v>
      </c>
      <c r="DS102" s="675">
        <f t="shared" si="3417"/>
        <v>0</v>
      </c>
      <c r="DT102" s="549">
        <f t="shared" si="3417"/>
        <v>0</v>
      </c>
      <c r="DU102" s="675">
        <f t="shared" si="3417"/>
        <v>0</v>
      </c>
      <c r="DV102" s="549">
        <f t="shared" si="3417"/>
        <v>0</v>
      </c>
      <c r="DW102" s="675">
        <f t="shared" si="3417"/>
        <v>0</v>
      </c>
      <c r="DX102" s="549">
        <f t="shared" ref="DX102:EG102" si="3418">DX435</f>
        <v>0</v>
      </c>
      <c r="DY102" s="675">
        <f t="shared" si="3418"/>
        <v>0</v>
      </c>
      <c r="DZ102" s="549">
        <f t="shared" si="3418"/>
        <v>0</v>
      </c>
      <c r="EA102" s="675">
        <f t="shared" si="3418"/>
        <v>0</v>
      </c>
      <c r="EB102" s="549">
        <f t="shared" si="3418"/>
        <v>0</v>
      </c>
      <c r="EC102" s="675">
        <f t="shared" si="3418"/>
        <v>0</v>
      </c>
      <c r="ED102" s="549">
        <f t="shared" si="3418"/>
        <v>0</v>
      </c>
      <c r="EE102" s="675">
        <f t="shared" si="3418"/>
        <v>0</v>
      </c>
      <c r="EF102" s="549">
        <f t="shared" si="3418"/>
        <v>0</v>
      </c>
      <c r="EG102" s="675">
        <f t="shared" si="3418"/>
        <v>0</v>
      </c>
      <c r="EH102" s="549">
        <f t="shared" ref="EH102:EM102" si="3419">EH435</f>
        <v>0</v>
      </c>
      <c r="EI102" s="675">
        <f t="shared" si="3419"/>
        <v>0</v>
      </c>
      <c r="EJ102" s="549">
        <f t="shared" si="3419"/>
        <v>0</v>
      </c>
      <c r="EK102" s="675">
        <f t="shared" si="3419"/>
        <v>0</v>
      </c>
      <c r="EL102" s="549">
        <f t="shared" si="3419"/>
        <v>0</v>
      </c>
      <c r="EM102" s="675">
        <f t="shared" si="3419"/>
        <v>0</v>
      </c>
      <c r="EN102" s="549">
        <f t="shared" ref="EN102:EO102" si="3420">EN435</f>
        <v>0</v>
      </c>
      <c r="EO102" s="675">
        <f t="shared" si="3420"/>
        <v>0</v>
      </c>
      <c r="EP102" s="549">
        <f t="shared" ref="EP102:FA102" si="3421">EP435</f>
        <v>0</v>
      </c>
      <c r="EQ102" s="675">
        <f t="shared" si="3421"/>
        <v>0</v>
      </c>
      <c r="ER102" s="549">
        <f t="shared" si="3421"/>
        <v>0</v>
      </c>
      <c r="ES102" s="675">
        <f t="shared" si="3421"/>
        <v>0</v>
      </c>
      <c r="ET102" s="549">
        <f t="shared" si="3421"/>
        <v>0</v>
      </c>
      <c r="EU102" s="675">
        <f t="shared" si="3421"/>
        <v>0</v>
      </c>
      <c r="EV102" s="549">
        <f t="shared" ref="EV102:EW102" si="3422">EV435</f>
        <v>1803</v>
      </c>
      <c r="EW102" s="675">
        <f t="shared" si="3422"/>
        <v>0</v>
      </c>
      <c r="EX102" s="549">
        <f t="shared" si="3421"/>
        <v>0</v>
      </c>
      <c r="EY102" s="675">
        <f t="shared" si="3421"/>
        <v>0</v>
      </c>
      <c r="EZ102" s="549">
        <f t="shared" si="3421"/>
        <v>0</v>
      </c>
      <c r="FA102" s="675">
        <f t="shared" si="3421"/>
        <v>0</v>
      </c>
      <c r="FB102" s="549">
        <f t="shared" ref="FB102:FC102" si="3423">FB435</f>
        <v>0</v>
      </c>
      <c r="FC102" s="675">
        <f t="shared" si="3423"/>
        <v>0</v>
      </c>
      <c r="FD102" s="549">
        <f t="shared" ref="FD102:FE102" si="3424">FD435</f>
        <v>0</v>
      </c>
      <c r="FE102" s="675">
        <f t="shared" si="3424"/>
        <v>0</v>
      </c>
      <c r="FF102" s="549">
        <f t="shared" ref="FF102:FG102" si="3425">FF435</f>
        <v>0</v>
      </c>
      <c r="FG102" s="675">
        <f t="shared" si="3425"/>
        <v>0</v>
      </c>
      <c r="FH102" s="549">
        <f t="shared" ref="FH102:FI102" si="3426">FH435</f>
        <v>0</v>
      </c>
      <c r="FI102" s="675">
        <f t="shared" si="3426"/>
        <v>0</v>
      </c>
      <c r="FJ102" s="549">
        <f t="shared" ref="FJ102:FK102" si="3427">FJ435</f>
        <v>0</v>
      </c>
      <c r="FK102" s="675">
        <f t="shared" si="3427"/>
        <v>0</v>
      </c>
      <c r="FL102" s="549">
        <f t="shared" ref="FL102:FM102" si="3428">FL435</f>
        <v>0</v>
      </c>
      <c r="FM102" s="675">
        <f t="shared" si="3428"/>
        <v>0</v>
      </c>
      <c r="FN102" s="549">
        <f t="shared" ref="FN102:FO102" si="3429">FN435</f>
        <v>0</v>
      </c>
      <c r="FO102" s="675">
        <f t="shared" si="3429"/>
        <v>0</v>
      </c>
      <c r="FP102" s="549">
        <f t="shared" ref="FP102:FQ102" si="3430">FP435</f>
        <v>0</v>
      </c>
      <c r="FQ102" s="675">
        <f t="shared" si="3430"/>
        <v>0</v>
      </c>
      <c r="FR102" s="549">
        <f t="shared" ref="FR102:FS102" si="3431">FR435</f>
        <v>0</v>
      </c>
      <c r="FS102" s="675">
        <f t="shared" si="3431"/>
        <v>0</v>
      </c>
      <c r="FT102" s="549">
        <f t="shared" ref="FT102:FU102" si="3432">FT435</f>
        <v>0</v>
      </c>
      <c r="FU102" s="675">
        <f t="shared" si="3432"/>
        <v>0</v>
      </c>
      <c r="FV102" s="549">
        <f t="shared" ref="FV102:GK102" si="3433">FV435</f>
        <v>0</v>
      </c>
      <c r="FW102" s="675">
        <f t="shared" si="3433"/>
        <v>0</v>
      </c>
      <c r="FX102" s="549">
        <f t="shared" si="3433"/>
        <v>0</v>
      </c>
      <c r="FY102" s="675">
        <f t="shared" si="3433"/>
        <v>0</v>
      </c>
      <c r="FZ102" s="549">
        <f t="shared" ref="FZ102:GI102" si="3434">FZ435</f>
        <v>0</v>
      </c>
      <c r="GA102" s="675">
        <f t="shared" si="3434"/>
        <v>0</v>
      </c>
      <c r="GB102" s="549">
        <f t="shared" si="3434"/>
        <v>0</v>
      </c>
      <c r="GC102" s="675">
        <f t="shared" si="3434"/>
        <v>0</v>
      </c>
      <c r="GD102" s="549">
        <f t="shared" si="3434"/>
        <v>0</v>
      </c>
      <c r="GE102" s="675">
        <f t="shared" si="3434"/>
        <v>0</v>
      </c>
      <c r="GF102" s="549">
        <f t="shared" si="3434"/>
        <v>0</v>
      </c>
      <c r="GG102" s="675">
        <f t="shared" si="3434"/>
        <v>0</v>
      </c>
      <c r="GH102" s="549">
        <f t="shared" si="3434"/>
        <v>0</v>
      </c>
      <c r="GI102" s="675">
        <f t="shared" si="3434"/>
        <v>0</v>
      </c>
      <c r="GJ102" s="549">
        <f t="shared" si="3433"/>
        <v>0</v>
      </c>
      <c r="GK102" s="675">
        <f t="shared" si="3433"/>
        <v>0</v>
      </c>
      <c r="GL102" s="549">
        <f t="shared" ref="GL102:GQ102" si="3435">GL435</f>
        <v>0</v>
      </c>
      <c r="GM102" s="675">
        <f t="shared" si="3435"/>
        <v>0</v>
      </c>
      <c r="GN102" s="549">
        <f t="shared" ref="GN102:GO102" si="3436">GN435</f>
        <v>0</v>
      </c>
      <c r="GO102" s="675">
        <f t="shared" si="3436"/>
        <v>0</v>
      </c>
      <c r="GP102" s="74">
        <f t="shared" si="3435"/>
        <v>1803</v>
      </c>
      <c r="GQ102" s="675">
        <f t="shared" si="3435"/>
        <v>0</v>
      </c>
      <c r="GR102" s="74">
        <f t="shared" ref="GR102:HE102" si="3437">GR435</f>
        <v>1803</v>
      </c>
      <c r="GS102" s="74">
        <f t="shared" si="3437"/>
        <v>1803</v>
      </c>
      <c r="GT102" s="549">
        <f t="shared" si="3437"/>
        <v>1803</v>
      </c>
      <c r="GU102" s="74">
        <f t="shared" si="3437"/>
        <v>0</v>
      </c>
      <c r="GV102" s="74">
        <f t="shared" si="3437"/>
        <v>0</v>
      </c>
      <c r="GW102" s="549">
        <f t="shared" si="3437"/>
        <v>0</v>
      </c>
      <c r="GX102" s="549">
        <f t="shared" si="3437"/>
        <v>0</v>
      </c>
      <c r="GY102" s="74">
        <f t="shared" si="3437"/>
        <v>0</v>
      </c>
      <c r="GZ102" s="74">
        <f t="shared" si="3437"/>
        <v>0</v>
      </c>
      <c r="HA102" s="74">
        <f t="shared" si="3437"/>
        <v>0</v>
      </c>
      <c r="HB102" s="74">
        <f t="shared" si="3437"/>
        <v>0</v>
      </c>
      <c r="HC102" s="74">
        <f t="shared" si="3437"/>
        <v>0</v>
      </c>
      <c r="HD102" s="74">
        <f t="shared" si="3437"/>
        <v>0</v>
      </c>
      <c r="HE102" s="74">
        <f t="shared" si="3437"/>
        <v>0</v>
      </c>
      <c r="HF102" s="74">
        <f t="shared" ref="HF102:JQ102" si="3438">HF435</f>
        <v>0</v>
      </c>
      <c r="HG102" s="74">
        <f t="shared" si="3438"/>
        <v>1803</v>
      </c>
      <c r="HH102" s="74">
        <f t="shared" ref="HH102:HU102" si="3439">HH435</f>
        <v>0</v>
      </c>
      <c r="HI102" s="74">
        <f t="shared" si="3439"/>
        <v>0</v>
      </c>
      <c r="HJ102" s="74">
        <f t="shared" si="3439"/>
        <v>0</v>
      </c>
      <c r="HK102" s="74">
        <f t="shared" si="3439"/>
        <v>0</v>
      </c>
      <c r="HL102" s="74">
        <f t="shared" si="3439"/>
        <v>0</v>
      </c>
      <c r="HM102" s="74">
        <f t="shared" si="3439"/>
        <v>0</v>
      </c>
      <c r="HN102" s="74">
        <f t="shared" si="3439"/>
        <v>0</v>
      </c>
      <c r="HO102" s="74">
        <f t="shared" si="3439"/>
        <v>0</v>
      </c>
      <c r="HP102" s="74">
        <f t="shared" si="3439"/>
        <v>0</v>
      </c>
      <c r="HQ102" s="74">
        <f t="shared" si="3439"/>
        <v>0</v>
      </c>
      <c r="HR102" s="74">
        <f t="shared" si="3439"/>
        <v>0</v>
      </c>
      <c r="HS102" s="74">
        <f t="shared" si="3439"/>
        <v>0</v>
      </c>
      <c r="HT102" s="74">
        <f t="shared" si="3439"/>
        <v>0</v>
      </c>
      <c r="HU102" s="74">
        <f t="shared" si="3439"/>
        <v>0</v>
      </c>
      <c r="HV102" s="74">
        <f t="shared" si="3438"/>
        <v>0</v>
      </c>
      <c r="HW102" s="74">
        <f t="shared" si="3438"/>
        <v>0</v>
      </c>
      <c r="HX102" s="74">
        <f t="shared" si="3438"/>
        <v>1803</v>
      </c>
      <c r="HY102" s="74">
        <f t="shared" si="3438"/>
        <v>0</v>
      </c>
      <c r="HZ102" s="74">
        <f t="shared" si="3438"/>
        <v>0</v>
      </c>
      <c r="IA102" s="74">
        <f t="shared" si="3438"/>
        <v>0</v>
      </c>
      <c r="IB102" s="74">
        <f t="shared" si="3438"/>
        <v>0</v>
      </c>
      <c r="IC102" s="74">
        <f t="shared" si="3438"/>
        <v>0</v>
      </c>
      <c r="ID102" s="74">
        <f t="shared" si="3438"/>
        <v>0</v>
      </c>
      <c r="IE102" s="792">
        <f t="shared" si="3438"/>
        <v>0</v>
      </c>
      <c r="IF102" s="841">
        <f t="shared" si="3438"/>
        <v>0</v>
      </c>
      <c r="IG102" s="263">
        <f t="shared" si="3438"/>
        <v>0</v>
      </c>
      <c r="IH102" s="842">
        <f t="shared" si="3438"/>
        <v>0</v>
      </c>
      <c r="II102" s="155">
        <f t="shared" si="3438"/>
        <v>0</v>
      </c>
      <c r="IJ102" s="74">
        <f t="shared" si="3438"/>
        <v>0</v>
      </c>
      <c r="IK102" s="74">
        <f t="shared" si="3438"/>
        <v>0</v>
      </c>
      <c r="IL102" s="74">
        <f t="shared" si="3438"/>
        <v>0</v>
      </c>
      <c r="IM102" s="74">
        <f t="shared" si="3438"/>
        <v>0</v>
      </c>
      <c r="IN102" s="74">
        <f t="shared" si="3438"/>
        <v>0</v>
      </c>
      <c r="IO102" s="74">
        <f t="shared" si="3438"/>
        <v>0</v>
      </c>
      <c r="IP102" s="74">
        <f t="shared" si="3438"/>
        <v>0</v>
      </c>
      <c r="IQ102" s="74">
        <f t="shared" si="3438"/>
        <v>0</v>
      </c>
      <c r="IR102" s="74">
        <f t="shared" si="3438"/>
        <v>0</v>
      </c>
      <c r="IS102" s="74">
        <f t="shared" si="3438"/>
        <v>0</v>
      </c>
      <c r="IT102" s="74">
        <f t="shared" si="3438"/>
        <v>0</v>
      </c>
      <c r="IU102" s="74">
        <f t="shared" si="3438"/>
        <v>0</v>
      </c>
      <c r="IV102" s="74">
        <f t="shared" si="3438"/>
        <v>0</v>
      </c>
      <c r="IW102" s="74">
        <f t="shared" si="3438"/>
        <v>0</v>
      </c>
      <c r="IX102" s="74">
        <f t="shared" si="3438"/>
        <v>0</v>
      </c>
      <c r="IY102" s="74">
        <f t="shared" si="3438"/>
        <v>0</v>
      </c>
      <c r="IZ102" s="74">
        <f t="shared" si="3438"/>
        <v>0</v>
      </c>
      <c r="JA102" s="74">
        <f t="shared" si="3438"/>
        <v>0</v>
      </c>
      <c r="JB102" s="74">
        <f t="shared" si="3438"/>
        <v>0</v>
      </c>
      <c r="JC102" s="74">
        <f t="shared" si="3438"/>
        <v>0</v>
      </c>
      <c r="JD102" s="74">
        <f t="shared" si="3438"/>
        <v>0</v>
      </c>
      <c r="JE102" s="74">
        <f t="shared" si="3438"/>
        <v>0</v>
      </c>
      <c r="JF102" s="74">
        <f t="shared" si="3438"/>
        <v>0</v>
      </c>
      <c r="JG102" s="74">
        <f t="shared" si="3438"/>
        <v>0</v>
      </c>
      <c r="JH102" s="74">
        <f t="shared" si="3438"/>
        <v>0</v>
      </c>
      <c r="JI102" s="74">
        <f t="shared" si="3438"/>
        <v>0</v>
      </c>
      <c r="JJ102" s="74">
        <f t="shared" si="3438"/>
        <v>0</v>
      </c>
      <c r="JK102" s="74">
        <f t="shared" si="3438"/>
        <v>0</v>
      </c>
      <c r="JL102" s="74">
        <f t="shared" si="3438"/>
        <v>0</v>
      </c>
      <c r="JM102" s="74">
        <f t="shared" si="3438"/>
        <v>0</v>
      </c>
      <c r="JN102" s="74">
        <f t="shared" si="3438"/>
        <v>0</v>
      </c>
      <c r="JO102" s="74">
        <f t="shared" si="3438"/>
        <v>0</v>
      </c>
      <c r="JP102" s="74">
        <f t="shared" si="3438"/>
        <v>0</v>
      </c>
      <c r="JQ102" s="74">
        <f t="shared" si="3438"/>
        <v>0</v>
      </c>
      <c r="JR102" s="74">
        <f>JR435</f>
        <v>0</v>
      </c>
      <c r="JS102" s="74">
        <f>JS435</f>
        <v>1803</v>
      </c>
      <c r="JT102" s="102">
        <f>JT435</f>
        <v>1803</v>
      </c>
      <c r="JU102" s="671"/>
      <c r="JV102" s="492"/>
      <c r="JW102" s="490"/>
      <c r="JX102" s="549">
        <f>JX435</f>
        <v>1803</v>
      </c>
      <c r="JY102" s="549">
        <f>JY435</f>
        <v>0</v>
      </c>
      <c r="JZ102" s="581">
        <f t="shared" si="2110"/>
        <v>1803</v>
      </c>
      <c r="KA102" s="581">
        <f t="shared" si="2111"/>
        <v>0</v>
      </c>
      <c r="KB102" s="549">
        <f>KB435</f>
        <v>1803</v>
      </c>
      <c r="KC102" s="709">
        <f t="shared" si="2079"/>
        <v>0</v>
      </c>
      <c r="KD102" s="36"/>
      <c r="KE102" s="36"/>
      <c r="KF102" s="36"/>
      <c r="KG102" s="36"/>
      <c r="KH102" s="36"/>
      <c r="KI102" s="36"/>
      <c r="KJ102" s="36"/>
      <c r="KK102" s="36"/>
    </row>
    <row r="103" spans="1:297" s="8" customFormat="1">
      <c r="A103" s="75"/>
      <c r="B103" s="72"/>
      <c r="C103" s="74"/>
      <c r="D103" s="549"/>
      <c r="E103" s="675"/>
      <c r="F103" s="549"/>
      <c r="G103" s="675"/>
      <c r="H103" s="549"/>
      <c r="I103" s="675"/>
      <c r="J103" s="549"/>
      <c r="K103" s="675"/>
      <c r="L103" s="549"/>
      <c r="M103" s="675"/>
      <c r="N103" s="549"/>
      <c r="O103" s="675"/>
      <c r="P103" s="549"/>
      <c r="Q103" s="675"/>
      <c r="R103" s="549"/>
      <c r="S103" s="675"/>
      <c r="T103" s="549"/>
      <c r="U103" s="675"/>
      <c r="V103" s="549"/>
      <c r="W103" s="675"/>
      <c r="X103" s="549"/>
      <c r="Y103" s="675"/>
      <c r="Z103" s="549"/>
      <c r="AA103" s="675"/>
      <c r="AB103" s="549"/>
      <c r="AC103" s="675"/>
      <c r="AD103" s="549"/>
      <c r="AE103" s="675"/>
      <c r="AF103" s="549"/>
      <c r="AG103" s="675"/>
      <c r="AH103" s="549"/>
      <c r="AI103" s="675"/>
      <c r="AJ103" s="549"/>
      <c r="AK103" s="675"/>
      <c r="AL103" s="549"/>
      <c r="AM103" s="675"/>
      <c r="AN103" s="549"/>
      <c r="AO103" s="675"/>
      <c r="AP103" s="549"/>
      <c r="AQ103" s="675"/>
      <c r="AR103" s="549"/>
      <c r="AS103" s="675"/>
      <c r="AT103" s="549"/>
      <c r="AU103" s="675"/>
      <c r="AV103" s="549"/>
      <c r="AW103" s="675"/>
      <c r="AX103" s="549"/>
      <c r="AY103" s="675"/>
      <c r="AZ103" s="549"/>
      <c r="BA103" s="675"/>
      <c r="BB103" s="549"/>
      <c r="BC103" s="675"/>
      <c r="BD103" s="549"/>
      <c r="BE103" s="675"/>
      <c r="BF103" s="549"/>
      <c r="BG103" s="675"/>
      <c r="BH103" s="549"/>
      <c r="BI103" s="675"/>
      <c r="BJ103" s="549"/>
      <c r="BK103" s="675"/>
      <c r="BL103" s="549"/>
      <c r="BM103" s="675"/>
      <c r="BN103" s="549"/>
      <c r="BO103" s="675"/>
      <c r="BP103" s="549"/>
      <c r="BQ103" s="675"/>
      <c r="BR103" s="549"/>
      <c r="BS103" s="675"/>
      <c r="BT103" s="549"/>
      <c r="BU103" s="675"/>
      <c r="BV103" s="549"/>
      <c r="BW103" s="675"/>
      <c r="BX103" s="549"/>
      <c r="BY103" s="675"/>
      <c r="BZ103" s="549"/>
      <c r="CA103" s="675"/>
      <c r="CB103" s="549"/>
      <c r="CC103" s="675"/>
      <c r="CD103" s="549"/>
      <c r="CE103" s="675"/>
      <c r="CF103" s="549"/>
      <c r="CG103" s="675"/>
      <c r="CH103" s="549"/>
      <c r="CI103" s="675"/>
      <c r="CJ103" s="549"/>
      <c r="CK103" s="675"/>
      <c r="CL103" s="549"/>
      <c r="CM103" s="675"/>
      <c r="CN103" s="549"/>
      <c r="CO103" s="675"/>
      <c r="CP103" s="549"/>
      <c r="CQ103" s="675"/>
      <c r="CR103" s="549"/>
      <c r="CS103" s="675"/>
      <c r="CT103" s="549"/>
      <c r="CU103" s="675"/>
      <c r="CV103" s="549"/>
      <c r="CW103" s="675"/>
      <c r="CX103" s="549"/>
      <c r="CY103" s="675"/>
      <c r="CZ103" s="549"/>
      <c r="DA103" s="675"/>
      <c r="DB103" s="549"/>
      <c r="DC103" s="675"/>
      <c r="DD103" s="549"/>
      <c r="DE103" s="675"/>
      <c r="DF103" s="549"/>
      <c r="DG103" s="675"/>
      <c r="DH103" s="549"/>
      <c r="DI103" s="675"/>
      <c r="DJ103" s="549"/>
      <c r="DK103" s="675"/>
      <c r="DL103" s="549"/>
      <c r="DM103" s="675"/>
      <c r="DN103" s="549"/>
      <c r="DO103" s="675"/>
      <c r="DP103" s="549"/>
      <c r="DQ103" s="675"/>
      <c r="DR103" s="549"/>
      <c r="DS103" s="675"/>
      <c r="DT103" s="549"/>
      <c r="DU103" s="675"/>
      <c r="DV103" s="549"/>
      <c r="DW103" s="675"/>
      <c r="DX103" s="549"/>
      <c r="DY103" s="675"/>
      <c r="DZ103" s="549"/>
      <c r="EA103" s="675"/>
      <c r="EB103" s="549"/>
      <c r="EC103" s="675"/>
      <c r="ED103" s="549"/>
      <c r="EE103" s="675"/>
      <c r="EF103" s="549"/>
      <c r="EG103" s="675"/>
      <c r="EH103" s="549"/>
      <c r="EI103" s="675"/>
      <c r="EJ103" s="549"/>
      <c r="EK103" s="675"/>
      <c r="EL103" s="549"/>
      <c r="EM103" s="675"/>
      <c r="EN103" s="549"/>
      <c r="EO103" s="675"/>
      <c r="EP103" s="549"/>
      <c r="EQ103" s="675"/>
      <c r="ER103" s="549"/>
      <c r="ES103" s="675"/>
      <c r="ET103" s="549"/>
      <c r="EU103" s="675"/>
      <c r="EV103" s="549"/>
      <c r="EW103" s="675"/>
      <c r="EX103" s="549"/>
      <c r="EY103" s="675"/>
      <c r="EZ103" s="549"/>
      <c r="FA103" s="675"/>
      <c r="FB103" s="549"/>
      <c r="FC103" s="675"/>
      <c r="FD103" s="549"/>
      <c r="FE103" s="675"/>
      <c r="FF103" s="549"/>
      <c r="FG103" s="675"/>
      <c r="FH103" s="549"/>
      <c r="FI103" s="675"/>
      <c r="FJ103" s="549"/>
      <c r="FK103" s="675"/>
      <c r="FL103" s="549"/>
      <c r="FM103" s="675"/>
      <c r="FN103" s="549"/>
      <c r="FO103" s="675"/>
      <c r="FP103" s="549"/>
      <c r="FQ103" s="675"/>
      <c r="FR103" s="549"/>
      <c r="FS103" s="675"/>
      <c r="FT103" s="549"/>
      <c r="FU103" s="675"/>
      <c r="FV103" s="549"/>
      <c r="FW103" s="675"/>
      <c r="FX103" s="549"/>
      <c r="FY103" s="675"/>
      <c r="FZ103" s="549"/>
      <c r="GA103" s="675"/>
      <c r="GB103" s="549"/>
      <c r="GC103" s="675"/>
      <c r="GD103" s="549"/>
      <c r="GE103" s="675"/>
      <c r="GF103" s="549"/>
      <c r="GG103" s="675"/>
      <c r="GH103" s="549"/>
      <c r="GI103" s="675"/>
      <c r="GJ103" s="549"/>
      <c r="GK103" s="675"/>
      <c r="GL103" s="549"/>
      <c r="GM103" s="675"/>
      <c r="GN103" s="549"/>
      <c r="GO103" s="675"/>
      <c r="GP103" s="74"/>
      <c r="GQ103" s="675"/>
      <c r="GR103" s="74"/>
      <c r="GS103" s="74"/>
      <c r="GT103" s="549"/>
      <c r="GU103" s="74"/>
      <c r="GV103" s="74"/>
      <c r="GW103" s="549"/>
      <c r="GX103" s="549"/>
      <c r="GY103" s="74"/>
      <c r="GZ103" s="74"/>
      <c r="HA103" s="74"/>
      <c r="HB103" s="74"/>
      <c r="HC103" s="74"/>
      <c r="HD103" s="74"/>
      <c r="HE103" s="74"/>
      <c r="HF103" s="74"/>
      <c r="HG103" s="74"/>
      <c r="HH103" s="74"/>
      <c r="HI103" s="74"/>
      <c r="HJ103" s="74"/>
      <c r="HK103" s="74"/>
      <c r="HL103" s="74"/>
      <c r="HM103" s="74"/>
      <c r="HN103" s="74"/>
      <c r="HO103" s="74"/>
      <c r="HP103" s="74"/>
      <c r="HQ103" s="74"/>
      <c r="HR103" s="74"/>
      <c r="HS103" s="74"/>
      <c r="HT103" s="74"/>
      <c r="HU103" s="74"/>
      <c r="HV103" s="74"/>
      <c r="HW103" s="74"/>
      <c r="HX103" s="74"/>
      <c r="HY103" s="74"/>
      <c r="HZ103" s="74"/>
      <c r="IA103" s="74"/>
      <c r="IB103" s="74"/>
      <c r="IC103" s="74"/>
      <c r="ID103" s="74"/>
      <c r="IE103" s="792"/>
      <c r="IF103" s="841"/>
      <c r="IG103" s="263"/>
      <c r="IH103" s="842"/>
      <c r="II103" s="155"/>
      <c r="IJ103" s="74"/>
      <c r="IK103" s="74"/>
      <c r="IL103" s="74"/>
      <c r="IM103" s="74"/>
      <c r="IN103" s="74"/>
      <c r="IO103" s="74"/>
      <c r="IP103" s="74"/>
      <c r="IQ103" s="74"/>
      <c r="IR103" s="74"/>
      <c r="IS103" s="74"/>
      <c r="IT103" s="74"/>
      <c r="IU103" s="74"/>
      <c r="IV103" s="74"/>
      <c r="IW103" s="74"/>
      <c r="IX103" s="74"/>
      <c r="IY103" s="74"/>
      <c r="IZ103" s="74"/>
      <c r="JA103" s="74"/>
      <c r="JB103" s="74"/>
      <c r="JC103" s="74"/>
      <c r="JD103" s="74"/>
      <c r="JE103" s="74"/>
      <c r="JF103" s="74"/>
      <c r="JG103" s="74"/>
      <c r="JH103" s="74"/>
      <c r="JI103" s="74"/>
      <c r="JJ103" s="74"/>
      <c r="JK103" s="74"/>
      <c r="JL103" s="74"/>
      <c r="JM103" s="74"/>
      <c r="JN103" s="74"/>
      <c r="JO103" s="74"/>
      <c r="JP103" s="74"/>
      <c r="JQ103" s="74"/>
      <c r="JR103" s="74"/>
      <c r="JS103" s="74"/>
      <c r="JT103" s="382"/>
      <c r="JU103" s="671"/>
      <c r="JV103" s="492"/>
      <c r="JW103" s="490"/>
      <c r="JX103" s="549"/>
      <c r="JY103" s="549"/>
      <c r="JZ103" s="581">
        <f t="shared" si="2110"/>
        <v>0</v>
      </c>
      <c r="KA103" s="581">
        <f t="shared" si="2111"/>
        <v>0</v>
      </c>
      <c r="KB103" s="549"/>
      <c r="KC103" s="709">
        <f t="shared" si="2079"/>
        <v>0</v>
      </c>
      <c r="KD103" s="36"/>
      <c r="KE103" s="36"/>
      <c r="KF103" s="36"/>
      <c r="KG103" s="36"/>
      <c r="KH103" s="36"/>
      <c r="KI103" s="36"/>
      <c r="KJ103" s="36"/>
      <c r="KK103" s="36"/>
    </row>
    <row r="104" spans="1:297" s="8" customFormat="1">
      <c r="A104" s="75" t="s">
        <v>124</v>
      </c>
      <c r="B104" s="72" t="s">
        <v>125</v>
      </c>
      <c r="C104" s="74">
        <f>SUM(C106,C111,C118,C125,C131,C139,C149,C155,C165)+C167</f>
        <v>542000</v>
      </c>
      <c r="D104" s="549">
        <f t="shared" ref="D104:E104" si="3440">SUM(D106,D111,D118,D125,D131,D139,D149,D155,D165)+D167</f>
        <v>0</v>
      </c>
      <c r="E104" s="675">
        <f t="shared" si="3440"/>
        <v>0</v>
      </c>
      <c r="F104" s="549">
        <f t="shared" ref="F104:G104" si="3441">SUM(F106,F111,F118,F125,F131,F139,F149,F155,F165)+F167</f>
        <v>0</v>
      </c>
      <c r="G104" s="675">
        <f t="shared" si="3441"/>
        <v>0</v>
      </c>
      <c r="H104" s="549">
        <f t="shared" ref="H104:AM104" si="3442">SUM(H106,H111,H118,H125,H131,H139,H149,H155,H165)+H167</f>
        <v>0</v>
      </c>
      <c r="I104" s="675">
        <f t="shared" si="3442"/>
        <v>0</v>
      </c>
      <c r="J104" s="549">
        <f t="shared" si="3442"/>
        <v>0</v>
      </c>
      <c r="K104" s="675">
        <f t="shared" si="3442"/>
        <v>0</v>
      </c>
      <c r="L104" s="549">
        <f t="shared" si="3442"/>
        <v>0</v>
      </c>
      <c r="M104" s="675">
        <f t="shared" si="3442"/>
        <v>0</v>
      </c>
      <c r="N104" s="549">
        <f t="shared" si="3442"/>
        <v>0</v>
      </c>
      <c r="O104" s="675">
        <f t="shared" si="3442"/>
        <v>0</v>
      </c>
      <c r="P104" s="549">
        <f t="shared" si="3442"/>
        <v>0</v>
      </c>
      <c r="Q104" s="675">
        <f t="shared" si="3442"/>
        <v>0</v>
      </c>
      <c r="R104" s="549">
        <f t="shared" si="3442"/>
        <v>0</v>
      </c>
      <c r="S104" s="675">
        <f t="shared" si="3442"/>
        <v>0</v>
      </c>
      <c r="T104" s="549">
        <f t="shared" si="3442"/>
        <v>0</v>
      </c>
      <c r="U104" s="675">
        <f t="shared" si="3442"/>
        <v>0</v>
      </c>
      <c r="V104" s="549">
        <f t="shared" si="3442"/>
        <v>3000</v>
      </c>
      <c r="W104" s="675">
        <f t="shared" si="3442"/>
        <v>-40000</v>
      </c>
      <c r="X104" s="549">
        <f t="shared" si="3442"/>
        <v>0</v>
      </c>
      <c r="Y104" s="675">
        <f t="shared" si="3442"/>
        <v>0</v>
      </c>
      <c r="Z104" s="549">
        <f t="shared" si="3442"/>
        <v>0</v>
      </c>
      <c r="AA104" s="675">
        <f t="shared" si="3442"/>
        <v>0</v>
      </c>
      <c r="AB104" s="549">
        <f t="shared" si="3442"/>
        <v>0</v>
      </c>
      <c r="AC104" s="675">
        <f t="shared" si="3442"/>
        <v>0</v>
      </c>
      <c r="AD104" s="549">
        <f t="shared" ref="AD104:AK104" si="3443">SUM(AD106,AD111,AD118,AD125,AD131,AD139,AD149,AD155,AD165)+AD167</f>
        <v>3000</v>
      </c>
      <c r="AE104" s="675">
        <f t="shared" si="3443"/>
        <v>-7000</v>
      </c>
      <c r="AF104" s="549">
        <f t="shared" si="3443"/>
        <v>0</v>
      </c>
      <c r="AG104" s="675">
        <f t="shared" si="3443"/>
        <v>-10000</v>
      </c>
      <c r="AH104" s="549">
        <f t="shared" si="3443"/>
        <v>0</v>
      </c>
      <c r="AI104" s="675">
        <f t="shared" si="3443"/>
        <v>0</v>
      </c>
      <c r="AJ104" s="549">
        <f t="shared" si="3443"/>
        <v>0</v>
      </c>
      <c r="AK104" s="675">
        <f t="shared" si="3443"/>
        <v>0</v>
      </c>
      <c r="AL104" s="549">
        <f t="shared" si="3442"/>
        <v>0</v>
      </c>
      <c r="AM104" s="675">
        <f t="shared" si="3442"/>
        <v>0</v>
      </c>
      <c r="AN104" s="549">
        <f t="shared" ref="AN104:AS104" si="3444">SUM(AN106,AN111,AN118,AN125,AN131,AN139,AN149,AN155,AN165)+AN167</f>
        <v>0</v>
      </c>
      <c r="AO104" s="675">
        <f t="shared" si="3444"/>
        <v>0</v>
      </c>
      <c r="AP104" s="549">
        <f t="shared" si="3444"/>
        <v>0</v>
      </c>
      <c r="AQ104" s="675">
        <f t="shared" si="3444"/>
        <v>0</v>
      </c>
      <c r="AR104" s="549">
        <f t="shared" si="3444"/>
        <v>0</v>
      </c>
      <c r="AS104" s="675">
        <f t="shared" si="3444"/>
        <v>0</v>
      </c>
      <c r="AT104" s="549">
        <f t="shared" ref="AT104:AU104" si="3445">SUM(AT106,AT111,AT118,AT125,AT131,AT139,AT149,AT155,AT165)+AT167</f>
        <v>0</v>
      </c>
      <c r="AU104" s="675">
        <f t="shared" si="3445"/>
        <v>0</v>
      </c>
      <c r="AV104" s="549">
        <f t="shared" ref="AV104:AW104" si="3446">SUM(AV106,AV111,AV118,AV125,AV131,AV139,AV149,AV155,AV165)+AV167</f>
        <v>0</v>
      </c>
      <c r="AW104" s="675">
        <f t="shared" si="3446"/>
        <v>0</v>
      </c>
      <c r="AX104" s="549">
        <f t="shared" ref="AX104:AY104" si="3447">SUM(AX106,AX111,AX118,AX125,AX131,AX139,AX149,AX155,AX165)+AX167</f>
        <v>0</v>
      </c>
      <c r="AY104" s="675">
        <f t="shared" si="3447"/>
        <v>0</v>
      </c>
      <c r="AZ104" s="549">
        <f t="shared" ref="AZ104:BA104" si="3448">SUM(AZ106,AZ111,AZ118,AZ125,AZ131,AZ139,AZ149,AZ155,AZ165)+AZ167</f>
        <v>30000</v>
      </c>
      <c r="BA104" s="675">
        <f t="shared" si="3448"/>
        <v>-19000</v>
      </c>
      <c r="BB104" s="549">
        <f t="shared" ref="BB104:BC104" si="3449">SUM(BB106,BB111,BB118,BB125,BB131,BB139,BB149,BB155,BB165)+BB167</f>
        <v>0</v>
      </c>
      <c r="BC104" s="675">
        <f t="shared" si="3449"/>
        <v>0</v>
      </c>
      <c r="BD104" s="549">
        <f t="shared" ref="BD104:BE104" si="3450">SUM(BD106,BD111,BD118,BD125,BD131,BD139,BD149,BD155,BD165)+BD167</f>
        <v>0</v>
      </c>
      <c r="BE104" s="675">
        <f t="shared" si="3450"/>
        <v>0</v>
      </c>
      <c r="BF104" s="549">
        <f t="shared" ref="BF104:BG104" si="3451">SUM(BF106,BF111,BF118,BF125,BF131,BF139,BF149,BF155,BF165)+BF167</f>
        <v>39000</v>
      </c>
      <c r="BG104" s="675">
        <f t="shared" si="3451"/>
        <v>0</v>
      </c>
      <c r="BH104" s="549">
        <f t="shared" ref="BH104:BI104" si="3452">SUM(BH106,BH111,BH118,BH125,BH131,BH139,BH149,BH155,BH165)+BH167</f>
        <v>9000</v>
      </c>
      <c r="BI104" s="675">
        <f t="shared" si="3452"/>
        <v>0</v>
      </c>
      <c r="BJ104" s="549">
        <f t="shared" ref="BJ104:BK104" si="3453">SUM(BJ106,BJ111,BJ118,BJ125,BJ131,BJ139,BJ149,BJ155,BJ165)+BJ167</f>
        <v>0</v>
      </c>
      <c r="BK104" s="675">
        <f t="shared" si="3453"/>
        <v>0</v>
      </c>
      <c r="BL104" s="549">
        <f t="shared" ref="BL104:BS104" si="3454">SUM(BL106,BL111,BL118,BL125,BL131,BL139,BL149,BL155,BL165)+BL167</f>
        <v>0</v>
      </c>
      <c r="BM104" s="675">
        <f t="shared" si="3454"/>
        <v>0</v>
      </c>
      <c r="BN104" s="549">
        <f t="shared" si="3454"/>
        <v>0</v>
      </c>
      <c r="BO104" s="675">
        <f t="shared" si="3454"/>
        <v>0</v>
      </c>
      <c r="BP104" s="549">
        <f t="shared" si="3454"/>
        <v>5000</v>
      </c>
      <c r="BQ104" s="675">
        <f t="shared" si="3454"/>
        <v>0</v>
      </c>
      <c r="BR104" s="549">
        <f t="shared" si="3454"/>
        <v>0</v>
      </c>
      <c r="BS104" s="675">
        <f t="shared" si="3454"/>
        <v>0</v>
      </c>
      <c r="BT104" s="549">
        <f t="shared" ref="BT104:BU104" si="3455">SUM(BT106,BT111,BT118,BT125,BT131,BT139,BT149,BT155,BT165)+BT167</f>
        <v>0</v>
      </c>
      <c r="BU104" s="675">
        <f t="shared" si="3455"/>
        <v>0</v>
      </c>
      <c r="BV104" s="549">
        <f t="shared" ref="BV104:BW104" si="3456">SUM(BV106,BV111,BV118,BV125,BV131,BV139,BV149,BV155,BV165)+BV167</f>
        <v>0</v>
      </c>
      <c r="BW104" s="675">
        <f t="shared" si="3456"/>
        <v>0</v>
      </c>
      <c r="BX104" s="549">
        <f t="shared" ref="BX104:BY104" si="3457">SUM(BX106,BX111,BX118,BX125,BX131,BX139,BX149,BX155,BX165)+BX167</f>
        <v>0</v>
      </c>
      <c r="BY104" s="675">
        <f t="shared" si="3457"/>
        <v>0</v>
      </c>
      <c r="BZ104" s="549">
        <f t="shared" ref="BZ104:CA104" si="3458">SUM(BZ106,BZ111,BZ118,BZ125,BZ131,BZ139,BZ149,BZ155,BZ165)+BZ167</f>
        <v>0</v>
      </c>
      <c r="CA104" s="675">
        <f t="shared" si="3458"/>
        <v>0</v>
      </c>
      <c r="CB104" s="549">
        <f t="shared" ref="CB104:CE104" si="3459">SUM(CB106,CB111,CB118,CB125,CB131,CB139,CB149,CB155,CB165)+CB167</f>
        <v>0</v>
      </c>
      <c r="CC104" s="675">
        <f t="shared" si="3459"/>
        <v>0</v>
      </c>
      <c r="CD104" s="549">
        <f t="shared" si="3459"/>
        <v>0</v>
      </c>
      <c r="CE104" s="675">
        <f t="shared" si="3459"/>
        <v>0</v>
      </c>
      <c r="CF104" s="549">
        <f t="shared" ref="CF104:CQ104" si="3460">SUM(CF106,CF111,CF118,CF125,CF131,CF139,CF149,CF155,CF165)+CF167</f>
        <v>0</v>
      </c>
      <c r="CG104" s="675">
        <f t="shared" si="3460"/>
        <v>0</v>
      </c>
      <c r="CH104" s="549">
        <f t="shared" si="3460"/>
        <v>3000</v>
      </c>
      <c r="CI104" s="675">
        <f t="shared" si="3460"/>
        <v>-6000</v>
      </c>
      <c r="CJ104" s="549">
        <f t="shared" si="3460"/>
        <v>0</v>
      </c>
      <c r="CK104" s="675">
        <f t="shared" si="3460"/>
        <v>-56500</v>
      </c>
      <c r="CL104" s="549">
        <f t="shared" si="3460"/>
        <v>11000</v>
      </c>
      <c r="CM104" s="675">
        <f t="shared" si="3460"/>
        <v>-8000</v>
      </c>
      <c r="CN104" s="549">
        <f t="shared" si="3460"/>
        <v>0</v>
      </c>
      <c r="CO104" s="675">
        <f t="shared" si="3460"/>
        <v>0</v>
      </c>
      <c r="CP104" s="549">
        <f t="shared" si="3460"/>
        <v>0</v>
      </c>
      <c r="CQ104" s="675">
        <f t="shared" si="3460"/>
        <v>0</v>
      </c>
      <c r="CR104" s="549">
        <f t="shared" ref="CR104:CY104" si="3461">SUM(CR106,CR111,CR118,CR125,CR131,CR139,CR149,CR155,CR165)+CR167</f>
        <v>0</v>
      </c>
      <c r="CS104" s="675">
        <f t="shared" si="3461"/>
        <v>0</v>
      </c>
      <c r="CT104" s="549">
        <f t="shared" si="3461"/>
        <v>0</v>
      </c>
      <c r="CU104" s="675">
        <f t="shared" si="3461"/>
        <v>0</v>
      </c>
      <c r="CV104" s="549">
        <f t="shared" si="3461"/>
        <v>0</v>
      </c>
      <c r="CW104" s="675">
        <f t="shared" si="3461"/>
        <v>0</v>
      </c>
      <c r="CX104" s="549">
        <f t="shared" si="3461"/>
        <v>0</v>
      </c>
      <c r="CY104" s="675">
        <f t="shared" si="3461"/>
        <v>0</v>
      </c>
      <c r="CZ104" s="549">
        <f t="shared" ref="CZ104:DG104" si="3462">SUM(CZ106,CZ111,CZ118,CZ125,CZ131,CZ139,CZ149,CZ155,CZ165)+CZ167</f>
        <v>19000</v>
      </c>
      <c r="DA104" s="675">
        <f t="shared" si="3462"/>
        <v>-4000</v>
      </c>
      <c r="DB104" s="549">
        <f t="shared" si="3462"/>
        <v>0</v>
      </c>
      <c r="DC104" s="675">
        <f t="shared" si="3462"/>
        <v>0</v>
      </c>
      <c r="DD104" s="549">
        <f t="shared" si="3462"/>
        <v>0</v>
      </c>
      <c r="DE104" s="675">
        <f t="shared" si="3462"/>
        <v>0</v>
      </c>
      <c r="DF104" s="549">
        <f t="shared" si="3462"/>
        <v>0</v>
      </c>
      <c r="DG104" s="675">
        <f t="shared" si="3462"/>
        <v>0</v>
      </c>
      <c r="DH104" s="549">
        <f t="shared" ref="DH104:DM104" si="3463">SUM(DH106,DH111,DH118,DH125,DH131,DH139,DH149,DH155,DH165)+DH167</f>
        <v>3000</v>
      </c>
      <c r="DI104" s="675">
        <f t="shared" si="3463"/>
        <v>-1000</v>
      </c>
      <c r="DJ104" s="549">
        <f t="shared" si="3463"/>
        <v>2000</v>
      </c>
      <c r="DK104" s="675">
        <f t="shared" si="3463"/>
        <v>-8000</v>
      </c>
      <c r="DL104" s="549">
        <f t="shared" si="3463"/>
        <v>0</v>
      </c>
      <c r="DM104" s="675">
        <f t="shared" si="3463"/>
        <v>0</v>
      </c>
      <c r="DN104" s="549">
        <f t="shared" ref="DN104:DW104" si="3464">SUM(DN106,DN111,DN118,DN125,DN131,DN139,DN149,DN155,DN165)+DN167</f>
        <v>0</v>
      </c>
      <c r="DO104" s="675">
        <f t="shared" si="3464"/>
        <v>0</v>
      </c>
      <c r="DP104" s="549">
        <f t="shared" si="3464"/>
        <v>0</v>
      </c>
      <c r="DQ104" s="675">
        <f t="shared" si="3464"/>
        <v>-3000</v>
      </c>
      <c r="DR104" s="549">
        <f t="shared" si="3464"/>
        <v>0</v>
      </c>
      <c r="DS104" s="675">
        <f t="shared" si="3464"/>
        <v>0</v>
      </c>
      <c r="DT104" s="549">
        <f t="shared" si="3464"/>
        <v>0</v>
      </c>
      <c r="DU104" s="675">
        <f t="shared" si="3464"/>
        <v>0</v>
      </c>
      <c r="DV104" s="549">
        <f t="shared" si="3464"/>
        <v>0</v>
      </c>
      <c r="DW104" s="675">
        <f t="shared" si="3464"/>
        <v>0</v>
      </c>
      <c r="DX104" s="549">
        <f t="shared" ref="DX104:EG104" si="3465">SUM(DX106,DX111,DX118,DX125,DX131,DX139,DX149,DX155,DX165)+DX167</f>
        <v>0</v>
      </c>
      <c r="DY104" s="675">
        <f t="shared" si="3465"/>
        <v>0</v>
      </c>
      <c r="DZ104" s="549">
        <f t="shared" si="3465"/>
        <v>0</v>
      </c>
      <c r="EA104" s="675">
        <f t="shared" si="3465"/>
        <v>0</v>
      </c>
      <c r="EB104" s="549">
        <f t="shared" si="3465"/>
        <v>0</v>
      </c>
      <c r="EC104" s="675">
        <f t="shared" si="3465"/>
        <v>0</v>
      </c>
      <c r="ED104" s="549">
        <f t="shared" si="3465"/>
        <v>0</v>
      </c>
      <c r="EE104" s="675">
        <f t="shared" si="3465"/>
        <v>0</v>
      </c>
      <c r="EF104" s="549">
        <f t="shared" si="3465"/>
        <v>0</v>
      </c>
      <c r="EG104" s="675">
        <f t="shared" si="3465"/>
        <v>0</v>
      </c>
      <c r="EH104" s="549">
        <f t="shared" ref="EH104:EM104" si="3466">SUM(EH106,EH111,EH118,EH125,EH131,EH139,EH149,EH155,EH165)+EH167</f>
        <v>0</v>
      </c>
      <c r="EI104" s="675">
        <f t="shared" si="3466"/>
        <v>0</v>
      </c>
      <c r="EJ104" s="549">
        <f t="shared" si="3466"/>
        <v>0</v>
      </c>
      <c r="EK104" s="675">
        <f t="shared" si="3466"/>
        <v>0</v>
      </c>
      <c r="EL104" s="549">
        <f t="shared" si="3466"/>
        <v>5000</v>
      </c>
      <c r="EM104" s="675">
        <f t="shared" si="3466"/>
        <v>0</v>
      </c>
      <c r="EN104" s="549">
        <f t="shared" ref="EN104:EO104" si="3467">SUM(EN106,EN111,EN118,EN125,EN131,EN139,EN149,EN155,EN165)+EN167</f>
        <v>0</v>
      </c>
      <c r="EO104" s="675">
        <f t="shared" si="3467"/>
        <v>0</v>
      </c>
      <c r="EP104" s="549">
        <f t="shared" ref="EP104:FA104" si="3468">SUM(EP106,EP111,EP118,EP125,EP131,EP139,EP149,EP155,EP165)+EP167</f>
        <v>0</v>
      </c>
      <c r="EQ104" s="675">
        <f t="shared" si="3468"/>
        <v>0</v>
      </c>
      <c r="ER104" s="549">
        <f t="shared" si="3468"/>
        <v>0</v>
      </c>
      <c r="ES104" s="675">
        <f t="shared" si="3468"/>
        <v>0</v>
      </c>
      <c r="ET104" s="549">
        <f t="shared" si="3468"/>
        <v>8000</v>
      </c>
      <c r="EU104" s="675">
        <f t="shared" si="3468"/>
        <v>-11000</v>
      </c>
      <c r="EV104" s="549">
        <f t="shared" ref="EV104:EW104" si="3469">SUM(EV106,EV111,EV118,EV125,EV131,EV139,EV149,EV155,EV165)+EV167</f>
        <v>0</v>
      </c>
      <c r="EW104" s="675">
        <f t="shared" si="3469"/>
        <v>-1803</v>
      </c>
      <c r="EX104" s="549">
        <f t="shared" si="3468"/>
        <v>25600</v>
      </c>
      <c r="EY104" s="675">
        <f t="shared" si="3468"/>
        <v>0</v>
      </c>
      <c r="EZ104" s="549">
        <f t="shared" si="3468"/>
        <v>0</v>
      </c>
      <c r="FA104" s="675">
        <f t="shared" si="3468"/>
        <v>0</v>
      </c>
      <c r="FB104" s="549">
        <f t="shared" ref="FB104:FC104" si="3470">SUM(FB106,FB111,FB118,FB125,FB131,FB139,FB149,FB155,FB165)+FB167</f>
        <v>0</v>
      </c>
      <c r="FC104" s="675">
        <f t="shared" si="3470"/>
        <v>0</v>
      </c>
      <c r="FD104" s="549">
        <f t="shared" ref="FD104:FE104" si="3471">SUM(FD106,FD111,FD118,FD125,FD131,FD139,FD149,FD155,FD165)+FD167</f>
        <v>3000</v>
      </c>
      <c r="FE104" s="675">
        <f t="shared" si="3471"/>
        <v>-4815</v>
      </c>
      <c r="FF104" s="549">
        <f t="shared" ref="FF104:FG104" si="3472">SUM(FF106,FF111,FF118,FF125,FF131,FF139,FF149,FF155,FF165)+FF167</f>
        <v>0</v>
      </c>
      <c r="FG104" s="675">
        <f t="shared" si="3472"/>
        <v>-2940</v>
      </c>
      <c r="FH104" s="549">
        <f t="shared" ref="FH104:FI104" si="3473">SUM(FH106,FH111,FH118,FH125,FH131,FH139,FH149,FH155,FH165)+FH167</f>
        <v>0</v>
      </c>
      <c r="FI104" s="675">
        <f t="shared" si="3473"/>
        <v>0</v>
      </c>
      <c r="FJ104" s="549">
        <f t="shared" ref="FJ104:FK104" si="3474">SUM(FJ106,FJ111,FJ118,FJ125,FJ131,FJ139,FJ149,FJ155,FJ165)+FJ167</f>
        <v>0</v>
      </c>
      <c r="FK104" s="675">
        <f t="shared" si="3474"/>
        <v>-5000</v>
      </c>
      <c r="FL104" s="549">
        <f t="shared" ref="FL104:FM104" si="3475">SUM(FL106,FL111,FL118,FL125,FL131,FL139,FL149,FL155,FL165)+FL167</f>
        <v>17000</v>
      </c>
      <c r="FM104" s="675">
        <f t="shared" si="3475"/>
        <v>-2489</v>
      </c>
      <c r="FN104" s="549">
        <f t="shared" ref="FN104:FO104" si="3476">SUM(FN106,FN111,FN118,FN125,FN131,FN139,FN149,FN155,FN165)+FN167</f>
        <v>0</v>
      </c>
      <c r="FO104" s="675">
        <f t="shared" si="3476"/>
        <v>0</v>
      </c>
      <c r="FP104" s="549">
        <f t="shared" ref="FP104:FQ104" si="3477">SUM(FP106,FP111,FP118,FP125,FP131,FP139,FP149,FP155,FP165)+FP167</f>
        <v>0</v>
      </c>
      <c r="FQ104" s="675">
        <f t="shared" si="3477"/>
        <v>0</v>
      </c>
      <c r="FR104" s="549">
        <f t="shared" ref="FR104:FS104" si="3478">SUM(FR106,FR111,FR118,FR125,FR131,FR139,FR149,FR155,FR165)+FR167</f>
        <v>5000</v>
      </c>
      <c r="FS104" s="675">
        <f t="shared" si="3478"/>
        <v>-7355</v>
      </c>
      <c r="FT104" s="549">
        <f t="shared" ref="FT104:FU104" si="3479">SUM(FT106,FT111,FT118,FT125,FT131,FT139,FT149,FT155,FT165)+FT167</f>
        <v>0</v>
      </c>
      <c r="FU104" s="675">
        <f t="shared" si="3479"/>
        <v>0</v>
      </c>
      <c r="FV104" s="549">
        <f t="shared" ref="FV104:GK104" si="3480">SUM(FV106,FV111,FV118,FV125,FV131,FV139,FV149,FV155,FV165)+FV167</f>
        <v>0</v>
      </c>
      <c r="FW104" s="675">
        <f t="shared" si="3480"/>
        <v>0</v>
      </c>
      <c r="FX104" s="549">
        <f t="shared" si="3480"/>
        <v>0</v>
      </c>
      <c r="FY104" s="675">
        <f t="shared" si="3480"/>
        <v>0</v>
      </c>
      <c r="FZ104" s="549">
        <f t="shared" ref="FZ104:GI104" si="3481">SUM(FZ106,FZ111,FZ118,FZ125,FZ131,FZ139,FZ149,FZ155,FZ165)+FZ167</f>
        <v>0</v>
      </c>
      <c r="GA104" s="675">
        <f t="shared" si="3481"/>
        <v>0</v>
      </c>
      <c r="GB104" s="549">
        <f t="shared" si="3481"/>
        <v>0</v>
      </c>
      <c r="GC104" s="675">
        <f t="shared" si="3481"/>
        <v>0</v>
      </c>
      <c r="GD104" s="549">
        <f t="shared" si="3481"/>
        <v>0</v>
      </c>
      <c r="GE104" s="675">
        <f t="shared" si="3481"/>
        <v>0</v>
      </c>
      <c r="GF104" s="549">
        <f t="shared" si="3481"/>
        <v>0</v>
      </c>
      <c r="GG104" s="675">
        <f t="shared" si="3481"/>
        <v>0</v>
      </c>
      <c r="GH104" s="549">
        <f t="shared" si="3481"/>
        <v>0</v>
      </c>
      <c r="GI104" s="675">
        <f t="shared" si="3481"/>
        <v>0</v>
      </c>
      <c r="GJ104" s="549">
        <f t="shared" si="3480"/>
        <v>0</v>
      </c>
      <c r="GK104" s="675">
        <f t="shared" si="3480"/>
        <v>0</v>
      </c>
      <c r="GL104" s="549">
        <f t="shared" ref="GL104:GQ104" si="3482">SUM(GL106,GL111,GL118,GL125,GL131,GL139,GL149,GL155,GL165)+GL167</f>
        <v>0</v>
      </c>
      <c r="GM104" s="675">
        <f t="shared" si="3482"/>
        <v>0</v>
      </c>
      <c r="GN104" s="549">
        <f t="shared" ref="GN104:GO104" si="3483">SUM(GN106,GN111,GN118,GN125,GN131,GN139,GN149,GN155,GN165)+GN167</f>
        <v>0</v>
      </c>
      <c r="GO104" s="675">
        <f t="shared" si="3483"/>
        <v>0</v>
      </c>
      <c r="GP104" s="74">
        <f>SUM(GP106,GP111,GP118,GP125,GP131,GP139,GP149,GP155,GP165)+GP167</f>
        <v>190600</v>
      </c>
      <c r="GQ104" s="675">
        <f t="shared" si="3482"/>
        <v>-197902</v>
      </c>
      <c r="GR104" s="74">
        <f>SUM(GR106,GR111,GR118,GR125,GR131,GR139,GR149,GR155,GR165)+GR167</f>
        <v>534698</v>
      </c>
      <c r="GS104" s="74">
        <f t="shared" ref="GS104:GT104" si="3484">SUM(GS106,GS111,GS118,GS125,GS131,GS139,GS149,GS155,GS165)+GS167</f>
        <v>534698</v>
      </c>
      <c r="GT104" s="74">
        <f t="shared" si="3484"/>
        <v>509098</v>
      </c>
      <c r="GU104" s="74">
        <f>SUM(GU106,GU111,GU118,GU125,GU131,GU139,GU149,GU155,GU165)+GU167</f>
        <v>69988</v>
      </c>
      <c r="GV104" s="74">
        <f t="shared" ref="GV104:JA104" si="3485">SUM(GV106,GV111,GV118,GV125,GV131,GV139,GV149,GV155,GV165)+GV167</f>
        <v>68950</v>
      </c>
      <c r="GW104" s="549">
        <f t="shared" si="3485"/>
        <v>92882</v>
      </c>
      <c r="GX104" s="549">
        <f t="shared" si="3485"/>
        <v>68748</v>
      </c>
      <c r="GY104" s="74">
        <f t="shared" si="3485"/>
        <v>40082</v>
      </c>
      <c r="GZ104" s="74">
        <f t="shared" si="3485"/>
        <v>45082</v>
      </c>
      <c r="HA104" s="74">
        <f t="shared" si="3485"/>
        <v>57948</v>
      </c>
      <c r="HB104" s="74">
        <f t="shared" si="3485"/>
        <v>37225</v>
      </c>
      <c r="HC104" s="74">
        <f t="shared" si="3485"/>
        <v>37225</v>
      </c>
      <c r="HD104" s="74">
        <f t="shared" si="3485"/>
        <v>23870</v>
      </c>
      <c r="HE104" s="74">
        <f t="shared" si="3485"/>
        <v>0</v>
      </c>
      <c r="HF104" s="74">
        <f t="shared" si="3485"/>
        <v>0</v>
      </c>
      <c r="HG104" s="74">
        <f t="shared" si="3485"/>
        <v>534698</v>
      </c>
      <c r="HH104" s="74">
        <f t="shared" ref="HH104:HU104" si="3486">SUM(HH106,HH111,HH118,HH125,HH131,HH139,HH149,HH155,HH165)+HH167</f>
        <v>69988</v>
      </c>
      <c r="HI104" s="74">
        <f t="shared" si="3486"/>
        <v>0</v>
      </c>
      <c r="HJ104" s="74">
        <f t="shared" si="3486"/>
        <v>67350</v>
      </c>
      <c r="HK104" s="74">
        <f t="shared" si="3486"/>
        <v>0</v>
      </c>
      <c r="HL104" s="74">
        <f t="shared" si="3486"/>
        <v>23282</v>
      </c>
      <c r="HM104" s="74">
        <f t="shared" si="3486"/>
        <v>0</v>
      </c>
      <c r="HN104" s="74">
        <f t="shared" si="3486"/>
        <v>59948</v>
      </c>
      <c r="HO104" s="74">
        <f t="shared" si="3486"/>
        <v>0</v>
      </c>
      <c r="HP104" s="74">
        <f t="shared" si="3486"/>
        <v>105583</v>
      </c>
      <c r="HQ104" s="74">
        <f t="shared" si="3486"/>
        <v>0</v>
      </c>
      <c r="HR104" s="74">
        <f t="shared" si="3486"/>
        <v>18655</v>
      </c>
      <c r="HS104" s="74">
        <f t="shared" si="3486"/>
        <v>0</v>
      </c>
      <c r="HT104" s="74">
        <f t="shared" si="3486"/>
        <v>49466</v>
      </c>
      <c r="HU104" s="74">
        <f t="shared" si="3486"/>
        <v>0</v>
      </c>
      <c r="HV104" s="74">
        <f t="shared" si="3485"/>
        <v>45487</v>
      </c>
      <c r="HW104" s="74">
        <f t="shared" si="3485"/>
        <v>0</v>
      </c>
      <c r="HX104" s="74">
        <f t="shared" si="3485"/>
        <v>41324</v>
      </c>
      <c r="HY104" s="74">
        <f t="shared" si="3485"/>
        <v>0</v>
      </c>
      <c r="HZ104" s="74">
        <f t="shared" si="3485"/>
        <v>28015</v>
      </c>
      <c r="IA104" s="74">
        <f t="shared" si="3485"/>
        <v>0</v>
      </c>
      <c r="IB104" s="74">
        <f t="shared" si="3485"/>
        <v>0</v>
      </c>
      <c r="IC104" s="74">
        <f t="shared" si="3485"/>
        <v>0</v>
      </c>
      <c r="ID104" s="74">
        <f t="shared" si="3485"/>
        <v>0</v>
      </c>
      <c r="IE104" s="792">
        <f t="shared" si="3485"/>
        <v>0</v>
      </c>
      <c r="IF104" s="841">
        <f t="shared" si="3485"/>
        <v>460663.71</v>
      </c>
      <c r="IG104" s="263">
        <f t="shared" si="3485"/>
        <v>460663.71</v>
      </c>
      <c r="IH104" s="842">
        <f t="shared" si="3485"/>
        <v>460663.71</v>
      </c>
      <c r="II104" s="155">
        <f t="shared" si="3485"/>
        <v>16198.41</v>
      </c>
      <c r="IJ104" s="74">
        <f t="shared" si="3485"/>
        <v>16198.41</v>
      </c>
      <c r="IK104" s="74">
        <f t="shared" si="3485"/>
        <v>16198.41</v>
      </c>
      <c r="IL104" s="74">
        <f t="shared" si="3485"/>
        <v>16968.430000000004</v>
      </c>
      <c r="IM104" s="74">
        <f t="shared" si="3485"/>
        <v>16968.430000000004</v>
      </c>
      <c r="IN104" s="74">
        <f t="shared" si="3485"/>
        <v>16968.430000000004</v>
      </c>
      <c r="IO104" s="74">
        <f t="shared" si="3485"/>
        <v>23829.360000000001</v>
      </c>
      <c r="IP104" s="74">
        <f t="shared" si="3485"/>
        <v>23829.360000000001</v>
      </c>
      <c r="IQ104" s="74">
        <f t="shared" si="3485"/>
        <v>23829.360000000001</v>
      </c>
      <c r="IR104" s="74">
        <f t="shared" si="3485"/>
        <v>23654.41</v>
      </c>
      <c r="IS104" s="74">
        <f t="shared" si="3485"/>
        <v>23654.41</v>
      </c>
      <c r="IT104" s="74">
        <f t="shared" si="3485"/>
        <v>23654.41</v>
      </c>
      <c r="IU104" s="74">
        <f t="shared" si="3485"/>
        <v>99602.2</v>
      </c>
      <c r="IV104" s="74">
        <f t="shared" si="3485"/>
        <v>99602.2</v>
      </c>
      <c r="IW104" s="74">
        <f t="shared" si="3485"/>
        <v>99602.2</v>
      </c>
      <c r="IX104" s="74">
        <f t="shared" si="3485"/>
        <v>54010.33</v>
      </c>
      <c r="IY104" s="74">
        <f t="shared" si="3485"/>
        <v>54010.33</v>
      </c>
      <c r="IZ104" s="74">
        <f t="shared" si="3485"/>
        <v>54010.33</v>
      </c>
      <c r="JA104" s="74">
        <f t="shared" si="3485"/>
        <v>36579.839999999997</v>
      </c>
      <c r="JB104" s="74">
        <f t="shared" ref="JB104:JS104" si="3487">SUM(JB106,JB111,JB118,JB125,JB131,JB139,JB149,JB155,JB165)+JB167</f>
        <v>36579.839999999997</v>
      </c>
      <c r="JC104" s="74">
        <f t="shared" si="3487"/>
        <v>36579.839999999997</v>
      </c>
      <c r="JD104" s="74">
        <f t="shared" si="3487"/>
        <v>94819.290000000008</v>
      </c>
      <c r="JE104" s="74">
        <f t="shared" si="3487"/>
        <v>94819.290000000008</v>
      </c>
      <c r="JF104" s="74">
        <f t="shared" si="3487"/>
        <v>94819.290000000008</v>
      </c>
      <c r="JG104" s="74">
        <f t="shared" si="3487"/>
        <v>24381.439999999995</v>
      </c>
      <c r="JH104" s="74">
        <f t="shared" si="3487"/>
        <v>24381.439999999995</v>
      </c>
      <c r="JI104" s="74">
        <f t="shared" si="3487"/>
        <v>24381.439999999995</v>
      </c>
      <c r="JJ104" s="74">
        <f t="shared" si="3487"/>
        <v>70620</v>
      </c>
      <c r="JK104" s="74">
        <f t="shared" si="3487"/>
        <v>70620</v>
      </c>
      <c r="JL104" s="74">
        <f t="shared" si="3487"/>
        <v>70620</v>
      </c>
      <c r="JM104" s="74">
        <f t="shared" si="3487"/>
        <v>0</v>
      </c>
      <c r="JN104" s="74">
        <f t="shared" si="3487"/>
        <v>0</v>
      </c>
      <c r="JO104" s="74">
        <f t="shared" si="3487"/>
        <v>0</v>
      </c>
      <c r="JP104" s="74">
        <f t="shared" si="3487"/>
        <v>0</v>
      </c>
      <c r="JQ104" s="74">
        <f t="shared" si="3487"/>
        <v>0</v>
      </c>
      <c r="JR104" s="74">
        <f t="shared" si="3487"/>
        <v>0</v>
      </c>
      <c r="JS104" s="74">
        <f t="shared" si="3487"/>
        <v>74034.289999999994</v>
      </c>
      <c r="JT104" s="102">
        <f>SUM(JT106,JT111,JT118,JT125,JT131,JT139,JT149,JT155,JT165)+JT167</f>
        <v>74034.289999999994</v>
      </c>
      <c r="JU104" s="671"/>
      <c r="JV104" s="492"/>
      <c r="JW104" s="490"/>
      <c r="JX104" s="549">
        <f>SUM(JX106,JX111,JX118,JX125,JX131,JX139,JX149,JX155,JX165)+JX167</f>
        <v>509098</v>
      </c>
      <c r="JY104" s="549">
        <f>SUM(JY106,JY111,JY118,JY125,JY131,JY139,JY149,JY155,JY165)+JY167</f>
        <v>0</v>
      </c>
      <c r="JZ104" s="581">
        <f t="shared" si="2110"/>
        <v>190600</v>
      </c>
      <c r="KA104" s="581">
        <f t="shared" si="2111"/>
        <v>-197902</v>
      </c>
      <c r="KB104" s="549">
        <f>SUM(KB106,KB111,KB118,KB125,KB131,KB139,KB149,KB155,KB165)+KB167</f>
        <v>534698</v>
      </c>
      <c r="KC104" s="709">
        <f t="shared" si="2079"/>
        <v>0</v>
      </c>
      <c r="KD104" s="36"/>
      <c r="KE104" s="36"/>
      <c r="KF104" s="36"/>
      <c r="KG104" s="36"/>
      <c r="KH104" s="36"/>
      <c r="KI104" s="36"/>
      <c r="KJ104" s="36"/>
      <c r="KK104" s="36"/>
    </row>
    <row r="105" spans="1:297" s="8" customFormat="1">
      <c r="A105" s="75"/>
      <c r="B105" s="72"/>
      <c r="C105" s="74"/>
      <c r="D105" s="549"/>
      <c r="E105" s="675"/>
      <c r="F105" s="549"/>
      <c r="G105" s="675"/>
      <c r="H105" s="549"/>
      <c r="I105" s="675"/>
      <c r="J105" s="549"/>
      <c r="K105" s="675"/>
      <c r="L105" s="549"/>
      <c r="M105" s="675"/>
      <c r="N105" s="549"/>
      <c r="O105" s="675"/>
      <c r="P105" s="549"/>
      <c r="Q105" s="675"/>
      <c r="R105" s="549"/>
      <c r="S105" s="675"/>
      <c r="T105" s="549"/>
      <c r="U105" s="675"/>
      <c r="V105" s="549"/>
      <c r="W105" s="675"/>
      <c r="X105" s="549"/>
      <c r="Y105" s="675"/>
      <c r="Z105" s="549"/>
      <c r="AA105" s="675"/>
      <c r="AB105" s="549"/>
      <c r="AC105" s="675"/>
      <c r="AD105" s="549"/>
      <c r="AE105" s="675"/>
      <c r="AF105" s="549"/>
      <c r="AG105" s="675"/>
      <c r="AH105" s="549"/>
      <c r="AI105" s="675"/>
      <c r="AJ105" s="549"/>
      <c r="AK105" s="675"/>
      <c r="AL105" s="549"/>
      <c r="AM105" s="675"/>
      <c r="AN105" s="549"/>
      <c r="AO105" s="675"/>
      <c r="AP105" s="549"/>
      <c r="AQ105" s="675"/>
      <c r="AR105" s="549"/>
      <c r="AS105" s="675"/>
      <c r="AT105" s="549"/>
      <c r="AU105" s="675"/>
      <c r="AV105" s="549"/>
      <c r="AW105" s="675"/>
      <c r="AX105" s="549"/>
      <c r="AY105" s="675"/>
      <c r="AZ105" s="549"/>
      <c r="BA105" s="675"/>
      <c r="BB105" s="549"/>
      <c r="BC105" s="675"/>
      <c r="BD105" s="549"/>
      <c r="BE105" s="675"/>
      <c r="BF105" s="549"/>
      <c r="BG105" s="675"/>
      <c r="BH105" s="549"/>
      <c r="BI105" s="675"/>
      <c r="BJ105" s="549"/>
      <c r="BK105" s="675"/>
      <c r="BL105" s="549"/>
      <c r="BM105" s="675"/>
      <c r="BN105" s="549"/>
      <c r="BO105" s="675"/>
      <c r="BP105" s="549"/>
      <c r="BQ105" s="675"/>
      <c r="BR105" s="549"/>
      <c r="BS105" s="675"/>
      <c r="BT105" s="549"/>
      <c r="BU105" s="675"/>
      <c r="BV105" s="549"/>
      <c r="BW105" s="675"/>
      <c r="BX105" s="549"/>
      <c r="BY105" s="675"/>
      <c r="BZ105" s="549"/>
      <c r="CA105" s="675"/>
      <c r="CB105" s="549"/>
      <c r="CC105" s="675"/>
      <c r="CD105" s="549"/>
      <c r="CE105" s="675"/>
      <c r="CF105" s="549"/>
      <c r="CG105" s="675"/>
      <c r="CH105" s="549"/>
      <c r="CI105" s="675"/>
      <c r="CJ105" s="549"/>
      <c r="CK105" s="675"/>
      <c r="CL105" s="549"/>
      <c r="CM105" s="675"/>
      <c r="CN105" s="549"/>
      <c r="CO105" s="675"/>
      <c r="CP105" s="549"/>
      <c r="CQ105" s="675"/>
      <c r="CR105" s="549"/>
      <c r="CS105" s="675"/>
      <c r="CT105" s="549"/>
      <c r="CU105" s="675"/>
      <c r="CV105" s="549"/>
      <c r="CW105" s="675"/>
      <c r="CX105" s="549"/>
      <c r="CY105" s="675"/>
      <c r="CZ105" s="549"/>
      <c r="DA105" s="675"/>
      <c r="DB105" s="549"/>
      <c r="DC105" s="675"/>
      <c r="DD105" s="549"/>
      <c r="DE105" s="675"/>
      <c r="DF105" s="549"/>
      <c r="DG105" s="675"/>
      <c r="DH105" s="549"/>
      <c r="DI105" s="675"/>
      <c r="DJ105" s="549"/>
      <c r="DK105" s="675"/>
      <c r="DL105" s="549"/>
      <c r="DM105" s="675"/>
      <c r="DN105" s="549"/>
      <c r="DO105" s="675"/>
      <c r="DP105" s="549"/>
      <c r="DQ105" s="675"/>
      <c r="DR105" s="549"/>
      <c r="DS105" s="675"/>
      <c r="DT105" s="549"/>
      <c r="DU105" s="675"/>
      <c r="DV105" s="549"/>
      <c r="DW105" s="675"/>
      <c r="DX105" s="549"/>
      <c r="DY105" s="675"/>
      <c r="DZ105" s="549"/>
      <c r="EA105" s="675"/>
      <c r="EB105" s="549"/>
      <c r="EC105" s="675"/>
      <c r="ED105" s="549"/>
      <c r="EE105" s="675"/>
      <c r="EF105" s="549"/>
      <c r="EG105" s="675"/>
      <c r="EH105" s="549"/>
      <c r="EI105" s="675"/>
      <c r="EJ105" s="549"/>
      <c r="EK105" s="675"/>
      <c r="EL105" s="549"/>
      <c r="EM105" s="675"/>
      <c r="EN105" s="549"/>
      <c r="EO105" s="675"/>
      <c r="EP105" s="549"/>
      <c r="EQ105" s="675"/>
      <c r="ER105" s="549"/>
      <c r="ES105" s="675"/>
      <c r="ET105" s="549"/>
      <c r="EU105" s="675"/>
      <c r="EV105" s="549"/>
      <c r="EW105" s="675"/>
      <c r="EX105" s="549"/>
      <c r="EY105" s="675"/>
      <c r="EZ105" s="549"/>
      <c r="FA105" s="675"/>
      <c r="FB105" s="549"/>
      <c r="FC105" s="675"/>
      <c r="FD105" s="549"/>
      <c r="FE105" s="675"/>
      <c r="FF105" s="549"/>
      <c r="FG105" s="675"/>
      <c r="FH105" s="549"/>
      <c r="FI105" s="675"/>
      <c r="FJ105" s="549"/>
      <c r="FK105" s="675"/>
      <c r="FL105" s="549"/>
      <c r="FM105" s="675"/>
      <c r="FN105" s="549"/>
      <c r="FO105" s="675"/>
      <c r="FP105" s="549"/>
      <c r="FQ105" s="675"/>
      <c r="FR105" s="549"/>
      <c r="FS105" s="675"/>
      <c r="FT105" s="549"/>
      <c r="FU105" s="675"/>
      <c r="FV105" s="549"/>
      <c r="FW105" s="675"/>
      <c r="FX105" s="549"/>
      <c r="FY105" s="675"/>
      <c r="FZ105" s="549"/>
      <c r="GA105" s="675"/>
      <c r="GB105" s="549"/>
      <c r="GC105" s="675"/>
      <c r="GD105" s="549"/>
      <c r="GE105" s="675"/>
      <c r="GF105" s="549"/>
      <c r="GG105" s="675"/>
      <c r="GH105" s="549"/>
      <c r="GI105" s="675"/>
      <c r="GJ105" s="549"/>
      <c r="GK105" s="675"/>
      <c r="GL105" s="549"/>
      <c r="GM105" s="675"/>
      <c r="GN105" s="549"/>
      <c r="GO105" s="675"/>
      <c r="GP105" s="74"/>
      <c r="GQ105" s="675"/>
      <c r="GR105" s="74"/>
      <c r="GS105" s="74"/>
      <c r="GT105" s="549"/>
      <c r="GU105" s="74"/>
      <c r="GV105" s="74"/>
      <c r="GW105" s="549"/>
      <c r="GX105" s="549"/>
      <c r="GY105" s="74"/>
      <c r="GZ105" s="74"/>
      <c r="HA105" s="74"/>
      <c r="HB105" s="74"/>
      <c r="HC105" s="74"/>
      <c r="HD105" s="74"/>
      <c r="HE105" s="74"/>
      <c r="HF105" s="74"/>
      <c r="HG105" s="74"/>
      <c r="HH105" s="74"/>
      <c r="HI105" s="74"/>
      <c r="HJ105" s="74"/>
      <c r="HK105" s="74"/>
      <c r="HL105" s="74"/>
      <c r="HM105" s="74"/>
      <c r="HN105" s="74"/>
      <c r="HO105" s="74"/>
      <c r="HP105" s="74"/>
      <c r="HQ105" s="74"/>
      <c r="HR105" s="74"/>
      <c r="HS105" s="74"/>
      <c r="HT105" s="74"/>
      <c r="HU105" s="74"/>
      <c r="HV105" s="74"/>
      <c r="HW105" s="74"/>
      <c r="HX105" s="74"/>
      <c r="HY105" s="74"/>
      <c r="HZ105" s="74"/>
      <c r="IA105" s="74"/>
      <c r="IB105" s="74"/>
      <c r="IC105" s="74"/>
      <c r="ID105" s="74"/>
      <c r="IE105" s="792"/>
      <c r="IF105" s="841"/>
      <c r="IG105" s="263"/>
      <c r="IH105" s="842"/>
      <c r="II105" s="155"/>
      <c r="IJ105" s="74"/>
      <c r="IK105" s="74"/>
      <c r="IL105" s="74"/>
      <c r="IM105" s="74"/>
      <c r="IN105" s="74"/>
      <c r="IO105" s="74"/>
      <c r="IP105" s="74"/>
      <c r="IQ105" s="74"/>
      <c r="IR105" s="74"/>
      <c r="IS105" s="74"/>
      <c r="IT105" s="74"/>
      <c r="IU105" s="74"/>
      <c r="IV105" s="74"/>
      <c r="IW105" s="74"/>
      <c r="IX105" s="74"/>
      <c r="IY105" s="74"/>
      <c r="IZ105" s="74"/>
      <c r="JA105" s="74"/>
      <c r="JB105" s="74"/>
      <c r="JC105" s="74"/>
      <c r="JD105" s="74"/>
      <c r="JE105" s="74"/>
      <c r="JF105" s="74"/>
      <c r="JG105" s="74"/>
      <c r="JH105" s="74"/>
      <c r="JI105" s="74"/>
      <c r="JJ105" s="74"/>
      <c r="JK105" s="74"/>
      <c r="JL105" s="74"/>
      <c r="JM105" s="74"/>
      <c r="JN105" s="74"/>
      <c r="JO105" s="74"/>
      <c r="JP105" s="74"/>
      <c r="JQ105" s="74"/>
      <c r="JR105" s="74"/>
      <c r="JS105" s="74"/>
      <c r="JT105" s="382"/>
      <c r="JU105" s="671"/>
      <c r="JV105" s="492"/>
      <c r="JW105" s="490"/>
      <c r="JX105" s="549"/>
      <c r="JY105" s="549"/>
      <c r="JZ105" s="581">
        <f t="shared" si="2110"/>
        <v>0</v>
      </c>
      <c r="KA105" s="581">
        <f t="shared" si="2111"/>
        <v>0</v>
      </c>
      <c r="KB105" s="549"/>
      <c r="KC105" s="709">
        <f t="shared" si="2079"/>
        <v>0</v>
      </c>
      <c r="KD105" s="36"/>
      <c r="KE105" s="36"/>
      <c r="KF105" s="36"/>
      <c r="KG105" s="36"/>
      <c r="KH105" s="36"/>
      <c r="KI105" s="36"/>
      <c r="KJ105" s="36"/>
      <c r="KK105" s="36"/>
    </row>
    <row r="106" spans="1:297" s="8" customFormat="1">
      <c r="A106" s="75" t="s">
        <v>126</v>
      </c>
      <c r="B106" s="72" t="s">
        <v>127</v>
      </c>
      <c r="C106" s="74">
        <f>SUM(C107:C109)</f>
        <v>81000</v>
      </c>
      <c r="D106" s="549">
        <f t="shared" ref="D106:E106" si="3488">SUM(D107:D108)</f>
        <v>0</v>
      </c>
      <c r="E106" s="675">
        <f t="shared" si="3488"/>
        <v>0</v>
      </c>
      <c r="F106" s="549">
        <f t="shared" ref="F106:G106" si="3489">SUM(F107:F108)</f>
        <v>0</v>
      </c>
      <c r="G106" s="675">
        <f t="shared" si="3489"/>
        <v>0</v>
      </c>
      <c r="H106" s="549">
        <f t="shared" ref="H106:AC106" si="3490">SUM(H107:H108)</f>
        <v>0</v>
      </c>
      <c r="I106" s="675">
        <f t="shared" si="3490"/>
        <v>0</v>
      </c>
      <c r="J106" s="549">
        <f t="shared" si="3490"/>
        <v>0</v>
      </c>
      <c r="K106" s="675">
        <f t="shared" si="3490"/>
        <v>0</v>
      </c>
      <c r="L106" s="549">
        <f t="shared" si="3490"/>
        <v>0</v>
      </c>
      <c r="M106" s="675">
        <f t="shared" si="3490"/>
        <v>0</v>
      </c>
      <c r="N106" s="549">
        <f t="shared" si="3490"/>
        <v>0</v>
      </c>
      <c r="O106" s="675">
        <f t="shared" si="3490"/>
        <v>0</v>
      </c>
      <c r="P106" s="549">
        <f t="shared" si="3490"/>
        <v>0</v>
      </c>
      <c r="Q106" s="675">
        <f t="shared" si="3490"/>
        <v>0</v>
      </c>
      <c r="R106" s="549">
        <f t="shared" si="3490"/>
        <v>0</v>
      </c>
      <c r="S106" s="675">
        <f t="shared" si="3490"/>
        <v>0</v>
      </c>
      <c r="T106" s="549">
        <f t="shared" si="3490"/>
        <v>0</v>
      </c>
      <c r="U106" s="675">
        <f t="shared" si="3490"/>
        <v>0</v>
      </c>
      <c r="V106" s="549">
        <f t="shared" si="3490"/>
        <v>3000</v>
      </c>
      <c r="W106" s="675">
        <f t="shared" si="3490"/>
        <v>-5000</v>
      </c>
      <c r="X106" s="549">
        <f t="shared" si="3490"/>
        <v>0</v>
      </c>
      <c r="Y106" s="675">
        <f t="shared" si="3490"/>
        <v>0</v>
      </c>
      <c r="Z106" s="549">
        <f t="shared" si="3490"/>
        <v>0</v>
      </c>
      <c r="AA106" s="675">
        <f t="shared" si="3490"/>
        <v>0</v>
      </c>
      <c r="AB106" s="549">
        <f t="shared" si="3490"/>
        <v>0</v>
      </c>
      <c r="AC106" s="675">
        <f t="shared" si="3490"/>
        <v>0</v>
      </c>
      <c r="AD106" s="549">
        <f t="shared" ref="AD106:AK106" si="3491">SUM(AD107:AD108)</f>
        <v>0</v>
      </c>
      <c r="AE106" s="675">
        <f t="shared" si="3491"/>
        <v>0</v>
      </c>
      <c r="AF106" s="549">
        <f t="shared" si="3491"/>
        <v>0</v>
      </c>
      <c r="AG106" s="675">
        <f t="shared" si="3491"/>
        <v>-2000</v>
      </c>
      <c r="AH106" s="549">
        <f t="shared" si="3491"/>
        <v>0</v>
      </c>
      <c r="AI106" s="675">
        <f t="shared" si="3491"/>
        <v>0</v>
      </c>
      <c r="AJ106" s="549">
        <f t="shared" si="3491"/>
        <v>0</v>
      </c>
      <c r="AK106" s="675">
        <f t="shared" si="3491"/>
        <v>0</v>
      </c>
      <c r="AL106" s="549">
        <f t="shared" ref="AL106:AM106" si="3492">SUM(AL107:AL108)</f>
        <v>0</v>
      </c>
      <c r="AM106" s="675">
        <f t="shared" si="3492"/>
        <v>0</v>
      </c>
      <c r="AN106" s="549">
        <f t="shared" ref="AN106:AS106" si="3493">SUM(AN107:AN108)</f>
        <v>0</v>
      </c>
      <c r="AO106" s="675">
        <f t="shared" si="3493"/>
        <v>0</v>
      </c>
      <c r="AP106" s="549">
        <f t="shared" si="3493"/>
        <v>0</v>
      </c>
      <c r="AQ106" s="675">
        <f t="shared" si="3493"/>
        <v>0</v>
      </c>
      <c r="AR106" s="549">
        <f t="shared" si="3493"/>
        <v>0</v>
      </c>
      <c r="AS106" s="675">
        <f t="shared" si="3493"/>
        <v>0</v>
      </c>
      <c r="AT106" s="549">
        <f t="shared" ref="AT106:AU106" si="3494">SUM(AT107:AT108)</f>
        <v>0</v>
      </c>
      <c r="AU106" s="675">
        <f t="shared" si="3494"/>
        <v>0</v>
      </c>
      <c r="AV106" s="549">
        <f t="shared" ref="AV106:AW106" si="3495">SUM(AV107:AV108)</f>
        <v>0</v>
      </c>
      <c r="AW106" s="675">
        <f t="shared" si="3495"/>
        <v>0</v>
      </c>
      <c r="AX106" s="549">
        <f t="shared" ref="AX106:AY106" si="3496">SUM(AX107:AX108)</f>
        <v>0</v>
      </c>
      <c r="AY106" s="675">
        <f t="shared" si="3496"/>
        <v>0</v>
      </c>
      <c r="AZ106" s="549">
        <f t="shared" ref="AZ106:BA106" si="3497">SUM(AZ107:AZ108)</f>
        <v>0</v>
      </c>
      <c r="BA106" s="675">
        <f t="shared" si="3497"/>
        <v>-6000</v>
      </c>
      <c r="BB106" s="549">
        <f t="shared" ref="BB106:BC106" si="3498">SUM(BB107:BB108)</f>
        <v>0</v>
      </c>
      <c r="BC106" s="675">
        <f t="shared" si="3498"/>
        <v>0</v>
      </c>
      <c r="BD106" s="549">
        <f t="shared" ref="BD106:BE106" si="3499">SUM(BD107:BD108)</f>
        <v>0</v>
      </c>
      <c r="BE106" s="675">
        <f t="shared" si="3499"/>
        <v>0</v>
      </c>
      <c r="BF106" s="549">
        <f t="shared" ref="BF106:BG106" si="3500">SUM(BF107:BF108)</f>
        <v>20000</v>
      </c>
      <c r="BG106" s="675">
        <f t="shared" si="3500"/>
        <v>0</v>
      </c>
      <c r="BH106" s="549">
        <f t="shared" ref="BH106:BI106" si="3501">SUM(BH107:BH108)</f>
        <v>0</v>
      </c>
      <c r="BI106" s="675">
        <f t="shared" si="3501"/>
        <v>0</v>
      </c>
      <c r="BJ106" s="549">
        <f t="shared" ref="BJ106:BK106" si="3502">SUM(BJ107:BJ108)</f>
        <v>0</v>
      </c>
      <c r="BK106" s="675">
        <f t="shared" si="3502"/>
        <v>0</v>
      </c>
      <c r="BL106" s="549">
        <f t="shared" ref="BL106:BS106" si="3503">SUM(BL107:BL108)</f>
        <v>0</v>
      </c>
      <c r="BM106" s="675">
        <f t="shared" si="3503"/>
        <v>0</v>
      </c>
      <c r="BN106" s="549">
        <f t="shared" si="3503"/>
        <v>0</v>
      </c>
      <c r="BO106" s="675">
        <f t="shared" si="3503"/>
        <v>0</v>
      </c>
      <c r="BP106" s="549">
        <f t="shared" si="3503"/>
        <v>0</v>
      </c>
      <c r="BQ106" s="675">
        <f t="shared" si="3503"/>
        <v>0</v>
      </c>
      <c r="BR106" s="549">
        <f t="shared" si="3503"/>
        <v>0</v>
      </c>
      <c r="BS106" s="675">
        <f t="shared" si="3503"/>
        <v>0</v>
      </c>
      <c r="BT106" s="549">
        <f t="shared" ref="BT106:BU106" si="3504">SUM(BT107:BT108)</f>
        <v>0</v>
      </c>
      <c r="BU106" s="675">
        <f t="shared" si="3504"/>
        <v>0</v>
      </c>
      <c r="BV106" s="549">
        <f t="shared" ref="BV106:BW106" si="3505">SUM(BV107:BV108)</f>
        <v>0</v>
      </c>
      <c r="BW106" s="675">
        <f t="shared" si="3505"/>
        <v>0</v>
      </c>
      <c r="BX106" s="549">
        <f t="shared" ref="BX106:BY106" si="3506">SUM(BX107:BX108)</f>
        <v>0</v>
      </c>
      <c r="BY106" s="675">
        <f t="shared" si="3506"/>
        <v>0</v>
      </c>
      <c r="BZ106" s="549">
        <f t="shared" ref="BZ106:CA106" si="3507">SUM(BZ107:BZ108)</f>
        <v>0</v>
      </c>
      <c r="CA106" s="675">
        <f t="shared" si="3507"/>
        <v>0</v>
      </c>
      <c r="CB106" s="549">
        <f t="shared" ref="CB106:CE106" si="3508">SUM(CB107:CB108)</f>
        <v>0</v>
      </c>
      <c r="CC106" s="675">
        <f t="shared" si="3508"/>
        <v>0</v>
      </c>
      <c r="CD106" s="549">
        <f t="shared" si="3508"/>
        <v>0</v>
      </c>
      <c r="CE106" s="675">
        <f t="shared" si="3508"/>
        <v>0</v>
      </c>
      <c r="CF106" s="549">
        <f t="shared" ref="CF106:CQ106" si="3509">SUM(CF107:CF108)</f>
        <v>0</v>
      </c>
      <c r="CG106" s="675">
        <f t="shared" si="3509"/>
        <v>0</v>
      </c>
      <c r="CH106" s="549">
        <f t="shared" si="3509"/>
        <v>0</v>
      </c>
      <c r="CI106" s="675">
        <f t="shared" si="3509"/>
        <v>-2000</v>
      </c>
      <c r="CJ106" s="549">
        <f t="shared" si="3509"/>
        <v>0</v>
      </c>
      <c r="CK106" s="675">
        <f t="shared" si="3509"/>
        <v>-964</v>
      </c>
      <c r="CL106" s="549">
        <f t="shared" si="3509"/>
        <v>0</v>
      </c>
      <c r="CM106" s="675">
        <f t="shared" si="3509"/>
        <v>-5000</v>
      </c>
      <c r="CN106" s="549">
        <f t="shared" si="3509"/>
        <v>0</v>
      </c>
      <c r="CO106" s="675">
        <f t="shared" si="3509"/>
        <v>0</v>
      </c>
      <c r="CP106" s="549">
        <f t="shared" si="3509"/>
        <v>0</v>
      </c>
      <c r="CQ106" s="675">
        <f t="shared" si="3509"/>
        <v>0</v>
      </c>
      <c r="CR106" s="549">
        <f t="shared" ref="CR106:CY106" si="3510">SUM(CR107:CR108)</f>
        <v>0</v>
      </c>
      <c r="CS106" s="675">
        <f t="shared" si="3510"/>
        <v>0</v>
      </c>
      <c r="CT106" s="549">
        <f t="shared" si="3510"/>
        <v>0</v>
      </c>
      <c r="CU106" s="675">
        <f t="shared" si="3510"/>
        <v>0</v>
      </c>
      <c r="CV106" s="549">
        <f t="shared" si="3510"/>
        <v>0</v>
      </c>
      <c r="CW106" s="675">
        <f t="shared" si="3510"/>
        <v>0</v>
      </c>
      <c r="CX106" s="549">
        <f t="shared" si="3510"/>
        <v>0</v>
      </c>
      <c r="CY106" s="675">
        <f t="shared" si="3510"/>
        <v>0</v>
      </c>
      <c r="CZ106" s="549">
        <f t="shared" ref="CZ106:DG106" si="3511">SUM(CZ107:CZ108)</f>
        <v>19000</v>
      </c>
      <c r="DA106" s="675">
        <f t="shared" si="3511"/>
        <v>-1000</v>
      </c>
      <c r="DB106" s="549">
        <f t="shared" si="3511"/>
        <v>0</v>
      </c>
      <c r="DC106" s="675">
        <f t="shared" si="3511"/>
        <v>0</v>
      </c>
      <c r="DD106" s="549">
        <f t="shared" si="3511"/>
        <v>0</v>
      </c>
      <c r="DE106" s="675">
        <f t="shared" si="3511"/>
        <v>0</v>
      </c>
      <c r="DF106" s="549">
        <f t="shared" si="3511"/>
        <v>0</v>
      </c>
      <c r="DG106" s="675">
        <f t="shared" si="3511"/>
        <v>0</v>
      </c>
      <c r="DH106" s="549">
        <f t="shared" ref="DH106:DM106" si="3512">SUM(DH107:DH108)</f>
        <v>0</v>
      </c>
      <c r="DI106" s="675">
        <f t="shared" si="3512"/>
        <v>0</v>
      </c>
      <c r="DJ106" s="549">
        <f t="shared" si="3512"/>
        <v>0</v>
      </c>
      <c r="DK106" s="675">
        <f t="shared" si="3512"/>
        <v>0</v>
      </c>
      <c r="DL106" s="549">
        <f t="shared" si="3512"/>
        <v>0</v>
      </c>
      <c r="DM106" s="675">
        <f t="shared" si="3512"/>
        <v>0</v>
      </c>
      <c r="DN106" s="549">
        <f t="shared" ref="DN106:DW106" si="3513">SUM(DN107:DN108)</f>
        <v>0</v>
      </c>
      <c r="DO106" s="675">
        <f t="shared" si="3513"/>
        <v>0</v>
      </c>
      <c r="DP106" s="549">
        <f t="shared" si="3513"/>
        <v>0</v>
      </c>
      <c r="DQ106" s="675">
        <f t="shared" si="3513"/>
        <v>0</v>
      </c>
      <c r="DR106" s="549">
        <f t="shared" si="3513"/>
        <v>0</v>
      </c>
      <c r="DS106" s="675">
        <f t="shared" si="3513"/>
        <v>0</v>
      </c>
      <c r="DT106" s="549">
        <f t="shared" si="3513"/>
        <v>0</v>
      </c>
      <c r="DU106" s="675">
        <f t="shared" si="3513"/>
        <v>0</v>
      </c>
      <c r="DV106" s="549">
        <f t="shared" si="3513"/>
        <v>0</v>
      </c>
      <c r="DW106" s="675">
        <f t="shared" si="3513"/>
        <v>0</v>
      </c>
      <c r="DX106" s="549">
        <f t="shared" ref="DX106:EG106" si="3514">SUM(DX107:DX108)</f>
        <v>0</v>
      </c>
      <c r="DY106" s="675">
        <f t="shared" si="3514"/>
        <v>0</v>
      </c>
      <c r="DZ106" s="549">
        <f t="shared" si="3514"/>
        <v>0</v>
      </c>
      <c r="EA106" s="675">
        <f t="shared" si="3514"/>
        <v>0</v>
      </c>
      <c r="EB106" s="549">
        <f t="shared" si="3514"/>
        <v>0</v>
      </c>
      <c r="EC106" s="675">
        <f t="shared" si="3514"/>
        <v>0</v>
      </c>
      <c r="ED106" s="549">
        <f t="shared" si="3514"/>
        <v>0</v>
      </c>
      <c r="EE106" s="675">
        <f t="shared" si="3514"/>
        <v>0</v>
      </c>
      <c r="EF106" s="549">
        <f t="shared" si="3514"/>
        <v>0</v>
      </c>
      <c r="EG106" s="675">
        <f t="shared" si="3514"/>
        <v>0</v>
      </c>
      <c r="EH106" s="549">
        <f t="shared" ref="EH106:EK106" si="3515">SUM(EH107:EH108)</f>
        <v>0</v>
      </c>
      <c r="EI106" s="675">
        <f t="shared" si="3515"/>
        <v>0</v>
      </c>
      <c r="EJ106" s="549">
        <f t="shared" si="3515"/>
        <v>0</v>
      </c>
      <c r="EK106" s="675">
        <f t="shared" si="3515"/>
        <v>0</v>
      </c>
      <c r="EL106" s="549">
        <f t="shared" ref="EL106:EM106" si="3516">SUM(EL107:EL108)</f>
        <v>0</v>
      </c>
      <c r="EM106" s="675">
        <f t="shared" si="3516"/>
        <v>0</v>
      </c>
      <c r="EN106" s="549">
        <f t="shared" ref="EN106:EO106" si="3517">SUM(EN107:EN108)</f>
        <v>0</v>
      </c>
      <c r="EO106" s="675">
        <f t="shared" si="3517"/>
        <v>0</v>
      </c>
      <c r="EP106" s="549">
        <f t="shared" ref="EP106:FA106" si="3518">SUM(EP107:EP108)</f>
        <v>0</v>
      </c>
      <c r="EQ106" s="675">
        <f t="shared" si="3518"/>
        <v>0</v>
      </c>
      <c r="ER106" s="549">
        <f t="shared" si="3518"/>
        <v>0</v>
      </c>
      <c r="ES106" s="675">
        <f t="shared" si="3518"/>
        <v>0</v>
      </c>
      <c r="ET106" s="549">
        <f t="shared" si="3518"/>
        <v>0</v>
      </c>
      <c r="EU106" s="675">
        <f t="shared" si="3518"/>
        <v>-11000</v>
      </c>
      <c r="EV106" s="549">
        <f t="shared" ref="EV106:EW106" si="3519">SUM(EV107:EV108)</f>
        <v>0</v>
      </c>
      <c r="EW106" s="675">
        <f t="shared" si="3519"/>
        <v>-1000</v>
      </c>
      <c r="EX106" s="549">
        <f t="shared" si="3518"/>
        <v>0</v>
      </c>
      <c r="EY106" s="675">
        <f t="shared" si="3518"/>
        <v>0</v>
      </c>
      <c r="EZ106" s="549">
        <f t="shared" si="3518"/>
        <v>0</v>
      </c>
      <c r="FA106" s="675">
        <f t="shared" si="3518"/>
        <v>0</v>
      </c>
      <c r="FB106" s="549">
        <f t="shared" ref="FB106:FC106" si="3520">SUM(FB107:FB108)</f>
        <v>0</v>
      </c>
      <c r="FC106" s="675">
        <f t="shared" si="3520"/>
        <v>0</v>
      </c>
      <c r="FD106" s="549">
        <f t="shared" ref="FD106:FE106" si="3521">SUM(FD107:FD108)</f>
        <v>0</v>
      </c>
      <c r="FE106" s="675">
        <f t="shared" si="3521"/>
        <v>0</v>
      </c>
      <c r="FF106" s="549">
        <f t="shared" ref="FF106:FG106" si="3522">SUM(FF107:FF108)</f>
        <v>0</v>
      </c>
      <c r="FG106" s="675">
        <f t="shared" si="3522"/>
        <v>0</v>
      </c>
      <c r="FH106" s="549">
        <f t="shared" ref="FH106:FI106" si="3523">SUM(FH107:FH108)</f>
        <v>0</v>
      </c>
      <c r="FI106" s="675">
        <f t="shared" si="3523"/>
        <v>0</v>
      </c>
      <c r="FJ106" s="549">
        <f t="shared" ref="FJ106:FK106" si="3524">SUM(FJ107:FJ108)</f>
        <v>0</v>
      </c>
      <c r="FK106" s="675">
        <f t="shared" si="3524"/>
        <v>0</v>
      </c>
      <c r="FL106" s="549">
        <f t="shared" ref="FL106:FM106" si="3525">SUM(FL107:FL108)</f>
        <v>2000</v>
      </c>
      <c r="FM106" s="675">
        <f t="shared" si="3525"/>
        <v>0</v>
      </c>
      <c r="FN106" s="549">
        <f t="shared" ref="FN106:FO106" si="3526">SUM(FN107:FN108)</f>
        <v>0</v>
      </c>
      <c r="FO106" s="675">
        <f t="shared" si="3526"/>
        <v>0</v>
      </c>
      <c r="FP106" s="549">
        <f t="shared" ref="FP106:FQ106" si="3527">SUM(FP107:FP108)</f>
        <v>0</v>
      </c>
      <c r="FQ106" s="675">
        <f t="shared" si="3527"/>
        <v>0</v>
      </c>
      <c r="FR106" s="549">
        <f t="shared" ref="FR106:FS106" si="3528">SUM(FR107:FR108)</f>
        <v>0</v>
      </c>
      <c r="FS106" s="675">
        <f t="shared" si="3528"/>
        <v>0</v>
      </c>
      <c r="FT106" s="549">
        <f t="shared" ref="FT106:FU106" si="3529">SUM(FT107:FT108)</f>
        <v>0</v>
      </c>
      <c r="FU106" s="675">
        <f t="shared" si="3529"/>
        <v>0</v>
      </c>
      <c r="FV106" s="549">
        <f t="shared" ref="FV106:GK106" si="3530">SUM(FV107:FV108)</f>
        <v>0</v>
      </c>
      <c r="FW106" s="675">
        <f t="shared" si="3530"/>
        <v>0</v>
      </c>
      <c r="FX106" s="549">
        <f t="shared" si="3530"/>
        <v>0</v>
      </c>
      <c r="FY106" s="675">
        <f t="shared" si="3530"/>
        <v>0</v>
      </c>
      <c r="FZ106" s="549">
        <f t="shared" ref="FZ106:GI106" si="3531">SUM(FZ107:FZ108)</f>
        <v>0</v>
      </c>
      <c r="GA106" s="675">
        <f t="shared" si="3531"/>
        <v>0</v>
      </c>
      <c r="GB106" s="549">
        <f t="shared" si="3531"/>
        <v>0</v>
      </c>
      <c r="GC106" s="675">
        <f t="shared" si="3531"/>
        <v>0</v>
      </c>
      <c r="GD106" s="549">
        <f t="shared" si="3531"/>
        <v>0</v>
      </c>
      <c r="GE106" s="675">
        <f t="shared" si="3531"/>
        <v>0</v>
      </c>
      <c r="GF106" s="549">
        <f t="shared" si="3531"/>
        <v>0</v>
      </c>
      <c r="GG106" s="675">
        <f t="shared" si="3531"/>
        <v>0</v>
      </c>
      <c r="GH106" s="549">
        <f t="shared" si="3531"/>
        <v>0</v>
      </c>
      <c r="GI106" s="675">
        <f t="shared" si="3531"/>
        <v>0</v>
      </c>
      <c r="GJ106" s="549">
        <f t="shared" si="3530"/>
        <v>0</v>
      </c>
      <c r="GK106" s="675">
        <f t="shared" si="3530"/>
        <v>0</v>
      </c>
      <c r="GL106" s="549">
        <f t="shared" ref="GL106:GM106" si="3532">SUM(GL107:GL108)</f>
        <v>0</v>
      </c>
      <c r="GM106" s="675">
        <f t="shared" si="3532"/>
        <v>0</v>
      </c>
      <c r="GN106" s="549">
        <f t="shared" ref="GN106:GO106" si="3533">SUM(GN107:GN108)</f>
        <v>0</v>
      </c>
      <c r="GO106" s="675">
        <f t="shared" si="3533"/>
        <v>0</v>
      </c>
      <c r="GP106" s="74">
        <f t="shared" ref="GP106:HF106" si="3534">SUM(GP107:GP109)</f>
        <v>44000</v>
      </c>
      <c r="GQ106" s="675">
        <f t="shared" si="3534"/>
        <v>-33964</v>
      </c>
      <c r="GR106" s="74">
        <f t="shared" si="3534"/>
        <v>91036</v>
      </c>
      <c r="GS106" s="74">
        <f>SUM(GS107:GS109)</f>
        <v>91036</v>
      </c>
      <c r="GT106" s="549">
        <f t="shared" si="3534"/>
        <v>91036</v>
      </c>
      <c r="GU106" s="74">
        <f>SUM(GU107:GU109)</f>
        <v>5440</v>
      </c>
      <c r="GV106" s="74">
        <f t="shared" ref="GV106:HA106" si="3535">SUM(GV107:GV109)</f>
        <v>14308</v>
      </c>
      <c r="GW106" s="74">
        <f t="shared" si="3535"/>
        <v>5440</v>
      </c>
      <c r="GX106" s="74">
        <f t="shared" si="3535"/>
        <v>14306</v>
      </c>
      <c r="GY106" s="74">
        <f t="shared" si="3535"/>
        <v>5440</v>
      </c>
      <c r="GZ106" s="74">
        <f t="shared" si="3535"/>
        <v>5440</v>
      </c>
      <c r="HA106" s="74">
        <f t="shared" si="3535"/>
        <v>14306</v>
      </c>
      <c r="HB106" s="74">
        <f t="shared" si="3534"/>
        <v>5440</v>
      </c>
      <c r="HC106" s="74">
        <f t="shared" si="3534"/>
        <v>5440</v>
      </c>
      <c r="HD106" s="74">
        <f t="shared" si="3534"/>
        <v>5440</v>
      </c>
      <c r="HE106" s="74">
        <f t="shared" si="3534"/>
        <v>0</v>
      </c>
      <c r="HF106" s="74">
        <f t="shared" si="3534"/>
        <v>0</v>
      </c>
      <c r="HG106" s="74">
        <f>SUM(HG107:HG109)</f>
        <v>91036</v>
      </c>
      <c r="HH106" s="74">
        <f>SUM(HH107:HH109)</f>
        <v>5440</v>
      </c>
      <c r="HI106" s="74">
        <f t="shared" ref="HI106:HU106" si="3536">SUM(HI107:HI108)</f>
        <v>0</v>
      </c>
      <c r="HJ106" s="74">
        <f t="shared" si="3536"/>
        <v>14308</v>
      </c>
      <c r="HK106" s="74">
        <f t="shared" si="3536"/>
        <v>0</v>
      </c>
      <c r="HL106" s="74">
        <f t="shared" si="3536"/>
        <v>1440</v>
      </c>
      <c r="HM106" s="74">
        <f t="shared" si="3536"/>
        <v>0</v>
      </c>
      <c r="HN106" s="74">
        <f t="shared" si="3536"/>
        <v>14306</v>
      </c>
      <c r="HO106" s="74">
        <f t="shared" si="3536"/>
        <v>0</v>
      </c>
      <c r="HP106" s="74">
        <f t="shared" si="3536"/>
        <v>19440</v>
      </c>
      <c r="HQ106" s="74">
        <f t="shared" si="3536"/>
        <v>0</v>
      </c>
      <c r="HR106" s="74">
        <f t="shared" si="3536"/>
        <v>-2000</v>
      </c>
      <c r="HS106" s="74">
        <f t="shared" si="3536"/>
        <v>0</v>
      </c>
      <c r="HT106" s="74">
        <f t="shared" si="3536"/>
        <v>30880</v>
      </c>
      <c r="HU106" s="74">
        <f t="shared" si="3536"/>
        <v>0</v>
      </c>
      <c r="HV106" s="74">
        <f t="shared" ref="HV106:JM106" si="3537">SUM(HV107:HV108)</f>
        <v>5440</v>
      </c>
      <c r="HW106" s="74">
        <f t="shared" si="3537"/>
        <v>0</v>
      </c>
      <c r="HX106" s="74">
        <f t="shared" si="3537"/>
        <v>-5658</v>
      </c>
      <c r="HY106" s="74">
        <f t="shared" si="3537"/>
        <v>0</v>
      </c>
      <c r="HZ106" s="74">
        <f t="shared" si="3537"/>
        <v>7440</v>
      </c>
      <c r="IA106" s="74">
        <f t="shared" si="3537"/>
        <v>0</v>
      </c>
      <c r="IB106" s="74">
        <f t="shared" si="3537"/>
        <v>0</v>
      </c>
      <c r="IC106" s="74">
        <f t="shared" si="3537"/>
        <v>0</v>
      </c>
      <c r="ID106" s="74">
        <f>SUM(ID107:ID109)</f>
        <v>0</v>
      </c>
      <c r="IE106" s="792">
        <f>SUM(IE107:IE109)</f>
        <v>0</v>
      </c>
      <c r="IF106" s="841">
        <f>SUM(IF107:IF109)</f>
        <v>85954.569999999992</v>
      </c>
      <c r="IG106" s="263">
        <f>SUM(IG107:IG109)</f>
        <v>85954.569999999992</v>
      </c>
      <c r="IH106" s="842">
        <f>SUM(IH107:IH109)</f>
        <v>85954.569999999992</v>
      </c>
      <c r="II106" s="155">
        <f t="shared" si="3537"/>
        <v>3488.3</v>
      </c>
      <c r="IJ106" s="74">
        <f t="shared" si="3537"/>
        <v>3488.3</v>
      </c>
      <c r="IK106" s="74">
        <f t="shared" si="3537"/>
        <v>3488.3</v>
      </c>
      <c r="IL106" s="74">
        <f t="shared" si="3537"/>
        <v>5080.55</v>
      </c>
      <c r="IM106" s="74">
        <f t="shared" si="3537"/>
        <v>5080.55</v>
      </c>
      <c r="IN106" s="74">
        <f t="shared" si="3537"/>
        <v>5080.55</v>
      </c>
      <c r="IO106" s="74">
        <f t="shared" si="3537"/>
        <v>2294.6099999999988</v>
      </c>
      <c r="IP106" s="74">
        <f t="shared" si="3537"/>
        <v>2294.6099999999988</v>
      </c>
      <c r="IQ106" s="74">
        <f t="shared" si="3537"/>
        <v>2294.6099999999988</v>
      </c>
      <c r="IR106" s="74">
        <f t="shared" si="3537"/>
        <v>6294.18</v>
      </c>
      <c r="IS106" s="74">
        <f t="shared" si="3537"/>
        <v>6294.18</v>
      </c>
      <c r="IT106" s="74">
        <f t="shared" si="3537"/>
        <v>6294.18</v>
      </c>
      <c r="IU106" s="74">
        <f t="shared" si="3537"/>
        <v>11272.09</v>
      </c>
      <c r="IV106" s="74">
        <f t="shared" si="3537"/>
        <v>11272.09</v>
      </c>
      <c r="IW106" s="74">
        <f t="shared" si="3537"/>
        <v>11272.09</v>
      </c>
      <c r="IX106" s="74">
        <f t="shared" si="3537"/>
        <v>22500.93</v>
      </c>
      <c r="IY106" s="74">
        <f t="shared" si="3537"/>
        <v>22500.93</v>
      </c>
      <c r="IZ106" s="74">
        <f t="shared" si="3537"/>
        <v>22500.93</v>
      </c>
      <c r="JA106" s="74">
        <f t="shared" si="3537"/>
        <v>568.27999999999884</v>
      </c>
      <c r="JB106" s="74">
        <f t="shared" si="3537"/>
        <v>568.27999999999884</v>
      </c>
      <c r="JC106" s="74">
        <f t="shared" si="3537"/>
        <v>568.27999999999884</v>
      </c>
      <c r="JD106" s="74">
        <f t="shared" si="3537"/>
        <v>21248.110000000008</v>
      </c>
      <c r="JE106" s="74">
        <f t="shared" si="3537"/>
        <v>21248.110000000008</v>
      </c>
      <c r="JF106" s="74">
        <f t="shared" si="3537"/>
        <v>21248.110000000008</v>
      </c>
      <c r="JG106" s="74">
        <f t="shared" si="3537"/>
        <v>5128.9099999999889</v>
      </c>
      <c r="JH106" s="74">
        <f t="shared" si="3537"/>
        <v>5128.9099999999889</v>
      </c>
      <c r="JI106" s="74">
        <f t="shared" si="3537"/>
        <v>5128.9099999999889</v>
      </c>
      <c r="JJ106" s="74">
        <f t="shared" si="3537"/>
        <v>8078.6100000000006</v>
      </c>
      <c r="JK106" s="74">
        <f t="shared" si="3537"/>
        <v>8078.6100000000006</v>
      </c>
      <c r="JL106" s="74">
        <f t="shared" si="3537"/>
        <v>8078.6100000000006</v>
      </c>
      <c r="JM106" s="74">
        <f t="shared" si="3537"/>
        <v>0</v>
      </c>
      <c r="JN106" s="74">
        <f t="shared" ref="JN106:JO106" si="3538">SUM(JN107:JN108)</f>
        <v>0</v>
      </c>
      <c r="JO106" s="74">
        <f t="shared" si="3538"/>
        <v>0</v>
      </c>
      <c r="JP106" s="74">
        <f>SUM(JP107:JP109)</f>
        <v>0</v>
      </c>
      <c r="JQ106" s="74">
        <f>SUM(JQ107:JQ109)</f>
        <v>0</v>
      </c>
      <c r="JR106" s="74">
        <f>SUM(JR107:JR109)</f>
        <v>0</v>
      </c>
      <c r="JS106" s="74">
        <f>SUM(JS107:JS109)</f>
        <v>5081.4300000000039</v>
      </c>
      <c r="JT106" s="382">
        <f>SUM(JT107:JT109)</f>
        <v>5081.4300000000039</v>
      </c>
      <c r="JU106" s="671"/>
      <c r="JV106" s="492"/>
      <c r="JW106" s="490"/>
      <c r="JX106" s="549">
        <f>SUM(JX107:JX109)</f>
        <v>91036</v>
      </c>
      <c r="JY106" s="549">
        <f>SUM(JY107:JY108)</f>
        <v>0</v>
      </c>
      <c r="JZ106" s="581">
        <f t="shared" si="2110"/>
        <v>44000</v>
      </c>
      <c r="KA106" s="581">
        <f t="shared" si="2111"/>
        <v>-33964</v>
      </c>
      <c r="KB106" s="549">
        <f>SUM(KB107:KB108)</f>
        <v>91036</v>
      </c>
      <c r="KC106" s="709">
        <f t="shared" si="2079"/>
        <v>0</v>
      </c>
      <c r="KD106" s="36"/>
      <c r="KE106" s="36"/>
      <c r="KF106" s="36"/>
      <c r="KG106" s="36"/>
      <c r="KH106" s="36"/>
      <c r="KI106" s="36"/>
      <c r="KJ106" s="36"/>
      <c r="KK106" s="36"/>
    </row>
    <row r="107" spans="1:297" s="8" customFormat="1">
      <c r="A107" s="75" t="s">
        <v>128</v>
      </c>
      <c r="B107" s="72" t="s">
        <v>129</v>
      </c>
      <c r="C107" s="74">
        <f t="shared" ref="C107:BP107" si="3539">SUM(C440,C311)</f>
        <v>54400</v>
      </c>
      <c r="D107" s="549">
        <f t="shared" si="3539"/>
        <v>0</v>
      </c>
      <c r="E107" s="675">
        <f t="shared" si="3539"/>
        <v>0</v>
      </c>
      <c r="F107" s="549">
        <f t="shared" si="3539"/>
        <v>0</v>
      </c>
      <c r="G107" s="675">
        <f t="shared" si="3539"/>
        <v>0</v>
      </c>
      <c r="H107" s="549">
        <f t="shared" si="3539"/>
        <v>0</v>
      </c>
      <c r="I107" s="675">
        <f t="shared" si="3539"/>
        <v>0</v>
      </c>
      <c r="J107" s="549">
        <f t="shared" si="3539"/>
        <v>0</v>
      </c>
      <c r="K107" s="675">
        <f t="shared" si="3539"/>
        <v>0</v>
      </c>
      <c r="L107" s="549">
        <f t="shared" si="3539"/>
        <v>0</v>
      </c>
      <c r="M107" s="675">
        <f t="shared" si="3539"/>
        <v>0</v>
      </c>
      <c r="N107" s="549">
        <f t="shared" si="3539"/>
        <v>0</v>
      </c>
      <c r="O107" s="675">
        <f t="shared" si="3539"/>
        <v>0</v>
      </c>
      <c r="P107" s="549">
        <f t="shared" si="3539"/>
        <v>0</v>
      </c>
      <c r="Q107" s="675">
        <f t="shared" si="3539"/>
        <v>0</v>
      </c>
      <c r="R107" s="549">
        <f t="shared" si="3539"/>
        <v>0</v>
      </c>
      <c r="S107" s="675">
        <f t="shared" si="3539"/>
        <v>0</v>
      </c>
      <c r="T107" s="549">
        <f t="shared" si="3539"/>
        <v>0</v>
      </c>
      <c r="U107" s="675">
        <f t="shared" si="3539"/>
        <v>0</v>
      </c>
      <c r="V107" s="549">
        <f t="shared" si="3539"/>
        <v>3000</v>
      </c>
      <c r="W107" s="675">
        <f t="shared" si="3539"/>
        <v>0</v>
      </c>
      <c r="X107" s="549">
        <f t="shared" si="3539"/>
        <v>0</v>
      </c>
      <c r="Y107" s="675">
        <f t="shared" si="3539"/>
        <v>0</v>
      </c>
      <c r="Z107" s="549">
        <f t="shared" si="3539"/>
        <v>0</v>
      </c>
      <c r="AA107" s="675">
        <f t="shared" si="3539"/>
        <v>0</v>
      </c>
      <c r="AB107" s="549">
        <f t="shared" si="3539"/>
        <v>0</v>
      </c>
      <c r="AC107" s="675">
        <f t="shared" si="3539"/>
        <v>0</v>
      </c>
      <c r="AD107" s="549">
        <f t="shared" si="3539"/>
        <v>0</v>
      </c>
      <c r="AE107" s="675">
        <f t="shared" si="3539"/>
        <v>0</v>
      </c>
      <c r="AF107" s="549">
        <f t="shared" si="3539"/>
        <v>0</v>
      </c>
      <c r="AG107" s="675">
        <f t="shared" si="3539"/>
        <v>0</v>
      </c>
      <c r="AH107" s="549">
        <f t="shared" si="3539"/>
        <v>0</v>
      </c>
      <c r="AI107" s="675">
        <f t="shared" si="3539"/>
        <v>0</v>
      </c>
      <c r="AJ107" s="549">
        <f t="shared" si="3539"/>
        <v>0</v>
      </c>
      <c r="AK107" s="675">
        <f t="shared" si="3539"/>
        <v>0</v>
      </c>
      <c r="AL107" s="549">
        <f t="shared" si="3539"/>
        <v>0</v>
      </c>
      <c r="AM107" s="675">
        <f t="shared" si="3539"/>
        <v>0</v>
      </c>
      <c r="AN107" s="549">
        <f t="shared" si="3539"/>
        <v>0</v>
      </c>
      <c r="AO107" s="675">
        <f t="shared" si="3539"/>
        <v>0</v>
      </c>
      <c r="AP107" s="549">
        <f t="shared" si="3539"/>
        <v>0</v>
      </c>
      <c r="AQ107" s="675">
        <f t="shared" si="3539"/>
        <v>0</v>
      </c>
      <c r="AR107" s="549">
        <f t="shared" si="3539"/>
        <v>0</v>
      </c>
      <c r="AS107" s="675">
        <f t="shared" si="3539"/>
        <v>0</v>
      </c>
      <c r="AT107" s="549">
        <f t="shared" ref="AT107:AU107" si="3540">SUM(AT440,AT311)</f>
        <v>0</v>
      </c>
      <c r="AU107" s="675">
        <f t="shared" si="3540"/>
        <v>0</v>
      </c>
      <c r="AV107" s="549">
        <f t="shared" ref="AV107:AW107" si="3541">SUM(AV440,AV311)</f>
        <v>0</v>
      </c>
      <c r="AW107" s="675">
        <f t="shared" si="3541"/>
        <v>0</v>
      </c>
      <c r="AX107" s="549">
        <f t="shared" ref="AX107:AY107" si="3542">SUM(AX440,AX311)</f>
        <v>0</v>
      </c>
      <c r="AY107" s="675">
        <f t="shared" si="3542"/>
        <v>0</v>
      </c>
      <c r="AZ107" s="549">
        <f t="shared" ref="AZ107:BA107" si="3543">SUM(AZ440,AZ311)</f>
        <v>0</v>
      </c>
      <c r="BA107" s="675">
        <f t="shared" si="3543"/>
        <v>0</v>
      </c>
      <c r="BB107" s="549">
        <f t="shared" ref="BB107:BC107" si="3544">SUM(BB440,BB311)</f>
        <v>0</v>
      </c>
      <c r="BC107" s="675">
        <f t="shared" si="3544"/>
        <v>0</v>
      </c>
      <c r="BD107" s="549">
        <f t="shared" ref="BD107:BE107" si="3545">SUM(BD440,BD311)</f>
        <v>0</v>
      </c>
      <c r="BE107" s="675">
        <f t="shared" si="3545"/>
        <v>0</v>
      </c>
      <c r="BF107" s="549">
        <f t="shared" ref="BF107:BG107" si="3546">SUM(BF440,BF311)</f>
        <v>20000</v>
      </c>
      <c r="BG107" s="675">
        <f t="shared" si="3546"/>
        <v>0</v>
      </c>
      <c r="BH107" s="549">
        <f t="shared" ref="BH107:BI107" si="3547">SUM(BH440,BH311)</f>
        <v>0</v>
      </c>
      <c r="BI107" s="675">
        <f t="shared" si="3547"/>
        <v>0</v>
      </c>
      <c r="BJ107" s="549">
        <f t="shared" ref="BJ107:BK107" si="3548">SUM(BJ440,BJ311)</f>
        <v>0</v>
      </c>
      <c r="BK107" s="675">
        <f t="shared" si="3548"/>
        <v>0</v>
      </c>
      <c r="BL107" s="549">
        <f t="shared" si="3539"/>
        <v>0</v>
      </c>
      <c r="BM107" s="675">
        <f t="shared" si="3539"/>
        <v>0</v>
      </c>
      <c r="BN107" s="549">
        <f t="shared" si="3539"/>
        <v>0</v>
      </c>
      <c r="BO107" s="675">
        <f t="shared" si="3539"/>
        <v>0</v>
      </c>
      <c r="BP107" s="549">
        <f t="shared" si="3539"/>
        <v>0</v>
      </c>
      <c r="BQ107" s="675">
        <f t="shared" ref="BQ107" si="3549">SUM(BQ440,BQ311)</f>
        <v>0</v>
      </c>
      <c r="BR107" s="549">
        <f t="shared" ref="BR107:BS107" si="3550">SUM(BR440,BR311)</f>
        <v>0</v>
      </c>
      <c r="BS107" s="675">
        <f t="shared" si="3550"/>
        <v>0</v>
      </c>
      <c r="BT107" s="549">
        <f t="shared" ref="BT107:BU107" si="3551">SUM(BT440,BT311)</f>
        <v>0</v>
      </c>
      <c r="BU107" s="675">
        <f t="shared" si="3551"/>
        <v>0</v>
      </c>
      <c r="BV107" s="549">
        <f t="shared" ref="BV107:BW107" si="3552">SUM(BV440,BV311)</f>
        <v>0</v>
      </c>
      <c r="BW107" s="675">
        <f t="shared" si="3552"/>
        <v>0</v>
      </c>
      <c r="BX107" s="549">
        <f t="shared" ref="BX107:BY107" si="3553">SUM(BX440,BX311)</f>
        <v>0</v>
      </c>
      <c r="BY107" s="675">
        <f t="shared" si="3553"/>
        <v>0</v>
      </c>
      <c r="BZ107" s="549">
        <f t="shared" ref="BZ107:CA107" si="3554">SUM(BZ440,BZ311)</f>
        <v>0</v>
      </c>
      <c r="CA107" s="675">
        <f t="shared" si="3554"/>
        <v>0</v>
      </c>
      <c r="CB107" s="549">
        <f t="shared" ref="CB107:EC107" si="3555">SUM(CB440,CB311)</f>
        <v>0</v>
      </c>
      <c r="CC107" s="675">
        <f t="shared" si="3555"/>
        <v>0</v>
      </c>
      <c r="CD107" s="549">
        <f t="shared" si="3555"/>
        <v>0</v>
      </c>
      <c r="CE107" s="675">
        <f t="shared" si="3555"/>
        <v>0</v>
      </c>
      <c r="CF107" s="549">
        <f t="shared" si="3555"/>
        <v>0</v>
      </c>
      <c r="CG107" s="675">
        <f t="shared" si="3555"/>
        <v>0</v>
      </c>
      <c r="CH107" s="549">
        <f t="shared" si="3555"/>
        <v>0</v>
      </c>
      <c r="CI107" s="675">
        <f t="shared" si="3555"/>
        <v>0</v>
      </c>
      <c r="CJ107" s="549">
        <f t="shared" si="3555"/>
        <v>0</v>
      </c>
      <c r="CK107" s="675">
        <f t="shared" si="3555"/>
        <v>0</v>
      </c>
      <c r="CL107" s="549">
        <f t="shared" si="3555"/>
        <v>0</v>
      </c>
      <c r="CM107" s="675">
        <f t="shared" si="3555"/>
        <v>0</v>
      </c>
      <c r="CN107" s="549">
        <f t="shared" si="3555"/>
        <v>0</v>
      </c>
      <c r="CO107" s="675">
        <f t="shared" si="3555"/>
        <v>0</v>
      </c>
      <c r="CP107" s="549">
        <f t="shared" si="3555"/>
        <v>0</v>
      </c>
      <c r="CQ107" s="675">
        <f t="shared" si="3555"/>
        <v>0</v>
      </c>
      <c r="CR107" s="549">
        <f t="shared" si="3555"/>
        <v>0</v>
      </c>
      <c r="CS107" s="675">
        <f t="shared" si="3555"/>
        <v>0</v>
      </c>
      <c r="CT107" s="549">
        <f t="shared" si="3555"/>
        <v>0</v>
      </c>
      <c r="CU107" s="675">
        <f t="shared" si="3555"/>
        <v>0</v>
      </c>
      <c r="CV107" s="549">
        <f t="shared" si="3555"/>
        <v>0</v>
      </c>
      <c r="CW107" s="675">
        <f t="shared" si="3555"/>
        <v>0</v>
      </c>
      <c r="CX107" s="549">
        <f t="shared" si="3555"/>
        <v>0</v>
      </c>
      <c r="CY107" s="675">
        <f t="shared" si="3555"/>
        <v>0</v>
      </c>
      <c r="CZ107" s="549">
        <f t="shared" si="3555"/>
        <v>19000</v>
      </c>
      <c r="DA107" s="675">
        <f t="shared" si="3555"/>
        <v>0</v>
      </c>
      <c r="DB107" s="549">
        <f t="shared" si="3555"/>
        <v>0</v>
      </c>
      <c r="DC107" s="675">
        <f t="shared" si="3555"/>
        <v>0</v>
      </c>
      <c r="DD107" s="549">
        <f t="shared" si="3555"/>
        <v>0</v>
      </c>
      <c r="DE107" s="675">
        <f t="shared" si="3555"/>
        <v>0</v>
      </c>
      <c r="DF107" s="549">
        <f t="shared" si="3555"/>
        <v>0</v>
      </c>
      <c r="DG107" s="675">
        <f t="shared" si="3555"/>
        <v>0</v>
      </c>
      <c r="DH107" s="549">
        <f t="shared" si="3555"/>
        <v>0</v>
      </c>
      <c r="DI107" s="675">
        <f t="shared" si="3555"/>
        <v>0</v>
      </c>
      <c r="DJ107" s="549">
        <f t="shared" si="3555"/>
        <v>0</v>
      </c>
      <c r="DK107" s="675">
        <f t="shared" si="3555"/>
        <v>0</v>
      </c>
      <c r="DL107" s="549">
        <f t="shared" si="3555"/>
        <v>0</v>
      </c>
      <c r="DM107" s="675">
        <f t="shared" si="3555"/>
        <v>0</v>
      </c>
      <c r="DN107" s="549">
        <f t="shared" si="3555"/>
        <v>0</v>
      </c>
      <c r="DO107" s="675">
        <f t="shared" si="3555"/>
        <v>0</v>
      </c>
      <c r="DP107" s="549">
        <f t="shared" si="3555"/>
        <v>0</v>
      </c>
      <c r="DQ107" s="675">
        <f t="shared" si="3555"/>
        <v>0</v>
      </c>
      <c r="DR107" s="549">
        <f t="shared" si="3555"/>
        <v>0</v>
      </c>
      <c r="DS107" s="675">
        <f t="shared" si="3555"/>
        <v>0</v>
      </c>
      <c r="DT107" s="549">
        <f t="shared" si="3555"/>
        <v>0</v>
      </c>
      <c r="DU107" s="675">
        <f t="shared" si="3555"/>
        <v>0</v>
      </c>
      <c r="DV107" s="549">
        <f t="shared" si="3555"/>
        <v>0</v>
      </c>
      <c r="DW107" s="675">
        <f t="shared" si="3555"/>
        <v>0</v>
      </c>
      <c r="DX107" s="549">
        <f t="shared" si="3555"/>
        <v>0</v>
      </c>
      <c r="DY107" s="675">
        <f t="shared" si="3555"/>
        <v>0</v>
      </c>
      <c r="DZ107" s="549">
        <f t="shared" si="3555"/>
        <v>0</v>
      </c>
      <c r="EA107" s="675">
        <f t="shared" si="3555"/>
        <v>0</v>
      </c>
      <c r="EB107" s="549">
        <f t="shared" si="3555"/>
        <v>0</v>
      </c>
      <c r="EC107" s="675">
        <f t="shared" si="3555"/>
        <v>0</v>
      </c>
      <c r="ED107" s="549">
        <f t="shared" ref="ED107:EE107" si="3556">SUM(ED440,ED311)</f>
        <v>0</v>
      </c>
      <c r="EE107" s="675">
        <f t="shared" si="3556"/>
        <v>0</v>
      </c>
      <c r="EF107" s="549">
        <f t="shared" ref="EF107:HV107" si="3557">SUM(EF440,EF311)</f>
        <v>0</v>
      </c>
      <c r="EG107" s="675">
        <f t="shared" si="3557"/>
        <v>0</v>
      </c>
      <c r="EH107" s="549">
        <f t="shared" si="3557"/>
        <v>0</v>
      </c>
      <c r="EI107" s="675">
        <f t="shared" si="3557"/>
        <v>0</v>
      </c>
      <c r="EJ107" s="549">
        <f t="shared" si="3557"/>
        <v>0</v>
      </c>
      <c r="EK107" s="675">
        <f t="shared" si="3557"/>
        <v>0</v>
      </c>
      <c r="EL107" s="549">
        <f t="shared" si="3557"/>
        <v>0</v>
      </c>
      <c r="EM107" s="675">
        <f t="shared" si="3557"/>
        <v>0</v>
      </c>
      <c r="EN107" s="549">
        <f t="shared" si="3557"/>
        <v>0</v>
      </c>
      <c r="EO107" s="675">
        <f t="shared" si="3557"/>
        <v>0</v>
      </c>
      <c r="EP107" s="549">
        <f t="shared" si="3557"/>
        <v>0</v>
      </c>
      <c r="EQ107" s="675">
        <f t="shared" si="3557"/>
        <v>0</v>
      </c>
      <c r="ER107" s="549">
        <f t="shared" si="3557"/>
        <v>0</v>
      </c>
      <c r="ES107" s="675">
        <f t="shared" si="3557"/>
        <v>0</v>
      </c>
      <c r="ET107" s="549">
        <f t="shared" si="3557"/>
        <v>0</v>
      </c>
      <c r="EU107" s="675">
        <f t="shared" si="3557"/>
        <v>-10000</v>
      </c>
      <c r="EV107" s="549">
        <f t="shared" si="3557"/>
        <v>0</v>
      </c>
      <c r="EW107" s="675">
        <f t="shared" si="3557"/>
        <v>0</v>
      </c>
      <c r="EX107" s="549">
        <f t="shared" si="3557"/>
        <v>0</v>
      </c>
      <c r="EY107" s="675">
        <f t="shared" si="3557"/>
        <v>0</v>
      </c>
      <c r="EZ107" s="549">
        <f t="shared" si="3557"/>
        <v>0</v>
      </c>
      <c r="FA107" s="675">
        <f t="shared" si="3557"/>
        <v>0</v>
      </c>
      <c r="FB107" s="549">
        <f t="shared" si="3557"/>
        <v>0</v>
      </c>
      <c r="FC107" s="675">
        <f t="shared" si="3557"/>
        <v>0</v>
      </c>
      <c r="FD107" s="549">
        <f t="shared" si="3557"/>
        <v>0</v>
      </c>
      <c r="FE107" s="675">
        <f t="shared" si="3557"/>
        <v>0</v>
      </c>
      <c r="FF107" s="549">
        <f t="shared" si="3557"/>
        <v>0</v>
      </c>
      <c r="FG107" s="675">
        <f t="shared" si="3557"/>
        <v>0</v>
      </c>
      <c r="FH107" s="549">
        <f t="shared" si="3557"/>
        <v>0</v>
      </c>
      <c r="FI107" s="675">
        <f t="shared" si="3557"/>
        <v>0</v>
      </c>
      <c r="FJ107" s="549">
        <f t="shared" si="3557"/>
        <v>0</v>
      </c>
      <c r="FK107" s="675">
        <f t="shared" si="3557"/>
        <v>0</v>
      </c>
      <c r="FL107" s="549">
        <f t="shared" ref="FL107:FM107" si="3558">SUM(FL440,FL311)</f>
        <v>2000</v>
      </c>
      <c r="FM107" s="675">
        <f t="shared" si="3558"/>
        <v>0</v>
      </c>
      <c r="FN107" s="549">
        <f t="shared" ref="FN107:FO107" si="3559">SUM(FN440,FN311)</f>
        <v>0</v>
      </c>
      <c r="FO107" s="675">
        <f t="shared" si="3559"/>
        <v>0</v>
      </c>
      <c r="FP107" s="549">
        <f t="shared" ref="FP107:FQ107" si="3560">SUM(FP440,FP311)</f>
        <v>0</v>
      </c>
      <c r="FQ107" s="675">
        <f t="shared" si="3560"/>
        <v>0</v>
      </c>
      <c r="FR107" s="549">
        <f t="shared" ref="FR107:FS107" si="3561">SUM(FR440,FR311)</f>
        <v>0</v>
      </c>
      <c r="FS107" s="675">
        <f t="shared" si="3561"/>
        <v>0</v>
      </c>
      <c r="FT107" s="549">
        <f t="shared" ref="FT107:FU107" si="3562">SUM(FT440,FT311)</f>
        <v>0</v>
      </c>
      <c r="FU107" s="675">
        <f t="shared" si="3562"/>
        <v>0</v>
      </c>
      <c r="FV107" s="549">
        <f t="shared" ref="FV107:GK107" si="3563">SUM(FV440,FV311)</f>
        <v>0</v>
      </c>
      <c r="FW107" s="675">
        <f t="shared" si="3563"/>
        <v>0</v>
      </c>
      <c r="FX107" s="549">
        <f t="shared" si="3563"/>
        <v>0</v>
      </c>
      <c r="FY107" s="675">
        <f t="shared" si="3563"/>
        <v>0</v>
      </c>
      <c r="FZ107" s="549">
        <f t="shared" ref="FZ107:GI107" si="3564">SUM(FZ440,FZ311)</f>
        <v>0</v>
      </c>
      <c r="GA107" s="675">
        <f t="shared" si="3564"/>
        <v>0</v>
      </c>
      <c r="GB107" s="549">
        <f t="shared" si="3564"/>
        <v>0</v>
      </c>
      <c r="GC107" s="675">
        <f t="shared" si="3564"/>
        <v>0</v>
      </c>
      <c r="GD107" s="549">
        <f t="shared" si="3564"/>
        <v>0</v>
      </c>
      <c r="GE107" s="675">
        <f t="shared" si="3564"/>
        <v>0</v>
      </c>
      <c r="GF107" s="549">
        <f t="shared" si="3564"/>
        <v>0</v>
      </c>
      <c r="GG107" s="675">
        <f t="shared" si="3564"/>
        <v>0</v>
      </c>
      <c r="GH107" s="549">
        <f t="shared" si="3564"/>
        <v>0</v>
      </c>
      <c r="GI107" s="675">
        <f t="shared" si="3564"/>
        <v>0</v>
      </c>
      <c r="GJ107" s="549">
        <f t="shared" si="3563"/>
        <v>0</v>
      </c>
      <c r="GK107" s="675">
        <f t="shared" si="3563"/>
        <v>0</v>
      </c>
      <c r="GL107" s="549">
        <f t="shared" ref="GL107:GM107" si="3565">SUM(GL440,GL311)</f>
        <v>0</v>
      </c>
      <c r="GM107" s="675">
        <f t="shared" si="3565"/>
        <v>0</v>
      </c>
      <c r="GN107" s="549">
        <f t="shared" ref="GN107:GO107" si="3566">SUM(GN440,GN311)</f>
        <v>0</v>
      </c>
      <c r="GO107" s="675">
        <f t="shared" si="3566"/>
        <v>0</v>
      </c>
      <c r="GP107" s="74">
        <f t="shared" si="3557"/>
        <v>44000</v>
      </c>
      <c r="GQ107" s="675">
        <f t="shared" si="3557"/>
        <v>-10000</v>
      </c>
      <c r="GR107" s="74">
        <f t="shared" si="3557"/>
        <v>88400</v>
      </c>
      <c r="GS107" s="74">
        <f t="shared" si="3557"/>
        <v>88400</v>
      </c>
      <c r="GT107" s="74">
        <f t="shared" si="3557"/>
        <v>88400</v>
      </c>
      <c r="GU107" s="74">
        <f t="shared" si="3557"/>
        <v>5440</v>
      </c>
      <c r="GV107" s="74">
        <f t="shared" si="3557"/>
        <v>5440</v>
      </c>
      <c r="GW107" s="74">
        <f t="shared" si="3557"/>
        <v>5440</v>
      </c>
      <c r="GX107" s="74">
        <f t="shared" si="3557"/>
        <v>5440</v>
      </c>
      <c r="GY107" s="74">
        <f t="shared" si="3557"/>
        <v>5440</v>
      </c>
      <c r="GZ107" s="74">
        <f t="shared" si="3557"/>
        <v>5440</v>
      </c>
      <c r="HA107" s="74">
        <f t="shared" si="3557"/>
        <v>5440</v>
      </c>
      <c r="HB107" s="74">
        <f t="shared" si="3557"/>
        <v>5440</v>
      </c>
      <c r="HC107" s="74">
        <f t="shared" si="3557"/>
        <v>5440</v>
      </c>
      <c r="HD107" s="74">
        <f t="shared" si="3557"/>
        <v>5440</v>
      </c>
      <c r="HE107" s="74">
        <f t="shared" si="3557"/>
        <v>0</v>
      </c>
      <c r="HF107" s="74">
        <f t="shared" si="3557"/>
        <v>0</v>
      </c>
      <c r="HG107" s="74">
        <f t="shared" si="3557"/>
        <v>88400</v>
      </c>
      <c r="HH107" s="74">
        <f t="shared" si="3557"/>
        <v>5440</v>
      </c>
      <c r="HI107" s="74">
        <f t="shared" si="3557"/>
        <v>0</v>
      </c>
      <c r="HJ107" s="74">
        <f t="shared" si="3557"/>
        <v>5440</v>
      </c>
      <c r="HK107" s="74">
        <f t="shared" si="3557"/>
        <v>0</v>
      </c>
      <c r="HL107" s="74">
        <f t="shared" si="3557"/>
        <v>8440</v>
      </c>
      <c r="HM107" s="74">
        <f t="shared" si="3557"/>
        <v>0</v>
      </c>
      <c r="HN107" s="74">
        <f t="shared" si="3557"/>
        <v>5440</v>
      </c>
      <c r="HO107" s="74">
        <f t="shared" si="3557"/>
        <v>0</v>
      </c>
      <c r="HP107" s="74">
        <f t="shared" si="3557"/>
        <v>25440</v>
      </c>
      <c r="HQ107" s="74">
        <f t="shared" si="3557"/>
        <v>0</v>
      </c>
      <c r="HR107" s="74">
        <f t="shared" si="3557"/>
        <v>0</v>
      </c>
      <c r="HS107" s="74">
        <f t="shared" si="3557"/>
        <v>0</v>
      </c>
      <c r="HT107" s="74">
        <f t="shared" si="3557"/>
        <v>29880</v>
      </c>
      <c r="HU107" s="74">
        <f t="shared" si="3557"/>
        <v>0</v>
      </c>
      <c r="HV107" s="74">
        <f t="shared" si="3557"/>
        <v>5440</v>
      </c>
      <c r="HW107" s="74">
        <f t="shared" ref="HW107:JT107" si="3567">SUM(HW440,HW311)</f>
        <v>0</v>
      </c>
      <c r="HX107" s="74">
        <f t="shared" si="3567"/>
        <v>-4560</v>
      </c>
      <c r="HY107" s="74">
        <f t="shared" si="3567"/>
        <v>0</v>
      </c>
      <c r="HZ107" s="74">
        <f t="shared" si="3567"/>
        <v>7440</v>
      </c>
      <c r="IA107" s="74">
        <f t="shared" si="3567"/>
        <v>0</v>
      </c>
      <c r="IB107" s="74">
        <f t="shared" si="3567"/>
        <v>0</v>
      </c>
      <c r="IC107" s="74">
        <f t="shared" si="3567"/>
        <v>0</v>
      </c>
      <c r="ID107" s="74">
        <f t="shared" si="3567"/>
        <v>0</v>
      </c>
      <c r="IE107" s="792">
        <f t="shared" si="3567"/>
        <v>0</v>
      </c>
      <c r="IF107" s="841">
        <f t="shared" si="3567"/>
        <v>84040.34</v>
      </c>
      <c r="IG107" s="263">
        <f t="shared" si="3567"/>
        <v>84040.34</v>
      </c>
      <c r="IH107" s="842">
        <f t="shared" si="3567"/>
        <v>84040.34</v>
      </c>
      <c r="II107" s="155">
        <f t="shared" si="3567"/>
        <v>3488.3</v>
      </c>
      <c r="IJ107" s="74">
        <f t="shared" si="3567"/>
        <v>3488.3</v>
      </c>
      <c r="IK107" s="74">
        <f t="shared" si="3567"/>
        <v>3488.3</v>
      </c>
      <c r="IL107" s="74">
        <f t="shared" si="3567"/>
        <v>5080.55</v>
      </c>
      <c r="IM107" s="74">
        <f t="shared" si="3567"/>
        <v>5080.55</v>
      </c>
      <c r="IN107" s="74">
        <f t="shared" si="3567"/>
        <v>5080.55</v>
      </c>
      <c r="IO107" s="74">
        <f t="shared" si="3567"/>
        <v>1905.6099999999988</v>
      </c>
      <c r="IP107" s="74">
        <f t="shared" si="3567"/>
        <v>1905.6099999999988</v>
      </c>
      <c r="IQ107" s="74">
        <f t="shared" si="3567"/>
        <v>1905.6099999999988</v>
      </c>
      <c r="IR107" s="74">
        <f t="shared" si="3567"/>
        <v>6294.18</v>
      </c>
      <c r="IS107" s="74">
        <f t="shared" si="3567"/>
        <v>6294.18</v>
      </c>
      <c r="IT107" s="74">
        <f t="shared" si="3567"/>
        <v>6294.18</v>
      </c>
      <c r="IU107" s="74">
        <f t="shared" si="3567"/>
        <v>10937.89</v>
      </c>
      <c r="IV107" s="74">
        <f t="shared" si="3567"/>
        <v>10937.89</v>
      </c>
      <c r="IW107" s="74">
        <f t="shared" si="3567"/>
        <v>10937.89</v>
      </c>
      <c r="IX107" s="74">
        <f t="shared" si="3567"/>
        <v>22385.4</v>
      </c>
      <c r="IY107" s="74">
        <f t="shared" si="3567"/>
        <v>22385.4</v>
      </c>
      <c r="IZ107" s="74">
        <f t="shared" si="3567"/>
        <v>22385.4</v>
      </c>
      <c r="JA107" s="74">
        <f t="shared" si="3567"/>
        <v>568.27999999999884</v>
      </c>
      <c r="JB107" s="74">
        <f t="shared" si="3567"/>
        <v>568.27999999999884</v>
      </c>
      <c r="JC107" s="74">
        <f t="shared" si="3567"/>
        <v>568.27999999999884</v>
      </c>
      <c r="JD107" s="74">
        <f t="shared" si="3567"/>
        <v>20522.610000000008</v>
      </c>
      <c r="JE107" s="74">
        <f t="shared" si="3567"/>
        <v>20522.610000000008</v>
      </c>
      <c r="JF107" s="74">
        <f t="shared" si="3567"/>
        <v>20522.610000000008</v>
      </c>
      <c r="JG107" s="74">
        <f t="shared" si="3567"/>
        <v>4928.9099999999889</v>
      </c>
      <c r="JH107" s="74">
        <f t="shared" si="3567"/>
        <v>4928.9099999999889</v>
      </c>
      <c r="JI107" s="74">
        <f t="shared" si="3567"/>
        <v>4928.9099999999889</v>
      </c>
      <c r="JJ107" s="74">
        <f t="shared" si="3567"/>
        <v>7928.6100000000006</v>
      </c>
      <c r="JK107" s="74">
        <f t="shared" si="3567"/>
        <v>7928.6100000000006</v>
      </c>
      <c r="JL107" s="74">
        <f t="shared" si="3567"/>
        <v>7928.6100000000006</v>
      </c>
      <c r="JM107" s="74">
        <f t="shared" si="3567"/>
        <v>0</v>
      </c>
      <c r="JN107" s="74">
        <f t="shared" si="3567"/>
        <v>0</v>
      </c>
      <c r="JO107" s="74">
        <f t="shared" si="3567"/>
        <v>0</v>
      </c>
      <c r="JP107" s="74">
        <f t="shared" si="3567"/>
        <v>0</v>
      </c>
      <c r="JQ107" s="74">
        <f t="shared" si="3567"/>
        <v>0</v>
      </c>
      <c r="JR107" s="74">
        <f t="shared" si="3567"/>
        <v>0</v>
      </c>
      <c r="JS107" s="74">
        <f t="shared" si="3567"/>
        <v>4359.6600000000035</v>
      </c>
      <c r="JT107" s="74">
        <f t="shared" si="3567"/>
        <v>4359.6600000000035</v>
      </c>
      <c r="JU107" s="671"/>
      <c r="JV107" s="492"/>
      <c r="JW107" s="490"/>
      <c r="JX107" s="74">
        <f>SUM(JX440,JX311)</f>
        <v>88400</v>
      </c>
      <c r="JY107" s="74">
        <f>SUM(JY440,JY311)</f>
        <v>0</v>
      </c>
      <c r="JZ107" s="581">
        <f t="shared" si="2110"/>
        <v>44000</v>
      </c>
      <c r="KA107" s="581">
        <f t="shared" si="2111"/>
        <v>-10000</v>
      </c>
      <c r="KB107" s="74">
        <f>SUM(KB440,KB311)</f>
        <v>88400</v>
      </c>
      <c r="KC107" s="709">
        <f t="shared" si="2079"/>
        <v>0</v>
      </c>
      <c r="KD107" s="36"/>
      <c r="KE107" s="36"/>
      <c r="KF107" s="36"/>
      <c r="KG107" s="36"/>
      <c r="KH107" s="36"/>
      <c r="KI107" s="36"/>
      <c r="KJ107" s="36"/>
      <c r="KK107" s="36"/>
    </row>
    <row r="108" spans="1:297" s="8" customFormat="1">
      <c r="A108" s="75" t="s">
        <v>130</v>
      </c>
      <c r="B108" s="72" t="s">
        <v>131</v>
      </c>
      <c r="C108" s="74">
        <f t="shared" ref="C108:AS108" si="3568">SUM(C441)</f>
        <v>26600</v>
      </c>
      <c r="D108" s="549">
        <f t="shared" si="3568"/>
        <v>0</v>
      </c>
      <c r="E108" s="675">
        <f t="shared" si="3568"/>
        <v>0</v>
      </c>
      <c r="F108" s="549">
        <f t="shared" si="3568"/>
        <v>0</v>
      </c>
      <c r="G108" s="675">
        <f t="shared" si="3568"/>
        <v>0</v>
      </c>
      <c r="H108" s="549">
        <f t="shared" si="3568"/>
        <v>0</v>
      </c>
      <c r="I108" s="675">
        <f t="shared" si="3568"/>
        <v>0</v>
      </c>
      <c r="J108" s="549">
        <f t="shared" si="3568"/>
        <v>0</v>
      </c>
      <c r="K108" s="675">
        <f t="shared" si="3568"/>
        <v>0</v>
      </c>
      <c r="L108" s="549">
        <f t="shared" si="3568"/>
        <v>0</v>
      </c>
      <c r="M108" s="675">
        <f t="shared" si="3568"/>
        <v>0</v>
      </c>
      <c r="N108" s="549">
        <f t="shared" si="3568"/>
        <v>0</v>
      </c>
      <c r="O108" s="675">
        <f t="shared" si="3568"/>
        <v>0</v>
      </c>
      <c r="P108" s="549">
        <f t="shared" si="3568"/>
        <v>0</v>
      </c>
      <c r="Q108" s="675">
        <f t="shared" si="3568"/>
        <v>0</v>
      </c>
      <c r="R108" s="549">
        <f t="shared" si="3568"/>
        <v>0</v>
      </c>
      <c r="S108" s="675">
        <f t="shared" si="3568"/>
        <v>0</v>
      </c>
      <c r="T108" s="549">
        <f t="shared" si="3568"/>
        <v>0</v>
      </c>
      <c r="U108" s="675">
        <f t="shared" si="3568"/>
        <v>0</v>
      </c>
      <c r="V108" s="549">
        <f t="shared" si="3568"/>
        <v>0</v>
      </c>
      <c r="W108" s="675">
        <f t="shared" si="3568"/>
        <v>-5000</v>
      </c>
      <c r="X108" s="549">
        <f t="shared" si="3568"/>
        <v>0</v>
      </c>
      <c r="Y108" s="675">
        <f t="shared" si="3568"/>
        <v>0</v>
      </c>
      <c r="Z108" s="549">
        <f t="shared" si="3568"/>
        <v>0</v>
      </c>
      <c r="AA108" s="675">
        <f t="shared" si="3568"/>
        <v>0</v>
      </c>
      <c r="AB108" s="549">
        <f t="shared" si="3568"/>
        <v>0</v>
      </c>
      <c r="AC108" s="675">
        <f t="shared" si="3568"/>
        <v>0</v>
      </c>
      <c r="AD108" s="549">
        <f t="shared" si="3568"/>
        <v>0</v>
      </c>
      <c r="AE108" s="675">
        <f t="shared" si="3568"/>
        <v>0</v>
      </c>
      <c r="AF108" s="549">
        <f t="shared" si="3568"/>
        <v>0</v>
      </c>
      <c r="AG108" s="675">
        <f t="shared" si="3568"/>
        <v>-2000</v>
      </c>
      <c r="AH108" s="549">
        <f t="shared" si="3568"/>
        <v>0</v>
      </c>
      <c r="AI108" s="675">
        <f t="shared" si="3568"/>
        <v>0</v>
      </c>
      <c r="AJ108" s="549">
        <f t="shared" si="3568"/>
        <v>0</v>
      </c>
      <c r="AK108" s="675">
        <f t="shared" si="3568"/>
        <v>0</v>
      </c>
      <c r="AL108" s="549">
        <f t="shared" si="3568"/>
        <v>0</v>
      </c>
      <c r="AM108" s="675">
        <f t="shared" si="3568"/>
        <v>0</v>
      </c>
      <c r="AN108" s="549">
        <f t="shared" si="3568"/>
        <v>0</v>
      </c>
      <c r="AO108" s="675">
        <f t="shared" si="3568"/>
        <v>0</v>
      </c>
      <c r="AP108" s="549">
        <f t="shared" si="3568"/>
        <v>0</v>
      </c>
      <c r="AQ108" s="675">
        <f t="shared" si="3568"/>
        <v>0</v>
      </c>
      <c r="AR108" s="549">
        <f t="shared" si="3568"/>
        <v>0</v>
      </c>
      <c r="AS108" s="675">
        <f t="shared" si="3568"/>
        <v>0</v>
      </c>
      <c r="AT108" s="549">
        <f t="shared" ref="AT108:AU108" si="3569">SUM(AT441)</f>
        <v>0</v>
      </c>
      <c r="AU108" s="675">
        <f t="shared" si="3569"/>
        <v>0</v>
      </c>
      <c r="AV108" s="549">
        <f t="shared" ref="AV108:AW108" si="3570">SUM(AV441)</f>
        <v>0</v>
      </c>
      <c r="AW108" s="675">
        <f t="shared" si="3570"/>
        <v>0</v>
      </c>
      <c r="AX108" s="549">
        <f t="shared" ref="AX108:AY108" si="3571">SUM(AX441)</f>
        <v>0</v>
      </c>
      <c r="AY108" s="675">
        <f t="shared" si="3571"/>
        <v>0</v>
      </c>
      <c r="AZ108" s="549">
        <f t="shared" ref="AZ108:BA108" si="3572">SUM(AZ441)</f>
        <v>0</v>
      </c>
      <c r="BA108" s="675">
        <f t="shared" si="3572"/>
        <v>-6000</v>
      </c>
      <c r="BB108" s="549">
        <f t="shared" ref="BB108:BC108" si="3573">SUM(BB441)</f>
        <v>0</v>
      </c>
      <c r="BC108" s="675">
        <f t="shared" si="3573"/>
        <v>0</v>
      </c>
      <c r="BD108" s="549">
        <f t="shared" ref="BD108:BE108" si="3574">SUM(BD441)</f>
        <v>0</v>
      </c>
      <c r="BE108" s="675">
        <f t="shared" si="3574"/>
        <v>0</v>
      </c>
      <c r="BF108" s="549">
        <f t="shared" ref="BF108:BG108" si="3575">SUM(BF441)</f>
        <v>0</v>
      </c>
      <c r="BG108" s="675">
        <f t="shared" si="3575"/>
        <v>0</v>
      </c>
      <c r="BH108" s="549">
        <f t="shared" ref="BH108:BI108" si="3576">SUM(BH441)</f>
        <v>0</v>
      </c>
      <c r="BI108" s="675">
        <f t="shared" si="3576"/>
        <v>0</v>
      </c>
      <c r="BJ108" s="549">
        <f t="shared" ref="BJ108:BK108" si="3577">SUM(BJ441)</f>
        <v>0</v>
      </c>
      <c r="BK108" s="675">
        <f t="shared" si="3577"/>
        <v>0</v>
      </c>
      <c r="BL108" s="549">
        <f t="shared" ref="BL108:BS108" si="3578">SUM(BL441)</f>
        <v>0</v>
      </c>
      <c r="BM108" s="675">
        <f t="shared" si="3578"/>
        <v>0</v>
      </c>
      <c r="BN108" s="549">
        <f t="shared" si="3578"/>
        <v>0</v>
      </c>
      <c r="BO108" s="675">
        <f t="shared" si="3578"/>
        <v>0</v>
      </c>
      <c r="BP108" s="549">
        <f t="shared" si="3578"/>
        <v>0</v>
      </c>
      <c r="BQ108" s="675">
        <f t="shared" si="3578"/>
        <v>0</v>
      </c>
      <c r="BR108" s="549">
        <f t="shared" si="3578"/>
        <v>0</v>
      </c>
      <c r="BS108" s="675">
        <f t="shared" si="3578"/>
        <v>0</v>
      </c>
      <c r="BT108" s="549">
        <f t="shared" ref="BT108:BU108" si="3579">SUM(BT441)</f>
        <v>0</v>
      </c>
      <c r="BU108" s="675">
        <f t="shared" si="3579"/>
        <v>0</v>
      </c>
      <c r="BV108" s="549">
        <f t="shared" ref="BV108:BW108" si="3580">SUM(BV441)</f>
        <v>0</v>
      </c>
      <c r="BW108" s="675">
        <f t="shared" si="3580"/>
        <v>0</v>
      </c>
      <c r="BX108" s="549">
        <f t="shared" ref="BX108:BY108" si="3581">SUM(BX441)</f>
        <v>0</v>
      </c>
      <c r="BY108" s="675">
        <f t="shared" si="3581"/>
        <v>0</v>
      </c>
      <c r="BZ108" s="549">
        <f t="shared" ref="BZ108:CA108" si="3582">SUM(BZ441)</f>
        <v>0</v>
      </c>
      <c r="CA108" s="675">
        <f t="shared" si="3582"/>
        <v>0</v>
      </c>
      <c r="CB108" s="549">
        <f t="shared" ref="CB108:CE108" si="3583">SUM(CB441)</f>
        <v>0</v>
      </c>
      <c r="CC108" s="675">
        <f t="shared" si="3583"/>
        <v>0</v>
      </c>
      <c r="CD108" s="549">
        <f t="shared" si="3583"/>
        <v>0</v>
      </c>
      <c r="CE108" s="675">
        <f t="shared" si="3583"/>
        <v>0</v>
      </c>
      <c r="CF108" s="549">
        <f t="shared" ref="CF108:CG108" si="3584">SUM(CF441)</f>
        <v>0</v>
      </c>
      <c r="CG108" s="675">
        <f t="shared" si="3584"/>
        <v>0</v>
      </c>
      <c r="CH108" s="549">
        <f t="shared" ref="CH108:CQ108" si="3585">SUM(CH441)</f>
        <v>0</v>
      </c>
      <c r="CI108" s="675">
        <f t="shared" si="3585"/>
        <v>-2000</v>
      </c>
      <c r="CJ108" s="549">
        <f t="shared" si="3585"/>
        <v>0</v>
      </c>
      <c r="CK108" s="675">
        <f t="shared" si="3585"/>
        <v>-964</v>
      </c>
      <c r="CL108" s="549">
        <f t="shared" si="3585"/>
        <v>0</v>
      </c>
      <c r="CM108" s="675">
        <f t="shared" si="3585"/>
        <v>-5000</v>
      </c>
      <c r="CN108" s="549">
        <f t="shared" si="3585"/>
        <v>0</v>
      </c>
      <c r="CO108" s="675">
        <f t="shared" si="3585"/>
        <v>0</v>
      </c>
      <c r="CP108" s="549">
        <f t="shared" si="3585"/>
        <v>0</v>
      </c>
      <c r="CQ108" s="675">
        <f t="shared" si="3585"/>
        <v>0</v>
      </c>
      <c r="CR108" s="549">
        <f t="shared" ref="CR108:CY108" si="3586">SUM(CR441)</f>
        <v>0</v>
      </c>
      <c r="CS108" s="675">
        <f t="shared" si="3586"/>
        <v>0</v>
      </c>
      <c r="CT108" s="549">
        <f t="shared" si="3586"/>
        <v>0</v>
      </c>
      <c r="CU108" s="675">
        <f t="shared" si="3586"/>
        <v>0</v>
      </c>
      <c r="CV108" s="549">
        <f t="shared" si="3586"/>
        <v>0</v>
      </c>
      <c r="CW108" s="675">
        <f t="shared" si="3586"/>
        <v>0</v>
      </c>
      <c r="CX108" s="549">
        <f t="shared" si="3586"/>
        <v>0</v>
      </c>
      <c r="CY108" s="675">
        <f t="shared" si="3586"/>
        <v>0</v>
      </c>
      <c r="CZ108" s="549">
        <f t="shared" ref="CZ108:DI108" si="3587">SUM(CZ441)</f>
        <v>0</v>
      </c>
      <c r="DA108" s="675">
        <f t="shared" si="3587"/>
        <v>-1000</v>
      </c>
      <c r="DB108" s="549">
        <f t="shared" si="3587"/>
        <v>0</v>
      </c>
      <c r="DC108" s="675">
        <f t="shared" si="3587"/>
        <v>0</v>
      </c>
      <c r="DD108" s="549">
        <f t="shared" si="3587"/>
        <v>0</v>
      </c>
      <c r="DE108" s="675">
        <f t="shared" si="3587"/>
        <v>0</v>
      </c>
      <c r="DF108" s="549">
        <f t="shared" si="3587"/>
        <v>0</v>
      </c>
      <c r="DG108" s="675">
        <f t="shared" si="3587"/>
        <v>0</v>
      </c>
      <c r="DH108" s="549">
        <f t="shared" si="3587"/>
        <v>0</v>
      </c>
      <c r="DI108" s="675">
        <f t="shared" si="3587"/>
        <v>0</v>
      </c>
      <c r="DJ108" s="549">
        <f t="shared" ref="DJ108:DK108" si="3588">SUM(DJ441)</f>
        <v>0</v>
      </c>
      <c r="DK108" s="675">
        <f t="shared" si="3588"/>
        <v>0</v>
      </c>
      <c r="DL108" s="549">
        <f t="shared" ref="DL108:DM108" si="3589">SUM(DL441)</f>
        <v>0</v>
      </c>
      <c r="DM108" s="675">
        <f t="shared" si="3589"/>
        <v>0</v>
      </c>
      <c r="DN108" s="549">
        <f t="shared" ref="DN108:DW108" si="3590">SUM(DN441)</f>
        <v>0</v>
      </c>
      <c r="DO108" s="675">
        <f t="shared" si="3590"/>
        <v>0</v>
      </c>
      <c r="DP108" s="549">
        <f t="shared" si="3590"/>
        <v>0</v>
      </c>
      <c r="DQ108" s="675">
        <f t="shared" si="3590"/>
        <v>0</v>
      </c>
      <c r="DR108" s="549">
        <f t="shared" si="3590"/>
        <v>0</v>
      </c>
      <c r="DS108" s="675">
        <f t="shared" si="3590"/>
        <v>0</v>
      </c>
      <c r="DT108" s="549">
        <f t="shared" si="3590"/>
        <v>0</v>
      </c>
      <c r="DU108" s="675">
        <f t="shared" si="3590"/>
        <v>0</v>
      </c>
      <c r="DV108" s="549">
        <f t="shared" si="3590"/>
        <v>0</v>
      </c>
      <c r="DW108" s="675">
        <f t="shared" si="3590"/>
        <v>0</v>
      </c>
      <c r="DX108" s="549">
        <f t="shared" ref="DX108:EG108" si="3591">SUM(DX441)</f>
        <v>0</v>
      </c>
      <c r="DY108" s="675">
        <f t="shared" si="3591"/>
        <v>0</v>
      </c>
      <c r="DZ108" s="549">
        <f t="shared" si="3591"/>
        <v>0</v>
      </c>
      <c r="EA108" s="675">
        <f t="shared" si="3591"/>
        <v>0</v>
      </c>
      <c r="EB108" s="549">
        <f t="shared" si="3591"/>
        <v>0</v>
      </c>
      <c r="EC108" s="675">
        <f t="shared" si="3591"/>
        <v>0</v>
      </c>
      <c r="ED108" s="549">
        <f t="shared" si="3591"/>
        <v>0</v>
      </c>
      <c r="EE108" s="675">
        <f t="shared" si="3591"/>
        <v>0</v>
      </c>
      <c r="EF108" s="549">
        <f t="shared" si="3591"/>
        <v>0</v>
      </c>
      <c r="EG108" s="675">
        <f t="shared" si="3591"/>
        <v>0</v>
      </c>
      <c r="EH108" s="549">
        <f t="shared" ref="EH108:EM108" si="3592">SUM(EH441)</f>
        <v>0</v>
      </c>
      <c r="EI108" s="675">
        <f t="shared" si="3592"/>
        <v>0</v>
      </c>
      <c r="EJ108" s="549">
        <f t="shared" si="3592"/>
        <v>0</v>
      </c>
      <c r="EK108" s="675">
        <f t="shared" si="3592"/>
        <v>0</v>
      </c>
      <c r="EL108" s="549">
        <f t="shared" si="3592"/>
        <v>0</v>
      </c>
      <c r="EM108" s="675">
        <f t="shared" si="3592"/>
        <v>0</v>
      </c>
      <c r="EN108" s="549">
        <f t="shared" ref="EN108:EO108" si="3593">SUM(EN441)</f>
        <v>0</v>
      </c>
      <c r="EO108" s="675">
        <f t="shared" si="3593"/>
        <v>0</v>
      </c>
      <c r="EP108" s="549">
        <f t="shared" ref="EP108:FA108" si="3594">SUM(EP441)</f>
        <v>0</v>
      </c>
      <c r="EQ108" s="675">
        <f t="shared" si="3594"/>
        <v>0</v>
      </c>
      <c r="ER108" s="549">
        <f t="shared" si="3594"/>
        <v>0</v>
      </c>
      <c r="ES108" s="675">
        <f t="shared" si="3594"/>
        <v>0</v>
      </c>
      <c r="ET108" s="549">
        <f t="shared" si="3594"/>
        <v>0</v>
      </c>
      <c r="EU108" s="675">
        <f t="shared" si="3594"/>
        <v>-1000</v>
      </c>
      <c r="EV108" s="549">
        <f t="shared" ref="EV108:EW108" si="3595">SUM(EV441)</f>
        <v>0</v>
      </c>
      <c r="EW108" s="675">
        <f t="shared" si="3595"/>
        <v>-1000</v>
      </c>
      <c r="EX108" s="549">
        <f t="shared" si="3594"/>
        <v>0</v>
      </c>
      <c r="EY108" s="675">
        <f t="shared" si="3594"/>
        <v>0</v>
      </c>
      <c r="EZ108" s="549">
        <f t="shared" si="3594"/>
        <v>0</v>
      </c>
      <c r="FA108" s="675">
        <f t="shared" si="3594"/>
        <v>0</v>
      </c>
      <c r="FB108" s="549">
        <f t="shared" ref="FB108:FC108" si="3596">SUM(FB441)</f>
        <v>0</v>
      </c>
      <c r="FC108" s="675">
        <f t="shared" si="3596"/>
        <v>0</v>
      </c>
      <c r="FD108" s="549">
        <f t="shared" ref="FD108:FE108" si="3597">SUM(FD441)</f>
        <v>0</v>
      </c>
      <c r="FE108" s="675">
        <f t="shared" si="3597"/>
        <v>0</v>
      </c>
      <c r="FF108" s="549">
        <f t="shared" ref="FF108:FG108" si="3598">SUM(FF441)</f>
        <v>0</v>
      </c>
      <c r="FG108" s="675">
        <f t="shared" si="3598"/>
        <v>0</v>
      </c>
      <c r="FH108" s="549">
        <f t="shared" ref="FH108:FI108" si="3599">SUM(FH441)</f>
        <v>0</v>
      </c>
      <c r="FI108" s="675">
        <f t="shared" si="3599"/>
        <v>0</v>
      </c>
      <c r="FJ108" s="549">
        <f t="shared" ref="FJ108:FK108" si="3600">SUM(FJ441)</f>
        <v>0</v>
      </c>
      <c r="FK108" s="675">
        <f t="shared" si="3600"/>
        <v>0</v>
      </c>
      <c r="FL108" s="549">
        <f t="shared" ref="FL108:FM108" si="3601">SUM(FL441)</f>
        <v>0</v>
      </c>
      <c r="FM108" s="675">
        <f t="shared" si="3601"/>
        <v>0</v>
      </c>
      <c r="FN108" s="549">
        <f t="shared" ref="FN108:FO108" si="3602">SUM(FN441)</f>
        <v>0</v>
      </c>
      <c r="FO108" s="675">
        <f t="shared" si="3602"/>
        <v>0</v>
      </c>
      <c r="FP108" s="549">
        <f t="shared" ref="FP108:FQ108" si="3603">SUM(FP441)</f>
        <v>0</v>
      </c>
      <c r="FQ108" s="675">
        <f t="shared" si="3603"/>
        <v>0</v>
      </c>
      <c r="FR108" s="549">
        <f t="shared" ref="FR108:FS108" si="3604">SUM(FR441)</f>
        <v>0</v>
      </c>
      <c r="FS108" s="675">
        <f t="shared" si="3604"/>
        <v>0</v>
      </c>
      <c r="FT108" s="549">
        <f t="shared" ref="FT108:FU108" si="3605">SUM(FT441)</f>
        <v>0</v>
      </c>
      <c r="FU108" s="675">
        <f t="shared" si="3605"/>
        <v>0</v>
      </c>
      <c r="FV108" s="549">
        <f t="shared" ref="FV108:GK108" si="3606">SUM(FV441)</f>
        <v>0</v>
      </c>
      <c r="FW108" s="675">
        <f t="shared" si="3606"/>
        <v>0</v>
      </c>
      <c r="FX108" s="549">
        <f t="shared" si="3606"/>
        <v>0</v>
      </c>
      <c r="FY108" s="675">
        <f t="shared" si="3606"/>
        <v>0</v>
      </c>
      <c r="FZ108" s="549">
        <f t="shared" ref="FZ108:GI108" si="3607">SUM(FZ441)</f>
        <v>0</v>
      </c>
      <c r="GA108" s="675">
        <f t="shared" si="3607"/>
        <v>0</v>
      </c>
      <c r="GB108" s="549">
        <f t="shared" si="3607"/>
        <v>0</v>
      </c>
      <c r="GC108" s="675">
        <f t="shared" si="3607"/>
        <v>0</v>
      </c>
      <c r="GD108" s="549">
        <f t="shared" si="3607"/>
        <v>0</v>
      </c>
      <c r="GE108" s="675">
        <f t="shared" si="3607"/>
        <v>0</v>
      </c>
      <c r="GF108" s="549">
        <f t="shared" si="3607"/>
        <v>0</v>
      </c>
      <c r="GG108" s="675">
        <f t="shared" si="3607"/>
        <v>0</v>
      </c>
      <c r="GH108" s="549">
        <f t="shared" si="3607"/>
        <v>0</v>
      </c>
      <c r="GI108" s="675">
        <f t="shared" si="3607"/>
        <v>0</v>
      </c>
      <c r="GJ108" s="549">
        <f t="shared" si="3606"/>
        <v>0</v>
      </c>
      <c r="GK108" s="675">
        <f t="shared" si="3606"/>
        <v>0</v>
      </c>
      <c r="GL108" s="549">
        <f t="shared" ref="GL108:GQ108" si="3608">SUM(GL441)</f>
        <v>0</v>
      </c>
      <c r="GM108" s="675">
        <f t="shared" si="3608"/>
        <v>0</v>
      </c>
      <c r="GN108" s="549">
        <f t="shared" ref="GN108:GO108" si="3609">SUM(GN441)</f>
        <v>0</v>
      </c>
      <c r="GO108" s="675">
        <f t="shared" si="3609"/>
        <v>0</v>
      </c>
      <c r="GP108" s="74">
        <f t="shared" si="3608"/>
        <v>0</v>
      </c>
      <c r="GQ108" s="675">
        <f t="shared" si="3608"/>
        <v>-23964</v>
      </c>
      <c r="GR108" s="74">
        <f t="shared" ref="GR108:HK108" si="3610">SUM(GR441)</f>
        <v>2636</v>
      </c>
      <c r="GS108" s="74">
        <f t="shared" si="3610"/>
        <v>2636</v>
      </c>
      <c r="GT108" s="74">
        <f t="shared" si="3610"/>
        <v>2636</v>
      </c>
      <c r="GU108" s="74">
        <f t="shared" si="3610"/>
        <v>0</v>
      </c>
      <c r="GV108" s="74">
        <f t="shared" si="3610"/>
        <v>8868</v>
      </c>
      <c r="GW108" s="74">
        <f t="shared" si="3610"/>
        <v>0</v>
      </c>
      <c r="GX108" s="74">
        <f t="shared" si="3610"/>
        <v>8866</v>
      </c>
      <c r="GY108" s="74">
        <f t="shared" si="3610"/>
        <v>0</v>
      </c>
      <c r="GZ108" s="74">
        <f t="shared" si="3610"/>
        <v>0</v>
      </c>
      <c r="HA108" s="74">
        <f t="shared" si="3610"/>
        <v>8866</v>
      </c>
      <c r="HB108" s="74">
        <f t="shared" si="3610"/>
        <v>0</v>
      </c>
      <c r="HC108" s="74">
        <f t="shared" si="3610"/>
        <v>0</v>
      </c>
      <c r="HD108" s="74">
        <f t="shared" si="3610"/>
        <v>0</v>
      </c>
      <c r="HE108" s="74">
        <f t="shared" si="3610"/>
        <v>0</v>
      </c>
      <c r="HF108" s="74">
        <f t="shared" si="3610"/>
        <v>0</v>
      </c>
      <c r="HG108" s="74">
        <f t="shared" si="3610"/>
        <v>2636</v>
      </c>
      <c r="HH108" s="74">
        <f t="shared" si="3610"/>
        <v>0</v>
      </c>
      <c r="HI108" s="74">
        <f t="shared" si="3610"/>
        <v>0</v>
      </c>
      <c r="HJ108" s="74">
        <f t="shared" si="3610"/>
        <v>8868</v>
      </c>
      <c r="HK108" s="74">
        <f t="shared" si="3610"/>
        <v>0</v>
      </c>
      <c r="HL108" s="74">
        <f t="shared" ref="HL108:JT108" si="3611">SUM(HL441)</f>
        <v>-7000</v>
      </c>
      <c r="HM108" s="74">
        <f t="shared" si="3611"/>
        <v>0</v>
      </c>
      <c r="HN108" s="74">
        <f t="shared" si="3611"/>
        <v>8866</v>
      </c>
      <c r="HO108" s="74">
        <f t="shared" si="3611"/>
        <v>0</v>
      </c>
      <c r="HP108" s="74">
        <f t="shared" si="3611"/>
        <v>-6000</v>
      </c>
      <c r="HQ108" s="74">
        <f t="shared" si="3611"/>
        <v>0</v>
      </c>
      <c r="HR108" s="74">
        <f t="shared" si="3611"/>
        <v>-2000</v>
      </c>
      <c r="HS108" s="74">
        <f t="shared" si="3611"/>
        <v>0</v>
      </c>
      <c r="HT108" s="74">
        <f t="shared" si="3611"/>
        <v>1000</v>
      </c>
      <c r="HU108" s="74">
        <f t="shared" si="3611"/>
        <v>0</v>
      </c>
      <c r="HV108" s="74">
        <f t="shared" si="3611"/>
        <v>0</v>
      </c>
      <c r="HW108" s="74">
        <f t="shared" si="3611"/>
        <v>0</v>
      </c>
      <c r="HX108" s="74">
        <f t="shared" si="3611"/>
        <v>-1098</v>
      </c>
      <c r="HY108" s="74">
        <f t="shared" si="3611"/>
        <v>0</v>
      </c>
      <c r="HZ108" s="74">
        <f t="shared" si="3611"/>
        <v>0</v>
      </c>
      <c r="IA108" s="74">
        <f t="shared" si="3611"/>
        <v>0</v>
      </c>
      <c r="IB108" s="74">
        <f t="shared" si="3611"/>
        <v>0</v>
      </c>
      <c r="IC108" s="74">
        <f t="shared" si="3611"/>
        <v>0</v>
      </c>
      <c r="ID108" s="74">
        <f t="shared" si="3611"/>
        <v>0</v>
      </c>
      <c r="IE108" s="792">
        <f t="shared" si="3611"/>
        <v>0</v>
      </c>
      <c r="IF108" s="841">
        <f t="shared" si="3611"/>
        <v>1914.23</v>
      </c>
      <c r="IG108" s="263">
        <f t="shared" si="3611"/>
        <v>1914.23</v>
      </c>
      <c r="IH108" s="842">
        <f t="shared" si="3611"/>
        <v>1914.23</v>
      </c>
      <c r="II108" s="155">
        <f t="shared" si="3611"/>
        <v>0</v>
      </c>
      <c r="IJ108" s="74">
        <f t="shared" si="3611"/>
        <v>0</v>
      </c>
      <c r="IK108" s="74">
        <f t="shared" si="3611"/>
        <v>0</v>
      </c>
      <c r="IL108" s="74">
        <f t="shared" si="3611"/>
        <v>0</v>
      </c>
      <c r="IM108" s="74">
        <f t="shared" si="3611"/>
        <v>0</v>
      </c>
      <c r="IN108" s="74">
        <f t="shared" si="3611"/>
        <v>0</v>
      </c>
      <c r="IO108" s="74">
        <f t="shared" si="3611"/>
        <v>389</v>
      </c>
      <c r="IP108" s="74">
        <f t="shared" si="3611"/>
        <v>389</v>
      </c>
      <c r="IQ108" s="74">
        <f t="shared" si="3611"/>
        <v>389</v>
      </c>
      <c r="IR108" s="74">
        <f t="shared" si="3611"/>
        <v>0</v>
      </c>
      <c r="IS108" s="74">
        <f t="shared" si="3611"/>
        <v>0</v>
      </c>
      <c r="IT108" s="74">
        <f t="shared" si="3611"/>
        <v>0</v>
      </c>
      <c r="IU108" s="74">
        <f t="shared" si="3611"/>
        <v>334.20000000000005</v>
      </c>
      <c r="IV108" s="74">
        <f t="shared" si="3611"/>
        <v>334.20000000000005</v>
      </c>
      <c r="IW108" s="74">
        <f t="shared" si="3611"/>
        <v>334.20000000000005</v>
      </c>
      <c r="IX108" s="74">
        <f t="shared" si="3611"/>
        <v>115.52999999999997</v>
      </c>
      <c r="IY108" s="74">
        <f t="shared" si="3611"/>
        <v>115.52999999999997</v>
      </c>
      <c r="IZ108" s="74">
        <f t="shared" si="3611"/>
        <v>115.52999999999997</v>
      </c>
      <c r="JA108" s="74">
        <f t="shared" si="3611"/>
        <v>0</v>
      </c>
      <c r="JB108" s="74">
        <f t="shared" si="3611"/>
        <v>0</v>
      </c>
      <c r="JC108" s="74">
        <f t="shared" si="3611"/>
        <v>0</v>
      </c>
      <c r="JD108" s="74">
        <f t="shared" si="3611"/>
        <v>725.5</v>
      </c>
      <c r="JE108" s="74">
        <f t="shared" si="3611"/>
        <v>725.5</v>
      </c>
      <c r="JF108" s="74">
        <f t="shared" si="3611"/>
        <v>725.5</v>
      </c>
      <c r="JG108" s="74">
        <f t="shared" si="3611"/>
        <v>200</v>
      </c>
      <c r="JH108" s="74">
        <f t="shared" si="3611"/>
        <v>200</v>
      </c>
      <c r="JI108" s="74">
        <f t="shared" si="3611"/>
        <v>200</v>
      </c>
      <c r="JJ108" s="74">
        <f t="shared" si="3611"/>
        <v>150</v>
      </c>
      <c r="JK108" s="74">
        <f t="shared" si="3611"/>
        <v>150</v>
      </c>
      <c r="JL108" s="74">
        <f t="shared" si="3611"/>
        <v>150</v>
      </c>
      <c r="JM108" s="74">
        <f t="shared" si="3611"/>
        <v>0</v>
      </c>
      <c r="JN108" s="74">
        <f t="shared" si="3611"/>
        <v>0</v>
      </c>
      <c r="JO108" s="74">
        <f t="shared" si="3611"/>
        <v>0</v>
      </c>
      <c r="JP108" s="74">
        <f t="shared" si="3611"/>
        <v>0</v>
      </c>
      <c r="JQ108" s="74">
        <f t="shared" si="3611"/>
        <v>0</v>
      </c>
      <c r="JR108" s="74">
        <f t="shared" si="3611"/>
        <v>0</v>
      </c>
      <c r="JS108" s="74">
        <f t="shared" si="3611"/>
        <v>721.77</v>
      </c>
      <c r="JT108" s="102">
        <f t="shared" si="3611"/>
        <v>721.77</v>
      </c>
      <c r="JU108" s="671"/>
      <c r="JV108" s="492"/>
      <c r="JW108" s="490"/>
      <c r="JX108" s="549">
        <f>SUM(JX441)</f>
        <v>2636</v>
      </c>
      <c r="JY108" s="549">
        <f>SUM(JY441)</f>
        <v>0</v>
      </c>
      <c r="JZ108" s="581">
        <f t="shared" si="2110"/>
        <v>0</v>
      </c>
      <c r="KA108" s="581">
        <f t="shared" si="2111"/>
        <v>-23964</v>
      </c>
      <c r="KB108" s="549">
        <f>SUM(KB441)</f>
        <v>2636</v>
      </c>
      <c r="KC108" s="709">
        <f t="shared" si="2079"/>
        <v>0</v>
      </c>
      <c r="KD108" s="36"/>
      <c r="KE108" s="36"/>
      <c r="KF108" s="36"/>
      <c r="KG108" s="36"/>
      <c r="KH108" s="36"/>
      <c r="KI108" s="36"/>
      <c r="KJ108" s="36"/>
      <c r="KK108" s="36"/>
    </row>
    <row r="109" spans="1:297" s="8" customFormat="1" ht="12.75" hidden="1" customHeight="1">
      <c r="A109" s="262" t="s">
        <v>1122</v>
      </c>
      <c r="B109" s="72"/>
      <c r="C109" s="74">
        <f>C442</f>
        <v>0</v>
      </c>
      <c r="D109" s="74">
        <f t="shared" ref="D109:E109" si="3612">D442</f>
        <v>0</v>
      </c>
      <c r="E109" s="74">
        <f t="shared" si="3612"/>
        <v>0</v>
      </c>
      <c r="F109" s="74">
        <f t="shared" ref="F109:G109" si="3613">F442</f>
        <v>0</v>
      </c>
      <c r="G109" s="74">
        <f t="shared" si="3613"/>
        <v>0</v>
      </c>
      <c r="H109" s="74">
        <f t="shared" ref="H109:BQ109" si="3614">H442</f>
        <v>0</v>
      </c>
      <c r="I109" s="74">
        <f t="shared" si="3614"/>
        <v>0</v>
      </c>
      <c r="J109" s="74">
        <f t="shared" si="3614"/>
        <v>0</v>
      </c>
      <c r="K109" s="74">
        <f t="shared" si="3614"/>
        <v>0</v>
      </c>
      <c r="L109" s="74">
        <f t="shared" si="3614"/>
        <v>0</v>
      </c>
      <c r="M109" s="74">
        <f t="shared" si="3614"/>
        <v>0</v>
      </c>
      <c r="N109" s="74">
        <f t="shared" si="3614"/>
        <v>0</v>
      </c>
      <c r="O109" s="74">
        <f t="shared" si="3614"/>
        <v>0</v>
      </c>
      <c r="P109" s="74">
        <f t="shared" si="3614"/>
        <v>0</v>
      </c>
      <c r="Q109" s="74">
        <f t="shared" si="3614"/>
        <v>0</v>
      </c>
      <c r="R109" s="74">
        <f t="shared" si="3614"/>
        <v>0</v>
      </c>
      <c r="S109" s="74">
        <f t="shared" si="3614"/>
        <v>0</v>
      </c>
      <c r="T109" s="74">
        <f t="shared" si="3614"/>
        <v>0</v>
      </c>
      <c r="U109" s="74">
        <f t="shared" si="3614"/>
        <v>0</v>
      </c>
      <c r="V109" s="74">
        <f t="shared" si="3614"/>
        <v>0</v>
      </c>
      <c r="W109" s="74">
        <f t="shared" si="3614"/>
        <v>0</v>
      </c>
      <c r="X109" s="74">
        <f t="shared" si="3614"/>
        <v>0</v>
      </c>
      <c r="Y109" s="74">
        <f t="shared" si="3614"/>
        <v>0</v>
      </c>
      <c r="Z109" s="74">
        <f t="shared" si="3614"/>
        <v>0</v>
      </c>
      <c r="AA109" s="74">
        <f t="shared" si="3614"/>
        <v>0</v>
      </c>
      <c r="AB109" s="74">
        <f t="shared" si="3614"/>
        <v>0</v>
      </c>
      <c r="AC109" s="74">
        <f t="shared" si="3614"/>
        <v>0</v>
      </c>
      <c r="AD109" s="74">
        <f t="shared" si="3614"/>
        <v>0</v>
      </c>
      <c r="AE109" s="74">
        <f t="shared" si="3614"/>
        <v>0</v>
      </c>
      <c r="AF109" s="74">
        <f t="shared" si="3614"/>
        <v>0</v>
      </c>
      <c r="AG109" s="74">
        <f t="shared" si="3614"/>
        <v>0</v>
      </c>
      <c r="AH109" s="74">
        <f t="shared" si="3614"/>
        <v>0</v>
      </c>
      <c r="AI109" s="74">
        <f t="shared" si="3614"/>
        <v>0</v>
      </c>
      <c r="AJ109" s="74">
        <f t="shared" si="3614"/>
        <v>0</v>
      </c>
      <c r="AK109" s="74">
        <f t="shared" si="3614"/>
        <v>0</v>
      </c>
      <c r="AL109" s="74">
        <f t="shared" si="3614"/>
        <v>0</v>
      </c>
      <c r="AM109" s="74">
        <f t="shared" si="3614"/>
        <v>0</v>
      </c>
      <c r="AN109" s="74">
        <f t="shared" si="3614"/>
        <v>0</v>
      </c>
      <c r="AO109" s="74">
        <f t="shared" si="3614"/>
        <v>0</v>
      </c>
      <c r="AP109" s="74">
        <f t="shared" si="3614"/>
        <v>0</v>
      </c>
      <c r="AQ109" s="74">
        <f t="shared" si="3614"/>
        <v>0</v>
      </c>
      <c r="AR109" s="74">
        <f t="shared" si="3614"/>
        <v>0</v>
      </c>
      <c r="AS109" s="74">
        <f t="shared" si="3614"/>
        <v>0</v>
      </c>
      <c r="AT109" s="74">
        <f t="shared" ref="AT109:AU109" si="3615">AT442</f>
        <v>0</v>
      </c>
      <c r="AU109" s="74">
        <f t="shared" si="3615"/>
        <v>0</v>
      </c>
      <c r="AV109" s="74">
        <f t="shared" ref="AV109:AW109" si="3616">AV442</f>
        <v>0</v>
      </c>
      <c r="AW109" s="74">
        <f t="shared" si="3616"/>
        <v>0</v>
      </c>
      <c r="AX109" s="74">
        <f t="shared" ref="AX109:AY109" si="3617">AX442</f>
        <v>0</v>
      </c>
      <c r="AY109" s="74">
        <f t="shared" si="3617"/>
        <v>0</v>
      </c>
      <c r="AZ109" s="74">
        <f t="shared" ref="AZ109:BA109" si="3618">AZ442</f>
        <v>0</v>
      </c>
      <c r="BA109" s="74">
        <f t="shared" si="3618"/>
        <v>0</v>
      </c>
      <c r="BB109" s="74">
        <f t="shared" ref="BB109:BC109" si="3619">BB442</f>
        <v>0</v>
      </c>
      <c r="BC109" s="74">
        <f t="shared" si="3619"/>
        <v>0</v>
      </c>
      <c r="BD109" s="74">
        <f t="shared" ref="BD109:BE109" si="3620">BD442</f>
        <v>0</v>
      </c>
      <c r="BE109" s="74">
        <f t="shared" si="3620"/>
        <v>0</v>
      </c>
      <c r="BF109" s="74">
        <f t="shared" ref="BF109:BG109" si="3621">BF442</f>
        <v>0</v>
      </c>
      <c r="BG109" s="74">
        <f t="shared" si="3621"/>
        <v>0</v>
      </c>
      <c r="BH109" s="74">
        <f t="shared" ref="BH109:BI109" si="3622">BH442</f>
        <v>0</v>
      </c>
      <c r="BI109" s="74">
        <f t="shared" si="3622"/>
        <v>0</v>
      </c>
      <c r="BJ109" s="74">
        <f t="shared" ref="BJ109:BK109" si="3623">BJ442</f>
        <v>0</v>
      </c>
      <c r="BK109" s="74">
        <f t="shared" si="3623"/>
        <v>0</v>
      </c>
      <c r="BL109" s="74">
        <f t="shared" si="3614"/>
        <v>0</v>
      </c>
      <c r="BM109" s="74">
        <f t="shared" si="3614"/>
        <v>0</v>
      </c>
      <c r="BN109" s="74">
        <f t="shared" si="3614"/>
        <v>0</v>
      </c>
      <c r="BO109" s="74">
        <f t="shared" si="3614"/>
        <v>0</v>
      </c>
      <c r="BP109" s="74">
        <f t="shared" si="3614"/>
        <v>0</v>
      </c>
      <c r="BQ109" s="74">
        <f t="shared" si="3614"/>
        <v>0</v>
      </c>
      <c r="BR109" s="74">
        <f t="shared" ref="BR109:BS109" si="3624">BR442</f>
        <v>0</v>
      </c>
      <c r="BS109" s="74">
        <f t="shared" si="3624"/>
        <v>0</v>
      </c>
      <c r="BT109" s="74">
        <f t="shared" ref="BT109:BU109" si="3625">BT442</f>
        <v>0</v>
      </c>
      <c r="BU109" s="74">
        <f t="shared" si="3625"/>
        <v>0</v>
      </c>
      <c r="BV109" s="74">
        <f t="shared" ref="BV109:BW109" si="3626">BV442</f>
        <v>0</v>
      </c>
      <c r="BW109" s="74">
        <f t="shared" si="3626"/>
        <v>0</v>
      </c>
      <c r="BX109" s="74">
        <f t="shared" ref="BX109:BY109" si="3627">BX442</f>
        <v>0</v>
      </c>
      <c r="BY109" s="74">
        <f t="shared" si="3627"/>
        <v>0</v>
      </c>
      <c r="BZ109" s="74">
        <f t="shared" ref="BZ109:CA109" si="3628">BZ442</f>
        <v>0</v>
      </c>
      <c r="CA109" s="74">
        <f t="shared" si="3628"/>
        <v>0</v>
      </c>
      <c r="CB109" s="74">
        <f t="shared" ref="CB109:EE109" si="3629">CB442</f>
        <v>0</v>
      </c>
      <c r="CC109" s="74">
        <f t="shared" si="3629"/>
        <v>0</v>
      </c>
      <c r="CD109" s="74">
        <f t="shared" si="3629"/>
        <v>0</v>
      </c>
      <c r="CE109" s="74">
        <f t="shared" si="3629"/>
        <v>0</v>
      </c>
      <c r="CF109" s="74">
        <f t="shared" si="3629"/>
        <v>0</v>
      </c>
      <c r="CG109" s="74">
        <f t="shared" si="3629"/>
        <v>0</v>
      </c>
      <c r="CH109" s="74">
        <f t="shared" si="3629"/>
        <v>0</v>
      </c>
      <c r="CI109" s="74">
        <f t="shared" si="3629"/>
        <v>0</v>
      </c>
      <c r="CJ109" s="74">
        <f t="shared" si="3629"/>
        <v>0</v>
      </c>
      <c r="CK109" s="74">
        <f t="shared" si="3629"/>
        <v>0</v>
      </c>
      <c r="CL109" s="74">
        <f t="shared" si="3629"/>
        <v>0</v>
      </c>
      <c r="CM109" s="74">
        <f t="shared" si="3629"/>
        <v>0</v>
      </c>
      <c r="CN109" s="74">
        <f t="shared" si="3629"/>
        <v>0</v>
      </c>
      <c r="CO109" s="74">
        <f t="shared" si="3629"/>
        <v>0</v>
      </c>
      <c r="CP109" s="74">
        <f t="shared" si="3629"/>
        <v>0</v>
      </c>
      <c r="CQ109" s="74">
        <f t="shared" si="3629"/>
        <v>0</v>
      </c>
      <c r="CR109" s="74">
        <f t="shared" si="3629"/>
        <v>0</v>
      </c>
      <c r="CS109" s="74">
        <f t="shared" si="3629"/>
        <v>0</v>
      </c>
      <c r="CT109" s="74">
        <f t="shared" si="3629"/>
        <v>0</v>
      </c>
      <c r="CU109" s="74">
        <f t="shared" si="3629"/>
        <v>0</v>
      </c>
      <c r="CV109" s="74">
        <f t="shared" si="3629"/>
        <v>0</v>
      </c>
      <c r="CW109" s="74">
        <f t="shared" si="3629"/>
        <v>0</v>
      </c>
      <c r="CX109" s="74">
        <f t="shared" si="3629"/>
        <v>0</v>
      </c>
      <c r="CY109" s="74">
        <f t="shared" si="3629"/>
        <v>0</v>
      </c>
      <c r="CZ109" s="74">
        <f t="shared" si="3629"/>
        <v>0</v>
      </c>
      <c r="DA109" s="74">
        <f t="shared" si="3629"/>
        <v>0</v>
      </c>
      <c r="DB109" s="74">
        <f t="shared" si="3629"/>
        <v>0</v>
      </c>
      <c r="DC109" s="74">
        <f t="shared" si="3629"/>
        <v>0</v>
      </c>
      <c r="DD109" s="74">
        <f t="shared" si="3629"/>
        <v>0</v>
      </c>
      <c r="DE109" s="74">
        <f t="shared" si="3629"/>
        <v>0</v>
      </c>
      <c r="DF109" s="74">
        <f t="shared" si="3629"/>
        <v>0</v>
      </c>
      <c r="DG109" s="74">
        <f t="shared" si="3629"/>
        <v>0</v>
      </c>
      <c r="DH109" s="74">
        <f t="shared" si="3629"/>
        <v>0</v>
      </c>
      <c r="DI109" s="74">
        <f t="shared" si="3629"/>
        <v>0</v>
      </c>
      <c r="DJ109" s="74">
        <f t="shared" si="3629"/>
        <v>0</v>
      </c>
      <c r="DK109" s="74">
        <f t="shared" si="3629"/>
        <v>0</v>
      </c>
      <c r="DL109" s="74">
        <f t="shared" si="3629"/>
        <v>0</v>
      </c>
      <c r="DM109" s="74">
        <f t="shared" si="3629"/>
        <v>0</v>
      </c>
      <c r="DN109" s="74">
        <f t="shared" si="3629"/>
        <v>0</v>
      </c>
      <c r="DO109" s="74">
        <f t="shared" si="3629"/>
        <v>0</v>
      </c>
      <c r="DP109" s="74">
        <f t="shared" si="3629"/>
        <v>0</v>
      </c>
      <c r="DQ109" s="74">
        <f t="shared" si="3629"/>
        <v>0</v>
      </c>
      <c r="DR109" s="74">
        <f t="shared" si="3629"/>
        <v>0</v>
      </c>
      <c r="DS109" s="74">
        <f t="shared" si="3629"/>
        <v>0</v>
      </c>
      <c r="DT109" s="74">
        <f t="shared" si="3629"/>
        <v>0</v>
      </c>
      <c r="DU109" s="74">
        <f t="shared" si="3629"/>
        <v>0</v>
      </c>
      <c r="DV109" s="74">
        <f t="shared" si="3629"/>
        <v>0</v>
      </c>
      <c r="DW109" s="74">
        <f t="shared" si="3629"/>
        <v>0</v>
      </c>
      <c r="DX109" s="74">
        <f t="shared" si="3629"/>
        <v>0</v>
      </c>
      <c r="DY109" s="74">
        <f t="shared" si="3629"/>
        <v>0</v>
      </c>
      <c r="DZ109" s="74">
        <f t="shared" si="3629"/>
        <v>0</v>
      </c>
      <c r="EA109" s="74">
        <f t="shared" si="3629"/>
        <v>0</v>
      </c>
      <c r="EB109" s="74">
        <f t="shared" si="3629"/>
        <v>0</v>
      </c>
      <c r="EC109" s="74">
        <f t="shared" si="3629"/>
        <v>0</v>
      </c>
      <c r="ED109" s="74">
        <f t="shared" si="3629"/>
        <v>0</v>
      </c>
      <c r="EE109" s="74">
        <f t="shared" si="3629"/>
        <v>0</v>
      </c>
      <c r="EF109" s="74">
        <f t="shared" ref="EF109:EG109" si="3630">EF442</f>
        <v>0</v>
      </c>
      <c r="EG109" s="74">
        <f t="shared" si="3630"/>
        <v>0</v>
      </c>
      <c r="EH109" s="74">
        <f t="shared" ref="EH109:HW109" si="3631">EH442</f>
        <v>0</v>
      </c>
      <c r="EI109" s="74">
        <f t="shared" si="3631"/>
        <v>0</v>
      </c>
      <c r="EJ109" s="74">
        <f t="shared" si="3631"/>
        <v>0</v>
      </c>
      <c r="EK109" s="74">
        <f t="shared" si="3631"/>
        <v>0</v>
      </c>
      <c r="EL109" s="74">
        <f t="shared" si="3631"/>
        <v>0</v>
      </c>
      <c r="EM109" s="74">
        <f t="shared" si="3631"/>
        <v>0</v>
      </c>
      <c r="EN109" s="74">
        <f t="shared" si="3631"/>
        <v>0</v>
      </c>
      <c r="EO109" s="74">
        <f t="shared" si="3631"/>
        <v>0</v>
      </c>
      <c r="EP109" s="74">
        <f t="shared" si="3631"/>
        <v>0</v>
      </c>
      <c r="EQ109" s="74">
        <f t="shared" si="3631"/>
        <v>0</v>
      </c>
      <c r="ER109" s="74">
        <f t="shared" si="3631"/>
        <v>0</v>
      </c>
      <c r="ES109" s="74">
        <f t="shared" si="3631"/>
        <v>0</v>
      </c>
      <c r="ET109" s="74">
        <f t="shared" si="3631"/>
        <v>0</v>
      </c>
      <c r="EU109" s="74">
        <f t="shared" si="3631"/>
        <v>0</v>
      </c>
      <c r="EV109" s="74">
        <f t="shared" si="3631"/>
        <v>0</v>
      </c>
      <c r="EW109" s="74">
        <f t="shared" si="3631"/>
        <v>0</v>
      </c>
      <c r="EX109" s="74">
        <f t="shared" si="3631"/>
        <v>0</v>
      </c>
      <c r="EY109" s="74">
        <f t="shared" si="3631"/>
        <v>0</v>
      </c>
      <c r="EZ109" s="74">
        <f t="shared" si="3631"/>
        <v>0</v>
      </c>
      <c r="FA109" s="74">
        <f t="shared" si="3631"/>
        <v>0</v>
      </c>
      <c r="FB109" s="74">
        <f t="shared" si="3631"/>
        <v>0</v>
      </c>
      <c r="FC109" s="74">
        <f t="shared" si="3631"/>
        <v>0</v>
      </c>
      <c r="FD109" s="74">
        <f t="shared" si="3631"/>
        <v>0</v>
      </c>
      <c r="FE109" s="74">
        <f t="shared" si="3631"/>
        <v>0</v>
      </c>
      <c r="FF109" s="74">
        <f t="shared" si="3631"/>
        <v>0</v>
      </c>
      <c r="FG109" s="74">
        <f t="shared" si="3631"/>
        <v>0</v>
      </c>
      <c r="FH109" s="74">
        <f t="shared" si="3631"/>
        <v>0</v>
      </c>
      <c r="FI109" s="74">
        <f t="shared" si="3631"/>
        <v>0</v>
      </c>
      <c r="FJ109" s="74">
        <f t="shared" si="3631"/>
        <v>0</v>
      </c>
      <c r="FK109" s="74">
        <f t="shared" si="3631"/>
        <v>0</v>
      </c>
      <c r="FL109" s="74">
        <f t="shared" ref="FL109:FM109" si="3632">FL442</f>
        <v>0</v>
      </c>
      <c r="FM109" s="74">
        <f t="shared" si="3632"/>
        <v>0</v>
      </c>
      <c r="FN109" s="74">
        <f t="shared" ref="FN109:FO109" si="3633">FN442</f>
        <v>0</v>
      </c>
      <c r="FO109" s="74">
        <f t="shared" si="3633"/>
        <v>0</v>
      </c>
      <c r="FP109" s="74">
        <f t="shared" ref="FP109:FQ109" si="3634">FP442</f>
        <v>0</v>
      </c>
      <c r="FQ109" s="74">
        <f t="shared" si="3634"/>
        <v>0</v>
      </c>
      <c r="FR109" s="74">
        <f t="shared" ref="FR109:FS109" si="3635">FR442</f>
        <v>0</v>
      </c>
      <c r="FS109" s="74">
        <f t="shared" si="3635"/>
        <v>0</v>
      </c>
      <c r="FT109" s="74">
        <f t="shared" ref="FT109:FU109" si="3636">FT442</f>
        <v>0</v>
      </c>
      <c r="FU109" s="74">
        <f t="shared" si="3636"/>
        <v>0</v>
      </c>
      <c r="FV109" s="74">
        <f t="shared" ref="FV109:GK109" si="3637">FV442</f>
        <v>0</v>
      </c>
      <c r="FW109" s="74">
        <f t="shared" si="3637"/>
        <v>0</v>
      </c>
      <c r="FX109" s="74">
        <f t="shared" si="3637"/>
        <v>0</v>
      </c>
      <c r="FY109" s="74">
        <f t="shared" si="3637"/>
        <v>0</v>
      </c>
      <c r="FZ109" s="74">
        <f t="shared" ref="FZ109:GI109" si="3638">FZ442</f>
        <v>0</v>
      </c>
      <c r="GA109" s="74">
        <f t="shared" si="3638"/>
        <v>0</v>
      </c>
      <c r="GB109" s="74">
        <f t="shared" si="3638"/>
        <v>0</v>
      </c>
      <c r="GC109" s="74">
        <f t="shared" si="3638"/>
        <v>0</v>
      </c>
      <c r="GD109" s="74">
        <f t="shared" si="3638"/>
        <v>0</v>
      </c>
      <c r="GE109" s="74">
        <f t="shared" si="3638"/>
        <v>0</v>
      </c>
      <c r="GF109" s="74">
        <f t="shared" si="3638"/>
        <v>0</v>
      </c>
      <c r="GG109" s="74">
        <f t="shared" si="3638"/>
        <v>0</v>
      </c>
      <c r="GH109" s="74">
        <f t="shared" si="3638"/>
        <v>0</v>
      </c>
      <c r="GI109" s="74">
        <f t="shared" si="3638"/>
        <v>0</v>
      </c>
      <c r="GJ109" s="74">
        <f t="shared" si="3637"/>
        <v>0</v>
      </c>
      <c r="GK109" s="74">
        <f t="shared" si="3637"/>
        <v>0</v>
      </c>
      <c r="GL109" s="74">
        <f t="shared" ref="GL109:GM109" si="3639">GL442</f>
        <v>0</v>
      </c>
      <c r="GM109" s="74">
        <f t="shared" si="3639"/>
        <v>0</v>
      </c>
      <c r="GN109" s="74">
        <f t="shared" ref="GN109:GO109" si="3640">GN442</f>
        <v>0</v>
      </c>
      <c r="GO109" s="74">
        <f t="shared" si="3640"/>
        <v>0</v>
      </c>
      <c r="GP109" s="74">
        <f t="shared" si="3631"/>
        <v>0</v>
      </c>
      <c r="GQ109" s="74">
        <f t="shared" si="3631"/>
        <v>0</v>
      </c>
      <c r="GR109" s="74">
        <f t="shared" si="3631"/>
        <v>0</v>
      </c>
      <c r="GS109" s="74">
        <f t="shared" si="3631"/>
        <v>0</v>
      </c>
      <c r="GT109" s="74">
        <f t="shared" si="3631"/>
        <v>0</v>
      </c>
      <c r="GU109" s="74">
        <f t="shared" si="3631"/>
        <v>0</v>
      </c>
      <c r="GV109" s="74">
        <f t="shared" si="3631"/>
        <v>0</v>
      </c>
      <c r="GW109" s="74">
        <f t="shared" si="3631"/>
        <v>0</v>
      </c>
      <c r="GX109" s="74">
        <f t="shared" si="3631"/>
        <v>0</v>
      </c>
      <c r="GY109" s="74">
        <f t="shared" si="3631"/>
        <v>0</v>
      </c>
      <c r="GZ109" s="74">
        <f t="shared" si="3631"/>
        <v>0</v>
      </c>
      <c r="HA109" s="74">
        <f t="shared" si="3631"/>
        <v>0</v>
      </c>
      <c r="HB109" s="74">
        <f t="shared" si="3631"/>
        <v>0</v>
      </c>
      <c r="HC109" s="74">
        <f t="shared" si="3631"/>
        <v>0</v>
      </c>
      <c r="HD109" s="74">
        <f t="shared" si="3631"/>
        <v>0</v>
      </c>
      <c r="HE109" s="74">
        <f t="shared" si="3631"/>
        <v>0</v>
      </c>
      <c r="HF109" s="74">
        <f t="shared" si="3631"/>
        <v>0</v>
      </c>
      <c r="HG109" s="74">
        <f t="shared" si="3631"/>
        <v>0</v>
      </c>
      <c r="HH109" s="74">
        <f t="shared" si="3631"/>
        <v>0</v>
      </c>
      <c r="HI109" s="74">
        <f t="shared" si="3631"/>
        <v>0</v>
      </c>
      <c r="HJ109" s="74">
        <f t="shared" si="3631"/>
        <v>0</v>
      </c>
      <c r="HK109" s="74">
        <f t="shared" si="3631"/>
        <v>0</v>
      </c>
      <c r="HL109" s="74">
        <f t="shared" si="3631"/>
        <v>0</v>
      </c>
      <c r="HM109" s="74">
        <f t="shared" si="3631"/>
        <v>0</v>
      </c>
      <c r="HN109" s="74">
        <f t="shared" si="3631"/>
        <v>0</v>
      </c>
      <c r="HO109" s="74">
        <f t="shared" si="3631"/>
        <v>0</v>
      </c>
      <c r="HP109" s="74">
        <f t="shared" si="3631"/>
        <v>0</v>
      </c>
      <c r="HQ109" s="74">
        <f t="shared" si="3631"/>
        <v>0</v>
      </c>
      <c r="HR109" s="74">
        <f t="shared" si="3631"/>
        <v>0</v>
      </c>
      <c r="HS109" s="74">
        <f t="shared" si="3631"/>
        <v>0</v>
      </c>
      <c r="HT109" s="74">
        <f t="shared" si="3631"/>
        <v>0</v>
      </c>
      <c r="HU109" s="74">
        <f t="shared" si="3631"/>
        <v>0</v>
      </c>
      <c r="HV109" s="74">
        <f t="shared" si="3631"/>
        <v>0</v>
      </c>
      <c r="HW109" s="74">
        <f t="shared" si="3631"/>
        <v>0</v>
      </c>
      <c r="HX109" s="74">
        <f t="shared" ref="HX109:JT109" si="3641">HX442</f>
        <v>0</v>
      </c>
      <c r="HY109" s="74">
        <f t="shared" si="3641"/>
        <v>0</v>
      </c>
      <c r="HZ109" s="74">
        <f t="shared" si="3641"/>
        <v>0</v>
      </c>
      <c r="IA109" s="74">
        <f t="shared" si="3641"/>
        <v>0</v>
      </c>
      <c r="IB109" s="74">
        <f t="shared" si="3641"/>
        <v>0</v>
      </c>
      <c r="IC109" s="74">
        <f t="shared" si="3641"/>
        <v>0</v>
      </c>
      <c r="ID109" s="74">
        <f t="shared" si="3641"/>
        <v>0</v>
      </c>
      <c r="IE109" s="792">
        <f t="shared" si="3641"/>
        <v>0</v>
      </c>
      <c r="IF109" s="853">
        <f t="shared" si="3641"/>
        <v>0</v>
      </c>
      <c r="IG109" s="74">
        <f t="shared" si="3641"/>
        <v>0</v>
      </c>
      <c r="IH109" s="575">
        <f t="shared" si="3641"/>
        <v>0</v>
      </c>
      <c r="II109" s="155">
        <f t="shared" si="3641"/>
        <v>0</v>
      </c>
      <c r="IJ109" s="74">
        <f t="shared" si="3641"/>
        <v>0</v>
      </c>
      <c r="IK109" s="74">
        <f t="shared" si="3641"/>
        <v>0</v>
      </c>
      <c r="IL109" s="74">
        <f t="shared" si="3641"/>
        <v>0</v>
      </c>
      <c r="IM109" s="74">
        <f t="shared" si="3641"/>
        <v>0</v>
      </c>
      <c r="IN109" s="74">
        <f t="shared" si="3641"/>
        <v>0</v>
      </c>
      <c r="IO109" s="74">
        <f t="shared" si="3641"/>
        <v>0</v>
      </c>
      <c r="IP109" s="74">
        <f t="shared" si="3641"/>
        <v>0</v>
      </c>
      <c r="IQ109" s="74">
        <f t="shared" si="3641"/>
        <v>0</v>
      </c>
      <c r="IR109" s="74">
        <f t="shared" si="3641"/>
        <v>0</v>
      </c>
      <c r="IS109" s="74">
        <f t="shared" si="3641"/>
        <v>0</v>
      </c>
      <c r="IT109" s="74">
        <f t="shared" si="3641"/>
        <v>0</v>
      </c>
      <c r="IU109" s="74">
        <f t="shared" si="3641"/>
        <v>0</v>
      </c>
      <c r="IV109" s="74">
        <f t="shared" si="3641"/>
        <v>0</v>
      </c>
      <c r="IW109" s="74">
        <f t="shared" si="3641"/>
        <v>0</v>
      </c>
      <c r="IX109" s="74">
        <f t="shared" si="3641"/>
        <v>0</v>
      </c>
      <c r="IY109" s="74">
        <f t="shared" si="3641"/>
        <v>0</v>
      </c>
      <c r="IZ109" s="74">
        <f t="shared" si="3641"/>
        <v>0</v>
      </c>
      <c r="JA109" s="74">
        <f t="shared" si="3641"/>
        <v>0</v>
      </c>
      <c r="JB109" s="74">
        <f t="shared" si="3641"/>
        <v>0</v>
      </c>
      <c r="JC109" s="74">
        <f t="shared" si="3641"/>
        <v>0</v>
      </c>
      <c r="JD109" s="74">
        <f t="shared" si="3641"/>
        <v>0</v>
      </c>
      <c r="JE109" s="74">
        <f t="shared" si="3641"/>
        <v>0</v>
      </c>
      <c r="JF109" s="74">
        <f t="shared" si="3641"/>
        <v>0</v>
      </c>
      <c r="JG109" s="74">
        <f t="shared" si="3641"/>
        <v>0</v>
      </c>
      <c r="JH109" s="74">
        <f t="shared" si="3641"/>
        <v>0</v>
      </c>
      <c r="JI109" s="74">
        <f t="shared" si="3641"/>
        <v>0</v>
      </c>
      <c r="JJ109" s="74">
        <f t="shared" si="3641"/>
        <v>0</v>
      </c>
      <c r="JK109" s="74">
        <f t="shared" si="3641"/>
        <v>0</v>
      </c>
      <c r="JL109" s="74">
        <f t="shared" si="3641"/>
        <v>0</v>
      </c>
      <c r="JM109" s="74">
        <f t="shared" si="3641"/>
        <v>0</v>
      </c>
      <c r="JN109" s="74">
        <f t="shared" si="3641"/>
        <v>0</v>
      </c>
      <c r="JO109" s="74">
        <f t="shared" si="3641"/>
        <v>0</v>
      </c>
      <c r="JP109" s="74">
        <f t="shared" si="3641"/>
        <v>0</v>
      </c>
      <c r="JQ109" s="74">
        <f t="shared" si="3641"/>
        <v>0</v>
      </c>
      <c r="JR109" s="74">
        <f t="shared" si="3641"/>
        <v>0</v>
      </c>
      <c r="JS109" s="74">
        <f t="shared" si="3641"/>
        <v>0</v>
      </c>
      <c r="JT109" s="74">
        <f t="shared" si="3641"/>
        <v>0</v>
      </c>
      <c r="JU109" s="671"/>
      <c r="JV109" s="492"/>
      <c r="JW109" s="490"/>
      <c r="JX109" s="549"/>
      <c r="JY109" s="549"/>
      <c r="JZ109" s="581"/>
      <c r="KA109" s="581"/>
      <c r="KB109" s="549"/>
      <c r="KC109" s="709"/>
      <c r="KD109" s="36"/>
      <c r="KE109" s="36"/>
      <c r="KF109" s="36"/>
      <c r="KG109" s="36"/>
      <c r="KH109" s="36"/>
      <c r="KI109" s="36"/>
      <c r="KJ109" s="36"/>
      <c r="KK109" s="36"/>
    </row>
    <row r="110" spans="1:297" s="8" customFormat="1">
      <c r="A110" s="75"/>
      <c r="B110" s="72"/>
      <c r="C110" s="74"/>
      <c r="D110" s="549"/>
      <c r="E110" s="675"/>
      <c r="F110" s="549"/>
      <c r="G110" s="675"/>
      <c r="H110" s="549"/>
      <c r="I110" s="675"/>
      <c r="J110" s="549"/>
      <c r="K110" s="675"/>
      <c r="L110" s="549"/>
      <c r="M110" s="675"/>
      <c r="N110" s="549"/>
      <c r="O110" s="675"/>
      <c r="P110" s="549"/>
      <c r="Q110" s="675"/>
      <c r="R110" s="549"/>
      <c r="S110" s="675"/>
      <c r="T110" s="549"/>
      <c r="U110" s="675"/>
      <c r="V110" s="549"/>
      <c r="W110" s="675"/>
      <c r="X110" s="549"/>
      <c r="Y110" s="675"/>
      <c r="Z110" s="549"/>
      <c r="AA110" s="675"/>
      <c r="AB110" s="549"/>
      <c r="AC110" s="675"/>
      <c r="AD110" s="549"/>
      <c r="AE110" s="675"/>
      <c r="AF110" s="549"/>
      <c r="AG110" s="675"/>
      <c r="AH110" s="549"/>
      <c r="AI110" s="675"/>
      <c r="AJ110" s="549"/>
      <c r="AK110" s="675"/>
      <c r="AL110" s="549"/>
      <c r="AM110" s="675"/>
      <c r="AN110" s="549"/>
      <c r="AO110" s="675"/>
      <c r="AP110" s="549"/>
      <c r="AQ110" s="675"/>
      <c r="AR110" s="549"/>
      <c r="AS110" s="675"/>
      <c r="AT110" s="549"/>
      <c r="AU110" s="675"/>
      <c r="AV110" s="549"/>
      <c r="AW110" s="675"/>
      <c r="AX110" s="549"/>
      <c r="AY110" s="675"/>
      <c r="AZ110" s="549"/>
      <c r="BA110" s="675"/>
      <c r="BB110" s="549"/>
      <c r="BC110" s="675"/>
      <c r="BD110" s="549"/>
      <c r="BE110" s="675"/>
      <c r="BF110" s="549"/>
      <c r="BG110" s="675"/>
      <c r="BH110" s="549"/>
      <c r="BI110" s="675"/>
      <c r="BJ110" s="549"/>
      <c r="BK110" s="675"/>
      <c r="BL110" s="549"/>
      <c r="BM110" s="675"/>
      <c r="BN110" s="549"/>
      <c r="BO110" s="675"/>
      <c r="BP110" s="549"/>
      <c r="BQ110" s="675"/>
      <c r="BR110" s="549"/>
      <c r="BS110" s="675"/>
      <c r="BT110" s="549"/>
      <c r="BU110" s="675"/>
      <c r="BV110" s="549"/>
      <c r="BW110" s="675"/>
      <c r="BX110" s="549"/>
      <c r="BY110" s="675"/>
      <c r="BZ110" s="549"/>
      <c r="CA110" s="675"/>
      <c r="CB110" s="549"/>
      <c r="CC110" s="675"/>
      <c r="CD110" s="549"/>
      <c r="CE110" s="675"/>
      <c r="CF110" s="549"/>
      <c r="CG110" s="675"/>
      <c r="CH110" s="549"/>
      <c r="CI110" s="675"/>
      <c r="CJ110" s="549"/>
      <c r="CK110" s="675"/>
      <c r="CL110" s="549"/>
      <c r="CM110" s="675"/>
      <c r="CN110" s="549"/>
      <c r="CO110" s="675"/>
      <c r="CP110" s="549"/>
      <c r="CQ110" s="675"/>
      <c r="CR110" s="549"/>
      <c r="CS110" s="675"/>
      <c r="CT110" s="549"/>
      <c r="CU110" s="675"/>
      <c r="CV110" s="549"/>
      <c r="CW110" s="675"/>
      <c r="CX110" s="549"/>
      <c r="CY110" s="675"/>
      <c r="CZ110" s="549"/>
      <c r="DA110" s="675"/>
      <c r="DB110" s="549"/>
      <c r="DC110" s="675"/>
      <c r="DD110" s="549"/>
      <c r="DE110" s="675"/>
      <c r="DF110" s="549"/>
      <c r="DG110" s="675"/>
      <c r="DH110" s="549"/>
      <c r="DI110" s="675"/>
      <c r="DJ110" s="549"/>
      <c r="DK110" s="675"/>
      <c r="DL110" s="549"/>
      <c r="DM110" s="675"/>
      <c r="DN110" s="549"/>
      <c r="DO110" s="675"/>
      <c r="DP110" s="549"/>
      <c r="DQ110" s="675"/>
      <c r="DR110" s="549"/>
      <c r="DS110" s="675"/>
      <c r="DT110" s="549"/>
      <c r="DU110" s="675"/>
      <c r="DV110" s="549"/>
      <c r="DW110" s="675"/>
      <c r="DX110" s="549"/>
      <c r="DY110" s="675"/>
      <c r="DZ110" s="549"/>
      <c r="EA110" s="675"/>
      <c r="EB110" s="549"/>
      <c r="EC110" s="675"/>
      <c r="ED110" s="549"/>
      <c r="EE110" s="675"/>
      <c r="EF110" s="549"/>
      <c r="EG110" s="675"/>
      <c r="EH110" s="549"/>
      <c r="EI110" s="675"/>
      <c r="EJ110" s="549"/>
      <c r="EK110" s="675"/>
      <c r="EL110" s="549"/>
      <c r="EM110" s="675"/>
      <c r="EN110" s="549"/>
      <c r="EO110" s="675"/>
      <c r="EP110" s="549"/>
      <c r="EQ110" s="675"/>
      <c r="ER110" s="549"/>
      <c r="ES110" s="675"/>
      <c r="ET110" s="549"/>
      <c r="EU110" s="675"/>
      <c r="EV110" s="549"/>
      <c r="EW110" s="675"/>
      <c r="EX110" s="549"/>
      <c r="EY110" s="675"/>
      <c r="EZ110" s="549"/>
      <c r="FA110" s="675"/>
      <c r="FB110" s="549"/>
      <c r="FC110" s="675"/>
      <c r="FD110" s="549"/>
      <c r="FE110" s="675"/>
      <c r="FF110" s="549"/>
      <c r="FG110" s="675"/>
      <c r="FH110" s="549"/>
      <c r="FI110" s="675"/>
      <c r="FJ110" s="549"/>
      <c r="FK110" s="675"/>
      <c r="FL110" s="549"/>
      <c r="FM110" s="675"/>
      <c r="FN110" s="549"/>
      <c r="FO110" s="675"/>
      <c r="FP110" s="549"/>
      <c r="FQ110" s="675"/>
      <c r="FR110" s="549"/>
      <c r="FS110" s="675"/>
      <c r="FT110" s="549"/>
      <c r="FU110" s="675"/>
      <c r="FV110" s="549"/>
      <c r="FW110" s="675"/>
      <c r="FX110" s="549"/>
      <c r="FY110" s="675"/>
      <c r="FZ110" s="549"/>
      <c r="GA110" s="675"/>
      <c r="GB110" s="549"/>
      <c r="GC110" s="675"/>
      <c r="GD110" s="549"/>
      <c r="GE110" s="675"/>
      <c r="GF110" s="549"/>
      <c r="GG110" s="675"/>
      <c r="GH110" s="549"/>
      <c r="GI110" s="675"/>
      <c r="GJ110" s="549"/>
      <c r="GK110" s="675"/>
      <c r="GL110" s="549"/>
      <c r="GM110" s="675"/>
      <c r="GN110" s="549"/>
      <c r="GO110" s="675"/>
      <c r="GP110" s="74"/>
      <c r="GQ110" s="675"/>
      <c r="GR110" s="74"/>
      <c r="GS110" s="74"/>
      <c r="GT110" s="549"/>
      <c r="GU110" s="74"/>
      <c r="GV110" s="74"/>
      <c r="GW110" s="549"/>
      <c r="GX110" s="549"/>
      <c r="GY110" s="74"/>
      <c r="GZ110" s="74"/>
      <c r="HA110" s="74"/>
      <c r="HB110" s="74"/>
      <c r="HC110" s="74"/>
      <c r="HD110" s="74"/>
      <c r="HE110" s="74"/>
      <c r="HF110" s="74"/>
      <c r="HG110" s="74"/>
      <c r="HH110" s="74"/>
      <c r="HI110" s="74"/>
      <c r="HJ110" s="74"/>
      <c r="HK110" s="74"/>
      <c r="HL110" s="74"/>
      <c r="HM110" s="74"/>
      <c r="HN110" s="74"/>
      <c r="HO110" s="74"/>
      <c r="HP110" s="74"/>
      <c r="HQ110" s="74"/>
      <c r="HR110" s="74"/>
      <c r="HS110" s="74"/>
      <c r="HT110" s="74"/>
      <c r="HU110" s="74"/>
      <c r="HV110" s="74"/>
      <c r="HW110" s="74"/>
      <c r="HX110" s="74"/>
      <c r="HY110" s="74"/>
      <c r="HZ110" s="74"/>
      <c r="IA110" s="74"/>
      <c r="IB110" s="74"/>
      <c r="IC110" s="74"/>
      <c r="ID110" s="74"/>
      <c r="IE110" s="792"/>
      <c r="IF110" s="841"/>
      <c r="IG110" s="263"/>
      <c r="IH110" s="842"/>
      <c r="II110" s="155"/>
      <c r="IJ110" s="74"/>
      <c r="IK110" s="74"/>
      <c r="IL110" s="74"/>
      <c r="IM110" s="74"/>
      <c r="IN110" s="74"/>
      <c r="IO110" s="74"/>
      <c r="IP110" s="74"/>
      <c r="IQ110" s="74"/>
      <c r="IR110" s="74"/>
      <c r="IS110" s="74"/>
      <c r="IT110" s="74"/>
      <c r="IU110" s="74"/>
      <c r="IV110" s="74"/>
      <c r="IW110" s="74"/>
      <c r="IX110" s="74"/>
      <c r="IY110" s="74"/>
      <c r="IZ110" s="74"/>
      <c r="JA110" s="74"/>
      <c r="JB110" s="74"/>
      <c r="JC110" s="74"/>
      <c r="JD110" s="74"/>
      <c r="JE110" s="74"/>
      <c r="JF110" s="74"/>
      <c r="JG110" s="74"/>
      <c r="JH110" s="74"/>
      <c r="JI110" s="74"/>
      <c r="JJ110" s="74"/>
      <c r="JK110" s="74"/>
      <c r="JL110" s="74"/>
      <c r="JM110" s="74"/>
      <c r="JN110" s="74"/>
      <c r="JO110" s="74"/>
      <c r="JP110" s="74"/>
      <c r="JQ110" s="74"/>
      <c r="JR110" s="74"/>
      <c r="JS110" s="74"/>
      <c r="JT110" s="382"/>
      <c r="JU110" s="671"/>
      <c r="JV110" s="492"/>
      <c r="JW110" s="490"/>
      <c r="JX110" s="549"/>
      <c r="JY110" s="549"/>
      <c r="JZ110" s="581">
        <f t="shared" si="2110"/>
        <v>0</v>
      </c>
      <c r="KA110" s="581">
        <f t="shared" si="2111"/>
        <v>0</v>
      </c>
      <c r="KB110" s="549"/>
      <c r="KC110" s="709">
        <f t="shared" si="2079"/>
        <v>0</v>
      </c>
      <c r="KD110" s="36"/>
      <c r="KE110" s="36"/>
      <c r="KF110" s="36"/>
      <c r="KG110" s="36"/>
      <c r="KH110" s="36"/>
      <c r="KI110" s="36"/>
      <c r="KJ110" s="36"/>
      <c r="KK110" s="36"/>
    </row>
    <row r="111" spans="1:297" s="8" customFormat="1">
      <c r="A111" s="75">
        <v>210</v>
      </c>
      <c r="B111" s="72" t="s">
        <v>132</v>
      </c>
      <c r="C111" s="74">
        <f t="shared" ref="C111" si="3642">SUM(C112:C116)</f>
        <v>40000</v>
      </c>
      <c r="D111" s="549">
        <f t="shared" ref="D111:E111" si="3643">SUM(D112:D116)</f>
        <v>0</v>
      </c>
      <c r="E111" s="675">
        <f t="shared" si="3643"/>
        <v>0</v>
      </c>
      <c r="F111" s="549">
        <f t="shared" ref="F111:G111" si="3644">SUM(F112:F116)</f>
        <v>0</v>
      </c>
      <c r="G111" s="675">
        <f t="shared" si="3644"/>
        <v>0</v>
      </c>
      <c r="H111" s="549">
        <f t="shared" ref="H111:I111" si="3645">SUM(H112:H116)</f>
        <v>0</v>
      </c>
      <c r="I111" s="675">
        <f t="shared" si="3645"/>
        <v>0</v>
      </c>
      <c r="J111" s="549">
        <f t="shared" ref="J111:K111" si="3646">SUM(J112:J116)</f>
        <v>0</v>
      </c>
      <c r="K111" s="675">
        <f t="shared" si="3646"/>
        <v>0</v>
      </c>
      <c r="L111" s="549">
        <f t="shared" ref="L111:M111" si="3647">SUM(L112:L116)</f>
        <v>0</v>
      </c>
      <c r="M111" s="675">
        <f t="shared" si="3647"/>
        <v>0</v>
      </c>
      <c r="N111" s="549">
        <f t="shared" ref="N111:O111" si="3648">SUM(N112:N116)</f>
        <v>0</v>
      </c>
      <c r="O111" s="675">
        <f t="shared" si="3648"/>
        <v>0</v>
      </c>
      <c r="P111" s="549">
        <f t="shared" ref="P111:Q111" si="3649">SUM(P112:P116)</f>
        <v>0</v>
      </c>
      <c r="Q111" s="675">
        <f t="shared" si="3649"/>
        <v>0</v>
      </c>
      <c r="R111" s="549">
        <f t="shared" ref="R111:S111" si="3650">SUM(R112:R116)</f>
        <v>0</v>
      </c>
      <c r="S111" s="675">
        <f t="shared" si="3650"/>
        <v>0</v>
      </c>
      <c r="T111" s="549">
        <f t="shared" ref="T111:U111" si="3651">SUM(T112:T116)</f>
        <v>0</v>
      </c>
      <c r="U111" s="675">
        <f t="shared" si="3651"/>
        <v>0</v>
      </c>
      <c r="V111" s="549">
        <f t="shared" ref="V111:W111" si="3652">SUM(V112:V116)</f>
        <v>0</v>
      </c>
      <c r="W111" s="675">
        <f t="shared" si="3652"/>
        <v>-10000</v>
      </c>
      <c r="X111" s="549">
        <f t="shared" ref="X111:Y111" si="3653">SUM(X112:X116)</f>
        <v>0</v>
      </c>
      <c r="Y111" s="675">
        <f t="shared" si="3653"/>
        <v>0</v>
      </c>
      <c r="Z111" s="549">
        <f t="shared" ref="Z111:AA111" si="3654">SUM(Z112:Z116)</f>
        <v>0</v>
      </c>
      <c r="AA111" s="675">
        <f t="shared" si="3654"/>
        <v>0</v>
      </c>
      <c r="AB111" s="549">
        <f t="shared" ref="AB111:AC111" si="3655">SUM(AB112:AB116)</f>
        <v>0</v>
      </c>
      <c r="AC111" s="675">
        <f t="shared" si="3655"/>
        <v>0</v>
      </c>
      <c r="AD111" s="549">
        <f t="shared" ref="AD111:AK111" si="3656">SUM(AD112:AD116)</f>
        <v>0</v>
      </c>
      <c r="AE111" s="675">
        <f t="shared" si="3656"/>
        <v>0</v>
      </c>
      <c r="AF111" s="549">
        <f t="shared" si="3656"/>
        <v>0</v>
      </c>
      <c r="AG111" s="675">
        <f t="shared" si="3656"/>
        <v>-3000</v>
      </c>
      <c r="AH111" s="549">
        <f t="shared" si="3656"/>
        <v>0</v>
      </c>
      <c r="AI111" s="675">
        <f t="shared" si="3656"/>
        <v>0</v>
      </c>
      <c r="AJ111" s="549">
        <f t="shared" si="3656"/>
        <v>0</v>
      </c>
      <c r="AK111" s="675">
        <f t="shared" si="3656"/>
        <v>0</v>
      </c>
      <c r="AL111" s="549">
        <f t="shared" ref="AL111:AM111" si="3657">SUM(AL112:AL116)</f>
        <v>0</v>
      </c>
      <c r="AM111" s="675">
        <f t="shared" si="3657"/>
        <v>0</v>
      </c>
      <c r="AN111" s="549">
        <f t="shared" ref="AN111:AS111" si="3658">SUM(AN112:AN116)</f>
        <v>0</v>
      </c>
      <c r="AO111" s="675">
        <f t="shared" si="3658"/>
        <v>0</v>
      </c>
      <c r="AP111" s="549">
        <f t="shared" si="3658"/>
        <v>0</v>
      </c>
      <c r="AQ111" s="675">
        <f t="shared" si="3658"/>
        <v>0</v>
      </c>
      <c r="AR111" s="549">
        <f t="shared" si="3658"/>
        <v>0</v>
      </c>
      <c r="AS111" s="675">
        <f t="shared" si="3658"/>
        <v>0</v>
      </c>
      <c r="AT111" s="549">
        <f t="shared" ref="AT111:AU111" si="3659">SUM(AT112:AT116)</f>
        <v>0</v>
      </c>
      <c r="AU111" s="675">
        <f t="shared" si="3659"/>
        <v>0</v>
      </c>
      <c r="AV111" s="549">
        <f t="shared" ref="AV111:AW111" si="3660">SUM(AV112:AV116)</f>
        <v>0</v>
      </c>
      <c r="AW111" s="675">
        <f t="shared" si="3660"/>
        <v>0</v>
      </c>
      <c r="AX111" s="549">
        <f t="shared" ref="AX111:AY111" si="3661">SUM(AX112:AX116)</f>
        <v>0</v>
      </c>
      <c r="AY111" s="675">
        <f t="shared" si="3661"/>
        <v>0</v>
      </c>
      <c r="AZ111" s="549">
        <f t="shared" ref="AZ111:BA111" si="3662">SUM(AZ112:AZ116)</f>
        <v>0</v>
      </c>
      <c r="BA111" s="675">
        <f t="shared" si="3662"/>
        <v>-8000</v>
      </c>
      <c r="BB111" s="549">
        <f t="shared" ref="BB111:BC111" si="3663">SUM(BB112:BB116)</f>
        <v>0</v>
      </c>
      <c r="BC111" s="675">
        <f t="shared" si="3663"/>
        <v>0</v>
      </c>
      <c r="BD111" s="549">
        <f t="shared" ref="BD111:BE111" si="3664">SUM(BD112:BD116)</f>
        <v>0</v>
      </c>
      <c r="BE111" s="675">
        <f t="shared" si="3664"/>
        <v>0</v>
      </c>
      <c r="BF111" s="549">
        <f t="shared" ref="BF111:BG111" si="3665">SUM(BF112:BF116)</f>
        <v>0</v>
      </c>
      <c r="BG111" s="675">
        <f t="shared" si="3665"/>
        <v>0</v>
      </c>
      <c r="BH111" s="549">
        <f t="shared" ref="BH111:BI111" si="3666">SUM(BH112:BH116)</f>
        <v>0</v>
      </c>
      <c r="BI111" s="675">
        <f t="shared" si="3666"/>
        <v>0</v>
      </c>
      <c r="BJ111" s="549">
        <f t="shared" ref="BJ111:BK111" si="3667">SUM(BJ112:BJ116)</f>
        <v>0</v>
      </c>
      <c r="BK111" s="675">
        <f t="shared" si="3667"/>
        <v>0</v>
      </c>
      <c r="BL111" s="549">
        <f t="shared" ref="BL111:BM111" si="3668">SUM(BL112:BL116)</f>
        <v>0</v>
      </c>
      <c r="BM111" s="675">
        <f t="shared" si="3668"/>
        <v>0</v>
      </c>
      <c r="BN111" s="549">
        <f t="shared" ref="BN111:BO111" si="3669">SUM(BN112:BN116)</f>
        <v>0</v>
      </c>
      <c r="BO111" s="675">
        <f t="shared" si="3669"/>
        <v>0</v>
      </c>
      <c r="BP111" s="549">
        <f t="shared" ref="BP111:BQ111" si="3670">SUM(BP112:BP116)</f>
        <v>0</v>
      </c>
      <c r="BQ111" s="675">
        <f t="shared" si="3670"/>
        <v>0</v>
      </c>
      <c r="BR111" s="549">
        <f t="shared" ref="BR111:BS111" si="3671">SUM(BR112:BR116)</f>
        <v>0</v>
      </c>
      <c r="BS111" s="675">
        <f t="shared" si="3671"/>
        <v>0</v>
      </c>
      <c r="BT111" s="549">
        <f t="shared" ref="BT111:BU111" si="3672">SUM(BT112:BT116)</f>
        <v>0</v>
      </c>
      <c r="BU111" s="675">
        <f t="shared" si="3672"/>
        <v>0</v>
      </c>
      <c r="BV111" s="549">
        <f t="shared" ref="BV111:BW111" si="3673">SUM(BV112:BV116)</f>
        <v>0</v>
      </c>
      <c r="BW111" s="675">
        <f t="shared" si="3673"/>
        <v>0</v>
      </c>
      <c r="BX111" s="549">
        <f t="shared" ref="BX111:BY111" si="3674">SUM(BX112:BX116)</f>
        <v>0</v>
      </c>
      <c r="BY111" s="675">
        <f t="shared" si="3674"/>
        <v>0</v>
      </c>
      <c r="BZ111" s="549">
        <f t="shared" ref="BZ111:CA111" si="3675">SUM(BZ112:BZ116)</f>
        <v>0</v>
      </c>
      <c r="CA111" s="675">
        <f t="shared" si="3675"/>
        <v>0</v>
      </c>
      <c r="CB111" s="549">
        <f t="shared" ref="CB111:CE111" si="3676">SUM(CB112:CB116)</f>
        <v>0</v>
      </c>
      <c r="CC111" s="675">
        <f t="shared" si="3676"/>
        <v>0</v>
      </c>
      <c r="CD111" s="549">
        <f t="shared" si="3676"/>
        <v>0</v>
      </c>
      <c r="CE111" s="675">
        <f t="shared" si="3676"/>
        <v>0</v>
      </c>
      <c r="CF111" s="549">
        <f t="shared" ref="CF111:CQ111" si="3677">SUM(CF112:CF116)</f>
        <v>0</v>
      </c>
      <c r="CG111" s="675">
        <f t="shared" si="3677"/>
        <v>0</v>
      </c>
      <c r="CH111" s="549">
        <f t="shared" si="3677"/>
        <v>0</v>
      </c>
      <c r="CI111" s="675">
        <f t="shared" si="3677"/>
        <v>0</v>
      </c>
      <c r="CJ111" s="549">
        <f t="shared" si="3677"/>
        <v>0</v>
      </c>
      <c r="CK111" s="675">
        <f t="shared" si="3677"/>
        <v>-7036</v>
      </c>
      <c r="CL111" s="549">
        <f t="shared" si="3677"/>
        <v>1000</v>
      </c>
      <c r="CM111" s="675">
        <f t="shared" si="3677"/>
        <v>-3000</v>
      </c>
      <c r="CN111" s="549">
        <f t="shared" si="3677"/>
        <v>0</v>
      </c>
      <c r="CO111" s="675">
        <f t="shared" si="3677"/>
        <v>0</v>
      </c>
      <c r="CP111" s="549">
        <f t="shared" si="3677"/>
        <v>0</v>
      </c>
      <c r="CQ111" s="675">
        <f t="shared" si="3677"/>
        <v>0</v>
      </c>
      <c r="CR111" s="549">
        <f t="shared" ref="CR111:CY111" si="3678">SUM(CR112:CR116)</f>
        <v>0</v>
      </c>
      <c r="CS111" s="675">
        <f t="shared" si="3678"/>
        <v>0</v>
      </c>
      <c r="CT111" s="549">
        <f t="shared" si="3678"/>
        <v>0</v>
      </c>
      <c r="CU111" s="675">
        <f t="shared" si="3678"/>
        <v>0</v>
      </c>
      <c r="CV111" s="549">
        <f t="shared" si="3678"/>
        <v>0</v>
      </c>
      <c r="CW111" s="675">
        <f t="shared" si="3678"/>
        <v>0</v>
      </c>
      <c r="CX111" s="549">
        <f t="shared" si="3678"/>
        <v>0</v>
      </c>
      <c r="CY111" s="675">
        <f t="shared" si="3678"/>
        <v>0</v>
      </c>
      <c r="CZ111" s="549">
        <f t="shared" ref="CZ111:DG111" si="3679">SUM(CZ112:CZ116)</f>
        <v>0</v>
      </c>
      <c r="DA111" s="675">
        <f t="shared" si="3679"/>
        <v>0</v>
      </c>
      <c r="DB111" s="549">
        <f t="shared" si="3679"/>
        <v>0</v>
      </c>
      <c r="DC111" s="675">
        <f t="shared" si="3679"/>
        <v>0</v>
      </c>
      <c r="DD111" s="549">
        <f t="shared" si="3679"/>
        <v>0</v>
      </c>
      <c r="DE111" s="675">
        <f t="shared" si="3679"/>
        <v>0</v>
      </c>
      <c r="DF111" s="549">
        <f t="shared" si="3679"/>
        <v>0</v>
      </c>
      <c r="DG111" s="675">
        <f t="shared" si="3679"/>
        <v>0</v>
      </c>
      <c r="DH111" s="549">
        <f t="shared" ref="DH111:DM111" si="3680">SUM(DH112:DH116)</f>
        <v>0</v>
      </c>
      <c r="DI111" s="675">
        <f t="shared" si="3680"/>
        <v>0</v>
      </c>
      <c r="DJ111" s="549">
        <f t="shared" si="3680"/>
        <v>0</v>
      </c>
      <c r="DK111" s="675">
        <f t="shared" si="3680"/>
        <v>-1000</v>
      </c>
      <c r="DL111" s="549">
        <f t="shared" si="3680"/>
        <v>0</v>
      </c>
      <c r="DM111" s="675">
        <f t="shared" si="3680"/>
        <v>0</v>
      </c>
      <c r="DN111" s="549">
        <f t="shared" ref="DN111:DW111" si="3681">SUM(DN112:DN116)</f>
        <v>0</v>
      </c>
      <c r="DO111" s="675">
        <f t="shared" si="3681"/>
        <v>0</v>
      </c>
      <c r="DP111" s="549">
        <f t="shared" si="3681"/>
        <v>0</v>
      </c>
      <c r="DQ111" s="675">
        <f t="shared" si="3681"/>
        <v>0</v>
      </c>
      <c r="DR111" s="549">
        <f t="shared" si="3681"/>
        <v>0</v>
      </c>
      <c r="DS111" s="675">
        <f t="shared" si="3681"/>
        <v>0</v>
      </c>
      <c r="DT111" s="549">
        <f t="shared" si="3681"/>
        <v>0</v>
      </c>
      <c r="DU111" s="675">
        <f t="shared" si="3681"/>
        <v>0</v>
      </c>
      <c r="DV111" s="549">
        <f t="shared" si="3681"/>
        <v>0</v>
      </c>
      <c r="DW111" s="675">
        <f t="shared" si="3681"/>
        <v>0</v>
      </c>
      <c r="DX111" s="549">
        <f t="shared" ref="DX111:EG111" si="3682">SUM(DX112:DX116)</f>
        <v>0</v>
      </c>
      <c r="DY111" s="675">
        <f t="shared" si="3682"/>
        <v>0</v>
      </c>
      <c r="DZ111" s="549">
        <f t="shared" si="3682"/>
        <v>0</v>
      </c>
      <c r="EA111" s="675">
        <f t="shared" si="3682"/>
        <v>0</v>
      </c>
      <c r="EB111" s="549">
        <f t="shared" si="3682"/>
        <v>0</v>
      </c>
      <c r="EC111" s="675">
        <f t="shared" si="3682"/>
        <v>0</v>
      </c>
      <c r="ED111" s="549">
        <f t="shared" si="3682"/>
        <v>0</v>
      </c>
      <c r="EE111" s="675">
        <f t="shared" si="3682"/>
        <v>0</v>
      </c>
      <c r="EF111" s="549">
        <f t="shared" si="3682"/>
        <v>0</v>
      </c>
      <c r="EG111" s="675">
        <f t="shared" si="3682"/>
        <v>0</v>
      </c>
      <c r="EH111" s="549">
        <f t="shared" ref="EH111:EM111" si="3683">SUM(EH112:EH116)</f>
        <v>0</v>
      </c>
      <c r="EI111" s="675">
        <f t="shared" si="3683"/>
        <v>0</v>
      </c>
      <c r="EJ111" s="549">
        <f t="shared" si="3683"/>
        <v>0</v>
      </c>
      <c r="EK111" s="675">
        <f t="shared" si="3683"/>
        <v>0</v>
      </c>
      <c r="EL111" s="549">
        <f t="shared" si="3683"/>
        <v>0</v>
      </c>
      <c r="EM111" s="675">
        <f t="shared" si="3683"/>
        <v>0</v>
      </c>
      <c r="EN111" s="549">
        <f t="shared" ref="EN111:EO111" si="3684">SUM(EN112:EN116)</f>
        <v>0</v>
      </c>
      <c r="EO111" s="675">
        <f t="shared" si="3684"/>
        <v>0</v>
      </c>
      <c r="EP111" s="549">
        <f t="shared" ref="EP111:FA111" si="3685">SUM(EP112:EP116)</f>
        <v>0</v>
      </c>
      <c r="EQ111" s="675">
        <f t="shared" si="3685"/>
        <v>0</v>
      </c>
      <c r="ER111" s="549">
        <f t="shared" si="3685"/>
        <v>0</v>
      </c>
      <c r="ES111" s="675">
        <f t="shared" si="3685"/>
        <v>0</v>
      </c>
      <c r="ET111" s="549">
        <f t="shared" si="3685"/>
        <v>0</v>
      </c>
      <c r="EU111" s="675">
        <f t="shared" si="3685"/>
        <v>0</v>
      </c>
      <c r="EV111" s="549">
        <f t="shared" ref="EV111:EW111" si="3686">SUM(EV112:EV116)</f>
        <v>0</v>
      </c>
      <c r="EW111" s="675">
        <f t="shared" si="3686"/>
        <v>-803</v>
      </c>
      <c r="EX111" s="549">
        <f t="shared" si="3685"/>
        <v>0</v>
      </c>
      <c r="EY111" s="675">
        <f t="shared" si="3685"/>
        <v>0</v>
      </c>
      <c r="EZ111" s="549">
        <f t="shared" si="3685"/>
        <v>0</v>
      </c>
      <c r="FA111" s="675">
        <f t="shared" si="3685"/>
        <v>0</v>
      </c>
      <c r="FB111" s="549">
        <f t="shared" ref="FB111:FC111" si="3687">SUM(FB112:FB116)</f>
        <v>0</v>
      </c>
      <c r="FC111" s="675">
        <f t="shared" si="3687"/>
        <v>0</v>
      </c>
      <c r="FD111" s="549">
        <f t="shared" ref="FD111:FE111" si="3688">SUM(FD112:FD116)</f>
        <v>0</v>
      </c>
      <c r="FE111" s="675">
        <f t="shared" si="3688"/>
        <v>0</v>
      </c>
      <c r="FF111" s="549">
        <f t="shared" ref="FF111:FG111" si="3689">SUM(FF112:FF116)</f>
        <v>0</v>
      </c>
      <c r="FG111" s="675">
        <f t="shared" si="3689"/>
        <v>0</v>
      </c>
      <c r="FH111" s="549">
        <f t="shared" ref="FH111:FI111" si="3690">SUM(FH112:FH116)</f>
        <v>0</v>
      </c>
      <c r="FI111" s="675">
        <f t="shared" si="3690"/>
        <v>0</v>
      </c>
      <c r="FJ111" s="549">
        <f t="shared" ref="FJ111:FK111" si="3691">SUM(FJ112:FJ116)</f>
        <v>0</v>
      </c>
      <c r="FK111" s="675">
        <f t="shared" si="3691"/>
        <v>0</v>
      </c>
      <c r="FL111" s="549">
        <f t="shared" ref="FL111:FM111" si="3692">SUM(FL112:FL116)</f>
        <v>0</v>
      </c>
      <c r="FM111" s="675">
        <f t="shared" si="3692"/>
        <v>-877</v>
      </c>
      <c r="FN111" s="549">
        <f t="shared" ref="FN111:FO111" si="3693">SUM(FN112:FN116)</f>
        <v>0</v>
      </c>
      <c r="FO111" s="675">
        <f t="shared" si="3693"/>
        <v>0</v>
      </c>
      <c r="FP111" s="549">
        <f t="shared" ref="FP111:FQ111" si="3694">SUM(FP112:FP116)</f>
        <v>0</v>
      </c>
      <c r="FQ111" s="675">
        <f t="shared" si="3694"/>
        <v>0</v>
      </c>
      <c r="FR111" s="549">
        <f t="shared" ref="FR111:FS111" si="3695">SUM(FR112:FR116)</f>
        <v>0</v>
      </c>
      <c r="FS111" s="675">
        <f t="shared" si="3695"/>
        <v>-300</v>
      </c>
      <c r="FT111" s="549">
        <f t="shared" ref="FT111:FU111" si="3696">SUM(FT112:FT116)</f>
        <v>0</v>
      </c>
      <c r="FU111" s="675">
        <f t="shared" si="3696"/>
        <v>0</v>
      </c>
      <c r="FV111" s="549">
        <f t="shared" ref="FV111:GK111" si="3697">SUM(FV112:FV116)</f>
        <v>0</v>
      </c>
      <c r="FW111" s="675">
        <f t="shared" si="3697"/>
        <v>0</v>
      </c>
      <c r="FX111" s="549">
        <f t="shared" si="3697"/>
        <v>0</v>
      </c>
      <c r="FY111" s="675">
        <f t="shared" si="3697"/>
        <v>0</v>
      </c>
      <c r="FZ111" s="549">
        <f t="shared" ref="FZ111:GI111" si="3698">SUM(FZ112:FZ116)</f>
        <v>0</v>
      </c>
      <c r="GA111" s="675">
        <f t="shared" si="3698"/>
        <v>0</v>
      </c>
      <c r="GB111" s="549">
        <f t="shared" si="3698"/>
        <v>0</v>
      </c>
      <c r="GC111" s="675">
        <f t="shared" si="3698"/>
        <v>0</v>
      </c>
      <c r="GD111" s="549">
        <f t="shared" si="3698"/>
        <v>0</v>
      </c>
      <c r="GE111" s="675">
        <f t="shared" si="3698"/>
        <v>0</v>
      </c>
      <c r="GF111" s="549">
        <f t="shared" si="3698"/>
        <v>0</v>
      </c>
      <c r="GG111" s="675">
        <f t="shared" si="3698"/>
        <v>0</v>
      </c>
      <c r="GH111" s="549">
        <f t="shared" si="3698"/>
        <v>0</v>
      </c>
      <c r="GI111" s="675">
        <f t="shared" si="3698"/>
        <v>0</v>
      </c>
      <c r="GJ111" s="549">
        <f t="shared" si="3697"/>
        <v>0</v>
      </c>
      <c r="GK111" s="675">
        <f t="shared" si="3697"/>
        <v>0</v>
      </c>
      <c r="GL111" s="549">
        <f t="shared" ref="GL111:GR111" si="3699">SUM(GL112:GL116)</f>
        <v>0</v>
      </c>
      <c r="GM111" s="675">
        <f t="shared" si="3699"/>
        <v>0</v>
      </c>
      <c r="GN111" s="549">
        <f t="shared" ref="GN111:GO111" si="3700">SUM(GN112:GN116)</f>
        <v>0</v>
      </c>
      <c r="GO111" s="675">
        <f t="shared" si="3700"/>
        <v>0</v>
      </c>
      <c r="GP111" s="74">
        <f t="shared" si="3699"/>
        <v>1000</v>
      </c>
      <c r="GQ111" s="675">
        <f t="shared" si="3699"/>
        <v>-34016</v>
      </c>
      <c r="GR111" s="74">
        <f t="shared" si="3699"/>
        <v>6984</v>
      </c>
      <c r="GS111" s="74">
        <f>SUM(GS112:GS116)</f>
        <v>6984</v>
      </c>
      <c r="GT111" s="549">
        <f t="shared" ref="GT111:JA111" si="3701">SUM(GT112:GT116)</f>
        <v>6984</v>
      </c>
      <c r="GU111" s="74">
        <f>SUM(GU112:GU116)</f>
        <v>16000</v>
      </c>
      <c r="GV111" s="74">
        <f t="shared" ref="GV111:HA111" si="3702">SUM(GV112:GV116)</f>
        <v>3000</v>
      </c>
      <c r="GW111" s="74">
        <f t="shared" si="3702"/>
        <v>10000</v>
      </c>
      <c r="GX111" s="74">
        <f t="shared" si="3702"/>
        <v>6000</v>
      </c>
      <c r="GY111" s="74">
        <f t="shared" si="3702"/>
        <v>0</v>
      </c>
      <c r="GZ111" s="74">
        <f t="shared" si="3702"/>
        <v>0</v>
      </c>
      <c r="HA111" s="74">
        <f t="shared" si="3702"/>
        <v>5000</v>
      </c>
      <c r="HB111" s="74">
        <f t="shared" si="3701"/>
        <v>0</v>
      </c>
      <c r="HC111" s="74">
        <f t="shared" si="3701"/>
        <v>0</v>
      </c>
      <c r="HD111" s="74">
        <f t="shared" si="3701"/>
        <v>0</v>
      </c>
      <c r="HE111" s="74">
        <f t="shared" si="3701"/>
        <v>0</v>
      </c>
      <c r="HF111" s="74">
        <f t="shared" si="3701"/>
        <v>0</v>
      </c>
      <c r="HG111" s="74">
        <f t="shared" si="3701"/>
        <v>6984</v>
      </c>
      <c r="HH111" s="74">
        <f t="shared" ref="HH111:HU111" si="3703">SUM(HH112:HH116)</f>
        <v>16000</v>
      </c>
      <c r="HI111" s="74">
        <f t="shared" si="3703"/>
        <v>0</v>
      </c>
      <c r="HJ111" s="74">
        <f t="shared" si="3703"/>
        <v>3000</v>
      </c>
      <c r="HK111" s="74">
        <f t="shared" si="3703"/>
        <v>0</v>
      </c>
      <c r="HL111" s="74">
        <f t="shared" si="3703"/>
        <v>-5000</v>
      </c>
      <c r="HM111" s="74">
        <f t="shared" si="3703"/>
        <v>0</v>
      </c>
      <c r="HN111" s="74">
        <f t="shared" si="3703"/>
        <v>6000</v>
      </c>
      <c r="HO111" s="74">
        <f t="shared" si="3703"/>
        <v>0</v>
      </c>
      <c r="HP111" s="74">
        <f t="shared" si="3703"/>
        <v>-6000</v>
      </c>
      <c r="HQ111" s="74">
        <f t="shared" si="3703"/>
        <v>0</v>
      </c>
      <c r="HR111" s="74">
        <f t="shared" si="3703"/>
        <v>0</v>
      </c>
      <c r="HS111" s="74">
        <f t="shared" si="3703"/>
        <v>0</v>
      </c>
      <c r="HT111" s="74">
        <f t="shared" si="3703"/>
        <v>-4036</v>
      </c>
      <c r="HU111" s="74">
        <f t="shared" si="3703"/>
        <v>0</v>
      </c>
      <c r="HV111" s="74">
        <f t="shared" si="3701"/>
        <v>-1000</v>
      </c>
      <c r="HW111" s="74">
        <f t="shared" si="3701"/>
        <v>0</v>
      </c>
      <c r="HX111" s="74">
        <f t="shared" si="3701"/>
        <v>-803</v>
      </c>
      <c r="HY111" s="74">
        <f t="shared" si="3701"/>
        <v>0</v>
      </c>
      <c r="HZ111" s="74">
        <f t="shared" si="3701"/>
        <v>-1177</v>
      </c>
      <c r="IA111" s="74">
        <f t="shared" si="3701"/>
        <v>0</v>
      </c>
      <c r="IB111" s="74">
        <f t="shared" si="3701"/>
        <v>0</v>
      </c>
      <c r="IC111" s="74">
        <f t="shared" si="3701"/>
        <v>0</v>
      </c>
      <c r="ID111" s="74">
        <f t="shared" si="3701"/>
        <v>0</v>
      </c>
      <c r="IE111" s="792">
        <f t="shared" si="3701"/>
        <v>0</v>
      </c>
      <c r="IF111" s="841">
        <f t="shared" si="3701"/>
        <v>6903.7</v>
      </c>
      <c r="IG111" s="263">
        <f t="shared" si="3701"/>
        <v>6903.7</v>
      </c>
      <c r="IH111" s="842">
        <f t="shared" si="3701"/>
        <v>6903.7</v>
      </c>
      <c r="II111" s="155">
        <f t="shared" si="3701"/>
        <v>185.04</v>
      </c>
      <c r="IJ111" s="74">
        <f t="shared" si="3701"/>
        <v>185.04</v>
      </c>
      <c r="IK111" s="74">
        <f t="shared" si="3701"/>
        <v>185.04</v>
      </c>
      <c r="IL111" s="74">
        <f t="shared" si="3701"/>
        <v>108.97</v>
      </c>
      <c r="IM111" s="74">
        <f t="shared" si="3701"/>
        <v>108.97</v>
      </c>
      <c r="IN111" s="74">
        <f t="shared" si="3701"/>
        <v>108.97</v>
      </c>
      <c r="IO111" s="74">
        <f t="shared" si="3701"/>
        <v>2328</v>
      </c>
      <c r="IP111" s="74">
        <f t="shared" si="3701"/>
        <v>2328</v>
      </c>
      <c r="IQ111" s="74">
        <f t="shared" si="3701"/>
        <v>2328</v>
      </c>
      <c r="IR111" s="74">
        <f t="shared" si="3701"/>
        <v>331.20000000000016</v>
      </c>
      <c r="IS111" s="74">
        <f t="shared" si="3701"/>
        <v>331.20000000000016</v>
      </c>
      <c r="IT111" s="74">
        <f t="shared" si="3701"/>
        <v>331.20000000000016</v>
      </c>
      <c r="IU111" s="74">
        <f t="shared" si="3701"/>
        <v>414.75</v>
      </c>
      <c r="IV111" s="74">
        <f t="shared" si="3701"/>
        <v>414.75</v>
      </c>
      <c r="IW111" s="74">
        <f t="shared" si="3701"/>
        <v>414.75</v>
      </c>
      <c r="IX111" s="74">
        <f t="shared" si="3701"/>
        <v>998.99999999999977</v>
      </c>
      <c r="IY111" s="74">
        <f t="shared" si="3701"/>
        <v>998.99999999999977</v>
      </c>
      <c r="IZ111" s="74">
        <f t="shared" si="3701"/>
        <v>998.99999999999977</v>
      </c>
      <c r="JA111" s="74">
        <f t="shared" si="3701"/>
        <v>168.91999999999996</v>
      </c>
      <c r="JB111" s="74">
        <f t="shared" ref="JB111:JT111" si="3704">SUM(JB112:JB116)</f>
        <v>168.91999999999996</v>
      </c>
      <c r="JC111" s="74">
        <f t="shared" si="3704"/>
        <v>168.91999999999996</v>
      </c>
      <c r="JD111" s="74">
        <f t="shared" si="3704"/>
        <v>1022.8200000000002</v>
      </c>
      <c r="JE111" s="74">
        <f t="shared" si="3704"/>
        <v>1022.8200000000002</v>
      </c>
      <c r="JF111" s="74">
        <f t="shared" si="3704"/>
        <v>1022.8200000000002</v>
      </c>
      <c r="JG111" s="74">
        <f t="shared" si="3704"/>
        <v>175</v>
      </c>
      <c r="JH111" s="74">
        <f t="shared" si="3704"/>
        <v>175</v>
      </c>
      <c r="JI111" s="74">
        <f t="shared" si="3704"/>
        <v>175</v>
      </c>
      <c r="JJ111" s="74">
        <f t="shared" si="3704"/>
        <v>1170</v>
      </c>
      <c r="JK111" s="74">
        <f t="shared" si="3704"/>
        <v>1170</v>
      </c>
      <c r="JL111" s="74">
        <f t="shared" si="3704"/>
        <v>1170</v>
      </c>
      <c r="JM111" s="74">
        <f t="shared" si="3704"/>
        <v>0</v>
      </c>
      <c r="JN111" s="74">
        <f t="shared" si="3704"/>
        <v>0</v>
      </c>
      <c r="JO111" s="74">
        <f t="shared" si="3704"/>
        <v>0</v>
      </c>
      <c r="JP111" s="74">
        <f t="shared" si="3704"/>
        <v>0</v>
      </c>
      <c r="JQ111" s="74">
        <f t="shared" si="3704"/>
        <v>0</v>
      </c>
      <c r="JR111" s="74">
        <f t="shared" si="3704"/>
        <v>0</v>
      </c>
      <c r="JS111" s="74">
        <f t="shared" si="3704"/>
        <v>80.299999999999955</v>
      </c>
      <c r="JT111" s="102">
        <f t="shared" si="3704"/>
        <v>80.299999999999955</v>
      </c>
      <c r="JU111" s="671"/>
      <c r="JV111" s="492"/>
      <c r="JW111" s="490"/>
      <c r="JX111" s="549">
        <f>SUM(JX112:JX116)</f>
        <v>6984</v>
      </c>
      <c r="JY111" s="549">
        <f>SUM(JY112:JY116)</f>
        <v>0</v>
      </c>
      <c r="JZ111" s="581">
        <f t="shared" si="2110"/>
        <v>1000</v>
      </c>
      <c r="KA111" s="581">
        <f t="shared" si="2111"/>
        <v>-34016</v>
      </c>
      <c r="KB111" s="549">
        <f>SUM(KB112:KB116)</f>
        <v>6984</v>
      </c>
      <c r="KC111" s="709">
        <f t="shared" si="2079"/>
        <v>0</v>
      </c>
      <c r="KD111" s="36"/>
      <c r="KE111" s="36"/>
      <c r="KF111" s="36"/>
      <c r="KG111" s="36"/>
      <c r="KH111" s="36"/>
      <c r="KI111" s="36"/>
      <c r="KJ111" s="36"/>
      <c r="KK111" s="36"/>
    </row>
    <row r="112" spans="1:297" s="8" customFormat="1" ht="12.75" customHeight="1">
      <c r="A112" s="75">
        <v>211</v>
      </c>
      <c r="B112" s="72" t="s">
        <v>133</v>
      </c>
      <c r="C112" s="74">
        <f t="shared" ref="C112" si="3705">SUM(C445)</f>
        <v>10000</v>
      </c>
      <c r="D112" s="549">
        <f t="shared" ref="D112:E112" si="3706">SUM(D445)</f>
        <v>0</v>
      </c>
      <c r="E112" s="675">
        <f t="shared" si="3706"/>
        <v>0</v>
      </c>
      <c r="F112" s="549">
        <f t="shared" ref="F112:G112" si="3707">SUM(F445)</f>
        <v>0</v>
      </c>
      <c r="G112" s="675">
        <f t="shared" si="3707"/>
        <v>0</v>
      </c>
      <c r="H112" s="549">
        <f t="shared" ref="H112:I112" si="3708">SUM(H445)</f>
        <v>0</v>
      </c>
      <c r="I112" s="675">
        <f t="shared" si="3708"/>
        <v>0</v>
      </c>
      <c r="J112" s="549">
        <f t="shared" ref="J112:K112" si="3709">SUM(J445)</f>
        <v>0</v>
      </c>
      <c r="K112" s="675">
        <f t="shared" si="3709"/>
        <v>0</v>
      </c>
      <c r="L112" s="549">
        <f t="shared" ref="L112:M112" si="3710">SUM(L445)</f>
        <v>0</v>
      </c>
      <c r="M112" s="675">
        <f t="shared" si="3710"/>
        <v>0</v>
      </c>
      <c r="N112" s="549">
        <f t="shared" ref="N112:O112" si="3711">SUM(N445)</f>
        <v>0</v>
      </c>
      <c r="O112" s="675">
        <f t="shared" si="3711"/>
        <v>0</v>
      </c>
      <c r="P112" s="549">
        <f t="shared" ref="P112:Q112" si="3712">SUM(P445)</f>
        <v>0</v>
      </c>
      <c r="Q112" s="675">
        <f t="shared" si="3712"/>
        <v>0</v>
      </c>
      <c r="R112" s="549">
        <f t="shared" ref="R112:S112" si="3713">SUM(R445)</f>
        <v>0</v>
      </c>
      <c r="S112" s="675">
        <f t="shared" si="3713"/>
        <v>0</v>
      </c>
      <c r="T112" s="549">
        <f t="shared" ref="T112:U112" si="3714">SUM(T445)</f>
        <v>0</v>
      </c>
      <c r="U112" s="675">
        <f t="shared" si="3714"/>
        <v>0</v>
      </c>
      <c r="V112" s="549">
        <f t="shared" ref="V112:W112" si="3715">SUM(V445)</f>
        <v>0</v>
      </c>
      <c r="W112" s="675">
        <f t="shared" si="3715"/>
        <v>-3000</v>
      </c>
      <c r="X112" s="549">
        <f t="shared" ref="X112:Y112" si="3716">SUM(X445)</f>
        <v>0</v>
      </c>
      <c r="Y112" s="675">
        <f t="shared" si="3716"/>
        <v>0</v>
      </c>
      <c r="Z112" s="549">
        <f t="shared" ref="Z112:AA112" si="3717">SUM(Z445)</f>
        <v>0</v>
      </c>
      <c r="AA112" s="675">
        <f t="shared" si="3717"/>
        <v>0</v>
      </c>
      <c r="AB112" s="549">
        <f t="shared" ref="AB112:AC112" si="3718">SUM(AB445)</f>
        <v>0</v>
      </c>
      <c r="AC112" s="675">
        <f t="shared" si="3718"/>
        <v>0</v>
      </c>
      <c r="AD112" s="549">
        <f t="shared" ref="AD112:AE112" si="3719">SUM(AD445)</f>
        <v>0</v>
      </c>
      <c r="AE112" s="675">
        <f t="shared" si="3719"/>
        <v>0</v>
      </c>
      <c r="AF112" s="549">
        <f t="shared" ref="AF112:AI112" si="3720">SUM(AF445)</f>
        <v>0</v>
      </c>
      <c r="AG112" s="675">
        <f t="shared" si="3720"/>
        <v>-2000</v>
      </c>
      <c r="AH112" s="549">
        <f t="shared" si="3720"/>
        <v>0</v>
      </c>
      <c r="AI112" s="675">
        <f t="shared" si="3720"/>
        <v>0</v>
      </c>
      <c r="AJ112" s="549">
        <f t="shared" ref="AJ112:AK112" si="3721">SUM(AJ445)</f>
        <v>0</v>
      </c>
      <c r="AK112" s="675">
        <f t="shared" si="3721"/>
        <v>0</v>
      </c>
      <c r="AL112" s="549">
        <f t="shared" ref="AL112:AM112" si="3722">SUM(AL445)</f>
        <v>0</v>
      </c>
      <c r="AM112" s="675">
        <f t="shared" si="3722"/>
        <v>0</v>
      </c>
      <c r="AN112" s="549">
        <f t="shared" ref="AN112:AO112" si="3723">SUM(AN445)</f>
        <v>0</v>
      </c>
      <c r="AO112" s="675">
        <f t="shared" si="3723"/>
        <v>0</v>
      </c>
      <c r="AP112" s="549">
        <f t="shared" ref="AP112:AQ112" si="3724">SUM(AP445)</f>
        <v>0</v>
      </c>
      <c r="AQ112" s="675">
        <f t="shared" si="3724"/>
        <v>0</v>
      </c>
      <c r="AR112" s="549">
        <f t="shared" ref="AR112:AS112" si="3725">SUM(AR445)</f>
        <v>0</v>
      </c>
      <c r="AS112" s="675">
        <f t="shared" si="3725"/>
        <v>0</v>
      </c>
      <c r="AT112" s="549">
        <f t="shared" ref="AT112:AU112" si="3726">SUM(AT445)</f>
        <v>0</v>
      </c>
      <c r="AU112" s="675">
        <f t="shared" si="3726"/>
        <v>0</v>
      </c>
      <c r="AV112" s="549">
        <f t="shared" ref="AV112:AW112" si="3727">SUM(AV445)</f>
        <v>0</v>
      </c>
      <c r="AW112" s="675">
        <f t="shared" si="3727"/>
        <v>0</v>
      </c>
      <c r="AX112" s="549">
        <f t="shared" ref="AX112:AY112" si="3728">SUM(AX445)</f>
        <v>0</v>
      </c>
      <c r="AY112" s="675">
        <f t="shared" si="3728"/>
        <v>0</v>
      </c>
      <c r="AZ112" s="549">
        <f t="shared" ref="AZ112:BA112" si="3729">SUM(AZ445)</f>
        <v>0</v>
      </c>
      <c r="BA112" s="675">
        <f t="shared" si="3729"/>
        <v>-1000</v>
      </c>
      <c r="BB112" s="549">
        <f t="shared" ref="BB112:BC112" si="3730">SUM(BB445)</f>
        <v>0</v>
      </c>
      <c r="BC112" s="675">
        <f t="shared" si="3730"/>
        <v>0</v>
      </c>
      <c r="BD112" s="549">
        <f t="shared" ref="BD112:BE112" si="3731">SUM(BD445)</f>
        <v>0</v>
      </c>
      <c r="BE112" s="675">
        <f t="shared" si="3731"/>
        <v>0</v>
      </c>
      <c r="BF112" s="549">
        <f t="shared" ref="BF112:BG112" si="3732">SUM(BF445)</f>
        <v>0</v>
      </c>
      <c r="BG112" s="675">
        <f t="shared" si="3732"/>
        <v>0</v>
      </c>
      <c r="BH112" s="549">
        <f t="shared" ref="BH112:BI112" si="3733">SUM(BH445)</f>
        <v>0</v>
      </c>
      <c r="BI112" s="675">
        <f t="shared" si="3733"/>
        <v>0</v>
      </c>
      <c r="BJ112" s="549">
        <f t="shared" ref="BJ112:BK112" si="3734">SUM(BJ445)</f>
        <v>0</v>
      </c>
      <c r="BK112" s="675">
        <f t="shared" si="3734"/>
        <v>0</v>
      </c>
      <c r="BL112" s="549">
        <f t="shared" ref="BL112:BS112" si="3735">SUM(BL445)</f>
        <v>0</v>
      </c>
      <c r="BM112" s="675">
        <f t="shared" si="3735"/>
        <v>0</v>
      </c>
      <c r="BN112" s="549">
        <f t="shared" si="3735"/>
        <v>0</v>
      </c>
      <c r="BO112" s="675">
        <f t="shared" si="3735"/>
        <v>0</v>
      </c>
      <c r="BP112" s="549">
        <f t="shared" si="3735"/>
        <v>0</v>
      </c>
      <c r="BQ112" s="675">
        <f t="shared" si="3735"/>
        <v>0</v>
      </c>
      <c r="BR112" s="549">
        <f t="shared" si="3735"/>
        <v>0</v>
      </c>
      <c r="BS112" s="675">
        <f t="shared" si="3735"/>
        <v>0</v>
      </c>
      <c r="BT112" s="549">
        <f t="shared" ref="BT112:BU112" si="3736">SUM(BT445)</f>
        <v>0</v>
      </c>
      <c r="BU112" s="675">
        <f t="shared" si="3736"/>
        <v>0</v>
      </c>
      <c r="BV112" s="549">
        <f t="shared" ref="BV112:BW112" si="3737">SUM(BV445)</f>
        <v>0</v>
      </c>
      <c r="BW112" s="675">
        <f t="shared" si="3737"/>
        <v>0</v>
      </c>
      <c r="BX112" s="549">
        <f t="shared" ref="BX112:BY112" si="3738">SUM(BX445)</f>
        <v>0</v>
      </c>
      <c r="BY112" s="675">
        <f t="shared" si="3738"/>
        <v>0</v>
      </c>
      <c r="BZ112" s="549">
        <f t="shared" ref="BZ112:CA112" si="3739">SUM(BZ445)</f>
        <v>0</v>
      </c>
      <c r="CA112" s="675">
        <f t="shared" si="3739"/>
        <v>0</v>
      </c>
      <c r="CB112" s="549">
        <f t="shared" ref="CB112:CE112" si="3740">SUM(CB445)</f>
        <v>0</v>
      </c>
      <c r="CC112" s="675">
        <f t="shared" si="3740"/>
        <v>0</v>
      </c>
      <c r="CD112" s="549">
        <f t="shared" si="3740"/>
        <v>0</v>
      </c>
      <c r="CE112" s="675">
        <f t="shared" si="3740"/>
        <v>0</v>
      </c>
      <c r="CF112" s="549">
        <f t="shared" ref="CF112:CG112" si="3741">SUM(CF445)</f>
        <v>0</v>
      </c>
      <c r="CG112" s="675">
        <f t="shared" si="3741"/>
        <v>0</v>
      </c>
      <c r="CH112" s="549">
        <f t="shared" ref="CH112:CQ112" si="3742">SUM(CH445)</f>
        <v>0</v>
      </c>
      <c r="CI112" s="675">
        <f t="shared" si="3742"/>
        <v>0</v>
      </c>
      <c r="CJ112" s="549">
        <f t="shared" si="3742"/>
        <v>0</v>
      </c>
      <c r="CK112" s="675">
        <f t="shared" si="3742"/>
        <v>-1036</v>
      </c>
      <c r="CL112" s="549">
        <f t="shared" si="3742"/>
        <v>1000</v>
      </c>
      <c r="CM112" s="675">
        <f t="shared" si="3742"/>
        <v>0</v>
      </c>
      <c r="CN112" s="549">
        <f t="shared" si="3742"/>
        <v>0</v>
      </c>
      <c r="CO112" s="675">
        <f t="shared" si="3742"/>
        <v>0</v>
      </c>
      <c r="CP112" s="549">
        <f t="shared" si="3742"/>
        <v>0</v>
      </c>
      <c r="CQ112" s="675">
        <f t="shared" si="3742"/>
        <v>0</v>
      </c>
      <c r="CR112" s="549">
        <f t="shared" ref="CR112:CY112" si="3743">SUM(CR445)</f>
        <v>0</v>
      </c>
      <c r="CS112" s="675">
        <f t="shared" si="3743"/>
        <v>0</v>
      </c>
      <c r="CT112" s="549">
        <f t="shared" si="3743"/>
        <v>0</v>
      </c>
      <c r="CU112" s="675">
        <f t="shared" si="3743"/>
        <v>0</v>
      </c>
      <c r="CV112" s="549">
        <f t="shared" si="3743"/>
        <v>0</v>
      </c>
      <c r="CW112" s="675">
        <f t="shared" si="3743"/>
        <v>0</v>
      </c>
      <c r="CX112" s="549">
        <f t="shared" si="3743"/>
        <v>0</v>
      </c>
      <c r="CY112" s="675">
        <f t="shared" si="3743"/>
        <v>0</v>
      </c>
      <c r="CZ112" s="549">
        <f t="shared" ref="CZ112:DI112" si="3744">SUM(CZ445)</f>
        <v>0</v>
      </c>
      <c r="DA112" s="675">
        <f t="shared" si="3744"/>
        <v>0</v>
      </c>
      <c r="DB112" s="549">
        <f t="shared" si="3744"/>
        <v>0</v>
      </c>
      <c r="DC112" s="675">
        <f t="shared" si="3744"/>
        <v>0</v>
      </c>
      <c r="DD112" s="549">
        <f t="shared" si="3744"/>
        <v>0</v>
      </c>
      <c r="DE112" s="675">
        <f t="shared" si="3744"/>
        <v>0</v>
      </c>
      <c r="DF112" s="549">
        <f t="shared" si="3744"/>
        <v>0</v>
      </c>
      <c r="DG112" s="675">
        <f t="shared" si="3744"/>
        <v>0</v>
      </c>
      <c r="DH112" s="549">
        <f t="shared" si="3744"/>
        <v>0</v>
      </c>
      <c r="DI112" s="675">
        <f t="shared" si="3744"/>
        <v>0</v>
      </c>
      <c r="DJ112" s="549">
        <f t="shared" ref="DJ112:DK112" si="3745">SUM(DJ445)</f>
        <v>0</v>
      </c>
      <c r="DK112" s="675">
        <f t="shared" si="3745"/>
        <v>0</v>
      </c>
      <c r="DL112" s="549">
        <f t="shared" ref="DL112:DM112" si="3746">SUM(DL445)</f>
        <v>0</v>
      </c>
      <c r="DM112" s="675">
        <f t="shared" si="3746"/>
        <v>0</v>
      </c>
      <c r="DN112" s="549">
        <f t="shared" ref="DN112:DW112" si="3747">SUM(DN445)</f>
        <v>0</v>
      </c>
      <c r="DO112" s="675">
        <f t="shared" si="3747"/>
        <v>0</v>
      </c>
      <c r="DP112" s="549">
        <f t="shared" si="3747"/>
        <v>0</v>
      </c>
      <c r="DQ112" s="675">
        <f t="shared" si="3747"/>
        <v>0</v>
      </c>
      <c r="DR112" s="549">
        <f t="shared" si="3747"/>
        <v>0</v>
      </c>
      <c r="DS112" s="675">
        <f t="shared" si="3747"/>
        <v>0</v>
      </c>
      <c r="DT112" s="549">
        <f t="shared" si="3747"/>
        <v>0</v>
      </c>
      <c r="DU112" s="675">
        <f t="shared" si="3747"/>
        <v>0</v>
      </c>
      <c r="DV112" s="549">
        <f t="shared" si="3747"/>
        <v>0</v>
      </c>
      <c r="DW112" s="675">
        <f t="shared" si="3747"/>
        <v>0</v>
      </c>
      <c r="DX112" s="549">
        <f t="shared" ref="DX112:EG112" si="3748">SUM(DX445)</f>
        <v>0</v>
      </c>
      <c r="DY112" s="675">
        <f t="shared" si="3748"/>
        <v>0</v>
      </c>
      <c r="DZ112" s="549">
        <f t="shared" si="3748"/>
        <v>0</v>
      </c>
      <c r="EA112" s="675">
        <f t="shared" si="3748"/>
        <v>0</v>
      </c>
      <c r="EB112" s="549">
        <f t="shared" si="3748"/>
        <v>0</v>
      </c>
      <c r="EC112" s="675">
        <f t="shared" si="3748"/>
        <v>0</v>
      </c>
      <c r="ED112" s="549">
        <f t="shared" si="3748"/>
        <v>0</v>
      </c>
      <c r="EE112" s="675">
        <f t="shared" si="3748"/>
        <v>0</v>
      </c>
      <c r="EF112" s="549">
        <f t="shared" si="3748"/>
        <v>0</v>
      </c>
      <c r="EG112" s="675">
        <f t="shared" si="3748"/>
        <v>0</v>
      </c>
      <c r="EH112" s="549">
        <f t="shared" ref="EH112:EM112" si="3749">SUM(EH445)</f>
        <v>0</v>
      </c>
      <c r="EI112" s="675">
        <f t="shared" si="3749"/>
        <v>0</v>
      </c>
      <c r="EJ112" s="549">
        <f t="shared" si="3749"/>
        <v>0</v>
      </c>
      <c r="EK112" s="675">
        <f t="shared" si="3749"/>
        <v>0</v>
      </c>
      <c r="EL112" s="549">
        <f t="shared" si="3749"/>
        <v>0</v>
      </c>
      <c r="EM112" s="675">
        <f t="shared" si="3749"/>
        <v>0</v>
      </c>
      <c r="EN112" s="549">
        <f t="shared" ref="EN112:EO112" si="3750">SUM(EN445)</f>
        <v>0</v>
      </c>
      <c r="EO112" s="675">
        <f t="shared" si="3750"/>
        <v>0</v>
      </c>
      <c r="EP112" s="549">
        <f t="shared" ref="EP112:FA112" si="3751">SUM(EP445)</f>
        <v>0</v>
      </c>
      <c r="EQ112" s="675">
        <f t="shared" si="3751"/>
        <v>0</v>
      </c>
      <c r="ER112" s="549">
        <f t="shared" si="3751"/>
        <v>0</v>
      </c>
      <c r="ES112" s="675">
        <f t="shared" si="3751"/>
        <v>0</v>
      </c>
      <c r="ET112" s="549">
        <f t="shared" si="3751"/>
        <v>0</v>
      </c>
      <c r="EU112" s="675">
        <f t="shared" si="3751"/>
        <v>0</v>
      </c>
      <c r="EV112" s="549">
        <f t="shared" ref="EV112:EW112" si="3752">SUM(EV445)</f>
        <v>0</v>
      </c>
      <c r="EW112" s="675">
        <f t="shared" si="3752"/>
        <v>-400</v>
      </c>
      <c r="EX112" s="549">
        <f t="shared" si="3751"/>
        <v>0</v>
      </c>
      <c r="EY112" s="675">
        <f t="shared" si="3751"/>
        <v>0</v>
      </c>
      <c r="EZ112" s="549">
        <f t="shared" si="3751"/>
        <v>0</v>
      </c>
      <c r="FA112" s="675">
        <f t="shared" si="3751"/>
        <v>0</v>
      </c>
      <c r="FB112" s="549">
        <f t="shared" ref="FB112:FC112" si="3753">SUM(FB445)</f>
        <v>0</v>
      </c>
      <c r="FC112" s="675">
        <f t="shared" si="3753"/>
        <v>0</v>
      </c>
      <c r="FD112" s="549">
        <f t="shared" ref="FD112:FE112" si="3754">SUM(FD445)</f>
        <v>0</v>
      </c>
      <c r="FE112" s="675">
        <f t="shared" si="3754"/>
        <v>0</v>
      </c>
      <c r="FF112" s="549">
        <f t="shared" ref="FF112:FG112" si="3755">SUM(FF445)</f>
        <v>0</v>
      </c>
      <c r="FG112" s="675">
        <f t="shared" si="3755"/>
        <v>0</v>
      </c>
      <c r="FH112" s="549">
        <f t="shared" ref="FH112:FI112" si="3756">SUM(FH445)</f>
        <v>0</v>
      </c>
      <c r="FI112" s="675">
        <f t="shared" si="3756"/>
        <v>0</v>
      </c>
      <c r="FJ112" s="549">
        <f t="shared" ref="FJ112:FK112" si="3757">SUM(FJ445)</f>
        <v>0</v>
      </c>
      <c r="FK112" s="675">
        <f t="shared" si="3757"/>
        <v>0</v>
      </c>
      <c r="FL112" s="549">
        <f t="shared" ref="FL112:FM112" si="3758">SUM(FL445)</f>
        <v>0</v>
      </c>
      <c r="FM112" s="675">
        <f t="shared" si="3758"/>
        <v>-186</v>
      </c>
      <c r="FN112" s="549">
        <f t="shared" ref="FN112:FO112" si="3759">SUM(FN445)</f>
        <v>0</v>
      </c>
      <c r="FO112" s="675">
        <f t="shared" si="3759"/>
        <v>0</v>
      </c>
      <c r="FP112" s="549">
        <f t="shared" ref="FP112:FQ112" si="3760">SUM(FP445)</f>
        <v>0</v>
      </c>
      <c r="FQ112" s="675">
        <f t="shared" si="3760"/>
        <v>0</v>
      </c>
      <c r="FR112" s="549">
        <f t="shared" ref="FR112:FS112" si="3761">SUM(FR445)</f>
        <v>0</v>
      </c>
      <c r="FS112" s="675">
        <f t="shared" si="3761"/>
        <v>0</v>
      </c>
      <c r="FT112" s="549">
        <f t="shared" ref="FT112:FU112" si="3762">SUM(FT445)</f>
        <v>0</v>
      </c>
      <c r="FU112" s="675">
        <f t="shared" si="3762"/>
        <v>0</v>
      </c>
      <c r="FV112" s="549">
        <f t="shared" ref="FV112:GK112" si="3763">SUM(FV445)</f>
        <v>0</v>
      </c>
      <c r="FW112" s="675">
        <f t="shared" si="3763"/>
        <v>0</v>
      </c>
      <c r="FX112" s="549">
        <f t="shared" si="3763"/>
        <v>0</v>
      </c>
      <c r="FY112" s="675">
        <f t="shared" si="3763"/>
        <v>0</v>
      </c>
      <c r="FZ112" s="549">
        <f t="shared" ref="FZ112:GI112" si="3764">SUM(FZ445)</f>
        <v>0</v>
      </c>
      <c r="GA112" s="675">
        <f t="shared" si="3764"/>
        <v>0</v>
      </c>
      <c r="GB112" s="549">
        <f t="shared" si="3764"/>
        <v>0</v>
      </c>
      <c r="GC112" s="675">
        <f t="shared" si="3764"/>
        <v>0</v>
      </c>
      <c r="GD112" s="549">
        <f t="shared" si="3764"/>
        <v>0</v>
      </c>
      <c r="GE112" s="675">
        <f t="shared" si="3764"/>
        <v>0</v>
      </c>
      <c r="GF112" s="549">
        <f t="shared" si="3764"/>
        <v>0</v>
      </c>
      <c r="GG112" s="675">
        <f t="shared" si="3764"/>
        <v>0</v>
      </c>
      <c r="GH112" s="549">
        <f t="shared" si="3764"/>
        <v>0</v>
      </c>
      <c r="GI112" s="675">
        <f t="shared" si="3764"/>
        <v>0</v>
      </c>
      <c r="GJ112" s="549">
        <f t="shared" si="3763"/>
        <v>0</v>
      </c>
      <c r="GK112" s="675">
        <f t="shared" si="3763"/>
        <v>0</v>
      </c>
      <c r="GL112" s="549">
        <f t="shared" ref="GL112:GQ112" si="3765">SUM(GL445)</f>
        <v>0</v>
      </c>
      <c r="GM112" s="675">
        <f t="shared" si="3765"/>
        <v>0</v>
      </c>
      <c r="GN112" s="549">
        <f t="shared" ref="GN112:GO112" si="3766">SUM(GN445)</f>
        <v>0</v>
      </c>
      <c r="GO112" s="675">
        <f t="shared" si="3766"/>
        <v>0</v>
      </c>
      <c r="GP112" s="74">
        <f t="shared" si="3765"/>
        <v>1000</v>
      </c>
      <c r="GQ112" s="675">
        <f t="shared" si="3765"/>
        <v>-7622</v>
      </c>
      <c r="GR112" s="74">
        <f t="shared" ref="GR112:HK112" si="3767">SUM(GR445)</f>
        <v>3378</v>
      </c>
      <c r="GS112" s="74">
        <f t="shared" si="3767"/>
        <v>3378</v>
      </c>
      <c r="GT112" s="74">
        <f t="shared" si="3767"/>
        <v>3378</v>
      </c>
      <c r="GU112" s="74">
        <f t="shared" si="3767"/>
        <v>5000</v>
      </c>
      <c r="GV112" s="74">
        <f t="shared" si="3767"/>
        <v>0</v>
      </c>
      <c r="GW112" s="74">
        <f t="shared" si="3767"/>
        <v>5000</v>
      </c>
      <c r="GX112" s="74">
        <f t="shared" si="3767"/>
        <v>0</v>
      </c>
      <c r="GY112" s="74">
        <f t="shared" si="3767"/>
        <v>0</v>
      </c>
      <c r="GZ112" s="74">
        <f t="shared" si="3767"/>
        <v>0</v>
      </c>
      <c r="HA112" s="74">
        <f t="shared" si="3767"/>
        <v>0</v>
      </c>
      <c r="HB112" s="74">
        <f t="shared" si="3767"/>
        <v>0</v>
      </c>
      <c r="HC112" s="74">
        <f t="shared" si="3767"/>
        <v>0</v>
      </c>
      <c r="HD112" s="74">
        <f t="shared" si="3767"/>
        <v>0</v>
      </c>
      <c r="HE112" s="74">
        <f t="shared" si="3767"/>
        <v>0</v>
      </c>
      <c r="HF112" s="74">
        <f t="shared" si="3767"/>
        <v>0</v>
      </c>
      <c r="HG112" s="74">
        <f t="shared" si="3767"/>
        <v>3378</v>
      </c>
      <c r="HH112" s="74">
        <f t="shared" si="3767"/>
        <v>5000</v>
      </c>
      <c r="HI112" s="74">
        <f t="shared" si="3767"/>
        <v>0</v>
      </c>
      <c r="HJ112" s="74">
        <f t="shared" si="3767"/>
        <v>0</v>
      </c>
      <c r="HK112" s="74">
        <f t="shared" si="3767"/>
        <v>0</v>
      </c>
      <c r="HL112" s="74">
        <f t="shared" ref="HL112:JT112" si="3768">SUM(HL445)</f>
        <v>0</v>
      </c>
      <c r="HM112" s="74">
        <f t="shared" si="3768"/>
        <v>0</v>
      </c>
      <c r="HN112" s="74">
        <f t="shared" si="3768"/>
        <v>0</v>
      </c>
      <c r="HO112" s="74">
        <f t="shared" si="3768"/>
        <v>0</v>
      </c>
      <c r="HP112" s="74">
        <f t="shared" si="3768"/>
        <v>-1000</v>
      </c>
      <c r="HQ112" s="74">
        <f t="shared" si="3768"/>
        <v>0</v>
      </c>
      <c r="HR112" s="74">
        <f t="shared" si="3768"/>
        <v>0</v>
      </c>
      <c r="HS112" s="74">
        <f t="shared" si="3768"/>
        <v>0</v>
      </c>
      <c r="HT112" s="74">
        <f t="shared" si="3768"/>
        <v>-36</v>
      </c>
      <c r="HU112" s="74">
        <f t="shared" si="3768"/>
        <v>0</v>
      </c>
      <c r="HV112" s="74">
        <f t="shared" si="3768"/>
        <v>0</v>
      </c>
      <c r="HW112" s="74">
        <f t="shared" si="3768"/>
        <v>0</v>
      </c>
      <c r="HX112" s="74">
        <f t="shared" si="3768"/>
        <v>-400</v>
      </c>
      <c r="HY112" s="74">
        <f t="shared" si="3768"/>
        <v>0</v>
      </c>
      <c r="HZ112" s="74">
        <f t="shared" si="3768"/>
        <v>-186</v>
      </c>
      <c r="IA112" s="74">
        <f t="shared" si="3768"/>
        <v>0</v>
      </c>
      <c r="IB112" s="74">
        <f t="shared" si="3768"/>
        <v>0</v>
      </c>
      <c r="IC112" s="74">
        <f t="shared" si="3768"/>
        <v>0</v>
      </c>
      <c r="ID112" s="74">
        <f t="shared" si="3768"/>
        <v>0</v>
      </c>
      <c r="IE112" s="792">
        <f t="shared" si="3768"/>
        <v>0</v>
      </c>
      <c r="IF112" s="841">
        <f t="shared" si="3768"/>
        <v>3377.94</v>
      </c>
      <c r="IG112" s="263">
        <f t="shared" si="3768"/>
        <v>3377.94</v>
      </c>
      <c r="IH112" s="842">
        <f t="shared" si="3768"/>
        <v>3377.94</v>
      </c>
      <c r="II112" s="155">
        <f t="shared" si="3768"/>
        <v>0</v>
      </c>
      <c r="IJ112" s="74">
        <f t="shared" si="3768"/>
        <v>0</v>
      </c>
      <c r="IK112" s="74">
        <f t="shared" si="3768"/>
        <v>0</v>
      </c>
      <c r="IL112" s="74">
        <f t="shared" si="3768"/>
        <v>86.97</v>
      </c>
      <c r="IM112" s="74">
        <f t="shared" si="3768"/>
        <v>86.97</v>
      </c>
      <c r="IN112" s="74">
        <f t="shared" si="3768"/>
        <v>86.97</v>
      </c>
      <c r="IO112" s="74">
        <f t="shared" si="3768"/>
        <v>1350</v>
      </c>
      <c r="IP112" s="74">
        <f t="shared" si="3768"/>
        <v>1350</v>
      </c>
      <c r="IQ112" s="74">
        <f t="shared" si="3768"/>
        <v>1350</v>
      </c>
      <c r="IR112" s="74">
        <f t="shared" si="3768"/>
        <v>0</v>
      </c>
      <c r="IS112" s="74">
        <f t="shared" si="3768"/>
        <v>0</v>
      </c>
      <c r="IT112" s="74">
        <f t="shared" si="3768"/>
        <v>0</v>
      </c>
      <c r="IU112" s="74">
        <f t="shared" si="3768"/>
        <v>414.75</v>
      </c>
      <c r="IV112" s="74">
        <f t="shared" si="3768"/>
        <v>414.75</v>
      </c>
      <c r="IW112" s="74">
        <f t="shared" si="3768"/>
        <v>414.75</v>
      </c>
      <c r="IX112" s="74">
        <f t="shared" si="3768"/>
        <v>998.99999999999977</v>
      </c>
      <c r="IY112" s="74">
        <f t="shared" si="3768"/>
        <v>998.99999999999977</v>
      </c>
      <c r="IZ112" s="74">
        <f t="shared" si="3768"/>
        <v>998.99999999999977</v>
      </c>
      <c r="JA112" s="74">
        <f t="shared" si="3768"/>
        <v>112.5</v>
      </c>
      <c r="JB112" s="74">
        <f t="shared" si="3768"/>
        <v>112.5</v>
      </c>
      <c r="JC112" s="74">
        <f t="shared" si="3768"/>
        <v>112.5</v>
      </c>
      <c r="JD112" s="74">
        <f t="shared" si="3768"/>
        <v>414.72000000000025</v>
      </c>
      <c r="JE112" s="74">
        <f t="shared" si="3768"/>
        <v>414.72000000000025</v>
      </c>
      <c r="JF112" s="74">
        <f t="shared" si="3768"/>
        <v>414.72000000000025</v>
      </c>
      <c r="JG112" s="74">
        <f t="shared" si="3768"/>
        <v>0</v>
      </c>
      <c r="JH112" s="74">
        <f t="shared" si="3768"/>
        <v>0</v>
      </c>
      <c r="JI112" s="74">
        <f t="shared" si="3768"/>
        <v>0</v>
      </c>
      <c r="JJ112" s="74">
        <f t="shared" si="3768"/>
        <v>0</v>
      </c>
      <c r="JK112" s="74">
        <f t="shared" si="3768"/>
        <v>0</v>
      </c>
      <c r="JL112" s="74">
        <f t="shared" si="3768"/>
        <v>0</v>
      </c>
      <c r="JM112" s="74">
        <f t="shared" si="3768"/>
        <v>0</v>
      </c>
      <c r="JN112" s="74">
        <f t="shared" si="3768"/>
        <v>0</v>
      </c>
      <c r="JO112" s="74">
        <f t="shared" si="3768"/>
        <v>0</v>
      </c>
      <c r="JP112" s="74">
        <f t="shared" si="3768"/>
        <v>0</v>
      </c>
      <c r="JQ112" s="74">
        <f t="shared" si="3768"/>
        <v>0</v>
      </c>
      <c r="JR112" s="74">
        <f t="shared" si="3768"/>
        <v>0</v>
      </c>
      <c r="JS112" s="74">
        <f t="shared" si="3768"/>
        <v>5.999999999994543E-2</v>
      </c>
      <c r="JT112" s="102">
        <f t="shared" si="3768"/>
        <v>5.999999999994543E-2</v>
      </c>
      <c r="JU112" s="671"/>
      <c r="JV112" s="492"/>
      <c r="JW112" s="490"/>
      <c r="JX112" s="549">
        <f>SUM(JX445)</f>
        <v>3378</v>
      </c>
      <c r="JY112" s="549">
        <f>SUM(JY445)</f>
        <v>0</v>
      </c>
      <c r="JZ112" s="581">
        <f t="shared" si="2110"/>
        <v>1000</v>
      </c>
      <c r="KA112" s="581">
        <f t="shared" si="2111"/>
        <v>-7622</v>
      </c>
      <c r="KB112" s="549">
        <f>SUM(KB445)</f>
        <v>3378</v>
      </c>
      <c r="KC112" s="709">
        <f t="shared" si="2079"/>
        <v>0</v>
      </c>
      <c r="KD112" s="36"/>
      <c r="KE112" s="36"/>
      <c r="KF112" s="36"/>
      <c r="KG112" s="36"/>
      <c r="KH112" s="36"/>
      <c r="KI112" s="36"/>
      <c r="KJ112" s="36"/>
      <c r="KK112" s="36"/>
    </row>
    <row r="113" spans="1:297" s="8" customFormat="1" ht="12.75" customHeight="1">
      <c r="A113" s="75" t="s">
        <v>500</v>
      </c>
      <c r="B113" s="72" t="s">
        <v>133</v>
      </c>
      <c r="C113" s="74">
        <f t="shared" ref="C113:AS113" si="3769">C446</f>
        <v>10000</v>
      </c>
      <c r="D113" s="549">
        <f t="shared" si="3769"/>
        <v>0</v>
      </c>
      <c r="E113" s="675">
        <f t="shared" si="3769"/>
        <v>0</v>
      </c>
      <c r="F113" s="549">
        <f t="shared" si="3769"/>
        <v>0</v>
      </c>
      <c r="G113" s="675">
        <f t="shared" si="3769"/>
        <v>0</v>
      </c>
      <c r="H113" s="549">
        <f t="shared" si="3769"/>
        <v>0</v>
      </c>
      <c r="I113" s="675">
        <f t="shared" si="3769"/>
        <v>0</v>
      </c>
      <c r="J113" s="549">
        <f t="shared" si="3769"/>
        <v>0</v>
      </c>
      <c r="K113" s="675">
        <f t="shared" si="3769"/>
        <v>0</v>
      </c>
      <c r="L113" s="549">
        <f t="shared" si="3769"/>
        <v>0</v>
      </c>
      <c r="M113" s="675">
        <f t="shared" si="3769"/>
        <v>0</v>
      </c>
      <c r="N113" s="549">
        <f t="shared" si="3769"/>
        <v>0</v>
      </c>
      <c r="O113" s="675">
        <f t="shared" si="3769"/>
        <v>0</v>
      </c>
      <c r="P113" s="549">
        <f t="shared" si="3769"/>
        <v>0</v>
      </c>
      <c r="Q113" s="675">
        <f t="shared" si="3769"/>
        <v>0</v>
      </c>
      <c r="R113" s="549">
        <f t="shared" si="3769"/>
        <v>0</v>
      </c>
      <c r="S113" s="675">
        <f t="shared" si="3769"/>
        <v>0</v>
      </c>
      <c r="T113" s="549">
        <f t="shared" si="3769"/>
        <v>0</v>
      </c>
      <c r="U113" s="675">
        <f t="shared" si="3769"/>
        <v>0</v>
      </c>
      <c r="V113" s="549">
        <f t="shared" si="3769"/>
        <v>0</v>
      </c>
      <c r="W113" s="675">
        <f t="shared" si="3769"/>
        <v>-3000</v>
      </c>
      <c r="X113" s="549">
        <f t="shared" si="3769"/>
        <v>0</v>
      </c>
      <c r="Y113" s="675">
        <f t="shared" si="3769"/>
        <v>0</v>
      </c>
      <c r="Z113" s="549">
        <f t="shared" si="3769"/>
        <v>0</v>
      </c>
      <c r="AA113" s="675">
        <f t="shared" si="3769"/>
        <v>0</v>
      </c>
      <c r="AB113" s="549">
        <f t="shared" si="3769"/>
        <v>0</v>
      </c>
      <c r="AC113" s="675">
        <f t="shared" si="3769"/>
        <v>0</v>
      </c>
      <c r="AD113" s="549">
        <f t="shared" si="3769"/>
        <v>0</v>
      </c>
      <c r="AE113" s="675">
        <f t="shared" si="3769"/>
        <v>0</v>
      </c>
      <c r="AF113" s="549">
        <f t="shared" si="3769"/>
        <v>0</v>
      </c>
      <c r="AG113" s="675">
        <f t="shared" si="3769"/>
        <v>0</v>
      </c>
      <c r="AH113" s="549">
        <f t="shared" si="3769"/>
        <v>0</v>
      </c>
      <c r="AI113" s="675">
        <f t="shared" si="3769"/>
        <v>0</v>
      </c>
      <c r="AJ113" s="549">
        <f t="shared" si="3769"/>
        <v>0</v>
      </c>
      <c r="AK113" s="675">
        <f t="shared" si="3769"/>
        <v>0</v>
      </c>
      <c r="AL113" s="549">
        <f t="shared" si="3769"/>
        <v>0</v>
      </c>
      <c r="AM113" s="675">
        <f t="shared" si="3769"/>
        <v>0</v>
      </c>
      <c r="AN113" s="549">
        <f t="shared" si="3769"/>
        <v>0</v>
      </c>
      <c r="AO113" s="675">
        <f t="shared" si="3769"/>
        <v>0</v>
      </c>
      <c r="AP113" s="549">
        <f t="shared" si="3769"/>
        <v>0</v>
      </c>
      <c r="AQ113" s="675">
        <f t="shared" si="3769"/>
        <v>0</v>
      </c>
      <c r="AR113" s="549">
        <f t="shared" si="3769"/>
        <v>0</v>
      </c>
      <c r="AS113" s="675">
        <f t="shared" si="3769"/>
        <v>0</v>
      </c>
      <c r="AT113" s="549">
        <f t="shared" ref="AT113:AU113" si="3770">AT446</f>
        <v>0</v>
      </c>
      <c r="AU113" s="675">
        <f t="shared" si="3770"/>
        <v>0</v>
      </c>
      <c r="AV113" s="549">
        <f t="shared" ref="AV113:AW113" si="3771">AV446</f>
        <v>0</v>
      </c>
      <c r="AW113" s="675">
        <f t="shared" si="3771"/>
        <v>0</v>
      </c>
      <c r="AX113" s="549">
        <f t="shared" ref="AX113:AY113" si="3772">AX446</f>
        <v>0</v>
      </c>
      <c r="AY113" s="675">
        <f t="shared" si="3772"/>
        <v>0</v>
      </c>
      <c r="AZ113" s="549">
        <f t="shared" ref="AZ113:BA113" si="3773">AZ446</f>
        <v>0</v>
      </c>
      <c r="BA113" s="675">
        <f t="shared" si="3773"/>
        <v>-4000</v>
      </c>
      <c r="BB113" s="549">
        <f t="shared" ref="BB113:BC113" si="3774">BB446</f>
        <v>0</v>
      </c>
      <c r="BC113" s="675">
        <f t="shared" si="3774"/>
        <v>0</v>
      </c>
      <c r="BD113" s="549">
        <f t="shared" ref="BD113:BE113" si="3775">BD446</f>
        <v>0</v>
      </c>
      <c r="BE113" s="675">
        <f t="shared" si="3775"/>
        <v>0</v>
      </c>
      <c r="BF113" s="549">
        <f t="shared" ref="BF113:BG113" si="3776">BF446</f>
        <v>0</v>
      </c>
      <c r="BG113" s="675">
        <f t="shared" si="3776"/>
        <v>0</v>
      </c>
      <c r="BH113" s="549">
        <f t="shared" ref="BH113:BI113" si="3777">BH446</f>
        <v>0</v>
      </c>
      <c r="BI113" s="675">
        <f t="shared" si="3777"/>
        <v>0</v>
      </c>
      <c r="BJ113" s="549">
        <f t="shared" ref="BJ113:BK113" si="3778">BJ446</f>
        <v>0</v>
      </c>
      <c r="BK113" s="675">
        <f t="shared" si="3778"/>
        <v>0</v>
      </c>
      <c r="BL113" s="549">
        <f t="shared" ref="BL113:BS113" si="3779">BL446</f>
        <v>0</v>
      </c>
      <c r="BM113" s="675">
        <f t="shared" si="3779"/>
        <v>0</v>
      </c>
      <c r="BN113" s="549">
        <f t="shared" si="3779"/>
        <v>0</v>
      </c>
      <c r="BO113" s="675">
        <f t="shared" si="3779"/>
        <v>0</v>
      </c>
      <c r="BP113" s="549">
        <f t="shared" si="3779"/>
        <v>0</v>
      </c>
      <c r="BQ113" s="675">
        <f t="shared" si="3779"/>
        <v>0</v>
      </c>
      <c r="BR113" s="549">
        <f t="shared" si="3779"/>
        <v>0</v>
      </c>
      <c r="BS113" s="675">
        <f t="shared" si="3779"/>
        <v>0</v>
      </c>
      <c r="BT113" s="549">
        <f t="shared" ref="BT113:BU113" si="3780">BT446</f>
        <v>0</v>
      </c>
      <c r="BU113" s="675">
        <f t="shared" si="3780"/>
        <v>0</v>
      </c>
      <c r="BV113" s="549">
        <f t="shared" ref="BV113:BW113" si="3781">BV446</f>
        <v>0</v>
      </c>
      <c r="BW113" s="675">
        <f t="shared" si="3781"/>
        <v>0</v>
      </c>
      <c r="BX113" s="549">
        <f t="shared" ref="BX113:BY113" si="3782">BX446</f>
        <v>0</v>
      </c>
      <c r="BY113" s="675">
        <f t="shared" si="3782"/>
        <v>0</v>
      </c>
      <c r="BZ113" s="549">
        <f t="shared" ref="BZ113:CA113" si="3783">BZ446</f>
        <v>0</v>
      </c>
      <c r="CA113" s="675">
        <f t="shared" si="3783"/>
        <v>0</v>
      </c>
      <c r="CB113" s="549">
        <f t="shared" ref="CB113:CE113" si="3784">CB446</f>
        <v>0</v>
      </c>
      <c r="CC113" s="675">
        <f t="shared" si="3784"/>
        <v>0</v>
      </c>
      <c r="CD113" s="549">
        <f t="shared" si="3784"/>
        <v>0</v>
      </c>
      <c r="CE113" s="675">
        <f t="shared" si="3784"/>
        <v>0</v>
      </c>
      <c r="CF113" s="549">
        <f t="shared" ref="CF113:CG113" si="3785">CF446</f>
        <v>0</v>
      </c>
      <c r="CG113" s="675">
        <f t="shared" si="3785"/>
        <v>0</v>
      </c>
      <c r="CH113" s="549">
        <f t="shared" ref="CH113:CQ113" si="3786">CH446</f>
        <v>0</v>
      </c>
      <c r="CI113" s="675">
        <f t="shared" si="3786"/>
        <v>0</v>
      </c>
      <c r="CJ113" s="549">
        <f t="shared" si="3786"/>
        <v>0</v>
      </c>
      <c r="CK113" s="675">
        <f t="shared" si="3786"/>
        <v>-2000</v>
      </c>
      <c r="CL113" s="549">
        <f t="shared" si="3786"/>
        <v>0</v>
      </c>
      <c r="CM113" s="675">
        <f t="shared" si="3786"/>
        <v>0</v>
      </c>
      <c r="CN113" s="549">
        <f t="shared" si="3786"/>
        <v>0</v>
      </c>
      <c r="CO113" s="675">
        <f t="shared" si="3786"/>
        <v>0</v>
      </c>
      <c r="CP113" s="549">
        <f t="shared" si="3786"/>
        <v>0</v>
      </c>
      <c r="CQ113" s="675">
        <f t="shared" si="3786"/>
        <v>0</v>
      </c>
      <c r="CR113" s="549">
        <f t="shared" ref="CR113:CY113" si="3787">CR446</f>
        <v>0</v>
      </c>
      <c r="CS113" s="675">
        <f t="shared" si="3787"/>
        <v>0</v>
      </c>
      <c r="CT113" s="549">
        <f t="shared" si="3787"/>
        <v>0</v>
      </c>
      <c r="CU113" s="675">
        <f t="shared" si="3787"/>
        <v>0</v>
      </c>
      <c r="CV113" s="549">
        <f t="shared" si="3787"/>
        <v>0</v>
      </c>
      <c r="CW113" s="675">
        <f t="shared" si="3787"/>
        <v>0</v>
      </c>
      <c r="CX113" s="549">
        <f t="shared" si="3787"/>
        <v>0</v>
      </c>
      <c r="CY113" s="675">
        <f t="shared" si="3787"/>
        <v>0</v>
      </c>
      <c r="CZ113" s="549">
        <f t="shared" ref="CZ113:DI113" si="3788">CZ446</f>
        <v>0</v>
      </c>
      <c r="DA113" s="675">
        <f t="shared" si="3788"/>
        <v>0</v>
      </c>
      <c r="DB113" s="549">
        <f t="shared" si="3788"/>
        <v>0</v>
      </c>
      <c r="DC113" s="675">
        <f t="shared" si="3788"/>
        <v>0</v>
      </c>
      <c r="DD113" s="549">
        <f t="shared" si="3788"/>
        <v>0</v>
      </c>
      <c r="DE113" s="675">
        <f t="shared" si="3788"/>
        <v>0</v>
      </c>
      <c r="DF113" s="549">
        <f t="shared" si="3788"/>
        <v>0</v>
      </c>
      <c r="DG113" s="675">
        <f t="shared" si="3788"/>
        <v>0</v>
      </c>
      <c r="DH113" s="549">
        <f t="shared" si="3788"/>
        <v>0</v>
      </c>
      <c r="DI113" s="675">
        <f t="shared" si="3788"/>
        <v>0</v>
      </c>
      <c r="DJ113" s="549">
        <f t="shared" ref="DJ113:DK113" si="3789">DJ446</f>
        <v>0</v>
      </c>
      <c r="DK113" s="675">
        <f t="shared" si="3789"/>
        <v>0</v>
      </c>
      <c r="DL113" s="549">
        <f t="shared" ref="DL113:DM113" si="3790">DL446</f>
        <v>0</v>
      </c>
      <c r="DM113" s="675">
        <f t="shared" si="3790"/>
        <v>0</v>
      </c>
      <c r="DN113" s="549">
        <f t="shared" ref="DN113:DW113" si="3791">DN446</f>
        <v>0</v>
      </c>
      <c r="DO113" s="675">
        <f t="shared" si="3791"/>
        <v>0</v>
      </c>
      <c r="DP113" s="549">
        <f t="shared" si="3791"/>
        <v>0</v>
      </c>
      <c r="DQ113" s="675">
        <f t="shared" si="3791"/>
        <v>0</v>
      </c>
      <c r="DR113" s="549">
        <f t="shared" si="3791"/>
        <v>0</v>
      </c>
      <c r="DS113" s="675">
        <f t="shared" si="3791"/>
        <v>0</v>
      </c>
      <c r="DT113" s="549">
        <f t="shared" si="3791"/>
        <v>0</v>
      </c>
      <c r="DU113" s="675">
        <f t="shared" si="3791"/>
        <v>0</v>
      </c>
      <c r="DV113" s="549">
        <f t="shared" si="3791"/>
        <v>0</v>
      </c>
      <c r="DW113" s="675">
        <f t="shared" si="3791"/>
        <v>0</v>
      </c>
      <c r="DX113" s="549">
        <f t="shared" ref="DX113:EG113" si="3792">DX446</f>
        <v>0</v>
      </c>
      <c r="DY113" s="675">
        <f t="shared" si="3792"/>
        <v>0</v>
      </c>
      <c r="DZ113" s="549">
        <f t="shared" si="3792"/>
        <v>0</v>
      </c>
      <c r="EA113" s="675">
        <f t="shared" si="3792"/>
        <v>0</v>
      </c>
      <c r="EB113" s="549">
        <f t="shared" si="3792"/>
        <v>0</v>
      </c>
      <c r="EC113" s="675">
        <f t="shared" si="3792"/>
        <v>0</v>
      </c>
      <c r="ED113" s="549">
        <f t="shared" si="3792"/>
        <v>0</v>
      </c>
      <c r="EE113" s="675">
        <f t="shared" si="3792"/>
        <v>0</v>
      </c>
      <c r="EF113" s="549">
        <f t="shared" si="3792"/>
        <v>0</v>
      </c>
      <c r="EG113" s="675">
        <f t="shared" si="3792"/>
        <v>0</v>
      </c>
      <c r="EH113" s="549">
        <f t="shared" ref="EH113:EM113" si="3793">EH446</f>
        <v>0</v>
      </c>
      <c r="EI113" s="675">
        <f t="shared" si="3793"/>
        <v>0</v>
      </c>
      <c r="EJ113" s="549">
        <f t="shared" si="3793"/>
        <v>0</v>
      </c>
      <c r="EK113" s="675">
        <f t="shared" si="3793"/>
        <v>0</v>
      </c>
      <c r="EL113" s="549">
        <f t="shared" si="3793"/>
        <v>0</v>
      </c>
      <c r="EM113" s="675">
        <f t="shared" si="3793"/>
        <v>0</v>
      </c>
      <c r="EN113" s="549">
        <f t="shared" ref="EN113:EO113" si="3794">EN446</f>
        <v>0</v>
      </c>
      <c r="EO113" s="675">
        <f t="shared" si="3794"/>
        <v>0</v>
      </c>
      <c r="EP113" s="549">
        <f t="shared" ref="EP113:FA113" si="3795">EP446</f>
        <v>0</v>
      </c>
      <c r="EQ113" s="675">
        <f t="shared" si="3795"/>
        <v>0</v>
      </c>
      <c r="ER113" s="549">
        <f t="shared" si="3795"/>
        <v>0</v>
      </c>
      <c r="ES113" s="675">
        <f t="shared" si="3795"/>
        <v>0</v>
      </c>
      <c r="ET113" s="549">
        <f t="shared" si="3795"/>
        <v>0</v>
      </c>
      <c r="EU113" s="675">
        <f t="shared" si="3795"/>
        <v>0</v>
      </c>
      <c r="EV113" s="549">
        <f t="shared" ref="EV113:EW113" si="3796">EV446</f>
        <v>0</v>
      </c>
      <c r="EW113" s="675">
        <f t="shared" si="3796"/>
        <v>-403</v>
      </c>
      <c r="EX113" s="549">
        <f t="shared" si="3795"/>
        <v>0</v>
      </c>
      <c r="EY113" s="675">
        <f t="shared" si="3795"/>
        <v>0</v>
      </c>
      <c r="EZ113" s="549">
        <f t="shared" si="3795"/>
        <v>0</v>
      </c>
      <c r="FA113" s="675">
        <f t="shared" si="3795"/>
        <v>0</v>
      </c>
      <c r="FB113" s="549">
        <f t="shared" ref="FB113:FC113" si="3797">FB446</f>
        <v>0</v>
      </c>
      <c r="FC113" s="675">
        <f t="shared" si="3797"/>
        <v>0</v>
      </c>
      <c r="FD113" s="549">
        <f t="shared" ref="FD113:FE113" si="3798">FD446</f>
        <v>0</v>
      </c>
      <c r="FE113" s="675">
        <f t="shared" si="3798"/>
        <v>0</v>
      </c>
      <c r="FF113" s="549">
        <f t="shared" ref="FF113:FG113" si="3799">FF446</f>
        <v>0</v>
      </c>
      <c r="FG113" s="675">
        <f t="shared" si="3799"/>
        <v>0</v>
      </c>
      <c r="FH113" s="549">
        <f t="shared" ref="FH113:FI113" si="3800">FH446</f>
        <v>0</v>
      </c>
      <c r="FI113" s="675">
        <f t="shared" si="3800"/>
        <v>0</v>
      </c>
      <c r="FJ113" s="549">
        <f t="shared" ref="FJ113:FK113" si="3801">FJ446</f>
        <v>0</v>
      </c>
      <c r="FK113" s="675">
        <f t="shared" si="3801"/>
        <v>0</v>
      </c>
      <c r="FL113" s="549">
        <f t="shared" ref="FL113:FM113" si="3802">FL446</f>
        <v>0</v>
      </c>
      <c r="FM113" s="675">
        <f t="shared" si="3802"/>
        <v>-144</v>
      </c>
      <c r="FN113" s="549">
        <f t="shared" ref="FN113:FO113" si="3803">FN446</f>
        <v>0</v>
      </c>
      <c r="FO113" s="675">
        <f t="shared" si="3803"/>
        <v>0</v>
      </c>
      <c r="FP113" s="549">
        <f t="shared" ref="FP113:FQ113" si="3804">FP446</f>
        <v>0</v>
      </c>
      <c r="FQ113" s="675">
        <f t="shared" si="3804"/>
        <v>0</v>
      </c>
      <c r="FR113" s="549">
        <f t="shared" ref="FR113:FS113" si="3805">FR446</f>
        <v>0</v>
      </c>
      <c r="FS113" s="675">
        <f t="shared" si="3805"/>
        <v>0</v>
      </c>
      <c r="FT113" s="549">
        <f t="shared" ref="FT113:FU113" si="3806">FT446</f>
        <v>0</v>
      </c>
      <c r="FU113" s="675">
        <f t="shared" si="3806"/>
        <v>0</v>
      </c>
      <c r="FV113" s="549">
        <f t="shared" ref="FV113:GK113" si="3807">FV446</f>
        <v>0</v>
      </c>
      <c r="FW113" s="675">
        <f t="shared" si="3807"/>
        <v>0</v>
      </c>
      <c r="FX113" s="549">
        <f t="shared" si="3807"/>
        <v>0</v>
      </c>
      <c r="FY113" s="675">
        <f t="shared" si="3807"/>
        <v>0</v>
      </c>
      <c r="FZ113" s="549">
        <f t="shared" ref="FZ113:GI113" si="3808">FZ446</f>
        <v>0</v>
      </c>
      <c r="GA113" s="675">
        <f t="shared" si="3808"/>
        <v>0</v>
      </c>
      <c r="GB113" s="549">
        <f t="shared" si="3808"/>
        <v>0</v>
      </c>
      <c r="GC113" s="675">
        <f t="shared" si="3808"/>
        <v>0</v>
      </c>
      <c r="GD113" s="549">
        <f t="shared" si="3808"/>
        <v>0</v>
      </c>
      <c r="GE113" s="675">
        <f t="shared" si="3808"/>
        <v>0</v>
      </c>
      <c r="GF113" s="549">
        <f t="shared" si="3808"/>
        <v>0</v>
      </c>
      <c r="GG113" s="675">
        <f t="shared" si="3808"/>
        <v>0</v>
      </c>
      <c r="GH113" s="549">
        <f t="shared" si="3808"/>
        <v>0</v>
      </c>
      <c r="GI113" s="675">
        <f t="shared" si="3808"/>
        <v>0</v>
      </c>
      <c r="GJ113" s="549">
        <f t="shared" si="3807"/>
        <v>0</v>
      </c>
      <c r="GK113" s="675">
        <f t="shared" si="3807"/>
        <v>0</v>
      </c>
      <c r="GL113" s="549">
        <f t="shared" ref="GL113:GQ113" si="3809">GL446</f>
        <v>0</v>
      </c>
      <c r="GM113" s="675">
        <f t="shared" si="3809"/>
        <v>0</v>
      </c>
      <c r="GN113" s="549">
        <f t="shared" ref="GN113:GO113" si="3810">GN446</f>
        <v>0</v>
      </c>
      <c r="GO113" s="675">
        <f t="shared" si="3810"/>
        <v>0</v>
      </c>
      <c r="GP113" s="74">
        <f t="shared" si="3809"/>
        <v>0</v>
      </c>
      <c r="GQ113" s="675">
        <f t="shared" si="3809"/>
        <v>-9547</v>
      </c>
      <c r="GR113" s="74">
        <f t="shared" ref="GR113:HK113" si="3811">GR446</f>
        <v>453</v>
      </c>
      <c r="GS113" s="74">
        <f t="shared" si="3811"/>
        <v>453</v>
      </c>
      <c r="GT113" s="74">
        <f t="shared" si="3811"/>
        <v>453</v>
      </c>
      <c r="GU113" s="74">
        <f t="shared" si="3811"/>
        <v>5000</v>
      </c>
      <c r="GV113" s="74">
        <f t="shared" si="3811"/>
        <v>0</v>
      </c>
      <c r="GW113" s="74">
        <f t="shared" si="3811"/>
        <v>5000</v>
      </c>
      <c r="GX113" s="74">
        <f t="shared" si="3811"/>
        <v>0</v>
      </c>
      <c r="GY113" s="74">
        <f t="shared" si="3811"/>
        <v>0</v>
      </c>
      <c r="GZ113" s="74">
        <f t="shared" si="3811"/>
        <v>0</v>
      </c>
      <c r="HA113" s="74">
        <f t="shared" si="3811"/>
        <v>0</v>
      </c>
      <c r="HB113" s="74">
        <f t="shared" si="3811"/>
        <v>0</v>
      </c>
      <c r="HC113" s="74">
        <f t="shared" si="3811"/>
        <v>0</v>
      </c>
      <c r="HD113" s="74">
        <f t="shared" si="3811"/>
        <v>0</v>
      </c>
      <c r="HE113" s="74">
        <f t="shared" si="3811"/>
        <v>0</v>
      </c>
      <c r="HF113" s="74">
        <f t="shared" si="3811"/>
        <v>0</v>
      </c>
      <c r="HG113" s="74">
        <f t="shared" si="3811"/>
        <v>453</v>
      </c>
      <c r="HH113" s="74">
        <f t="shared" si="3811"/>
        <v>5000</v>
      </c>
      <c r="HI113" s="74">
        <f t="shared" si="3811"/>
        <v>0</v>
      </c>
      <c r="HJ113" s="74">
        <f t="shared" si="3811"/>
        <v>0</v>
      </c>
      <c r="HK113" s="74">
        <f t="shared" si="3811"/>
        <v>0</v>
      </c>
      <c r="HL113" s="74">
        <f t="shared" ref="HL113:JT113" si="3812">HL446</f>
        <v>0</v>
      </c>
      <c r="HM113" s="74">
        <f t="shared" si="3812"/>
        <v>0</v>
      </c>
      <c r="HN113" s="74">
        <f t="shared" si="3812"/>
        <v>0</v>
      </c>
      <c r="HO113" s="74">
        <f t="shared" si="3812"/>
        <v>0</v>
      </c>
      <c r="HP113" s="74">
        <f t="shared" si="3812"/>
        <v>-2000</v>
      </c>
      <c r="HQ113" s="74">
        <f t="shared" si="3812"/>
        <v>0</v>
      </c>
      <c r="HR113" s="74">
        <f t="shared" si="3812"/>
        <v>0</v>
      </c>
      <c r="HS113" s="74">
        <f t="shared" si="3812"/>
        <v>0</v>
      </c>
      <c r="HT113" s="74">
        <f t="shared" si="3812"/>
        <v>-2000</v>
      </c>
      <c r="HU113" s="74">
        <f t="shared" si="3812"/>
        <v>0</v>
      </c>
      <c r="HV113" s="74">
        <f t="shared" si="3812"/>
        <v>0</v>
      </c>
      <c r="HW113" s="74">
        <f t="shared" si="3812"/>
        <v>0</v>
      </c>
      <c r="HX113" s="74">
        <f t="shared" si="3812"/>
        <v>-403</v>
      </c>
      <c r="HY113" s="74">
        <f t="shared" si="3812"/>
        <v>0</v>
      </c>
      <c r="HZ113" s="74">
        <f t="shared" si="3812"/>
        <v>-144</v>
      </c>
      <c r="IA113" s="74">
        <f t="shared" si="3812"/>
        <v>0</v>
      </c>
      <c r="IB113" s="74">
        <f t="shared" si="3812"/>
        <v>0</v>
      </c>
      <c r="IC113" s="74">
        <f t="shared" si="3812"/>
        <v>0</v>
      </c>
      <c r="ID113" s="74">
        <f t="shared" si="3812"/>
        <v>0</v>
      </c>
      <c r="IE113" s="792">
        <f t="shared" si="3812"/>
        <v>0</v>
      </c>
      <c r="IF113" s="841">
        <f t="shared" si="3812"/>
        <v>452.72</v>
      </c>
      <c r="IG113" s="263">
        <f t="shared" si="3812"/>
        <v>452.72</v>
      </c>
      <c r="IH113" s="842">
        <f t="shared" si="3812"/>
        <v>452.72</v>
      </c>
      <c r="II113" s="155">
        <f t="shared" si="3812"/>
        <v>185.04</v>
      </c>
      <c r="IJ113" s="74">
        <f t="shared" si="3812"/>
        <v>185.04</v>
      </c>
      <c r="IK113" s="74">
        <f t="shared" si="3812"/>
        <v>185.04</v>
      </c>
      <c r="IL113" s="74">
        <f t="shared" si="3812"/>
        <v>0</v>
      </c>
      <c r="IM113" s="74">
        <f t="shared" si="3812"/>
        <v>0</v>
      </c>
      <c r="IN113" s="74">
        <f t="shared" si="3812"/>
        <v>0</v>
      </c>
      <c r="IO113" s="74">
        <f t="shared" si="3812"/>
        <v>172.85999999999999</v>
      </c>
      <c r="IP113" s="74">
        <f t="shared" si="3812"/>
        <v>172.85999999999999</v>
      </c>
      <c r="IQ113" s="74">
        <f t="shared" si="3812"/>
        <v>172.85999999999999</v>
      </c>
      <c r="IR113" s="74">
        <f t="shared" si="3812"/>
        <v>56.700000000000045</v>
      </c>
      <c r="IS113" s="74">
        <f t="shared" si="3812"/>
        <v>56.700000000000045</v>
      </c>
      <c r="IT113" s="74">
        <f t="shared" si="3812"/>
        <v>56.700000000000045</v>
      </c>
      <c r="IU113" s="74">
        <f t="shared" si="3812"/>
        <v>0</v>
      </c>
      <c r="IV113" s="74">
        <f t="shared" si="3812"/>
        <v>0</v>
      </c>
      <c r="IW113" s="74">
        <f t="shared" si="3812"/>
        <v>0</v>
      </c>
      <c r="IX113" s="74">
        <f t="shared" si="3812"/>
        <v>0</v>
      </c>
      <c r="IY113" s="74">
        <f t="shared" si="3812"/>
        <v>0</v>
      </c>
      <c r="IZ113" s="74">
        <f t="shared" si="3812"/>
        <v>0</v>
      </c>
      <c r="JA113" s="74">
        <f t="shared" si="3812"/>
        <v>38.120000000000005</v>
      </c>
      <c r="JB113" s="74">
        <f t="shared" si="3812"/>
        <v>38.120000000000005</v>
      </c>
      <c r="JC113" s="74">
        <f t="shared" si="3812"/>
        <v>38.120000000000005</v>
      </c>
      <c r="JD113" s="74">
        <f t="shared" si="3812"/>
        <v>0</v>
      </c>
      <c r="JE113" s="74">
        <f t="shared" si="3812"/>
        <v>0</v>
      </c>
      <c r="JF113" s="74">
        <f t="shared" si="3812"/>
        <v>0</v>
      </c>
      <c r="JG113" s="74">
        <f t="shared" si="3812"/>
        <v>0</v>
      </c>
      <c r="JH113" s="74">
        <f t="shared" si="3812"/>
        <v>0</v>
      </c>
      <c r="JI113" s="74">
        <f t="shared" si="3812"/>
        <v>0</v>
      </c>
      <c r="JJ113" s="74">
        <f t="shared" si="3812"/>
        <v>0</v>
      </c>
      <c r="JK113" s="74">
        <f t="shared" si="3812"/>
        <v>0</v>
      </c>
      <c r="JL113" s="74">
        <f t="shared" si="3812"/>
        <v>0</v>
      </c>
      <c r="JM113" s="74">
        <f t="shared" si="3812"/>
        <v>0</v>
      </c>
      <c r="JN113" s="74">
        <f t="shared" si="3812"/>
        <v>0</v>
      </c>
      <c r="JO113" s="74">
        <f t="shared" si="3812"/>
        <v>0</v>
      </c>
      <c r="JP113" s="74">
        <f t="shared" si="3812"/>
        <v>0</v>
      </c>
      <c r="JQ113" s="74">
        <f t="shared" si="3812"/>
        <v>0</v>
      </c>
      <c r="JR113" s="74">
        <f t="shared" si="3812"/>
        <v>0</v>
      </c>
      <c r="JS113" s="74">
        <f t="shared" si="3812"/>
        <v>0.27999999999997272</v>
      </c>
      <c r="JT113" s="102">
        <f t="shared" si="3812"/>
        <v>0.27999999999997272</v>
      </c>
      <c r="JU113" s="671"/>
      <c r="JV113" s="492"/>
      <c r="JW113" s="490"/>
      <c r="JX113" s="549">
        <f>JX446</f>
        <v>453</v>
      </c>
      <c r="JY113" s="549">
        <f>JY446</f>
        <v>0</v>
      </c>
      <c r="JZ113" s="581">
        <f t="shared" si="2110"/>
        <v>0</v>
      </c>
      <c r="KA113" s="581">
        <f t="shared" si="2111"/>
        <v>-9547</v>
      </c>
      <c r="KB113" s="549">
        <f>KB446</f>
        <v>453</v>
      </c>
      <c r="KC113" s="709">
        <f t="shared" si="2079"/>
        <v>0</v>
      </c>
      <c r="KD113" s="36"/>
      <c r="KE113" s="36"/>
      <c r="KF113" s="36"/>
      <c r="KG113" s="36"/>
      <c r="KH113" s="36"/>
      <c r="KI113" s="36"/>
      <c r="KJ113" s="36"/>
      <c r="KK113" s="36"/>
    </row>
    <row r="114" spans="1:297" s="8" customFormat="1" ht="12.75" customHeight="1">
      <c r="A114" s="75">
        <v>213</v>
      </c>
      <c r="B114" s="72" t="s">
        <v>134</v>
      </c>
      <c r="C114" s="74">
        <f t="shared" ref="C114:E114" si="3813">SUM(C447)</f>
        <v>3000</v>
      </c>
      <c r="D114" s="549">
        <f t="shared" si="3813"/>
        <v>0</v>
      </c>
      <c r="E114" s="675">
        <f t="shared" si="3813"/>
        <v>0</v>
      </c>
      <c r="F114" s="549">
        <f t="shared" ref="F114:G114" si="3814">SUM(F447)</f>
        <v>0</v>
      </c>
      <c r="G114" s="675">
        <f t="shared" si="3814"/>
        <v>0</v>
      </c>
      <c r="H114" s="549">
        <f t="shared" ref="H114:I114" si="3815">SUM(H447)</f>
        <v>0</v>
      </c>
      <c r="I114" s="675">
        <f t="shared" si="3815"/>
        <v>0</v>
      </c>
      <c r="J114" s="549">
        <f t="shared" ref="J114:K114" si="3816">SUM(J447)</f>
        <v>0</v>
      </c>
      <c r="K114" s="675">
        <f t="shared" si="3816"/>
        <v>0</v>
      </c>
      <c r="L114" s="549">
        <f t="shared" ref="L114:M114" si="3817">SUM(L447)</f>
        <v>0</v>
      </c>
      <c r="M114" s="675">
        <f t="shared" si="3817"/>
        <v>0</v>
      </c>
      <c r="N114" s="549">
        <f t="shared" ref="N114:O114" si="3818">SUM(N447)</f>
        <v>0</v>
      </c>
      <c r="O114" s="675">
        <f t="shared" si="3818"/>
        <v>0</v>
      </c>
      <c r="P114" s="549">
        <f t="shared" ref="P114:Q114" si="3819">SUM(P447)</f>
        <v>0</v>
      </c>
      <c r="Q114" s="675">
        <f t="shared" si="3819"/>
        <v>0</v>
      </c>
      <c r="R114" s="549">
        <f t="shared" ref="R114:S114" si="3820">SUM(R447)</f>
        <v>0</v>
      </c>
      <c r="S114" s="675">
        <f t="shared" si="3820"/>
        <v>0</v>
      </c>
      <c r="T114" s="549">
        <f t="shared" ref="T114:U114" si="3821">SUM(T447)</f>
        <v>0</v>
      </c>
      <c r="U114" s="675">
        <f t="shared" si="3821"/>
        <v>0</v>
      </c>
      <c r="V114" s="549">
        <f t="shared" ref="V114:W114" si="3822">SUM(V447)</f>
        <v>0</v>
      </c>
      <c r="W114" s="675">
        <f t="shared" si="3822"/>
        <v>0</v>
      </c>
      <c r="X114" s="549">
        <f t="shared" ref="X114:Y114" si="3823">SUM(X447)</f>
        <v>0</v>
      </c>
      <c r="Y114" s="675">
        <f t="shared" si="3823"/>
        <v>0</v>
      </c>
      <c r="Z114" s="549">
        <f t="shared" ref="Z114:AA114" si="3824">SUM(Z447)</f>
        <v>0</v>
      </c>
      <c r="AA114" s="675">
        <f t="shared" si="3824"/>
        <v>0</v>
      </c>
      <c r="AB114" s="549">
        <f t="shared" ref="AB114:AC114" si="3825">SUM(AB447)</f>
        <v>0</v>
      </c>
      <c r="AC114" s="675">
        <f t="shared" si="3825"/>
        <v>0</v>
      </c>
      <c r="AD114" s="549">
        <f t="shared" ref="AD114:AE114" si="3826">SUM(AD447)</f>
        <v>0</v>
      </c>
      <c r="AE114" s="675">
        <f t="shared" si="3826"/>
        <v>0</v>
      </c>
      <c r="AF114" s="549">
        <f t="shared" ref="AF114:AI114" si="3827">SUM(AF447)</f>
        <v>0</v>
      </c>
      <c r="AG114" s="675">
        <f t="shared" si="3827"/>
        <v>0</v>
      </c>
      <c r="AH114" s="549">
        <f t="shared" si="3827"/>
        <v>0</v>
      </c>
      <c r="AI114" s="675">
        <f t="shared" si="3827"/>
        <v>0</v>
      </c>
      <c r="AJ114" s="549">
        <f t="shared" ref="AJ114:AK114" si="3828">SUM(AJ447)</f>
        <v>0</v>
      </c>
      <c r="AK114" s="675">
        <f t="shared" si="3828"/>
        <v>0</v>
      </c>
      <c r="AL114" s="549">
        <f t="shared" ref="AL114:AM114" si="3829">SUM(AL447)</f>
        <v>0</v>
      </c>
      <c r="AM114" s="675">
        <f t="shared" si="3829"/>
        <v>0</v>
      </c>
      <c r="AN114" s="549">
        <f t="shared" ref="AN114:AO114" si="3830">SUM(AN447)</f>
        <v>0</v>
      </c>
      <c r="AO114" s="675">
        <f t="shared" si="3830"/>
        <v>0</v>
      </c>
      <c r="AP114" s="549">
        <f t="shared" ref="AP114:AQ114" si="3831">SUM(AP447)</f>
        <v>0</v>
      </c>
      <c r="AQ114" s="675">
        <f t="shared" si="3831"/>
        <v>0</v>
      </c>
      <c r="AR114" s="549">
        <f t="shared" ref="AR114:AS114" si="3832">SUM(AR447)</f>
        <v>0</v>
      </c>
      <c r="AS114" s="675">
        <f t="shared" si="3832"/>
        <v>0</v>
      </c>
      <c r="AT114" s="549">
        <f t="shared" ref="AT114:AU114" si="3833">SUM(AT447)</f>
        <v>0</v>
      </c>
      <c r="AU114" s="675">
        <f t="shared" si="3833"/>
        <v>0</v>
      </c>
      <c r="AV114" s="549">
        <f t="shared" ref="AV114:AW114" si="3834">SUM(AV447)</f>
        <v>0</v>
      </c>
      <c r="AW114" s="675">
        <f t="shared" si="3834"/>
        <v>0</v>
      </c>
      <c r="AX114" s="549">
        <f t="shared" ref="AX114:AY114" si="3835">SUM(AX447)</f>
        <v>0</v>
      </c>
      <c r="AY114" s="675">
        <f t="shared" si="3835"/>
        <v>0</v>
      </c>
      <c r="AZ114" s="549">
        <f t="shared" ref="AZ114:BA114" si="3836">SUM(AZ447)</f>
        <v>0</v>
      </c>
      <c r="BA114" s="675">
        <f t="shared" si="3836"/>
        <v>-1000</v>
      </c>
      <c r="BB114" s="549">
        <f t="shared" ref="BB114:BC114" si="3837">SUM(BB447)</f>
        <v>0</v>
      </c>
      <c r="BC114" s="675">
        <f t="shared" si="3837"/>
        <v>0</v>
      </c>
      <c r="BD114" s="549">
        <f t="shared" ref="BD114:BE114" si="3838">SUM(BD447)</f>
        <v>0</v>
      </c>
      <c r="BE114" s="675">
        <f t="shared" si="3838"/>
        <v>0</v>
      </c>
      <c r="BF114" s="549">
        <f t="shared" ref="BF114:BG114" si="3839">SUM(BF447)</f>
        <v>0</v>
      </c>
      <c r="BG114" s="675">
        <f t="shared" si="3839"/>
        <v>0</v>
      </c>
      <c r="BH114" s="549">
        <f t="shared" ref="BH114:BI114" si="3840">SUM(BH447)</f>
        <v>0</v>
      </c>
      <c r="BI114" s="675">
        <f t="shared" si="3840"/>
        <v>0</v>
      </c>
      <c r="BJ114" s="549">
        <f t="shared" ref="BJ114:BK114" si="3841">SUM(BJ447)</f>
        <v>0</v>
      </c>
      <c r="BK114" s="675">
        <f t="shared" si="3841"/>
        <v>0</v>
      </c>
      <c r="BL114" s="549">
        <f t="shared" ref="BL114:BS114" si="3842">SUM(BL447)</f>
        <v>0</v>
      </c>
      <c r="BM114" s="675">
        <f t="shared" si="3842"/>
        <v>0</v>
      </c>
      <c r="BN114" s="549">
        <f t="shared" si="3842"/>
        <v>0</v>
      </c>
      <c r="BO114" s="675">
        <f t="shared" si="3842"/>
        <v>0</v>
      </c>
      <c r="BP114" s="549">
        <f t="shared" si="3842"/>
        <v>0</v>
      </c>
      <c r="BQ114" s="675">
        <f t="shared" si="3842"/>
        <v>0</v>
      </c>
      <c r="BR114" s="549">
        <f t="shared" si="3842"/>
        <v>0</v>
      </c>
      <c r="BS114" s="675">
        <f t="shared" si="3842"/>
        <v>0</v>
      </c>
      <c r="BT114" s="549">
        <f t="shared" ref="BT114:BW115" si="3843">SUM(BT447)</f>
        <v>0</v>
      </c>
      <c r="BU114" s="675">
        <f t="shared" si="3843"/>
        <v>0</v>
      </c>
      <c r="BV114" s="549">
        <f t="shared" si="3843"/>
        <v>0</v>
      </c>
      <c r="BW114" s="675">
        <f t="shared" si="3843"/>
        <v>0</v>
      </c>
      <c r="BX114" s="549">
        <f t="shared" ref="BX114:BY114" si="3844">SUM(BX447)</f>
        <v>0</v>
      </c>
      <c r="BY114" s="675">
        <f t="shared" si="3844"/>
        <v>0</v>
      </c>
      <c r="BZ114" s="549">
        <f t="shared" ref="BZ114:CA114" si="3845">SUM(BZ447)</f>
        <v>0</v>
      </c>
      <c r="CA114" s="675">
        <f t="shared" si="3845"/>
        <v>0</v>
      </c>
      <c r="CB114" s="549">
        <f t="shared" ref="CB114:CE114" si="3846">SUM(CB447)</f>
        <v>0</v>
      </c>
      <c r="CC114" s="675">
        <f t="shared" si="3846"/>
        <v>0</v>
      </c>
      <c r="CD114" s="549">
        <f t="shared" si="3846"/>
        <v>0</v>
      </c>
      <c r="CE114" s="675">
        <f t="shared" si="3846"/>
        <v>0</v>
      </c>
      <c r="CF114" s="549">
        <f t="shared" ref="CF114:CG114" si="3847">SUM(CF447)</f>
        <v>0</v>
      </c>
      <c r="CG114" s="675">
        <f t="shared" si="3847"/>
        <v>0</v>
      </c>
      <c r="CH114" s="549">
        <f t="shared" ref="CH114:CQ114" si="3848">SUM(CH447)</f>
        <v>0</v>
      </c>
      <c r="CI114" s="675">
        <f t="shared" si="3848"/>
        <v>0</v>
      </c>
      <c r="CJ114" s="549">
        <f t="shared" si="3848"/>
        <v>0</v>
      </c>
      <c r="CK114" s="675">
        <f t="shared" si="3848"/>
        <v>-1000</v>
      </c>
      <c r="CL114" s="549">
        <f t="shared" si="3848"/>
        <v>0</v>
      </c>
      <c r="CM114" s="675">
        <f t="shared" si="3848"/>
        <v>0</v>
      </c>
      <c r="CN114" s="549">
        <f t="shared" si="3848"/>
        <v>0</v>
      </c>
      <c r="CO114" s="675">
        <f t="shared" si="3848"/>
        <v>0</v>
      </c>
      <c r="CP114" s="549">
        <f t="shared" si="3848"/>
        <v>0</v>
      </c>
      <c r="CQ114" s="675">
        <f t="shared" si="3848"/>
        <v>0</v>
      </c>
      <c r="CR114" s="549">
        <f t="shared" ref="CR114:CY115" si="3849">SUM(CR447)</f>
        <v>0</v>
      </c>
      <c r="CS114" s="675">
        <f t="shared" si="3849"/>
        <v>0</v>
      </c>
      <c r="CT114" s="549">
        <f t="shared" si="3849"/>
        <v>0</v>
      </c>
      <c r="CU114" s="675">
        <f t="shared" si="3849"/>
        <v>0</v>
      </c>
      <c r="CV114" s="549">
        <f t="shared" si="3849"/>
        <v>0</v>
      </c>
      <c r="CW114" s="675">
        <f t="shared" si="3849"/>
        <v>0</v>
      </c>
      <c r="CX114" s="549">
        <f t="shared" si="3849"/>
        <v>0</v>
      </c>
      <c r="CY114" s="675">
        <f t="shared" si="3849"/>
        <v>0</v>
      </c>
      <c r="CZ114" s="549">
        <f t="shared" ref="CZ114:DG115" si="3850">SUM(CZ447)</f>
        <v>0</v>
      </c>
      <c r="DA114" s="675">
        <f t="shared" si="3850"/>
        <v>0</v>
      </c>
      <c r="DB114" s="549">
        <f t="shared" si="3850"/>
        <v>0</v>
      </c>
      <c r="DC114" s="675">
        <f t="shared" si="3850"/>
        <v>0</v>
      </c>
      <c r="DD114" s="549">
        <f t="shared" ref="DD114:DE114" si="3851">SUM(DD447)</f>
        <v>0</v>
      </c>
      <c r="DE114" s="675">
        <f t="shared" si="3851"/>
        <v>0</v>
      </c>
      <c r="DF114" s="549">
        <f t="shared" si="3850"/>
        <v>0</v>
      </c>
      <c r="DG114" s="675">
        <f t="shared" si="3850"/>
        <v>0</v>
      </c>
      <c r="DH114" s="549">
        <f t="shared" ref="DH114:DO115" si="3852">SUM(DH447)</f>
        <v>0</v>
      </c>
      <c r="DI114" s="675">
        <f t="shared" si="3852"/>
        <v>0</v>
      </c>
      <c r="DJ114" s="549">
        <f t="shared" si="3852"/>
        <v>0</v>
      </c>
      <c r="DK114" s="675">
        <f t="shared" si="3852"/>
        <v>0</v>
      </c>
      <c r="DL114" s="549">
        <f t="shared" si="3852"/>
        <v>0</v>
      </c>
      <c r="DM114" s="675">
        <f t="shared" si="3852"/>
        <v>0</v>
      </c>
      <c r="DN114" s="549">
        <f t="shared" si="3852"/>
        <v>0</v>
      </c>
      <c r="DO114" s="675">
        <f t="shared" si="3852"/>
        <v>0</v>
      </c>
      <c r="DP114" s="549">
        <f t="shared" ref="DP114:DU114" si="3853">SUM(DP447)</f>
        <v>0</v>
      </c>
      <c r="DQ114" s="675">
        <f t="shared" si="3853"/>
        <v>0</v>
      </c>
      <c r="DR114" s="549">
        <f t="shared" si="3853"/>
        <v>0</v>
      </c>
      <c r="DS114" s="675">
        <f t="shared" si="3853"/>
        <v>0</v>
      </c>
      <c r="DT114" s="549">
        <f t="shared" si="3853"/>
        <v>0</v>
      </c>
      <c r="DU114" s="675">
        <f t="shared" si="3853"/>
        <v>0</v>
      </c>
      <c r="DV114" s="549">
        <f t="shared" ref="DV114:EG114" si="3854">SUM(DV447)</f>
        <v>0</v>
      </c>
      <c r="DW114" s="675">
        <f t="shared" si="3854"/>
        <v>0</v>
      </c>
      <c r="DX114" s="549">
        <f t="shared" si="3854"/>
        <v>0</v>
      </c>
      <c r="DY114" s="675">
        <f t="shared" si="3854"/>
        <v>0</v>
      </c>
      <c r="DZ114" s="549">
        <f t="shared" si="3854"/>
        <v>0</v>
      </c>
      <c r="EA114" s="675">
        <f t="shared" si="3854"/>
        <v>0</v>
      </c>
      <c r="EB114" s="549">
        <f t="shared" si="3854"/>
        <v>0</v>
      </c>
      <c r="EC114" s="675">
        <f t="shared" si="3854"/>
        <v>0</v>
      </c>
      <c r="ED114" s="549">
        <f t="shared" si="3854"/>
        <v>0</v>
      </c>
      <c r="EE114" s="675">
        <f t="shared" si="3854"/>
        <v>0</v>
      </c>
      <c r="EF114" s="549">
        <f t="shared" si="3854"/>
        <v>0</v>
      </c>
      <c r="EG114" s="675">
        <f t="shared" si="3854"/>
        <v>0</v>
      </c>
      <c r="EH114" s="549">
        <f t="shared" ref="EH114:EM114" si="3855">SUM(EH447)</f>
        <v>0</v>
      </c>
      <c r="EI114" s="675">
        <f t="shared" si="3855"/>
        <v>0</v>
      </c>
      <c r="EJ114" s="549">
        <f t="shared" si="3855"/>
        <v>0</v>
      </c>
      <c r="EK114" s="675">
        <f t="shared" si="3855"/>
        <v>0</v>
      </c>
      <c r="EL114" s="549">
        <f t="shared" si="3855"/>
        <v>0</v>
      </c>
      <c r="EM114" s="675">
        <f t="shared" si="3855"/>
        <v>0</v>
      </c>
      <c r="EN114" s="549">
        <f t="shared" ref="EN114:EO114" si="3856">SUM(EN447)</f>
        <v>0</v>
      </c>
      <c r="EO114" s="675">
        <f t="shared" si="3856"/>
        <v>0</v>
      </c>
      <c r="EP114" s="549">
        <f t="shared" ref="EP114:FA114" si="3857">SUM(EP447)</f>
        <v>0</v>
      </c>
      <c r="EQ114" s="675">
        <f t="shared" si="3857"/>
        <v>0</v>
      </c>
      <c r="ER114" s="549">
        <f t="shared" si="3857"/>
        <v>0</v>
      </c>
      <c r="ES114" s="675">
        <f t="shared" si="3857"/>
        <v>0</v>
      </c>
      <c r="ET114" s="549">
        <f t="shared" si="3857"/>
        <v>0</v>
      </c>
      <c r="EU114" s="675">
        <f t="shared" si="3857"/>
        <v>0</v>
      </c>
      <c r="EV114" s="549">
        <f t="shared" ref="EV114:EW114" si="3858">SUM(EV447)</f>
        <v>0</v>
      </c>
      <c r="EW114" s="675">
        <f t="shared" si="3858"/>
        <v>0</v>
      </c>
      <c r="EX114" s="549">
        <f t="shared" si="3857"/>
        <v>0</v>
      </c>
      <c r="EY114" s="675">
        <f t="shared" si="3857"/>
        <v>0</v>
      </c>
      <c r="EZ114" s="549">
        <f t="shared" si="3857"/>
        <v>0</v>
      </c>
      <c r="FA114" s="675">
        <f t="shared" si="3857"/>
        <v>0</v>
      </c>
      <c r="FB114" s="549">
        <f t="shared" ref="FB114:GQ115" si="3859">SUM(FB447)</f>
        <v>0</v>
      </c>
      <c r="FC114" s="675">
        <f t="shared" si="3859"/>
        <v>0</v>
      </c>
      <c r="FD114" s="549">
        <f t="shared" si="3859"/>
        <v>0</v>
      </c>
      <c r="FE114" s="675">
        <f t="shared" si="3859"/>
        <v>0</v>
      </c>
      <c r="FF114" s="549">
        <f t="shared" ref="FF114:FG114" si="3860">SUM(FF447)</f>
        <v>0</v>
      </c>
      <c r="FG114" s="675">
        <f t="shared" si="3860"/>
        <v>0</v>
      </c>
      <c r="FH114" s="549">
        <f t="shared" ref="FH114:FI114" si="3861">SUM(FH447)</f>
        <v>0</v>
      </c>
      <c r="FI114" s="675">
        <f t="shared" si="3861"/>
        <v>0</v>
      </c>
      <c r="FJ114" s="549">
        <f t="shared" ref="FJ114:FK114" si="3862">SUM(FJ447)</f>
        <v>0</v>
      </c>
      <c r="FK114" s="675">
        <f t="shared" si="3862"/>
        <v>0</v>
      </c>
      <c r="FL114" s="549">
        <f t="shared" ref="FL114:FM114" si="3863">SUM(FL447)</f>
        <v>0</v>
      </c>
      <c r="FM114" s="675">
        <f t="shared" si="3863"/>
        <v>-547</v>
      </c>
      <c r="FN114" s="549">
        <f t="shared" ref="FN114:FO114" si="3864">SUM(FN447)</f>
        <v>0</v>
      </c>
      <c r="FO114" s="675">
        <f t="shared" si="3864"/>
        <v>0</v>
      </c>
      <c r="FP114" s="549">
        <f t="shared" ref="FP114:FQ114" si="3865">SUM(FP447)</f>
        <v>0</v>
      </c>
      <c r="FQ114" s="675">
        <f t="shared" si="3865"/>
        <v>0</v>
      </c>
      <c r="FR114" s="549">
        <f t="shared" ref="FR114:FS114" si="3866">SUM(FR447)</f>
        <v>0</v>
      </c>
      <c r="FS114" s="675">
        <f t="shared" si="3866"/>
        <v>0</v>
      </c>
      <c r="FT114" s="549">
        <f t="shared" ref="FT114:FU114" si="3867">SUM(FT447)</f>
        <v>0</v>
      </c>
      <c r="FU114" s="675">
        <f t="shared" si="3867"/>
        <v>0</v>
      </c>
      <c r="FV114" s="549">
        <f t="shared" ref="FV114:GK114" si="3868">SUM(FV447)</f>
        <v>0</v>
      </c>
      <c r="FW114" s="675">
        <f t="shared" si="3868"/>
        <v>0</v>
      </c>
      <c r="FX114" s="549">
        <f t="shared" si="3868"/>
        <v>0</v>
      </c>
      <c r="FY114" s="675">
        <f t="shared" si="3868"/>
        <v>0</v>
      </c>
      <c r="FZ114" s="549">
        <f t="shared" ref="FZ114:GI114" si="3869">SUM(FZ447)</f>
        <v>0</v>
      </c>
      <c r="GA114" s="675">
        <f t="shared" si="3869"/>
        <v>0</v>
      </c>
      <c r="GB114" s="549">
        <f t="shared" si="3869"/>
        <v>0</v>
      </c>
      <c r="GC114" s="675">
        <f t="shared" si="3869"/>
        <v>0</v>
      </c>
      <c r="GD114" s="549">
        <f t="shared" si="3869"/>
        <v>0</v>
      </c>
      <c r="GE114" s="675">
        <f t="shared" si="3869"/>
        <v>0</v>
      </c>
      <c r="GF114" s="549">
        <f t="shared" si="3869"/>
        <v>0</v>
      </c>
      <c r="GG114" s="675">
        <f t="shared" si="3869"/>
        <v>0</v>
      </c>
      <c r="GH114" s="549">
        <f t="shared" si="3869"/>
        <v>0</v>
      </c>
      <c r="GI114" s="675">
        <f t="shared" si="3869"/>
        <v>0</v>
      </c>
      <c r="GJ114" s="549">
        <f t="shared" si="3868"/>
        <v>0</v>
      </c>
      <c r="GK114" s="675">
        <f t="shared" si="3868"/>
        <v>0</v>
      </c>
      <c r="GL114" s="549">
        <f t="shared" ref="GL114:GM114" si="3870">SUM(GL447)</f>
        <v>0</v>
      </c>
      <c r="GM114" s="675">
        <f t="shared" si="3870"/>
        <v>0</v>
      </c>
      <c r="GN114" s="549">
        <f t="shared" ref="GN114:GO114" si="3871">SUM(GN447)</f>
        <v>0</v>
      </c>
      <c r="GO114" s="675">
        <f t="shared" si="3871"/>
        <v>0</v>
      </c>
      <c r="GP114" s="74">
        <f t="shared" si="3859"/>
        <v>0</v>
      </c>
      <c r="GQ114" s="675">
        <f t="shared" si="3859"/>
        <v>-2547</v>
      </c>
      <c r="GR114" s="74">
        <f t="shared" ref="GR114:HK114" si="3872">SUM(GR447)</f>
        <v>453</v>
      </c>
      <c r="GS114" s="74">
        <f t="shared" si="3872"/>
        <v>453</v>
      </c>
      <c r="GT114" s="74">
        <f t="shared" si="3872"/>
        <v>453</v>
      </c>
      <c r="GU114" s="74">
        <f t="shared" si="3872"/>
        <v>0</v>
      </c>
      <c r="GV114" s="74">
        <f t="shared" si="3872"/>
        <v>3000</v>
      </c>
      <c r="GW114" s="74">
        <f t="shared" si="3872"/>
        <v>0</v>
      </c>
      <c r="GX114" s="74">
        <f t="shared" si="3872"/>
        <v>0</v>
      </c>
      <c r="GY114" s="74">
        <f t="shared" si="3872"/>
        <v>0</v>
      </c>
      <c r="GZ114" s="74">
        <f t="shared" si="3872"/>
        <v>0</v>
      </c>
      <c r="HA114" s="74">
        <f t="shared" si="3872"/>
        <v>0</v>
      </c>
      <c r="HB114" s="74">
        <f t="shared" si="3872"/>
        <v>0</v>
      </c>
      <c r="HC114" s="74">
        <f t="shared" si="3872"/>
        <v>0</v>
      </c>
      <c r="HD114" s="74">
        <f t="shared" si="3872"/>
        <v>0</v>
      </c>
      <c r="HE114" s="74">
        <f t="shared" si="3872"/>
        <v>0</v>
      </c>
      <c r="HF114" s="74">
        <f t="shared" si="3872"/>
        <v>0</v>
      </c>
      <c r="HG114" s="74">
        <f t="shared" si="3872"/>
        <v>453</v>
      </c>
      <c r="HH114" s="74">
        <f t="shared" si="3872"/>
        <v>0</v>
      </c>
      <c r="HI114" s="74">
        <f t="shared" si="3872"/>
        <v>0</v>
      </c>
      <c r="HJ114" s="74">
        <f t="shared" si="3872"/>
        <v>3000</v>
      </c>
      <c r="HK114" s="74">
        <f t="shared" si="3872"/>
        <v>0</v>
      </c>
      <c r="HL114" s="74">
        <f t="shared" ref="HL114:JT114" si="3873">SUM(HL447)</f>
        <v>0</v>
      </c>
      <c r="HM114" s="74">
        <f t="shared" si="3873"/>
        <v>0</v>
      </c>
      <c r="HN114" s="74">
        <f t="shared" si="3873"/>
        <v>0</v>
      </c>
      <c r="HO114" s="74">
        <f t="shared" si="3873"/>
        <v>0</v>
      </c>
      <c r="HP114" s="74">
        <f t="shared" si="3873"/>
        <v>-1000</v>
      </c>
      <c r="HQ114" s="74">
        <f t="shared" si="3873"/>
        <v>0</v>
      </c>
      <c r="HR114" s="74">
        <f t="shared" si="3873"/>
        <v>0</v>
      </c>
      <c r="HS114" s="74">
        <f t="shared" si="3873"/>
        <v>0</v>
      </c>
      <c r="HT114" s="74">
        <f t="shared" si="3873"/>
        <v>-1000</v>
      </c>
      <c r="HU114" s="74">
        <f t="shared" si="3873"/>
        <v>0</v>
      </c>
      <c r="HV114" s="74">
        <f t="shared" si="3873"/>
        <v>0</v>
      </c>
      <c r="HW114" s="74">
        <f t="shared" si="3873"/>
        <v>0</v>
      </c>
      <c r="HX114" s="74">
        <f t="shared" si="3873"/>
        <v>0</v>
      </c>
      <c r="HY114" s="74">
        <f t="shared" si="3873"/>
        <v>0</v>
      </c>
      <c r="HZ114" s="74">
        <f t="shared" si="3873"/>
        <v>-547</v>
      </c>
      <c r="IA114" s="74">
        <f t="shared" si="3873"/>
        <v>0</v>
      </c>
      <c r="IB114" s="74">
        <f t="shared" si="3873"/>
        <v>0</v>
      </c>
      <c r="IC114" s="74">
        <f t="shared" si="3873"/>
        <v>0</v>
      </c>
      <c r="ID114" s="74">
        <f t="shared" si="3873"/>
        <v>0</v>
      </c>
      <c r="IE114" s="792">
        <f t="shared" si="3873"/>
        <v>0</v>
      </c>
      <c r="IF114" s="841">
        <f t="shared" si="3873"/>
        <v>452.5</v>
      </c>
      <c r="IG114" s="263">
        <f t="shared" si="3873"/>
        <v>452.5</v>
      </c>
      <c r="IH114" s="842">
        <f t="shared" si="3873"/>
        <v>452.5</v>
      </c>
      <c r="II114" s="155">
        <f t="shared" si="3873"/>
        <v>0</v>
      </c>
      <c r="IJ114" s="74">
        <f t="shared" si="3873"/>
        <v>0</v>
      </c>
      <c r="IK114" s="74">
        <f t="shared" si="3873"/>
        <v>0</v>
      </c>
      <c r="IL114" s="74">
        <f t="shared" si="3873"/>
        <v>22</v>
      </c>
      <c r="IM114" s="74">
        <f t="shared" si="3873"/>
        <v>22</v>
      </c>
      <c r="IN114" s="74">
        <f t="shared" si="3873"/>
        <v>22</v>
      </c>
      <c r="IO114" s="74">
        <f t="shared" si="3873"/>
        <v>0</v>
      </c>
      <c r="IP114" s="74">
        <f t="shared" si="3873"/>
        <v>0</v>
      </c>
      <c r="IQ114" s="74">
        <f t="shared" si="3873"/>
        <v>0</v>
      </c>
      <c r="IR114" s="74">
        <f t="shared" si="3873"/>
        <v>0</v>
      </c>
      <c r="IS114" s="74">
        <f t="shared" si="3873"/>
        <v>0</v>
      </c>
      <c r="IT114" s="74">
        <f t="shared" si="3873"/>
        <v>0</v>
      </c>
      <c r="IU114" s="74">
        <f t="shared" si="3873"/>
        <v>0</v>
      </c>
      <c r="IV114" s="74">
        <f t="shared" si="3873"/>
        <v>0</v>
      </c>
      <c r="IW114" s="74">
        <f t="shared" si="3873"/>
        <v>0</v>
      </c>
      <c r="IX114" s="74">
        <f t="shared" si="3873"/>
        <v>0</v>
      </c>
      <c r="IY114" s="74">
        <f t="shared" si="3873"/>
        <v>0</v>
      </c>
      <c r="IZ114" s="74">
        <f t="shared" si="3873"/>
        <v>0</v>
      </c>
      <c r="JA114" s="74">
        <f t="shared" si="3873"/>
        <v>0</v>
      </c>
      <c r="JB114" s="74">
        <f t="shared" si="3873"/>
        <v>0</v>
      </c>
      <c r="JC114" s="74">
        <f t="shared" si="3873"/>
        <v>0</v>
      </c>
      <c r="JD114" s="74">
        <f t="shared" si="3873"/>
        <v>430.5</v>
      </c>
      <c r="JE114" s="74">
        <f t="shared" si="3873"/>
        <v>430.5</v>
      </c>
      <c r="JF114" s="74">
        <f t="shared" si="3873"/>
        <v>430.5</v>
      </c>
      <c r="JG114" s="74">
        <f t="shared" si="3873"/>
        <v>0</v>
      </c>
      <c r="JH114" s="74">
        <f t="shared" si="3873"/>
        <v>0</v>
      </c>
      <c r="JI114" s="74">
        <f t="shared" si="3873"/>
        <v>0</v>
      </c>
      <c r="JJ114" s="74">
        <f t="shared" si="3873"/>
        <v>0</v>
      </c>
      <c r="JK114" s="74">
        <f t="shared" si="3873"/>
        <v>0</v>
      </c>
      <c r="JL114" s="74">
        <f t="shared" si="3873"/>
        <v>0</v>
      </c>
      <c r="JM114" s="74">
        <f t="shared" si="3873"/>
        <v>0</v>
      </c>
      <c r="JN114" s="74">
        <f t="shared" si="3873"/>
        <v>0</v>
      </c>
      <c r="JO114" s="74">
        <f t="shared" si="3873"/>
        <v>0</v>
      </c>
      <c r="JP114" s="74">
        <f t="shared" si="3873"/>
        <v>0</v>
      </c>
      <c r="JQ114" s="74">
        <f t="shared" si="3873"/>
        <v>0</v>
      </c>
      <c r="JR114" s="74">
        <f t="shared" si="3873"/>
        <v>0</v>
      </c>
      <c r="JS114" s="74">
        <f t="shared" si="3873"/>
        <v>0.5</v>
      </c>
      <c r="JT114" s="102">
        <f t="shared" si="3873"/>
        <v>0.5</v>
      </c>
      <c r="JU114" s="671"/>
      <c r="JV114" s="492"/>
      <c r="JW114" s="490"/>
      <c r="JX114" s="549">
        <f t="shared" ref="JX114:KB115" si="3874">SUM(JX447)</f>
        <v>453</v>
      </c>
      <c r="JY114" s="549">
        <f t="shared" si="3874"/>
        <v>0</v>
      </c>
      <c r="JZ114" s="581">
        <f t="shared" si="2110"/>
        <v>0</v>
      </c>
      <c r="KA114" s="581">
        <f t="shared" si="2111"/>
        <v>-2547</v>
      </c>
      <c r="KB114" s="549">
        <f t="shared" si="3874"/>
        <v>453</v>
      </c>
      <c r="KC114" s="709">
        <f t="shared" si="2079"/>
        <v>0</v>
      </c>
      <c r="KD114" s="36"/>
      <c r="KE114" s="36"/>
      <c r="KF114" s="36"/>
      <c r="KG114" s="36"/>
      <c r="KH114" s="36"/>
      <c r="KI114" s="36"/>
      <c r="KJ114" s="36"/>
      <c r="KK114" s="36"/>
    </row>
    <row r="115" spans="1:297" s="8" customFormat="1">
      <c r="A115" s="75">
        <v>214</v>
      </c>
      <c r="B115" s="72" t="s">
        <v>135</v>
      </c>
      <c r="C115" s="74">
        <f t="shared" ref="C115:AS115" si="3875">SUM(C448)</f>
        <v>17000</v>
      </c>
      <c r="D115" s="549">
        <f t="shared" si="3875"/>
        <v>0</v>
      </c>
      <c r="E115" s="675">
        <f t="shared" si="3875"/>
        <v>0</v>
      </c>
      <c r="F115" s="549">
        <f t="shared" si="3875"/>
        <v>0</v>
      </c>
      <c r="G115" s="675">
        <f t="shared" si="3875"/>
        <v>0</v>
      </c>
      <c r="H115" s="549">
        <f t="shared" si="3875"/>
        <v>0</v>
      </c>
      <c r="I115" s="675">
        <f t="shared" si="3875"/>
        <v>0</v>
      </c>
      <c r="J115" s="549">
        <f t="shared" si="3875"/>
        <v>0</v>
      </c>
      <c r="K115" s="675">
        <f t="shared" si="3875"/>
        <v>0</v>
      </c>
      <c r="L115" s="549">
        <f t="shared" si="3875"/>
        <v>0</v>
      </c>
      <c r="M115" s="675">
        <f t="shared" si="3875"/>
        <v>0</v>
      </c>
      <c r="N115" s="549">
        <f t="shared" si="3875"/>
        <v>0</v>
      </c>
      <c r="O115" s="675">
        <f t="shared" si="3875"/>
        <v>0</v>
      </c>
      <c r="P115" s="549">
        <f t="shared" si="3875"/>
        <v>0</v>
      </c>
      <c r="Q115" s="675">
        <f t="shared" si="3875"/>
        <v>0</v>
      </c>
      <c r="R115" s="549">
        <f t="shared" si="3875"/>
        <v>0</v>
      </c>
      <c r="S115" s="675">
        <f t="shared" si="3875"/>
        <v>0</v>
      </c>
      <c r="T115" s="549">
        <f t="shared" si="3875"/>
        <v>0</v>
      </c>
      <c r="U115" s="675">
        <f t="shared" si="3875"/>
        <v>0</v>
      </c>
      <c r="V115" s="549">
        <f t="shared" si="3875"/>
        <v>0</v>
      </c>
      <c r="W115" s="675">
        <f t="shared" si="3875"/>
        <v>-4000</v>
      </c>
      <c r="X115" s="549">
        <f t="shared" si="3875"/>
        <v>0</v>
      </c>
      <c r="Y115" s="675">
        <f t="shared" si="3875"/>
        <v>0</v>
      </c>
      <c r="Z115" s="549">
        <f t="shared" si="3875"/>
        <v>0</v>
      </c>
      <c r="AA115" s="675">
        <f t="shared" si="3875"/>
        <v>0</v>
      </c>
      <c r="AB115" s="549">
        <f t="shared" si="3875"/>
        <v>0</v>
      </c>
      <c r="AC115" s="675">
        <f t="shared" si="3875"/>
        <v>0</v>
      </c>
      <c r="AD115" s="549">
        <f t="shared" si="3875"/>
        <v>0</v>
      </c>
      <c r="AE115" s="675">
        <f t="shared" si="3875"/>
        <v>0</v>
      </c>
      <c r="AF115" s="549">
        <f t="shared" si="3875"/>
        <v>0</v>
      </c>
      <c r="AG115" s="675">
        <f t="shared" si="3875"/>
        <v>-1000</v>
      </c>
      <c r="AH115" s="549">
        <f t="shared" si="3875"/>
        <v>0</v>
      </c>
      <c r="AI115" s="675">
        <f t="shared" si="3875"/>
        <v>0</v>
      </c>
      <c r="AJ115" s="549">
        <f t="shared" si="3875"/>
        <v>0</v>
      </c>
      <c r="AK115" s="675">
        <f t="shared" si="3875"/>
        <v>0</v>
      </c>
      <c r="AL115" s="549">
        <f t="shared" si="3875"/>
        <v>0</v>
      </c>
      <c r="AM115" s="675">
        <f t="shared" si="3875"/>
        <v>0</v>
      </c>
      <c r="AN115" s="549">
        <f t="shared" si="3875"/>
        <v>0</v>
      </c>
      <c r="AO115" s="675">
        <f t="shared" si="3875"/>
        <v>0</v>
      </c>
      <c r="AP115" s="549">
        <f t="shared" si="3875"/>
        <v>0</v>
      </c>
      <c r="AQ115" s="675">
        <f t="shared" si="3875"/>
        <v>0</v>
      </c>
      <c r="AR115" s="549">
        <f t="shared" si="3875"/>
        <v>0</v>
      </c>
      <c r="AS115" s="675">
        <f t="shared" si="3875"/>
        <v>0</v>
      </c>
      <c r="AT115" s="549">
        <f t="shared" ref="AT115:AU115" si="3876">SUM(AT448)</f>
        <v>0</v>
      </c>
      <c r="AU115" s="675">
        <f t="shared" si="3876"/>
        <v>0</v>
      </c>
      <c r="AV115" s="549">
        <f t="shared" ref="AV115:AW115" si="3877">SUM(AV448)</f>
        <v>0</v>
      </c>
      <c r="AW115" s="675">
        <f t="shared" si="3877"/>
        <v>0</v>
      </c>
      <c r="AX115" s="549">
        <f t="shared" ref="AX115:AY115" si="3878">SUM(AX448)</f>
        <v>0</v>
      </c>
      <c r="AY115" s="675">
        <f t="shared" si="3878"/>
        <v>0</v>
      </c>
      <c r="AZ115" s="549">
        <f t="shared" ref="AZ115:BA115" si="3879">SUM(AZ448)</f>
        <v>0</v>
      </c>
      <c r="BA115" s="675">
        <f t="shared" si="3879"/>
        <v>-2000</v>
      </c>
      <c r="BB115" s="549">
        <f t="shared" ref="BB115:BC115" si="3880">SUM(BB448)</f>
        <v>0</v>
      </c>
      <c r="BC115" s="675">
        <f t="shared" si="3880"/>
        <v>0</v>
      </c>
      <c r="BD115" s="549">
        <f t="shared" ref="BD115:BE115" si="3881">SUM(BD448)</f>
        <v>0</v>
      </c>
      <c r="BE115" s="675">
        <f t="shared" si="3881"/>
        <v>0</v>
      </c>
      <c r="BF115" s="549">
        <f t="shared" ref="BF115:BG115" si="3882">SUM(BF448)</f>
        <v>0</v>
      </c>
      <c r="BG115" s="675">
        <f t="shared" si="3882"/>
        <v>0</v>
      </c>
      <c r="BH115" s="549">
        <f t="shared" ref="BH115:BI115" si="3883">SUM(BH448)</f>
        <v>0</v>
      </c>
      <c r="BI115" s="675">
        <f t="shared" si="3883"/>
        <v>0</v>
      </c>
      <c r="BJ115" s="549">
        <f t="shared" ref="BJ115:BK115" si="3884">SUM(BJ448)</f>
        <v>0</v>
      </c>
      <c r="BK115" s="675">
        <f t="shared" si="3884"/>
        <v>0</v>
      </c>
      <c r="BL115" s="549">
        <f t="shared" ref="BL115:BS115" si="3885">SUM(BL448)</f>
        <v>0</v>
      </c>
      <c r="BM115" s="675">
        <f t="shared" si="3885"/>
        <v>0</v>
      </c>
      <c r="BN115" s="549">
        <f t="shared" si="3885"/>
        <v>0</v>
      </c>
      <c r="BO115" s="675">
        <f t="shared" si="3885"/>
        <v>0</v>
      </c>
      <c r="BP115" s="549">
        <f t="shared" si="3885"/>
        <v>0</v>
      </c>
      <c r="BQ115" s="675">
        <f t="shared" si="3885"/>
        <v>0</v>
      </c>
      <c r="BR115" s="549">
        <f t="shared" si="3885"/>
        <v>0</v>
      </c>
      <c r="BS115" s="675">
        <f t="shared" si="3885"/>
        <v>0</v>
      </c>
      <c r="BT115" s="549">
        <f t="shared" si="3843"/>
        <v>0</v>
      </c>
      <c r="BU115" s="675">
        <f t="shared" si="3843"/>
        <v>0</v>
      </c>
      <c r="BV115" s="549">
        <f t="shared" si="3843"/>
        <v>0</v>
      </c>
      <c r="BW115" s="675">
        <f t="shared" si="3843"/>
        <v>0</v>
      </c>
      <c r="BX115" s="549">
        <f t="shared" ref="BX115:BY115" si="3886">SUM(BX448)</f>
        <v>0</v>
      </c>
      <c r="BY115" s="675">
        <f t="shared" si="3886"/>
        <v>0</v>
      </c>
      <c r="BZ115" s="549">
        <f t="shared" ref="BZ115:CA115" si="3887">SUM(BZ448)</f>
        <v>0</v>
      </c>
      <c r="CA115" s="675">
        <f t="shared" si="3887"/>
        <v>0</v>
      </c>
      <c r="CB115" s="549">
        <f t="shared" ref="CB115:CE115" si="3888">SUM(CB448)</f>
        <v>0</v>
      </c>
      <c r="CC115" s="675">
        <f t="shared" si="3888"/>
        <v>0</v>
      </c>
      <c r="CD115" s="549">
        <f t="shared" si="3888"/>
        <v>0</v>
      </c>
      <c r="CE115" s="675">
        <f t="shared" si="3888"/>
        <v>0</v>
      </c>
      <c r="CF115" s="549">
        <f t="shared" ref="CF115:CG115" si="3889">SUM(CF448)</f>
        <v>0</v>
      </c>
      <c r="CG115" s="675">
        <f t="shared" si="3889"/>
        <v>0</v>
      </c>
      <c r="CH115" s="549">
        <f t="shared" ref="CH115:CQ115" si="3890">SUM(CH448)</f>
        <v>0</v>
      </c>
      <c r="CI115" s="675">
        <f t="shared" si="3890"/>
        <v>0</v>
      </c>
      <c r="CJ115" s="549">
        <f t="shared" si="3890"/>
        <v>0</v>
      </c>
      <c r="CK115" s="675">
        <f t="shared" si="3890"/>
        <v>-3000</v>
      </c>
      <c r="CL115" s="549">
        <f t="shared" si="3890"/>
        <v>0</v>
      </c>
      <c r="CM115" s="675">
        <f t="shared" si="3890"/>
        <v>-3000</v>
      </c>
      <c r="CN115" s="549">
        <f t="shared" si="3890"/>
        <v>0</v>
      </c>
      <c r="CO115" s="675">
        <f t="shared" si="3890"/>
        <v>0</v>
      </c>
      <c r="CP115" s="549">
        <f t="shared" si="3890"/>
        <v>0</v>
      </c>
      <c r="CQ115" s="675">
        <f t="shared" si="3890"/>
        <v>0</v>
      </c>
      <c r="CR115" s="549">
        <f t="shared" si="3849"/>
        <v>0</v>
      </c>
      <c r="CS115" s="675">
        <f t="shared" si="3849"/>
        <v>0</v>
      </c>
      <c r="CT115" s="549">
        <f t="shared" si="3849"/>
        <v>0</v>
      </c>
      <c r="CU115" s="675">
        <f t="shared" si="3849"/>
        <v>0</v>
      </c>
      <c r="CV115" s="549">
        <f t="shared" si="3849"/>
        <v>0</v>
      </c>
      <c r="CW115" s="675">
        <f t="shared" si="3849"/>
        <v>0</v>
      </c>
      <c r="CX115" s="549">
        <f t="shared" si="3849"/>
        <v>0</v>
      </c>
      <c r="CY115" s="675">
        <f t="shared" si="3849"/>
        <v>0</v>
      </c>
      <c r="CZ115" s="549">
        <f t="shared" si="3850"/>
        <v>0</v>
      </c>
      <c r="DA115" s="675">
        <f t="shared" si="3850"/>
        <v>0</v>
      </c>
      <c r="DB115" s="549">
        <f t="shared" si="3850"/>
        <v>0</v>
      </c>
      <c r="DC115" s="675">
        <f t="shared" si="3850"/>
        <v>0</v>
      </c>
      <c r="DD115" s="549">
        <f t="shared" ref="DD115:DE115" si="3891">SUM(DD448)</f>
        <v>0</v>
      </c>
      <c r="DE115" s="675">
        <f t="shared" si="3891"/>
        <v>0</v>
      </c>
      <c r="DF115" s="549">
        <f t="shared" ref="DF115:DG115" si="3892">SUM(DF448)</f>
        <v>0</v>
      </c>
      <c r="DG115" s="675">
        <f t="shared" si="3892"/>
        <v>0</v>
      </c>
      <c r="DH115" s="549">
        <f t="shared" si="3852"/>
        <v>0</v>
      </c>
      <c r="DI115" s="675">
        <f t="shared" si="3852"/>
        <v>0</v>
      </c>
      <c r="DJ115" s="549">
        <f t="shared" si="3852"/>
        <v>0</v>
      </c>
      <c r="DK115" s="675">
        <f t="shared" si="3852"/>
        <v>-1000</v>
      </c>
      <c r="DL115" s="549">
        <f t="shared" si="3852"/>
        <v>0</v>
      </c>
      <c r="DM115" s="675">
        <f t="shared" si="3852"/>
        <v>0</v>
      </c>
      <c r="DN115" s="549">
        <f t="shared" si="3852"/>
        <v>0</v>
      </c>
      <c r="DO115" s="675">
        <f t="shared" si="3852"/>
        <v>0</v>
      </c>
      <c r="DP115" s="549">
        <f t="shared" ref="DP115:DU115" si="3893">SUM(DP448)</f>
        <v>0</v>
      </c>
      <c r="DQ115" s="675">
        <f t="shared" si="3893"/>
        <v>0</v>
      </c>
      <c r="DR115" s="549">
        <f t="shared" si="3893"/>
        <v>0</v>
      </c>
      <c r="DS115" s="675">
        <f t="shared" si="3893"/>
        <v>0</v>
      </c>
      <c r="DT115" s="549">
        <f t="shared" si="3893"/>
        <v>0</v>
      </c>
      <c r="DU115" s="675">
        <f t="shared" si="3893"/>
        <v>0</v>
      </c>
      <c r="DV115" s="549">
        <f t="shared" ref="DV115:EA115" si="3894">SUM(DV448)</f>
        <v>0</v>
      </c>
      <c r="DW115" s="675">
        <f t="shared" si="3894"/>
        <v>0</v>
      </c>
      <c r="DX115" s="549">
        <f t="shared" si="3894"/>
        <v>0</v>
      </c>
      <c r="DY115" s="675">
        <f t="shared" si="3894"/>
        <v>0</v>
      </c>
      <c r="DZ115" s="549">
        <f t="shared" si="3894"/>
        <v>0</v>
      </c>
      <c r="EA115" s="675">
        <f t="shared" si="3894"/>
        <v>0</v>
      </c>
      <c r="EB115" s="549">
        <f t="shared" ref="EB115:EM115" si="3895">SUM(EB448)</f>
        <v>0</v>
      </c>
      <c r="EC115" s="675">
        <f t="shared" si="3895"/>
        <v>0</v>
      </c>
      <c r="ED115" s="549">
        <f t="shared" si="3895"/>
        <v>0</v>
      </c>
      <c r="EE115" s="675">
        <f t="shared" si="3895"/>
        <v>0</v>
      </c>
      <c r="EF115" s="549">
        <f t="shared" si="3895"/>
        <v>0</v>
      </c>
      <c r="EG115" s="675">
        <f t="shared" si="3895"/>
        <v>0</v>
      </c>
      <c r="EH115" s="549">
        <f t="shared" si="3895"/>
        <v>0</v>
      </c>
      <c r="EI115" s="675">
        <f t="shared" si="3895"/>
        <v>0</v>
      </c>
      <c r="EJ115" s="549">
        <f t="shared" si="3895"/>
        <v>0</v>
      </c>
      <c r="EK115" s="675">
        <f t="shared" si="3895"/>
        <v>0</v>
      </c>
      <c r="EL115" s="549">
        <f t="shared" si="3895"/>
        <v>0</v>
      </c>
      <c r="EM115" s="675">
        <f t="shared" si="3895"/>
        <v>0</v>
      </c>
      <c r="EN115" s="549">
        <f t="shared" ref="EN115:EO115" si="3896">SUM(EN448)</f>
        <v>0</v>
      </c>
      <c r="EO115" s="675">
        <f t="shared" si="3896"/>
        <v>0</v>
      </c>
      <c r="EP115" s="549">
        <f t="shared" ref="EP115:EU115" si="3897">SUM(EP448)</f>
        <v>0</v>
      </c>
      <c r="EQ115" s="675">
        <f t="shared" si="3897"/>
        <v>0</v>
      </c>
      <c r="ER115" s="549">
        <f t="shared" si="3897"/>
        <v>0</v>
      </c>
      <c r="ES115" s="675">
        <f t="shared" si="3897"/>
        <v>0</v>
      </c>
      <c r="ET115" s="549">
        <f t="shared" si="3897"/>
        <v>0</v>
      </c>
      <c r="EU115" s="675">
        <f t="shared" si="3897"/>
        <v>0</v>
      </c>
      <c r="EV115" s="549">
        <f t="shared" ref="EV115:EW115" si="3898">SUM(EV448)</f>
        <v>0</v>
      </c>
      <c r="EW115" s="675">
        <f t="shared" si="3898"/>
        <v>0</v>
      </c>
      <c r="EX115" s="549">
        <f t="shared" ref="EX115:EY115" si="3899">SUM(EX448)</f>
        <v>0</v>
      </c>
      <c r="EY115" s="675">
        <f t="shared" si="3899"/>
        <v>0</v>
      </c>
      <c r="EZ115" s="549">
        <f t="shared" ref="EZ115:FA115" si="3900">SUM(EZ448)</f>
        <v>0</v>
      </c>
      <c r="FA115" s="675">
        <f t="shared" si="3900"/>
        <v>0</v>
      </c>
      <c r="FB115" s="549">
        <f t="shared" si="3859"/>
        <v>0</v>
      </c>
      <c r="FC115" s="675">
        <f t="shared" si="3859"/>
        <v>0</v>
      </c>
      <c r="FD115" s="549">
        <f t="shared" si="3859"/>
        <v>0</v>
      </c>
      <c r="FE115" s="675">
        <f t="shared" si="3859"/>
        <v>0</v>
      </c>
      <c r="FF115" s="549">
        <f t="shared" ref="FF115:FG115" si="3901">SUM(FF448)</f>
        <v>0</v>
      </c>
      <c r="FG115" s="675">
        <f t="shared" si="3901"/>
        <v>0</v>
      </c>
      <c r="FH115" s="549">
        <f t="shared" ref="FH115:FI115" si="3902">SUM(FH448)</f>
        <v>0</v>
      </c>
      <c r="FI115" s="675">
        <f t="shared" si="3902"/>
        <v>0</v>
      </c>
      <c r="FJ115" s="549">
        <f t="shared" ref="FJ115:FK115" si="3903">SUM(FJ448)</f>
        <v>0</v>
      </c>
      <c r="FK115" s="675">
        <f t="shared" si="3903"/>
        <v>0</v>
      </c>
      <c r="FL115" s="549">
        <f t="shared" ref="FL115:FM115" si="3904">SUM(FL448)</f>
        <v>0</v>
      </c>
      <c r="FM115" s="675">
        <f t="shared" si="3904"/>
        <v>0</v>
      </c>
      <c r="FN115" s="549">
        <f t="shared" ref="FN115:FO115" si="3905">SUM(FN448)</f>
        <v>0</v>
      </c>
      <c r="FO115" s="675">
        <f t="shared" si="3905"/>
        <v>0</v>
      </c>
      <c r="FP115" s="549">
        <f t="shared" ref="FP115:FQ115" si="3906">SUM(FP448)</f>
        <v>0</v>
      </c>
      <c r="FQ115" s="675">
        <f t="shared" si="3906"/>
        <v>0</v>
      </c>
      <c r="FR115" s="549">
        <f t="shared" ref="FR115:FS115" si="3907">SUM(FR448)</f>
        <v>0</v>
      </c>
      <c r="FS115" s="675">
        <f t="shared" si="3907"/>
        <v>-300</v>
      </c>
      <c r="FT115" s="549">
        <f t="shared" ref="FT115:FU115" si="3908">SUM(FT448)</f>
        <v>0</v>
      </c>
      <c r="FU115" s="675">
        <f t="shared" si="3908"/>
        <v>0</v>
      </c>
      <c r="FV115" s="549">
        <f t="shared" ref="FV115:GK115" si="3909">SUM(FV448)</f>
        <v>0</v>
      </c>
      <c r="FW115" s="675">
        <f t="shared" si="3909"/>
        <v>0</v>
      </c>
      <c r="FX115" s="549">
        <f t="shared" si="3909"/>
        <v>0</v>
      </c>
      <c r="FY115" s="675">
        <f t="shared" si="3909"/>
        <v>0</v>
      </c>
      <c r="FZ115" s="549">
        <f t="shared" ref="FZ115:GI115" si="3910">SUM(FZ448)</f>
        <v>0</v>
      </c>
      <c r="GA115" s="675">
        <f t="shared" si="3910"/>
        <v>0</v>
      </c>
      <c r="GB115" s="549">
        <f t="shared" si="3910"/>
        <v>0</v>
      </c>
      <c r="GC115" s="675">
        <f t="shared" si="3910"/>
        <v>0</v>
      </c>
      <c r="GD115" s="549">
        <f t="shared" si="3910"/>
        <v>0</v>
      </c>
      <c r="GE115" s="675">
        <f t="shared" si="3910"/>
        <v>0</v>
      </c>
      <c r="GF115" s="549">
        <f t="shared" si="3910"/>
        <v>0</v>
      </c>
      <c r="GG115" s="675">
        <f t="shared" si="3910"/>
        <v>0</v>
      </c>
      <c r="GH115" s="549">
        <f t="shared" si="3910"/>
        <v>0</v>
      </c>
      <c r="GI115" s="675">
        <f t="shared" si="3910"/>
        <v>0</v>
      </c>
      <c r="GJ115" s="549">
        <f t="shared" si="3909"/>
        <v>0</v>
      </c>
      <c r="GK115" s="675">
        <f t="shared" si="3909"/>
        <v>0</v>
      </c>
      <c r="GL115" s="549">
        <f t="shared" ref="GL115:GM115" si="3911">SUM(GL448)</f>
        <v>0</v>
      </c>
      <c r="GM115" s="675">
        <f t="shared" si="3911"/>
        <v>0</v>
      </c>
      <c r="GN115" s="549">
        <f t="shared" ref="GN115:GO115" si="3912">SUM(GN448)</f>
        <v>0</v>
      </c>
      <c r="GO115" s="675">
        <f t="shared" si="3912"/>
        <v>0</v>
      </c>
      <c r="GP115" s="74">
        <f t="shared" si="3859"/>
        <v>0</v>
      </c>
      <c r="GQ115" s="675">
        <f t="shared" si="3859"/>
        <v>-14300</v>
      </c>
      <c r="GR115" s="74">
        <f t="shared" ref="GR115:HK115" si="3913">SUM(GR448)</f>
        <v>2700</v>
      </c>
      <c r="GS115" s="74">
        <f t="shared" si="3913"/>
        <v>2700</v>
      </c>
      <c r="GT115" s="74">
        <f t="shared" si="3913"/>
        <v>2700</v>
      </c>
      <c r="GU115" s="74">
        <f t="shared" si="3913"/>
        <v>6000</v>
      </c>
      <c r="GV115" s="74">
        <f t="shared" si="3913"/>
        <v>0</v>
      </c>
      <c r="GW115" s="74">
        <f t="shared" si="3913"/>
        <v>0</v>
      </c>
      <c r="GX115" s="74">
        <f t="shared" si="3913"/>
        <v>6000</v>
      </c>
      <c r="GY115" s="74">
        <f t="shared" si="3913"/>
        <v>0</v>
      </c>
      <c r="GZ115" s="74">
        <f t="shared" si="3913"/>
        <v>0</v>
      </c>
      <c r="HA115" s="74">
        <f t="shared" si="3913"/>
        <v>5000</v>
      </c>
      <c r="HB115" s="74">
        <f t="shared" si="3913"/>
        <v>0</v>
      </c>
      <c r="HC115" s="74">
        <f t="shared" si="3913"/>
        <v>0</v>
      </c>
      <c r="HD115" s="74">
        <f t="shared" si="3913"/>
        <v>0</v>
      </c>
      <c r="HE115" s="74">
        <f t="shared" si="3913"/>
        <v>0</v>
      </c>
      <c r="HF115" s="74">
        <f t="shared" si="3913"/>
        <v>0</v>
      </c>
      <c r="HG115" s="74">
        <f t="shared" si="3913"/>
        <v>2700</v>
      </c>
      <c r="HH115" s="74">
        <f t="shared" si="3913"/>
        <v>6000</v>
      </c>
      <c r="HI115" s="74">
        <f t="shared" si="3913"/>
        <v>0</v>
      </c>
      <c r="HJ115" s="74">
        <f t="shared" si="3913"/>
        <v>0</v>
      </c>
      <c r="HK115" s="74">
        <f t="shared" si="3913"/>
        <v>0</v>
      </c>
      <c r="HL115" s="74">
        <f t="shared" ref="HL115:JT115" si="3914">SUM(HL448)</f>
        <v>-5000</v>
      </c>
      <c r="HM115" s="74">
        <f t="shared" si="3914"/>
        <v>0</v>
      </c>
      <c r="HN115" s="74">
        <f t="shared" si="3914"/>
        <v>6000</v>
      </c>
      <c r="HO115" s="74">
        <f t="shared" si="3914"/>
        <v>0</v>
      </c>
      <c r="HP115" s="74">
        <f t="shared" si="3914"/>
        <v>-2000</v>
      </c>
      <c r="HQ115" s="74">
        <f t="shared" si="3914"/>
        <v>0</v>
      </c>
      <c r="HR115" s="74">
        <f t="shared" si="3914"/>
        <v>0</v>
      </c>
      <c r="HS115" s="74">
        <f t="shared" si="3914"/>
        <v>0</v>
      </c>
      <c r="HT115" s="74">
        <f t="shared" si="3914"/>
        <v>-1000</v>
      </c>
      <c r="HU115" s="74">
        <f t="shared" si="3914"/>
        <v>0</v>
      </c>
      <c r="HV115" s="74">
        <f t="shared" si="3914"/>
        <v>-1000</v>
      </c>
      <c r="HW115" s="74">
        <f t="shared" si="3914"/>
        <v>0</v>
      </c>
      <c r="HX115" s="74">
        <f t="shared" si="3914"/>
        <v>0</v>
      </c>
      <c r="HY115" s="74">
        <f t="shared" si="3914"/>
        <v>0</v>
      </c>
      <c r="HZ115" s="74">
        <f t="shared" si="3914"/>
        <v>-300</v>
      </c>
      <c r="IA115" s="74">
        <f t="shared" si="3914"/>
        <v>0</v>
      </c>
      <c r="IB115" s="74">
        <f t="shared" si="3914"/>
        <v>0</v>
      </c>
      <c r="IC115" s="74">
        <f t="shared" si="3914"/>
        <v>0</v>
      </c>
      <c r="ID115" s="74">
        <f t="shared" si="3914"/>
        <v>0</v>
      </c>
      <c r="IE115" s="792">
        <f t="shared" si="3914"/>
        <v>0</v>
      </c>
      <c r="IF115" s="841">
        <f t="shared" si="3914"/>
        <v>2620.54</v>
      </c>
      <c r="IG115" s="263">
        <f t="shared" si="3914"/>
        <v>2620.54</v>
      </c>
      <c r="IH115" s="842">
        <f t="shared" si="3914"/>
        <v>2620.54</v>
      </c>
      <c r="II115" s="155">
        <f t="shared" si="3914"/>
        <v>0</v>
      </c>
      <c r="IJ115" s="74">
        <f t="shared" si="3914"/>
        <v>0</v>
      </c>
      <c r="IK115" s="74">
        <f t="shared" si="3914"/>
        <v>0</v>
      </c>
      <c r="IL115" s="74">
        <f t="shared" si="3914"/>
        <v>0</v>
      </c>
      <c r="IM115" s="74">
        <f t="shared" si="3914"/>
        <v>0</v>
      </c>
      <c r="IN115" s="74">
        <f t="shared" si="3914"/>
        <v>0</v>
      </c>
      <c r="IO115" s="74">
        <f t="shared" si="3914"/>
        <v>805.14</v>
      </c>
      <c r="IP115" s="74">
        <f t="shared" si="3914"/>
        <v>805.14</v>
      </c>
      <c r="IQ115" s="74">
        <f t="shared" si="3914"/>
        <v>805.14</v>
      </c>
      <c r="IR115" s="74">
        <f t="shared" si="3914"/>
        <v>274.50000000000011</v>
      </c>
      <c r="IS115" s="74">
        <f t="shared" si="3914"/>
        <v>274.50000000000011</v>
      </c>
      <c r="IT115" s="74">
        <f t="shared" si="3914"/>
        <v>274.50000000000011</v>
      </c>
      <c r="IU115" s="74">
        <f t="shared" si="3914"/>
        <v>0</v>
      </c>
      <c r="IV115" s="74">
        <f t="shared" si="3914"/>
        <v>0</v>
      </c>
      <c r="IW115" s="74">
        <f t="shared" si="3914"/>
        <v>0</v>
      </c>
      <c r="IX115" s="74">
        <f t="shared" si="3914"/>
        <v>0</v>
      </c>
      <c r="IY115" s="74">
        <f t="shared" si="3914"/>
        <v>0</v>
      </c>
      <c r="IZ115" s="74">
        <f t="shared" si="3914"/>
        <v>0</v>
      </c>
      <c r="JA115" s="74">
        <f t="shared" si="3914"/>
        <v>18.299999999999955</v>
      </c>
      <c r="JB115" s="74">
        <f t="shared" si="3914"/>
        <v>18.299999999999955</v>
      </c>
      <c r="JC115" s="74">
        <f t="shared" si="3914"/>
        <v>18.299999999999955</v>
      </c>
      <c r="JD115" s="74">
        <f t="shared" si="3914"/>
        <v>177.59999999999991</v>
      </c>
      <c r="JE115" s="74">
        <f t="shared" si="3914"/>
        <v>177.59999999999991</v>
      </c>
      <c r="JF115" s="74">
        <f t="shared" si="3914"/>
        <v>177.59999999999991</v>
      </c>
      <c r="JG115" s="74">
        <f t="shared" si="3914"/>
        <v>175</v>
      </c>
      <c r="JH115" s="74">
        <f t="shared" si="3914"/>
        <v>175</v>
      </c>
      <c r="JI115" s="74">
        <f t="shared" si="3914"/>
        <v>175</v>
      </c>
      <c r="JJ115" s="74">
        <f t="shared" si="3914"/>
        <v>1170</v>
      </c>
      <c r="JK115" s="74">
        <f t="shared" si="3914"/>
        <v>1170</v>
      </c>
      <c r="JL115" s="74">
        <f t="shared" si="3914"/>
        <v>1170</v>
      </c>
      <c r="JM115" s="74">
        <f t="shared" si="3914"/>
        <v>0</v>
      </c>
      <c r="JN115" s="74">
        <f t="shared" si="3914"/>
        <v>0</v>
      </c>
      <c r="JO115" s="74">
        <f t="shared" si="3914"/>
        <v>0</v>
      </c>
      <c r="JP115" s="74">
        <f t="shared" si="3914"/>
        <v>0</v>
      </c>
      <c r="JQ115" s="74">
        <f t="shared" si="3914"/>
        <v>0</v>
      </c>
      <c r="JR115" s="74">
        <f t="shared" si="3914"/>
        <v>0</v>
      </c>
      <c r="JS115" s="74">
        <f t="shared" si="3914"/>
        <v>79.460000000000036</v>
      </c>
      <c r="JT115" s="102">
        <f t="shared" si="3914"/>
        <v>79.460000000000036</v>
      </c>
      <c r="JU115" s="671"/>
      <c r="JV115" s="492"/>
      <c r="JW115" s="490"/>
      <c r="JX115" s="549">
        <f t="shared" si="3874"/>
        <v>2700</v>
      </c>
      <c r="JY115" s="549">
        <f t="shared" si="3874"/>
        <v>0</v>
      </c>
      <c r="JZ115" s="581">
        <f t="shared" si="2110"/>
        <v>0</v>
      </c>
      <c r="KA115" s="581">
        <f t="shared" si="2111"/>
        <v>-14300</v>
      </c>
      <c r="KB115" s="549">
        <f t="shared" si="3874"/>
        <v>2700</v>
      </c>
      <c r="KC115" s="709">
        <f t="shared" si="2079"/>
        <v>0</v>
      </c>
      <c r="KD115" s="36"/>
      <c r="KE115" s="36"/>
      <c r="KF115" s="36"/>
      <c r="KG115" s="36"/>
      <c r="KH115" s="36"/>
      <c r="KI115" s="36"/>
      <c r="KJ115" s="36"/>
      <c r="KK115" s="36"/>
    </row>
    <row r="116" spans="1:297" s="8" customFormat="1" ht="12.75" hidden="1" customHeight="1">
      <c r="A116" s="262" t="s">
        <v>812</v>
      </c>
      <c r="B116" s="72"/>
      <c r="C116" s="74">
        <f t="shared" ref="C116:AS116" si="3915">C449</f>
        <v>0</v>
      </c>
      <c r="D116" s="549">
        <f t="shared" si="3915"/>
        <v>0</v>
      </c>
      <c r="E116" s="675">
        <f t="shared" si="3915"/>
        <v>0</v>
      </c>
      <c r="F116" s="549">
        <f t="shared" si="3915"/>
        <v>0</v>
      </c>
      <c r="G116" s="675">
        <f t="shared" si="3915"/>
        <v>0</v>
      </c>
      <c r="H116" s="549">
        <f t="shared" si="3915"/>
        <v>0</v>
      </c>
      <c r="I116" s="675">
        <f t="shared" si="3915"/>
        <v>0</v>
      </c>
      <c r="J116" s="549">
        <f t="shared" si="3915"/>
        <v>0</v>
      </c>
      <c r="K116" s="675">
        <f t="shared" si="3915"/>
        <v>0</v>
      </c>
      <c r="L116" s="549">
        <f t="shared" si="3915"/>
        <v>0</v>
      </c>
      <c r="M116" s="675">
        <f t="shared" si="3915"/>
        <v>0</v>
      </c>
      <c r="N116" s="549">
        <f t="shared" si="3915"/>
        <v>0</v>
      </c>
      <c r="O116" s="675">
        <f t="shared" si="3915"/>
        <v>0</v>
      </c>
      <c r="P116" s="549">
        <f t="shared" si="3915"/>
        <v>0</v>
      </c>
      <c r="Q116" s="675">
        <f t="shared" si="3915"/>
        <v>0</v>
      </c>
      <c r="R116" s="549">
        <f t="shared" si="3915"/>
        <v>0</v>
      </c>
      <c r="S116" s="675">
        <f t="shared" si="3915"/>
        <v>0</v>
      </c>
      <c r="T116" s="549">
        <f t="shared" si="3915"/>
        <v>0</v>
      </c>
      <c r="U116" s="675">
        <f t="shared" si="3915"/>
        <v>0</v>
      </c>
      <c r="V116" s="549">
        <f t="shared" si="3915"/>
        <v>0</v>
      </c>
      <c r="W116" s="675">
        <f t="shared" si="3915"/>
        <v>0</v>
      </c>
      <c r="X116" s="549">
        <f t="shared" si="3915"/>
        <v>0</v>
      </c>
      <c r="Y116" s="675">
        <f t="shared" si="3915"/>
        <v>0</v>
      </c>
      <c r="Z116" s="549">
        <f t="shared" si="3915"/>
        <v>0</v>
      </c>
      <c r="AA116" s="675">
        <f t="shared" si="3915"/>
        <v>0</v>
      </c>
      <c r="AB116" s="549">
        <f t="shared" si="3915"/>
        <v>0</v>
      </c>
      <c r="AC116" s="675">
        <f t="shared" si="3915"/>
        <v>0</v>
      </c>
      <c r="AD116" s="549">
        <f t="shared" si="3915"/>
        <v>0</v>
      </c>
      <c r="AE116" s="675">
        <f t="shared" si="3915"/>
        <v>0</v>
      </c>
      <c r="AF116" s="549">
        <f t="shared" si="3915"/>
        <v>0</v>
      </c>
      <c r="AG116" s="675">
        <f t="shared" si="3915"/>
        <v>0</v>
      </c>
      <c r="AH116" s="549">
        <f t="shared" si="3915"/>
        <v>0</v>
      </c>
      <c r="AI116" s="675">
        <f t="shared" si="3915"/>
        <v>0</v>
      </c>
      <c r="AJ116" s="549">
        <f t="shared" si="3915"/>
        <v>0</v>
      </c>
      <c r="AK116" s="675">
        <f t="shared" si="3915"/>
        <v>0</v>
      </c>
      <c r="AL116" s="549">
        <f t="shared" si="3915"/>
        <v>0</v>
      </c>
      <c r="AM116" s="675">
        <f t="shared" si="3915"/>
        <v>0</v>
      </c>
      <c r="AN116" s="549">
        <f t="shared" si="3915"/>
        <v>0</v>
      </c>
      <c r="AO116" s="675">
        <f t="shared" si="3915"/>
        <v>0</v>
      </c>
      <c r="AP116" s="549">
        <f t="shared" si="3915"/>
        <v>0</v>
      </c>
      <c r="AQ116" s="675">
        <f t="shared" si="3915"/>
        <v>0</v>
      </c>
      <c r="AR116" s="549">
        <f t="shared" si="3915"/>
        <v>0</v>
      </c>
      <c r="AS116" s="675">
        <f t="shared" si="3915"/>
        <v>0</v>
      </c>
      <c r="AT116" s="549">
        <f t="shared" ref="AT116:AU116" si="3916">AT449</f>
        <v>0</v>
      </c>
      <c r="AU116" s="675">
        <f t="shared" si="3916"/>
        <v>0</v>
      </c>
      <c r="AV116" s="549">
        <f t="shared" ref="AV116:AW116" si="3917">AV449</f>
        <v>0</v>
      </c>
      <c r="AW116" s="675">
        <f t="shared" si="3917"/>
        <v>0</v>
      </c>
      <c r="AX116" s="549">
        <f t="shared" ref="AX116:AY116" si="3918">AX449</f>
        <v>0</v>
      </c>
      <c r="AY116" s="675">
        <f t="shared" si="3918"/>
        <v>0</v>
      </c>
      <c r="AZ116" s="549">
        <f t="shared" ref="AZ116:BA116" si="3919">AZ449</f>
        <v>0</v>
      </c>
      <c r="BA116" s="675">
        <f t="shared" si="3919"/>
        <v>0</v>
      </c>
      <c r="BB116" s="549">
        <f t="shared" ref="BB116:BC116" si="3920">BB449</f>
        <v>0</v>
      </c>
      <c r="BC116" s="675">
        <f t="shared" si="3920"/>
        <v>0</v>
      </c>
      <c r="BD116" s="549">
        <f t="shared" ref="BD116:BE116" si="3921">BD449</f>
        <v>0</v>
      </c>
      <c r="BE116" s="675">
        <f t="shared" si="3921"/>
        <v>0</v>
      </c>
      <c r="BF116" s="549">
        <f t="shared" ref="BF116:BG116" si="3922">BF449</f>
        <v>0</v>
      </c>
      <c r="BG116" s="675">
        <f t="shared" si="3922"/>
        <v>0</v>
      </c>
      <c r="BH116" s="549">
        <f t="shared" ref="BH116:BI116" si="3923">BH449</f>
        <v>0</v>
      </c>
      <c r="BI116" s="675">
        <f t="shared" si="3923"/>
        <v>0</v>
      </c>
      <c r="BJ116" s="549">
        <f t="shared" ref="BJ116:BK116" si="3924">BJ449</f>
        <v>0</v>
      </c>
      <c r="BK116" s="675">
        <f t="shared" si="3924"/>
        <v>0</v>
      </c>
      <c r="BL116" s="549">
        <f t="shared" ref="BL116:BS116" si="3925">BL449</f>
        <v>0</v>
      </c>
      <c r="BM116" s="675">
        <f t="shared" si="3925"/>
        <v>0</v>
      </c>
      <c r="BN116" s="549">
        <f t="shared" si="3925"/>
        <v>0</v>
      </c>
      <c r="BO116" s="675">
        <f t="shared" si="3925"/>
        <v>0</v>
      </c>
      <c r="BP116" s="549">
        <f t="shared" si="3925"/>
        <v>0</v>
      </c>
      <c r="BQ116" s="675">
        <f t="shared" si="3925"/>
        <v>0</v>
      </c>
      <c r="BR116" s="549">
        <f t="shared" si="3925"/>
        <v>0</v>
      </c>
      <c r="BS116" s="675">
        <f t="shared" si="3925"/>
        <v>0</v>
      </c>
      <c r="BT116" s="549">
        <f t="shared" ref="BT116:BU116" si="3926">BT449</f>
        <v>0</v>
      </c>
      <c r="BU116" s="675">
        <f t="shared" si="3926"/>
        <v>0</v>
      </c>
      <c r="BV116" s="549">
        <f t="shared" ref="BV116:BW116" si="3927">BV449</f>
        <v>0</v>
      </c>
      <c r="BW116" s="675">
        <f t="shared" si="3927"/>
        <v>0</v>
      </c>
      <c r="BX116" s="549">
        <f t="shared" ref="BX116:BY116" si="3928">BX449</f>
        <v>0</v>
      </c>
      <c r="BY116" s="675">
        <f t="shared" si="3928"/>
        <v>0</v>
      </c>
      <c r="BZ116" s="549">
        <f t="shared" ref="BZ116:CA116" si="3929">BZ449</f>
        <v>0</v>
      </c>
      <c r="CA116" s="675">
        <f t="shared" si="3929"/>
        <v>0</v>
      </c>
      <c r="CB116" s="549">
        <f t="shared" ref="CB116:CE116" si="3930">CB449</f>
        <v>0</v>
      </c>
      <c r="CC116" s="675">
        <f t="shared" si="3930"/>
        <v>0</v>
      </c>
      <c r="CD116" s="549">
        <f t="shared" si="3930"/>
        <v>0</v>
      </c>
      <c r="CE116" s="675">
        <f t="shared" si="3930"/>
        <v>0</v>
      </c>
      <c r="CF116" s="549">
        <f t="shared" ref="CF116:CG116" si="3931">CF449</f>
        <v>0</v>
      </c>
      <c r="CG116" s="675">
        <f t="shared" si="3931"/>
        <v>0</v>
      </c>
      <c r="CH116" s="549">
        <f t="shared" ref="CH116:CQ116" si="3932">CH449</f>
        <v>0</v>
      </c>
      <c r="CI116" s="675">
        <f t="shared" si="3932"/>
        <v>0</v>
      </c>
      <c r="CJ116" s="549">
        <f t="shared" si="3932"/>
        <v>0</v>
      </c>
      <c r="CK116" s="675">
        <f t="shared" si="3932"/>
        <v>0</v>
      </c>
      <c r="CL116" s="549">
        <f t="shared" si="3932"/>
        <v>0</v>
      </c>
      <c r="CM116" s="675">
        <f t="shared" si="3932"/>
        <v>0</v>
      </c>
      <c r="CN116" s="549">
        <f t="shared" si="3932"/>
        <v>0</v>
      </c>
      <c r="CO116" s="675">
        <f t="shared" si="3932"/>
        <v>0</v>
      </c>
      <c r="CP116" s="549">
        <f t="shared" si="3932"/>
        <v>0</v>
      </c>
      <c r="CQ116" s="675">
        <f t="shared" si="3932"/>
        <v>0</v>
      </c>
      <c r="CR116" s="549">
        <f t="shared" ref="CR116:CY116" si="3933">CR449</f>
        <v>0</v>
      </c>
      <c r="CS116" s="675">
        <f t="shared" si="3933"/>
        <v>0</v>
      </c>
      <c r="CT116" s="549">
        <f t="shared" si="3933"/>
        <v>0</v>
      </c>
      <c r="CU116" s="675">
        <f t="shared" si="3933"/>
        <v>0</v>
      </c>
      <c r="CV116" s="549">
        <f t="shared" si="3933"/>
        <v>0</v>
      </c>
      <c r="CW116" s="675">
        <f t="shared" si="3933"/>
        <v>0</v>
      </c>
      <c r="CX116" s="549">
        <f t="shared" si="3933"/>
        <v>0</v>
      </c>
      <c r="CY116" s="675">
        <f t="shared" si="3933"/>
        <v>0</v>
      </c>
      <c r="CZ116" s="549">
        <f t="shared" ref="CZ116:DI116" si="3934">CZ449</f>
        <v>0</v>
      </c>
      <c r="DA116" s="675">
        <f t="shared" si="3934"/>
        <v>0</v>
      </c>
      <c r="DB116" s="549">
        <f t="shared" si="3934"/>
        <v>0</v>
      </c>
      <c r="DC116" s="675">
        <f t="shared" si="3934"/>
        <v>0</v>
      </c>
      <c r="DD116" s="549">
        <f t="shared" si="3934"/>
        <v>0</v>
      </c>
      <c r="DE116" s="675">
        <f t="shared" si="3934"/>
        <v>0</v>
      </c>
      <c r="DF116" s="549">
        <f t="shared" si="3934"/>
        <v>0</v>
      </c>
      <c r="DG116" s="675">
        <f t="shared" si="3934"/>
        <v>0</v>
      </c>
      <c r="DH116" s="549">
        <f t="shared" si="3934"/>
        <v>0</v>
      </c>
      <c r="DI116" s="675">
        <f t="shared" si="3934"/>
        <v>0</v>
      </c>
      <c r="DJ116" s="549">
        <f t="shared" ref="DJ116:DK116" si="3935">DJ449</f>
        <v>0</v>
      </c>
      <c r="DK116" s="675">
        <f t="shared" si="3935"/>
        <v>0</v>
      </c>
      <c r="DL116" s="549">
        <f t="shared" ref="DL116:DM116" si="3936">DL449</f>
        <v>0</v>
      </c>
      <c r="DM116" s="675">
        <f t="shared" si="3936"/>
        <v>0</v>
      </c>
      <c r="DN116" s="549">
        <f t="shared" ref="DN116:DW116" si="3937">DN449</f>
        <v>0</v>
      </c>
      <c r="DO116" s="675">
        <f t="shared" si="3937"/>
        <v>0</v>
      </c>
      <c r="DP116" s="549">
        <f t="shared" si="3937"/>
        <v>0</v>
      </c>
      <c r="DQ116" s="675">
        <f t="shared" si="3937"/>
        <v>0</v>
      </c>
      <c r="DR116" s="549">
        <f t="shared" si="3937"/>
        <v>0</v>
      </c>
      <c r="DS116" s="675">
        <f t="shared" si="3937"/>
        <v>0</v>
      </c>
      <c r="DT116" s="549">
        <f t="shared" si="3937"/>
        <v>0</v>
      </c>
      <c r="DU116" s="675">
        <f t="shared" si="3937"/>
        <v>0</v>
      </c>
      <c r="DV116" s="549">
        <f t="shared" si="3937"/>
        <v>0</v>
      </c>
      <c r="DW116" s="675">
        <f t="shared" si="3937"/>
        <v>0</v>
      </c>
      <c r="DX116" s="549">
        <f t="shared" ref="DX116:EG116" si="3938">DX449</f>
        <v>0</v>
      </c>
      <c r="DY116" s="675">
        <f t="shared" si="3938"/>
        <v>0</v>
      </c>
      <c r="DZ116" s="549">
        <f t="shared" si="3938"/>
        <v>0</v>
      </c>
      <c r="EA116" s="675">
        <f t="shared" si="3938"/>
        <v>0</v>
      </c>
      <c r="EB116" s="549">
        <f t="shared" si="3938"/>
        <v>0</v>
      </c>
      <c r="EC116" s="675">
        <f t="shared" si="3938"/>
        <v>0</v>
      </c>
      <c r="ED116" s="549">
        <f t="shared" si="3938"/>
        <v>0</v>
      </c>
      <c r="EE116" s="675">
        <f t="shared" si="3938"/>
        <v>0</v>
      </c>
      <c r="EF116" s="549">
        <f t="shared" si="3938"/>
        <v>0</v>
      </c>
      <c r="EG116" s="675">
        <f t="shared" si="3938"/>
        <v>0</v>
      </c>
      <c r="EH116" s="549">
        <f t="shared" ref="EH116:EM116" si="3939">EH449</f>
        <v>0</v>
      </c>
      <c r="EI116" s="675">
        <f t="shared" si="3939"/>
        <v>0</v>
      </c>
      <c r="EJ116" s="549">
        <f t="shared" si="3939"/>
        <v>0</v>
      </c>
      <c r="EK116" s="675">
        <f t="shared" si="3939"/>
        <v>0</v>
      </c>
      <c r="EL116" s="549">
        <f t="shared" si="3939"/>
        <v>0</v>
      </c>
      <c r="EM116" s="675">
        <f t="shared" si="3939"/>
        <v>0</v>
      </c>
      <c r="EN116" s="549">
        <f t="shared" ref="EN116:EO116" si="3940">EN449</f>
        <v>0</v>
      </c>
      <c r="EO116" s="675">
        <f t="shared" si="3940"/>
        <v>0</v>
      </c>
      <c r="EP116" s="549">
        <f t="shared" ref="EP116:FA116" si="3941">EP449</f>
        <v>0</v>
      </c>
      <c r="EQ116" s="675">
        <f t="shared" si="3941"/>
        <v>0</v>
      </c>
      <c r="ER116" s="549">
        <f t="shared" si="3941"/>
        <v>0</v>
      </c>
      <c r="ES116" s="675">
        <f t="shared" si="3941"/>
        <v>0</v>
      </c>
      <c r="ET116" s="549">
        <f t="shared" si="3941"/>
        <v>0</v>
      </c>
      <c r="EU116" s="675">
        <f t="shared" si="3941"/>
        <v>0</v>
      </c>
      <c r="EV116" s="549">
        <f t="shared" ref="EV116:EW116" si="3942">EV449</f>
        <v>0</v>
      </c>
      <c r="EW116" s="675">
        <f t="shared" si="3942"/>
        <v>0</v>
      </c>
      <c r="EX116" s="549">
        <f t="shared" si="3941"/>
        <v>0</v>
      </c>
      <c r="EY116" s="675">
        <f t="shared" si="3941"/>
        <v>0</v>
      </c>
      <c r="EZ116" s="549">
        <f t="shared" si="3941"/>
        <v>0</v>
      </c>
      <c r="FA116" s="675">
        <f t="shared" si="3941"/>
        <v>0</v>
      </c>
      <c r="FB116" s="549">
        <f t="shared" ref="FB116:FC116" si="3943">FB449</f>
        <v>0</v>
      </c>
      <c r="FC116" s="675">
        <f t="shared" si="3943"/>
        <v>0</v>
      </c>
      <c r="FD116" s="549">
        <f t="shared" ref="FD116:FE116" si="3944">FD449</f>
        <v>0</v>
      </c>
      <c r="FE116" s="675">
        <f t="shared" si="3944"/>
        <v>0</v>
      </c>
      <c r="FF116" s="549">
        <f t="shared" ref="FF116:FG116" si="3945">FF449</f>
        <v>0</v>
      </c>
      <c r="FG116" s="675">
        <f t="shared" si="3945"/>
        <v>0</v>
      </c>
      <c r="FH116" s="549">
        <f t="shared" ref="FH116:FI116" si="3946">FH449</f>
        <v>0</v>
      </c>
      <c r="FI116" s="675">
        <f t="shared" si="3946"/>
        <v>0</v>
      </c>
      <c r="FJ116" s="549">
        <f t="shared" ref="FJ116:FK116" si="3947">FJ449</f>
        <v>0</v>
      </c>
      <c r="FK116" s="675">
        <f t="shared" si="3947"/>
        <v>0</v>
      </c>
      <c r="FL116" s="549">
        <f t="shared" ref="FL116:FM116" si="3948">FL449</f>
        <v>0</v>
      </c>
      <c r="FM116" s="675">
        <f t="shared" si="3948"/>
        <v>0</v>
      </c>
      <c r="FN116" s="549">
        <f t="shared" ref="FN116:FO116" si="3949">FN449</f>
        <v>0</v>
      </c>
      <c r="FO116" s="675">
        <f t="shared" si="3949"/>
        <v>0</v>
      </c>
      <c r="FP116" s="549">
        <f t="shared" ref="FP116:FQ116" si="3950">FP449</f>
        <v>0</v>
      </c>
      <c r="FQ116" s="675">
        <f t="shared" si="3950"/>
        <v>0</v>
      </c>
      <c r="FR116" s="549">
        <f t="shared" ref="FR116:FS116" si="3951">FR449</f>
        <v>0</v>
      </c>
      <c r="FS116" s="675">
        <f t="shared" si="3951"/>
        <v>0</v>
      </c>
      <c r="FT116" s="549">
        <f t="shared" ref="FT116:FU116" si="3952">FT449</f>
        <v>0</v>
      </c>
      <c r="FU116" s="675">
        <f t="shared" si="3952"/>
        <v>0</v>
      </c>
      <c r="FV116" s="549">
        <f t="shared" ref="FV116:GK116" si="3953">FV449</f>
        <v>0</v>
      </c>
      <c r="FW116" s="675">
        <f t="shared" si="3953"/>
        <v>0</v>
      </c>
      <c r="FX116" s="549">
        <f t="shared" si="3953"/>
        <v>0</v>
      </c>
      <c r="FY116" s="675">
        <f t="shared" si="3953"/>
        <v>0</v>
      </c>
      <c r="FZ116" s="549">
        <f t="shared" ref="FZ116:GI116" si="3954">FZ449</f>
        <v>0</v>
      </c>
      <c r="GA116" s="675">
        <f t="shared" si="3954"/>
        <v>0</v>
      </c>
      <c r="GB116" s="549">
        <f t="shared" si="3954"/>
        <v>0</v>
      </c>
      <c r="GC116" s="675">
        <f t="shared" si="3954"/>
        <v>0</v>
      </c>
      <c r="GD116" s="549">
        <f t="shared" si="3954"/>
        <v>0</v>
      </c>
      <c r="GE116" s="675">
        <f t="shared" si="3954"/>
        <v>0</v>
      </c>
      <c r="GF116" s="549">
        <f t="shared" si="3954"/>
        <v>0</v>
      </c>
      <c r="GG116" s="675">
        <f t="shared" si="3954"/>
        <v>0</v>
      </c>
      <c r="GH116" s="549">
        <f t="shared" si="3954"/>
        <v>0</v>
      </c>
      <c r="GI116" s="675">
        <f t="shared" si="3954"/>
        <v>0</v>
      </c>
      <c r="GJ116" s="549">
        <f t="shared" si="3953"/>
        <v>0</v>
      </c>
      <c r="GK116" s="675">
        <f t="shared" si="3953"/>
        <v>0</v>
      </c>
      <c r="GL116" s="549">
        <f t="shared" ref="GL116:GQ116" si="3955">GL449</f>
        <v>0</v>
      </c>
      <c r="GM116" s="675">
        <f t="shared" si="3955"/>
        <v>0</v>
      </c>
      <c r="GN116" s="549">
        <f t="shared" ref="GN116:GO116" si="3956">GN449</f>
        <v>0</v>
      </c>
      <c r="GO116" s="675">
        <f t="shared" si="3956"/>
        <v>0</v>
      </c>
      <c r="GP116" s="74">
        <f t="shared" si="3955"/>
        <v>0</v>
      </c>
      <c r="GQ116" s="675">
        <f t="shared" si="3955"/>
        <v>0</v>
      </c>
      <c r="GR116" s="74">
        <f t="shared" ref="GR116:HK116" si="3957">GR449</f>
        <v>0</v>
      </c>
      <c r="GS116" s="74">
        <f t="shared" si="3957"/>
        <v>0</v>
      </c>
      <c r="GT116" s="74">
        <f t="shared" si="3957"/>
        <v>0</v>
      </c>
      <c r="GU116" s="74">
        <f t="shared" si="3957"/>
        <v>0</v>
      </c>
      <c r="GV116" s="74">
        <f t="shared" si="3957"/>
        <v>0</v>
      </c>
      <c r="GW116" s="74">
        <f t="shared" si="3957"/>
        <v>0</v>
      </c>
      <c r="GX116" s="74">
        <f t="shared" si="3957"/>
        <v>0</v>
      </c>
      <c r="GY116" s="74">
        <f t="shared" si="3957"/>
        <v>0</v>
      </c>
      <c r="GZ116" s="74">
        <f t="shared" si="3957"/>
        <v>0</v>
      </c>
      <c r="HA116" s="74">
        <f t="shared" si="3957"/>
        <v>0</v>
      </c>
      <c r="HB116" s="74">
        <f t="shared" si="3957"/>
        <v>0</v>
      </c>
      <c r="HC116" s="74">
        <f t="shared" si="3957"/>
        <v>0</v>
      </c>
      <c r="HD116" s="74">
        <f t="shared" si="3957"/>
        <v>0</v>
      </c>
      <c r="HE116" s="74">
        <f t="shared" si="3957"/>
        <v>0</v>
      </c>
      <c r="HF116" s="74">
        <f t="shared" si="3957"/>
        <v>0</v>
      </c>
      <c r="HG116" s="74">
        <f t="shared" si="3957"/>
        <v>0</v>
      </c>
      <c r="HH116" s="74">
        <f t="shared" si="3957"/>
        <v>0</v>
      </c>
      <c r="HI116" s="74">
        <f t="shared" si="3957"/>
        <v>0</v>
      </c>
      <c r="HJ116" s="74">
        <f t="shared" si="3957"/>
        <v>0</v>
      </c>
      <c r="HK116" s="74">
        <f t="shared" si="3957"/>
        <v>0</v>
      </c>
      <c r="HL116" s="74">
        <f t="shared" ref="HL116:JT116" si="3958">HL449</f>
        <v>0</v>
      </c>
      <c r="HM116" s="74">
        <f t="shared" si="3958"/>
        <v>0</v>
      </c>
      <c r="HN116" s="74">
        <f t="shared" si="3958"/>
        <v>0</v>
      </c>
      <c r="HO116" s="74">
        <f t="shared" si="3958"/>
        <v>0</v>
      </c>
      <c r="HP116" s="74">
        <f t="shared" si="3958"/>
        <v>0</v>
      </c>
      <c r="HQ116" s="74">
        <f t="shared" si="3958"/>
        <v>0</v>
      </c>
      <c r="HR116" s="74">
        <f t="shared" si="3958"/>
        <v>0</v>
      </c>
      <c r="HS116" s="74">
        <f t="shared" si="3958"/>
        <v>0</v>
      </c>
      <c r="HT116" s="74">
        <f t="shared" si="3958"/>
        <v>0</v>
      </c>
      <c r="HU116" s="74">
        <f t="shared" si="3958"/>
        <v>0</v>
      </c>
      <c r="HV116" s="74">
        <f t="shared" si="3958"/>
        <v>0</v>
      </c>
      <c r="HW116" s="74">
        <f t="shared" si="3958"/>
        <v>0</v>
      </c>
      <c r="HX116" s="74">
        <f t="shared" si="3958"/>
        <v>0</v>
      </c>
      <c r="HY116" s="74">
        <f t="shared" si="3958"/>
        <v>0</v>
      </c>
      <c r="HZ116" s="74">
        <f t="shared" si="3958"/>
        <v>0</v>
      </c>
      <c r="IA116" s="74">
        <f t="shared" si="3958"/>
        <v>0</v>
      </c>
      <c r="IB116" s="74">
        <f t="shared" si="3958"/>
        <v>0</v>
      </c>
      <c r="IC116" s="74">
        <f t="shared" si="3958"/>
        <v>0</v>
      </c>
      <c r="ID116" s="74">
        <f t="shared" si="3958"/>
        <v>0</v>
      </c>
      <c r="IE116" s="792">
        <f t="shared" si="3958"/>
        <v>0</v>
      </c>
      <c r="IF116" s="841">
        <f t="shared" si="3958"/>
        <v>0</v>
      </c>
      <c r="IG116" s="263">
        <f t="shared" si="3958"/>
        <v>0</v>
      </c>
      <c r="IH116" s="842">
        <f t="shared" si="3958"/>
        <v>0</v>
      </c>
      <c r="II116" s="155">
        <f t="shared" si="3958"/>
        <v>0</v>
      </c>
      <c r="IJ116" s="74">
        <f t="shared" si="3958"/>
        <v>0</v>
      </c>
      <c r="IK116" s="74">
        <f t="shared" si="3958"/>
        <v>0</v>
      </c>
      <c r="IL116" s="74">
        <f t="shared" si="3958"/>
        <v>0</v>
      </c>
      <c r="IM116" s="74">
        <f t="shared" si="3958"/>
        <v>0</v>
      </c>
      <c r="IN116" s="74">
        <f t="shared" si="3958"/>
        <v>0</v>
      </c>
      <c r="IO116" s="74">
        <f t="shared" si="3958"/>
        <v>0</v>
      </c>
      <c r="IP116" s="74">
        <f t="shared" si="3958"/>
        <v>0</v>
      </c>
      <c r="IQ116" s="74">
        <f t="shared" si="3958"/>
        <v>0</v>
      </c>
      <c r="IR116" s="74">
        <f t="shared" si="3958"/>
        <v>0</v>
      </c>
      <c r="IS116" s="74">
        <f t="shared" si="3958"/>
        <v>0</v>
      </c>
      <c r="IT116" s="74">
        <f t="shared" si="3958"/>
        <v>0</v>
      </c>
      <c r="IU116" s="74">
        <f t="shared" si="3958"/>
        <v>0</v>
      </c>
      <c r="IV116" s="74">
        <f t="shared" si="3958"/>
        <v>0</v>
      </c>
      <c r="IW116" s="74">
        <f t="shared" si="3958"/>
        <v>0</v>
      </c>
      <c r="IX116" s="74">
        <f t="shared" si="3958"/>
        <v>0</v>
      </c>
      <c r="IY116" s="74">
        <f t="shared" si="3958"/>
        <v>0</v>
      </c>
      <c r="IZ116" s="74">
        <f t="shared" si="3958"/>
        <v>0</v>
      </c>
      <c r="JA116" s="74">
        <f t="shared" si="3958"/>
        <v>0</v>
      </c>
      <c r="JB116" s="74">
        <f t="shared" si="3958"/>
        <v>0</v>
      </c>
      <c r="JC116" s="74">
        <f t="shared" si="3958"/>
        <v>0</v>
      </c>
      <c r="JD116" s="74">
        <f t="shared" si="3958"/>
        <v>0</v>
      </c>
      <c r="JE116" s="74">
        <f t="shared" si="3958"/>
        <v>0</v>
      </c>
      <c r="JF116" s="74">
        <f t="shared" si="3958"/>
        <v>0</v>
      </c>
      <c r="JG116" s="74">
        <f t="shared" si="3958"/>
        <v>0</v>
      </c>
      <c r="JH116" s="74">
        <f t="shared" si="3958"/>
        <v>0</v>
      </c>
      <c r="JI116" s="74">
        <f t="shared" si="3958"/>
        <v>0</v>
      </c>
      <c r="JJ116" s="74">
        <f t="shared" si="3958"/>
        <v>0</v>
      </c>
      <c r="JK116" s="74">
        <f t="shared" si="3958"/>
        <v>0</v>
      </c>
      <c r="JL116" s="74">
        <f t="shared" si="3958"/>
        <v>0</v>
      </c>
      <c r="JM116" s="74">
        <f t="shared" si="3958"/>
        <v>0</v>
      </c>
      <c r="JN116" s="74">
        <f t="shared" si="3958"/>
        <v>0</v>
      </c>
      <c r="JO116" s="74">
        <f t="shared" si="3958"/>
        <v>0</v>
      </c>
      <c r="JP116" s="74">
        <f t="shared" si="3958"/>
        <v>0</v>
      </c>
      <c r="JQ116" s="74">
        <f t="shared" si="3958"/>
        <v>0</v>
      </c>
      <c r="JR116" s="74">
        <f t="shared" si="3958"/>
        <v>0</v>
      </c>
      <c r="JS116" s="74">
        <f t="shared" si="3958"/>
        <v>0</v>
      </c>
      <c r="JT116" s="102">
        <f t="shared" si="3958"/>
        <v>0</v>
      </c>
      <c r="JU116" s="671"/>
      <c r="JV116" s="492"/>
      <c r="JW116" s="490"/>
      <c r="JX116" s="549">
        <f>JX449</f>
        <v>0</v>
      </c>
      <c r="JY116" s="549">
        <f>JY449</f>
        <v>0</v>
      </c>
      <c r="JZ116" s="581">
        <f t="shared" si="2110"/>
        <v>0</v>
      </c>
      <c r="KA116" s="581">
        <f t="shared" si="2111"/>
        <v>0</v>
      </c>
      <c r="KB116" s="549">
        <f>KB449</f>
        <v>0</v>
      </c>
      <c r="KC116" s="709">
        <f t="shared" si="2079"/>
        <v>0</v>
      </c>
      <c r="KD116" s="36"/>
      <c r="KE116" s="36"/>
      <c r="KF116" s="36"/>
      <c r="KG116" s="36"/>
      <c r="KH116" s="36"/>
      <c r="KI116" s="36"/>
      <c r="KJ116" s="36"/>
      <c r="KK116" s="36"/>
    </row>
    <row r="117" spans="1:297" s="8" customFormat="1">
      <c r="A117" s="75"/>
      <c r="B117" s="72"/>
      <c r="C117" s="74"/>
      <c r="D117" s="549"/>
      <c r="E117" s="675"/>
      <c r="F117" s="549"/>
      <c r="G117" s="675"/>
      <c r="H117" s="549"/>
      <c r="I117" s="675"/>
      <c r="J117" s="549"/>
      <c r="K117" s="675"/>
      <c r="L117" s="549"/>
      <c r="M117" s="675"/>
      <c r="N117" s="549"/>
      <c r="O117" s="675"/>
      <c r="P117" s="549"/>
      <c r="Q117" s="675"/>
      <c r="R117" s="549"/>
      <c r="S117" s="675"/>
      <c r="T117" s="549"/>
      <c r="U117" s="675"/>
      <c r="V117" s="549"/>
      <c r="W117" s="675"/>
      <c r="X117" s="549"/>
      <c r="Y117" s="675"/>
      <c r="Z117" s="549"/>
      <c r="AA117" s="675"/>
      <c r="AB117" s="549"/>
      <c r="AC117" s="675"/>
      <c r="AD117" s="549"/>
      <c r="AE117" s="675"/>
      <c r="AF117" s="549"/>
      <c r="AG117" s="675"/>
      <c r="AH117" s="549"/>
      <c r="AI117" s="675"/>
      <c r="AJ117" s="549"/>
      <c r="AK117" s="675"/>
      <c r="AL117" s="549"/>
      <c r="AM117" s="675"/>
      <c r="AN117" s="549"/>
      <c r="AO117" s="675"/>
      <c r="AP117" s="549"/>
      <c r="AQ117" s="675"/>
      <c r="AR117" s="549"/>
      <c r="AS117" s="675"/>
      <c r="AT117" s="549"/>
      <c r="AU117" s="675"/>
      <c r="AV117" s="549"/>
      <c r="AW117" s="675"/>
      <c r="AX117" s="549"/>
      <c r="AY117" s="675"/>
      <c r="AZ117" s="549"/>
      <c r="BA117" s="675"/>
      <c r="BB117" s="549"/>
      <c r="BC117" s="675"/>
      <c r="BD117" s="549"/>
      <c r="BE117" s="675"/>
      <c r="BF117" s="549"/>
      <c r="BG117" s="675"/>
      <c r="BH117" s="549"/>
      <c r="BI117" s="675"/>
      <c r="BJ117" s="549"/>
      <c r="BK117" s="675"/>
      <c r="BL117" s="549"/>
      <c r="BM117" s="675"/>
      <c r="BN117" s="549"/>
      <c r="BO117" s="675"/>
      <c r="BP117" s="549"/>
      <c r="BQ117" s="675"/>
      <c r="BR117" s="549"/>
      <c r="BS117" s="675"/>
      <c r="BT117" s="549"/>
      <c r="BU117" s="675"/>
      <c r="BV117" s="549"/>
      <c r="BW117" s="675"/>
      <c r="BX117" s="549"/>
      <c r="BY117" s="675"/>
      <c r="BZ117" s="549"/>
      <c r="CA117" s="675"/>
      <c r="CB117" s="549"/>
      <c r="CC117" s="675"/>
      <c r="CD117" s="549"/>
      <c r="CE117" s="675"/>
      <c r="CF117" s="549"/>
      <c r="CG117" s="675"/>
      <c r="CH117" s="549"/>
      <c r="CI117" s="675"/>
      <c r="CJ117" s="549"/>
      <c r="CK117" s="675"/>
      <c r="CL117" s="549"/>
      <c r="CM117" s="675"/>
      <c r="CN117" s="549"/>
      <c r="CO117" s="675"/>
      <c r="CP117" s="549"/>
      <c r="CQ117" s="675"/>
      <c r="CR117" s="549"/>
      <c r="CS117" s="675"/>
      <c r="CT117" s="549"/>
      <c r="CU117" s="675"/>
      <c r="CV117" s="549"/>
      <c r="CW117" s="675"/>
      <c r="CX117" s="549"/>
      <c r="CY117" s="675"/>
      <c r="CZ117" s="549"/>
      <c r="DA117" s="675"/>
      <c r="DB117" s="549"/>
      <c r="DC117" s="675"/>
      <c r="DD117" s="549"/>
      <c r="DE117" s="675"/>
      <c r="DF117" s="549"/>
      <c r="DG117" s="675"/>
      <c r="DH117" s="549"/>
      <c r="DI117" s="675"/>
      <c r="DJ117" s="549"/>
      <c r="DK117" s="675"/>
      <c r="DL117" s="549"/>
      <c r="DM117" s="675"/>
      <c r="DN117" s="549"/>
      <c r="DO117" s="675"/>
      <c r="DP117" s="549"/>
      <c r="DQ117" s="675"/>
      <c r="DR117" s="549"/>
      <c r="DS117" s="675"/>
      <c r="DT117" s="549"/>
      <c r="DU117" s="675"/>
      <c r="DV117" s="549"/>
      <c r="DW117" s="675"/>
      <c r="DX117" s="549"/>
      <c r="DY117" s="675"/>
      <c r="DZ117" s="549"/>
      <c r="EA117" s="675"/>
      <c r="EB117" s="549"/>
      <c r="EC117" s="675"/>
      <c r="ED117" s="549"/>
      <c r="EE117" s="675"/>
      <c r="EF117" s="549"/>
      <c r="EG117" s="675"/>
      <c r="EH117" s="549"/>
      <c r="EI117" s="675"/>
      <c r="EJ117" s="549"/>
      <c r="EK117" s="675"/>
      <c r="EL117" s="549"/>
      <c r="EM117" s="675"/>
      <c r="EN117" s="549"/>
      <c r="EO117" s="675"/>
      <c r="EP117" s="549"/>
      <c r="EQ117" s="675"/>
      <c r="ER117" s="549"/>
      <c r="ES117" s="675"/>
      <c r="ET117" s="549"/>
      <c r="EU117" s="675"/>
      <c r="EV117" s="549"/>
      <c r="EW117" s="675"/>
      <c r="EX117" s="549"/>
      <c r="EY117" s="675"/>
      <c r="EZ117" s="549"/>
      <c r="FA117" s="675"/>
      <c r="FB117" s="549"/>
      <c r="FC117" s="675"/>
      <c r="FD117" s="549"/>
      <c r="FE117" s="675"/>
      <c r="FF117" s="549"/>
      <c r="FG117" s="675"/>
      <c r="FH117" s="549"/>
      <c r="FI117" s="675"/>
      <c r="FJ117" s="549"/>
      <c r="FK117" s="675"/>
      <c r="FL117" s="549"/>
      <c r="FM117" s="675"/>
      <c r="FN117" s="549"/>
      <c r="FO117" s="675"/>
      <c r="FP117" s="549"/>
      <c r="FQ117" s="675"/>
      <c r="FR117" s="549"/>
      <c r="FS117" s="675"/>
      <c r="FT117" s="549"/>
      <c r="FU117" s="675"/>
      <c r="FV117" s="549"/>
      <c r="FW117" s="675"/>
      <c r="FX117" s="549"/>
      <c r="FY117" s="675"/>
      <c r="FZ117" s="549"/>
      <c r="GA117" s="675"/>
      <c r="GB117" s="549"/>
      <c r="GC117" s="675"/>
      <c r="GD117" s="549"/>
      <c r="GE117" s="675"/>
      <c r="GF117" s="549"/>
      <c r="GG117" s="675"/>
      <c r="GH117" s="549"/>
      <c r="GI117" s="675"/>
      <c r="GJ117" s="549"/>
      <c r="GK117" s="675"/>
      <c r="GL117" s="549"/>
      <c r="GM117" s="675"/>
      <c r="GN117" s="549"/>
      <c r="GO117" s="675"/>
      <c r="GP117" s="74"/>
      <c r="GQ117" s="675"/>
      <c r="GR117" s="74"/>
      <c r="GS117" s="74"/>
      <c r="GT117" s="549"/>
      <c r="GU117" s="74"/>
      <c r="GV117" s="74"/>
      <c r="GW117" s="549"/>
      <c r="GX117" s="549"/>
      <c r="GY117" s="74"/>
      <c r="GZ117" s="74"/>
      <c r="HA117" s="74"/>
      <c r="HB117" s="74"/>
      <c r="HC117" s="74"/>
      <c r="HD117" s="74"/>
      <c r="HE117" s="74"/>
      <c r="HF117" s="74"/>
      <c r="HG117" s="74"/>
      <c r="HH117" s="74"/>
      <c r="HI117" s="74"/>
      <c r="HJ117" s="74"/>
      <c r="HK117" s="74"/>
      <c r="HL117" s="74"/>
      <c r="HM117" s="74"/>
      <c r="HN117" s="74"/>
      <c r="HO117" s="74"/>
      <c r="HP117" s="74"/>
      <c r="HQ117" s="74"/>
      <c r="HR117" s="74"/>
      <c r="HS117" s="74"/>
      <c r="HT117" s="74"/>
      <c r="HU117" s="74"/>
      <c r="HV117" s="74"/>
      <c r="HW117" s="74"/>
      <c r="HX117" s="74"/>
      <c r="HY117" s="74"/>
      <c r="HZ117" s="74"/>
      <c r="IA117" s="74"/>
      <c r="IB117" s="74"/>
      <c r="IC117" s="74"/>
      <c r="ID117" s="74"/>
      <c r="IE117" s="792"/>
      <c r="IF117" s="841"/>
      <c r="IG117" s="263"/>
      <c r="IH117" s="842"/>
      <c r="II117" s="155"/>
      <c r="IJ117" s="74"/>
      <c r="IK117" s="74"/>
      <c r="IL117" s="74"/>
      <c r="IM117" s="74"/>
      <c r="IN117" s="74"/>
      <c r="IO117" s="74"/>
      <c r="IP117" s="74"/>
      <c r="IQ117" s="74"/>
      <c r="IR117" s="74"/>
      <c r="IS117" s="74"/>
      <c r="IT117" s="74"/>
      <c r="IU117" s="74"/>
      <c r="IV117" s="74"/>
      <c r="IW117" s="74"/>
      <c r="IX117" s="74"/>
      <c r="IY117" s="74"/>
      <c r="IZ117" s="74"/>
      <c r="JA117" s="74"/>
      <c r="JB117" s="74"/>
      <c r="JC117" s="74"/>
      <c r="JD117" s="74"/>
      <c r="JE117" s="74"/>
      <c r="JF117" s="74"/>
      <c r="JG117" s="74"/>
      <c r="JH117" s="74"/>
      <c r="JI117" s="74"/>
      <c r="JJ117" s="74"/>
      <c r="JK117" s="74"/>
      <c r="JL117" s="74"/>
      <c r="JM117" s="74"/>
      <c r="JN117" s="74"/>
      <c r="JO117" s="74"/>
      <c r="JP117" s="74"/>
      <c r="JQ117" s="74"/>
      <c r="JR117" s="74"/>
      <c r="JS117" s="74"/>
      <c r="JT117" s="382"/>
      <c r="JU117" s="671"/>
      <c r="JV117" s="492"/>
      <c r="JW117" s="490"/>
      <c r="JX117" s="549"/>
      <c r="JY117" s="549"/>
      <c r="JZ117" s="581">
        <f t="shared" si="2110"/>
        <v>0</v>
      </c>
      <c r="KA117" s="581">
        <f t="shared" si="2111"/>
        <v>0</v>
      </c>
      <c r="KB117" s="549"/>
      <c r="KC117" s="709">
        <f t="shared" si="2079"/>
        <v>0</v>
      </c>
      <c r="KD117" s="36"/>
      <c r="KE117" s="36"/>
      <c r="KF117" s="36"/>
      <c r="KG117" s="36"/>
      <c r="KH117" s="36"/>
      <c r="KI117" s="36"/>
      <c r="KJ117" s="36"/>
      <c r="KK117" s="36"/>
    </row>
    <row r="118" spans="1:297" s="8" customFormat="1">
      <c r="A118" s="75" t="s">
        <v>136</v>
      </c>
      <c r="B118" s="72" t="s">
        <v>137</v>
      </c>
      <c r="C118" s="74">
        <f t="shared" ref="C118:E118" si="3959">SUM(C119:C123)</f>
        <v>62000</v>
      </c>
      <c r="D118" s="549">
        <f t="shared" si="3959"/>
        <v>0</v>
      </c>
      <c r="E118" s="675">
        <f t="shared" si="3959"/>
        <v>0</v>
      </c>
      <c r="F118" s="549">
        <f t="shared" ref="F118:G118" si="3960">SUM(F119:F123)</f>
        <v>0</v>
      </c>
      <c r="G118" s="675">
        <f t="shared" si="3960"/>
        <v>0</v>
      </c>
      <c r="H118" s="549">
        <f t="shared" ref="H118:I118" si="3961">SUM(H119:H123)</f>
        <v>0</v>
      </c>
      <c r="I118" s="675">
        <f t="shared" si="3961"/>
        <v>0</v>
      </c>
      <c r="J118" s="549">
        <f t="shared" ref="J118:K118" si="3962">SUM(J119:J123)</f>
        <v>0</v>
      </c>
      <c r="K118" s="675">
        <f t="shared" si="3962"/>
        <v>0</v>
      </c>
      <c r="L118" s="549">
        <f t="shared" ref="L118:M118" si="3963">SUM(L119:L123)</f>
        <v>0</v>
      </c>
      <c r="M118" s="675">
        <f t="shared" si="3963"/>
        <v>0</v>
      </c>
      <c r="N118" s="549">
        <f t="shared" ref="N118:O118" si="3964">SUM(N119:N123)</f>
        <v>0</v>
      </c>
      <c r="O118" s="675">
        <f t="shared" si="3964"/>
        <v>0</v>
      </c>
      <c r="P118" s="549">
        <f t="shared" ref="P118:Q118" si="3965">SUM(P119:P123)</f>
        <v>0</v>
      </c>
      <c r="Q118" s="675">
        <f t="shared" si="3965"/>
        <v>0</v>
      </c>
      <c r="R118" s="549">
        <f t="shared" ref="R118:S118" si="3966">SUM(R119:R123)</f>
        <v>0</v>
      </c>
      <c r="S118" s="675">
        <f t="shared" si="3966"/>
        <v>0</v>
      </c>
      <c r="T118" s="549">
        <f t="shared" ref="T118:U118" si="3967">SUM(T119:T123)</f>
        <v>0</v>
      </c>
      <c r="U118" s="675">
        <f t="shared" si="3967"/>
        <v>0</v>
      </c>
      <c r="V118" s="549">
        <f t="shared" ref="V118:W118" si="3968">SUM(V119:V123)</f>
        <v>0</v>
      </c>
      <c r="W118" s="675">
        <f t="shared" si="3968"/>
        <v>0</v>
      </c>
      <c r="X118" s="549">
        <f t="shared" ref="X118:Y118" si="3969">SUM(X119:X123)</f>
        <v>0</v>
      </c>
      <c r="Y118" s="675">
        <f t="shared" si="3969"/>
        <v>0</v>
      </c>
      <c r="Z118" s="549">
        <f t="shared" ref="Z118:AA118" si="3970">SUM(Z119:Z123)</f>
        <v>0</v>
      </c>
      <c r="AA118" s="675">
        <f t="shared" si="3970"/>
        <v>0</v>
      </c>
      <c r="AB118" s="549">
        <f t="shared" ref="AB118:AC118" si="3971">SUM(AB119:AB123)</f>
        <v>0</v>
      </c>
      <c r="AC118" s="675">
        <f t="shared" si="3971"/>
        <v>0</v>
      </c>
      <c r="AD118" s="549">
        <f t="shared" ref="AD118:AK118" si="3972">SUM(AD119:AD123)</f>
        <v>0</v>
      </c>
      <c r="AE118" s="675">
        <f t="shared" si="3972"/>
        <v>0</v>
      </c>
      <c r="AF118" s="549">
        <f t="shared" si="3972"/>
        <v>0</v>
      </c>
      <c r="AG118" s="675">
        <f t="shared" si="3972"/>
        <v>0</v>
      </c>
      <c r="AH118" s="549">
        <f t="shared" si="3972"/>
        <v>0</v>
      </c>
      <c r="AI118" s="675">
        <f t="shared" si="3972"/>
        <v>0</v>
      </c>
      <c r="AJ118" s="549">
        <f t="shared" si="3972"/>
        <v>0</v>
      </c>
      <c r="AK118" s="675">
        <f t="shared" si="3972"/>
        <v>0</v>
      </c>
      <c r="AL118" s="549">
        <f t="shared" ref="AL118:AM118" si="3973">SUM(AL119:AL123)</f>
        <v>0</v>
      </c>
      <c r="AM118" s="675">
        <f t="shared" si="3973"/>
        <v>0</v>
      </c>
      <c r="AN118" s="549">
        <f t="shared" ref="AN118:AS118" si="3974">SUM(AN119:AN123)</f>
        <v>0</v>
      </c>
      <c r="AO118" s="675">
        <f t="shared" si="3974"/>
        <v>0</v>
      </c>
      <c r="AP118" s="549">
        <f t="shared" si="3974"/>
        <v>0</v>
      </c>
      <c r="AQ118" s="675">
        <f t="shared" si="3974"/>
        <v>0</v>
      </c>
      <c r="AR118" s="549">
        <f t="shared" si="3974"/>
        <v>0</v>
      </c>
      <c r="AS118" s="675">
        <f t="shared" si="3974"/>
        <v>0</v>
      </c>
      <c r="AT118" s="549">
        <f t="shared" ref="AT118:AU118" si="3975">SUM(AT119:AT123)</f>
        <v>0</v>
      </c>
      <c r="AU118" s="675">
        <f t="shared" si="3975"/>
        <v>0</v>
      </c>
      <c r="AV118" s="549">
        <f t="shared" ref="AV118:AW118" si="3976">SUM(AV119:AV123)</f>
        <v>0</v>
      </c>
      <c r="AW118" s="675">
        <f t="shared" si="3976"/>
        <v>0</v>
      </c>
      <c r="AX118" s="549">
        <f t="shared" ref="AX118:AY118" si="3977">SUM(AX119:AX123)</f>
        <v>0</v>
      </c>
      <c r="AY118" s="675">
        <f t="shared" si="3977"/>
        <v>0</v>
      </c>
      <c r="AZ118" s="549">
        <f t="shared" ref="AZ118:BA118" si="3978">SUM(AZ119:AZ123)</f>
        <v>0</v>
      </c>
      <c r="BA118" s="675">
        <f t="shared" si="3978"/>
        <v>0</v>
      </c>
      <c r="BB118" s="549">
        <f t="shared" ref="BB118:BC118" si="3979">SUM(BB119:BB123)</f>
        <v>0</v>
      </c>
      <c r="BC118" s="675">
        <f t="shared" si="3979"/>
        <v>0</v>
      </c>
      <c r="BD118" s="549">
        <f t="shared" ref="BD118:BE118" si="3980">SUM(BD119:BD123)</f>
        <v>0</v>
      </c>
      <c r="BE118" s="675">
        <f t="shared" si="3980"/>
        <v>0</v>
      </c>
      <c r="BF118" s="549">
        <f t="shared" ref="BF118:BG118" si="3981">SUM(BF119:BF123)</f>
        <v>0</v>
      </c>
      <c r="BG118" s="675">
        <f t="shared" si="3981"/>
        <v>0</v>
      </c>
      <c r="BH118" s="549">
        <f t="shared" ref="BH118:BI118" si="3982">SUM(BH119:BH123)</f>
        <v>0</v>
      </c>
      <c r="BI118" s="675">
        <f t="shared" si="3982"/>
        <v>0</v>
      </c>
      <c r="BJ118" s="549">
        <f t="shared" ref="BJ118:BK118" si="3983">SUM(BJ119:BJ123)</f>
        <v>0</v>
      </c>
      <c r="BK118" s="675">
        <f t="shared" si="3983"/>
        <v>0</v>
      </c>
      <c r="BL118" s="549">
        <f t="shared" ref="BL118:BS118" si="3984">SUM(BL119:BL123)</f>
        <v>0</v>
      </c>
      <c r="BM118" s="675">
        <f t="shared" si="3984"/>
        <v>0</v>
      </c>
      <c r="BN118" s="549">
        <f t="shared" si="3984"/>
        <v>0</v>
      </c>
      <c r="BO118" s="675">
        <f t="shared" si="3984"/>
        <v>0</v>
      </c>
      <c r="BP118" s="549">
        <f t="shared" si="3984"/>
        <v>0</v>
      </c>
      <c r="BQ118" s="675">
        <f t="shared" si="3984"/>
        <v>0</v>
      </c>
      <c r="BR118" s="549">
        <f t="shared" si="3984"/>
        <v>0</v>
      </c>
      <c r="BS118" s="675">
        <f t="shared" si="3984"/>
        <v>0</v>
      </c>
      <c r="BT118" s="549">
        <f t="shared" ref="BT118:BU118" si="3985">SUM(BT119:BT123)</f>
        <v>0</v>
      </c>
      <c r="BU118" s="675">
        <f t="shared" si="3985"/>
        <v>0</v>
      </c>
      <c r="BV118" s="549">
        <f t="shared" ref="BV118:BW118" si="3986">SUM(BV119:BV123)</f>
        <v>0</v>
      </c>
      <c r="BW118" s="675">
        <f t="shared" si="3986"/>
        <v>0</v>
      </c>
      <c r="BX118" s="549">
        <f t="shared" ref="BX118:BY118" si="3987">SUM(BX119:BX123)</f>
        <v>0</v>
      </c>
      <c r="BY118" s="675">
        <f t="shared" si="3987"/>
        <v>0</v>
      </c>
      <c r="BZ118" s="549">
        <f t="shared" ref="BZ118:CA118" si="3988">SUM(BZ119:BZ123)</f>
        <v>0</v>
      </c>
      <c r="CA118" s="675">
        <f t="shared" si="3988"/>
        <v>0</v>
      </c>
      <c r="CB118" s="549">
        <f t="shared" ref="CB118:CE118" si="3989">SUM(CB119:CB123)</f>
        <v>0</v>
      </c>
      <c r="CC118" s="675">
        <f t="shared" si="3989"/>
        <v>0</v>
      </c>
      <c r="CD118" s="549">
        <f t="shared" si="3989"/>
        <v>0</v>
      </c>
      <c r="CE118" s="675">
        <f t="shared" si="3989"/>
        <v>0</v>
      </c>
      <c r="CF118" s="549">
        <f t="shared" ref="CF118:CQ118" si="3990">SUM(CF119:CF123)</f>
        <v>0</v>
      </c>
      <c r="CG118" s="675">
        <f t="shared" si="3990"/>
        <v>0</v>
      </c>
      <c r="CH118" s="549">
        <f t="shared" si="3990"/>
        <v>0</v>
      </c>
      <c r="CI118" s="675">
        <f t="shared" si="3990"/>
        <v>0</v>
      </c>
      <c r="CJ118" s="549">
        <f t="shared" si="3990"/>
        <v>0</v>
      </c>
      <c r="CK118" s="675">
        <f t="shared" si="3990"/>
        <v>-7000</v>
      </c>
      <c r="CL118" s="549">
        <f t="shared" si="3990"/>
        <v>10000</v>
      </c>
      <c r="CM118" s="675">
        <f t="shared" si="3990"/>
        <v>0</v>
      </c>
      <c r="CN118" s="549">
        <f t="shared" si="3990"/>
        <v>0</v>
      </c>
      <c r="CO118" s="675">
        <f t="shared" si="3990"/>
        <v>0</v>
      </c>
      <c r="CP118" s="549">
        <f t="shared" si="3990"/>
        <v>0</v>
      </c>
      <c r="CQ118" s="675">
        <f t="shared" si="3990"/>
        <v>0</v>
      </c>
      <c r="CR118" s="549">
        <f t="shared" ref="CR118:CY118" si="3991">SUM(CR119:CR123)</f>
        <v>0</v>
      </c>
      <c r="CS118" s="675">
        <f t="shared" si="3991"/>
        <v>0</v>
      </c>
      <c r="CT118" s="549">
        <f t="shared" si="3991"/>
        <v>0</v>
      </c>
      <c r="CU118" s="675">
        <f t="shared" si="3991"/>
        <v>0</v>
      </c>
      <c r="CV118" s="549">
        <f t="shared" si="3991"/>
        <v>0</v>
      </c>
      <c r="CW118" s="675">
        <f t="shared" si="3991"/>
        <v>0</v>
      </c>
      <c r="CX118" s="549">
        <f t="shared" si="3991"/>
        <v>0</v>
      </c>
      <c r="CY118" s="675">
        <f t="shared" si="3991"/>
        <v>0</v>
      </c>
      <c r="CZ118" s="549">
        <f t="shared" ref="CZ118:DG118" si="3992">SUM(CZ119:CZ123)</f>
        <v>0</v>
      </c>
      <c r="DA118" s="675">
        <f t="shared" si="3992"/>
        <v>0</v>
      </c>
      <c r="DB118" s="549">
        <f t="shared" si="3992"/>
        <v>0</v>
      </c>
      <c r="DC118" s="675">
        <f t="shared" si="3992"/>
        <v>0</v>
      </c>
      <c r="DD118" s="549">
        <f t="shared" si="3992"/>
        <v>0</v>
      </c>
      <c r="DE118" s="675">
        <f t="shared" si="3992"/>
        <v>0</v>
      </c>
      <c r="DF118" s="549">
        <f t="shared" si="3992"/>
        <v>0</v>
      </c>
      <c r="DG118" s="675">
        <f t="shared" si="3992"/>
        <v>0</v>
      </c>
      <c r="DH118" s="549">
        <f t="shared" ref="DH118:DM118" si="3993">SUM(DH119:DH123)</f>
        <v>0</v>
      </c>
      <c r="DI118" s="675">
        <f t="shared" si="3993"/>
        <v>0</v>
      </c>
      <c r="DJ118" s="549">
        <f t="shared" si="3993"/>
        <v>0</v>
      </c>
      <c r="DK118" s="675">
        <f t="shared" si="3993"/>
        <v>-6000</v>
      </c>
      <c r="DL118" s="549">
        <f t="shared" si="3993"/>
        <v>0</v>
      </c>
      <c r="DM118" s="675">
        <f t="shared" si="3993"/>
        <v>0</v>
      </c>
      <c r="DN118" s="549">
        <f t="shared" ref="DN118:DW118" si="3994">SUM(DN119:DN123)</f>
        <v>0</v>
      </c>
      <c r="DO118" s="675">
        <f t="shared" si="3994"/>
        <v>0</v>
      </c>
      <c r="DP118" s="549">
        <f t="shared" si="3994"/>
        <v>0</v>
      </c>
      <c r="DQ118" s="675">
        <f t="shared" si="3994"/>
        <v>0</v>
      </c>
      <c r="DR118" s="549">
        <f t="shared" si="3994"/>
        <v>0</v>
      </c>
      <c r="DS118" s="675">
        <f t="shared" si="3994"/>
        <v>0</v>
      </c>
      <c r="DT118" s="549">
        <f t="shared" si="3994"/>
        <v>0</v>
      </c>
      <c r="DU118" s="675">
        <f t="shared" si="3994"/>
        <v>0</v>
      </c>
      <c r="DV118" s="549">
        <f t="shared" si="3994"/>
        <v>0</v>
      </c>
      <c r="DW118" s="675">
        <f t="shared" si="3994"/>
        <v>0</v>
      </c>
      <c r="DX118" s="549">
        <f t="shared" ref="DX118:EG118" si="3995">SUM(DX119:DX123)</f>
        <v>0</v>
      </c>
      <c r="DY118" s="675">
        <f t="shared" si="3995"/>
        <v>0</v>
      </c>
      <c r="DZ118" s="549">
        <f t="shared" si="3995"/>
        <v>0</v>
      </c>
      <c r="EA118" s="675">
        <f t="shared" si="3995"/>
        <v>0</v>
      </c>
      <c r="EB118" s="549">
        <f t="shared" si="3995"/>
        <v>0</v>
      </c>
      <c r="EC118" s="675">
        <f t="shared" si="3995"/>
        <v>0</v>
      </c>
      <c r="ED118" s="549">
        <f t="shared" si="3995"/>
        <v>0</v>
      </c>
      <c r="EE118" s="675">
        <f t="shared" si="3995"/>
        <v>0</v>
      </c>
      <c r="EF118" s="549">
        <f t="shared" si="3995"/>
        <v>0</v>
      </c>
      <c r="EG118" s="675">
        <f t="shared" si="3995"/>
        <v>0</v>
      </c>
      <c r="EH118" s="549">
        <f t="shared" ref="EH118:EM118" si="3996">SUM(EH119:EH123)</f>
        <v>0</v>
      </c>
      <c r="EI118" s="675">
        <f t="shared" si="3996"/>
        <v>0</v>
      </c>
      <c r="EJ118" s="549">
        <f t="shared" si="3996"/>
        <v>0</v>
      </c>
      <c r="EK118" s="675">
        <f t="shared" si="3996"/>
        <v>0</v>
      </c>
      <c r="EL118" s="549">
        <f t="shared" si="3996"/>
        <v>0</v>
      </c>
      <c r="EM118" s="675">
        <f t="shared" si="3996"/>
        <v>0</v>
      </c>
      <c r="EN118" s="549">
        <f t="shared" ref="EN118:EO118" si="3997">SUM(EN119:EN123)</f>
        <v>0</v>
      </c>
      <c r="EO118" s="675">
        <f t="shared" si="3997"/>
        <v>0</v>
      </c>
      <c r="EP118" s="549">
        <f t="shared" ref="EP118:FA118" si="3998">SUM(EP119:EP123)</f>
        <v>0</v>
      </c>
      <c r="EQ118" s="675">
        <f t="shared" si="3998"/>
        <v>0</v>
      </c>
      <c r="ER118" s="549">
        <f t="shared" si="3998"/>
        <v>0</v>
      </c>
      <c r="ES118" s="675">
        <f t="shared" si="3998"/>
        <v>0</v>
      </c>
      <c r="ET118" s="549">
        <f t="shared" si="3998"/>
        <v>0</v>
      </c>
      <c r="EU118" s="675">
        <f t="shared" si="3998"/>
        <v>0</v>
      </c>
      <c r="EV118" s="549">
        <f t="shared" ref="EV118:EW118" si="3999">SUM(EV119:EV123)</f>
        <v>0</v>
      </c>
      <c r="EW118" s="675">
        <f t="shared" si="3999"/>
        <v>0</v>
      </c>
      <c r="EX118" s="549">
        <f t="shared" si="3998"/>
        <v>0</v>
      </c>
      <c r="EY118" s="675">
        <f t="shared" si="3998"/>
        <v>0</v>
      </c>
      <c r="EZ118" s="549">
        <f t="shared" si="3998"/>
        <v>0</v>
      </c>
      <c r="FA118" s="675">
        <f t="shared" si="3998"/>
        <v>0</v>
      </c>
      <c r="FB118" s="549">
        <f t="shared" ref="FB118:FC118" si="4000">SUM(FB119:FB123)</f>
        <v>0</v>
      </c>
      <c r="FC118" s="675">
        <f t="shared" si="4000"/>
        <v>0</v>
      </c>
      <c r="FD118" s="549">
        <f t="shared" ref="FD118:FE118" si="4001">SUM(FD119:FD123)</f>
        <v>0</v>
      </c>
      <c r="FE118" s="675">
        <f t="shared" si="4001"/>
        <v>0</v>
      </c>
      <c r="FF118" s="549">
        <f t="shared" ref="FF118:FG118" si="4002">SUM(FF119:FF123)</f>
        <v>0</v>
      </c>
      <c r="FG118" s="675">
        <f t="shared" si="4002"/>
        <v>0</v>
      </c>
      <c r="FH118" s="549">
        <f t="shared" ref="FH118:FI118" si="4003">SUM(FH119:FH123)</f>
        <v>0</v>
      </c>
      <c r="FI118" s="675">
        <f t="shared" si="4003"/>
        <v>0</v>
      </c>
      <c r="FJ118" s="549">
        <f t="shared" ref="FJ118:FK118" si="4004">SUM(FJ119:FJ123)</f>
        <v>0</v>
      </c>
      <c r="FK118" s="675">
        <f t="shared" si="4004"/>
        <v>0</v>
      </c>
      <c r="FL118" s="549">
        <f t="shared" ref="FL118:FM118" si="4005">SUM(FL119:FL123)</f>
        <v>3000</v>
      </c>
      <c r="FM118" s="675">
        <f t="shared" si="4005"/>
        <v>0</v>
      </c>
      <c r="FN118" s="549">
        <f t="shared" ref="FN118:FO118" si="4006">SUM(FN119:FN123)</f>
        <v>0</v>
      </c>
      <c r="FO118" s="675">
        <f t="shared" si="4006"/>
        <v>0</v>
      </c>
      <c r="FP118" s="549">
        <f t="shared" ref="FP118:FQ118" si="4007">SUM(FP119:FP123)</f>
        <v>0</v>
      </c>
      <c r="FQ118" s="675">
        <f t="shared" si="4007"/>
        <v>0</v>
      </c>
      <c r="FR118" s="549">
        <f t="shared" ref="FR118:FS118" si="4008">SUM(FR119:FR123)</f>
        <v>0</v>
      </c>
      <c r="FS118" s="675">
        <f t="shared" si="4008"/>
        <v>-2000</v>
      </c>
      <c r="FT118" s="549">
        <f t="shared" ref="FT118:FU118" si="4009">SUM(FT119:FT123)</f>
        <v>0</v>
      </c>
      <c r="FU118" s="675">
        <f t="shared" si="4009"/>
        <v>0</v>
      </c>
      <c r="FV118" s="549">
        <f t="shared" ref="FV118:GK118" si="4010">SUM(FV119:FV123)</f>
        <v>0</v>
      </c>
      <c r="FW118" s="675">
        <f t="shared" si="4010"/>
        <v>0</v>
      </c>
      <c r="FX118" s="549">
        <f t="shared" si="4010"/>
        <v>0</v>
      </c>
      <c r="FY118" s="675">
        <f t="shared" si="4010"/>
        <v>0</v>
      </c>
      <c r="FZ118" s="549">
        <f t="shared" ref="FZ118:GI118" si="4011">SUM(FZ119:FZ123)</f>
        <v>0</v>
      </c>
      <c r="GA118" s="675">
        <f t="shared" si="4011"/>
        <v>0</v>
      </c>
      <c r="GB118" s="549">
        <f t="shared" si="4011"/>
        <v>0</v>
      </c>
      <c r="GC118" s="675">
        <f t="shared" si="4011"/>
        <v>0</v>
      </c>
      <c r="GD118" s="549">
        <f t="shared" si="4011"/>
        <v>0</v>
      </c>
      <c r="GE118" s="675">
        <f t="shared" si="4011"/>
        <v>0</v>
      </c>
      <c r="GF118" s="549">
        <f t="shared" si="4011"/>
        <v>0</v>
      </c>
      <c r="GG118" s="675">
        <f t="shared" si="4011"/>
        <v>0</v>
      </c>
      <c r="GH118" s="549">
        <f t="shared" si="4011"/>
        <v>0</v>
      </c>
      <c r="GI118" s="675">
        <f t="shared" si="4011"/>
        <v>0</v>
      </c>
      <c r="GJ118" s="549">
        <f t="shared" si="4010"/>
        <v>0</v>
      </c>
      <c r="GK118" s="675">
        <f t="shared" si="4010"/>
        <v>0</v>
      </c>
      <c r="GL118" s="549">
        <f t="shared" ref="GL118:GR118" si="4012">SUM(GL119:GL123)</f>
        <v>0</v>
      </c>
      <c r="GM118" s="675">
        <f t="shared" si="4012"/>
        <v>0</v>
      </c>
      <c r="GN118" s="549">
        <f t="shared" ref="GN118:GO118" si="4013">SUM(GN119:GN123)</f>
        <v>0</v>
      </c>
      <c r="GO118" s="675">
        <f t="shared" si="4013"/>
        <v>0</v>
      </c>
      <c r="GP118" s="74">
        <f t="shared" si="4012"/>
        <v>13000</v>
      </c>
      <c r="GQ118" s="675">
        <f t="shared" si="4012"/>
        <v>-15000</v>
      </c>
      <c r="GR118" s="74">
        <f t="shared" si="4012"/>
        <v>60000</v>
      </c>
      <c r="GS118" s="74">
        <f>SUM(GS119:GS123)</f>
        <v>60000</v>
      </c>
      <c r="GT118" s="549">
        <f t="shared" ref="GT118:JM118" si="4014">SUM(GT119:GT123)</f>
        <v>60000</v>
      </c>
      <c r="GU118" s="74">
        <f>SUM(GU119:GU123)</f>
        <v>10500</v>
      </c>
      <c r="GV118" s="74">
        <f t="shared" ref="GV118:HA118" si="4015">SUM(GV119:GV123)</f>
        <v>7500</v>
      </c>
      <c r="GW118" s="74">
        <f t="shared" si="4015"/>
        <v>5500</v>
      </c>
      <c r="GX118" s="74">
        <f t="shared" si="4015"/>
        <v>5500</v>
      </c>
      <c r="GY118" s="74">
        <f t="shared" si="4015"/>
        <v>5500</v>
      </c>
      <c r="GZ118" s="74">
        <f t="shared" si="4015"/>
        <v>5500</v>
      </c>
      <c r="HA118" s="74">
        <f t="shared" si="4015"/>
        <v>5500</v>
      </c>
      <c r="HB118" s="74">
        <f t="shared" ref="HB118:HF118" si="4016">SUM(HB119:HB123)</f>
        <v>5500</v>
      </c>
      <c r="HC118" s="74">
        <f t="shared" si="4016"/>
        <v>5500</v>
      </c>
      <c r="HD118" s="74">
        <f t="shared" si="4016"/>
        <v>5500</v>
      </c>
      <c r="HE118" s="74">
        <f t="shared" si="4016"/>
        <v>0</v>
      </c>
      <c r="HF118" s="74">
        <f t="shared" si="4016"/>
        <v>0</v>
      </c>
      <c r="HG118" s="74">
        <f t="shared" si="4014"/>
        <v>60000</v>
      </c>
      <c r="HH118" s="74">
        <f t="shared" ref="HH118:HU118" si="4017">SUM(HH119:HH123)</f>
        <v>10500</v>
      </c>
      <c r="HI118" s="74">
        <f t="shared" si="4017"/>
        <v>0</v>
      </c>
      <c r="HJ118" s="74">
        <f t="shared" si="4017"/>
        <v>7500</v>
      </c>
      <c r="HK118" s="74">
        <f t="shared" si="4017"/>
        <v>0</v>
      </c>
      <c r="HL118" s="74">
        <f t="shared" si="4017"/>
        <v>5500</v>
      </c>
      <c r="HM118" s="74">
        <f t="shared" si="4017"/>
        <v>0</v>
      </c>
      <c r="HN118" s="74">
        <f t="shared" si="4017"/>
        <v>5500</v>
      </c>
      <c r="HO118" s="74">
        <f t="shared" si="4017"/>
        <v>0</v>
      </c>
      <c r="HP118" s="74">
        <f t="shared" si="4017"/>
        <v>5500</v>
      </c>
      <c r="HQ118" s="74">
        <f t="shared" si="4017"/>
        <v>0</v>
      </c>
      <c r="HR118" s="74">
        <f t="shared" si="4017"/>
        <v>1500</v>
      </c>
      <c r="HS118" s="74">
        <f t="shared" si="4017"/>
        <v>0</v>
      </c>
      <c r="HT118" s="74">
        <f t="shared" si="4017"/>
        <v>11500</v>
      </c>
      <c r="HU118" s="74">
        <f t="shared" si="4017"/>
        <v>0</v>
      </c>
      <c r="HV118" s="74">
        <f t="shared" si="4014"/>
        <v>0</v>
      </c>
      <c r="HW118" s="74">
        <f t="shared" si="4014"/>
        <v>0</v>
      </c>
      <c r="HX118" s="74">
        <f t="shared" si="4014"/>
        <v>6000</v>
      </c>
      <c r="HY118" s="74">
        <f t="shared" si="4014"/>
        <v>0</v>
      </c>
      <c r="HZ118" s="74">
        <f t="shared" si="4014"/>
        <v>6500</v>
      </c>
      <c r="IA118" s="74">
        <f t="shared" si="4014"/>
        <v>0</v>
      </c>
      <c r="IB118" s="74">
        <f t="shared" si="4014"/>
        <v>0</v>
      </c>
      <c r="IC118" s="74">
        <f t="shared" si="4014"/>
        <v>0</v>
      </c>
      <c r="ID118" s="74">
        <f t="shared" si="4014"/>
        <v>0</v>
      </c>
      <c r="IE118" s="792">
        <f t="shared" si="4014"/>
        <v>0</v>
      </c>
      <c r="IF118" s="841">
        <f t="shared" si="4014"/>
        <v>43137.71</v>
      </c>
      <c r="IG118" s="263">
        <f t="shared" si="4014"/>
        <v>43137.71</v>
      </c>
      <c r="IH118" s="842">
        <f t="shared" si="4014"/>
        <v>43137.71</v>
      </c>
      <c r="II118" s="155">
        <f t="shared" si="4014"/>
        <v>945.92000000000007</v>
      </c>
      <c r="IJ118" s="74">
        <f t="shared" si="4014"/>
        <v>945.92000000000007</v>
      </c>
      <c r="IK118" s="74">
        <f t="shared" si="4014"/>
        <v>945.92000000000007</v>
      </c>
      <c r="IL118" s="74">
        <f t="shared" si="4014"/>
        <v>2703.5600000000004</v>
      </c>
      <c r="IM118" s="74">
        <f t="shared" si="4014"/>
        <v>2703.5600000000004</v>
      </c>
      <c r="IN118" s="74">
        <f t="shared" si="4014"/>
        <v>2703.5600000000004</v>
      </c>
      <c r="IO118" s="74">
        <f t="shared" si="4014"/>
        <v>2518.1</v>
      </c>
      <c r="IP118" s="74">
        <f t="shared" si="4014"/>
        <v>2518.1</v>
      </c>
      <c r="IQ118" s="74">
        <f t="shared" si="4014"/>
        <v>2518.1</v>
      </c>
      <c r="IR118" s="74">
        <f t="shared" si="4014"/>
        <v>0</v>
      </c>
      <c r="IS118" s="74">
        <f t="shared" si="4014"/>
        <v>0</v>
      </c>
      <c r="IT118" s="74">
        <f t="shared" si="4014"/>
        <v>0</v>
      </c>
      <c r="IU118" s="74">
        <f t="shared" si="4014"/>
        <v>5948.89</v>
      </c>
      <c r="IV118" s="74">
        <f t="shared" si="4014"/>
        <v>5948.89</v>
      </c>
      <c r="IW118" s="74">
        <f t="shared" si="4014"/>
        <v>5948.89</v>
      </c>
      <c r="IX118" s="74">
        <f t="shared" si="4014"/>
        <v>8281.4</v>
      </c>
      <c r="IY118" s="74">
        <f t="shared" si="4014"/>
        <v>8281.4</v>
      </c>
      <c r="IZ118" s="74">
        <f t="shared" si="4014"/>
        <v>8281.4</v>
      </c>
      <c r="JA118" s="74">
        <f t="shared" si="4014"/>
        <v>3346.8399999999997</v>
      </c>
      <c r="JB118" s="74">
        <f t="shared" si="4014"/>
        <v>3346.8399999999997</v>
      </c>
      <c r="JC118" s="74">
        <f t="shared" si="4014"/>
        <v>3346.8399999999997</v>
      </c>
      <c r="JD118" s="74">
        <f t="shared" si="4014"/>
        <v>9432.11</v>
      </c>
      <c r="JE118" s="74">
        <f t="shared" si="4014"/>
        <v>9432.11</v>
      </c>
      <c r="JF118" s="74">
        <f t="shared" si="4014"/>
        <v>9432.11</v>
      </c>
      <c r="JG118" s="74">
        <f t="shared" si="4014"/>
        <v>3181.1200000000003</v>
      </c>
      <c r="JH118" s="74">
        <f t="shared" si="4014"/>
        <v>3181.1200000000003</v>
      </c>
      <c r="JI118" s="74">
        <f t="shared" si="4014"/>
        <v>3181.1200000000003</v>
      </c>
      <c r="JJ118" s="74">
        <f t="shared" si="4014"/>
        <v>6779.7699999999986</v>
      </c>
      <c r="JK118" s="74">
        <f t="shared" si="4014"/>
        <v>6779.7699999999986</v>
      </c>
      <c r="JL118" s="74">
        <f t="shared" si="4014"/>
        <v>6779.7699999999986</v>
      </c>
      <c r="JM118" s="74">
        <f t="shared" si="4014"/>
        <v>0</v>
      </c>
      <c r="JN118" s="74">
        <f t="shared" ref="JN118:JT118" si="4018">SUM(JN119:JN123)</f>
        <v>0</v>
      </c>
      <c r="JO118" s="74">
        <f t="shared" si="4018"/>
        <v>0</v>
      </c>
      <c r="JP118" s="74">
        <f t="shared" si="4018"/>
        <v>0</v>
      </c>
      <c r="JQ118" s="74">
        <f t="shared" si="4018"/>
        <v>0</v>
      </c>
      <c r="JR118" s="74">
        <f t="shared" si="4018"/>
        <v>0</v>
      </c>
      <c r="JS118" s="74">
        <f t="shared" si="4018"/>
        <v>16862.29</v>
      </c>
      <c r="JT118" s="382">
        <f t="shared" si="4018"/>
        <v>16862.29</v>
      </c>
      <c r="JU118" s="671"/>
      <c r="JV118" s="492"/>
      <c r="JW118" s="490"/>
      <c r="JX118" s="549">
        <f>SUM(JX119:JX123)</f>
        <v>60000</v>
      </c>
      <c r="JY118" s="549">
        <f>SUM(JY119:JY123)</f>
        <v>0</v>
      </c>
      <c r="JZ118" s="581">
        <f t="shared" si="2110"/>
        <v>13000</v>
      </c>
      <c r="KA118" s="581">
        <f t="shared" si="2111"/>
        <v>-15000</v>
      </c>
      <c r="KB118" s="549">
        <f>SUM(KB119:KB123)</f>
        <v>60000</v>
      </c>
      <c r="KC118" s="709">
        <f t="shared" si="2079"/>
        <v>0</v>
      </c>
      <c r="KD118" s="36"/>
      <c r="KE118" s="36"/>
      <c r="KF118" s="36"/>
      <c r="KG118" s="36"/>
      <c r="KH118" s="36"/>
      <c r="KI118" s="36"/>
      <c r="KJ118" s="36"/>
      <c r="KK118" s="36"/>
    </row>
    <row r="119" spans="1:297" s="8" customFormat="1">
      <c r="A119" s="75" t="s">
        <v>138</v>
      </c>
      <c r="B119" s="72" t="s">
        <v>139</v>
      </c>
      <c r="C119" s="74">
        <f t="shared" ref="C119" si="4019">SUM(C452)</f>
        <v>30000</v>
      </c>
      <c r="D119" s="549">
        <f t="shared" ref="D119:E119" si="4020">SUM(D452)</f>
        <v>0</v>
      </c>
      <c r="E119" s="675">
        <f t="shared" si="4020"/>
        <v>0</v>
      </c>
      <c r="F119" s="549">
        <f t="shared" ref="F119:G119" si="4021">SUM(F452)</f>
        <v>0</v>
      </c>
      <c r="G119" s="675">
        <f t="shared" si="4021"/>
        <v>0</v>
      </c>
      <c r="H119" s="549">
        <f t="shared" ref="H119:I119" si="4022">SUM(H452)</f>
        <v>0</v>
      </c>
      <c r="I119" s="675">
        <f t="shared" si="4022"/>
        <v>0</v>
      </c>
      <c r="J119" s="549">
        <f t="shared" ref="J119:K119" si="4023">SUM(J452)</f>
        <v>0</v>
      </c>
      <c r="K119" s="675">
        <f t="shared" si="4023"/>
        <v>0</v>
      </c>
      <c r="L119" s="549">
        <f t="shared" ref="L119:M119" si="4024">SUM(L452)</f>
        <v>0</v>
      </c>
      <c r="M119" s="675">
        <f t="shared" si="4024"/>
        <v>0</v>
      </c>
      <c r="N119" s="549">
        <f t="shared" ref="N119:O119" si="4025">SUM(N452)</f>
        <v>0</v>
      </c>
      <c r="O119" s="675">
        <f t="shared" si="4025"/>
        <v>0</v>
      </c>
      <c r="P119" s="549">
        <f t="shared" ref="P119:Q119" si="4026">SUM(P452)</f>
        <v>0</v>
      </c>
      <c r="Q119" s="675">
        <f t="shared" si="4026"/>
        <v>0</v>
      </c>
      <c r="R119" s="549">
        <f t="shared" ref="R119:S119" si="4027">SUM(R452)</f>
        <v>0</v>
      </c>
      <c r="S119" s="675">
        <f t="shared" si="4027"/>
        <v>0</v>
      </c>
      <c r="T119" s="549">
        <f t="shared" ref="T119:U119" si="4028">SUM(T452)</f>
        <v>0</v>
      </c>
      <c r="U119" s="675">
        <f t="shared" si="4028"/>
        <v>0</v>
      </c>
      <c r="V119" s="549">
        <f t="shared" ref="V119:W119" si="4029">SUM(V452)</f>
        <v>0</v>
      </c>
      <c r="W119" s="675">
        <f t="shared" si="4029"/>
        <v>0</v>
      </c>
      <c r="X119" s="549">
        <f t="shared" ref="X119:Y119" si="4030">SUM(X452)</f>
        <v>0</v>
      </c>
      <c r="Y119" s="675">
        <f t="shared" si="4030"/>
        <v>0</v>
      </c>
      <c r="Z119" s="549">
        <f t="shared" ref="Z119:AA119" si="4031">SUM(Z452)</f>
        <v>0</v>
      </c>
      <c r="AA119" s="675">
        <f t="shared" si="4031"/>
        <v>0</v>
      </c>
      <c r="AB119" s="549">
        <f t="shared" ref="AB119:AC119" si="4032">SUM(AB452)</f>
        <v>0</v>
      </c>
      <c r="AC119" s="675">
        <f t="shared" si="4032"/>
        <v>0</v>
      </c>
      <c r="AD119" s="549">
        <f t="shared" ref="AD119:AE119" si="4033">SUM(AD452)</f>
        <v>0</v>
      </c>
      <c r="AE119" s="675">
        <f t="shared" si="4033"/>
        <v>0</v>
      </c>
      <c r="AF119" s="549">
        <f t="shared" ref="AF119:AI119" si="4034">SUM(AF452)</f>
        <v>0</v>
      </c>
      <c r="AG119" s="675">
        <f t="shared" si="4034"/>
        <v>0</v>
      </c>
      <c r="AH119" s="549">
        <f t="shared" si="4034"/>
        <v>0</v>
      </c>
      <c r="AI119" s="675">
        <f t="shared" si="4034"/>
        <v>0</v>
      </c>
      <c r="AJ119" s="549">
        <f t="shared" ref="AJ119:AK119" si="4035">SUM(AJ452)</f>
        <v>0</v>
      </c>
      <c r="AK119" s="675">
        <f t="shared" si="4035"/>
        <v>0</v>
      </c>
      <c r="AL119" s="549">
        <f t="shared" ref="AL119:AM119" si="4036">SUM(AL452)</f>
        <v>0</v>
      </c>
      <c r="AM119" s="675">
        <f t="shared" si="4036"/>
        <v>0</v>
      </c>
      <c r="AN119" s="549">
        <f t="shared" ref="AN119:AO119" si="4037">SUM(AN452)</f>
        <v>0</v>
      </c>
      <c r="AO119" s="675">
        <f t="shared" si="4037"/>
        <v>0</v>
      </c>
      <c r="AP119" s="549">
        <f t="shared" ref="AP119:AQ119" si="4038">SUM(AP452)</f>
        <v>0</v>
      </c>
      <c r="AQ119" s="675">
        <f t="shared" si="4038"/>
        <v>0</v>
      </c>
      <c r="AR119" s="549">
        <f t="shared" ref="AR119:AS119" si="4039">SUM(AR452)</f>
        <v>0</v>
      </c>
      <c r="AS119" s="675">
        <f t="shared" si="4039"/>
        <v>0</v>
      </c>
      <c r="AT119" s="549">
        <f t="shared" ref="AT119:AU119" si="4040">SUM(AT452)</f>
        <v>0</v>
      </c>
      <c r="AU119" s="675">
        <f t="shared" si="4040"/>
        <v>0</v>
      </c>
      <c r="AV119" s="549">
        <f t="shared" ref="AV119:AW119" si="4041">SUM(AV452)</f>
        <v>0</v>
      </c>
      <c r="AW119" s="675">
        <f t="shared" si="4041"/>
        <v>0</v>
      </c>
      <c r="AX119" s="549">
        <f t="shared" ref="AX119:AY119" si="4042">SUM(AX452)</f>
        <v>0</v>
      </c>
      <c r="AY119" s="675">
        <f t="shared" si="4042"/>
        <v>0</v>
      </c>
      <c r="AZ119" s="549">
        <f t="shared" ref="AZ119:BA119" si="4043">SUM(AZ452)</f>
        <v>0</v>
      </c>
      <c r="BA119" s="675">
        <f t="shared" si="4043"/>
        <v>0</v>
      </c>
      <c r="BB119" s="549">
        <f t="shared" ref="BB119:BC119" si="4044">SUM(BB452)</f>
        <v>0</v>
      </c>
      <c r="BC119" s="675">
        <f t="shared" si="4044"/>
        <v>0</v>
      </c>
      <c r="BD119" s="549">
        <f t="shared" ref="BD119:BE119" si="4045">SUM(BD452)</f>
        <v>0</v>
      </c>
      <c r="BE119" s="675">
        <f t="shared" si="4045"/>
        <v>0</v>
      </c>
      <c r="BF119" s="549">
        <f t="shared" ref="BF119:BG119" si="4046">SUM(BF452)</f>
        <v>0</v>
      </c>
      <c r="BG119" s="675">
        <f t="shared" si="4046"/>
        <v>0</v>
      </c>
      <c r="BH119" s="549">
        <f t="shared" ref="BH119:BI119" si="4047">SUM(BH452)</f>
        <v>0</v>
      </c>
      <c r="BI119" s="675">
        <f t="shared" si="4047"/>
        <v>0</v>
      </c>
      <c r="BJ119" s="549">
        <f t="shared" ref="BJ119:BK119" si="4048">SUM(BJ452)</f>
        <v>0</v>
      </c>
      <c r="BK119" s="675">
        <f t="shared" si="4048"/>
        <v>0</v>
      </c>
      <c r="BL119" s="549">
        <f t="shared" ref="BL119:BM119" si="4049">SUM(BL452)</f>
        <v>0</v>
      </c>
      <c r="BM119" s="675">
        <f t="shared" si="4049"/>
        <v>0</v>
      </c>
      <c r="BN119" s="549">
        <f t="shared" ref="BN119:BO119" si="4050">SUM(BN452)</f>
        <v>0</v>
      </c>
      <c r="BO119" s="675">
        <f t="shared" si="4050"/>
        <v>0</v>
      </c>
      <c r="BP119" s="549">
        <f t="shared" ref="BP119:BQ119" si="4051">SUM(BP452)</f>
        <v>0</v>
      </c>
      <c r="BQ119" s="675">
        <f t="shared" si="4051"/>
        <v>0</v>
      </c>
      <c r="BR119" s="549">
        <f t="shared" ref="BR119:BS119" si="4052">SUM(BR452)</f>
        <v>0</v>
      </c>
      <c r="BS119" s="675">
        <f t="shared" si="4052"/>
        <v>0</v>
      </c>
      <c r="BT119" s="549">
        <f t="shared" ref="BT119:BU119" si="4053">SUM(BT452)</f>
        <v>0</v>
      </c>
      <c r="BU119" s="675">
        <f t="shared" si="4053"/>
        <v>0</v>
      </c>
      <c r="BV119" s="549">
        <f t="shared" ref="BV119:BW119" si="4054">SUM(BV452)</f>
        <v>0</v>
      </c>
      <c r="BW119" s="675">
        <f t="shared" si="4054"/>
        <v>0</v>
      </c>
      <c r="BX119" s="549">
        <f t="shared" ref="BX119:BY119" si="4055">SUM(BX452)</f>
        <v>0</v>
      </c>
      <c r="BY119" s="675">
        <f t="shared" si="4055"/>
        <v>0</v>
      </c>
      <c r="BZ119" s="549">
        <f t="shared" ref="BZ119:CA119" si="4056">SUM(BZ452)</f>
        <v>0</v>
      </c>
      <c r="CA119" s="675">
        <f t="shared" si="4056"/>
        <v>0</v>
      </c>
      <c r="CB119" s="549">
        <f t="shared" ref="CB119:CC119" si="4057">SUM(CB452)</f>
        <v>0</v>
      </c>
      <c r="CC119" s="675">
        <f t="shared" si="4057"/>
        <v>0</v>
      </c>
      <c r="CD119" s="549">
        <f t="shared" ref="CD119:CE119" si="4058">SUM(CD452)</f>
        <v>0</v>
      </c>
      <c r="CE119" s="675">
        <f t="shared" si="4058"/>
        <v>0</v>
      </c>
      <c r="CF119" s="549">
        <f t="shared" ref="CF119:CG119" si="4059">SUM(CF452)</f>
        <v>0</v>
      </c>
      <c r="CG119" s="675">
        <f t="shared" si="4059"/>
        <v>0</v>
      </c>
      <c r="CH119" s="549">
        <f t="shared" ref="CH119:CI119" si="4060">SUM(CH452)</f>
        <v>0</v>
      </c>
      <c r="CI119" s="675">
        <f t="shared" si="4060"/>
        <v>0</v>
      </c>
      <c r="CJ119" s="549">
        <f t="shared" ref="CJ119:CK119" si="4061">SUM(CJ452)</f>
        <v>0</v>
      </c>
      <c r="CK119" s="675">
        <f t="shared" si="4061"/>
        <v>-5000</v>
      </c>
      <c r="CL119" s="549">
        <f t="shared" ref="CL119:CM119" si="4062">SUM(CL452)</f>
        <v>0</v>
      </c>
      <c r="CM119" s="675">
        <f t="shared" si="4062"/>
        <v>0</v>
      </c>
      <c r="CN119" s="549">
        <f t="shared" ref="CN119:CO119" si="4063">SUM(CN452)</f>
        <v>0</v>
      </c>
      <c r="CO119" s="675">
        <f t="shared" si="4063"/>
        <v>0</v>
      </c>
      <c r="CP119" s="549">
        <f t="shared" ref="CP119:CQ119" si="4064">SUM(CP452)</f>
        <v>0</v>
      </c>
      <c r="CQ119" s="675">
        <f t="shared" si="4064"/>
        <v>0</v>
      </c>
      <c r="CR119" s="549">
        <f t="shared" ref="CR119:CY123" si="4065">SUM(CR452)</f>
        <v>0</v>
      </c>
      <c r="CS119" s="675">
        <f t="shared" si="4065"/>
        <v>0</v>
      </c>
      <c r="CT119" s="549">
        <f t="shared" si="4065"/>
        <v>0</v>
      </c>
      <c r="CU119" s="675">
        <f t="shared" si="4065"/>
        <v>0</v>
      </c>
      <c r="CV119" s="549">
        <f t="shared" si="4065"/>
        <v>0</v>
      </c>
      <c r="CW119" s="675">
        <f t="shared" si="4065"/>
        <v>0</v>
      </c>
      <c r="CX119" s="549">
        <f t="shared" si="4065"/>
        <v>0</v>
      </c>
      <c r="CY119" s="675">
        <f t="shared" si="4065"/>
        <v>0</v>
      </c>
      <c r="CZ119" s="549">
        <f t="shared" ref="CZ119:DG123" si="4066">SUM(CZ452)</f>
        <v>0</v>
      </c>
      <c r="DA119" s="675">
        <f t="shared" si="4066"/>
        <v>0</v>
      </c>
      <c r="DB119" s="549">
        <f t="shared" si="4066"/>
        <v>0</v>
      </c>
      <c r="DC119" s="675">
        <f t="shared" si="4066"/>
        <v>0</v>
      </c>
      <c r="DD119" s="549">
        <f t="shared" ref="DD119:DE123" si="4067">SUM(DD452)</f>
        <v>0</v>
      </c>
      <c r="DE119" s="675">
        <f t="shared" si="4067"/>
        <v>0</v>
      </c>
      <c r="DF119" s="549">
        <f t="shared" si="4066"/>
        <v>0</v>
      </c>
      <c r="DG119" s="675">
        <f t="shared" si="4066"/>
        <v>0</v>
      </c>
      <c r="DH119" s="549">
        <f t="shared" ref="DH119:DI123" si="4068">SUM(DH452)</f>
        <v>0</v>
      </c>
      <c r="DI119" s="675">
        <f t="shared" si="4068"/>
        <v>0</v>
      </c>
      <c r="DJ119" s="549">
        <f t="shared" ref="DJ119:DM123" si="4069">SUM(DJ452)</f>
        <v>0</v>
      </c>
      <c r="DK119" s="675">
        <f t="shared" si="4069"/>
        <v>-1000</v>
      </c>
      <c r="DL119" s="549">
        <f t="shared" si="4069"/>
        <v>0</v>
      </c>
      <c r="DM119" s="675">
        <f t="shared" si="4069"/>
        <v>0</v>
      </c>
      <c r="DN119" s="549">
        <f t="shared" ref="DN119:DO123" si="4070">SUM(DN452)</f>
        <v>0</v>
      </c>
      <c r="DO119" s="675">
        <f t="shared" si="4070"/>
        <v>0</v>
      </c>
      <c r="DP119" s="549">
        <f t="shared" ref="DP119:DU119" si="4071">SUM(DP452)</f>
        <v>0</v>
      </c>
      <c r="DQ119" s="675">
        <f t="shared" si="4071"/>
        <v>0</v>
      </c>
      <c r="DR119" s="549">
        <f t="shared" si="4071"/>
        <v>0</v>
      </c>
      <c r="DS119" s="675">
        <f t="shared" si="4071"/>
        <v>0</v>
      </c>
      <c r="DT119" s="549">
        <f t="shared" si="4071"/>
        <v>0</v>
      </c>
      <c r="DU119" s="675">
        <f t="shared" si="4071"/>
        <v>0</v>
      </c>
      <c r="DV119" s="549">
        <f t="shared" ref="DV119:DW123" si="4072">SUM(DV452)</f>
        <v>0</v>
      </c>
      <c r="DW119" s="675">
        <f t="shared" si="4072"/>
        <v>0</v>
      </c>
      <c r="DX119" s="549">
        <f t="shared" ref="DX119:EG119" si="4073">SUM(DX452)</f>
        <v>0</v>
      </c>
      <c r="DY119" s="675">
        <f t="shared" si="4073"/>
        <v>0</v>
      </c>
      <c r="DZ119" s="549">
        <f t="shared" si="4073"/>
        <v>0</v>
      </c>
      <c r="EA119" s="675">
        <f t="shared" si="4073"/>
        <v>0</v>
      </c>
      <c r="EB119" s="549">
        <f t="shared" si="4073"/>
        <v>0</v>
      </c>
      <c r="EC119" s="675">
        <f t="shared" si="4073"/>
        <v>0</v>
      </c>
      <c r="ED119" s="549">
        <f t="shared" si="4073"/>
        <v>0</v>
      </c>
      <c r="EE119" s="675">
        <f t="shared" si="4073"/>
        <v>0</v>
      </c>
      <c r="EF119" s="549">
        <f t="shared" si="4073"/>
        <v>0</v>
      </c>
      <c r="EG119" s="675">
        <f t="shared" si="4073"/>
        <v>0</v>
      </c>
      <c r="EH119" s="549">
        <f t="shared" ref="EH119:EM119" si="4074">SUM(EH452)</f>
        <v>0</v>
      </c>
      <c r="EI119" s="675">
        <f t="shared" si="4074"/>
        <v>0</v>
      </c>
      <c r="EJ119" s="549">
        <f t="shared" si="4074"/>
        <v>0</v>
      </c>
      <c r="EK119" s="675">
        <f t="shared" si="4074"/>
        <v>0</v>
      </c>
      <c r="EL119" s="549">
        <f t="shared" si="4074"/>
        <v>0</v>
      </c>
      <c r="EM119" s="675">
        <f t="shared" si="4074"/>
        <v>0</v>
      </c>
      <c r="EN119" s="549">
        <f t="shared" ref="EN119:EO123" si="4075">SUM(EN452)</f>
        <v>0</v>
      </c>
      <c r="EO119" s="675">
        <f t="shared" si="4075"/>
        <v>0</v>
      </c>
      <c r="EP119" s="549">
        <f t="shared" ref="EP119:EU119" si="4076">SUM(EP452)</f>
        <v>0</v>
      </c>
      <c r="EQ119" s="675">
        <f t="shared" si="4076"/>
        <v>0</v>
      </c>
      <c r="ER119" s="549">
        <f t="shared" si="4076"/>
        <v>0</v>
      </c>
      <c r="ES119" s="675">
        <f t="shared" si="4076"/>
        <v>0</v>
      </c>
      <c r="ET119" s="549">
        <f t="shared" si="4076"/>
        <v>0</v>
      </c>
      <c r="EU119" s="675">
        <f t="shared" si="4076"/>
        <v>0</v>
      </c>
      <c r="EV119" s="549">
        <f t="shared" ref="EV119:GQ119" si="4077">SUM(EV452)</f>
        <v>0</v>
      </c>
      <c r="EW119" s="675">
        <f t="shared" si="4077"/>
        <v>0</v>
      </c>
      <c r="EX119" s="549">
        <f t="shared" si="4077"/>
        <v>0</v>
      </c>
      <c r="EY119" s="675">
        <f t="shared" si="4077"/>
        <v>0</v>
      </c>
      <c r="EZ119" s="549">
        <f t="shared" si="4077"/>
        <v>0</v>
      </c>
      <c r="FA119" s="675">
        <f t="shared" si="4077"/>
        <v>0</v>
      </c>
      <c r="FB119" s="549">
        <f t="shared" si="4077"/>
        <v>0</v>
      </c>
      <c r="FC119" s="675">
        <f t="shared" si="4077"/>
        <v>0</v>
      </c>
      <c r="FD119" s="549">
        <f t="shared" si="4077"/>
        <v>0</v>
      </c>
      <c r="FE119" s="675">
        <f t="shared" si="4077"/>
        <v>0</v>
      </c>
      <c r="FF119" s="549">
        <f t="shared" ref="FF119:FG119" si="4078">SUM(FF452)</f>
        <v>0</v>
      </c>
      <c r="FG119" s="675">
        <f t="shared" si="4078"/>
        <v>0</v>
      </c>
      <c r="FH119" s="549">
        <f t="shared" ref="FH119:FI119" si="4079">SUM(FH452)</f>
        <v>0</v>
      </c>
      <c r="FI119" s="675">
        <f t="shared" si="4079"/>
        <v>0</v>
      </c>
      <c r="FJ119" s="549">
        <f t="shared" ref="FJ119:FK119" si="4080">SUM(FJ452)</f>
        <v>0</v>
      </c>
      <c r="FK119" s="675">
        <f t="shared" si="4080"/>
        <v>0</v>
      </c>
      <c r="FL119" s="549">
        <f t="shared" ref="FL119:FM119" si="4081">SUM(FL452)</f>
        <v>0</v>
      </c>
      <c r="FM119" s="675">
        <f t="shared" si="4081"/>
        <v>0</v>
      </c>
      <c r="FN119" s="549">
        <f t="shared" ref="FN119:FO119" si="4082">SUM(FN452)</f>
        <v>0</v>
      </c>
      <c r="FO119" s="675">
        <f t="shared" si="4082"/>
        <v>0</v>
      </c>
      <c r="FP119" s="549">
        <f t="shared" ref="FP119:FQ119" si="4083">SUM(FP452)</f>
        <v>0</v>
      </c>
      <c r="FQ119" s="675">
        <f t="shared" si="4083"/>
        <v>0</v>
      </c>
      <c r="FR119" s="549">
        <f t="shared" ref="FR119:FS119" si="4084">SUM(FR452)</f>
        <v>0</v>
      </c>
      <c r="FS119" s="675">
        <f t="shared" si="4084"/>
        <v>0</v>
      </c>
      <c r="FT119" s="549">
        <f t="shared" ref="FT119:FU119" si="4085">SUM(FT452)</f>
        <v>0</v>
      </c>
      <c r="FU119" s="675">
        <f t="shared" si="4085"/>
        <v>0</v>
      </c>
      <c r="FV119" s="549">
        <f t="shared" ref="FV119:GK119" si="4086">SUM(FV452)</f>
        <v>0</v>
      </c>
      <c r="FW119" s="675">
        <f t="shared" si="4086"/>
        <v>0</v>
      </c>
      <c r="FX119" s="549">
        <f t="shared" si="4086"/>
        <v>0</v>
      </c>
      <c r="FY119" s="675">
        <f t="shared" si="4086"/>
        <v>0</v>
      </c>
      <c r="FZ119" s="549">
        <f t="shared" ref="FZ119:GI119" si="4087">SUM(FZ452)</f>
        <v>0</v>
      </c>
      <c r="GA119" s="675">
        <f t="shared" si="4087"/>
        <v>0</v>
      </c>
      <c r="GB119" s="549">
        <f t="shared" si="4087"/>
        <v>0</v>
      </c>
      <c r="GC119" s="675">
        <f t="shared" si="4087"/>
        <v>0</v>
      </c>
      <c r="GD119" s="549">
        <f t="shared" si="4087"/>
        <v>0</v>
      </c>
      <c r="GE119" s="675">
        <f t="shared" si="4087"/>
        <v>0</v>
      </c>
      <c r="GF119" s="549">
        <f t="shared" si="4087"/>
        <v>0</v>
      </c>
      <c r="GG119" s="675">
        <f t="shared" si="4087"/>
        <v>0</v>
      </c>
      <c r="GH119" s="549">
        <f t="shared" si="4087"/>
        <v>0</v>
      </c>
      <c r="GI119" s="675">
        <f t="shared" si="4087"/>
        <v>0</v>
      </c>
      <c r="GJ119" s="549">
        <f t="shared" si="4086"/>
        <v>0</v>
      </c>
      <c r="GK119" s="675">
        <f t="shared" si="4086"/>
        <v>0</v>
      </c>
      <c r="GL119" s="549">
        <f t="shared" ref="GL119:GM119" si="4088">SUM(GL452)</f>
        <v>0</v>
      </c>
      <c r="GM119" s="675">
        <f t="shared" si="4088"/>
        <v>0</v>
      </c>
      <c r="GN119" s="549">
        <f t="shared" ref="GN119:GO119" si="4089">SUM(GN452)</f>
        <v>0</v>
      </c>
      <c r="GO119" s="675">
        <f t="shared" si="4089"/>
        <v>0</v>
      </c>
      <c r="GP119" s="74">
        <f t="shared" si="4077"/>
        <v>0</v>
      </c>
      <c r="GQ119" s="675">
        <f t="shared" si="4077"/>
        <v>-6000</v>
      </c>
      <c r="GR119" s="74">
        <f t="shared" ref="GR119:HK119" si="4090">SUM(GR452)</f>
        <v>24000</v>
      </c>
      <c r="GS119" s="74">
        <f t="shared" si="4090"/>
        <v>24000</v>
      </c>
      <c r="GT119" s="74">
        <f t="shared" si="4090"/>
        <v>24000</v>
      </c>
      <c r="GU119" s="74">
        <f t="shared" si="4090"/>
        <v>3000</v>
      </c>
      <c r="GV119" s="74">
        <f t="shared" si="4090"/>
        <v>3000</v>
      </c>
      <c r="GW119" s="74">
        <f t="shared" si="4090"/>
        <v>3000</v>
      </c>
      <c r="GX119" s="74">
        <f t="shared" si="4090"/>
        <v>3000</v>
      </c>
      <c r="GY119" s="74">
        <f t="shared" si="4090"/>
        <v>3000</v>
      </c>
      <c r="GZ119" s="74">
        <f t="shared" si="4090"/>
        <v>3000</v>
      </c>
      <c r="HA119" s="74">
        <f t="shared" si="4090"/>
        <v>3000</v>
      </c>
      <c r="HB119" s="74">
        <f t="shared" si="4090"/>
        <v>3000</v>
      </c>
      <c r="HC119" s="74">
        <f t="shared" si="4090"/>
        <v>3000</v>
      </c>
      <c r="HD119" s="74">
        <f t="shared" si="4090"/>
        <v>3000</v>
      </c>
      <c r="HE119" s="74">
        <f t="shared" si="4090"/>
        <v>0</v>
      </c>
      <c r="HF119" s="74">
        <f t="shared" si="4090"/>
        <v>0</v>
      </c>
      <c r="HG119" s="74">
        <f t="shared" si="4090"/>
        <v>24000</v>
      </c>
      <c r="HH119" s="74">
        <f t="shared" si="4090"/>
        <v>3000</v>
      </c>
      <c r="HI119" s="74">
        <f t="shared" si="4090"/>
        <v>0</v>
      </c>
      <c r="HJ119" s="74">
        <f t="shared" si="4090"/>
        <v>3000</v>
      </c>
      <c r="HK119" s="74">
        <f t="shared" si="4090"/>
        <v>0</v>
      </c>
      <c r="HL119" s="74">
        <f t="shared" ref="HL119:JT119" si="4091">SUM(HL452)</f>
        <v>3000</v>
      </c>
      <c r="HM119" s="74">
        <f t="shared" si="4091"/>
        <v>0</v>
      </c>
      <c r="HN119" s="74">
        <f t="shared" si="4091"/>
        <v>3000</v>
      </c>
      <c r="HO119" s="74">
        <f t="shared" si="4091"/>
        <v>0</v>
      </c>
      <c r="HP119" s="74">
        <f t="shared" si="4091"/>
        <v>3000</v>
      </c>
      <c r="HQ119" s="74">
        <f t="shared" si="4091"/>
        <v>0</v>
      </c>
      <c r="HR119" s="74">
        <f t="shared" si="4091"/>
        <v>0</v>
      </c>
      <c r="HS119" s="74">
        <f t="shared" si="4091"/>
        <v>0</v>
      </c>
      <c r="HT119" s="74">
        <f t="shared" si="4091"/>
        <v>0</v>
      </c>
      <c r="HU119" s="74">
        <f t="shared" si="4091"/>
        <v>0</v>
      </c>
      <c r="HV119" s="74">
        <f t="shared" si="4091"/>
        <v>3000</v>
      </c>
      <c r="HW119" s="74">
        <f t="shared" si="4091"/>
        <v>0</v>
      </c>
      <c r="HX119" s="74">
        <f t="shared" si="4091"/>
        <v>3000</v>
      </c>
      <c r="HY119" s="74">
        <f t="shared" si="4091"/>
        <v>0</v>
      </c>
      <c r="HZ119" s="74">
        <f t="shared" si="4091"/>
        <v>3000</v>
      </c>
      <c r="IA119" s="74">
        <f t="shared" si="4091"/>
        <v>0</v>
      </c>
      <c r="IB119" s="74">
        <f t="shared" si="4091"/>
        <v>0</v>
      </c>
      <c r="IC119" s="74">
        <f t="shared" si="4091"/>
        <v>0</v>
      </c>
      <c r="ID119" s="74">
        <f t="shared" si="4091"/>
        <v>0</v>
      </c>
      <c r="IE119" s="792">
        <f t="shared" si="4091"/>
        <v>0</v>
      </c>
      <c r="IF119" s="841">
        <f t="shared" si="4091"/>
        <v>18334.03</v>
      </c>
      <c r="IG119" s="263">
        <f t="shared" si="4091"/>
        <v>18334.03</v>
      </c>
      <c r="IH119" s="842">
        <f t="shared" si="4091"/>
        <v>18334.03</v>
      </c>
      <c r="II119" s="155">
        <f t="shared" si="4091"/>
        <v>883.86</v>
      </c>
      <c r="IJ119" s="74">
        <f t="shared" si="4091"/>
        <v>883.86</v>
      </c>
      <c r="IK119" s="74">
        <f t="shared" si="4091"/>
        <v>883.86</v>
      </c>
      <c r="IL119" s="74">
        <f t="shared" si="4091"/>
        <v>956.75999999999988</v>
      </c>
      <c r="IM119" s="74">
        <f t="shared" si="4091"/>
        <v>956.75999999999988</v>
      </c>
      <c r="IN119" s="74">
        <f t="shared" si="4091"/>
        <v>956.75999999999988</v>
      </c>
      <c r="IO119" s="74">
        <f t="shared" si="4091"/>
        <v>0</v>
      </c>
      <c r="IP119" s="74">
        <f t="shared" si="4091"/>
        <v>0</v>
      </c>
      <c r="IQ119" s="74">
        <f t="shared" si="4091"/>
        <v>0</v>
      </c>
      <c r="IR119" s="74">
        <f t="shared" si="4091"/>
        <v>0</v>
      </c>
      <c r="IS119" s="74">
        <f t="shared" si="4091"/>
        <v>0</v>
      </c>
      <c r="IT119" s="74">
        <f t="shared" si="4091"/>
        <v>0</v>
      </c>
      <c r="IU119" s="74">
        <f t="shared" si="4091"/>
        <v>2961.8500000000004</v>
      </c>
      <c r="IV119" s="74">
        <f t="shared" si="4091"/>
        <v>2961.8500000000004</v>
      </c>
      <c r="IW119" s="74">
        <f t="shared" si="4091"/>
        <v>2961.8500000000004</v>
      </c>
      <c r="IX119" s="74">
        <f t="shared" si="4091"/>
        <v>4829.62</v>
      </c>
      <c r="IY119" s="74">
        <f t="shared" si="4091"/>
        <v>4829.62</v>
      </c>
      <c r="IZ119" s="74">
        <f t="shared" si="4091"/>
        <v>4829.62</v>
      </c>
      <c r="JA119" s="74">
        <f t="shared" si="4091"/>
        <v>0</v>
      </c>
      <c r="JB119" s="74">
        <f t="shared" si="4091"/>
        <v>0</v>
      </c>
      <c r="JC119" s="74">
        <f t="shared" si="4091"/>
        <v>0</v>
      </c>
      <c r="JD119" s="74">
        <f t="shared" si="4091"/>
        <v>5926.1100000000006</v>
      </c>
      <c r="JE119" s="74">
        <f t="shared" si="4091"/>
        <v>5926.1100000000006</v>
      </c>
      <c r="JF119" s="74">
        <f t="shared" si="4091"/>
        <v>5926.1100000000006</v>
      </c>
      <c r="JG119" s="74">
        <f t="shared" si="4091"/>
        <v>0</v>
      </c>
      <c r="JH119" s="74">
        <f t="shared" si="4091"/>
        <v>0</v>
      </c>
      <c r="JI119" s="74">
        <f t="shared" si="4091"/>
        <v>0</v>
      </c>
      <c r="JJ119" s="74">
        <f t="shared" si="4091"/>
        <v>2775.8299999999981</v>
      </c>
      <c r="JK119" s="74">
        <f t="shared" si="4091"/>
        <v>2775.8299999999981</v>
      </c>
      <c r="JL119" s="74">
        <f t="shared" si="4091"/>
        <v>2775.8299999999981</v>
      </c>
      <c r="JM119" s="74">
        <f t="shared" si="4091"/>
        <v>0</v>
      </c>
      <c r="JN119" s="74">
        <f t="shared" si="4091"/>
        <v>0</v>
      </c>
      <c r="JO119" s="74">
        <f t="shared" si="4091"/>
        <v>0</v>
      </c>
      <c r="JP119" s="74">
        <f t="shared" si="4091"/>
        <v>0</v>
      </c>
      <c r="JQ119" s="74">
        <f t="shared" si="4091"/>
        <v>0</v>
      </c>
      <c r="JR119" s="74">
        <f t="shared" si="4091"/>
        <v>0</v>
      </c>
      <c r="JS119" s="74">
        <f t="shared" si="4091"/>
        <v>5665.9700000000012</v>
      </c>
      <c r="JT119" s="102">
        <f t="shared" si="4091"/>
        <v>5665.9700000000012</v>
      </c>
      <c r="JU119" s="671"/>
      <c r="JV119" s="492"/>
      <c r="JW119" s="490"/>
      <c r="JX119" s="549">
        <f t="shared" ref="JX119:KB123" si="4092">SUM(JX452)</f>
        <v>24000</v>
      </c>
      <c r="JY119" s="549">
        <f t="shared" si="4092"/>
        <v>0</v>
      </c>
      <c r="JZ119" s="581">
        <f t="shared" si="2110"/>
        <v>0</v>
      </c>
      <c r="KA119" s="581">
        <f t="shared" si="2111"/>
        <v>-6000</v>
      </c>
      <c r="KB119" s="549">
        <f t="shared" si="4092"/>
        <v>24000</v>
      </c>
      <c r="KC119" s="709">
        <f t="shared" si="2079"/>
        <v>0</v>
      </c>
      <c r="KD119" s="36"/>
      <c r="KE119" s="36"/>
      <c r="KF119" s="36"/>
      <c r="KG119" s="36"/>
      <c r="KH119" s="36"/>
      <c r="KI119" s="36"/>
      <c r="KJ119" s="36"/>
      <c r="KK119" s="36"/>
    </row>
    <row r="120" spans="1:297" s="8" customFormat="1">
      <c r="A120" s="75" t="s">
        <v>140</v>
      </c>
      <c r="B120" s="72" t="s">
        <v>141</v>
      </c>
      <c r="C120" s="74">
        <f t="shared" ref="C120:AS120" si="4093">SUM(C453)</f>
        <v>15000</v>
      </c>
      <c r="D120" s="549">
        <f t="shared" si="4093"/>
        <v>0</v>
      </c>
      <c r="E120" s="675">
        <f t="shared" si="4093"/>
        <v>0</v>
      </c>
      <c r="F120" s="549">
        <f t="shared" si="4093"/>
        <v>0</v>
      </c>
      <c r="G120" s="675">
        <f t="shared" si="4093"/>
        <v>0</v>
      </c>
      <c r="H120" s="549">
        <f t="shared" si="4093"/>
        <v>0</v>
      </c>
      <c r="I120" s="675">
        <f t="shared" si="4093"/>
        <v>0</v>
      </c>
      <c r="J120" s="549">
        <f t="shared" si="4093"/>
        <v>0</v>
      </c>
      <c r="K120" s="675">
        <f t="shared" si="4093"/>
        <v>0</v>
      </c>
      <c r="L120" s="549">
        <f t="shared" si="4093"/>
        <v>0</v>
      </c>
      <c r="M120" s="675">
        <f t="shared" si="4093"/>
        <v>0</v>
      </c>
      <c r="N120" s="549">
        <f t="shared" si="4093"/>
        <v>0</v>
      </c>
      <c r="O120" s="675">
        <f t="shared" si="4093"/>
        <v>0</v>
      </c>
      <c r="P120" s="549">
        <f t="shared" si="4093"/>
        <v>0</v>
      </c>
      <c r="Q120" s="675">
        <f t="shared" si="4093"/>
        <v>0</v>
      </c>
      <c r="R120" s="549">
        <f t="shared" si="4093"/>
        <v>0</v>
      </c>
      <c r="S120" s="675">
        <f t="shared" si="4093"/>
        <v>0</v>
      </c>
      <c r="T120" s="549">
        <f t="shared" si="4093"/>
        <v>0</v>
      </c>
      <c r="U120" s="675">
        <f t="shared" si="4093"/>
        <v>0</v>
      </c>
      <c r="V120" s="549">
        <f t="shared" si="4093"/>
        <v>0</v>
      </c>
      <c r="W120" s="675">
        <f t="shared" si="4093"/>
        <v>0</v>
      </c>
      <c r="X120" s="549">
        <f t="shared" si="4093"/>
        <v>0</v>
      </c>
      <c r="Y120" s="675">
        <f t="shared" si="4093"/>
        <v>0</v>
      </c>
      <c r="Z120" s="549">
        <f t="shared" si="4093"/>
        <v>0</v>
      </c>
      <c r="AA120" s="675">
        <f t="shared" si="4093"/>
        <v>0</v>
      </c>
      <c r="AB120" s="549">
        <f t="shared" si="4093"/>
        <v>0</v>
      </c>
      <c r="AC120" s="675">
        <f t="shared" si="4093"/>
        <v>0</v>
      </c>
      <c r="AD120" s="549">
        <f t="shared" si="4093"/>
        <v>0</v>
      </c>
      <c r="AE120" s="675">
        <f t="shared" si="4093"/>
        <v>0</v>
      </c>
      <c r="AF120" s="549">
        <f t="shared" si="4093"/>
        <v>0</v>
      </c>
      <c r="AG120" s="675">
        <f t="shared" si="4093"/>
        <v>0</v>
      </c>
      <c r="AH120" s="549">
        <f t="shared" si="4093"/>
        <v>0</v>
      </c>
      <c r="AI120" s="675">
        <f t="shared" si="4093"/>
        <v>0</v>
      </c>
      <c r="AJ120" s="549">
        <f t="shared" si="4093"/>
        <v>0</v>
      </c>
      <c r="AK120" s="675">
        <f t="shared" si="4093"/>
        <v>0</v>
      </c>
      <c r="AL120" s="549">
        <f t="shared" si="4093"/>
        <v>0</v>
      </c>
      <c r="AM120" s="675">
        <f t="shared" si="4093"/>
        <v>0</v>
      </c>
      <c r="AN120" s="549">
        <f t="shared" si="4093"/>
        <v>0</v>
      </c>
      <c r="AO120" s="675">
        <f t="shared" si="4093"/>
        <v>0</v>
      </c>
      <c r="AP120" s="549">
        <f t="shared" si="4093"/>
        <v>0</v>
      </c>
      <c r="AQ120" s="675">
        <f t="shared" si="4093"/>
        <v>0</v>
      </c>
      <c r="AR120" s="549">
        <f t="shared" si="4093"/>
        <v>0</v>
      </c>
      <c r="AS120" s="675">
        <f t="shared" si="4093"/>
        <v>0</v>
      </c>
      <c r="AT120" s="549">
        <f t="shared" ref="AT120:AU120" si="4094">SUM(AT453)</f>
        <v>0</v>
      </c>
      <c r="AU120" s="675">
        <f t="shared" si="4094"/>
        <v>0</v>
      </c>
      <c r="AV120" s="549">
        <f t="shared" ref="AV120:AW120" si="4095">SUM(AV453)</f>
        <v>0</v>
      </c>
      <c r="AW120" s="675">
        <f t="shared" si="4095"/>
        <v>0</v>
      </c>
      <c r="AX120" s="549">
        <f t="shared" ref="AX120:AY120" si="4096">SUM(AX453)</f>
        <v>0</v>
      </c>
      <c r="AY120" s="675">
        <f t="shared" si="4096"/>
        <v>0</v>
      </c>
      <c r="AZ120" s="549">
        <f t="shared" ref="AZ120:BA120" si="4097">SUM(AZ453)</f>
        <v>0</v>
      </c>
      <c r="BA120" s="675">
        <f t="shared" si="4097"/>
        <v>0</v>
      </c>
      <c r="BB120" s="549">
        <f t="shared" ref="BB120:BC120" si="4098">SUM(BB453)</f>
        <v>0</v>
      </c>
      <c r="BC120" s="675">
        <f t="shared" si="4098"/>
        <v>0</v>
      </c>
      <c r="BD120" s="549">
        <f t="shared" ref="BD120:BE120" si="4099">SUM(BD453)</f>
        <v>0</v>
      </c>
      <c r="BE120" s="675">
        <f t="shared" si="4099"/>
        <v>0</v>
      </c>
      <c r="BF120" s="549">
        <f t="shared" ref="BF120:BG120" si="4100">SUM(BF453)</f>
        <v>0</v>
      </c>
      <c r="BG120" s="675">
        <f t="shared" si="4100"/>
        <v>0</v>
      </c>
      <c r="BH120" s="549">
        <f t="shared" ref="BH120:BI120" si="4101">SUM(BH453)</f>
        <v>0</v>
      </c>
      <c r="BI120" s="675">
        <f t="shared" si="4101"/>
        <v>0</v>
      </c>
      <c r="BJ120" s="549">
        <f t="shared" ref="BJ120:BK120" si="4102">SUM(BJ453)</f>
        <v>0</v>
      </c>
      <c r="BK120" s="675">
        <f t="shared" si="4102"/>
        <v>0</v>
      </c>
      <c r="BL120" s="549">
        <f t="shared" ref="BL120:BS120" si="4103">SUM(BL453)</f>
        <v>0</v>
      </c>
      <c r="BM120" s="675">
        <f t="shared" si="4103"/>
        <v>0</v>
      </c>
      <c r="BN120" s="549">
        <f t="shared" si="4103"/>
        <v>0</v>
      </c>
      <c r="BO120" s="675">
        <f t="shared" si="4103"/>
        <v>0</v>
      </c>
      <c r="BP120" s="549">
        <f t="shared" si="4103"/>
        <v>0</v>
      </c>
      <c r="BQ120" s="675">
        <f t="shared" si="4103"/>
        <v>0</v>
      </c>
      <c r="BR120" s="549">
        <f t="shared" si="4103"/>
        <v>0</v>
      </c>
      <c r="BS120" s="675">
        <f t="shared" si="4103"/>
        <v>0</v>
      </c>
      <c r="BT120" s="549">
        <f t="shared" ref="BT120:BU120" si="4104">SUM(BT453)</f>
        <v>0</v>
      </c>
      <c r="BU120" s="675">
        <f t="shared" si="4104"/>
        <v>0</v>
      </c>
      <c r="BV120" s="549">
        <f t="shared" ref="BV120:BW120" si="4105">SUM(BV453)</f>
        <v>0</v>
      </c>
      <c r="BW120" s="675">
        <f t="shared" si="4105"/>
        <v>0</v>
      </c>
      <c r="BX120" s="549">
        <f t="shared" ref="BX120:BY120" si="4106">SUM(BX453)</f>
        <v>0</v>
      </c>
      <c r="BY120" s="675">
        <f t="shared" si="4106"/>
        <v>0</v>
      </c>
      <c r="BZ120" s="549">
        <f t="shared" ref="BZ120:CA120" si="4107">SUM(BZ453)</f>
        <v>0</v>
      </c>
      <c r="CA120" s="675">
        <f t="shared" si="4107"/>
        <v>0</v>
      </c>
      <c r="CB120" s="549">
        <f t="shared" ref="CB120:CE120" si="4108">SUM(CB453)</f>
        <v>0</v>
      </c>
      <c r="CC120" s="675">
        <f t="shared" si="4108"/>
        <v>0</v>
      </c>
      <c r="CD120" s="549">
        <f t="shared" si="4108"/>
        <v>0</v>
      </c>
      <c r="CE120" s="675">
        <f t="shared" si="4108"/>
        <v>0</v>
      </c>
      <c r="CF120" s="549">
        <f t="shared" ref="CF120:CG120" si="4109">SUM(CF453)</f>
        <v>0</v>
      </c>
      <c r="CG120" s="675">
        <f t="shared" si="4109"/>
        <v>0</v>
      </c>
      <c r="CH120" s="549">
        <f t="shared" ref="CH120:CQ120" si="4110">SUM(CH453)</f>
        <v>0</v>
      </c>
      <c r="CI120" s="675">
        <f t="shared" si="4110"/>
        <v>0</v>
      </c>
      <c r="CJ120" s="549">
        <f t="shared" si="4110"/>
        <v>0</v>
      </c>
      <c r="CK120" s="675">
        <f t="shared" si="4110"/>
        <v>0</v>
      </c>
      <c r="CL120" s="549">
        <f t="shared" si="4110"/>
        <v>10000</v>
      </c>
      <c r="CM120" s="675">
        <f t="shared" si="4110"/>
        <v>0</v>
      </c>
      <c r="CN120" s="549">
        <f t="shared" si="4110"/>
        <v>0</v>
      </c>
      <c r="CO120" s="675">
        <f t="shared" si="4110"/>
        <v>0</v>
      </c>
      <c r="CP120" s="549">
        <f t="shared" si="4110"/>
        <v>0</v>
      </c>
      <c r="CQ120" s="675">
        <f t="shared" si="4110"/>
        <v>0</v>
      </c>
      <c r="CR120" s="549">
        <f t="shared" si="4065"/>
        <v>0</v>
      </c>
      <c r="CS120" s="675">
        <f t="shared" si="4065"/>
        <v>0</v>
      </c>
      <c r="CT120" s="549">
        <f t="shared" si="4065"/>
        <v>0</v>
      </c>
      <c r="CU120" s="675">
        <f t="shared" si="4065"/>
        <v>0</v>
      </c>
      <c r="CV120" s="549">
        <f t="shared" si="4065"/>
        <v>0</v>
      </c>
      <c r="CW120" s="675">
        <f t="shared" si="4065"/>
        <v>0</v>
      </c>
      <c r="CX120" s="549">
        <f t="shared" si="4065"/>
        <v>0</v>
      </c>
      <c r="CY120" s="675">
        <f t="shared" si="4065"/>
        <v>0</v>
      </c>
      <c r="CZ120" s="549">
        <f t="shared" si="4066"/>
        <v>0</v>
      </c>
      <c r="DA120" s="675">
        <f t="shared" si="4066"/>
        <v>0</v>
      </c>
      <c r="DB120" s="549">
        <f t="shared" si="4066"/>
        <v>0</v>
      </c>
      <c r="DC120" s="675">
        <f t="shared" si="4066"/>
        <v>0</v>
      </c>
      <c r="DD120" s="549">
        <f t="shared" si="4067"/>
        <v>0</v>
      </c>
      <c r="DE120" s="675">
        <f t="shared" si="4067"/>
        <v>0</v>
      </c>
      <c r="DF120" s="549">
        <f t="shared" ref="DF120:DG120" si="4111">SUM(DF453)</f>
        <v>0</v>
      </c>
      <c r="DG120" s="675">
        <f t="shared" si="4111"/>
        <v>0</v>
      </c>
      <c r="DH120" s="549">
        <f t="shared" si="4068"/>
        <v>0</v>
      </c>
      <c r="DI120" s="675">
        <f t="shared" si="4068"/>
        <v>0</v>
      </c>
      <c r="DJ120" s="549">
        <f t="shared" si="4069"/>
        <v>0</v>
      </c>
      <c r="DK120" s="675">
        <f t="shared" si="4069"/>
        <v>-1000</v>
      </c>
      <c r="DL120" s="549">
        <f t="shared" si="4069"/>
        <v>0</v>
      </c>
      <c r="DM120" s="675">
        <f t="shared" si="4069"/>
        <v>0</v>
      </c>
      <c r="DN120" s="549">
        <f t="shared" si="4070"/>
        <v>0</v>
      </c>
      <c r="DO120" s="675">
        <f t="shared" si="4070"/>
        <v>0</v>
      </c>
      <c r="DP120" s="549">
        <f t="shared" ref="DP120:DU120" si="4112">SUM(DP453)</f>
        <v>0</v>
      </c>
      <c r="DQ120" s="675">
        <f t="shared" si="4112"/>
        <v>0</v>
      </c>
      <c r="DR120" s="549">
        <f t="shared" si="4112"/>
        <v>0</v>
      </c>
      <c r="DS120" s="675">
        <f t="shared" si="4112"/>
        <v>0</v>
      </c>
      <c r="DT120" s="549">
        <f t="shared" si="4112"/>
        <v>0</v>
      </c>
      <c r="DU120" s="675">
        <f t="shared" si="4112"/>
        <v>0</v>
      </c>
      <c r="DV120" s="549">
        <f t="shared" si="4072"/>
        <v>0</v>
      </c>
      <c r="DW120" s="675">
        <f t="shared" si="4072"/>
        <v>0</v>
      </c>
      <c r="DX120" s="549">
        <f t="shared" ref="DX120:EA123" si="4113">SUM(DX453)</f>
        <v>0</v>
      </c>
      <c r="DY120" s="675">
        <f t="shared" si="4113"/>
        <v>0</v>
      </c>
      <c r="DZ120" s="549">
        <f t="shared" si="4113"/>
        <v>0</v>
      </c>
      <c r="EA120" s="675">
        <f t="shared" si="4113"/>
        <v>0</v>
      </c>
      <c r="EB120" s="549">
        <f t="shared" ref="EB120:EM120" si="4114">SUM(EB453)</f>
        <v>0</v>
      </c>
      <c r="EC120" s="675">
        <f t="shared" si="4114"/>
        <v>0</v>
      </c>
      <c r="ED120" s="549">
        <f t="shared" si="4114"/>
        <v>0</v>
      </c>
      <c r="EE120" s="675">
        <f t="shared" si="4114"/>
        <v>0</v>
      </c>
      <c r="EF120" s="549">
        <f t="shared" si="4114"/>
        <v>0</v>
      </c>
      <c r="EG120" s="675">
        <f t="shared" si="4114"/>
        <v>0</v>
      </c>
      <c r="EH120" s="549">
        <f t="shared" si="4114"/>
        <v>0</v>
      </c>
      <c r="EI120" s="675">
        <f t="shared" si="4114"/>
        <v>0</v>
      </c>
      <c r="EJ120" s="549">
        <f t="shared" si="4114"/>
        <v>0</v>
      </c>
      <c r="EK120" s="675">
        <f t="shared" si="4114"/>
        <v>0</v>
      </c>
      <c r="EL120" s="549">
        <f t="shared" si="4114"/>
        <v>0</v>
      </c>
      <c r="EM120" s="675">
        <f t="shared" si="4114"/>
        <v>0</v>
      </c>
      <c r="EN120" s="549">
        <f t="shared" si="4075"/>
        <v>0</v>
      </c>
      <c r="EO120" s="675">
        <f t="shared" si="4075"/>
        <v>0</v>
      </c>
      <c r="EP120" s="549">
        <f t="shared" ref="EP120:FA120" si="4115">SUM(EP453)</f>
        <v>0</v>
      </c>
      <c r="EQ120" s="675">
        <f t="shared" si="4115"/>
        <v>0</v>
      </c>
      <c r="ER120" s="549">
        <f t="shared" si="4115"/>
        <v>0</v>
      </c>
      <c r="ES120" s="675">
        <f t="shared" si="4115"/>
        <v>0</v>
      </c>
      <c r="ET120" s="549">
        <f t="shared" si="4115"/>
        <v>0</v>
      </c>
      <c r="EU120" s="675">
        <f t="shared" si="4115"/>
        <v>0</v>
      </c>
      <c r="EV120" s="549">
        <f t="shared" ref="EV120:EW123" si="4116">SUM(EV453)</f>
        <v>0</v>
      </c>
      <c r="EW120" s="675">
        <f t="shared" si="4116"/>
        <v>0</v>
      </c>
      <c r="EX120" s="549">
        <f t="shared" si="4115"/>
        <v>0</v>
      </c>
      <c r="EY120" s="675">
        <f t="shared" si="4115"/>
        <v>0</v>
      </c>
      <c r="EZ120" s="549">
        <f t="shared" si="4115"/>
        <v>0</v>
      </c>
      <c r="FA120" s="675">
        <f t="shared" si="4115"/>
        <v>0</v>
      </c>
      <c r="FB120" s="549">
        <f t="shared" ref="FB120:GQ121" si="4117">SUM(FB453)</f>
        <v>0</v>
      </c>
      <c r="FC120" s="675">
        <f t="shared" si="4117"/>
        <v>0</v>
      </c>
      <c r="FD120" s="549">
        <f t="shared" si="4117"/>
        <v>0</v>
      </c>
      <c r="FE120" s="675">
        <f t="shared" si="4117"/>
        <v>0</v>
      </c>
      <c r="FF120" s="549">
        <f t="shared" ref="FF120:FG120" si="4118">SUM(FF453)</f>
        <v>0</v>
      </c>
      <c r="FG120" s="675">
        <f t="shared" si="4118"/>
        <v>0</v>
      </c>
      <c r="FH120" s="549">
        <f t="shared" ref="FH120:FI120" si="4119">SUM(FH453)</f>
        <v>0</v>
      </c>
      <c r="FI120" s="675">
        <f t="shared" si="4119"/>
        <v>0</v>
      </c>
      <c r="FJ120" s="549">
        <f t="shared" ref="FJ120:FK120" si="4120">SUM(FJ453)</f>
        <v>0</v>
      </c>
      <c r="FK120" s="675">
        <f t="shared" si="4120"/>
        <v>0</v>
      </c>
      <c r="FL120" s="549">
        <f t="shared" ref="FL120:FM120" si="4121">SUM(FL453)</f>
        <v>3000</v>
      </c>
      <c r="FM120" s="675">
        <f t="shared" si="4121"/>
        <v>0</v>
      </c>
      <c r="FN120" s="549">
        <f t="shared" ref="FN120:FO120" si="4122">SUM(FN453)</f>
        <v>0</v>
      </c>
      <c r="FO120" s="675">
        <f t="shared" si="4122"/>
        <v>0</v>
      </c>
      <c r="FP120" s="549">
        <f t="shared" ref="FP120:FQ120" si="4123">SUM(FP453)</f>
        <v>0</v>
      </c>
      <c r="FQ120" s="675">
        <f t="shared" si="4123"/>
        <v>0</v>
      </c>
      <c r="FR120" s="549">
        <f t="shared" ref="FR120:FS120" si="4124">SUM(FR453)</f>
        <v>0</v>
      </c>
      <c r="FS120" s="675">
        <f t="shared" si="4124"/>
        <v>0</v>
      </c>
      <c r="FT120" s="549">
        <f t="shared" ref="FT120:FU120" si="4125">SUM(FT453)</f>
        <v>0</v>
      </c>
      <c r="FU120" s="675">
        <f t="shared" si="4125"/>
        <v>0</v>
      </c>
      <c r="FV120" s="549">
        <f t="shared" ref="FV120:GK120" si="4126">SUM(FV453)</f>
        <v>0</v>
      </c>
      <c r="FW120" s="675">
        <f t="shared" si="4126"/>
        <v>0</v>
      </c>
      <c r="FX120" s="549">
        <f t="shared" si="4126"/>
        <v>0</v>
      </c>
      <c r="FY120" s="675">
        <f t="shared" si="4126"/>
        <v>0</v>
      </c>
      <c r="FZ120" s="549">
        <f t="shared" ref="FZ120:GI120" si="4127">SUM(FZ453)</f>
        <v>0</v>
      </c>
      <c r="GA120" s="675">
        <f t="shared" si="4127"/>
        <v>0</v>
      </c>
      <c r="GB120" s="549">
        <f t="shared" si="4127"/>
        <v>0</v>
      </c>
      <c r="GC120" s="675">
        <f t="shared" si="4127"/>
        <v>0</v>
      </c>
      <c r="GD120" s="549">
        <f t="shared" si="4127"/>
        <v>0</v>
      </c>
      <c r="GE120" s="675">
        <f t="shared" si="4127"/>
        <v>0</v>
      </c>
      <c r="GF120" s="549">
        <f t="shared" si="4127"/>
        <v>0</v>
      </c>
      <c r="GG120" s="675">
        <f t="shared" si="4127"/>
        <v>0</v>
      </c>
      <c r="GH120" s="549">
        <f t="shared" si="4127"/>
        <v>0</v>
      </c>
      <c r="GI120" s="675">
        <f t="shared" si="4127"/>
        <v>0</v>
      </c>
      <c r="GJ120" s="549">
        <f t="shared" si="4126"/>
        <v>0</v>
      </c>
      <c r="GK120" s="675">
        <f t="shared" si="4126"/>
        <v>0</v>
      </c>
      <c r="GL120" s="549">
        <f t="shared" ref="GL120:GM120" si="4128">SUM(GL453)</f>
        <v>0</v>
      </c>
      <c r="GM120" s="675">
        <f t="shared" si="4128"/>
        <v>0</v>
      </c>
      <c r="GN120" s="549">
        <f t="shared" ref="GN120:GO120" si="4129">SUM(GN453)</f>
        <v>0</v>
      </c>
      <c r="GO120" s="675">
        <f t="shared" si="4129"/>
        <v>0</v>
      </c>
      <c r="GP120" s="74">
        <f t="shared" si="4117"/>
        <v>13000</v>
      </c>
      <c r="GQ120" s="675">
        <f t="shared" si="4117"/>
        <v>-1000</v>
      </c>
      <c r="GR120" s="74">
        <f t="shared" ref="GR120:HK120" si="4130">SUM(GR453)</f>
        <v>27000</v>
      </c>
      <c r="GS120" s="74">
        <f t="shared" si="4130"/>
        <v>27000</v>
      </c>
      <c r="GT120" s="74">
        <f t="shared" si="4130"/>
        <v>27000</v>
      </c>
      <c r="GU120" s="74">
        <f t="shared" si="4130"/>
        <v>1500</v>
      </c>
      <c r="GV120" s="74">
        <f t="shared" si="4130"/>
        <v>1500</v>
      </c>
      <c r="GW120" s="74">
        <f t="shared" si="4130"/>
        <v>1500</v>
      </c>
      <c r="GX120" s="74">
        <f t="shared" si="4130"/>
        <v>1500</v>
      </c>
      <c r="GY120" s="74">
        <f t="shared" si="4130"/>
        <v>1500</v>
      </c>
      <c r="GZ120" s="74">
        <f t="shared" si="4130"/>
        <v>1500</v>
      </c>
      <c r="HA120" s="74">
        <f t="shared" si="4130"/>
        <v>1500</v>
      </c>
      <c r="HB120" s="74">
        <f t="shared" si="4130"/>
        <v>1500</v>
      </c>
      <c r="HC120" s="74">
        <f t="shared" si="4130"/>
        <v>1500</v>
      </c>
      <c r="HD120" s="74">
        <f t="shared" si="4130"/>
        <v>1500</v>
      </c>
      <c r="HE120" s="74">
        <f t="shared" si="4130"/>
        <v>0</v>
      </c>
      <c r="HF120" s="74">
        <f t="shared" si="4130"/>
        <v>0</v>
      </c>
      <c r="HG120" s="74">
        <f t="shared" si="4130"/>
        <v>27000</v>
      </c>
      <c r="HH120" s="74">
        <f t="shared" si="4130"/>
        <v>1500</v>
      </c>
      <c r="HI120" s="74">
        <f t="shared" si="4130"/>
        <v>0</v>
      </c>
      <c r="HJ120" s="74">
        <f t="shared" si="4130"/>
        <v>1500</v>
      </c>
      <c r="HK120" s="74">
        <f t="shared" si="4130"/>
        <v>0</v>
      </c>
      <c r="HL120" s="74">
        <f t="shared" ref="HL120:JT120" si="4131">SUM(HL453)</f>
        <v>1500</v>
      </c>
      <c r="HM120" s="74">
        <f t="shared" si="4131"/>
        <v>0</v>
      </c>
      <c r="HN120" s="74">
        <f t="shared" si="4131"/>
        <v>1500</v>
      </c>
      <c r="HO120" s="74">
        <f t="shared" si="4131"/>
        <v>0</v>
      </c>
      <c r="HP120" s="74">
        <f t="shared" si="4131"/>
        <v>1500</v>
      </c>
      <c r="HQ120" s="74">
        <f t="shared" si="4131"/>
        <v>0</v>
      </c>
      <c r="HR120" s="74">
        <f t="shared" si="4131"/>
        <v>1500</v>
      </c>
      <c r="HS120" s="74">
        <f t="shared" si="4131"/>
        <v>0</v>
      </c>
      <c r="HT120" s="74">
        <f t="shared" si="4131"/>
        <v>11500</v>
      </c>
      <c r="HU120" s="74">
        <f t="shared" si="4131"/>
        <v>0</v>
      </c>
      <c r="HV120" s="74">
        <f t="shared" si="4131"/>
        <v>0</v>
      </c>
      <c r="HW120" s="74">
        <f t="shared" si="4131"/>
        <v>0</v>
      </c>
      <c r="HX120" s="74">
        <f t="shared" si="4131"/>
        <v>2000</v>
      </c>
      <c r="HY120" s="74">
        <f t="shared" si="4131"/>
        <v>0</v>
      </c>
      <c r="HZ120" s="74">
        <f t="shared" si="4131"/>
        <v>4500</v>
      </c>
      <c r="IA120" s="74">
        <f t="shared" si="4131"/>
        <v>0</v>
      </c>
      <c r="IB120" s="74">
        <f t="shared" si="4131"/>
        <v>0</v>
      </c>
      <c r="IC120" s="74">
        <f t="shared" si="4131"/>
        <v>0</v>
      </c>
      <c r="ID120" s="74">
        <f t="shared" si="4131"/>
        <v>0</v>
      </c>
      <c r="IE120" s="792">
        <f t="shared" si="4131"/>
        <v>0</v>
      </c>
      <c r="IF120" s="841">
        <f t="shared" si="4131"/>
        <v>20796.25</v>
      </c>
      <c r="IG120" s="263">
        <f t="shared" si="4131"/>
        <v>20796.25</v>
      </c>
      <c r="IH120" s="842">
        <f t="shared" si="4131"/>
        <v>20796.25</v>
      </c>
      <c r="II120" s="155">
        <f t="shared" si="4131"/>
        <v>0</v>
      </c>
      <c r="IJ120" s="74">
        <f t="shared" si="4131"/>
        <v>0</v>
      </c>
      <c r="IK120" s="74">
        <f t="shared" si="4131"/>
        <v>0</v>
      </c>
      <c r="IL120" s="74">
        <f t="shared" si="4131"/>
        <v>1694.16</v>
      </c>
      <c r="IM120" s="74">
        <f t="shared" si="4131"/>
        <v>1694.16</v>
      </c>
      <c r="IN120" s="74">
        <f t="shared" si="4131"/>
        <v>1694.16</v>
      </c>
      <c r="IO120" s="74">
        <f t="shared" si="4131"/>
        <v>2225</v>
      </c>
      <c r="IP120" s="74">
        <f t="shared" si="4131"/>
        <v>2225</v>
      </c>
      <c r="IQ120" s="74">
        <f t="shared" si="4131"/>
        <v>2225</v>
      </c>
      <c r="IR120" s="74">
        <f t="shared" si="4131"/>
        <v>0</v>
      </c>
      <c r="IS120" s="74">
        <f t="shared" si="4131"/>
        <v>0</v>
      </c>
      <c r="IT120" s="74">
        <f t="shared" si="4131"/>
        <v>0</v>
      </c>
      <c r="IU120" s="74">
        <f t="shared" si="4131"/>
        <v>2200</v>
      </c>
      <c r="IV120" s="74">
        <f t="shared" si="4131"/>
        <v>2200</v>
      </c>
      <c r="IW120" s="74">
        <f t="shared" si="4131"/>
        <v>2200</v>
      </c>
      <c r="IX120" s="74">
        <f t="shared" si="4131"/>
        <v>2850</v>
      </c>
      <c r="IY120" s="74">
        <f t="shared" si="4131"/>
        <v>2850</v>
      </c>
      <c r="IZ120" s="74">
        <f t="shared" si="4131"/>
        <v>2850</v>
      </c>
      <c r="JA120" s="74">
        <f t="shared" si="4131"/>
        <v>2820</v>
      </c>
      <c r="JB120" s="74">
        <f t="shared" si="4131"/>
        <v>2820</v>
      </c>
      <c r="JC120" s="74">
        <f t="shared" si="4131"/>
        <v>2820</v>
      </c>
      <c r="JD120" s="74">
        <f t="shared" si="4131"/>
        <v>2972.24</v>
      </c>
      <c r="JE120" s="74">
        <f t="shared" si="4131"/>
        <v>2972.24</v>
      </c>
      <c r="JF120" s="74">
        <f t="shared" si="4131"/>
        <v>2972.24</v>
      </c>
      <c r="JG120" s="74">
        <f t="shared" si="4131"/>
        <v>3047.8500000000004</v>
      </c>
      <c r="JH120" s="74">
        <f t="shared" si="4131"/>
        <v>3047.8500000000004</v>
      </c>
      <c r="JI120" s="74">
        <f t="shared" si="4131"/>
        <v>3047.8500000000004</v>
      </c>
      <c r="JJ120" s="74">
        <f t="shared" si="4131"/>
        <v>2987</v>
      </c>
      <c r="JK120" s="74">
        <f t="shared" si="4131"/>
        <v>2987</v>
      </c>
      <c r="JL120" s="74">
        <f t="shared" si="4131"/>
        <v>2987</v>
      </c>
      <c r="JM120" s="74">
        <f t="shared" si="4131"/>
        <v>0</v>
      </c>
      <c r="JN120" s="74">
        <f t="shared" si="4131"/>
        <v>0</v>
      </c>
      <c r="JO120" s="74">
        <f t="shared" si="4131"/>
        <v>0</v>
      </c>
      <c r="JP120" s="74">
        <f t="shared" si="4131"/>
        <v>0</v>
      </c>
      <c r="JQ120" s="74">
        <f t="shared" si="4131"/>
        <v>0</v>
      </c>
      <c r="JR120" s="74">
        <f t="shared" si="4131"/>
        <v>0</v>
      </c>
      <c r="JS120" s="74">
        <f t="shared" si="4131"/>
        <v>6203.75</v>
      </c>
      <c r="JT120" s="102">
        <f t="shared" si="4131"/>
        <v>6203.75</v>
      </c>
      <c r="JU120" s="671"/>
      <c r="JV120" s="492"/>
      <c r="JW120" s="490"/>
      <c r="JX120" s="549">
        <f t="shared" si="4092"/>
        <v>27000</v>
      </c>
      <c r="JY120" s="549">
        <f t="shared" si="4092"/>
        <v>0</v>
      </c>
      <c r="JZ120" s="581">
        <f t="shared" si="2110"/>
        <v>13000</v>
      </c>
      <c r="KA120" s="581">
        <f t="shared" si="2111"/>
        <v>-1000</v>
      </c>
      <c r="KB120" s="549">
        <f t="shared" si="4092"/>
        <v>27000</v>
      </c>
      <c r="KC120" s="709">
        <f t="shared" si="2079"/>
        <v>0</v>
      </c>
      <c r="KD120" s="36"/>
      <c r="KE120" s="36"/>
      <c r="KF120" s="36"/>
      <c r="KG120" s="36"/>
      <c r="KH120" s="36"/>
      <c r="KI120" s="36"/>
      <c r="KJ120" s="36"/>
      <c r="KK120" s="36"/>
    </row>
    <row r="121" spans="1:297" s="8" customFormat="1">
      <c r="A121" s="75" t="s">
        <v>142</v>
      </c>
      <c r="B121" s="72" t="s">
        <v>143</v>
      </c>
      <c r="C121" s="74">
        <f t="shared" ref="C121:AS121" si="4132">SUM(C454)</f>
        <v>10000</v>
      </c>
      <c r="D121" s="549">
        <f t="shared" si="4132"/>
        <v>0</v>
      </c>
      <c r="E121" s="675">
        <f t="shared" si="4132"/>
        <v>0</v>
      </c>
      <c r="F121" s="549">
        <f t="shared" si="4132"/>
        <v>0</v>
      </c>
      <c r="G121" s="675">
        <f t="shared" si="4132"/>
        <v>0</v>
      </c>
      <c r="H121" s="549">
        <f t="shared" si="4132"/>
        <v>0</v>
      </c>
      <c r="I121" s="675">
        <f t="shared" si="4132"/>
        <v>0</v>
      </c>
      <c r="J121" s="549">
        <f t="shared" si="4132"/>
        <v>0</v>
      </c>
      <c r="K121" s="675">
        <f t="shared" si="4132"/>
        <v>0</v>
      </c>
      <c r="L121" s="549">
        <f t="shared" si="4132"/>
        <v>0</v>
      </c>
      <c r="M121" s="675">
        <f t="shared" si="4132"/>
        <v>0</v>
      </c>
      <c r="N121" s="549">
        <f t="shared" si="4132"/>
        <v>0</v>
      </c>
      <c r="O121" s="675">
        <f t="shared" si="4132"/>
        <v>0</v>
      </c>
      <c r="P121" s="549">
        <f t="shared" si="4132"/>
        <v>0</v>
      </c>
      <c r="Q121" s="675">
        <f t="shared" si="4132"/>
        <v>0</v>
      </c>
      <c r="R121" s="549">
        <f t="shared" si="4132"/>
        <v>0</v>
      </c>
      <c r="S121" s="675">
        <f t="shared" si="4132"/>
        <v>0</v>
      </c>
      <c r="T121" s="549">
        <f t="shared" si="4132"/>
        <v>0</v>
      </c>
      <c r="U121" s="675">
        <f t="shared" si="4132"/>
        <v>0</v>
      </c>
      <c r="V121" s="549">
        <f t="shared" si="4132"/>
        <v>0</v>
      </c>
      <c r="W121" s="675">
        <f t="shared" si="4132"/>
        <v>0</v>
      </c>
      <c r="X121" s="549">
        <f t="shared" si="4132"/>
        <v>0</v>
      </c>
      <c r="Y121" s="675">
        <f t="shared" si="4132"/>
        <v>0</v>
      </c>
      <c r="Z121" s="549">
        <f t="shared" si="4132"/>
        <v>0</v>
      </c>
      <c r="AA121" s="675">
        <f t="shared" si="4132"/>
        <v>0</v>
      </c>
      <c r="AB121" s="549">
        <f t="shared" si="4132"/>
        <v>0</v>
      </c>
      <c r="AC121" s="675">
        <f t="shared" si="4132"/>
        <v>0</v>
      </c>
      <c r="AD121" s="549">
        <f t="shared" si="4132"/>
        <v>0</v>
      </c>
      <c r="AE121" s="675">
        <f t="shared" si="4132"/>
        <v>0</v>
      </c>
      <c r="AF121" s="549">
        <f t="shared" si="4132"/>
        <v>0</v>
      </c>
      <c r="AG121" s="675">
        <f t="shared" si="4132"/>
        <v>0</v>
      </c>
      <c r="AH121" s="549">
        <f t="shared" si="4132"/>
        <v>0</v>
      </c>
      <c r="AI121" s="675">
        <f t="shared" si="4132"/>
        <v>0</v>
      </c>
      <c r="AJ121" s="549">
        <f t="shared" si="4132"/>
        <v>0</v>
      </c>
      <c r="AK121" s="675">
        <f t="shared" si="4132"/>
        <v>0</v>
      </c>
      <c r="AL121" s="549">
        <f t="shared" si="4132"/>
        <v>0</v>
      </c>
      <c r="AM121" s="675">
        <f t="shared" si="4132"/>
        <v>0</v>
      </c>
      <c r="AN121" s="549">
        <f t="shared" si="4132"/>
        <v>0</v>
      </c>
      <c r="AO121" s="675">
        <f t="shared" si="4132"/>
        <v>0</v>
      </c>
      <c r="AP121" s="549">
        <f t="shared" si="4132"/>
        <v>0</v>
      </c>
      <c r="AQ121" s="675">
        <f t="shared" si="4132"/>
        <v>0</v>
      </c>
      <c r="AR121" s="549">
        <f t="shared" si="4132"/>
        <v>0</v>
      </c>
      <c r="AS121" s="675">
        <f t="shared" si="4132"/>
        <v>0</v>
      </c>
      <c r="AT121" s="549">
        <f t="shared" ref="AT121:AU121" si="4133">SUM(AT454)</f>
        <v>0</v>
      </c>
      <c r="AU121" s="675">
        <f t="shared" si="4133"/>
        <v>0</v>
      </c>
      <c r="AV121" s="549">
        <f t="shared" ref="AV121:AW121" si="4134">SUM(AV454)</f>
        <v>0</v>
      </c>
      <c r="AW121" s="675">
        <f t="shared" si="4134"/>
        <v>0</v>
      </c>
      <c r="AX121" s="549">
        <f t="shared" ref="AX121:AY121" si="4135">SUM(AX454)</f>
        <v>0</v>
      </c>
      <c r="AY121" s="675">
        <f t="shared" si="4135"/>
        <v>0</v>
      </c>
      <c r="AZ121" s="549">
        <f t="shared" ref="AZ121:BA121" si="4136">SUM(AZ454)</f>
        <v>0</v>
      </c>
      <c r="BA121" s="675">
        <f t="shared" si="4136"/>
        <v>0</v>
      </c>
      <c r="BB121" s="549">
        <f t="shared" ref="BB121:BC121" si="4137">SUM(BB454)</f>
        <v>0</v>
      </c>
      <c r="BC121" s="675">
        <f t="shared" si="4137"/>
        <v>0</v>
      </c>
      <c r="BD121" s="549">
        <f t="shared" ref="BD121:BE121" si="4138">SUM(BD454)</f>
        <v>0</v>
      </c>
      <c r="BE121" s="675">
        <f t="shared" si="4138"/>
        <v>0</v>
      </c>
      <c r="BF121" s="549">
        <f t="shared" ref="BF121:BG121" si="4139">SUM(BF454)</f>
        <v>0</v>
      </c>
      <c r="BG121" s="675">
        <f t="shared" si="4139"/>
        <v>0</v>
      </c>
      <c r="BH121" s="549">
        <f t="shared" ref="BH121:BI121" si="4140">SUM(BH454)</f>
        <v>0</v>
      </c>
      <c r="BI121" s="675">
        <f t="shared" si="4140"/>
        <v>0</v>
      </c>
      <c r="BJ121" s="549">
        <f t="shared" ref="BJ121:BK121" si="4141">SUM(BJ454)</f>
        <v>0</v>
      </c>
      <c r="BK121" s="675">
        <f t="shared" si="4141"/>
        <v>0</v>
      </c>
      <c r="BL121" s="549">
        <f t="shared" ref="BL121:BS121" si="4142">SUM(BL454)</f>
        <v>0</v>
      </c>
      <c r="BM121" s="675">
        <f t="shared" si="4142"/>
        <v>0</v>
      </c>
      <c r="BN121" s="549">
        <f t="shared" si="4142"/>
        <v>0</v>
      </c>
      <c r="BO121" s="675">
        <f t="shared" si="4142"/>
        <v>0</v>
      </c>
      <c r="BP121" s="549">
        <f t="shared" si="4142"/>
        <v>0</v>
      </c>
      <c r="BQ121" s="675">
        <f t="shared" si="4142"/>
        <v>0</v>
      </c>
      <c r="BR121" s="549">
        <f t="shared" si="4142"/>
        <v>0</v>
      </c>
      <c r="BS121" s="675">
        <f t="shared" si="4142"/>
        <v>0</v>
      </c>
      <c r="BT121" s="549">
        <f t="shared" ref="BT121:BU121" si="4143">SUM(BT454)</f>
        <v>0</v>
      </c>
      <c r="BU121" s="675">
        <f t="shared" si="4143"/>
        <v>0</v>
      </c>
      <c r="BV121" s="549">
        <f t="shared" ref="BV121:BW121" si="4144">SUM(BV454)</f>
        <v>0</v>
      </c>
      <c r="BW121" s="675">
        <f t="shared" si="4144"/>
        <v>0</v>
      </c>
      <c r="BX121" s="549">
        <f t="shared" ref="BX121:BY121" si="4145">SUM(BX454)</f>
        <v>0</v>
      </c>
      <c r="BY121" s="675">
        <f t="shared" si="4145"/>
        <v>0</v>
      </c>
      <c r="BZ121" s="549">
        <f t="shared" ref="BZ121:CA121" si="4146">SUM(BZ454)</f>
        <v>0</v>
      </c>
      <c r="CA121" s="675">
        <f t="shared" si="4146"/>
        <v>0</v>
      </c>
      <c r="CB121" s="549">
        <f t="shared" ref="CB121:CE121" si="4147">SUM(CB454)</f>
        <v>0</v>
      </c>
      <c r="CC121" s="675">
        <f t="shared" si="4147"/>
        <v>0</v>
      </c>
      <c r="CD121" s="549">
        <f t="shared" si="4147"/>
        <v>0</v>
      </c>
      <c r="CE121" s="675">
        <f t="shared" si="4147"/>
        <v>0</v>
      </c>
      <c r="CF121" s="549">
        <f t="shared" ref="CF121:CG121" si="4148">SUM(CF454)</f>
        <v>0</v>
      </c>
      <c r="CG121" s="675">
        <f t="shared" si="4148"/>
        <v>0</v>
      </c>
      <c r="CH121" s="549">
        <f t="shared" ref="CH121:CQ121" si="4149">SUM(CH454)</f>
        <v>0</v>
      </c>
      <c r="CI121" s="675">
        <f t="shared" si="4149"/>
        <v>0</v>
      </c>
      <c r="CJ121" s="549">
        <f t="shared" si="4149"/>
        <v>0</v>
      </c>
      <c r="CK121" s="675">
        <f t="shared" si="4149"/>
        <v>-2000</v>
      </c>
      <c r="CL121" s="549">
        <f t="shared" si="4149"/>
        <v>0</v>
      </c>
      <c r="CM121" s="675">
        <f t="shared" si="4149"/>
        <v>0</v>
      </c>
      <c r="CN121" s="549">
        <f t="shared" si="4149"/>
        <v>0</v>
      </c>
      <c r="CO121" s="675">
        <f t="shared" si="4149"/>
        <v>0</v>
      </c>
      <c r="CP121" s="549">
        <f t="shared" si="4149"/>
        <v>0</v>
      </c>
      <c r="CQ121" s="675">
        <f t="shared" si="4149"/>
        <v>0</v>
      </c>
      <c r="CR121" s="549">
        <f t="shared" si="4065"/>
        <v>0</v>
      </c>
      <c r="CS121" s="675">
        <f t="shared" si="4065"/>
        <v>0</v>
      </c>
      <c r="CT121" s="549">
        <f t="shared" si="4065"/>
        <v>0</v>
      </c>
      <c r="CU121" s="675">
        <f t="shared" si="4065"/>
        <v>0</v>
      </c>
      <c r="CV121" s="549">
        <f t="shared" si="4065"/>
        <v>0</v>
      </c>
      <c r="CW121" s="675">
        <f t="shared" si="4065"/>
        <v>0</v>
      </c>
      <c r="CX121" s="549">
        <f t="shared" si="4065"/>
        <v>0</v>
      </c>
      <c r="CY121" s="675">
        <f t="shared" si="4065"/>
        <v>0</v>
      </c>
      <c r="CZ121" s="549">
        <f t="shared" si="4066"/>
        <v>0</v>
      </c>
      <c r="DA121" s="675">
        <f t="shared" si="4066"/>
        <v>0</v>
      </c>
      <c r="DB121" s="549">
        <f t="shared" si="4066"/>
        <v>0</v>
      </c>
      <c r="DC121" s="675">
        <f t="shared" si="4066"/>
        <v>0</v>
      </c>
      <c r="DD121" s="549">
        <f t="shared" si="4067"/>
        <v>0</v>
      </c>
      <c r="DE121" s="675">
        <f t="shared" si="4067"/>
        <v>0</v>
      </c>
      <c r="DF121" s="549">
        <f t="shared" si="4066"/>
        <v>0</v>
      </c>
      <c r="DG121" s="675">
        <f t="shared" si="4066"/>
        <v>0</v>
      </c>
      <c r="DH121" s="549">
        <f t="shared" si="4068"/>
        <v>0</v>
      </c>
      <c r="DI121" s="675">
        <f t="shared" si="4068"/>
        <v>0</v>
      </c>
      <c r="DJ121" s="549">
        <f t="shared" si="4069"/>
        <v>0</v>
      </c>
      <c r="DK121" s="675">
        <f t="shared" si="4069"/>
        <v>-2000</v>
      </c>
      <c r="DL121" s="549">
        <f t="shared" si="4069"/>
        <v>0</v>
      </c>
      <c r="DM121" s="675">
        <f t="shared" si="4069"/>
        <v>0</v>
      </c>
      <c r="DN121" s="549">
        <f t="shared" si="4070"/>
        <v>0</v>
      </c>
      <c r="DO121" s="675">
        <f t="shared" si="4070"/>
        <v>0</v>
      </c>
      <c r="DP121" s="549">
        <f t="shared" ref="DP121:DU121" si="4150">SUM(DP454)</f>
        <v>0</v>
      </c>
      <c r="DQ121" s="675">
        <f t="shared" si="4150"/>
        <v>0</v>
      </c>
      <c r="DR121" s="549">
        <f t="shared" si="4150"/>
        <v>0</v>
      </c>
      <c r="DS121" s="675">
        <f t="shared" si="4150"/>
        <v>0</v>
      </c>
      <c r="DT121" s="549">
        <f t="shared" si="4150"/>
        <v>0</v>
      </c>
      <c r="DU121" s="675">
        <f t="shared" si="4150"/>
        <v>0</v>
      </c>
      <c r="DV121" s="549">
        <f t="shared" si="4072"/>
        <v>0</v>
      </c>
      <c r="DW121" s="675">
        <f t="shared" si="4072"/>
        <v>0</v>
      </c>
      <c r="DX121" s="549">
        <f t="shared" si="4113"/>
        <v>0</v>
      </c>
      <c r="DY121" s="675">
        <f t="shared" si="4113"/>
        <v>0</v>
      </c>
      <c r="DZ121" s="549">
        <f t="shared" si="4113"/>
        <v>0</v>
      </c>
      <c r="EA121" s="675">
        <f t="shared" si="4113"/>
        <v>0</v>
      </c>
      <c r="EB121" s="549">
        <f t="shared" ref="EB121:EM121" si="4151">SUM(EB454)</f>
        <v>0</v>
      </c>
      <c r="EC121" s="675">
        <f t="shared" si="4151"/>
        <v>0</v>
      </c>
      <c r="ED121" s="549">
        <f t="shared" si="4151"/>
        <v>0</v>
      </c>
      <c r="EE121" s="675">
        <f t="shared" si="4151"/>
        <v>0</v>
      </c>
      <c r="EF121" s="549">
        <f t="shared" si="4151"/>
        <v>0</v>
      </c>
      <c r="EG121" s="675">
        <f t="shared" si="4151"/>
        <v>0</v>
      </c>
      <c r="EH121" s="549">
        <f t="shared" si="4151"/>
        <v>0</v>
      </c>
      <c r="EI121" s="675">
        <f t="shared" si="4151"/>
        <v>0</v>
      </c>
      <c r="EJ121" s="549">
        <f t="shared" si="4151"/>
        <v>0</v>
      </c>
      <c r="EK121" s="675">
        <f t="shared" si="4151"/>
        <v>0</v>
      </c>
      <c r="EL121" s="549">
        <f t="shared" si="4151"/>
        <v>0</v>
      </c>
      <c r="EM121" s="675">
        <f t="shared" si="4151"/>
        <v>0</v>
      </c>
      <c r="EN121" s="549">
        <f t="shared" si="4075"/>
        <v>0</v>
      </c>
      <c r="EO121" s="675">
        <f t="shared" si="4075"/>
        <v>0</v>
      </c>
      <c r="EP121" s="549">
        <f t="shared" ref="EP121:FA121" si="4152">SUM(EP454)</f>
        <v>0</v>
      </c>
      <c r="EQ121" s="675">
        <f t="shared" si="4152"/>
        <v>0</v>
      </c>
      <c r="ER121" s="549">
        <f t="shared" si="4152"/>
        <v>0</v>
      </c>
      <c r="ES121" s="675">
        <f t="shared" si="4152"/>
        <v>0</v>
      </c>
      <c r="ET121" s="549">
        <f t="shared" si="4152"/>
        <v>0</v>
      </c>
      <c r="EU121" s="675">
        <f t="shared" si="4152"/>
        <v>0</v>
      </c>
      <c r="EV121" s="549">
        <f t="shared" si="4116"/>
        <v>0</v>
      </c>
      <c r="EW121" s="675">
        <f t="shared" si="4116"/>
        <v>0</v>
      </c>
      <c r="EX121" s="549">
        <f t="shared" si="4152"/>
        <v>0</v>
      </c>
      <c r="EY121" s="675">
        <f t="shared" si="4152"/>
        <v>0</v>
      </c>
      <c r="EZ121" s="549">
        <f t="shared" si="4152"/>
        <v>0</v>
      </c>
      <c r="FA121" s="675">
        <f t="shared" si="4152"/>
        <v>0</v>
      </c>
      <c r="FB121" s="549">
        <f t="shared" si="4117"/>
        <v>0</v>
      </c>
      <c r="FC121" s="675">
        <f t="shared" si="4117"/>
        <v>0</v>
      </c>
      <c r="FD121" s="549">
        <f t="shared" si="4117"/>
        <v>0</v>
      </c>
      <c r="FE121" s="675">
        <f t="shared" si="4117"/>
        <v>0</v>
      </c>
      <c r="FF121" s="549">
        <f t="shared" ref="FF121:FG121" si="4153">SUM(FF454)</f>
        <v>0</v>
      </c>
      <c r="FG121" s="675">
        <f t="shared" si="4153"/>
        <v>0</v>
      </c>
      <c r="FH121" s="549">
        <f t="shared" ref="FH121:FI121" si="4154">SUM(FH454)</f>
        <v>0</v>
      </c>
      <c r="FI121" s="675">
        <f t="shared" si="4154"/>
        <v>0</v>
      </c>
      <c r="FJ121" s="549">
        <f t="shared" ref="FJ121:FK121" si="4155">SUM(FJ454)</f>
        <v>0</v>
      </c>
      <c r="FK121" s="675">
        <f t="shared" si="4155"/>
        <v>0</v>
      </c>
      <c r="FL121" s="549">
        <f t="shared" ref="FL121:FM121" si="4156">SUM(FL454)</f>
        <v>0</v>
      </c>
      <c r="FM121" s="675">
        <f t="shared" si="4156"/>
        <v>0</v>
      </c>
      <c r="FN121" s="549">
        <f t="shared" ref="FN121:FO121" si="4157">SUM(FN454)</f>
        <v>0</v>
      </c>
      <c r="FO121" s="675">
        <f t="shared" si="4157"/>
        <v>0</v>
      </c>
      <c r="FP121" s="549">
        <f t="shared" ref="FP121:FQ121" si="4158">SUM(FP454)</f>
        <v>0</v>
      </c>
      <c r="FQ121" s="675">
        <f t="shared" si="4158"/>
        <v>0</v>
      </c>
      <c r="FR121" s="549">
        <f t="shared" ref="FR121:FS121" si="4159">SUM(FR454)</f>
        <v>0</v>
      </c>
      <c r="FS121" s="675">
        <f t="shared" si="4159"/>
        <v>-2000</v>
      </c>
      <c r="FT121" s="549">
        <f t="shared" ref="FT121:FU121" si="4160">SUM(FT454)</f>
        <v>0</v>
      </c>
      <c r="FU121" s="675">
        <f t="shared" si="4160"/>
        <v>0</v>
      </c>
      <c r="FV121" s="549">
        <f t="shared" ref="FV121:GK121" si="4161">SUM(FV454)</f>
        <v>0</v>
      </c>
      <c r="FW121" s="675">
        <f t="shared" si="4161"/>
        <v>0</v>
      </c>
      <c r="FX121" s="549">
        <f t="shared" si="4161"/>
        <v>0</v>
      </c>
      <c r="FY121" s="675">
        <f t="shared" si="4161"/>
        <v>0</v>
      </c>
      <c r="FZ121" s="549">
        <f t="shared" ref="FZ121:GI121" si="4162">SUM(FZ454)</f>
        <v>0</v>
      </c>
      <c r="GA121" s="675">
        <f t="shared" si="4162"/>
        <v>0</v>
      </c>
      <c r="GB121" s="549">
        <f t="shared" si="4162"/>
        <v>0</v>
      </c>
      <c r="GC121" s="675">
        <f t="shared" si="4162"/>
        <v>0</v>
      </c>
      <c r="GD121" s="549">
        <f t="shared" si="4162"/>
        <v>0</v>
      </c>
      <c r="GE121" s="675">
        <f t="shared" si="4162"/>
        <v>0</v>
      </c>
      <c r="GF121" s="549">
        <f t="shared" si="4162"/>
        <v>0</v>
      </c>
      <c r="GG121" s="675">
        <f t="shared" si="4162"/>
        <v>0</v>
      </c>
      <c r="GH121" s="549">
        <f t="shared" si="4162"/>
        <v>0</v>
      </c>
      <c r="GI121" s="675">
        <f t="shared" si="4162"/>
        <v>0</v>
      </c>
      <c r="GJ121" s="549">
        <f t="shared" si="4161"/>
        <v>0</v>
      </c>
      <c r="GK121" s="675">
        <f t="shared" si="4161"/>
        <v>0</v>
      </c>
      <c r="GL121" s="549">
        <f t="shared" ref="GL121:GM121" si="4163">SUM(GL454)</f>
        <v>0</v>
      </c>
      <c r="GM121" s="675">
        <f t="shared" si="4163"/>
        <v>0</v>
      </c>
      <c r="GN121" s="549">
        <f t="shared" ref="GN121:GO121" si="4164">SUM(GN454)</f>
        <v>0</v>
      </c>
      <c r="GO121" s="675">
        <f t="shared" si="4164"/>
        <v>0</v>
      </c>
      <c r="GP121" s="74">
        <f t="shared" si="4117"/>
        <v>0</v>
      </c>
      <c r="GQ121" s="675">
        <f t="shared" si="4117"/>
        <v>-6000</v>
      </c>
      <c r="GR121" s="74">
        <f t="shared" ref="GR121:HK121" si="4165">SUM(GR454)</f>
        <v>4000</v>
      </c>
      <c r="GS121" s="74">
        <f t="shared" si="4165"/>
        <v>4000</v>
      </c>
      <c r="GT121" s="74">
        <f t="shared" si="4165"/>
        <v>4000</v>
      </c>
      <c r="GU121" s="74">
        <f t="shared" si="4165"/>
        <v>1000</v>
      </c>
      <c r="GV121" s="74">
        <f t="shared" si="4165"/>
        <v>1000</v>
      </c>
      <c r="GW121" s="74">
        <f t="shared" si="4165"/>
        <v>1000</v>
      </c>
      <c r="GX121" s="74">
        <f t="shared" si="4165"/>
        <v>1000</v>
      </c>
      <c r="GY121" s="74">
        <f t="shared" si="4165"/>
        <v>1000</v>
      </c>
      <c r="GZ121" s="74">
        <f t="shared" si="4165"/>
        <v>1000</v>
      </c>
      <c r="HA121" s="74">
        <f t="shared" si="4165"/>
        <v>1000</v>
      </c>
      <c r="HB121" s="74">
        <f t="shared" si="4165"/>
        <v>1000</v>
      </c>
      <c r="HC121" s="74">
        <f t="shared" si="4165"/>
        <v>1000</v>
      </c>
      <c r="HD121" s="74">
        <f t="shared" si="4165"/>
        <v>1000</v>
      </c>
      <c r="HE121" s="74">
        <f t="shared" si="4165"/>
        <v>0</v>
      </c>
      <c r="HF121" s="74">
        <f t="shared" si="4165"/>
        <v>0</v>
      </c>
      <c r="HG121" s="74">
        <f t="shared" si="4165"/>
        <v>4000</v>
      </c>
      <c r="HH121" s="74">
        <f t="shared" si="4165"/>
        <v>1000</v>
      </c>
      <c r="HI121" s="74">
        <f t="shared" si="4165"/>
        <v>0</v>
      </c>
      <c r="HJ121" s="74">
        <f t="shared" si="4165"/>
        <v>1000</v>
      </c>
      <c r="HK121" s="74">
        <f t="shared" si="4165"/>
        <v>0</v>
      </c>
      <c r="HL121" s="74">
        <f t="shared" ref="HL121:JT121" si="4166">SUM(HL454)</f>
        <v>1000</v>
      </c>
      <c r="HM121" s="74">
        <f t="shared" si="4166"/>
        <v>0</v>
      </c>
      <c r="HN121" s="74">
        <f t="shared" si="4166"/>
        <v>1000</v>
      </c>
      <c r="HO121" s="74">
        <f t="shared" si="4166"/>
        <v>0</v>
      </c>
      <c r="HP121" s="74">
        <f t="shared" si="4166"/>
        <v>1000</v>
      </c>
      <c r="HQ121" s="74">
        <f t="shared" si="4166"/>
        <v>0</v>
      </c>
      <c r="HR121" s="74">
        <f t="shared" si="4166"/>
        <v>0</v>
      </c>
      <c r="HS121" s="74">
        <f t="shared" si="4166"/>
        <v>0</v>
      </c>
      <c r="HT121" s="74">
        <f t="shared" si="4166"/>
        <v>0</v>
      </c>
      <c r="HU121" s="74">
        <f t="shared" si="4166"/>
        <v>0</v>
      </c>
      <c r="HV121" s="74">
        <f t="shared" si="4166"/>
        <v>-1000</v>
      </c>
      <c r="HW121" s="74">
        <f t="shared" si="4166"/>
        <v>0</v>
      </c>
      <c r="HX121" s="74">
        <f t="shared" si="4166"/>
        <v>1000</v>
      </c>
      <c r="HY121" s="74">
        <f t="shared" si="4166"/>
        <v>0</v>
      </c>
      <c r="HZ121" s="74">
        <f t="shared" si="4166"/>
        <v>-1000</v>
      </c>
      <c r="IA121" s="74">
        <f t="shared" si="4166"/>
        <v>0</v>
      </c>
      <c r="IB121" s="74">
        <f t="shared" si="4166"/>
        <v>0</v>
      </c>
      <c r="IC121" s="74">
        <f t="shared" si="4166"/>
        <v>0</v>
      </c>
      <c r="ID121" s="74">
        <f t="shared" si="4166"/>
        <v>0</v>
      </c>
      <c r="IE121" s="792">
        <f t="shared" si="4166"/>
        <v>0</v>
      </c>
      <c r="IF121" s="841">
        <f t="shared" si="4166"/>
        <v>1282.81</v>
      </c>
      <c r="IG121" s="263">
        <f t="shared" si="4166"/>
        <v>1282.81</v>
      </c>
      <c r="IH121" s="842">
        <f t="shared" si="4166"/>
        <v>1282.81</v>
      </c>
      <c r="II121" s="155">
        <f t="shared" si="4166"/>
        <v>62.06</v>
      </c>
      <c r="IJ121" s="74">
        <f t="shared" si="4166"/>
        <v>62.06</v>
      </c>
      <c r="IK121" s="74">
        <f t="shared" si="4166"/>
        <v>62.06</v>
      </c>
      <c r="IL121" s="74">
        <f t="shared" si="4166"/>
        <v>0</v>
      </c>
      <c r="IM121" s="74">
        <f t="shared" si="4166"/>
        <v>0</v>
      </c>
      <c r="IN121" s="74">
        <f t="shared" si="4166"/>
        <v>0</v>
      </c>
      <c r="IO121" s="74">
        <f t="shared" si="4166"/>
        <v>0</v>
      </c>
      <c r="IP121" s="74">
        <f t="shared" si="4166"/>
        <v>0</v>
      </c>
      <c r="IQ121" s="74">
        <f t="shared" si="4166"/>
        <v>0</v>
      </c>
      <c r="IR121" s="74">
        <f t="shared" si="4166"/>
        <v>0</v>
      </c>
      <c r="IS121" s="74">
        <f t="shared" si="4166"/>
        <v>0</v>
      </c>
      <c r="IT121" s="74">
        <f t="shared" si="4166"/>
        <v>0</v>
      </c>
      <c r="IU121" s="74">
        <f t="shared" si="4166"/>
        <v>255.83999999999997</v>
      </c>
      <c r="IV121" s="74">
        <f t="shared" si="4166"/>
        <v>255.83999999999997</v>
      </c>
      <c r="IW121" s="74">
        <f t="shared" si="4166"/>
        <v>255.83999999999997</v>
      </c>
      <c r="IX121" s="74">
        <f t="shared" si="4166"/>
        <v>389.76</v>
      </c>
      <c r="IY121" s="74">
        <f t="shared" si="4166"/>
        <v>389.76</v>
      </c>
      <c r="IZ121" s="74">
        <f t="shared" si="4166"/>
        <v>389.76</v>
      </c>
      <c r="JA121" s="74">
        <f t="shared" si="4166"/>
        <v>0</v>
      </c>
      <c r="JB121" s="74">
        <f t="shared" si="4166"/>
        <v>0</v>
      </c>
      <c r="JC121" s="74">
        <f t="shared" si="4166"/>
        <v>0</v>
      </c>
      <c r="JD121" s="74">
        <f t="shared" si="4166"/>
        <v>323.03000000000009</v>
      </c>
      <c r="JE121" s="74">
        <f t="shared" si="4166"/>
        <v>323.03000000000009</v>
      </c>
      <c r="JF121" s="74">
        <f t="shared" si="4166"/>
        <v>323.03000000000009</v>
      </c>
      <c r="JG121" s="74">
        <f t="shared" si="4166"/>
        <v>0</v>
      </c>
      <c r="JH121" s="74">
        <f t="shared" si="4166"/>
        <v>0</v>
      </c>
      <c r="JI121" s="74">
        <f t="shared" si="4166"/>
        <v>0</v>
      </c>
      <c r="JJ121" s="74">
        <f t="shared" si="4166"/>
        <v>252.11999999999989</v>
      </c>
      <c r="JK121" s="74">
        <f t="shared" si="4166"/>
        <v>252.11999999999989</v>
      </c>
      <c r="JL121" s="74">
        <f t="shared" si="4166"/>
        <v>252.11999999999989</v>
      </c>
      <c r="JM121" s="74">
        <f t="shared" si="4166"/>
        <v>0</v>
      </c>
      <c r="JN121" s="74">
        <f t="shared" si="4166"/>
        <v>0</v>
      </c>
      <c r="JO121" s="74">
        <f t="shared" si="4166"/>
        <v>0</v>
      </c>
      <c r="JP121" s="74">
        <f t="shared" si="4166"/>
        <v>0</v>
      </c>
      <c r="JQ121" s="74">
        <f t="shared" si="4166"/>
        <v>0</v>
      </c>
      <c r="JR121" s="74">
        <f t="shared" si="4166"/>
        <v>0</v>
      </c>
      <c r="JS121" s="74">
        <f t="shared" si="4166"/>
        <v>2717.19</v>
      </c>
      <c r="JT121" s="102">
        <f t="shared" si="4166"/>
        <v>2717.19</v>
      </c>
      <c r="JU121" s="671"/>
      <c r="JV121" s="492"/>
      <c r="JW121" s="490"/>
      <c r="JX121" s="549">
        <f t="shared" si="4092"/>
        <v>4000</v>
      </c>
      <c r="JY121" s="549">
        <f t="shared" si="4092"/>
        <v>0</v>
      </c>
      <c r="JZ121" s="581">
        <f t="shared" si="2110"/>
        <v>0</v>
      </c>
      <c r="KA121" s="581">
        <f t="shared" si="2111"/>
        <v>-6000</v>
      </c>
      <c r="KB121" s="549">
        <f t="shared" si="4092"/>
        <v>4000</v>
      </c>
      <c r="KC121" s="709">
        <f t="shared" si="2079"/>
        <v>0</v>
      </c>
      <c r="KD121" s="36"/>
      <c r="KE121" s="36"/>
      <c r="KF121" s="36"/>
      <c r="KG121" s="36"/>
      <c r="KH121" s="36"/>
      <c r="KI121" s="36"/>
      <c r="KJ121" s="36"/>
      <c r="KK121" s="36"/>
    </row>
    <row r="122" spans="1:297" s="8" customFormat="1">
      <c r="A122" s="75">
        <v>224</v>
      </c>
      <c r="B122" s="72" t="s">
        <v>144</v>
      </c>
      <c r="C122" s="74">
        <f>SUM(C455)</f>
        <v>2000</v>
      </c>
      <c r="D122" s="549">
        <f t="shared" ref="D122:E122" si="4167">SUM(D455)</f>
        <v>0</v>
      </c>
      <c r="E122" s="675">
        <f t="shared" si="4167"/>
        <v>0</v>
      </c>
      <c r="F122" s="549">
        <f t="shared" ref="F122:G122" si="4168">SUM(F455)</f>
        <v>0</v>
      </c>
      <c r="G122" s="675">
        <f t="shared" si="4168"/>
        <v>0</v>
      </c>
      <c r="H122" s="549">
        <f t="shared" ref="H122:AS122" si="4169">SUM(H455)</f>
        <v>0</v>
      </c>
      <c r="I122" s="675">
        <f t="shared" si="4169"/>
        <v>0</v>
      </c>
      <c r="J122" s="549">
        <f t="shared" si="4169"/>
        <v>0</v>
      </c>
      <c r="K122" s="675">
        <f t="shared" si="4169"/>
        <v>0</v>
      </c>
      <c r="L122" s="549">
        <f t="shared" si="4169"/>
        <v>0</v>
      </c>
      <c r="M122" s="675">
        <f t="shared" si="4169"/>
        <v>0</v>
      </c>
      <c r="N122" s="549">
        <f t="shared" si="4169"/>
        <v>0</v>
      </c>
      <c r="O122" s="675">
        <f t="shared" si="4169"/>
        <v>0</v>
      </c>
      <c r="P122" s="549">
        <f t="shared" si="4169"/>
        <v>0</v>
      </c>
      <c r="Q122" s="675">
        <f t="shared" si="4169"/>
        <v>0</v>
      </c>
      <c r="R122" s="549">
        <f t="shared" si="4169"/>
        <v>0</v>
      </c>
      <c r="S122" s="675">
        <f t="shared" si="4169"/>
        <v>0</v>
      </c>
      <c r="T122" s="549">
        <f t="shared" si="4169"/>
        <v>0</v>
      </c>
      <c r="U122" s="675">
        <f t="shared" si="4169"/>
        <v>0</v>
      </c>
      <c r="V122" s="549">
        <f t="shared" si="4169"/>
        <v>0</v>
      </c>
      <c r="W122" s="675">
        <f t="shared" si="4169"/>
        <v>0</v>
      </c>
      <c r="X122" s="549">
        <f t="shared" si="4169"/>
        <v>0</v>
      </c>
      <c r="Y122" s="675">
        <f t="shared" si="4169"/>
        <v>0</v>
      </c>
      <c r="Z122" s="549">
        <f t="shared" si="4169"/>
        <v>0</v>
      </c>
      <c r="AA122" s="675">
        <f t="shared" si="4169"/>
        <v>0</v>
      </c>
      <c r="AB122" s="549">
        <f t="shared" si="4169"/>
        <v>0</v>
      </c>
      <c r="AC122" s="675">
        <f t="shared" si="4169"/>
        <v>0</v>
      </c>
      <c r="AD122" s="549">
        <f t="shared" si="4169"/>
        <v>0</v>
      </c>
      <c r="AE122" s="675">
        <f t="shared" si="4169"/>
        <v>0</v>
      </c>
      <c r="AF122" s="549">
        <f t="shared" si="4169"/>
        <v>0</v>
      </c>
      <c r="AG122" s="675">
        <f t="shared" si="4169"/>
        <v>0</v>
      </c>
      <c r="AH122" s="549">
        <f t="shared" si="4169"/>
        <v>0</v>
      </c>
      <c r="AI122" s="675">
        <f t="shared" si="4169"/>
        <v>0</v>
      </c>
      <c r="AJ122" s="549">
        <f t="shared" si="4169"/>
        <v>0</v>
      </c>
      <c r="AK122" s="675">
        <f t="shared" si="4169"/>
        <v>0</v>
      </c>
      <c r="AL122" s="549">
        <f t="shared" si="4169"/>
        <v>0</v>
      </c>
      <c r="AM122" s="675">
        <f t="shared" si="4169"/>
        <v>0</v>
      </c>
      <c r="AN122" s="549">
        <f t="shared" si="4169"/>
        <v>0</v>
      </c>
      <c r="AO122" s="675">
        <f t="shared" si="4169"/>
        <v>0</v>
      </c>
      <c r="AP122" s="549">
        <f t="shared" si="4169"/>
        <v>0</v>
      </c>
      <c r="AQ122" s="675">
        <f t="shared" si="4169"/>
        <v>0</v>
      </c>
      <c r="AR122" s="549">
        <f t="shared" si="4169"/>
        <v>0</v>
      </c>
      <c r="AS122" s="675">
        <f t="shared" si="4169"/>
        <v>0</v>
      </c>
      <c r="AT122" s="549">
        <f t="shared" ref="AT122:AU122" si="4170">SUM(AT455)</f>
        <v>0</v>
      </c>
      <c r="AU122" s="675">
        <f t="shared" si="4170"/>
        <v>0</v>
      </c>
      <c r="AV122" s="549">
        <f t="shared" ref="AV122:AW122" si="4171">SUM(AV455)</f>
        <v>0</v>
      </c>
      <c r="AW122" s="675">
        <f t="shared" si="4171"/>
        <v>0</v>
      </c>
      <c r="AX122" s="549">
        <f t="shared" ref="AX122:AY122" si="4172">SUM(AX455)</f>
        <v>0</v>
      </c>
      <c r="AY122" s="675">
        <f t="shared" si="4172"/>
        <v>0</v>
      </c>
      <c r="AZ122" s="549">
        <f t="shared" ref="AZ122:BA122" si="4173">SUM(AZ455)</f>
        <v>0</v>
      </c>
      <c r="BA122" s="675">
        <f t="shared" si="4173"/>
        <v>0</v>
      </c>
      <c r="BB122" s="549">
        <f t="shared" ref="BB122:BC122" si="4174">SUM(BB455)</f>
        <v>0</v>
      </c>
      <c r="BC122" s="675">
        <f t="shared" si="4174"/>
        <v>0</v>
      </c>
      <c r="BD122" s="549">
        <f t="shared" ref="BD122:BE122" si="4175">SUM(BD455)</f>
        <v>0</v>
      </c>
      <c r="BE122" s="675">
        <f t="shared" si="4175"/>
        <v>0</v>
      </c>
      <c r="BF122" s="549">
        <f t="shared" ref="BF122:BG122" si="4176">SUM(BF455)</f>
        <v>0</v>
      </c>
      <c r="BG122" s="675">
        <f t="shared" si="4176"/>
        <v>0</v>
      </c>
      <c r="BH122" s="549">
        <f t="shared" ref="BH122:BI122" si="4177">SUM(BH455)</f>
        <v>0</v>
      </c>
      <c r="BI122" s="675">
        <f t="shared" si="4177"/>
        <v>0</v>
      </c>
      <c r="BJ122" s="549">
        <f t="shared" ref="BJ122:BK122" si="4178">SUM(BJ455)</f>
        <v>0</v>
      </c>
      <c r="BK122" s="675">
        <f t="shared" si="4178"/>
        <v>0</v>
      </c>
      <c r="BL122" s="549">
        <f t="shared" ref="BL122:BS122" si="4179">SUM(BL455)</f>
        <v>0</v>
      </c>
      <c r="BM122" s="675">
        <f t="shared" si="4179"/>
        <v>0</v>
      </c>
      <c r="BN122" s="549">
        <f t="shared" si="4179"/>
        <v>0</v>
      </c>
      <c r="BO122" s="675">
        <f t="shared" si="4179"/>
        <v>0</v>
      </c>
      <c r="BP122" s="549">
        <f t="shared" si="4179"/>
        <v>0</v>
      </c>
      <c r="BQ122" s="675">
        <f t="shared" si="4179"/>
        <v>0</v>
      </c>
      <c r="BR122" s="549">
        <f t="shared" si="4179"/>
        <v>0</v>
      </c>
      <c r="BS122" s="675">
        <f t="shared" si="4179"/>
        <v>0</v>
      </c>
      <c r="BT122" s="549">
        <f t="shared" ref="BT122:BU122" si="4180">SUM(BT455)</f>
        <v>0</v>
      </c>
      <c r="BU122" s="675">
        <f t="shared" si="4180"/>
        <v>0</v>
      </c>
      <c r="BV122" s="549">
        <f t="shared" ref="BV122:BW122" si="4181">SUM(BV455)</f>
        <v>0</v>
      </c>
      <c r="BW122" s="675">
        <f t="shared" si="4181"/>
        <v>0</v>
      </c>
      <c r="BX122" s="549">
        <f t="shared" ref="BX122:BY122" si="4182">SUM(BX455)</f>
        <v>0</v>
      </c>
      <c r="BY122" s="675">
        <f t="shared" si="4182"/>
        <v>0</v>
      </c>
      <c r="BZ122" s="549">
        <f t="shared" ref="BZ122:CA122" si="4183">SUM(BZ455)</f>
        <v>0</v>
      </c>
      <c r="CA122" s="675">
        <f t="shared" si="4183"/>
        <v>0</v>
      </c>
      <c r="CB122" s="549">
        <f t="shared" ref="CB122:CE122" si="4184">SUM(CB455)</f>
        <v>0</v>
      </c>
      <c r="CC122" s="675">
        <f t="shared" si="4184"/>
        <v>0</v>
      </c>
      <c r="CD122" s="549">
        <f t="shared" si="4184"/>
        <v>0</v>
      </c>
      <c r="CE122" s="675">
        <f t="shared" si="4184"/>
        <v>0</v>
      </c>
      <c r="CF122" s="549">
        <f t="shared" ref="CF122:CG122" si="4185">SUM(CF455)</f>
        <v>0</v>
      </c>
      <c r="CG122" s="675">
        <f t="shared" si="4185"/>
        <v>0</v>
      </c>
      <c r="CH122" s="549">
        <f t="shared" ref="CH122:CQ122" si="4186">SUM(CH455)</f>
        <v>0</v>
      </c>
      <c r="CI122" s="675">
        <f t="shared" si="4186"/>
        <v>0</v>
      </c>
      <c r="CJ122" s="549">
        <f t="shared" si="4186"/>
        <v>0</v>
      </c>
      <c r="CK122" s="675">
        <f t="shared" si="4186"/>
        <v>0</v>
      </c>
      <c r="CL122" s="549">
        <f t="shared" si="4186"/>
        <v>0</v>
      </c>
      <c r="CM122" s="675">
        <f t="shared" si="4186"/>
        <v>0</v>
      </c>
      <c r="CN122" s="549">
        <f t="shared" si="4186"/>
        <v>0</v>
      </c>
      <c r="CO122" s="675">
        <f t="shared" si="4186"/>
        <v>0</v>
      </c>
      <c r="CP122" s="549">
        <f t="shared" si="4186"/>
        <v>0</v>
      </c>
      <c r="CQ122" s="675">
        <f t="shared" si="4186"/>
        <v>0</v>
      </c>
      <c r="CR122" s="549">
        <f t="shared" si="4065"/>
        <v>0</v>
      </c>
      <c r="CS122" s="675">
        <f t="shared" si="4065"/>
        <v>0</v>
      </c>
      <c r="CT122" s="549">
        <f t="shared" si="4065"/>
        <v>0</v>
      </c>
      <c r="CU122" s="675">
        <f t="shared" si="4065"/>
        <v>0</v>
      </c>
      <c r="CV122" s="549">
        <f t="shared" si="4065"/>
        <v>0</v>
      </c>
      <c r="CW122" s="675">
        <f t="shared" si="4065"/>
        <v>0</v>
      </c>
      <c r="CX122" s="549">
        <f t="shared" si="4065"/>
        <v>0</v>
      </c>
      <c r="CY122" s="675">
        <f t="shared" si="4065"/>
        <v>0</v>
      </c>
      <c r="CZ122" s="549">
        <f t="shared" si="4066"/>
        <v>0</v>
      </c>
      <c r="DA122" s="675">
        <f t="shared" si="4066"/>
        <v>0</v>
      </c>
      <c r="DB122" s="549">
        <f t="shared" si="4066"/>
        <v>0</v>
      </c>
      <c r="DC122" s="675">
        <f t="shared" si="4066"/>
        <v>0</v>
      </c>
      <c r="DD122" s="549">
        <f t="shared" si="4067"/>
        <v>0</v>
      </c>
      <c r="DE122" s="675">
        <f t="shared" si="4067"/>
        <v>0</v>
      </c>
      <c r="DF122" s="549">
        <f t="shared" ref="DF122:DG122" si="4187">SUM(DF455)</f>
        <v>0</v>
      </c>
      <c r="DG122" s="675">
        <f t="shared" si="4187"/>
        <v>0</v>
      </c>
      <c r="DH122" s="549">
        <f t="shared" si="4068"/>
        <v>0</v>
      </c>
      <c r="DI122" s="675">
        <f t="shared" si="4068"/>
        <v>0</v>
      </c>
      <c r="DJ122" s="549">
        <f t="shared" si="4069"/>
        <v>0</v>
      </c>
      <c r="DK122" s="675">
        <f t="shared" si="4069"/>
        <v>0</v>
      </c>
      <c r="DL122" s="549">
        <f t="shared" si="4069"/>
        <v>0</v>
      </c>
      <c r="DM122" s="675">
        <f t="shared" si="4069"/>
        <v>0</v>
      </c>
      <c r="DN122" s="549">
        <f t="shared" si="4070"/>
        <v>0</v>
      </c>
      <c r="DO122" s="675">
        <f t="shared" si="4070"/>
        <v>0</v>
      </c>
      <c r="DP122" s="549">
        <f t="shared" ref="DP122:DU122" si="4188">SUM(DP455)</f>
        <v>0</v>
      </c>
      <c r="DQ122" s="675">
        <f t="shared" si="4188"/>
        <v>0</v>
      </c>
      <c r="DR122" s="549">
        <f t="shared" si="4188"/>
        <v>0</v>
      </c>
      <c r="DS122" s="675">
        <f t="shared" si="4188"/>
        <v>0</v>
      </c>
      <c r="DT122" s="549">
        <f t="shared" si="4188"/>
        <v>0</v>
      </c>
      <c r="DU122" s="675">
        <f t="shared" si="4188"/>
        <v>0</v>
      </c>
      <c r="DV122" s="549">
        <f t="shared" si="4072"/>
        <v>0</v>
      </c>
      <c r="DW122" s="675">
        <f t="shared" si="4072"/>
        <v>0</v>
      </c>
      <c r="DX122" s="549">
        <f t="shared" si="4113"/>
        <v>0</v>
      </c>
      <c r="DY122" s="675">
        <f t="shared" si="4113"/>
        <v>0</v>
      </c>
      <c r="DZ122" s="549">
        <f t="shared" si="4113"/>
        <v>0</v>
      </c>
      <c r="EA122" s="675">
        <f t="shared" si="4113"/>
        <v>0</v>
      </c>
      <c r="EB122" s="549">
        <f t="shared" ref="EB122:EM122" si="4189">SUM(EB455)</f>
        <v>0</v>
      </c>
      <c r="EC122" s="675">
        <f t="shared" si="4189"/>
        <v>0</v>
      </c>
      <c r="ED122" s="549">
        <f t="shared" si="4189"/>
        <v>0</v>
      </c>
      <c r="EE122" s="675">
        <f t="shared" si="4189"/>
        <v>0</v>
      </c>
      <c r="EF122" s="549">
        <f t="shared" si="4189"/>
        <v>0</v>
      </c>
      <c r="EG122" s="675">
        <f t="shared" si="4189"/>
        <v>0</v>
      </c>
      <c r="EH122" s="549">
        <f t="shared" si="4189"/>
        <v>0</v>
      </c>
      <c r="EI122" s="675">
        <f t="shared" si="4189"/>
        <v>0</v>
      </c>
      <c r="EJ122" s="549">
        <f t="shared" si="4189"/>
        <v>0</v>
      </c>
      <c r="EK122" s="675">
        <f t="shared" si="4189"/>
        <v>0</v>
      </c>
      <c r="EL122" s="549">
        <f t="shared" si="4189"/>
        <v>0</v>
      </c>
      <c r="EM122" s="675">
        <f t="shared" si="4189"/>
        <v>0</v>
      </c>
      <c r="EN122" s="549">
        <f t="shared" si="4075"/>
        <v>0</v>
      </c>
      <c r="EO122" s="675">
        <f t="shared" si="4075"/>
        <v>0</v>
      </c>
      <c r="EP122" s="549">
        <f t="shared" ref="EP122:EU122" si="4190">SUM(EP455)</f>
        <v>0</v>
      </c>
      <c r="EQ122" s="675">
        <f t="shared" si="4190"/>
        <v>0</v>
      </c>
      <c r="ER122" s="549">
        <f t="shared" si="4190"/>
        <v>0</v>
      </c>
      <c r="ES122" s="675">
        <f t="shared" si="4190"/>
        <v>0</v>
      </c>
      <c r="ET122" s="549">
        <f t="shared" si="4190"/>
        <v>0</v>
      </c>
      <c r="EU122" s="675">
        <f t="shared" si="4190"/>
        <v>0</v>
      </c>
      <c r="EV122" s="549">
        <f t="shared" si="4116"/>
        <v>0</v>
      </c>
      <c r="EW122" s="675">
        <f t="shared" si="4116"/>
        <v>0</v>
      </c>
      <c r="EX122" s="549">
        <f t="shared" ref="EX122:FE123" si="4191">SUM(EX455)</f>
        <v>0</v>
      </c>
      <c r="EY122" s="675">
        <f t="shared" si="4191"/>
        <v>0</v>
      </c>
      <c r="EZ122" s="549">
        <f t="shared" si="4191"/>
        <v>0</v>
      </c>
      <c r="FA122" s="675">
        <f t="shared" si="4191"/>
        <v>0</v>
      </c>
      <c r="FB122" s="549">
        <f t="shared" si="4191"/>
        <v>0</v>
      </c>
      <c r="FC122" s="675">
        <f t="shared" si="4191"/>
        <v>0</v>
      </c>
      <c r="FD122" s="549">
        <f t="shared" si="4191"/>
        <v>0</v>
      </c>
      <c r="FE122" s="675">
        <f t="shared" si="4191"/>
        <v>0</v>
      </c>
      <c r="FF122" s="549">
        <f t="shared" ref="FF122:FG122" si="4192">SUM(FF455)</f>
        <v>0</v>
      </c>
      <c r="FG122" s="675">
        <f t="shared" si="4192"/>
        <v>0</v>
      </c>
      <c r="FH122" s="549">
        <f t="shared" ref="FH122:FI122" si="4193">SUM(FH455)</f>
        <v>0</v>
      </c>
      <c r="FI122" s="675">
        <f t="shared" si="4193"/>
        <v>0</v>
      </c>
      <c r="FJ122" s="549">
        <f t="shared" ref="FJ122:FK122" si="4194">SUM(FJ455)</f>
        <v>0</v>
      </c>
      <c r="FK122" s="675">
        <f t="shared" si="4194"/>
        <v>0</v>
      </c>
      <c r="FL122" s="549">
        <f t="shared" ref="FL122:FM122" si="4195">SUM(FL455)</f>
        <v>0</v>
      </c>
      <c r="FM122" s="675">
        <f t="shared" si="4195"/>
        <v>0</v>
      </c>
      <c r="FN122" s="549">
        <f t="shared" ref="FN122:FO122" si="4196">SUM(FN455)</f>
        <v>0</v>
      </c>
      <c r="FO122" s="675">
        <f t="shared" si="4196"/>
        <v>0</v>
      </c>
      <c r="FP122" s="549">
        <f t="shared" ref="FP122:FQ122" si="4197">SUM(FP455)</f>
        <v>0</v>
      </c>
      <c r="FQ122" s="675">
        <f t="shared" si="4197"/>
        <v>0</v>
      </c>
      <c r="FR122" s="549">
        <f t="shared" ref="FR122:FS122" si="4198">SUM(FR455)</f>
        <v>0</v>
      </c>
      <c r="FS122" s="675">
        <f t="shared" si="4198"/>
        <v>0</v>
      </c>
      <c r="FT122" s="549">
        <f t="shared" ref="FT122:FU122" si="4199">SUM(FT455)</f>
        <v>0</v>
      </c>
      <c r="FU122" s="675">
        <f t="shared" si="4199"/>
        <v>0</v>
      </c>
      <c r="FV122" s="549">
        <f t="shared" ref="FV122:GK122" si="4200">SUM(FV455)</f>
        <v>0</v>
      </c>
      <c r="FW122" s="675">
        <f t="shared" si="4200"/>
        <v>0</v>
      </c>
      <c r="FX122" s="549">
        <f t="shared" si="4200"/>
        <v>0</v>
      </c>
      <c r="FY122" s="675">
        <f t="shared" si="4200"/>
        <v>0</v>
      </c>
      <c r="FZ122" s="549">
        <f t="shared" ref="FZ122:GI122" si="4201">SUM(FZ455)</f>
        <v>0</v>
      </c>
      <c r="GA122" s="675">
        <f t="shared" si="4201"/>
        <v>0</v>
      </c>
      <c r="GB122" s="549">
        <f t="shared" si="4201"/>
        <v>0</v>
      </c>
      <c r="GC122" s="675">
        <f t="shared" si="4201"/>
        <v>0</v>
      </c>
      <c r="GD122" s="549">
        <f t="shared" si="4201"/>
        <v>0</v>
      </c>
      <c r="GE122" s="675">
        <f t="shared" si="4201"/>
        <v>0</v>
      </c>
      <c r="GF122" s="549">
        <f t="shared" si="4201"/>
        <v>0</v>
      </c>
      <c r="GG122" s="675">
        <f t="shared" si="4201"/>
        <v>0</v>
      </c>
      <c r="GH122" s="549">
        <f t="shared" si="4201"/>
        <v>0</v>
      </c>
      <c r="GI122" s="675">
        <f t="shared" si="4201"/>
        <v>0</v>
      </c>
      <c r="GJ122" s="549">
        <f t="shared" si="4200"/>
        <v>0</v>
      </c>
      <c r="GK122" s="675">
        <f t="shared" si="4200"/>
        <v>0</v>
      </c>
      <c r="GL122" s="549">
        <f t="shared" ref="GL122:GM122" si="4202">SUM(GL455)</f>
        <v>0</v>
      </c>
      <c r="GM122" s="675">
        <f t="shared" si="4202"/>
        <v>0</v>
      </c>
      <c r="GN122" s="549">
        <f t="shared" ref="GN122:GO122" si="4203">SUM(GN455)</f>
        <v>0</v>
      </c>
      <c r="GO122" s="675">
        <f t="shared" si="4203"/>
        <v>0</v>
      </c>
      <c r="GP122" s="74">
        <f t="shared" ref="GP122:HK122" si="4204">SUM(GP455)</f>
        <v>0</v>
      </c>
      <c r="GQ122" s="675">
        <f t="shared" si="4204"/>
        <v>0</v>
      </c>
      <c r="GR122" s="74">
        <f t="shared" si="4204"/>
        <v>2000</v>
      </c>
      <c r="GS122" s="74">
        <f t="shared" si="4204"/>
        <v>2000</v>
      </c>
      <c r="GT122" s="74">
        <f t="shared" si="4204"/>
        <v>2000</v>
      </c>
      <c r="GU122" s="74">
        <f t="shared" si="4204"/>
        <v>0</v>
      </c>
      <c r="GV122" s="74">
        <f t="shared" si="4204"/>
        <v>2000</v>
      </c>
      <c r="GW122" s="74">
        <f t="shared" si="4204"/>
        <v>0</v>
      </c>
      <c r="GX122" s="74">
        <f t="shared" si="4204"/>
        <v>0</v>
      </c>
      <c r="GY122" s="74">
        <f t="shared" si="4204"/>
        <v>0</v>
      </c>
      <c r="GZ122" s="74">
        <f t="shared" si="4204"/>
        <v>0</v>
      </c>
      <c r="HA122" s="74">
        <f t="shared" si="4204"/>
        <v>0</v>
      </c>
      <c r="HB122" s="74">
        <f t="shared" si="4204"/>
        <v>0</v>
      </c>
      <c r="HC122" s="74">
        <f t="shared" si="4204"/>
        <v>0</v>
      </c>
      <c r="HD122" s="74">
        <f t="shared" si="4204"/>
        <v>0</v>
      </c>
      <c r="HE122" s="74">
        <f t="shared" si="4204"/>
        <v>0</v>
      </c>
      <c r="HF122" s="74">
        <f t="shared" si="4204"/>
        <v>0</v>
      </c>
      <c r="HG122" s="74">
        <f t="shared" si="4204"/>
        <v>2000</v>
      </c>
      <c r="HH122" s="74">
        <f t="shared" si="4204"/>
        <v>0</v>
      </c>
      <c r="HI122" s="74">
        <f t="shared" si="4204"/>
        <v>0</v>
      </c>
      <c r="HJ122" s="74">
        <f t="shared" si="4204"/>
        <v>2000</v>
      </c>
      <c r="HK122" s="74">
        <f t="shared" si="4204"/>
        <v>0</v>
      </c>
      <c r="HL122" s="74">
        <f t="shared" ref="HL122:JT122" si="4205">SUM(HL455)</f>
        <v>0</v>
      </c>
      <c r="HM122" s="74">
        <f t="shared" si="4205"/>
        <v>0</v>
      </c>
      <c r="HN122" s="74">
        <f t="shared" si="4205"/>
        <v>0</v>
      </c>
      <c r="HO122" s="74">
        <f t="shared" si="4205"/>
        <v>0</v>
      </c>
      <c r="HP122" s="74">
        <f t="shared" si="4205"/>
        <v>0</v>
      </c>
      <c r="HQ122" s="74">
        <f t="shared" si="4205"/>
        <v>0</v>
      </c>
      <c r="HR122" s="74">
        <f t="shared" si="4205"/>
        <v>0</v>
      </c>
      <c r="HS122" s="74">
        <f t="shared" si="4205"/>
        <v>0</v>
      </c>
      <c r="HT122" s="74">
        <f t="shared" si="4205"/>
        <v>0</v>
      </c>
      <c r="HU122" s="74">
        <f t="shared" si="4205"/>
        <v>0</v>
      </c>
      <c r="HV122" s="74">
        <f t="shared" si="4205"/>
        <v>0</v>
      </c>
      <c r="HW122" s="74">
        <f t="shared" si="4205"/>
        <v>0</v>
      </c>
      <c r="HX122" s="74">
        <f t="shared" si="4205"/>
        <v>0</v>
      </c>
      <c r="HY122" s="74">
        <f t="shared" si="4205"/>
        <v>0</v>
      </c>
      <c r="HZ122" s="74">
        <f t="shared" si="4205"/>
        <v>0</v>
      </c>
      <c r="IA122" s="74">
        <f t="shared" si="4205"/>
        <v>0</v>
      </c>
      <c r="IB122" s="74">
        <f t="shared" si="4205"/>
        <v>0</v>
      </c>
      <c r="IC122" s="74">
        <f t="shared" si="4205"/>
        <v>0</v>
      </c>
      <c r="ID122" s="74">
        <f t="shared" si="4205"/>
        <v>0</v>
      </c>
      <c r="IE122" s="792">
        <f t="shared" si="4205"/>
        <v>0</v>
      </c>
      <c r="IF122" s="841">
        <f t="shared" si="4205"/>
        <v>1382.18</v>
      </c>
      <c r="IG122" s="263">
        <f t="shared" si="4205"/>
        <v>1382.18</v>
      </c>
      <c r="IH122" s="842">
        <f t="shared" si="4205"/>
        <v>1382.18</v>
      </c>
      <c r="II122" s="155">
        <f t="shared" si="4205"/>
        <v>0</v>
      </c>
      <c r="IJ122" s="74">
        <f t="shared" si="4205"/>
        <v>0</v>
      </c>
      <c r="IK122" s="74">
        <f t="shared" si="4205"/>
        <v>0</v>
      </c>
      <c r="IL122" s="74">
        <f t="shared" si="4205"/>
        <v>8.8000000000000007</v>
      </c>
      <c r="IM122" s="74">
        <f t="shared" si="4205"/>
        <v>8.8000000000000007</v>
      </c>
      <c r="IN122" s="74">
        <f t="shared" si="4205"/>
        <v>8.8000000000000007</v>
      </c>
      <c r="IO122" s="74">
        <f t="shared" si="4205"/>
        <v>293.09999999999997</v>
      </c>
      <c r="IP122" s="74">
        <f t="shared" si="4205"/>
        <v>293.09999999999997</v>
      </c>
      <c r="IQ122" s="74">
        <f t="shared" si="4205"/>
        <v>293.09999999999997</v>
      </c>
      <c r="IR122" s="74">
        <f t="shared" si="4205"/>
        <v>0</v>
      </c>
      <c r="IS122" s="74">
        <f t="shared" si="4205"/>
        <v>0</v>
      </c>
      <c r="IT122" s="74">
        <f t="shared" si="4205"/>
        <v>0</v>
      </c>
      <c r="IU122" s="74">
        <f t="shared" si="4205"/>
        <v>311.67000000000007</v>
      </c>
      <c r="IV122" s="74">
        <f t="shared" si="4205"/>
        <v>311.67000000000007</v>
      </c>
      <c r="IW122" s="74">
        <f t="shared" si="4205"/>
        <v>311.67000000000007</v>
      </c>
      <c r="IX122" s="74">
        <f t="shared" si="4205"/>
        <v>84.13</v>
      </c>
      <c r="IY122" s="74">
        <f t="shared" si="4205"/>
        <v>84.13</v>
      </c>
      <c r="IZ122" s="74">
        <f t="shared" si="4205"/>
        <v>84.13</v>
      </c>
      <c r="JA122" s="74">
        <f t="shared" si="4205"/>
        <v>60.279999999999973</v>
      </c>
      <c r="JB122" s="74">
        <f t="shared" si="4205"/>
        <v>60.279999999999973</v>
      </c>
      <c r="JC122" s="74">
        <f t="shared" si="4205"/>
        <v>60.279999999999973</v>
      </c>
      <c r="JD122" s="74">
        <f t="shared" si="4205"/>
        <v>196.06999999999994</v>
      </c>
      <c r="JE122" s="74">
        <f t="shared" si="4205"/>
        <v>196.06999999999994</v>
      </c>
      <c r="JF122" s="74">
        <f t="shared" si="4205"/>
        <v>196.06999999999994</v>
      </c>
      <c r="JG122" s="74">
        <f t="shared" si="4205"/>
        <v>94</v>
      </c>
      <c r="JH122" s="74">
        <f t="shared" si="4205"/>
        <v>94</v>
      </c>
      <c r="JI122" s="74">
        <f t="shared" si="4205"/>
        <v>94</v>
      </c>
      <c r="JJ122" s="74">
        <f t="shared" si="4205"/>
        <v>334.13000000000011</v>
      </c>
      <c r="JK122" s="74">
        <f t="shared" si="4205"/>
        <v>334.13000000000011</v>
      </c>
      <c r="JL122" s="74">
        <f t="shared" si="4205"/>
        <v>334.13000000000011</v>
      </c>
      <c r="JM122" s="74">
        <f t="shared" si="4205"/>
        <v>0</v>
      </c>
      <c r="JN122" s="74">
        <f t="shared" si="4205"/>
        <v>0</v>
      </c>
      <c r="JO122" s="74">
        <f t="shared" si="4205"/>
        <v>0</v>
      </c>
      <c r="JP122" s="74">
        <f t="shared" si="4205"/>
        <v>0</v>
      </c>
      <c r="JQ122" s="74">
        <f t="shared" si="4205"/>
        <v>0</v>
      </c>
      <c r="JR122" s="74">
        <f t="shared" si="4205"/>
        <v>0</v>
      </c>
      <c r="JS122" s="74">
        <f t="shared" si="4205"/>
        <v>617.81999999999994</v>
      </c>
      <c r="JT122" s="102">
        <f t="shared" si="4205"/>
        <v>617.81999999999994</v>
      </c>
      <c r="JU122" s="671"/>
      <c r="JV122" s="492"/>
      <c r="JW122" s="490"/>
      <c r="JX122" s="549">
        <f t="shared" si="4092"/>
        <v>2000</v>
      </c>
      <c r="JY122" s="549">
        <f t="shared" si="4092"/>
        <v>0</v>
      </c>
      <c r="JZ122" s="581">
        <f t="shared" si="2110"/>
        <v>0</v>
      </c>
      <c r="KA122" s="581">
        <f t="shared" si="2111"/>
        <v>0</v>
      </c>
      <c r="KB122" s="549">
        <f t="shared" si="4092"/>
        <v>2000</v>
      </c>
      <c r="KC122" s="709">
        <f t="shared" si="2079"/>
        <v>0</v>
      </c>
      <c r="KD122" s="36"/>
      <c r="KE122" s="36"/>
      <c r="KF122" s="36"/>
      <c r="KG122" s="36"/>
      <c r="KH122" s="36"/>
      <c r="KI122" s="36"/>
      <c r="KJ122" s="36"/>
      <c r="KK122" s="36"/>
    </row>
    <row r="123" spans="1:297" s="8" customFormat="1">
      <c r="A123" s="75" t="s">
        <v>145</v>
      </c>
      <c r="B123" s="72" t="s">
        <v>146</v>
      </c>
      <c r="C123" s="74">
        <f>SUM(C456)</f>
        <v>5000</v>
      </c>
      <c r="D123" s="549">
        <f t="shared" ref="D123:E123" si="4206">SUM(D456)</f>
        <v>0</v>
      </c>
      <c r="E123" s="675">
        <f t="shared" si="4206"/>
        <v>0</v>
      </c>
      <c r="F123" s="549">
        <f t="shared" ref="F123:G123" si="4207">SUM(F456)</f>
        <v>0</v>
      </c>
      <c r="G123" s="675">
        <f t="shared" si="4207"/>
        <v>0</v>
      </c>
      <c r="H123" s="549">
        <f t="shared" ref="H123:AS123" si="4208">SUM(H456)</f>
        <v>0</v>
      </c>
      <c r="I123" s="675">
        <f t="shared" si="4208"/>
        <v>0</v>
      </c>
      <c r="J123" s="549">
        <f t="shared" si="4208"/>
        <v>0</v>
      </c>
      <c r="K123" s="675">
        <f t="shared" si="4208"/>
        <v>0</v>
      </c>
      <c r="L123" s="549">
        <f t="shared" si="4208"/>
        <v>0</v>
      </c>
      <c r="M123" s="675">
        <f t="shared" si="4208"/>
        <v>0</v>
      </c>
      <c r="N123" s="549">
        <f t="shared" si="4208"/>
        <v>0</v>
      </c>
      <c r="O123" s="675">
        <f t="shared" si="4208"/>
        <v>0</v>
      </c>
      <c r="P123" s="549">
        <f t="shared" si="4208"/>
        <v>0</v>
      </c>
      <c r="Q123" s="675">
        <f t="shared" si="4208"/>
        <v>0</v>
      </c>
      <c r="R123" s="549">
        <f t="shared" si="4208"/>
        <v>0</v>
      </c>
      <c r="S123" s="675">
        <f t="shared" si="4208"/>
        <v>0</v>
      </c>
      <c r="T123" s="549">
        <f t="shared" si="4208"/>
        <v>0</v>
      </c>
      <c r="U123" s="675">
        <f t="shared" si="4208"/>
        <v>0</v>
      </c>
      <c r="V123" s="549">
        <f t="shared" si="4208"/>
        <v>0</v>
      </c>
      <c r="W123" s="675">
        <f t="shared" si="4208"/>
        <v>0</v>
      </c>
      <c r="X123" s="549">
        <f t="shared" si="4208"/>
        <v>0</v>
      </c>
      <c r="Y123" s="675">
        <f t="shared" si="4208"/>
        <v>0</v>
      </c>
      <c r="Z123" s="549">
        <f t="shared" si="4208"/>
        <v>0</v>
      </c>
      <c r="AA123" s="675">
        <f t="shared" si="4208"/>
        <v>0</v>
      </c>
      <c r="AB123" s="549">
        <f t="shared" si="4208"/>
        <v>0</v>
      </c>
      <c r="AC123" s="675">
        <f t="shared" si="4208"/>
        <v>0</v>
      </c>
      <c r="AD123" s="549">
        <f t="shared" si="4208"/>
        <v>0</v>
      </c>
      <c r="AE123" s="675">
        <f t="shared" si="4208"/>
        <v>0</v>
      </c>
      <c r="AF123" s="549">
        <f t="shared" si="4208"/>
        <v>0</v>
      </c>
      <c r="AG123" s="675">
        <f t="shared" si="4208"/>
        <v>0</v>
      </c>
      <c r="AH123" s="549">
        <f t="shared" si="4208"/>
        <v>0</v>
      </c>
      <c r="AI123" s="675">
        <f t="shared" si="4208"/>
        <v>0</v>
      </c>
      <c r="AJ123" s="549">
        <f t="shared" si="4208"/>
        <v>0</v>
      </c>
      <c r="AK123" s="675">
        <f t="shared" si="4208"/>
        <v>0</v>
      </c>
      <c r="AL123" s="549">
        <f t="shared" si="4208"/>
        <v>0</v>
      </c>
      <c r="AM123" s="675">
        <f t="shared" si="4208"/>
        <v>0</v>
      </c>
      <c r="AN123" s="549">
        <f t="shared" si="4208"/>
        <v>0</v>
      </c>
      <c r="AO123" s="675">
        <f t="shared" si="4208"/>
        <v>0</v>
      </c>
      <c r="AP123" s="549">
        <f t="shared" si="4208"/>
        <v>0</v>
      </c>
      <c r="AQ123" s="675">
        <f t="shared" si="4208"/>
        <v>0</v>
      </c>
      <c r="AR123" s="549">
        <f t="shared" si="4208"/>
        <v>0</v>
      </c>
      <c r="AS123" s="675">
        <f t="shared" si="4208"/>
        <v>0</v>
      </c>
      <c r="AT123" s="549">
        <f t="shared" ref="AT123:AU123" si="4209">SUM(AT456)</f>
        <v>0</v>
      </c>
      <c r="AU123" s="675">
        <f t="shared" si="4209"/>
        <v>0</v>
      </c>
      <c r="AV123" s="549">
        <f t="shared" ref="AV123:AW123" si="4210">SUM(AV456)</f>
        <v>0</v>
      </c>
      <c r="AW123" s="675">
        <f t="shared" si="4210"/>
        <v>0</v>
      </c>
      <c r="AX123" s="549">
        <f t="shared" ref="AX123:AY123" si="4211">SUM(AX456)</f>
        <v>0</v>
      </c>
      <c r="AY123" s="675">
        <f t="shared" si="4211"/>
        <v>0</v>
      </c>
      <c r="AZ123" s="549">
        <f t="shared" ref="AZ123:BA123" si="4212">SUM(AZ456)</f>
        <v>0</v>
      </c>
      <c r="BA123" s="675">
        <f t="shared" si="4212"/>
        <v>0</v>
      </c>
      <c r="BB123" s="549">
        <f t="shared" ref="BB123:BC123" si="4213">SUM(BB456)</f>
        <v>0</v>
      </c>
      <c r="BC123" s="675">
        <f t="shared" si="4213"/>
        <v>0</v>
      </c>
      <c r="BD123" s="549">
        <f t="shared" ref="BD123:BE123" si="4214">SUM(BD456)</f>
        <v>0</v>
      </c>
      <c r="BE123" s="675">
        <f t="shared" si="4214"/>
        <v>0</v>
      </c>
      <c r="BF123" s="549">
        <f t="shared" ref="BF123:BG123" si="4215">SUM(BF456)</f>
        <v>0</v>
      </c>
      <c r="BG123" s="675">
        <f t="shared" si="4215"/>
        <v>0</v>
      </c>
      <c r="BH123" s="549">
        <f t="shared" ref="BH123:BI123" si="4216">SUM(BH456)</f>
        <v>0</v>
      </c>
      <c r="BI123" s="675">
        <f t="shared" si="4216"/>
        <v>0</v>
      </c>
      <c r="BJ123" s="549">
        <f t="shared" ref="BJ123:BK123" si="4217">SUM(BJ456)</f>
        <v>0</v>
      </c>
      <c r="BK123" s="675">
        <f t="shared" si="4217"/>
        <v>0</v>
      </c>
      <c r="BL123" s="549">
        <f t="shared" ref="BL123:BS123" si="4218">SUM(BL456)</f>
        <v>0</v>
      </c>
      <c r="BM123" s="675">
        <f t="shared" si="4218"/>
        <v>0</v>
      </c>
      <c r="BN123" s="549">
        <f t="shared" si="4218"/>
        <v>0</v>
      </c>
      <c r="BO123" s="675">
        <f t="shared" si="4218"/>
        <v>0</v>
      </c>
      <c r="BP123" s="549">
        <f t="shared" si="4218"/>
        <v>0</v>
      </c>
      <c r="BQ123" s="675">
        <f t="shared" si="4218"/>
        <v>0</v>
      </c>
      <c r="BR123" s="549">
        <f t="shared" si="4218"/>
        <v>0</v>
      </c>
      <c r="BS123" s="675">
        <f t="shared" si="4218"/>
        <v>0</v>
      </c>
      <c r="BT123" s="549">
        <f t="shared" ref="BT123:BU123" si="4219">SUM(BT456)</f>
        <v>0</v>
      </c>
      <c r="BU123" s="675">
        <f t="shared" si="4219"/>
        <v>0</v>
      </c>
      <c r="BV123" s="549">
        <f t="shared" ref="BV123:BW123" si="4220">SUM(BV456)</f>
        <v>0</v>
      </c>
      <c r="BW123" s="675">
        <f t="shared" si="4220"/>
        <v>0</v>
      </c>
      <c r="BX123" s="549">
        <f t="shared" ref="BX123:BY123" si="4221">SUM(BX456)</f>
        <v>0</v>
      </c>
      <c r="BY123" s="675">
        <f t="shared" si="4221"/>
        <v>0</v>
      </c>
      <c r="BZ123" s="549">
        <f t="shared" ref="BZ123:CA123" si="4222">SUM(BZ456)</f>
        <v>0</v>
      </c>
      <c r="CA123" s="675">
        <f t="shared" si="4222"/>
        <v>0</v>
      </c>
      <c r="CB123" s="549">
        <f t="shared" ref="CB123:CE123" si="4223">SUM(CB456)</f>
        <v>0</v>
      </c>
      <c r="CC123" s="675">
        <f t="shared" si="4223"/>
        <v>0</v>
      </c>
      <c r="CD123" s="549">
        <f t="shared" si="4223"/>
        <v>0</v>
      </c>
      <c r="CE123" s="675">
        <f t="shared" si="4223"/>
        <v>0</v>
      </c>
      <c r="CF123" s="549">
        <f t="shared" ref="CF123:CG123" si="4224">SUM(CF456)</f>
        <v>0</v>
      </c>
      <c r="CG123" s="675">
        <f t="shared" si="4224"/>
        <v>0</v>
      </c>
      <c r="CH123" s="549">
        <f t="shared" ref="CH123:CQ123" si="4225">SUM(CH456)</f>
        <v>0</v>
      </c>
      <c r="CI123" s="675">
        <f t="shared" si="4225"/>
        <v>0</v>
      </c>
      <c r="CJ123" s="549">
        <f t="shared" si="4225"/>
        <v>0</v>
      </c>
      <c r="CK123" s="675">
        <f t="shared" si="4225"/>
        <v>0</v>
      </c>
      <c r="CL123" s="549">
        <f t="shared" si="4225"/>
        <v>0</v>
      </c>
      <c r="CM123" s="675">
        <f t="shared" si="4225"/>
        <v>0</v>
      </c>
      <c r="CN123" s="549">
        <f t="shared" si="4225"/>
        <v>0</v>
      </c>
      <c r="CO123" s="675">
        <f t="shared" si="4225"/>
        <v>0</v>
      </c>
      <c r="CP123" s="549">
        <f t="shared" si="4225"/>
        <v>0</v>
      </c>
      <c r="CQ123" s="675">
        <f t="shared" si="4225"/>
        <v>0</v>
      </c>
      <c r="CR123" s="549">
        <f t="shared" si="4065"/>
        <v>0</v>
      </c>
      <c r="CS123" s="675">
        <f t="shared" si="4065"/>
        <v>0</v>
      </c>
      <c r="CT123" s="549">
        <f t="shared" si="4065"/>
        <v>0</v>
      </c>
      <c r="CU123" s="675">
        <f t="shared" si="4065"/>
        <v>0</v>
      </c>
      <c r="CV123" s="549">
        <f t="shared" si="4065"/>
        <v>0</v>
      </c>
      <c r="CW123" s="675">
        <f t="shared" si="4065"/>
        <v>0</v>
      </c>
      <c r="CX123" s="549">
        <f t="shared" si="4065"/>
        <v>0</v>
      </c>
      <c r="CY123" s="675">
        <f t="shared" si="4065"/>
        <v>0</v>
      </c>
      <c r="CZ123" s="549">
        <f t="shared" si="4066"/>
        <v>0</v>
      </c>
      <c r="DA123" s="675">
        <f t="shared" si="4066"/>
        <v>0</v>
      </c>
      <c r="DB123" s="549">
        <f t="shared" si="4066"/>
        <v>0</v>
      </c>
      <c r="DC123" s="675">
        <f t="shared" si="4066"/>
        <v>0</v>
      </c>
      <c r="DD123" s="549">
        <f t="shared" si="4067"/>
        <v>0</v>
      </c>
      <c r="DE123" s="675">
        <f t="shared" si="4067"/>
        <v>0</v>
      </c>
      <c r="DF123" s="549">
        <f t="shared" si="4066"/>
        <v>0</v>
      </c>
      <c r="DG123" s="675">
        <f t="shared" si="4066"/>
        <v>0</v>
      </c>
      <c r="DH123" s="549">
        <f t="shared" si="4068"/>
        <v>0</v>
      </c>
      <c r="DI123" s="675">
        <f t="shared" si="4068"/>
        <v>0</v>
      </c>
      <c r="DJ123" s="549">
        <f t="shared" si="4069"/>
        <v>0</v>
      </c>
      <c r="DK123" s="675">
        <f t="shared" si="4069"/>
        <v>-2000</v>
      </c>
      <c r="DL123" s="549">
        <f t="shared" si="4069"/>
        <v>0</v>
      </c>
      <c r="DM123" s="675">
        <f t="shared" si="4069"/>
        <v>0</v>
      </c>
      <c r="DN123" s="549">
        <f t="shared" si="4070"/>
        <v>0</v>
      </c>
      <c r="DO123" s="675">
        <f t="shared" si="4070"/>
        <v>0</v>
      </c>
      <c r="DP123" s="549">
        <f t="shared" ref="DP123:DU123" si="4226">SUM(DP456)</f>
        <v>0</v>
      </c>
      <c r="DQ123" s="675">
        <f t="shared" si="4226"/>
        <v>0</v>
      </c>
      <c r="DR123" s="549">
        <f t="shared" si="4226"/>
        <v>0</v>
      </c>
      <c r="DS123" s="675">
        <f t="shared" si="4226"/>
        <v>0</v>
      </c>
      <c r="DT123" s="549">
        <f t="shared" si="4226"/>
        <v>0</v>
      </c>
      <c r="DU123" s="675">
        <f t="shared" si="4226"/>
        <v>0</v>
      </c>
      <c r="DV123" s="549">
        <f t="shared" si="4072"/>
        <v>0</v>
      </c>
      <c r="DW123" s="675">
        <f t="shared" si="4072"/>
        <v>0</v>
      </c>
      <c r="DX123" s="549">
        <f t="shared" si="4113"/>
        <v>0</v>
      </c>
      <c r="DY123" s="675">
        <f t="shared" si="4113"/>
        <v>0</v>
      </c>
      <c r="DZ123" s="549">
        <f t="shared" si="4113"/>
        <v>0</v>
      </c>
      <c r="EA123" s="675">
        <f t="shared" si="4113"/>
        <v>0</v>
      </c>
      <c r="EB123" s="549">
        <f t="shared" ref="EB123:EM123" si="4227">SUM(EB456)</f>
        <v>0</v>
      </c>
      <c r="EC123" s="675">
        <f t="shared" si="4227"/>
        <v>0</v>
      </c>
      <c r="ED123" s="549">
        <f t="shared" si="4227"/>
        <v>0</v>
      </c>
      <c r="EE123" s="675">
        <f t="shared" si="4227"/>
        <v>0</v>
      </c>
      <c r="EF123" s="549">
        <f t="shared" si="4227"/>
        <v>0</v>
      </c>
      <c r="EG123" s="675">
        <f t="shared" si="4227"/>
        <v>0</v>
      </c>
      <c r="EH123" s="549">
        <f t="shared" si="4227"/>
        <v>0</v>
      </c>
      <c r="EI123" s="675">
        <f t="shared" si="4227"/>
        <v>0</v>
      </c>
      <c r="EJ123" s="549">
        <f t="shared" si="4227"/>
        <v>0</v>
      </c>
      <c r="EK123" s="675">
        <f t="shared" si="4227"/>
        <v>0</v>
      </c>
      <c r="EL123" s="549">
        <f t="shared" si="4227"/>
        <v>0</v>
      </c>
      <c r="EM123" s="675">
        <f t="shared" si="4227"/>
        <v>0</v>
      </c>
      <c r="EN123" s="549">
        <f t="shared" si="4075"/>
        <v>0</v>
      </c>
      <c r="EO123" s="675">
        <f t="shared" si="4075"/>
        <v>0</v>
      </c>
      <c r="EP123" s="549">
        <f t="shared" ref="EP123:EU123" si="4228">SUM(EP456)</f>
        <v>0</v>
      </c>
      <c r="EQ123" s="675">
        <f t="shared" si="4228"/>
        <v>0</v>
      </c>
      <c r="ER123" s="549">
        <f t="shared" si="4228"/>
        <v>0</v>
      </c>
      <c r="ES123" s="675">
        <f t="shared" si="4228"/>
        <v>0</v>
      </c>
      <c r="ET123" s="549">
        <f t="shared" si="4228"/>
        <v>0</v>
      </c>
      <c r="EU123" s="675">
        <f t="shared" si="4228"/>
        <v>0</v>
      </c>
      <c r="EV123" s="549">
        <f t="shared" si="4116"/>
        <v>0</v>
      </c>
      <c r="EW123" s="675">
        <f t="shared" si="4116"/>
        <v>0</v>
      </c>
      <c r="EX123" s="549">
        <f t="shared" si="4191"/>
        <v>0</v>
      </c>
      <c r="EY123" s="675">
        <f t="shared" si="4191"/>
        <v>0</v>
      </c>
      <c r="EZ123" s="549">
        <f t="shared" si="4191"/>
        <v>0</v>
      </c>
      <c r="FA123" s="675">
        <f t="shared" si="4191"/>
        <v>0</v>
      </c>
      <c r="FB123" s="549">
        <f t="shared" si="4191"/>
        <v>0</v>
      </c>
      <c r="FC123" s="675">
        <f t="shared" si="4191"/>
        <v>0</v>
      </c>
      <c r="FD123" s="549">
        <f t="shared" si="4191"/>
        <v>0</v>
      </c>
      <c r="FE123" s="675">
        <f t="shared" si="4191"/>
        <v>0</v>
      </c>
      <c r="FF123" s="549">
        <f t="shared" ref="FF123:FG123" si="4229">SUM(FF456)</f>
        <v>0</v>
      </c>
      <c r="FG123" s="675">
        <f t="shared" si="4229"/>
        <v>0</v>
      </c>
      <c r="FH123" s="549">
        <f t="shared" ref="FH123:FI123" si="4230">SUM(FH456)</f>
        <v>0</v>
      </c>
      <c r="FI123" s="675">
        <f t="shared" si="4230"/>
        <v>0</v>
      </c>
      <c r="FJ123" s="549">
        <f t="shared" ref="FJ123:FK123" si="4231">SUM(FJ456)</f>
        <v>0</v>
      </c>
      <c r="FK123" s="675">
        <f t="shared" si="4231"/>
        <v>0</v>
      </c>
      <c r="FL123" s="549">
        <f t="shared" ref="FL123:FM123" si="4232">SUM(FL456)</f>
        <v>0</v>
      </c>
      <c r="FM123" s="675">
        <f t="shared" si="4232"/>
        <v>0</v>
      </c>
      <c r="FN123" s="549">
        <f t="shared" ref="FN123:FO123" si="4233">SUM(FN456)</f>
        <v>0</v>
      </c>
      <c r="FO123" s="675">
        <f t="shared" si="4233"/>
        <v>0</v>
      </c>
      <c r="FP123" s="549">
        <f t="shared" ref="FP123:FQ123" si="4234">SUM(FP456)</f>
        <v>0</v>
      </c>
      <c r="FQ123" s="675">
        <f t="shared" si="4234"/>
        <v>0</v>
      </c>
      <c r="FR123" s="549">
        <f t="shared" ref="FR123:FS123" si="4235">SUM(FR456)</f>
        <v>0</v>
      </c>
      <c r="FS123" s="675">
        <f t="shared" si="4235"/>
        <v>0</v>
      </c>
      <c r="FT123" s="549">
        <f t="shared" ref="FT123:FU123" si="4236">SUM(FT456)</f>
        <v>0</v>
      </c>
      <c r="FU123" s="675">
        <f t="shared" si="4236"/>
        <v>0</v>
      </c>
      <c r="FV123" s="549">
        <f t="shared" ref="FV123:GK123" si="4237">SUM(FV456)</f>
        <v>0</v>
      </c>
      <c r="FW123" s="675">
        <f t="shared" si="4237"/>
        <v>0</v>
      </c>
      <c r="FX123" s="549">
        <f t="shared" si="4237"/>
        <v>0</v>
      </c>
      <c r="FY123" s="675">
        <f t="shared" si="4237"/>
        <v>0</v>
      </c>
      <c r="FZ123" s="549">
        <f t="shared" ref="FZ123:GI123" si="4238">SUM(FZ456)</f>
        <v>0</v>
      </c>
      <c r="GA123" s="675">
        <f t="shared" si="4238"/>
        <v>0</v>
      </c>
      <c r="GB123" s="549">
        <f t="shared" si="4238"/>
        <v>0</v>
      </c>
      <c r="GC123" s="675">
        <f t="shared" si="4238"/>
        <v>0</v>
      </c>
      <c r="GD123" s="549">
        <f t="shared" si="4238"/>
        <v>0</v>
      </c>
      <c r="GE123" s="675">
        <f t="shared" si="4238"/>
        <v>0</v>
      </c>
      <c r="GF123" s="549">
        <f t="shared" si="4238"/>
        <v>0</v>
      </c>
      <c r="GG123" s="675">
        <f t="shared" si="4238"/>
        <v>0</v>
      </c>
      <c r="GH123" s="549">
        <f t="shared" si="4238"/>
        <v>0</v>
      </c>
      <c r="GI123" s="675">
        <f t="shared" si="4238"/>
        <v>0</v>
      </c>
      <c r="GJ123" s="549">
        <f t="shared" si="4237"/>
        <v>0</v>
      </c>
      <c r="GK123" s="675">
        <f t="shared" si="4237"/>
        <v>0</v>
      </c>
      <c r="GL123" s="549">
        <f t="shared" ref="GL123:GM123" si="4239">SUM(GL456)</f>
        <v>0</v>
      </c>
      <c r="GM123" s="675">
        <f t="shared" si="4239"/>
        <v>0</v>
      </c>
      <c r="GN123" s="549">
        <f t="shared" ref="GN123:GO123" si="4240">SUM(GN456)</f>
        <v>0</v>
      </c>
      <c r="GO123" s="675">
        <f t="shared" si="4240"/>
        <v>0</v>
      </c>
      <c r="GP123" s="74">
        <f t="shared" ref="GP123:HK123" si="4241">SUM(GP456)</f>
        <v>0</v>
      </c>
      <c r="GQ123" s="675">
        <f t="shared" si="4241"/>
        <v>-2000</v>
      </c>
      <c r="GR123" s="74">
        <f t="shared" si="4241"/>
        <v>3000</v>
      </c>
      <c r="GS123" s="74">
        <f t="shared" si="4241"/>
        <v>3000</v>
      </c>
      <c r="GT123" s="74">
        <f t="shared" si="4241"/>
        <v>3000</v>
      </c>
      <c r="GU123" s="74">
        <f t="shared" si="4241"/>
        <v>5000</v>
      </c>
      <c r="GV123" s="74">
        <f t="shared" si="4241"/>
        <v>0</v>
      </c>
      <c r="GW123" s="74">
        <f t="shared" si="4241"/>
        <v>0</v>
      </c>
      <c r="GX123" s="74">
        <f t="shared" si="4241"/>
        <v>0</v>
      </c>
      <c r="GY123" s="74">
        <f t="shared" si="4241"/>
        <v>0</v>
      </c>
      <c r="GZ123" s="74">
        <f t="shared" si="4241"/>
        <v>0</v>
      </c>
      <c r="HA123" s="74">
        <f t="shared" si="4241"/>
        <v>0</v>
      </c>
      <c r="HB123" s="74">
        <f t="shared" si="4241"/>
        <v>0</v>
      </c>
      <c r="HC123" s="74">
        <f t="shared" si="4241"/>
        <v>0</v>
      </c>
      <c r="HD123" s="74">
        <f t="shared" si="4241"/>
        <v>0</v>
      </c>
      <c r="HE123" s="74">
        <f t="shared" si="4241"/>
        <v>0</v>
      </c>
      <c r="HF123" s="74">
        <f t="shared" si="4241"/>
        <v>0</v>
      </c>
      <c r="HG123" s="74">
        <f t="shared" si="4241"/>
        <v>3000</v>
      </c>
      <c r="HH123" s="74">
        <f t="shared" si="4241"/>
        <v>5000</v>
      </c>
      <c r="HI123" s="74">
        <f t="shared" si="4241"/>
        <v>0</v>
      </c>
      <c r="HJ123" s="74">
        <f t="shared" si="4241"/>
        <v>0</v>
      </c>
      <c r="HK123" s="74">
        <f t="shared" si="4241"/>
        <v>0</v>
      </c>
      <c r="HL123" s="74">
        <f t="shared" ref="HL123:JT123" si="4242">SUM(HL456)</f>
        <v>0</v>
      </c>
      <c r="HM123" s="74">
        <f t="shared" si="4242"/>
        <v>0</v>
      </c>
      <c r="HN123" s="74">
        <f t="shared" si="4242"/>
        <v>0</v>
      </c>
      <c r="HO123" s="74">
        <f t="shared" si="4242"/>
        <v>0</v>
      </c>
      <c r="HP123" s="74">
        <f t="shared" si="4242"/>
        <v>0</v>
      </c>
      <c r="HQ123" s="74">
        <f t="shared" si="4242"/>
        <v>0</v>
      </c>
      <c r="HR123" s="74">
        <f t="shared" si="4242"/>
        <v>0</v>
      </c>
      <c r="HS123" s="74">
        <f t="shared" si="4242"/>
        <v>0</v>
      </c>
      <c r="HT123" s="74">
        <f t="shared" si="4242"/>
        <v>0</v>
      </c>
      <c r="HU123" s="74">
        <f t="shared" si="4242"/>
        <v>0</v>
      </c>
      <c r="HV123" s="74">
        <f t="shared" si="4242"/>
        <v>-2000</v>
      </c>
      <c r="HW123" s="74">
        <f t="shared" si="4242"/>
        <v>0</v>
      </c>
      <c r="HX123" s="74">
        <f t="shared" si="4242"/>
        <v>0</v>
      </c>
      <c r="HY123" s="74">
        <f t="shared" si="4242"/>
        <v>0</v>
      </c>
      <c r="HZ123" s="74">
        <f t="shared" si="4242"/>
        <v>0</v>
      </c>
      <c r="IA123" s="74">
        <f t="shared" si="4242"/>
        <v>0</v>
      </c>
      <c r="IB123" s="74">
        <f t="shared" si="4242"/>
        <v>0</v>
      </c>
      <c r="IC123" s="74">
        <f t="shared" si="4242"/>
        <v>0</v>
      </c>
      <c r="ID123" s="74">
        <f t="shared" si="4242"/>
        <v>0</v>
      </c>
      <c r="IE123" s="792">
        <f t="shared" si="4242"/>
        <v>0</v>
      </c>
      <c r="IF123" s="841">
        <f t="shared" si="4242"/>
        <v>1342.44</v>
      </c>
      <c r="IG123" s="263">
        <f t="shared" si="4242"/>
        <v>1342.44</v>
      </c>
      <c r="IH123" s="842">
        <f t="shared" si="4242"/>
        <v>1342.44</v>
      </c>
      <c r="II123" s="155">
        <f t="shared" si="4242"/>
        <v>0</v>
      </c>
      <c r="IJ123" s="74">
        <f t="shared" si="4242"/>
        <v>0</v>
      </c>
      <c r="IK123" s="74">
        <f t="shared" si="4242"/>
        <v>0</v>
      </c>
      <c r="IL123" s="74">
        <f t="shared" si="4242"/>
        <v>43.84</v>
      </c>
      <c r="IM123" s="74">
        <f t="shared" si="4242"/>
        <v>43.84</v>
      </c>
      <c r="IN123" s="74">
        <f t="shared" si="4242"/>
        <v>43.84</v>
      </c>
      <c r="IO123" s="74">
        <f t="shared" si="4242"/>
        <v>0</v>
      </c>
      <c r="IP123" s="74">
        <f t="shared" si="4242"/>
        <v>0</v>
      </c>
      <c r="IQ123" s="74">
        <f t="shared" si="4242"/>
        <v>0</v>
      </c>
      <c r="IR123" s="74">
        <f t="shared" si="4242"/>
        <v>0</v>
      </c>
      <c r="IS123" s="74">
        <f t="shared" si="4242"/>
        <v>0</v>
      </c>
      <c r="IT123" s="74">
        <f t="shared" si="4242"/>
        <v>0</v>
      </c>
      <c r="IU123" s="74">
        <f t="shared" si="4242"/>
        <v>219.53</v>
      </c>
      <c r="IV123" s="74">
        <f t="shared" si="4242"/>
        <v>219.53</v>
      </c>
      <c r="IW123" s="74">
        <f t="shared" si="4242"/>
        <v>219.53</v>
      </c>
      <c r="IX123" s="74">
        <f t="shared" si="4242"/>
        <v>127.88999999999999</v>
      </c>
      <c r="IY123" s="74">
        <f t="shared" si="4242"/>
        <v>127.88999999999999</v>
      </c>
      <c r="IZ123" s="74">
        <f t="shared" si="4242"/>
        <v>127.88999999999999</v>
      </c>
      <c r="JA123" s="74">
        <f t="shared" si="4242"/>
        <v>466.56000000000006</v>
      </c>
      <c r="JB123" s="74">
        <f t="shared" si="4242"/>
        <v>466.56000000000006</v>
      </c>
      <c r="JC123" s="74">
        <f t="shared" si="4242"/>
        <v>466.56000000000006</v>
      </c>
      <c r="JD123" s="74">
        <f t="shared" si="4242"/>
        <v>14.659999999999968</v>
      </c>
      <c r="JE123" s="74">
        <f t="shared" si="4242"/>
        <v>14.659999999999968</v>
      </c>
      <c r="JF123" s="74">
        <f t="shared" si="4242"/>
        <v>14.659999999999968</v>
      </c>
      <c r="JG123" s="74">
        <f t="shared" si="4242"/>
        <v>39.269999999999982</v>
      </c>
      <c r="JH123" s="74">
        <f t="shared" si="4242"/>
        <v>39.269999999999982</v>
      </c>
      <c r="JI123" s="74">
        <f t="shared" si="4242"/>
        <v>39.269999999999982</v>
      </c>
      <c r="JJ123" s="74">
        <f t="shared" si="4242"/>
        <v>430.69000000000005</v>
      </c>
      <c r="JK123" s="74">
        <f t="shared" si="4242"/>
        <v>430.69000000000005</v>
      </c>
      <c r="JL123" s="74">
        <f t="shared" si="4242"/>
        <v>430.69000000000005</v>
      </c>
      <c r="JM123" s="74">
        <f t="shared" si="4242"/>
        <v>0</v>
      </c>
      <c r="JN123" s="74">
        <f t="shared" si="4242"/>
        <v>0</v>
      </c>
      <c r="JO123" s="74">
        <f t="shared" si="4242"/>
        <v>0</v>
      </c>
      <c r="JP123" s="74">
        <f t="shared" si="4242"/>
        <v>0</v>
      </c>
      <c r="JQ123" s="74">
        <f t="shared" si="4242"/>
        <v>0</v>
      </c>
      <c r="JR123" s="74">
        <f t="shared" si="4242"/>
        <v>0</v>
      </c>
      <c r="JS123" s="74">
        <f t="shared" si="4242"/>
        <v>1657.56</v>
      </c>
      <c r="JT123" s="102">
        <f t="shared" si="4242"/>
        <v>1657.56</v>
      </c>
      <c r="JU123" s="671"/>
      <c r="JV123" s="492"/>
      <c r="JW123" s="490"/>
      <c r="JX123" s="549">
        <f t="shared" si="4092"/>
        <v>3000</v>
      </c>
      <c r="JY123" s="549">
        <f t="shared" si="4092"/>
        <v>0</v>
      </c>
      <c r="JZ123" s="581">
        <f t="shared" si="2110"/>
        <v>0</v>
      </c>
      <c r="KA123" s="581">
        <f t="shared" si="2111"/>
        <v>-2000</v>
      </c>
      <c r="KB123" s="549">
        <f t="shared" si="4092"/>
        <v>3000</v>
      </c>
      <c r="KC123" s="709">
        <f t="shared" si="2079"/>
        <v>0</v>
      </c>
      <c r="KD123" s="36"/>
      <c r="KE123" s="36"/>
      <c r="KF123" s="36"/>
      <c r="KG123" s="36"/>
      <c r="KH123" s="36"/>
      <c r="KI123" s="36"/>
      <c r="KJ123" s="36"/>
      <c r="KK123" s="36"/>
    </row>
    <row r="124" spans="1:297" s="8" customFormat="1">
      <c r="A124" s="75"/>
      <c r="B124" s="72"/>
      <c r="C124" s="74"/>
      <c r="D124" s="549"/>
      <c r="E124" s="675"/>
      <c r="F124" s="549"/>
      <c r="G124" s="675"/>
      <c r="H124" s="549"/>
      <c r="I124" s="675"/>
      <c r="J124" s="549"/>
      <c r="K124" s="675"/>
      <c r="L124" s="549"/>
      <c r="M124" s="675"/>
      <c r="N124" s="549"/>
      <c r="O124" s="675"/>
      <c r="P124" s="549"/>
      <c r="Q124" s="675"/>
      <c r="R124" s="549"/>
      <c r="S124" s="675"/>
      <c r="T124" s="549"/>
      <c r="U124" s="675"/>
      <c r="V124" s="549"/>
      <c r="W124" s="675"/>
      <c r="X124" s="549"/>
      <c r="Y124" s="675"/>
      <c r="Z124" s="549"/>
      <c r="AA124" s="675"/>
      <c r="AB124" s="549"/>
      <c r="AC124" s="675"/>
      <c r="AD124" s="549"/>
      <c r="AE124" s="675"/>
      <c r="AF124" s="549"/>
      <c r="AG124" s="675"/>
      <c r="AH124" s="549"/>
      <c r="AI124" s="675"/>
      <c r="AJ124" s="549"/>
      <c r="AK124" s="675"/>
      <c r="AL124" s="549"/>
      <c r="AM124" s="675"/>
      <c r="AN124" s="549"/>
      <c r="AO124" s="675"/>
      <c r="AP124" s="549"/>
      <c r="AQ124" s="675"/>
      <c r="AR124" s="549"/>
      <c r="AS124" s="675"/>
      <c r="AT124" s="549"/>
      <c r="AU124" s="675"/>
      <c r="AV124" s="549"/>
      <c r="AW124" s="675"/>
      <c r="AX124" s="549"/>
      <c r="AY124" s="675"/>
      <c r="AZ124" s="549"/>
      <c r="BA124" s="675"/>
      <c r="BB124" s="549"/>
      <c r="BC124" s="675"/>
      <c r="BD124" s="549"/>
      <c r="BE124" s="675"/>
      <c r="BF124" s="549"/>
      <c r="BG124" s="675"/>
      <c r="BH124" s="549"/>
      <c r="BI124" s="675"/>
      <c r="BJ124" s="549"/>
      <c r="BK124" s="675"/>
      <c r="BL124" s="549"/>
      <c r="BM124" s="675"/>
      <c r="BN124" s="549"/>
      <c r="BO124" s="675"/>
      <c r="BP124" s="549"/>
      <c r="BQ124" s="675"/>
      <c r="BR124" s="549"/>
      <c r="BS124" s="675"/>
      <c r="BT124" s="549"/>
      <c r="BU124" s="675"/>
      <c r="BV124" s="549"/>
      <c r="BW124" s="675"/>
      <c r="BX124" s="549"/>
      <c r="BY124" s="675"/>
      <c r="BZ124" s="549"/>
      <c r="CA124" s="675"/>
      <c r="CB124" s="549"/>
      <c r="CC124" s="675"/>
      <c r="CD124" s="549"/>
      <c r="CE124" s="675"/>
      <c r="CF124" s="549"/>
      <c r="CG124" s="675"/>
      <c r="CH124" s="549"/>
      <c r="CI124" s="675"/>
      <c r="CJ124" s="549"/>
      <c r="CK124" s="675"/>
      <c r="CL124" s="549"/>
      <c r="CM124" s="675"/>
      <c r="CN124" s="549"/>
      <c r="CO124" s="675"/>
      <c r="CP124" s="549"/>
      <c r="CQ124" s="675"/>
      <c r="CR124" s="549"/>
      <c r="CS124" s="675"/>
      <c r="CT124" s="549"/>
      <c r="CU124" s="675"/>
      <c r="CV124" s="549"/>
      <c r="CW124" s="675"/>
      <c r="CX124" s="549"/>
      <c r="CY124" s="675"/>
      <c r="CZ124" s="549"/>
      <c r="DA124" s="675"/>
      <c r="DB124" s="549"/>
      <c r="DC124" s="675"/>
      <c r="DD124" s="549"/>
      <c r="DE124" s="675"/>
      <c r="DF124" s="549"/>
      <c r="DG124" s="675"/>
      <c r="DH124" s="549"/>
      <c r="DI124" s="675"/>
      <c r="DJ124" s="549"/>
      <c r="DK124" s="675"/>
      <c r="DL124" s="549"/>
      <c r="DM124" s="675"/>
      <c r="DN124" s="549"/>
      <c r="DO124" s="675"/>
      <c r="DP124" s="549"/>
      <c r="DQ124" s="675"/>
      <c r="DR124" s="549"/>
      <c r="DS124" s="675"/>
      <c r="DT124" s="549"/>
      <c r="DU124" s="675"/>
      <c r="DV124" s="549"/>
      <c r="DW124" s="675"/>
      <c r="DX124" s="549"/>
      <c r="DY124" s="675"/>
      <c r="DZ124" s="549"/>
      <c r="EA124" s="675"/>
      <c r="EB124" s="549"/>
      <c r="EC124" s="675"/>
      <c r="ED124" s="549"/>
      <c r="EE124" s="675"/>
      <c r="EF124" s="549"/>
      <c r="EG124" s="675"/>
      <c r="EH124" s="549"/>
      <c r="EI124" s="675"/>
      <c r="EJ124" s="549"/>
      <c r="EK124" s="675"/>
      <c r="EL124" s="549"/>
      <c r="EM124" s="675"/>
      <c r="EN124" s="549"/>
      <c r="EO124" s="675"/>
      <c r="EP124" s="549"/>
      <c r="EQ124" s="675"/>
      <c r="ER124" s="549"/>
      <c r="ES124" s="675"/>
      <c r="ET124" s="549"/>
      <c r="EU124" s="675"/>
      <c r="EV124" s="549"/>
      <c r="EW124" s="675"/>
      <c r="EX124" s="549"/>
      <c r="EY124" s="675"/>
      <c r="EZ124" s="549"/>
      <c r="FA124" s="675"/>
      <c r="FB124" s="549"/>
      <c r="FC124" s="675"/>
      <c r="FD124" s="549"/>
      <c r="FE124" s="675"/>
      <c r="FF124" s="549"/>
      <c r="FG124" s="675"/>
      <c r="FH124" s="549"/>
      <c r="FI124" s="675"/>
      <c r="FJ124" s="549"/>
      <c r="FK124" s="675"/>
      <c r="FL124" s="549"/>
      <c r="FM124" s="675"/>
      <c r="FN124" s="549"/>
      <c r="FO124" s="675"/>
      <c r="FP124" s="549"/>
      <c r="FQ124" s="675"/>
      <c r="FR124" s="549"/>
      <c r="FS124" s="675"/>
      <c r="FT124" s="549"/>
      <c r="FU124" s="675"/>
      <c r="FV124" s="549"/>
      <c r="FW124" s="675"/>
      <c r="FX124" s="549"/>
      <c r="FY124" s="675"/>
      <c r="FZ124" s="549"/>
      <c r="GA124" s="675"/>
      <c r="GB124" s="549"/>
      <c r="GC124" s="675"/>
      <c r="GD124" s="549"/>
      <c r="GE124" s="675"/>
      <c r="GF124" s="549"/>
      <c r="GG124" s="675"/>
      <c r="GH124" s="549"/>
      <c r="GI124" s="675"/>
      <c r="GJ124" s="549"/>
      <c r="GK124" s="675"/>
      <c r="GL124" s="549"/>
      <c r="GM124" s="675"/>
      <c r="GN124" s="549"/>
      <c r="GO124" s="675"/>
      <c r="GP124" s="74"/>
      <c r="GQ124" s="675"/>
      <c r="GR124" s="74"/>
      <c r="GS124" s="74"/>
      <c r="GT124" s="549"/>
      <c r="GU124" s="74"/>
      <c r="GV124" s="74"/>
      <c r="GW124" s="549"/>
      <c r="GX124" s="549"/>
      <c r="GY124" s="74"/>
      <c r="GZ124" s="74"/>
      <c r="HA124" s="74"/>
      <c r="HB124" s="74"/>
      <c r="HC124" s="74"/>
      <c r="HD124" s="74"/>
      <c r="HE124" s="74"/>
      <c r="HF124" s="74"/>
      <c r="HG124" s="74"/>
      <c r="HH124" s="74"/>
      <c r="HI124" s="74"/>
      <c r="HJ124" s="74"/>
      <c r="HK124" s="74"/>
      <c r="HL124" s="74"/>
      <c r="HM124" s="74"/>
      <c r="HN124" s="74"/>
      <c r="HO124" s="74"/>
      <c r="HP124" s="74"/>
      <c r="HQ124" s="74"/>
      <c r="HR124" s="74"/>
      <c r="HS124" s="74"/>
      <c r="HT124" s="74"/>
      <c r="HU124" s="74"/>
      <c r="HV124" s="74"/>
      <c r="HW124" s="74"/>
      <c r="HX124" s="74"/>
      <c r="HY124" s="74"/>
      <c r="HZ124" s="74"/>
      <c r="IA124" s="74"/>
      <c r="IB124" s="74"/>
      <c r="IC124" s="74"/>
      <c r="ID124" s="74"/>
      <c r="IE124" s="792"/>
      <c r="IF124" s="841"/>
      <c r="IG124" s="263"/>
      <c r="IH124" s="842"/>
      <c r="II124" s="155"/>
      <c r="IJ124" s="74"/>
      <c r="IK124" s="74"/>
      <c r="IL124" s="74"/>
      <c r="IM124" s="74"/>
      <c r="IN124" s="74"/>
      <c r="IO124" s="74"/>
      <c r="IP124" s="74"/>
      <c r="IQ124" s="74"/>
      <c r="IR124" s="74"/>
      <c r="IS124" s="74"/>
      <c r="IT124" s="74"/>
      <c r="IU124" s="74"/>
      <c r="IV124" s="74"/>
      <c r="IW124" s="74"/>
      <c r="IX124" s="74"/>
      <c r="IY124" s="74"/>
      <c r="IZ124" s="74"/>
      <c r="JA124" s="74"/>
      <c r="JB124" s="74"/>
      <c r="JC124" s="74"/>
      <c r="JD124" s="74"/>
      <c r="JE124" s="74"/>
      <c r="JF124" s="74"/>
      <c r="JG124" s="74"/>
      <c r="JH124" s="74"/>
      <c r="JI124" s="74"/>
      <c r="JJ124" s="74"/>
      <c r="JK124" s="74"/>
      <c r="JL124" s="74"/>
      <c r="JM124" s="74"/>
      <c r="JN124" s="74"/>
      <c r="JO124" s="74"/>
      <c r="JP124" s="74"/>
      <c r="JQ124" s="74"/>
      <c r="JR124" s="74"/>
      <c r="JS124" s="74"/>
      <c r="JT124" s="382"/>
      <c r="JU124" s="671"/>
      <c r="JV124" s="492"/>
      <c r="JW124" s="490"/>
      <c r="JX124" s="549"/>
      <c r="JY124" s="549"/>
      <c r="JZ124" s="581">
        <f t="shared" si="2110"/>
        <v>0</v>
      </c>
      <c r="KA124" s="581">
        <f t="shared" si="2111"/>
        <v>0</v>
      </c>
      <c r="KB124" s="549"/>
      <c r="KC124" s="709">
        <f t="shared" si="2079"/>
        <v>0</v>
      </c>
      <c r="KD124" s="36"/>
      <c r="KE124" s="36"/>
      <c r="KF124" s="36"/>
      <c r="KG124" s="36"/>
      <c r="KH124" s="36"/>
      <c r="KI124" s="36"/>
      <c r="KJ124" s="36"/>
      <c r="KK124" s="36"/>
    </row>
    <row r="125" spans="1:297" s="8" customFormat="1">
      <c r="A125" s="75" t="s">
        <v>147</v>
      </c>
      <c r="B125" s="72" t="s">
        <v>148</v>
      </c>
      <c r="C125" s="74">
        <f t="shared" ref="C125:E125" si="4243">SUM(C126:C129)</f>
        <v>50000</v>
      </c>
      <c r="D125" s="549">
        <f t="shared" si="4243"/>
        <v>0</v>
      </c>
      <c r="E125" s="675">
        <f t="shared" si="4243"/>
        <v>0</v>
      </c>
      <c r="F125" s="549">
        <f t="shared" ref="F125:G125" si="4244">SUM(F126:F129)</f>
        <v>0</v>
      </c>
      <c r="G125" s="675">
        <f t="shared" si="4244"/>
        <v>0</v>
      </c>
      <c r="H125" s="549">
        <f t="shared" ref="H125:I125" si="4245">SUM(H126:H129)</f>
        <v>0</v>
      </c>
      <c r="I125" s="675">
        <f t="shared" si="4245"/>
        <v>0</v>
      </c>
      <c r="J125" s="549">
        <f t="shared" ref="J125:K125" si="4246">SUM(J126:J129)</f>
        <v>0</v>
      </c>
      <c r="K125" s="675">
        <f t="shared" si="4246"/>
        <v>0</v>
      </c>
      <c r="L125" s="549">
        <f t="shared" ref="L125:M125" si="4247">SUM(L126:L129)</f>
        <v>0</v>
      </c>
      <c r="M125" s="675">
        <f t="shared" si="4247"/>
        <v>0</v>
      </c>
      <c r="N125" s="549">
        <f t="shared" ref="N125:O125" si="4248">SUM(N126:N129)</f>
        <v>0</v>
      </c>
      <c r="O125" s="675">
        <f t="shared" si="4248"/>
        <v>0</v>
      </c>
      <c r="P125" s="549">
        <f t="shared" ref="P125:Q125" si="4249">SUM(P126:P129)</f>
        <v>0</v>
      </c>
      <c r="Q125" s="675">
        <f t="shared" si="4249"/>
        <v>0</v>
      </c>
      <c r="R125" s="549">
        <f t="shared" ref="R125:S125" si="4250">SUM(R126:R129)</f>
        <v>0</v>
      </c>
      <c r="S125" s="675">
        <f t="shared" si="4250"/>
        <v>0</v>
      </c>
      <c r="T125" s="549">
        <f t="shared" ref="T125:U125" si="4251">SUM(T126:T129)</f>
        <v>0</v>
      </c>
      <c r="U125" s="675">
        <f t="shared" si="4251"/>
        <v>0</v>
      </c>
      <c r="V125" s="549">
        <f t="shared" ref="V125:W125" si="4252">SUM(V126:V129)</f>
        <v>0</v>
      </c>
      <c r="W125" s="675">
        <f t="shared" si="4252"/>
        <v>0</v>
      </c>
      <c r="X125" s="549">
        <f t="shared" ref="X125:Y125" si="4253">SUM(X126:X129)</f>
        <v>0</v>
      </c>
      <c r="Y125" s="675">
        <f t="shared" si="4253"/>
        <v>0</v>
      </c>
      <c r="Z125" s="549">
        <f t="shared" ref="Z125:AA125" si="4254">SUM(Z126:Z129)</f>
        <v>0</v>
      </c>
      <c r="AA125" s="675">
        <f t="shared" si="4254"/>
        <v>0</v>
      </c>
      <c r="AB125" s="549">
        <f t="shared" ref="AB125:AC125" si="4255">SUM(AB126:AB129)</f>
        <v>0</v>
      </c>
      <c r="AC125" s="675">
        <f t="shared" si="4255"/>
        <v>0</v>
      </c>
      <c r="AD125" s="549">
        <f t="shared" ref="AD125:AK125" si="4256">SUM(AD126:AD129)</f>
        <v>0</v>
      </c>
      <c r="AE125" s="675">
        <f t="shared" si="4256"/>
        <v>0</v>
      </c>
      <c r="AF125" s="549">
        <f t="shared" si="4256"/>
        <v>0</v>
      </c>
      <c r="AG125" s="675">
        <f t="shared" si="4256"/>
        <v>-5000</v>
      </c>
      <c r="AH125" s="549">
        <f t="shared" si="4256"/>
        <v>0</v>
      </c>
      <c r="AI125" s="675">
        <f t="shared" si="4256"/>
        <v>0</v>
      </c>
      <c r="AJ125" s="549">
        <f t="shared" si="4256"/>
        <v>0</v>
      </c>
      <c r="AK125" s="675">
        <f t="shared" si="4256"/>
        <v>0</v>
      </c>
      <c r="AL125" s="549">
        <f t="shared" ref="AL125:AM125" si="4257">SUM(AL126:AL129)</f>
        <v>0</v>
      </c>
      <c r="AM125" s="675">
        <f t="shared" si="4257"/>
        <v>0</v>
      </c>
      <c r="AN125" s="549">
        <f t="shared" ref="AN125:AS125" si="4258">SUM(AN126:AN129)</f>
        <v>0</v>
      </c>
      <c r="AO125" s="675">
        <f t="shared" si="4258"/>
        <v>0</v>
      </c>
      <c r="AP125" s="549">
        <f t="shared" si="4258"/>
        <v>0</v>
      </c>
      <c r="AQ125" s="675">
        <f t="shared" si="4258"/>
        <v>0</v>
      </c>
      <c r="AR125" s="549">
        <f t="shared" si="4258"/>
        <v>0</v>
      </c>
      <c r="AS125" s="675">
        <f t="shared" si="4258"/>
        <v>0</v>
      </c>
      <c r="AT125" s="549">
        <f t="shared" ref="AT125:AU125" si="4259">SUM(AT126:AT129)</f>
        <v>0</v>
      </c>
      <c r="AU125" s="675">
        <f t="shared" si="4259"/>
        <v>0</v>
      </c>
      <c r="AV125" s="549">
        <f t="shared" ref="AV125:AW125" si="4260">SUM(AV126:AV129)</f>
        <v>0</v>
      </c>
      <c r="AW125" s="675">
        <f t="shared" si="4260"/>
        <v>0</v>
      </c>
      <c r="AX125" s="549">
        <f t="shared" ref="AX125:AY125" si="4261">SUM(AX126:AX129)</f>
        <v>0</v>
      </c>
      <c r="AY125" s="675">
        <f t="shared" si="4261"/>
        <v>0</v>
      </c>
      <c r="AZ125" s="549">
        <f t="shared" ref="AZ125:BA125" si="4262">SUM(AZ126:AZ129)</f>
        <v>0</v>
      </c>
      <c r="BA125" s="675">
        <f t="shared" si="4262"/>
        <v>-2000</v>
      </c>
      <c r="BB125" s="549">
        <f t="shared" ref="BB125:BC125" si="4263">SUM(BB126:BB129)</f>
        <v>0</v>
      </c>
      <c r="BC125" s="675">
        <f t="shared" si="4263"/>
        <v>0</v>
      </c>
      <c r="BD125" s="549">
        <f t="shared" ref="BD125:BE125" si="4264">SUM(BD126:BD129)</f>
        <v>0</v>
      </c>
      <c r="BE125" s="675">
        <f t="shared" si="4264"/>
        <v>0</v>
      </c>
      <c r="BF125" s="549">
        <f t="shared" ref="BF125:BG125" si="4265">SUM(BF126:BF129)</f>
        <v>4000</v>
      </c>
      <c r="BG125" s="675">
        <f t="shared" si="4265"/>
        <v>0</v>
      </c>
      <c r="BH125" s="549">
        <f t="shared" ref="BH125:BI125" si="4266">SUM(BH126:BH129)</f>
        <v>9000</v>
      </c>
      <c r="BI125" s="675">
        <f t="shared" si="4266"/>
        <v>0</v>
      </c>
      <c r="BJ125" s="549">
        <f t="shared" ref="BJ125:BK125" si="4267">SUM(BJ126:BJ129)</f>
        <v>0</v>
      </c>
      <c r="BK125" s="675">
        <f t="shared" si="4267"/>
        <v>0</v>
      </c>
      <c r="BL125" s="549">
        <f t="shared" ref="BL125:BS125" si="4268">SUM(BL126:BL129)</f>
        <v>0</v>
      </c>
      <c r="BM125" s="675">
        <f t="shared" si="4268"/>
        <v>0</v>
      </c>
      <c r="BN125" s="549">
        <f t="shared" si="4268"/>
        <v>0</v>
      </c>
      <c r="BO125" s="675">
        <f t="shared" si="4268"/>
        <v>0</v>
      </c>
      <c r="BP125" s="549">
        <f t="shared" si="4268"/>
        <v>5000</v>
      </c>
      <c r="BQ125" s="675">
        <f t="shared" si="4268"/>
        <v>0</v>
      </c>
      <c r="BR125" s="549">
        <f t="shared" si="4268"/>
        <v>0</v>
      </c>
      <c r="BS125" s="675">
        <f t="shared" si="4268"/>
        <v>0</v>
      </c>
      <c r="BT125" s="549">
        <f t="shared" ref="BT125:BU125" si="4269">SUM(BT126:BT129)</f>
        <v>0</v>
      </c>
      <c r="BU125" s="675">
        <f t="shared" si="4269"/>
        <v>0</v>
      </c>
      <c r="BV125" s="549">
        <f t="shared" ref="BV125:BW125" si="4270">SUM(BV126:BV129)</f>
        <v>0</v>
      </c>
      <c r="BW125" s="675">
        <f t="shared" si="4270"/>
        <v>0</v>
      </c>
      <c r="BX125" s="549">
        <f t="shared" ref="BX125:BY125" si="4271">SUM(BX126:BX129)</f>
        <v>0</v>
      </c>
      <c r="BY125" s="675">
        <f t="shared" si="4271"/>
        <v>0</v>
      </c>
      <c r="BZ125" s="549">
        <f t="shared" ref="BZ125:CA125" si="4272">SUM(BZ126:BZ129)</f>
        <v>0</v>
      </c>
      <c r="CA125" s="675">
        <f t="shared" si="4272"/>
        <v>0</v>
      </c>
      <c r="CB125" s="549">
        <f t="shared" ref="CB125:CE125" si="4273">SUM(CB126:CB129)</f>
        <v>0</v>
      </c>
      <c r="CC125" s="675">
        <f t="shared" si="4273"/>
        <v>0</v>
      </c>
      <c r="CD125" s="549">
        <f t="shared" si="4273"/>
        <v>0</v>
      </c>
      <c r="CE125" s="675">
        <f t="shared" si="4273"/>
        <v>0</v>
      </c>
      <c r="CF125" s="549">
        <f t="shared" ref="CF125:CQ125" si="4274">SUM(CF126:CF129)</f>
        <v>0</v>
      </c>
      <c r="CG125" s="675">
        <f t="shared" si="4274"/>
        <v>0</v>
      </c>
      <c r="CH125" s="549">
        <f t="shared" si="4274"/>
        <v>0</v>
      </c>
      <c r="CI125" s="675">
        <f t="shared" si="4274"/>
        <v>0</v>
      </c>
      <c r="CJ125" s="549">
        <f t="shared" si="4274"/>
        <v>0</v>
      </c>
      <c r="CK125" s="675">
        <f t="shared" si="4274"/>
        <v>-5000</v>
      </c>
      <c r="CL125" s="549">
        <f t="shared" si="4274"/>
        <v>0</v>
      </c>
      <c r="CM125" s="675">
        <f t="shared" si="4274"/>
        <v>0</v>
      </c>
      <c r="CN125" s="549">
        <f t="shared" si="4274"/>
        <v>0</v>
      </c>
      <c r="CO125" s="675">
        <f t="shared" si="4274"/>
        <v>0</v>
      </c>
      <c r="CP125" s="549">
        <f t="shared" si="4274"/>
        <v>0</v>
      </c>
      <c r="CQ125" s="675">
        <f t="shared" si="4274"/>
        <v>0</v>
      </c>
      <c r="CR125" s="549">
        <f t="shared" ref="CR125:CY125" si="4275">SUM(CR126:CR129)</f>
        <v>0</v>
      </c>
      <c r="CS125" s="675">
        <f t="shared" si="4275"/>
        <v>0</v>
      </c>
      <c r="CT125" s="549">
        <f t="shared" si="4275"/>
        <v>0</v>
      </c>
      <c r="CU125" s="675">
        <f t="shared" si="4275"/>
        <v>0</v>
      </c>
      <c r="CV125" s="549">
        <f t="shared" si="4275"/>
        <v>0</v>
      </c>
      <c r="CW125" s="675">
        <f t="shared" si="4275"/>
        <v>0</v>
      </c>
      <c r="CX125" s="549">
        <f t="shared" si="4275"/>
        <v>0</v>
      </c>
      <c r="CY125" s="675">
        <f t="shared" si="4275"/>
        <v>0</v>
      </c>
      <c r="CZ125" s="549">
        <f t="shared" ref="CZ125:DG125" si="4276">SUM(CZ126:CZ129)</f>
        <v>0</v>
      </c>
      <c r="DA125" s="675">
        <f t="shared" si="4276"/>
        <v>-2000</v>
      </c>
      <c r="DB125" s="549">
        <f t="shared" si="4276"/>
        <v>0</v>
      </c>
      <c r="DC125" s="675">
        <f t="shared" si="4276"/>
        <v>0</v>
      </c>
      <c r="DD125" s="549">
        <f t="shared" si="4276"/>
        <v>0</v>
      </c>
      <c r="DE125" s="675">
        <f t="shared" si="4276"/>
        <v>0</v>
      </c>
      <c r="DF125" s="549">
        <f t="shared" si="4276"/>
        <v>0</v>
      </c>
      <c r="DG125" s="675">
        <f t="shared" si="4276"/>
        <v>0</v>
      </c>
      <c r="DH125" s="549">
        <f t="shared" ref="DH125:DM125" si="4277">SUM(DH126:DH129)</f>
        <v>3000</v>
      </c>
      <c r="DI125" s="675">
        <f t="shared" si="4277"/>
        <v>0</v>
      </c>
      <c r="DJ125" s="549">
        <f t="shared" si="4277"/>
        <v>0</v>
      </c>
      <c r="DK125" s="675">
        <f t="shared" si="4277"/>
        <v>0</v>
      </c>
      <c r="DL125" s="549">
        <f t="shared" si="4277"/>
        <v>0</v>
      </c>
      <c r="DM125" s="675">
        <f t="shared" si="4277"/>
        <v>0</v>
      </c>
      <c r="DN125" s="549">
        <f t="shared" ref="DN125:DW125" si="4278">SUM(DN126:DN129)</f>
        <v>0</v>
      </c>
      <c r="DO125" s="675">
        <f t="shared" si="4278"/>
        <v>0</v>
      </c>
      <c r="DP125" s="549">
        <f t="shared" si="4278"/>
        <v>0</v>
      </c>
      <c r="DQ125" s="675">
        <f t="shared" si="4278"/>
        <v>0</v>
      </c>
      <c r="DR125" s="549">
        <f t="shared" si="4278"/>
        <v>0</v>
      </c>
      <c r="DS125" s="675">
        <f t="shared" si="4278"/>
        <v>0</v>
      </c>
      <c r="DT125" s="549">
        <f t="shared" si="4278"/>
        <v>0</v>
      </c>
      <c r="DU125" s="675">
        <f t="shared" si="4278"/>
        <v>0</v>
      </c>
      <c r="DV125" s="549">
        <f t="shared" si="4278"/>
        <v>0</v>
      </c>
      <c r="DW125" s="675">
        <f t="shared" si="4278"/>
        <v>0</v>
      </c>
      <c r="DX125" s="549">
        <f t="shared" ref="DX125:EG125" si="4279">SUM(DX126:DX129)</f>
        <v>0</v>
      </c>
      <c r="DY125" s="675">
        <f t="shared" si="4279"/>
        <v>0</v>
      </c>
      <c r="DZ125" s="549">
        <f t="shared" si="4279"/>
        <v>0</v>
      </c>
      <c r="EA125" s="675">
        <f t="shared" si="4279"/>
        <v>0</v>
      </c>
      <c r="EB125" s="549">
        <f t="shared" si="4279"/>
        <v>0</v>
      </c>
      <c r="EC125" s="675">
        <f t="shared" si="4279"/>
        <v>0</v>
      </c>
      <c r="ED125" s="549">
        <f t="shared" si="4279"/>
        <v>0</v>
      </c>
      <c r="EE125" s="675">
        <f t="shared" si="4279"/>
        <v>0</v>
      </c>
      <c r="EF125" s="549">
        <f t="shared" si="4279"/>
        <v>0</v>
      </c>
      <c r="EG125" s="675">
        <f t="shared" si="4279"/>
        <v>0</v>
      </c>
      <c r="EH125" s="549">
        <f t="shared" ref="EH125:EM125" si="4280">SUM(EH126:EH129)</f>
        <v>0</v>
      </c>
      <c r="EI125" s="675">
        <f t="shared" si="4280"/>
        <v>0</v>
      </c>
      <c r="EJ125" s="549">
        <f t="shared" si="4280"/>
        <v>0</v>
      </c>
      <c r="EK125" s="675">
        <f t="shared" si="4280"/>
        <v>0</v>
      </c>
      <c r="EL125" s="549">
        <f t="shared" si="4280"/>
        <v>0</v>
      </c>
      <c r="EM125" s="675">
        <f t="shared" si="4280"/>
        <v>0</v>
      </c>
      <c r="EN125" s="549">
        <f t="shared" ref="EN125:EO125" si="4281">SUM(EN126:EN129)</f>
        <v>0</v>
      </c>
      <c r="EO125" s="675">
        <f t="shared" si="4281"/>
        <v>0</v>
      </c>
      <c r="EP125" s="549">
        <f t="shared" ref="EP125:FA125" si="4282">SUM(EP126:EP129)</f>
        <v>0</v>
      </c>
      <c r="EQ125" s="675">
        <f t="shared" si="4282"/>
        <v>0</v>
      </c>
      <c r="ER125" s="549">
        <f t="shared" si="4282"/>
        <v>0</v>
      </c>
      <c r="ES125" s="675">
        <f t="shared" si="4282"/>
        <v>0</v>
      </c>
      <c r="ET125" s="549">
        <f t="shared" si="4282"/>
        <v>0</v>
      </c>
      <c r="EU125" s="675">
        <f t="shared" si="4282"/>
        <v>0</v>
      </c>
      <c r="EV125" s="549">
        <f t="shared" ref="EV125:EW125" si="4283">SUM(EV126:EV129)</f>
        <v>0</v>
      </c>
      <c r="EW125" s="675">
        <f t="shared" si="4283"/>
        <v>0</v>
      </c>
      <c r="EX125" s="549">
        <f t="shared" si="4282"/>
        <v>0</v>
      </c>
      <c r="EY125" s="675">
        <f t="shared" si="4282"/>
        <v>0</v>
      </c>
      <c r="EZ125" s="549">
        <f t="shared" si="4282"/>
        <v>0</v>
      </c>
      <c r="FA125" s="675">
        <f t="shared" si="4282"/>
        <v>0</v>
      </c>
      <c r="FB125" s="549">
        <f t="shared" ref="FB125:FC125" si="4284">SUM(FB126:FB129)</f>
        <v>0</v>
      </c>
      <c r="FC125" s="675">
        <f t="shared" si="4284"/>
        <v>0</v>
      </c>
      <c r="FD125" s="549">
        <f t="shared" ref="FD125:FE125" si="4285">SUM(FD126:FD129)</f>
        <v>0</v>
      </c>
      <c r="FE125" s="675">
        <f t="shared" si="4285"/>
        <v>-2971</v>
      </c>
      <c r="FF125" s="549">
        <f t="shared" ref="FF125:FG125" si="4286">SUM(FF126:FF129)</f>
        <v>0</v>
      </c>
      <c r="FG125" s="675">
        <f t="shared" si="4286"/>
        <v>-2940</v>
      </c>
      <c r="FH125" s="549">
        <f t="shared" ref="FH125:FI125" si="4287">SUM(FH126:FH129)</f>
        <v>0</v>
      </c>
      <c r="FI125" s="675">
        <f t="shared" si="4287"/>
        <v>0</v>
      </c>
      <c r="FJ125" s="549">
        <f t="shared" ref="FJ125:FK125" si="4288">SUM(FJ126:FJ129)</f>
        <v>0</v>
      </c>
      <c r="FK125" s="675">
        <f t="shared" si="4288"/>
        <v>0</v>
      </c>
      <c r="FL125" s="549">
        <f t="shared" ref="FL125:FM125" si="4289">SUM(FL126:FL129)</f>
        <v>2000</v>
      </c>
      <c r="FM125" s="675">
        <f t="shared" si="4289"/>
        <v>0</v>
      </c>
      <c r="FN125" s="549">
        <f t="shared" ref="FN125:FO125" si="4290">SUM(FN126:FN129)</f>
        <v>0</v>
      </c>
      <c r="FO125" s="675">
        <f t="shared" si="4290"/>
        <v>0</v>
      </c>
      <c r="FP125" s="549">
        <f t="shared" ref="FP125:FQ125" si="4291">SUM(FP126:FP129)</f>
        <v>0</v>
      </c>
      <c r="FQ125" s="675">
        <f t="shared" si="4291"/>
        <v>0</v>
      </c>
      <c r="FR125" s="549">
        <f t="shared" ref="FR125:FS125" si="4292">SUM(FR126:FR129)</f>
        <v>0</v>
      </c>
      <c r="FS125" s="675">
        <f t="shared" si="4292"/>
        <v>-3000</v>
      </c>
      <c r="FT125" s="549">
        <f t="shared" ref="FT125:FU125" si="4293">SUM(FT126:FT129)</f>
        <v>0</v>
      </c>
      <c r="FU125" s="675">
        <f t="shared" si="4293"/>
        <v>0</v>
      </c>
      <c r="FV125" s="549">
        <f t="shared" ref="FV125:GK125" si="4294">SUM(FV126:FV129)</f>
        <v>0</v>
      </c>
      <c r="FW125" s="675">
        <f t="shared" si="4294"/>
        <v>0</v>
      </c>
      <c r="FX125" s="549">
        <f t="shared" si="4294"/>
        <v>0</v>
      </c>
      <c r="FY125" s="675">
        <f t="shared" si="4294"/>
        <v>0</v>
      </c>
      <c r="FZ125" s="549">
        <f t="shared" ref="FZ125:GI125" si="4295">SUM(FZ126:FZ129)</f>
        <v>0</v>
      </c>
      <c r="GA125" s="675">
        <f t="shared" si="4295"/>
        <v>0</v>
      </c>
      <c r="GB125" s="549">
        <f t="shared" si="4295"/>
        <v>0</v>
      </c>
      <c r="GC125" s="675">
        <f t="shared" si="4295"/>
        <v>0</v>
      </c>
      <c r="GD125" s="549">
        <f t="shared" si="4295"/>
        <v>0</v>
      </c>
      <c r="GE125" s="675">
        <f t="shared" si="4295"/>
        <v>0</v>
      </c>
      <c r="GF125" s="549">
        <f t="shared" si="4295"/>
        <v>0</v>
      </c>
      <c r="GG125" s="675">
        <f t="shared" si="4295"/>
        <v>0</v>
      </c>
      <c r="GH125" s="549">
        <f t="shared" si="4295"/>
        <v>0</v>
      </c>
      <c r="GI125" s="675">
        <f t="shared" si="4295"/>
        <v>0</v>
      </c>
      <c r="GJ125" s="549">
        <f t="shared" si="4294"/>
        <v>0</v>
      </c>
      <c r="GK125" s="675">
        <f t="shared" si="4294"/>
        <v>0</v>
      </c>
      <c r="GL125" s="549">
        <f t="shared" ref="GL125:GR125" si="4296">SUM(GL126:GL129)</f>
        <v>0</v>
      </c>
      <c r="GM125" s="675">
        <f t="shared" si="4296"/>
        <v>0</v>
      </c>
      <c r="GN125" s="549">
        <f t="shared" ref="GN125:GO125" si="4297">SUM(GN126:GN129)</f>
        <v>0</v>
      </c>
      <c r="GO125" s="675">
        <f t="shared" si="4297"/>
        <v>0</v>
      </c>
      <c r="GP125" s="74">
        <f t="shared" si="4296"/>
        <v>23000</v>
      </c>
      <c r="GQ125" s="675">
        <f t="shared" si="4296"/>
        <v>-22911</v>
      </c>
      <c r="GR125" s="74">
        <f t="shared" si="4296"/>
        <v>50089</v>
      </c>
      <c r="GS125" s="74">
        <f>SUM(GS126:GS129)</f>
        <v>50089</v>
      </c>
      <c r="GT125" s="549">
        <f t="shared" ref="GT125:JM125" si="4298">SUM(GT126:GT129)</f>
        <v>50089</v>
      </c>
      <c r="GU125" s="74">
        <f>SUM(GU126:GU129)</f>
        <v>3870</v>
      </c>
      <c r="GV125" s="74">
        <f t="shared" ref="GV125:HA125" si="4299">SUM(GV126:GV129)</f>
        <v>3770</v>
      </c>
      <c r="GW125" s="74">
        <f t="shared" si="4299"/>
        <v>16970</v>
      </c>
      <c r="GX125" s="74">
        <f t="shared" si="4299"/>
        <v>3770</v>
      </c>
      <c r="GY125" s="74">
        <f t="shared" si="4299"/>
        <v>3770</v>
      </c>
      <c r="GZ125" s="74">
        <f t="shared" si="4299"/>
        <v>3770</v>
      </c>
      <c r="HA125" s="74">
        <f t="shared" si="4299"/>
        <v>3770</v>
      </c>
      <c r="HB125" s="74">
        <f t="shared" ref="HB125:HF125" si="4300">SUM(HB126:HB129)</f>
        <v>3770</v>
      </c>
      <c r="HC125" s="74">
        <f t="shared" si="4300"/>
        <v>3770</v>
      </c>
      <c r="HD125" s="74">
        <f t="shared" si="4300"/>
        <v>2770</v>
      </c>
      <c r="HE125" s="74">
        <f t="shared" si="4300"/>
        <v>0</v>
      </c>
      <c r="HF125" s="74">
        <f t="shared" si="4300"/>
        <v>0</v>
      </c>
      <c r="HG125" s="74">
        <f t="shared" si="4298"/>
        <v>50089</v>
      </c>
      <c r="HH125" s="74">
        <f t="shared" ref="HH125:HU125" si="4301">SUM(HH126:HH129)</f>
        <v>3870</v>
      </c>
      <c r="HI125" s="74">
        <f t="shared" si="4301"/>
        <v>0</v>
      </c>
      <c r="HJ125" s="74">
        <f t="shared" si="4301"/>
        <v>3770</v>
      </c>
      <c r="HK125" s="74">
        <f t="shared" si="4301"/>
        <v>0</v>
      </c>
      <c r="HL125" s="74">
        <f t="shared" si="4301"/>
        <v>3770</v>
      </c>
      <c r="HM125" s="74">
        <f t="shared" si="4301"/>
        <v>0</v>
      </c>
      <c r="HN125" s="74">
        <f t="shared" si="4301"/>
        <v>3770</v>
      </c>
      <c r="HO125" s="74">
        <f t="shared" si="4301"/>
        <v>0</v>
      </c>
      <c r="HP125" s="74">
        <f t="shared" si="4301"/>
        <v>17042</v>
      </c>
      <c r="HQ125" s="74">
        <f t="shared" si="4301"/>
        <v>0</v>
      </c>
      <c r="HR125" s="74">
        <f t="shared" si="4301"/>
        <v>1000</v>
      </c>
      <c r="HS125" s="74">
        <f t="shared" si="4301"/>
        <v>0</v>
      </c>
      <c r="HT125" s="74">
        <f t="shared" si="4301"/>
        <v>5000</v>
      </c>
      <c r="HU125" s="74">
        <f t="shared" si="4301"/>
        <v>0</v>
      </c>
      <c r="HV125" s="74">
        <f t="shared" si="4298"/>
        <v>12238</v>
      </c>
      <c r="HW125" s="74">
        <f t="shared" si="4298"/>
        <v>0</v>
      </c>
      <c r="HX125" s="74">
        <f t="shared" si="4298"/>
        <v>3770</v>
      </c>
      <c r="HY125" s="74">
        <f t="shared" si="4298"/>
        <v>0</v>
      </c>
      <c r="HZ125" s="74">
        <f t="shared" si="4298"/>
        <v>-4141</v>
      </c>
      <c r="IA125" s="74">
        <f t="shared" si="4298"/>
        <v>0</v>
      </c>
      <c r="IB125" s="74">
        <f t="shared" si="4298"/>
        <v>0</v>
      </c>
      <c r="IC125" s="74">
        <f t="shared" si="4298"/>
        <v>0</v>
      </c>
      <c r="ID125" s="74">
        <f t="shared" si="4298"/>
        <v>0</v>
      </c>
      <c r="IE125" s="792">
        <f t="shared" si="4298"/>
        <v>0</v>
      </c>
      <c r="IF125" s="841">
        <f t="shared" si="4298"/>
        <v>46760.41</v>
      </c>
      <c r="IG125" s="263">
        <f t="shared" si="4298"/>
        <v>46760.41</v>
      </c>
      <c r="IH125" s="842">
        <f t="shared" si="4298"/>
        <v>46760.41</v>
      </c>
      <c r="II125" s="155">
        <f t="shared" si="4298"/>
        <v>2402.4</v>
      </c>
      <c r="IJ125" s="74">
        <f t="shared" si="4298"/>
        <v>2402.4</v>
      </c>
      <c r="IK125" s="74">
        <f t="shared" si="4298"/>
        <v>2402.4</v>
      </c>
      <c r="IL125" s="74">
        <f t="shared" si="4298"/>
        <v>327.94</v>
      </c>
      <c r="IM125" s="74">
        <f t="shared" si="4298"/>
        <v>327.94</v>
      </c>
      <c r="IN125" s="74">
        <f t="shared" si="4298"/>
        <v>327.94</v>
      </c>
      <c r="IO125" s="74">
        <f t="shared" si="4298"/>
        <v>1368.2</v>
      </c>
      <c r="IP125" s="74">
        <f t="shared" si="4298"/>
        <v>1368.2</v>
      </c>
      <c r="IQ125" s="74">
        <f t="shared" si="4298"/>
        <v>1368.2</v>
      </c>
      <c r="IR125" s="74">
        <f t="shared" si="4298"/>
        <v>952.32000000000016</v>
      </c>
      <c r="IS125" s="74">
        <f t="shared" si="4298"/>
        <v>952.32000000000016</v>
      </c>
      <c r="IT125" s="74">
        <f t="shared" si="4298"/>
        <v>952.32000000000016</v>
      </c>
      <c r="IU125" s="74">
        <f t="shared" si="4298"/>
        <v>6754.47</v>
      </c>
      <c r="IV125" s="74">
        <f t="shared" si="4298"/>
        <v>6754.47</v>
      </c>
      <c r="IW125" s="74">
        <f t="shared" si="4298"/>
        <v>6754.47</v>
      </c>
      <c r="IX125" s="74">
        <f t="shared" si="4298"/>
        <v>2450.8199999999997</v>
      </c>
      <c r="IY125" s="74">
        <f t="shared" si="4298"/>
        <v>2450.8199999999997</v>
      </c>
      <c r="IZ125" s="74">
        <f t="shared" si="4298"/>
        <v>2450.8199999999997</v>
      </c>
      <c r="JA125" s="74">
        <f t="shared" si="4298"/>
        <v>8457.7100000000009</v>
      </c>
      <c r="JB125" s="74">
        <f t="shared" si="4298"/>
        <v>8457.7100000000009</v>
      </c>
      <c r="JC125" s="74">
        <f t="shared" si="4298"/>
        <v>8457.7100000000009</v>
      </c>
      <c r="JD125" s="74">
        <f t="shared" si="4298"/>
        <v>17927.71</v>
      </c>
      <c r="JE125" s="74">
        <f t="shared" si="4298"/>
        <v>17927.71</v>
      </c>
      <c r="JF125" s="74">
        <f t="shared" si="4298"/>
        <v>17927.71</v>
      </c>
      <c r="JG125" s="74">
        <f t="shared" si="4298"/>
        <v>1463.840000000002</v>
      </c>
      <c r="JH125" s="74">
        <f t="shared" si="4298"/>
        <v>1463.840000000002</v>
      </c>
      <c r="JI125" s="74">
        <f t="shared" si="4298"/>
        <v>1463.840000000002</v>
      </c>
      <c r="JJ125" s="74">
        <f t="shared" si="4298"/>
        <v>4655</v>
      </c>
      <c r="JK125" s="74">
        <f t="shared" si="4298"/>
        <v>4655</v>
      </c>
      <c r="JL125" s="74">
        <f t="shared" si="4298"/>
        <v>4655</v>
      </c>
      <c r="JM125" s="74">
        <f t="shared" si="4298"/>
        <v>0</v>
      </c>
      <c r="JN125" s="74">
        <f t="shared" ref="JN125:JT125" si="4302">SUM(JN126:JN129)</f>
        <v>0</v>
      </c>
      <c r="JO125" s="74">
        <f t="shared" si="4302"/>
        <v>0</v>
      </c>
      <c r="JP125" s="74">
        <f t="shared" si="4302"/>
        <v>0</v>
      </c>
      <c r="JQ125" s="74">
        <f t="shared" si="4302"/>
        <v>0</v>
      </c>
      <c r="JR125" s="74">
        <f t="shared" si="4302"/>
        <v>0</v>
      </c>
      <c r="JS125" s="74">
        <f t="shared" si="4302"/>
        <v>3328.5899999999983</v>
      </c>
      <c r="JT125" s="382">
        <f t="shared" si="4302"/>
        <v>3328.5899999999983</v>
      </c>
      <c r="JU125" s="671"/>
      <c r="JV125" s="492"/>
      <c r="JW125" s="490"/>
      <c r="JX125" s="549">
        <f>SUM(JX126:JX129)</f>
        <v>50089</v>
      </c>
      <c r="JY125" s="549">
        <f>SUM(JY126:JY129)</f>
        <v>0</v>
      </c>
      <c r="JZ125" s="581">
        <f t="shared" si="2110"/>
        <v>23000</v>
      </c>
      <c r="KA125" s="581">
        <f t="shared" si="2111"/>
        <v>-22911</v>
      </c>
      <c r="KB125" s="549">
        <f>SUM(KB126:KB129)</f>
        <v>50089</v>
      </c>
      <c r="KC125" s="709">
        <f t="shared" si="2079"/>
        <v>0</v>
      </c>
      <c r="KD125" s="36"/>
      <c r="KE125" s="36"/>
      <c r="KF125" s="36"/>
      <c r="KG125" s="36"/>
      <c r="KH125" s="36"/>
      <c r="KI125" s="36"/>
      <c r="KJ125" s="36"/>
      <c r="KK125" s="36"/>
    </row>
    <row r="126" spans="1:297" s="8" customFormat="1">
      <c r="A126" s="75">
        <v>231</v>
      </c>
      <c r="B126" s="72" t="s">
        <v>149</v>
      </c>
      <c r="C126" s="74">
        <f t="shared" ref="C126" si="4303">SUM(C459)</f>
        <v>13200</v>
      </c>
      <c r="D126" s="549">
        <f t="shared" ref="D126:E126" si="4304">SUM(D459)</f>
        <v>0</v>
      </c>
      <c r="E126" s="675">
        <f t="shared" si="4304"/>
        <v>0</v>
      </c>
      <c r="F126" s="549">
        <f t="shared" ref="F126:G126" si="4305">SUM(F459)</f>
        <v>0</v>
      </c>
      <c r="G126" s="675">
        <f t="shared" si="4305"/>
        <v>0</v>
      </c>
      <c r="H126" s="549">
        <f t="shared" ref="H126:I126" si="4306">SUM(H459)</f>
        <v>0</v>
      </c>
      <c r="I126" s="675">
        <f t="shared" si="4306"/>
        <v>0</v>
      </c>
      <c r="J126" s="549">
        <f t="shared" ref="J126:K126" si="4307">SUM(J459)</f>
        <v>0</v>
      </c>
      <c r="K126" s="675">
        <f t="shared" si="4307"/>
        <v>0</v>
      </c>
      <c r="L126" s="549">
        <f t="shared" ref="L126:M126" si="4308">SUM(L459)</f>
        <v>0</v>
      </c>
      <c r="M126" s="675">
        <f t="shared" si="4308"/>
        <v>0</v>
      </c>
      <c r="N126" s="549">
        <f t="shared" ref="N126:O126" si="4309">SUM(N459)</f>
        <v>0</v>
      </c>
      <c r="O126" s="675">
        <f t="shared" si="4309"/>
        <v>0</v>
      </c>
      <c r="P126" s="549">
        <f t="shared" ref="P126:Q126" si="4310">SUM(P459)</f>
        <v>0</v>
      </c>
      <c r="Q126" s="675">
        <f t="shared" si="4310"/>
        <v>0</v>
      </c>
      <c r="R126" s="549">
        <f t="shared" ref="R126:S126" si="4311">SUM(R459)</f>
        <v>0</v>
      </c>
      <c r="S126" s="675">
        <f t="shared" si="4311"/>
        <v>0</v>
      </c>
      <c r="T126" s="549">
        <f t="shared" ref="T126:U126" si="4312">SUM(T459)</f>
        <v>0</v>
      </c>
      <c r="U126" s="675">
        <f t="shared" si="4312"/>
        <v>0</v>
      </c>
      <c r="V126" s="549">
        <f t="shared" ref="V126:W126" si="4313">SUM(V459)</f>
        <v>0</v>
      </c>
      <c r="W126" s="675">
        <f t="shared" si="4313"/>
        <v>0</v>
      </c>
      <c r="X126" s="549">
        <f t="shared" ref="X126:Y126" si="4314">SUM(X459)</f>
        <v>0</v>
      </c>
      <c r="Y126" s="675">
        <f t="shared" si="4314"/>
        <v>0</v>
      </c>
      <c r="Z126" s="549">
        <f t="shared" ref="Z126:AA126" si="4315">SUM(Z459)</f>
        <v>0</v>
      </c>
      <c r="AA126" s="675">
        <f t="shared" si="4315"/>
        <v>0</v>
      </c>
      <c r="AB126" s="549">
        <f t="shared" ref="AB126:AC126" si="4316">SUM(AB459)</f>
        <v>0</v>
      </c>
      <c r="AC126" s="675">
        <f t="shared" si="4316"/>
        <v>0</v>
      </c>
      <c r="AD126" s="549">
        <f t="shared" ref="AD126:AE126" si="4317">SUM(AD459)</f>
        <v>0</v>
      </c>
      <c r="AE126" s="675">
        <f t="shared" si="4317"/>
        <v>0</v>
      </c>
      <c r="AF126" s="549">
        <f t="shared" ref="AF126:AI126" si="4318">SUM(AF459)</f>
        <v>0</v>
      </c>
      <c r="AG126" s="675">
        <f t="shared" si="4318"/>
        <v>-5000</v>
      </c>
      <c r="AH126" s="549">
        <f t="shared" si="4318"/>
        <v>0</v>
      </c>
      <c r="AI126" s="675">
        <f t="shared" si="4318"/>
        <v>0</v>
      </c>
      <c r="AJ126" s="549">
        <f t="shared" ref="AJ126:AK126" si="4319">SUM(AJ459)</f>
        <v>0</v>
      </c>
      <c r="AK126" s="675">
        <f t="shared" si="4319"/>
        <v>0</v>
      </c>
      <c r="AL126" s="549">
        <f t="shared" ref="AL126:AM126" si="4320">SUM(AL459)</f>
        <v>0</v>
      </c>
      <c r="AM126" s="675">
        <f t="shared" si="4320"/>
        <v>0</v>
      </c>
      <c r="AN126" s="549">
        <f t="shared" ref="AN126:AO126" si="4321">SUM(AN459)</f>
        <v>0</v>
      </c>
      <c r="AO126" s="675">
        <f t="shared" si="4321"/>
        <v>0</v>
      </c>
      <c r="AP126" s="549">
        <f t="shared" ref="AP126:AQ126" si="4322">SUM(AP459)</f>
        <v>0</v>
      </c>
      <c r="AQ126" s="675">
        <f t="shared" si="4322"/>
        <v>0</v>
      </c>
      <c r="AR126" s="549">
        <f t="shared" ref="AR126:AS126" si="4323">SUM(AR459)</f>
        <v>0</v>
      </c>
      <c r="AS126" s="675">
        <f t="shared" si="4323"/>
        <v>0</v>
      </c>
      <c r="AT126" s="549">
        <f t="shared" ref="AT126:AU126" si="4324">SUM(AT459)</f>
        <v>0</v>
      </c>
      <c r="AU126" s="675">
        <f t="shared" si="4324"/>
        <v>0</v>
      </c>
      <c r="AV126" s="549">
        <f t="shared" ref="AV126:AW126" si="4325">SUM(AV459)</f>
        <v>0</v>
      </c>
      <c r="AW126" s="675">
        <f t="shared" si="4325"/>
        <v>0</v>
      </c>
      <c r="AX126" s="549">
        <f t="shared" ref="AX126:AY126" si="4326">SUM(AX459)</f>
        <v>0</v>
      </c>
      <c r="AY126" s="675">
        <f t="shared" si="4326"/>
        <v>0</v>
      </c>
      <c r="AZ126" s="549">
        <f t="shared" ref="AZ126:BA126" si="4327">SUM(AZ459)</f>
        <v>0</v>
      </c>
      <c r="BA126" s="675">
        <f t="shared" si="4327"/>
        <v>0</v>
      </c>
      <c r="BB126" s="549">
        <f t="shared" ref="BB126:BC126" si="4328">SUM(BB459)</f>
        <v>0</v>
      </c>
      <c r="BC126" s="675">
        <f t="shared" si="4328"/>
        <v>0</v>
      </c>
      <c r="BD126" s="549">
        <f t="shared" ref="BD126:BE126" si="4329">SUM(BD459)</f>
        <v>0</v>
      </c>
      <c r="BE126" s="675">
        <f t="shared" si="4329"/>
        <v>0</v>
      </c>
      <c r="BF126" s="549">
        <f t="shared" ref="BF126:BG126" si="4330">SUM(BF459)</f>
        <v>0</v>
      </c>
      <c r="BG126" s="675">
        <f t="shared" si="4330"/>
        <v>0</v>
      </c>
      <c r="BH126" s="549">
        <f t="shared" ref="BH126:BI126" si="4331">SUM(BH459)</f>
        <v>9000</v>
      </c>
      <c r="BI126" s="675">
        <f t="shared" si="4331"/>
        <v>0</v>
      </c>
      <c r="BJ126" s="549">
        <f t="shared" ref="BJ126:BK126" si="4332">SUM(BJ459)</f>
        <v>0</v>
      </c>
      <c r="BK126" s="675">
        <f t="shared" si="4332"/>
        <v>0</v>
      </c>
      <c r="BL126" s="549">
        <f t="shared" ref="BL126:BS126" si="4333">SUM(BL459)</f>
        <v>0</v>
      </c>
      <c r="BM126" s="675">
        <f t="shared" si="4333"/>
        <v>0</v>
      </c>
      <c r="BN126" s="549">
        <f t="shared" si="4333"/>
        <v>0</v>
      </c>
      <c r="BO126" s="675">
        <f t="shared" si="4333"/>
        <v>0</v>
      </c>
      <c r="BP126" s="549">
        <f t="shared" si="4333"/>
        <v>0</v>
      </c>
      <c r="BQ126" s="675">
        <f t="shared" si="4333"/>
        <v>0</v>
      </c>
      <c r="BR126" s="549">
        <f t="shared" si="4333"/>
        <v>0</v>
      </c>
      <c r="BS126" s="675">
        <f t="shared" si="4333"/>
        <v>0</v>
      </c>
      <c r="BT126" s="549">
        <f t="shared" ref="BT126:BW126" si="4334">SUM(BT459)</f>
        <v>0</v>
      </c>
      <c r="BU126" s="675">
        <f t="shared" si="4334"/>
        <v>0</v>
      </c>
      <c r="BV126" s="549">
        <f t="shared" si="4334"/>
        <v>0</v>
      </c>
      <c r="BW126" s="675">
        <f t="shared" si="4334"/>
        <v>0</v>
      </c>
      <c r="BX126" s="549">
        <f t="shared" ref="BX126:BY126" si="4335">SUM(BX459)</f>
        <v>0</v>
      </c>
      <c r="BY126" s="675">
        <f t="shared" si="4335"/>
        <v>0</v>
      </c>
      <c r="BZ126" s="549">
        <f t="shared" ref="BZ126:CA126" si="4336">SUM(BZ459)</f>
        <v>0</v>
      </c>
      <c r="CA126" s="675">
        <f t="shared" si="4336"/>
        <v>0</v>
      </c>
      <c r="CB126" s="549">
        <f t="shared" ref="CB126:CE126" si="4337">SUM(CB459)</f>
        <v>0</v>
      </c>
      <c r="CC126" s="675">
        <f t="shared" si="4337"/>
        <v>0</v>
      </c>
      <c r="CD126" s="549">
        <f t="shared" si="4337"/>
        <v>0</v>
      </c>
      <c r="CE126" s="675">
        <f t="shared" si="4337"/>
        <v>0</v>
      </c>
      <c r="CF126" s="549">
        <f t="shared" ref="CF126:CG126" si="4338">SUM(CF459)</f>
        <v>0</v>
      </c>
      <c r="CG126" s="675">
        <f t="shared" si="4338"/>
        <v>0</v>
      </c>
      <c r="CH126" s="549">
        <f t="shared" ref="CH126:CQ126" si="4339">SUM(CH459)</f>
        <v>0</v>
      </c>
      <c r="CI126" s="675">
        <f t="shared" si="4339"/>
        <v>0</v>
      </c>
      <c r="CJ126" s="549">
        <f t="shared" si="4339"/>
        <v>0</v>
      </c>
      <c r="CK126" s="675">
        <f t="shared" si="4339"/>
        <v>-5000</v>
      </c>
      <c r="CL126" s="549">
        <f t="shared" si="4339"/>
        <v>0</v>
      </c>
      <c r="CM126" s="675">
        <f t="shared" si="4339"/>
        <v>0</v>
      </c>
      <c r="CN126" s="549">
        <f t="shared" si="4339"/>
        <v>0</v>
      </c>
      <c r="CO126" s="675">
        <f t="shared" si="4339"/>
        <v>0</v>
      </c>
      <c r="CP126" s="549">
        <f t="shared" si="4339"/>
        <v>0</v>
      </c>
      <c r="CQ126" s="675">
        <f t="shared" si="4339"/>
        <v>0</v>
      </c>
      <c r="CR126" s="549">
        <f t="shared" ref="CR126:CY126" si="4340">SUM(CR459)</f>
        <v>0</v>
      </c>
      <c r="CS126" s="675">
        <f t="shared" si="4340"/>
        <v>0</v>
      </c>
      <c r="CT126" s="549">
        <f t="shared" si="4340"/>
        <v>0</v>
      </c>
      <c r="CU126" s="675">
        <f t="shared" si="4340"/>
        <v>0</v>
      </c>
      <c r="CV126" s="549">
        <f t="shared" si="4340"/>
        <v>0</v>
      </c>
      <c r="CW126" s="675">
        <f t="shared" si="4340"/>
        <v>0</v>
      </c>
      <c r="CX126" s="549">
        <f t="shared" si="4340"/>
        <v>0</v>
      </c>
      <c r="CY126" s="675">
        <f t="shared" si="4340"/>
        <v>0</v>
      </c>
      <c r="CZ126" s="549">
        <f t="shared" ref="CZ126:DG126" si="4341">SUM(CZ459)</f>
        <v>0</v>
      </c>
      <c r="DA126" s="675">
        <f t="shared" si="4341"/>
        <v>0</v>
      </c>
      <c r="DB126" s="549">
        <f t="shared" si="4341"/>
        <v>0</v>
      </c>
      <c r="DC126" s="675">
        <f t="shared" si="4341"/>
        <v>0</v>
      </c>
      <c r="DD126" s="549">
        <f t="shared" ref="DD126:DE126" si="4342">SUM(DD459)</f>
        <v>0</v>
      </c>
      <c r="DE126" s="675">
        <f t="shared" si="4342"/>
        <v>0</v>
      </c>
      <c r="DF126" s="549">
        <f t="shared" si="4341"/>
        <v>0</v>
      </c>
      <c r="DG126" s="675">
        <f t="shared" si="4341"/>
        <v>0</v>
      </c>
      <c r="DH126" s="549">
        <f t="shared" ref="DH126:DI126" si="4343">SUM(DH459)</f>
        <v>0</v>
      </c>
      <c r="DI126" s="675">
        <f t="shared" si="4343"/>
        <v>0</v>
      </c>
      <c r="DJ126" s="549">
        <f t="shared" ref="DJ126:DM126" si="4344">SUM(DJ459)</f>
        <v>0</v>
      </c>
      <c r="DK126" s="675">
        <f t="shared" si="4344"/>
        <v>0</v>
      </c>
      <c r="DL126" s="549">
        <f t="shared" si="4344"/>
        <v>0</v>
      </c>
      <c r="DM126" s="675">
        <f t="shared" si="4344"/>
        <v>0</v>
      </c>
      <c r="DN126" s="549">
        <f t="shared" ref="DN126:DO126" si="4345">SUM(DN459)</f>
        <v>0</v>
      </c>
      <c r="DO126" s="675">
        <f t="shared" si="4345"/>
        <v>0</v>
      </c>
      <c r="DP126" s="549">
        <f t="shared" ref="DP126:DU126" si="4346">SUM(DP459)</f>
        <v>0</v>
      </c>
      <c r="DQ126" s="675">
        <f t="shared" si="4346"/>
        <v>0</v>
      </c>
      <c r="DR126" s="549">
        <f t="shared" si="4346"/>
        <v>0</v>
      </c>
      <c r="DS126" s="675">
        <f t="shared" si="4346"/>
        <v>0</v>
      </c>
      <c r="DT126" s="549">
        <f t="shared" si="4346"/>
        <v>0</v>
      </c>
      <c r="DU126" s="675">
        <f t="shared" si="4346"/>
        <v>0</v>
      </c>
      <c r="DV126" s="549">
        <f t="shared" ref="DV126:DW126" si="4347">SUM(DV459)</f>
        <v>0</v>
      </c>
      <c r="DW126" s="675">
        <f t="shared" si="4347"/>
        <v>0</v>
      </c>
      <c r="DX126" s="549">
        <f t="shared" ref="DX126:EG126" si="4348">SUM(DX459)</f>
        <v>0</v>
      </c>
      <c r="DY126" s="675">
        <f t="shared" si="4348"/>
        <v>0</v>
      </c>
      <c r="DZ126" s="549">
        <f t="shared" si="4348"/>
        <v>0</v>
      </c>
      <c r="EA126" s="675">
        <f t="shared" si="4348"/>
        <v>0</v>
      </c>
      <c r="EB126" s="549">
        <f t="shared" si="4348"/>
        <v>0</v>
      </c>
      <c r="EC126" s="675">
        <f t="shared" si="4348"/>
        <v>0</v>
      </c>
      <c r="ED126" s="549">
        <f t="shared" si="4348"/>
        <v>0</v>
      </c>
      <c r="EE126" s="675">
        <f t="shared" si="4348"/>
        <v>0</v>
      </c>
      <c r="EF126" s="549">
        <f t="shared" si="4348"/>
        <v>0</v>
      </c>
      <c r="EG126" s="675">
        <f t="shared" si="4348"/>
        <v>0</v>
      </c>
      <c r="EH126" s="549">
        <f t="shared" ref="EH126:EM126" si="4349">SUM(EH459)</f>
        <v>0</v>
      </c>
      <c r="EI126" s="675">
        <f t="shared" si="4349"/>
        <v>0</v>
      </c>
      <c r="EJ126" s="549">
        <f t="shared" si="4349"/>
        <v>0</v>
      </c>
      <c r="EK126" s="675">
        <f t="shared" si="4349"/>
        <v>0</v>
      </c>
      <c r="EL126" s="549">
        <f t="shared" si="4349"/>
        <v>0</v>
      </c>
      <c r="EM126" s="675">
        <f t="shared" si="4349"/>
        <v>0</v>
      </c>
      <c r="EN126" s="549">
        <f t="shared" ref="EN126:EO126" si="4350">SUM(EN459)</f>
        <v>0</v>
      </c>
      <c r="EO126" s="675">
        <f t="shared" si="4350"/>
        <v>0</v>
      </c>
      <c r="EP126" s="549">
        <f t="shared" ref="EP126:EU126" si="4351">SUM(EP459)</f>
        <v>0</v>
      </c>
      <c r="EQ126" s="675">
        <f t="shared" si="4351"/>
        <v>0</v>
      </c>
      <c r="ER126" s="549">
        <f t="shared" si="4351"/>
        <v>0</v>
      </c>
      <c r="ES126" s="675">
        <f t="shared" si="4351"/>
        <v>0</v>
      </c>
      <c r="ET126" s="549">
        <f t="shared" si="4351"/>
        <v>0</v>
      </c>
      <c r="EU126" s="675">
        <f t="shared" si="4351"/>
        <v>0</v>
      </c>
      <c r="EV126" s="549">
        <f t="shared" ref="EV126:GQ126" si="4352">SUM(EV459)</f>
        <v>0</v>
      </c>
      <c r="EW126" s="675">
        <f t="shared" si="4352"/>
        <v>0</v>
      </c>
      <c r="EX126" s="549">
        <f t="shared" si="4352"/>
        <v>0</v>
      </c>
      <c r="EY126" s="675">
        <f t="shared" si="4352"/>
        <v>0</v>
      </c>
      <c r="EZ126" s="549">
        <f t="shared" si="4352"/>
        <v>0</v>
      </c>
      <c r="FA126" s="675">
        <f t="shared" si="4352"/>
        <v>0</v>
      </c>
      <c r="FB126" s="549">
        <f t="shared" si="4352"/>
        <v>0</v>
      </c>
      <c r="FC126" s="675">
        <f t="shared" si="4352"/>
        <v>0</v>
      </c>
      <c r="FD126" s="549">
        <f t="shared" si="4352"/>
        <v>0</v>
      </c>
      <c r="FE126" s="675">
        <f t="shared" si="4352"/>
        <v>-2000</v>
      </c>
      <c r="FF126" s="549">
        <f t="shared" ref="FF126:FG126" si="4353">SUM(FF459)</f>
        <v>0</v>
      </c>
      <c r="FG126" s="675">
        <f t="shared" si="4353"/>
        <v>0</v>
      </c>
      <c r="FH126" s="549">
        <f t="shared" ref="FH126:FI126" si="4354">SUM(FH459)</f>
        <v>0</v>
      </c>
      <c r="FI126" s="675">
        <f t="shared" si="4354"/>
        <v>0</v>
      </c>
      <c r="FJ126" s="549">
        <f t="shared" ref="FJ126:FK126" si="4355">SUM(FJ459)</f>
        <v>0</v>
      </c>
      <c r="FK126" s="675">
        <f t="shared" si="4355"/>
        <v>0</v>
      </c>
      <c r="FL126" s="549">
        <f t="shared" ref="FL126:FM126" si="4356">SUM(FL459)</f>
        <v>0</v>
      </c>
      <c r="FM126" s="675">
        <f t="shared" si="4356"/>
        <v>0</v>
      </c>
      <c r="FN126" s="549">
        <f t="shared" ref="FN126:FO126" si="4357">SUM(FN459)</f>
        <v>0</v>
      </c>
      <c r="FO126" s="675">
        <f t="shared" si="4357"/>
        <v>0</v>
      </c>
      <c r="FP126" s="549">
        <f t="shared" ref="FP126:FQ126" si="4358">SUM(FP459)</f>
        <v>0</v>
      </c>
      <c r="FQ126" s="675">
        <f t="shared" si="4358"/>
        <v>0</v>
      </c>
      <c r="FR126" s="549">
        <f t="shared" ref="FR126:FS126" si="4359">SUM(FR459)</f>
        <v>0</v>
      </c>
      <c r="FS126" s="675">
        <f t="shared" si="4359"/>
        <v>0</v>
      </c>
      <c r="FT126" s="549">
        <f t="shared" ref="FT126:FU126" si="4360">SUM(FT459)</f>
        <v>0</v>
      </c>
      <c r="FU126" s="675">
        <f t="shared" si="4360"/>
        <v>0</v>
      </c>
      <c r="FV126" s="549">
        <f t="shared" ref="FV126:GK126" si="4361">SUM(FV459)</f>
        <v>0</v>
      </c>
      <c r="FW126" s="675">
        <f t="shared" si="4361"/>
        <v>0</v>
      </c>
      <c r="FX126" s="549">
        <f t="shared" si="4361"/>
        <v>0</v>
      </c>
      <c r="FY126" s="675">
        <f t="shared" si="4361"/>
        <v>0</v>
      </c>
      <c r="FZ126" s="549">
        <f t="shared" ref="FZ126:GI126" si="4362">SUM(FZ459)</f>
        <v>0</v>
      </c>
      <c r="GA126" s="675">
        <f t="shared" si="4362"/>
        <v>0</v>
      </c>
      <c r="GB126" s="549">
        <f t="shared" si="4362"/>
        <v>0</v>
      </c>
      <c r="GC126" s="675">
        <f t="shared" si="4362"/>
        <v>0</v>
      </c>
      <c r="GD126" s="549">
        <f t="shared" si="4362"/>
        <v>0</v>
      </c>
      <c r="GE126" s="675">
        <f t="shared" si="4362"/>
        <v>0</v>
      </c>
      <c r="GF126" s="549">
        <f t="shared" si="4362"/>
        <v>0</v>
      </c>
      <c r="GG126" s="675">
        <f t="shared" si="4362"/>
        <v>0</v>
      </c>
      <c r="GH126" s="549">
        <f t="shared" si="4362"/>
        <v>0</v>
      </c>
      <c r="GI126" s="675">
        <f t="shared" si="4362"/>
        <v>0</v>
      </c>
      <c r="GJ126" s="549">
        <f t="shared" si="4361"/>
        <v>0</v>
      </c>
      <c r="GK126" s="675">
        <f t="shared" si="4361"/>
        <v>0</v>
      </c>
      <c r="GL126" s="549">
        <f t="shared" ref="GL126:GM126" si="4363">SUM(GL459)</f>
        <v>0</v>
      </c>
      <c r="GM126" s="675">
        <f t="shared" si="4363"/>
        <v>0</v>
      </c>
      <c r="GN126" s="549">
        <f t="shared" ref="GN126:GO126" si="4364">SUM(GN459)</f>
        <v>0</v>
      </c>
      <c r="GO126" s="675">
        <f t="shared" si="4364"/>
        <v>0</v>
      </c>
      <c r="GP126" s="74">
        <f t="shared" si="4352"/>
        <v>9000</v>
      </c>
      <c r="GQ126" s="675">
        <f t="shared" si="4352"/>
        <v>-12000</v>
      </c>
      <c r="GR126" s="74">
        <f t="shared" ref="GR126:HK126" si="4365">SUM(GR459)</f>
        <v>10200</v>
      </c>
      <c r="GS126" s="74">
        <f t="shared" si="4365"/>
        <v>10200</v>
      </c>
      <c r="GT126" s="74">
        <f t="shared" si="4365"/>
        <v>10200</v>
      </c>
      <c r="GU126" s="74">
        <f t="shared" si="4365"/>
        <v>0</v>
      </c>
      <c r="GV126" s="74">
        <f t="shared" si="4365"/>
        <v>0</v>
      </c>
      <c r="GW126" s="74">
        <f t="shared" si="4365"/>
        <v>13200</v>
      </c>
      <c r="GX126" s="74">
        <f t="shared" si="4365"/>
        <v>0</v>
      </c>
      <c r="GY126" s="74">
        <f t="shared" si="4365"/>
        <v>0</v>
      </c>
      <c r="GZ126" s="74">
        <f t="shared" si="4365"/>
        <v>0</v>
      </c>
      <c r="HA126" s="74">
        <f t="shared" si="4365"/>
        <v>0</v>
      </c>
      <c r="HB126" s="74">
        <f t="shared" si="4365"/>
        <v>0</v>
      </c>
      <c r="HC126" s="74">
        <f t="shared" si="4365"/>
        <v>0</v>
      </c>
      <c r="HD126" s="74">
        <f t="shared" si="4365"/>
        <v>0</v>
      </c>
      <c r="HE126" s="74">
        <f t="shared" si="4365"/>
        <v>0</v>
      </c>
      <c r="HF126" s="74">
        <f t="shared" si="4365"/>
        <v>0</v>
      </c>
      <c r="HG126" s="74">
        <f t="shared" si="4365"/>
        <v>10200</v>
      </c>
      <c r="HH126" s="74">
        <f t="shared" si="4365"/>
        <v>0</v>
      </c>
      <c r="HI126" s="74">
        <f t="shared" si="4365"/>
        <v>0</v>
      </c>
      <c r="HJ126" s="74">
        <f t="shared" si="4365"/>
        <v>0</v>
      </c>
      <c r="HK126" s="74">
        <f t="shared" si="4365"/>
        <v>0</v>
      </c>
      <c r="HL126" s="74">
        <f t="shared" ref="HL126:JT126" si="4366">SUM(HL459)</f>
        <v>0</v>
      </c>
      <c r="HM126" s="74">
        <f t="shared" si="4366"/>
        <v>0</v>
      </c>
      <c r="HN126" s="74">
        <f t="shared" si="4366"/>
        <v>0</v>
      </c>
      <c r="HO126" s="74">
        <f t="shared" si="4366"/>
        <v>0</v>
      </c>
      <c r="HP126" s="74">
        <f t="shared" si="4366"/>
        <v>11272</v>
      </c>
      <c r="HQ126" s="74">
        <f t="shared" si="4366"/>
        <v>0</v>
      </c>
      <c r="HR126" s="74">
        <f t="shared" si="4366"/>
        <v>0</v>
      </c>
      <c r="HS126" s="74">
        <f t="shared" si="4366"/>
        <v>0</v>
      </c>
      <c r="HT126" s="74">
        <f t="shared" si="4366"/>
        <v>0</v>
      </c>
      <c r="HU126" s="74">
        <f t="shared" si="4366"/>
        <v>0</v>
      </c>
      <c r="HV126" s="74">
        <f t="shared" si="4366"/>
        <v>928</v>
      </c>
      <c r="HW126" s="74">
        <f t="shared" si="4366"/>
        <v>0</v>
      </c>
      <c r="HX126" s="74">
        <f t="shared" si="4366"/>
        <v>0</v>
      </c>
      <c r="HY126" s="74">
        <f t="shared" si="4366"/>
        <v>0</v>
      </c>
      <c r="HZ126" s="74">
        <f t="shared" si="4366"/>
        <v>-2000</v>
      </c>
      <c r="IA126" s="74">
        <f t="shared" si="4366"/>
        <v>0</v>
      </c>
      <c r="IB126" s="74">
        <f t="shared" si="4366"/>
        <v>0</v>
      </c>
      <c r="IC126" s="74">
        <f t="shared" si="4366"/>
        <v>0</v>
      </c>
      <c r="ID126" s="74">
        <f t="shared" si="4366"/>
        <v>0</v>
      </c>
      <c r="IE126" s="792">
        <f t="shared" si="4366"/>
        <v>0</v>
      </c>
      <c r="IF126" s="841">
        <f t="shared" si="4366"/>
        <v>10065.76</v>
      </c>
      <c r="IG126" s="263">
        <f t="shared" si="4366"/>
        <v>10065.76</v>
      </c>
      <c r="IH126" s="842">
        <f t="shared" si="4366"/>
        <v>10065.76</v>
      </c>
      <c r="II126" s="155">
        <f t="shared" si="4366"/>
        <v>0</v>
      </c>
      <c r="IJ126" s="74">
        <f t="shared" si="4366"/>
        <v>0</v>
      </c>
      <c r="IK126" s="74">
        <f t="shared" si="4366"/>
        <v>0</v>
      </c>
      <c r="IL126" s="74">
        <f t="shared" si="4366"/>
        <v>0</v>
      </c>
      <c r="IM126" s="74">
        <f t="shared" si="4366"/>
        <v>0</v>
      </c>
      <c r="IN126" s="74">
        <f t="shared" si="4366"/>
        <v>0</v>
      </c>
      <c r="IO126" s="74">
        <f t="shared" si="4366"/>
        <v>0</v>
      </c>
      <c r="IP126" s="74">
        <f t="shared" si="4366"/>
        <v>0</v>
      </c>
      <c r="IQ126" s="74">
        <f t="shared" si="4366"/>
        <v>0</v>
      </c>
      <c r="IR126" s="74">
        <f t="shared" si="4366"/>
        <v>0</v>
      </c>
      <c r="IS126" s="74">
        <f t="shared" si="4366"/>
        <v>0</v>
      </c>
      <c r="IT126" s="74">
        <f t="shared" si="4366"/>
        <v>0</v>
      </c>
      <c r="IU126" s="74">
        <f t="shared" si="4366"/>
        <v>1272</v>
      </c>
      <c r="IV126" s="74">
        <f t="shared" si="4366"/>
        <v>1272</v>
      </c>
      <c r="IW126" s="74">
        <f t="shared" si="4366"/>
        <v>1272</v>
      </c>
      <c r="IX126" s="74">
        <f t="shared" si="4366"/>
        <v>0</v>
      </c>
      <c r="IY126" s="74">
        <f t="shared" si="4366"/>
        <v>0</v>
      </c>
      <c r="IZ126" s="74">
        <f t="shared" si="4366"/>
        <v>0</v>
      </c>
      <c r="JA126" s="74">
        <f t="shared" si="4366"/>
        <v>0</v>
      </c>
      <c r="JB126" s="74">
        <f t="shared" si="4366"/>
        <v>0</v>
      </c>
      <c r="JC126" s="74">
        <f t="shared" si="4366"/>
        <v>0</v>
      </c>
      <c r="JD126" s="74">
        <f t="shared" si="4366"/>
        <v>8793.76</v>
      </c>
      <c r="JE126" s="74">
        <f t="shared" si="4366"/>
        <v>8793.76</v>
      </c>
      <c r="JF126" s="74">
        <f t="shared" si="4366"/>
        <v>8793.76</v>
      </c>
      <c r="JG126" s="74">
        <f t="shared" si="4366"/>
        <v>0</v>
      </c>
      <c r="JH126" s="74">
        <f t="shared" si="4366"/>
        <v>0</v>
      </c>
      <c r="JI126" s="74">
        <f t="shared" si="4366"/>
        <v>0</v>
      </c>
      <c r="JJ126" s="74">
        <f t="shared" si="4366"/>
        <v>0</v>
      </c>
      <c r="JK126" s="74">
        <f t="shared" si="4366"/>
        <v>0</v>
      </c>
      <c r="JL126" s="74">
        <f t="shared" si="4366"/>
        <v>0</v>
      </c>
      <c r="JM126" s="74">
        <f t="shared" si="4366"/>
        <v>0</v>
      </c>
      <c r="JN126" s="74">
        <f t="shared" si="4366"/>
        <v>0</v>
      </c>
      <c r="JO126" s="74">
        <f t="shared" si="4366"/>
        <v>0</v>
      </c>
      <c r="JP126" s="74">
        <f t="shared" si="4366"/>
        <v>0</v>
      </c>
      <c r="JQ126" s="74">
        <f t="shared" si="4366"/>
        <v>0</v>
      </c>
      <c r="JR126" s="74">
        <f t="shared" si="4366"/>
        <v>0</v>
      </c>
      <c r="JS126" s="74">
        <f t="shared" si="4366"/>
        <v>134.23999999999978</v>
      </c>
      <c r="JT126" s="102">
        <f t="shared" si="4366"/>
        <v>134.23999999999978</v>
      </c>
      <c r="JU126" s="671"/>
      <c r="JV126" s="492"/>
      <c r="JW126" s="490"/>
      <c r="JX126" s="549">
        <f t="shared" ref="JX126:KB128" si="4367">SUM(JX459)</f>
        <v>10200</v>
      </c>
      <c r="JY126" s="549">
        <f t="shared" si="4367"/>
        <v>0</v>
      </c>
      <c r="JZ126" s="581">
        <f t="shared" si="2110"/>
        <v>9000</v>
      </c>
      <c r="KA126" s="581">
        <f t="shared" si="2111"/>
        <v>-12000</v>
      </c>
      <c r="KB126" s="549">
        <f t="shared" si="4367"/>
        <v>10200</v>
      </c>
      <c r="KC126" s="709">
        <f t="shared" si="2079"/>
        <v>0</v>
      </c>
      <c r="KD126" s="36"/>
      <c r="KE126" s="36"/>
      <c r="KF126" s="36"/>
      <c r="KG126" s="36"/>
      <c r="KH126" s="36"/>
      <c r="KI126" s="36"/>
      <c r="KJ126" s="36"/>
      <c r="KK126" s="36"/>
    </row>
    <row r="127" spans="1:297" s="8" customFormat="1">
      <c r="A127" s="75">
        <v>232</v>
      </c>
      <c r="B127" s="72" t="s">
        <v>150</v>
      </c>
      <c r="C127" s="74">
        <f t="shared" ref="C127:E127" si="4368">SUM(C460)</f>
        <v>27700</v>
      </c>
      <c r="D127" s="549">
        <f t="shared" si="4368"/>
        <v>0</v>
      </c>
      <c r="E127" s="675">
        <f t="shared" si="4368"/>
        <v>0</v>
      </c>
      <c r="F127" s="549">
        <f t="shared" ref="F127:G127" si="4369">SUM(F460)</f>
        <v>0</v>
      </c>
      <c r="G127" s="675">
        <f t="shared" si="4369"/>
        <v>0</v>
      </c>
      <c r="H127" s="549">
        <f t="shared" ref="H127:I127" si="4370">SUM(H460)</f>
        <v>0</v>
      </c>
      <c r="I127" s="675">
        <f t="shared" si="4370"/>
        <v>0</v>
      </c>
      <c r="J127" s="549">
        <f t="shared" ref="J127:K127" si="4371">SUM(J460)</f>
        <v>0</v>
      </c>
      <c r="K127" s="675">
        <f t="shared" si="4371"/>
        <v>0</v>
      </c>
      <c r="L127" s="549">
        <f t="shared" ref="L127:M127" si="4372">SUM(L460)</f>
        <v>0</v>
      </c>
      <c r="M127" s="675">
        <f t="shared" si="4372"/>
        <v>0</v>
      </c>
      <c r="N127" s="549">
        <f t="shared" ref="N127:O127" si="4373">SUM(N460)</f>
        <v>0</v>
      </c>
      <c r="O127" s="675">
        <f t="shared" si="4373"/>
        <v>0</v>
      </c>
      <c r="P127" s="549">
        <f t="shared" ref="P127:Q127" si="4374">SUM(P460)</f>
        <v>0</v>
      </c>
      <c r="Q127" s="675">
        <f t="shared" si="4374"/>
        <v>0</v>
      </c>
      <c r="R127" s="549">
        <f t="shared" ref="R127:S127" si="4375">SUM(R460)</f>
        <v>0</v>
      </c>
      <c r="S127" s="675">
        <f t="shared" si="4375"/>
        <v>0</v>
      </c>
      <c r="T127" s="549">
        <f t="shared" ref="T127:U127" si="4376">SUM(T460)</f>
        <v>0</v>
      </c>
      <c r="U127" s="675">
        <f t="shared" si="4376"/>
        <v>0</v>
      </c>
      <c r="V127" s="549">
        <f t="shared" ref="V127:W127" si="4377">SUM(V460)</f>
        <v>0</v>
      </c>
      <c r="W127" s="675">
        <f t="shared" si="4377"/>
        <v>0</v>
      </c>
      <c r="X127" s="549">
        <f t="shared" ref="X127:Y127" si="4378">SUM(X460)</f>
        <v>0</v>
      </c>
      <c r="Y127" s="675">
        <f t="shared" si="4378"/>
        <v>0</v>
      </c>
      <c r="Z127" s="549">
        <f t="shared" ref="Z127:AA127" si="4379">SUM(Z460)</f>
        <v>0</v>
      </c>
      <c r="AA127" s="675">
        <f t="shared" si="4379"/>
        <v>0</v>
      </c>
      <c r="AB127" s="549">
        <f t="shared" ref="AB127:AC127" si="4380">SUM(AB460)</f>
        <v>0</v>
      </c>
      <c r="AC127" s="675">
        <f t="shared" si="4380"/>
        <v>0</v>
      </c>
      <c r="AD127" s="549">
        <f t="shared" ref="AD127:AE127" si="4381">SUM(AD460)</f>
        <v>0</v>
      </c>
      <c r="AE127" s="675">
        <f t="shared" si="4381"/>
        <v>0</v>
      </c>
      <c r="AF127" s="549">
        <f t="shared" ref="AF127:AI127" si="4382">SUM(AF460)</f>
        <v>0</v>
      </c>
      <c r="AG127" s="675">
        <f t="shared" si="4382"/>
        <v>0</v>
      </c>
      <c r="AH127" s="549">
        <f t="shared" si="4382"/>
        <v>0</v>
      </c>
      <c r="AI127" s="675">
        <f t="shared" si="4382"/>
        <v>0</v>
      </c>
      <c r="AJ127" s="549">
        <f t="shared" ref="AJ127:AK127" si="4383">SUM(AJ460)</f>
        <v>0</v>
      </c>
      <c r="AK127" s="675">
        <f t="shared" si="4383"/>
        <v>0</v>
      </c>
      <c r="AL127" s="549">
        <f t="shared" ref="AL127:AM127" si="4384">SUM(AL460)</f>
        <v>0</v>
      </c>
      <c r="AM127" s="675">
        <f t="shared" si="4384"/>
        <v>0</v>
      </c>
      <c r="AN127" s="549">
        <f t="shared" ref="AN127:AO127" si="4385">SUM(AN460)</f>
        <v>0</v>
      </c>
      <c r="AO127" s="675">
        <f t="shared" si="4385"/>
        <v>0</v>
      </c>
      <c r="AP127" s="549">
        <f t="shared" ref="AP127:AQ127" si="4386">SUM(AP460)</f>
        <v>0</v>
      </c>
      <c r="AQ127" s="675">
        <f t="shared" si="4386"/>
        <v>0</v>
      </c>
      <c r="AR127" s="549">
        <f t="shared" ref="AR127:AS127" si="4387">SUM(AR460)</f>
        <v>0</v>
      </c>
      <c r="AS127" s="675">
        <f t="shared" si="4387"/>
        <v>0</v>
      </c>
      <c r="AT127" s="549">
        <f t="shared" ref="AT127:AU127" si="4388">SUM(AT460)</f>
        <v>0</v>
      </c>
      <c r="AU127" s="675">
        <f t="shared" si="4388"/>
        <v>0</v>
      </c>
      <c r="AV127" s="549">
        <f t="shared" ref="AV127:AW127" si="4389">SUM(AV460)</f>
        <v>0</v>
      </c>
      <c r="AW127" s="675">
        <f t="shared" si="4389"/>
        <v>0</v>
      </c>
      <c r="AX127" s="549">
        <f t="shared" ref="AX127:AY127" si="4390">SUM(AX460)</f>
        <v>0</v>
      </c>
      <c r="AY127" s="675">
        <f t="shared" si="4390"/>
        <v>0</v>
      </c>
      <c r="AZ127" s="549">
        <f t="shared" ref="AZ127:BA127" si="4391">SUM(AZ460)</f>
        <v>0</v>
      </c>
      <c r="BA127" s="675">
        <f t="shared" si="4391"/>
        <v>-2000</v>
      </c>
      <c r="BB127" s="549">
        <f t="shared" ref="BB127:BC127" si="4392">SUM(BB460)</f>
        <v>0</v>
      </c>
      <c r="BC127" s="675">
        <f t="shared" si="4392"/>
        <v>0</v>
      </c>
      <c r="BD127" s="549">
        <f t="shared" ref="BD127:BE127" si="4393">SUM(BD460)</f>
        <v>0</v>
      </c>
      <c r="BE127" s="675">
        <f t="shared" si="4393"/>
        <v>0</v>
      </c>
      <c r="BF127" s="549">
        <f t="shared" ref="BF127:BG127" si="4394">SUM(BF460)</f>
        <v>0</v>
      </c>
      <c r="BG127" s="675">
        <f t="shared" si="4394"/>
        <v>0</v>
      </c>
      <c r="BH127" s="549">
        <f t="shared" ref="BH127:BI127" si="4395">SUM(BH460)</f>
        <v>0</v>
      </c>
      <c r="BI127" s="675">
        <f t="shared" si="4395"/>
        <v>0</v>
      </c>
      <c r="BJ127" s="549">
        <f t="shared" ref="BJ127:BK127" si="4396">SUM(BJ460)</f>
        <v>0</v>
      </c>
      <c r="BK127" s="675">
        <f t="shared" si="4396"/>
        <v>0</v>
      </c>
      <c r="BL127" s="549">
        <f t="shared" ref="BL127:BS127" si="4397">SUM(BL460)</f>
        <v>0</v>
      </c>
      <c r="BM127" s="675">
        <f t="shared" si="4397"/>
        <v>0</v>
      </c>
      <c r="BN127" s="549">
        <f t="shared" si="4397"/>
        <v>0</v>
      </c>
      <c r="BO127" s="675">
        <f t="shared" si="4397"/>
        <v>0</v>
      </c>
      <c r="BP127" s="549">
        <f t="shared" si="4397"/>
        <v>0</v>
      </c>
      <c r="BQ127" s="675">
        <f t="shared" si="4397"/>
        <v>0</v>
      </c>
      <c r="BR127" s="549">
        <f t="shared" si="4397"/>
        <v>0</v>
      </c>
      <c r="BS127" s="675">
        <f t="shared" si="4397"/>
        <v>0</v>
      </c>
      <c r="BT127" s="549">
        <f t="shared" ref="BT127:BU127" si="4398">SUM(BT460)</f>
        <v>0</v>
      </c>
      <c r="BU127" s="675">
        <f t="shared" si="4398"/>
        <v>0</v>
      </c>
      <c r="BV127" s="549">
        <f t="shared" ref="BV127:BW127" si="4399">SUM(BV460)</f>
        <v>0</v>
      </c>
      <c r="BW127" s="675">
        <f t="shared" si="4399"/>
        <v>0</v>
      </c>
      <c r="BX127" s="549">
        <f t="shared" ref="BX127:BY127" si="4400">SUM(BX460)</f>
        <v>0</v>
      </c>
      <c r="BY127" s="675">
        <f t="shared" si="4400"/>
        <v>0</v>
      </c>
      <c r="BZ127" s="549">
        <f t="shared" ref="BZ127:CA127" si="4401">SUM(BZ460)</f>
        <v>0</v>
      </c>
      <c r="CA127" s="675">
        <f t="shared" si="4401"/>
        <v>0</v>
      </c>
      <c r="CB127" s="549">
        <f t="shared" ref="CB127:CE127" si="4402">SUM(CB460)</f>
        <v>0</v>
      </c>
      <c r="CC127" s="675">
        <f t="shared" si="4402"/>
        <v>0</v>
      </c>
      <c r="CD127" s="549">
        <f t="shared" si="4402"/>
        <v>0</v>
      </c>
      <c r="CE127" s="675">
        <f t="shared" si="4402"/>
        <v>0</v>
      </c>
      <c r="CF127" s="549">
        <f t="shared" ref="CF127:CG127" si="4403">SUM(CF460)</f>
        <v>0</v>
      </c>
      <c r="CG127" s="675">
        <f t="shared" si="4403"/>
        <v>0</v>
      </c>
      <c r="CH127" s="549">
        <f t="shared" ref="CH127:CQ127" si="4404">SUM(CH460)</f>
        <v>0</v>
      </c>
      <c r="CI127" s="675">
        <f t="shared" si="4404"/>
        <v>0</v>
      </c>
      <c r="CJ127" s="549">
        <f t="shared" si="4404"/>
        <v>0</v>
      </c>
      <c r="CK127" s="675">
        <f t="shared" si="4404"/>
        <v>0</v>
      </c>
      <c r="CL127" s="549">
        <f t="shared" si="4404"/>
        <v>0</v>
      </c>
      <c r="CM127" s="675">
        <f t="shared" si="4404"/>
        <v>0</v>
      </c>
      <c r="CN127" s="549">
        <f t="shared" si="4404"/>
        <v>0</v>
      </c>
      <c r="CO127" s="675">
        <f t="shared" si="4404"/>
        <v>0</v>
      </c>
      <c r="CP127" s="549">
        <f t="shared" si="4404"/>
        <v>0</v>
      </c>
      <c r="CQ127" s="675">
        <f t="shared" si="4404"/>
        <v>0</v>
      </c>
      <c r="CR127" s="549">
        <f t="shared" ref="CR127:CS127" si="4405">SUM(CR460)</f>
        <v>0</v>
      </c>
      <c r="CS127" s="675">
        <f t="shared" si="4405"/>
        <v>0</v>
      </c>
      <c r="CT127" s="549">
        <f t="shared" ref="CT127:CU127" si="4406">SUM(CT460)</f>
        <v>0</v>
      </c>
      <c r="CU127" s="675">
        <f t="shared" si="4406"/>
        <v>0</v>
      </c>
      <c r="CV127" s="549">
        <f t="shared" ref="CV127:CW127" si="4407">SUM(CV460)</f>
        <v>0</v>
      </c>
      <c r="CW127" s="675">
        <f t="shared" si="4407"/>
        <v>0</v>
      </c>
      <c r="CX127" s="549">
        <f t="shared" ref="CX127:CY127" si="4408">SUM(CX460)</f>
        <v>0</v>
      </c>
      <c r="CY127" s="675">
        <f t="shared" si="4408"/>
        <v>0</v>
      </c>
      <c r="CZ127" s="549">
        <f t="shared" ref="CZ127:DA127" si="4409">SUM(CZ460)</f>
        <v>0</v>
      </c>
      <c r="DA127" s="675">
        <f t="shared" si="4409"/>
        <v>-2000</v>
      </c>
      <c r="DB127" s="549">
        <f t="shared" ref="DB127:DC127" si="4410">SUM(DB460)</f>
        <v>0</v>
      </c>
      <c r="DC127" s="675">
        <f t="shared" si="4410"/>
        <v>0</v>
      </c>
      <c r="DD127" s="549">
        <f t="shared" ref="DD127:DE127" si="4411">SUM(DD460)</f>
        <v>0</v>
      </c>
      <c r="DE127" s="675">
        <f t="shared" si="4411"/>
        <v>0</v>
      </c>
      <c r="DF127" s="549">
        <f t="shared" ref="DF127:DG127" si="4412">SUM(DF460)</f>
        <v>0</v>
      </c>
      <c r="DG127" s="675">
        <f t="shared" si="4412"/>
        <v>0</v>
      </c>
      <c r="DH127" s="549">
        <f t="shared" ref="DH127:DI127" si="4413">SUM(DH460)</f>
        <v>0</v>
      </c>
      <c r="DI127" s="675">
        <f t="shared" si="4413"/>
        <v>0</v>
      </c>
      <c r="DJ127" s="549">
        <f t="shared" ref="DJ127:DK127" si="4414">SUM(DJ460)</f>
        <v>0</v>
      </c>
      <c r="DK127" s="675">
        <f t="shared" si="4414"/>
        <v>0</v>
      </c>
      <c r="DL127" s="549">
        <f t="shared" ref="DL127:DM127" si="4415">SUM(DL460)</f>
        <v>0</v>
      </c>
      <c r="DM127" s="675">
        <f t="shared" si="4415"/>
        <v>0</v>
      </c>
      <c r="DN127" s="549">
        <f t="shared" ref="DN127:DO127" si="4416">SUM(DN460)</f>
        <v>0</v>
      </c>
      <c r="DO127" s="675">
        <f t="shared" si="4416"/>
        <v>0</v>
      </c>
      <c r="DP127" s="549">
        <f t="shared" ref="DP127:DU127" si="4417">SUM(DP460)</f>
        <v>0</v>
      </c>
      <c r="DQ127" s="675">
        <f t="shared" si="4417"/>
        <v>0</v>
      </c>
      <c r="DR127" s="549">
        <f t="shared" si="4417"/>
        <v>0</v>
      </c>
      <c r="DS127" s="675">
        <f t="shared" si="4417"/>
        <v>0</v>
      </c>
      <c r="DT127" s="549">
        <f t="shared" si="4417"/>
        <v>0</v>
      </c>
      <c r="DU127" s="675">
        <f t="shared" si="4417"/>
        <v>0</v>
      </c>
      <c r="DV127" s="549">
        <f t="shared" ref="DV127:DW127" si="4418">SUM(DV460)</f>
        <v>0</v>
      </c>
      <c r="DW127" s="675">
        <f t="shared" si="4418"/>
        <v>0</v>
      </c>
      <c r="DX127" s="549">
        <f t="shared" ref="DX127:EA128" si="4419">SUM(DX460)</f>
        <v>0</v>
      </c>
      <c r="DY127" s="675">
        <f t="shared" si="4419"/>
        <v>0</v>
      </c>
      <c r="DZ127" s="549">
        <f t="shared" si="4419"/>
        <v>0</v>
      </c>
      <c r="EA127" s="675">
        <f t="shared" si="4419"/>
        <v>0</v>
      </c>
      <c r="EB127" s="549">
        <f t="shared" ref="EB127:EM127" si="4420">SUM(EB460)</f>
        <v>0</v>
      </c>
      <c r="EC127" s="675">
        <f t="shared" si="4420"/>
        <v>0</v>
      </c>
      <c r="ED127" s="549">
        <f t="shared" si="4420"/>
        <v>0</v>
      </c>
      <c r="EE127" s="675">
        <f t="shared" si="4420"/>
        <v>0</v>
      </c>
      <c r="EF127" s="549">
        <f t="shared" si="4420"/>
        <v>0</v>
      </c>
      <c r="EG127" s="675">
        <f t="shared" si="4420"/>
        <v>0</v>
      </c>
      <c r="EH127" s="549">
        <f t="shared" si="4420"/>
        <v>0</v>
      </c>
      <c r="EI127" s="675">
        <f t="shared" si="4420"/>
        <v>0</v>
      </c>
      <c r="EJ127" s="549">
        <f t="shared" si="4420"/>
        <v>0</v>
      </c>
      <c r="EK127" s="675">
        <f t="shared" si="4420"/>
        <v>0</v>
      </c>
      <c r="EL127" s="549">
        <f t="shared" si="4420"/>
        <v>0</v>
      </c>
      <c r="EM127" s="675">
        <f t="shared" si="4420"/>
        <v>0</v>
      </c>
      <c r="EN127" s="549">
        <f t="shared" ref="EN127:EO127" si="4421">SUM(EN460)</f>
        <v>0</v>
      </c>
      <c r="EO127" s="675">
        <f t="shared" si="4421"/>
        <v>0</v>
      </c>
      <c r="EP127" s="549">
        <f t="shared" ref="EP127:FA127" si="4422">SUM(EP460)</f>
        <v>0</v>
      </c>
      <c r="EQ127" s="675">
        <f t="shared" si="4422"/>
        <v>0</v>
      </c>
      <c r="ER127" s="549">
        <f t="shared" si="4422"/>
        <v>0</v>
      </c>
      <c r="ES127" s="675">
        <f t="shared" si="4422"/>
        <v>0</v>
      </c>
      <c r="ET127" s="549">
        <f t="shared" si="4422"/>
        <v>0</v>
      </c>
      <c r="EU127" s="675">
        <f t="shared" si="4422"/>
        <v>0</v>
      </c>
      <c r="EV127" s="549">
        <f t="shared" ref="EV127:EW128" si="4423">SUM(EV460)</f>
        <v>0</v>
      </c>
      <c r="EW127" s="675">
        <f t="shared" si="4423"/>
        <v>0</v>
      </c>
      <c r="EX127" s="549">
        <f t="shared" si="4422"/>
        <v>0</v>
      </c>
      <c r="EY127" s="675">
        <f t="shared" si="4422"/>
        <v>0</v>
      </c>
      <c r="EZ127" s="549">
        <f t="shared" si="4422"/>
        <v>0</v>
      </c>
      <c r="FA127" s="675">
        <f t="shared" si="4422"/>
        <v>0</v>
      </c>
      <c r="FB127" s="549">
        <f t="shared" ref="FB127:FC127" si="4424">SUM(FB460)</f>
        <v>0</v>
      </c>
      <c r="FC127" s="675">
        <f t="shared" si="4424"/>
        <v>0</v>
      </c>
      <c r="FD127" s="549">
        <f t="shared" ref="FD127:FE127" si="4425">SUM(FD460)</f>
        <v>0</v>
      </c>
      <c r="FE127" s="675">
        <f t="shared" si="4425"/>
        <v>-971</v>
      </c>
      <c r="FF127" s="549">
        <f t="shared" ref="FF127:FG127" si="4426">SUM(FF460)</f>
        <v>0</v>
      </c>
      <c r="FG127" s="675">
        <f t="shared" si="4426"/>
        <v>-2940</v>
      </c>
      <c r="FH127" s="549">
        <f t="shared" ref="FH127:FI127" si="4427">SUM(FH460)</f>
        <v>0</v>
      </c>
      <c r="FI127" s="675">
        <f t="shared" si="4427"/>
        <v>0</v>
      </c>
      <c r="FJ127" s="549">
        <f t="shared" ref="FJ127:FK127" si="4428">SUM(FJ460)</f>
        <v>0</v>
      </c>
      <c r="FK127" s="675">
        <f t="shared" si="4428"/>
        <v>0</v>
      </c>
      <c r="FL127" s="549">
        <f t="shared" ref="FL127:FM127" si="4429">SUM(FL460)</f>
        <v>0</v>
      </c>
      <c r="FM127" s="675">
        <f t="shared" si="4429"/>
        <v>0</v>
      </c>
      <c r="FN127" s="549">
        <f t="shared" ref="FN127:FO127" si="4430">SUM(FN460)</f>
        <v>0</v>
      </c>
      <c r="FO127" s="675">
        <f t="shared" si="4430"/>
        <v>0</v>
      </c>
      <c r="FP127" s="549">
        <f t="shared" ref="FP127:FQ127" si="4431">SUM(FP460)</f>
        <v>0</v>
      </c>
      <c r="FQ127" s="675">
        <f t="shared" si="4431"/>
        <v>0</v>
      </c>
      <c r="FR127" s="549">
        <f t="shared" ref="FR127:FS127" si="4432">SUM(FR460)</f>
        <v>0</v>
      </c>
      <c r="FS127" s="675">
        <f t="shared" si="4432"/>
        <v>-3000</v>
      </c>
      <c r="FT127" s="549">
        <f t="shared" ref="FT127:FU127" si="4433">SUM(FT460)</f>
        <v>0</v>
      </c>
      <c r="FU127" s="675">
        <f t="shared" si="4433"/>
        <v>0</v>
      </c>
      <c r="FV127" s="549">
        <f t="shared" ref="FV127:GK127" si="4434">SUM(FV460)</f>
        <v>0</v>
      </c>
      <c r="FW127" s="675">
        <f t="shared" si="4434"/>
        <v>0</v>
      </c>
      <c r="FX127" s="549">
        <f t="shared" si="4434"/>
        <v>0</v>
      </c>
      <c r="FY127" s="675">
        <f t="shared" si="4434"/>
        <v>0</v>
      </c>
      <c r="FZ127" s="549">
        <f t="shared" ref="FZ127:GI127" si="4435">SUM(FZ460)</f>
        <v>0</v>
      </c>
      <c r="GA127" s="675">
        <f t="shared" si="4435"/>
        <v>0</v>
      </c>
      <c r="GB127" s="549">
        <f t="shared" si="4435"/>
        <v>0</v>
      </c>
      <c r="GC127" s="675">
        <f t="shared" si="4435"/>
        <v>0</v>
      </c>
      <c r="GD127" s="549">
        <f t="shared" si="4435"/>
        <v>0</v>
      </c>
      <c r="GE127" s="675">
        <f t="shared" si="4435"/>
        <v>0</v>
      </c>
      <c r="GF127" s="549">
        <f t="shared" si="4435"/>
        <v>0</v>
      </c>
      <c r="GG127" s="675">
        <f t="shared" si="4435"/>
        <v>0</v>
      </c>
      <c r="GH127" s="549">
        <f t="shared" si="4435"/>
        <v>0</v>
      </c>
      <c r="GI127" s="675">
        <f t="shared" si="4435"/>
        <v>0</v>
      </c>
      <c r="GJ127" s="549">
        <f t="shared" si="4434"/>
        <v>0</v>
      </c>
      <c r="GK127" s="675">
        <f t="shared" si="4434"/>
        <v>0</v>
      </c>
      <c r="GL127" s="549">
        <f t="shared" ref="GL127:GQ127" si="4436">SUM(GL460)</f>
        <v>0</v>
      </c>
      <c r="GM127" s="675">
        <f t="shared" si="4436"/>
        <v>0</v>
      </c>
      <c r="GN127" s="549">
        <f t="shared" ref="GN127:GO127" si="4437">SUM(GN460)</f>
        <v>0</v>
      </c>
      <c r="GO127" s="675">
        <f t="shared" si="4437"/>
        <v>0</v>
      </c>
      <c r="GP127" s="74">
        <f t="shared" si="4436"/>
        <v>0</v>
      </c>
      <c r="GQ127" s="675">
        <f t="shared" si="4436"/>
        <v>-10911</v>
      </c>
      <c r="GR127" s="74">
        <f t="shared" ref="GR127:HK127" si="4438">SUM(GR460)</f>
        <v>16789</v>
      </c>
      <c r="GS127" s="74">
        <f t="shared" si="4438"/>
        <v>16789</v>
      </c>
      <c r="GT127" s="74">
        <f t="shared" si="4438"/>
        <v>16789</v>
      </c>
      <c r="GU127" s="74">
        <f t="shared" si="4438"/>
        <v>2770</v>
      </c>
      <c r="GV127" s="74">
        <f t="shared" si="4438"/>
        <v>2770</v>
      </c>
      <c r="GW127" s="74">
        <f t="shared" si="4438"/>
        <v>2770</v>
      </c>
      <c r="GX127" s="74">
        <f t="shared" si="4438"/>
        <v>2770</v>
      </c>
      <c r="GY127" s="74">
        <f t="shared" si="4438"/>
        <v>2770</v>
      </c>
      <c r="GZ127" s="74">
        <f t="shared" si="4438"/>
        <v>2770</v>
      </c>
      <c r="HA127" s="74">
        <f t="shared" si="4438"/>
        <v>2770</v>
      </c>
      <c r="HB127" s="74">
        <f t="shared" si="4438"/>
        <v>2770</v>
      </c>
      <c r="HC127" s="74">
        <f t="shared" si="4438"/>
        <v>2770</v>
      </c>
      <c r="HD127" s="74">
        <f t="shared" si="4438"/>
        <v>2770</v>
      </c>
      <c r="HE127" s="74">
        <f t="shared" si="4438"/>
        <v>0</v>
      </c>
      <c r="HF127" s="74">
        <f t="shared" si="4438"/>
        <v>0</v>
      </c>
      <c r="HG127" s="74">
        <f t="shared" si="4438"/>
        <v>16789</v>
      </c>
      <c r="HH127" s="74">
        <f t="shared" si="4438"/>
        <v>2770</v>
      </c>
      <c r="HI127" s="74">
        <f t="shared" si="4438"/>
        <v>0</v>
      </c>
      <c r="HJ127" s="74">
        <f t="shared" si="4438"/>
        <v>2770</v>
      </c>
      <c r="HK127" s="74">
        <f t="shared" si="4438"/>
        <v>0</v>
      </c>
      <c r="HL127" s="74">
        <f t="shared" ref="HL127:JT127" si="4439">SUM(HL460)</f>
        <v>2770</v>
      </c>
      <c r="HM127" s="74">
        <f t="shared" si="4439"/>
        <v>0</v>
      </c>
      <c r="HN127" s="74">
        <f t="shared" si="4439"/>
        <v>2770</v>
      </c>
      <c r="HO127" s="74">
        <f t="shared" si="4439"/>
        <v>0</v>
      </c>
      <c r="HP127" s="74">
        <f t="shared" si="4439"/>
        <v>770</v>
      </c>
      <c r="HQ127" s="74">
        <f t="shared" si="4439"/>
        <v>0</v>
      </c>
      <c r="HR127" s="74">
        <f t="shared" si="4439"/>
        <v>0</v>
      </c>
      <c r="HS127" s="74">
        <f t="shared" si="4439"/>
        <v>0</v>
      </c>
      <c r="HT127" s="74">
        <f t="shared" si="4439"/>
        <v>0</v>
      </c>
      <c r="HU127" s="74">
        <f t="shared" si="4439"/>
        <v>0</v>
      </c>
      <c r="HV127" s="74">
        <f t="shared" si="4439"/>
        <v>6310</v>
      </c>
      <c r="HW127" s="74">
        <f t="shared" si="4439"/>
        <v>0</v>
      </c>
      <c r="HX127" s="74">
        <f t="shared" si="4439"/>
        <v>2770</v>
      </c>
      <c r="HY127" s="74">
        <f t="shared" si="4439"/>
        <v>0</v>
      </c>
      <c r="HZ127" s="74">
        <f t="shared" si="4439"/>
        <v>-4141</v>
      </c>
      <c r="IA127" s="74">
        <f t="shared" si="4439"/>
        <v>0</v>
      </c>
      <c r="IB127" s="74">
        <f t="shared" si="4439"/>
        <v>0</v>
      </c>
      <c r="IC127" s="74">
        <f t="shared" si="4439"/>
        <v>0</v>
      </c>
      <c r="ID127" s="74">
        <f t="shared" si="4439"/>
        <v>0</v>
      </c>
      <c r="IE127" s="792">
        <f t="shared" si="4439"/>
        <v>0</v>
      </c>
      <c r="IF127" s="841">
        <f t="shared" si="4439"/>
        <v>14923.95</v>
      </c>
      <c r="IG127" s="263">
        <f t="shared" si="4439"/>
        <v>14923.95</v>
      </c>
      <c r="IH127" s="842">
        <f t="shared" si="4439"/>
        <v>14923.95</v>
      </c>
      <c r="II127" s="155">
        <f t="shared" si="4439"/>
        <v>2400</v>
      </c>
      <c r="IJ127" s="74">
        <f t="shared" si="4439"/>
        <v>2400</v>
      </c>
      <c r="IK127" s="74">
        <f t="shared" si="4439"/>
        <v>2400</v>
      </c>
      <c r="IL127" s="74">
        <f t="shared" si="4439"/>
        <v>21.95</v>
      </c>
      <c r="IM127" s="74">
        <f t="shared" si="4439"/>
        <v>21.95</v>
      </c>
      <c r="IN127" s="74">
        <f t="shared" si="4439"/>
        <v>21.95</v>
      </c>
      <c r="IO127" s="74">
        <f t="shared" si="4439"/>
        <v>1235</v>
      </c>
      <c r="IP127" s="74">
        <f t="shared" si="4439"/>
        <v>1235</v>
      </c>
      <c r="IQ127" s="74">
        <f t="shared" si="4439"/>
        <v>1235</v>
      </c>
      <c r="IR127" s="74">
        <f t="shared" si="4439"/>
        <v>0</v>
      </c>
      <c r="IS127" s="74">
        <f t="shared" si="4439"/>
        <v>0</v>
      </c>
      <c r="IT127" s="74">
        <f t="shared" si="4439"/>
        <v>0</v>
      </c>
      <c r="IU127" s="74">
        <f t="shared" si="4439"/>
        <v>2367.71</v>
      </c>
      <c r="IV127" s="74">
        <f t="shared" si="4439"/>
        <v>2367.71</v>
      </c>
      <c r="IW127" s="74">
        <f t="shared" si="4439"/>
        <v>2367.71</v>
      </c>
      <c r="IX127" s="74">
        <f t="shared" si="4439"/>
        <v>0</v>
      </c>
      <c r="IY127" s="74">
        <f t="shared" si="4439"/>
        <v>0</v>
      </c>
      <c r="IZ127" s="74">
        <f t="shared" si="4439"/>
        <v>0</v>
      </c>
      <c r="JA127" s="74">
        <f t="shared" si="4439"/>
        <v>4461.7100000000009</v>
      </c>
      <c r="JB127" s="74">
        <f t="shared" si="4439"/>
        <v>4461.7100000000009</v>
      </c>
      <c r="JC127" s="74">
        <f t="shared" si="4439"/>
        <v>4461.7100000000009</v>
      </c>
      <c r="JD127" s="74">
        <f t="shared" si="4439"/>
        <v>2632.5</v>
      </c>
      <c r="JE127" s="74">
        <f t="shared" si="4439"/>
        <v>2632.5</v>
      </c>
      <c r="JF127" s="74">
        <f t="shared" si="4439"/>
        <v>2632.5</v>
      </c>
      <c r="JG127" s="74">
        <f t="shared" si="4439"/>
        <v>555.07999999999993</v>
      </c>
      <c r="JH127" s="74">
        <f t="shared" si="4439"/>
        <v>555.07999999999993</v>
      </c>
      <c r="JI127" s="74">
        <f t="shared" si="4439"/>
        <v>555.07999999999993</v>
      </c>
      <c r="JJ127" s="74">
        <f t="shared" si="4439"/>
        <v>1250</v>
      </c>
      <c r="JK127" s="74">
        <f t="shared" si="4439"/>
        <v>1250</v>
      </c>
      <c r="JL127" s="74">
        <f t="shared" si="4439"/>
        <v>1250</v>
      </c>
      <c r="JM127" s="74">
        <f t="shared" si="4439"/>
        <v>0</v>
      </c>
      <c r="JN127" s="74">
        <f t="shared" si="4439"/>
        <v>0</v>
      </c>
      <c r="JO127" s="74">
        <f t="shared" si="4439"/>
        <v>0</v>
      </c>
      <c r="JP127" s="74">
        <f t="shared" si="4439"/>
        <v>0</v>
      </c>
      <c r="JQ127" s="74">
        <f t="shared" si="4439"/>
        <v>0</v>
      </c>
      <c r="JR127" s="74">
        <f t="shared" si="4439"/>
        <v>0</v>
      </c>
      <c r="JS127" s="74">
        <f t="shared" si="4439"/>
        <v>1865.0499999999993</v>
      </c>
      <c r="JT127" s="102">
        <f t="shared" si="4439"/>
        <v>1865.0499999999993</v>
      </c>
      <c r="JU127" s="671"/>
      <c r="JV127" s="492"/>
      <c r="JW127" s="490"/>
      <c r="JX127" s="549">
        <f t="shared" si="4367"/>
        <v>16789</v>
      </c>
      <c r="JY127" s="549">
        <f t="shared" si="4367"/>
        <v>0</v>
      </c>
      <c r="JZ127" s="581">
        <f t="shared" si="2110"/>
        <v>0</v>
      </c>
      <c r="KA127" s="581">
        <f t="shared" si="2111"/>
        <v>-10911</v>
      </c>
      <c r="KB127" s="549">
        <f t="shared" si="4367"/>
        <v>16789</v>
      </c>
      <c r="KC127" s="709">
        <f t="shared" si="2079"/>
        <v>0</v>
      </c>
      <c r="KD127" s="36"/>
      <c r="KE127" s="36"/>
      <c r="KF127" s="36"/>
      <c r="KG127" s="36"/>
      <c r="KH127" s="36"/>
      <c r="KI127" s="36"/>
      <c r="KJ127" s="36"/>
      <c r="KK127" s="36"/>
    </row>
    <row r="128" spans="1:297" s="8" customFormat="1" ht="12.75" hidden="1" customHeight="1">
      <c r="A128" s="75">
        <v>233</v>
      </c>
      <c r="B128" s="72" t="s">
        <v>151</v>
      </c>
      <c r="C128" s="74">
        <f>SUM(C461)</f>
        <v>0</v>
      </c>
      <c r="D128" s="549">
        <f t="shared" ref="D128:E128" si="4440">SUM(D461)</f>
        <v>0</v>
      </c>
      <c r="E128" s="675">
        <f t="shared" si="4440"/>
        <v>0</v>
      </c>
      <c r="F128" s="549">
        <f t="shared" ref="F128:G128" si="4441">SUM(F461)</f>
        <v>0</v>
      </c>
      <c r="G128" s="675">
        <f t="shared" si="4441"/>
        <v>0</v>
      </c>
      <c r="H128" s="549">
        <f t="shared" ref="H128:AS128" si="4442">SUM(H461)</f>
        <v>0</v>
      </c>
      <c r="I128" s="675">
        <f t="shared" si="4442"/>
        <v>0</v>
      </c>
      <c r="J128" s="549">
        <f t="shared" si="4442"/>
        <v>0</v>
      </c>
      <c r="K128" s="675">
        <f t="shared" si="4442"/>
        <v>0</v>
      </c>
      <c r="L128" s="549">
        <f t="shared" si="4442"/>
        <v>0</v>
      </c>
      <c r="M128" s="675">
        <f t="shared" si="4442"/>
        <v>0</v>
      </c>
      <c r="N128" s="549">
        <f t="shared" si="4442"/>
        <v>0</v>
      </c>
      <c r="O128" s="675">
        <f t="shared" si="4442"/>
        <v>0</v>
      </c>
      <c r="P128" s="549">
        <f t="shared" si="4442"/>
        <v>0</v>
      </c>
      <c r="Q128" s="675">
        <f t="shared" si="4442"/>
        <v>0</v>
      </c>
      <c r="R128" s="549">
        <f t="shared" si="4442"/>
        <v>0</v>
      </c>
      <c r="S128" s="675">
        <f t="shared" si="4442"/>
        <v>0</v>
      </c>
      <c r="T128" s="549">
        <f t="shared" si="4442"/>
        <v>0</v>
      </c>
      <c r="U128" s="675">
        <f t="shared" si="4442"/>
        <v>0</v>
      </c>
      <c r="V128" s="549">
        <f t="shared" si="4442"/>
        <v>0</v>
      </c>
      <c r="W128" s="675">
        <f t="shared" si="4442"/>
        <v>0</v>
      </c>
      <c r="X128" s="549">
        <f t="shared" si="4442"/>
        <v>0</v>
      </c>
      <c r="Y128" s="675">
        <f t="shared" si="4442"/>
        <v>0</v>
      </c>
      <c r="Z128" s="549">
        <f t="shared" si="4442"/>
        <v>0</v>
      </c>
      <c r="AA128" s="675">
        <f t="shared" si="4442"/>
        <v>0</v>
      </c>
      <c r="AB128" s="549">
        <f t="shared" si="4442"/>
        <v>0</v>
      </c>
      <c r="AC128" s="675">
        <f t="shared" si="4442"/>
        <v>0</v>
      </c>
      <c r="AD128" s="549">
        <f t="shared" si="4442"/>
        <v>0</v>
      </c>
      <c r="AE128" s="675">
        <f t="shared" si="4442"/>
        <v>0</v>
      </c>
      <c r="AF128" s="549">
        <f t="shared" si="4442"/>
        <v>0</v>
      </c>
      <c r="AG128" s="675">
        <f t="shared" si="4442"/>
        <v>0</v>
      </c>
      <c r="AH128" s="549">
        <f t="shared" si="4442"/>
        <v>0</v>
      </c>
      <c r="AI128" s="675">
        <f t="shared" si="4442"/>
        <v>0</v>
      </c>
      <c r="AJ128" s="549">
        <f t="shared" si="4442"/>
        <v>0</v>
      </c>
      <c r="AK128" s="675">
        <f t="shared" si="4442"/>
        <v>0</v>
      </c>
      <c r="AL128" s="549">
        <f t="shared" si="4442"/>
        <v>0</v>
      </c>
      <c r="AM128" s="675">
        <f t="shared" si="4442"/>
        <v>0</v>
      </c>
      <c r="AN128" s="549">
        <f t="shared" si="4442"/>
        <v>0</v>
      </c>
      <c r="AO128" s="675">
        <f t="shared" si="4442"/>
        <v>0</v>
      </c>
      <c r="AP128" s="549">
        <f t="shared" si="4442"/>
        <v>0</v>
      </c>
      <c r="AQ128" s="675">
        <f t="shared" si="4442"/>
        <v>0</v>
      </c>
      <c r="AR128" s="549">
        <f t="shared" si="4442"/>
        <v>0</v>
      </c>
      <c r="AS128" s="675">
        <f t="shared" si="4442"/>
        <v>0</v>
      </c>
      <c r="AT128" s="549">
        <f t="shared" ref="AT128:AU128" si="4443">SUM(AT461)</f>
        <v>0</v>
      </c>
      <c r="AU128" s="675">
        <f t="shared" si="4443"/>
        <v>0</v>
      </c>
      <c r="AV128" s="549">
        <f t="shared" ref="AV128:AW128" si="4444">SUM(AV461)</f>
        <v>0</v>
      </c>
      <c r="AW128" s="675">
        <f t="shared" si="4444"/>
        <v>0</v>
      </c>
      <c r="AX128" s="549">
        <f t="shared" ref="AX128:AY128" si="4445">SUM(AX461)</f>
        <v>0</v>
      </c>
      <c r="AY128" s="675">
        <f t="shared" si="4445"/>
        <v>0</v>
      </c>
      <c r="AZ128" s="549">
        <f t="shared" ref="AZ128:BA128" si="4446">SUM(AZ461)</f>
        <v>0</v>
      </c>
      <c r="BA128" s="675">
        <f t="shared" si="4446"/>
        <v>0</v>
      </c>
      <c r="BB128" s="549">
        <f t="shared" ref="BB128:BC128" si="4447">SUM(BB461)</f>
        <v>0</v>
      </c>
      <c r="BC128" s="675">
        <f t="shared" si="4447"/>
        <v>0</v>
      </c>
      <c r="BD128" s="549">
        <f t="shared" ref="BD128:BE128" si="4448">SUM(BD461)</f>
        <v>0</v>
      </c>
      <c r="BE128" s="675">
        <f t="shared" si="4448"/>
        <v>0</v>
      </c>
      <c r="BF128" s="549">
        <f t="shared" ref="BF128:BG128" si="4449">SUM(BF461)</f>
        <v>0</v>
      </c>
      <c r="BG128" s="675">
        <f t="shared" si="4449"/>
        <v>0</v>
      </c>
      <c r="BH128" s="549">
        <f t="shared" ref="BH128:BI128" si="4450">SUM(BH461)</f>
        <v>0</v>
      </c>
      <c r="BI128" s="675">
        <f t="shared" si="4450"/>
        <v>0</v>
      </c>
      <c r="BJ128" s="549">
        <f t="shared" ref="BJ128:BK128" si="4451">SUM(BJ461)</f>
        <v>0</v>
      </c>
      <c r="BK128" s="675">
        <f t="shared" si="4451"/>
        <v>0</v>
      </c>
      <c r="BL128" s="549">
        <f t="shared" ref="BL128:BS128" si="4452">SUM(BL461)</f>
        <v>0</v>
      </c>
      <c r="BM128" s="675">
        <f t="shared" si="4452"/>
        <v>0</v>
      </c>
      <c r="BN128" s="549">
        <f t="shared" si="4452"/>
        <v>0</v>
      </c>
      <c r="BO128" s="675">
        <f t="shared" si="4452"/>
        <v>0</v>
      </c>
      <c r="BP128" s="549">
        <f t="shared" si="4452"/>
        <v>0</v>
      </c>
      <c r="BQ128" s="675">
        <f t="shared" si="4452"/>
        <v>0</v>
      </c>
      <c r="BR128" s="549">
        <f t="shared" si="4452"/>
        <v>0</v>
      </c>
      <c r="BS128" s="675">
        <f t="shared" si="4452"/>
        <v>0</v>
      </c>
      <c r="BT128" s="549">
        <f t="shared" ref="BT128:BU128" si="4453">SUM(BT461)</f>
        <v>0</v>
      </c>
      <c r="BU128" s="675">
        <f t="shared" si="4453"/>
        <v>0</v>
      </c>
      <c r="BV128" s="549">
        <f t="shared" ref="BV128:BW128" si="4454">SUM(BV461)</f>
        <v>0</v>
      </c>
      <c r="BW128" s="675">
        <f t="shared" si="4454"/>
        <v>0</v>
      </c>
      <c r="BX128" s="549">
        <f t="shared" ref="BX128:BY128" si="4455">SUM(BX461)</f>
        <v>0</v>
      </c>
      <c r="BY128" s="675">
        <f t="shared" si="4455"/>
        <v>0</v>
      </c>
      <c r="BZ128" s="549">
        <f t="shared" ref="BZ128:CA128" si="4456">SUM(BZ461)</f>
        <v>0</v>
      </c>
      <c r="CA128" s="675">
        <f t="shared" si="4456"/>
        <v>0</v>
      </c>
      <c r="CB128" s="549">
        <f t="shared" ref="CB128:CE128" si="4457">SUM(CB461)</f>
        <v>0</v>
      </c>
      <c r="CC128" s="675">
        <f t="shared" si="4457"/>
        <v>0</v>
      </c>
      <c r="CD128" s="549">
        <f t="shared" si="4457"/>
        <v>0</v>
      </c>
      <c r="CE128" s="675">
        <f t="shared" si="4457"/>
        <v>0</v>
      </c>
      <c r="CF128" s="549">
        <f t="shared" ref="CF128:CG128" si="4458">SUM(CF461)</f>
        <v>0</v>
      </c>
      <c r="CG128" s="675">
        <f t="shared" si="4458"/>
        <v>0</v>
      </c>
      <c r="CH128" s="549">
        <f t="shared" ref="CH128:CQ128" si="4459">SUM(CH461)</f>
        <v>0</v>
      </c>
      <c r="CI128" s="675">
        <f t="shared" si="4459"/>
        <v>0</v>
      </c>
      <c r="CJ128" s="549">
        <f t="shared" si="4459"/>
        <v>0</v>
      </c>
      <c r="CK128" s="675">
        <f t="shared" si="4459"/>
        <v>0</v>
      </c>
      <c r="CL128" s="549">
        <f t="shared" si="4459"/>
        <v>0</v>
      </c>
      <c r="CM128" s="675">
        <f t="shared" si="4459"/>
        <v>0</v>
      </c>
      <c r="CN128" s="549">
        <f t="shared" si="4459"/>
        <v>0</v>
      </c>
      <c r="CO128" s="675">
        <f t="shared" si="4459"/>
        <v>0</v>
      </c>
      <c r="CP128" s="549">
        <f t="shared" si="4459"/>
        <v>0</v>
      </c>
      <c r="CQ128" s="675">
        <f t="shared" si="4459"/>
        <v>0</v>
      </c>
      <c r="CR128" s="549">
        <f t="shared" ref="CR128:CS128" si="4460">SUM(CR461)</f>
        <v>0</v>
      </c>
      <c r="CS128" s="675">
        <f t="shared" si="4460"/>
        <v>0</v>
      </c>
      <c r="CT128" s="549">
        <f t="shared" ref="CT128:CU128" si="4461">SUM(CT461)</f>
        <v>0</v>
      </c>
      <c r="CU128" s="675">
        <f t="shared" si="4461"/>
        <v>0</v>
      </c>
      <c r="CV128" s="549">
        <f t="shared" ref="CV128:CW128" si="4462">SUM(CV461)</f>
        <v>0</v>
      </c>
      <c r="CW128" s="675">
        <f t="shared" si="4462"/>
        <v>0</v>
      </c>
      <c r="CX128" s="549">
        <f t="shared" ref="CX128:CY128" si="4463">SUM(CX461)</f>
        <v>0</v>
      </c>
      <c r="CY128" s="675">
        <f t="shared" si="4463"/>
        <v>0</v>
      </c>
      <c r="CZ128" s="549">
        <f t="shared" ref="CZ128:DA128" si="4464">SUM(CZ461)</f>
        <v>0</v>
      </c>
      <c r="DA128" s="675">
        <f t="shared" si="4464"/>
        <v>0</v>
      </c>
      <c r="DB128" s="549">
        <f t="shared" ref="DB128:DC128" si="4465">SUM(DB461)</f>
        <v>0</v>
      </c>
      <c r="DC128" s="675">
        <f t="shared" si="4465"/>
        <v>0</v>
      </c>
      <c r="DD128" s="549">
        <f t="shared" ref="DD128:DE128" si="4466">SUM(DD461)</f>
        <v>0</v>
      </c>
      <c r="DE128" s="675">
        <f t="shared" si="4466"/>
        <v>0</v>
      </c>
      <c r="DF128" s="549">
        <f t="shared" ref="DF128:DG128" si="4467">SUM(DF461)</f>
        <v>0</v>
      </c>
      <c r="DG128" s="675">
        <f t="shared" si="4467"/>
        <v>0</v>
      </c>
      <c r="DH128" s="549">
        <f t="shared" ref="DH128:DI128" si="4468">SUM(DH461)</f>
        <v>0</v>
      </c>
      <c r="DI128" s="675">
        <f t="shared" si="4468"/>
        <v>0</v>
      </c>
      <c r="DJ128" s="549">
        <f t="shared" ref="DJ128:DK128" si="4469">SUM(DJ461)</f>
        <v>0</v>
      </c>
      <c r="DK128" s="675">
        <f t="shared" si="4469"/>
        <v>0</v>
      </c>
      <c r="DL128" s="549">
        <f t="shared" ref="DL128:DM128" si="4470">SUM(DL461)</f>
        <v>0</v>
      </c>
      <c r="DM128" s="675">
        <f t="shared" si="4470"/>
        <v>0</v>
      </c>
      <c r="DN128" s="549">
        <f t="shared" ref="DN128:DO128" si="4471">SUM(DN461)</f>
        <v>0</v>
      </c>
      <c r="DO128" s="675">
        <f t="shared" si="4471"/>
        <v>0</v>
      </c>
      <c r="DP128" s="549">
        <f t="shared" ref="DP128:DU128" si="4472">SUM(DP461)</f>
        <v>0</v>
      </c>
      <c r="DQ128" s="675">
        <f t="shared" si="4472"/>
        <v>0</v>
      </c>
      <c r="DR128" s="549">
        <f t="shared" si="4472"/>
        <v>0</v>
      </c>
      <c r="DS128" s="675">
        <f t="shared" si="4472"/>
        <v>0</v>
      </c>
      <c r="DT128" s="549">
        <f t="shared" si="4472"/>
        <v>0</v>
      </c>
      <c r="DU128" s="675">
        <f t="shared" si="4472"/>
        <v>0</v>
      </c>
      <c r="DV128" s="549">
        <f t="shared" ref="DV128:DW128" si="4473">SUM(DV461)</f>
        <v>0</v>
      </c>
      <c r="DW128" s="675">
        <f t="shared" si="4473"/>
        <v>0</v>
      </c>
      <c r="DX128" s="549">
        <f t="shared" si="4419"/>
        <v>0</v>
      </c>
      <c r="DY128" s="675">
        <f t="shared" si="4419"/>
        <v>0</v>
      </c>
      <c r="DZ128" s="549">
        <f t="shared" si="4419"/>
        <v>0</v>
      </c>
      <c r="EA128" s="675">
        <f t="shared" si="4419"/>
        <v>0</v>
      </c>
      <c r="EB128" s="549">
        <f t="shared" ref="EB128:EM128" si="4474">SUM(EB461)</f>
        <v>0</v>
      </c>
      <c r="EC128" s="675">
        <f t="shared" si="4474"/>
        <v>0</v>
      </c>
      <c r="ED128" s="549">
        <f t="shared" si="4474"/>
        <v>0</v>
      </c>
      <c r="EE128" s="675">
        <f t="shared" si="4474"/>
        <v>0</v>
      </c>
      <c r="EF128" s="549">
        <f t="shared" si="4474"/>
        <v>0</v>
      </c>
      <c r="EG128" s="675">
        <f t="shared" si="4474"/>
        <v>0</v>
      </c>
      <c r="EH128" s="549">
        <f t="shared" si="4474"/>
        <v>0</v>
      </c>
      <c r="EI128" s="675">
        <f t="shared" si="4474"/>
        <v>0</v>
      </c>
      <c r="EJ128" s="549">
        <f t="shared" si="4474"/>
        <v>0</v>
      </c>
      <c r="EK128" s="675">
        <f t="shared" si="4474"/>
        <v>0</v>
      </c>
      <c r="EL128" s="549">
        <f t="shared" si="4474"/>
        <v>0</v>
      </c>
      <c r="EM128" s="675">
        <f t="shared" si="4474"/>
        <v>0</v>
      </c>
      <c r="EN128" s="549">
        <f t="shared" ref="EN128:EO128" si="4475">SUM(EN461)</f>
        <v>0</v>
      </c>
      <c r="EO128" s="675">
        <f t="shared" si="4475"/>
        <v>0</v>
      </c>
      <c r="EP128" s="549">
        <f t="shared" ref="EP128:EU128" si="4476">SUM(EP461)</f>
        <v>0</v>
      </c>
      <c r="EQ128" s="675">
        <f t="shared" si="4476"/>
        <v>0</v>
      </c>
      <c r="ER128" s="549">
        <f t="shared" si="4476"/>
        <v>0</v>
      </c>
      <c r="ES128" s="675">
        <f t="shared" si="4476"/>
        <v>0</v>
      </c>
      <c r="ET128" s="549">
        <f t="shared" si="4476"/>
        <v>0</v>
      </c>
      <c r="EU128" s="675">
        <f t="shared" si="4476"/>
        <v>0</v>
      </c>
      <c r="EV128" s="549">
        <f t="shared" si="4423"/>
        <v>0</v>
      </c>
      <c r="EW128" s="675">
        <f t="shared" si="4423"/>
        <v>0</v>
      </c>
      <c r="EX128" s="549">
        <f t="shared" ref="EX128:FE128" si="4477">SUM(EX461)</f>
        <v>0</v>
      </c>
      <c r="EY128" s="675">
        <f t="shared" si="4477"/>
        <v>0</v>
      </c>
      <c r="EZ128" s="549">
        <f t="shared" si="4477"/>
        <v>0</v>
      </c>
      <c r="FA128" s="675">
        <f t="shared" si="4477"/>
        <v>0</v>
      </c>
      <c r="FB128" s="549">
        <f t="shared" si="4477"/>
        <v>0</v>
      </c>
      <c r="FC128" s="675">
        <f t="shared" si="4477"/>
        <v>0</v>
      </c>
      <c r="FD128" s="549">
        <f t="shared" si="4477"/>
        <v>0</v>
      </c>
      <c r="FE128" s="675">
        <f t="shared" si="4477"/>
        <v>0</v>
      </c>
      <c r="FF128" s="549">
        <f t="shared" ref="FF128:FG128" si="4478">SUM(FF461)</f>
        <v>0</v>
      </c>
      <c r="FG128" s="675">
        <f t="shared" si="4478"/>
        <v>0</v>
      </c>
      <c r="FH128" s="549">
        <f t="shared" ref="FH128:FI128" si="4479">SUM(FH461)</f>
        <v>0</v>
      </c>
      <c r="FI128" s="675">
        <f t="shared" si="4479"/>
        <v>0</v>
      </c>
      <c r="FJ128" s="549">
        <f t="shared" ref="FJ128:FK128" si="4480">SUM(FJ461)</f>
        <v>0</v>
      </c>
      <c r="FK128" s="675">
        <f t="shared" si="4480"/>
        <v>0</v>
      </c>
      <c r="FL128" s="549">
        <f t="shared" ref="FL128:FM128" si="4481">SUM(FL461)</f>
        <v>0</v>
      </c>
      <c r="FM128" s="675">
        <f t="shared" si="4481"/>
        <v>0</v>
      </c>
      <c r="FN128" s="549">
        <f t="shared" ref="FN128:FO128" si="4482">SUM(FN461)</f>
        <v>0</v>
      </c>
      <c r="FO128" s="675">
        <f t="shared" si="4482"/>
        <v>0</v>
      </c>
      <c r="FP128" s="549">
        <f t="shared" ref="FP128:FQ128" si="4483">SUM(FP461)</f>
        <v>0</v>
      </c>
      <c r="FQ128" s="675">
        <f t="shared" si="4483"/>
        <v>0</v>
      </c>
      <c r="FR128" s="549">
        <f t="shared" ref="FR128:FS128" si="4484">SUM(FR461)</f>
        <v>0</v>
      </c>
      <c r="FS128" s="675">
        <f t="shared" si="4484"/>
        <v>0</v>
      </c>
      <c r="FT128" s="549">
        <f t="shared" ref="FT128:FU128" si="4485">SUM(FT461)</f>
        <v>0</v>
      </c>
      <c r="FU128" s="675">
        <f t="shared" si="4485"/>
        <v>0</v>
      </c>
      <c r="FV128" s="549">
        <f t="shared" ref="FV128:GK128" si="4486">SUM(FV461)</f>
        <v>0</v>
      </c>
      <c r="FW128" s="675">
        <f t="shared" si="4486"/>
        <v>0</v>
      </c>
      <c r="FX128" s="549">
        <f t="shared" si="4486"/>
        <v>0</v>
      </c>
      <c r="FY128" s="675">
        <f t="shared" si="4486"/>
        <v>0</v>
      </c>
      <c r="FZ128" s="549">
        <f t="shared" ref="FZ128:GI128" si="4487">SUM(FZ461)</f>
        <v>0</v>
      </c>
      <c r="GA128" s="675">
        <f t="shared" si="4487"/>
        <v>0</v>
      </c>
      <c r="GB128" s="549">
        <f t="shared" si="4487"/>
        <v>0</v>
      </c>
      <c r="GC128" s="675">
        <f t="shared" si="4487"/>
        <v>0</v>
      </c>
      <c r="GD128" s="549">
        <f t="shared" si="4487"/>
        <v>0</v>
      </c>
      <c r="GE128" s="675">
        <f t="shared" si="4487"/>
        <v>0</v>
      </c>
      <c r="GF128" s="549">
        <f t="shared" si="4487"/>
        <v>0</v>
      </c>
      <c r="GG128" s="675">
        <f t="shared" si="4487"/>
        <v>0</v>
      </c>
      <c r="GH128" s="549">
        <f t="shared" si="4487"/>
        <v>0</v>
      </c>
      <c r="GI128" s="675">
        <f t="shared" si="4487"/>
        <v>0</v>
      </c>
      <c r="GJ128" s="549">
        <f t="shared" si="4486"/>
        <v>0</v>
      </c>
      <c r="GK128" s="675">
        <f t="shared" si="4486"/>
        <v>0</v>
      </c>
      <c r="GL128" s="549">
        <f t="shared" ref="GL128:GM128" si="4488">SUM(GL461)</f>
        <v>0</v>
      </c>
      <c r="GM128" s="675">
        <f t="shared" si="4488"/>
        <v>0</v>
      </c>
      <c r="GN128" s="549">
        <f t="shared" ref="GN128:GO128" si="4489">SUM(GN461)</f>
        <v>0</v>
      </c>
      <c r="GO128" s="675">
        <f t="shared" si="4489"/>
        <v>0</v>
      </c>
      <c r="GP128" s="74">
        <f t="shared" ref="GP128:HK128" si="4490">SUM(GP461)</f>
        <v>0</v>
      </c>
      <c r="GQ128" s="675">
        <f t="shared" si="4490"/>
        <v>0</v>
      </c>
      <c r="GR128" s="74">
        <f t="shared" si="4490"/>
        <v>0</v>
      </c>
      <c r="GS128" s="74">
        <f t="shared" si="4490"/>
        <v>0</v>
      </c>
      <c r="GT128" s="74">
        <f t="shared" si="4490"/>
        <v>0</v>
      </c>
      <c r="GU128" s="74">
        <f t="shared" si="4490"/>
        <v>0</v>
      </c>
      <c r="GV128" s="74">
        <f t="shared" si="4490"/>
        <v>0</v>
      </c>
      <c r="GW128" s="74">
        <f t="shared" si="4490"/>
        <v>0</v>
      </c>
      <c r="GX128" s="74">
        <f t="shared" si="4490"/>
        <v>0</v>
      </c>
      <c r="GY128" s="74">
        <f t="shared" si="4490"/>
        <v>0</v>
      </c>
      <c r="GZ128" s="74">
        <f t="shared" si="4490"/>
        <v>0</v>
      </c>
      <c r="HA128" s="74">
        <f t="shared" si="4490"/>
        <v>0</v>
      </c>
      <c r="HB128" s="74">
        <f t="shared" si="4490"/>
        <v>0</v>
      </c>
      <c r="HC128" s="74">
        <f t="shared" si="4490"/>
        <v>0</v>
      </c>
      <c r="HD128" s="74">
        <f t="shared" si="4490"/>
        <v>0</v>
      </c>
      <c r="HE128" s="74">
        <f t="shared" si="4490"/>
        <v>0</v>
      </c>
      <c r="HF128" s="74">
        <f t="shared" si="4490"/>
        <v>0</v>
      </c>
      <c r="HG128" s="74">
        <f t="shared" si="4490"/>
        <v>0</v>
      </c>
      <c r="HH128" s="74">
        <f t="shared" si="4490"/>
        <v>0</v>
      </c>
      <c r="HI128" s="74">
        <f t="shared" si="4490"/>
        <v>0</v>
      </c>
      <c r="HJ128" s="74">
        <f t="shared" si="4490"/>
        <v>0</v>
      </c>
      <c r="HK128" s="74">
        <f t="shared" si="4490"/>
        <v>0</v>
      </c>
      <c r="HL128" s="74">
        <f t="shared" ref="HL128:JT128" si="4491">SUM(HL461)</f>
        <v>0</v>
      </c>
      <c r="HM128" s="74">
        <f t="shared" si="4491"/>
        <v>0</v>
      </c>
      <c r="HN128" s="74">
        <f t="shared" si="4491"/>
        <v>0</v>
      </c>
      <c r="HO128" s="74">
        <f t="shared" si="4491"/>
        <v>0</v>
      </c>
      <c r="HP128" s="74">
        <f t="shared" si="4491"/>
        <v>0</v>
      </c>
      <c r="HQ128" s="74">
        <f t="shared" si="4491"/>
        <v>0</v>
      </c>
      <c r="HR128" s="74">
        <f t="shared" si="4491"/>
        <v>0</v>
      </c>
      <c r="HS128" s="74">
        <f t="shared" si="4491"/>
        <v>0</v>
      </c>
      <c r="HT128" s="74">
        <f t="shared" si="4491"/>
        <v>0</v>
      </c>
      <c r="HU128" s="74">
        <f t="shared" si="4491"/>
        <v>0</v>
      </c>
      <c r="HV128" s="74">
        <f t="shared" si="4491"/>
        <v>0</v>
      </c>
      <c r="HW128" s="74">
        <f t="shared" si="4491"/>
        <v>0</v>
      </c>
      <c r="HX128" s="74">
        <f t="shared" si="4491"/>
        <v>0</v>
      </c>
      <c r="HY128" s="74">
        <f t="shared" si="4491"/>
        <v>0</v>
      </c>
      <c r="HZ128" s="74">
        <f t="shared" si="4491"/>
        <v>0</v>
      </c>
      <c r="IA128" s="74">
        <f t="shared" si="4491"/>
        <v>0</v>
      </c>
      <c r="IB128" s="74">
        <f t="shared" si="4491"/>
        <v>0</v>
      </c>
      <c r="IC128" s="74">
        <f t="shared" si="4491"/>
        <v>0</v>
      </c>
      <c r="ID128" s="74">
        <f t="shared" si="4491"/>
        <v>0</v>
      </c>
      <c r="IE128" s="792">
        <f t="shared" si="4491"/>
        <v>0</v>
      </c>
      <c r="IF128" s="841">
        <f t="shared" si="4491"/>
        <v>0</v>
      </c>
      <c r="IG128" s="263">
        <f t="shared" si="4491"/>
        <v>0</v>
      </c>
      <c r="IH128" s="842">
        <f t="shared" si="4491"/>
        <v>0</v>
      </c>
      <c r="II128" s="155">
        <f t="shared" si="4491"/>
        <v>0</v>
      </c>
      <c r="IJ128" s="74">
        <f t="shared" si="4491"/>
        <v>0</v>
      </c>
      <c r="IK128" s="74">
        <f t="shared" si="4491"/>
        <v>0</v>
      </c>
      <c r="IL128" s="74">
        <f t="shared" si="4491"/>
        <v>0</v>
      </c>
      <c r="IM128" s="74">
        <f t="shared" si="4491"/>
        <v>0</v>
      </c>
      <c r="IN128" s="74">
        <f t="shared" si="4491"/>
        <v>0</v>
      </c>
      <c r="IO128" s="74">
        <f t="shared" si="4491"/>
        <v>0</v>
      </c>
      <c r="IP128" s="74">
        <f t="shared" si="4491"/>
        <v>0</v>
      </c>
      <c r="IQ128" s="74">
        <f t="shared" si="4491"/>
        <v>0</v>
      </c>
      <c r="IR128" s="74">
        <f t="shared" si="4491"/>
        <v>0</v>
      </c>
      <c r="IS128" s="74">
        <f t="shared" si="4491"/>
        <v>0</v>
      </c>
      <c r="IT128" s="74">
        <f t="shared" si="4491"/>
        <v>0</v>
      </c>
      <c r="IU128" s="74">
        <f t="shared" si="4491"/>
        <v>0</v>
      </c>
      <c r="IV128" s="74">
        <f t="shared" si="4491"/>
        <v>0</v>
      </c>
      <c r="IW128" s="74">
        <f t="shared" si="4491"/>
        <v>0</v>
      </c>
      <c r="IX128" s="74">
        <f t="shared" si="4491"/>
        <v>0</v>
      </c>
      <c r="IY128" s="74">
        <f t="shared" si="4491"/>
        <v>0</v>
      </c>
      <c r="IZ128" s="74">
        <f t="shared" si="4491"/>
        <v>0</v>
      </c>
      <c r="JA128" s="74">
        <f t="shared" si="4491"/>
        <v>0</v>
      </c>
      <c r="JB128" s="74">
        <f t="shared" si="4491"/>
        <v>0</v>
      </c>
      <c r="JC128" s="74">
        <f t="shared" si="4491"/>
        <v>0</v>
      </c>
      <c r="JD128" s="74">
        <f t="shared" si="4491"/>
        <v>0</v>
      </c>
      <c r="JE128" s="74">
        <f t="shared" si="4491"/>
        <v>0</v>
      </c>
      <c r="JF128" s="74">
        <f t="shared" si="4491"/>
        <v>0</v>
      </c>
      <c r="JG128" s="74">
        <f t="shared" si="4491"/>
        <v>0</v>
      </c>
      <c r="JH128" s="74">
        <f t="shared" si="4491"/>
        <v>0</v>
      </c>
      <c r="JI128" s="74">
        <f t="shared" si="4491"/>
        <v>0</v>
      </c>
      <c r="JJ128" s="74">
        <f t="shared" si="4491"/>
        <v>0</v>
      </c>
      <c r="JK128" s="74">
        <f t="shared" si="4491"/>
        <v>0</v>
      </c>
      <c r="JL128" s="74">
        <f t="shared" si="4491"/>
        <v>0</v>
      </c>
      <c r="JM128" s="74">
        <f t="shared" si="4491"/>
        <v>0</v>
      </c>
      <c r="JN128" s="74">
        <f t="shared" si="4491"/>
        <v>0</v>
      </c>
      <c r="JO128" s="74">
        <f t="shared" si="4491"/>
        <v>0</v>
      </c>
      <c r="JP128" s="74">
        <f t="shared" si="4491"/>
        <v>0</v>
      </c>
      <c r="JQ128" s="74">
        <f t="shared" si="4491"/>
        <v>0</v>
      </c>
      <c r="JR128" s="74">
        <f t="shared" si="4491"/>
        <v>0</v>
      </c>
      <c r="JS128" s="74">
        <f t="shared" si="4491"/>
        <v>0</v>
      </c>
      <c r="JT128" s="102">
        <f t="shared" si="4491"/>
        <v>0</v>
      </c>
      <c r="JU128" s="671"/>
      <c r="JV128" s="492"/>
      <c r="JW128" s="490"/>
      <c r="JX128" s="549">
        <f t="shared" si="4367"/>
        <v>0</v>
      </c>
      <c r="JY128" s="549">
        <f t="shared" si="4367"/>
        <v>0</v>
      </c>
      <c r="JZ128" s="581">
        <f t="shared" si="2110"/>
        <v>0</v>
      </c>
      <c r="KA128" s="581">
        <f t="shared" si="2111"/>
        <v>0</v>
      </c>
      <c r="KB128" s="549">
        <f t="shared" si="4367"/>
        <v>0</v>
      </c>
      <c r="KC128" s="709">
        <f t="shared" si="2079"/>
        <v>0</v>
      </c>
      <c r="KD128" s="36"/>
      <c r="KE128" s="36"/>
      <c r="KF128" s="36"/>
      <c r="KG128" s="36"/>
      <c r="KH128" s="36"/>
      <c r="KI128" s="36"/>
      <c r="KJ128" s="36"/>
      <c r="KK128" s="36"/>
    </row>
    <row r="129" spans="1:297" s="8" customFormat="1">
      <c r="A129" s="75" t="s">
        <v>152</v>
      </c>
      <c r="B129" s="72" t="s">
        <v>153</v>
      </c>
      <c r="C129" s="74">
        <f>SUM(C462)</f>
        <v>9100</v>
      </c>
      <c r="D129" s="74">
        <f t="shared" ref="D129:E129" si="4492">SUM(D462)+D314</f>
        <v>0</v>
      </c>
      <c r="E129" s="675">
        <f t="shared" si="4492"/>
        <v>0</v>
      </c>
      <c r="F129" s="74">
        <f t="shared" ref="F129:G129" si="4493">SUM(F462)+F314</f>
        <v>0</v>
      </c>
      <c r="G129" s="675">
        <f t="shared" si="4493"/>
        <v>0</v>
      </c>
      <c r="H129" s="74">
        <f t="shared" ref="H129:I129" si="4494">SUM(H462)+H314</f>
        <v>0</v>
      </c>
      <c r="I129" s="675">
        <f t="shared" si="4494"/>
        <v>0</v>
      </c>
      <c r="J129" s="74">
        <f t="shared" ref="J129:K129" si="4495">SUM(J462)+J314</f>
        <v>0</v>
      </c>
      <c r="K129" s="675">
        <f t="shared" si="4495"/>
        <v>0</v>
      </c>
      <c r="L129" s="74">
        <f t="shared" ref="L129:M129" si="4496">SUM(L462)+L314</f>
        <v>0</v>
      </c>
      <c r="M129" s="675">
        <f t="shared" si="4496"/>
        <v>0</v>
      </c>
      <c r="N129" s="74">
        <f t="shared" ref="N129:O129" si="4497">SUM(N462)+N314</f>
        <v>0</v>
      </c>
      <c r="O129" s="675">
        <f t="shared" si="4497"/>
        <v>0</v>
      </c>
      <c r="P129" s="74">
        <f t="shared" ref="P129:Q129" si="4498">SUM(P462)+P314</f>
        <v>0</v>
      </c>
      <c r="Q129" s="675">
        <f t="shared" si="4498"/>
        <v>0</v>
      </c>
      <c r="R129" s="74">
        <f t="shared" ref="R129:S129" si="4499">SUM(R462)+R314</f>
        <v>0</v>
      </c>
      <c r="S129" s="675">
        <f t="shared" si="4499"/>
        <v>0</v>
      </c>
      <c r="T129" s="74">
        <f t="shared" ref="T129:U129" si="4500">SUM(T462)+T314</f>
        <v>0</v>
      </c>
      <c r="U129" s="675">
        <f t="shared" si="4500"/>
        <v>0</v>
      </c>
      <c r="V129" s="74">
        <f t="shared" ref="V129:W129" si="4501">SUM(V462)+V314</f>
        <v>0</v>
      </c>
      <c r="W129" s="675">
        <f t="shared" si="4501"/>
        <v>0</v>
      </c>
      <c r="X129" s="74">
        <f t="shared" ref="X129:Y129" si="4502">SUM(X462)+X314</f>
        <v>0</v>
      </c>
      <c r="Y129" s="675">
        <f t="shared" si="4502"/>
        <v>0</v>
      </c>
      <c r="Z129" s="74">
        <f t="shared" ref="Z129:AA129" si="4503">SUM(Z462)+Z314</f>
        <v>0</v>
      </c>
      <c r="AA129" s="675">
        <f t="shared" si="4503"/>
        <v>0</v>
      </c>
      <c r="AB129" s="74">
        <f t="shared" ref="AB129:AC129" si="4504">SUM(AB462)+AB314</f>
        <v>0</v>
      </c>
      <c r="AC129" s="675">
        <f t="shared" si="4504"/>
        <v>0</v>
      </c>
      <c r="AD129" s="74">
        <f t="shared" ref="AD129:AE129" si="4505">SUM(AD462)+AD314</f>
        <v>0</v>
      </c>
      <c r="AE129" s="675">
        <f t="shared" si="4505"/>
        <v>0</v>
      </c>
      <c r="AF129" s="74">
        <f t="shared" ref="AF129:AI129" si="4506">SUM(AF462)+AF314</f>
        <v>0</v>
      </c>
      <c r="AG129" s="675">
        <f t="shared" si="4506"/>
        <v>0</v>
      </c>
      <c r="AH129" s="74">
        <f t="shared" si="4506"/>
        <v>0</v>
      </c>
      <c r="AI129" s="675">
        <f t="shared" si="4506"/>
        <v>0</v>
      </c>
      <c r="AJ129" s="74">
        <f t="shared" ref="AJ129:AK129" si="4507">SUM(AJ462)+AJ314</f>
        <v>0</v>
      </c>
      <c r="AK129" s="675">
        <f t="shared" si="4507"/>
        <v>0</v>
      </c>
      <c r="AL129" s="74">
        <f t="shared" ref="AL129:AM129" si="4508">SUM(AL462)+AL314</f>
        <v>0</v>
      </c>
      <c r="AM129" s="675">
        <f t="shared" si="4508"/>
        <v>0</v>
      </c>
      <c r="AN129" s="74">
        <f t="shared" ref="AN129:AO129" si="4509">SUM(AN462)+AN314</f>
        <v>0</v>
      </c>
      <c r="AO129" s="675">
        <f t="shared" si="4509"/>
        <v>0</v>
      </c>
      <c r="AP129" s="74">
        <f t="shared" ref="AP129:AQ129" si="4510">SUM(AP462)+AP314</f>
        <v>0</v>
      </c>
      <c r="AQ129" s="675">
        <f t="shared" si="4510"/>
        <v>0</v>
      </c>
      <c r="AR129" s="74">
        <f t="shared" ref="AR129:AS129" si="4511">SUM(AR462)+AR314</f>
        <v>0</v>
      </c>
      <c r="AS129" s="675">
        <f t="shared" si="4511"/>
        <v>0</v>
      </c>
      <c r="AT129" s="74">
        <f t="shared" ref="AT129:AU129" si="4512">SUM(AT462)+AT314</f>
        <v>0</v>
      </c>
      <c r="AU129" s="675">
        <f t="shared" si="4512"/>
        <v>0</v>
      </c>
      <c r="AV129" s="74">
        <f t="shared" ref="AV129:AW129" si="4513">SUM(AV462)+AV314</f>
        <v>0</v>
      </c>
      <c r="AW129" s="675">
        <f t="shared" si="4513"/>
        <v>0</v>
      </c>
      <c r="AX129" s="74">
        <f t="shared" ref="AX129:AY129" si="4514">SUM(AX462)+AX314</f>
        <v>0</v>
      </c>
      <c r="AY129" s="675">
        <f t="shared" si="4514"/>
        <v>0</v>
      </c>
      <c r="AZ129" s="74">
        <f t="shared" ref="AZ129:BA129" si="4515">SUM(AZ462)+AZ314</f>
        <v>0</v>
      </c>
      <c r="BA129" s="675">
        <f t="shared" si="4515"/>
        <v>0</v>
      </c>
      <c r="BB129" s="74">
        <f t="shared" ref="BB129:BC129" si="4516">SUM(BB462)+BB314</f>
        <v>0</v>
      </c>
      <c r="BC129" s="675">
        <f t="shared" si="4516"/>
        <v>0</v>
      </c>
      <c r="BD129" s="74">
        <f t="shared" ref="BD129:BE129" si="4517">SUM(BD462)+BD314</f>
        <v>0</v>
      </c>
      <c r="BE129" s="675">
        <f t="shared" si="4517"/>
        <v>0</v>
      </c>
      <c r="BF129" s="74">
        <f t="shared" ref="BF129:BG129" si="4518">SUM(BF462)+BF314</f>
        <v>4000</v>
      </c>
      <c r="BG129" s="675">
        <f t="shared" si="4518"/>
        <v>0</v>
      </c>
      <c r="BH129" s="74">
        <f t="shared" ref="BH129:BI129" si="4519">SUM(BH462)+BH314</f>
        <v>0</v>
      </c>
      <c r="BI129" s="675">
        <f t="shared" si="4519"/>
        <v>0</v>
      </c>
      <c r="BJ129" s="74">
        <f t="shared" ref="BJ129:BK129" si="4520">SUM(BJ462)+BJ314</f>
        <v>0</v>
      </c>
      <c r="BK129" s="675">
        <f t="shared" si="4520"/>
        <v>0</v>
      </c>
      <c r="BL129" s="74">
        <f t="shared" ref="BL129:BM129" si="4521">SUM(BL462)+BL314</f>
        <v>0</v>
      </c>
      <c r="BM129" s="675">
        <f t="shared" si="4521"/>
        <v>0</v>
      </c>
      <c r="BN129" s="74">
        <f t="shared" ref="BN129:BO129" si="4522">SUM(BN462)+BN314</f>
        <v>0</v>
      </c>
      <c r="BO129" s="675">
        <f t="shared" si="4522"/>
        <v>0</v>
      </c>
      <c r="BP129" s="74">
        <f t="shared" ref="BP129:BQ129" si="4523">SUM(BP462)+BP314</f>
        <v>5000</v>
      </c>
      <c r="BQ129" s="675">
        <f t="shared" si="4523"/>
        <v>0</v>
      </c>
      <c r="BR129" s="74">
        <f t="shared" ref="BR129:BS129" si="4524">SUM(BR462)+BR314</f>
        <v>0</v>
      </c>
      <c r="BS129" s="675">
        <f t="shared" si="4524"/>
        <v>0</v>
      </c>
      <c r="BT129" s="74">
        <f t="shared" ref="BT129:BU129" si="4525">SUM(BT462)+BT314</f>
        <v>0</v>
      </c>
      <c r="BU129" s="675">
        <f t="shared" si="4525"/>
        <v>0</v>
      </c>
      <c r="BV129" s="74">
        <f t="shared" ref="BV129:BW129" si="4526">SUM(BV462)+BV314</f>
        <v>0</v>
      </c>
      <c r="BW129" s="675">
        <f t="shared" si="4526"/>
        <v>0</v>
      </c>
      <c r="BX129" s="74">
        <f t="shared" ref="BX129:BY129" si="4527">SUM(BX462)+BX314</f>
        <v>0</v>
      </c>
      <c r="BY129" s="675">
        <f t="shared" si="4527"/>
        <v>0</v>
      </c>
      <c r="BZ129" s="74">
        <f t="shared" ref="BZ129:CA129" si="4528">SUM(BZ462)+BZ314</f>
        <v>0</v>
      </c>
      <c r="CA129" s="675">
        <f t="shared" si="4528"/>
        <v>0</v>
      </c>
      <c r="CB129" s="74">
        <f t="shared" ref="CB129:CE129" si="4529">SUM(CB462)+CB314</f>
        <v>0</v>
      </c>
      <c r="CC129" s="675">
        <f t="shared" si="4529"/>
        <v>0</v>
      </c>
      <c r="CD129" s="74">
        <f t="shared" si="4529"/>
        <v>0</v>
      </c>
      <c r="CE129" s="675">
        <f t="shared" si="4529"/>
        <v>0</v>
      </c>
      <c r="CF129" s="74">
        <f t="shared" ref="CF129:DK129" si="4530">SUM(CF462)+CF314</f>
        <v>0</v>
      </c>
      <c r="CG129" s="675">
        <f t="shared" si="4530"/>
        <v>0</v>
      </c>
      <c r="CH129" s="74">
        <f t="shared" si="4530"/>
        <v>0</v>
      </c>
      <c r="CI129" s="675">
        <f t="shared" si="4530"/>
        <v>0</v>
      </c>
      <c r="CJ129" s="74">
        <f t="shared" si="4530"/>
        <v>0</v>
      </c>
      <c r="CK129" s="675">
        <f t="shared" si="4530"/>
        <v>0</v>
      </c>
      <c r="CL129" s="74">
        <f t="shared" si="4530"/>
        <v>0</v>
      </c>
      <c r="CM129" s="675">
        <f t="shared" si="4530"/>
        <v>0</v>
      </c>
      <c r="CN129" s="74">
        <f t="shared" si="4530"/>
        <v>0</v>
      </c>
      <c r="CO129" s="675">
        <f t="shared" si="4530"/>
        <v>0</v>
      </c>
      <c r="CP129" s="74">
        <f t="shared" si="4530"/>
        <v>0</v>
      </c>
      <c r="CQ129" s="675">
        <f t="shared" si="4530"/>
        <v>0</v>
      </c>
      <c r="CR129" s="74">
        <f t="shared" si="4530"/>
        <v>0</v>
      </c>
      <c r="CS129" s="675">
        <f t="shared" si="4530"/>
        <v>0</v>
      </c>
      <c r="CT129" s="74">
        <f t="shared" si="4530"/>
        <v>0</v>
      </c>
      <c r="CU129" s="675">
        <f t="shared" si="4530"/>
        <v>0</v>
      </c>
      <c r="CV129" s="74">
        <f t="shared" si="4530"/>
        <v>0</v>
      </c>
      <c r="CW129" s="675">
        <f t="shared" si="4530"/>
        <v>0</v>
      </c>
      <c r="CX129" s="74">
        <f t="shared" si="4530"/>
        <v>0</v>
      </c>
      <c r="CY129" s="675">
        <f t="shared" si="4530"/>
        <v>0</v>
      </c>
      <c r="CZ129" s="74">
        <f t="shared" si="4530"/>
        <v>0</v>
      </c>
      <c r="DA129" s="675">
        <f t="shared" si="4530"/>
        <v>0</v>
      </c>
      <c r="DB129" s="74">
        <f t="shared" si="4530"/>
        <v>0</v>
      </c>
      <c r="DC129" s="675">
        <f t="shared" si="4530"/>
        <v>0</v>
      </c>
      <c r="DD129" s="74">
        <f t="shared" si="4530"/>
        <v>0</v>
      </c>
      <c r="DE129" s="675">
        <f t="shared" si="4530"/>
        <v>0</v>
      </c>
      <c r="DF129" s="74">
        <f t="shared" si="4530"/>
        <v>0</v>
      </c>
      <c r="DG129" s="675">
        <f t="shared" si="4530"/>
        <v>0</v>
      </c>
      <c r="DH129" s="74">
        <f t="shared" si="4530"/>
        <v>3000</v>
      </c>
      <c r="DI129" s="675">
        <f t="shared" si="4530"/>
        <v>0</v>
      </c>
      <c r="DJ129" s="74">
        <f t="shared" si="4530"/>
        <v>0</v>
      </c>
      <c r="DK129" s="675">
        <f t="shared" si="4530"/>
        <v>0</v>
      </c>
      <c r="DL129" s="74">
        <f t="shared" ref="DL129:EQ129" si="4531">SUM(DL462)+DL314</f>
        <v>0</v>
      </c>
      <c r="DM129" s="675">
        <f t="shared" si="4531"/>
        <v>0</v>
      </c>
      <c r="DN129" s="74">
        <f t="shared" si="4531"/>
        <v>0</v>
      </c>
      <c r="DO129" s="675">
        <f t="shared" si="4531"/>
        <v>0</v>
      </c>
      <c r="DP129" s="74">
        <f t="shared" si="4531"/>
        <v>0</v>
      </c>
      <c r="DQ129" s="675">
        <f t="shared" si="4531"/>
        <v>0</v>
      </c>
      <c r="DR129" s="74">
        <f t="shared" si="4531"/>
        <v>0</v>
      </c>
      <c r="DS129" s="675">
        <f t="shared" si="4531"/>
        <v>0</v>
      </c>
      <c r="DT129" s="74">
        <f t="shared" si="4531"/>
        <v>0</v>
      </c>
      <c r="DU129" s="675">
        <f t="shared" si="4531"/>
        <v>0</v>
      </c>
      <c r="DV129" s="74">
        <f t="shared" si="4531"/>
        <v>0</v>
      </c>
      <c r="DW129" s="675">
        <f t="shared" si="4531"/>
        <v>0</v>
      </c>
      <c r="DX129" s="74">
        <f t="shared" si="4531"/>
        <v>0</v>
      </c>
      <c r="DY129" s="675">
        <f t="shared" si="4531"/>
        <v>0</v>
      </c>
      <c r="DZ129" s="74">
        <f t="shared" si="4531"/>
        <v>0</v>
      </c>
      <c r="EA129" s="675">
        <f t="shared" si="4531"/>
        <v>0</v>
      </c>
      <c r="EB129" s="74">
        <f t="shared" si="4531"/>
        <v>0</v>
      </c>
      <c r="EC129" s="675">
        <f t="shared" si="4531"/>
        <v>0</v>
      </c>
      <c r="ED129" s="74">
        <f t="shared" si="4531"/>
        <v>0</v>
      </c>
      <c r="EE129" s="675">
        <f t="shared" si="4531"/>
        <v>0</v>
      </c>
      <c r="EF129" s="74">
        <f t="shared" si="4531"/>
        <v>0</v>
      </c>
      <c r="EG129" s="675">
        <f t="shared" si="4531"/>
        <v>0</v>
      </c>
      <c r="EH129" s="74">
        <f t="shared" si="4531"/>
        <v>0</v>
      </c>
      <c r="EI129" s="675">
        <f t="shared" si="4531"/>
        <v>0</v>
      </c>
      <c r="EJ129" s="74">
        <f t="shared" si="4531"/>
        <v>0</v>
      </c>
      <c r="EK129" s="675">
        <f t="shared" si="4531"/>
        <v>0</v>
      </c>
      <c r="EL129" s="74">
        <f t="shared" si="4531"/>
        <v>0</v>
      </c>
      <c r="EM129" s="675">
        <f t="shared" si="4531"/>
        <v>0</v>
      </c>
      <c r="EN129" s="74">
        <f t="shared" si="4531"/>
        <v>0</v>
      </c>
      <c r="EO129" s="675">
        <f t="shared" si="4531"/>
        <v>0</v>
      </c>
      <c r="EP129" s="74">
        <f t="shared" si="4531"/>
        <v>0</v>
      </c>
      <c r="EQ129" s="675">
        <f t="shared" si="4531"/>
        <v>0</v>
      </c>
      <c r="ER129" s="74">
        <f t="shared" ref="ER129:GT129" si="4532">SUM(ER462)+ER314</f>
        <v>0</v>
      </c>
      <c r="ES129" s="675">
        <f t="shared" si="4532"/>
        <v>0</v>
      </c>
      <c r="ET129" s="74">
        <f t="shared" si="4532"/>
        <v>0</v>
      </c>
      <c r="EU129" s="675">
        <f t="shared" si="4532"/>
        <v>0</v>
      </c>
      <c r="EV129" s="74">
        <f t="shared" si="4532"/>
        <v>0</v>
      </c>
      <c r="EW129" s="675">
        <f t="shared" si="4532"/>
        <v>0</v>
      </c>
      <c r="EX129" s="74">
        <f t="shared" si="4532"/>
        <v>0</v>
      </c>
      <c r="EY129" s="675">
        <f t="shared" si="4532"/>
        <v>0</v>
      </c>
      <c r="EZ129" s="74">
        <f t="shared" si="4532"/>
        <v>0</v>
      </c>
      <c r="FA129" s="675">
        <f t="shared" si="4532"/>
        <v>0</v>
      </c>
      <c r="FB129" s="74">
        <f t="shared" si="4532"/>
        <v>0</v>
      </c>
      <c r="FC129" s="675">
        <f t="shared" si="4532"/>
        <v>0</v>
      </c>
      <c r="FD129" s="74">
        <f t="shared" si="4532"/>
        <v>0</v>
      </c>
      <c r="FE129" s="675">
        <f t="shared" si="4532"/>
        <v>0</v>
      </c>
      <c r="FF129" s="74">
        <f t="shared" si="4532"/>
        <v>0</v>
      </c>
      <c r="FG129" s="675">
        <f t="shared" si="4532"/>
        <v>0</v>
      </c>
      <c r="FH129" s="74">
        <f t="shared" si="4532"/>
        <v>0</v>
      </c>
      <c r="FI129" s="675">
        <f t="shared" si="4532"/>
        <v>0</v>
      </c>
      <c r="FJ129" s="74">
        <f t="shared" si="4532"/>
        <v>0</v>
      </c>
      <c r="FK129" s="675">
        <f t="shared" si="4532"/>
        <v>0</v>
      </c>
      <c r="FL129" s="74">
        <f t="shared" ref="FL129:FM129" si="4533">SUM(FL462)+FL314</f>
        <v>2000</v>
      </c>
      <c r="FM129" s="675">
        <f t="shared" si="4533"/>
        <v>0</v>
      </c>
      <c r="FN129" s="74">
        <f t="shared" ref="FN129:FO129" si="4534">SUM(FN462)+FN314</f>
        <v>0</v>
      </c>
      <c r="FO129" s="675">
        <f t="shared" si="4534"/>
        <v>0</v>
      </c>
      <c r="FP129" s="74">
        <f t="shared" ref="FP129:FQ129" si="4535">SUM(FP462)+FP314</f>
        <v>0</v>
      </c>
      <c r="FQ129" s="675">
        <f t="shared" si="4535"/>
        <v>0</v>
      </c>
      <c r="FR129" s="74">
        <f t="shared" ref="FR129:FS129" si="4536">SUM(FR462)+FR314</f>
        <v>0</v>
      </c>
      <c r="FS129" s="675">
        <f t="shared" si="4536"/>
        <v>0</v>
      </c>
      <c r="FT129" s="74">
        <f t="shared" ref="FT129:FU129" si="4537">SUM(FT462)+FT314</f>
        <v>0</v>
      </c>
      <c r="FU129" s="675">
        <f t="shared" si="4537"/>
        <v>0</v>
      </c>
      <c r="FV129" s="74">
        <f t="shared" ref="FV129:GK129" si="4538">SUM(FV462)+FV314</f>
        <v>0</v>
      </c>
      <c r="FW129" s="675">
        <f t="shared" si="4538"/>
        <v>0</v>
      </c>
      <c r="FX129" s="74">
        <f t="shared" si="4538"/>
        <v>0</v>
      </c>
      <c r="FY129" s="675">
        <f t="shared" si="4538"/>
        <v>0</v>
      </c>
      <c r="FZ129" s="74">
        <f t="shared" ref="FZ129:GI129" si="4539">SUM(FZ462)+FZ314</f>
        <v>0</v>
      </c>
      <c r="GA129" s="675">
        <f t="shared" si="4539"/>
        <v>0</v>
      </c>
      <c r="GB129" s="74">
        <f t="shared" si="4539"/>
        <v>0</v>
      </c>
      <c r="GC129" s="675">
        <f t="shared" si="4539"/>
        <v>0</v>
      </c>
      <c r="GD129" s="74">
        <f t="shared" si="4539"/>
        <v>0</v>
      </c>
      <c r="GE129" s="675">
        <f t="shared" si="4539"/>
        <v>0</v>
      </c>
      <c r="GF129" s="74">
        <f t="shared" si="4539"/>
        <v>0</v>
      </c>
      <c r="GG129" s="675">
        <f t="shared" si="4539"/>
        <v>0</v>
      </c>
      <c r="GH129" s="74">
        <f t="shared" si="4539"/>
        <v>0</v>
      </c>
      <c r="GI129" s="675">
        <f t="shared" si="4539"/>
        <v>0</v>
      </c>
      <c r="GJ129" s="74">
        <f t="shared" si="4538"/>
        <v>0</v>
      </c>
      <c r="GK129" s="675">
        <f t="shared" si="4538"/>
        <v>0</v>
      </c>
      <c r="GL129" s="74">
        <f t="shared" ref="GL129:GM129" si="4540">SUM(GL462)+GL314</f>
        <v>0</v>
      </c>
      <c r="GM129" s="675">
        <f t="shared" si="4540"/>
        <v>0</v>
      </c>
      <c r="GN129" s="74">
        <f t="shared" ref="GN129:GO129" si="4541">SUM(GN462)+GN314</f>
        <v>0</v>
      </c>
      <c r="GO129" s="675">
        <f t="shared" si="4541"/>
        <v>0</v>
      </c>
      <c r="GP129" s="74">
        <f>SUM(GP462)+GP314</f>
        <v>14000</v>
      </c>
      <c r="GQ129" s="675">
        <f t="shared" si="4532"/>
        <v>0</v>
      </c>
      <c r="GR129" s="74">
        <f t="shared" si="4532"/>
        <v>23100</v>
      </c>
      <c r="GS129" s="74">
        <f t="shared" si="4532"/>
        <v>23100</v>
      </c>
      <c r="GT129" s="74">
        <f t="shared" si="4532"/>
        <v>23100</v>
      </c>
      <c r="GU129" s="74">
        <f t="shared" ref="GU129:HF129" si="4542">SUM(GU462)</f>
        <v>1100</v>
      </c>
      <c r="GV129" s="74">
        <f t="shared" si="4542"/>
        <v>1000</v>
      </c>
      <c r="GW129" s="74">
        <f t="shared" si="4542"/>
        <v>1000</v>
      </c>
      <c r="GX129" s="74">
        <f t="shared" si="4542"/>
        <v>1000</v>
      </c>
      <c r="GY129" s="74">
        <f t="shared" si="4542"/>
        <v>1000</v>
      </c>
      <c r="GZ129" s="74">
        <f t="shared" si="4542"/>
        <v>1000</v>
      </c>
      <c r="HA129" s="74">
        <f t="shared" si="4542"/>
        <v>1000</v>
      </c>
      <c r="HB129" s="74">
        <f t="shared" si="4542"/>
        <v>1000</v>
      </c>
      <c r="HC129" s="74">
        <f t="shared" si="4542"/>
        <v>1000</v>
      </c>
      <c r="HD129" s="74">
        <f t="shared" si="4542"/>
        <v>0</v>
      </c>
      <c r="HE129" s="74">
        <f t="shared" si="4542"/>
        <v>0</v>
      </c>
      <c r="HF129" s="74">
        <f t="shared" si="4542"/>
        <v>0</v>
      </c>
      <c r="HG129" s="74">
        <f>SUM(HG462)+HG314</f>
        <v>23100</v>
      </c>
      <c r="HH129" s="74">
        <f t="shared" ref="HH129:JS129" si="4543">SUM(HH462)+HH314</f>
        <v>1100</v>
      </c>
      <c r="HI129" s="74">
        <f t="shared" si="4543"/>
        <v>0</v>
      </c>
      <c r="HJ129" s="74">
        <f t="shared" si="4543"/>
        <v>1000</v>
      </c>
      <c r="HK129" s="74">
        <f t="shared" si="4543"/>
        <v>0</v>
      </c>
      <c r="HL129" s="74">
        <f t="shared" si="4543"/>
        <v>1000</v>
      </c>
      <c r="HM129" s="74">
        <f t="shared" si="4543"/>
        <v>0</v>
      </c>
      <c r="HN129" s="74">
        <f t="shared" si="4543"/>
        <v>1000</v>
      </c>
      <c r="HO129" s="74">
        <f t="shared" si="4543"/>
        <v>0</v>
      </c>
      <c r="HP129" s="74">
        <f t="shared" si="4543"/>
        <v>5000</v>
      </c>
      <c r="HQ129" s="74">
        <f t="shared" si="4543"/>
        <v>0</v>
      </c>
      <c r="HR129" s="74">
        <f t="shared" si="4543"/>
        <v>1000</v>
      </c>
      <c r="HS129" s="74">
        <f t="shared" si="4543"/>
        <v>0</v>
      </c>
      <c r="HT129" s="74">
        <f t="shared" si="4543"/>
        <v>5000</v>
      </c>
      <c r="HU129" s="74">
        <f t="shared" si="4543"/>
        <v>0</v>
      </c>
      <c r="HV129" s="74">
        <f t="shared" si="4543"/>
        <v>5000</v>
      </c>
      <c r="HW129" s="74">
        <f t="shared" si="4543"/>
        <v>0</v>
      </c>
      <c r="HX129" s="74">
        <f t="shared" si="4543"/>
        <v>1000</v>
      </c>
      <c r="HY129" s="74">
        <f t="shared" si="4543"/>
        <v>0</v>
      </c>
      <c r="HZ129" s="74">
        <f t="shared" si="4543"/>
        <v>2000</v>
      </c>
      <c r="IA129" s="74">
        <f t="shared" si="4543"/>
        <v>0</v>
      </c>
      <c r="IB129" s="74">
        <f t="shared" si="4543"/>
        <v>0</v>
      </c>
      <c r="IC129" s="74">
        <f t="shared" si="4543"/>
        <v>0</v>
      </c>
      <c r="ID129" s="74">
        <f t="shared" si="4543"/>
        <v>0</v>
      </c>
      <c r="IE129" s="792">
        <f t="shared" si="4543"/>
        <v>0</v>
      </c>
      <c r="IF129" s="853">
        <f t="shared" si="4543"/>
        <v>21770.7</v>
      </c>
      <c r="IG129" s="74">
        <f t="shared" si="4543"/>
        <v>21770.7</v>
      </c>
      <c r="IH129" s="575">
        <f t="shared" si="4543"/>
        <v>21770.7</v>
      </c>
      <c r="II129" s="155">
        <f t="shared" si="4543"/>
        <v>2.4</v>
      </c>
      <c r="IJ129" s="74">
        <f t="shared" si="4543"/>
        <v>2.4</v>
      </c>
      <c r="IK129" s="74">
        <f t="shared" si="4543"/>
        <v>2.4</v>
      </c>
      <c r="IL129" s="74">
        <f t="shared" si="4543"/>
        <v>305.99</v>
      </c>
      <c r="IM129" s="74">
        <f t="shared" si="4543"/>
        <v>305.99</v>
      </c>
      <c r="IN129" s="74">
        <f t="shared" si="4543"/>
        <v>305.99</v>
      </c>
      <c r="IO129" s="74">
        <f t="shared" si="4543"/>
        <v>133.19999999999999</v>
      </c>
      <c r="IP129" s="74">
        <f t="shared" si="4543"/>
        <v>133.19999999999999</v>
      </c>
      <c r="IQ129" s="74">
        <f t="shared" si="4543"/>
        <v>133.19999999999999</v>
      </c>
      <c r="IR129" s="74">
        <f t="shared" si="4543"/>
        <v>952.32000000000016</v>
      </c>
      <c r="IS129" s="74">
        <f t="shared" si="4543"/>
        <v>952.32000000000016</v>
      </c>
      <c r="IT129" s="74">
        <f t="shared" si="4543"/>
        <v>952.32000000000016</v>
      </c>
      <c r="IU129" s="74">
        <f t="shared" si="4543"/>
        <v>3114.76</v>
      </c>
      <c r="IV129" s="74">
        <f t="shared" si="4543"/>
        <v>3114.76</v>
      </c>
      <c r="IW129" s="74">
        <f t="shared" si="4543"/>
        <v>3114.76</v>
      </c>
      <c r="IX129" s="74">
        <f t="shared" si="4543"/>
        <v>2450.8199999999997</v>
      </c>
      <c r="IY129" s="74">
        <f t="shared" si="4543"/>
        <v>2450.8199999999997</v>
      </c>
      <c r="IZ129" s="74">
        <f t="shared" si="4543"/>
        <v>2450.8199999999997</v>
      </c>
      <c r="JA129" s="74">
        <f t="shared" si="4543"/>
        <v>3996</v>
      </c>
      <c r="JB129" s="74">
        <f t="shared" si="4543"/>
        <v>3996</v>
      </c>
      <c r="JC129" s="74">
        <f t="shared" si="4543"/>
        <v>3996</v>
      </c>
      <c r="JD129" s="74">
        <f t="shared" si="4543"/>
        <v>6501.4499999999989</v>
      </c>
      <c r="JE129" s="74">
        <f t="shared" si="4543"/>
        <v>6501.4499999999989</v>
      </c>
      <c r="JF129" s="74">
        <f t="shared" si="4543"/>
        <v>6501.4499999999989</v>
      </c>
      <c r="JG129" s="74">
        <f t="shared" si="4543"/>
        <v>908.76000000000204</v>
      </c>
      <c r="JH129" s="74">
        <f t="shared" si="4543"/>
        <v>908.76000000000204</v>
      </c>
      <c r="JI129" s="74">
        <f t="shared" si="4543"/>
        <v>908.76000000000204</v>
      </c>
      <c r="JJ129" s="74">
        <f t="shared" si="4543"/>
        <v>3405</v>
      </c>
      <c r="JK129" s="74">
        <f t="shared" si="4543"/>
        <v>3405</v>
      </c>
      <c r="JL129" s="74">
        <f t="shared" si="4543"/>
        <v>3405</v>
      </c>
      <c r="JM129" s="74">
        <f t="shared" si="4543"/>
        <v>0</v>
      </c>
      <c r="JN129" s="74">
        <f t="shared" si="4543"/>
        <v>0</v>
      </c>
      <c r="JO129" s="74">
        <f t="shared" si="4543"/>
        <v>0</v>
      </c>
      <c r="JP129" s="74">
        <f t="shared" si="4543"/>
        <v>0</v>
      </c>
      <c r="JQ129" s="74">
        <f t="shared" si="4543"/>
        <v>0</v>
      </c>
      <c r="JR129" s="74">
        <f t="shared" si="4543"/>
        <v>0</v>
      </c>
      <c r="JS129" s="74">
        <f t="shared" si="4543"/>
        <v>1329.2999999999993</v>
      </c>
      <c r="JT129" s="74">
        <f t="shared" ref="JT129" si="4544">SUM(JT462)+JT314</f>
        <v>1329.2999999999993</v>
      </c>
      <c r="JU129" s="671"/>
      <c r="JV129" s="492"/>
      <c r="JW129" s="490"/>
      <c r="JX129" s="549">
        <f>SUM(JX462)+JX314</f>
        <v>23100</v>
      </c>
      <c r="JY129" s="549">
        <f>SUM(JY462)+JY314</f>
        <v>0</v>
      </c>
      <c r="JZ129" s="581">
        <f t="shared" si="2110"/>
        <v>14000</v>
      </c>
      <c r="KA129" s="581">
        <f t="shared" si="2111"/>
        <v>0</v>
      </c>
      <c r="KB129" s="549">
        <f>SUM(KB462)+KB314</f>
        <v>23100</v>
      </c>
      <c r="KC129" s="709">
        <f t="shared" si="2079"/>
        <v>0</v>
      </c>
      <c r="KD129" s="36"/>
      <c r="KE129" s="36"/>
      <c r="KF129" s="36"/>
      <c r="KG129" s="36"/>
      <c r="KH129" s="36"/>
      <c r="KI129" s="36"/>
      <c r="KJ129" s="36"/>
      <c r="KK129" s="36"/>
    </row>
    <row r="130" spans="1:297" s="8" customFormat="1">
      <c r="A130" s="75"/>
      <c r="B130" s="72"/>
      <c r="C130" s="74"/>
      <c r="D130" s="549"/>
      <c r="E130" s="675"/>
      <c r="F130" s="549"/>
      <c r="G130" s="675"/>
      <c r="H130" s="549"/>
      <c r="I130" s="675"/>
      <c r="J130" s="549"/>
      <c r="K130" s="675"/>
      <c r="L130" s="549"/>
      <c r="M130" s="675"/>
      <c r="N130" s="549"/>
      <c r="O130" s="675"/>
      <c r="P130" s="549"/>
      <c r="Q130" s="675"/>
      <c r="R130" s="549"/>
      <c r="S130" s="675"/>
      <c r="T130" s="549"/>
      <c r="U130" s="675"/>
      <c r="V130" s="549"/>
      <c r="W130" s="675"/>
      <c r="X130" s="549"/>
      <c r="Y130" s="675"/>
      <c r="Z130" s="549"/>
      <c r="AA130" s="675"/>
      <c r="AB130" s="549"/>
      <c r="AC130" s="675"/>
      <c r="AD130" s="549"/>
      <c r="AE130" s="675"/>
      <c r="AF130" s="549"/>
      <c r="AG130" s="675"/>
      <c r="AH130" s="549"/>
      <c r="AI130" s="675"/>
      <c r="AJ130" s="549"/>
      <c r="AK130" s="675"/>
      <c r="AL130" s="549"/>
      <c r="AM130" s="675"/>
      <c r="AN130" s="549"/>
      <c r="AO130" s="675"/>
      <c r="AP130" s="549"/>
      <c r="AQ130" s="675"/>
      <c r="AR130" s="549"/>
      <c r="AS130" s="675"/>
      <c r="AT130" s="549"/>
      <c r="AU130" s="675"/>
      <c r="AV130" s="549"/>
      <c r="AW130" s="675"/>
      <c r="AX130" s="549"/>
      <c r="AY130" s="675"/>
      <c r="AZ130" s="549"/>
      <c r="BA130" s="675"/>
      <c r="BB130" s="549"/>
      <c r="BC130" s="675"/>
      <c r="BD130" s="549"/>
      <c r="BE130" s="675"/>
      <c r="BF130" s="549"/>
      <c r="BG130" s="675"/>
      <c r="BH130" s="549"/>
      <c r="BI130" s="675"/>
      <c r="BJ130" s="549"/>
      <c r="BK130" s="675"/>
      <c r="BL130" s="549"/>
      <c r="BM130" s="675"/>
      <c r="BN130" s="549"/>
      <c r="BO130" s="675"/>
      <c r="BP130" s="549"/>
      <c r="BQ130" s="675"/>
      <c r="BR130" s="549"/>
      <c r="BS130" s="675"/>
      <c r="BT130" s="549"/>
      <c r="BU130" s="675"/>
      <c r="BV130" s="549"/>
      <c r="BW130" s="675"/>
      <c r="BX130" s="549"/>
      <c r="BY130" s="675"/>
      <c r="BZ130" s="549"/>
      <c r="CA130" s="675"/>
      <c r="CB130" s="549"/>
      <c r="CC130" s="675"/>
      <c r="CD130" s="549"/>
      <c r="CE130" s="675"/>
      <c r="CF130" s="549"/>
      <c r="CG130" s="675"/>
      <c r="CH130" s="549"/>
      <c r="CI130" s="675"/>
      <c r="CJ130" s="549"/>
      <c r="CK130" s="675"/>
      <c r="CL130" s="549"/>
      <c r="CM130" s="675"/>
      <c r="CN130" s="549"/>
      <c r="CO130" s="675"/>
      <c r="CP130" s="549"/>
      <c r="CQ130" s="675"/>
      <c r="CR130" s="549"/>
      <c r="CS130" s="675"/>
      <c r="CT130" s="549"/>
      <c r="CU130" s="675"/>
      <c r="CV130" s="549"/>
      <c r="CW130" s="675"/>
      <c r="CX130" s="549"/>
      <c r="CY130" s="675"/>
      <c r="CZ130" s="549"/>
      <c r="DA130" s="675"/>
      <c r="DB130" s="549"/>
      <c r="DC130" s="675"/>
      <c r="DD130" s="549"/>
      <c r="DE130" s="675"/>
      <c r="DF130" s="549"/>
      <c r="DG130" s="675"/>
      <c r="DH130" s="549"/>
      <c r="DI130" s="675"/>
      <c r="DJ130" s="549"/>
      <c r="DK130" s="675"/>
      <c r="DL130" s="549"/>
      <c r="DM130" s="675"/>
      <c r="DN130" s="549"/>
      <c r="DO130" s="675"/>
      <c r="DP130" s="549"/>
      <c r="DQ130" s="675"/>
      <c r="DR130" s="549"/>
      <c r="DS130" s="675"/>
      <c r="DT130" s="549"/>
      <c r="DU130" s="675"/>
      <c r="DV130" s="549"/>
      <c r="DW130" s="675"/>
      <c r="DX130" s="549"/>
      <c r="DY130" s="675"/>
      <c r="DZ130" s="549"/>
      <c r="EA130" s="675"/>
      <c r="EB130" s="549"/>
      <c r="EC130" s="675"/>
      <c r="ED130" s="549"/>
      <c r="EE130" s="675"/>
      <c r="EF130" s="549"/>
      <c r="EG130" s="675"/>
      <c r="EH130" s="549"/>
      <c r="EI130" s="675"/>
      <c r="EJ130" s="549"/>
      <c r="EK130" s="675"/>
      <c r="EL130" s="549"/>
      <c r="EM130" s="675"/>
      <c r="EN130" s="549"/>
      <c r="EO130" s="675"/>
      <c r="EP130" s="549"/>
      <c r="EQ130" s="675"/>
      <c r="ER130" s="549"/>
      <c r="ES130" s="675"/>
      <c r="ET130" s="549"/>
      <c r="EU130" s="675"/>
      <c r="EV130" s="549"/>
      <c r="EW130" s="675"/>
      <c r="EX130" s="549"/>
      <c r="EY130" s="675"/>
      <c r="EZ130" s="549"/>
      <c r="FA130" s="675"/>
      <c r="FB130" s="549"/>
      <c r="FC130" s="675"/>
      <c r="FD130" s="549"/>
      <c r="FE130" s="675"/>
      <c r="FF130" s="549"/>
      <c r="FG130" s="675"/>
      <c r="FH130" s="549"/>
      <c r="FI130" s="675"/>
      <c r="FJ130" s="549"/>
      <c r="FK130" s="675"/>
      <c r="FL130" s="549"/>
      <c r="FM130" s="675"/>
      <c r="FN130" s="549"/>
      <c r="FO130" s="675"/>
      <c r="FP130" s="549"/>
      <c r="FQ130" s="675"/>
      <c r="FR130" s="549"/>
      <c r="FS130" s="675"/>
      <c r="FT130" s="549"/>
      <c r="FU130" s="675"/>
      <c r="FV130" s="549"/>
      <c r="FW130" s="675"/>
      <c r="FX130" s="549"/>
      <c r="FY130" s="675"/>
      <c r="FZ130" s="549"/>
      <c r="GA130" s="675"/>
      <c r="GB130" s="549"/>
      <c r="GC130" s="675"/>
      <c r="GD130" s="549"/>
      <c r="GE130" s="675"/>
      <c r="GF130" s="549"/>
      <c r="GG130" s="675"/>
      <c r="GH130" s="549"/>
      <c r="GI130" s="675"/>
      <c r="GJ130" s="549"/>
      <c r="GK130" s="675"/>
      <c r="GL130" s="549"/>
      <c r="GM130" s="675"/>
      <c r="GN130" s="549"/>
      <c r="GO130" s="675"/>
      <c r="GP130" s="74"/>
      <c r="GQ130" s="675"/>
      <c r="GR130" s="74"/>
      <c r="GS130" s="74"/>
      <c r="GT130" s="549"/>
      <c r="GU130" s="74"/>
      <c r="GV130" s="74"/>
      <c r="GW130" s="549"/>
      <c r="GX130" s="549"/>
      <c r="GY130" s="74"/>
      <c r="GZ130" s="74"/>
      <c r="HA130" s="74"/>
      <c r="HB130" s="74"/>
      <c r="HC130" s="74"/>
      <c r="HD130" s="74"/>
      <c r="HE130" s="74"/>
      <c r="HF130" s="74"/>
      <c r="HG130" s="74"/>
      <c r="HH130" s="74"/>
      <c r="HI130" s="74"/>
      <c r="HJ130" s="74"/>
      <c r="HK130" s="74"/>
      <c r="HL130" s="74"/>
      <c r="HM130" s="74"/>
      <c r="HN130" s="74"/>
      <c r="HO130" s="74"/>
      <c r="HP130" s="74"/>
      <c r="HQ130" s="74"/>
      <c r="HR130" s="74"/>
      <c r="HS130" s="74"/>
      <c r="HT130" s="74"/>
      <c r="HU130" s="74"/>
      <c r="HV130" s="74"/>
      <c r="HW130" s="74"/>
      <c r="HX130" s="74"/>
      <c r="HY130" s="74"/>
      <c r="HZ130" s="74"/>
      <c r="IA130" s="74"/>
      <c r="IB130" s="74"/>
      <c r="IC130" s="74"/>
      <c r="ID130" s="74"/>
      <c r="IE130" s="792"/>
      <c r="IF130" s="841"/>
      <c r="IG130" s="263"/>
      <c r="IH130" s="842"/>
      <c r="II130" s="155"/>
      <c r="IJ130" s="74"/>
      <c r="IK130" s="74"/>
      <c r="IL130" s="74"/>
      <c r="IM130" s="74"/>
      <c r="IN130" s="74"/>
      <c r="IO130" s="74"/>
      <c r="IP130" s="74"/>
      <c r="IQ130" s="74"/>
      <c r="IR130" s="74"/>
      <c r="IS130" s="74"/>
      <c r="IT130" s="74"/>
      <c r="IU130" s="74"/>
      <c r="IV130" s="74"/>
      <c r="IW130" s="74"/>
      <c r="IX130" s="74"/>
      <c r="IY130" s="74"/>
      <c r="IZ130" s="74"/>
      <c r="JA130" s="74"/>
      <c r="JB130" s="74"/>
      <c r="JC130" s="74"/>
      <c r="JD130" s="74"/>
      <c r="JE130" s="74"/>
      <c r="JF130" s="74"/>
      <c r="JG130" s="74"/>
      <c r="JH130" s="74"/>
      <c r="JI130" s="74"/>
      <c r="JJ130" s="74"/>
      <c r="JK130" s="74"/>
      <c r="JL130" s="74"/>
      <c r="JM130" s="74"/>
      <c r="JN130" s="74"/>
      <c r="JO130" s="74"/>
      <c r="JP130" s="74"/>
      <c r="JQ130" s="74"/>
      <c r="JR130" s="74"/>
      <c r="JS130" s="74"/>
      <c r="JT130" s="382"/>
      <c r="JU130" s="671"/>
      <c r="JV130" s="492"/>
      <c r="JW130" s="490"/>
      <c r="JX130" s="549"/>
      <c r="JY130" s="549"/>
      <c r="JZ130" s="581">
        <f t="shared" si="2110"/>
        <v>0</v>
      </c>
      <c r="KA130" s="581">
        <f t="shared" si="2111"/>
        <v>0</v>
      </c>
      <c r="KB130" s="549"/>
      <c r="KC130" s="709">
        <f t="shared" si="2079"/>
        <v>0</v>
      </c>
      <c r="KD130" s="36"/>
      <c r="KE130" s="36"/>
      <c r="KF130" s="36"/>
      <c r="KG130" s="36"/>
      <c r="KH130" s="36"/>
      <c r="KI130" s="36"/>
      <c r="KJ130" s="36"/>
      <c r="KK130" s="36"/>
    </row>
    <row r="131" spans="1:297" s="8" customFormat="1">
      <c r="A131" s="75" t="s">
        <v>154</v>
      </c>
      <c r="B131" s="72" t="s">
        <v>155</v>
      </c>
      <c r="C131" s="74">
        <f>SUM(C132:C137)</f>
        <v>30000</v>
      </c>
      <c r="D131" s="549">
        <f t="shared" ref="D131:E131" si="4545">SUM(D132:D137)</f>
        <v>0</v>
      </c>
      <c r="E131" s="675">
        <f t="shared" si="4545"/>
        <v>0</v>
      </c>
      <c r="F131" s="549">
        <f t="shared" ref="F131:G131" si="4546">SUM(F132:F137)</f>
        <v>0</v>
      </c>
      <c r="G131" s="675">
        <f t="shared" si="4546"/>
        <v>0</v>
      </c>
      <c r="H131" s="549">
        <f t="shared" ref="H131:I131" si="4547">SUM(H132:H137)</f>
        <v>0</v>
      </c>
      <c r="I131" s="675">
        <f t="shared" si="4547"/>
        <v>0</v>
      </c>
      <c r="J131" s="549">
        <f t="shared" ref="J131:K131" si="4548">SUM(J132:J137)</f>
        <v>0</v>
      </c>
      <c r="K131" s="675">
        <f t="shared" si="4548"/>
        <v>0</v>
      </c>
      <c r="L131" s="549">
        <f t="shared" ref="L131:M131" si="4549">SUM(L132:L137)</f>
        <v>0</v>
      </c>
      <c r="M131" s="675">
        <f t="shared" si="4549"/>
        <v>0</v>
      </c>
      <c r="N131" s="549">
        <f t="shared" ref="N131:O131" si="4550">SUM(N132:N137)</f>
        <v>0</v>
      </c>
      <c r="O131" s="675">
        <f t="shared" si="4550"/>
        <v>0</v>
      </c>
      <c r="P131" s="549">
        <f t="shared" ref="P131:Q131" si="4551">SUM(P132:P137)</f>
        <v>0</v>
      </c>
      <c r="Q131" s="675">
        <f t="shared" si="4551"/>
        <v>0</v>
      </c>
      <c r="R131" s="549">
        <f t="shared" ref="R131:S131" si="4552">SUM(R132:R137)</f>
        <v>0</v>
      </c>
      <c r="S131" s="675">
        <f t="shared" si="4552"/>
        <v>0</v>
      </c>
      <c r="T131" s="549">
        <f t="shared" ref="T131:U131" si="4553">SUM(T132:T137)</f>
        <v>0</v>
      </c>
      <c r="U131" s="675">
        <f t="shared" si="4553"/>
        <v>0</v>
      </c>
      <c r="V131" s="549">
        <f t="shared" ref="V131:W131" si="4554">SUM(V132:V137)</f>
        <v>0</v>
      </c>
      <c r="W131" s="675">
        <f t="shared" si="4554"/>
        <v>0</v>
      </c>
      <c r="X131" s="549">
        <f t="shared" ref="X131:Y131" si="4555">SUM(X132:X137)</f>
        <v>0</v>
      </c>
      <c r="Y131" s="675">
        <f t="shared" si="4555"/>
        <v>0</v>
      </c>
      <c r="Z131" s="549">
        <f t="shared" ref="Z131:AA131" si="4556">SUM(Z132:Z137)</f>
        <v>0</v>
      </c>
      <c r="AA131" s="675">
        <f t="shared" si="4556"/>
        <v>0</v>
      </c>
      <c r="AB131" s="549">
        <f t="shared" ref="AB131:AC131" si="4557">SUM(AB132:AB137)</f>
        <v>0</v>
      </c>
      <c r="AC131" s="675">
        <f t="shared" si="4557"/>
        <v>0</v>
      </c>
      <c r="AD131" s="549">
        <f t="shared" ref="AD131:AE131" si="4558">SUM(AD132:AD137)</f>
        <v>0</v>
      </c>
      <c r="AE131" s="675">
        <f t="shared" si="4558"/>
        <v>-1000</v>
      </c>
      <c r="AF131" s="549">
        <f t="shared" ref="AF131:AI131" si="4559">SUM(AF132:AF137)</f>
        <v>0</v>
      </c>
      <c r="AG131" s="675">
        <f t="shared" si="4559"/>
        <v>0</v>
      </c>
      <c r="AH131" s="549">
        <f t="shared" si="4559"/>
        <v>0</v>
      </c>
      <c r="AI131" s="675">
        <f t="shared" si="4559"/>
        <v>0</v>
      </c>
      <c r="AJ131" s="549">
        <f t="shared" ref="AJ131:AK131" si="4560">SUM(AJ132:AJ137)</f>
        <v>0</v>
      </c>
      <c r="AK131" s="675">
        <f t="shared" si="4560"/>
        <v>0</v>
      </c>
      <c r="AL131" s="549">
        <f t="shared" ref="AL131:AM131" si="4561">SUM(AL132:AL137)</f>
        <v>0</v>
      </c>
      <c r="AM131" s="675">
        <f t="shared" si="4561"/>
        <v>0</v>
      </c>
      <c r="AN131" s="549">
        <f t="shared" ref="AN131:AO131" si="4562">SUM(AN132:AN137)</f>
        <v>0</v>
      </c>
      <c r="AO131" s="675">
        <f t="shared" si="4562"/>
        <v>0</v>
      </c>
      <c r="AP131" s="549">
        <f t="shared" ref="AP131:AQ131" si="4563">SUM(AP132:AP137)</f>
        <v>0</v>
      </c>
      <c r="AQ131" s="675">
        <f t="shared" si="4563"/>
        <v>0</v>
      </c>
      <c r="AR131" s="549">
        <f t="shared" ref="AR131:AS131" si="4564">SUM(AR132:AR137)</f>
        <v>0</v>
      </c>
      <c r="AS131" s="675">
        <f t="shared" si="4564"/>
        <v>0</v>
      </c>
      <c r="AT131" s="549">
        <f t="shared" ref="AT131:AU131" si="4565">SUM(AT132:AT137)</f>
        <v>0</v>
      </c>
      <c r="AU131" s="675">
        <f t="shared" si="4565"/>
        <v>0</v>
      </c>
      <c r="AV131" s="549">
        <f t="shared" ref="AV131:AW131" si="4566">SUM(AV132:AV137)</f>
        <v>0</v>
      </c>
      <c r="AW131" s="675">
        <f t="shared" si="4566"/>
        <v>0</v>
      </c>
      <c r="AX131" s="549">
        <f t="shared" ref="AX131:AY131" si="4567">SUM(AX132:AX137)</f>
        <v>0</v>
      </c>
      <c r="AY131" s="675">
        <f t="shared" si="4567"/>
        <v>0</v>
      </c>
      <c r="AZ131" s="549">
        <f t="shared" ref="AZ131:BA131" si="4568">SUM(AZ132:AZ137)</f>
        <v>0</v>
      </c>
      <c r="BA131" s="675">
        <f t="shared" si="4568"/>
        <v>-1000</v>
      </c>
      <c r="BB131" s="549">
        <f t="shared" ref="BB131:BC131" si="4569">SUM(BB132:BB137)</f>
        <v>0</v>
      </c>
      <c r="BC131" s="675">
        <f t="shared" si="4569"/>
        <v>0</v>
      </c>
      <c r="BD131" s="549">
        <f t="shared" ref="BD131:BE131" si="4570">SUM(BD132:BD137)</f>
        <v>0</v>
      </c>
      <c r="BE131" s="675">
        <f t="shared" si="4570"/>
        <v>0</v>
      </c>
      <c r="BF131" s="549">
        <f t="shared" ref="BF131:BG131" si="4571">SUM(BF132:BF137)</f>
        <v>0</v>
      </c>
      <c r="BG131" s="675">
        <f t="shared" si="4571"/>
        <v>0</v>
      </c>
      <c r="BH131" s="549">
        <f t="shared" ref="BH131:BI131" si="4572">SUM(BH132:BH137)</f>
        <v>0</v>
      </c>
      <c r="BI131" s="675">
        <f t="shared" si="4572"/>
        <v>0</v>
      </c>
      <c r="BJ131" s="549">
        <f t="shared" ref="BJ131:BK131" si="4573">SUM(BJ132:BJ137)</f>
        <v>0</v>
      </c>
      <c r="BK131" s="675">
        <f t="shared" si="4573"/>
        <v>0</v>
      </c>
      <c r="BL131" s="549">
        <f t="shared" ref="BL131:BS131" si="4574">SUM(BL132:BL137)</f>
        <v>0</v>
      </c>
      <c r="BM131" s="675">
        <f t="shared" si="4574"/>
        <v>0</v>
      </c>
      <c r="BN131" s="549">
        <f t="shared" si="4574"/>
        <v>0</v>
      </c>
      <c r="BO131" s="675">
        <f t="shared" si="4574"/>
        <v>0</v>
      </c>
      <c r="BP131" s="549">
        <f t="shared" si="4574"/>
        <v>0</v>
      </c>
      <c r="BQ131" s="675">
        <f t="shared" si="4574"/>
        <v>0</v>
      </c>
      <c r="BR131" s="549">
        <f t="shared" si="4574"/>
        <v>0</v>
      </c>
      <c r="BS131" s="675">
        <f t="shared" si="4574"/>
        <v>0</v>
      </c>
      <c r="BT131" s="549">
        <f t="shared" ref="BT131:BU131" si="4575">SUM(BT132:BT137)</f>
        <v>0</v>
      </c>
      <c r="BU131" s="675">
        <f t="shared" si="4575"/>
        <v>0</v>
      </c>
      <c r="BV131" s="549">
        <f t="shared" ref="BV131:BW131" si="4576">SUM(BV132:BV137)</f>
        <v>0</v>
      </c>
      <c r="BW131" s="675">
        <f t="shared" si="4576"/>
        <v>0</v>
      </c>
      <c r="BX131" s="549">
        <f t="shared" ref="BX131:BY131" si="4577">SUM(BX132:BX137)</f>
        <v>0</v>
      </c>
      <c r="BY131" s="675">
        <f t="shared" si="4577"/>
        <v>0</v>
      </c>
      <c r="BZ131" s="549">
        <f t="shared" ref="BZ131:CA131" si="4578">SUM(BZ132:BZ137)</f>
        <v>0</v>
      </c>
      <c r="CA131" s="675">
        <f t="shared" si="4578"/>
        <v>0</v>
      </c>
      <c r="CB131" s="549">
        <f t="shared" ref="CB131:CE131" si="4579">SUM(CB132:CB137)</f>
        <v>0</v>
      </c>
      <c r="CC131" s="675">
        <f t="shared" si="4579"/>
        <v>0</v>
      </c>
      <c r="CD131" s="549">
        <f t="shared" si="4579"/>
        <v>0</v>
      </c>
      <c r="CE131" s="675">
        <f t="shared" si="4579"/>
        <v>0</v>
      </c>
      <c r="CF131" s="549">
        <f t="shared" ref="CF131:CQ131" si="4580">SUM(CF132:CF137)</f>
        <v>0</v>
      </c>
      <c r="CG131" s="675">
        <f t="shared" si="4580"/>
        <v>0</v>
      </c>
      <c r="CH131" s="549">
        <f t="shared" si="4580"/>
        <v>0</v>
      </c>
      <c r="CI131" s="675">
        <f t="shared" si="4580"/>
        <v>0</v>
      </c>
      <c r="CJ131" s="549">
        <f t="shared" si="4580"/>
        <v>0</v>
      </c>
      <c r="CK131" s="675">
        <f t="shared" si="4580"/>
        <v>-6000</v>
      </c>
      <c r="CL131" s="549">
        <f t="shared" si="4580"/>
        <v>0</v>
      </c>
      <c r="CM131" s="675">
        <f t="shared" si="4580"/>
        <v>0</v>
      </c>
      <c r="CN131" s="549">
        <f t="shared" si="4580"/>
        <v>0</v>
      </c>
      <c r="CO131" s="675">
        <f t="shared" si="4580"/>
        <v>0</v>
      </c>
      <c r="CP131" s="549">
        <f t="shared" si="4580"/>
        <v>0</v>
      </c>
      <c r="CQ131" s="675">
        <f t="shared" si="4580"/>
        <v>0</v>
      </c>
      <c r="CR131" s="549">
        <f t="shared" ref="CR131:CY131" si="4581">SUM(CR132:CR137)</f>
        <v>0</v>
      </c>
      <c r="CS131" s="675">
        <f t="shared" si="4581"/>
        <v>0</v>
      </c>
      <c r="CT131" s="549">
        <f t="shared" si="4581"/>
        <v>0</v>
      </c>
      <c r="CU131" s="675">
        <f t="shared" si="4581"/>
        <v>0</v>
      </c>
      <c r="CV131" s="549">
        <f t="shared" si="4581"/>
        <v>0</v>
      </c>
      <c r="CW131" s="675">
        <f t="shared" si="4581"/>
        <v>0</v>
      </c>
      <c r="CX131" s="549">
        <f t="shared" si="4581"/>
        <v>0</v>
      </c>
      <c r="CY131" s="675">
        <f t="shared" si="4581"/>
        <v>0</v>
      </c>
      <c r="CZ131" s="549">
        <f t="shared" ref="CZ131:DG131" si="4582">SUM(CZ132:CZ137)</f>
        <v>0</v>
      </c>
      <c r="DA131" s="675">
        <f t="shared" si="4582"/>
        <v>0</v>
      </c>
      <c r="DB131" s="549">
        <f t="shared" si="4582"/>
        <v>0</v>
      </c>
      <c r="DC131" s="675">
        <f t="shared" si="4582"/>
        <v>0</v>
      </c>
      <c r="DD131" s="549">
        <f t="shared" si="4582"/>
        <v>0</v>
      </c>
      <c r="DE131" s="675">
        <f t="shared" si="4582"/>
        <v>0</v>
      </c>
      <c r="DF131" s="549">
        <f t="shared" si="4582"/>
        <v>0</v>
      </c>
      <c r="DG131" s="675">
        <f t="shared" si="4582"/>
        <v>0</v>
      </c>
      <c r="DH131" s="549">
        <f t="shared" ref="DH131:DM131" si="4583">SUM(DH132:DH137)</f>
        <v>0</v>
      </c>
      <c r="DI131" s="675">
        <f t="shared" si="4583"/>
        <v>-1000</v>
      </c>
      <c r="DJ131" s="549">
        <f t="shared" si="4583"/>
        <v>2000</v>
      </c>
      <c r="DK131" s="675">
        <f t="shared" si="4583"/>
        <v>0</v>
      </c>
      <c r="DL131" s="549">
        <f t="shared" si="4583"/>
        <v>0</v>
      </c>
      <c r="DM131" s="675">
        <f t="shared" si="4583"/>
        <v>0</v>
      </c>
      <c r="DN131" s="549">
        <f t="shared" ref="DN131:DW131" si="4584">SUM(DN132:DN137)</f>
        <v>0</v>
      </c>
      <c r="DO131" s="675">
        <f t="shared" si="4584"/>
        <v>0</v>
      </c>
      <c r="DP131" s="549">
        <f t="shared" si="4584"/>
        <v>0</v>
      </c>
      <c r="DQ131" s="675">
        <f t="shared" si="4584"/>
        <v>0</v>
      </c>
      <c r="DR131" s="549">
        <f t="shared" si="4584"/>
        <v>0</v>
      </c>
      <c r="DS131" s="675">
        <f t="shared" si="4584"/>
        <v>0</v>
      </c>
      <c r="DT131" s="549">
        <f t="shared" si="4584"/>
        <v>0</v>
      </c>
      <c r="DU131" s="675">
        <f t="shared" si="4584"/>
        <v>0</v>
      </c>
      <c r="DV131" s="549">
        <f t="shared" si="4584"/>
        <v>0</v>
      </c>
      <c r="DW131" s="675">
        <f t="shared" si="4584"/>
        <v>0</v>
      </c>
      <c r="DX131" s="549">
        <f t="shared" ref="DX131:EG131" si="4585">SUM(DX132:DX137)</f>
        <v>0</v>
      </c>
      <c r="DY131" s="675">
        <f t="shared" si="4585"/>
        <v>0</v>
      </c>
      <c r="DZ131" s="549">
        <f t="shared" si="4585"/>
        <v>0</v>
      </c>
      <c r="EA131" s="675">
        <f t="shared" si="4585"/>
        <v>0</v>
      </c>
      <c r="EB131" s="549">
        <f t="shared" si="4585"/>
        <v>0</v>
      </c>
      <c r="EC131" s="675">
        <f t="shared" si="4585"/>
        <v>0</v>
      </c>
      <c r="ED131" s="549">
        <f t="shared" si="4585"/>
        <v>0</v>
      </c>
      <c r="EE131" s="675">
        <f t="shared" si="4585"/>
        <v>0</v>
      </c>
      <c r="EF131" s="549">
        <f t="shared" si="4585"/>
        <v>0</v>
      </c>
      <c r="EG131" s="675">
        <f t="shared" si="4585"/>
        <v>0</v>
      </c>
      <c r="EH131" s="549">
        <f t="shared" ref="EH131:EM131" si="4586">SUM(EH132:EH137)</f>
        <v>0</v>
      </c>
      <c r="EI131" s="675">
        <f t="shared" si="4586"/>
        <v>0</v>
      </c>
      <c r="EJ131" s="549">
        <f t="shared" si="4586"/>
        <v>0</v>
      </c>
      <c r="EK131" s="675">
        <f t="shared" si="4586"/>
        <v>0</v>
      </c>
      <c r="EL131" s="549">
        <f t="shared" si="4586"/>
        <v>0</v>
      </c>
      <c r="EM131" s="675">
        <f t="shared" si="4586"/>
        <v>0</v>
      </c>
      <c r="EN131" s="549">
        <f t="shared" ref="EN131:EO131" si="4587">SUM(EN132:EN137)</f>
        <v>0</v>
      </c>
      <c r="EO131" s="675">
        <f t="shared" si="4587"/>
        <v>0</v>
      </c>
      <c r="EP131" s="549">
        <f t="shared" ref="EP131:FA131" si="4588">SUM(EP132:EP137)</f>
        <v>0</v>
      </c>
      <c r="EQ131" s="675">
        <f t="shared" si="4588"/>
        <v>0</v>
      </c>
      <c r="ER131" s="549">
        <f t="shared" si="4588"/>
        <v>0</v>
      </c>
      <c r="ES131" s="675">
        <f t="shared" si="4588"/>
        <v>0</v>
      </c>
      <c r="ET131" s="549">
        <f t="shared" si="4588"/>
        <v>3000</v>
      </c>
      <c r="EU131" s="675">
        <f t="shared" si="4588"/>
        <v>0</v>
      </c>
      <c r="EV131" s="549">
        <f t="shared" ref="EV131:EW131" si="4589">SUM(EV132:EV137)</f>
        <v>0</v>
      </c>
      <c r="EW131" s="675">
        <f t="shared" si="4589"/>
        <v>0</v>
      </c>
      <c r="EX131" s="549">
        <f t="shared" si="4588"/>
        <v>0</v>
      </c>
      <c r="EY131" s="675">
        <f t="shared" si="4588"/>
        <v>0</v>
      </c>
      <c r="EZ131" s="549">
        <f t="shared" si="4588"/>
        <v>0</v>
      </c>
      <c r="FA131" s="675">
        <f t="shared" si="4588"/>
        <v>0</v>
      </c>
      <c r="FB131" s="549">
        <f t="shared" ref="FB131:FC131" si="4590">SUM(FB132:FB137)</f>
        <v>0</v>
      </c>
      <c r="FC131" s="675">
        <f t="shared" si="4590"/>
        <v>0</v>
      </c>
      <c r="FD131" s="549">
        <f t="shared" ref="FD131:FE131" si="4591">SUM(FD132:FD137)</f>
        <v>0</v>
      </c>
      <c r="FE131" s="675">
        <f t="shared" si="4591"/>
        <v>0</v>
      </c>
      <c r="FF131" s="549">
        <f t="shared" ref="FF131:FG131" si="4592">SUM(FF132:FF137)</f>
        <v>0</v>
      </c>
      <c r="FG131" s="675">
        <f t="shared" si="4592"/>
        <v>0</v>
      </c>
      <c r="FH131" s="549">
        <f t="shared" ref="FH131:FI131" si="4593">SUM(FH132:FH137)</f>
        <v>0</v>
      </c>
      <c r="FI131" s="675">
        <f t="shared" si="4593"/>
        <v>0</v>
      </c>
      <c r="FJ131" s="549">
        <f t="shared" ref="FJ131:FK131" si="4594">SUM(FJ132:FJ137)</f>
        <v>0</v>
      </c>
      <c r="FK131" s="675">
        <f t="shared" si="4594"/>
        <v>0</v>
      </c>
      <c r="FL131" s="549">
        <f t="shared" ref="FL131:FM131" si="4595">SUM(FL132:FL137)</f>
        <v>0</v>
      </c>
      <c r="FM131" s="675">
        <f t="shared" si="4595"/>
        <v>0</v>
      </c>
      <c r="FN131" s="549">
        <f t="shared" ref="FN131:FO131" si="4596">SUM(FN132:FN137)</f>
        <v>0</v>
      </c>
      <c r="FO131" s="675">
        <f t="shared" si="4596"/>
        <v>0</v>
      </c>
      <c r="FP131" s="549">
        <f t="shared" ref="FP131:FQ131" si="4597">SUM(FP132:FP137)</f>
        <v>0</v>
      </c>
      <c r="FQ131" s="675">
        <f t="shared" si="4597"/>
        <v>0</v>
      </c>
      <c r="FR131" s="549">
        <f t="shared" ref="FR131:FS131" si="4598">SUM(FR132:FR137)</f>
        <v>0</v>
      </c>
      <c r="FS131" s="675">
        <f t="shared" si="4598"/>
        <v>-600</v>
      </c>
      <c r="FT131" s="549">
        <f t="shared" ref="FT131:FU131" si="4599">SUM(FT132:FT137)</f>
        <v>0</v>
      </c>
      <c r="FU131" s="675">
        <f t="shared" si="4599"/>
        <v>0</v>
      </c>
      <c r="FV131" s="549">
        <f t="shared" ref="FV131:GK131" si="4600">SUM(FV132:FV137)</f>
        <v>0</v>
      </c>
      <c r="FW131" s="675">
        <f t="shared" si="4600"/>
        <v>0</v>
      </c>
      <c r="FX131" s="549">
        <f t="shared" si="4600"/>
        <v>0</v>
      </c>
      <c r="FY131" s="675">
        <f t="shared" si="4600"/>
        <v>0</v>
      </c>
      <c r="FZ131" s="549">
        <f t="shared" ref="FZ131:GI131" si="4601">SUM(FZ132:FZ137)</f>
        <v>0</v>
      </c>
      <c r="GA131" s="675">
        <f t="shared" si="4601"/>
        <v>0</v>
      </c>
      <c r="GB131" s="549">
        <f t="shared" si="4601"/>
        <v>0</v>
      </c>
      <c r="GC131" s="675">
        <f t="shared" si="4601"/>
        <v>0</v>
      </c>
      <c r="GD131" s="549">
        <f t="shared" si="4601"/>
        <v>0</v>
      </c>
      <c r="GE131" s="675">
        <f t="shared" si="4601"/>
        <v>0</v>
      </c>
      <c r="GF131" s="549">
        <f t="shared" si="4601"/>
        <v>0</v>
      </c>
      <c r="GG131" s="675">
        <f t="shared" si="4601"/>
        <v>0</v>
      </c>
      <c r="GH131" s="549">
        <f t="shared" si="4601"/>
        <v>0</v>
      </c>
      <c r="GI131" s="675">
        <f t="shared" si="4601"/>
        <v>0</v>
      </c>
      <c r="GJ131" s="549">
        <f t="shared" si="4600"/>
        <v>0</v>
      </c>
      <c r="GK131" s="675">
        <f t="shared" si="4600"/>
        <v>0</v>
      </c>
      <c r="GL131" s="549">
        <f t="shared" ref="GL131:GQ131" si="4602">SUM(GL132:GL137)</f>
        <v>0</v>
      </c>
      <c r="GM131" s="675">
        <f t="shared" si="4602"/>
        <v>0</v>
      </c>
      <c r="GN131" s="549">
        <f t="shared" ref="GN131:GO131" si="4603">SUM(GN132:GN137)</f>
        <v>0</v>
      </c>
      <c r="GO131" s="675">
        <f t="shared" si="4603"/>
        <v>0</v>
      </c>
      <c r="GP131" s="74">
        <f t="shared" si="4602"/>
        <v>5000</v>
      </c>
      <c r="GQ131" s="675">
        <f t="shared" si="4602"/>
        <v>-9600</v>
      </c>
      <c r="GR131" s="74">
        <f t="shared" ref="GR131:JA131" si="4604">SUM(GR132:GR137)</f>
        <v>25400</v>
      </c>
      <c r="GS131" s="74">
        <f>SUM(GS132:GS137)</f>
        <v>25400</v>
      </c>
      <c r="GT131" s="549">
        <f t="shared" si="4604"/>
        <v>25400</v>
      </c>
      <c r="GU131" s="74">
        <f>SUM(GU132:GU137)</f>
        <v>4640</v>
      </c>
      <c r="GV131" s="74">
        <f t="shared" ref="GV131:HA131" si="4605">SUM(GV132:GV137)</f>
        <v>3740</v>
      </c>
      <c r="GW131" s="74">
        <f t="shared" si="4605"/>
        <v>2140</v>
      </c>
      <c r="GX131" s="74">
        <f t="shared" si="4605"/>
        <v>5640</v>
      </c>
      <c r="GY131" s="74">
        <f t="shared" si="4605"/>
        <v>2140</v>
      </c>
      <c r="GZ131" s="74">
        <f t="shared" si="4605"/>
        <v>2140</v>
      </c>
      <c r="HA131" s="74">
        <f t="shared" si="4605"/>
        <v>3140</v>
      </c>
      <c r="HB131" s="74">
        <f t="shared" si="4604"/>
        <v>2140</v>
      </c>
      <c r="HC131" s="74">
        <f t="shared" si="4604"/>
        <v>2140</v>
      </c>
      <c r="HD131" s="74">
        <f t="shared" si="4604"/>
        <v>2140</v>
      </c>
      <c r="HE131" s="74">
        <f t="shared" si="4604"/>
        <v>0</v>
      </c>
      <c r="HF131" s="74">
        <f t="shared" si="4604"/>
        <v>0</v>
      </c>
      <c r="HG131" s="74">
        <f t="shared" si="4604"/>
        <v>25400</v>
      </c>
      <c r="HH131" s="74">
        <f t="shared" ref="HH131:HU131" si="4606">SUM(HH132:HH137)</f>
        <v>4640</v>
      </c>
      <c r="HI131" s="74">
        <f t="shared" si="4606"/>
        <v>0</v>
      </c>
      <c r="HJ131" s="74">
        <f t="shared" si="4606"/>
        <v>2140</v>
      </c>
      <c r="HK131" s="74">
        <f t="shared" si="4606"/>
        <v>0</v>
      </c>
      <c r="HL131" s="74">
        <f t="shared" si="4606"/>
        <v>1140</v>
      </c>
      <c r="HM131" s="74">
        <f t="shared" si="4606"/>
        <v>0</v>
      </c>
      <c r="HN131" s="74">
        <f t="shared" si="4606"/>
        <v>2140</v>
      </c>
      <c r="HO131" s="74">
        <f t="shared" si="4606"/>
        <v>0</v>
      </c>
      <c r="HP131" s="74">
        <f t="shared" si="4606"/>
        <v>2140</v>
      </c>
      <c r="HQ131" s="74">
        <f t="shared" si="4606"/>
        <v>0</v>
      </c>
      <c r="HR131" s="74">
        <f t="shared" si="4606"/>
        <v>0</v>
      </c>
      <c r="HS131" s="74">
        <f t="shared" si="4606"/>
        <v>0</v>
      </c>
      <c r="HT131" s="74">
        <f t="shared" si="4606"/>
        <v>-500</v>
      </c>
      <c r="HU131" s="74">
        <f t="shared" si="4606"/>
        <v>0</v>
      </c>
      <c r="HV131" s="74">
        <f t="shared" si="4604"/>
        <v>4420</v>
      </c>
      <c r="HW131" s="74">
        <f t="shared" si="4604"/>
        <v>0</v>
      </c>
      <c r="HX131" s="74">
        <f t="shared" si="4604"/>
        <v>7740</v>
      </c>
      <c r="HY131" s="74">
        <f t="shared" si="4604"/>
        <v>0</v>
      </c>
      <c r="HZ131" s="74">
        <f t="shared" si="4604"/>
        <v>1540</v>
      </c>
      <c r="IA131" s="74">
        <f t="shared" si="4604"/>
        <v>0</v>
      </c>
      <c r="IB131" s="74">
        <f t="shared" si="4604"/>
        <v>0</v>
      </c>
      <c r="IC131" s="74">
        <f t="shared" si="4604"/>
        <v>0</v>
      </c>
      <c r="ID131" s="74">
        <f t="shared" si="4604"/>
        <v>0</v>
      </c>
      <c r="IE131" s="792">
        <f t="shared" si="4604"/>
        <v>0</v>
      </c>
      <c r="IF131" s="841">
        <f t="shared" si="4604"/>
        <v>19513.63</v>
      </c>
      <c r="IG131" s="263">
        <f t="shared" si="4604"/>
        <v>19513.63</v>
      </c>
      <c r="IH131" s="842">
        <f t="shared" si="4604"/>
        <v>19513.63</v>
      </c>
      <c r="II131" s="155">
        <f t="shared" si="4604"/>
        <v>346.88</v>
      </c>
      <c r="IJ131" s="74">
        <f t="shared" si="4604"/>
        <v>346.88</v>
      </c>
      <c r="IK131" s="74">
        <f t="shared" si="4604"/>
        <v>346.88</v>
      </c>
      <c r="IL131" s="74">
        <f t="shared" si="4604"/>
        <v>291.28999999999996</v>
      </c>
      <c r="IM131" s="74">
        <f t="shared" si="4604"/>
        <v>291.28999999999996</v>
      </c>
      <c r="IN131" s="74">
        <f t="shared" si="4604"/>
        <v>291.28999999999996</v>
      </c>
      <c r="IO131" s="74">
        <f t="shared" si="4604"/>
        <v>290.84000000000003</v>
      </c>
      <c r="IP131" s="74">
        <f t="shared" si="4604"/>
        <v>290.84000000000003</v>
      </c>
      <c r="IQ131" s="74">
        <f t="shared" si="4604"/>
        <v>290.84000000000003</v>
      </c>
      <c r="IR131" s="74">
        <f t="shared" si="4604"/>
        <v>740.33999999999992</v>
      </c>
      <c r="IS131" s="74">
        <f t="shared" si="4604"/>
        <v>740.33999999999992</v>
      </c>
      <c r="IT131" s="74">
        <f t="shared" si="4604"/>
        <v>740.33999999999992</v>
      </c>
      <c r="IU131" s="74">
        <f t="shared" si="4604"/>
        <v>2670.1600000000003</v>
      </c>
      <c r="IV131" s="74">
        <f t="shared" si="4604"/>
        <v>2670.1600000000003</v>
      </c>
      <c r="IW131" s="74">
        <f t="shared" si="4604"/>
        <v>2670.1600000000003</v>
      </c>
      <c r="IX131" s="74">
        <f t="shared" si="4604"/>
        <v>1704.38</v>
      </c>
      <c r="IY131" s="74">
        <f t="shared" si="4604"/>
        <v>1704.38</v>
      </c>
      <c r="IZ131" s="74">
        <f t="shared" si="4604"/>
        <v>1704.38</v>
      </c>
      <c r="JA131" s="74">
        <f t="shared" si="4604"/>
        <v>2932.22</v>
      </c>
      <c r="JB131" s="74">
        <f t="shared" ref="JB131:JT131" si="4607">SUM(JB132:JB137)</f>
        <v>2932.22</v>
      </c>
      <c r="JC131" s="74">
        <f t="shared" si="4607"/>
        <v>2932.22</v>
      </c>
      <c r="JD131" s="74">
        <f t="shared" si="4607"/>
        <v>5067.3099999999995</v>
      </c>
      <c r="JE131" s="74">
        <f t="shared" si="4607"/>
        <v>5067.3099999999995</v>
      </c>
      <c r="JF131" s="74">
        <f t="shared" si="4607"/>
        <v>5067.3099999999995</v>
      </c>
      <c r="JG131" s="74">
        <f t="shared" si="4607"/>
        <v>335.95000000000073</v>
      </c>
      <c r="JH131" s="74">
        <f t="shared" si="4607"/>
        <v>335.95000000000073</v>
      </c>
      <c r="JI131" s="74">
        <f t="shared" si="4607"/>
        <v>335.95000000000073</v>
      </c>
      <c r="JJ131" s="74">
        <f t="shared" si="4607"/>
        <v>5134.2599999999993</v>
      </c>
      <c r="JK131" s="74">
        <f t="shared" si="4607"/>
        <v>5134.2599999999993</v>
      </c>
      <c r="JL131" s="74">
        <f t="shared" si="4607"/>
        <v>5134.2599999999993</v>
      </c>
      <c r="JM131" s="74">
        <f t="shared" si="4607"/>
        <v>0</v>
      </c>
      <c r="JN131" s="74">
        <f t="shared" si="4607"/>
        <v>0</v>
      </c>
      <c r="JO131" s="74">
        <f t="shared" si="4607"/>
        <v>0</v>
      </c>
      <c r="JP131" s="74">
        <f t="shared" si="4607"/>
        <v>0</v>
      </c>
      <c r="JQ131" s="74">
        <f t="shared" si="4607"/>
        <v>0</v>
      </c>
      <c r="JR131" s="74">
        <f t="shared" si="4607"/>
        <v>0</v>
      </c>
      <c r="JS131" s="74">
        <f t="shared" si="4607"/>
        <v>5886.37</v>
      </c>
      <c r="JT131" s="382">
        <f t="shared" si="4607"/>
        <v>5886.37</v>
      </c>
      <c r="JU131" s="671"/>
      <c r="JV131" s="492"/>
      <c r="JW131" s="490"/>
      <c r="JX131" s="549">
        <f>SUM(JX132:JX137)</f>
        <v>25400</v>
      </c>
      <c r="JY131" s="549">
        <f>SUM(JY132:JY137)</f>
        <v>0</v>
      </c>
      <c r="JZ131" s="581">
        <f t="shared" si="2110"/>
        <v>5000</v>
      </c>
      <c r="KA131" s="581">
        <f t="shared" si="2111"/>
        <v>-9600</v>
      </c>
      <c r="KB131" s="549">
        <f>SUM(KB132:KB137)</f>
        <v>25400</v>
      </c>
      <c r="KC131" s="709">
        <f t="shared" si="2079"/>
        <v>0</v>
      </c>
      <c r="KD131" s="36"/>
      <c r="KE131" s="36"/>
      <c r="KF131" s="36"/>
      <c r="KG131" s="36"/>
      <c r="KH131" s="36"/>
      <c r="KI131" s="36"/>
      <c r="KJ131" s="36"/>
      <c r="KK131" s="36"/>
    </row>
    <row r="132" spans="1:297" s="8" customFormat="1" ht="12.75" customHeight="1">
      <c r="A132" s="75" t="s">
        <v>663</v>
      </c>
      <c r="B132" s="72"/>
      <c r="C132" s="74">
        <f t="shared" ref="C132:AS132" si="4608">C465</f>
        <v>600</v>
      </c>
      <c r="D132" s="549">
        <f t="shared" si="4608"/>
        <v>0</v>
      </c>
      <c r="E132" s="675">
        <f t="shared" si="4608"/>
        <v>0</v>
      </c>
      <c r="F132" s="549">
        <f t="shared" si="4608"/>
        <v>0</v>
      </c>
      <c r="G132" s="675">
        <f t="shared" si="4608"/>
        <v>0</v>
      </c>
      <c r="H132" s="549">
        <f t="shared" si="4608"/>
        <v>0</v>
      </c>
      <c r="I132" s="675">
        <f t="shared" si="4608"/>
        <v>0</v>
      </c>
      <c r="J132" s="549">
        <f t="shared" si="4608"/>
        <v>0</v>
      </c>
      <c r="K132" s="675">
        <f t="shared" si="4608"/>
        <v>0</v>
      </c>
      <c r="L132" s="549">
        <f t="shared" si="4608"/>
        <v>0</v>
      </c>
      <c r="M132" s="675">
        <f t="shared" si="4608"/>
        <v>0</v>
      </c>
      <c r="N132" s="549">
        <f t="shared" si="4608"/>
        <v>0</v>
      </c>
      <c r="O132" s="675">
        <f t="shared" si="4608"/>
        <v>0</v>
      </c>
      <c r="P132" s="549">
        <f t="shared" si="4608"/>
        <v>0</v>
      </c>
      <c r="Q132" s="675">
        <f t="shared" si="4608"/>
        <v>0</v>
      </c>
      <c r="R132" s="549">
        <f t="shared" si="4608"/>
        <v>0</v>
      </c>
      <c r="S132" s="675">
        <f t="shared" si="4608"/>
        <v>0</v>
      </c>
      <c r="T132" s="549">
        <f t="shared" si="4608"/>
        <v>0</v>
      </c>
      <c r="U132" s="675">
        <f t="shared" si="4608"/>
        <v>0</v>
      </c>
      <c r="V132" s="549">
        <f t="shared" si="4608"/>
        <v>0</v>
      </c>
      <c r="W132" s="675">
        <f t="shared" si="4608"/>
        <v>0</v>
      </c>
      <c r="X132" s="549">
        <f t="shared" si="4608"/>
        <v>0</v>
      </c>
      <c r="Y132" s="675">
        <f t="shared" si="4608"/>
        <v>0</v>
      </c>
      <c r="Z132" s="549">
        <f t="shared" si="4608"/>
        <v>0</v>
      </c>
      <c r="AA132" s="675">
        <f t="shared" si="4608"/>
        <v>0</v>
      </c>
      <c r="AB132" s="549">
        <f t="shared" si="4608"/>
        <v>0</v>
      </c>
      <c r="AC132" s="675">
        <f t="shared" si="4608"/>
        <v>0</v>
      </c>
      <c r="AD132" s="549">
        <f t="shared" si="4608"/>
        <v>0</v>
      </c>
      <c r="AE132" s="675">
        <f t="shared" si="4608"/>
        <v>0</v>
      </c>
      <c r="AF132" s="549">
        <f t="shared" si="4608"/>
        <v>0</v>
      </c>
      <c r="AG132" s="675">
        <f t="shared" si="4608"/>
        <v>0</v>
      </c>
      <c r="AH132" s="549">
        <f t="shared" si="4608"/>
        <v>0</v>
      </c>
      <c r="AI132" s="675">
        <f t="shared" si="4608"/>
        <v>0</v>
      </c>
      <c r="AJ132" s="549">
        <f t="shared" si="4608"/>
        <v>0</v>
      </c>
      <c r="AK132" s="675">
        <f t="shared" si="4608"/>
        <v>0</v>
      </c>
      <c r="AL132" s="549">
        <f t="shared" si="4608"/>
        <v>0</v>
      </c>
      <c r="AM132" s="675">
        <f t="shared" si="4608"/>
        <v>0</v>
      </c>
      <c r="AN132" s="549">
        <f t="shared" si="4608"/>
        <v>0</v>
      </c>
      <c r="AO132" s="675">
        <f t="shared" si="4608"/>
        <v>0</v>
      </c>
      <c r="AP132" s="549">
        <f t="shared" si="4608"/>
        <v>0</v>
      </c>
      <c r="AQ132" s="675">
        <f t="shared" si="4608"/>
        <v>0</v>
      </c>
      <c r="AR132" s="549">
        <f t="shared" si="4608"/>
        <v>0</v>
      </c>
      <c r="AS132" s="675">
        <f t="shared" si="4608"/>
        <v>0</v>
      </c>
      <c r="AT132" s="549">
        <f t="shared" ref="AT132:AU132" si="4609">AT465</f>
        <v>0</v>
      </c>
      <c r="AU132" s="675">
        <f t="shared" si="4609"/>
        <v>0</v>
      </c>
      <c r="AV132" s="549">
        <f t="shared" ref="AV132:AW132" si="4610">AV465</f>
        <v>0</v>
      </c>
      <c r="AW132" s="675">
        <f t="shared" si="4610"/>
        <v>0</v>
      </c>
      <c r="AX132" s="549">
        <f t="shared" ref="AX132:AY132" si="4611">AX465</f>
        <v>0</v>
      </c>
      <c r="AY132" s="675">
        <f t="shared" si="4611"/>
        <v>0</v>
      </c>
      <c r="AZ132" s="549">
        <f t="shared" ref="AZ132:BA132" si="4612">AZ465</f>
        <v>0</v>
      </c>
      <c r="BA132" s="675">
        <f t="shared" si="4612"/>
        <v>0</v>
      </c>
      <c r="BB132" s="549">
        <f t="shared" ref="BB132:BC132" si="4613">BB465</f>
        <v>0</v>
      </c>
      <c r="BC132" s="675">
        <f t="shared" si="4613"/>
        <v>0</v>
      </c>
      <c r="BD132" s="549">
        <f t="shared" ref="BD132:BE132" si="4614">BD465</f>
        <v>0</v>
      </c>
      <c r="BE132" s="675">
        <f t="shared" si="4614"/>
        <v>0</v>
      </c>
      <c r="BF132" s="549">
        <f t="shared" ref="BF132:BG132" si="4615">BF465</f>
        <v>0</v>
      </c>
      <c r="BG132" s="675">
        <f t="shared" si="4615"/>
        <v>0</v>
      </c>
      <c r="BH132" s="549">
        <f t="shared" ref="BH132:BI132" si="4616">BH465</f>
        <v>0</v>
      </c>
      <c r="BI132" s="675">
        <f t="shared" si="4616"/>
        <v>0</v>
      </c>
      <c r="BJ132" s="549">
        <f t="shared" ref="BJ132:BK132" si="4617">BJ465</f>
        <v>0</v>
      </c>
      <c r="BK132" s="675">
        <f t="shared" si="4617"/>
        <v>0</v>
      </c>
      <c r="BL132" s="549">
        <f t="shared" ref="BL132:BS132" si="4618">BL465</f>
        <v>0</v>
      </c>
      <c r="BM132" s="675">
        <f t="shared" si="4618"/>
        <v>0</v>
      </c>
      <c r="BN132" s="549">
        <f t="shared" si="4618"/>
        <v>0</v>
      </c>
      <c r="BO132" s="675">
        <f t="shared" si="4618"/>
        <v>0</v>
      </c>
      <c r="BP132" s="549">
        <f t="shared" si="4618"/>
        <v>0</v>
      </c>
      <c r="BQ132" s="675">
        <f t="shared" si="4618"/>
        <v>0</v>
      </c>
      <c r="BR132" s="549">
        <f t="shared" si="4618"/>
        <v>0</v>
      </c>
      <c r="BS132" s="675">
        <f t="shared" si="4618"/>
        <v>0</v>
      </c>
      <c r="BT132" s="549">
        <f t="shared" ref="BT132:BW134" si="4619">BT465</f>
        <v>0</v>
      </c>
      <c r="BU132" s="675">
        <f t="shared" si="4619"/>
        <v>0</v>
      </c>
      <c r="BV132" s="549">
        <f t="shared" si="4619"/>
        <v>0</v>
      </c>
      <c r="BW132" s="675">
        <f t="shared" si="4619"/>
        <v>0</v>
      </c>
      <c r="BX132" s="549">
        <f t="shared" ref="BX132:BY132" si="4620">BX465</f>
        <v>0</v>
      </c>
      <c r="BY132" s="675">
        <f t="shared" si="4620"/>
        <v>0</v>
      </c>
      <c r="BZ132" s="549">
        <f t="shared" ref="BZ132:CA132" si="4621">BZ465</f>
        <v>0</v>
      </c>
      <c r="CA132" s="675">
        <f t="shared" si="4621"/>
        <v>0</v>
      </c>
      <c r="CB132" s="549">
        <f t="shared" ref="CB132:CE132" si="4622">CB465</f>
        <v>0</v>
      </c>
      <c r="CC132" s="675">
        <f t="shared" si="4622"/>
        <v>0</v>
      </c>
      <c r="CD132" s="549">
        <f t="shared" si="4622"/>
        <v>0</v>
      </c>
      <c r="CE132" s="675">
        <f t="shared" si="4622"/>
        <v>0</v>
      </c>
      <c r="CF132" s="549">
        <f t="shared" ref="CF132:CG134" si="4623">CF465</f>
        <v>0</v>
      </c>
      <c r="CG132" s="675">
        <f t="shared" si="4623"/>
        <v>0</v>
      </c>
      <c r="CH132" s="549">
        <f t="shared" ref="CH132:CQ132" si="4624">CH465</f>
        <v>0</v>
      </c>
      <c r="CI132" s="675">
        <f t="shared" si="4624"/>
        <v>0</v>
      </c>
      <c r="CJ132" s="549">
        <f t="shared" si="4624"/>
        <v>0</v>
      </c>
      <c r="CK132" s="675">
        <f t="shared" si="4624"/>
        <v>0</v>
      </c>
      <c r="CL132" s="549">
        <f t="shared" si="4624"/>
        <v>0</v>
      </c>
      <c r="CM132" s="675">
        <f t="shared" si="4624"/>
        <v>0</v>
      </c>
      <c r="CN132" s="549">
        <f t="shared" si="4624"/>
        <v>0</v>
      </c>
      <c r="CO132" s="675">
        <f t="shared" si="4624"/>
        <v>0</v>
      </c>
      <c r="CP132" s="549">
        <f t="shared" si="4624"/>
        <v>0</v>
      </c>
      <c r="CQ132" s="675">
        <f t="shared" si="4624"/>
        <v>0</v>
      </c>
      <c r="CR132" s="549">
        <f t="shared" ref="CR132:CY134" si="4625">CR465</f>
        <v>0</v>
      </c>
      <c r="CS132" s="675">
        <f t="shared" si="4625"/>
        <v>0</v>
      </c>
      <c r="CT132" s="549">
        <f t="shared" si="4625"/>
        <v>0</v>
      </c>
      <c r="CU132" s="675">
        <f t="shared" si="4625"/>
        <v>0</v>
      </c>
      <c r="CV132" s="549">
        <f t="shared" si="4625"/>
        <v>0</v>
      </c>
      <c r="CW132" s="675">
        <f t="shared" si="4625"/>
        <v>0</v>
      </c>
      <c r="CX132" s="549">
        <f t="shared" si="4625"/>
        <v>0</v>
      </c>
      <c r="CY132" s="675">
        <f t="shared" si="4625"/>
        <v>0</v>
      </c>
      <c r="CZ132" s="549">
        <f t="shared" ref="CZ132:DG134" si="4626">CZ465</f>
        <v>0</v>
      </c>
      <c r="DA132" s="675">
        <f t="shared" si="4626"/>
        <v>0</v>
      </c>
      <c r="DB132" s="549">
        <f t="shared" si="4626"/>
        <v>0</v>
      </c>
      <c r="DC132" s="675">
        <f t="shared" si="4626"/>
        <v>0</v>
      </c>
      <c r="DD132" s="549">
        <f t="shared" ref="DD132:DE134" si="4627">DD465</f>
        <v>0</v>
      </c>
      <c r="DE132" s="675">
        <f t="shared" si="4627"/>
        <v>0</v>
      </c>
      <c r="DF132" s="549">
        <f t="shared" si="4626"/>
        <v>0</v>
      </c>
      <c r="DG132" s="675">
        <f t="shared" si="4626"/>
        <v>0</v>
      </c>
      <c r="DH132" s="549">
        <f t="shared" ref="DH132:DI134" si="4628">DH465</f>
        <v>0</v>
      </c>
      <c r="DI132" s="675">
        <f t="shared" si="4628"/>
        <v>0</v>
      </c>
      <c r="DJ132" s="549">
        <f t="shared" ref="DJ132:DM134" si="4629">DJ465</f>
        <v>0</v>
      </c>
      <c r="DK132" s="675">
        <f t="shared" si="4629"/>
        <v>0</v>
      </c>
      <c r="DL132" s="549">
        <f t="shared" si="4629"/>
        <v>0</v>
      </c>
      <c r="DM132" s="675">
        <f t="shared" si="4629"/>
        <v>0</v>
      </c>
      <c r="DN132" s="549">
        <f t="shared" ref="DN132:DO134" si="4630">DN465</f>
        <v>0</v>
      </c>
      <c r="DO132" s="675">
        <f t="shared" si="4630"/>
        <v>0</v>
      </c>
      <c r="DP132" s="549">
        <f t="shared" ref="DP132:DU132" si="4631">DP465</f>
        <v>0</v>
      </c>
      <c r="DQ132" s="675">
        <f t="shared" si="4631"/>
        <v>0</v>
      </c>
      <c r="DR132" s="549">
        <f t="shared" si="4631"/>
        <v>0</v>
      </c>
      <c r="DS132" s="675">
        <f t="shared" si="4631"/>
        <v>0</v>
      </c>
      <c r="DT132" s="549">
        <f t="shared" si="4631"/>
        <v>0</v>
      </c>
      <c r="DU132" s="675">
        <f t="shared" si="4631"/>
        <v>0</v>
      </c>
      <c r="DV132" s="549">
        <f t="shared" ref="DV132:DW134" si="4632">DV465</f>
        <v>0</v>
      </c>
      <c r="DW132" s="675">
        <f t="shared" si="4632"/>
        <v>0</v>
      </c>
      <c r="DX132" s="549">
        <f t="shared" ref="DX132:EG132" si="4633">DX465</f>
        <v>0</v>
      </c>
      <c r="DY132" s="675">
        <f t="shared" si="4633"/>
        <v>0</v>
      </c>
      <c r="DZ132" s="549">
        <f t="shared" si="4633"/>
        <v>0</v>
      </c>
      <c r="EA132" s="675">
        <f t="shared" si="4633"/>
        <v>0</v>
      </c>
      <c r="EB132" s="549">
        <f t="shared" si="4633"/>
        <v>0</v>
      </c>
      <c r="EC132" s="675">
        <f t="shared" si="4633"/>
        <v>0</v>
      </c>
      <c r="ED132" s="549">
        <f t="shared" si="4633"/>
        <v>0</v>
      </c>
      <c r="EE132" s="675">
        <f t="shared" si="4633"/>
        <v>0</v>
      </c>
      <c r="EF132" s="549">
        <f t="shared" si="4633"/>
        <v>0</v>
      </c>
      <c r="EG132" s="675">
        <f t="shared" si="4633"/>
        <v>0</v>
      </c>
      <c r="EH132" s="549">
        <f t="shared" ref="EH132:EM132" si="4634">EH465</f>
        <v>0</v>
      </c>
      <c r="EI132" s="675">
        <f t="shared" si="4634"/>
        <v>0</v>
      </c>
      <c r="EJ132" s="549">
        <f t="shared" si="4634"/>
        <v>0</v>
      </c>
      <c r="EK132" s="675">
        <f t="shared" si="4634"/>
        <v>0</v>
      </c>
      <c r="EL132" s="549">
        <f t="shared" si="4634"/>
        <v>0</v>
      </c>
      <c r="EM132" s="675">
        <f t="shared" si="4634"/>
        <v>0</v>
      </c>
      <c r="EN132" s="549">
        <f t="shared" ref="EN132:EO134" si="4635">EN465</f>
        <v>0</v>
      </c>
      <c r="EO132" s="675">
        <f t="shared" si="4635"/>
        <v>0</v>
      </c>
      <c r="EP132" s="549">
        <f t="shared" ref="EP132:EU132" si="4636">EP465</f>
        <v>0</v>
      </c>
      <c r="EQ132" s="675">
        <f t="shared" si="4636"/>
        <v>0</v>
      </c>
      <c r="ER132" s="549">
        <f t="shared" si="4636"/>
        <v>0</v>
      </c>
      <c r="ES132" s="675">
        <f t="shared" si="4636"/>
        <v>0</v>
      </c>
      <c r="ET132" s="549">
        <f t="shared" si="4636"/>
        <v>0</v>
      </c>
      <c r="EU132" s="675">
        <f t="shared" si="4636"/>
        <v>0</v>
      </c>
      <c r="EV132" s="549">
        <f t="shared" ref="EV132:GQ132" si="4637">EV465</f>
        <v>0</v>
      </c>
      <c r="EW132" s="675">
        <f t="shared" si="4637"/>
        <v>0</v>
      </c>
      <c r="EX132" s="549">
        <f t="shared" si="4637"/>
        <v>0</v>
      </c>
      <c r="EY132" s="675">
        <f t="shared" si="4637"/>
        <v>0</v>
      </c>
      <c r="EZ132" s="549">
        <f t="shared" si="4637"/>
        <v>0</v>
      </c>
      <c r="FA132" s="675">
        <f t="shared" si="4637"/>
        <v>0</v>
      </c>
      <c r="FB132" s="549">
        <f t="shared" si="4637"/>
        <v>0</v>
      </c>
      <c r="FC132" s="675">
        <f t="shared" si="4637"/>
        <v>0</v>
      </c>
      <c r="FD132" s="549">
        <f t="shared" si="4637"/>
        <v>0</v>
      </c>
      <c r="FE132" s="675">
        <f t="shared" si="4637"/>
        <v>0</v>
      </c>
      <c r="FF132" s="549">
        <f t="shared" ref="FF132:FG132" si="4638">FF465</f>
        <v>0</v>
      </c>
      <c r="FG132" s="675">
        <f t="shared" si="4638"/>
        <v>0</v>
      </c>
      <c r="FH132" s="549">
        <f t="shared" ref="FH132:FI132" si="4639">FH465</f>
        <v>0</v>
      </c>
      <c r="FI132" s="675">
        <f t="shared" si="4639"/>
        <v>0</v>
      </c>
      <c r="FJ132" s="549">
        <f t="shared" ref="FJ132:FK132" si="4640">FJ465</f>
        <v>0</v>
      </c>
      <c r="FK132" s="675">
        <f t="shared" si="4640"/>
        <v>0</v>
      </c>
      <c r="FL132" s="549">
        <f t="shared" ref="FL132:FM132" si="4641">FL465</f>
        <v>0</v>
      </c>
      <c r="FM132" s="675">
        <f t="shared" si="4641"/>
        <v>0</v>
      </c>
      <c r="FN132" s="549">
        <f t="shared" ref="FN132:FO132" si="4642">FN465</f>
        <v>0</v>
      </c>
      <c r="FO132" s="675">
        <f t="shared" si="4642"/>
        <v>0</v>
      </c>
      <c r="FP132" s="549">
        <f t="shared" ref="FP132:FQ132" si="4643">FP465</f>
        <v>0</v>
      </c>
      <c r="FQ132" s="675">
        <f t="shared" si="4643"/>
        <v>0</v>
      </c>
      <c r="FR132" s="549">
        <f t="shared" ref="FR132:FS132" si="4644">FR465</f>
        <v>0</v>
      </c>
      <c r="FS132" s="675">
        <f t="shared" si="4644"/>
        <v>-600</v>
      </c>
      <c r="FT132" s="549">
        <f t="shared" ref="FT132:FU132" si="4645">FT465</f>
        <v>0</v>
      </c>
      <c r="FU132" s="675">
        <f t="shared" si="4645"/>
        <v>0</v>
      </c>
      <c r="FV132" s="549">
        <f t="shared" ref="FV132:GK132" si="4646">FV465</f>
        <v>0</v>
      </c>
      <c r="FW132" s="675">
        <f t="shared" si="4646"/>
        <v>0</v>
      </c>
      <c r="FX132" s="549">
        <f t="shared" si="4646"/>
        <v>0</v>
      </c>
      <c r="FY132" s="675">
        <f t="shared" si="4646"/>
        <v>0</v>
      </c>
      <c r="FZ132" s="549">
        <f t="shared" ref="FZ132:GI132" si="4647">FZ465</f>
        <v>0</v>
      </c>
      <c r="GA132" s="675">
        <f t="shared" si="4647"/>
        <v>0</v>
      </c>
      <c r="GB132" s="549">
        <f t="shared" si="4647"/>
        <v>0</v>
      </c>
      <c r="GC132" s="675">
        <f t="shared" si="4647"/>
        <v>0</v>
      </c>
      <c r="GD132" s="549">
        <f t="shared" si="4647"/>
        <v>0</v>
      </c>
      <c r="GE132" s="675">
        <f t="shared" si="4647"/>
        <v>0</v>
      </c>
      <c r="GF132" s="549">
        <f t="shared" si="4647"/>
        <v>0</v>
      </c>
      <c r="GG132" s="675">
        <f t="shared" si="4647"/>
        <v>0</v>
      </c>
      <c r="GH132" s="549">
        <f t="shared" si="4647"/>
        <v>0</v>
      </c>
      <c r="GI132" s="675">
        <f t="shared" si="4647"/>
        <v>0</v>
      </c>
      <c r="GJ132" s="549">
        <f t="shared" si="4646"/>
        <v>0</v>
      </c>
      <c r="GK132" s="675">
        <f t="shared" si="4646"/>
        <v>0</v>
      </c>
      <c r="GL132" s="549">
        <f t="shared" ref="GL132:GM132" si="4648">GL465</f>
        <v>0</v>
      </c>
      <c r="GM132" s="675">
        <f t="shared" si="4648"/>
        <v>0</v>
      </c>
      <c r="GN132" s="549">
        <f t="shared" ref="GN132:GO132" si="4649">GN465</f>
        <v>0</v>
      </c>
      <c r="GO132" s="675">
        <f t="shared" si="4649"/>
        <v>0</v>
      </c>
      <c r="GP132" s="74">
        <f t="shared" si="4637"/>
        <v>0</v>
      </c>
      <c r="GQ132" s="675">
        <f t="shared" si="4637"/>
        <v>-600</v>
      </c>
      <c r="GR132" s="74">
        <f t="shared" ref="GR132:HK132" si="4650">GR465</f>
        <v>0</v>
      </c>
      <c r="GS132" s="74">
        <f t="shared" si="4650"/>
        <v>0</v>
      </c>
      <c r="GT132" s="549">
        <f t="shared" si="4650"/>
        <v>0</v>
      </c>
      <c r="GU132" s="74">
        <f t="shared" si="4650"/>
        <v>0</v>
      </c>
      <c r="GV132" s="74">
        <f t="shared" si="4650"/>
        <v>600</v>
      </c>
      <c r="GW132" s="74">
        <f t="shared" si="4650"/>
        <v>0</v>
      </c>
      <c r="GX132" s="74">
        <f t="shared" si="4650"/>
        <v>0</v>
      </c>
      <c r="GY132" s="74">
        <f t="shared" si="4650"/>
        <v>0</v>
      </c>
      <c r="GZ132" s="74">
        <f t="shared" si="4650"/>
        <v>0</v>
      </c>
      <c r="HA132" s="74">
        <f t="shared" si="4650"/>
        <v>0</v>
      </c>
      <c r="HB132" s="74">
        <f t="shared" si="4650"/>
        <v>0</v>
      </c>
      <c r="HC132" s="74">
        <f t="shared" si="4650"/>
        <v>0</v>
      </c>
      <c r="HD132" s="74">
        <f t="shared" si="4650"/>
        <v>0</v>
      </c>
      <c r="HE132" s="74">
        <f t="shared" si="4650"/>
        <v>0</v>
      </c>
      <c r="HF132" s="74">
        <f t="shared" si="4650"/>
        <v>0</v>
      </c>
      <c r="HG132" s="74">
        <f t="shared" si="4650"/>
        <v>0</v>
      </c>
      <c r="HH132" s="74">
        <f t="shared" si="4650"/>
        <v>0</v>
      </c>
      <c r="HI132" s="74">
        <f t="shared" si="4650"/>
        <v>0</v>
      </c>
      <c r="HJ132" s="74">
        <f t="shared" si="4650"/>
        <v>0</v>
      </c>
      <c r="HK132" s="74">
        <f t="shared" si="4650"/>
        <v>0</v>
      </c>
      <c r="HL132" s="74">
        <f t="shared" ref="HL132:JT132" si="4651">HL465</f>
        <v>0</v>
      </c>
      <c r="HM132" s="74">
        <f t="shared" si="4651"/>
        <v>0</v>
      </c>
      <c r="HN132" s="74">
        <f t="shared" si="4651"/>
        <v>0</v>
      </c>
      <c r="HO132" s="74">
        <f t="shared" si="4651"/>
        <v>0</v>
      </c>
      <c r="HP132" s="74">
        <f t="shared" si="4651"/>
        <v>0</v>
      </c>
      <c r="HQ132" s="74">
        <f t="shared" si="4651"/>
        <v>0</v>
      </c>
      <c r="HR132" s="74">
        <f t="shared" si="4651"/>
        <v>0</v>
      </c>
      <c r="HS132" s="74">
        <f t="shared" si="4651"/>
        <v>0</v>
      </c>
      <c r="HT132" s="74">
        <f t="shared" si="4651"/>
        <v>0</v>
      </c>
      <c r="HU132" s="74">
        <f t="shared" si="4651"/>
        <v>0</v>
      </c>
      <c r="HV132" s="74">
        <f t="shared" si="4651"/>
        <v>0</v>
      </c>
      <c r="HW132" s="74">
        <f t="shared" si="4651"/>
        <v>0</v>
      </c>
      <c r="HX132" s="74">
        <f t="shared" si="4651"/>
        <v>600</v>
      </c>
      <c r="HY132" s="74">
        <f t="shared" si="4651"/>
        <v>0</v>
      </c>
      <c r="HZ132" s="74">
        <f t="shared" si="4651"/>
        <v>-600</v>
      </c>
      <c r="IA132" s="74">
        <f t="shared" si="4651"/>
        <v>0</v>
      </c>
      <c r="IB132" s="74">
        <f t="shared" si="4651"/>
        <v>0</v>
      </c>
      <c r="IC132" s="74">
        <f t="shared" si="4651"/>
        <v>0</v>
      </c>
      <c r="ID132" s="74">
        <f t="shared" si="4651"/>
        <v>0</v>
      </c>
      <c r="IE132" s="792">
        <f t="shared" si="4651"/>
        <v>0</v>
      </c>
      <c r="IF132" s="841">
        <f t="shared" si="4651"/>
        <v>0</v>
      </c>
      <c r="IG132" s="263">
        <f t="shared" si="4651"/>
        <v>0</v>
      </c>
      <c r="IH132" s="842">
        <f t="shared" si="4651"/>
        <v>0</v>
      </c>
      <c r="II132" s="155">
        <f t="shared" si="4651"/>
        <v>0</v>
      </c>
      <c r="IJ132" s="74">
        <f t="shared" si="4651"/>
        <v>0</v>
      </c>
      <c r="IK132" s="74">
        <f t="shared" si="4651"/>
        <v>0</v>
      </c>
      <c r="IL132" s="74">
        <f t="shared" si="4651"/>
        <v>0</v>
      </c>
      <c r="IM132" s="74">
        <f t="shared" si="4651"/>
        <v>0</v>
      </c>
      <c r="IN132" s="74">
        <f t="shared" si="4651"/>
        <v>0</v>
      </c>
      <c r="IO132" s="74">
        <f t="shared" si="4651"/>
        <v>0</v>
      </c>
      <c r="IP132" s="74">
        <f t="shared" si="4651"/>
        <v>0</v>
      </c>
      <c r="IQ132" s="74">
        <f t="shared" si="4651"/>
        <v>0</v>
      </c>
      <c r="IR132" s="74">
        <f t="shared" si="4651"/>
        <v>0</v>
      </c>
      <c r="IS132" s="74">
        <f t="shared" si="4651"/>
        <v>0</v>
      </c>
      <c r="IT132" s="74">
        <f t="shared" si="4651"/>
        <v>0</v>
      </c>
      <c r="IU132" s="74">
        <f t="shared" si="4651"/>
        <v>0</v>
      </c>
      <c r="IV132" s="74">
        <f t="shared" si="4651"/>
        <v>0</v>
      </c>
      <c r="IW132" s="74">
        <f t="shared" si="4651"/>
        <v>0</v>
      </c>
      <c r="IX132" s="74">
        <f t="shared" si="4651"/>
        <v>0</v>
      </c>
      <c r="IY132" s="74">
        <f t="shared" si="4651"/>
        <v>0</v>
      </c>
      <c r="IZ132" s="74">
        <f t="shared" si="4651"/>
        <v>0</v>
      </c>
      <c r="JA132" s="74">
        <f t="shared" si="4651"/>
        <v>0</v>
      </c>
      <c r="JB132" s="74">
        <f t="shared" si="4651"/>
        <v>0</v>
      </c>
      <c r="JC132" s="74">
        <f t="shared" si="4651"/>
        <v>0</v>
      </c>
      <c r="JD132" s="74">
        <f t="shared" si="4651"/>
        <v>0</v>
      </c>
      <c r="JE132" s="74">
        <f t="shared" si="4651"/>
        <v>0</v>
      </c>
      <c r="JF132" s="74">
        <f t="shared" si="4651"/>
        <v>0</v>
      </c>
      <c r="JG132" s="74">
        <f t="shared" si="4651"/>
        <v>0</v>
      </c>
      <c r="JH132" s="74">
        <f t="shared" si="4651"/>
        <v>0</v>
      </c>
      <c r="JI132" s="74">
        <f t="shared" si="4651"/>
        <v>0</v>
      </c>
      <c r="JJ132" s="74">
        <f t="shared" si="4651"/>
        <v>0</v>
      </c>
      <c r="JK132" s="74">
        <f t="shared" si="4651"/>
        <v>0</v>
      </c>
      <c r="JL132" s="74">
        <f t="shared" si="4651"/>
        <v>0</v>
      </c>
      <c r="JM132" s="74">
        <f t="shared" si="4651"/>
        <v>0</v>
      </c>
      <c r="JN132" s="74">
        <f t="shared" si="4651"/>
        <v>0</v>
      </c>
      <c r="JO132" s="74">
        <f t="shared" si="4651"/>
        <v>0</v>
      </c>
      <c r="JP132" s="74">
        <f t="shared" si="4651"/>
        <v>0</v>
      </c>
      <c r="JQ132" s="74">
        <f t="shared" si="4651"/>
        <v>0</v>
      </c>
      <c r="JR132" s="74">
        <f t="shared" si="4651"/>
        <v>0</v>
      </c>
      <c r="JS132" s="74">
        <f t="shared" si="4651"/>
        <v>0</v>
      </c>
      <c r="JT132" s="102">
        <f t="shared" si="4651"/>
        <v>0</v>
      </c>
      <c r="JU132" s="671"/>
      <c r="JV132" s="492"/>
      <c r="JW132" s="490"/>
      <c r="JX132" s="549">
        <f t="shared" ref="JX132:KB134" si="4652">JX465</f>
        <v>0</v>
      </c>
      <c r="JY132" s="549">
        <f t="shared" si="4652"/>
        <v>0</v>
      </c>
      <c r="JZ132" s="581">
        <f t="shared" si="2110"/>
        <v>0</v>
      </c>
      <c r="KA132" s="581">
        <f t="shared" si="2111"/>
        <v>-600</v>
      </c>
      <c r="KB132" s="549">
        <f t="shared" si="4652"/>
        <v>0</v>
      </c>
      <c r="KC132" s="709">
        <f t="shared" si="2079"/>
        <v>0</v>
      </c>
      <c r="KD132" s="36"/>
      <c r="KE132" s="36"/>
      <c r="KF132" s="36"/>
      <c r="KG132" s="36"/>
      <c r="KH132" s="36"/>
      <c r="KI132" s="36"/>
      <c r="KJ132" s="36"/>
      <c r="KK132" s="36"/>
    </row>
    <row r="133" spans="1:297" s="8" customFormat="1" ht="12.75" customHeight="1">
      <c r="A133" s="75">
        <v>242</v>
      </c>
      <c r="B133" s="72" t="s">
        <v>156</v>
      </c>
      <c r="C133" s="74">
        <f t="shared" ref="C133:AS133" si="4653">C466</f>
        <v>3000</v>
      </c>
      <c r="D133" s="549">
        <f t="shared" si="4653"/>
        <v>0</v>
      </c>
      <c r="E133" s="675">
        <f t="shared" si="4653"/>
        <v>0</v>
      </c>
      <c r="F133" s="549">
        <f t="shared" si="4653"/>
        <v>0</v>
      </c>
      <c r="G133" s="675">
        <f t="shared" si="4653"/>
        <v>0</v>
      </c>
      <c r="H133" s="549">
        <f t="shared" si="4653"/>
        <v>0</v>
      </c>
      <c r="I133" s="675">
        <f t="shared" si="4653"/>
        <v>0</v>
      </c>
      <c r="J133" s="549">
        <f t="shared" si="4653"/>
        <v>0</v>
      </c>
      <c r="K133" s="675">
        <f t="shared" si="4653"/>
        <v>0</v>
      </c>
      <c r="L133" s="549">
        <f t="shared" si="4653"/>
        <v>0</v>
      </c>
      <c r="M133" s="675">
        <f t="shared" si="4653"/>
        <v>0</v>
      </c>
      <c r="N133" s="549">
        <f t="shared" si="4653"/>
        <v>0</v>
      </c>
      <c r="O133" s="675">
        <f t="shared" si="4653"/>
        <v>0</v>
      </c>
      <c r="P133" s="549">
        <f t="shared" si="4653"/>
        <v>0</v>
      </c>
      <c r="Q133" s="675">
        <f t="shared" si="4653"/>
        <v>0</v>
      </c>
      <c r="R133" s="549">
        <f t="shared" si="4653"/>
        <v>0</v>
      </c>
      <c r="S133" s="675">
        <f t="shared" si="4653"/>
        <v>0</v>
      </c>
      <c r="T133" s="549">
        <f t="shared" si="4653"/>
        <v>0</v>
      </c>
      <c r="U133" s="675">
        <f t="shared" si="4653"/>
        <v>0</v>
      </c>
      <c r="V133" s="549">
        <f t="shared" si="4653"/>
        <v>0</v>
      </c>
      <c r="W133" s="675">
        <f t="shared" si="4653"/>
        <v>0</v>
      </c>
      <c r="X133" s="549">
        <f t="shared" si="4653"/>
        <v>0</v>
      </c>
      <c r="Y133" s="675">
        <f t="shared" si="4653"/>
        <v>0</v>
      </c>
      <c r="Z133" s="549">
        <f t="shared" si="4653"/>
        <v>0</v>
      </c>
      <c r="AA133" s="675">
        <f t="shared" si="4653"/>
        <v>0</v>
      </c>
      <c r="AB133" s="549">
        <f t="shared" si="4653"/>
        <v>0</v>
      </c>
      <c r="AC133" s="675">
        <f t="shared" si="4653"/>
        <v>0</v>
      </c>
      <c r="AD133" s="549">
        <f t="shared" si="4653"/>
        <v>0</v>
      </c>
      <c r="AE133" s="675">
        <f t="shared" si="4653"/>
        <v>0</v>
      </c>
      <c r="AF133" s="549">
        <f t="shared" si="4653"/>
        <v>0</v>
      </c>
      <c r="AG133" s="675">
        <f t="shared" si="4653"/>
        <v>0</v>
      </c>
      <c r="AH133" s="549">
        <f t="shared" si="4653"/>
        <v>0</v>
      </c>
      <c r="AI133" s="675">
        <f t="shared" si="4653"/>
        <v>0</v>
      </c>
      <c r="AJ133" s="549">
        <f t="shared" si="4653"/>
        <v>0</v>
      </c>
      <c r="AK133" s="675">
        <f t="shared" si="4653"/>
        <v>0</v>
      </c>
      <c r="AL133" s="549">
        <f t="shared" si="4653"/>
        <v>0</v>
      </c>
      <c r="AM133" s="675">
        <f t="shared" si="4653"/>
        <v>0</v>
      </c>
      <c r="AN133" s="549">
        <f t="shared" si="4653"/>
        <v>0</v>
      </c>
      <c r="AO133" s="675">
        <f t="shared" si="4653"/>
        <v>0</v>
      </c>
      <c r="AP133" s="549">
        <f t="shared" si="4653"/>
        <v>0</v>
      </c>
      <c r="AQ133" s="675">
        <f t="shared" si="4653"/>
        <v>0</v>
      </c>
      <c r="AR133" s="549">
        <f t="shared" si="4653"/>
        <v>0</v>
      </c>
      <c r="AS133" s="675">
        <f t="shared" si="4653"/>
        <v>0</v>
      </c>
      <c r="AT133" s="549">
        <f t="shared" ref="AT133:AU133" si="4654">AT466</f>
        <v>0</v>
      </c>
      <c r="AU133" s="675">
        <f t="shared" si="4654"/>
        <v>0</v>
      </c>
      <c r="AV133" s="549">
        <f t="shared" ref="AV133:AW133" si="4655">AV466</f>
        <v>0</v>
      </c>
      <c r="AW133" s="675">
        <f t="shared" si="4655"/>
        <v>0</v>
      </c>
      <c r="AX133" s="549">
        <f t="shared" ref="AX133:AY133" si="4656">AX466</f>
        <v>0</v>
      </c>
      <c r="AY133" s="675">
        <f t="shared" si="4656"/>
        <v>0</v>
      </c>
      <c r="AZ133" s="549">
        <f t="shared" ref="AZ133:BA133" si="4657">AZ466</f>
        <v>0</v>
      </c>
      <c r="BA133" s="675">
        <f t="shared" si="4657"/>
        <v>0</v>
      </c>
      <c r="BB133" s="549">
        <f t="shared" ref="BB133:BC133" si="4658">BB466</f>
        <v>0</v>
      </c>
      <c r="BC133" s="675">
        <f t="shared" si="4658"/>
        <v>0</v>
      </c>
      <c r="BD133" s="549">
        <f t="shared" ref="BD133:BE133" si="4659">BD466</f>
        <v>0</v>
      </c>
      <c r="BE133" s="675">
        <f t="shared" si="4659"/>
        <v>0</v>
      </c>
      <c r="BF133" s="549">
        <f t="shared" ref="BF133:BG133" si="4660">BF466</f>
        <v>0</v>
      </c>
      <c r="BG133" s="675">
        <f t="shared" si="4660"/>
        <v>0</v>
      </c>
      <c r="BH133" s="549">
        <f t="shared" ref="BH133:BI133" si="4661">BH466</f>
        <v>0</v>
      </c>
      <c r="BI133" s="675">
        <f t="shared" si="4661"/>
        <v>0</v>
      </c>
      <c r="BJ133" s="549">
        <f t="shared" ref="BJ133:BK133" si="4662">BJ466</f>
        <v>0</v>
      </c>
      <c r="BK133" s="675">
        <f t="shared" si="4662"/>
        <v>0</v>
      </c>
      <c r="BL133" s="549">
        <f t="shared" ref="BL133:BS133" si="4663">BL466</f>
        <v>0</v>
      </c>
      <c r="BM133" s="675">
        <f t="shared" si="4663"/>
        <v>0</v>
      </c>
      <c r="BN133" s="549">
        <f t="shared" si="4663"/>
        <v>0</v>
      </c>
      <c r="BO133" s="675">
        <f t="shared" si="4663"/>
        <v>0</v>
      </c>
      <c r="BP133" s="549">
        <f t="shared" si="4663"/>
        <v>0</v>
      </c>
      <c r="BQ133" s="675">
        <f t="shared" si="4663"/>
        <v>0</v>
      </c>
      <c r="BR133" s="549">
        <f t="shared" si="4663"/>
        <v>0</v>
      </c>
      <c r="BS133" s="675">
        <f t="shared" si="4663"/>
        <v>0</v>
      </c>
      <c r="BT133" s="549">
        <f t="shared" si="4619"/>
        <v>0</v>
      </c>
      <c r="BU133" s="675">
        <f t="shared" si="4619"/>
        <v>0</v>
      </c>
      <c r="BV133" s="549">
        <f t="shared" si="4619"/>
        <v>0</v>
      </c>
      <c r="BW133" s="675">
        <f t="shared" si="4619"/>
        <v>0</v>
      </c>
      <c r="BX133" s="549">
        <f t="shared" ref="BX133:BY133" si="4664">BX466</f>
        <v>0</v>
      </c>
      <c r="BY133" s="675">
        <f t="shared" si="4664"/>
        <v>0</v>
      </c>
      <c r="BZ133" s="549">
        <f t="shared" ref="BZ133:CA133" si="4665">BZ466</f>
        <v>0</v>
      </c>
      <c r="CA133" s="675">
        <f t="shared" si="4665"/>
        <v>0</v>
      </c>
      <c r="CB133" s="549">
        <f t="shared" ref="CB133:CE133" si="4666">CB466</f>
        <v>0</v>
      </c>
      <c r="CC133" s="675">
        <f t="shared" si="4666"/>
        <v>0</v>
      </c>
      <c r="CD133" s="549">
        <f t="shared" si="4666"/>
        <v>0</v>
      </c>
      <c r="CE133" s="675">
        <f t="shared" si="4666"/>
        <v>0</v>
      </c>
      <c r="CF133" s="549">
        <f t="shared" si="4623"/>
        <v>0</v>
      </c>
      <c r="CG133" s="675">
        <f t="shared" si="4623"/>
        <v>0</v>
      </c>
      <c r="CH133" s="549">
        <f t="shared" ref="CH133:CQ133" si="4667">CH466</f>
        <v>0</v>
      </c>
      <c r="CI133" s="675">
        <f t="shared" si="4667"/>
        <v>0</v>
      </c>
      <c r="CJ133" s="549">
        <f t="shared" si="4667"/>
        <v>0</v>
      </c>
      <c r="CK133" s="675">
        <f t="shared" si="4667"/>
        <v>-2000</v>
      </c>
      <c r="CL133" s="549">
        <f t="shared" si="4667"/>
        <v>0</v>
      </c>
      <c r="CM133" s="675">
        <f t="shared" si="4667"/>
        <v>0</v>
      </c>
      <c r="CN133" s="549">
        <f t="shared" si="4667"/>
        <v>0</v>
      </c>
      <c r="CO133" s="675">
        <f t="shared" si="4667"/>
        <v>0</v>
      </c>
      <c r="CP133" s="549">
        <f t="shared" si="4667"/>
        <v>0</v>
      </c>
      <c r="CQ133" s="675">
        <f t="shared" si="4667"/>
        <v>0</v>
      </c>
      <c r="CR133" s="549">
        <f t="shared" si="4625"/>
        <v>0</v>
      </c>
      <c r="CS133" s="675">
        <f t="shared" si="4625"/>
        <v>0</v>
      </c>
      <c r="CT133" s="549">
        <f t="shared" si="4625"/>
        <v>0</v>
      </c>
      <c r="CU133" s="675">
        <f t="shared" si="4625"/>
        <v>0</v>
      </c>
      <c r="CV133" s="549">
        <f t="shared" si="4625"/>
        <v>0</v>
      </c>
      <c r="CW133" s="675">
        <f t="shared" si="4625"/>
        <v>0</v>
      </c>
      <c r="CX133" s="549">
        <f t="shared" si="4625"/>
        <v>0</v>
      </c>
      <c r="CY133" s="675">
        <f t="shared" si="4625"/>
        <v>0</v>
      </c>
      <c r="CZ133" s="549">
        <f t="shared" si="4626"/>
        <v>0</v>
      </c>
      <c r="DA133" s="675">
        <f t="shared" si="4626"/>
        <v>0</v>
      </c>
      <c r="DB133" s="549">
        <f t="shared" si="4626"/>
        <v>0</v>
      </c>
      <c r="DC133" s="675">
        <f t="shared" si="4626"/>
        <v>0</v>
      </c>
      <c r="DD133" s="549">
        <f t="shared" si="4627"/>
        <v>0</v>
      </c>
      <c r="DE133" s="675">
        <f t="shared" si="4627"/>
        <v>0</v>
      </c>
      <c r="DF133" s="549">
        <f t="shared" si="4626"/>
        <v>0</v>
      </c>
      <c r="DG133" s="675">
        <f t="shared" si="4626"/>
        <v>0</v>
      </c>
      <c r="DH133" s="549">
        <f t="shared" si="4628"/>
        <v>0</v>
      </c>
      <c r="DI133" s="675">
        <f t="shared" si="4628"/>
        <v>-1000</v>
      </c>
      <c r="DJ133" s="549">
        <f t="shared" si="4629"/>
        <v>0</v>
      </c>
      <c r="DK133" s="675">
        <f t="shared" si="4629"/>
        <v>0</v>
      </c>
      <c r="DL133" s="549">
        <f t="shared" si="4629"/>
        <v>0</v>
      </c>
      <c r="DM133" s="675">
        <f t="shared" si="4629"/>
        <v>0</v>
      </c>
      <c r="DN133" s="549">
        <f t="shared" si="4630"/>
        <v>0</v>
      </c>
      <c r="DO133" s="675">
        <f t="shared" si="4630"/>
        <v>0</v>
      </c>
      <c r="DP133" s="549">
        <f t="shared" ref="DP133:DU133" si="4668">DP466</f>
        <v>0</v>
      </c>
      <c r="DQ133" s="675">
        <f t="shared" si="4668"/>
        <v>0</v>
      </c>
      <c r="DR133" s="549">
        <f t="shared" si="4668"/>
        <v>0</v>
      </c>
      <c r="DS133" s="675">
        <f t="shared" si="4668"/>
        <v>0</v>
      </c>
      <c r="DT133" s="549">
        <f t="shared" si="4668"/>
        <v>0</v>
      </c>
      <c r="DU133" s="675">
        <f t="shared" si="4668"/>
        <v>0</v>
      </c>
      <c r="DV133" s="549">
        <f t="shared" si="4632"/>
        <v>0</v>
      </c>
      <c r="DW133" s="675">
        <f t="shared" si="4632"/>
        <v>0</v>
      </c>
      <c r="DX133" s="549">
        <f t="shared" ref="DX133:EA134" si="4669">DX466</f>
        <v>0</v>
      </c>
      <c r="DY133" s="675">
        <f t="shared" si="4669"/>
        <v>0</v>
      </c>
      <c r="DZ133" s="549">
        <f t="shared" si="4669"/>
        <v>0</v>
      </c>
      <c r="EA133" s="675">
        <f t="shared" si="4669"/>
        <v>0</v>
      </c>
      <c r="EB133" s="549">
        <f t="shared" ref="EB133:EM133" si="4670">EB466</f>
        <v>0</v>
      </c>
      <c r="EC133" s="675">
        <f t="shared" si="4670"/>
        <v>0</v>
      </c>
      <c r="ED133" s="549">
        <f t="shared" si="4670"/>
        <v>0</v>
      </c>
      <c r="EE133" s="675">
        <f t="shared" si="4670"/>
        <v>0</v>
      </c>
      <c r="EF133" s="549">
        <f t="shared" si="4670"/>
        <v>0</v>
      </c>
      <c r="EG133" s="675">
        <f t="shared" si="4670"/>
        <v>0</v>
      </c>
      <c r="EH133" s="549">
        <f t="shared" si="4670"/>
        <v>0</v>
      </c>
      <c r="EI133" s="675">
        <f t="shared" si="4670"/>
        <v>0</v>
      </c>
      <c r="EJ133" s="549">
        <f t="shared" si="4670"/>
        <v>0</v>
      </c>
      <c r="EK133" s="675">
        <f t="shared" si="4670"/>
        <v>0</v>
      </c>
      <c r="EL133" s="549">
        <f t="shared" si="4670"/>
        <v>0</v>
      </c>
      <c r="EM133" s="675">
        <f t="shared" si="4670"/>
        <v>0</v>
      </c>
      <c r="EN133" s="549">
        <f t="shared" si="4635"/>
        <v>0</v>
      </c>
      <c r="EO133" s="675">
        <f t="shared" si="4635"/>
        <v>0</v>
      </c>
      <c r="EP133" s="549">
        <f t="shared" ref="EP133:FA133" si="4671">EP466</f>
        <v>0</v>
      </c>
      <c r="EQ133" s="675">
        <f t="shared" si="4671"/>
        <v>0</v>
      </c>
      <c r="ER133" s="549">
        <f t="shared" si="4671"/>
        <v>0</v>
      </c>
      <c r="ES133" s="675">
        <f t="shared" si="4671"/>
        <v>0</v>
      </c>
      <c r="ET133" s="549">
        <f t="shared" si="4671"/>
        <v>0</v>
      </c>
      <c r="EU133" s="675">
        <f t="shared" si="4671"/>
        <v>0</v>
      </c>
      <c r="EV133" s="549">
        <f t="shared" ref="EV133:EW134" si="4672">EV466</f>
        <v>0</v>
      </c>
      <c r="EW133" s="675">
        <f t="shared" si="4672"/>
        <v>0</v>
      </c>
      <c r="EX133" s="549">
        <f t="shared" si="4671"/>
        <v>0</v>
      </c>
      <c r="EY133" s="675">
        <f t="shared" si="4671"/>
        <v>0</v>
      </c>
      <c r="EZ133" s="549">
        <f t="shared" si="4671"/>
        <v>0</v>
      </c>
      <c r="FA133" s="675">
        <f t="shared" si="4671"/>
        <v>0</v>
      </c>
      <c r="FB133" s="549">
        <f t="shared" ref="FB133:GQ134" si="4673">FB466</f>
        <v>0</v>
      </c>
      <c r="FC133" s="675">
        <f t="shared" si="4673"/>
        <v>0</v>
      </c>
      <c r="FD133" s="549">
        <f t="shared" si="4673"/>
        <v>0</v>
      </c>
      <c r="FE133" s="675">
        <f t="shared" si="4673"/>
        <v>0</v>
      </c>
      <c r="FF133" s="549">
        <f t="shared" ref="FF133:FG133" si="4674">FF466</f>
        <v>0</v>
      </c>
      <c r="FG133" s="675">
        <f t="shared" si="4674"/>
        <v>0</v>
      </c>
      <c r="FH133" s="549">
        <f t="shared" ref="FH133:FI133" si="4675">FH466</f>
        <v>0</v>
      </c>
      <c r="FI133" s="675">
        <f t="shared" si="4675"/>
        <v>0</v>
      </c>
      <c r="FJ133" s="549">
        <f t="shared" ref="FJ133:FK133" si="4676">FJ466</f>
        <v>0</v>
      </c>
      <c r="FK133" s="675">
        <f t="shared" si="4676"/>
        <v>0</v>
      </c>
      <c r="FL133" s="549">
        <f t="shared" ref="FL133:FM133" si="4677">FL466</f>
        <v>0</v>
      </c>
      <c r="FM133" s="675">
        <f t="shared" si="4677"/>
        <v>0</v>
      </c>
      <c r="FN133" s="549">
        <f t="shared" ref="FN133:FO133" si="4678">FN466</f>
        <v>0</v>
      </c>
      <c r="FO133" s="675">
        <f t="shared" si="4678"/>
        <v>0</v>
      </c>
      <c r="FP133" s="549">
        <f t="shared" ref="FP133:FQ133" si="4679">FP466</f>
        <v>0</v>
      </c>
      <c r="FQ133" s="675">
        <f t="shared" si="4679"/>
        <v>0</v>
      </c>
      <c r="FR133" s="549">
        <f t="shared" ref="FR133:FS133" si="4680">FR466</f>
        <v>0</v>
      </c>
      <c r="FS133" s="675">
        <f t="shared" si="4680"/>
        <v>0</v>
      </c>
      <c r="FT133" s="549">
        <f t="shared" ref="FT133:FU133" si="4681">FT466</f>
        <v>0</v>
      </c>
      <c r="FU133" s="675">
        <f t="shared" si="4681"/>
        <v>0</v>
      </c>
      <c r="FV133" s="549">
        <f t="shared" ref="FV133:GK133" si="4682">FV466</f>
        <v>0</v>
      </c>
      <c r="FW133" s="675">
        <f t="shared" si="4682"/>
        <v>0</v>
      </c>
      <c r="FX133" s="549">
        <f t="shared" si="4682"/>
        <v>0</v>
      </c>
      <c r="FY133" s="675">
        <f t="shared" si="4682"/>
        <v>0</v>
      </c>
      <c r="FZ133" s="549">
        <f t="shared" ref="FZ133:GI133" si="4683">FZ466</f>
        <v>0</v>
      </c>
      <c r="GA133" s="675">
        <f t="shared" si="4683"/>
        <v>0</v>
      </c>
      <c r="GB133" s="549">
        <f t="shared" si="4683"/>
        <v>0</v>
      </c>
      <c r="GC133" s="675">
        <f t="shared" si="4683"/>
        <v>0</v>
      </c>
      <c r="GD133" s="549">
        <f t="shared" si="4683"/>
        <v>0</v>
      </c>
      <c r="GE133" s="675">
        <f t="shared" si="4683"/>
        <v>0</v>
      </c>
      <c r="GF133" s="549">
        <f t="shared" si="4683"/>
        <v>0</v>
      </c>
      <c r="GG133" s="675">
        <f t="shared" si="4683"/>
        <v>0</v>
      </c>
      <c r="GH133" s="549">
        <f t="shared" si="4683"/>
        <v>0</v>
      </c>
      <c r="GI133" s="675">
        <f t="shared" si="4683"/>
        <v>0</v>
      </c>
      <c r="GJ133" s="549">
        <f t="shared" si="4682"/>
        <v>0</v>
      </c>
      <c r="GK133" s="675">
        <f t="shared" si="4682"/>
        <v>0</v>
      </c>
      <c r="GL133" s="549">
        <f t="shared" ref="GL133:GM133" si="4684">GL466</f>
        <v>0</v>
      </c>
      <c r="GM133" s="675">
        <f t="shared" si="4684"/>
        <v>0</v>
      </c>
      <c r="GN133" s="549">
        <f t="shared" ref="GN133:GO133" si="4685">GN466</f>
        <v>0</v>
      </c>
      <c r="GO133" s="675">
        <f t="shared" si="4685"/>
        <v>0</v>
      </c>
      <c r="GP133" s="74">
        <f t="shared" si="4673"/>
        <v>0</v>
      </c>
      <c r="GQ133" s="675">
        <f t="shared" si="4673"/>
        <v>-3000</v>
      </c>
      <c r="GR133" s="74">
        <f t="shared" ref="GR133:HK133" si="4686">GR466</f>
        <v>0</v>
      </c>
      <c r="GS133" s="74">
        <f t="shared" si="4686"/>
        <v>0</v>
      </c>
      <c r="GT133" s="549">
        <f t="shared" si="4686"/>
        <v>0</v>
      </c>
      <c r="GU133" s="74">
        <f t="shared" si="4686"/>
        <v>0</v>
      </c>
      <c r="GV133" s="74">
        <f t="shared" si="4686"/>
        <v>1000</v>
      </c>
      <c r="GW133" s="74">
        <f t="shared" si="4686"/>
        <v>0</v>
      </c>
      <c r="GX133" s="74">
        <f t="shared" si="4686"/>
        <v>1000</v>
      </c>
      <c r="GY133" s="74">
        <f t="shared" si="4686"/>
        <v>0</v>
      </c>
      <c r="GZ133" s="74">
        <f t="shared" si="4686"/>
        <v>0</v>
      </c>
      <c r="HA133" s="74">
        <f t="shared" si="4686"/>
        <v>1000</v>
      </c>
      <c r="HB133" s="74">
        <f t="shared" si="4686"/>
        <v>0</v>
      </c>
      <c r="HC133" s="74">
        <f t="shared" si="4686"/>
        <v>0</v>
      </c>
      <c r="HD133" s="74">
        <f t="shared" si="4686"/>
        <v>0</v>
      </c>
      <c r="HE133" s="74">
        <f t="shared" si="4686"/>
        <v>0</v>
      </c>
      <c r="HF133" s="74">
        <f t="shared" si="4686"/>
        <v>0</v>
      </c>
      <c r="HG133" s="74">
        <f t="shared" si="4686"/>
        <v>0</v>
      </c>
      <c r="HH133" s="74">
        <f t="shared" si="4686"/>
        <v>0</v>
      </c>
      <c r="HI133" s="74">
        <f t="shared" si="4686"/>
        <v>0</v>
      </c>
      <c r="HJ133" s="74">
        <f t="shared" si="4686"/>
        <v>0</v>
      </c>
      <c r="HK133" s="74">
        <f t="shared" si="4686"/>
        <v>0</v>
      </c>
      <c r="HL133" s="74">
        <f t="shared" ref="HL133:JT133" si="4687">HL466</f>
        <v>0</v>
      </c>
      <c r="HM133" s="74">
        <f t="shared" si="4687"/>
        <v>0</v>
      </c>
      <c r="HN133" s="74">
        <f t="shared" si="4687"/>
        <v>0</v>
      </c>
      <c r="HO133" s="74">
        <f t="shared" si="4687"/>
        <v>0</v>
      </c>
      <c r="HP133" s="74">
        <f t="shared" si="4687"/>
        <v>0</v>
      </c>
      <c r="HQ133" s="74">
        <f t="shared" si="4687"/>
        <v>0</v>
      </c>
      <c r="HR133" s="74">
        <f t="shared" si="4687"/>
        <v>0</v>
      </c>
      <c r="HS133" s="74">
        <f t="shared" si="4687"/>
        <v>0</v>
      </c>
      <c r="HT133" s="74">
        <f t="shared" si="4687"/>
        <v>0</v>
      </c>
      <c r="HU133" s="74">
        <f t="shared" si="4687"/>
        <v>0</v>
      </c>
      <c r="HV133" s="74">
        <f t="shared" si="4687"/>
        <v>0</v>
      </c>
      <c r="HW133" s="74">
        <f t="shared" si="4687"/>
        <v>0</v>
      </c>
      <c r="HX133" s="74">
        <f t="shared" si="4687"/>
        <v>0</v>
      </c>
      <c r="HY133" s="74">
        <f t="shared" si="4687"/>
        <v>0</v>
      </c>
      <c r="HZ133" s="74">
        <f t="shared" si="4687"/>
        <v>0</v>
      </c>
      <c r="IA133" s="74">
        <f t="shared" si="4687"/>
        <v>0</v>
      </c>
      <c r="IB133" s="74">
        <f t="shared" si="4687"/>
        <v>0</v>
      </c>
      <c r="IC133" s="74">
        <f t="shared" si="4687"/>
        <v>0</v>
      </c>
      <c r="ID133" s="74">
        <f t="shared" si="4687"/>
        <v>0</v>
      </c>
      <c r="IE133" s="792">
        <f t="shared" si="4687"/>
        <v>0</v>
      </c>
      <c r="IF133" s="841">
        <f t="shared" si="4687"/>
        <v>0</v>
      </c>
      <c r="IG133" s="263">
        <f t="shared" si="4687"/>
        <v>0</v>
      </c>
      <c r="IH133" s="842">
        <f t="shared" si="4687"/>
        <v>0</v>
      </c>
      <c r="II133" s="155">
        <f t="shared" si="4687"/>
        <v>0</v>
      </c>
      <c r="IJ133" s="74">
        <f t="shared" si="4687"/>
        <v>0</v>
      </c>
      <c r="IK133" s="74">
        <f t="shared" si="4687"/>
        <v>0</v>
      </c>
      <c r="IL133" s="74">
        <f t="shared" si="4687"/>
        <v>0</v>
      </c>
      <c r="IM133" s="74">
        <f t="shared" si="4687"/>
        <v>0</v>
      </c>
      <c r="IN133" s="74">
        <f t="shared" si="4687"/>
        <v>0</v>
      </c>
      <c r="IO133" s="74">
        <f t="shared" si="4687"/>
        <v>0</v>
      </c>
      <c r="IP133" s="74">
        <f t="shared" si="4687"/>
        <v>0</v>
      </c>
      <c r="IQ133" s="74">
        <f t="shared" si="4687"/>
        <v>0</v>
      </c>
      <c r="IR133" s="74">
        <f t="shared" si="4687"/>
        <v>0</v>
      </c>
      <c r="IS133" s="74">
        <f t="shared" si="4687"/>
        <v>0</v>
      </c>
      <c r="IT133" s="74">
        <f t="shared" si="4687"/>
        <v>0</v>
      </c>
      <c r="IU133" s="74">
        <f t="shared" si="4687"/>
        <v>0</v>
      </c>
      <c r="IV133" s="74">
        <f t="shared" si="4687"/>
        <v>0</v>
      </c>
      <c r="IW133" s="74">
        <f t="shared" si="4687"/>
        <v>0</v>
      </c>
      <c r="IX133" s="74">
        <f t="shared" si="4687"/>
        <v>0</v>
      </c>
      <c r="IY133" s="74">
        <f t="shared" si="4687"/>
        <v>0</v>
      </c>
      <c r="IZ133" s="74">
        <f t="shared" si="4687"/>
        <v>0</v>
      </c>
      <c r="JA133" s="74">
        <f t="shared" si="4687"/>
        <v>0</v>
      </c>
      <c r="JB133" s="74">
        <f t="shared" si="4687"/>
        <v>0</v>
      </c>
      <c r="JC133" s="74">
        <f t="shared" si="4687"/>
        <v>0</v>
      </c>
      <c r="JD133" s="74">
        <f t="shared" si="4687"/>
        <v>0</v>
      </c>
      <c r="JE133" s="74">
        <f t="shared" si="4687"/>
        <v>0</v>
      </c>
      <c r="JF133" s="74">
        <f t="shared" si="4687"/>
        <v>0</v>
      </c>
      <c r="JG133" s="74">
        <f t="shared" si="4687"/>
        <v>0</v>
      </c>
      <c r="JH133" s="74">
        <f t="shared" si="4687"/>
        <v>0</v>
      </c>
      <c r="JI133" s="74">
        <f t="shared" si="4687"/>
        <v>0</v>
      </c>
      <c r="JJ133" s="74">
        <f t="shared" si="4687"/>
        <v>0</v>
      </c>
      <c r="JK133" s="74">
        <f t="shared" si="4687"/>
        <v>0</v>
      </c>
      <c r="JL133" s="74">
        <f t="shared" si="4687"/>
        <v>0</v>
      </c>
      <c r="JM133" s="74">
        <f t="shared" si="4687"/>
        <v>0</v>
      </c>
      <c r="JN133" s="74">
        <f t="shared" si="4687"/>
        <v>0</v>
      </c>
      <c r="JO133" s="74">
        <f t="shared" si="4687"/>
        <v>0</v>
      </c>
      <c r="JP133" s="74">
        <f t="shared" si="4687"/>
        <v>0</v>
      </c>
      <c r="JQ133" s="74">
        <f t="shared" si="4687"/>
        <v>0</v>
      </c>
      <c r="JR133" s="74">
        <f t="shared" si="4687"/>
        <v>0</v>
      </c>
      <c r="JS133" s="74">
        <f t="shared" si="4687"/>
        <v>0</v>
      </c>
      <c r="JT133" s="102">
        <f t="shared" si="4687"/>
        <v>0</v>
      </c>
      <c r="JU133" s="671"/>
      <c r="JV133" s="492"/>
      <c r="JW133" s="490"/>
      <c r="JX133" s="549">
        <f t="shared" si="4652"/>
        <v>0</v>
      </c>
      <c r="JY133" s="549">
        <f t="shared" si="4652"/>
        <v>0</v>
      </c>
      <c r="JZ133" s="581">
        <f t="shared" si="2110"/>
        <v>0</v>
      </c>
      <c r="KA133" s="581">
        <f t="shared" si="2111"/>
        <v>-3000</v>
      </c>
      <c r="KB133" s="549">
        <f t="shared" si="4652"/>
        <v>0</v>
      </c>
      <c r="KC133" s="709">
        <f t="shared" si="2079"/>
        <v>0</v>
      </c>
      <c r="KD133" s="36"/>
      <c r="KE133" s="36"/>
      <c r="KF133" s="36"/>
      <c r="KG133" s="36"/>
      <c r="KH133" s="36"/>
      <c r="KI133" s="36"/>
      <c r="KJ133" s="36"/>
      <c r="KK133" s="36"/>
    </row>
    <row r="134" spans="1:297" s="8" customFormat="1">
      <c r="A134" s="75">
        <v>243</v>
      </c>
      <c r="B134" s="72" t="s">
        <v>157</v>
      </c>
      <c r="C134" s="74">
        <f t="shared" ref="C134:AS134" si="4688">C467</f>
        <v>5000</v>
      </c>
      <c r="D134" s="549">
        <f t="shared" si="4688"/>
        <v>0</v>
      </c>
      <c r="E134" s="675">
        <f t="shared" si="4688"/>
        <v>0</v>
      </c>
      <c r="F134" s="549">
        <f t="shared" si="4688"/>
        <v>0</v>
      </c>
      <c r="G134" s="675">
        <f t="shared" si="4688"/>
        <v>0</v>
      </c>
      <c r="H134" s="549">
        <f t="shared" si="4688"/>
        <v>0</v>
      </c>
      <c r="I134" s="675">
        <f t="shared" si="4688"/>
        <v>0</v>
      </c>
      <c r="J134" s="549">
        <f t="shared" si="4688"/>
        <v>0</v>
      </c>
      <c r="K134" s="675">
        <f t="shared" si="4688"/>
        <v>0</v>
      </c>
      <c r="L134" s="549">
        <f t="shared" si="4688"/>
        <v>0</v>
      </c>
      <c r="M134" s="675">
        <f t="shared" si="4688"/>
        <v>0</v>
      </c>
      <c r="N134" s="549">
        <f t="shared" si="4688"/>
        <v>0</v>
      </c>
      <c r="O134" s="675">
        <f t="shared" si="4688"/>
        <v>0</v>
      </c>
      <c r="P134" s="549">
        <f t="shared" si="4688"/>
        <v>0</v>
      </c>
      <c r="Q134" s="675">
        <f t="shared" si="4688"/>
        <v>0</v>
      </c>
      <c r="R134" s="549">
        <f t="shared" si="4688"/>
        <v>0</v>
      </c>
      <c r="S134" s="675">
        <f t="shared" si="4688"/>
        <v>0</v>
      </c>
      <c r="T134" s="549">
        <f t="shared" si="4688"/>
        <v>0</v>
      </c>
      <c r="U134" s="675">
        <f t="shared" si="4688"/>
        <v>0</v>
      </c>
      <c r="V134" s="549">
        <f t="shared" si="4688"/>
        <v>0</v>
      </c>
      <c r="W134" s="675">
        <f t="shared" si="4688"/>
        <v>0</v>
      </c>
      <c r="X134" s="549">
        <f t="shared" si="4688"/>
        <v>0</v>
      </c>
      <c r="Y134" s="675">
        <f t="shared" si="4688"/>
        <v>0</v>
      </c>
      <c r="Z134" s="549">
        <f t="shared" si="4688"/>
        <v>0</v>
      </c>
      <c r="AA134" s="675">
        <f t="shared" si="4688"/>
        <v>0</v>
      </c>
      <c r="AB134" s="549">
        <f t="shared" si="4688"/>
        <v>0</v>
      </c>
      <c r="AC134" s="675">
        <f t="shared" si="4688"/>
        <v>0</v>
      </c>
      <c r="AD134" s="549">
        <f t="shared" si="4688"/>
        <v>0</v>
      </c>
      <c r="AE134" s="675">
        <f t="shared" si="4688"/>
        <v>-1000</v>
      </c>
      <c r="AF134" s="549">
        <f t="shared" si="4688"/>
        <v>0</v>
      </c>
      <c r="AG134" s="675">
        <f t="shared" si="4688"/>
        <v>0</v>
      </c>
      <c r="AH134" s="549">
        <f t="shared" si="4688"/>
        <v>0</v>
      </c>
      <c r="AI134" s="675">
        <f t="shared" si="4688"/>
        <v>0</v>
      </c>
      <c r="AJ134" s="549">
        <f t="shared" si="4688"/>
        <v>0</v>
      </c>
      <c r="AK134" s="675">
        <f t="shared" si="4688"/>
        <v>0</v>
      </c>
      <c r="AL134" s="549">
        <f t="shared" si="4688"/>
        <v>0</v>
      </c>
      <c r="AM134" s="675">
        <f t="shared" si="4688"/>
        <v>0</v>
      </c>
      <c r="AN134" s="549">
        <f t="shared" si="4688"/>
        <v>0</v>
      </c>
      <c r="AO134" s="675">
        <f t="shared" si="4688"/>
        <v>0</v>
      </c>
      <c r="AP134" s="549">
        <f t="shared" si="4688"/>
        <v>0</v>
      </c>
      <c r="AQ134" s="675">
        <f t="shared" si="4688"/>
        <v>0</v>
      </c>
      <c r="AR134" s="549">
        <f t="shared" si="4688"/>
        <v>0</v>
      </c>
      <c r="AS134" s="675">
        <f t="shared" si="4688"/>
        <v>0</v>
      </c>
      <c r="AT134" s="549">
        <f t="shared" ref="AT134:AU134" si="4689">AT467</f>
        <v>0</v>
      </c>
      <c r="AU134" s="675">
        <f t="shared" si="4689"/>
        <v>0</v>
      </c>
      <c r="AV134" s="549">
        <f t="shared" ref="AV134:AW134" si="4690">AV467</f>
        <v>0</v>
      </c>
      <c r="AW134" s="675">
        <f t="shared" si="4690"/>
        <v>0</v>
      </c>
      <c r="AX134" s="549">
        <f t="shared" ref="AX134:AY134" si="4691">AX467</f>
        <v>0</v>
      </c>
      <c r="AY134" s="675">
        <f t="shared" si="4691"/>
        <v>0</v>
      </c>
      <c r="AZ134" s="549">
        <f t="shared" ref="AZ134:BA134" si="4692">AZ467</f>
        <v>0</v>
      </c>
      <c r="BA134" s="675">
        <f t="shared" si="4692"/>
        <v>-1000</v>
      </c>
      <c r="BB134" s="549">
        <f t="shared" ref="BB134:BC134" si="4693">BB467</f>
        <v>0</v>
      </c>
      <c r="BC134" s="675">
        <f t="shared" si="4693"/>
        <v>0</v>
      </c>
      <c r="BD134" s="549">
        <f t="shared" ref="BD134:BE134" si="4694">BD467</f>
        <v>0</v>
      </c>
      <c r="BE134" s="675">
        <f t="shared" si="4694"/>
        <v>0</v>
      </c>
      <c r="BF134" s="549">
        <f t="shared" ref="BF134:BG134" si="4695">BF467</f>
        <v>0</v>
      </c>
      <c r="BG134" s="675">
        <f t="shared" si="4695"/>
        <v>0</v>
      </c>
      <c r="BH134" s="549">
        <f t="shared" ref="BH134:BI134" si="4696">BH467</f>
        <v>0</v>
      </c>
      <c r="BI134" s="675">
        <f t="shared" si="4696"/>
        <v>0</v>
      </c>
      <c r="BJ134" s="549">
        <f t="shared" ref="BJ134:BK134" si="4697">BJ467</f>
        <v>0</v>
      </c>
      <c r="BK134" s="675">
        <f t="shared" si="4697"/>
        <v>0</v>
      </c>
      <c r="BL134" s="549">
        <f t="shared" ref="BL134:BS134" si="4698">BL467</f>
        <v>0</v>
      </c>
      <c r="BM134" s="675">
        <f t="shared" si="4698"/>
        <v>0</v>
      </c>
      <c r="BN134" s="549">
        <f t="shared" si="4698"/>
        <v>0</v>
      </c>
      <c r="BO134" s="675">
        <f t="shared" si="4698"/>
        <v>0</v>
      </c>
      <c r="BP134" s="549">
        <f t="shared" si="4698"/>
        <v>0</v>
      </c>
      <c r="BQ134" s="675">
        <f t="shared" si="4698"/>
        <v>0</v>
      </c>
      <c r="BR134" s="549">
        <f t="shared" si="4698"/>
        <v>0</v>
      </c>
      <c r="BS134" s="675">
        <f t="shared" si="4698"/>
        <v>0</v>
      </c>
      <c r="BT134" s="549">
        <f t="shared" si="4619"/>
        <v>0</v>
      </c>
      <c r="BU134" s="675">
        <f t="shared" si="4619"/>
        <v>0</v>
      </c>
      <c r="BV134" s="549">
        <f t="shared" si="4619"/>
        <v>0</v>
      </c>
      <c r="BW134" s="675">
        <f t="shared" si="4619"/>
        <v>0</v>
      </c>
      <c r="BX134" s="549">
        <f t="shared" ref="BX134:BY134" si="4699">BX467</f>
        <v>0</v>
      </c>
      <c r="BY134" s="675">
        <f t="shared" si="4699"/>
        <v>0</v>
      </c>
      <c r="BZ134" s="549">
        <f t="shared" ref="BZ134:CA134" si="4700">BZ467</f>
        <v>0</v>
      </c>
      <c r="CA134" s="675">
        <f t="shared" si="4700"/>
        <v>0</v>
      </c>
      <c r="CB134" s="549">
        <f t="shared" ref="CB134:CE134" si="4701">CB467</f>
        <v>0</v>
      </c>
      <c r="CC134" s="675">
        <f t="shared" si="4701"/>
        <v>0</v>
      </c>
      <c r="CD134" s="549">
        <f t="shared" si="4701"/>
        <v>0</v>
      </c>
      <c r="CE134" s="675">
        <f t="shared" si="4701"/>
        <v>0</v>
      </c>
      <c r="CF134" s="549">
        <f t="shared" si="4623"/>
        <v>0</v>
      </c>
      <c r="CG134" s="675">
        <f t="shared" si="4623"/>
        <v>0</v>
      </c>
      <c r="CH134" s="549">
        <f t="shared" ref="CH134:CQ134" si="4702">CH467</f>
        <v>0</v>
      </c>
      <c r="CI134" s="675">
        <f t="shared" si="4702"/>
        <v>0</v>
      </c>
      <c r="CJ134" s="549">
        <f t="shared" si="4702"/>
        <v>0</v>
      </c>
      <c r="CK134" s="675">
        <f t="shared" si="4702"/>
        <v>-2000</v>
      </c>
      <c r="CL134" s="549">
        <f t="shared" si="4702"/>
        <v>0</v>
      </c>
      <c r="CM134" s="675">
        <f t="shared" si="4702"/>
        <v>0</v>
      </c>
      <c r="CN134" s="549">
        <f t="shared" si="4702"/>
        <v>0</v>
      </c>
      <c r="CO134" s="675">
        <f t="shared" si="4702"/>
        <v>0</v>
      </c>
      <c r="CP134" s="549">
        <f t="shared" si="4702"/>
        <v>0</v>
      </c>
      <c r="CQ134" s="675">
        <f t="shared" si="4702"/>
        <v>0</v>
      </c>
      <c r="CR134" s="549">
        <f t="shared" si="4625"/>
        <v>0</v>
      </c>
      <c r="CS134" s="675">
        <f t="shared" si="4625"/>
        <v>0</v>
      </c>
      <c r="CT134" s="549">
        <f t="shared" si="4625"/>
        <v>0</v>
      </c>
      <c r="CU134" s="675">
        <f t="shared" si="4625"/>
        <v>0</v>
      </c>
      <c r="CV134" s="549">
        <f t="shared" si="4625"/>
        <v>0</v>
      </c>
      <c r="CW134" s="675">
        <f t="shared" si="4625"/>
        <v>0</v>
      </c>
      <c r="CX134" s="549">
        <f t="shared" si="4625"/>
        <v>0</v>
      </c>
      <c r="CY134" s="675">
        <f t="shared" si="4625"/>
        <v>0</v>
      </c>
      <c r="CZ134" s="549">
        <f t="shared" si="4626"/>
        <v>0</v>
      </c>
      <c r="DA134" s="675">
        <f t="shared" si="4626"/>
        <v>0</v>
      </c>
      <c r="DB134" s="549">
        <f t="shared" si="4626"/>
        <v>0</v>
      </c>
      <c r="DC134" s="675">
        <f t="shared" si="4626"/>
        <v>0</v>
      </c>
      <c r="DD134" s="549">
        <f t="shared" si="4627"/>
        <v>0</v>
      </c>
      <c r="DE134" s="675">
        <f t="shared" si="4627"/>
        <v>0</v>
      </c>
      <c r="DF134" s="549">
        <f t="shared" si="4626"/>
        <v>0</v>
      </c>
      <c r="DG134" s="675">
        <f t="shared" si="4626"/>
        <v>0</v>
      </c>
      <c r="DH134" s="549">
        <f t="shared" si="4628"/>
        <v>0</v>
      </c>
      <c r="DI134" s="675">
        <f t="shared" si="4628"/>
        <v>0</v>
      </c>
      <c r="DJ134" s="549">
        <f t="shared" si="4629"/>
        <v>0</v>
      </c>
      <c r="DK134" s="675">
        <f t="shared" si="4629"/>
        <v>0</v>
      </c>
      <c r="DL134" s="549">
        <f t="shared" si="4629"/>
        <v>0</v>
      </c>
      <c r="DM134" s="675">
        <f t="shared" si="4629"/>
        <v>0</v>
      </c>
      <c r="DN134" s="549">
        <f t="shared" si="4630"/>
        <v>0</v>
      </c>
      <c r="DO134" s="675">
        <f t="shared" si="4630"/>
        <v>0</v>
      </c>
      <c r="DP134" s="549">
        <f t="shared" ref="DP134:DU134" si="4703">DP467</f>
        <v>0</v>
      </c>
      <c r="DQ134" s="675">
        <f t="shared" si="4703"/>
        <v>0</v>
      </c>
      <c r="DR134" s="549">
        <f t="shared" si="4703"/>
        <v>0</v>
      </c>
      <c r="DS134" s="675">
        <f t="shared" si="4703"/>
        <v>0</v>
      </c>
      <c r="DT134" s="549">
        <f t="shared" si="4703"/>
        <v>0</v>
      </c>
      <c r="DU134" s="675">
        <f t="shared" si="4703"/>
        <v>0</v>
      </c>
      <c r="DV134" s="549">
        <f t="shared" si="4632"/>
        <v>0</v>
      </c>
      <c r="DW134" s="675">
        <f t="shared" si="4632"/>
        <v>0</v>
      </c>
      <c r="DX134" s="549">
        <f t="shared" si="4669"/>
        <v>0</v>
      </c>
      <c r="DY134" s="675">
        <f t="shared" si="4669"/>
        <v>0</v>
      </c>
      <c r="DZ134" s="549">
        <f t="shared" si="4669"/>
        <v>0</v>
      </c>
      <c r="EA134" s="675">
        <f t="shared" si="4669"/>
        <v>0</v>
      </c>
      <c r="EB134" s="549">
        <f t="shared" ref="EB134:EM134" si="4704">EB467</f>
        <v>0</v>
      </c>
      <c r="EC134" s="675">
        <f t="shared" si="4704"/>
        <v>0</v>
      </c>
      <c r="ED134" s="549">
        <f t="shared" si="4704"/>
        <v>0</v>
      </c>
      <c r="EE134" s="675">
        <f t="shared" si="4704"/>
        <v>0</v>
      </c>
      <c r="EF134" s="549">
        <f t="shared" si="4704"/>
        <v>0</v>
      </c>
      <c r="EG134" s="675">
        <f t="shared" si="4704"/>
        <v>0</v>
      </c>
      <c r="EH134" s="549">
        <f t="shared" si="4704"/>
        <v>0</v>
      </c>
      <c r="EI134" s="675">
        <f t="shared" si="4704"/>
        <v>0</v>
      </c>
      <c r="EJ134" s="549">
        <f t="shared" si="4704"/>
        <v>0</v>
      </c>
      <c r="EK134" s="675">
        <f t="shared" si="4704"/>
        <v>0</v>
      </c>
      <c r="EL134" s="549">
        <f t="shared" si="4704"/>
        <v>0</v>
      </c>
      <c r="EM134" s="675">
        <f t="shared" si="4704"/>
        <v>0</v>
      </c>
      <c r="EN134" s="549">
        <f t="shared" si="4635"/>
        <v>0</v>
      </c>
      <c r="EO134" s="675">
        <f t="shared" si="4635"/>
        <v>0</v>
      </c>
      <c r="EP134" s="549">
        <f t="shared" ref="EP134:FA134" si="4705">EP467</f>
        <v>0</v>
      </c>
      <c r="EQ134" s="675">
        <f t="shared" si="4705"/>
        <v>0</v>
      </c>
      <c r="ER134" s="549">
        <f t="shared" si="4705"/>
        <v>0</v>
      </c>
      <c r="ES134" s="675">
        <f t="shared" si="4705"/>
        <v>0</v>
      </c>
      <c r="ET134" s="549">
        <f t="shared" si="4705"/>
        <v>0</v>
      </c>
      <c r="EU134" s="675">
        <f t="shared" si="4705"/>
        <v>0</v>
      </c>
      <c r="EV134" s="549">
        <f t="shared" si="4672"/>
        <v>0</v>
      </c>
      <c r="EW134" s="675">
        <f t="shared" si="4672"/>
        <v>0</v>
      </c>
      <c r="EX134" s="549">
        <f t="shared" si="4705"/>
        <v>0</v>
      </c>
      <c r="EY134" s="675">
        <f t="shared" si="4705"/>
        <v>0</v>
      </c>
      <c r="EZ134" s="549">
        <f t="shared" si="4705"/>
        <v>0</v>
      </c>
      <c r="FA134" s="675">
        <f t="shared" si="4705"/>
        <v>0</v>
      </c>
      <c r="FB134" s="549">
        <f t="shared" si="4673"/>
        <v>0</v>
      </c>
      <c r="FC134" s="675">
        <f t="shared" si="4673"/>
        <v>0</v>
      </c>
      <c r="FD134" s="549">
        <f t="shared" si="4673"/>
        <v>0</v>
      </c>
      <c r="FE134" s="675">
        <f t="shared" si="4673"/>
        <v>0</v>
      </c>
      <c r="FF134" s="549">
        <f t="shared" ref="FF134:FG134" si="4706">FF467</f>
        <v>0</v>
      </c>
      <c r="FG134" s="675">
        <f t="shared" si="4706"/>
        <v>0</v>
      </c>
      <c r="FH134" s="549">
        <f t="shared" ref="FH134:FI134" si="4707">FH467</f>
        <v>0</v>
      </c>
      <c r="FI134" s="675">
        <f t="shared" si="4707"/>
        <v>0</v>
      </c>
      <c r="FJ134" s="549">
        <f t="shared" ref="FJ134:FK134" si="4708">FJ467</f>
        <v>0</v>
      </c>
      <c r="FK134" s="675">
        <f t="shared" si="4708"/>
        <v>0</v>
      </c>
      <c r="FL134" s="549">
        <f t="shared" ref="FL134:FM134" si="4709">FL467</f>
        <v>0</v>
      </c>
      <c r="FM134" s="675">
        <f t="shared" si="4709"/>
        <v>0</v>
      </c>
      <c r="FN134" s="549">
        <f t="shared" ref="FN134:FO134" si="4710">FN467</f>
        <v>0</v>
      </c>
      <c r="FO134" s="675">
        <f t="shared" si="4710"/>
        <v>0</v>
      </c>
      <c r="FP134" s="549">
        <f t="shared" ref="FP134:FQ134" si="4711">FP467</f>
        <v>0</v>
      </c>
      <c r="FQ134" s="675">
        <f t="shared" si="4711"/>
        <v>0</v>
      </c>
      <c r="FR134" s="549">
        <f t="shared" ref="FR134:FS134" si="4712">FR467</f>
        <v>0</v>
      </c>
      <c r="FS134" s="675">
        <f t="shared" si="4712"/>
        <v>0</v>
      </c>
      <c r="FT134" s="549">
        <f t="shared" ref="FT134:FU134" si="4713">FT467</f>
        <v>0</v>
      </c>
      <c r="FU134" s="675">
        <f t="shared" si="4713"/>
        <v>0</v>
      </c>
      <c r="FV134" s="549">
        <f t="shared" ref="FV134:GK134" si="4714">FV467</f>
        <v>0</v>
      </c>
      <c r="FW134" s="675">
        <f t="shared" si="4714"/>
        <v>0</v>
      </c>
      <c r="FX134" s="549">
        <f t="shared" si="4714"/>
        <v>0</v>
      </c>
      <c r="FY134" s="675">
        <f t="shared" si="4714"/>
        <v>0</v>
      </c>
      <c r="FZ134" s="549">
        <f t="shared" ref="FZ134:GI134" si="4715">FZ467</f>
        <v>0</v>
      </c>
      <c r="GA134" s="675">
        <f t="shared" si="4715"/>
        <v>0</v>
      </c>
      <c r="GB134" s="549">
        <f t="shared" si="4715"/>
        <v>0</v>
      </c>
      <c r="GC134" s="675">
        <f t="shared" si="4715"/>
        <v>0</v>
      </c>
      <c r="GD134" s="549">
        <f t="shared" si="4715"/>
        <v>0</v>
      </c>
      <c r="GE134" s="675">
        <f t="shared" si="4715"/>
        <v>0</v>
      </c>
      <c r="GF134" s="549">
        <f t="shared" si="4715"/>
        <v>0</v>
      </c>
      <c r="GG134" s="675">
        <f t="shared" si="4715"/>
        <v>0</v>
      </c>
      <c r="GH134" s="549">
        <f t="shared" si="4715"/>
        <v>0</v>
      </c>
      <c r="GI134" s="675">
        <f t="shared" si="4715"/>
        <v>0</v>
      </c>
      <c r="GJ134" s="549">
        <f t="shared" si="4714"/>
        <v>0</v>
      </c>
      <c r="GK134" s="675">
        <f t="shared" si="4714"/>
        <v>0</v>
      </c>
      <c r="GL134" s="549">
        <f t="shared" ref="GL134:GM134" si="4716">GL467</f>
        <v>0</v>
      </c>
      <c r="GM134" s="675">
        <f t="shared" si="4716"/>
        <v>0</v>
      </c>
      <c r="GN134" s="549">
        <f t="shared" ref="GN134:GO134" si="4717">GN467</f>
        <v>0</v>
      </c>
      <c r="GO134" s="675">
        <f t="shared" si="4717"/>
        <v>0</v>
      </c>
      <c r="GP134" s="74">
        <f t="shared" si="4673"/>
        <v>0</v>
      </c>
      <c r="GQ134" s="675">
        <f t="shared" si="4673"/>
        <v>-4000</v>
      </c>
      <c r="GR134" s="74">
        <f t="shared" ref="GR134:HK134" si="4718">GR467</f>
        <v>1000</v>
      </c>
      <c r="GS134" s="74">
        <f t="shared" si="4718"/>
        <v>1000</v>
      </c>
      <c r="GT134" s="549">
        <f t="shared" si="4718"/>
        <v>1000</v>
      </c>
      <c r="GU134" s="74">
        <f t="shared" si="4718"/>
        <v>2500</v>
      </c>
      <c r="GV134" s="74">
        <f t="shared" si="4718"/>
        <v>0</v>
      </c>
      <c r="GW134" s="74">
        <f t="shared" si="4718"/>
        <v>0</v>
      </c>
      <c r="GX134" s="74">
        <f t="shared" si="4718"/>
        <v>2500</v>
      </c>
      <c r="GY134" s="74">
        <f t="shared" si="4718"/>
        <v>0</v>
      </c>
      <c r="GZ134" s="74">
        <f t="shared" si="4718"/>
        <v>0</v>
      </c>
      <c r="HA134" s="74">
        <f t="shared" si="4718"/>
        <v>0</v>
      </c>
      <c r="HB134" s="74">
        <f t="shared" si="4718"/>
        <v>0</v>
      </c>
      <c r="HC134" s="74">
        <f t="shared" si="4718"/>
        <v>0</v>
      </c>
      <c r="HD134" s="74">
        <f t="shared" si="4718"/>
        <v>0</v>
      </c>
      <c r="HE134" s="74">
        <f t="shared" si="4718"/>
        <v>0</v>
      </c>
      <c r="HF134" s="74">
        <f t="shared" si="4718"/>
        <v>0</v>
      </c>
      <c r="HG134" s="74">
        <f t="shared" si="4718"/>
        <v>1000</v>
      </c>
      <c r="HH134" s="74">
        <f t="shared" si="4718"/>
        <v>2500</v>
      </c>
      <c r="HI134" s="74">
        <f t="shared" si="4718"/>
        <v>0</v>
      </c>
      <c r="HJ134" s="74">
        <f t="shared" si="4718"/>
        <v>0</v>
      </c>
      <c r="HK134" s="74">
        <f t="shared" si="4718"/>
        <v>0</v>
      </c>
      <c r="HL134" s="74">
        <f t="shared" ref="HL134:JT134" si="4719">HL467</f>
        <v>-1000</v>
      </c>
      <c r="HM134" s="74">
        <f t="shared" si="4719"/>
        <v>0</v>
      </c>
      <c r="HN134" s="74">
        <f t="shared" si="4719"/>
        <v>0</v>
      </c>
      <c r="HO134" s="74">
        <f t="shared" si="4719"/>
        <v>0</v>
      </c>
      <c r="HP134" s="74">
        <f t="shared" si="4719"/>
        <v>0</v>
      </c>
      <c r="HQ134" s="74">
        <f t="shared" si="4719"/>
        <v>0</v>
      </c>
      <c r="HR134" s="74">
        <f t="shared" si="4719"/>
        <v>0</v>
      </c>
      <c r="HS134" s="74">
        <f t="shared" si="4719"/>
        <v>0</v>
      </c>
      <c r="HT134" s="74">
        <f t="shared" si="4719"/>
        <v>-500</v>
      </c>
      <c r="HU134" s="74">
        <f t="shared" si="4719"/>
        <v>0</v>
      </c>
      <c r="HV134" s="74">
        <f t="shared" si="4719"/>
        <v>0</v>
      </c>
      <c r="HW134" s="74">
        <f t="shared" si="4719"/>
        <v>0</v>
      </c>
      <c r="HX134" s="74">
        <f t="shared" si="4719"/>
        <v>0</v>
      </c>
      <c r="HY134" s="74">
        <f t="shared" si="4719"/>
        <v>0</v>
      </c>
      <c r="HZ134" s="74">
        <f t="shared" si="4719"/>
        <v>0</v>
      </c>
      <c r="IA134" s="74">
        <f t="shared" si="4719"/>
        <v>0</v>
      </c>
      <c r="IB134" s="74">
        <f t="shared" si="4719"/>
        <v>0</v>
      </c>
      <c r="IC134" s="74">
        <f t="shared" si="4719"/>
        <v>0</v>
      </c>
      <c r="ID134" s="74">
        <f t="shared" si="4719"/>
        <v>0</v>
      </c>
      <c r="IE134" s="792">
        <f t="shared" si="4719"/>
        <v>0</v>
      </c>
      <c r="IF134" s="841">
        <f t="shared" si="4719"/>
        <v>944.47</v>
      </c>
      <c r="IG134" s="263">
        <f t="shared" si="4719"/>
        <v>944.47</v>
      </c>
      <c r="IH134" s="842">
        <f t="shared" si="4719"/>
        <v>944.47</v>
      </c>
      <c r="II134" s="155">
        <f t="shared" si="4719"/>
        <v>0</v>
      </c>
      <c r="IJ134" s="74">
        <f t="shared" si="4719"/>
        <v>0</v>
      </c>
      <c r="IK134" s="74">
        <f t="shared" si="4719"/>
        <v>0</v>
      </c>
      <c r="IL134" s="74">
        <f t="shared" si="4719"/>
        <v>0</v>
      </c>
      <c r="IM134" s="74">
        <f t="shared" si="4719"/>
        <v>0</v>
      </c>
      <c r="IN134" s="74">
        <f t="shared" si="4719"/>
        <v>0</v>
      </c>
      <c r="IO134" s="74">
        <f t="shared" si="4719"/>
        <v>0</v>
      </c>
      <c r="IP134" s="74">
        <f t="shared" si="4719"/>
        <v>0</v>
      </c>
      <c r="IQ134" s="74">
        <f t="shared" si="4719"/>
        <v>0</v>
      </c>
      <c r="IR134" s="74">
        <f t="shared" si="4719"/>
        <v>60</v>
      </c>
      <c r="IS134" s="74">
        <f t="shared" si="4719"/>
        <v>60</v>
      </c>
      <c r="IT134" s="74">
        <f t="shared" si="4719"/>
        <v>60</v>
      </c>
      <c r="IU134" s="74">
        <f t="shared" si="4719"/>
        <v>0</v>
      </c>
      <c r="IV134" s="74">
        <f t="shared" si="4719"/>
        <v>0</v>
      </c>
      <c r="IW134" s="74">
        <f t="shared" si="4719"/>
        <v>0</v>
      </c>
      <c r="IX134" s="74">
        <f t="shared" si="4719"/>
        <v>30</v>
      </c>
      <c r="IY134" s="74">
        <f t="shared" si="4719"/>
        <v>30</v>
      </c>
      <c r="IZ134" s="74">
        <f t="shared" si="4719"/>
        <v>30</v>
      </c>
      <c r="JA134" s="74">
        <f t="shared" si="4719"/>
        <v>358.77</v>
      </c>
      <c r="JB134" s="74">
        <f t="shared" si="4719"/>
        <v>358.77</v>
      </c>
      <c r="JC134" s="74">
        <f t="shared" si="4719"/>
        <v>358.77</v>
      </c>
      <c r="JD134" s="74">
        <f t="shared" si="4719"/>
        <v>418.09000000000003</v>
      </c>
      <c r="JE134" s="74">
        <f t="shared" si="4719"/>
        <v>418.09000000000003</v>
      </c>
      <c r="JF134" s="74">
        <f t="shared" si="4719"/>
        <v>418.09000000000003</v>
      </c>
      <c r="JG134" s="74">
        <f t="shared" si="4719"/>
        <v>0</v>
      </c>
      <c r="JH134" s="74">
        <f t="shared" si="4719"/>
        <v>0</v>
      </c>
      <c r="JI134" s="74">
        <f t="shared" si="4719"/>
        <v>0</v>
      </c>
      <c r="JJ134" s="74">
        <f t="shared" si="4719"/>
        <v>77.610000000000014</v>
      </c>
      <c r="JK134" s="74">
        <f t="shared" si="4719"/>
        <v>77.610000000000014</v>
      </c>
      <c r="JL134" s="74">
        <f t="shared" si="4719"/>
        <v>77.610000000000014</v>
      </c>
      <c r="JM134" s="74">
        <f t="shared" si="4719"/>
        <v>0</v>
      </c>
      <c r="JN134" s="74">
        <f t="shared" si="4719"/>
        <v>0</v>
      </c>
      <c r="JO134" s="74">
        <f t="shared" si="4719"/>
        <v>0</v>
      </c>
      <c r="JP134" s="74">
        <f t="shared" si="4719"/>
        <v>0</v>
      </c>
      <c r="JQ134" s="74">
        <f t="shared" si="4719"/>
        <v>0</v>
      </c>
      <c r="JR134" s="74">
        <f t="shared" si="4719"/>
        <v>0</v>
      </c>
      <c r="JS134" s="74">
        <f t="shared" si="4719"/>
        <v>55.529999999999973</v>
      </c>
      <c r="JT134" s="102">
        <f t="shared" si="4719"/>
        <v>55.529999999999973</v>
      </c>
      <c r="JU134" s="671"/>
      <c r="JV134" s="492"/>
      <c r="JW134" s="490"/>
      <c r="JX134" s="549">
        <f t="shared" si="4652"/>
        <v>1000</v>
      </c>
      <c r="JY134" s="549">
        <f t="shared" si="4652"/>
        <v>0</v>
      </c>
      <c r="JZ134" s="581">
        <f t="shared" si="2110"/>
        <v>0</v>
      </c>
      <c r="KA134" s="581">
        <f t="shared" si="2111"/>
        <v>-4000</v>
      </c>
      <c r="KB134" s="549">
        <f t="shared" si="4652"/>
        <v>1000</v>
      </c>
      <c r="KC134" s="709">
        <f t="shared" si="2079"/>
        <v>0</v>
      </c>
      <c r="KD134" s="36"/>
      <c r="KE134" s="36"/>
      <c r="KF134" s="36"/>
      <c r="KG134" s="36"/>
      <c r="KH134" s="36"/>
      <c r="KI134" s="36"/>
      <c r="KJ134" s="36"/>
      <c r="KK134" s="36"/>
    </row>
    <row r="135" spans="1:297" s="8" customFormat="1" ht="12.75" hidden="1" customHeight="1">
      <c r="A135" s="262" t="s">
        <v>1125</v>
      </c>
      <c r="B135" s="72"/>
      <c r="C135" s="74">
        <f>C468</f>
        <v>0</v>
      </c>
      <c r="D135" s="549"/>
      <c r="E135" s="675"/>
      <c r="F135" s="549"/>
      <c r="G135" s="675"/>
      <c r="H135" s="549"/>
      <c r="I135" s="675"/>
      <c r="J135" s="549"/>
      <c r="K135" s="675"/>
      <c r="L135" s="549"/>
      <c r="M135" s="675"/>
      <c r="N135" s="549"/>
      <c r="O135" s="675"/>
      <c r="P135" s="549"/>
      <c r="Q135" s="675"/>
      <c r="R135" s="549"/>
      <c r="S135" s="675"/>
      <c r="T135" s="549"/>
      <c r="U135" s="675"/>
      <c r="V135" s="549"/>
      <c r="W135" s="675"/>
      <c r="X135" s="549"/>
      <c r="Y135" s="675"/>
      <c r="Z135" s="549"/>
      <c r="AA135" s="675"/>
      <c r="AB135" s="549"/>
      <c r="AC135" s="675"/>
      <c r="AD135" s="549"/>
      <c r="AE135" s="675"/>
      <c r="AF135" s="549"/>
      <c r="AG135" s="675"/>
      <c r="AH135" s="549"/>
      <c r="AI135" s="675"/>
      <c r="AJ135" s="549"/>
      <c r="AK135" s="675"/>
      <c r="AL135" s="549"/>
      <c r="AM135" s="675"/>
      <c r="AN135" s="549"/>
      <c r="AO135" s="675"/>
      <c r="AP135" s="549"/>
      <c r="AQ135" s="675"/>
      <c r="AR135" s="549"/>
      <c r="AS135" s="675"/>
      <c r="AT135" s="549"/>
      <c r="AU135" s="675"/>
      <c r="AV135" s="549"/>
      <c r="AW135" s="675"/>
      <c r="AX135" s="549"/>
      <c r="AY135" s="675"/>
      <c r="AZ135" s="549"/>
      <c r="BA135" s="675"/>
      <c r="BB135" s="549"/>
      <c r="BC135" s="675"/>
      <c r="BD135" s="549"/>
      <c r="BE135" s="675"/>
      <c r="BF135" s="549"/>
      <c r="BG135" s="675"/>
      <c r="BH135" s="549"/>
      <c r="BI135" s="675"/>
      <c r="BJ135" s="549"/>
      <c r="BK135" s="675"/>
      <c r="BL135" s="549"/>
      <c r="BM135" s="675"/>
      <c r="BN135" s="549"/>
      <c r="BO135" s="675"/>
      <c r="BP135" s="549"/>
      <c r="BQ135" s="675"/>
      <c r="BR135" s="549"/>
      <c r="BS135" s="675"/>
      <c r="BT135" s="549"/>
      <c r="BU135" s="675"/>
      <c r="BV135" s="549"/>
      <c r="BW135" s="675"/>
      <c r="BX135" s="549"/>
      <c r="BY135" s="675"/>
      <c r="BZ135" s="549"/>
      <c r="CA135" s="675"/>
      <c r="CB135" s="549"/>
      <c r="CC135" s="675"/>
      <c r="CD135" s="549"/>
      <c r="CE135" s="675"/>
      <c r="CF135" s="549"/>
      <c r="CG135" s="675"/>
      <c r="CH135" s="549"/>
      <c r="CI135" s="675"/>
      <c r="CJ135" s="549"/>
      <c r="CK135" s="675"/>
      <c r="CL135" s="549"/>
      <c r="CM135" s="675"/>
      <c r="CN135" s="549"/>
      <c r="CO135" s="675"/>
      <c r="CP135" s="549"/>
      <c r="CQ135" s="675"/>
      <c r="CR135" s="549"/>
      <c r="CS135" s="675"/>
      <c r="CT135" s="549"/>
      <c r="CU135" s="675"/>
      <c r="CV135" s="549"/>
      <c r="CW135" s="675"/>
      <c r="CX135" s="549"/>
      <c r="CY135" s="675"/>
      <c r="CZ135" s="549"/>
      <c r="DA135" s="675"/>
      <c r="DB135" s="549"/>
      <c r="DC135" s="675"/>
      <c r="DD135" s="549"/>
      <c r="DE135" s="675"/>
      <c r="DF135" s="549"/>
      <c r="DG135" s="675"/>
      <c r="DH135" s="549"/>
      <c r="DI135" s="675"/>
      <c r="DJ135" s="549"/>
      <c r="DK135" s="675"/>
      <c r="DL135" s="549"/>
      <c r="DM135" s="675"/>
      <c r="DN135" s="549"/>
      <c r="DO135" s="675"/>
      <c r="DP135" s="549"/>
      <c r="DQ135" s="675"/>
      <c r="DR135" s="549"/>
      <c r="DS135" s="675"/>
      <c r="DT135" s="549"/>
      <c r="DU135" s="675"/>
      <c r="DV135" s="549"/>
      <c r="DW135" s="675"/>
      <c r="DX135" s="549"/>
      <c r="DY135" s="675"/>
      <c r="DZ135" s="549"/>
      <c r="EA135" s="675"/>
      <c r="EB135" s="549"/>
      <c r="EC135" s="675"/>
      <c r="ED135" s="549"/>
      <c r="EE135" s="675"/>
      <c r="EF135" s="549"/>
      <c r="EG135" s="675"/>
      <c r="EH135" s="549"/>
      <c r="EI135" s="675"/>
      <c r="EJ135" s="549"/>
      <c r="EK135" s="675"/>
      <c r="EL135" s="549"/>
      <c r="EM135" s="675"/>
      <c r="EN135" s="549"/>
      <c r="EO135" s="675"/>
      <c r="EP135" s="549"/>
      <c r="EQ135" s="675"/>
      <c r="ER135" s="549"/>
      <c r="ES135" s="675"/>
      <c r="ET135" s="549"/>
      <c r="EU135" s="675"/>
      <c r="EV135" s="549"/>
      <c r="EW135" s="675"/>
      <c r="EX135" s="549"/>
      <c r="EY135" s="675"/>
      <c r="EZ135" s="549"/>
      <c r="FA135" s="675"/>
      <c r="FB135" s="549"/>
      <c r="FC135" s="675"/>
      <c r="FD135" s="549"/>
      <c r="FE135" s="675"/>
      <c r="FF135" s="549"/>
      <c r="FG135" s="675"/>
      <c r="FH135" s="549"/>
      <c r="FI135" s="675"/>
      <c r="FJ135" s="549"/>
      <c r="FK135" s="675"/>
      <c r="FL135" s="549"/>
      <c r="FM135" s="675"/>
      <c r="FN135" s="549"/>
      <c r="FO135" s="675"/>
      <c r="FP135" s="549"/>
      <c r="FQ135" s="675"/>
      <c r="FR135" s="549"/>
      <c r="FS135" s="675"/>
      <c r="FT135" s="549"/>
      <c r="FU135" s="675"/>
      <c r="FV135" s="549"/>
      <c r="FW135" s="675"/>
      <c r="FX135" s="549"/>
      <c r="FY135" s="675"/>
      <c r="FZ135" s="549"/>
      <c r="GA135" s="675"/>
      <c r="GB135" s="549"/>
      <c r="GC135" s="675"/>
      <c r="GD135" s="549"/>
      <c r="GE135" s="675"/>
      <c r="GF135" s="549"/>
      <c r="GG135" s="675"/>
      <c r="GH135" s="549"/>
      <c r="GI135" s="675"/>
      <c r="GJ135" s="549"/>
      <c r="GK135" s="675"/>
      <c r="GL135" s="549"/>
      <c r="GM135" s="675"/>
      <c r="GN135" s="549"/>
      <c r="GO135" s="675"/>
      <c r="GP135" s="74">
        <f t="shared" ref="GP135:JA135" si="4720">GP468</f>
        <v>0</v>
      </c>
      <c r="GQ135" s="675">
        <f t="shared" si="4720"/>
        <v>0</v>
      </c>
      <c r="GR135" s="74">
        <f t="shared" si="4720"/>
        <v>0</v>
      </c>
      <c r="GS135" s="74">
        <f t="shared" si="4720"/>
        <v>0</v>
      </c>
      <c r="GT135" s="549">
        <f t="shared" si="4720"/>
        <v>0</v>
      </c>
      <c r="GU135" s="74">
        <f t="shared" si="4720"/>
        <v>0</v>
      </c>
      <c r="GV135" s="74">
        <f t="shared" si="4720"/>
        <v>0</v>
      </c>
      <c r="GW135" s="74">
        <f t="shared" si="4720"/>
        <v>0</v>
      </c>
      <c r="GX135" s="74">
        <f t="shared" si="4720"/>
        <v>0</v>
      </c>
      <c r="GY135" s="74">
        <f t="shared" si="4720"/>
        <v>0</v>
      </c>
      <c r="GZ135" s="74">
        <f t="shared" si="4720"/>
        <v>0</v>
      </c>
      <c r="HA135" s="74">
        <f t="shared" si="4720"/>
        <v>0</v>
      </c>
      <c r="HB135" s="74">
        <f t="shared" si="4720"/>
        <v>0</v>
      </c>
      <c r="HC135" s="74">
        <f t="shared" si="4720"/>
        <v>0</v>
      </c>
      <c r="HD135" s="74">
        <f t="shared" si="4720"/>
        <v>0</v>
      </c>
      <c r="HE135" s="74">
        <f t="shared" si="4720"/>
        <v>0</v>
      </c>
      <c r="HF135" s="74">
        <f t="shared" si="4720"/>
        <v>0</v>
      </c>
      <c r="HG135" s="74">
        <f t="shared" si="4720"/>
        <v>0</v>
      </c>
      <c r="HH135" s="74">
        <f t="shared" si="4720"/>
        <v>0</v>
      </c>
      <c r="HI135" s="74">
        <f t="shared" si="4720"/>
        <v>0</v>
      </c>
      <c r="HJ135" s="74">
        <f t="shared" si="4720"/>
        <v>0</v>
      </c>
      <c r="HK135" s="74">
        <f t="shared" si="4720"/>
        <v>0</v>
      </c>
      <c r="HL135" s="74">
        <f t="shared" si="4720"/>
        <v>0</v>
      </c>
      <c r="HM135" s="74">
        <f t="shared" si="4720"/>
        <v>0</v>
      </c>
      <c r="HN135" s="74">
        <f t="shared" si="4720"/>
        <v>0</v>
      </c>
      <c r="HO135" s="74">
        <f t="shared" si="4720"/>
        <v>0</v>
      </c>
      <c r="HP135" s="74">
        <f t="shared" si="4720"/>
        <v>0</v>
      </c>
      <c r="HQ135" s="74">
        <f t="shared" si="4720"/>
        <v>0</v>
      </c>
      <c r="HR135" s="74">
        <f t="shared" si="4720"/>
        <v>0</v>
      </c>
      <c r="HS135" s="74">
        <f t="shared" si="4720"/>
        <v>0</v>
      </c>
      <c r="HT135" s="74">
        <f t="shared" si="4720"/>
        <v>0</v>
      </c>
      <c r="HU135" s="74">
        <f t="shared" si="4720"/>
        <v>0</v>
      </c>
      <c r="HV135" s="74">
        <f t="shared" si="4720"/>
        <v>0</v>
      </c>
      <c r="HW135" s="74">
        <f t="shared" si="4720"/>
        <v>0</v>
      </c>
      <c r="HX135" s="74">
        <f t="shared" si="4720"/>
        <v>0</v>
      </c>
      <c r="HY135" s="74">
        <f t="shared" si="4720"/>
        <v>0</v>
      </c>
      <c r="HZ135" s="74">
        <f t="shared" si="4720"/>
        <v>0</v>
      </c>
      <c r="IA135" s="74">
        <f t="shared" si="4720"/>
        <v>0</v>
      </c>
      <c r="IB135" s="74">
        <f t="shared" si="4720"/>
        <v>0</v>
      </c>
      <c r="IC135" s="74">
        <f t="shared" si="4720"/>
        <v>0</v>
      </c>
      <c r="ID135" s="74">
        <f t="shared" si="4720"/>
        <v>0</v>
      </c>
      <c r="IE135" s="792">
        <f t="shared" si="4720"/>
        <v>0</v>
      </c>
      <c r="IF135" s="853">
        <f t="shared" si="4720"/>
        <v>0</v>
      </c>
      <c r="IG135" s="74">
        <f t="shared" si="4720"/>
        <v>0</v>
      </c>
      <c r="IH135" s="575">
        <f t="shared" si="4720"/>
        <v>0</v>
      </c>
      <c r="II135" s="155">
        <f t="shared" si="4720"/>
        <v>0</v>
      </c>
      <c r="IJ135" s="74">
        <f t="shared" si="4720"/>
        <v>0</v>
      </c>
      <c r="IK135" s="74">
        <f t="shared" si="4720"/>
        <v>0</v>
      </c>
      <c r="IL135" s="74">
        <f t="shared" si="4720"/>
        <v>0</v>
      </c>
      <c r="IM135" s="74">
        <f t="shared" si="4720"/>
        <v>0</v>
      </c>
      <c r="IN135" s="74">
        <f t="shared" si="4720"/>
        <v>0</v>
      </c>
      <c r="IO135" s="74">
        <f t="shared" si="4720"/>
        <v>0</v>
      </c>
      <c r="IP135" s="74">
        <f t="shared" si="4720"/>
        <v>0</v>
      </c>
      <c r="IQ135" s="74">
        <f t="shared" si="4720"/>
        <v>0</v>
      </c>
      <c r="IR135" s="74">
        <f t="shared" si="4720"/>
        <v>0</v>
      </c>
      <c r="IS135" s="74">
        <f t="shared" si="4720"/>
        <v>0</v>
      </c>
      <c r="IT135" s="74">
        <f t="shared" si="4720"/>
        <v>0</v>
      </c>
      <c r="IU135" s="74">
        <f t="shared" si="4720"/>
        <v>0</v>
      </c>
      <c r="IV135" s="74">
        <f t="shared" si="4720"/>
        <v>0</v>
      </c>
      <c r="IW135" s="74">
        <f t="shared" si="4720"/>
        <v>0</v>
      </c>
      <c r="IX135" s="74">
        <f t="shared" si="4720"/>
        <v>0</v>
      </c>
      <c r="IY135" s="74">
        <f t="shared" si="4720"/>
        <v>0</v>
      </c>
      <c r="IZ135" s="74">
        <f t="shared" si="4720"/>
        <v>0</v>
      </c>
      <c r="JA135" s="74">
        <f t="shared" si="4720"/>
        <v>0</v>
      </c>
      <c r="JB135" s="74">
        <f t="shared" ref="JB135:JT135" si="4721">JB468</f>
        <v>0</v>
      </c>
      <c r="JC135" s="74">
        <f t="shared" si="4721"/>
        <v>0</v>
      </c>
      <c r="JD135" s="74">
        <f t="shared" si="4721"/>
        <v>0</v>
      </c>
      <c r="JE135" s="74">
        <f t="shared" si="4721"/>
        <v>0</v>
      </c>
      <c r="JF135" s="74">
        <f t="shared" si="4721"/>
        <v>0</v>
      </c>
      <c r="JG135" s="74">
        <f t="shared" si="4721"/>
        <v>0</v>
      </c>
      <c r="JH135" s="74">
        <f t="shared" si="4721"/>
        <v>0</v>
      </c>
      <c r="JI135" s="74">
        <f t="shared" si="4721"/>
        <v>0</v>
      </c>
      <c r="JJ135" s="74">
        <f t="shared" si="4721"/>
        <v>0</v>
      </c>
      <c r="JK135" s="74">
        <f t="shared" si="4721"/>
        <v>0</v>
      </c>
      <c r="JL135" s="74">
        <f t="shared" si="4721"/>
        <v>0</v>
      </c>
      <c r="JM135" s="74">
        <f t="shared" si="4721"/>
        <v>0</v>
      </c>
      <c r="JN135" s="74">
        <f t="shared" si="4721"/>
        <v>0</v>
      </c>
      <c r="JO135" s="74">
        <f t="shared" si="4721"/>
        <v>0</v>
      </c>
      <c r="JP135" s="74">
        <f t="shared" si="4721"/>
        <v>0</v>
      </c>
      <c r="JQ135" s="74">
        <f t="shared" si="4721"/>
        <v>0</v>
      </c>
      <c r="JR135" s="74">
        <f t="shared" si="4721"/>
        <v>0</v>
      </c>
      <c r="JS135" s="74">
        <f t="shared" si="4721"/>
        <v>0</v>
      </c>
      <c r="JT135" s="74">
        <f t="shared" si="4721"/>
        <v>0</v>
      </c>
      <c r="JU135" s="671"/>
      <c r="JV135" s="492"/>
      <c r="JW135" s="490"/>
      <c r="JX135" s="549"/>
      <c r="JY135" s="549"/>
      <c r="JZ135" s="581"/>
      <c r="KA135" s="581"/>
      <c r="KB135" s="549"/>
      <c r="KC135" s="709"/>
      <c r="KD135" s="36"/>
      <c r="KE135" s="36"/>
      <c r="KF135" s="36"/>
      <c r="KG135" s="36"/>
      <c r="KH135" s="36"/>
      <c r="KI135" s="36"/>
      <c r="KJ135" s="36"/>
      <c r="KK135" s="36"/>
    </row>
    <row r="136" spans="1:297" s="8" customFormat="1" ht="12.75" hidden="1" customHeight="1">
      <c r="A136" s="262" t="s">
        <v>1126</v>
      </c>
      <c r="B136" s="72"/>
      <c r="C136" s="74">
        <f>C469</f>
        <v>0</v>
      </c>
      <c r="D136" s="549"/>
      <c r="E136" s="675"/>
      <c r="F136" s="549"/>
      <c r="G136" s="675"/>
      <c r="H136" s="549"/>
      <c r="I136" s="675"/>
      <c r="J136" s="549"/>
      <c r="K136" s="675"/>
      <c r="L136" s="549"/>
      <c r="M136" s="675"/>
      <c r="N136" s="549"/>
      <c r="O136" s="675"/>
      <c r="P136" s="549"/>
      <c r="Q136" s="675"/>
      <c r="R136" s="549"/>
      <c r="S136" s="675"/>
      <c r="T136" s="549"/>
      <c r="U136" s="675"/>
      <c r="V136" s="549"/>
      <c r="W136" s="675"/>
      <c r="X136" s="549"/>
      <c r="Y136" s="675"/>
      <c r="Z136" s="549"/>
      <c r="AA136" s="675"/>
      <c r="AB136" s="549"/>
      <c r="AC136" s="675"/>
      <c r="AD136" s="549"/>
      <c r="AE136" s="675"/>
      <c r="AF136" s="549"/>
      <c r="AG136" s="675"/>
      <c r="AH136" s="549"/>
      <c r="AI136" s="675"/>
      <c r="AJ136" s="549"/>
      <c r="AK136" s="675"/>
      <c r="AL136" s="549"/>
      <c r="AM136" s="675"/>
      <c r="AN136" s="549"/>
      <c r="AO136" s="675"/>
      <c r="AP136" s="549"/>
      <c r="AQ136" s="675"/>
      <c r="AR136" s="549"/>
      <c r="AS136" s="675"/>
      <c r="AT136" s="549"/>
      <c r="AU136" s="675"/>
      <c r="AV136" s="549"/>
      <c r="AW136" s="675"/>
      <c r="AX136" s="549"/>
      <c r="AY136" s="675"/>
      <c r="AZ136" s="549"/>
      <c r="BA136" s="675"/>
      <c r="BB136" s="549"/>
      <c r="BC136" s="675"/>
      <c r="BD136" s="549"/>
      <c r="BE136" s="675"/>
      <c r="BF136" s="549"/>
      <c r="BG136" s="675"/>
      <c r="BH136" s="549"/>
      <c r="BI136" s="675"/>
      <c r="BJ136" s="549"/>
      <c r="BK136" s="675"/>
      <c r="BL136" s="549"/>
      <c r="BM136" s="675"/>
      <c r="BN136" s="549"/>
      <c r="BO136" s="675"/>
      <c r="BP136" s="549"/>
      <c r="BQ136" s="675"/>
      <c r="BR136" s="549"/>
      <c r="BS136" s="675"/>
      <c r="BT136" s="549"/>
      <c r="BU136" s="675"/>
      <c r="BV136" s="549"/>
      <c r="BW136" s="675"/>
      <c r="BX136" s="549"/>
      <c r="BY136" s="675"/>
      <c r="BZ136" s="549"/>
      <c r="CA136" s="675"/>
      <c r="CB136" s="549"/>
      <c r="CC136" s="675"/>
      <c r="CD136" s="549"/>
      <c r="CE136" s="675"/>
      <c r="CF136" s="549"/>
      <c r="CG136" s="675"/>
      <c r="CH136" s="549"/>
      <c r="CI136" s="675"/>
      <c r="CJ136" s="549"/>
      <c r="CK136" s="675"/>
      <c r="CL136" s="549"/>
      <c r="CM136" s="675"/>
      <c r="CN136" s="549"/>
      <c r="CO136" s="675"/>
      <c r="CP136" s="549"/>
      <c r="CQ136" s="675"/>
      <c r="CR136" s="549"/>
      <c r="CS136" s="675"/>
      <c r="CT136" s="549"/>
      <c r="CU136" s="675"/>
      <c r="CV136" s="549"/>
      <c r="CW136" s="675"/>
      <c r="CX136" s="549"/>
      <c r="CY136" s="675"/>
      <c r="CZ136" s="549"/>
      <c r="DA136" s="675"/>
      <c r="DB136" s="549"/>
      <c r="DC136" s="675"/>
      <c r="DD136" s="549"/>
      <c r="DE136" s="675"/>
      <c r="DF136" s="549"/>
      <c r="DG136" s="675"/>
      <c r="DH136" s="549"/>
      <c r="DI136" s="675"/>
      <c r="DJ136" s="549"/>
      <c r="DK136" s="675"/>
      <c r="DL136" s="549"/>
      <c r="DM136" s="675"/>
      <c r="DN136" s="549"/>
      <c r="DO136" s="675"/>
      <c r="DP136" s="549"/>
      <c r="DQ136" s="675"/>
      <c r="DR136" s="549"/>
      <c r="DS136" s="675"/>
      <c r="DT136" s="549"/>
      <c r="DU136" s="675"/>
      <c r="DV136" s="549"/>
      <c r="DW136" s="675"/>
      <c r="DX136" s="549"/>
      <c r="DY136" s="675"/>
      <c r="DZ136" s="549"/>
      <c r="EA136" s="675"/>
      <c r="EB136" s="549"/>
      <c r="EC136" s="675"/>
      <c r="ED136" s="549"/>
      <c r="EE136" s="675"/>
      <c r="EF136" s="549"/>
      <c r="EG136" s="675"/>
      <c r="EH136" s="549"/>
      <c r="EI136" s="675"/>
      <c r="EJ136" s="549"/>
      <c r="EK136" s="675"/>
      <c r="EL136" s="549"/>
      <c r="EM136" s="675"/>
      <c r="EN136" s="549"/>
      <c r="EO136" s="675"/>
      <c r="EP136" s="549"/>
      <c r="EQ136" s="675"/>
      <c r="ER136" s="549"/>
      <c r="ES136" s="675"/>
      <c r="ET136" s="549"/>
      <c r="EU136" s="675"/>
      <c r="EV136" s="549"/>
      <c r="EW136" s="675"/>
      <c r="EX136" s="549"/>
      <c r="EY136" s="675"/>
      <c r="EZ136" s="549"/>
      <c r="FA136" s="675"/>
      <c r="FB136" s="549"/>
      <c r="FC136" s="675"/>
      <c r="FD136" s="549"/>
      <c r="FE136" s="675"/>
      <c r="FF136" s="549"/>
      <c r="FG136" s="675"/>
      <c r="FH136" s="549"/>
      <c r="FI136" s="675"/>
      <c r="FJ136" s="549"/>
      <c r="FK136" s="675"/>
      <c r="FL136" s="549"/>
      <c r="FM136" s="675"/>
      <c r="FN136" s="549"/>
      <c r="FO136" s="675"/>
      <c r="FP136" s="549"/>
      <c r="FQ136" s="675"/>
      <c r="FR136" s="549"/>
      <c r="FS136" s="675"/>
      <c r="FT136" s="549"/>
      <c r="FU136" s="675"/>
      <c r="FV136" s="549"/>
      <c r="FW136" s="675"/>
      <c r="FX136" s="549"/>
      <c r="FY136" s="675"/>
      <c r="FZ136" s="549"/>
      <c r="GA136" s="675"/>
      <c r="GB136" s="549"/>
      <c r="GC136" s="675"/>
      <c r="GD136" s="549"/>
      <c r="GE136" s="675"/>
      <c r="GF136" s="549"/>
      <c r="GG136" s="675"/>
      <c r="GH136" s="549"/>
      <c r="GI136" s="675"/>
      <c r="GJ136" s="549"/>
      <c r="GK136" s="675"/>
      <c r="GL136" s="549"/>
      <c r="GM136" s="675"/>
      <c r="GN136" s="549"/>
      <c r="GO136" s="675"/>
      <c r="GP136" s="74">
        <f t="shared" ref="GP136:JA136" si="4722">GP469</f>
        <v>0</v>
      </c>
      <c r="GQ136" s="675">
        <f t="shared" si="4722"/>
        <v>0</v>
      </c>
      <c r="GR136" s="74">
        <f t="shared" si="4722"/>
        <v>0</v>
      </c>
      <c r="GS136" s="74">
        <f t="shared" si="4722"/>
        <v>0</v>
      </c>
      <c r="GT136" s="549">
        <f t="shared" si="4722"/>
        <v>0</v>
      </c>
      <c r="GU136" s="74">
        <f t="shared" si="4722"/>
        <v>0</v>
      </c>
      <c r="GV136" s="74">
        <f t="shared" si="4722"/>
        <v>0</v>
      </c>
      <c r="GW136" s="74">
        <f t="shared" si="4722"/>
        <v>0</v>
      </c>
      <c r="GX136" s="74">
        <f t="shared" si="4722"/>
        <v>0</v>
      </c>
      <c r="GY136" s="74">
        <f t="shared" si="4722"/>
        <v>0</v>
      </c>
      <c r="GZ136" s="74">
        <f t="shared" si="4722"/>
        <v>0</v>
      </c>
      <c r="HA136" s="74">
        <f t="shared" si="4722"/>
        <v>0</v>
      </c>
      <c r="HB136" s="74">
        <f t="shared" si="4722"/>
        <v>0</v>
      </c>
      <c r="HC136" s="74">
        <f t="shared" si="4722"/>
        <v>0</v>
      </c>
      <c r="HD136" s="74">
        <f t="shared" si="4722"/>
        <v>0</v>
      </c>
      <c r="HE136" s="74">
        <f t="shared" si="4722"/>
        <v>0</v>
      </c>
      <c r="HF136" s="74">
        <f t="shared" si="4722"/>
        <v>0</v>
      </c>
      <c r="HG136" s="74">
        <f t="shared" si="4722"/>
        <v>0</v>
      </c>
      <c r="HH136" s="74">
        <f t="shared" si="4722"/>
        <v>0</v>
      </c>
      <c r="HI136" s="74">
        <f t="shared" si="4722"/>
        <v>0</v>
      </c>
      <c r="HJ136" s="74">
        <f t="shared" si="4722"/>
        <v>0</v>
      </c>
      <c r="HK136" s="74">
        <f t="shared" si="4722"/>
        <v>0</v>
      </c>
      <c r="HL136" s="74">
        <f t="shared" si="4722"/>
        <v>0</v>
      </c>
      <c r="HM136" s="74">
        <f t="shared" si="4722"/>
        <v>0</v>
      </c>
      <c r="HN136" s="74">
        <f t="shared" si="4722"/>
        <v>0</v>
      </c>
      <c r="HO136" s="74">
        <f t="shared" si="4722"/>
        <v>0</v>
      </c>
      <c r="HP136" s="74">
        <f t="shared" si="4722"/>
        <v>0</v>
      </c>
      <c r="HQ136" s="74">
        <f t="shared" si="4722"/>
        <v>0</v>
      </c>
      <c r="HR136" s="74">
        <f t="shared" si="4722"/>
        <v>0</v>
      </c>
      <c r="HS136" s="74">
        <f t="shared" si="4722"/>
        <v>0</v>
      </c>
      <c r="HT136" s="74">
        <f t="shared" si="4722"/>
        <v>0</v>
      </c>
      <c r="HU136" s="74">
        <f t="shared" si="4722"/>
        <v>0</v>
      </c>
      <c r="HV136" s="74">
        <f t="shared" si="4722"/>
        <v>0</v>
      </c>
      <c r="HW136" s="74">
        <f t="shared" si="4722"/>
        <v>0</v>
      </c>
      <c r="HX136" s="74">
        <f t="shared" si="4722"/>
        <v>0</v>
      </c>
      <c r="HY136" s="74">
        <f t="shared" si="4722"/>
        <v>0</v>
      </c>
      <c r="HZ136" s="74">
        <f t="shared" si="4722"/>
        <v>0</v>
      </c>
      <c r="IA136" s="74">
        <f t="shared" si="4722"/>
        <v>0</v>
      </c>
      <c r="IB136" s="74">
        <f t="shared" si="4722"/>
        <v>0</v>
      </c>
      <c r="IC136" s="74">
        <f t="shared" si="4722"/>
        <v>0</v>
      </c>
      <c r="ID136" s="74">
        <f t="shared" si="4722"/>
        <v>0</v>
      </c>
      <c r="IE136" s="792">
        <f t="shared" si="4722"/>
        <v>0</v>
      </c>
      <c r="IF136" s="853">
        <f t="shared" si="4722"/>
        <v>0</v>
      </c>
      <c r="IG136" s="74">
        <f t="shared" si="4722"/>
        <v>0</v>
      </c>
      <c r="IH136" s="575">
        <f t="shared" si="4722"/>
        <v>0</v>
      </c>
      <c r="II136" s="155">
        <f t="shared" si="4722"/>
        <v>0</v>
      </c>
      <c r="IJ136" s="74">
        <f t="shared" si="4722"/>
        <v>0</v>
      </c>
      <c r="IK136" s="74">
        <f t="shared" si="4722"/>
        <v>0</v>
      </c>
      <c r="IL136" s="74">
        <f t="shared" si="4722"/>
        <v>0</v>
      </c>
      <c r="IM136" s="74">
        <f t="shared" si="4722"/>
        <v>0</v>
      </c>
      <c r="IN136" s="74">
        <f t="shared" si="4722"/>
        <v>0</v>
      </c>
      <c r="IO136" s="74">
        <f t="shared" si="4722"/>
        <v>0</v>
      </c>
      <c r="IP136" s="74">
        <f t="shared" si="4722"/>
        <v>0</v>
      </c>
      <c r="IQ136" s="74">
        <f t="shared" si="4722"/>
        <v>0</v>
      </c>
      <c r="IR136" s="74">
        <f t="shared" si="4722"/>
        <v>0</v>
      </c>
      <c r="IS136" s="74">
        <f t="shared" si="4722"/>
        <v>0</v>
      </c>
      <c r="IT136" s="74">
        <f t="shared" si="4722"/>
        <v>0</v>
      </c>
      <c r="IU136" s="74">
        <f t="shared" si="4722"/>
        <v>0</v>
      </c>
      <c r="IV136" s="74">
        <f t="shared" si="4722"/>
        <v>0</v>
      </c>
      <c r="IW136" s="74">
        <f t="shared" si="4722"/>
        <v>0</v>
      </c>
      <c r="IX136" s="74">
        <f t="shared" si="4722"/>
        <v>0</v>
      </c>
      <c r="IY136" s="74">
        <f t="shared" si="4722"/>
        <v>0</v>
      </c>
      <c r="IZ136" s="74">
        <f t="shared" si="4722"/>
        <v>0</v>
      </c>
      <c r="JA136" s="74">
        <f t="shared" si="4722"/>
        <v>0</v>
      </c>
      <c r="JB136" s="74">
        <f t="shared" ref="JB136:JT136" si="4723">JB469</f>
        <v>0</v>
      </c>
      <c r="JC136" s="74">
        <f t="shared" si="4723"/>
        <v>0</v>
      </c>
      <c r="JD136" s="74">
        <f t="shared" si="4723"/>
        <v>0</v>
      </c>
      <c r="JE136" s="74">
        <f t="shared" si="4723"/>
        <v>0</v>
      </c>
      <c r="JF136" s="74">
        <f t="shared" si="4723"/>
        <v>0</v>
      </c>
      <c r="JG136" s="74">
        <f t="shared" si="4723"/>
        <v>0</v>
      </c>
      <c r="JH136" s="74">
        <f t="shared" si="4723"/>
        <v>0</v>
      </c>
      <c r="JI136" s="74">
        <f t="shared" si="4723"/>
        <v>0</v>
      </c>
      <c r="JJ136" s="74">
        <f t="shared" si="4723"/>
        <v>0</v>
      </c>
      <c r="JK136" s="74">
        <f t="shared" si="4723"/>
        <v>0</v>
      </c>
      <c r="JL136" s="74">
        <f t="shared" si="4723"/>
        <v>0</v>
      </c>
      <c r="JM136" s="74">
        <f t="shared" si="4723"/>
        <v>0</v>
      </c>
      <c r="JN136" s="74">
        <f t="shared" si="4723"/>
        <v>0</v>
      </c>
      <c r="JO136" s="74">
        <f t="shared" si="4723"/>
        <v>0</v>
      </c>
      <c r="JP136" s="74">
        <f t="shared" si="4723"/>
        <v>0</v>
      </c>
      <c r="JQ136" s="74">
        <f t="shared" si="4723"/>
        <v>0</v>
      </c>
      <c r="JR136" s="74">
        <f t="shared" si="4723"/>
        <v>0</v>
      </c>
      <c r="JS136" s="74">
        <f t="shared" si="4723"/>
        <v>0</v>
      </c>
      <c r="JT136" s="74">
        <f t="shared" si="4723"/>
        <v>0</v>
      </c>
      <c r="JU136" s="671"/>
      <c r="JV136" s="492"/>
      <c r="JW136" s="490"/>
      <c r="JX136" s="549"/>
      <c r="JY136" s="549"/>
      <c r="JZ136" s="581"/>
      <c r="KA136" s="581"/>
      <c r="KB136" s="549"/>
      <c r="KC136" s="709"/>
      <c r="KD136" s="36"/>
      <c r="KE136" s="36"/>
      <c r="KF136" s="36"/>
      <c r="KG136" s="36"/>
      <c r="KH136" s="36"/>
      <c r="KI136" s="36"/>
      <c r="KJ136" s="36"/>
      <c r="KK136" s="36"/>
    </row>
    <row r="137" spans="1:297" s="8" customFormat="1">
      <c r="A137" s="75" t="s">
        <v>158</v>
      </c>
      <c r="B137" s="72" t="s">
        <v>159</v>
      </c>
      <c r="C137" s="74">
        <f t="shared" ref="C137:AS137" si="4724">C470</f>
        <v>21400</v>
      </c>
      <c r="D137" s="549">
        <f t="shared" si="4724"/>
        <v>0</v>
      </c>
      <c r="E137" s="675">
        <f t="shared" si="4724"/>
        <v>0</v>
      </c>
      <c r="F137" s="549">
        <f t="shared" si="4724"/>
        <v>0</v>
      </c>
      <c r="G137" s="675">
        <f t="shared" si="4724"/>
        <v>0</v>
      </c>
      <c r="H137" s="549">
        <f t="shared" si="4724"/>
        <v>0</v>
      </c>
      <c r="I137" s="675">
        <f t="shared" si="4724"/>
        <v>0</v>
      </c>
      <c r="J137" s="549">
        <f t="shared" si="4724"/>
        <v>0</v>
      </c>
      <c r="K137" s="675">
        <f t="shared" si="4724"/>
        <v>0</v>
      </c>
      <c r="L137" s="549">
        <f t="shared" si="4724"/>
        <v>0</v>
      </c>
      <c r="M137" s="675">
        <f t="shared" si="4724"/>
        <v>0</v>
      </c>
      <c r="N137" s="549">
        <f t="shared" si="4724"/>
        <v>0</v>
      </c>
      <c r="O137" s="675">
        <f t="shared" si="4724"/>
        <v>0</v>
      </c>
      <c r="P137" s="549">
        <f t="shared" si="4724"/>
        <v>0</v>
      </c>
      <c r="Q137" s="675">
        <f t="shared" si="4724"/>
        <v>0</v>
      </c>
      <c r="R137" s="549">
        <f t="shared" si="4724"/>
        <v>0</v>
      </c>
      <c r="S137" s="675">
        <f t="shared" si="4724"/>
        <v>0</v>
      </c>
      <c r="T137" s="549">
        <f t="shared" si="4724"/>
        <v>0</v>
      </c>
      <c r="U137" s="675">
        <f t="shared" si="4724"/>
        <v>0</v>
      </c>
      <c r="V137" s="549">
        <f t="shared" si="4724"/>
        <v>0</v>
      </c>
      <c r="W137" s="675">
        <f t="shared" si="4724"/>
        <v>0</v>
      </c>
      <c r="X137" s="549">
        <f t="shared" si="4724"/>
        <v>0</v>
      </c>
      <c r="Y137" s="675">
        <f t="shared" si="4724"/>
        <v>0</v>
      </c>
      <c r="Z137" s="549">
        <f t="shared" si="4724"/>
        <v>0</v>
      </c>
      <c r="AA137" s="675">
        <f t="shared" si="4724"/>
        <v>0</v>
      </c>
      <c r="AB137" s="549">
        <f t="shared" si="4724"/>
        <v>0</v>
      </c>
      <c r="AC137" s="675">
        <f t="shared" si="4724"/>
        <v>0</v>
      </c>
      <c r="AD137" s="549">
        <f t="shared" si="4724"/>
        <v>0</v>
      </c>
      <c r="AE137" s="675">
        <f t="shared" si="4724"/>
        <v>0</v>
      </c>
      <c r="AF137" s="549">
        <f t="shared" si="4724"/>
        <v>0</v>
      </c>
      <c r="AG137" s="675">
        <f t="shared" si="4724"/>
        <v>0</v>
      </c>
      <c r="AH137" s="549">
        <f t="shared" si="4724"/>
        <v>0</v>
      </c>
      <c r="AI137" s="675">
        <f t="shared" si="4724"/>
        <v>0</v>
      </c>
      <c r="AJ137" s="549">
        <f t="shared" si="4724"/>
        <v>0</v>
      </c>
      <c r="AK137" s="675">
        <f t="shared" si="4724"/>
        <v>0</v>
      </c>
      <c r="AL137" s="549">
        <f t="shared" si="4724"/>
        <v>0</v>
      </c>
      <c r="AM137" s="675">
        <f t="shared" si="4724"/>
        <v>0</v>
      </c>
      <c r="AN137" s="549">
        <f t="shared" si="4724"/>
        <v>0</v>
      </c>
      <c r="AO137" s="675">
        <f t="shared" si="4724"/>
        <v>0</v>
      </c>
      <c r="AP137" s="549">
        <f t="shared" si="4724"/>
        <v>0</v>
      </c>
      <c r="AQ137" s="675">
        <f t="shared" si="4724"/>
        <v>0</v>
      </c>
      <c r="AR137" s="549">
        <f t="shared" si="4724"/>
        <v>0</v>
      </c>
      <c r="AS137" s="675">
        <f t="shared" si="4724"/>
        <v>0</v>
      </c>
      <c r="AT137" s="549">
        <f t="shared" ref="AT137:AU137" si="4725">AT470</f>
        <v>0</v>
      </c>
      <c r="AU137" s="675">
        <f t="shared" si="4725"/>
        <v>0</v>
      </c>
      <c r="AV137" s="549">
        <f t="shared" ref="AV137:AW137" si="4726">AV470</f>
        <v>0</v>
      </c>
      <c r="AW137" s="675">
        <f t="shared" si="4726"/>
        <v>0</v>
      </c>
      <c r="AX137" s="549">
        <f t="shared" ref="AX137:AY137" si="4727">AX470</f>
        <v>0</v>
      </c>
      <c r="AY137" s="675">
        <f t="shared" si="4727"/>
        <v>0</v>
      </c>
      <c r="AZ137" s="549">
        <f t="shared" ref="AZ137:BA137" si="4728">AZ470</f>
        <v>0</v>
      </c>
      <c r="BA137" s="675">
        <f t="shared" si="4728"/>
        <v>0</v>
      </c>
      <c r="BB137" s="549">
        <f t="shared" ref="BB137:BC137" si="4729">BB470</f>
        <v>0</v>
      </c>
      <c r="BC137" s="675">
        <f t="shared" si="4729"/>
        <v>0</v>
      </c>
      <c r="BD137" s="549">
        <f t="shared" ref="BD137:BE137" si="4730">BD470</f>
        <v>0</v>
      </c>
      <c r="BE137" s="675">
        <f t="shared" si="4730"/>
        <v>0</v>
      </c>
      <c r="BF137" s="549">
        <f t="shared" ref="BF137:BG137" si="4731">BF470</f>
        <v>0</v>
      </c>
      <c r="BG137" s="675">
        <f t="shared" si="4731"/>
        <v>0</v>
      </c>
      <c r="BH137" s="549">
        <f t="shared" ref="BH137:BI137" si="4732">BH470</f>
        <v>0</v>
      </c>
      <c r="BI137" s="675">
        <f t="shared" si="4732"/>
        <v>0</v>
      </c>
      <c r="BJ137" s="549">
        <f t="shared" ref="BJ137:BK137" si="4733">BJ470</f>
        <v>0</v>
      </c>
      <c r="BK137" s="675">
        <f t="shared" si="4733"/>
        <v>0</v>
      </c>
      <c r="BL137" s="549">
        <f t="shared" ref="BL137:BS137" si="4734">BL470</f>
        <v>0</v>
      </c>
      <c r="BM137" s="675">
        <f t="shared" si="4734"/>
        <v>0</v>
      </c>
      <c r="BN137" s="549">
        <f t="shared" si="4734"/>
        <v>0</v>
      </c>
      <c r="BO137" s="675">
        <f t="shared" si="4734"/>
        <v>0</v>
      </c>
      <c r="BP137" s="549">
        <f t="shared" si="4734"/>
        <v>0</v>
      </c>
      <c r="BQ137" s="675">
        <f t="shared" si="4734"/>
        <v>0</v>
      </c>
      <c r="BR137" s="549">
        <f t="shared" si="4734"/>
        <v>0</v>
      </c>
      <c r="BS137" s="675">
        <f t="shared" si="4734"/>
        <v>0</v>
      </c>
      <c r="BT137" s="549">
        <f t="shared" ref="BT137:BU137" si="4735">BT470</f>
        <v>0</v>
      </c>
      <c r="BU137" s="675">
        <f t="shared" si="4735"/>
        <v>0</v>
      </c>
      <c r="BV137" s="549">
        <f t="shared" ref="BV137:BW137" si="4736">BV470</f>
        <v>0</v>
      </c>
      <c r="BW137" s="675">
        <f t="shared" si="4736"/>
        <v>0</v>
      </c>
      <c r="BX137" s="549">
        <f t="shared" ref="BX137:BY137" si="4737">BX470</f>
        <v>0</v>
      </c>
      <c r="BY137" s="675">
        <f t="shared" si="4737"/>
        <v>0</v>
      </c>
      <c r="BZ137" s="549">
        <f t="shared" ref="BZ137:CA137" si="4738">BZ470</f>
        <v>0</v>
      </c>
      <c r="CA137" s="675">
        <f t="shared" si="4738"/>
        <v>0</v>
      </c>
      <c r="CB137" s="549">
        <f t="shared" ref="CB137:CE137" si="4739">CB470</f>
        <v>0</v>
      </c>
      <c r="CC137" s="675">
        <f t="shared" si="4739"/>
        <v>0</v>
      </c>
      <c r="CD137" s="549">
        <f t="shared" si="4739"/>
        <v>0</v>
      </c>
      <c r="CE137" s="675">
        <f t="shared" si="4739"/>
        <v>0</v>
      </c>
      <c r="CF137" s="549">
        <f t="shared" ref="CF137:CG137" si="4740">CF470</f>
        <v>0</v>
      </c>
      <c r="CG137" s="675">
        <f t="shared" si="4740"/>
        <v>0</v>
      </c>
      <c r="CH137" s="549">
        <f t="shared" ref="CH137:CQ137" si="4741">CH470</f>
        <v>0</v>
      </c>
      <c r="CI137" s="675">
        <f t="shared" si="4741"/>
        <v>0</v>
      </c>
      <c r="CJ137" s="549">
        <f t="shared" si="4741"/>
        <v>0</v>
      </c>
      <c r="CK137" s="675">
        <f t="shared" si="4741"/>
        <v>-2000</v>
      </c>
      <c r="CL137" s="549">
        <f t="shared" si="4741"/>
        <v>0</v>
      </c>
      <c r="CM137" s="675">
        <f t="shared" si="4741"/>
        <v>0</v>
      </c>
      <c r="CN137" s="549">
        <f t="shared" si="4741"/>
        <v>0</v>
      </c>
      <c r="CO137" s="675">
        <f t="shared" si="4741"/>
        <v>0</v>
      </c>
      <c r="CP137" s="549">
        <f t="shared" si="4741"/>
        <v>0</v>
      </c>
      <c r="CQ137" s="675">
        <f t="shared" si="4741"/>
        <v>0</v>
      </c>
      <c r="CR137" s="549">
        <f t="shared" ref="CR137:DO137" si="4742">CR470</f>
        <v>0</v>
      </c>
      <c r="CS137" s="675">
        <f t="shared" si="4742"/>
        <v>0</v>
      </c>
      <c r="CT137" s="549">
        <f t="shared" si="4742"/>
        <v>0</v>
      </c>
      <c r="CU137" s="675">
        <f t="shared" si="4742"/>
        <v>0</v>
      </c>
      <c r="CV137" s="549">
        <f t="shared" si="4742"/>
        <v>0</v>
      </c>
      <c r="CW137" s="675">
        <f t="shared" si="4742"/>
        <v>0</v>
      </c>
      <c r="CX137" s="549">
        <f t="shared" si="4742"/>
        <v>0</v>
      </c>
      <c r="CY137" s="675">
        <f t="shared" si="4742"/>
        <v>0</v>
      </c>
      <c r="CZ137" s="549">
        <f t="shared" si="4742"/>
        <v>0</v>
      </c>
      <c r="DA137" s="675">
        <f t="shared" si="4742"/>
        <v>0</v>
      </c>
      <c r="DB137" s="549">
        <f t="shared" si="4742"/>
        <v>0</v>
      </c>
      <c r="DC137" s="675">
        <f t="shared" si="4742"/>
        <v>0</v>
      </c>
      <c r="DD137" s="549">
        <f t="shared" si="4742"/>
        <v>0</v>
      </c>
      <c r="DE137" s="675">
        <f t="shared" si="4742"/>
        <v>0</v>
      </c>
      <c r="DF137" s="549">
        <f t="shared" si="4742"/>
        <v>0</v>
      </c>
      <c r="DG137" s="675">
        <f t="shared" si="4742"/>
        <v>0</v>
      </c>
      <c r="DH137" s="549">
        <f t="shared" si="4742"/>
        <v>0</v>
      </c>
      <c r="DI137" s="675">
        <f t="shared" si="4742"/>
        <v>0</v>
      </c>
      <c r="DJ137" s="549">
        <f t="shared" si="4742"/>
        <v>2000</v>
      </c>
      <c r="DK137" s="675">
        <f t="shared" si="4742"/>
        <v>0</v>
      </c>
      <c r="DL137" s="549">
        <f t="shared" si="4742"/>
        <v>0</v>
      </c>
      <c r="DM137" s="675">
        <f t="shared" si="4742"/>
        <v>0</v>
      </c>
      <c r="DN137" s="549">
        <f t="shared" si="4742"/>
        <v>0</v>
      </c>
      <c r="DO137" s="675">
        <f t="shared" si="4742"/>
        <v>0</v>
      </c>
      <c r="DP137" s="549">
        <f t="shared" ref="DP137:DU137" si="4743">DP470</f>
        <v>0</v>
      </c>
      <c r="DQ137" s="675">
        <f t="shared" si="4743"/>
        <v>0</v>
      </c>
      <c r="DR137" s="549">
        <f t="shared" si="4743"/>
        <v>0</v>
      </c>
      <c r="DS137" s="675">
        <f t="shared" si="4743"/>
        <v>0</v>
      </c>
      <c r="DT137" s="549">
        <f t="shared" si="4743"/>
        <v>0</v>
      </c>
      <c r="DU137" s="675">
        <f t="shared" si="4743"/>
        <v>0</v>
      </c>
      <c r="DV137" s="549">
        <f t="shared" ref="DV137:EA137" si="4744">DV470</f>
        <v>0</v>
      </c>
      <c r="DW137" s="675">
        <f t="shared" si="4744"/>
        <v>0</v>
      </c>
      <c r="DX137" s="549">
        <f t="shared" si="4744"/>
        <v>0</v>
      </c>
      <c r="DY137" s="675">
        <f t="shared" si="4744"/>
        <v>0</v>
      </c>
      <c r="DZ137" s="549">
        <f t="shared" si="4744"/>
        <v>0</v>
      </c>
      <c r="EA137" s="675">
        <f t="shared" si="4744"/>
        <v>0</v>
      </c>
      <c r="EB137" s="549">
        <f t="shared" ref="EB137:EM137" si="4745">EB470</f>
        <v>0</v>
      </c>
      <c r="EC137" s="675">
        <f t="shared" si="4745"/>
        <v>0</v>
      </c>
      <c r="ED137" s="549">
        <f t="shared" si="4745"/>
        <v>0</v>
      </c>
      <c r="EE137" s="675">
        <f t="shared" si="4745"/>
        <v>0</v>
      </c>
      <c r="EF137" s="549">
        <f t="shared" si="4745"/>
        <v>0</v>
      </c>
      <c r="EG137" s="675">
        <f t="shared" si="4745"/>
        <v>0</v>
      </c>
      <c r="EH137" s="549">
        <f t="shared" si="4745"/>
        <v>0</v>
      </c>
      <c r="EI137" s="675">
        <f t="shared" si="4745"/>
        <v>0</v>
      </c>
      <c r="EJ137" s="549">
        <f t="shared" si="4745"/>
        <v>0</v>
      </c>
      <c r="EK137" s="675">
        <f t="shared" si="4745"/>
        <v>0</v>
      </c>
      <c r="EL137" s="549">
        <f t="shared" si="4745"/>
        <v>0</v>
      </c>
      <c r="EM137" s="675">
        <f t="shared" si="4745"/>
        <v>0</v>
      </c>
      <c r="EN137" s="549">
        <f t="shared" ref="EN137:EO137" si="4746">EN470</f>
        <v>0</v>
      </c>
      <c r="EO137" s="675">
        <f t="shared" si="4746"/>
        <v>0</v>
      </c>
      <c r="EP137" s="549">
        <f t="shared" ref="EP137:FA137" si="4747">EP470</f>
        <v>0</v>
      </c>
      <c r="EQ137" s="675">
        <f t="shared" si="4747"/>
        <v>0</v>
      </c>
      <c r="ER137" s="549">
        <f t="shared" si="4747"/>
        <v>0</v>
      </c>
      <c r="ES137" s="675">
        <f t="shared" si="4747"/>
        <v>0</v>
      </c>
      <c r="ET137" s="549">
        <f t="shared" si="4747"/>
        <v>3000</v>
      </c>
      <c r="EU137" s="675">
        <f t="shared" si="4747"/>
        <v>0</v>
      </c>
      <c r="EV137" s="549">
        <f t="shared" ref="EV137:EW137" si="4748">EV470</f>
        <v>0</v>
      </c>
      <c r="EW137" s="675">
        <f t="shared" si="4748"/>
        <v>0</v>
      </c>
      <c r="EX137" s="549">
        <f t="shared" si="4747"/>
        <v>0</v>
      </c>
      <c r="EY137" s="675">
        <f t="shared" si="4747"/>
        <v>0</v>
      </c>
      <c r="EZ137" s="549">
        <f t="shared" si="4747"/>
        <v>0</v>
      </c>
      <c r="FA137" s="675">
        <f t="shared" si="4747"/>
        <v>0</v>
      </c>
      <c r="FB137" s="549">
        <f t="shared" ref="FB137:FC137" si="4749">FB470</f>
        <v>0</v>
      </c>
      <c r="FC137" s="675">
        <f t="shared" si="4749"/>
        <v>0</v>
      </c>
      <c r="FD137" s="549">
        <f t="shared" ref="FD137:FE137" si="4750">FD470</f>
        <v>0</v>
      </c>
      <c r="FE137" s="675">
        <f t="shared" si="4750"/>
        <v>0</v>
      </c>
      <c r="FF137" s="549">
        <f t="shared" ref="FF137:FG137" si="4751">FF470</f>
        <v>0</v>
      </c>
      <c r="FG137" s="675">
        <f t="shared" si="4751"/>
        <v>0</v>
      </c>
      <c r="FH137" s="549">
        <f t="shared" ref="FH137:FI137" si="4752">FH470</f>
        <v>0</v>
      </c>
      <c r="FI137" s="675">
        <f t="shared" si="4752"/>
        <v>0</v>
      </c>
      <c r="FJ137" s="549">
        <f t="shared" ref="FJ137:FK137" si="4753">FJ470</f>
        <v>0</v>
      </c>
      <c r="FK137" s="675">
        <f t="shared" si="4753"/>
        <v>0</v>
      </c>
      <c r="FL137" s="549">
        <f t="shared" ref="FL137:FM137" si="4754">FL470</f>
        <v>0</v>
      </c>
      <c r="FM137" s="675">
        <f t="shared" si="4754"/>
        <v>0</v>
      </c>
      <c r="FN137" s="549">
        <f t="shared" ref="FN137:FO137" si="4755">FN470</f>
        <v>0</v>
      </c>
      <c r="FO137" s="675">
        <f t="shared" si="4755"/>
        <v>0</v>
      </c>
      <c r="FP137" s="549">
        <f t="shared" ref="FP137:FQ137" si="4756">FP470</f>
        <v>0</v>
      </c>
      <c r="FQ137" s="675">
        <f t="shared" si="4756"/>
        <v>0</v>
      </c>
      <c r="FR137" s="549">
        <f t="shared" ref="FR137:FS137" si="4757">FR470</f>
        <v>0</v>
      </c>
      <c r="FS137" s="675">
        <f t="shared" si="4757"/>
        <v>0</v>
      </c>
      <c r="FT137" s="549">
        <f t="shared" ref="FT137:FU137" si="4758">FT470</f>
        <v>0</v>
      </c>
      <c r="FU137" s="675">
        <f t="shared" si="4758"/>
        <v>0</v>
      </c>
      <c r="FV137" s="549">
        <f t="shared" ref="FV137:GK137" si="4759">FV470</f>
        <v>0</v>
      </c>
      <c r="FW137" s="675">
        <f t="shared" si="4759"/>
        <v>0</v>
      </c>
      <c r="FX137" s="549">
        <f t="shared" si="4759"/>
        <v>0</v>
      </c>
      <c r="FY137" s="675">
        <f t="shared" si="4759"/>
        <v>0</v>
      </c>
      <c r="FZ137" s="549">
        <f t="shared" ref="FZ137:GI137" si="4760">FZ470</f>
        <v>0</v>
      </c>
      <c r="GA137" s="675">
        <f t="shared" si="4760"/>
        <v>0</v>
      </c>
      <c r="GB137" s="549">
        <f t="shared" si="4760"/>
        <v>0</v>
      </c>
      <c r="GC137" s="675">
        <f t="shared" si="4760"/>
        <v>0</v>
      </c>
      <c r="GD137" s="549">
        <f t="shared" si="4760"/>
        <v>0</v>
      </c>
      <c r="GE137" s="675">
        <f t="shared" si="4760"/>
        <v>0</v>
      </c>
      <c r="GF137" s="549">
        <f t="shared" si="4760"/>
        <v>0</v>
      </c>
      <c r="GG137" s="675">
        <f t="shared" si="4760"/>
        <v>0</v>
      </c>
      <c r="GH137" s="549">
        <f t="shared" si="4760"/>
        <v>0</v>
      </c>
      <c r="GI137" s="675">
        <f t="shared" si="4760"/>
        <v>0</v>
      </c>
      <c r="GJ137" s="549">
        <f t="shared" si="4759"/>
        <v>0</v>
      </c>
      <c r="GK137" s="675">
        <f t="shared" si="4759"/>
        <v>0</v>
      </c>
      <c r="GL137" s="549">
        <f t="shared" ref="GL137:GM137" si="4761">GL470</f>
        <v>0</v>
      </c>
      <c r="GM137" s="675">
        <f t="shared" si="4761"/>
        <v>0</v>
      </c>
      <c r="GN137" s="549">
        <f t="shared" ref="GN137:GO137" si="4762">GN470</f>
        <v>0</v>
      </c>
      <c r="GO137" s="675">
        <f t="shared" si="4762"/>
        <v>0</v>
      </c>
      <c r="GP137" s="74">
        <f>GP470</f>
        <v>5000</v>
      </c>
      <c r="GQ137" s="675">
        <f>GQ470</f>
        <v>-2000</v>
      </c>
      <c r="GR137" s="74">
        <f t="shared" ref="GR137:HK137" si="4763">GR470</f>
        <v>24400</v>
      </c>
      <c r="GS137" s="74">
        <f t="shared" si="4763"/>
        <v>24400</v>
      </c>
      <c r="GT137" s="549">
        <f t="shared" si="4763"/>
        <v>24400</v>
      </c>
      <c r="GU137" s="74">
        <f t="shared" si="4763"/>
        <v>2140</v>
      </c>
      <c r="GV137" s="74">
        <f t="shared" si="4763"/>
        <v>2140</v>
      </c>
      <c r="GW137" s="74">
        <f t="shared" si="4763"/>
        <v>2140</v>
      </c>
      <c r="GX137" s="74">
        <f t="shared" si="4763"/>
        <v>2140</v>
      </c>
      <c r="GY137" s="74">
        <f t="shared" si="4763"/>
        <v>2140</v>
      </c>
      <c r="GZ137" s="74">
        <f t="shared" si="4763"/>
        <v>2140</v>
      </c>
      <c r="HA137" s="74">
        <f t="shared" si="4763"/>
        <v>2140</v>
      </c>
      <c r="HB137" s="74">
        <f t="shared" si="4763"/>
        <v>2140</v>
      </c>
      <c r="HC137" s="74">
        <f t="shared" si="4763"/>
        <v>2140</v>
      </c>
      <c r="HD137" s="74">
        <f t="shared" si="4763"/>
        <v>2140</v>
      </c>
      <c r="HE137" s="74">
        <f t="shared" si="4763"/>
        <v>0</v>
      </c>
      <c r="HF137" s="74">
        <f t="shared" si="4763"/>
        <v>0</v>
      </c>
      <c r="HG137" s="74">
        <f t="shared" si="4763"/>
        <v>24400</v>
      </c>
      <c r="HH137" s="74">
        <f t="shared" si="4763"/>
        <v>2140</v>
      </c>
      <c r="HI137" s="74">
        <f t="shared" si="4763"/>
        <v>0</v>
      </c>
      <c r="HJ137" s="74">
        <f t="shared" si="4763"/>
        <v>2140</v>
      </c>
      <c r="HK137" s="74">
        <f t="shared" si="4763"/>
        <v>0</v>
      </c>
      <c r="HL137" s="74">
        <f t="shared" ref="HL137:JT137" si="4764">HL470</f>
        <v>2140</v>
      </c>
      <c r="HM137" s="74">
        <f t="shared" si="4764"/>
        <v>0</v>
      </c>
      <c r="HN137" s="74">
        <f t="shared" si="4764"/>
        <v>2140</v>
      </c>
      <c r="HO137" s="74">
        <f t="shared" si="4764"/>
        <v>0</v>
      </c>
      <c r="HP137" s="74">
        <f t="shared" si="4764"/>
        <v>2140</v>
      </c>
      <c r="HQ137" s="74">
        <f t="shared" si="4764"/>
        <v>0</v>
      </c>
      <c r="HR137" s="74">
        <f t="shared" si="4764"/>
        <v>0</v>
      </c>
      <c r="HS137" s="74">
        <f t="shared" si="4764"/>
        <v>0</v>
      </c>
      <c r="HT137" s="74">
        <f t="shared" si="4764"/>
        <v>0</v>
      </c>
      <c r="HU137" s="74">
        <f t="shared" si="4764"/>
        <v>0</v>
      </c>
      <c r="HV137" s="74">
        <f t="shared" si="4764"/>
        <v>4420</v>
      </c>
      <c r="HW137" s="74">
        <f t="shared" si="4764"/>
        <v>0</v>
      </c>
      <c r="HX137" s="74">
        <f t="shared" si="4764"/>
        <v>7140</v>
      </c>
      <c r="HY137" s="74">
        <f t="shared" si="4764"/>
        <v>0</v>
      </c>
      <c r="HZ137" s="74">
        <f t="shared" si="4764"/>
        <v>2140</v>
      </c>
      <c r="IA137" s="74">
        <f t="shared" si="4764"/>
        <v>0</v>
      </c>
      <c r="IB137" s="74">
        <f t="shared" si="4764"/>
        <v>0</v>
      </c>
      <c r="IC137" s="74">
        <f t="shared" si="4764"/>
        <v>0</v>
      </c>
      <c r="ID137" s="74">
        <f t="shared" si="4764"/>
        <v>0</v>
      </c>
      <c r="IE137" s="792">
        <f t="shared" si="4764"/>
        <v>0</v>
      </c>
      <c r="IF137" s="841">
        <f t="shared" si="4764"/>
        <v>18569.16</v>
      </c>
      <c r="IG137" s="263">
        <f t="shared" si="4764"/>
        <v>18569.16</v>
      </c>
      <c r="IH137" s="842">
        <f t="shared" si="4764"/>
        <v>18569.16</v>
      </c>
      <c r="II137" s="155">
        <f t="shared" si="4764"/>
        <v>346.88</v>
      </c>
      <c r="IJ137" s="74">
        <f t="shared" si="4764"/>
        <v>346.88</v>
      </c>
      <c r="IK137" s="74">
        <f t="shared" si="4764"/>
        <v>346.88</v>
      </c>
      <c r="IL137" s="74">
        <f t="shared" si="4764"/>
        <v>291.28999999999996</v>
      </c>
      <c r="IM137" s="74">
        <f t="shared" si="4764"/>
        <v>291.28999999999996</v>
      </c>
      <c r="IN137" s="74">
        <f t="shared" si="4764"/>
        <v>291.28999999999996</v>
      </c>
      <c r="IO137" s="74">
        <f t="shared" si="4764"/>
        <v>290.84000000000003</v>
      </c>
      <c r="IP137" s="74">
        <f t="shared" si="4764"/>
        <v>290.84000000000003</v>
      </c>
      <c r="IQ137" s="74">
        <f t="shared" si="4764"/>
        <v>290.84000000000003</v>
      </c>
      <c r="IR137" s="74">
        <f t="shared" si="4764"/>
        <v>680.33999999999992</v>
      </c>
      <c r="IS137" s="74">
        <f t="shared" si="4764"/>
        <v>680.33999999999992</v>
      </c>
      <c r="IT137" s="74">
        <f t="shared" si="4764"/>
        <v>680.33999999999992</v>
      </c>
      <c r="IU137" s="74">
        <f t="shared" si="4764"/>
        <v>2670.1600000000003</v>
      </c>
      <c r="IV137" s="74">
        <f t="shared" si="4764"/>
        <v>2670.1600000000003</v>
      </c>
      <c r="IW137" s="74">
        <f t="shared" si="4764"/>
        <v>2670.1600000000003</v>
      </c>
      <c r="IX137" s="74">
        <f t="shared" si="4764"/>
        <v>1674.38</v>
      </c>
      <c r="IY137" s="74">
        <f t="shared" si="4764"/>
        <v>1674.38</v>
      </c>
      <c r="IZ137" s="74">
        <f t="shared" si="4764"/>
        <v>1674.38</v>
      </c>
      <c r="JA137" s="74">
        <f t="shared" si="4764"/>
        <v>2573.4499999999998</v>
      </c>
      <c r="JB137" s="74">
        <f t="shared" si="4764"/>
        <v>2573.4499999999998</v>
      </c>
      <c r="JC137" s="74">
        <f t="shared" si="4764"/>
        <v>2573.4499999999998</v>
      </c>
      <c r="JD137" s="74">
        <f t="shared" si="4764"/>
        <v>4649.2199999999993</v>
      </c>
      <c r="JE137" s="74">
        <f t="shared" si="4764"/>
        <v>4649.2199999999993</v>
      </c>
      <c r="JF137" s="74">
        <f t="shared" si="4764"/>
        <v>4649.2199999999993</v>
      </c>
      <c r="JG137" s="74">
        <f t="shared" si="4764"/>
        <v>335.95000000000073</v>
      </c>
      <c r="JH137" s="74">
        <f t="shared" si="4764"/>
        <v>335.95000000000073</v>
      </c>
      <c r="JI137" s="74">
        <f t="shared" si="4764"/>
        <v>335.95000000000073</v>
      </c>
      <c r="JJ137" s="74">
        <f t="shared" si="4764"/>
        <v>5056.6499999999996</v>
      </c>
      <c r="JK137" s="74">
        <f t="shared" si="4764"/>
        <v>5056.6499999999996</v>
      </c>
      <c r="JL137" s="74">
        <f t="shared" si="4764"/>
        <v>5056.6499999999996</v>
      </c>
      <c r="JM137" s="74">
        <f t="shared" si="4764"/>
        <v>0</v>
      </c>
      <c r="JN137" s="74">
        <f t="shared" si="4764"/>
        <v>0</v>
      </c>
      <c r="JO137" s="74">
        <f t="shared" si="4764"/>
        <v>0</v>
      </c>
      <c r="JP137" s="74">
        <f t="shared" si="4764"/>
        <v>0</v>
      </c>
      <c r="JQ137" s="74">
        <f t="shared" si="4764"/>
        <v>0</v>
      </c>
      <c r="JR137" s="74">
        <f t="shared" si="4764"/>
        <v>0</v>
      </c>
      <c r="JS137" s="74">
        <f t="shared" si="4764"/>
        <v>5830.84</v>
      </c>
      <c r="JT137" s="102">
        <f t="shared" si="4764"/>
        <v>5830.84</v>
      </c>
      <c r="JU137" s="671"/>
      <c r="JV137" s="492"/>
      <c r="JW137" s="490"/>
      <c r="JX137" s="549">
        <f>JX470</f>
        <v>24400</v>
      </c>
      <c r="JY137" s="549">
        <f>JY470</f>
        <v>0</v>
      </c>
      <c r="JZ137" s="581">
        <f t="shared" si="2110"/>
        <v>5000</v>
      </c>
      <c r="KA137" s="581">
        <f t="shared" si="2111"/>
        <v>-2000</v>
      </c>
      <c r="KB137" s="549">
        <f>KB470</f>
        <v>24400</v>
      </c>
      <c r="KC137" s="709">
        <f t="shared" si="2079"/>
        <v>0</v>
      </c>
      <c r="KD137" s="36"/>
      <c r="KE137" s="36"/>
      <c r="KF137" s="36"/>
      <c r="KG137" s="36"/>
      <c r="KH137" s="36"/>
      <c r="KI137" s="36"/>
      <c r="KJ137" s="36"/>
      <c r="KK137" s="36"/>
    </row>
    <row r="138" spans="1:297" s="8" customFormat="1">
      <c r="A138" s="75"/>
      <c r="B138" s="72"/>
      <c r="C138" s="74"/>
      <c r="D138" s="549"/>
      <c r="E138" s="675"/>
      <c r="F138" s="549"/>
      <c r="G138" s="675"/>
      <c r="H138" s="549"/>
      <c r="I138" s="675"/>
      <c r="J138" s="549"/>
      <c r="K138" s="675"/>
      <c r="L138" s="549"/>
      <c r="M138" s="675"/>
      <c r="N138" s="549"/>
      <c r="O138" s="675"/>
      <c r="P138" s="549"/>
      <c r="Q138" s="675"/>
      <c r="R138" s="549"/>
      <c r="S138" s="675"/>
      <c r="T138" s="549"/>
      <c r="U138" s="675"/>
      <c r="V138" s="549"/>
      <c r="W138" s="675"/>
      <c r="X138" s="549"/>
      <c r="Y138" s="675"/>
      <c r="Z138" s="549"/>
      <c r="AA138" s="675"/>
      <c r="AB138" s="549"/>
      <c r="AC138" s="675"/>
      <c r="AD138" s="549"/>
      <c r="AE138" s="675"/>
      <c r="AF138" s="549"/>
      <c r="AG138" s="675"/>
      <c r="AH138" s="549"/>
      <c r="AI138" s="675"/>
      <c r="AJ138" s="549"/>
      <c r="AK138" s="675"/>
      <c r="AL138" s="549"/>
      <c r="AM138" s="675"/>
      <c r="AN138" s="549"/>
      <c r="AO138" s="675"/>
      <c r="AP138" s="549"/>
      <c r="AQ138" s="675"/>
      <c r="AR138" s="549"/>
      <c r="AS138" s="675"/>
      <c r="AT138" s="549"/>
      <c r="AU138" s="675"/>
      <c r="AV138" s="549"/>
      <c r="AW138" s="675"/>
      <c r="AX138" s="549"/>
      <c r="AY138" s="675"/>
      <c r="AZ138" s="549"/>
      <c r="BA138" s="675"/>
      <c r="BB138" s="549"/>
      <c r="BC138" s="675"/>
      <c r="BD138" s="549"/>
      <c r="BE138" s="675"/>
      <c r="BF138" s="549"/>
      <c r="BG138" s="675"/>
      <c r="BH138" s="549"/>
      <c r="BI138" s="675"/>
      <c r="BJ138" s="549"/>
      <c r="BK138" s="675"/>
      <c r="BL138" s="549"/>
      <c r="BM138" s="675"/>
      <c r="BN138" s="549"/>
      <c r="BO138" s="675"/>
      <c r="BP138" s="549"/>
      <c r="BQ138" s="675"/>
      <c r="BR138" s="549"/>
      <c r="BS138" s="675"/>
      <c r="BT138" s="549"/>
      <c r="BU138" s="675"/>
      <c r="BV138" s="549"/>
      <c r="BW138" s="675"/>
      <c r="BX138" s="549"/>
      <c r="BY138" s="675"/>
      <c r="BZ138" s="549"/>
      <c r="CA138" s="675"/>
      <c r="CB138" s="549"/>
      <c r="CC138" s="675"/>
      <c r="CD138" s="549"/>
      <c r="CE138" s="675"/>
      <c r="CF138" s="549"/>
      <c r="CG138" s="675"/>
      <c r="CH138" s="549"/>
      <c r="CI138" s="675"/>
      <c r="CJ138" s="549"/>
      <c r="CK138" s="675"/>
      <c r="CL138" s="549"/>
      <c r="CM138" s="675"/>
      <c r="CN138" s="549"/>
      <c r="CO138" s="675"/>
      <c r="CP138" s="549"/>
      <c r="CQ138" s="675"/>
      <c r="CR138" s="549"/>
      <c r="CS138" s="675"/>
      <c r="CT138" s="549"/>
      <c r="CU138" s="675"/>
      <c r="CV138" s="549"/>
      <c r="CW138" s="675"/>
      <c r="CX138" s="549"/>
      <c r="CY138" s="675"/>
      <c r="CZ138" s="549"/>
      <c r="DA138" s="675"/>
      <c r="DB138" s="549"/>
      <c r="DC138" s="675"/>
      <c r="DD138" s="549"/>
      <c r="DE138" s="675"/>
      <c r="DF138" s="549"/>
      <c r="DG138" s="675"/>
      <c r="DH138" s="549"/>
      <c r="DI138" s="675"/>
      <c r="DJ138" s="549"/>
      <c r="DK138" s="675"/>
      <c r="DL138" s="549"/>
      <c r="DM138" s="675"/>
      <c r="DN138" s="549"/>
      <c r="DO138" s="675"/>
      <c r="DP138" s="549"/>
      <c r="DQ138" s="675"/>
      <c r="DR138" s="549"/>
      <c r="DS138" s="675"/>
      <c r="DT138" s="549"/>
      <c r="DU138" s="675"/>
      <c r="DV138" s="549"/>
      <c r="DW138" s="675"/>
      <c r="DX138" s="549"/>
      <c r="DY138" s="675"/>
      <c r="DZ138" s="549"/>
      <c r="EA138" s="675"/>
      <c r="EB138" s="549"/>
      <c r="EC138" s="675"/>
      <c r="ED138" s="549"/>
      <c r="EE138" s="675"/>
      <c r="EF138" s="549"/>
      <c r="EG138" s="675"/>
      <c r="EH138" s="549"/>
      <c r="EI138" s="675"/>
      <c r="EJ138" s="549"/>
      <c r="EK138" s="675"/>
      <c r="EL138" s="549"/>
      <c r="EM138" s="675"/>
      <c r="EN138" s="549"/>
      <c r="EO138" s="675"/>
      <c r="EP138" s="549"/>
      <c r="EQ138" s="675"/>
      <c r="ER138" s="549"/>
      <c r="ES138" s="675"/>
      <c r="ET138" s="549"/>
      <c r="EU138" s="675"/>
      <c r="EV138" s="549"/>
      <c r="EW138" s="675"/>
      <c r="EX138" s="549"/>
      <c r="EY138" s="675"/>
      <c r="EZ138" s="549"/>
      <c r="FA138" s="675"/>
      <c r="FB138" s="549"/>
      <c r="FC138" s="675"/>
      <c r="FD138" s="549"/>
      <c r="FE138" s="675"/>
      <c r="FF138" s="549"/>
      <c r="FG138" s="675"/>
      <c r="FH138" s="549"/>
      <c r="FI138" s="675"/>
      <c r="FJ138" s="549"/>
      <c r="FK138" s="675"/>
      <c r="FL138" s="549"/>
      <c r="FM138" s="675"/>
      <c r="FN138" s="549"/>
      <c r="FO138" s="675"/>
      <c r="FP138" s="549"/>
      <c r="FQ138" s="675"/>
      <c r="FR138" s="549"/>
      <c r="FS138" s="675"/>
      <c r="FT138" s="549"/>
      <c r="FU138" s="675"/>
      <c r="FV138" s="549"/>
      <c r="FW138" s="675"/>
      <c r="FX138" s="549"/>
      <c r="FY138" s="675"/>
      <c r="FZ138" s="549"/>
      <c r="GA138" s="675"/>
      <c r="GB138" s="549"/>
      <c r="GC138" s="675"/>
      <c r="GD138" s="549"/>
      <c r="GE138" s="675"/>
      <c r="GF138" s="549"/>
      <c r="GG138" s="675"/>
      <c r="GH138" s="549"/>
      <c r="GI138" s="675"/>
      <c r="GJ138" s="549"/>
      <c r="GK138" s="675"/>
      <c r="GL138" s="549"/>
      <c r="GM138" s="675"/>
      <c r="GN138" s="549"/>
      <c r="GO138" s="675"/>
      <c r="GP138" s="74"/>
      <c r="GQ138" s="675"/>
      <c r="GR138" s="74"/>
      <c r="GS138" s="74"/>
      <c r="GT138" s="549"/>
      <c r="GU138" s="74"/>
      <c r="GV138" s="74"/>
      <c r="GW138" s="549"/>
      <c r="GX138" s="549"/>
      <c r="GY138" s="74"/>
      <c r="GZ138" s="74"/>
      <c r="HA138" s="74"/>
      <c r="HB138" s="74"/>
      <c r="HC138" s="74"/>
      <c r="HD138" s="74"/>
      <c r="HE138" s="74"/>
      <c r="HF138" s="74"/>
      <c r="HG138" s="74"/>
      <c r="HH138" s="74"/>
      <c r="HI138" s="74"/>
      <c r="HJ138" s="74"/>
      <c r="HK138" s="74"/>
      <c r="HL138" s="74"/>
      <c r="HM138" s="74"/>
      <c r="HN138" s="74"/>
      <c r="HO138" s="74"/>
      <c r="HP138" s="74"/>
      <c r="HQ138" s="74"/>
      <c r="HR138" s="74"/>
      <c r="HS138" s="74"/>
      <c r="HT138" s="74"/>
      <c r="HU138" s="74"/>
      <c r="HV138" s="74"/>
      <c r="HW138" s="74"/>
      <c r="HX138" s="74"/>
      <c r="HY138" s="74"/>
      <c r="HZ138" s="74"/>
      <c r="IA138" s="74"/>
      <c r="IB138" s="74"/>
      <c r="IC138" s="74"/>
      <c r="ID138" s="74"/>
      <c r="IE138" s="792"/>
      <c r="IF138" s="841"/>
      <c r="IG138" s="263"/>
      <c r="IH138" s="842"/>
      <c r="II138" s="155"/>
      <c r="IJ138" s="74"/>
      <c r="IK138" s="74"/>
      <c r="IL138" s="74"/>
      <c r="IM138" s="74"/>
      <c r="IN138" s="74"/>
      <c r="IO138" s="74"/>
      <c r="IP138" s="74"/>
      <c r="IQ138" s="74"/>
      <c r="IR138" s="74"/>
      <c r="IS138" s="74"/>
      <c r="IT138" s="74"/>
      <c r="IU138" s="74"/>
      <c r="IV138" s="74"/>
      <c r="IW138" s="74"/>
      <c r="IX138" s="74"/>
      <c r="IY138" s="74"/>
      <c r="IZ138" s="74"/>
      <c r="JA138" s="74"/>
      <c r="JB138" s="74"/>
      <c r="JC138" s="74"/>
      <c r="JD138" s="74"/>
      <c r="JE138" s="74"/>
      <c r="JF138" s="74"/>
      <c r="JG138" s="74"/>
      <c r="JH138" s="74"/>
      <c r="JI138" s="74"/>
      <c r="JJ138" s="74"/>
      <c r="JK138" s="74"/>
      <c r="JL138" s="74"/>
      <c r="JM138" s="74"/>
      <c r="JN138" s="74"/>
      <c r="JO138" s="74"/>
      <c r="JP138" s="74"/>
      <c r="JQ138" s="74"/>
      <c r="JR138" s="74"/>
      <c r="JS138" s="74"/>
      <c r="JT138" s="382"/>
      <c r="JU138" s="671"/>
      <c r="JV138" s="492"/>
      <c r="JW138" s="490"/>
      <c r="JX138" s="549"/>
      <c r="JY138" s="549"/>
      <c r="JZ138" s="581">
        <f t="shared" si="2110"/>
        <v>0</v>
      </c>
      <c r="KA138" s="581">
        <f t="shared" si="2111"/>
        <v>0</v>
      </c>
      <c r="KB138" s="549"/>
      <c r="KC138" s="709">
        <f t="shared" si="2079"/>
        <v>0</v>
      </c>
      <c r="KD138" s="36"/>
      <c r="KE138" s="36"/>
      <c r="KF138" s="36"/>
      <c r="KG138" s="36"/>
      <c r="KH138" s="36"/>
      <c r="KI138" s="36"/>
      <c r="KJ138" s="36"/>
      <c r="KK138" s="36"/>
    </row>
    <row r="139" spans="1:297" s="8" customFormat="1">
      <c r="A139" s="75" t="s">
        <v>160</v>
      </c>
      <c r="B139" s="72" t="s">
        <v>161</v>
      </c>
      <c r="C139" s="74">
        <f t="shared" ref="C139:AC139" si="4765">SUM(C140:C147)</f>
        <v>75000</v>
      </c>
      <c r="D139" s="549">
        <f t="shared" si="4765"/>
        <v>0</v>
      </c>
      <c r="E139" s="675">
        <f t="shared" si="4765"/>
        <v>0</v>
      </c>
      <c r="F139" s="549">
        <f t="shared" si="4765"/>
        <v>0</v>
      </c>
      <c r="G139" s="675">
        <f t="shared" si="4765"/>
        <v>0</v>
      </c>
      <c r="H139" s="549">
        <f t="shared" si="4765"/>
        <v>0</v>
      </c>
      <c r="I139" s="675">
        <f t="shared" si="4765"/>
        <v>0</v>
      </c>
      <c r="J139" s="549">
        <f t="shared" si="4765"/>
        <v>0</v>
      </c>
      <c r="K139" s="675">
        <f t="shared" si="4765"/>
        <v>0</v>
      </c>
      <c r="L139" s="549">
        <f t="shared" si="4765"/>
        <v>0</v>
      </c>
      <c r="M139" s="675">
        <f t="shared" si="4765"/>
        <v>0</v>
      </c>
      <c r="N139" s="549">
        <f t="shared" si="4765"/>
        <v>0</v>
      </c>
      <c r="O139" s="675">
        <f t="shared" si="4765"/>
        <v>0</v>
      </c>
      <c r="P139" s="549">
        <f t="shared" si="4765"/>
        <v>0</v>
      </c>
      <c r="Q139" s="675">
        <f t="shared" si="4765"/>
        <v>0</v>
      </c>
      <c r="R139" s="549">
        <f t="shared" si="4765"/>
        <v>0</v>
      </c>
      <c r="S139" s="675">
        <f t="shared" si="4765"/>
        <v>0</v>
      </c>
      <c r="T139" s="549">
        <f t="shared" si="4765"/>
        <v>0</v>
      </c>
      <c r="U139" s="675">
        <f t="shared" si="4765"/>
        <v>0</v>
      </c>
      <c r="V139" s="549">
        <f t="shared" si="4765"/>
        <v>0</v>
      </c>
      <c r="W139" s="675">
        <f t="shared" si="4765"/>
        <v>-11000</v>
      </c>
      <c r="X139" s="549">
        <f t="shared" si="4765"/>
        <v>0</v>
      </c>
      <c r="Y139" s="675">
        <f t="shared" si="4765"/>
        <v>0</v>
      </c>
      <c r="Z139" s="549">
        <f t="shared" si="4765"/>
        <v>0</v>
      </c>
      <c r="AA139" s="675">
        <f t="shared" si="4765"/>
        <v>0</v>
      </c>
      <c r="AB139" s="549">
        <f t="shared" si="4765"/>
        <v>0</v>
      </c>
      <c r="AC139" s="675">
        <f t="shared" si="4765"/>
        <v>0</v>
      </c>
      <c r="AD139" s="549">
        <f t="shared" ref="AD139:AK139" si="4766">SUM(AD140:AD147)</f>
        <v>0</v>
      </c>
      <c r="AE139" s="675">
        <f t="shared" si="4766"/>
        <v>-2000</v>
      </c>
      <c r="AF139" s="549">
        <f t="shared" si="4766"/>
        <v>0</v>
      </c>
      <c r="AG139" s="675">
        <f t="shared" si="4766"/>
        <v>0</v>
      </c>
      <c r="AH139" s="549">
        <f t="shared" si="4766"/>
        <v>0</v>
      </c>
      <c r="AI139" s="675">
        <f t="shared" si="4766"/>
        <v>0</v>
      </c>
      <c r="AJ139" s="549">
        <f t="shared" si="4766"/>
        <v>0</v>
      </c>
      <c r="AK139" s="675">
        <f t="shared" si="4766"/>
        <v>0</v>
      </c>
      <c r="AL139" s="549">
        <f t="shared" ref="AL139:AM139" si="4767">SUM(AL140:AL147)</f>
        <v>0</v>
      </c>
      <c r="AM139" s="675">
        <f t="shared" si="4767"/>
        <v>0</v>
      </c>
      <c r="AN139" s="549">
        <f t="shared" ref="AN139:AS139" si="4768">SUM(AN140:AN147)</f>
        <v>0</v>
      </c>
      <c r="AO139" s="675">
        <f t="shared" si="4768"/>
        <v>0</v>
      </c>
      <c r="AP139" s="549">
        <f t="shared" si="4768"/>
        <v>0</v>
      </c>
      <c r="AQ139" s="675">
        <f t="shared" si="4768"/>
        <v>0</v>
      </c>
      <c r="AR139" s="549">
        <f t="shared" si="4768"/>
        <v>0</v>
      </c>
      <c r="AS139" s="675">
        <f t="shared" si="4768"/>
        <v>0</v>
      </c>
      <c r="AT139" s="549">
        <f t="shared" ref="AT139:AU139" si="4769">SUM(AT140:AT147)</f>
        <v>0</v>
      </c>
      <c r="AU139" s="675">
        <f t="shared" si="4769"/>
        <v>0</v>
      </c>
      <c r="AV139" s="549">
        <f t="shared" ref="AV139:AW139" si="4770">SUM(AV140:AV147)</f>
        <v>0</v>
      </c>
      <c r="AW139" s="675">
        <f t="shared" si="4770"/>
        <v>0</v>
      </c>
      <c r="AX139" s="549">
        <f t="shared" ref="AX139:AY139" si="4771">SUM(AX140:AX147)</f>
        <v>0</v>
      </c>
      <c r="AY139" s="675">
        <f t="shared" si="4771"/>
        <v>0</v>
      </c>
      <c r="AZ139" s="549">
        <f t="shared" ref="AZ139:BA139" si="4772">SUM(AZ140:AZ147)</f>
        <v>0</v>
      </c>
      <c r="BA139" s="675">
        <f t="shared" si="4772"/>
        <v>-2000</v>
      </c>
      <c r="BB139" s="549">
        <f t="shared" ref="BB139:BC139" si="4773">SUM(BB140:BB147)</f>
        <v>0</v>
      </c>
      <c r="BC139" s="675">
        <f t="shared" si="4773"/>
        <v>0</v>
      </c>
      <c r="BD139" s="549">
        <f t="shared" ref="BD139:BE139" si="4774">SUM(BD140:BD147)</f>
        <v>0</v>
      </c>
      <c r="BE139" s="675">
        <f t="shared" si="4774"/>
        <v>0</v>
      </c>
      <c r="BF139" s="549">
        <f t="shared" ref="BF139:BG139" si="4775">SUM(BF140:BF147)</f>
        <v>0</v>
      </c>
      <c r="BG139" s="675">
        <f t="shared" si="4775"/>
        <v>0</v>
      </c>
      <c r="BH139" s="549">
        <f t="shared" ref="BH139:BI139" si="4776">SUM(BH140:BH147)</f>
        <v>0</v>
      </c>
      <c r="BI139" s="675">
        <f t="shared" si="4776"/>
        <v>0</v>
      </c>
      <c r="BJ139" s="549">
        <f t="shared" ref="BJ139:BK139" si="4777">SUM(BJ140:BJ147)</f>
        <v>0</v>
      </c>
      <c r="BK139" s="675">
        <f t="shared" si="4777"/>
        <v>0</v>
      </c>
      <c r="BL139" s="549">
        <f t="shared" ref="BL139:BS139" si="4778">SUM(BL140:BL147)</f>
        <v>0</v>
      </c>
      <c r="BM139" s="675">
        <f t="shared" si="4778"/>
        <v>0</v>
      </c>
      <c r="BN139" s="549">
        <f t="shared" si="4778"/>
        <v>0</v>
      </c>
      <c r="BO139" s="675">
        <f t="shared" si="4778"/>
        <v>0</v>
      </c>
      <c r="BP139" s="549">
        <f t="shared" si="4778"/>
        <v>0</v>
      </c>
      <c r="BQ139" s="675">
        <f t="shared" si="4778"/>
        <v>0</v>
      </c>
      <c r="BR139" s="549">
        <f t="shared" si="4778"/>
        <v>0</v>
      </c>
      <c r="BS139" s="675">
        <f t="shared" si="4778"/>
        <v>0</v>
      </c>
      <c r="BT139" s="549">
        <f t="shared" ref="BT139:BU139" si="4779">SUM(BT140:BT147)</f>
        <v>0</v>
      </c>
      <c r="BU139" s="675">
        <f t="shared" si="4779"/>
        <v>0</v>
      </c>
      <c r="BV139" s="549">
        <f t="shared" ref="BV139:BW139" si="4780">SUM(BV140:BV147)</f>
        <v>0</v>
      </c>
      <c r="BW139" s="675">
        <f t="shared" si="4780"/>
        <v>0</v>
      </c>
      <c r="BX139" s="549">
        <f t="shared" ref="BX139:BY139" si="4781">SUM(BX140:BX147)</f>
        <v>0</v>
      </c>
      <c r="BY139" s="675">
        <f t="shared" si="4781"/>
        <v>0</v>
      </c>
      <c r="BZ139" s="549">
        <f t="shared" ref="BZ139:CA139" si="4782">SUM(BZ140:BZ147)</f>
        <v>0</v>
      </c>
      <c r="CA139" s="675">
        <f t="shared" si="4782"/>
        <v>0</v>
      </c>
      <c r="CB139" s="549">
        <f t="shared" ref="CB139:CE139" si="4783">SUM(CB140:CB147)</f>
        <v>0</v>
      </c>
      <c r="CC139" s="675">
        <f t="shared" si="4783"/>
        <v>0</v>
      </c>
      <c r="CD139" s="549">
        <f t="shared" si="4783"/>
        <v>0</v>
      </c>
      <c r="CE139" s="675">
        <f t="shared" si="4783"/>
        <v>0</v>
      </c>
      <c r="CF139" s="549">
        <f t="shared" ref="CF139:CQ139" si="4784">SUM(CF140:CF147)</f>
        <v>0</v>
      </c>
      <c r="CG139" s="675">
        <f t="shared" si="4784"/>
        <v>0</v>
      </c>
      <c r="CH139" s="549">
        <f t="shared" si="4784"/>
        <v>0</v>
      </c>
      <c r="CI139" s="675">
        <f t="shared" si="4784"/>
        <v>0</v>
      </c>
      <c r="CJ139" s="549">
        <f t="shared" si="4784"/>
        <v>0</v>
      </c>
      <c r="CK139" s="675">
        <f t="shared" si="4784"/>
        <v>-12000</v>
      </c>
      <c r="CL139" s="549">
        <f t="shared" si="4784"/>
        <v>0</v>
      </c>
      <c r="CM139" s="675">
        <f t="shared" si="4784"/>
        <v>0</v>
      </c>
      <c r="CN139" s="549">
        <f t="shared" si="4784"/>
        <v>0</v>
      </c>
      <c r="CO139" s="675">
        <f t="shared" si="4784"/>
        <v>0</v>
      </c>
      <c r="CP139" s="549">
        <f t="shared" si="4784"/>
        <v>0</v>
      </c>
      <c r="CQ139" s="675">
        <f t="shared" si="4784"/>
        <v>0</v>
      </c>
      <c r="CR139" s="549">
        <f t="shared" ref="CR139:CY139" si="4785">SUM(CR140:CR147)</f>
        <v>0</v>
      </c>
      <c r="CS139" s="675">
        <f t="shared" si="4785"/>
        <v>0</v>
      </c>
      <c r="CT139" s="549">
        <f t="shared" si="4785"/>
        <v>0</v>
      </c>
      <c r="CU139" s="675">
        <f t="shared" si="4785"/>
        <v>0</v>
      </c>
      <c r="CV139" s="549">
        <f t="shared" si="4785"/>
        <v>0</v>
      </c>
      <c r="CW139" s="675">
        <f t="shared" si="4785"/>
        <v>0</v>
      </c>
      <c r="CX139" s="549">
        <f t="shared" si="4785"/>
        <v>0</v>
      </c>
      <c r="CY139" s="675">
        <f t="shared" si="4785"/>
        <v>0</v>
      </c>
      <c r="CZ139" s="549">
        <f t="shared" ref="CZ139:DG139" si="4786">SUM(CZ140:CZ147)</f>
        <v>0</v>
      </c>
      <c r="DA139" s="675">
        <f t="shared" si="4786"/>
        <v>0</v>
      </c>
      <c r="DB139" s="549">
        <f t="shared" si="4786"/>
        <v>0</v>
      </c>
      <c r="DC139" s="675">
        <f t="shared" si="4786"/>
        <v>0</v>
      </c>
      <c r="DD139" s="549">
        <f t="shared" si="4786"/>
        <v>0</v>
      </c>
      <c r="DE139" s="675">
        <f t="shared" si="4786"/>
        <v>0</v>
      </c>
      <c r="DF139" s="549">
        <f t="shared" si="4786"/>
        <v>0</v>
      </c>
      <c r="DG139" s="675">
        <f t="shared" si="4786"/>
        <v>0</v>
      </c>
      <c r="DH139" s="549">
        <f t="shared" ref="DH139:DM139" si="4787">SUM(DH140:DH147)</f>
        <v>0</v>
      </c>
      <c r="DI139" s="675">
        <f t="shared" si="4787"/>
        <v>0</v>
      </c>
      <c r="DJ139" s="549">
        <f t="shared" si="4787"/>
        <v>0</v>
      </c>
      <c r="DK139" s="675">
        <f t="shared" si="4787"/>
        <v>0</v>
      </c>
      <c r="DL139" s="549">
        <f t="shared" si="4787"/>
        <v>0</v>
      </c>
      <c r="DM139" s="675">
        <f t="shared" si="4787"/>
        <v>0</v>
      </c>
      <c r="DN139" s="549">
        <f t="shared" ref="DN139:DW139" si="4788">SUM(DN140:DN147)</f>
        <v>0</v>
      </c>
      <c r="DO139" s="675">
        <f t="shared" si="4788"/>
        <v>0</v>
      </c>
      <c r="DP139" s="549">
        <f t="shared" si="4788"/>
        <v>0</v>
      </c>
      <c r="DQ139" s="675">
        <f t="shared" si="4788"/>
        <v>0</v>
      </c>
      <c r="DR139" s="549">
        <f t="shared" si="4788"/>
        <v>0</v>
      </c>
      <c r="DS139" s="675">
        <f t="shared" si="4788"/>
        <v>0</v>
      </c>
      <c r="DT139" s="549">
        <f t="shared" si="4788"/>
        <v>0</v>
      </c>
      <c r="DU139" s="675">
        <f t="shared" si="4788"/>
        <v>0</v>
      </c>
      <c r="DV139" s="549">
        <f t="shared" si="4788"/>
        <v>0</v>
      </c>
      <c r="DW139" s="675">
        <f t="shared" si="4788"/>
        <v>0</v>
      </c>
      <c r="DX139" s="549">
        <f t="shared" ref="DX139:EG139" si="4789">SUM(DX140:DX147)</f>
        <v>0</v>
      </c>
      <c r="DY139" s="675">
        <f t="shared" si="4789"/>
        <v>0</v>
      </c>
      <c r="DZ139" s="549">
        <f t="shared" si="4789"/>
        <v>0</v>
      </c>
      <c r="EA139" s="675">
        <f t="shared" si="4789"/>
        <v>0</v>
      </c>
      <c r="EB139" s="549">
        <f t="shared" si="4789"/>
        <v>0</v>
      </c>
      <c r="EC139" s="675">
        <f t="shared" si="4789"/>
        <v>0</v>
      </c>
      <c r="ED139" s="549">
        <f t="shared" si="4789"/>
        <v>0</v>
      </c>
      <c r="EE139" s="675">
        <f t="shared" si="4789"/>
        <v>0</v>
      </c>
      <c r="EF139" s="549">
        <f t="shared" si="4789"/>
        <v>0</v>
      </c>
      <c r="EG139" s="675">
        <f t="shared" si="4789"/>
        <v>0</v>
      </c>
      <c r="EH139" s="549">
        <f t="shared" ref="EH139:EM139" si="4790">SUM(EH140:EH147)</f>
        <v>0</v>
      </c>
      <c r="EI139" s="675">
        <f t="shared" si="4790"/>
        <v>0</v>
      </c>
      <c r="EJ139" s="549">
        <f t="shared" si="4790"/>
        <v>0</v>
      </c>
      <c r="EK139" s="675">
        <f t="shared" si="4790"/>
        <v>0</v>
      </c>
      <c r="EL139" s="549">
        <f t="shared" si="4790"/>
        <v>0</v>
      </c>
      <c r="EM139" s="675">
        <f t="shared" si="4790"/>
        <v>0</v>
      </c>
      <c r="EN139" s="549">
        <f t="shared" ref="EN139:EO139" si="4791">SUM(EN140:EN147)</f>
        <v>0</v>
      </c>
      <c r="EO139" s="675">
        <f t="shared" si="4791"/>
        <v>0</v>
      </c>
      <c r="EP139" s="549">
        <f t="shared" ref="EP139:FA139" si="4792">SUM(EP140:EP147)</f>
        <v>0</v>
      </c>
      <c r="EQ139" s="675">
        <f t="shared" si="4792"/>
        <v>0</v>
      </c>
      <c r="ER139" s="549">
        <f t="shared" si="4792"/>
        <v>0</v>
      </c>
      <c r="ES139" s="675">
        <f t="shared" si="4792"/>
        <v>0</v>
      </c>
      <c r="ET139" s="549">
        <f t="shared" si="4792"/>
        <v>0</v>
      </c>
      <c r="EU139" s="675">
        <f t="shared" si="4792"/>
        <v>0</v>
      </c>
      <c r="EV139" s="549">
        <f t="shared" ref="EV139:EW139" si="4793">SUM(EV140:EV147)</f>
        <v>0</v>
      </c>
      <c r="EW139" s="675">
        <f t="shared" si="4793"/>
        <v>0</v>
      </c>
      <c r="EX139" s="549">
        <f t="shared" si="4792"/>
        <v>0</v>
      </c>
      <c r="EY139" s="675">
        <f t="shared" si="4792"/>
        <v>0</v>
      </c>
      <c r="EZ139" s="549">
        <f t="shared" si="4792"/>
        <v>0</v>
      </c>
      <c r="FA139" s="675">
        <f t="shared" si="4792"/>
        <v>0</v>
      </c>
      <c r="FB139" s="549">
        <f t="shared" ref="FB139:FC139" si="4794">SUM(FB140:FB147)</f>
        <v>0</v>
      </c>
      <c r="FC139" s="675">
        <f t="shared" si="4794"/>
        <v>0</v>
      </c>
      <c r="FD139" s="549">
        <f t="shared" ref="FD139:FE139" si="4795">SUM(FD140:FD147)</f>
        <v>0</v>
      </c>
      <c r="FE139" s="675">
        <f t="shared" si="4795"/>
        <v>0</v>
      </c>
      <c r="FF139" s="549">
        <f t="shared" ref="FF139:FG139" si="4796">SUM(FF140:FF147)</f>
        <v>0</v>
      </c>
      <c r="FG139" s="675">
        <f t="shared" si="4796"/>
        <v>0</v>
      </c>
      <c r="FH139" s="549">
        <f t="shared" ref="FH139:FI139" si="4797">SUM(FH140:FH147)</f>
        <v>0</v>
      </c>
      <c r="FI139" s="675">
        <f t="shared" si="4797"/>
        <v>0</v>
      </c>
      <c r="FJ139" s="549">
        <f t="shared" ref="FJ139:FK139" si="4798">SUM(FJ140:FJ147)</f>
        <v>0</v>
      </c>
      <c r="FK139" s="675">
        <f t="shared" si="4798"/>
        <v>0</v>
      </c>
      <c r="FL139" s="549">
        <f t="shared" ref="FL139:FM139" si="4799">SUM(FL140:FL147)</f>
        <v>0</v>
      </c>
      <c r="FM139" s="675">
        <f t="shared" si="4799"/>
        <v>-1612</v>
      </c>
      <c r="FN139" s="549">
        <f t="shared" ref="FN139:FO139" si="4800">SUM(FN140:FN147)</f>
        <v>0</v>
      </c>
      <c r="FO139" s="675">
        <f t="shared" si="4800"/>
        <v>0</v>
      </c>
      <c r="FP139" s="549">
        <f t="shared" ref="FP139:FQ139" si="4801">SUM(FP140:FP147)</f>
        <v>0</v>
      </c>
      <c r="FQ139" s="675">
        <f t="shared" si="4801"/>
        <v>0</v>
      </c>
      <c r="FR139" s="549">
        <f t="shared" ref="FR139:FS139" si="4802">SUM(FR140:FR147)</f>
        <v>0</v>
      </c>
      <c r="FS139" s="675">
        <f t="shared" si="4802"/>
        <v>-1455</v>
      </c>
      <c r="FT139" s="549">
        <f t="shared" ref="FT139:FU139" si="4803">SUM(FT140:FT147)</f>
        <v>0</v>
      </c>
      <c r="FU139" s="675">
        <f t="shared" si="4803"/>
        <v>0</v>
      </c>
      <c r="FV139" s="549">
        <f t="shared" ref="FV139:GK139" si="4804">SUM(FV140:FV147)</f>
        <v>0</v>
      </c>
      <c r="FW139" s="675">
        <f t="shared" si="4804"/>
        <v>0</v>
      </c>
      <c r="FX139" s="549">
        <f t="shared" si="4804"/>
        <v>0</v>
      </c>
      <c r="FY139" s="675">
        <f t="shared" si="4804"/>
        <v>0</v>
      </c>
      <c r="FZ139" s="549">
        <f t="shared" ref="FZ139:GI139" si="4805">SUM(FZ140:FZ147)</f>
        <v>0</v>
      </c>
      <c r="GA139" s="675">
        <f t="shared" si="4805"/>
        <v>0</v>
      </c>
      <c r="GB139" s="549">
        <f t="shared" si="4805"/>
        <v>0</v>
      </c>
      <c r="GC139" s="675">
        <f t="shared" si="4805"/>
        <v>0</v>
      </c>
      <c r="GD139" s="549">
        <f t="shared" si="4805"/>
        <v>0</v>
      </c>
      <c r="GE139" s="675">
        <f t="shared" si="4805"/>
        <v>0</v>
      </c>
      <c r="GF139" s="549">
        <f t="shared" si="4805"/>
        <v>0</v>
      </c>
      <c r="GG139" s="675">
        <f t="shared" si="4805"/>
        <v>0</v>
      </c>
      <c r="GH139" s="549">
        <f t="shared" si="4805"/>
        <v>0</v>
      </c>
      <c r="GI139" s="675">
        <f t="shared" si="4805"/>
        <v>0</v>
      </c>
      <c r="GJ139" s="549">
        <f t="shared" si="4804"/>
        <v>0</v>
      </c>
      <c r="GK139" s="675">
        <f t="shared" si="4804"/>
        <v>0</v>
      </c>
      <c r="GL139" s="549">
        <f t="shared" ref="GL139:GR139" si="4806">SUM(GL140:GL147)</f>
        <v>0</v>
      </c>
      <c r="GM139" s="675">
        <f t="shared" si="4806"/>
        <v>0</v>
      </c>
      <c r="GN139" s="549">
        <f t="shared" ref="GN139:GO139" si="4807">SUM(GN140:GN147)</f>
        <v>0</v>
      </c>
      <c r="GO139" s="675">
        <f t="shared" si="4807"/>
        <v>0</v>
      </c>
      <c r="GP139" s="74">
        <f t="shared" si="4806"/>
        <v>0</v>
      </c>
      <c r="GQ139" s="675">
        <f t="shared" si="4806"/>
        <v>-30067</v>
      </c>
      <c r="GR139" s="74">
        <f t="shared" si="4806"/>
        <v>44933</v>
      </c>
      <c r="GS139" s="74">
        <f>SUM(GS140:GS147)</f>
        <v>44933</v>
      </c>
      <c r="GT139" s="549">
        <f t="shared" ref="GT139:JD139" si="4808">SUM(GT140:GT147)</f>
        <v>44933</v>
      </c>
      <c r="GU139" s="74">
        <f>SUM(GU140:GU147)</f>
        <v>8920</v>
      </c>
      <c r="GV139" s="74">
        <f t="shared" ref="GV139:HA139" si="4809">SUM(GV140:GV147)</f>
        <v>13520</v>
      </c>
      <c r="GW139" s="74">
        <f t="shared" si="4809"/>
        <v>16420</v>
      </c>
      <c r="GX139" s="74">
        <f t="shared" si="4809"/>
        <v>11420</v>
      </c>
      <c r="GY139" s="74">
        <f t="shared" si="4809"/>
        <v>4120</v>
      </c>
      <c r="GZ139" s="74">
        <f t="shared" si="4809"/>
        <v>4120</v>
      </c>
      <c r="HA139" s="74">
        <f t="shared" si="4809"/>
        <v>4120</v>
      </c>
      <c r="HB139" s="74">
        <f t="shared" si="4808"/>
        <v>4120</v>
      </c>
      <c r="HC139" s="74">
        <f t="shared" si="4808"/>
        <v>4120</v>
      </c>
      <c r="HD139" s="74">
        <f t="shared" si="4808"/>
        <v>4120</v>
      </c>
      <c r="HE139" s="74">
        <f t="shared" si="4808"/>
        <v>0</v>
      </c>
      <c r="HF139" s="74">
        <f t="shared" si="4808"/>
        <v>0</v>
      </c>
      <c r="HG139" s="74">
        <f t="shared" si="4808"/>
        <v>44933</v>
      </c>
      <c r="HH139" s="74">
        <f t="shared" ref="HH139:HU139" si="4810">SUM(HH140:HH147)</f>
        <v>8920</v>
      </c>
      <c r="HI139" s="74">
        <f t="shared" si="4810"/>
        <v>0</v>
      </c>
      <c r="HJ139" s="74">
        <f t="shared" si="4810"/>
        <v>13520</v>
      </c>
      <c r="HK139" s="74">
        <f t="shared" si="4810"/>
        <v>0</v>
      </c>
      <c r="HL139" s="74">
        <f t="shared" si="4810"/>
        <v>-680</v>
      </c>
      <c r="HM139" s="74">
        <f t="shared" si="4810"/>
        <v>0</v>
      </c>
      <c r="HN139" s="74">
        <f t="shared" si="4810"/>
        <v>6120</v>
      </c>
      <c r="HO139" s="74">
        <f t="shared" si="4810"/>
        <v>0</v>
      </c>
      <c r="HP139" s="74">
        <f t="shared" si="4810"/>
        <v>4449</v>
      </c>
      <c r="HQ139" s="74">
        <f t="shared" si="4810"/>
        <v>0</v>
      </c>
      <c r="HR139" s="74">
        <f t="shared" si="4810"/>
        <v>2000</v>
      </c>
      <c r="HS139" s="74">
        <f t="shared" si="4810"/>
        <v>0</v>
      </c>
      <c r="HT139" s="74">
        <f t="shared" si="4810"/>
        <v>1211</v>
      </c>
      <c r="HU139" s="74">
        <f t="shared" si="4810"/>
        <v>0</v>
      </c>
      <c r="HV139" s="74">
        <f t="shared" si="4808"/>
        <v>4120</v>
      </c>
      <c r="HW139" s="74">
        <f t="shared" si="4808"/>
        <v>0</v>
      </c>
      <c r="HX139" s="74">
        <f t="shared" si="4808"/>
        <v>4120</v>
      </c>
      <c r="HY139" s="74">
        <f t="shared" si="4808"/>
        <v>0</v>
      </c>
      <c r="HZ139" s="74">
        <f t="shared" si="4808"/>
        <v>1153</v>
      </c>
      <c r="IA139" s="74">
        <f t="shared" si="4808"/>
        <v>0</v>
      </c>
      <c r="IB139" s="74">
        <f t="shared" si="4808"/>
        <v>0</v>
      </c>
      <c r="IC139" s="74">
        <f t="shared" si="4808"/>
        <v>0</v>
      </c>
      <c r="ID139" s="74">
        <f t="shared" si="4808"/>
        <v>0</v>
      </c>
      <c r="IE139" s="792">
        <f t="shared" si="4808"/>
        <v>0</v>
      </c>
      <c r="IF139" s="841">
        <f t="shared" si="4808"/>
        <v>34317.869999999995</v>
      </c>
      <c r="IG139" s="263">
        <f t="shared" si="4808"/>
        <v>34317.869999999995</v>
      </c>
      <c r="IH139" s="842">
        <f t="shared" si="4808"/>
        <v>34317.869999999995</v>
      </c>
      <c r="II139" s="155">
        <f t="shared" si="4808"/>
        <v>112.39</v>
      </c>
      <c r="IJ139" s="74">
        <f t="shared" si="4808"/>
        <v>112.39</v>
      </c>
      <c r="IK139" s="74">
        <f t="shared" si="4808"/>
        <v>112.39</v>
      </c>
      <c r="IL139" s="74">
        <f t="shared" si="4808"/>
        <v>725.35</v>
      </c>
      <c r="IM139" s="74">
        <f t="shared" si="4808"/>
        <v>725.35</v>
      </c>
      <c r="IN139" s="74">
        <f t="shared" si="4808"/>
        <v>725.35</v>
      </c>
      <c r="IO139" s="74">
        <f t="shared" si="4808"/>
        <v>5921.2699999999995</v>
      </c>
      <c r="IP139" s="74">
        <f t="shared" si="4808"/>
        <v>5921.2699999999995</v>
      </c>
      <c r="IQ139" s="74">
        <f t="shared" si="4808"/>
        <v>5921.2699999999995</v>
      </c>
      <c r="IR139" s="74">
        <f t="shared" si="4808"/>
        <v>4143.6299999999992</v>
      </c>
      <c r="IS139" s="74">
        <f t="shared" si="4808"/>
        <v>4143.6299999999992</v>
      </c>
      <c r="IT139" s="74">
        <f t="shared" si="4808"/>
        <v>4143.6299999999992</v>
      </c>
      <c r="IU139" s="74">
        <f t="shared" si="4808"/>
        <v>5165.7900000000009</v>
      </c>
      <c r="IV139" s="74">
        <f t="shared" si="4808"/>
        <v>5165.7900000000009</v>
      </c>
      <c r="IW139" s="74">
        <f t="shared" si="4808"/>
        <v>5165.7900000000009</v>
      </c>
      <c r="IX139" s="74">
        <f t="shared" si="4808"/>
        <v>2393.19</v>
      </c>
      <c r="IY139" s="74">
        <f t="shared" si="4808"/>
        <v>2393.19</v>
      </c>
      <c r="IZ139" s="74">
        <f t="shared" si="4808"/>
        <v>2393.19</v>
      </c>
      <c r="JA139" s="74">
        <f t="shared" si="4808"/>
        <v>5196.3899999999994</v>
      </c>
      <c r="JB139" s="74">
        <f t="shared" si="4808"/>
        <v>5196.3899999999994</v>
      </c>
      <c r="JC139" s="74">
        <f t="shared" si="4808"/>
        <v>5196.3899999999994</v>
      </c>
      <c r="JD139" s="74">
        <f t="shared" si="4808"/>
        <v>7221.3200000000015</v>
      </c>
      <c r="JE139" s="74">
        <f t="shared" ref="JE139:JT139" si="4811">SUM(JE140:JE147)</f>
        <v>7221.3200000000015</v>
      </c>
      <c r="JF139" s="74">
        <f t="shared" si="4811"/>
        <v>7221.3200000000015</v>
      </c>
      <c r="JG139" s="74">
        <f t="shared" si="4811"/>
        <v>532.44999999999982</v>
      </c>
      <c r="JH139" s="74">
        <f t="shared" si="4811"/>
        <v>532.44999999999982</v>
      </c>
      <c r="JI139" s="74">
        <f t="shared" si="4811"/>
        <v>532.44999999999982</v>
      </c>
      <c r="JJ139" s="74">
        <f t="shared" si="4811"/>
        <v>2906.0899999999965</v>
      </c>
      <c r="JK139" s="74">
        <f t="shared" si="4811"/>
        <v>2906.0899999999965</v>
      </c>
      <c r="JL139" s="74">
        <f t="shared" si="4811"/>
        <v>2906.0899999999965</v>
      </c>
      <c r="JM139" s="74">
        <f t="shared" si="4811"/>
        <v>0</v>
      </c>
      <c r="JN139" s="74">
        <f t="shared" si="4811"/>
        <v>0</v>
      </c>
      <c r="JO139" s="74">
        <f t="shared" si="4811"/>
        <v>0</v>
      </c>
      <c r="JP139" s="74">
        <f t="shared" si="4811"/>
        <v>0</v>
      </c>
      <c r="JQ139" s="74">
        <f t="shared" si="4811"/>
        <v>0</v>
      </c>
      <c r="JR139" s="74">
        <f t="shared" si="4811"/>
        <v>0</v>
      </c>
      <c r="JS139" s="74">
        <f t="shared" si="4811"/>
        <v>10615.130000000003</v>
      </c>
      <c r="JT139" s="102">
        <f t="shared" si="4811"/>
        <v>10615.130000000003</v>
      </c>
      <c r="JU139" s="671"/>
      <c r="JV139" s="492"/>
      <c r="JW139" s="490"/>
      <c r="JX139" s="549">
        <f>SUM(JX140:JX147)</f>
        <v>44933</v>
      </c>
      <c r="JY139" s="549">
        <f>SUM(JY140:JY147)</f>
        <v>0</v>
      </c>
      <c r="JZ139" s="581">
        <f t="shared" si="2110"/>
        <v>0</v>
      </c>
      <c r="KA139" s="581">
        <f t="shared" si="2111"/>
        <v>-30067</v>
      </c>
      <c r="KB139" s="549">
        <f>SUM(KB140:KB147)</f>
        <v>44933</v>
      </c>
      <c r="KC139" s="709">
        <f t="shared" si="2079"/>
        <v>0</v>
      </c>
      <c r="KD139" s="36"/>
      <c r="KE139" s="36"/>
      <c r="KF139" s="36"/>
      <c r="KG139" s="36"/>
      <c r="KH139" s="36"/>
      <c r="KI139" s="36"/>
      <c r="KJ139" s="36"/>
      <c r="KK139" s="36"/>
    </row>
    <row r="140" spans="1:297" s="8" customFormat="1" ht="12.75" hidden="1" customHeight="1">
      <c r="A140" s="262" t="s">
        <v>823</v>
      </c>
      <c r="B140" s="72" t="s">
        <v>163</v>
      </c>
      <c r="C140" s="74">
        <f t="shared" ref="C140:G146" si="4812">C473</f>
        <v>0</v>
      </c>
      <c r="D140" s="549">
        <f t="shared" si="4812"/>
        <v>0</v>
      </c>
      <c r="E140" s="675">
        <f t="shared" si="4812"/>
        <v>0</v>
      </c>
      <c r="F140" s="549">
        <f t="shared" si="4812"/>
        <v>0</v>
      </c>
      <c r="G140" s="675">
        <f t="shared" si="4812"/>
        <v>0</v>
      </c>
      <c r="H140" s="549">
        <f t="shared" ref="H140:M146" si="4813">H473</f>
        <v>0</v>
      </c>
      <c r="I140" s="675">
        <f t="shared" si="4813"/>
        <v>0</v>
      </c>
      <c r="J140" s="549">
        <f t="shared" si="4813"/>
        <v>0</v>
      </c>
      <c r="K140" s="675">
        <f t="shared" si="4813"/>
        <v>0</v>
      </c>
      <c r="L140" s="549">
        <f t="shared" si="4813"/>
        <v>0</v>
      </c>
      <c r="M140" s="675">
        <f t="shared" si="4813"/>
        <v>0</v>
      </c>
      <c r="N140" s="549">
        <f t="shared" ref="N140:Q146" si="4814">N473</f>
        <v>0</v>
      </c>
      <c r="O140" s="675">
        <f t="shared" si="4814"/>
        <v>0</v>
      </c>
      <c r="P140" s="549">
        <f t="shared" si="4814"/>
        <v>0</v>
      </c>
      <c r="Q140" s="675">
        <f t="shared" si="4814"/>
        <v>0</v>
      </c>
      <c r="R140" s="549">
        <f t="shared" ref="R140:U146" si="4815">R473</f>
        <v>0</v>
      </c>
      <c r="S140" s="675">
        <f t="shared" si="4815"/>
        <v>0</v>
      </c>
      <c r="T140" s="549">
        <f t="shared" si="4815"/>
        <v>0</v>
      </c>
      <c r="U140" s="675">
        <f t="shared" si="4815"/>
        <v>0</v>
      </c>
      <c r="V140" s="549">
        <f t="shared" ref="V140:AC146" si="4816">V473</f>
        <v>0</v>
      </c>
      <c r="W140" s="675">
        <f t="shared" si="4816"/>
        <v>0</v>
      </c>
      <c r="X140" s="549">
        <f t="shared" ref="X140:Y146" si="4817">X473</f>
        <v>0</v>
      </c>
      <c r="Y140" s="675">
        <f t="shared" si="4817"/>
        <v>0</v>
      </c>
      <c r="Z140" s="549">
        <f t="shared" si="4816"/>
        <v>0</v>
      </c>
      <c r="AA140" s="675">
        <f t="shared" si="4816"/>
        <v>0</v>
      </c>
      <c r="AB140" s="549">
        <f t="shared" si="4816"/>
        <v>0</v>
      </c>
      <c r="AC140" s="675">
        <f t="shared" si="4816"/>
        <v>0</v>
      </c>
      <c r="AD140" s="549">
        <f t="shared" ref="AD140:AK140" si="4818">AD473</f>
        <v>0</v>
      </c>
      <c r="AE140" s="675">
        <f t="shared" si="4818"/>
        <v>0</v>
      </c>
      <c r="AF140" s="549">
        <f t="shared" si="4818"/>
        <v>0</v>
      </c>
      <c r="AG140" s="675">
        <f t="shared" si="4818"/>
        <v>0</v>
      </c>
      <c r="AH140" s="549">
        <f t="shared" si="4818"/>
        <v>0</v>
      </c>
      <c r="AI140" s="675">
        <f t="shared" si="4818"/>
        <v>0</v>
      </c>
      <c r="AJ140" s="549">
        <f t="shared" si="4818"/>
        <v>0</v>
      </c>
      <c r="AK140" s="675">
        <f t="shared" si="4818"/>
        <v>0</v>
      </c>
      <c r="AL140" s="549">
        <f t="shared" ref="AL140:AM146" si="4819">AL473</f>
        <v>0</v>
      </c>
      <c r="AM140" s="675">
        <f t="shared" si="4819"/>
        <v>0</v>
      </c>
      <c r="AN140" s="549">
        <f t="shared" ref="AN140:AQ146" si="4820">AN473</f>
        <v>0</v>
      </c>
      <c r="AO140" s="675">
        <f t="shared" si="4820"/>
        <v>0</v>
      </c>
      <c r="AP140" s="549">
        <f t="shared" si="4820"/>
        <v>0</v>
      </c>
      <c r="AQ140" s="675">
        <f t="shared" si="4820"/>
        <v>0</v>
      </c>
      <c r="AR140" s="549">
        <f t="shared" ref="AR140:AS146" si="4821">AR473</f>
        <v>0</v>
      </c>
      <c r="AS140" s="675">
        <f t="shared" si="4821"/>
        <v>0</v>
      </c>
      <c r="AT140" s="549">
        <f t="shared" ref="AT140:AU140" si="4822">AT473</f>
        <v>0</v>
      </c>
      <c r="AU140" s="675">
        <f t="shared" si="4822"/>
        <v>0</v>
      </c>
      <c r="AV140" s="549">
        <f t="shared" ref="AV140:AW140" si="4823">AV473</f>
        <v>0</v>
      </c>
      <c r="AW140" s="675">
        <f t="shared" si="4823"/>
        <v>0</v>
      </c>
      <c r="AX140" s="549">
        <f t="shared" ref="AX140:AY140" si="4824">AX473</f>
        <v>0</v>
      </c>
      <c r="AY140" s="675">
        <f t="shared" si="4824"/>
        <v>0</v>
      </c>
      <c r="AZ140" s="549">
        <f t="shared" ref="AZ140:BA140" si="4825">AZ473</f>
        <v>0</v>
      </c>
      <c r="BA140" s="675">
        <f t="shared" si="4825"/>
        <v>0</v>
      </c>
      <c r="BB140" s="549">
        <f t="shared" ref="BB140:BC140" si="4826">BB473</f>
        <v>0</v>
      </c>
      <c r="BC140" s="675">
        <f t="shared" si="4826"/>
        <v>0</v>
      </c>
      <c r="BD140" s="549">
        <f t="shared" ref="BD140:BE140" si="4827">BD473</f>
        <v>0</v>
      </c>
      <c r="BE140" s="675">
        <f t="shared" si="4827"/>
        <v>0</v>
      </c>
      <c r="BF140" s="549">
        <f t="shared" ref="BF140:BG140" si="4828">BF473</f>
        <v>0</v>
      </c>
      <c r="BG140" s="675">
        <f t="shared" si="4828"/>
        <v>0</v>
      </c>
      <c r="BH140" s="549">
        <f t="shared" ref="BH140:BI140" si="4829">BH473</f>
        <v>0</v>
      </c>
      <c r="BI140" s="675">
        <f t="shared" si="4829"/>
        <v>0</v>
      </c>
      <c r="BJ140" s="549">
        <f t="shared" ref="BJ140:BK140" si="4830">BJ473</f>
        <v>0</v>
      </c>
      <c r="BK140" s="675">
        <f t="shared" si="4830"/>
        <v>0</v>
      </c>
      <c r="BL140" s="549">
        <f t="shared" ref="BL140:BS140" si="4831">BL473</f>
        <v>0</v>
      </c>
      <c r="BM140" s="675">
        <f t="shared" si="4831"/>
        <v>0</v>
      </c>
      <c r="BN140" s="549">
        <f t="shared" si="4831"/>
        <v>0</v>
      </c>
      <c r="BO140" s="675">
        <f t="shared" si="4831"/>
        <v>0</v>
      </c>
      <c r="BP140" s="549">
        <f t="shared" si="4831"/>
        <v>0</v>
      </c>
      <c r="BQ140" s="675">
        <f t="shared" si="4831"/>
        <v>0</v>
      </c>
      <c r="BR140" s="549">
        <f t="shared" si="4831"/>
        <v>0</v>
      </c>
      <c r="BS140" s="675">
        <f t="shared" si="4831"/>
        <v>0</v>
      </c>
      <c r="BT140" s="549">
        <f t="shared" ref="BT140:BW146" si="4832">BT473</f>
        <v>0</v>
      </c>
      <c r="BU140" s="675">
        <f t="shared" si="4832"/>
        <v>0</v>
      </c>
      <c r="BV140" s="549">
        <f t="shared" si="4832"/>
        <v>0</v>
      </c>
      <c r="BW140" s="675">
        <f t="shared" si="4832"/>
        <v>0</v>
      </c>
      <c r="BX140" s="549">
        <f t="shared" ref="BX140:BY140" si="4833">BX473</f>
        <v>0</v>
      </c>
      <c r="BY140" s="675">
        <f t="shared" si="4833"/>
        <v>0</v>
      </c>
      <c r="BZ140" s="549">
        <f t="shared" ref="BZ140:CA140" si="4834">BZ473</f>
        <v>0</v>
      </c>
      <c r="CA140" s="675">
        <f t="shared" si="4834"/>
        <v>0</v>
      </c>
      <c r="CB140" s="549">
        <f t="shared" ref="CB140:CE140" si="4835">CB473</f>
        <v>0</v>
      </c>
      <c r="CC140" s="675">
        <f t="shared" si="4835"/>
        <v>0</v>
      </c>
      <c r="CD140" s="549">
        <f t="shared" si="4835"/>
        <v>0</v>
      </c>
      <c r="CE140" s="675">
        <f t="shared" si="4835"/>
        <v>0</v>
      </c>
      <c r="CF140" s="549">
        <f t="shared" ref="CF140:CG146" si="4836">CF473</f>
        <v>0</v>
      </c>
      <c r="CG140" s="675">
        <f t="shared" si="4836"/>
        <v>0</v>
      </c>
      <c r="CH140" s="549">
        <f t="shared" ref="CH140:CQ140" si="4837">CH473</f>
        <v>0</v>
      </c>
      <c r="CI140" s="675">
        <f t="shared" si="4837"/>
        <v>0</v>
      </c>
      <c r="CJ140" s="549">
        <f t="shared" si="4837"/>
        <v>0</v>
      </c>
      <c r="CK140" s="675">
        <f t="shared" si="4837"/>
        <v>0</v>
      </c>
      <c r="CL140" s="549">
        <f t="shared" si="4837"/>
        <v>0</v>
      </c>
      <c r="CM140" s="675">
        <f t="shared" si="4837"/>
        <v>0</v>
      </c>
      <c r="CN140" s="549">
        <f t="shared" si="4837"/>
        <v>0</v>
      </c>
      <c r="CO140" s="675">
        <f t="shared" si="4837"/>
        <v>0</v>
      </c>
      <c r="CP140" s="549">
        <f t="shared" si="4837"/>
        <v>0</v>
      </c>
      <c r="CQ140" s="675">
        <f t="shared" si="4837"/>
        <v>0</v>
      </c>
      <c r="CR140" s="549">
        <f t="shared" ref="CR140:DG140" si="4838">CR473</f>
        <v>0</v>
      </c>
      <c r="CS140" s="675">
        <f t="shared" si="4838"/>
        <v>0</v>
      </c>
      <c r="CT140" s="549">
        <f t="shared" si="4838"/>
        <v>0</v>
      </c>
      <c r="CU140" s="675">
        <f t="shared" si="4838"/>
        <v>0</v>
      </c>
      <c r="CV140" s="549">
        <f t="shared" si="4838"/>
        <v>0</v>
      </c>
      <c r="CW140" s="675">
        <f t="shared" si="4838"/>
        <v>0</v>
      </c>
      <c r="CX140" s="549">
        <f t="shared" si="4838"/>
        <v>0</v>
      </c>
      <c r="CY140" s="675">
        <f t="shared" si="4838"/>
        <v>0</v>
      </c>
      <c r="CZ140" s="549">
        <f t="shared" si="4838"/>
        <v>0</v>
      </c>
      <c r="DA140" s="675">
        <f t="shared" si="4838"/>
        <v>0</v>
      </c>
      <c r="DB140" s="549">
        <f t="shared" si="4838"/>
        <v>0</v>
      </c>
      <c r="DC140" s="675">
        <f t="shared" si="4838"/>
        <v>0</v>
      </c>
      <c r="DD140" s="549">
        <f t="shared" si="4838"/>
        <v>0</v>
      </c>
      <c r="DE140" s="675">
        <f t="shared" si="4838"/>
        <v>0</v>
      </c>
      <c r="DF140" s="549">
        <f t="shared" si="4838"/>
        <v>0</v>
      </c>
      <c r="DG140" s="675">
        <f t="shared" si="4838"/>
        <v>0</v>
      </c>
      <c r="DH140" s="549">
        <f t="shared" ref="DH140:DI142" si="4839">DH473</f>
        <v>0</v>
      </c>
      <c r="DI140" s="675">
        <f t="shared" si="4839"/>
        <v>0</v>
      </c>
      <c r="DJ140" s="549">
        <f t="shared" ref="DJ140:DO146" si="4840">DJ473</f>
        <v>0</v>
      </c>
      <c r="DK140" s="675">
        <f t="shared" si="4840"/>
        <v>0</v>
      </c>
      <c r="DL140" s="549">
        <f t="shared" si="4840"/>
        <v>0</v>
      </c>
      <c r="DM140" s="675">
        <f t="shared" si="4840"/>
        <v>0</v>
      </c>
      <c r="DN140" s="549">
        <f t="shared" si="4840"/>
        <v>0</v>
      </c>
      <c r="DO140" s="675">
        <f t="shared" si="4840"/>
        <v>0</v>
      </c>
      <c r="DP140" s="549">
        <f t="shared" ref="DP140:DU140" si="4841">DP473</f>
        <v>0</v>
      </c>
      <c r="DQ140" s="675">
        <f t="shared" si="4841"/>
        <v>0</v>
      </c>
      <c r="DR140" s="549">
        <f t="shared" si="4841"/>
        <v>0</v>
      </c>
      <c r="DS140" s="675">
        <f t="shared" si="4841"/>
        <v>0</v>
      </c>
      <c r="DT140" s="549">
        <f t="shared" si="4841"/>
        <v>0</v>
      </c>
      <c r="DU140" s="675">
        <f t="shared" si="4841"/>
        <v>0</v>
      </c>
      <c r="DV140" s="549">
        <f t="shared" ref="DV140:DW146" si="4842">DV473</f>
        <v>0</v>
      </c>
      <c r="DW140" s="675">
        <f t="shared" si="4842"/>
        <v>0</v>
      </c>
      <c r="DX140" s="549">
        <f t="shared" ref="DX140:EG140" si="4843">DX473</f>
        <v>0</v>
      </c>
      <c r="DY140" s="675">
        <f t="shared" si="4843"/>
        <v>0</v>
      </c>
      <c r="DZ140" s="549">
        <f t="shared" si="4843"/>
        <v>0</v>
      </c>
      <c r="EA140" s="675">
        <f t="shared" si="4843"/>
        <v>0</v>
      </c>
      <c r="EB140" s="549">
        <f t="shared" si="4843"/>
        <v>0</v>
      </c>
      <c r="EC140" s="675">
        <f t="shared" si="4843"/>
        <v>0</v>
      </c>
      <c r="ED140" s="549">
        <f t="shared" si="4843"/>
        <v>0</v>
      </c>
      <c r="EE140" s="675">
        <f t="shared" si="4843"/>
        <v>0</v>
      </c>
      <c r="EF140" s="549">
        <f t="shared" si="4843"/>
        <v>0</v>
      </c>
      <c r="EG140" s="675">
        <f t="shared" si="4843"/>
        <v>0</v>
      </c>
      <c r="EH140" s="549">
        <f t="shared" ref="EH140:EM140" si="4844">EH473</f>
        <v>0</v>
      </c>
      <c r="EI140" s="675">
        <f t="shared" si="4844"/>
        <v>0</v>
      </c>
      <c r="EJ140" s="549">
        <f t="shared" si="4844"/>
        <v>0</v>
      </c>
      <c r="EK140" s="675">
        <f t="shared" si="4844"/>
        <v>0</v>
      </c>
      <c r="EL140" s="549">
        <f t="shared" si="4844"/>
        <v>0</v>
      </c>
      <c r="EM140" s="675">
        <f t="shared" si="4844"/>
        <v>0</v>
      </c>
      <c r="EN140" s="549">
        <f t="shared" ref="EN140:EO146" si="4845">EN473</f>
        <v>0</v>
      </c>
      <c r="EO140" s="675">
        <f t="shared" si="4845"/>
        <v>0</v>
      </c>
      <c r="EP140" s="549">
        <f t="shared" ref="EP140:EU140" si="4846">EP473</f>
        <v>0</v>
      </c>
      <c r="EQ140" s="675">
        <f t="shared" si="4846"/>
        <v>0</v>
      </c>
      <c r="ER140" s="549">
        <f t="shared" si="4846"/>
        <v>0</v>
      </c>
      <c r="ES140" s="675">
        <f t="shared" si="4846"/>
        <v>0</v>
      </c>
      <c r="ET140" s="549">
        <f t="shared" si="4846"/>
        <v>0</v>
      </c>
      <c r="EU140" s="675">
        <f t="shared" si="4846"/>
        <v>0</v>
      </c>
      <c r="EV140" s="549">
        <f t="shared" ref="EV140:GQ140" si="4847">EV473</f>
        <v>0</v>
      </c>
      <c r="EW140" s="675">
        <f t="shared" si="4847"/>
        <v>0</v>
      </c>
      <c r="EX140" s="549">
        <f t="shared" si="4847"/>
        <v>0</v>
      </c>
      <c r="EY140" s="675">
        <f t="shared" si="4847"/>
        <v>0</v>
      </c>
      <c r="EZ140" s="549">
        <f t="shared" si="4847"/>
        <v>0</v>
      </c>
      <c r="FA140" s="675">
        <f t="shared" si="4847"/>
        <v>0</v>
      </c>
      <c r="FB140" s="549">
        <f t="shared" si="4847"/>
        <v>0</v>
      </c>
      <c r="FC140" s="675">
        <f t="shared" si="4847"/>
        <v>0</v>
      </c>
      <c r="FD140" s="549">
        <f t="shared" si="4847"/>
        <v>0</v>
      </c>
      <c r="FE140" s="675">
        <f t="shared" si="4847"/>
        <v>0</v>
      </c>
      <c r="FF140" s="549">
        <f t="shared" ref="FF140:FG140" si="4848">FF473</f>
        <v>0</v>
      </c>
      <c r="FG140" s="675">
        <f t="shared" si="4848"/>
        <v>0</v>
      </c>
      <c r="FH140" s="549">
        <f t="shared" ref="FH140:FI140" si="4849">FH473</f>
        <v>0</v>
      </c>
      <c r="FI140" s="675">
        <f t="shared" si="4849"/>
        <v>0</v>
      </c>
      <c r="FJ140" s="549">
        <f t="shared" ref="FJ140:FK140" si="4850">FJ473</f>
        <v>0</v>
      </c>
      <c r="FK140" s="675">
        <f t="shared" si="4850"/>
        <v>0</v>
      </c>
      <c r="FL140" s="549">
        <f t="shared" ref="FL140:FM140" si="4851">FL473</f>
        <v>0</v>
      </c>
      <c r="FM140" s="675">
        <f t="shared" si="4851"/>
        <v>0</v>
      </c>
      <c r="FN140" s="549">
        <f t="shared" ref="FN140:FO140" si="4852">FN473</f>
        <v>0</v>
      </c>
      <c r="FO140" s="675">
        <f t="shared" si="4852"/>
        <v>0</v>
      </c>
      <c r="FP140" s="549">
        <f t="shared" ref="FP140:FQ140" si="4853">FP473</f>
        <v>0</v>
      </c>
      <c r="FQ140" s="675">
        <f t="shared" si="4853"/>
        <v>0</v>
      </c>
      <c r="FR140" s="549">
        <f t="shared" ref="FR140:FS140" si="4854">FR473</f>
        <v>0</v>
      </c>
      <c r="FS140" s="675">
        <f t="shared" si="4854"/>
        <v>0</v>
      </c>
      <c r="FT140" s="549">
        <f t="shared" ref="FT140:FU140" si="4855">FT473</f>
        <v>0</v>
      </c>
      <c r="FU140" s="675">
        <f t="shared" si="4855"/>
        <v>0</v>
      </c>
      <c r="FV140" s="549">
        <f t="shared" ref="FV140:GK140" si="4856">FV473</f>
        <v>0</v>
      </c>
      <c r="FW140" s="675">
        <f t="shared" si="4856"/>
        <v>0</v>
      </c>
      <c r="FX140" s="549">
        <f t="shared" si="4856"/>
        <v>0</v>
      </c>
      <c r="FY140" s="675">
        <f t="shared" si="4856"/>
        <v>0</v>
      </c>
      <c r="FZ140" s="549">
        <f t="shared" ref="FZ140:GI140" si="4857">FZ473</f>
        <v>0</v>
      </c>
      <c r="GA140" s="675">
        <f t="shared" si="4857"/>
        <v>0</v>
      </c>
      <c r="GB140" s="549">
        <f t="shared" si="4857"/>
        <v>0</v>
      </c>
      <c r="GC140" s="675">
        <f t="shared" si="4857"/>
        <v>0</v>
      </c>
      <c r="GD140" s="549">
        <f t="shared" si="4857"/>
        <v>0</v>
      </c>
      <c r="GE140" s="675">
        <f t="shared" si="4857"/>
        <v>0</v>
      </c>
      <c r="GF140" s="549">
        <f t="shared" si="4857"/>
        <v>0</v>
      </c>
      <c r="GG140" s="675">
        <f t="shared" si="4857"/>
        <v>0</v>
      </c>
      <c r="GH140" s="549">
        <f t="shared" si="4857"/>
        <v>0</v>
      </c>
      <c r="GI140" s="675">
        <f t="shared" si="4857"/>
        <v>0</v>
      </c>
      <c r="GJ140" s="549">
        <f t="shared" si="4856"/>
        <v>0</v>
      </c>
      <c r="GK140" s="675">
        <f t="shared" si="4856"/>
        <v>0</v>
      </c>
      <c r="GL140" s="549">
        <f t="shared" ref="GL140:GM140" si="4858">GL473</f>
        <v>0</v>
      </c>
      <c r="GM140" s="675">
        <f t="shared" si="4858"/>
        <v>0</v>
      </c>
      <c r="GN140" s="549">
        <f t="shared" ref="GN140:GO140" si="4859">GN473</f>
        <v>0</v>
      </c>
      <c r="GO140" s="675">
        <f t="shared" si="4859"/>
        <v>0</v>
      </c>
      <c r="GP140" s="74">
        <f t="shared" si="4847"/>
        <v>0</v>
      </c>
      <c r="GQ140" s="675">
        <f t="shared" si="4847"/>
        <v>0</v>
      </c>
      <c r="GR140" s="74">
        <f t="shared" ref="GR140:HD140" si="4860">GR473</f>
        <v>0</v>
      </c>
      <c r="GS140" s="74">
        <f t="shared" si="4860"/>
        <v>0</v>
      </c>
      <c r="GT140" s="549">
        <f t="shared" si="4860"/>
        <v>0</v>
      </c>
      <c r="GU140" s="74">
        <f t="shared" si="4860"/>
        <v>0</v>
      </c>
      <c r="GV140" s="74">
        <f t="shared" si="4860"/>
        <v>0</v>
      </c>
      <c r="GW140" s="549">
        <f t="shared" si="4860"/>
        <v>0</v>
      </c>
      <c r="GX140" s="549">
        <f t="shared" si="4860"/>
        <v>0</v>
      </c>
      <c r="GY140" s="74">
        <f t="shared" si="4860"/>
        <v>0</v>
      </c>
      <c r="GZ140" s="74">
        <f t="shared" si="4860"/>
        <v>0</v>
      </c>
      <c r="HA140" s="74">
        <f t="shared" si="4860"/>
        <v>0</v>
      </c>
      <c r="HB140" s="74">
        <f t="shared" si="4860"/>
        <v>0</v>
      </c>
      <c r="HC140" s="74">
        <f t="shared" si="4860"/>
        <v>0</v>
      </c>
      <c r="HD140" s="74">
        <f t="shared" si="4860"/>
        <v>0</v>
      </c>
      <c r="HE140" s="74">
        <f t="shared" ref="HE140:II140" si="4861">HE473</f>
        <v>0</v>
      </c>
      <c r="HF140" s="74">
        <f t="shared" si="4861"/>
        <v>0</v>
      </c>
      <c r="HG140" s="74">
        <f t="shared" si="4861"/>
        <v>0</v>
      </c>
      <c r="HH140" s="74">
        <f t="shared" ref="HH140:HU140" si="4862">HH473</f>
        <v>0</v>
      </c>
      <c r="HI140" s="74">
        <f t="shared" si="4862"/>
        <v>0</v>
      </c>
      <c r="HJ140" s="74">
        <f t="shared" si="4862"/>
        <v>0</v>
      </c>
      <c r="HK140" s="74">
        <f t="shared" si="4862"/>
        <v>0</v>
      </c>
      <c r="HL140" s="74">
        <f t="shared" si="4862"/>
        <v>0</v>
      </c>
      <c r="HM140" s="74">
        <f t="shared" si="4862"/>
        <v>0</v>
      </c>
      <c r="HN140" s="74">
        <f t="shared" si="4862"/>
        <v>0</v>
      </c>
      <c r="HO140" s="74">
        <f t="shared" si="4862"/>
        <v>0</v>
      </c>
      <c r="HP140" s="74">
        <f t="shared" si="4862"/>
        <v>0</v>
      </c>
      <c r="HQ140" s="74">
        <f t="shared" si="4862"/>
        <v>0</v>
      </c>
      <c r="HR140" s="74">
        <f t="shared" si="4862"/>
        <v>0</v>
      </c>
      <c r="HS140" s="74">
        <f t="shared" si="4862"/>
        <v>0</v>
      </c>
      <c r="HT140" s="74">
        <f t="shared" si="4862"/>
        <v>0</v>
      </c>
      <c r="HU140" s="74">
        <f t="shared" si="4862"/>
        <v>0</v>
      </c>
      <c r="HV140" s="74">
        <f t="shared" si="4861"/>
        <v>0</v>
      </c>
      <c r="HW140" s="74">
        <f t="shared" si="4861"/>
        <v>0</v>
      </c>
      <c r="HX140" s="74">
        <f t="shared" si="4861"/>
        <v>0</v>
      </c>
      <c r="HY140" s="74">
        <f t="shared" si="4861"/>
        <v>0</v>
      </c>
      <c r="HZ140" s="74">
        <f t="shared" si="4861"/>
        <v>0</v>
      </c>
      <c r="IA140" s="74">
        <f t="shared" si="4861"/>
        <v>0</v>
      </c>
      <c r="IB140" s="74">
        <f t="shared" si="4861"/>
        <v>0</v>
      </c>
      <c r="IC140" s="74">
        <f t="shared" si="4861"/>
        <v>0</v>
      </c>
      <c r="ID140" s="74">
        <f t="shared" si="4861"/>
        <v>0</v>
      </c>
      <c r="IE140" s="792">
        <f t="shared" si="4861"/>
        <v>0</v>
      </c>
      <c r="IF140" s="841">
        <f t="shared" si="4861"/>
        <v>0</v>
      </c>
      <c r="IG140" s="263">
        <f t="shared" si="4861"/>
        <v>0</v>
      </c>
      <c r="IH140" s="842">
        <f t="shared" si="4861"/>
        <v>0</v>
      </c>
      <c r="II140" s="155">
        <f t="shared" si="4861"/>
        <v>0</v>
      </c>
      <c r="IJ140" s="74">
        <f t="shared" ref="IJ140:JA140" si="4863">IJ473</f>
        <v>0</v>
      </c>
      <c r="IK140" s="74">
        <f t="shared" si="4863"/>
        <v>0</v>
      </c>
      <c r="IL140" s="74">
        <f t="shared" si="4863"/>
        <v>0</v>
      </c>
      <c r="IM140" s="74">
        <f t="shared" si="4863"/>
        <v>0</v>
      </c>
      <c r="IN140" s="74">
        <f t="shared" si="4863"/>
        <v>0</v>
      </c>
      <c r="IO140" s="74">
        <f t="shared" si="4863"/>
        <v>0</v>
      </c>
      <c r="IP140" s="74">
        <f t="shared" si="4863"/>
        <v>0</v>
      </c>
      <c r="IQ140" s="74">
        <f t="shared" si="4863"/>
        <v>0</v>
      </c>
      <c r="IR140" s="74">
        <f t="shared" si="4863"/>
        <v>0</v>
      </c>
      <c r="IS140" s="74">
        <f t="shared" si="4863"/>
        <v>0</v>
      </c>
      <c r="IT140" s="74">
        <f t="shared" si="4863"/>
        <v>0</v>
      </c>
      <c r="IU140" s="74">
        <f t="shared" si="4863"/>
        <v>0</v>
      </c>
      <c r="IV140" s="74">
        <f t="shared" si="4863"/>
        <v>0</v>
      </c>
      <c r="IW140" s="74">
        <f t="shared" si="4863"/>
        <v>0</v>
      </c>
      <c r="IX140" s="74">
        <f t="shared" si="4863"/>
        <v>0</v>
      </c>
      <c r="IY140" s="74">
        <f t="shared" si="4863"/>
        <v>0</v>
      </c>
      <c r="IZ140" s="74">
        <f t="shared" si="4863"/>
        <v>0</v>
      </c>
      <c r="JA140" s="74">
        <f t="shared" si="4863"/>
        <v>0</v>
      </c>
      <c r="JB140" s="74">
        <f t="shared" ref="JB140:JT140" si="4864">JB473</f>
        <v>0</v>
      </c>
      <c r="JC140" s="74">
        <f t="shared" si="4864"/>
        <v>0</v>
      </c>
      <c r="JD140" s="74">
        <f t="shared" si="4864"/>
        <v>0</v>
      </c>
      <c r="JE140" s="74">
        <f t="shared" si="4864"/>
        <v>0</v>
      </c>
      <c r="JF140" s="74">
        <f t="shared" si="4864"/>
        <v>0</v>
      </c>
      <c r="JG140" s="74">
        <f t="shared" si="4864"/>
        <v>0</v>
      </c>
      <c r="JH140" s="74">
        <f t="shared" si="4864"/>
        <v>0</v>
      </c>
      <c r="JI140" s="74">
        <f t="shared" si="4864"/>
        <v>0</v>
      </c>
      <c r="JJ140" s="74">
        <f t="shared" si="4864"/>
        <v>0</v>
      </c>
      <c r="JK140" s="74">
        <f t="shared" si="4864"/>
        <v>0</v>
      </c>
      <c r="JL140" s="74">
        <f t="shared" si="4864"/>
        <v>0</v>
      </c>
      <c r="JM140" s="74">
        <f t="shared" si="4864"/>
        <v>0</v>
      </c>
      <c r="JN140" s="74">
        <f t="shared" si="4864"/>
        <v>0</v>
      </c>
      <c r="JO140" s="74">
        <f t="shared" si="4864"/>
        <v>0</v>
      </c>
      <c r="JP140" s="74">
        <f t="shared" si="4864"/>
        <v>0</v>
      </c>
      <c r="JQ140" s="74">
        <f t="shared" si="4864"/>
        <v>0</v>
      </c>
      <c r="JR140" s="74">
        <f t="shared" si="4864"/>
        <v>0</v>
      </c>
      <c r="JS140" s="74">
        <f t="shared" si="4864"/>
        <v>0</v>
      </c>
      <c r="JT140" s="102">
        <f t="shared" si="4864"/>
        <v>0</v>
      </c>
      <c r="JU140" s="671"/>
      <c r="JV140" s="492"/>
      <c r="JW140" s="490"/>
      <c r="JX140" s="549">
        <f t="shared" ref="JX140:JY146" si="4865">JX473</f>
        <v>0</v>
      </c>
      <c r="JY140" s="549">
        <f t="shared" si="4865"/>
        <v>0</v>
      </c>
      <c r="JZ140" s="581">
        <f t="shared" si="2110"/>
        <v>0</v>
      </c>
      <c r="KA140" s="581">
        <f t="shared" si="2111"/>
        <v>0</v>
      </c>
      <c r="KB140" s="549">
        <f t="shared" ref="KB140:KB146" si="4866">KB473</f>
        <v>0</v>
      </c>
      <c r="KC140" s="709">
        <f t="shared" si="2079"/>
        <v>0</v>
      </c>
      <c r="KD140" s="36"/>
      <c r="KE140" s="36"/>
      <c r="KF140" s="36"/>
      <c r="KG140" s="36"/>
      <c r="KH140" s="36"/>
      <c r="KI140" s="36"/>
      <c r="KJ140" s="36"/>
      <c r="KK140" s="36"/>
    </row>
    <row r="141" spans="1:297" s="8" customFormat="1">
      <c r="A141" s="75" t="s">
        <v>162</v>
      </c>
      <c r="B141" s="72" t="s">
        <v>163</v>
      </c>
      <c r="C141" s="74">
        <f t="shared" si="4812"/>
        <v>6900</v>
      </c>
      <c r="D141" s="549">
        <f t="shared" si="4812"/>
        <v>0</v>
      </c>
      <c r="E141" s="675">
        <f t="shared" si="4812"/>
        <v>0</v>
      </c>
      <c r="F141" s="549">
        <f t="shared" si="4812"/>
        <v>0</v>
      </c>
      <c r="G141" s="675">
        <f t="shared" si="4812"/>
        <v>0</v>
      </c>
      <c r="H141" s="549">
        <f t="shared" si="4813"/>
        <v>0</v>
      </c>
      <c r="I141" s="675">
        <f t="shared" si="4813"/>
        <v>0</v>
      </c>
      <c r="J141" s="549">
        <f t="shared" si="4813"/>
        <v>0</v>
      </c>
      <c r="K141" s="675">
        <f t="shared" si="4813"/>
        <v>0</v>
      </c>
      <c r="L141" s="549">
        <f t="shared" si="4813"/>
        <v>0</v>
      </c>
      <c r="M141" s="675">
        <f t="shared" si="4813"/>
        <v>0</v>
      </c>
      <c r="N141" s="549">
        <f t="shared" si="4814"/>
        <v>0</v>
      </c>
      <c r="O141" s="675">
        <f t="shared" si="4814"/>
        <v>0</v>
      </c>
      <c r="P141" s="549">
        <f t="shared" si="4814"/>
        <v>0</v>
      </c>
      <c r="Q141" s="675">
        <f t="shared" si="4814"/>
        <v>0</v>
      </c>
      <c r="R141" s="549">
        <f t="shared" si="4815"/>
        <v>0</v>
      </c>
      <c r="S141" s="675">
        <f t="shared" si="4815"/>
        <v>0</v>
      </c>
      <c r="T141" s="549">
        <f t="shared" si="4815"/>
        <v>0</v>
      </c>
      <c r="U141" s="675">
        <f t="shared" si="4815"/>
        <v>0</v>
      </c>
      <c r="V141" s="549">
        <f t="shared" si="4816"/>
        <v>0</v>
      </c>
      <c r="W141" s="675">
        <f t="shared" si="4816"/>
        <v>-4000</v>
      </c>
      <c r="X141" s="549">
        <f t="shared" si="4817"/>
        <v>0</v>
      </c>
      <c r="Y141" s="675">
        <f t="shared" si="4817"/>
        <v>0</v>
      </c>
      <c r="Z141" s="549">
        <f t="shared" si="4816"/>
        <v>0</v>
      </c>
      <c r="AA141" s="675">
        <f t="shared" si="4816"/>
        <v>0</v>
      </c>
      <c r="AB141" s="549">
        <f t="shared" si="4816"/>
        <v>0</v>
      </c>
      <c r="AC141" s="675">
        <f t="shared" si="4816"/>
        <v>0</v>
      </c>
      <c r="AD141" s="549">
        <f t="shared" ref="AD141:AK141" si="4867">AD474</f>
        <v>0</v>
      </c>
      <c r="AE141" s="675">
        <f t="shared" si="4867"/>
        <v>-2000</v>
      </c>
      <c r="AF141" s="549">
        <f t="shared" si="4867"/>
        <v>0</v>
      </c>
      <c r="AG141" s="675">
        <f t="shared" si="4867"/>
        <v>0</v>
      </c>
      <c r="AH141" s="549">
        <f t="shared" si="4867"/>
        <v>0</v>
      </c>
      <c r="AI141" s="675">
        <f t="shared" si="4867"/>
        <v>0</v>
      </c>
      <c r="AJ141" s="549">
        <f t="shared" si="4867"/>
        <v>0</v>
      </c>
      <c r="AK141" s="675">
        <f t="shared" si="4867"/>
        <v>0</v>
      </c>
      <c r="AL141" s="549">
        <f t="shared" si="4819"/>
        <v>0</v>
      </c>
      <c r="AM141" s="675">
        <f t="shared" si="4819"/>
        <v>0</v>
      </c>
      <c r="AN141" s="549">
        <f t="shared" si="4820"/>
        <v>0</v>
      </c>
      <c r="AO141" s="675">
        <f t="shared" si="4820"/>
        <v>0</v>
      </c>
      <c r="AP141" s="549">
        <f t="shared" si="4820"/>
        <v>0</v>
      </c>
      <c r="AQ141" s="675">
        <f t="shared" si="4820"/>
        <v>0</v>
      </c>
      <c r="AR141" s="549">
        <f t="shared" si="4821"/>
        <v>0</v>
      </c>
      <c r="AS141" s="675">
        <f t="shared" si="4821"/>
        <v>0</v>
      </c>
      <c r="AT141" s="549">
        <f t="shared" ref="AT141:AU141" si="4868">AT474</f>
        <v>0</v>
      </c>
      <c r="AU141" s="675">
        <f t="shared" si="4868"/>
        <v>0</v>
      </c>
      <c r="AV141" s="549">
        <f t="shared" ref="AV141:AW141" si="4869">AV474</f>
        <v>0</v>
      </c>
      <c r="AW141" s="675">
        <f t="shared" si="4869"/>
        <v>0</v>
      </c>
      <c r="AX141" s="549">
        <f t="shared" ref="AX141:AY141" si="4870">AX474</f>
        <v>0</v>
      </c>
      <c r="AY141" s="675">
        <f t="shared" si="4870"/>
        <v>0</v>
      </c>
      <c r="AZ141" s="549">
        <f t="shared" ref="AZ141:BA141" si="4871">AZ474</f>
        <v>0</v>
      </c>
      <c r="BA141" s="675">
        <f t="shared" si="4871"/>
        <v>0</v>
      </c>
      <c r="BB141" s="549">
        <f t="shared" ref="BB141:BC141" si="4872">BB474</f>
        <v>0</v>
      </c>
      <c r="BC141" s="675">
        <f t="shared" si="4872"/>
        <v>0</v>
      </c>
      <c r="BD141" s="549">
        <f t="shared" ref="BD141:BE141" si="4873">BD474</f>
        <v>0</v>
      </c>
      <c r="BE141" s="675">
        <f t="shared" si="4873"/>
        <v>0</v>
      </c>
      <c r="BF141" s="549">
        <f t="shared" ref="BF141:BG141" si="4874">BF474</f>
        <v>0</v>
      </c>
      <c r="BG141" s="675">
        <f t="shared" si="4874"/>
        <v>0</v>
      </c>
      <c r="BH141" s="549">
        <f t="shared" ref="BH141:BI141" si="4875">BH474</f>
        <v>0</v>
      </c>
      <c r="BI141" s="675">
        <f t="shared" si="4875"/>
        <v>0</v>
      </c>
      <c r="BJ141" s="549">
        <f t="shared" ref="BJ141:BK141" si="4876">BJ474</f>
        <v>0</v>
      </c>
      <c r="BK141" s="675">
        <f t="shared" si="4876"/>
        <v>0</v>
      </c>
      <c r="BL141" s="549">
        <f t="shared" ref="BL141:BS141" si="4877">BL474</f>
        <v>0</v>
      </c>
      <c r="BM141" s="675">
        <f t="shared" si="4877"/>
        <v>0</v>
      </c>
      <c r="BN141" s="549">
        <f t="shared" si="4877"/>
        <v>0</v>
      </c>
      <c r="BO141" s="675">
        <f t="shared" si="4877"/>
        <v>0</v>
      </c>
      <c r="BP141" s="549">
        <f t="shared" si="4877"/>
        <v>0</v>
      </c>
      <c r="BQ141" s="675">
        <f t="shared" si="4877"/>
        <v>0</v>
      </c>
      <c r="BR141" s="549">
        <f t="shared" si="4877"/>
        <v>0</v>
      </c>
      <c r="BS141" s="675">
        <f t="shared" si="4877"/>
        <v>0</v>
      </c>
      <c r="BT141" s="549">
        <f t="shared" si="4832"/>
        <v>0</v>
      </c>
      <c r="BU141" s="675">
        <f t="shared" si="4832"/>
        <v>0</v>
      </c>
      <c r="BV141" s="549">
        <f t="shared" si="4832"/>
        <v>0</v>
      </c>
      <c r="BW141" s="675">
        <f t="shared" si="4832"/>
        <v>0</v>
      </c>
      <c r="BX141" s="549">
        <f t="shared" ref="BX141:BY141" si="4878">BX474</f>
        <v>0</v>
      </c>
      <c r="BY141" s="675">
        <f t="shared" si="4878"/>
        <v>0</v>
      </c>
      <c r="BZ141" s="549">
        <f t="shared" ref="BZ141:CA141" si="4879">BZ474</f>
        <v>0</v>
      </c>
      <c r="CA141" s="675">
        <f t="shared" si="4879"/>
        <v>0</v>
      </c>
      <c r="CB141" s="549">
        <f t="shared" ref="CB141:CE141" si="4880">CB474</f>
        <v>0</v>
      </c>
      <c r="CC141" s="675">
        <f t="shared" si="4880"/>
        <v>0</v>
      </c>
      <c r="CD141" s="549">
        <f t="shared" si="4880"/>
        <v>0</v>
      </c>
      <c r="CE141" s="675">
        <f t="shared" si="4880"/>
        <v>0</v>
      </c>
      <c r="CF141" s="549">
        <f t="shared" si="4836"/>
        <v>0</v>
      </c>
      <c r="CG141" s="675">
        <f t="shared" si="4836"/>
        <v>0</v>
      </c>
      <c r="CH141" s="549">
        <f t="shared" ref="CH141:CQ141" si="4881">CH474</f>
        <v>0</v>
      </c>
      <c r="CI141" s="675">
        <f t="shared" si="4881"/>
        <v>0</v>
      </c>
      <c r="CJ141" s="549">
        <f t="shared" si="4881"/>
        <v>0</v>
      </c>
      <c r="CK141" s="675">
        <f t="shared" si="4881"/>
        <v>0</v>
      </c>
      <c r="CL141" s="549">
        <f t="shared" si="4881"/>
        <v>0</v>
      </c>
      <c r="CM141" s="675">
        <f t="shared" si="4881"/>
        <v>0</v>
      </c>
      <c r="CN141" s="549">
        <f t="shared" si="4881"/>
        <v>0</v>
      </c>
      <c r="CO141" s="675">
        <f t="shared" si="4881"/>
        <v>0</v>
      </c>
      <c r="CP141" s="549">
        <f t="shared" si="4881"/>
        <v>0</v>
      </c>
      <c r="CQ141" s="675">
        <f t="shared" si="4881"/>
        <v>0</v>
      </c>
      <c r="CR141" s="549">
        <f t="shared" ref="CR141:DG141" si="4882">CR474</f>
        <v>0</v>
      </c>
      <c r="CS141" s="675">
        <f t="shared" si="4882"/>
        <v>0</v>
      </c>
      <c r="CT141" s="549">
        <f t="shared" si="4882"/>
        <v>0</v>
      </c>
      <c r="CU141" s="675">
        <f t="shared" si="4882"/>
        <v>0</v>
      </c>
      <c r="CV141" s="549">
        <f t="shared" si="4882"/>
        <v>0</v>
      </c>
      <c r="CW141" s="675">
        <f t="shared" si="4882"/>
        <v>0</v>
      </c>
      <c r="CX141" s="549">
        <f t="shared" si="4882"/>
        <v>0</v>
      </c>
      <c r="CY141" s="675">
        <f t="shared" si="4882"/>
        <v>0</v>
      </c>
      <c r="CZ141" s="549">
        <f t="shared" si="4882"/>
        <v>0</v>
      </c>
      <c r="DA141" s="675">
        <f t="shared" si="4882"/>
        <v>0</v>
      </c>
      <c r="DB141" s="549">
        <f t="shared" si="4882"/>
        <v>0</v>
      </c>
      <c r="DC141" s="675">
        <f t="shared" si="4882"/>
        <v>0</v>
      </c>
      <c r="DD141" s="549">
        <f t="shared" si="4882"/>
        <v>0</v>
      </c>
      <c r="DE141" s="675">
        <f t="shared" si="4882"/>
        <v>0</v>
      </c>
      <c r="DF141" s="549">
        <f t="shared" si="4882"/>
        <v>0</v>
      </c>
      <c r="DG141" s="675">
        <f t="shared" si="4882"/>
        <v>0</v>
      </c>
      <c r="DH141" s="549">
        <f t="shared" si="4839"/>
        <v>0</v>
      </c>
      <c r="DI141" s="675">
        <f t="shared" si="4839"/>
        <v>0</v>
      </c>
      <c r="DJ141" s="549">
        <f t="shared" si="4840"/>
        <v>0</v>
      </c>
      <c r="DK141" s="675">
        <f t="shared" si="4840"/>
        <v>0</v>
      </c>
      <c r="DL141" s="549">
        <f t="shared" si="4840"/>
        <v>0</v>
      </c>
      <c r="DM141" s="675">
        <f t="shared" si="4840"/>
        <v>0</v>
      </c>
      <c r="DN141" s="549">
        <f t="shared" si="4840"/>
        <v>0</v>
      </c>
      <c r="DO141" s="675">
        <f t="shared" si="4840"/>
        <v>0</v>
      </c>
      <c r="DP141" s="549">
        <f t="shared" ref="DP141:DU141" si="4883">DP474</f>
        <v>0</v>
      </c>
      <c r="DQ141" s="675">
        <f t="shared" si="4883"/>
        <v>0</v>
      </c>
      <c r="DR141" s="549">
        <f t="shared" si="4883"/>
        <v>0</v>
      </c>
      <c r="DS141" s="675">
        <f t="shared" si="4883"/>
        <v>0</v>
      </c>
      <c r="DT141" s="549">
        <f t="shared" si="4883"/>
        <v>0</v>
      </c>
      <c r="DU141" s="675">
        <f t="shared" si="4883"/>
        <v>0</v>
      </c>
      <c r="DV141" s="549">
        <f t="shared" si="4842"/>
        <v>0</v>
      </c>
      <c r="DW141" s="675">
        <f t="shared" si="4842"/>
        <v>0</v>
      </c>
      <c r="DX141" s="549">
        <f t="shared" ref="DX141:EA146" si="4884">DX474</f>
        <v>0</v>
      </c>
      <c r="DY141" s="675">
        <f t="shared" si="4884"/>
        <v>0</v>
      </c>
      <c r="DZ141" s="549">
        <f t="shared" si="4884"/>
        <v>0</v>
      </c>
      <c r="EA141" s="675">
        <f t="shared" si="4884"/>
        <v>0</v>
      </c>
      <c r="EB141" s="549">
        <f t="shared" ref="EB141:EM141" si="4885">EB474</f>
        <v>0</v>
      </c>
      <c r="EC141" s="675">
        <f t="shared" si="4885"/>
        <v>0</v>
      </c>
      <c r="ED141" s="549">
        <f t="shared" si="4885"/>
        <v>0</v>
      </c>
      <c r="EE141" s="675">
        <f t="shared" si="4885"/>
        <v>0</v>
      </c>
      <c r="EF141" s="549">
        <f t="shared" si="4885"/>
        <v>0</v>
      </c>
      <c r="EG141" s="675">
        <f t="shared" si="4885"/>
        <v>0</v>
      </c>
      <c r="EH141" s="549">
        <f t="shared" si="4885"/>
        <v>0</v>
      </c>
      <c r="EI141" s="675">
        <f t="shared" si="4885"/>
        <v>0</v>
      </c>
      <c r="EJ141" s="549">
        <f t="shared" si="4885"/>
        <v>0</v>
      </c>
      <c r="EK141" s="675">
        <f t="shared" si="4885"/>
        <v>0</v>
      </c>
      <c r="EL141" s="549">
        <f t="shared" si="4885"/>
        <v>0</v>
      </c>
      <c r="EM141" s="675">
        <f t="shared" si="4885"/>
        <v>0</v>
      </c>
      <c r="EN141" s="549">
        <f t="shared" si="4845"/>
        <v>0</v>
      </c>
      <c r="EO141" s="675">
        <f t="shared" si="4845"/>
        <v>0</v>
      </c>
      <c r="EP141" s="549">
        <f t="shared" ref="EP141:FA141" si="4886">EP474</f>
        <v>0</v>
      </c>
      <c r="EQ141" s="675">
        <f t="shared" si="4886"/>
        <v>0</v>
      </c>
      <c r="ER141" s="549">
        <f t="shared" si="4886"/>
        <v>0</v>
      </c>
      <c r="ES141" s="675">
        <f t="shared" si="4886"/>
        <v>0</v>
      </c>
      <c r="ET141" s="549">
        <f t="shared" si="4886"/>
        <v>0</v>
      </c>
      <c r="EU141" s="675">
        <f t="shared" si="4886"/>
        <v>0</v>
      </c>
      <c r="EV141" s="549">
        <f t="shared" ref="EV141:EW146" si="4887">EV474</f>
        <v>0</v>
      </c>
      <c r="EW141" s="675">
        <f t="shared" si="4887"/>
        <v>0</v>
      </c>
      <c r="EX141" s="549">
        <f t="shared" si="4886"/>
        <v>0</v>
      </c>
      <c r="EY141" s="675">
        <f t="shared" si="4886"/>
        <v>0</v>
      </c>
      <c r="EZ141" s="549">
        <f t="shared" si="4886"/>
        <v>0</v>
      </c>
      <c r="FA141" s="675">
        <f t="shared" si="4886"/>
        <v>0</v>
      </c>
      <c r="FB141" s="549">
        <f t="shared" ref="FB141:FE146" si="4888">FB474</f>
        <v>0</v>
      </c>
      <c r="FC141" s="675">
        <f t="shared" si="4888"/>
        <v>0</v>
      </c>
      <c r="FD141" s="549">
        <f t="shared" si="4888"/>
        <v>0</v>
      </c>
      <c r="FE141" s="675">
        <f t="shared" si="4888"/>
        <v>0</v>
      </c>
      <c r="FF141" s="549">
        <f t="shared" ref="FF141:FG141" si="4889">FF474</f>
        <v>0</v>
      </c>
      <c r="FG141" s="675">
        <f t="shared" si="4889"/>
        <v>0</v>
      </c>
      <c r="FH141" s="549">
        <f t="shared" ref="FH141:FI141" si="4890">FH474</f>
        <v>0</v>
      </c>
      <c r="FI141" s="675">
        <f t="shared" si="4890"/>
        <v>0</v>
      </c>
      <c r="FJ141" s="549">
        <f t="shared" ref="FJ141:FK141" si="4891">FJ474</f>
        <v>0</v>
      </c>
      <c r="FK141" s="675">
        <f t="shared" si="4891"/>
        <v>0</v>
      </c>
      <c r="FL141" s="549">
        <f t="shared" ref="FL141:FM141" si="4892">FL474</f>
        <v>0</v>
      </c>
      <c r="FM141" s="675">
        <f t="shared" si="4892"/>
        <v>0</v>
      </c>
      <c r="FN141" s="549">
        <f t="shared" ref="FN141:FO141" si="4893">FN474</f>
        <v>0</v>
      </c>
      <c r="FO141" s="675">
        <f t="shared" si="4893"/>
        <v>0</v>
      </c>
      <c r="FP141" s="549">
        <f t="shared" ref="FP141:FQ141" si="4894">FP474</f>
        <v>0</v>
      </c>
      <c r="FQ141" s="675">
        <f t="shared" si="4894"/>
        <v>0</v>
      </c>
      <c r="FR141" s="549">
        <f t="shared" ref="FR141:FS141" si="4895">FR474</f>
        <v>0</v>
      </c>
      <c r="FS141" s="675">
        <f t="shared" si="4895"/>
        <v>-400</v>
      </c>
      <c r="FT141" s="549">
        <f t="shared" ref="FT141:FU141" si="4896">FT474</f>
        <v>0</v>
      </c>
      <c r="FU141" s="675">
        <f t="shared" si="4896"/>
        <v>0</v>
      </c>
      <c r="FV141" s="549">
        <f t="shared" ref="FV141:GK141" si="4897">FV474</f>
        <v>0</v>
      </c>
      <c r="FW141" s="675">
        <f t="shared" si="4897"/>
        <v>0</v>
      </c>
      <c r="FX141" s="549">
        <f t="shared" si="4897"/>
        <v>0</v>
      </c>
      <c r="FY141" s="675">
        <f t="shared" si="4897"/>
        <v>0</v>
      </c>
      <c r="FZ141" s="549">
        <f t="shared" ref="FZ141:GI141" si="4898">FZ474</f>
        <v>0</v>
      </c>
      <c r="GA141" s="675">
        <f t="shared" si="4898"/>
        <v>0</v>
      </c>
      <c r="GB141" s="549">
        <f t="shared" si="4898"/>
        <v>0</v>
      </c>
      <c r="GC141" s="675">
        <f t="shared" si="4898"/>
        <v>0</v>
      </c>
      <c r="GD141" s="549">
        <f t="shared" si="4898"/>
        <v>0</v>
      </c>
      <c r="GE141" s="675">
        <f t="shared" si="4898"/>
        <v>0</v>
      </c>
      <c r="GF141" s="549">
        <f t="shared" si="4898"/>
        <v>0</v>
      </c>
      <c r="GG141" s="675">
        <f t="shared" si="4898"/>
        <v>0</v>
      </c>
      <c r="GH141" s="549">
        <f t="shared" si="4898"/>
        <v>0</v>
      </c>
      <c r="GI141" s="675">
        <f t="shared" si="4898"/>
        <v>0</v>
      </c>
      <c r="GJ141" s="549">
        <f t="shared" si="4897"/>
        <v>0</v>
      </c>
      <c r="GK141" s="675">
        <f t="shared" si="4897"/>
        <v>0</v>
      </c>
      <c r="GL141" s="549">
        <f t="shared" ref="GL141:GM141" si="4899">GL474</f>
        <v>0</v>
      </c>
      <c r="GM141" s="675">
        <f t="shared" si="4899"/>
        <v>0</v>
      </c>
      <c r="GN141" s="549">
        <f t="shared" ref="GN141:GO141" si="4900">GN474</f>
        <v>0</v>
      </c>
      <c r="GO141" s="675">
        <f t="shared" si="4900"/>
        <v>0</v>
      </c>
      <c r="GP141" s="74">
        <f t="shared" ref="GP141:GQ146" si="4901">GP474</f>
        <v>0</v>
      </c>
      <c r="GQ141" s="675">
        <f t="shared" si="4901"/>
        <v>-6400</v>
      </c>
      <c r="GR141" s="74">
        <f t="shared" ref="GR141:GT142" si="4902">GR474</f>
        <v>500</v>
      </c>
      <c r="GS141" s="74">
        <f t="shared" si="4902"/>
        <v>500</v>
      </c>
      <c r="GT141" s="549">
        <f t="shared" si="4902"/>
        <v>500</v>
      </c>
      <c r="GU141" s="74">
        <f t="shared" ref="GU141:HF141" si="4903">GU474</f>
        <v>0</v>
      </c>
      <c r="GV141" s="74">
        <f t="shared" si="4903"/>
        <v>6900</v>
      </c>
      <c r="GW141" s="549">
        <f t="shared" si="4903"/>
        <v>0</v>
      </c>
      <c r="GX141" s="549">
        <f t="shared" si="4903"/>
        <v>0</v>
      </c>
      <c r="GY141" s="74">
        <f t="shared" si="4903"/>
        <v>0</v>
      </c>
      <c r="GZ141" s="74">
        <f t="shared" si="4903"/>
        <v>0</v>
      </c>
      <c r="HA141" s="74">
        <f t="shared" si="4903"/>
        <v>0</v>
      </c>
      <c r="HB141" s="74">
        <f t="shared" si="4903"/>
        <v>0</v>
      </c>
      <c r="HC141" s="74">
        <f t="shared" si="4903"/>
        <v>0</v>
      </c>
      <c r="HD141" s="74">
        <f t="shared" si="4903"/>
        <v>0</v>
      </c>
      <c r="HE141" s="74">
        <f t="shared" si="4903"/>
        <v>0</v>
      </c>
      <c r="HF141" s="74">
        <f t="shared" si="4903"/>
        <v>0</v>
      </c>
      <c r="HG141" s="74">
        <f t="shared" ref="HG141:IL141" si="4904">HG474</f>
        <v>500</v>
      </c>
      <c r="HH141" s="74">
        <f t="shared" ref="HH141:HU141" si="4905">HH474</f>
        <v>0</v>
      </c>
      <c r="HI141" s="74">
        <f t="shared" si="4905"/>
        <v>0</v>
      </c>
      <c r="HJ141" s="74">
        <f t="shared" si="4905"/>
        <v>6900</v>
      </c>
      <c r="HK141" s="74">
        <f t="shared" si="4905"/>
        <v>0</v>
      </c>
      <c r="HL141" s="74">
        <f t="shared" si="4905"/>
        <v>-6000</v>
      </c>
      <c r="HM141" s="74">
        <f t="shared" si="4905"/>
        <v>0</v>
      </c>
      <c r="HN141" s="74">
        <f t="shared" si="4905"/>
        <v>0</v>
      </c>
      <c r="HO141" s="74">
        <f t="shared" si="4905"/>
        <v>0</v>
      </c>
      <c r="HP141" s="74">
        <f t="shared" si="4905"/>
        <v>0</v>
      </c>
      <c r="HQ141" s="74">
        <f t="shared" si="4905"/>
        <v>0</v>
      </c>
      <c r="HR141" s="74">
        <f t="shared" si="4905"/>
        <v>0</v>
      </c>
      <c r="HS141" s="74">
        <f t="shared" si="4905"/>
        <v>0</v>
      </c>
      <c r="HT141" s="74">
        <f t="shared" si="4905"/>
        <v>0</v>
      </c>
      <c r="HU141" s="74">
        <f t="shared" si="4905"/>
        <v>0</v>
      </c>
      <c r="HV141" s="74">
        <f t="shared" si="4904"/>
        <v>0</v>
      </c>
      <c r="HW141" s="74">
        <f t="shared" si="4904"/>
        <v>0</v>
      </c>
      <c r="HX141" s="74">
        <f t="shared" si="4904"/>
        <v>0</v>
      </c>
      <c r="HY141" s="74">
        <f t="shared" si="4904"/>
        <v>0</v>
      </c>
      <c r="HZ141" s="74">
        <f t="shared" si="4904"/>
        <v>-400</v>
      </c>
      <c r="IA141" s="74">
        <f t="shared" si="4904"/>
        <v>0</v>
      </c>
      <c r="IB141" s="74">
        <f t="shared" si="4904"/>
        <v>0</v>
      </c>
      <c r="IC141" s="74">
        <f t="shared" si="4904"/>
        <v>0</v>
      </c>
      <c r="ID141" s="74">
        <f t="shared" si="4904"/>
        <v>0</v>
      </c>
      <c r="IE141" s="792">
        <f t="shared" si="4904"/>
        <v>0</v>
      </c>
      <c r="IF141" s="841">
        <f t="shared" si="4904"/>
        <v>308.25</v>
      </c>
      <c r="IG141" s="263">
        <f t="shared" si="4904"/>
        <v>308.25</v>
      </c>
      <c r="IH141" s="842">
        <f t="shared" si="4904"/>
        <v>308.25</v>
      </c>
      <c r="II141" s="155">
        <f t="shared" si="4904"/>
        <v>0</v>
      </c>
      <c r="IJ141" s="74">
        <f t="shared" si="4904"/>
        <v>0</v>
      </c>
      <c r="IK141" s="74">
        <f t="shared" si="4904"/>
        <v>0</v>
      </c>
      <c r="IL141" s="74">
        <f t="shared" si="4904"/>
        <v>0</v>
      </c>
      <c r="IM141" s="74">
        <f t="shared" ref="IM141:JO141" si="4906">IM474</f>
        <v>0</v>
      </c>
      <c r="IN141" s="74">
        <f t="shared" si="4906"/>
        <v>0</v>
      </c>
      <c r="IO141" s="74">
        <f t="shared" si="4906"/>
        <v>0</v>
      </c>
      <c r="IP141" s="74">
        <f t="shared" si="4906"/>
        <v>0</v>
      </c>
      <c r="IQ141" s="74">
        <f t="shared" si="4906"/>
        <v>0</v>
      </c>
      <c r="IR141" s="74">
        <f t="shared" si="4906"/>
        <v>0</v>
      </c>
      <c r="IS141" s="74">
        <f t="shared" si="4906"/>
        <v>0</v>
      </c>
      <c r="IT141" s="74">
        <f t="shared" si="4906"/>
        <v>0</v>
      </c>
      <c r="IU141" s="74">
        <f t="shared" si="4906"/>
        <v>0</v>
      </c>
      <c r="IV141" s="74">
        <f t="shared" si="4906"/>
        <v>0</v>
      </c>
      <c r="IW141" s="74">
        <f t="shared" si="4906"/>
        <v>0</v>
      </c>
      <c r="IX141" s="74">
        <f t="shared" si="4906"/>
        <v>48.25</v>
      </c>
      <c r="IY141" s="74">
        <f t="shared" si="4906"/>
        <v>48.25</v>
      </c>
      <c r="IZ141" s="74">
        <f t="shared" si="4906"/>
        <v>48.25</v>
      </c>
      <c r="JA141" s="74">
        <f t="shared" si="4906"/>
        <v>0</v>
      </c>
      <c r="JB141" s="74">
        <f t="shared" si="4906"/>
        <v>0</v>
      </c>
      <c r="JC141" s="74">
        <f t="shared" si="4906"/>
        <v>0</v>
      </c>
      <c r="JD141" s="74">
        <f t="shared" si="4906"/>
        <v>260</v>
      </c>
      <c r="JE141" s="74">
        <f t="shared" si="4906"/>
        <v>260</v>
      </c>
      <c r="JF141" s="74">
        <f t="shared" si="4906"/>
        <v>260</v>
      </c>
      <c r="JG141" s="74">
        <f t="shared" si="4906"/>
        <v>0</v>
      </c>
      <c r="JH141" s="74">
        <f t="shared" si="4906"/>
        <v>0</v>
      </c>
      <c r="JI141" s="74">
        <f t="shared" si="4906"/>
        <v>0</v>
      </c>
      <c r="JJ141" s="74">
        <f t="shared" si="4906"/>
        <v>0</v>
      </c>
      <c r="JK141" s="74">
        <f t="shared" si="4906"/>
        <v>0</v>
      </c>
      <c r="JL141" s="74">
        <f t="shared" si="4906"/>
        <v>0</v>
      </c>
      <c r="JM141" s="74">
        <f t="shared" si="4906"/>
        <v>0</v>
      </c>
      <c r="JN141" s="74">
        <f t="shared" si="4906"/>
        <v>0</v>
      </c>
      <c r="JO141" s="74">
        <f t="shared" si="4906"/>
        <v>0</v>
      </c>
      <c r="JP141" s="74">
        <f t="shared" ref="JP141:JT145" si="4907">JP474</f>
        <v>0</v>
      </c>
      <c r="JQ141" s="74">
        <f t="shared" si="4907"/>
        <v>0</v>
      </c>
      <c r="JR141" s="74">
        <f t="shared" si="4907"/>
        <v>0</v>
      </c>
      <c r="JS141" s="74">
        <f t="shared" si="4907"/>
        <v>191.75</v>
      </c>
      <c r="JT141" s="382">
        <f t="shared" si="4907"/>
        <v>191.75</v>
      </c>
      <c r="JU141" s="671"/>
      <c r="JV141" s="492"/>
      <c r="JW141" s="490"/>
      <c r="JX141" s="549">
        <f t="shared" si="4865"/>
        <v>500</v>
      </c>
      <c r="JY141" s="549">
        <f t="shared" si="4865"/>
        <v>0</v>
      </c>
      <c r="JZ141" s="581">
        <f t="shared" si="2110"/>
        <v>0</v>
      </c>
      <c r="KA141" s="581">
        <f t="shared" si="2111"/>
        <v>-6400</v>
      </c>
      <c r="KB141" s="549">
        <f t="shared" si="4866"/>
        <v>500</v>
      </c>
      <c r="KC141" s="709">
        <f t="shared" ref="KC141:KC211" si="4908">HG141-KB141</f>
        <v>0</v>
      </c>
      <c r="KD141" s="36"/>
      <c r="KE141" s="36"/>
      <c r="KF141" s="36"/>
      <c r="KG141" s="36"/>
      <c r="KH141" s="36"/>
      <c r="KI141" s="36"/>
      <c r="KJ141" s="36"/>
      <c r="KK141" s="36"/>
    </row>
    <row r="142" spans="1:297" s="8" customFormat="1" ht="12.75" customHeight="1">
      <c r="A142" s="75" t="s">
        <v>164</v>
      </c>
      <c r="B142" s="72" t="s">
        <v>165</v>
      </c>
      <c r="C142" s="74">
        <f t="shared" si="4812"/>
        <v>5000</v>
      </c>
      <c r="D142" s="549">
        <f t="shared" si="4812"/>
        <v>0</v>
      </c>
      <c r="E142" s="675">
        <f t="shared" si="4812"/>
        <v>0</v>
      </c>
      <c r="F142" s="549">
        <f t="shared" si="4812"/>
        <v>0</v>
      </c>
      <c r="G142" s="675">
        <f t="shared" si="4812"/>
        <v>0</v>
      </c>
      <c r="H142" s="549">
        <f t="shared" si="4813"/>
        <v>0</v>
      </c>
      <c r="I142" s="675">
        <f t="shared" si="4813"/>
        <v>0</v>
      </c>
      <c r="J142" s="549">
        <f t="shared" si="4813"/>
        <v>0</v>
      </c>
      <c r="K142" s="675">
        <f t="shared" si="4813"/>
        <v>0</v>
      </c>
      <c r="L142" s="549">
        <f t="shared" si="4813"/>
        <v>0</v>
      </c>
      <c r="M142" s="675">
        <f t="shared" si="4813"/>
        <v>0</v>
      </c>
      <c r="N142" s="549">
        <f t="shared" si="4814"/>
        <v>0</v>
      </c>
      <c r="O142" s="675">
        <f t="shared" si="4814"/>
        <v>0</v>
      </c>
      <c r="P142" s="549">
        <f t="shared" si="4814"/>
        <v>0</v>
      </c>
      <c r="Q142" s="675">
        <f t="shared" si="4814"/>
        <v>0</v>
      </c>
      <c r="R142" s="549">
        <f t="shared" si="4815"/>
        <v>0</v>
      </c>
      <c r="S142" s="675">
        <f t="shared" si="4815"/>
        <v>0</v>
      </c>
      <c r="T142" s="549">
        <f t="shared" si="4815"/>
        <v>0</v>
      </c>
      <c r="U142" s="675">
        <f t="shared" si="4815"/>
        <v>0</v>
      </c>
      <c r="V142" s="549">
        <f t="shared" si="4816"/>
        <v>0</v>
      </c>
      <c r="W142" s="675">
        <f t="shared" si="4816"/>
        <v>-1000</v>
      </c>
      <c r="X142" s="549">
        <f t="shared" si="4817"/>
        <v>0</v>
      </c>
      <c r="Y142" s="675">
        <f t="shared" si="4817"/>
        <v>0</v>
      </c>
      <c r="Z142" s="549">
        <f t="shared" si="4816"/>
        <v>0</v>
      </c>
      <c r="AA142" s="675">
        <f t="shared" si="4816"/>
        <v>0</v>
      </c>
      <c r="AB142" s="549">
        <f t="shared" si="4816"/>
        <v>0</v>
      </c>
      <c r="AC142" s="675">
        <f t="shared" si="4816"/>
        <v>0</v>
      </c>
      <c r="AD142" s="549">
        <f t="shared" ref="AD142:AK142" si="4909">AD475</f>
        <v>0</v>
      </c>
      <c r="AE142" s="675">
        <f t="shared" si="4909"/>
        <v>0</v>
      </c>
      <c r="AF142" s="549">
        <f t="shared" si="4909"/>
        <v>0</v>
      </c>
      <c r="AG142" s="675">
        <f t="shared" si="4909"/>
        <v>0</v>
      </c>
      <c r="AH142" s="549">
        <f t="shared" si="4909"/>
        <v>0</v>
      </c>
      <c r="AI142" s="675">
        <f t="shared" si="4909"/>
        <v>0</v>
      </c>
      <c r="AJ142" s="549">
        <f t="shared" si="4909"/>
        <v>0</v>
      </c>
      <c r="AK142" s="675">
        <f t="shared" si="4909"/>
        <v>0</v>
      </c>
      <c r="AL142" s="549">
        <f t="shared" si="4819"/>
        <v>0</v>
      </c>
      <c r="AM142" s="675">
        <f t="shared" si="4819"/>
        <v>0</v>
      </c>
      <c r="AN142" s="549">
        <f t="shared" si="4820"/>
        <v>0</v>
      </c>
      <c r="AO142" s="675">
        <f t="shared" si="4820"/>
        <v>0</v>
      </c>
      <c r="AP142" s="549">
        <f t="shared" si="4820"/>
        <v>0</v>
      </c>
      <c r="AQ142" s="675">
        <f t="shared" si="4820"/>
        <v>0</v>
      </c>
      <c r="AR142" s="549">
        <f t="shared" si="4821"/>
        <v>0</v>
      </c>
      <c r="AS142" s="675">
        <f t="shared" si="4821"/>
        <v>0</v>
      </c>
      <c r="AT142" s="549">
        <f t="shared" ref="AT142:AU142" si="4910">AT475</f>
        <v>0</v>
      </c>
      <c r="AU142" s="675">
        <f t="shared" si="4910"/>
        <v>0</v>
      </c>
      <c r="AV142" s="549">
        <f t="shared" ref="AV142:AW142" si="4911">AV475</f>
        <v>0</v>
      </c>
      <c r="AW142" s="675">
        <f t="shared" si="4911"/>
        <v>0</v>
      </c>
      <c r="AX142" s="549">
        <f t="shared" ref="AX142:AY142" si="4912">AX475</f>
        <v>0</v>
      </c>
      <c r="AY142" s="675">
        <f t="shared" si="4912"/>
        <v>0</v>
      </c>
      <c r="AZ142" s="549">
        <f t="shared" ref="AZ142:BA142" si="4913">AZ475</f>
        <v>0</v>
      </c>
      <c r="BA142" s="675">
        <f t="shared" si="4913"/>
        <v>-2000</v>
      </c>
      <c r="BB142" s="549">
        <f t="shared" ref="BB142:BC142" si="4914">BB475</f>
        <v>0</v>
      </c>
      <c r="BC142" s="675">
        <f t="shared" si="4914"/>
        <v>0</v>
      </c>
      <c r="BD142" s="549">
        <f t="shared" ref="BD142:BE142" si="4915">BD475</f>
        <v>0</v>
      </c>
      <c r="BE142" s="675">
        <f t="shared" si="4915"/>
        <v>0</v>
      </c>
      <c r="BF142" s="549">
        <f t="shared" ref="BF142:BG142" si="4916">BF475</f>
        <v>0</v>
      </c>
      <c r="BG142" s="675">
        <f t="shared" si="4916"/>
        <v>0</v>
      </c>
      <c r="BH142" s="549">
        <f t="shared" ref="BH142:BI142" si="4917">BH475</f>
        <v>0</v>
      </c>
      <c r="BI142" s="675">
        <f t="shared" si="4917"/>
        <v>0</v>
      </c>
      <c r="BJ142" s="549">
        <f t="shared" ref="BJ142:BK142" si="4918">BJ475</f>
        <v>0</v>
      </c>
      <c r="BK142" s="675">
        <f t="shared" si="4918"/>
        <v>0</v>
      </c>
      <c r="BL142" s="549">
        <f t="shared" ref="BL142:BS142" si="4919">BL475</f>
        <v>0</v>
      </c>
      <c r="BM142" s="675">
        <f t="shared" si="4919"/>
        <v>0</v>
      </c>
      <c r="BN142" s="549">
        <f t="shared" si="4919"/>
        <v>0</v>
      </c>
      <c r="BO142" s="675">
        <f t="shared" si="4919"/>
        <v>0</v>
      </c>
      <c r="BP142" s="549">
        <f t="shared" si="4919"/>
        <v>0</v>
      </c>
      <c r="BQ142" s="675">
        <f t="shared" si="4919"/>
        <v>0</v>
      </c>
      <c r="BR142" s="549">
        <f t="shared" si="4919"/>
        <v>0</v>
      </c>
      <c r="BS142" s="675">
        <f t="shared" si="4919"/>
        <v>0</v>
      </c>
      <c r="BT142" s="549">
        <f t="shared" si="4832"/>
        <v>0</v>
      </c>
      <c r="BU142" s="675">
        <f t="shared" si="4832"/>
        <v>0</v>
      </c>
      <c r="BV142" s="549">
        <f t="shared" si="4832"/>
        <v>0</v>
      </c>
      <c r="BW142" s="675">
        <f t="shared" si="4832"/>
        <v>0</v>
      </c>
      <c r="BX142" s="549">
        <f t="shared" ref="BX142:BY142" si="4920">BX475</f>
        <v>0</v>
      </c>
      <c r="BY142" s="675">
        <f t="shared" si="4920"/>
        <v>0</v>
      </c>
      <c r="BZ142" s="549">
        <f t="shared" ref="BZ142:CA142" si="4921">BZ475</f>
        <v>0</v>
      </c>
      <c r="CA142" s="675">
        <f t="shared" si="4921"/>
        <v>0</v>
      </c>
      <c r="CB142" s="549">
        <f t="shared" ref="CB142:CE142" si="4922">CB475</f>
        <v>0</v>
      </c>
      <c r="CC142" s="675">
        <f t="shared" si="4922"/>
        <v>0</v>
      </c>
      <c r="CD142" s="549">
        <f t="shared" si="4922"/>
        <v>0</v>
      </c>
      <c r="CE142" s="675">
        <f t="shared" si="4922"/>
        <v>0</v>
      </c>
      <c r="CF142" s="549">
        <f t="shared" si="4836"/>
        <v>0</v>
      </c>
      <c r="CG142" s="675">
        <f t="shared" si="4836"/>
        <v>0</v>
      </c>
      <c r="CH142" s="549">
        <f t="shared" ref="CH142:CQ142" si="4923">CH475</f>
        <v>0</v>
      </c>
      <c r="CI142" s="675">
        <f t="shared" si="4923"/>
        <v>0</v>
      </c>
      <c r="CJ142" s="549">
        <f t="shared" si="4923"/>
        <v>0</v>
      </c>
      <c r="CK142" s="675">
        <f t="shared" si="4923"/>
        <v>-1000</v>
      </c>
      <c r="CL142" s="549">
        <f t="shared" si="4923"/>
        <v>0</v>
      </c>
      <c r="CM142" s="675">
        <f t="shared" si="4923"/>
        <v>0</v>
      </c>
      <c r="CN142" s="549">
        <f t="shared" si="4923"/>
        <v>0</v>
      </c>
      <c r="CO142" s="675">
        <f t="shared" si="4923"/>
        <v>0</v>
      </c>
      <c r="CP142" s="549">
        <f t="shared" si="4923"/>
        <v>0</v>
      </c>
      <c r="CQ142" s="675">
        <f t="shared" si="4923"/>
        <v>0</v>
      </c>
      <c r="CR142" s="549">
        <f t="shared" ref="CR142:DG142" si="4924">CR475</f>
        <v>0</v>
      </c>
      <c r="CS142" s="675">
        <f t="shared" si="4924"/>
        <v>0</v>
      </c>
      <c r="CT142" s="549">
        <f t="shared" si="4924"/>
        <v>0</v>
      </c>
      <c r="CU142" s="675">
        <f t="shared" si="4924"/>
        <v>0</v>
      </c>
      <c r="CV142" s="549">
        <f t="shared" si="4924"/>
        <v>0</v>
      </c>
      <c r="CW142" s="675">
        <f t="shared" si="4924"/>
        <v>0</v>
      </c>
      <c r="CX142" s="549">
        <f t="shared" si="4924"/>
        <v>0</v>
      </c>
      <c r="CY142" s="675">
        <f t="shared" si="4924"/>
        <v>0</v>
      </c>
      <c r="CZ142" s="549">
        <f t="shared" si="4924"/>
        <v>0</v>
      </c>
      <c r="DA142" s="675">
        <f t="shared" si="4924"/>
        <v>0</v>
      </c>
      <c r="DB142" s="549">
        <f t="shared" si="4924"/>
        <v>0</v>
      </c>
      <c r="DC142" s="675">
        <f t="shared" si="4924"/>
        <v>0</v>
      </c>
      <c r="DD142" s="549">
        <f t="shared" si="4924"/>
        <v>0</v>
      </c>
      <c r="DE142" s="675">
        <f t="shared" si="4924"/>
        <v>0</v>
      </c>
      <c r="DF142" s="549">
        <f t="shared" si="4924"/>
        <v>0</v>
      </c>
      <c r="DG142" s="675">
        <f t="shared" si="4924"/>
        <v>0</v>
      </c>
      <c r="DH142" s="549">
        <f t="shared" si="4839"/>
        <v>0</v>
      </c>
      <c r="DI142" s="675">
        <f t="shared" si="4839"/>
        <v>0</v>
      </c>
      <c r="DJ142" s="549">
        <f t="shared" si="4840"/>
        <v>0</v>
      </c>
      <c r="DK142" s="675">
        <f t="shared" si="4840"/>
        <v>0</v>
      </c>
      <c r="DL142" s="549">
        <f t="shared" si="4840"/>
        <v>0</v>
      </c>
      <c r="DM142" s="675">
        <f t="shared" si="4840"/>
        <v>0</v>
      </c>
      <c r="DN142" s="549">
        <f t="shared" si="4840"/>
        <v>0</v>
      </c>
      <c r="DO142" s="675">
        <f t="shared" si="4840"/>
        <v>0</v>
      </c>
      <c r="DP142" s="549">
        <f t="shared" ref="DP142:DU142" si="4925">DP475</f>
        <v>0</v>
      </c>
      <c r="DQ142" s="675">
        <f t="shared" si="4925"/>
        <v>0</v>
      </c>
      <c r="DR142" s="549">
        <f t="shared" si="4925"/>
        <v>0</v>
      </c>
      <c r="DS142" s="675">
        <f t="shared" si="4925"/>
        <v>0</v>
      </c>
      <c r="DT142" s="549">
        <f t="shared" si="4925"/>
        <v>0</v>
      </c>
      <c r="DU142" s="675">
        <f t="shared" si="4925"/>
        <v>0</v>
      </c>
      <c r="DV142" s="549">
        <f t="shared" si="4842"/>
        <v>0</v>
      </c>
      <c r="DW142" s="675">
        <f t="shared" si="4842"/>
        <v>0</v>
      </c>
      <c r="DX142" s="549">
        <f t="shared" si="4884"/>
        <v>0</v>
      </c>
      <c r="DY142" s="675">
        <f t="shared" si="4884"/>
        <v>0</v>
      </c>
      <c r="DZ142" s="549">
        <f t="shared" si="4884"/>
        <v>0</v>
      </c>
      <c r="EA142" s="675">
        <f t="shared" si="4884"/>
        <v>0</v>
      </c>
      <c r="EB142" s="549">
        <f t="shared" ref="EB142:EM142" si="4926">EB475</f>
        <v>0</v>
      </c>
      <c r="EC142" s="675">
        <f t="shared" si="4926"/>
        <v>0</v>
      </c>
      <c r="ED142" s="549">
        <f t="shared" si="4926"/>
        <v>0</v>
      </c>
      <c r="EE142" s="675">
        <f t="shared" si="4926"/>
        <v>0</v>
      </c>
      <c r="EF142" s="549">
        <f t="shared" si="4926"/>
        <v>0</v>
      </c>
      <c r="EG142" s="675">
        <f t="shared" si="4926"/>
        <v>0</v>
      </c>
      <c r="EH142" s="549">
        <f t="shared" si="4926"/>
        <v>0</v>
      </c>
      <c r="EI142" s="675">
        <f t="shared" si="4926"/>
        <v>0</v>
      </c>
      <c r="EJ142" s="549">
        <f t="shared" si="4926"/>
        <v>0</v>
      </c>
      <c r="EK142" s="675">
        <f t="shared" si="4926"/>
        <v>0</v>
      </c>
      <c r="EL142" s="549">
        <f t="shared" si="4926"/>
        <v>0</v>
      </c>
      <c r="EM142" s="675">
        <f t="shared" si="4926"/>
        <v>0</v>
      </c>
      <c r="EN142" s="549">
        <f t="shared" si="4845"/>
        <v>0</v>
      </c>
      <c r="EO142" s="675">
        <f t="shared" si="4845"/>
        <v>0</v>
      </c>
      <c r="EP142" s="549">
        <f t="shared" ref="EP142:FA142" si="4927">EP475</f>
        <v>0</v>
      </c>
      <c r="EQ142" s="675">
        <f t="shared" si="4927"/>
        <v>0</v>
      </c>
      <c r="ER142" s="549">
        <f t="shared" si="4927"/>
        <v>0</v>
      </c>
      <c r="ES142" s="675">
        <f t="shared" si="4927"/>
        <v>0</v>
      </c>
      <c r="ET142" s="549">
        <f t="shared" si="4927"/>
        <v>0</v>
      </c>
      <c r="EU142" s="675">
        <f t="shared" si="4927"/>
        <v>0</v>
      </c>
      <c r="EV142" s="549">
        <f t="shared" si="4887"/>
        <v>0</v>
      </c>
      <c r="EW142" s="675">
        <f t="shared" si="4887"/>
        <v>0</v>
      </c>
      <c r="EX142" s="549">
        <f t="shared" si="4927"/>
        <v>0</v>
      </c>
      <c r="EY142" s="675">
        <f t="shared" si="4927"/>
        <v>0</v>
      </c>
      <c r="EZ142" s="549">
        <f t="shared" si="4927"/>
        <v>0</v>
      </c>
      <c r="FA142" s="675">
        <f t="shared" si="4927"/>
        <v>0</v>
      </c>
      <c r="FB142" s="549">
        <f t="shared" si="4888"/>
        <v>0</v>
      </c>
      <c r="FC142" s="675">
        <f t="shared" si="4888"/>
        <v>0</v>
      </c>
      <c r="FD142" s="549">
        <f t="shared" si="4888"/>
        <v>0</v>
      </c>
      <c r="FE142" s="675">
        <f t="shared" si="4888"/>
        <v>0</v>
      </c>
      <c r="FF142" s="549">
        <f t="shared" ref="FF142:FG142" si="4928">FF475</f>
        <v>0</v>
      </c>
      <c r="FG142" s="675">
        <f t="shared" si="4928"/>
        <v>0</v>
      </c>
      <c r="FH142" s="549">
        <f t="shared" ref="FH142:FI142" si="4929">FH475</f>
        <v>0</v>
      </c>
      <c r="FI142" s="675">
        <f t="shared" si="4929"/>
        <v>0</v>
      </c>
      <c r="FJ142" s="549">
        <f t="shared" ref="FJ142:FK142" si="4930">FJ475</f>
        <v>0</v>
      </c>
      <c r="FK142" s="675">
        <f t="shared" si="4930"/>
        <v>0</v>
      </c>
      <c r="FL142" s="549">
        <f t="shared" ref="FL142:FM142" si="4931">FL475</f>
        <v>0</v>
      </c>
      <c r="FM142" s="675">
        <f t="shared" si="4931"/>
        <v>0</v>
      </c>
      <c r="FN142" s="549">
        <f t="shared" ref="FN142:FO142" si="4932">FN475</f>
        <v>0</v>
      </c>
      <c r="FO142" s="675">
        <f t="shared" si="4932"/>
        <v>0</v>
      </c>
      <c r="FP142" s="549">
        <f t="shared" ref="FP142:FQ142" si="4933">FP475</f>
        <v>0</v>
      </c>
      <c r="FQ142" s="675">
        <f t="shared" si="4933"/>
        <v>0</v>
      </c>
      <c r="FR142" s="549">
        <f t="shared" ref="FR142:FS142" si="4934">FR475</f>
        <v>0</v>
      </c>
      <c r="FS142" s="675">
        <f t="shared" si="4934"/>
        <v>-955</v>
      </c>
      <c r="FT142" s="549">
        <f t="shared" ref="FT142:FU142" si="4935">FT475</f>
        <v>0</v>
      </c>
      <c r="FU142" s="675">
        <f t="shared" si="4935"/>
        <v>0</v>
      </c>
      <c r="FV142" s="549">
        <f t="shared" ref="FV142:GK142" si="4936">FV475</f>
        <v>0</v>
      </c>
      <c r="FW142" s="675">
        <f t="shared" si="4936"/>
        <v>0</v>
      </c>
      <c r="FX142" s="549">
        <f t="shared" si="4936"/>
        <v>0</v>
      </c>
      <c r="FY142" s="675">
        <f t="shared" si="4936"/>
        <v>0</v>
      </c>
      <c r="FZ142" s="549">
        <f t="shared" ref="FZ142:GI142" si="4937">FZ475</f>
        <v>0</v>
      </c>
      <c r="GA142" s="675">
        <f t="shared" si="4937"/>
        <v>0</v>
      </c>
      <c r="GB142" s="549">
        <f t="shared" si="4937"/>
        <v>0</v>
      </c>
      <c r="GC142" s="675">
        <f t="shared" si="4937"/>
        <v>0</v>
      </c>
      <c r="GD142" s="549">
        <f t="shared" si="4937"/>
        <v>0</v>
      </c>
      <c r="GE142" s="675">
        <f t="shared" si="4937"/>
        <v>0</v>
      </c>
      <c r="GF142" s="549">
        <f t="shared" si="4937"/>
        <v>0</v>
      </c>
      <c r="GG142" s="675">
        <f t="shared" si="4937"/>
        <v>0</v>
      </c>
      <c r="GH142" s="549">
        <f t="shared" si="4937"/>
        <v>0</v>
      </c>
      <c r="GI142" s="675">
        <f t="shared" si="4937"/>
        <v>0</v>
      </c>
      <c r="GJ142" s="549">
        <f t="shared" si="4936"/>
        <v>0</v>
      </c>
      <c r="GK142" s="675">
        <f t="shared" si="4936"/>
        <v>0</v>
      </c>
      <c r="GL142" s="549">
        <f t="shared" ref="GL142:GM142" si="4938">GL475</f>
        <v>0</v>
      </c>
      <c r="GM142" s="675">
        <f t="shared" si="4938"/>
        <v>0</v>
      </c>
      <c r="GN142" s="549">
        <f t="shared" ref="GN142:GO142" si="4939">GN475</f>
        <v>0</v>
      </c>
      <c r="GO142" s="675">
        <f t="shared" si="4939"/>
        <v>0</v>
      </c>
      <c r="GP142" s="74">
        <f t="shared" si="4901"/>
        <v>0</v>
      </c>
      <c r="GQ142" s="675">
        <f t="shared" si="4901"/>
        <v>-4955</v>
      </c>
      <c r="GR142" s="74">
        <f t="shared" si="4902"/>
        <v>45</v>
      </c>
      <c r="GS142" s="74">
        <f t="shared" si="4902"/>
        <v>45</v>
      </c>
      <c r="GT142" s="549">
        <f t="shared" si="4902"/>
        <v>45</v>
      </c>
      <c r="GU142" s="74">
        <f t="shared" ref="GU142:HF146" si="4940">GU475</f>
        <v>0</v>
      </c>
      <c r="GV142" s="74">
        <f t="shared" si="4940"/>
        <v>2500</v>
      </c>
      <c r="GW142" s="549">
        <f t="shared" si="4940"/>
        <v>0</v>
      </c>
      <c r="GX142" s="549">
        <f t="shared" si="4940"/>
        <v>2500</v>
      </c>
      <c r="GY142" s="74">
        <f t="shared" si="4940"/>
        <v>0</v>
      </c>
      <c r="GZ142" s="74">
        <f t="shared" si="4940"/>
        <v>0</v>
      </c>
      <c r="HA142" s="74">
        <f t="shared" si="4940"/>
        <v>0</v>
      </c>
      <c r="HB142" s="74">
        <f t="shared" si="4940"/>
        <v>0</v>
      </c>
      <c r="HC142" s="74">
        <f t="shared" si="4940"/>
        <v>0</v>
      </c>
      <c r="HD142" s="74">
        <f t="shared" si="4940"/>
        <v>0</v>
      </c>
      <c r="HE142" s="74">
        <f t="shared" si="4940"/>
        <v>0</v>
      </c>
      <c r="HF142" s="74">
        <f t="shared" si="4940"/>
        <v>0</v>
      </c>
      <c r="HG142" s="74">
        <f>HG475</f>
        <v>45</v>
      </c>
      <c r="HH142" s="74">
        <f t="shared" ref="HH142:HU142" si="4941">HH475</f>
        <v>0</v>
      </c>
      <c r="HI142" s="74">
        <f t="shared" si="4941"/>
        <v>0</v>
      </c>
      <c r="HJ142" s="74">
        <f t="shared" si="4941"/>
        <v>2500</v>
      </c>
      <c r="HK142" s="74">
        <f t="shared" si="4941"/>
        <v>0</v>
      </c>
      <c r="HL142" s="74">
        <f t="shared" si="4941"/>
        <v>-1000</v>
      </c>
      <c r="HM142" s="74">
        <f t="shared" si="4941"/>
        <v>0</v>
      </c>
      <c r="HN142" s="74">
        <f t="shared" si="4941"/>
        <v>0</v>
      </c>
      <c r="HO142" s="74">
        <f t="shared" si="4941"/>
        <v>0</v>
      </c>
      <c r="HP142" s="74">
        <f t="shared" si="4941"/>
        <v>0</v>
      </c>
      <c r="HQ142" s="74">
        <f t="shared" si="4941"/>
        <v>0</v>
      </c>
      <c r="HR142" s="74">
        <f t="shared" si="4941"/>
        <v>0</v>
      </c>
      <c r="HS142" s="74">
        <f t="shared" si="4941"/>
        <v>0</v>
      </c>
      <c r="HT142" s="74">
        <f t="shared" si="4941"/>
        <v>-500</v>
      </c>
      <c r="HU142" s="74">
        <f t="shared" si="4941"/>
        <v>0</v>
      </c>
      <c r="HV142" s="74">
        <f t="shared" ref="HV142:IX142" si="4942">HV475</f>
        <v>0</v>
      </c>
      <c r="HW142" s="74">
        <f t="shared" si="4942"/>
        <v>0</v>
      </c>
      <c r="HX142" s="74">
        <f t="shared" si="4942"/>
        <v>0</v>
      </c>
      <c r="HY142" s="74">
        <f t="shared" si="4942"/>
        <v>0</v>
      </c>
      <c r="HZ142" s="74">
        <f t="shared" si="4942"/>
        <v>-955</v>
      </c>
      <c r="IA142" s="74">
        <f t="shared" si="4942"/>
        <v>0</v>
      </c>
      <c r="IB142" s="74">
        <f t="shared" si="4942"/>
        <v>0</v>
      </c>
      <c r="IC142" s="74">
        <f t="shared" si="4942"/>
        <v>0</v>
      </c>
      <c r="ID142" s="74">
        <f t="shared" si="4942"/>
        <v>0</v>
      </c>
      <c r="IE142" s="792">
        <f t="shared" si="4942"/>
        <v>0</v>
      </c>
      <c r="IF142" s="841">
        <f t="shared" si="4942"/>
        <v>45</v>
      </c>
      <c r="IG142" s="263">
        <f t="shared" si="4942"/>
        <v>45</v>
      </c>
      <c r="IH142" s="842">
        <f t="shared" si="4942"/>
        <v>45</v>
      </c>
      <c r="II142" s="155">
        <f t="shared" si="4942"/>
        <v>0</v>
      </c>
      <c r="IJ142" s="74">
        <f t="shared" si="4942"/>
        <v>0</v>
      </c>
      <c r="IK142" s="74">
        <f t="shared" si="4942"/>
        <v>0</v>
      </c>
      <c r="IL142" s="74">
        <f t="shared" si="4942"/>
        <v>0</v>
      </c>
      <c r="IM142" s="74">
        <f t="shared" si="4942"/>
        <v>0</v>
      </c>
      <c r="IN142" s="74">
        <f t="shared" si="4942"/>
        <v>0</v>
      </c>
      <c r="IO142" s="74">
        <f t="shared" si="4942"/>
        <v>15</v>
      </c>
      <c r="IP142" s="74">
        <f t="shared" si="4942"/>
        <v>15</v>
      </c>
      <c r="IQ142" s="74">
        <f t="shared" si="4942"/>
        <v>15</v>
      </c>
      <c r="IR142" s="74">
        <f t="shared" si="4942"/>
        <v>0</v>
      </c>
      <c r="IS142" s="74">
        <f t="shared" si="4942"/>
        <v>0</v>
      </c>
      <c r="IT142" s="74">
        <f t="shared" si="4942"/>
        <v>0</v>
      </c>
      <c r="IU142" s="74">
        <f t="shared" si="4942"/>
        <v>0</v>
      </c>
      <c r="IV142" s="74">
        <f t="shared" si="4942"/>
        <v>0</v>
      </c>
      <c r="IW142" s="74">
        <f t="shared" si="4942"/>
        <v>0</v>
      </c>
      <c r="IX142" s="74">
        <f t="shared" si="4942"/>
        <v>0</v>
      </c>
      <c r="IY142" s="74">
        <f t="shared" ref="IY142:JO142" si="4943">IY475</f>
        <v>0</v>
      </c>
      <c r="IZ142" s="74">
        <f t="shared" si="4943"/>
        <v>0</v>
      </c>
      <c r="JA142" s="74">
        <f t="shared" si="4943"/>
        <v>0</v>
      </c>
      <c r="JB142" s="74">
        <f t="shared" si="4943"/>
        <v>0</v>
      </c>
      <c r="JC142" s="74">
        <f t="shared" si="4943"/>
        <v>0</v>
      </c>
      <c r="JD142" s="74">
        <f t="shared" si="4943"/>
        <v>30</v>
      </c>
      <c r="JE142" s="74">
        <f t="shared" si="4943"/>
        <v>30</v>
      </c>
      <c r="JF142" s="74">
        <f t="shared" si="4943"/>
        <v>30</v>
      </c>
      <c r="JG142" s="74">
        <f t="shared" si="4943"/>
        <v>0</v>
      </c>
      <c r="JH142" s="74">
        <f t="shared" si="4943"/>
        <v>0</v>
      </c>
      <c r="JI142" s="74">
        <f t="shared" si="4943"/>
        <v>0</v>
      </c>
      <c r="JJ142" s="74">
        <f t="shared" si="4943"/>
        <v>0</v>
      </c>
      <c r="JK142" s="74">
        <f t="shared" si="4943"/>
        <v>0</v>
      </c>
      <c r="JL142" s="74">
        <f t="shared" si="4943"/>
        <v>0</v>
      </c>
      <c r="JM142" s="74">
        <f t="shared" si="4943"/>
        <v>0</v>
      </c>
      <c r="JN142" s="74">
        <f t="shared" si="4943"/>
        <v>0</v>
      </c>
      <c r="JO142" s="74">
        <f t="shared" si="4943"/>
        <v>0</v>
      </c>
      <c r="JP142" s="74">
        <f t="shared" si="4907"/>
        <v>0</v>
      </c>
      <c r="JQ142" s="74">
        <f t="shared" si="4907"/>
        <v>0</v>
      </c>
      <c r="JR142" s="74">
        <f t="shared" si="4907"/>
        <v>0</v>
      </c>
      <c r="JS142" s="74">
        <f t="shared" si="4907"/>
        <v>0</v>
      </c>
      <c r="JT142" s="382">
        <f t="shared" si="4907"/>
        <v>0</v>
      </c>
      <c r="JU142" s="671"/>
      <c r="JV142" s="492"/>
      <c r="JW142" s="490"/>
      <c r="JX142" s="549">
        <f t="shared" si="4865"/>
        <v>45</v>
      </c>
      <c r="JY142" s="549">
        <f t="shared" si="4865"/>
        <v>0</v>
      </c>
      <c r="JZ142" s="581">
        <f t="shared" ref="JZ142:JZ212" si="4944">GP142</f>
        <v>0</v>
      </c>
      <c r="KA142" s="581">
        <f t="shared" ref="KA142:KA212" si="4945">GQ142</f>
        <v>-4955</v>
      </c>
      <c r="KB142" s="549">
        <f t="shared" si="4866"/>
        <v>45</v>
      </c>
      <c r="KC142" s="709">
        <f t="shared" si="4908"/>
        <v>0</v>
      </c>
      <c r="KD142" s="36"/>
      <c r="KE142" s="36"/>
      <c r="KF142" s="36"/>
      <c r="KG142" s="36"/>
      <c r="KH142" s="36"/>
      <c r="KI142" s="36"/>
      <c r="KJ142" s="36"/>
      <c r="KK142" s="36"/>
    </row>
    <row r="143" spans="1:297" s="8" customFormat="1">
      <c r="A143" s="75" t="s">
        <v>166</v>
      </c>
      <c r="B143" s="72" t="s">
        <v>167</v>
      </c>
      <c r="C143" s="74">
        <f t="shared" si="4812"/>
        <v>2000</v>
      </c>
      <c r="D143" s="549">
        <f t="shared" si="4812"/>
        <v>0</v>
      </c>
      <c r="E143" s="675">
        <f t="shared" si="4812"/>
        <v>0</v>
      </c>
      <c r="F143" s="549">
        <f t="shared" si="4812"/>
        <v>0</v>
      </c>
      <c r="G143" s="675">
        <f t="shared" si="4812"/>
        <v>0</v>
      </c>
      <c r="H143" s="549">
        <f t="shared" si="4813"/>
        <v>0</v>
      </c>
      <c r="I143" s="675">
        <f t="shared" si="4813"/>
        <v>0</v>
      </c>
      <c r="J143" s="549">
        <f t="shared" si="4813"/>
        <v>0</v>
      </c>
      <c r="K143" s="675">
        <f t="shared" si="4813"/>
        <v>0</v>
      </c>
      <c r="L143" s="549">
        <f t="shared" si="4813"/>
        <v>0</v>
      </c>
      <c r="M143" s="675">
        <f t="shared" si="4813"/>
        <v>0</v>
      </c>
      <c r="N143" s="549">
        <f t="shared" si="4814"/>
        <v>0</v>
      </c>
      <c r="O143" s="675">
        <f t="shared" si="4814"/>
        <v>0</v>
      </c>
      <c r="P143" s="549">
        <f t="shared" si="4814"/>
        <v>0</v>
      </c>
      <c r="Q143" s="675">
        <f t="shared" si="4814"/>
        <v>0</v>
      </c>
      <c r="R143" s="549">
        <f t="shared" si="4815"/>
        <v>0</v>
      </c>
      <c r="S143" s="675">
        <f t="shared" si="4815"/>
        <v>0</v>
      </c>
      <c r="T143" s="549">
        <f t="shared" si="4815"/>
        <v>0</v>
      </c>
      <c r="U143" s="675">
        <f t="shared" si="4815"/>
        <v>0</v>
      </c>
      <c r="V143" s="549">
        <f t="shared" si="4816"/>
        <v>0</v>
      </c>
      <c r="W143" s="675">
        <f t="shared" si="4816"/>
        <v>0</v>
      </c>
      <c r="X143" s="549">
        <f t="shared" si="4817"/>
        <v>0</v>
      </c>
      <c r="Y143" s="675">
        <f t="shared" si="4817"/>
        <v>0</v>
      </c>
      <c r="Z143" s="549">
        <f t="shared" si="4816"/>
        <v>0</v>
      </c>
      <c r="AA143" s="675">
        <f t="shared" si="4816"/>
        <v>0</v>
      </c>
      <c r="AB143" s="549">
        <f t="shared" si="4816"/>
        <v>0</v>
      </c>
      <c r="AC143" s="675">
        <f t="shared" si="4816"/>
        <v>0</v>
      </c>
      <c r="AD143" s="549">
        <f t="shared" ref="AD143:AK143" si="4946">AD476</f>
        <v>0</v>
      </c>
      <c r="AE143" s="675">
        <f t="shared" si="4946"/>
        <v>0</v>
      </c>
      <c r="AF143" s="549">
        <f t="shared" si="4946"/>
        <v>0</v>
      </c>
      <c r="AG143" s="675">
        <f t="shared" si="4946"/>
        <v>0</v>
      </c>
      <c r="AH143" s="549">
        <f t="shared" si="4946"/>
        <v>0</v>
      </c>
      <c r="AI143" s="675">
        <f t="shared" si="4946"/>
        <v>0</v>
      </c>
      <c r="AJ143" s="549">
        <f t="shared" si="4946"/>
        <v>0</v>
      </c>
      <c r="AK143" s="675">
        <f t="shared" si="4946"/>
        <v>0</v>
      </c>
      <c r="AL143" s="549">
        <f t="shared" si="4819"/>
        <v>0</v>
      </c>
      <c r="AM143" s="675">
        <f t="shared" si="4819"/>
        <v>0</v>
      </c>
      <c r="AN143" s="549">
        <f t="shared" si="4820"/>
        <v>0</v>
      </c>
      <c r="AO143" s="675">
        <f t="shared" si="4820"/>
        <v>0</v>
      </c>
      <c r="AP143" s="549">
        <f t="shared" si="4820"/>
        <v>0</v>
      </c>
      <c r="AQ143" s="675">
        <f t="shared" si="4820"/>
        <v>0</v>
      </c>
      <c r="AR143" s="549">
        <f t="shared" si="4821"/>
        <v>0</v>
      </c>
      <c r="AS143" s="675">
        <f t="shared" si="4821"/>
        <v>0</v>
      </c>
      <c r="AT143" s="549">
        <f t="shared" ref="AT143:AU143" si="4947">AT476</f>
        <v>0</v>
      </c>
      <c r="AU143" s="675">
        <f t="shared" si="4947"/>
        <v>0</v>
      </c>
      <c r="AV143" s="549">
        <f t="shared" ref="AV143:AW143" si="4948">AV476</f>
        <v>0</v>
      </c>
      <c r="AW143" s="675">
        <f t="shared" si="4948"/>
        <v>0</v>
      </c>
      <c r="AX143" s="549">
        <f t="shared" ref="AX143:AY143" si="4949">AX476</f>
        <v>0</v>
      </c>
      <c r="AY143" s="675">
        <f t="shared" si="4949"/>
        <v>0</v>
      </c>
      <c r="AZ143" s="549">
        <f t="shared" ref="AZ143:BA143" si="4950">AZ476</f>
        <v>0</v>
      </c>
      <c r="BA143" s="675">
        <f t="shared" si="4950"/>
        <v>0</v>
      </c>
      <c r="BB143" s="549">
        <f t="shared" ref="BB143:BC143" si="4951">BB476</f>
        <v>0</v>
      </c>
      <c r="BC143" s="675">
        <f t="shared" si="4951"/>
        <v>0</v>
      </c>
      <c r="BD143" s="549">
        <f t="shared" ref="BD143:BE143" si="4952">BD476</f>
        <v>0</v>
      </c>
      <c r="BE143" s="675">
        <f t="shared" si="4952"/>
        <v>0</v>
      </c>
      <c r="BF143" s="549">
        <f t="shared" ref="BF143:BG143" si="4953">BF476</f>
        <v>0</v>
      </c>
      <c r="BG143" s="675">
        <f t="shared" si="4953"/>
        <v>0</v>
      </c>
      <c r="BH143" s="549">
        <f t="shared" ref="BH143:BI143" si="4954">BH476</f>
        <v>0</v>
      </c>
      <c r="BI143" s="675">
        <f t="shared" si="4954"/>
        <v>0</v>
      </c>
      <c r="BJ143" s="549">
        <f t="shared" ref="BJ143:BK143" si="4955">BJ476</f>
        <v>0</v>
      </c>
      <c r="BK143" s="675">
        <f t="shared" si="4955"/>
        <v>0</v>
      </c>
      <c r="BL143" s="549">
        <f t="shared" ref="BL143:BS143" si="4956">BL476</f>
        <v>0</v>
      </c>
      <c r="BM143" s="675">
        <f t="shared" si="4956"/>
        <v>0</v>
      </c>
      <c r="BN143" s="549">
        <f t="shared" si="4956"/>
        <v>0</v>
      </c>
      <c r="BO143" s="675">
        <f t="shared" si="4956"/>
        <v>0</v>
      </c>
      <c r="BP143" s="549">
        <f t="shared" si="4956"/>
        <v>0</v>
      </c>
      <c r="BQ143" s="675">
        <f t="shared" si="4956"/>
        <v>0</v>
      </c>
      <c r="BR143" s="549">
        <f t="shared" si="4956"/>
        <v>0</v>
      </c>
      <c r="BS143" s="675">
        <f t="shared" si="4956"/>
        <v>0</v>
      </c>
      <c r="BT143" s="549">
        <f t="shared" si="4832"/>
        <v>0</v>
      </c>
      <c r="BU143" s="675">
        <f t="shared" si="4832"/>
        <v>0</v>
      </c>
      <c r="BV143" s="549">
        <f t="shared" si="4832"/>
        <v>0</v>
      </c>
      <c r="BW143" s="675">
        <f t="shared" si="4832"/>
        <v>0</v>
      </c>
      <c r="BX143" s="549">
        <f t="shared" ref="BX143:BY143" si="4957">BX476</f>
        <v>0</v>
      </c>
      <c r="BY143" s="675">
        <f t="shared" si="4957"/>
        <v>0</v>
      </c>
      <c r="BZ143" s="549">
        <f t="shared" ref="BZ143:CA143" si="4958">BZ476</f>
        <v>0</v>
      </c>
      <c r="CA143" s="675">
        <f t="shared" si="4958"/>
        <v>0</v>
      </c>
      <c r="CB143" s="549">
        <f t="shared" ref="CB143:CE143" si="4959">CB476</f>
        <v>0</v>
      </c>
      <c r="CC143" s="675">
        <f t="shared" si="4959"/>
        <v>0</v>
      </c>
      <c r="CD143" s="549">
        <f t="shared" si="4959"/>
        <v>0</v>
      </c>
      <c r="CE143" s="675">
        <f t="shared" si="4959"/>
        <v>0</v>
      </c>
      <c r="CF143" s="549">
        <f t="shared" si="4836"/>
        <v>0</v>
      </c>
      <c r="CG143" s="675">
        <f t="shared" si="4836"/>
        <v>0</v>
      </c>
      <c r="CH143" s="549">
        <f t="shared" ref="CH143:CQ143" si="4960">CH476</f>
        <v>0</v>
      </c>
      <c r="CI143" s="675">
        <f t="shared" si="4960"/>
        <v>0</v>
      </c>
      <c r="CJ143" s="549">
        <f t="shared" si="4960"/>
        <v>0</v>
      </c>
      <c r="CK143" s="675">
        <f t="shared" si="4960"/>
        <v>0</v>
      </c>
      <c r="CL143" s="549">
        <f t="shared" si="4960"/>
        <v>0</v>
      </c>
      <c r="CM143" s="675">
        <f t="shared" si="4960"/>
        <v>0</v>
      </c>
      <c r="CN143" s="549">
        <f t="shared" si="4960"/>
        <v>0</v>
      </c>
      <c r="CO143" s="675">
        <f t="shared" si="4960"/>
        <v>0</v>
      </c>
      <c r="CP143" s="549">
        <f t="shared" si="4960"/>
        <v>0</v>
      </c>
      <c r="CQ143" s="675">
        <f t="shared" si="4960"/>
        <v>0</v>
      </c>
      <c r="CR143" s="549">
        <f t="shared" ref="CR143:DG143" si="4961">CR476</f>
        <v>0</v>
      </c>
      <c r="CS143" s="675">
        <f t="shared" si="4961"/>
        <v>0</v>
      </c>
      <c r="CT143" s="549">
        <f t="shared" si="4961"/>
        <v>0</v>
      </c>
      <c r="CU143" s="675">
        <f t="shared" si="4961"/>
        <v>0</v>
      </c>
      <c r="CV143" s="549">
        <f t="shared" si="4961"/>
        <v>0</v>
      </c>
      <c r="CW143" s="675">
        <f t="shared" si="4961"/>
        <v>0</v>
      </c>
      <c r="CX143" s="549">
        <f t="shared" si="4961"/>
        <v>0</v>
      </c>
      <c r="CY143" s="675">
        <f t="shared" si="4961"/>
        <v>0</v>
      </c>
      <c r="CZ143" s="549">
        <f t="shared" si="4961"/>
        <v>0</v>
      </c>
      <c r="DA143" s="675">
        <f t="shared" si="4961"/>
        <v>0</v>
      </c>
      <c r="DB143" s="549">
        <f t="shared" si="4961"/>
        <v>0</v>
      </c>
      <c r="DC143" s="675">
        <f t="shared" si="4961"/>
        <v>0</v>
      </c>
      <c r="DD143" s="549">
        <f t="shared" si="4961"/>
        <v>0</v>
      </c>
      <c r="DE143" s="675">
        <f t="shared" si="4961"/>
        <v>0</v>
      </c>
      <c r="DF143" s="549">
        <f t="shared" si="4961"/>
        <v>0</v>
      </c>
      <c r="DG143" s="675">
        <f t="shared" si="4961"/>
        <v>0</v>
      </c>
      <c r="DH143" s="549">
        <f t="shared" ref="DH143:DI146" si="4962">DH476</f>
        <v>0</v>
      </c>
      <c r="DI143" s="675">
        <f t="shared" si="4962"/>
        <v>0</v>
      </c>
      <c r="DJ143" s="549">
        <f t="shared" si="4840"/>
        <v>0</v>
      </c>
      <c r="DK143" s="675">
        <f t="shared" si="4840"/>
        <v>0</v>
      </c>
      <c r="DL143" s="549">
        <f t="shared" si="4840"/>
        <v>0</v>
      </c>
      <c r="DM143" s="675">
        <f t="shared" si="4840"/>
        <v>0</v>
      </c>
      <c r="DN143" s="549">
        <f t="shared" si="4840"/>
        <v>0</v>
      </c>
      <c r="DO143" s="675">
        <f t="shared" si="4840"/>
        <v>0</v>
      </c>
      <c r="DP143" s="549">
        <f t="shared" ref="DP143:DU143" si="4963">DP476</f>
        <v>0</v>
      </c>
      <c r="DQ143" s="675">
        <f t="shared" si="4963"/>
        <v>0</v>
      </c>
      <c r="DR143" s="549">
        <f t="shared" si="4963"/>
        <v>0</v>
      </c>
      <c r="DS143" s="675">
        <f t="shared" si="4963"/>
        <v>0</v>
      </c>
      <c r="DT143" s="549">
        <f t="shared" si="4963"/>
        <v>0</v>
      </c>
      <c r="DU143" s="675">
        <f t="shared" si="4963"/>
        <v>0</v>
      </c>
      <c r="DV143" s="549">
        <f t="shared" si="4842"/>
        <v>0</v>
      </c>
      <c r="DW143" s="675">
        <f t="shared" si="4842"/>
        <v>0</v>
      </c>
      <c r="DX143" s="549">
        <f t="shared" si="4884"/>
        <v>0</v>
      </c>
      <c r="DY143" s="675">
        <f t="shared" si="4884"/>
        <v>0</v>
      </c>
      <c r="DZ143" s="549">
        <f t="shared" si="4884"/>
        <v>0</v>
      </c>
      <c r="EA143" s="675">
        <f t="shared" si="4884"/>
        <v>0</v>
      </c>
      <c r="EB143" s="549">
        <f t="shared" ref="EB143:EM143" si="4964">EB476</f>
        <v>0</v>
      </c>
      <c r="EC143" s="675">
        <f t="shared" si="4964"/>
        <v>0</v>
      </c>
      <c r="ED143" s="549">
        <f t="shared" si="4964"/>
        <v>0</v>
      </c>
      <c r="EE143" s="675">
        <f t="shared" si="4964"/>
        <v>0</v>
      </c>
      <c r="EF143" s="549">
        <f t="shared" si="4964"/>
        <v>0</v>
      </c>
      <c r="EG143" s="675">
        <f t="shared" si="4964"/>
        <v>0</v>
      </c>
      <c r="EH143" s="549">
        <f t="shared" si="4964"/>
        <v>0</v>
      </c>
      <c r="EI143" s="675">
        <f t="shared" si="4964"/>
        <v>0</v>
      </c>
      <c r="EJ143" s="549">
        <f t="shared" si="4964"/>
        <v>0</v>
      </c>
      <c r="EK143" s="675">
        <f t="shared" si="4964"/>
        <v>0</v>
      </c>
      <c r="EL143" s="549">
        <f t="shared" si="4964"/>
        <v>0</v>
      </c>
      <c r="EM143" s="675">
        <f t="shared" si="4964"/>
        <v>0</v>
      </c>
      <c r="EN143" s="549">
        <f t="shared" si="4845"/>
        <v>0</v>
      </c>
      <c r="EO143" s="675">
        <f t="shared" si="4845"/>
        <v>0</v>
      </c>
      <c r="EP143" s="549">
        <f t="shared" ref="EP143:FA143" si="4965">EP476</f>
        <v>0</v>
      </c>
      <c r="EQ143" s="675">
        <f t="shared" si="4965"/>
        <v>0</v>
      </c>
      <c r="ER143" s="549">
        <f t="shared" si="4965"/>
        <v>0</v>
      </c>
      <c r="ES143" s="675">
        <f t="shared" si="4965"/>
        <v>0</v>
      </c>
      <c r="ET143" s="549">
        <f t="shared" si="4965"/>
        <v>0</v>
      </c>
      <c r="EU143" s="675">
        <f t="shared" si="4965"/>
        <v>0</v>
      </c>
      <c r="EV143" s="549">
        <f t="shared" si="4887"/>
        <v>0</v>
      </c>
      <c r="EW143" s="675">
        <f t="shared" si="4887"/>
        <v>0</v>
      </c>
      <c r="EX143" s="549">
        <f t="shared" si="4965"/>
        <v>0</v>
      </c>
      <c r="EY143" s="675">
        <f t="shared" si="4965"/>
        <v>0</v>
      </c>
      <c r="EZ143" s="549">
        <f t="shared" si="4965"/>
        <v>0</v>
      </c>
      <c r="FA143" s="675">
        <f t="shared" si="4965"/>
        <v>0</v>
      </c>
      <c r="FB143" s="549">
        <f t="shared" si="4888"/>
        <v>0</v>
      </c>
      <c r="FC143" s="675">
        <f t="shared" si="4888"/>
        <v>0</v>
      </c>
      <c r="FD143" s="549">
        <f t="shared" si="4888"/>
        <v>0</v>
      </c>
      <c r="FE143" s="675">
        <f t="shared" si="4888"/>
        <v>0</v>
      </c>
      <c r="FF143" s="549">
        <f t="shared" ref="FF143:FG143" si="4966">FF476</f>
        <v>0</v>
      </c>
      <c r="FG143" s="675">
        <f t="shared" si="4966"/>
        <v>0</v>
      </c>
      <c r="FH143" s="549">
        <f t="shared" ref="FH143:FI143" si="4967">FH476</f>
        <v>0</v>
      </c>
      <c r="FI143" s="675">
        <f t="shared" si="4967"/>
        <v>0</v>
      </c>
      <c r="FJ143" s="549">
        <f t="shared" ref="FJ143:FK143" si="4968">FJ476</f>
        <v>0</v>
      </c>
      <c r="FK143" s="675">
        <f t="shared" si="4968"/>
        <v>0</v>
      </c>
      <c r="FL143" s="549">
        <f t="shared" ref="FL143:FM143" si="4969">FL476</f>
        <v>0</v>
      </c>
      <c r="FM143" s="675">
        <f t="shared" si="4969"/>
        <v>0</v>
      </c>
      <c r="FN143" s="549">
        <f t="shared" ref="FN143:FO143" si="4970">FN476</f>
        <v>0</v>
      </c>
      <c r="FO143" s="675">
        <f t="shared" si="4970"/>
        <v>0</v>
      </c>
      <c r="FP143" s="549">
        <f t="shared" ref="FP143:FQ143" si="4971">FP476</f>
        <v>0</v>
      </c>
      <c r="FQ143" s="675">
        <f t="shared" si="4971"/>
        <v>0</v>
      </c>
      <c r="FR143" s="549">
        <f t="shared" ref="FR143:FS143" si="4972">FR476</f>
        <v>0</v>
      </c>
      <c r="FS143" s="675">
        <f t="shared" si="4972"/>
        <v>0</v>
      </c>
      <c r="FT143" s="549">
        <f t="shared" ref="FT143:FU143" si="4973">FT476</f>
        <v>0</v>
      </c>
      <c r="FU143" s="675">
        <f t="shared" si="4973"/>
        <v>0</v>
      </c>
      <c r="FV143" s="549">
        <f t="shared" ref="FV143:GK143" si="4974">FV476</f>
        <v>0</v>
      </c>
      <c r="FW143" s="675">
        <f t="shared" si="4974"/>
        <v>0</v>
      </c>
      <c r="FX143" s="549">
        <f t="shared" si="4974"/>
        <v>0</v>
      </c>
      <c r="FY143" s="675">
        <f t="shared" si="4974"/>
        <v>0</v>
      </c>
      <c r="FZ143" s="549">
        <f t="shared" ref="FZ143:GI143" si="4975">FZ476</f>
        <v>0</v>
      </c>
      <c r="GA143" s="675">
        <f t="shared" si="4975"/>
        <v>0</v>
      </c>
      <c r="GB143" s="549">
        <f t="shared" si="4975"/>
        <v>0</v>
      </c>
      <c r="GC143" s="675">
        <f t="shared" si="4975"/>
        <v>0</v>
      </c>
      <c r="GD143" s="549">
        <f t="shared" si="4975"/>
        <v>0</v>
      </c>
      <c r="GE143" s="675">
        <f t="shared" si="4975"/>
        <v>0</v>
      </c>
      <c r="GF143" s="549">
        <f t="shared" si="4975"/>
        <v>0</v>
      </c>
      <c r="GG143" s="675">
        <f t="shared" si="4975"/>
        <v>0</v>
      </c>
      <c r="GH143" s="549">
        <f t="shared" si="4975"/>
        <v>0</v>
      </c>
      <c r="GI143" s="675">
        <f t="shared" si="4975"/>
        <v>0</v>
      </c>
      <c r="GJ143" s="549">
        <f t="shared" si="4974"/>
        <v>0</v>
      </c>
      <c r="GK143" s="675">
        <f t="shared" si="4974"/>
        <v>0</v>
      </c>
      <c r="GL143" s="549">
        <f t="shared" ref="GL143:GM143" si="4976">GL476</f>
        <v>0</v>
      </c>
      <c r="GM143" s="675">
        <f t="shared" si="4976"/>
        <v>0</v>
      </c>
      <c r="GN143" s="549">
        <f t="shared" ref="GN143:GO143" si="4977">GN476</f>
        <v>0</v>
      </c>
      <c r="GO143" s="675">
        <f t="shared" si="4977"/>
        <v>0</v>
      </c>
      <c r="GP143" s="74">
        <f t="shared" si="4901"/>
        <v>0</v>
      </c>
      <c r="GQ143" s="675">
        <f t="shared" si="4901"/>
        <v>0</v>
      </c>
      <c r="GR143" s="74">
        <f t="shared" ref="GR143:JO146" si="4978">GR476</f>
        <v>2000</v>
      </c>
      <c r="GS143" s="74">
        <f t="shared" ref="GS143:GT146" si="4979">GS476</f>
        <v>2000</v>
      </c>
      <c r="GT143" s="549">
        <f t="shared" si="4979"/>
        <v>2000</v>
      </c>
      <c r="GU143" s="74">
        <f t="shared" si="4940"/>
        <v>0</v>
      </c>
      <c r="GV143" s="74">
        <f t="shared" si="4940"/>
        <v>0</v>
      </c>
      <c r="GW143" s="549">
        <f t="shared" si="4940"/>
        <v>2000</v>
      </c>
      <c r="GX143" s="549">
        <f t="shared" si="4940"/>
        <v>0</v>
      </c>
      <c r="GY143" s="74">
        <f t="shared" si="4940"/>
        <v>0</v>
      </c>
      <c r="GZ143" s="74">
        <f t="shared" si="4940"/>
        <v>0</v>
      </c>
      <c r="HA143" s="74">
        <f t="shared" si="4940"/>
        <v>0</v>
      </c>
      <c r="HB143" s="74">
        <f t="shared" si="4940"/>
        <v>0</v>
      </c>
      <c r="HC143" s="74">
        <f t="shared" si="4940"/>
        <v>0</v>
      </c>
      <c r="HD143" s="74">
        <f t="shared" si="4940"/>
        <v>0</v>
      </c>
      <c r="HE143" s="74">
        <f t="shared" si="4940"/>
        <v>0</v>
      </c>
      <c r="HF143" s="74">
        <f t="shared" si="4940"/>
        <v>0</v>
      </c>
      <c r="HG143" s="74">
        <f t="shared" si="4978"/>
        <v>2000</v>
      </c>
      <c r="HH143" s="74">
        <f t="shared" ref="HH143:HU143" si="4980">HH476</f>
        <v>0</v>
      </c>
      <c r="HI143" s="74">
        <f t="shared" si="4980"/>
        <v>0</v>
      </c>
      <c r="HJ143" s="74">
        <f t="shared" si="4980"/>
        <v>0</v>
      </c>
      <c r="HK143" s="74">
        <f t="shared" si="4980"/>
        <v>0</v>
      </c>
      <c r="HL143" s="74">
        <f t="shared" si="4980"/>
        <v>0</v>
      </c>
      <c r="HM143" s="74">
        <f t="shared" si="4980"/>
        <v>0</v>
      </c>
      <c r="HN143" s="74">
        <f t="shared" si="4980"/>
        <v>0</v>
      </c>
      <c r="HO143" s="74">
        <f t="shared" si="4980"/>
        <v>0</v>
      </c>
      <c r="HP143" s="74">
        <f t="shared" si="4980"/>
        <v>0</v>
      </c>
      <c r="HQ143" s="74">
        <f t="shared" si="4980"/>
        <v>0</v>
      </c>
      <c r="HR143" s="74">
        <f t="shared" si="4980"/>
        <v>2000</v>
      </c>
      <c r="HS143" s="74">
        <f t="shared" si="4980"/>
        <v>0</v>
      </c>
      <c r="HT143" s="74">
        <f t="shared" si="4980"/>
        <v>0</v>
      </c>
      <c r="HU143" s="74">
        <f t="shared" si="4980"/>
        <v>0</v>
      </c>
      <c r="HV143" s="74">
        <f t="shared" si="4978"/>
        <v>0</v>
      </c>
      <c r="HW143" s="74">
        <f t="shared" si="4978"/>
        <v>0</v>
      </c>
      <c r="HX143" s="74">
        <f t="shared" si="4978"/>
        <v>0</v>
      </c>
      <c r="HY143" s="74">
        <f t="shared" si="4978"/>
        <v>0</v>
      </c>
      <c r="HZ143" s="74">
        <f t="shared" si="4978"/>
        <v>0</v>
      </c>
      <c r="IA143" s="74">
        <f t="shared" si="4978"/>
        <v>0</v>
      </c>
      <c r="IB143" s="74">
        <f t="shared" si="4978"/>
        <v>0</v>
      </c>
      <c r="IC143" s="74">
        <f t="shared" si="4978"/>
        <v>0</v>
      </c>
      <c r="ID143" s="74">
        <f t="shared" si="4978"/>
        <v>0</v>
      </c>
      <c r="IE143" s="792">
        <f t="shared" si="4978"/>
        <v>0</v>
      </c>
      <c r="IF143" s="841">
        <f t="shared" si="4978"/>
        <v>2000</v>
      </c>
      <c r="IG143" s="263">
        <f t="shared" si="4978"/>
        <v>2000</v>
      </c>
      <c r="IH143" s="842">
        <f t="shared" si="4978"/>
        <v>2000</v>
      </c>
      <c r="II143" s="155">
        <f t="shared" si="4978"/>
        <v>0</v>
      </c>
      <c r="IJ143" s="74">
        <f t="shared" si="4978"/>
        <v>0</v>
      </c>
      <c r="IK143" s="74">
        <f t="shared" si="4978"/>
        <v>0</v>
      </c>
      <c r="IL143" s="74">
        <f t="shared" si="4978"/>
        <v>0</v>
      </c>
      <c r="IM143" s="74">
        <f t="shared" si="4978"/>
        <v>0</v>
      </c>
      <c r="IN143" s="74">
        <f t="shared" si="4978"/>
        <v>0</v>
      </c>
      <c r="IO143" s="74">
        <f t="shared" si="4978"/>
        <v>0</v>
      </c>
      <c r="IP143" s="74">
        <f t="shared" si="4978"/>
        <v>0</v>
      </c>
      <c r="IQ143" s="74">
        <f t="shared" si="4978"/>
        <v>0</v>
      </c>
      <c r="IR143" s="74">
        <f t="shared" si="4978"/>
        <v>0</v>
      </c>
      <c r="IS143" s="74">
        <f t="shared" si="4978"/>
        <v>0</v>
      </c>
      <c r="IT143" s="74">
        <f t="shared" si="4978"/>
        <v>0</v>
      </c>
      <c r="IU143" s="74">
        <f t="shared" si="4978"/>
        <v>0</v>
      </c>
      <c r="IV143" s="74">
        <f t="shared" si="4978"/>
        <v>0</v>
      </c>
      <c r="IW143" s="74">
        <f t="shared" si="4978"/>
        <v>0</v>
      </c>
      <c r="IX143" s="74">
        <f t="shared" si="4978"/>
        <v>0</v>
      </c>
      <c r="IY143" s="74">
        <f t="shared" si="4978"/>
        <v>0</v>
      </c>
      <c r="IZ143" s="74">
        <f t="shared" si="4978"/>
        <v>0</v>
      </c>
      <c r="JA143" s="74">
        <f t="shared" si="4978"/>
        <v>2000</v>
      </c>
      <c r="JB143" s="74">
        <f t="shared" si="4978"/>
        <v>2000</v>
      </c>
      <c r="JC143" s="74">
        <f t="shared" si="4978"/>
        <v>2000</v>
      </c>
      <c r="JD143" s="74">
        <f t="shared" si="4978"/>
        <v>0</v>
      </c>
      <c r="JE143" s="74">
        <f t="shared" si="4978"/>
        <v>0</v>
      </c>
      <c r="JF143" s="74">
        <f t="shared" si="4978"/>
        <v>0</v>
      </c>
      <c r="JG143" s="74">
        <f t="shared" si="4978"/>
        <v>0</v>
      </c>
      <c r="JH143" s="74">
        <f t="shared" si="4978"/>
        <v>0</v>
      </c>
      <c r="JI143" s="74">
        <f t="shared" si="4978"/>
        <v>0</v>
      </c>
      <c r="JJ143" s="74">
        <f t="shared" si="4978"/>
        <v>0</v>
      </c>
      <c r="JK143" s="74">
        <f t="shared" si="4978"/>
        <v>0</v>
      </c>
      <c r="JL143" s="74">
        <f t="shared" si="4978"/>
        <v>0</v>
      </c>
      <c r="JM143" s="74">
        <f t="shared" si="4978"/>
        <v>0</v>
      </c>
      <c r="JN143" s="74">
        <f t="shared" si="4978"/>
        <v>0</v>
      </c>
      <c r="JO143" s="74">
        <f t="shared" si="4978"/>
        <v>0</v>
      </c>
      <c r="JP143" s="74">
        <f t="shared" si="4907"/>
        <v>0</v>
      </c>
      <c r="JQ143" s="74">
        <f t="shared" si="4907"/>
        <v>0</v>
      </c>
      <c r="JR143" s="74">
        <f t="shared" si="4907"/>
        <v>0</v>
      </c>
      <c r="JS143" s="74">
        <f t="shared" si="4907"/>
        <v>0</v>
      </c>
      <c r="JT143" s="382">
        <f t="shared" si="4907"/>
        <v>0</v>
      </c>
      <c r="JU143" s="671"/>
      <c r="JV143" s="492"/>
      <c r="JW143" s="490"/>
      <c r="JX143" s="549">
        <f t="shared" si="4865"/>
        <v>2000</v>
      </c>
      <c r="JY143" s="549">
        <f t="shared" si="4865"/>
        <v>0</v>
      </c>
      <c r="JZ143" s="581">
        <f t="shared" si="4944"/>
        <v>0</v>
      </c>
      <c r="KA143" s="581">
        <f t="shared" si="4945"/>
        <v>0</v>
      </c>
      <c r="KB143" s="549">
        <f t="shared" si="4866"/>
        <v>2000</v>
      </c>
      <c r="KC143" s="709">
        <f t="shared" si="4908"/>
        <v>0</v>
      </c>
      <c r="KD143" s="36"/>
      <c r="KE143" s="36"/>
      <c r="KF143" s="36"/>
      <c r="KG143" s="36"/>
      <c r="KH143" s="36"/>
      <c r="KI143" s="36"/>
      <c r="KJ143" s="36"/>
      <c r="KK143" s="36"/>
    </row>
    <row r="144" spans="1:297" s="8" customFormat="1">
      <c r="A144" s="75" t="s">
        <v>168</v>
      </c>
      <c r="B144" s="72" t="s">
        <v>169</v>
      </c>
      <c r="C144" s="74">
        <f t="shared" si="4812"/>
        <v>8200</v>
      </c>
      <c r="D144" s="549">
        <f t="shared" si="4812"/>
        <v>0</v>
      </c>
      <c r="E144" s="675">
        <f t="shared" si="4812"/>
        <v>0</v>
      </c>
      <c r="F144" s="549">
        <f t="shared" si="4812"/>
        <v>0</v>
      </c>
      <c r="G144" s="675">
        <f t="shared" si="4812"/>
        <v>0</v>
      </c>
      <c r="H144" s="549">
        <f t="shared" si="4813"/>
        <v>0</v>
      </c>
      <c r="I144" s="675">
        <f t="shared" si="4813"/>
        <v>0</v>
      </c>
      <c r="J144" s="549">
        <f t="shared" si="4813"/>
        <v>0</v>
      </c>
      <c r="K144" s="675">
        <f t="shared" si="4813"/>
        <v>0</v>
      </c>
      <c r="L144" s="549">
        <f t="shared" si="4813"/>
        <v>0</v>
      </c>
      <c r="M144" s="675">
        <f t="shared" si="4813"/>
        <v>0</v>
      </c>
      <c r="N144" s="549">
        <f t="shared" si="4814"/>
        <v>0</v>
      </c>
      <c r="O144" s="675">
        <f t="shared" si="4814"/>
        <v>0</v>
      </c>
      <c r="P144" s="549">
        <f t="shared" si="4814"/>
        <v>0</v>
      </c>
      <c r="Q144" s="675">
        <f t="shared" si="4814"/>
        <v>0</v>
      </c>
      <c r="R144" s="549">
        <f t="shared" si="4815"/>
        <v>0</v>
      </c>
      <c r="S144" s="675">
        <f t="shared" si="4815"/>
        <v>0</v>
      </c>
      <c r="T144" s="549">
        <f t="shared" si="4815"/>
        <v>0</v>
      </c>
      <c r="U144" s="675">
        <f t="shared" si="4815"/>
        <v>0</v>
      </c>
      <c r="V144" s="549">
        <f t="shared" si="4816"/>
        <v>0</v>
      </c>
      <c r="W144" s="675">
        <f t="shared" si="4816"/>
        <v>0</v>
      </c>
      <c r="X144" s="549">
        <f t="shared" si="4817"/>
        <v>0</v>
      </c>
      <c r="Y144" s="675">
        <f t="shared" si="4817"/>
        <v>0</v>
      </c>
      <c r="Z144" s="549">
        <f t="shared" si="4816"/>
        <v>0</v>
      </c>
      <c r="AA144" s="675">
        <f t="shared" si="4816"/>
        <v>0</v>
      </c>
      <c r="AB144" s="549">
        <f t="shared" si="4816"/>
        <v>0</v>
      </c>
      <c r="AC144" s="675">
        <f t="shared" si="4816"/>
        <v>0</v>
      </c>
      <c r="AD144" s="549">
        <f t="shared" ref="AD144:AK144" si="4981">AD477</f>
        <v>0</v>
      </c>
      <c r="AE144" s="675">
        <f t="shared" si="4981"/>
        <v>0</v>
      </c>
      <c r="AF144" s="549">
        <f t="shared" si="4981"/>
        <v>0</v>
      </c>
      <c r="AG144" s="675">
        <f t="shared" si="4981"/>
        <v>0</v>
      </c>
      <c r="AH144" s="549">
        <f t="shared" si="4981"/>
        <v>0</v>
      </c>
      <c r="AI144" s="675">
        <f t="shared" si="4981"/>
        <v>0</v>
      </c>
      <c r="AJ144" s="549">
        <f t="shared" si="4981"/>
        <v>0</v>
      </c>
      <c r="AK144" s="675">
        <f t="shared" si="4981"/>
        <v>0</v>
      </c>
      <c r="AL144" s="549">
        <f t="shared" si="4819"/>
        <v>0</v>
      </c>
      <c r="AM144" s="675">
        <f t="shared" si="4819"/>
        <v>0</v>
      </c>
      <c r="AN144" s="549">
        <f t="shared" si="4820"/>
        <v>0</v>
      </c>
      <c r="AO144" s="675">
        <f t="shared" si="4820"/>
        <v>0</v>
      </c>
      <c r="AP144" s="549">
        <f t="shared" si="4820"/>
        <v>0</v>
      </c>
      <c r="AQ144" s="675">
        <f t="shared" si="4820"/>
        <v>0</v>
      </c>
      <c r="AR144" s="549">
        <f t="shared" si="4821"/>
        <v>0</v>
      </c>
      <c r="AS144" s="675">
        <f t="shared" si="4821"/>
        <v>0</v>
      </c>
      <c r="AT144" s="549">
        <f t="shared" ref="AT144:AU144" si="4982">AT477</f>
        <v>0</v>
      </c>
      <c r="AU144" s="675">
        <f t="shared" si="4982"/>
        <v>0</v>
      </c>
      <c r="AV144" s="549">
        <f t="shared" ref="AV144:AW144" si="4983">AV477</f>
        <v>0</v>
      </c>
      <c r="AW144" s="675">
        <f t="shared" si="4983"/>
        <v>0</v>
      </c>
      <c r="AX144" s="549">
        <f t="shared" ref="AX144:AY144" si="4984">AX477</f>
        <v>0</v>
      </c>
      <c r="AY144" s="675">
        <f t="shared" si="4984"/>
        <v>0</v>
      </c>
      <c r="AZ144" s="549">
        <f t="shared" ref="AZ144:BA144" si="4985">AZ477</f>
        <v>0</v>
      </c>
      <c r="BA144" s="675">
        <f t="shared" si="4985"/>
        <v>0</v>
      </c>
      <c r="BB144" s="549">
        <f t="shared" ref="BB144:BC144" si="4986">BB477</f>
        <v>0</v>
      </c>
      <c r="BC144" s="675">
        <f t="shared" si="4986"/>
        <v>0</v>
      </c>
      <c r="BD144" s="549">
        <f t="shared" ref="BD144:BE144" si="4987">BD477</f>
        <v>0</v>
      </c>
      <c r="BE144" s="675">
        <f t="shared" si="4987"/>
        <v>0</v>
      </c>
      <c r="BF144" s="549">
        <f t="shared" ref="BF144:BG144" si="4988">BF477</f>
        <v>0</v>
      </c>
      <c r="BG144" s="675">
        <f t="shared" si="4988"/>
        <v>0</v>
      </c>
      <c r="BH144" s="549">
        <f t="shared" ref="BH144:BI144" si="4989">BH477</f>
        <v>0</v>
      </c>
      <c r="BI144" s="675">
        <f t="shared" si="4989"/>
        <v>0</v>
      </c>
      <c r="BJ144" s="549">
        <f t="shared" ref="BJ144:BK144" si="4990">BJ477</f>
        <v>0</v>
      </c>
      <c r="BK144" s="675">
        <f t="shared" si="4990"/>
        <v>0</v>
      </c>
      <c r="BL144" s="549">
        <f t="shared" ref="BL144:BS144" si="4991">BL477</f>
        <v>0</v>
      </c>
      <c r="BM144" s="675">
        <f t="shared" si="4991"/>
        <v>0</v>
      </c>
      <c r="BN144" s="549">
        <f t="shared" si="4991"/>
        <v>0</v>
      </c>
      <c r="BO144" s="675">
        <f t="shared" si="4991"/>
        <v>0</v>
      </c>
      <c r="BP144" s="549">
        <f t="shared" si="4991"/>
        <v>0</v>
      </c>
      <c r="BQ144" s="675">
        <f t="shared" si="4991"/>
        <v>0</v>
      </c>
      <c r="BR144" s="549">
        <f t="shared" si="4991"/>
        <v>0</v>
      </c>
      <c r="BS144" s="675">
        <f t="shared" si="4991"/>
        <v>0</v>
      </c>
      <c r="BT144" s="549">
        <f t="shared" si="4832"/>
        <v>0</v>
      </c>
      <c r="BU144" s="675">
        <f t="shared" si="4832"/>
        <v>0</v>
      </c>
      <c r="BV144" s="549">
        <f t="shared" si="4832"/>
        <v>0</v>
      </c>
      <c r="BW144" s="675">
        <f t="shared" si="4832"/>
        <v>0</v>
      </c>
      <c r="BX144" s="549">
        <f t="shared" ref="BX144:BY144" si="4992">BX477</f>
        <v>0</v>
      </c>
      <c r="BY144" s="675">
        <f t="shared" si="4992"/>
        <v>0</v>
      </c>
      <c r="BZ144" s="549">
        <f t="shared" ref="BZ144:CA144" si="4993">BZ477</f>
        <v>0</v>
      </c>
      <c r="CA144" s="675">
        <f t="shared" si="4993"/>
        <v>0</v>
      </c>
      <c r="CB144" s="549">
        <f t="shared" ref="CB144:CE144" si="4994">CB477</f>
        <v>0</v>
      </c>
      <c r="CC144" s="675">
        <f t="shared" si="4994"/>
        <v>0</v>
      </c>
      <c r="CD144" s="549">
        <f t="shared" si="4994"/>
        <v>0</v>
      </c>
      <c r="CE144" s="675">
        <f t="shared" si="4994"/>
        <v>0</v>
      </c>
      <c r="CF144" s="549">
        <f t="shared" si="4836"/>
        <v>0</v>
      </c>
      <c r="CG144" s="675">
        <f t="shared" si="4836"/>
        <v>0</v>
      </c>
      <c r="CH144" s="549">
        <f t="shared" ref="CH144:CQ144" si="4995">CH477</f>
        <v>0</v>
      </c>
      <c r="CI144" s="675">
        <f t="shared" si="4995"/>
        <v>0</v>
      </c>
      <c r="CJ144" s="549">
        <f t="shared" si="4995"/>
        <v>0</v>
      </c>
      <c r="CK144" s="675">
        <f t="shared" si="4995"/>
        <v>0</v>
      </c>
      <c r="CL144" s="549">
        <f t="shared" si="4995"/>
        <v>0</v>
      </c>
      <c r="CM144" s="675">
        <f t="shared" si="4995"/>
        <v>0</v>
      </c>
      <c r="CN144" s="549">
        <f t="shared" si="4995"/>
        <v>0</v>
      </c>
      <c r="CO144" s="675">
        <f t="shared" si="4995"/>
        <v>0</v>
      </c>
      <c r="CP144" s="549">
        <f t="shared" si="4995"/>
        <v>0</v>
      </c>
      <c r="CQ144" s="675">
        <f t="shared" si="4995"/>
        <v>0</v>
      </c>
      <c r="CR144" s="549">
        <f t="shared" ref="CR144:DG144" si="4996">CR477</f>
        <v>0</v>
      </c>
      <c r="CS144" s="675">
        <f t="shared" si="4996"/>
        <v>0</v>
      </c>
      <c r="CT144" s="549">
        <f t="shared" si="4996"/>
        <v>0</v>
      </c>
      <c r="CU144" s="675">
        <f t="shared" si="4996"/>
        <v>0</v>
      </c>
      <c r="CV144" s="549">
        <f t="shared" si="4996"/>
        <v>0</v>
      </c>
      <c r="CW144" s="675">
        <f t="shared" si="4996"/>
        <v>0</v>
      </c>
      <c r="CX144" s="549">
        <f t="shared" si="4996"/>
        <v>0</v>
      </c>
      <c r="CY144" s="675">
        <f t="shared" si="4996"/>
        <v>0</v>
      </c>
      <c r="CZ144" s="549">
        <f t="shared" si="4996"/>
        <v>0</v>
      </c>
      <c r="DA144" s="675">
        <f t="shared" si="4996"/>
        <v>0</v>
      </c>
      <c r="DB144" s="549">
        <f t="shared" si="4996"/>
        <v>0</v>
      </c>
      <c r="DC144" s="675">
        <f t="shared" si="4996"/>
        <v>0</v>
      </c>
      <c r="DD144" s="549">
        <f t="shared" si="4996"/>
        <v>0</v>
      </c>
      <c r="DE144" s="675">
        <f t="shared" si="4996"/>
        <v>0</v>
      </c>
      <c r="DF144" s="549">
        <f t="shared" si="4996"/>
        <v>0</v>
      </c>
      <c r="DG144" s="675">
        <f t="shared" si="4996"/>
        <v>0</v>
      </c>
      <c r="DH144" s="549">
        <f t="shared" si="4962"/>
        <v>0</v>
      </c>
      <c r="DI144" s="675">
        <f t="shared" si="4962"/>
        <v>0</v>
      </c>
      <c r="DJ144" s="549">
        <f t="shared" si="4840"/>
        <v>0</v>
      </c>
      <c r="DK144" s="675">
        <f t="shared" si="4840"/>
        <v>0</v>
      </c>
      <c r="DL144" s="549">
        <f t="shared" si="4840"/>
        <v>0</v>
      </c>
      <c r="DM144" s="675">
        <f t="shared" si="4840"/>
        <v>0</v>
      </c>
      <c r="DN144" s="549">
        <f t="shared" si="4840"/>
        <v>0</v>
      </c>
      <c r="DO144" s="675">
        <f t="shared" si="4840"/>
        <v>0</v>
      </c>
      <c r="DP144" s="549">
        <f t="shared" ref="DP144:DU144" si="4997">DP477</f>
        <v>0</v>
      </c>
      <c r="DQ144" s="675">
        <f t="shared" si="4997"/>
        <v>0</v>
      </c>
      <c r="DR144" s="549">
        <f t="shared" si="4997"/>
        <v>0</v>
      </c>
      <c r="DS144" s="675">
        <f t="shared" si="4997"/>
        <v>0</v>
      </c>
      <c r="DT144" s="549">
        <f t="shared" si="4997"/>
        <v>0</v>
      </c>
      <c r="DU144" s="675">
        <f t="shared" si="4997"/>
        <v>0</v>
      </c>
      <c r="DV144" s="549">
        <f t="shared" si="4842"/>
        <v>0</v>
      </c>
      <c r="DW144" s="675">
        <f t="shared" si="4842"/>
        <v>0</v>
      </c>
      <c r="DX144" s="549">
        <f t="shared" si="4884"/>
        <v>0</v>
      </c>
      <c r="DY144" s="675">
        <f t="shared" si="4884"/>
        <v>0</v>
      </c>
      <c r="DZ144" s="549">
        <f t="shared" si="4884"/>
        <v>0</v>
      </c>
      <c r="EA144" s="675">
        <f t="shared" si="4884"/>
        <v>0</v>
      </c>
      <c r="EB144" s="549">
        <f t="shared" ref="EB144:EM144" si="4998">EB477</f>
        <v>0</v>
      </c>
      <c r="EC144" s="675">
        <f t="shared" si="4998"/>
        <v>0</v>
      </c>
      <c r="ED144" s="549">
        <f t="shared" si="4998"/>
        <v>0</v>
      </c>
      <c r="EE144" s="675">
        <f t="shared" si="4998"/>
        <v>0</v>
      </c>
      <c r="EF144" s="549">
        <f t="shared" si="4998"/>
        <v>0</v>
      </c>
      <c r="EG144" s="675">
        <f t="shared" si="4998"/>
        <v>0</v>
      </c>
      <c r="EH144" s="549">
        <f t="shared" si="4998"/>
        <v>0</v>
      </c>
      <c r="EI144" s="675">
        <f t="shared" si="4998"/>
        <v>0</v>
      </c>
      <c r="EJ144" s="549">
        <f t="shared" si="4998"/>
        <v>0</v>
      </c>
      <c r="EK144" s="675">
        <f t="shared" si="4998"/>
        <v>0</v>
      </c>
      <c r="EL144" s="549">
        <f t="shared" si="4998"/>
        <v>0</v>
      </c>
      <c r="EM144" s="675">
        <f t="shared" si="4998"/>
        <v>0</v>
      </c>
      <c r="EN144" s="549">
        <f t="shared" si="4845"/>
        <v>0</v>
      </c>
      <c r="EO144" s="675">
        <f t="shared" si="4845"/>
        <v>0</v>
      </c>
      <c r="EP144" s="549">
        <f t="shared" ref="EP144:FA144" si="4999">EP477</f>
        <v>0</v>
      </c>
      <c r="EQ144" s="675">
        <f t="shared" si="4999"/>
        <v>0</v>
      </c>
      <c r="ER144" s="549">
        <f t="shared" si="4999"/>
        <v>0</v>
      </c>
      <c r="ES144" s="675">
        <f t="shared" si="4999"/>
        <v>0</v>
      </c>
      <c r="ET144" s="549">
        <f t="shared" si="4999"/>
        <v>0</v>
      </c>
      <c r="EU144" s="675">
        <f t="shared" si="4999"/>
        <v>0</v>
      </c>
      <c r="EV144" s="549">
        <f t="shared" si="4887"/>
        <v>0</v>
      </c>
      <c r="EW144" s="675">
        <f t="shared" si="4887"/>
        <v>0</v>
      </c>
      <c r="EX144" s="549">
        <f t="shared" si="4999"/>
        <v>0</v>
      </c>
      <c r="EY144" s="675">
        <f t="shared" si="4999"/>
        <v>0</v>
      </c>
      <c r="EZ144" s="549">
        <f t="shared" si="4999"/>
        <v>0</v>
      </c>
      <c r="FA144" s="675">
        <f t="shared" si="4999"/>
        <v>0</v>
      </c>
      <c r="FB144" s="549">
        <f t="shared" si="4888"/>
        <v>0</v>
      </c>
      <c r="FC144" s="675">
        <f t="shared" si="4888"/>
        <v>0</v>
      </c>
      <c r="FD144" s="549">
        <f t="shared" si="4888"/>
        <v>0</v>
      </c>
      <c r="FE144" s="675">
        <f t="shared" si="4888"/>
        <v>0</v>
      </c>
      <c r="FF144" s="549">
        <f t="shared" ref="FF144:FG144" si="5000">FF477</f>
        <v>0</v>
      </c>
      <c r="FG144" s="675">
        <f t="shared" si="5000"/>
        <v>0</v>
      </c>
      <c r="FH144" s="549">
        <f t="shared" ref="FH144:FI144" si="5001">FH477</f>
        <v>0</v>
      </c>
      <c r="FI144" s="675">
        <f t="shared" si="5001"/>
        <v>0</v>
      </c>
      <c r="FJ144" s="549">
        <f t="shared" ref="FJ144:FK144" si="5002">FJ477</f>
        <v>0</v>
      </c>
      <c r="FK144" s="675">
        <f t="shared" si="5002"/>
        <v>0</v>
      </c>
      <c r="FL144" s="549">
        <f t="shared" ref="FL144:FM144" si="5003">FL477</f>
        <v>0</v>
      </c>
      <c r="FM144" s="675">
        <f t="shared" si="5003"/>
        <v>0</v>
      </c>
      <c r="FN144" s="549">
        <f t="shared" ref="FN144:FO144" si="5004">FN477</f>
        <v>0</v>
      </c>
      <c r="FO144" s="675">
        <f t="shared" si="5004"/>
        <v>0</v>
      </c>
      <c r="FP144" s="549">
        <f t="shared" ref="FP144:FQ144" si="5005">FP477</f>
        <v>0</v>
      </c>
      <c r="FQ144" s="675">
        <f t="shared" si="5005"/>
        <v>0</v>
      </c>
      <c r="FR144" s="549">
        <f t="shared" ref="FR144:FS144" si="5006">FR477</f>
        <v>0</v>
      </c>
      <c r="FS144" s="675">
        <f t="shared" si="5006"/>
        <v>0</v>
      </c>
      <c r="FT144" s="549">
        <f t="shared" ref="FT144:FU144" si="5007">FT477</f>
        <v>0</v>
      </c>
      <c r="FU144" s="675">
        <f t="shared" si="5007"/>
        <v>0</v>
      </c>
      <c r="FV144" s="549">
        <f t="shared" ref="FV144:GK144" si="5008">FV477</f>
        <v>0</v>
      </c>
      <c r="FW144" s="675">
        <f t="shared" si="5008"/>
        <v>0</v>
      </c>
      <c r="FX144" s="549">
        <f t="shared" si="5008"/>
        <v>0</v>
      </c>
      <c r="FY144" s="675">
        <f t="shared" si="5008"/>
        <v>0</v>
      </c>
      <c r="FZ144" s="549">
        <f t="shared" ref="FZ144:GI144" si="5009">FZ477</f>
        <v>0</v>
      </c>
      <c r="GA144" s="675">
        <f t="shared" si="5009"/>
        <v>0</v>
      </c>
      <c r="GB144" s="549">
        <f t="shared" si="5009"/>
        <v>0</v>
      </c>
      <c r="GC144" s="675">
        <f t="shared" si="5009"/>
        <v>0</v>
      </c>
      <c r="GD144" s="549">
        <f t="shared" si="5009"/>
        <v>0</v>
      </c>
      <c r="GE144" s="675">
        <f t="shared" si="5009"/>
        <v>0</v>
      </c>
      <c r="GF144" s="549">
        <f t="shared" si="5009"/>
        <v>0</v>
      </c>
      <c r="GG144" s="675">
        <f t="shared" si="5009"/>
        <v>0</v>
      </c>
      <c r="GH144" s="549">
        <f t="shared" si="5009"/>
        <v>0</v>
      </c>
      <c r="GI144" s="675">
        <f t="shared" si="5009"/>
        <v>0</v>
      </c>
      <c r="GJ144" s="549">
        <f t="shared" si="5008"/>
        <v>0</v>
      </c>
      <c r="GK144" s="675">
        <f t="shared" si="5008"/>
        <v>0</v>
      </c>
      <c r="GL144" s="549">
        <f t="shared" ref="GL144:GM144" si="5010">GL477</f>
        <v>0</v>
      </c>
      <c r="GM144" s="675">
        <f t="shared" si="5010"/>
        <v>0</v>
      </c>
      <c r="GN144" s="549">
        <f t="shared" ref="GN144:GO144" si="5011">GN477</f>
        <v>0</v>
      </c>
      <c r="GO144" s="675">
        <f t="shared" si="5011"/>
        <v>0</v>
      </c>
      <c r="GP144" s="74">
        <f t="shared" si="4901"/>
        <v>0</v>
      </c>
      <c r="GQ144" s="675">
        <f t="shared" si="4901"/>
        <v>0</v>
      </c>
      <c r="GR144" s="74">
        <f t="shared" si="4978"/>
        <v>8200</v>
      </c>
      <c r="GS144" s="74">
        <f t="shared" si="4979"/>
        <v>8200</v>
      </c>
      <c r="GT144" s="549">
        <f t="shared" si="4979"/>
        <v>8200</v>
      </c>
      <c r="GU144" s="74">
        <f t="shared" si="4940"/>
        <v>0</v>
      </c>
      <c r="GV144" s="74">
        <f t="shared" si="4940"/>
        <v>0</v>
      </c>
      <c r="GW144" s="549">
        <f t="shared" si="4940"/>
        <v>8200</v>
      </c>
      <c r="GX144" s="549">
        <f t="shared" si="4940"/>
        <v>0</v>
      </c>
      <c r="GY144" s="74">
        <f t="shared" si="4940"/>
        <v>0</v>
      </c>
      <c r="GZ144" s="74">
        <f t="shared" si="4940"/>
        <v>0</v>
      </c>
      <c r="HA144" s="74">
        <f t="shared" si="4940"/>
        <v>0</v>
      </c>
      <c r="HB144" s="74">
        <f t="shared" si="4940"/>
        <v>0</v>
      </c>
      <c r="HC144" s="74">
        <f t="shared" si="4940"/>
        <v>0</v>
      </c>
      <c r="HD144" s="74">
        <f t="shared" si="4940"/>
        <v>0</v>
      </c>
      <c r="HE144" s="74">
        <f t="shared" si="4940"/>
        <v>0</v>
      </c>
      <c r="HF144" s="74">
        <f t="shared" si="4940"/>
        <v>0</v>
      </c>
      <c r="HG144" s="74">
        <f t="shared" si="4978"/>
        <v>8200</v>
      </c>
      <c r="HH144" s="74">
        <f t="shared" ref="HH144:HU144" si="5012">HH477</f>
        <v>0</v>
      </c>
      <c r="HI144" s="74">
        <f t="shared" si="5012"/>
        <v>0</v>
      </c>
      <c r="HJ144" s="74">
        <f t="shared" si="5012"/>
        <v>0</v>
      </c>
      <c r="HK144" s="74">
        <f t="shared" si="5012"/>
        <v>0</v>
      </c>
      <c r="HL144" s="74">
        <f t="shared" si="5012"/>
        <v>8200</v>
      </c>
      <c r="HM144" s="74">
        <f t="shared" si="5012"/>
        <v>0</v>
      </c>
      <c r="HN144" s="74">
        <f t="shared" si="5012"/>
        <v>0</v>
      </c>
      <c r="HO144" s="74">
        <f t="shared" si="5012"/>
        <v>0</v>
      </c>
      <c r="HP144" s="74">
        <f t="shared" si="5012"/>
        <v>0</v>
      </c>
      <c r="HQ144" s="74">
        <f t="shared" si="5012"/>
        <v>0</v>
      </c>
      <c r="HR144" s="74">
        <f t="shared" si="5012"/>
        <v>0</v>
      </c>
      <c r="HS144" s="74">
        <f t="shared" si="5012"/>
        <v>0</v>
      </c>
      <c r="HT144" s="74">
        <f t="shared" si="5012"/>
        <v>0</v>
      </c>
      <c r="HU144" s="74">
        <f t="shared" si="5012"/>
        <v>0</v>
      </c>
      <c r="HV144" s="74">
        <f t="shared" si="4978"/>
        <v>0</v>
      </c>
      <c r="HW144" s="74">
        <f t="shared" si="4978"/>
        <v>0</v>
      </c>
      <c r="HX144" s="74">
        <f t="shared" si="4978"/>
        <v>0</v>
      </c>
      <c r="HY144" s="74">
        <f t="shared" si="4978"/>
        <v>0</v>
      </c>
      <c r="HZ144" s="74">
        <f t="shared" si="4978"/>
        <v>0</v>
      </c>
      <c r="IA144" s="74">
        <f t="shared" si="4978"/>
        <v>0</v>
      </c>
      <c r="IB144" s="74">
        <f t="shared" si="4978"/>
        <v>0</v>
      </c>
      <c r="IC144" s="74">
        <f t="shared" si="4978"/>
        <v>0</v>
      </c>
      <c r="ID144" s="74">
        <f t="shared" si="4978"/>
        <v>0</v>
      </c>
      <c r="IE144" s="792">
        <f t="shared" si="4978"/>
        <v>0</v>
      </c>
      <c r="IF144" s="841">
        <f t="shared" si="4978"/>
        <v>8195.73</v>
      </c>
      <c r="IG144" s="263">
        <f t="shared" si="4978"/>
        <v>8195.73</v>
      </c>
      <c r="IH144" s="842">
        <f t="shared" si="4978"/>
        <v>8195.73</v>
      </c>
      <c r="II144" s="155">
        <f t="shared" si="4978"/>
        <v>0</v>
      </c>
      <c r="IJ144" s="74">
        <f t="shared" si="4978"/>
        <v>0</v>
      </c>
      <c r="IK144" s="74">
        <f t="shared" si="4978"/>
        <v>0</v>
      </c>
      <c r="IL144" s="74">
        <f t="shared" si="4978"/>
        <v>0</v>
      </c>
      <c r="IM144" s="74">
        <f t="shared" si="4978"/>
        <v>0</v>
      </c>
      <c r="IN144" s="74">
        <f t="shared" si="4978"/>
        <v>0</v>
      </c>
      <c r="IO144" s="74">
        <f t="shared" si="4978"/>
        <v>5649.18</v>
      </c>
      <c r="IP144" s="74">
        <f t="shared" si="4978"/>
        <v>5649.18</v>
      </c>
      <c r="IQ144" s="74">
        <f t="shared" si="4978"/>
        <v>5649.18</v>
      </c>
      <c r="IR144" s="74">
        <f t="shared" si="4978"/>
        <v>1502.0199999999995</v>
      </c>
      <c r="IS144" s="74">
        <f t="shared" si="4978"/>
        <v>1502.0199999999995</v>
      </c>
      <c r="IT144" s="74">
        <f t="shared" si="4978"/>
        <v>1502.0199999999995</v>
      </c>
      <c r="IU144" s="74">
        <f t="shared" si="4978"/>
        <v>745.07000000000062</v>
      </c>
      <c r="IV144" s="74">
        <f t="shared" si="4978"/>
        <v>745.07000000000062</v>
      </c>
      <c r="IW144" s="74">
        <f t="shared" si="4978"/>
        <v>745.07000000000062</v>
      </c>
      <c r="IX144" s="74">
        <f t="shared" si="4978"/>
        <v>169.25999999999931</v>
      </c>
      <c r="IY144" s="74">
        <f t="shared" si="4978"/>
        <v>169.25999999999931</v>
      </c>
      <c r="IZ144" s="74">
        <f t="shared" si="4978"/>
        <v>169.25999999999931</v>
      </c>
      <c r="JA144" s="74">
        <f t="shared" si="4978"/>
        <v>120</v>
      </c>
      <c r="JB144" s="74">
        <f t="shared" si="4978"/>
        <v>120</v>
      </c>
      <c r="JC144" s="74">
        <f t="shared" si="4978"/>
        <v>120</v>
      </c>
      <c r="JD144" s="74">
        <f t="shared" si="4978"/>
        <v>0</v>
      </c>
      <c r="JE144" s="74">
        <f t="shared" si="4978"/>
        <v>0</v>
      </c>
      <c r="JF144" s="74">
        <f t="shared" si="4978"/>
        <v>0</v>
      </c>
      <c r="JG144" s="74">
        <f t="shared" si="4978"/>
        <v>10.199999999999818</v>
      </c>
      <c r="JH144" s="74">
        <f t="shared" si="4978"/>
        <v>10.199999999999818</v>
      </c>
      <c r="JI144" s="74">
        <f t="shared" si="4978"/>
        <v>10.199999999999818</v>
      </c>
      <c r="JJ144" s="74">
        <f t="shared" si="4978"/>
        <v>0</v>
      </c>
      <c r="JK144" s="74">
        <f t="shared" si="4978"/>
        <v>0</v>
      </c>
      <c r="JL144" s="74">
        <f t="shared" si="4978"/>
        <v>0</v>
      </c>
      <c r="JM144" s="74">
        <f t="shared" si="4978"/>
        <v>0</v>
      </c>
      <c r="JN144" s="74">
        <f t="shared" si="4978"/>
        <v>0</v>
      </c>
      <c r="JO144" s="74">
        <f t="shared" si="4978"/>
        <v>0</v>
      </c>
      <c r="JP144" s="74">
        <f t="shared" si="4907"/>
        <v>0</v>
      </c>
      <c r="JQ144" s="74">
        <f t="shared" si="4907"/>
        <v>0</v>
      </c>
      <c r="JR144" s="74">
        <f t="shared" si="4907"/>
        <v>0</v>
      </c>
      <c r="JS144" s="74">
        <f t="shared" si="4907"/>
        <v>4.2700000000004366</v>
      </c>
      <c r="JT144" s="382">
        <f t="shared" si="4907"/>
        <v>4.2700000000004366</v>
      </c>
      <c r="JU144" s="671"/>
      <c r="JV144" s="492"/>
      <c r="JW144" s="490"/>
      <c r="JX144" s="549">
        <f t="shared" si="4865"/>
        <v>8200</v>
      </c>
      <c r="JY144" s="549">
        <f t="shared" si="4865"/>
        <v>0</v>
      </c>
      <c r="JZ144" s="581">
        <f t="shared" si="4944"/>
        <v>0</v>
      </c>
      <c r="KA144" s="581">
        <f t="shared" si="4945"/>
        <v>0</v>
      </c>
      <c r="KB144" s="549">
        <f t="shared" si="4866"/>
        <v>8200</v>
      </c>
      <c r="KC144" s="709">
        <f t="shared" si="4908"/>
        <v>0</v>
      </c>
      <c r="KD144" s="36"/>
      <c r="KE144" s="36"/>
      <c r="KF144" s="36"/>
      <c r="KG144" s="36"/>
      <c r="KH144" s="36"/>
      <c r="KI144" s="36"/>
      <c r="KJ144" s="36"/>
      <c r="KK144" s="36"/>
    </row>
    <row r="145" spans="1:297" s="8" customFormat="1">
      <c r="A145" s="75">
        <v>256</v>
      </c>
      <c r="B145" s="72" t="s">
        <v>170</v>
      </c>
      <c r="C145" s="74">
        <f t="shared" si="4812"/>
        <v>9600</v>
      </c>
      <c r="D145" s="549">
        <f t="shared" si="4812"/>
        <v>0</v>
      </c>
      <c r="E145" s="675">
        <f t="shared" si="4812"/>
        <v>0</v>
      </c>
      <c r="F145" s="549">
        <f t="shared" si="4812"/>
        <v>0</v>
      </c>
      <c r="G145" s="675">
        <f t="shared" si="4812"/>
        <v>0</v>
      </c>
      <c r="H145" s="549">
        <f t="shared" si="4813"/>
        <v>0</v>
      </c>
      <c r="I145" s="675">
        <f t="shared" si="4813"/>
        <v>0</v>
      </c>
      <c r="J145" s="549">
        <f t="shared" si="4813"/>
        <v>0</v>
      </c>
      <c r="K145" s="675">
        <f t="shared" si="4813"/>
        <v>0</v>
      </c>
      <c r="L145" s="549">
        <f t="shared" si="4813"/>
        <v>0</v>
      </c>
      <c r="M145" s="675">
        <f t="shared" si="4813"/>
        <v>0</v>
      </c>
      <c r="N145" s="549">
        <f t="shared" si="4814"/>
        <v>0</v>
      </c>
      <c r="O145" s="675">
        <f t="shared" si="4814"/>
        <v>0</v>
      </c>
      <c r="P145" s="549">
        <f t="shared" si="4814"/>
        <v>0</v>
      </c>
      <c r="Q145" s="675">
        <f t="shared" si="4814"/>
        <v>0</v>
      </c>
      <c r="R145" s="549">
        <f t="shared" si="4815"/>
        <v>0</v>
      </c>
      <c r="S145" s="675">
        <f t="shared" si="4815"/>
        <v>0</v>
      </c>
      <c r="T145" s="549">
        <f t="shared" si="4815"/>
        <v>0</v>
      </c>
      <c r="U145" s="675">
        <f t="shared" si="4815"/>
        <v>0</v>
      </c>
      <c r="V145" s="549">
        <f t="shared" si="4816"/>
        <v>0</v>
      </c>
      <c r="W145" s="675">
        <f t="shared" si="4816"/>
        <v>-3000</v>
      </c>
      <c r="X145" s="549">
        <f t="shared" si="4817"/>
        <v>0</v>
      </c>
      <c r="Y145" s="675">
        <f t="shared" si="4817"/>
        <v>0</v>
      </c>
      <c r="Z145" s="549">
        <f t="shared" si="4816"/>
        <v>0</v>
      </c>
      <c r="AA145" s="675">
        <f t="shared" si="4816"/>
        <v>0</v>
      </c>
      <c r="AB145" s="549">
        <f t="shared" si="4816"/>
        <v>0</v>
      </c>
      <c r="AC145" s="675">
        <f t="shared" si="4816"/>
        <v>0</v>
      </c>
      <c r="AD145" s="549">
        <f t="shared" ref="AD145:AK145" si="5013">AD478</f>
        <v>0</v>
      </c>
      <c r="AE145" s="675">
        <f t="shared" si="5013"/>
        <v>0</v>
      </c>
      <c r="AF145" s="549">
        <f t="shared" si="5013"/>
        <v>0</v>
      </c>
      <c r="AG145" s="675">
        <f t="shared" si="5013"/>
        <v>0</v>
      </c>
      <c r="AH145" s="549">
        <f t="shared" si="5013"/>
        <v>0</v>
      </c>
      <c r="AI145" s="675">
        <f t="shared" si="5013"/>
        <v>0</v>
      </c>
      <c r="AJ145" s="549">
        <f t="shared" si="5013"/>
        <v>0</v>
      </c>
      <c r="AK145" s="675">
        <f t="shared" si="5013"/>
        <v>0</v>
      </c>
      <c r="AL145" s="549">
        <f t="shared" si="4819"/>
        <v>0</v>
      </c>
      <c r="AM145" s="675">
        <f t="shared" si="4819"/>
        <v>0</v>
      </c>
      <c r="AN145" s="549">
        <f t="shared" si="4820"/>
        <v>0</v>
      </c>
      <c r="AO145" s="675">
        <f t="shared" si="4820"/>
        <v>0</v>
      </c>
      <c r="AP145" s="549">
        <f t="shared" si="4820"/>
        <v>0</v>
      </c>
      <c r="AQ145" s="675">
        <f t="shared" si="4820"/>
        <v>0</v>
      </c>
      <c r="AR145" s="549">
        <f t="shared" si="4821"/>
        <v>0</v>
      </c>
      <c r="AS145" s="675">
        <f t="shared" si="4821"/>
        <v>0</v>
      </c>
      <c r="AT145" s="549">
        <f t="shared" ref="AT145:AU145" si="5014">AT478</f>
        <v>0</v>
      </c>
      <c r="AU145" s="675">
        <f t="shared" si="5014"/>
        <v>0</v>
      </c>
      <c r="AV145" s="549">
        <f t="shared" ref="AV145:AW145" si="5015">AV478</f>
        <v>0</v>
      </c>
      <c r="AW145" s="675">
        <f t="shared" si="5015"/>
        <v>0</v>
      </c>
      <c r="AX145" s="549">
        <f t="shared" ref="AX145:AY145" si="5016">AX478</f>
        <v>0</v>
      </c>
      <c r="AY145" s="675">
        <f t="shared" si="5016"/>
        <v>0</v>
      </c>
      <c r="AZ145" s="549">
        <f t="shared" ref="AZ145:BA145" si="5017">AZ478</f>
        <v>0</v>
      </c>
      <c r="BA145" s="675">
        <f t="shared" si="5017"/>
        <v>0</v>
      </c>
      <c r="BB145" s="549">
        <f t="shared" ref="BB145:BC145" si="5018">BB478</f>
        <v>0</v>
      </c>
      <c r="BC145" s="675">
        <f t="shared" si="5018"/>
        <v>0</v>
      </c>
      <c r="BD145" s="549">
        <f t="shared" ref="BD145:BE145" si="5019">BD478</f>
        <v>0</v>
      </c>
      <c r="BE145" s="675">
        <f t="shared" si="5019"/>
        <v>0</v>
      </c>
      <c r="BF145" s="549">
        <f t="shared" ref="BF145:BG145" si="5020">BF478</f>
        <v>0</v>
      </c>
      <c r="BG145" s="675">
        <f t="shared" si="5020"/>
        <v>0</v>
      </c>
      <c r="BH145" s="549">
        <f t="shared" ref="BH145:BI145" si="5021">BH478</f>
        <v>0</v>
      </c>
      <c r="BI145" s="675">
        <f t="shared" si="5021"/>
        <v>0</v>
      </c>
      <c r="BJ145" s="549">
        <f t="shared" ref="BJ145:BK145" si="5022">BJ478</f>
        <v>0</v>
      </c>
      <c r="BK145" s="675">
        <f t="shared" si="5022"/>
        <v>0</v>
      </c>
      <c r="BL145" s="549">
        <f t="shared" ref="BL145:BS145" si="5023">BL478</f>
        <v>0</v>
      </c>
      <c r="BM145" s="675">
        <f t="shared" si="5023"/>
        <v>0</v>
      </c>
      <c r="BN145" s="549">
        <f t="shared" si="5023"/>
        <v>0</v>
      </c>
      <c r="BO145" s="675">
        <f t="shared" si="5023"/>
        <v>0</v>
      </c>
      <c r="BP145" s="549">
        <f t="shared" si="5023"/>
        <v>0</v>
      </c>
      <c r="BQ145" s="675">
        <f t="shared" si="5023"/>
        <v>0</v>
      </c>
      <c r="BR145" s="549">
        <f t="shared" si="5023"/>
        <v>0</v>
      </c>
      <c r="BS145" s="675">
        <f t="shared" si="5023"/>
        <v>0</v>
      </c>
      <c r="BT145" s="549">
        <f t="shared" si="4832"/>
        <v>0</v>
      </c>
      <c r="BU145" s="675">
        <f t="shared" si="4832"/>
        <v>0</v>
      </c>
      <c r="BV145" s="549">
        <f t="shared" si="4832"/>
        <v>0</v>
      </c>
      <c r="BW145" s="675">
        <f t="shared" si="4832"/>
        <v>0</v>
      </c>
      <c r="BX145" s="549">
        <f t="shared" ref="BX145:BY145" si="5024">BX478</f>
        <v>0</v>
      </c>
      <c r="BY145" s="675">
        <f t="shared" si="5024"/>
        <v>0</v>
      </c>
      <c r="BZ145" s="549">
        <f t="shared" ref="BZ145:CA145" si="5025">BZ478</f>
        <v>0</v>
      </c>
      <c r="CA145" s="675">
        <f t="shared" si="5025"/>
        <v>0</v>
      </c>
      <c r="CB145" s="549">
        <f t="shared" ref="CB145:CE145" si="5026">CB478</f>
        <v>0</v>
      </c>
      <c r="CC145" s="675">
        <f t="shared" si="5026"/>
        <v>0</v>
      </c>
      <c r="CD145" s="549">
        <f t="shared" si="5026"/>
        <v>0</v>
      </c>
      <c r="CE145" s="675">
        <f t="shared" si="5026"/>
        <v>0</v>
      </c>
      <c r="CF145" s="549">
        <f t="shared" si="4836"/>
        <v>0</v>
      </c>
      <c r="CG145" s="675">
        <f t="shared" si="4836"/>
        <v>0</v>
      </c>
      <c r="CH145" s="549">
        <f t="shared" ref="CH145:CQ145" si="5027">CH478</f>
        <v>0</v>
      </c>
      <c r="CI145" s="675">
        <f t="shared" si="5027"/>
        <v>0</v>
      </c>
      <c r="CJ145" s="549">
        <f t="shared" si="5027"/>
        <v>0</v>
      </c>
      <c r="CK145" s="675">
        <f t="shared" si="5027"/>
        <v>-2000</v>
      </c>
      <c r="CL145" s="549">
        <f t="shared" si="5027"/>
        <v>0</v>
      </c>
      <c r="CM145" s="675">
        <f t="shared" si="5027"/>
        <v>0</v>
      </c>
      <c r="CN145" s="549">
        <f t="shared" si="5027"/>
        <v>0</v>
      </c>
      <c r="CO145" s="675">
        <f t="shared" si="5027"/>
        <v>0</v>
      </c>
      <c r="CP145" s="549">
        <f t="shared" si="5027"/>
        <v>0</v>
      </c>
      <c r="CQ145" s="675">
        <f t="shared" si="5027"/>
        <v>0</v>
      </c>
      <c r="CR145" s="549">
        <f t="shared" ref="CR145:DG145" si="5028">CR478</f>
        <v>0</v>
      </c>
      <c r="CS145" s="675">
        <f t="shared" si="5028"/>
        <v>0</v>
      </c>
      <c r="CT145" s="549">
        <f t="shared" si="5028"/>
        <v>0</v>
      </c>
      <c r="CU145" s="675">
        <f t="shared" si="5028"/>
        <v>0</v>
      </c>
      <c r="CV145" s="549">
        <f t="shared" si="5028"/>
        <v>0</v>
      </c>
      <c r="CW145" s="675">
        <f t="shared" si="5028"/>
        <v>0</v>
      </c>
      <c r="CX145" s="549">
        <f t="shared" si="5028"/>
        <v>0</v>
      </c>
      <c r="CY145" s="675">
        <f t="shared" si="5028"/>
        <v>0</v>
      </c>
      <c r="CZ145" s="549">
        <f t="shared" si="5028"/>
        <v>0</v>
      </c>
      <c r="DA145" s="675">
        <f t="shared" si="5028"/>
        <v>0</v>
      </c>
      <c r="DB145" s="549">
        <f t="shared" si="5028"/>
        <v>0</v>
      </c>
      <c r="DC145" s="675">
        <f t="shared" si="5028"/>
        <v>0</v>
      </c>
      <c r="DD145" s="549">
        <f t="shared" si="5028"/>
        <v>0</v>
      </c>
      <c r="DE145" s="675">
        <f t="shared" si="5028"/>
        <v>0</v>
      </c>
      <c r="DF145" s="549">
        <f t="shared" si="5028"/>
        <v>0</v>
      </c>
      <c r="DG145" s="675">
        <f t="shared" si="5028"/>
        <v>0</v>
      </c>
      <c r="DH145" s="549">
        <f t="shared" si="4962"/>
        <v>0</v>
      </c>
      <c r="DI145" s="675">
        <f t="shared" si="4962"/>
        <v>0</v>
      </c>
      <c r="DJ145" s="549">
        <f t="shared" si="4840"/>
        <v>0</v>
      </c>
      <c r="DK145" s="675">
        <f t="shared" si="4840"/>
        <v>0</v>
      </c>
      <c r="DL145" s="549">
        <f t="shared" si="4840"/>
        <v>0</v>
      </c>
      <c r="DM145" s="675">
        <f t="shared" si="4840"/>
        <v>0</v>
      </c>
      <c r="DN145" s="549">
        <f t="shared" si="4840"/>
        <v>0</v>
      </c>
      <c r="DO145" s="675">
        <f t="shared" si="4840"/>
        <v>0</v>
      </c>
      <c r="DP145" s="549">
        <f t="shared" ref="DP145:DU145" si="5029">DP478</f>
        <v>0</v>
      </c>
      <c r="DQ145" s="675">
        <f t="shared" si="5029"/>
        <v>0</v>
      </c>
      <c r="DR145" s="549">
        <f t="shared" si="5029"/>
        <v>0</v>
      </c>
      <c r="DS145" s="675">
        <f t="shared" si="5029"/>
        <v>0</v>
      </c>
      <c r="DT145" s="549">
        <f t="shared" si="5029"/>
        <v>0</v>
      </c>
      <c r="DU145" s="675">
        <f t="shared" si="5029"/>
        <v>0</v>
      </c>
      <c r="DV145" s="549">
        <f t="shared" si="4842"/>
        <v>0</v>
      </c>
      <c r="DW145" s="675">
        <f t="shared" si="4842"/>
        <v>0</v>
      </c>
      <c r="DX145" s="549">
        <f t="shared" si="4884"/>
        <v>0</v>
      </c>
      <c r="DY145" s="675">
        <f t="shared" si="4884"/>
        <v>0</v>
      </c>
      <c r="DZ145" s="549">
        <f t="shared" si="4884"/>
        <v>0</v>
      </c>
      <c r="EA145" s="675">
        <f t="shared" si="4884"/>
        <v>0</v>
      </c>
      <c r="EB145" s="549">
        <f t="shared" ref="EB145:EM145" si="5030">EB478</f>
        <v>0</v>
      </c>
      <c r="EC145" s="675">
        <f t="shared" si="5030"/>
        <v>0</v>
      </c>
      <c r="ED145" s="549">
        <f t="shared" si="5030"/>
        <v>0</v>
      </c>
      <c r="EE145" s="675">
        <f t="shared" si="5030"/>
        <v>0</v>
      </c>
      <c r="EF145" s="549">
        <f t="shared" si="5030"/>
        <v>0</v>
      </c>
      <c r="EG145" s="675">
        <f t="shared" si="5030"/>
        <v>0</v>
      </c>
      <c r="EH145" s="549">
        <f t="shared" si="5030"/>
        <v>0</v>
      </c>
      <c r="EI145" s="675">
        <f t="shared" si="5030"/>
        <v>0</v>
      </c>
      <c r="EJ145" s="549">
        <f t="shared" si="5030"/>
        <v>0</v>
      </c>
      <c r="EK145" s="675">
        <f t="shared" si="5030"/>
        <v>0</v>
      </c>
      <c r="EL145" s="549">
        <f t="shared" si="5030"/>
        <v>0</v>
      </c>
      <c r="EM145" s="675">
        <f t="shared" si="5030"/>
        <v>0</v>
      </c>
      <c r="EN145" s="549">
        <f t="shared" si="4845"/>
        <v>0</v>
      </c>
      <c r="EO145" s="675">
        <f t="shared" si="4845"/>
        <v>0</v>
      </c>
      <c r="EP145" s="549">
        <f t="shared" ref="EP145:FA145" si="5031">EP478</f>
        <v>0</v>
      </c>
      <c r="EQ145" s="675">
        <f t="shared" si="5031"/>
        <v>0</v>
      </c>
      <c r="ER145" s="549">
        <f t="shared" si="5031"/>
        <v>0</v>
      </c>
      <c r="ES145" s="675">
        <f t="shared" si="5031"/>
        <v>0</v>
      </c>
      <c r="ET145" s="549">
        <f t="shared" si="5031"/>
        <v>0</v>
      </c>
      <c r="EU145" s="675">
        <f t="shared" si="5031"/>
        <v>0</v>
      </c>
      <c r="EV145" s="549">
        <f t="shared" si="4887"/>
        <v>0</v>
      </c>
      <c r="EW145" s="675">
        <f t="shared" si="4887"/>
        <v>0</v>
      </c>
      <c r="EX145" s="549">
        <f t="shared" si="5031"/>
        <v>0</v>
      </c>
      <c r="EY145" s="675">
        <f t="shared" si="5031"/>
        <v>0</v>
      </c>
      <c r="EZ145" s="549">
        <f t="shared" si="5031"/>
        <v>0</v>
      </c>
      <c r="FA145" s="675">
        <f t="shared" si="5031"/>
        <v>0</v>
      </c>
      <c r="FB145" s="549">
        <f t="shared" si="4888"/>
        <v>0</v>
      </c>
      <c r="FC145" s="675">
        <f t="shared" si="4888"/>
        <v>0</v>
      </c>
      <c r="FD145" s="549">
        <f t="shared" si="4888"/>
        <v>0</v>
      </c>
      <c r="FE145" s="675">
        <f t="shared" si="4888"/>
        <v>0</v>
      </c>
      <c r="FF145" s="549">
        <f t="shared" ref="FF145:FG145" si="5032">FF478</f>
        <v>0</v>
      </c>
      <c r="FG145" s="675">
        <f t="shared" si="5032"/>
        <v>0</v>
      </c>
      <c r="FH145" s="549">
        <f t="shared" ref="FH145:FI145" si="5033">FH478</f>
        <v>0</v>
      </c>
      <c r="FI145" s="675">
        <f t="shared" si="5033"/>
        <v>0</v>
      </c>
      <c r="FJ145" s="549">
        <f t="shared" ref="FJ145:FK145" si="5034">FJ478</f>
        <v>0</v>
      </c>
      <c r="FK145" s="675">
        <f t="shared" si="5034"/>
        <v>0</v>
      </c>
      <c r="FL145" s="549">
        <f t="shared" ref="FL145:FM145" si="5035">FL478</f>
        <v>0</v>
      </c>
      <c r="FM145" s="675">
        <f t="shared" si="5035"/>
        <v>-1612</v>
      </c>
      <c r="FN145" s="549">
        <f t="shared" ref="FN145:FO145" si="5036">FN478</f>
        <v>0</v>
      </c>
      <c r="FO145" s="675">
        <f t="shared" si="5036"/>
        <v>0</v>
      </c>
      <c r="FP145" s="549">
        <f t="shared" ref="FP145:FQ145" si="5037">FP478</f>
        <v>0</v>
      </c>
      <c r="FQ145" s="675">
        <f t="shared" si="5037"/>
        <v>0</v>
      </c>
      <c r="FR145" s="549">
        <f t="shared" ref="FR145:FS145" si="5038">FR478</f>
        <v>0</v>
      </c>
      <c r="FS145" s="675">
        <f t="shared" si="5038"/>
        <v>0</v>
      </c>
      <c r="FT145" s="549">
        <f t="shared" ref="FT145:FU145" si="5039">FT478</f>
        <v>0</v>
      </c>
      <c r="FU145" s="675">
        <f t="shared" si="5039"/>
        <v>0</v>
      </c>
      <c r="FV145" s="549">
        <f t="shared" ref="FV145:GK145" si="5040">FV478</f>
        <v>0</v>
      </c>
      <c r="FW145" s="675">
        <f t="shared" si="5040"/>
        <v>0</v>
      </c>
      <c r="FX145" s="549">
        <f t="shared" si="5040"/>
        <v>0</v>
      </c>
      <c r="FY145" s="675">
        <f t="shared" si="5040"/>
        <v>0</v>
      </c>
      <c r="FZ145" s="549">
        <f t="shared" ref="FZ145:GI145" si="5041">FZ478</f>
        <v>0</v>
      </c>
      <c r="GA145" s="675">
        <f t="shared" si="5041"/>
        <v>0</v>
      </c>
      <c r="GB145" s="549">
        <f t="shared" si="5041"/>
        <v>0</v>
      </c>
      <c r="GC145" s="675">
        <f t="shared" si="5041"/>
        <v>0</v>
      </c>
      <c r="GD145" s="549">
        <f t="shared" si="5041"/>
        <v>0</v>
      </c>
      <c r="GE145" s="675">
        <f t="shared" si="5041"/>
        <v>0</v>
      </c>
      <c r="GF145" s="549">
        <f t="shared" si="5041"/>
        <v>0</v>
      </c>
      <c r="GG145" s="675">
        <f t="shared" si="5041"/>
        <v>0</v>
      </c>
      <c r="GH145" s="549">
        <f t="shared" si="5041"/>
        <v>0</v>
      </c>
      <c r="GI145" s="675">
        <f t="shared" si="5041"/>
        <v>0</v>
      </c>
      <c r="GJ145" s="549">
        <f t="shared" si="5040"/>
        <v>0</v>
      </c>
      <c r="GK145" s="675">
        <f t="shared" si="5040"/>
        <v>0</v>
      </c>
      <c r="GL145" s="549">
        <f t="shared" ref="GL145:GM145" si="5042">GL478</f>
        <v>0</v>
      </c>
      <c r="GM145" s="675">
        <f t="shared" si="5042"/>
        <v>0</v>
      </c>
      <c r="GN145" s="549">
        <f t="shared" ref="GN145:GO145" si="5043">GN478</f>
        <v>0</v>
      </c>
      <c r="GO145" s="675">
        <f t="shared" si="5043"/>
        <v>0</v>
      </c>
      <c r="GP145" s="74">
        <f t="shared" si="4901"/>
        <v>0</v>
      </c>
      <c r="GQ145" s="675">
        <f t="shared" si="4901"/>
        <v>-6612</v>
      </c>
      <c r="GR145" s="74">
        <f t="shared" si="4978"/>
        <v>2988</v>
      </c>
      <c r="GS145" s="74">
        <f t="shared" si="4979"/>
        <v>2988</v>
      </c>
      <c r="GT145" s="549">
        <f t="shared" si="4979"/>
        <v>2988</v>
      </c>
      <c r="GU145" s="74">
        <f t="shared" si="4940"/>
        <v>4800</v>
      </c>
      <c r="GV145" s="74">
        <f t="shared" si="4940"/>
        <v>0</v>
      </c>
      <c r="GW145" s="549">
        <f t="shared" si="4940"/>
        <v>0</v>
      </c>
      <c r="GX145" s="549">
        <f t="shared" si="4940"/>
        <v>4800</v>
      </c>
      <c r="GY145" s="74">
        <f t="shared" si="4940"/>
        <v>0</v>
      </c>
      <c r="GZ145" s="74">
        <f t="shared" si="4940"/>
        <v>0</v>
      </c>
      <c r="HA145" s="74">
        <f t="shared" si="4940"/>
        <v>0</v>
      </c>
      <c r="HB145" s="74">
        <f t="shared" si="4940"/>
        <v>0</v>
      </c>
      <c r="HC145" s="74">
        <f t="shared" si="4940"/>
        <v>0</v>
      </c>
      <c r="HD145" s="74">
        <f t="shared" si="4940"/>
        <v>0</v>
      </c>
      <c r="HE145" s="74">
        <f t="shared" si="4940"/>
        <v>0</v>
      </c>
      <c r="HF145" s="74">
        <f t="shared" si="4940"/>
        <v>0</v>
      </c>
      <c r="HG145" s="74">
        <f t="shared" si="4978"/>
        <v>2988</v>
      </c>
      <c r="HH145" s="74">
        <f t="shared" ref="HH145:HU145" si="5044">HH478</f>
        <v>4800</v>
      </c>
      <c r="HI145" s="74">
        <f t="shared" si="5044"/>
        <v>0</v>
      </c>
      <c r="HJ145" s="74">
        <f t="shared" si="5044"/>
        <v>0</v>
      </c>
      <c r="HK145" s="74">
        <f t="shared" si="5044"/>
        <v>0</v>
      </c>
      <c r="HL145" s="74">
        <f t="shared" si="5044"/>
        <v>-3000</v>
      </c>
      <c r="HM145" s="74">
        <f t="shared" si="5044"/>
        <v>0</v>
      </c>
      <c r="HN145" s="74">
        <f t="shared" si="5044"/>
        <v>2000</v>
      </c>
      <c r="HO145" s="74">
        <f t="shared" si="5044"/>
        <v>0</v>
      </c>
      <c r="HP145" s="74">
        <f t="shared" si="5044"/>
        <v>2000</v>
      </c>
      <c r="HQ145" s="74">
        <f t="shared" si="5044"/>
        <v>0</v>
      </c>
      <c r="HR145" s="74">
        <f t="shared" si="5044"/>
        <v>0</v>
      </c>
      <c r="HS145" s="74">
        <f t="shared" si="5044"/>
        <v>0</v>
      </c>
      <c r="HT145" s="74">
        <f t="shared" si="5044"/>
        <v>-1200</v>
      </c>
      <c r="HU145" s="74">
        <f t="shared" si="5044"/>
        <v>0</v>
      </c>
      <c r="HV145" s="74">
        <f t="shared" si="4978"/>
        <v>0</v>
      </c>
      <c r="HW145" s="74">
        <f t="shared" si="4978"/>
        <v>0</v>
      </c>
      <c r="HX145" s="74">
        <f t="shared" si="4978"/>
        <v>0</v>
      </c>
      <c r="HY145" s="74">
        <f t="shared" si="4978"/>
        <v>0</v>
      </c>
      <c r="HZ145" s="74">
        <f t="shared" si="4978"/>
        <v>-1612</v>
      </c>
      <c r="IA145" s="74">
        <f t="shared" si="4978"/>
        <v>0</v>
      </c>
      <c r="IB145" s="74">
        <f t="shared" si="4978"/>
        <v>0</v>
      </c>
      <c r="IC145" s="74">
        <f t="shared" si="4978"/>
        <v>0</v>
      </c>
      <c r="ID145" s="74">
        <f t="shared" si="4978"/>
        <v>0</v>
      </c>
      <c r="IE145" s="792">
        <f t="shared" si="4978"/>
        <v>0</v>
      </c>
      <c r="IF145" s="841">
        <f t="shared" si="4978"/>
        <v>2987.97</v>
      </c>
      <c r="IG145" s="263">
        <f t="shared" si="4978"/>
        <v>2987.97</v>
      </c>
      <c r="IH145" s="842">
        <f t="shared" si="4978"/>
        <v>2987.97</v>
      </c>
      <c r="II145" s="155">
        <f t="shared" si="4978"/>
        <v>0</v>
      </c>
      <c r="IJ145" s="74">
        <f t="shared" si="4978"/>
        <v>0</v>
      </c>
      <c r="IK145" s="74">
        <f t="shared" si="4978"/>
        <v>0</v>
      </c>
      <c r="IL145" s="74">
        <f t="shared" si="4978"/>
        <v>4.3</v>
      </c>
      <c r="IM145" s="74">
        <f t="shared" si="4978"/>
        <v>4.3</v>
      </c>
      <c r="IN145" s="74">
        <f t="shared" si="4978"/>
        <v>4.3</v>
      </c>
      <c r="IO145" s="74">
        <f t="shared" si="4978"/>
        <v>3.9799999999999995</v>
      </c>
      <c r="IP145" s="74">
        <f t="shared" si="4978"/>
        <v>3.9799999999999995</v>
      </c>
      <c r="IQ145" s="74">
        <f t="shared" si="4978"/>
        <v>3.9799999999999995</v>
      </c>
      <c r="IR145" s="74">
        <f t="shared" si="4978"/>
        <v>404.35</v>
      </c>
      <c r="IS145" s="74">
        <f t="shared" si="4978"/>
        <v>404.35</v>
      </c>
      <c r="IT145" s="74">
        <f t="shared" si="4978"/>
        <v>404.35</v>
      </c>
      <c r="IU145" s="74">
        <f t="shared" si="4978"/>
        <v>1286.9499999999998</v>
      </c>
      <c r="IV145" s="74">
        <f t="shared" si="4978"/>
        <v>1286.9499999999998</v>
      </c>
      <c r="IW145" s="74">
        <f t="shared" si="4978"/>
        <v>1286.9499999999998</v>
      </c>
      <c r="IX145" s="74">
        <f t="shared" si="4978"/>
        <v>146.40000000000009</v>
      </c>
      <c r="IY145" s="74">
        <f t="shared" si="4978"/>
        <v>146.40000000000009</v>
      </c>
      <c r="IZ145" s="74">
        <f t="shared" si="4978"/>
        <v>146.40000000000009</v>
      </c>
      <c r="JA145" s="74">
        <f t="shared" si="4978"/>
        <v>998.63999999999987</v>
      </c>
      <c r="JB145" s="74">
        <f t="shared" si="4978"/>
        <v>998.63999999999987</v>
      </c>
      <c r="JC145" s="74">
        <f t="shared" si="4978"/>
        <v>998.63999999999987</v>
      </c>
      <c r="JD145" s="74">
        <f t="shared" si="4978"/>
        <v>143.34999999999991</v>
      </c>
      <c r="JE145" s="74">
        <f t="shared" si="4978"/>
        <v>143.34999999999991</v>
      </c>
      <c r="JF145" s="74">
        <f t="shared" si="4978"/>
        <v>143.34999999999991</v>
      </c>
      <c r="JG145" s="74">
        <f t="shared" si="4978"/>
        <v>0</v>
      </c>
      <c r="JH145" s="74">
        <f t="shared" si="4978"/>
        <v>0</v>
      </c>
      <c r="JI145" s="74">
        <f t="shared" si="4978"/>
        <v>0</v>
      </c>
      <c r="JJ145" s="74">
        <f t="shared" si="4978"/>
        <v>0</v>
      </c>
      <c r="JK145" s="74">
        <f t="shared" si="4978"/>
        <v>0</v>
      </c>
      <c r="JL145" s="74">
        <f t="shared" si="4978"/>
        <v>0</v>
      </c>
      <c r="JM145" s="74">
        <f t="shared" si="4978"/>
        <v>0</v>
      </c>
      <c r="JN145" s="74">
        <f t="shared" si="4978"/>
        <v>0</v>
      </c>
      <c r="JO145" s="74">
        <f t="shared" si="4978"/>
        <v>0</v>
      </c>
      <c r="JP145" s="74">
        <f t="shared" si="4907"/>
        <v>0</v>
      </c>
      <c r="JQ145" s="74">
        <f t="shared" si="4907"/>
        <v>0</v>
      </c>
      <c r="JR145" s="74">
        <f t="shared" si="4907"/>
        <v>0</v>
      </c>
      <c r="JS145" s="74">
        <f t="shared" si="4907"/>
        <v>3.0000000000200089E-2</v>
      </c>
      <c r="JT145" s="382">
        <f t="shared" si="4907"/>
        <v>3.0000000000200089E-2</v>
      </c>
      <c r="JU145" s="671"/>
      <c r="JV145" s="492"/>
      <c r="JW145" s="490"/>
      <c r="JX145" s="549">
        <f t="shared" si="4865"/>
        <v>2988</v>
      </c>
      <c r="JY145" s="549">
        <f t="shared" si="4865"/>
        <v>0</v>
      </c>
      <c r="JZ145" s="581">
        <f t="shared" si="4944"/>
        <v>0</v>
      </c>
      <c r="KA145" s="581">
        <f t="shared" si="4945"/>
        <v>-6612</v>
      </c>
      <c r="KB145" s="549">
        <f t="shared" si="4866"/>
        <v>2988</v>
      </c>
      <c r="KC145" s="709">
        <f t="shared" si="4908"/>
        <v>0</v>
      </c>
      <c r="KD145" s="36"/>
      <c r="KE145" s="36"/>
      <c r="KF145" s="36"/>
      <c r="KG145" s="36"/>
      <c r="KH145" s="36"/>
      <c r="KI145" s="36"/>
      <c r="KJ145" s="36"/>
      <c r="KK145" s="36"/>
    </row>
    <row r="146" spans="1:297" s="8" customFormat="1">
      <c r="A146" s="75" t="s">
        <v>171</v>
      </c>
      <c r="B146" s="72" t="s">
        <v>172</v>
      </c>
      <c r="C146" s="74">
        <f t="shared" si="4812"/>
        <v>2100</v>
      </c>
      <c r="D146" s="549">
        <f t="shared" si="4812"/>
        <v>0</v>
      </c>
      <c r="E146" s="675">
        <f t="shared" si="4812"/>
        <v>0</v>
      </c>
      <c r="F146" s="549">
        <f t="shared" si="4812"/>
        <v>0</v>
      </c>
      <c r="G146" s="675">
        <f t="shared" si="4812"/>
        <v>0</v>
      </c>
      <c r="H146" s="549">
        <f t="shared" si="4813"/>
        <v>0</v>
      </c>
      <c r="I146" s="675">
        <f t="shared" si="4813"/>
        <v>0</v>
      </c>
      <c r="J146" s="549">
        <f t="shared" si="4813"/>
        <v>0</v>
      </c>
      <c r="K146" s="675">
        <f t="shared" si="4813"/>
        <v>0</v>
      </c>
      <c r="L146" s="549">
        <f t="shared" si="4813"/>
        <v>0</v>
      </c>
      <c r="M146" s="675">
        <f t="shared" si="4813"/>
        <v>0</v>
      </c>
      <c r="N146" s="549">
        <f t="shared" si="4814"/>
        <v>0</v>
      </c>
      <c r="O146" s="675">
        <f t="shared" si="4814"/>
        <v>0</v>
      </c>
      <c r="P146" s="549">
        <f t="shared" si="4814"/>
        <v>0</v>
      </c>
      <c r="Q146" s="675">
        <f t="shared" si="4814"/>
        <v>0</v>
      </c>
      <c r="R146" s="549">
        <f t="shared" si="4815"/>
        <v>0</v>
      </c>
      <c r="S146" s="675">
        <f t="shared" si="4815"/>
        <v>0</v>
      </c>
      <c r="T146" s="549">
        <f t="shared" si="4815"/>
        <v>0</v>
      </c>
      <c r="U146" s="675">
        <f t="shared" si="4815"/>
        <v>0</v>
      </c>
      <c r="V146" s="549">
        <f t="shared" si="4816"/>
        <v>0</v>
      </c>
      <c r="W146" s="675">
        <f t="shared" si="4816"/>
        <v>0</v>
      </c>
      <c r="X146" s="549">
        <f t="shared" si="4817"/>
        <v>0</v>
      </c>
      <c r="Y146" s="675">
        <f t="shared" si="4817"/>
        <v>0</v>
      </c>
      <c r="Z146" s="549">
        <f t="shared" si="4816"/>
        <v>0</v>
      </c>
      <c r="AA146" s="675">
        <f t="shared" si="4816"/>
        <v>0</v>
      </c>
      <c r="AB146" s="549">
        <f t="shared" si="4816"/>
        <v>0</v>
      </c>
      <c r="AC146" s="675">
        <f t="shared" si="4816"/>
        <v>0</v>
      </c>
      <c r="AD146" s="549">
        <f t="shared" ref="AD146:AK146" si="5045">AD479</f>
        <v>0</v>
      </c>
      <c r="AE146" s="675">
        <f t="shared" si="5045"/>
        <v>0</v>
      </c>
      <c r="AF146" s="549">
        <f t="shared" si="5045"/>
        <v>0</v>
      </c>
      <c r="AG146" s="675">
        <f t="shared" si="5045"/>
        <v>0</v>
      </c>
      <c r="AH146" s="549">
        <f t="shared" si="5045"/>
        <v>0</v>
      </c>
      <c r="AI146" s="675">
        <f t="shared" si="5045"/>
        <v>0</v>
      </c>
      <c r="AJ146" s="549">
        <f t="shared" si="5045"/>
        <v>0</v>
      </c>
      <c r="AK146" s="675">
        <f t="shared" si="5045"/>
        <v>0</v>
      </c>
      <c r="AL146" s="549">
        <f t="shared" si="4819"/>
        <v>0</v>
      </c>
      <c r="AM146" s="675">
        <f t="shared" si="4819"/>
        <v>0</v>
      </c>
      <c r="AN146" s="549">
        <f t="shared" si="4820"/>
        <v>0</v>
      </c>
      <c r="AO146" s="675">
        <f t="shared" si="4820"/>
        <v>0</v>
      </c>
      <c r="AP146" s="549">
        <f t="shared" si="4820"/>
        <v>0</v>
      </c>
      <c r="AQ146" s="675">
        <f t="shared" si="4820"/>
        <v>0</v>
      </c>
      <c r="AR146" s="549">
        <f t="shared" si="4821"/>
        <v>0</v>
      </c>
      <c r="AS146" s="675">
        <f t="shared" si="4821"/>
        <v>0</v>
      </c>
      <c r="AT146" s="549">
        <f t="shared" ref="AT146:AU146" si="5046">AT479</f>
        <v>0</v>
      </c>
      <c r="AU146" s="675">
        <f t="shared" si="5046"/>
        <v>0</v>
      </c>
      <c r="AV146" s="549">
        <f t="shared" ref="AV146:AW146" si="5047">AV479</f>
        <v>0</v>
      </c>
      <c r="AW146" s="675">
        <f t="shared" si="5047"/>
        <v>0</v>
      </c>
      <c r="AX146" s="549">
        <f t="shared" ref="AX146:AY146" si="5048">AX479</f>
        <v>0</v>
      </c>
      <c r="AY146" s="675">
        <f t="shared" si="5048"/>
        <v>0</v>
      </c>
      <c r="AZ146" s="549">
        <f t="shared" ref="AZ146:BA146" si="5049">AZ479</f>
        <v>0</v>
      </c>
      <c r="BA146" s="675">
        <f t="shared" si="5049"/>
        <v>0</v>
      </c>
      <c r="BB146" s="549">
        <f t="shared" ref="BB146:BC146" si="5050">BB479</f>
        <v>0</v>
      </c>
      <c r="BC146" s="675">
        <f t="shared" si="5050"/>
        <v>0</v>
      </c>
      <c r="BD146" s="549">
        <f t="shared" ref="BD146:BE146" si="5051">BD479</f>
        <v>0</v>
      </c>
      <c r="BE146" s="675">
        <f t="shared" si="5051"/>
        <v>0</v>
      </c>
      <c r="BF146" s="549">
        <f t="shared" ref="BF146:BG146" si="5052">BF479</f>
        <v>0</v>
      </c>
      <c r="BG146" s="675">
        <f t="shared" si="5052"/>
        <v>0</v>
      </c>
      <c r="BH146" s="549">
        <f t="shared" ref="BH146:BI146" si="5053">BH479</f>
        <v>0</v>
      </c>
      <c r="BI146" s="675">
        <f t="shared" si="5053"/>
        <v>0</v>
      </c>
      <c r="BJ146" s="549">
        <f t="shared" ref="BJ146:BK146" si="5054">BJ479</f>
        <v>0</v>
      </c>
      <c r="BK146" s="675">
        <f t="shared" si="5054"/>
        <v>0</v>
      </c>
      <c r="BL146" s="549">
        <f t="shared" ref="BL146:BS146" si="5055">BL479</f>
        <v>0</v>
      </c>
      <c r="BM146" s="675">
        <f t="shared" si="5055"/>
        <v>0</v>
      </c>
      <c r="BN146" s="549">
        <f t="shared" si="5055"/>
        <v>0</v>
      </c>
      <c r="BO146" s="675">
        <f t="shared" si="5055"/>
        <v>0</v>
      </c>
      <c r="BP146" s="549">
        <f t="shared" si="5055"/>
        <v>0</v>
      </c>
      <c r="BQ146" s="675">
        <f t="shared" si="5055"/>
        <v>0</v>
      </c>
      <c r="BR146" s="549">
        <f t="shared" si="5055"/>
        <v>0</v>
      </c>
      <c r="BS146" s="675">
        <f t="shared" si="5055"/>
        <v>0</v>
      </c>
      <c r="BT146" s="549">
        <f t="shared" si="4832"/>
        <v>0</v>
      </c>
      <c r="BU146" s="675">
        <f t="shared" si="4832"/>
        <v>0</v>
      </c>
      <c r="BV146" s="549">
        <f t="shared" si="4832"/>
        <v>0</v>
      </c>
      <c r="BW146" s="675">
        <f t="shared" si="4832"/>
        <v>0</v>
      </c>
      <c r="BX146" s="549">
        <f t="shared" ref="BX146:BY146" si="5056">BX479</f>
        <v>0</v>
      </c>
      <c r="BY146" s="675">
        <f t="shared" si="5056"/>
        <v>0</v>
      </c>
      <c r="BZ146" s="549">
        <f t="shared" ref="BZ146:CA146" si="5057">BZ479</f>
        <v>0</v>
      </c>
      <c r="CA146" s="675">
        <f t="shared" si="5057"/>
        <v>0</v>
      </c>
      <c r="CB146" s="549">
        <f t="shared" ref="CB146:CE146" si="5058">CB479</f>
        <v>0</v>
      </c>
      <c r="CC146" s="675">
        <f t="shared" si="5058"/>
        <v>0</v>
      </c>
      <c r="CD146" s="549">
        <f t="shared" si="5058"/>
        <v>0</v>
      </c>
      <c r="CE146" s="675">
        <f t="shared" si="5058"/>
        <v>0</v>
      </c>
      <c r="CF146" s="549">
        <f t="shared" si="4836"/>
        <v>0</v>
      </c>
      <c r="CG146" s="675">
        <f t="shared" si="4836"/>
        <v>0</v>
      </c>
      <c r="CH146" s="549">
        <f t="shared" ref="CH146:CQ146" si="5059">CH479</f>
        <v>0</v>
      </c>
      <c r="CI146" s="675">
        <f t="shared" si="5059"/>
        <v>0</v>
      </c>
      <c r="CJ146" s="549">
        <f t="shared" si="5059"/>
        <v>0</v>
      </c>
      <c r="CK146" s="675">
        <f t="shared" si="5059"/>
        <v>-2000</v>
      </c>
      <c r="CL146" s="549">
        <f t="shared" si="5059"/>
        <v>0</v>
      </c>
      <c r="CM146" s="675">
        <f t="shared" si="5059"/>
        <v>0</v>
      </c>
      <c r="CN146" s="549">
        <f t="shared" si="5059"/>
        <v>0</v>
      </c>
      <c r="CO146" s="675">
        <f t="shared" si="5059"/>
        <v>0</v>
      </c>
      <c r="CP146" s="549">
        <f t="shared" si="5059"/>
        <v>0</v>
      </c>
      <c r="CQ146" s="675">
        <f t="shared" si="5059"/>
        <v>0</v>
      </c>
      <c r="CR146" s="549">
        <f t="shared" ref="CR146:DG146" si="5060">CR479</f>
        <v>0</v>
      </c>
      <c r="CS146" s="675">
        <f t="shared" si="5060"/>
        <v>0</v>
      </c>
      <c r="CT146" s="549">
        <f t="shared" si="5060"/>
        <v>0</v>
      </c>
      <c r="CU146" s="675">
        <f t="shared" si="5060"/>
        <v>0</v>
      </c>
      <c r="CV146" s="549">
        <f t="shared" si="5060"/>
        <v>0</v>
      </c>
      <c r="CW146" s="675">
        <f t="shared" si="5060"/>
        <v>0</v>
      </c>
      <c r="CX146" s="549">
        <f t="shared" si="5060"/>
        <v>0</v>
      </c>
      <c r="CY146" s="675">
        <f t="shared" si="5060"/>
        <v>0</v>
      </c>
      <c r="CZ146" s="549">
        <f t="shared" si="5060"/>
        <v>0</v>
      </c>
      <c r="DA146" s="675">
        <f t="shared" si="5060"/>
        <v>0</v>
      </c>
      <c r="DB146" s="549">
        <f t="shared" si="5060"/>
        <v>0</v>
      </c>
      <c r="DC146" s="675">
        <f t="shared" si="5060"/>
        <v>0</v>
      </c>
      <c r="DD146" s="549">
        <f t="shared" si="5060"/>
        <v>0</v>
      </c>
      <c r="DE146" s="675">
        <f t="shared" si="5060"/>
        <v>0</v>
      </c>
      <c r="DF146" s="549">
        <f t="shared" si="5060"/>
        <v>0</v>
      </c>
      <c r="DG146" s="675">
        <f t="shared" si="5060"/>
        <v>0</v>
      </c>
      <c r="DH146" s="549">
        <f t="shared" si="4962"/>
        <v>0</v>
      </c>
      <c r="DI146" s="675">
        <f t="shared" si="4962"/>
        <v>0</v>
      </c>
      <c r="DJ146" s="549">
        <f t="shared" si="4840"/>
        <v>0</v>
      </c>
      <c r="DK146" s="675">
        <f t="shared" si="4840"/>
        <v>0</v>
      </c>
      <c r="DL146" s="549">
        <f t="shared" si="4840"/>
        <v>0</v>
      </c>
      <c r="DM146" s="675">
        <f t="shared" si="4840"/>
        <v>0</v>
      </c>
      <c r="DN146" s="549">
        <f t="shared" si="4840"/>
        <v>0</v>
      </c>
      <c r="DO146" s="675">
        <f t="shared" si="4840"/>
        <v>0</v>
      </c>
      <c r="DP146" s="549">
        <f t="shared" ref="DP146:DU146" si="5061">DP479</f>
        <v>0</v>
      </c>
      <c r="DQ146" s="675">
        <f t="shared" si="5061"/>
        <v>0</v>
      </c>
      <c r="DR146" s="549">
        <f t="shared" si="5061"/>
        <v>0</v>
      </c>
      <c r="DS146" s="675">
        <f t="shared" si="5061"/>
        <v>0</v>
      </c>
      <c r="DT146" s="549">
        <f t="shared" si="5061"/>
        <v>0</v>
      </c>
      <c r="DU146" s="675">
        <f t="shared" si="5061"/>
        <v>0</v>
      </c>
      <c r="DV146" s="549">
        <f t="shared" si="4842"/>
        <v>0</v>
      </c>
      <c r="DW146" s="675">
        <f t="shared" si="4842"/>
        <v>0</v>
      </c>
      <c r="DX146" s="549">
        <f t="shared" si="4884"/>
        <v>0</v>
      </c>
      <c r="DY146" s="675">
        <f t="shared" si="4884"/>
        <v>0</v>
      </c>
      <c r="DZ146" s="549">
        <f t="shared" si="4884"/>
        <v>0</v>
      </c>
      <c r="EA146" s="675">
        <f t="shared" si="4884"/>
        <v>0</v>
      </c>
      <c r="EB146" s="549">
        <f t="shared" ref="EB146:EM146" si="5062">EB479</f>
        <v>0</v>
      </c>
      <c r="EC146" s="675">
        <f t="shared" si="5062"/>
        <v>0</v>
      </c>
      <c r="ED146" s="549">
        <f t="shared" si="5062"/>
        <v>0</v>
      </c>
      <c r="EE146" s="675">
        <f t="shared" si="5062"/>
        <v>0</v>
      </c>
      <c r="EF146" s="549">
        <f t="shared" si="5062"/>
        <v>0</v>
      </c>
      <c r="EG146" s="675">
        <f t="shared" si="5062"/>
        <v>0</v>
      </c>
      <c r="EH146" s="549">
        <f t="shared" si="5062"/>
        <v>0</v>
      </c>
      <c r="EI146" s="675">
        <f t="shared" si="5062"/>
        <v>0</v>
      </c>
      <c r="EJ146" s="549">
        <f t="shared" si="5062"/>
        <v>0</v>
      </c>
      <c r="EK146" s="675">
        <f t="shared" si="5062"/>
        <v>0</v>
      </c>
      <c r="EL146" s="549">
        <f t="shared" si="5062"/>
        <v>0</v>
      </c>
      <c r="EM146" s="675">
        <f t="shared" si="5062"/>
        <v>0</v>
      </c>
      <c r="EN146" s="549">
        <f t="shared" si="4845"/>
        <v>0</v>
      </c>
      <c r="EO146" s="675">
        <f t="shared" si="4845"/>
        <v>0</v>
      </c>
      <c r="EP146" s="549">
        <f t="shared" ref="EP146:FA146" si="5063">EP479</f>
        <v>0</v>
      </c>
      <c r="EQ146" s="675">
        <f t="shared" si="5063"/>
        <v>0</v>
      </c>
      <c r="ER146" s="549">
        <f t="shared" si="5063"/>
        <v>0</v>
      </c>
      <c r="ES146" s="675">
        <f t="shared" si="5063"/>
        <v>0</v>
      </c>
      <c r="ET146" s="549">
        <f t="shared" si="5063"/>
        <v>0</v>
      </c>
      <c r="EU146" s="675">
        <f t="shared" si="5063"/>
        <v>0</v>
      </c>
      <c r="EV146" s="549">
        <f t="shared" si="4887"/>
        <v>0</v>
      </c>
      <c r="EW146" s="675">
        <f t="shared" si="4887"/>
        <v>0</v>
      </c>
      <c r="EX146" s="549">
        <f t="shared" si="5063"/>
        <v>0</v>
      </c>
      <c r="EY146" s="675">
        <f t="shared" si="5063"/>
        <v>0</v>
      </c>
      <c r="EZ146" s="549">
        <f t="shared" si="5063"/>
        <v>0</v>
      </c>
      <c r="FA146" s="675">
        <f t="shared" si="5063"/>
        <v>0</v>
      </c>
      <c r="FB146" s="549">
        <f t="shared" si="4888"/>
        <v>0</v>
      </c>
      <c r="FC146" s="675">
        <f t="shared" si="4888"/>
        <v>0</v>
      </c>
      <c r="FD146" s="549">
        <f t="shared" si="4888"/>
        <v>0</v>
      </c>
      <c r="FE146" s="675">
        <f t="shared" si="4888"/>
        <v>0</v>
      </c>
      <c r="FF146" s="549">
        <f t="shared" ref="FF146:FG146" si="5064">FF479</f>
        <v>0</v>
      </c>
      <c r="FG146" s="675">
        <f t="shared" si="5064"/>
        <v>0</v>
      </c>
      <c r="FH146" s="549">
        <f t="shared" ref="FH146:FI146" si="5065">FH479</f>
        <v>0</v>
      </c>
      <c r="FI146" s="675">
        <f t="shared" si="5065"/>
        <v>0</v>
      </c>
      <c r="FJ146" s="549">
        <f t="shared" ref="FJ146:FK146" si="5066">FJ479</f>
        <v>0</v>
      </c>
      <c r="FK146" s="675">
        <f t="shared" si="5066"/>
        <v>0</v>
      </c>
      <c r="FL146" s="549">
        <f t="shared" ref="FL146:FM146" si="5067">FL479</f>
        <v>0</v>
      </c>
      <c r="FM146" s="675">
        <f t="shared" si="5067"/>
        <v>0</v>
      </c>
      <c r="FN146" s="549">
        <f t="shared" ref="FN146:FO146" si="5068">FN479</f>
        <v>0</v>
      </c>
      <c r="FO146" s="675">
        <f t="shared" si="5068"/>
        <v>0</v>
      </c>
      <c r="FP146" s="549">
        <f t="shared" ref="FP146:FQ146" si="5069">FP479</f>
        <v>0</v>
      </c>
      <c r="FQ146" s="675">
        <f t="shared" si="5069"/>
        <v>0</v>
      </c>
      <c r="FR146" s="549">
        <f t="shared" ref="FR146:FS146" si="5070">FR479</f>
        <v>0</v>
      </c>
      <c r="FS146" s="675">
        <f t="shared" si="5070"/>
        <v>-100</v>
      </c>
      <c r="FT146" s="549">
        <f t="shared" ref="FT146:FU146" si="5071">FT479</f>
        <v>0</v>
      </c>
      <c r="FU146" s="675">
        <f t="shared" si="5071"/>
        <v>0</v>
      </c>
      <c r="FV146" s="549">
        <f t="shared" ref="FV146:GK146" si="5072">FV479</f>
        <v>0</v>
      </c>
      <c r="FW146" s="675">
        <f t="shared" si="5072"/>
        <v>0</v>
      </c>
      <c r="FX146" s="549">
        <f t="shared" si="5072"/>
        <v>0</v>
      </c>
      <c r="FY146" s="675">
        <f t="shared" si="5072"/>
        <v>0</v>
      </c>
      <c r="FZ146" s="549">
        <f t="shared" ref="FZ146:GI146" si="5073">FZ479</f>
        <v>0</v>
      </c>
      <c r="GA146" s="675">
        <f t="shared" si="5073"/>
        <v>0</v>
      </c>
      <c r="GB146" s="549">
        <f t="shared" si="5073"/>
        <v>0</v>
      </c>
      <c r="GC146" s="675">
        <f t="shared" si="5073"/>
        <v>0</v>
      </c>
      <c r="GD146" s="549">
        <f t="shared" si="5073"/>
        <v>0</v>
      </c>
      <c r="GE146" s="675">
        <f t="shared" si="5073"/>
        <v>0</v>
      </c>
      <c r="GF146" s="549">
        <f t="shared" si="5073"/>
        <v>0</v>
      </c>
      <c r="GG146" s="675">
        <f t="shared" si="5073"/>
        <v>0</v>
      </c>
      <c r="GH146" s="549">
        <f t="shared" si="5073"/>
        <v>0</v>
      </c>
      <c r="GI146" s="675">
        <f t="shared" si="5073"/>
        <v>0</v>
      </c>
      <c r="GJ146" s="549">
        <f t="shared" si="5072"/>
        <v>0</v>
      </c>
      <c r="GK146" s="675">
        <f t="shared" si="5072"/>
        <v>0</v>
      </c>
      <c r="GL146" s="549">
        <f t="shared" ref="GL146:GM146" si="5074">GL479</f>
        <v>0</v>
      </c>
      <c r="GM146" s="675">
        <f t="shared" si="5074"/>
        <v>0</v>
      </c>
      <c r="GN146" s="549">
        <f t="shared" ref="GN146:GO146" si="5075">GN479</f>
        <v>0</v>
      </c>
      <c r="GO146" s="675">
        <f t="shared" si="5075"/>
        <v>0</v>
      </c>
      <c r="GP146" s="74">
        <f t="shared" si="4901"/>
        <v>0</v>
      </c>
      <c r="GQ146" s="675">
        <f t="shared" si="4901"/>
        <v>-2100</v>
      </c>
      <c r="GR146" s="74">
        <f t="shared" si="4978"/>
        <v>0</v>
      </c>
      <c r="GS146" s="74">
        <f>GS479</f>
        <v>0</v>
      </c>
      <c r="GT146" s="549">
        <f t="shared" si="4979"/>
        <v>0</v>
      </c>
      <c r="GU146" s="74">
        <f t="shared" si="4940"/>
        <v>0</v>
      </c>
      <c r="GV146" s="74">
        <f t="shared" si="4940"/>
        <v>0</v>
      </c>
      <c r="GW146" s="549">
        <f t="shared" si="4940"/>
        <v>2100</v>
      </c>
      <c r="GX146" s="549">
        <f t="shared" si="4940"/>
        <v>0</v>
      </c>
      <c r="GY146" s="74">
        <f t="shared" si="4940"/>
        <v>0</v>
      </c>
      <c r="GZ146" s="74">
        <f t="shared" si="4940"/>
        <v>0</v>
      </c>
      <c r="HA146" s="74">
        <f t="shared" si="4940"/>
        <v>0</v>
      </c>
      <c r="HB146" s="74">
        <f t="shared" si="4940"/>
        <v>0</v>
      </c>
      <c r="HC146" s="74">
        <f t="shared" si="4940"/>
        <v>0</v>
      </c>
      <c r="HD146" s="74">
        <f t="shared" si="4940"/>
        <v>0</v>
      </c>
      <c r="HE146" s="74">
        <f t="shared" si="4940"/>
        <v>0</v>
      </c>
      <c r="HF146" s="74">
        <f t="shared" si="4940"/>
        <v>0</v>
      </c>
      <c r="HG146" s="74">
        <f t="shared" si="4978"/>
        <v>0</v>
      </c>
      <c r="HH146" s="74">
        <f t="shared" ref="HH146:HU146" si="5076">HH479</f>
        <v>0</v>
      </c>
      <c r="HI146" s="74">
        <f t="shared" si="5076"/>
        <v>0</v>
      </c>
      <c r="HJ146" s="74">
        <f t="shared" si="5076"/>
        <v>0</v>
      </c>
      <c r="HK146" s="74">
        <f t="shared" si="5076"/>
        <v>0</v>
      </c>
      <c r="HL146" s="74">
        <f t="shared" si="5076"/>
        <v>0</v>
      </c>
      <c r="HM146" s="74">
        <f t="shared" si="5076"/>
        <v>0</v>
      </c>
      <c r="HN146" s="74">
        <f t="shared" si="5076"/>
        <v>0</v>
      </c>
      <c r="HO146" s="74">
        <f t="shared" si="5076"/>
        <v>0</v>
      </c>
      <c r="HP146" s="74">
        <f t="shared" si="5076"/>
        <v>0</v>
      </c>
      <c r="HQ146" s="74">
        <f t="shared" si="5076"/>
        <v>0</v>
      </c>
      <c r="HR146" s="74">
        <f t="shared" si="5076"/>
        <v>0</v>
      </c>
      <c r="HS146" s="74">
        <f t="shared" si="5076"/>
        <v>0</v>
      </c>
      <c r="HT146" s="74">
        <f t="shared" si="5076"/>
        <v>0</v>
      </c>
      <c r="HU146" s="74">
        <f t="shared" si="5076"/>
        <v>0</v>
      </c>
      <c r="HV146" s="74">
        <f t="shared" si="4978"/>
        <v>0</v>
      </c>
      <c r="HW146" s="74">
        <f t="shared" si="4978"/>
        <v>0</v>
      </c>
      <c r="HX146" s="74">
        <f t="shared" si="4978"/>
        <v>0</v>
      </c>
      <c r="HY146" s="74">
        <f t="shared" si="4978"/>
        <v>0</v>
      </c>
      <c r="HZ146" s="74">
        <f t="shared" si="4978"/>
        <v>0</v>
      </c>
      <c r="IA146" s="74">
        <f t="shared" si="4978"/>
        <v>0</v>
      </c>
      <c r="IB146" s="74">
        <f t="shared" si="4978"/>
        <v>0</v>
      </c>
      <c r="IC146" s="74">
        <f t="shared" si="4978"/>
        <v>0</v>
      </c>
      <c r="ID146" s="74">
        <f t="shared" si="4978"/>
        <v>0</v>
      </c>
      <c r="IE146" s="792">
        <f t="shared" si="4978"/>
        <v>0</v>
      </c>
      <c r="IF146" s="841">
        <f t="shared" si="4978"/>
        <v>0</v>
      </c>
      <c r="IG146" s="263">
        <f t="shared" si="4978"/>
        <v>0</v>
      </c>
      <c r="IH146" s="842">
        <f t="shared" si="4978"/>
        <v>0</v>
      </c>
      <c r="II146" s="155">
        <f t="shared" si="4978"/>
        <v>0</v>
      </c>
      <c r="IJ146" s="74">
        <f t="shared" si="4978"/>
        <v>0</v>
      </c>
      <c r="IK146" s="74">
        <f t="shared" si="4978"/>
        <v>0</v>
      </c>
      <c r="IL146" s="74">
        <f t="shared" si="4978"/>
        <v>0</v>
      </c>
      <c r="IM146" s="74">
        <f t="shared" si="4978"/>
        <v>0</v>
      </c>
      <c r="IN146" s="74">
        <f t="shared" si="4978"/>
        <v>0</v>
      </c>
      <c r="IO146" s="74">
        <f t="shared" si="4978"/>
        <v>0</v>
      </c>
      <c r="IP146" s="74">
        <f t="shared" si="4978"/>
        <v>0</v>
      </c>
      <c r="IQ146" s="74">
        <f t="shared" si="4978"/>
        <v>0</v>
      </c>
      <c r="IR146" s="74">
        <f t="shared" si="4978"/>
        <v>0</v>
      </c>
      <c r="IS146" s="74">
        <f t="shared" si="4978"/>
        <v>0</v>
      </c>
      <c r="IT146" s="74">
        <f t="shared" si="4978"/>
        <v>0</v>
      </c>
      <c r="IU146" s="74">
        <f t="shared" si="4978"/>
        <v>0</v>
      </c>
      <c r="IV146" s="74">
        <f t="shared" si="4978"/>
        <v>0</v>
      </c>
      <c r="IW146" s="74">
        <f t="shared" si="4978"/>
        <v>0</v>
      </c>
      <c r="IX146" s="74">
        <f t="shared" si="4978"/>
        <v>0</v>
      </c>
      <c r="IY146" s="74">
        <f t="shared" si="4978"/>
        <v>0</v>
      </c>
      <c r="IZ146" s="74">
        <f t="shared" si="4978"/>
        <v>0</v>
      </c>
      <c r="JA146" s="74">
        <f t="shared" si="4978"/>
        <v>0</v>
      </c>
      <c r="JB146" s="74">
        <f t="shared" si="4978"/>
        <v>0</v>
      </c>
      <c r="JC146" s="74">
        <f t="shared" si="4978"/>
        <v>0</v>
      </c>
      <c r="JD146" s="74">
        <f t="shared" si="4978"/>
        <v>0</v>
      </c>
      <c r="JE146" s="74">
        <f t="shared" si="4978"/>
        <v>0</v>
      </c>
      <c r="JF146" s="74">
        <f t="shared" si="4978"/>
        <v>0</v>
      </c>
      <c r="JG146" s="74">
        <f t="shared" si="4978"/>
        <v>0</v>
      </c>
      <c r="JH146" s="74">
        <f t="shared" si="4978"/>
        <v>0</v>
      </c>
      <c r="JI146" s="74">
        <f t="shared" si="4978"/>
        <v>0</v>
      </c>
      <c r="JJ146" s="74">
        <f t="shared" si="4978"/>
        <v>0</v>
      </c>
      <c r="JK146" s="74">
        <f t="shared" si="4978"/>
        <v>0</v>
      </c>
      <c r="JL146" s="74">
        <f t="shared" si="4978"/>
        <v>0</v>
      </c>
      <c r="JM146" s="74">
        <f t="shared" si="4978"/>
        <v>0</v>
      </c>
      <c r="JN146" s="74">
        <f t="shared" si="4978"/>
        <v>0</v>
      </c>
      <c r="JO146" s="74">
        <f t="shared" ref="JO146:JT146" si="5077">JO479</f>
        <v>0</v>
      </c>
      <c r="JP146" s="74">
        <f t="shared" si="5077"/>
        <v>0</v>
      </c>
      <c r="JQ146" s="74">
        <f t="shared" si="5077"/>
        <v>0</v>
      </c>
      <c r="JR146" s="74">
        <f t="shared" si="5077"/>
        <v>0</v>
      </c>
      <c r="JS146" s="74">
        <f t="shared" si="5077"/>
        <v>0</v>
      </c>
      <c r="JT146" s="382">
        <f t="shared" si="5077"/>
        <v>0</v>
      </c>
      <c r="JU146" s="671"/>
      <c r="JV146" s="492"/>
      <c r="JW146" s="490"/>
      <c r="JX146" s="549">
        <f t="shared" si="4865"/>
        <v>0</v>
      </c>
      <c r="JY146" s="549">
        <f t="shared" si="4865"/>
        <v>0</v>
      </c>
      <c r="JZ146" s="581">
        <f t="shared" si="4944"/>
        <v>0</v>
      </c>
      <c r="KA146" s="581">
        <f t="shared" si="4945"/>
        <v>-2100</v>
      </c>
      <c r="KB146" s="549">
        <f t="shared" si="4866"/>
        <v>0</v>
      </c>
      <c r="KC146" s="709">
        <f t="shared" si="4908"/>
        <v>0</v>
      </c>
      <c r="KD146" s="36"/>
      <c r="KE146" s="36"/>
      <c r="KF146" s="36"/>
      <c r="KG146" s="36"/>
      <c r="KH146" s="36"/>
      <c r="KI146" s="36"/>
      <c r="KJ146" s="36"/>
      <c r="KK146" s="36"/>
    </row>
    <row r="147" spans="1:297" s="8" customFormat="1">
      <c r="A147" s="75" t="s">
        <v>173</v>
      </c>
      <c r="B147" s="72" t="s">
        <v>174</v>
      </c>
      <c r="C147" s="74">
        <f>C480+C317</f>
        <v>41200</v>
      </c>
      <c r="D147" s="549">
        <f t="shared" ref="D147:E147" si="5078">D480+D317</f>
        <v>0</v>
      </c>
      <c r="E147" s="675">
        <f t="shared" si="5078"/>
        <v>0</v>
      </c>
      <c r="F147" s="549">
        <f t="shared" ref="F147:G147" si="5079">F480+F317</f>
        <v>0</v>
      </c>
      <c r="G147" s="675">
        <f t="shared" si="5079"/>
        <v>0</v>
      </c>
      <c r="H147" s="549">
        <f t="shared" ref="H147:I147" si="5080">H480+H317</f>
        <v>0</v>
      </c>
      <c r="I147" s="675">
        <f t="shared" si="5080"/>
        <v>0</v>
      </c>
      <c r="J147" s="549">
        <f t="shared" ref="J147:K147" si="5081">J480+J317</f>
        <v>0</v>
      </c>
      <c r="K147" s="675">
        <f t="shared" si="5081"/>
        <v>0</v>
      </c>
      <c r="L147" s="549">
        <f t="shared" ref="L147:M147" si="5082">L480+L317</f>
        <v>0</v>
      </c>
      <c r="M147" s="675">
        <f t="shared" si="5082"/>
        <v>0</v>
      </c>
      <c r="N147" s="549">
        <f t="shared" ref="N147:O147" si="5083">N480+N317</f>
        <v>0</v>
      </c>
      <c r="O147" s="675">
        <f t="shared" si="5083"/>
        <v>0</v>
      </c>
      <c r="P147" s="549">
        <f t="shared" ref="P147:Q147" si="5084">P480+P317</f>
        <v>0</v>
      </c>
      <c r="Q147" s="675">
        <f t="shared" si="5084"/>
        <v>0</v>
      </c>
      <c r="R147" s="549">
        <f t="shared" ref="R147:S147" si="5085">R480+R317</f>
        <v>0</v>
      </c>
      <c r="S147" s="675">
        <f t="shared" si="5085"/>
        <v>0</v>
      </c>
      <c r="T147" s="549">
        <f t="shared" ref="T147:U147" si="5086">T480+T317</f>
        <v>0</v>
      </c>
      <c r="U147" s="675">
        <f t="shared" si="5086"/>
        <v>0</v>
      </c>
      <c r="V147" s="549">
        <f t="shared" ref="V147:W147" si="5087">V480+V317</f>
        <v>0</v>
      </c>
      <c r="W147" s="675">
        <f t="shared" si="5087"/>
        <v>-3000</v>
      </c>
      <c r="X147" s="549">
        <f t="shared" ref="X147:Y147" si="5088">X480+X317</f>
        <v>0</v>
      </c>
      <c r="Y147" s="675">
        <f t="shared" si="5088"/>
        <v>0</v>
      </c>
      <c r="Z147" s="549">
        <f t="shared" ref="Z147:AA147" si="5089">Z480+Z317</f>
        <v>0</v>
      </c>
      <c r="AA147" s="675">
        <f t="shared" si="5089"/>
        <v>0</v>
      </c>
      <c r="AB147" s="549">
        <f t="shared" ref="AB147:AC147" si="5090">AB480+AB317</f>
        <v>0</v>
      </c>
      <c r="AC147" s="675">
        <f t="shared" si="5090"/>
        <v>0</v>
      </c>
      <c r="AD147" s="549">
        <f t="shared" ref="AD147:AE147" si="5091">AD480+AD317</f>
        <v>0</v>
      </c>
      <c r="AE147" s="675">
        <f t="shared" si="5091"/>
        <v>0</v>
      </c>
      <c r="AF147" s="549">
        <f t="shared" ref="AF147:AG147" si="5092">AF480+AF317</f>
        <v>0</v>
      </c>
      <c r="AG147" s="675">
        <f t="shared" si="5092"/>
        <v>0</v>
      </c>
      <c r="AH147" s="549">
        <f t="shared" ref="AH147:AI147" si="5093">AH480+AH317</f>
        <v>0</v>
      </c>
      <c r="AI147" s="675">
        <f t="shared" si="5093"/>
        <v>0</v>
      </c>
      <c r="AJ147" s="549">
        <f t="shared" ref="AJ147:AK147" si="5094">AJ480+AJ317</f>
        <v>0</v>
      </c>
      <c r="AK147" s="675">
        <f t="shared" si="5094"/>
        <v>0</v>
      </c>
      <c r="AL147" s="549">
        <f t="shared" ref="AL147:AM147" si="5095">AL480+AL317</f>
        <v>0</v>
      </c>
      <c r="AM147" s="675">
        <f t="shared" si="5095"/>
        <v>0</v>
      </c>
      <c r="AN147" s="549">
        <f t="shared" ref="AN147:AO147" si="5096">AN480+AN317</f>
        <v>0</v>
      </c>
      <c r="AO147" s="675">
        <f t="shared" si="5096"/>
        <v>0</v>
      </c>
      <c r="AP147" s="549">
        <f t="shared" ref="AP147:AQ147" si="5097">AP480+AP317</f>
        <v>0</v>
      </c>
      <c r="AQ147" s="675">
        <f t="shared" si="5097"/>
        <v>0</v>
      </c>
      <c r="AR147" s="549">
        <f t="shared" ref="AR147:AS147" si="5098">AR480+AR317</f>
        <v>0</v>
      </c>
      <c r="AS147" s="675">
        <f t="shared" si="5098"/>
        <v>0</v>
      </c>
      <c r="AT147" s="549">
        <f t="shared" ref="AT147:AU147" si="5099">AT480+AT317</f>
        <v>0</v>
      </c>
      <c r="AU147" s="675">
        <f t="shared" si="5099"/>
        <v>0</v>
      </c>
      <c r="AV147" s="549">
        <f t="shared" ref="AV147:AW147" si="5100">AV480+AV317</f>
        <v>0</v>
      </c>
      <c r="AW147" s="675">
        <f t="shared" si="5100"/>
        <v>0</v>
      </c>
      <c r="AX147" s="549">
        <f t="shared" ref="AX147:AY147" si="5101">AX480+AX317</f>
        <v>0</v>
      </c>
      <c r="AY147" s="675">
        <f t="shared" si="5101"/>
        <v>0</v>
      </c>
      <c r="AZ147" s="549">
        <f t="shared" ref="AZ147:BQ147" si="5102">AZ480+AZ317</f>
        <v>0</v>
      </c>
      <c r="BA147" s="675">
        <f t="shared" si="5102"/>
        <v>0</v>
      </c>
      <c r="BB147" s="549">
        <f t="shared" si="5102"/>
        <v>0</v>
      </c>
      <c r="BC147" s="675">
        <f t="shared" si="5102"/>
        <v>0</v>
      </c>
      <c r="BD147" s="549">
        <f t="shared" si="5102"/>
        <v>0</v>
      </c>
      <c r="BE147" s="675">
        <f t="shared" si="5102"/>
        <v>0</v>
      </c>
      <c r="BF147" s="549">
        <f t="shared" si="5102"/>
        <v>0</v>
      </c>
      <c r="BG147" s="675">
        <f t="shared" si="5102"/>
        <v>0</v>
      </c>
      <c r="BH147" s="549">
        <f t="shared" si="5102"/>
        <v>0</v>
      </c>
      <c r="BI147" s="675">
        <f t="shared" si="5102"/>
        <v>0</v>
      </c>
      <c r="BJ147" s="549">
        <f t="shared" si="5102"/>
        <v>0</v>
      </c>
      <c r="BK147" s="675">
        <f t="shared" si="5102"/>
        <v>0</v>
      </c>
      <c r="BL147" s="549">
        <f t="shared" si="5102"/>
        <v>0</v>
      </c>
      <c r="BM147" s="675">
        <f t="shared" si="5102"/>
        <v>0</v>
      </c>
      <c r="BN147" s="549">
        <f t="shared" si="5102"/>
        <v>0</v>
      </c>
      <c r="BO147" s="675">
        <f t="shared" si="5102"/>
        <v>0</v>
      </c>
      <c r="BP147" s="549">
        <f t="shared" si="5102"/>
        <v>0</v>
      </c>
      <c r="BQ147" s="675">
        <f t="shared" si="5102"/>
        <v>0</v>
      </c>
      <c r="BR147" s="549">
        <f t="shared" ref="BR147:BS147" si="5103">BR480+BR317</f>
        <v>0</v>
      </c>
      <c r="BS147" s="675">
        <f t="shared" si="5103"/>
        <v>0</v>
      </c>
      <c r="BT147" s="549">
        <f t="shared" ref="BT147:BU147" si="5104">BT480+BT317</f>
        <v>0</v>
      </c>
      <c r="BU147" s="675">
        <f t="shared" si="5104"/>
        <v>0</v>
      </c>
      <c r="BV147" s="549">
        <f t="shared" ref="BV147:BW147" si="5105">BV480+BV317</f>
        <v>0</v>
      </c>
      <c r="BW147" s="675">
        <f t="shared" si="5105"/>
        <v>0</v>
      </c>
      <c r="BX147" s="549">
        <f t="shared" ref="BX147:BY147" si="5106">BX480+BX317</f>
        <v>0</v>
      </c>
      <c r="BY147" s="675">
        <f t="shared" si="5106"/>
        <v>0</v>
      </c>
      <c r="BZ147" s="549">
        <f t="shared" ref="BZ147:CA147" si="5107">BZ480+BZ317</f>
        <v>0</v>
      </c>
      <c r="CA147" s="675">
        <f t="shared" si="5107"/>
        <v>0</v>
      </c>
      <c r="CB147" s="549">
        <f t="shared" ref="CB147:EE147" si="5108">CB480+CB317</f>
        <v>0</v>
      </c>
      <c r="CC147" s="675">
        <f t="shared" si="5108"/>
        <v>0</v>
      </c>
      <c r="CD147" s="549">
        <f t="shared" si="5108"/>
        <v>0</v>
      </c>
      <c r="CE147" s="675">
        <f t="shared" si="5108"/>
        <v>0</v>
      </c>
      <c r="CF147" s="549">
        <f t="shared" si="5108"/>
        <v>0</v>
      </c>
      <c r="CG147" s="675">
        <f t="shared" si="5108"/>
        <v>0</v>
      </c>
      <c r="CH147" s="549">
        <f t="shared" si="5108"/>
        <v>0</v>
      </c>
      <c r="CI147" s="675">
        <f t="shared" si="5108"/>
        <v>0</v>
      </c>
      <c r="CJ147" s="549">
        <f t="shared" si="5108"/>
        <v>0</v>
      </c>
      <c r="CK147" s="675">
        <f t="shared" si="5108"/>
        <v>-7000</v>
      </c>
      <c r="CL147" s="549">
        <f t="shared" si="5108"/>
        <v>0</v>
      </c>
      <c r="CM147" s="675">
        <f t="shared" si="5108"/>
        <v>0</v>
      </c>
      <c r="CN147" s="549">
        <f t="shared" si="5108"/>
        <v>0</v>
      </c>
      <c r="CO147" s="675">
        <f t="shared" si="5108"/>
        <v>0</v>
      </c>
      <c r="CP147" s="549">
        <f t="shared" si="5108"/>
        <v>0</v>
      </c>
      <c r="CQ147" s="675">
        <f t="shared" si="5108"/>
        <v>0</v>
      </c>
      <c r="CR147" s="549">
        <f t="shared" si="5108"/>
        <v>0</v>
      </c>
      <c r="CS147" s="675">
        <f t="shared" si="5108"/>
        <v>0</v>
      </c>
      <c r="CT147" s="549">
        <f t="shared" si="5108"/>
        <v>0</v>
      </c>
      <c r="CU147" s="675">
        <f t="shared" si="5108"/>
        <v>0</v>
      </c>
      <c r="CV147" s="549">
        <f t="shared" si="5108"/>
        <v>0</v>
      </c>
      <c r="CW147" s="675">
        <f t="shared" si="5108"/>
        <v>0</v>
      </c>
      <c r="CX147" s="549">
        <f t="shared" si="5108"/>
        <v>0</v>
      </c>
      <c r="CY147" s="675">
        <f t="shared" si="5108"/>
        <v>0</v>
      </c>
      <c r="CZ147" s="549">
        <f t="shared" si="5108"/>
        <v>0</v>
      </c>
      <c r="DA147" s="675">
        <f t="shared" si="5108"/>
        <v>0</v>
      </c>
      <c r="DB147" s="549">
        <f t="shared" si="5108"/>
        <v>0</v>
      </c>
      <c r="DC147" s="675">
        <f t="shared" si="5108"/>
        <v>0</v>
      </c>
      <c r="DD147" s="549">
        <f t="shared" si="5108"/>
        <v>0</v>
      </c>
      <c r="DE147" s="675">
        <f t="shared" si="5108"/>
        <v>0</v>
      </c>
      <c r="DF147" s="549">
        <f t="shared" si="5108"/>
        <v>0</v>
      </c>
      <c r="DG147" s="675">
        <f t="shared" si="5108"/>
        <v>0</v>
      </c>
      <c r="DH147" s="549">
        <f t="shared" si="5108"/>
        <v>0</v>
      </c>
      <c r="DI147" s="675">
        <f t="shared" si="5108"/>
        <v>0</v>
      </c>
      <c r="DJ147" s="549">
        <f t="shared" si="5108"/>
        <v>0</v>
      </c>
      <c r="DK147" s="675">
        <f t="shared" si="5108"/>
        <v>0</v>
      </c>
      <c r="DL147" s="549">
        <f t="shared" si="5108"/>
        <v>0</v>
      </c>
      <c r="DM147" s="675">
        <f t="shared" si="5108"/>
        <v>0</v>
      </c>
      <c r="DN147" s="549">
        <f t="shared" si="5108"/>
        <v>0</v>
      </c>
      <c r="DO147" s="675">
        <f t="shared" si="5108"/>
        <v>0</v>
      </c>
      <c r="DP147" s="549">
        <f t="shared" si="5108"/>
        <v>0</v>
      </c>
      <c r="DQ147" s="675">
        <f t="shared" si="5108"/>
        <v>0</v>
      </c>
      <c r="DR147" s="549">
        <f t="shared" si="5108"/>
        <v>0</v>
      </c>
      <c r="DS147" s="675">
        <f t="shared" si="5108"/>
        <v>0</v>
      </c>
      <c r="DT147" s="549">
        <f t="shared" si="5108"/>
        <v>0</v>
      </c>
      <c r="DU147" s="675">
        <f t="shared" si="5108"/>
        <v>0</v>
      </c>
      <c r="DV147" s="549">
        <f t="shared" si="5108"/>
        <v>0</v>
      </c>
      <c r="DW147" s="675">
        <f t="shared" si="5108"/>
        <v>0</v>
      </c>
      <c r="DX147" s="549">
        <f t="shared" si="5108"/>
        <v>0</v>
      </c>
      <c r="DY147" s="675">
        <f t="shared" si="5108"/>
        <v>0</v>
      </c>
      <c r="DZ147" s="549">
        <f t="shared" si="5108"/>
        <v>0</v>
      </c>
      <c r="EA147" s="675">
        <f t="shared" si="5108"/>
        <v>0</v>
      </c>
      <c r="EB147" s="549">
        <f t="shared" si="5108"/>
        <v>0</v>
      </c>
      <c r="EC147" s="675">
        <f t="shared" si="5108"/>
        <v>0</v>
      </c>
      <c r="ED147" s="549">
        <f t="shared" si="5108"/>
        <v>0</v>
      </c>
      <c r="EE147" s="675">
        <f t="shared" si="5108"/>
        <v>0</v>
      </c>
      <c r="EF147" s="549">
        <f t="shared" ref="EF147:EG147" si="5109">EF480+EF317</f>
        <v>0</v>
      </c>
      <c r="EG147" s="675">
        <f t="shared" si="5109"/>
        <v>0</v>
      </c>
      <c r="EH147" s="549">
        <f t="shared" ref="EH147:HW147" si="5110">EH480+EH317</f>
        <v>0</v>
      </c>
      <c r="EI147" s="675">
        <f t="shared" si="5110"/>
        <v>0</v>
      </c>
      <c r="EJ147" s="549">
        <f t="shared" si="5110"/>
        <v>0</v>
      </c>
      <c r="EK147" s="675">
        <f t="shared" si="5110"/>
        <v>0</v>
      </c>
      <c r="EL147" s="549">
        <f t="shared" si="5110"/>
        <v>0</v>
      </c>
      <c r="EM147" s="675">
        <f t="shared" si="5110"/>
        <v>0</v>
      </c>
      <c r="EN147" s="549">
        <f t="shared" si="5110"/>
        <v>0</v>
      </c>
      <c r="EO147" s="675">
        <f t="shared" si="5110"/>
        <v>0</v>
      </c>
      <c r="EP147" s="549">
        <f t="shared" si="5110"/>
        <v>0</v>
      </c>
      <c r="EQ147" s="675">
        <f t="shared" si="5110"/>
        <v>0</v>
      </c>
      <c r="ER147" s="549">
        <f t="shared" si="5110"/>
        <v>0</v>
      </c>
      <c r="ES147" s="675">
        <f t="shared" si="5110"/>
        <v>0</v>
      </c>
      <c r="ET147" s="549">
        <f t="shared" si="5110"/>
        <v>0</v>
      </c>
      <c r="EU147" s="675">
        <f t="shared" si="5110"/>
        <v>0</v>
      </c>
      <c r="EV147" s="549">
        <f t="shared" si="5110"/>
        <v>0</v>
      </c>
      <c r="EW147" s="675">
        <f t="shared" si="5110"/>
        <v>0</v>
      </c>
      <c r="EX147" s="549">
        <f t="shared" si="5110"/>
        <v>0</v>
      </c>
      <c r="EY147" s="675">
        <f t="shared" si="5110"/>
        <v>0</v>
      </c>
      <c r="EZ147" s="549">
        <f t="shared" si="5110"/>
        <v>0</v>
      </c>
      <c r="FA147" s="675">
        <f t="shared" si="5110"/>
        <v>0</v>
      </c>
      <c r="FB147" s="549">
        <f t="shared" si="5110"/>
        <v>0</v>
      </c>
      <c r="FC147" s="675">
        <f t="shared" si="5110"/>
        <v>0</v>
      </c>
      <c r="FD147" s="549">
        <f t="shared" si="5110"/>
        <v>0</v>
      </c>
      <c r="FE147" s="675">
        <f t="shared" si="5110"/>
        <v>0</v>
      </c>
      <c r="FF147" s="549">
        <f t="shared" si="5110"/>
        <v>0</v>
      </c>
      <c r="FG147" s="675">
        <f t="shared" si="5110"/>
        <v>0</v>
      </c>
      <c r="FH147" s="549">
        <f t="shared" si="5110"/>
        <v>0</v>
      </c>
      <c r="FI147" s="675">
        <f t="shared" si="5110"/>
        <v>0</v>
      </c>
      <c r="FJ147" s="549">
        <f t="shared" si="5110"/>
        <v>0</v>
      </c>
      <c r="FK147" s="675">
        <f t="shared" si="5110"/>
        <v>0</v>
      </c>
      <c r="FL147" s="549">
        <f t="shared" ref="FL147:FM147" si="5111">FL480+FL317</f>
        <v>0</v>
      </c>
      <c r="FM147" s="675">
        <f t="shared" si="5111"/>
        <v>0</v>
      </c>
      <c r="FN147" s="549">
        <f t="shared" ref="FN147:FO147" si="5112">FN480+FN317</f>
        <v>0</v>
      </c>
      <c r="FO147" s="675">
        <f t="shared" si="5112"/>
        <v>0</v>
      </c>
      <c r="FP147" s="549">
        <f t="shared" ref="FP147:FQ147" si="5113">FP480+FP317</f>
        <v>0</v>
      </c>
      <c r="FQ147" s="675">
        <f t="shared" si="5113"/>
        <v>0</v>
      </c>
      <c r="FR147" s="549">
        <f t="shared" ref="FR147:FS147" si="5114">FR480+FR317</f>
        <v>0</v>
      </c>
      <c r="FS147" s="675">
        <f t="shared" si="5114"/>
        <v>0</v>
      </c>
      <c r="FT147" s="549">
        <f t="shared" ref="FT147:FU147" si="5115">FT480+FT317</f>
        <v>0</v>
      </c>
      <c r="FU147" s="675">
        <f t="shared" si="5115"/>
        <v>0</v>
      </c>
      <c r="FV147" s="549">
        <f t="shared" ref="FV147:GK147" si="5116">FV480+FV317</f>
        <v>0</v>
      </c>
      <c r="FW147" s="675">
        <f t="shared" si="5116"/>
        <v>0</v>
      </c>
      <c r="FX147" s="549">
        <f t="shared" si="5116"/>
        <v>0</v>
      </c>
      <c r="FY147" s="675">
        <f t="shared" si="5116"/>
        <v>0</v>
      </c>
      <c r="FZ147" s="549">
        <f t="shared" ref="FZ147:GI147" si="5117">FZ480+FZ317</f>
        <v>0</v>
      </c>
      <c r="GA147" s="675">
        <f t="shared" si="5117"/>
        <v>0</v>
      </c>
      <c r="GB147" s="549">
        <f t="shared" si="5117"/>
        <v>0</v>
      </c>
      <c r="GC147" s="675">
        <f t="shared" si="5117"/>
        <v>0</v>
      </c>
      <c r="GD147" s="549">
        <f t="shared" si="5117"/>
        <v>0</v>
      </c>
      <c r="GE147" s="675">
        <f t="shared" si="5117"/>
        <v>0</v>
      </c>
      <c r="GF147" s="549">
        <f t="shared" si="5117"/>
        <v>0</v>
      </c>
      <c r="GG147" s="675">
        <f t="shared" si="5117"/>
        <v>0</v>
      </c>
      <c r="GH147" s="549">
        <f t="shared" si="5117"/>
        <v>0</v>
      </c>
      <c r="GI147" s="675">
        <f t="shared" si="5117"/>
        <v>0</v>
      </c>
      <c r="GJ147" s="549">
        <f t="shared" si="5116"/>
        <v>0</v>
      </c>
      <c r="GK147" s="675">
        <f t="shared" si="5116"/>
        <v>0</v>
      </c>
      <c r="GL147" s="549">
        <f t="shared" ref="GL147:GM147" si="5118">GL480+GL317</f>
        <v>0</v>
      </c>
      <c r="GM147" s="675">
        <f t="shared" si="5118"/>
        <v>0</v>
      </c>
      <c r="GN147" s="549">
        <f t="shared" ref="GN147:GO147" si="5119">GN480+GN317</f>
        <v>0</v>
      </c>
      <c r="GO147" s="675">
        <f t="shared" si="5119"/>
        <v>0</v>
      </c>
      <c r="GP147" s="74">
        <f t="shared" si="5110"/>
        <v>0</v>
      </c>
      <c r="GQ147" s="675">
        <f t="shared" si="5110"/>
        <v>-10000</v>
      </c>
      <c r="GR147" s="74">
        <f t="shared" si="5110"/>
        <v>31200</v>
      </c>
      <c r="GS147" s="74">
        <f>GS480+GS317</f>
        <v>31200</v>
      </c>
      <c r="GT147" s="549">
        <f t="shared" si="5110"/>
        <v>31200</v>
      </c>
      <c r="GU147" s="74">
        <f t="shared" si="5110"/>
        <v>4120</v>
      </c>
      <c r="GV147" s="74">
        <f t="shared" si="5110"/>
        <v>4120</v>
      </c>
      <c r="GW147" s="549">
        <f t="shared" si="5110"/>
        <v>4120</v>
      </c>
      <c r="GX147" s="549">
        <f t="shared" si="5110"/>
        <v>4120</v>
      </c>
      <c r="GY147" s="74">
        <f t="shared" si="5110"/>
        <v>4120</v>
      </c>
      <c r="GZ147" s="74">
        <f t="shared" si="5110"/>
        <v>4120</v>
      </c>
      <c r="HA147" s="74">
        <f t="shared" si="5110"/>
        <v>4120</v>
      </c>
      <c r="HB147" s="74">
        <f t="shared" si="5110"/>
        <v>4120</v>
      </c>
      <c r="HC147" s="74">
        <f t="shared" si="5110"/>
        <v>4120</v>
      </c>
      <c r="HD147" s="74">
        <f t="shared" si="5110"/>
        <v>4120</v>
      </c>
      <c r="HE147" s="74">
        <f t="shared" si="5110"/>
        <v>0</v>
      </c>
      <c r="HF147" s="74">
        <f t="shared" si="5110"/>
        <v>0</v>
      </c>
      <c r="HG147" s="74">
        <f t="shared" si="5110"/>
        <v>31200</v>
      </c>
      <c r="HH147" s="74">
        <f t="shared" si="5110"/>
        <v>4120</v>
      </c>
      <c r="HI147" s="74">
        <f t="shared" si="5110"/>
        <v>0</v>
      </c>
      <c r="HJ147" s="74">
        <f t="shared" si="5110"/>
        <v>4120</v>
      </c>
      <c r="HK147" s="74">
        <f t="shared" si="5110"/>
        <v>0</v>
      </c>
      <c r="HL147" s="74">
        <f t="shared" si="5110"/>
        <v>1120</v>
      </c>
      <c r="HM147" s="74">
        <f t="shared" si="5110"/>
        <v>0</v>
      </c>
      <c r="HN147" s="74">
        <f t="shared" si="5110"/>
        <v>4120</v>
      </c>
      <c r="HO147" s="74">
        <f t="shared" si="5110"/>
        <v>0</v>
      </c>
      <c r="HP147" s="74">
        <f t="shared" si="5110"/>
        <v>2449</v>
      </c>
      <c r="HQ147" s="74">
        <f t="shared" si="5110"/>
        <v>0</v>
      </c>
      <c r="HR147" s="74">
        <f t="shared" si="5110"/>
        <v>0</v>
      </c>
      <c r="HS147" s="74">
        <f t="shared" si="5110"/>
        <v>0</v>
      </c>
      <c r="HT147" s="74">
        <f t="shared" si="5110"/>
        <v>2911</v>
      </c>
      <c r="HU147" s="74">
        <f t="shared" si="5110"/>
        <v>0</v>
      </c>
      <c r="HV147" s="74">
        <f t="shared" si="5110"/>
        <v>4120</v>
      </c>
      <c r="HW147" s="74">
        <f t="shared" si="5110"/>
        <v>0</v>
      </c>
      <c r="HX147" s="74">
        <f t="shared" ref="HX147:JC147" si="5120">HX480+HX317</f>
        <v>4120</v>
      </c>
      <c r="HY147" s="74">
        <f t="shared" si="5120"/>
        <v>0</v>
      </c>
      <c r="HZ147" s="74">
        <f t="shared" si="5120"/>
        <v>4120</v>
      </c>
      <c r="IA147" s="74">
        <f t="shared" si="5120"/>
        <v>0</v>
      </c>
      <c r="IB147" s="74">
        <f t="shared" si="5120"/>
        <v>0</v>
      </c>
      <c r="IC147" s="74">
        <f t="shared" si="5120"/>
        <v>0</v>
      </c>
      <c r="ID147" s="74">
        <f t="shared" si="5120"/>
        <v>0</v>
      </c>
      <c r="IE147" s="792">
        <f t="shared" si="5120"/>
        <v>0</v>
      </c>
      <c r="IF147" s="841">
        <f t="shared" si="5120"/>
        <v>20780.919999999998</v>
      </c>
      <c r="IG147" s="263">
        <f t="shared" si="5120"/>
        <v>20780.919999999998</v>
      </c>
      <c r="IH147" s="842">
        <f t="shared" si="5120"/>
        <v>20780.919999999998</v>
      </c>
      <c r="II147" s="155">
        <f t="shared" si="5120"/>
        <v>112.39</v>
      </c>
      <c r="IJ147" s="74">
        <f t="shared" si="5120"/>
        <v>112.39</v>
      </c>
      <c r="IK147" s="74">
        <f t="shared" si="5120"/>
        <v>112.39</v>
      </c>
      <c r="IL147" s="74">
        <f t="shared" si="5120"/>
        <v>721.05000000000007</v>
      </c>
      <c r="IM147" s="74">
        <f t="shared" si="5120"/>
        <v>721.05000000000007</v>
      </c>
      <c r="IN147" s="74">
        <f t="shared" si="5120"/>
        <v>721.05000000000007</v>
      </c>
      <c r="IO147" s="74">
        <f t="shared" si="5120"/>
        <v>253.1099999999999</v>
      </c>
      <c r="IP147" s="74">
        <f t="shared" si="5120"/>
        <v>253.1099999999999</v>
      </c>
      <c r="IQ147" s="74">
        <f t="shared" si="5120"/>
        <v>253.1099999999999</v>
      </c>
      <c r="IR147" s="74">
        <f t="shared" si="5120"/>
        <v>2237.2600000000002</v>
      </c>
      <c r="IS147" s="74">
        <f t="shared" si="5120"/>
        <v>2237.2600000000002</v>
      </c>
      <c r="IT147" s="74">
        <f t="shared" si="5120"/>
        <v>2237.2600000000002</v>
      </c>
      <c r="IU147" s="74">
        <f t="shared" si="5120"/>
        <v>3133.77</v>
      </c>
      <c r="IV147" s="74">
        <f t="shared" si="5120"/>
        <v>3133.77</v>
      </c>
      <c r="IW147" s="74">
        <f t="shared" si="5120"/>
        <v>3133.77</v>
      </c>
      <c r="IX147" s="74">
        <f t="shared" si="5120"/>
        <v>2029.2800000000007</v>
      </c>
      <c r="IY147" s="74">
        <f t="shared" si="5120"/>
        <v>2029.2800000000007</v>
      </c>
      <c r="IZ147" s="74">
        <f t="shared" si="5120"/>
        <v>2029.2800000000007</v>
      </c>
      <c r="JA147" s="74">
        <f t="shared" si="5120"/>
        <v>2077.75</v>
      </c>
      <c r="JB147" s="74">
        <f t="shared" si="5120"/>
        <v>2077.75</v>
      </c>
      <c r="JC147" s="74">
        <f t="shared" si="5120"/>
        <v>2077.75</v>
      </c>
      <c r="JD147" s="74">
        <f t="shared" ref="JD147:JT147" si="5121">JD480+JD317</f>
        <v>6787.9700000000012</v>
      </c>
      <c r="JE147" s="74">
        <f t="shared" si="5121"/>
        <v>6787.9700000000012</v>
      </c>
      <c r="JF147" s="74">
        <f t="shared" si="5121"/>
        <v>6787.9700000000012</v>
      </c>
      <c r="JG147" s="74">
        <f t="shared" si="5121"/>
        <v>522.25</v>
      </c>
      <c r="JH147" s="74">
        <f t="shared" si="5121"/>
        <v>522.25</v>
      </c>
      <c r="JI147" s="74">
        <f t="shared" si="5121"/>
        <v>522.25</v>
      </c>
      <c r="JJ147" s="74">
        <f t="shared" si="5121"/>
        <v>2906.0899999999965</v>
      </c>
      <c r="JK147" s="74">
        <f t="shared" si="5121"/>
        <v>2906.0899999999965</v>
      </c>
      <c r="JL147" s="74">
        <f t="shared" si="5121"/>
        <v>2906.0899999999965</v>
      </c>
      <c r="JM147" s="74">
        <f t="shared" si="5121"/>
        <v>0</v>
      </c>
      <c r="JN147" s="74">
        <f t="shared" si="5121"/>
        <v>0</v>
      </c>
      <c r="JO147" s="74">
        <f t="shared" si="5121"/>
        <v>0</v>
      </c>
      <c r="JP147" s="74">
        <f t="shared" si="5121"/>
        <v>0</v>
      </c>
      <c r="JQ147" s="74">
        <f t="shared" si="5121"/>
        <v>0</v>
      </c>
      <c r="JR147" s="74">
        <f t="shared" si="5121"/>
        <v>0</v>
      </c>
      <c r="JS147" s="74">
        <f t="shared" si="5121"/>
        <v>10419.080000000002</v>
      </c>
      <c r="JT147" s="382">
        <f t="shared" si="5121"/>
        <v>10419.080000000002</v>
      </c>
      <c r="JU147" s="671"/>
      <c r="JV147" s="492"/>
      <c r="JW147" s="490"/>
      <c r="JX147" s="549">
        <f t="shared" ref="JX147:KC147" si="5122">JX480+JX317</f>
        <v>31200</v>
      </c>
      <c r="JY147" s="549">
        <f t="shared" si="5122"/>
        <v>0</v>
      </c>
      <c r="JZ147" s="581">
        <f t="shared" si="5122"/>
        <v>0</v>
      </c>
      <c r="KA147" s="581">
        <f t="shared" si="5122"/>
        <v>-10000</v>
      </c>
      <c r="KB147" s="549">
        <f t="shared" si="5122"/>
        <v>31200</v>
      </c>
      <c r="KC147" s="709">
        <f t="shared" si="5122"/>
        <v>0</v>
      </c>
      <c r="KD147" s="36"/>
      <c r="KE147" s="36"/>
      <c r="KF147" s="36"/>
      <c r="KG147" s="36"/>
      <c r="KH147" s="36"/>
      <c r="KI147" s="36"/>
      <c r="KJ147" s="36"/>
      <c r="KK147" s="36"/>
    </row>
    <row r="148" spans="1:297" s="8" customFormat="1">
      <c r="A148" s="75"/>
      <c r="B148" s="72"/>
      <c r="C148" s="74"/>
      <c r="D148" s="549"/>
      <c r="E148" s="675"/>
      <c r="F148" s="549"/>
      <c r="G148" s="675"/>
      <c r="H148" s="549"/>
      <c r="I148" s="675"/>
      <c r="J148" s="549"/>
      <c r="K148" s="675"/>
      <c r="L148" s="549"/>
      <c r="M148" s="675"/>
      <c r="N148" s="549"/>
      <c r="O148" s="675"/>
      <c r="P148" s="549"/>
      <c r="Q148" s="675"/>
      <c r="R148" s="549"/>
      <c r="S148" s="675"/>
      <c r="T148" s="549"/>
      <c r="U148" s="675"/>
      <c r="V148" s="549"/>
      <c r="W148" s="675"/>
      <c r="X148" s="549"/>
      <c r="Y148" s="675"/>
      <c r="Z148" s="549"/>
      <c r="AA148" s="675"/>
      <c r="AB148" s="549"/>
      <c r="AC148" s="675"/>
      <c r="AD148" s="549"/>
      <c r="AE148" s="675"/>
      <c r="AF148" s="549"/>
      <c r="AG148" s="675"/>
      <c r="AH148" s="549"/>
      <c r="AI148" s="675"/>
      <c r="AJ148" s="549"/>
      <c r="AK148" s="675"/>
      <c r="AL148" s="549"/>
      <c r="AM148" s="675"/>
      <c r="AN148" s="549"/>
      <c r="AO148" s="675"/>
      <c r="AP148" s="549"/>
      <c r="AQ148" s="675"/>
      <c r="AR148" s="549"/>
      <c r="AS148" s="675"/>
      <c r="AT148" s="549"/>
      <c r="AU148" s="675"/>
      <c r="AV148" s="549"/>
      <c r="AW148" s="675"/>
      <c r="AX148" s="549"/>
      <c r="AY148" s="675"/>
      <c r="AZ148" s="549"/>
      <c r="BA148" s="675"/>
      <c r="BB148" s="549"/>
      <c r="BC148" s="675"/>
      <c r="BD148" s="549"/>
      <c r="BE148" s="675"/>
      <c r="BF148" s="549"/>
      <c r="BG148" s="675"/>
      <c r="BH148" s="549"/>
      <c r="BI148" s="675"/>
      <c r="BJ148" s="549"/>
      <c r="BK148" s="675"/>
      <c r="BL148" s="549"/>
      <c r="BM148" s="675"/>
      <c r="BN148" s="549"/>
      <c r="BO148" s="675"/>
      <c r="BP148" s="549"/>
      <c r="BQ148" s="675"/>
      <c r="BR148" s="549"/>
      <c r="BS148" s="675"/>
      <c r="BT148" s="549"/>
      <c r="BU148" s="675"/>
      <c r="BV148" s="549"/>
      <c r="BW148" s="675"/>
      <c r="BX148" s="549"/>
      <c r="BY148" s="675"/>
      <c r="BZ148" s="549"/>
      <c r="CA148" s="675"/>
      <c r="CB148" s="549"/>
      <c r="CC148" s="675"/>
      <c r="CD148" s="549"/>
      <c r="CE148" s="675"/>
      <c r="CF148" s="549"/>
      <c r="CG148" s="675"/>
      <c r="CH148" s="549"/>
      <c r="CI148" s="675"/>
      <c r="CJ148" s="549"/>
      <c r="CK148" s="675"/>
      <c r="CL148" s="549"/>
      <c r="CM148" s="675"/>
      <c r="CN148" s="549"/>
      <c r="CO148" s="675"/>
      <c r="CP148" s="549"/>
      <c r="CQ148" s="675"/>
      <c r="CR148" s="549"/>
      <c r="CS148" s="675"/>
      <c r="CT148" s="549"/>
      <c r="CU148" s="675"/>
      <c r="CV148" s="549"/>
      <c r="CW148" s="675"/>
      <c r="CX148" s="549"/>
      <c r="CY148" s="675"/>
      <c r="CZ148" s="549"/>
      <c r="DA148" s="675"/>
      <c r="DB148" s="549"/>
      <c r="DC148" s="675"/>
      <c r="DD148" s="549"/>
      <c r="DE148" s="675"/>
      <c r="DF148" s="549"/>
      <c r="DG148" s="675"/>
      <c r="DH148" s="549"/>
      <c r="DI148" s="675"/>
      <c r="DJ148" s="549"/>
      <c r="DK148" s="675"/>
      <c r="DL148" s="549"/>
      <c r="DM148" s="675"/>
      <c r="DN148" s="549"/>
      <c r="DO148" s="675"/>
      <c r="DP148" s="549"/>
      <c r="DQ148" s="675"/>
      <c r="DR148" s="549"/>
      <c r="DS148" s="675"/>
      <c r="DT148" s="549"/>
      <c r="DU148" s="675"/>
      <c r="DV148" s="549"/>
      <c r="DW148" s="675"/>
      <c r="DX148" s="549"/>
      <c r="DY148" s="675"/>
      <c r="DZ148" s="549"/>
      <c r="EA148" s="675"/>
      <c r="EB148" s="549"/>
      <c r="EC148" s="675"/>
      <c r="ED148" s="549"/>
      <c r="EE148" s="675"/>
      <c r="EF148" s="549"/>
      <c r="EG148" s="675"/>
      <c r="EH148" s="549"/>
      <c r="EI148" s="675"/>
      <c r="EJ148" s="549"/>
      <c r="EK148" s="675"/>
      <c r="EL148" s="549"/>
      <c r="EM148" s="675"/>
      <c r="EN148" s="549"/>
      <c r="EO148" s="675"/>
      <c r="EP148" s="549"/>
      <c r="EQ148" s="675"/>
      <c r="ER148" s="549"/>
      <c r="ES148" s="675"/>
      <c r="ET148" s="549"/>
      <c r="EU148" s="675"/>
      <c r="EV148" s="549"/>
      <c r="EW148" s="675"/>
      <c r="EX148" s="549"/>
      <c r="EY148" s="675"/>
      <c r="EZ148" s="549"/>
      <c r="FA148" s="675"/>
      <c r="FB148" s="549"/>
      <c r="FC148" s="675"/>
      <c r="FD148" s="549"/>
      <c r="FE148" s="675"/>
      <c r="FF148" s="549"/>
      <c r="FG148" s="675"/>
      <c r="FH148" s="549"/>
      <c r="FI148" s="675"/>
      <c r="FJ148" s="549"/>
      <c r="FK148" s="675"/>
      <c r="FL148" s="549"/>
      <c r="FM148" s="675"/>
      <c r="FN148" s="549"/>
      <c r="FO148" s="675"/>
      <c r="FP148" s="549"/>
      <c r="FQ148" s="675"/>
      <c r="FR148" s="549"/>
      <c r="FS148" s="675"/>
      <c r="FT148" s="549"/>
      <c r="FU148" s="675"/>
      <c r="FV148" s="549"/>
      <c r="FW148" s="675"/>
      <c r="FX148" s="549"/>
      <c r="FY148" s="675"/>
      <c r="FZ148" s="549"/>
      <c r="GA148" s="675"/>
      <c r="GB148" s="549"/>
      <c r="GC148" s="675"/>
      <c r="GD148" s="549"/>
      <c r="GE148" s="675"/>
      <c r="GF148" s="549"/>
      <c r="GG148" s="675"/>
      <c r="GH148" s="549"/>
      <c r="GI148" s="675"/>
      <c r="GJ148" s="549"/>
      <c r="GK148" s="675"/>
      <c r="GL148" s="549"/>
      <c r="GM148" s="675"/>
      <c r="GN148" s="549"/>
      <c r="GO148" s="675"/>
      <c r="GP148" s="74"/>
      <c r="GQ148" s="675"/>
      <c r="GR148" s="74"/>
      <c r="GS148" s="74"/>
      <c r="GT148" s="549"/>
      <c r="GU148" s="74"/>
      <c r="GV148" s="74"/>
      <c r="GW148" s="549"/>
      <c r="GX148" s="549"/>
      <c r="GY148" s="74"/>
      <c r="GZ148" s="74"/>
      <c r="HA148" s="74"/>
      <c r="HB148" s="74"/>
      <c r="HC148" s="74"/>
      <c r="HD148" s="74"/>
      <c r="HE148" s="74"/>
      <c r="HF148" s="74"/>
      <c r="HG148" s="74"/>
      <c r="HH148" s="74"/>
      <c r="HI148" s="74"/>
      <c r="HJ148" s="74"/>
      <c r="HK148" s="74"/>
      <c r="HL148" s="74"/>
      <c r="HM148" s="74"/>
      <c r="HN148" s="74"/>
      <c r="HO148" s="74"/>
      <c r="HP148" s="74"/>
      <c r="HQ148" s="74"/>
      <c r="HR148" s="74"/>
      <c r="HS148" s="74"/>
      <c r="HT148" s="74"/>
      <c r="HU148" s="74"/>
      <c r="HV148" s="74"/>
      <c r="HW148" s="74"/>
      <c r="HX148" s="74"/>
      <c r="HY148" s="74"/>
      <c r="HZ148" s="74"/>
      <c r="IA148" s="74"/>
      <c r="IB148" s="74"/>
      <c r="IC148" s="74"/>
      <c r="ID148" s="74"/>
      <c r="IE148" s="792"/>
      <c r="IF148" s="841"/>
      <c r="IG148" s="263"/>
      <c r="IH148" s="842"/>
      <c r="II148" s="155"/>
      <c r="IJ148" s="74"/>
      <c r="IK148" s="74"/>
      <c r="IL148" s="74"/>
      <c r="IM148" s="74"/>
      <c r="IN148" s="74"/>
      <c r="IO148" s="74"/>
      <c r="IP148" s="74"/>
      <c r="IQ148" s="74"/>
      <c r="IR148" s="74"/>
      <c r="IS148" s="74"/>
      <c r="IT148" s="74"/>
      <c r="IU148" s="74"/>
      <c r="IV148" s="74"/>
      <c r="IW148" s="74"/>
      <c r="IX148" s="74"/>
      <c r="IY148" s="74"/>
      <c r="IZ148" s="74"/>
      <c r="JA148" s="74"/>
      <c r="JB148" s="74"/>
      <c r="JC148" s="74"/>
      <c r="JD148" s="74"/>
      <c r="JE148" s="74"/>
      <c r="JF148" s="74"/>
      <c r="JG148" s="74"/>
      <c r="JH148" s="74"/>
      <c r="JI148" s="74"/>
      <c r="JJ148" s="74"/>
      <c r="JK148" s="74"/>
      <c r="JL148" s="74"/>
      <c r="JM148" s="74"/>
      <c r="JN148" s="74"/>
      <c r="JO148" s="74"/>
      <c r="JP148" s="74"/>
      <c r="JQ148" s="74"/>
      <c r="JR148" s="74"/>
      <c r="JS148" s="74"/>
      <c r="JT148" s="382"/>
      <c r="JU148" s="671"/>
      <c r="JV148" s="492"/>
      <c r="JW148" s="490"/>
      <c r="JX148" s="549"/>
      <c r="JY148" s="549"/>
      <c r="JZ148" s="581">
        <f t="shared" si="4944"/>
        <v>0</v>
      </c>
      <c r="KA148" s="581">
        <f t="shared" si="4945"/>
        <v>0</v>
      </c>
      <c r="KB148" s="549"/>
      <c r="KC148" s="709">
        <f t="shared" si="4908"/>
        <v>0</v>
      </c>
      <c r="KD148" s="36"/>
      <c r="KE148" s="36"/>
      <c r="KF148" s="36"/>
      <c r="KG148" s="36"/>
      <c r="KH148" s="36"/>
      <c r="KI148" s="36"/>
      <c r="KJ148" s="36"/>
      <c r="KK148" s="36"/>
    </row>
    <row r="149" spans="1:297" s="8" customFormat="1">
      <c r="A149" s="75" t="s">
        <v>175</v>
      </c>
      <c r="B149" s="72" t="s">
        <v>176</v>
      </c>
      <c r="C149" s="74">
        <f t="shared" ref="C149:E149" si="5123">SUM(C150:C153)</f>
        <v>59000</v>
      </c>
      <c r="D149" s="549">
        <f t="shared" si="5123"/>
        <v>0</v>
      </c>
      <c r="E149" s="675">
        <f t="shared" si="5123"/>
        <v>0</v>
      </c>
      <c r="F149" s="549">
        <f t="shared" ref="F149:G149" si="5124">SUM(F150:F153)</f>
        <v>0</v>
      </c>
      <c r="G149" s="675">
        <f t="shared" si="5124"/>
        <v>0</v>
      </c>
      <c r="H149" s="549">
        <f t="shared" ref="H149:I149" si="5125">SUM(H150:H153)</f>
        <v>0</v>
      </c>
      <c r="I149" s="675">
        <f t="shared" si="5125"/>
        <v>0</v>
      </c>
      <c r="J149" s="549">
        <f t="shared" ref="J149:K149" si="5126">SUM(J150:J153)</f>
        <v>0</v>
      </c>
      <c r="K149" s="675">
        <f t="shared" si="5126"/>
        <v>0</v>
      </c>
      <c r="L149" s="549">
        <f t="shared" ref="L149:M149" si="5127">SUM(L150:L153)</f>
        <v>0</v>
      </c>
      <c r="M149" s="675">
        <f t="shared" si="5127"/>
        <v>0</v>
      </c>
      <c r="N149" s="549">
        <f t="shared" ref="N149:O149" si="5128">SUM(N150:N153)</f>
        <v>0</v>
      </c>
      <c r="O149" s="675">
        <f t="shared" si="5128"/>
        <v>0</v>
      </c>
      <c r="P149" s="549">
        <f t="shared" ref="P149:Q149" si="5129">SUM(P150:P153)</f>
        <v>0</v>
      </c>
      <c r="Q149" s="675">
        <f t="shared" si="5129"/>
        <v>0</v>
      </c>
      <c r="R149" s="549">
        <f t="shared" ref="R149:S149" si="5130">SUM(R150:R153)</f>
        <v>0</v>
      </c>
      <c r="S149" s="675">
        <f t="shared" si="5130"/>
        <v>0</v>
      </c>
      <c r="T149" s="549">
        <f t="shared" ref="T149:U149" si="5131">SUM(T150:T153)</f>
        <v>0</v>
      </c>
      <c r="U149" s="675">
        <f t="shared" si="5131"/>
        <v>0</v>
      </c>
      <c r="V149" s="549">
        <f t="shared" ref="V149:W149" si="5132">SUM(V150:V153)</f>
        <v>0</v>
      </c>
      <c r="W149" s="675">
        <f t="shared" si="5132"/>
        <v>-5000</v>
      </c>
      <c r="X149" s="549">
        <f t="shared" ref="X149:Y149" si="5133">SUM(X150:X153)</f>
        <v>0</v>
      </c>
      <c r="Y149" s="675">
        <f t="shared" si="5133"/>
        <v>0</v>
      </c>
      <c r="Z149" s="549">
        <f t="shared" ref="Z149:AA149" si="5134">SUM(Z150:Z153)</f>
        <v>0</v>
      </c>
      <c r="AA149" s="675">
        <f t="shared" si="5134"/>
        <v>0</v>
      </c>
      <c r="AB149" s="549">
        <f t="shared" ref="AB149:AC149" si="5135">SUM(AB150:AB153)</f>
        <v>0</v>
      </c>
      <c r="AC149" s="675">
        <f t="shared" si="5135"/>
        <v>0</v>
      </c>
      <c r="AD149" s="549">
        <f t="shared" ref="AD149:AK149" si="5136">SUM(AD150:AD153)</f>
        <v>0</v>
      </c>
      <c r="AE149" s="675">
        <f t="shared" si="5136"/>
        <v>0</v>
      </c>
      <c r="AF149" s="549">
        <f t="shared" si="5136"/>
        <v>0</v>
      </c>
      <c r="AG149" s="675">
        <f t="shared" si="5136"/>
        <v>0</v>
      </c>
      <c r="AH149" s="549">
        <f t="shared" si="5136"/>
        <v>0</v>
      </c>
      <c r="AI149" s="675">
        <f t="shared" si="5136"/>
        <v>0</v>
      </c>
      <c r="AJ149" s="549">
        <f t="shared" si="5136"/>
        <v>0</v>
      </c>
      <c r="AK149" s="675">
        <f t="shared" si="5136"/>
        <v>0</v>
      </c>
      <c r="AL149" s="549">
        <f t="shared" ref="AL149:AM149" si="5137">SUM(AL150:AL153)</f>
        <v>0</v>
      </c>
      <c r="AM149" s="675">
        <f t="shared" si="5137"/>
        <v>0</v>
      </c>
      <c r="AN149" s="549">
        <f t="shared" ref="AN149:AS149" si="5138">SUM(AN150:AN153)</f>
        <v>0</v>
      </c>
      <c r="AO149" s="675">
        <f t="shared" si="5138"/>
        <v>0</v>
      </c>
      <c r="AP149" s="549">
        <f t="shared" si="5138"/>
        <v>0</v>
      </c>
      <c r="AQ149" s="675">
        <f t="shared" si="5138"/>
        <v>0</v>
      </c>
      <c r="AR149" s="549">
        <f t="shared" si="5138"/>
        <v>0</v>
      </c>
      <c r="AS149" s="675">
        <f t="shared" si="5138"/>
        <v>0</v>
      </c>
      <c r="AT149" s="549">
        <f t="shared" ref="AT149:AU149" si="5139">SUM(AT150:AT153)</f>
        <v>0</v>
      </c>
      <c r="AU149" s="675">
        <f t="shared" si="5139"/>
        <v>0</v>
      </c>
      <c r="AV149" s="549">
        <f t="shared" ref="AV149:AW149" si="5140">SUM(AV150:AV153)</f>
        <v>0</v>
      </c>
      <c r="AW149" s="675">
        <f t="shared" si="5140"/>
        <v>0</v>
      </c>
      <c r="AX149" s="549">
        <f t="shared" ref="AX149:AY149" si="5141">SUM(AX150:AX153)</f>
        <v>0</v>
      </c>
      <c r="AY149" s="675">
        <f t="shared" si="5141"/>
        <v>0</v>
      </c>
      <c r="AZ149" s="549">
        <f t="shared" ref="AZ149:BA149" si="5142">SUM(AZ150:AZ153)</f>
        <v>30000</v>
      </c>
      <c r="BA149" s="675">
        <f t="shared" si="5142"/>
        <v>0</v>
      </c>
      <c r="BB149" s="549">
        <f t="shared" ref="BB149:BC149" si="5143">SUM(BB150:BB153)</f>
        <v>0</v>
      </c>
      <c r="BC149" s="675">
        <f t="shared" si="5143"/>
        <v>0</v>
      </c>
      <c r="BD149" s="549">
        <f t="shared" ref="BD149:BE149" si="5144">SUM(BD150:BD153)</f>
        <v>0</v>
      </c>
      <c r="BE149" s="675">
        <f t="shared" si="5144"/>
        <v>0</v>
      </c>
      <c r="BF149" s="549">
        <f t="shared" ref="BF149:BG149" si="5145">SUM(BF150:BF153)</f>
        <v>0</v>
      </c>
      <c r="BG149" s="675">
        <f t="shared" si="5145"/>
        <v>0</v>
      </c>
      <c r="BH149" s="549">
        <f t="shared" ref="BH149:BI149" si="5146">SUM(BH150:BH153)</f>
        <v>0</v>
      </c>
      <c r="BI149" s="675">
        <f t="shared" si="5146"/>
        <v>0</v>
      </c>
      <c r="BJ149" s="549">
        <f t="shared" ref="BJ149:BK149" si="5147">SUM(BJ150:BJ153)</f>
        <v>0</v>
      </c>
      <c r="BK149" s="675">
        <f t="shared" si="5147"/>
        <v>0</v>
      </c>
      <c r="BL149" s="549">
        <f t="shared" ref="BL149:BS149" si="5148">SUM(BL150:BL153)</f>
        <v>0</v>
      </c>
      <c r="BM149" s="675">
        <f t="shared" si="5148"/>
        <v>0</v>
      </c>
      <c r="BN149" s="549">
        <f t="shared" si="5148"/>
        <v>0</v>
      </c>
      <c r="BO149" s="675">
        <f t="shared" si="5148"/>
        <v>0</v>
      </c>
      <c r="BP149" s="549">
        <f t="shared" si="5148"/>
        <v>0</v>
      </c>
      <c r="BQ149" s="675">
        <f t="shared" si="5148"/>
        <v>0</v>
      </c>
      <c r="BR149" s="549">
        <f t="shared" si="5148"/>
        <v>0</v>
      </c>
      <c r="BS149" s="675">
        <f t="shared" si="5148"/>
        <v>0</v>
      </c>
      <c r="BT149" s="549">
        <f t="shared" ref="BT149:BU149" si="5149">SUM(BT150:BT153)</f>
        <v>0</v>
      </c>
      <c r="BU149" s="675">
        <f t="shared" si="5149"/>
        <v>0</v>
      </c>
      <c r="BV149" s="549">
        <f t="shared" ref="BV149:BW149" si="5150">SUM(BV150:BV153)</f>
        <v>0</v>
      </c>
      <c r="BW149" s="675">
        <f t="shared" si="5150"/>
        <v>0</v>
      </c>
      <c r="BX149" s="549">
        <f t="shared" ref="BX149:BY149" si="5151">SUM(BX150:BX153)</f>
        <v>0</v>
      </c>
      <c r="BY149" s="675">
        <f t="shared" si="5151"/>
        <v>0</v>
      </c>
      <c r="BZ149" s="549">
        <f t="shared" ref="BZ149:CA149" si="5152">SUM(BZ150:BZ153)</f>
        <v>0</v>
      </c>
      <c r="CA149" s="675">
        <f t="shared" si="5152"/>
        <v>0</v>
      </c>
      <c r="CB149" s="549">
        <f t="shared" ref="CB149:CE149" si="5153">SUM(CB150:CB153)</f>
        <v>0</v>
      </c>
      <c r="CC149" s="675">
        <f t="shared" si="5153"/>
        <v>0</v>
      </c>
      <c r="CD149" s="549">
        <f t="shared" si="5153"/>
        <v>0</v>
      </c>
      <c r="CE149" s="675">
        <f t="shared" si="5153"/>
        <v>0</v>
      </c>
      <c r="CF149" s="549">
        <f t="shared" ref="CF149:CQ149" si="5154">SUM(CF150:CF153)</f>
        <v>0</v>
      </c>
      <c r="CG149" s="675">
        <f t="shared" si="5154"/>
        <v>0</v>
      </c>
      <c r="CH149" s="549">
        <f t="shared" si="5154"/>
        <v>0</v>
      </c>
      <c r="CI149" s="675">
        <f t="shared" si="5154"/>
        <v>-4000</v>
      </c>
      <c r="CJ149" s="549">
        <f t="shared" si="5154"/>
        <v>0</v>
      </c>
      <c r="CK149" s="675">
        <f t="shared" si="5154"/>
        <v>-15000</v>
      </c>
      <c r="CL149" s="549">
        <f t="shared" si="5154"/>
        <v>0</v>
      </c>
      <c r="CM149" s="675">
        <f t="shared" si="5154"/>
        <v>0</v>
      </c>
      <c r="CN149" s="549">
        <f t="shared" si="5154"/>
        <v>0</v>
      </c>
      <c r="CO149" s="675">
        <f t="shared" si="5154"/>
        <v>0</v>
      </c>
      <c r="CP149" s="549">
        <f t="shared" si="5154"/>
        <v>0</v>
      </c>
      <c r="CQ149" s="675">
        <f t="shared" si="5154"/>
        <v>0</v>
      </c>
      <c r="CR149" s="549">
        <f t="shared" ref="CR149:CY149" si="5155">SUM(CR150:CR153)</f>
        <v>0</v>
      </c>
      <c r="CS149" s="675">
        <f t="shared" si="5155"/>
        <v>0</v>
      </c>
      <c r="CT149" s="549">
        <f t="shared" si="5155"/>
        <v>0</v>
      </c>
      <c r="CU149" s="675">
        <f t="shared" si="5155"/>
        <v>0</v>
      </c>
      <c r="CV149" s="549">
        <f t="shared" si="5155"/>
        <v>0</v>
      </c>
      <c r="CW149" s="675">
        <f t="shared" si="5155"/>
        <v>0</v>
      </c>
      <c r="CX149" s="549">
        <f t="shared" si="5155"/>
        <v>0</v>
      </c>
      <c r="CY149" s="675">
        <f t="shared" si="5155"/>
        <v>0</v>
      </c>
      <c r="CZ149" s="549">
        <f t="shared" ref="CZ149:DG149" si="5156">SUM(CZ150:CZ153)</f>
        <v>0</v>
      </c>
      <c r="DA149" s="675">
        <f t="shared" si="5156"/>
        <v>-1000</v>
      </c>
      <c r="DB149" s="549">
        <f t="shared" si="5156"/>
        <v>0</v>
      </c>
      <c r="DC149" s="675">
        <f t="shared" si="5156"/>
        <v>0</v>
      </c>
      <c r="DD149" s="549">
        <f t="shared" si="5156"/>
        <v>0</v>
      </c>
      <c r="DE149" s="675">
        <f t="shared" si="5156"/>
        <v>0</v>
      </c>
      <c r="DF149" s="549">
        <f t="shared" si="5156"/>
        <v>0</v>
      </c>
      <c r="DG149" s="675">
        <f t="shared" si="5156"/>
        <v>0</v>
      </c>
      <c r="DH149" s="549">
        <f t="shared" ref="DH149:DM149" si="5157">SUM(DH150:DH153)</f>
        <v>0</v>
      </c>
      <c r="DI149" s="675">
        <f t="shared" si="5157"/>
        <v>0</v>
      </c>
      <c r="DJ149" s="549">
        <f t="shared" si="5157"/>
        <v>0</v>
      </c>
      <c r="DK149" s="675">
        <f t="shared" si="5157"/>
        <v>0</v>
      </c>
      <c r="DL149" s="549">
        <f t="shared" si="5157"/>
        <v>0</v>
      </c>
      <c r="DM149" s="675">
        <f t="shared" si="5157"/>
        <v>0</v>
      </c>
      <c r="DN149" s="549">
        <f t="shared" ref="DN149:DW149" si="5158">SUM(DN150:DN153)</f>
        <v>0</v>
      </c>
      <c r="DO149" s="675">
        <f t="shared" si="5158"/>
        <v>0</v>
      </c>
      <c r="DP149" s="549">
        <f t="shared" si="5158"/>
        <v>0</v>
      </c>
      <c r="DQ149" s="675">
        <f t="shared" si="5158"/>
        <v>0</v>
      </c>
      <c r="DR149" s="549">
        <f t="shared" si="5158"/>
        <v>0</v>
      </c>
      <c r="DS149" s="675">
        <f t="shared" si="5158"/>
        <v>0</v>
      </c>
      <c r="DT149" s="549">
        <f t="shared" si="5158"/>
        <v>0</v>
      </c>
      <c r="DU149" s="675">
        <f t="shared" si="5158"/>
        <v>0</v>
      </c>
      <c r="DV149" s="549">
        <f t="shared" si="5158"/>
        <v>0</v>
      </c>
      <c r="DW149" s="675">
        <f t="shared" si="5158"/>
        <v>0</v>
      </c>
      <c r="DX149" s="549">
        <f t="shared" ref="DX149:EG149" si="5159">SUM(DX150:DX153)</f>
        <v>0</v>
      </c>
      <c r="DY149" s="675">
        <f t="shared" si="5159"/>
        <v>0</v>
      </c>
      <c r="DZ149" s="549">
        <f t="shared" si="5159"/>
        <v>0</v>
      </c>
      <c r="EA149" s="675">
        <f t="shared" si="5159"/>
        <v>0</v>
      </c>
      <c r="EB149" s="549">
        <f t="shared" si="5159"/>
        <v>0</v>
      </c>
      <c r="EC149" s="675">
        <f t="shared" si="5159"/>
        <v>0</v>
      </c>
      <c r="ED149" s="549">
        <f t="shared" si="5159"/>
        <v>0</v>
      </c>
      <c r="EE149" s="675">
        <f t="shared" si="5159"/>
        <v>0</v>
      </c>
      <c r="EF149" s="549">
        <f t="shared" si="5159"/>
        <v>0</v>
      </c>
      <c r="EG149" s="675">
        <f t="shared" si="5159"/>
        <v>0</v>
      </c>
      <c r="EH149" s="549">
        <f t="shared" ref="EH149:EM149" si="5160">SUM(EH150:EH153)</f>
        <v>0</v>
      </c>
      <c r="EI149" s="675">
        <f t="shared" si="5160"/>
        <v>0</v>
      </c>
      <c r="EJ149" s="549">
        <f t="shared" si="5160"/>
        <v>0</v>
      </c>
      <c r="EK149" s="675">
        <f t="shared" si="5160"/>
        <v>0</v>
      </c>
      <c r="EL149" s="549">
        <f t="shared" si="5160"/>
        <v>0</v>
      </c>
      <c r="EM149" s="675">
        <f t="shared" si="5160"/>
        <v>0</v>
      </c>
      <c r="EN149" s="549">
        <f t="shared" ref="EN149:EO149" si="5161">SUM(EN150:EN153)</f>
        <v>0</v>
      </c>
      <c r="EO149" s="675">
        <f t="shared" si="5161"/>
        <v>0</v>
      </c>
      <c r="EP149" s="549">
        <f t="shared" ref="EP149:FA149" si="5162">SUM(EP150:EP153)</f>
        <v>0</v>
      </c>
      <c r="EQ149" s="675">
        <f t="shared" si="5162"/>
        <v>0</v>
      </c>
      <c r="ER149" s="549">
        <f t="shared" si="5162"/>
        <v>0</v>
      </c>
      <c r="ES149" s="675">
        <f t="shared" si="5162"/>
        <v>0</v>
      </c>
      <c r="ET149" s="549">
        <f t="shared" si="5162"/>
        <v>0</v>
      </c>
      <c r="EU149" s="675">
        <f t="shared" si="5162"/>
        <v>0</v>
      </c>
      <c r="EV149" s="549">
        <f t="shared" ref="EV149:EW149" si="5163">SUM(EV150:EV153)</f>
        <v>0</v>
      </c>
      <c r="EW149" s="675">
        <f t="shared" si="5163"/>
        <v>0</v>
      </c>
      <c r="EX149" s="549">
        <f t="shared" si="5162"/>
        <v>0</v>
      </c>
      <c r="EY149" s="675">
        <f t="shared" si="5162"/>
        <v>0</v>
      </c>
      <c r="EZ149" s="549">
        <f t="shared" si="5162"/>
        <v>0</v>
      </c>
      <c r="FA149" s="675">
        <f t="shared" si="5162"/>
        <v>0</v>
      </c>
      <c r="FB149" s="549">
        <f t="shared" ref="FB149:FC149" si="5164">SUM(FB150:FB153)</f>
        <v>0</v>
      </c>
      <c r="FC149" s="675">
        <f t="shared" si="5164"/>
        <v>0</v>
      </c>
      <c r="FD149" s="549">
        <f t="shared" ref="FD149:FE149" si="5165">SUM(FD150:FD153)</f>
        <v>0</v>
      </c>
      <c r="FE149" s="675">
        <f t="shared" si="5165"/>
        <v>-1600</v>
      </c>
      <c r="FF149" s="549">
        <f t="shared" ref="FF149:FG149" si="5166">SUM(FF150:FF153)</f>
        <v>0</v>
      </c>
      <c r="FG149" s="675">
        <f t="shared" si="5166"/>
        <v>0</v>
      </c>
      <c r="FH149" s="549">
        <f t="shared" ref="FH149:FI149" si="5167">SUM(FH150:FH153)</f>
        <v>0</v>
      </c>
      <c r="FI149" s="675">
        <f t="shared" si="5167"/>
        <v>0</v>
      </c>
      <c r="FJ149" s="549">
        <f t="shared" ref="FJ149:FK149" si="5168">SUM(FJ150:FJ153)</f>
        <v>0</v>
      </c>
      <c r="FK149" s="675">
        <f t="shared" si="5168"/>
        <v>-5000</v>
      </c>
      <c r="FL149" s="549">
        <f t="shared" ref="FL149:FM149" si="5169">SUM(FL150:FL153)</f>
        <v>0</v>
      </c>
      <c r="FM149" s="675">
        <f t="shared" si="5169"/>
        <v>0</v>
      </c>
      <c r="FN149" s="549">
        <f t="shared" ref="FN149:FO149" si="5170">SUM(FN150:FN153)</f>
        <v>0</v>
      </c>
      <c r="FO149" s="675">
        <f t="shared" si="5170"/>
        <v>0</v>
      </c>
      <c r="FP149" s="549">
        <f t="shared" ref="FP149:FQ149" si="5171">SUM(FP150:FP153)</f>
        <v>0</v>
      </c>
      <c r="FQ149" s="675">
        <f t="shared" si="5171"/>
        <v>0</v>
      </c>
      <c r="FR149" s="549">
        <f t="shared" ref="FR149:FS149" si="5172">SUM(FR150:FR153)</f>
        <v>0</v>
      </c>
      <c r="FS149" s="675">
        <f t="shared" si="5172"/>
        <v>0</v>
      </c>
      <c r="FT149" s="549">
        <f t="shared" ref="FT149:FU149" si="5173">SUM(FT150:FT153)</f>
        <v>0</v>
      </c>
      <c r="FU149" s="675">
        <f t="shared" si="5173"/>
        <v>0</v>
      </c>
      <c r="FV149" s="549">
        <f t="shared" ref="FV149:GK149" si="5174">SUM(FV150:FV153)</f>
        <v>0</v>
      </c>
      <c r="FW149" s="675">
        <f t="shared" si="5174"/>
        <v>0</v>
      </c>
      <c r="FX149" s="549">
        <f t="shared" si="5174"/>
        <v>0</v>
      </c>
      <c r="FY149" s="675">
        <f t="shared" si="5174"/>
        <v>0</v>
      </c>
      <c r="FZ149" s="549">
        <f t="shared" ref="FZ149:GI149" si="5175">SUM(FZ150:FZ153)</f>
        <v>0</v>
      </c>
      <c r="GA149" s="675">
        <f t="shared" si="5175"/>
        <v>0</v>
      </c>
      <c r="GB149" s="549">
        <f t="shared" si="5175"/>
        <v>0</v>
      </c>
      <c r="GC149" s="675">
        <f t="shared" si="5175"/>
        <v>0</v>
      </c>
      <c r="GD149" s="549">
        <f t="shared" si="5175"/>
        <v>0</v>
      </c>
      <c r="GE149" s="675">
        <f t="shared" si="5175"/>
        <v>0</v>
      </c>
      <c r="GF149" s="549">
        <f t="shared" si="5175"/>
        <v>0</v>
      </c>
      <c r="GG149" s="675">
        <f t="shared" si="5175"/>
        <v>0</v>
      </c>
      <c r="GH149" s="549">
        <f t="shared" si="5175"/>
        <v>0</v>
      </c>
      <c r="GI149" s="675">
        <f t="shared" si="5175"/>
        <v>0</v>
      </c>
      <c r="GJ149" s="549">
        <f t="shared" si="5174"/>
        <v>0</v>
      </c>
      <c r="GK149" s="675">
        <f t="shared" si="5174"/>
        <v>0</v>
      </c>
      <c r="GL149" s="549">
        <f t="shared" ref="GL149:GQ149" si="5176">SUM(GL150:GL153)</f>
        <v>0</v>
      </c>
      <c r="GM149" s="675">
        <f t="shared" si="5176"/>
        <v>0</v>
      </c>
      <c r="GN149" s="549">
        <f t="shared" ref="GN149:GO149" si="5177">SUM(GN150:GN153)</f>
        <v>0</v>
      </c>
      <c r="GO149" s="675">
        <f t="shared" si="5177"/>
        <v>0</v>
      </c>
      <c r="GP149" s="74">
        <f t="shared" si="5176"/>
        <v>30000</v>
      </c>
      <c r="GQ149" s="675">
        <f t="shared" si="5176"/>
        <v>-31600</v>
      </c>
      <c r="GR149" s="74">
        <f t="shared" ref="GR149:JM149" si="5178">SUM(GR150:GR153)</f>
        <v>57400</v>
      </c>
      <c r="GS149" s="74">
        <f>SUM(GS150:GS153)</f>
        <v>57400</v>
      </c>
      <c r="GT149" s="549">
        <f t="shared" si="5178"/>
        <v>57400</v>
      </c>
      <c r="GU149" s="74">
        <f>SUM(GU150:GU153)</f>
        <v>3900</v>
      </c>
      <c r="GV149" s="74">
        <f t="shared" ref="GV149:HA149" si="5179">SUM(GV150:GV153)</f>
        <v>7900</v>
      </c>
      <c r="GW149" s="74">
        <f t="shared" si="5179"/>
        <v>8900</v>
      </c>
      <c r="GX149" s="74">
        <f t="shared" si="5179"/>
        <v>6900</v>
      </c>
      <c r="GY149" s="74">
        <f t="shared" si="5179"/>
        <v>3900</v>
      </c>
      <c r="GZ149" s="74">
        <f t="shared" si="5179"/>
        <v>8900</v>
      </c>
      <c r="HA149" s="74">
        <f t="shared" si="5179"/>
        <v>6900</v>
      </c>
      <c r="HB149" s="74">
        <f t="shared" ref="HB149:HF149" si="5180">SUM(HB150:HB153)</f>
        <v>3900</v>
      </c>
      <c r="HC149" s="74">
        <f t="shared" si="5180"/>
        <v>3900</v>
      </c>
      <c r="HD149" s="74">
        <f t="shared" si="5180"/>
        <v>3900</v>
      </c>
      <c r="HE149" s="74">
        <f t="shared" si="5180"/>
        <v>0</v>
      </c>
      <c r="HF149" s="74">
        <f t="shared" si="5180"/>
        <v>0</v>
      </c>
      <c r="HG149" s="74">
        <f t="shared" si="5178"/>
        <v>57400</v>
      </c>
      <c r="HH149" s="74">
        <f t="shared" ref="HH149:HU149" si="5181">SUM(HH150:HH153)</f>
        <v>3900</v>
      </c>
      <c r="HI149" s="74">
        <f t="shared" si="5181"/>
        <v>0</v>
      </c>
      <c r="HJ149" s="74">
        <f t="shared" si="5181"/>
        <v>7900</v>
      </c>
      <c r="HK149" s="74">
        <f t="shared" si="5181"/>
        <v>0</v>
      </c>
      <c r="HL149" s="74">
        <f t="shared" si="5181"/>
        <v>3900</v>
      </c>
      <c r="HM149" s="74">
        <f t="shared" si="5181"/>
        <v>0</v>
      </c>
      <c r="HN149" s="74">
        <f t="shared" si="5181"/>
        <v>6900</v>
      </c>
      <c r="HO149" s="74">
        <f t="shared" si="5181"/>
        <v>0</v>
      </c>
      <c r="HP149" s="74">
        <f t="shared" si="5181"/>
        <v>30000</v>
      </c>
      <c r="HQ149" s="74">
        <f t="shared" si="5181"/>
        <v>0</v>
      </c>
      <c r="HR149" s="74">
        <f t="shared" si="5181"/>
        <v>3800</v>
      </c>
      <c r="HS149" s="74">
        <f t="shared" si="5181"/>
        <v>0</v>
      </c>
      <c r="HT149" s="74">
        <f t="shared" si="5181"/>
        <v>-4100</v>
      </c>
      <c r="HU149" s="74">
        <f t="shared" si="5181"/>
        <v>0</v>
      </c>
      <c r="HV149" s="74">
        <f t="shared" si="5178"/>
        <v>0</v>
      </c>
      <c r="HW149" s="74">
        <f t="shared" si="5178"/>
        <v>0</v>
      </c>
      <c r="HX149" s="74">
        <f t="shared" si="5178"/>
        <v>7800</v>
      </c>
      <c r="HY149" s="74">
        <f t="shared" si="5178"/>
        <v>0</v>
      </c>
      <c r="HZ149" s="74">
        <f t="shared" si="5178"/>
        <v>-2700</v>
      </c>
      <c r="IA149" s="74">
        <f t="shared" si="5178"/>
        <v>0</v>
      </c>
      <c r="IB149" s="74">
        <f t="shared" si="5178"/>
        <v>0</v>
      </c>
      <c r="IC149" s="74">
        <f t="shared" si="5178"/>
        <v>0</v>
      </c>
      <c r="ID149" s="74">
        <f t="shared" si="5178"/>
        <v>0</v>
      </c>
      <c r="IE149" s="792">
        <f t="shared" si="5178"/>
        <v>0</v>
      </c>
      <c r="IF149" s="841">
        <f t="shared" si="5178"/>
        <v>51022.979999999996</v>
      </c>
      <c r="IG149" s="263">
        <f t="shared" si="5178"/>
        <v>51022.979999999996</v>
      </c>
      <c r="IH149" s="842">
        <f t="shared" si="5178"/>
        <v>51022.979999999996</v>
      </c>
      <c r="II149" s="155">
        <f t="shared" si="5178"/>
        <v>1785.95</v>
      </c>
      <c r="IJ149" s="74">
        <f t="shared" si="5178"/>
        <v>1785.95</v>
      </c>
      <c r="IK149" s="74">
        <f t="shared" si="5178"/>
        <v>1785.95</v>
      </c>
      <c r="IL149" s="74">
        <f t="shared" si="5178"/>
        <v>1025.9899999999998</v>
      </c>
      <c r="IM149" s="74">
        <f t="shared" si="5178"/>
        <v>1025.9899999999998</v>
      </c>
      <c r="IN149" s="74">
        <f t="shared" si="5178"/>
        <v>1025.9899999999998</v>
      </c>
      <c r="IO149" s="74">
        <f t="shared" si="5178"/>
        <v>855.96000000000026</v>
      </c>
      <c r="IP149" s="74">
        <f t="shared" si="5178"/>
        <v>855.96000000000026</v>
      </c>
      <c r="IQ149" s="74">
        <f t="shared" si="5178"/>
        <v>855.96000000000026</v>
      </c>
      <c r="IR149" s="74">
        <f t="shared" si="5178"/>
        <v>1891.8999999999996</v>
      </c>
      <c r="IS149" s="74">
        <f t="shared" si="5178"/>
        <v>1891.8999999999996</v>
      </c>
      <c r="IT149" s="74">
        <f t="shared" si="5178"/>
        <v>1891.8999999999996</v>
      </c>
      <c r="IU149" s="74">
        <f t="shared" si="5178"/>
        <v>32679.289999999997</v>
      </c>
      <c r="IV149" s="74">
        <f t="shared" si="5178"/>
        <v>32679.289999999997</v>
      </c>
      <c r="IW149" s="74">
        <f t="shared" si="5178"/>
        <v>32679.289999999997</v>
      </c>
      <c r="IX149" s="74">
        <f t="shared" si="5178"/>
        <v>2335.7299999999977</v>
      </c>
      <c r="IY149" s="74">
        <f t="shared" si="5178"/>
        <v>2335.7299999999977</v>
      </c>
      <c r="IZ149" s="74">
        <f t="shared" si="5178"/>
        <v>2335.7299999999977</v>
      </c>
      <c r="JA149" s="74">
        <f t="shared" si="5178"/>
        <v>2258.6900000000014</v>
      </c>
      <c r="JB149" s="74">
        <f t="shared" si="5178"/>
        <v>2258.6900000000014</v>
      </c>
      <c r="JC149" s="74">
        <f t="shared" si="5178"/>
        <v>2258.6900000000014</v>
      </c>
      <c r="JD149" s="74">
        <f t="shared" si="5178"/>
        <v>6734.39</v>
      </c>
      <c r="JE149" s="74">
        <f t="shared" si="5178"/>
        <v>6734.39</v>
      </c>
      <c r="JF149" s="74">
        <f t="shared" si="5178"/>
        <v>6734.39</v>
      </c>
      <c r="JG149" s="74">
        <f t="shared" si="5178"/>
        <v>726.63000000000102</v>
      </c>
      <c r="JH149" s="74">
        <f t="shared" si="5178"/>
        <v>726.63000000000102</v>
      </c>
      <c r="JI149" s="74">
        <f t="shared" si="5178"/>
        <v>726.63000000000102</v>
      </c>
      <c r="JJ149" s="74">
        <f t="shared" si="5178"/>
        <v>728.44999999999891</v>
      </c>
      <c r="JK149" s="74">
        <f t="shared" si="5178"/>
        <v>728.44999999999891</v>
      </c>
      <c r="JL149" s="74">
        <f t="shared" si="5178"/>
        <v>728.44999999999891</v>
      </c>
      <c r="JM149" s="74">
        <f t="shared" si="5178"/>
        <v>0</v>
      </c>
      <c r="JN149" s="74">
        <f t="shared" ref="JN149:JT149" si="5182">SUM(JN150:JN153)</f>
        <v>0</v>
      </c>
      <c r="JO149" s="74">
        <f t="shared" si="5182"/>
        <v>0</v>
      </c>
      <c r="JP149" s="74">
        <f t="shared" si="5182"/>
        <v>0</v>
      </c>
      <c r="JQ149" s="74">
        <f t="shared" si="5182"/>
        <v>0</v>
      </c>
      <c r="JR149" s="74">
        <f t="shared" si="5182"/>
        <v>0</v>
      </c>
      <c r="JS149" s="74">
        <f t="shared" si="5182"/>
        <v>6377.0199999999995</v>
      </c>
      <c r="JT149" s="382">
        <f t="shared" si="5182"/>
        <v>6377.0199999999995</v>
      </c>
      <c r="JU149" s="671"/>
      <c r="JV149" s="492"/>
      <c r="JW149" s="490"/>
      <c r="JX149" s="549">
        <f>SUM(JX150:JX153)</f>
        <v>57400</v>
      </c>
      <c r="JY149" s="549">
        <f>SUM(JY150:JY153)</f>
        <v>0</v>
      </c>
      <c r="JZ149" s="581">
        <f t="shared" si="4944"/>
        <v>30000</v>
      </c>
      <c r="KA149" s="581">
        <f t="shared" si="4945"/>
        <v>-31600</v>
      </c>
      <c r="KB149" s="549">
        <f>SUM(KB150:KB153)</f>
        <v>57400</v>
      </c>
      <c r="KC149" s="709">
        <f t="shared" si="4908"/>
        <v>0</v>
      </c>
      <c r="KD149" s="36"/>
      <c r="KE149" s="36"/>
      <c r="KF149" s="36"/>
      <c r="KG149" s="36"/>
      <c r="KH149" s="36"/>
      <c r="KI149" s="36"/>
      <c r="KJ149" s="36"/>
      <c r="KK149" s="36"/>
    </row>
    <row r="150" spans="1:297" s="8" customFormat="1" ht="12.75" hidden="1" customHeight="1">
      <c r="A150" s="75">
        <v>261</v>
      </c>
      <c r="B150" s="72" t="s">
        <v>177</v>
      </c>
      <c r="C150" s="74">
        <f t="shared" ref="C150" si="5183">SUM(+C483)</f>
        <v>0</v>
      </c>
      <c r="D150" s="549">
        <f t="shared" ref="D150:E150" si="5184">SUM(+D483)</f>
        <v>0</v>
      </c>
      <c r="E150" s="675">
        <f t="shared" si="5184"/>
        <v>0</v>
      </c>
      <c r="F150" s="549">
        <f t="shared" ref="F150:G150" si="5185">SUM(+F483)</f>
        <v>0</v>
      </c>
      <c r="G150" s="675">
        <f t="shared" si="5185"/>
        <v>0</v>
      </c>
      <c r="H150" s="549">
        <f t="shared" ref="H150:I150" si="5186">SUM(+H483)</f>
        <v>0</v>
      </c>
      <c r="I150" s="675">
        <f t="shared" si="5186"/>
        <v>0</v>
      </c>
      <c r="J150" s="549">
        <f t="shared" ref="J150:K150" si="5187">SUM(+J483)</f>
        <v>0</v>
      </c>
      <c r="K150" s="675">
        <f t="shared" si="5187"/>
        <v>0</v>
      </c>
      <c r="L150" s="549">
        <f t="shared" ref="L150:M150" si="5188">SUM(+L483)</f>
        <v>0</v>
      </c>
      <c r="M150" s="675">
        <f t="shared" si="5188"/>
        <v>0</v>
      </c>
      <c r="N150" s="549">
        <f t="shared" ref="N150:O150" si="5189">SUM(+N483)</f>
        <v>0</v>
      </c>
      <c r="O150" s="675">
        <f t="shared" si="5189"/>
        <v>0</v>
      </c>
      <c r="P150" s="549">
        <f t="shared" ref="P150:Q150" si="5190">SUM(+P483)</f>
        <v>0</v>
      </c>
      <c r="Q150" s="675">
        <f t="shared" si="5190"/>
        <v>0</v>
      </c>
      <c r="R150" s="549">
        <f t="shared" ref="R150:S150" si="5191">SUM(+R483)</f>
        <v>0</v>
      </c>
      <c r="S150" s="675">
        <f t="shared" si="5191"/>
        <v>0</v>
      </c>
      <c r="T150" s="549">
        <f t="shared" ref="T150:U150" si="5192">SUM(+T483)</f>
        <v>0</v>
      </c>
      <c r="U150" s="675">
        <f t="shared" si="5192"/>
        <v>0</v>
      </c>
      <c r="V150" s="549">
        <f t="shared" ref="V150:W150" si="5193">SUM(+V483)</f>
        <v>0</v>
      </c>
      <c r="W150" s="675">
        <f t="shared" si="5193"/>
        <v>0</v>
      </c>
      <c r="X150" s="549">
        <f t="shared" ref="X150:Y150" si="5194">SUM(+X483)</f>
        <v>0</v>
      </c>
      <c r="Y150" s="675">
        <f t="shared" si="5194"/>
        <v>0</v>
      </c>
      <c r="Z150" s="549">
        <f t="shared" ref="Z150:AA150" si="5195">SUM(+Z483)</f>
        <v>0</v>
      </c>
      <c r="AA150" s="675">
        <f t="shared" si="5195"/>
        <v>0</v>
      </c>
      <c r="AB150" s="549">
        <f t="shared" ref="AB150:AC150" si="5196">SUM(+AB483)</f>
        <v>0</v>
      </c>
      <c r="AC150" s="675">
        <f t="shared" si="5196"/>
        <v>0</v>
      </c>
      <c r="AD150" s="549">
        <f t="shared" ref="AD150:AE150" si="5197">SUM(+AD483)</f>
        <v>0</v>
      </c>
      <c r="AE150" s="675">
        <f t="shared" si="5197"/>
        <v>0</v>
      </c>
      <c r="AF150" s="549">
        <f t="shared" ref="AF150:AI150" si="5198">SUM(+AF483)</f>
        <v>0</v>
      </c>
      <c r="AG150" s="675">
        <f t="shared" si="5198"/>
        <v>0</v>
      </c>
      <c r="AH150" s="549">
        <f t="shared" si="5198"/>
        <v>0</v>
      </c>
      <c r="AI150" s="675">
        <f t="shared" si="5198"/>
        <v>0</v>
      </c>
      <c r="AJ150" s="549">
        <f t="shared" ref="AJ150:AK150" si="5199">SUM(+AJ483)</f>
        <v>0</v>
      </c>
      <c r="AK150" s="675">
        <f t="shared" si="5199"/>
        <v>0</v>
      </c>
      <c r="AL150" s="549">
        <f t="shared" ref="AL150:AM150" si="5200">SUM(+AL483)</f>
        <v>0</v>
      </c>
      <c r="AM150" s="675">
        <f t="shared" si="5200"/>
        <v>0</v>
      </c>
      <c r="AN150" s="549">
        <f t="shared" ref="AN150:AO150" si="5201">SUM(+AN483)</f>
        <v>0</v>
      </c>
      <c r="AO150" s="675">
        <f t="shared" si="5201"/>
        <v>0</v>
      </c>
      <c r="AP150" s="549">
        <f t="shared" ref="AP150:AQ150" si="5202">SUM(+AP483)</f>
        <v>0</v>
      </c>
      <c r="AQ150" s="675">
        <f t="shared" si="5202"/>
        <v>0</v>
      </c>
      <c r="AR150" s="549">
        <f t="shared" ref="AR150:AS150" si="5203">SUM(+AR483)</f>
        <v>0</v>
      </c>
      <c r="AS150" s="675">
        <f t="shared" si="5203"/>
        <v>0</v>
      </c>
      <c r="AT150" s="549">
        <f t="shared" ref="AT150:AU150" si="5204">SUM(+AT483)</f>
        <v>0</v>
      </c>
      <c r="AU150" s="675">
        <f t="shared" si="5204"/>
        <v>0</v>
      </c>
      <c r="AV150" s="549">
        <f t="shared" ref="AV150:AW150" si="5205">SUM(+AV483)</f>
        <v>0</v>
      </c>
      <c r="AW150" s="675">
        <f t="shared" si="5205"/>
        <v>0</v>
      </c>
      <c r="AX150" s="549">
        <f t="shared" ref="AX150:AY150" si="5206">SUM(+AX483)</f>
        <v>0</v>
      </c>
      <c r="AY150" s="675">
        <f t="shared" si="5206"/>
        <v>0</v>
      </c>
      <c r="AZ150" s="549">
        <f t="shared" ref="AZ150:BA150" si="5207">SUM(+AZ483)</f>
        <v>0</v>
      </c>
      <c r="BA150" s="675">
        <f t="shared" si="5207"/>
        <v>0</v>
      </c>
      <c r="BB150" s="549">
        <f t="shared" ref="BB150:BC150" si="5208">SUM(+BB483)</f>
        <v>0</v>
      </c>
      <c r="BC150" s="675">
        <f t="shared" si="5208"/>
        <v>0</v>
      </c>
      <c r="BD150" s="549">
        <f t="shared" ref="BD150:BE150" si="5209">SUM(+BD483)</f>
        <v>0</v>
      </c>
      <c r="BE150" s="675">
        <f t="shared" si="5209"/>
        <v>0</v>
      </c>
      <c r="BF150" s="549">
        <f t="shared" ref="BF150:BG150" si="5210">SUM(+BF483)</f>
        <v>0</v>
      </c>
      <c r="BG150" s="675">
        <f t="shared" si="5210"/>
        <v>0</v>
      </c>
      <c r="BH150" s="549">
        <f t="shared" ref="BH150:BI150" si="5211">SUM(+BH483)</f>
        <v>0</v>
      </c>
      <c r="BI150" s="675">
        <f t="shared" si="5211"/>
        <v>0</v>
      </c>
      <c r="BJ150" s="549">
        <f t="shared" ref="BJ150:BK150" si="5212">SUM(+BJ483)</f>
        <v>0</v>
      </c>
      <c r="BK150" s="675">
        <f t="shared" si="5212"/>
        <v>0</v>
      </c>
      <c r="BL150" s="549">
        <f t="shared" ref="BL150:BS150" si="5213">SUM(+BL483)</f>
        <v>0</v>
      </c>
      <c r="BM150" s="675">
        <f t="shared" si="5213"/>
        <v>0</v>
      </c>
      <c r="BN150" s="549">
        <f t="shared" si="5213"/>
        <v>0</v>
      </c>
      <c r="BO150" s="675">
        <f t="shared" si="5213"/>
        <v>0</v>
      </c>
      <c r="BP150" s="549">
        <f t="shared" si="5213"/>
        <v>0</v>
      </c>
      <c r="BQ150" s="675">
        <f t="shared" si="5213"/>
        <v>0</v>
      </c>
      <c r="BR150" s="549">
        <f t="shared" si="5213"/>
        <v>0</v>
      </c>
      <c r="BS150" s="675">
        <f t="shared" si="5213"/>
        <v>0</v>
      </c>
      <c r="BT150" s="549">
        <f t="shared" ref="BT150:BU150" si="5214">SUM(+BT483)</f>
        <v>0</v>
      </c>
      <c r="BU150" s="675">
        <f t="shared" si="5214"/>
        <v>0</v>
      </c>
      <c r="BV150" s="549">
        <f t="shared" ref="BV150:BW150" si="5215">SUM(+BV483)</f>
        <v>0</v>
      </c>
      <c r="BW150" s="675">
        <f t="shared" si="5215"/>
        <v>0</v>
      </c>
      <c r="BX150" s="549">
        <f t="shared" ref="BX150:BY150" si="5216">SUM(+BX483)</f>
        <v>0</v>
      </c>
      <c r="BY150" s="675">
        <f t="shared" si="5216"/>
        <v>0</v>
      </c>
      <c r="BZ150" s="549">
        <f t="shared" ref="BZ150:CA150" si="5217">SUM(+BZ483)</f>
        <v>0</v>
      </c>
      <c r="CA150" s="675">
        <f t="shared" si="5217"/>
        <v>0</v>
      </c>
      <c r="CB150" s="549">
        <f t="shared" ref="CB150:CE150" si="5218">SUM(+CB483)</f>
        <v>0</v>
      </c>
      <c r="CC150" s="675">
        <f t="shared" si="5218"/>
        <v>0</v>
      </c>
      <c r="CD150" s="549">
        <f t="shared" si="5218"/>
        <v>0</v>
      </c>
      <c r="CE150" s="675">
        <f t="shared" si="5218"/>
        <v>0</v>
      </c>
      <c r="CF150" s="549">
        <f t="shared" ref="CF150:CG150" si="5219">SUM(+CF483)</f>
        <v>0</v>
      </c>
      <c r="CG150" s="675">
        <f t="shared" si="5219"/>
        <v>0</v>
      </c>
      <c r="CH150" s="549">
        <f t="shared" ref="CH150:CQ150" si="5220">SUM(+CH483)</f>
        <v>0</v>
      </c>
      <c r="CI150" s="675">
        <f t="shared" si="5220"/>
        <v>0</v>
      </c>
      <c r="CJ150" s="549">
        <f t="shared" si="5220"/>
        <v>0</v>
      </c>
      <c r="CK150" s="675">
        <f t="shared" si="5220"/>
        <v>0</v>
      </c>
      <c r="CL150" s="549">
        <f t="shared" si="5220"/>
        <v>0</v>
      </c>
      <c r="CM150" s="675">
        <f t="shared" si="5220"/>
        <v>0</v>
      </c>
      <c r="CN150" s="549">
        <f t="shared" si="5220"/>
        <v>0</v>
      </c>
      <c r="CO150" s="675">
        <f t="shared" si="5220"/>
        <v>0</v>
      </c>
      <c r="CP150" s="549">
        <f t="shared" si="5220"/>
        <v>0</v>
      </c>
      <c r="CQ150" s="675">
        <f t="shared" si="5220"/>
        <v>0</v>
      </c>
      <c r="CR150" s="549">
        <f t="shared" ref="CR150:CY150" si="5221">SUM(+CR483)</f>
        <v>0</v>
      </c>
      <c r="CS150" s="675">
        <f t="shared" si="5221"/>
        <v>0</v>
      </c>
      <c r="CT150" s="549">
        <f t="shared" si="5221"/>
        <v>0</v>
      </c>
      <c r="CU150" s="675">
        <f t="shared" si="5221"/>
        <v>0</v>
      </c>
      <c r="CV150" s="549">
        <f t="shared" si="5221"/>
        <v>0</v>
      </c>
      <c r="CW150" s="675">
        <f t="shared" si="5221"/>
        <v>0</v>
      </c>
      <c r="CX150" s="549">
        <f t="shared" si="5221"/>
        <v>0</v>
      </c>
      <c r="CY150" s="675">
        <f t="shared" si="5221"/>
        <v>0</v>
      </c>
      <c r="CZ150" s="549">
        <f t="shared" ref="CZ150:DI150" si="5222">SUM(+CZ483)</f>
        <v>0</v>
      </c>
      <c r="DA150" s="675">
        <f t="shared" si="5222"/>
        <v>0</v>
      </c>
      <c r="DB150" s="549">
        <f t="shared" si="5222"/>
        <v>0</v>
      </c>
      <c r="DC150" s="675">
        <f t="shared" si="5222"/>
        <v>0</v>
      </c>
      <c r="DD150" s="549">
        <f t="shared" si="5222"/>
        <v>0</v>
      </c>
      <c r="DE150" s="675">
        <f t="shared" si="5222"/>
        <v>0</v>
      </c>
      <c r="DF150" s="549">
        <f t="shared" si="5222"/>
        <v>0</v>
      </c>
      <c r="DG150" s="675">
        <f t="shared" si="5222"/>
        <v>0</v>
      </c>
      <c r="DH150" s="549">
        <f t="shared" si="5222"/>
        <v>0</v>
      </c>
      <c r="DI150" s="675">
        <f t="shared" si="5222"/>
        <v>0</v>
      </c>
      <c r="DJ150" s="549">
        <f t="shared" ref="DJ150:DK150" si="5223">SUM(+DJ483)</f>
        <v>0</v>
      </c>
      <c r="DK150" s="675">
        <f t="shared" si="5223"/>
        <v>0</v>
      </c>
      <c r="DL150" s="549">
        <f t="shared" ref="DL150:DM150" si="5224">SUM(+DL483)</f>
        <v>0</v>
      </c>
      <c r="DM150" s="675">
        <f t="shared" si="5224"/>
        <v>0</v>
      </c>
      <c r="DN150" s="549">
        <f t="shared" ref="DN150:DW150" si="5225">SUM(+DN483)</f>
        <v>0</v>
      </c>
      <c r="DO150" s="675">
        <f t="shared" si="5225"/>
        <v>0</v>
      </c>
      <c r="DP150" s="549">
        <f t="shared" si="5225"/>
        <v>0</v>
      </c>
      <c r="DQ150" s="675">
        <f t="shared" si="5225"/>
        <v>0</v>
      </c>
      <c r="DR150" s="549">
        <f t="shared" si="5225"/>
        <v>0</v>
      </c>
      <c r="DS150" s="675">
        <f t="shared" si="5225"/>
        <v>0</v>
      </c>
      <c r="DT150" s="549">
        <f t="shared" si="5225"/>
        <v>0</v>
      </c>
      <c r="DU150" s="675">
        <f t="shared" si="5225"/>
        <v>0</v>
      </c>
      <c r="DV150" s="549">
        <f t="shared" si="5225"/>
        <v>0</v>
      </c>
      <c r="DW150" s="675">
        <f t="shared" si="5225"/>
        <v>0</v>
      </c>
      <c r="DX150" s="549">
        <f t="shared" ref="DX150:EG150" si="5226">SUM(+DX483)</f>
        <v>0</v>
      </c>
      <c r="DY150" s="675">
        <f t="shared" si="5226"/>
        <v>0</v>
      </c>
      <c r="DZ150" s="549">
        <f t="shared" si="5226"/>
        <v>0</v>
      </c>
      <c r="EA150" s="675">
        <f t="shared" si="5226"/>
        <v>0</v>
      </c>
      <c r="EB150" s="549">
        <f t="shared" si="5226"/>
        <v>0</v>
      </c>
      <c r="EC150" s="675">
        <f t="shared" si="5226"/>
        <v>0</v>
      </c>
      <c r="ED150" s="549">
        <f t="shared" si="5226"/>
        <v>0</v>
      </c>
      <c r="EE150" s="675">
        <f t="shared" si="5226"/>
        <v>0</v>
      </c>
      <c r="EF150" s="549">
        <f t="shared" si="5226"/>
        <v>0</v>
      </c>
      <c r="EG150" s="675">
        <f t="shared" si="5226"/>
        <v>0</v>
      </c>
      <c r="EH150" s="549">
        <f t="shared" ref="EH150:EM150" si="5227">SUM(+EH483)</f>
        <v>0</v>
      </c>
      <c r="EI150" s="675">
        <f t="shared" si="5227"/>
        <v>0</v>
      </c>
      <c r="EJ150" s="549">
        <f t="shared" si="5227"/>
        <v>0</v>
      </c>
      <c r="EK150" s="675">
        <f t="shared" si="5227"/>
        <v>0</v>
      </c>
      <c r="EL150" s="549">
        <f t="shared" si="5227"/>
        <v>0</v>
      </c>
      <c r="EM150" s="675">
        <f t="shared" si="5227"/>
        <v>0</v>
      </c>
      <c r="EN150" s="549">
        <f t="shared" ref="EN150:EO150" si="5228">SUM(+EN483)</f>
        <v>0</v>
      </c>
      <c r="EO150" s="675">
        <f t="shared" si="5228"/>
        <v>0</v>
      </c>
      <c r="EP150" s="549">
        <f t="shared" ref="EP150:FA150" si="5229">SUM(+EP483)</f>
        <v>0</v>
      </c>
      <c r="EQ150" s="675">
        <f t="shared" si="5229"/>
        <v>0</v>
      </c>
      <c r="ER150" s="549">
        <f t="shared" si="5229"/>
        <v>0</v>
      </c>
      <c r="ES150" s="675">
        <f t="shared" si="5229"/>
        <v>0</v>
      </c>
      <c r="ET150" s="549">
        <f t="shared" si="5229"/>
        <v>0</v>
      </c>
      <c r="EU150" s="675">
        <f t="shared" si="5229"/>
        <v>0</v>
      </c>
      <c r="EV150" s="549">
        <f t="shared" ref="EV150:EW150" si="5230">SUM(+EV483)</f>
        <v>0</v>
      </c>
      <c r="EW150" s="675">
        <f t="shared" si="5230"/>
        <v>0</v>
      </c>
      <c r="EX150" s="549">
        <f t="shared" si="5229"/>
        <v>0</v>
      </c>
      <c r="EY150" s="675">
        <f t="shared" si="5229"/>
        <v>0</v>
      </c>
      <c r="EZ150" s="549">
        <f t="shared" si="5229"/>
        <v>0</v>
      </c>
      <c r="FA150" s="675">
        <f t="shared" si="5229"/>
        <v>0</v>
      </c>
      <c r="FB150" s="549">
        <f t="shared" ref="FB150:FC150" si="5231">SUM(+FB483)</f>
        <v>0</v>
      </c>
      <c r="FC150" s="675">
        <f t="shared" si="5231"/>
        <v>0</v>
      </c>
      <c r="FD150" s="549">
        <f t="shared" ref="FD150:FE150" si="5232">SUM(+FD483)</f>
        <v>0</v>
      </c>
      <c r="FE150" s="675">
        <f t="shared" si="5232"/>
        <v>0</v>
      </c>
      <c r="FF150" s="549">
        <f t="shared" ref="FF150:FG150" si="5233">SUM(+FF483)</f>
        <v>0</v>
      </c>
      <c r="FG150" s="675">
        <f t="shared" si="5233"/>
        <v>0</v>
      </c>
      <c r="FH150" s="549">
        <f t="shared" ref="FH150:FI150" si="5234">SUM(+FH483)</f>
        <v>0</v>
      </c>
      <c r="FI150" s="675">
        <f t="shared" si="5234"/>
        <v>0</v>
      </c>
      <c r="FJ150" s="549">
        <f t="shared" ref="FJ150:FK150" si="5235">SUM(+FJ483)</f>
        <v>0</v>
      </c>
      <c r="FK150" s="675">
        <f t="shared" si="5235"/>
        <v>0</v>
      </c>
      <c r="FL150" s="549">
        <f t="shared" ref="FL150:FM150" si="5236">SUM(+FL483)</f>
        <v>0</v>
      </c>
      <c r="FM150" s="675">
        <f t="shared" si="5236"/>
        <v>0</v>
      </c>
      <c r="FN150" s="549">
        <f t="shared" ref="FN150:FO150" si="5237">SUM(+FN483)</f>
        <v>0</v>
      </c>
      <c r="FO150" s="675">
        <f t="shared" si="5237"/>
        <v>0</v>
      </c>
      <c r="FP150" s="549">
        <f t="shared" ref="FP150:FQ150" si="5238">SUM(+FP483)</f>
        <v>0</v>
      </c>
      <c r="FQ150" s="675">
        <f t="shared" si="5238"/>
        <v>0</v>
      </c>
      <c r="FR150" s="549">
        <f t="shared" ref="FR150:FS150" si="5239">SUM(+FR483)</f>
        <v>0</v>
      </c>
      <c r="FS150" s="675">
        <f t="shared" si="5239"/>
        <v>0</v>
      </c>
      <c r="FT150" s="549">
        <f t="shared" ref="FT150:FU150" si="5240">SUM(+FT483)</f>
        <v>0</v>
      </c>
      <c r="FU150" s="675">
        <f t="shared" si="5240"/>
        <v>0</v>
      </c>
      <c r="FV150" s="549">
        <f t="shared" ref="FV150:GK150" si="5241">SUM(+FV483)</f>
        <v>0</v>
      </c>
      <c r="FW150" s="675">
        <f t="shared" si="5241"/>
        <v>0</v>
      </c>
      <c r="FX150" s="549">
        <f t="shared" si="5241"/>
        <v>0</v>
      </c>
      <c r="FY150" s="675">
        <f t="shared" si="5241"/>
        <v>0</v>
      </c>
      <c r="FZ150" s="549">
        <f t="shared" ref="FZ150:GI150" si="5242">SUM(+FZ483)</f>
        <v>0</v>
      </c>
      <c r="GA150" s="675">
        <f t="shared" si="5242"/>
        <v>0</v>
      </c>
      <c r="GB150" s="549">
        <f t="shared" si="5242"/>
        <v>0</v>
      </c>
      <c r="GC150" s="675">
        <f t="shared" si="5242"/>
        <v>0</v>
      </c>
      <c r="GD150" s="549">
        <f t="shared" si="5242"/>
        <v>0</v>
      </c>
      <c r="GE150" s="675">
        <f t="shared" si="5242"/>
        <v>0</v>
      </c>
      <c r="GF150" s="549">
        <f t="shared" si="5242"/>
        <v>0</v>
      </c>
      <c r="GG150" s="675">
        <f t="shared" si="5242"/>
        <v>0</v>
      </c>
      <c r="GH150" s="549">
        <f t="shared" si="5242"/>
        <v>0</v>
      </c>
      <c r="GI150" s="675">
        <f t="shared" si="5242"/>
        <v>0</v>
      </c>
      <c r="GJ150" s="549">
        <f t="shared" si="5241"/>
        <v>0</v>
      </c>
      <c r="GK150" s="675">
        <f t="shared" si="5241"/>
        <v>0</v>
      </c>
      <c r="GL150" s="549">
        <f t="shared" ref="GL150:GQ150" si="5243">SUM(+GL483)</f>
        <v>0</v>
      </c>
      <c r="GM150" s="675">
        <f t="shared" si="5243"/>
        <v>0</v>
      </c>
      <c r="GN150" s="549">
        <f t="shared" ref="GN150:GO150" si="5244">SUM(+GN483)</f>
        <v>0</v>
      </c>
      <c r="GO150" s="675">
        <f t="shared" si="5244"/>
        <v>0</v>
      </c>
      <c r="GP150" s="74">
        <f t="shared" si="5243"/>
        <v>0</v>
      </c>
      <c r="GQ150" s="675">
        <f t="shared" si="5243"/>
        <v>0</v>
      </c>
      <c r="GR150" s="74">
        <f t="shared" ref="GR150:HK150" si="5245">SUM(+GR483)</f>
        <v>0</v>
      </c>
      <c r="GS150" s="74">
        <f t="shared" si="5245"/>
        <v>0</v>
      </c>
      <c r="GT150" s="74">
        <f t="shared" si="5245"/>
        <v>0</v>
      </c>
      <c r="GU150" s="74">
        <f t="shared" si="5245"/>
        <v>0</v>
      </c>
      <c r="GV150" s="74">
        <f t="shared" si="5245"/>
        <v>0</v>
      </c>
      <c r="GW150" s="74">
        <f t="shared" si="5245"/>
        <v>0</v>
      </c>
      <c r="GX150" s="74">
        <f t="shared" si="5245"/>
        <v>0</v>
      </c>
      <c r="GY150" s="74">
        <f t="shared" si="5245"/>
        <v>0</v>
      </c>
      <c r="GZ150" s="74">
        <f t="shared" si="5245"/>
        <v>0</v>
      </c>
      <c r="HA150" s="74">
        <f t="shared" si="5245"/>
        <v>0</v>
      </c>
      <c r="HB150" s="74">
        <f t="shared" si="5245"/>
        <v>0</v>
      </c>
      <c r="HC150" s="74">
        <f t="shared" si="5245"/>
        <v>0</v>
      </c>
      <c r="HD150" s="74">
        <f t="shared" si="5245"/>
        <v>0</v>
      </c>
      <c r="HE150" s="74">
        <f t="shared" si="5245"/>
        <v>0</v>
      </c>
      <c r="HF150" s="74">
        <f t="shared" si="5245"/>
        <v>0</v>
      </c>
      <c r="HG150" s="74">
        <f t="shared" si="5245"/>
        <v>0</v>
      </c>
      <c r="HH150" s="74">
        <f t="shared" si="5245"/>
        <v>0</v>
      </c>
      <c r="HI150" s="74">
        <f t="shared" si="5245"/>
        <v>0</v>
      </c>
      <c r="HJ150" s="74">
        <f t="shared" si="5245"/>
        <v>0</v>
      </c>
      <c r="HK150" s="74">
        <f t="shared" si="5245"/>
        <v>0</v>
      </c>
      <c r="HL150" s="74">
        <f t="shared" ref="HL150:JT150" si="5246">SUM(+HL483)</f>
        <v>0</v>
      </c>
      <c r="HM150" s="74">
        <f t="shared" si="5246"/>
        <v>0</v>
      </c>
      <c r="HN150" s="74">
        <f t="shared" si="5246"/>
        <v>0</v>
      </c>
      <c r="HO150" s="74">
        <f t="shared" si="5246"/>
        <v>0</v>
      </c>
      <c r="HP150" s="74">
        <f t="shared" si="5246"/>
        <v>0</v>
      </c>
      <c r="HQ150" s="74">
        <f t="shared" si="5246"/>
        <v>0</v>
      </c>
      <c r="HR150" s="74">
        <f t="shared" si="5246"/>
        <v>0</v>
      </c>
      <c r="HS150" s="74">
        <f t="shared" si="5246"/>
        <v>0</v>
      </c>
      <c r="HT150" s="74">
        <f t="shared" si="5246"/>
        <v>0</v>
      </c>
      <c r="HU150" s="74">
        <f t="shared" si="5246"/>
        <v>0</v>
      </c>
      <c r="HV150" s="74">
        <f t="shared" si="5246"/>
        <v>0</v>
      </c>
      <c r="HW150" s="74">
        <f t="shared" si="5246"/>
        <v>0</v>
      </c>
      <c r="HX150" s="74">
        <f t="shared" si="5246"/>
        <v>0</v>
      </c>
      <c r="HY150" s="74">
        <f t="shared" si="5246"/>
        <v>0</v>
      </c>
      <c r="HZ150" s="74">
        <f t="shared" si="5246"/>
        <v>0</v>
      </c>
      <c r="IA150" s="74">
        <f t="shared" si="5246"/>
        <v>0</v>
      </c>
      <c r="IB150" s="74">
        <f t="shared" si="5246"/>
        <v>0</v>
      </c>
      <c r="IC150" s="74">
        <f t="shared" si="5246"/>
        <v>0</v>
      </c>
      <c r="ID150" s="74">
        <f t="shared" si="5246"/>
        <v>0</v>
      </c>
      <c r="IE150" s="792">
        <f t="shared" si="5246"/>
        <v>0</v>
      </c>
      <c r="IF150" s="841">
        <f t="shared" si="5246"/>
        <v>0</v>
      </c>
      <c r="IG150" s="263">
        <f t="shared" si="5246"/>
        <v>0</v>
      </c>
      <c r="IH150" s="842">
        <f t="shared" si="5246"/>
        <v>0</v>
      </c>
      <c r="II150" s="155">
        <f t="shared" si="5246"/>
        <v>0</v>
      </c>
      <c r="IJ150" s="74">
        <f t="shared" si="5246"/>
        <v>0</v>
      </c>
      <c r="IK150" s="74">
        <f t="shared" si="5246"/>
        <v>0</v>
      </c>
      <c r="IL150" s="74">
        <f t="shared" si="5246"/>
        <v>0</v>
      </c>
      <c r="IM150" s="74">
        <f t="shared" si="5246"/>
        <v>0</v>
      </c>
      <c r="IN150" s="74">
        <f t="shared" si="5246"/>
        <v>0</v>
      </c>
      <c r="IO150" s="74">
        <f t="shared" si="5246"/>
        <v>0</v>
      </c>
      <c r="IP150" s="74">
        <f t="shared" si="5246"/>
        <v>0</v>
      </c>
      <c r="IQ150" s="74">
        <f t="shared" si="5246"/>
        <v>0</v>
      </c>
      <c r="IR150" s="74">
        <f t="shared" si="5246"/>
        <v>0</v>
      </c>
      <c r="IS150" s="74">
        <f t="shared" si="5246"/>
        <v>0</v>
      </c>
      <c r="IT150" s="74">
        <f t="shared" si="5246"/>
        <v>0</v>
      </c>
      <c r="IU150" s="74">
        <f t="shared" si="5246"/>
        <v>0</v>
      </c>
      <c r="IV150" s="74">
        <f t="shared" si="5246"/>
        <v>0</v>
      </c>
      <c r="IW150" s="74">
        <f t="shared" si="5246"/>
        <v>0</v>
      </c>
      <c r="IX150" s="74">
        <f t="shared" si="5246"/>
        <v>0</v>
      </c>
      <c r="IY150" s="74">
        <f t="shared" si="5246"/>
        <v>0</v>
      </c>
      <c r="IZ150" s="74">
        <f t="shared" si="5246"/>
        <v>0</v>
      </c>
      <c r="JA150" s="74">
        <f t="shared" si="5246"/>
        <v>0</v>
      </c>
      <c r="JB150" s="74">
        <f t="shared" si="5246"/>
        <v>0</v>
      </c>
      <c r="JC150" s="74">
        <f t="shared" si="5246"/>
        <v>0</v>
      </c>
      <c r="JD150" s="74">
        <f t="shared" si="5246"/>
        <v>0</v>
      </c>
      <c r="JE150" s="74">
        <f t="shared" si="5246"/>
        <v>0</v>
      </c>
      <c r="JF150" s="74">
        <f t="shared" si="5246"/>
        <v>0</v>
      </c>
      <c r="JG150" s="74">
        <f t="shared" si="5246"/>
        <v>0</v>
      </c>
      <c r="JH150" s="74">
        <f t="shared" si="5246"/>
        <v>0</v>
      </c>
      <c r="JI150" s="74">
        <f t="shared" si="5246"/>
        <v>0</v>
      </c>
      <c r="JJ150" s="74">
        <f t="shared" si="5246"/>
        <v>0</v>
      </c>
      <c r="JK150" s="74">
        <f t="shared" si="5246"/>
        <v>0</v>
      </c>
      <c r="JL150" s="74">
        <f t="shared" si="5246"/>
        <v>0</v>
      </c>
      <c r="JM150" s="74">
        <f t="shared" si="5246"/>
        <v>0</v>
      </c>
      <c r="JN150" s="74">
        <f t="shared" si="5246"/>
        <v>0</v>
      </c>
      <c r="JO150" s="74">
        <f t="shared" si="5246"/>
        <v>0</v>
      </c>
      <c r="JP150" s="74">
        <f t="shared" si="5246"/>
        <v>0</v>
      </c>
      <c r="JQ150" s="74">
        <f t="shared" si="5246"/>
        <v>0</v>
      </c>
      <c r="JR150" s="74">
        <f t="shared" si="5246"/>
        <v>0</v>
      </c>
      <c r="JS150" s="74">
        <f t="shared" si="5246"/>
        <v>0</v>
      </c>
      <c r="JT150" s="102">
        <f t="shared" si="5246"/>
        <v>0</v>
      </c>
      <c r="JU150" s="671"/>
      <c r="JV150" s="492"/>
      <c r="JW150" s="490"/>
      <c r="JX150" s="549">
        <f>SUM(+JX483)</f>
        <v>0</v>
      </c>
      <c r="JY150" s="549">
        <f>SUM(+JY483)</f>
        <v>0</v>
      </c>
      <c r="JZ150" s="581">
        <f t="shared" si="4944"/>
        <v>0</v>
      </c>
      <c r="KA150" s="581">
        <f t="shared" si="4945"/>
        <v>0</v>
      </c>
      <c r="KB150" s="549">
        <f>SUM(+KB483)</f>
        <v>0</v>
      </c>
      <c r="KC150" s="709">
        <f t="shared" si="4908"/>
        <v>0</v>
      </c>
      <c r="KD150" s="36"/>
      <c r="KE150" s="36"/>
      <c r="KF150" s="36"/>
      <c r="KG150" s="36"/>
      <c r="KH150" s="36"/>
      <c r="KI150" s="36"/>
      <c r="KJ150" s="36"/>
      <c r="KK150" s="36"/>
    </row>
    <row r="151" spans="1:297" s="8" customFormat="1">
      <c r="A151" s="75" t="s">
        <v>178</v>
      </c>
      <c r="B151" s="72" t="s">
        <v>179</v>
      </c>
      <c r="C151" s="74">
        <f t="shared" ref="C151:AS151" si="5247">SUM(C484,)</f>
        <v>10000</v>
      </c>
      <c r="D151" s="549">
        <f t="shared" si="5247"/>
        <v>0</v>
      </c>
      <c r="E151" s="675">
        <f t="shared" si="5247"/>
        <v>0</v>
      </c>
      <c r="F151" s="549">
        <f t="shared" si="5247"/>
        <v>0</v>
      </c>
      <c r="G151" s="675">
        <f t="shared" si="5247"/>
        <v>0</v>
      </c>
      <c r="H151" s="549">
        <f t="shared" si="5247"/>
        <v>0</v>
      </c>
      <c r="I151" s="675">
        <f t="shared" si="5247"/>
        <v>0</v>
      </c>
      <c r="J151" s="549">
        <f t="shared" si="5247"/>
        <v>0</v>
      </c>
      <c r="K151" s="675">
        <f t="shared" si="5247"/>
        <v>0</v>
      </c>
      <c r="L151" s="549">
        <f t="shared" si="5247"/>
        <v>0</v>
      </c>
      <c r="M151" s="675">
        <f t="shared" si="5247"/>
        <v>0</v>
      </c>
      <c r="N151" s="549">
        <f t="shared" si="5247"/>
        <v>0</v>
      </c>
      <c r="O151" s="675">
        <f t="shared" si="5247"/>
        <v>0</v>
      </c>
      <c r="P151" s="549">
        <f t="shared" si="5247"/>
        <v>0</v>
      </c>
      <c r="Q151" s="675">
        <f t="shared" si="5247"/>
        <v>0</v>
      </c>
      <c r="R151" s="549">
        <f t="shared" si="5247"/>
        <v>0</v>
      </c>
      <c r="S151" s="675">
        <f t="shared" si="5247"/>
        <v>0</v>
      </c>
      <c r="T151" s="549">
        <f t="shared" si="5247"/>
        <v>0</v>
      </c>
      <c r="U151" s="675">
        <f t="shared" si="5247"/>
        <v>0</v>
      </c>
      <c r="V151" s="549">
        <f t="shared" si="5247"/>
        <v>0</v>
      </c>
      <c r="W151" s="675">
        <f t="shared" si="5247"/>
        <v>-2000</v>
      </c>
      <c r="X151" s="549">
        <f t="shared" si="5247"/>
        <v>0</v>
      </c>
      <c r="Y151" s="675">
        <f t="shared" si="5247"/>
        <v>0</v>
      </c>
      <c r="Z151" s="549">
        <f t="shared" si="5247"/>
        <v>0</v>
      </c>
      <c r="AA151" s="675">
        <f t="shared" si="5247"/>
        <v>0</v>
      </c>
      <c r="AB151" s="549">
        <f t="shared" si="5247"/>
        <v>0</v>
      </c>
      <c r="AC151" s="675">
        <f t="shared" si="5247"/>
        <v>0</v>
      </c>
      <c r="AD151" s="549">
        <f t="shared" si="5247"/>
        <v>0</v>
      </c>
      <c r="AE151" s="675">
        <f t="shared" si="5247"/>
        <v>0</v>
      </c>
      <c r="AF151" s="549">
        <f t="shared" si="5247"/>
        <v>0</v>
      </c>
      <c r="AG151" s="675">
        <f t="shared" si="5247"/>
        <v>0</v>
      </c>
      <c r="AH151" s="549">
        <f t="shared" si="5247"/>
        <v>0</v>
      </c>
      <c r="AI151" s="675">
        <f t="shared" si="5247"/>
        <v>0</v>
      </c>
      <c r="AJ151" s="549">
        <f t="shared" si="5247"/>
        <v>0</v>
      </c>
      <c r="AK151" s="675">
        <f t="shared" si="5247"/>
        <v>0</v>
      </c>
      <c r="AL151" s="549">
        <f t="shared" si="5247"/>
        <v>0</v>
      </c>
      <c r="AM151" s="675">
        <f t="shared" si="5247"/>
        <v>0</v>
      </c>
      <c r="AN151" s="549">
        <f t="shared" si="5247"/>
        <v>0</v>
      </c>
      <c r="AO151" s="675">
        <f t="shared" si="5247"/>
        <v>0</v>
      </c>
      <c r="AP151" s="549">
        <f t="shared" si="5247"/>
        <v>0</v>
      </c>
      <c r="AQ151" s="675">
        <f t="shared" si="5247"/>
        <v>0</v>
      </c>
      <c r="AR151" s="549">
        <f t="shared" si="5247"/>
        <v>0</v>
      </c>
      <c r="AS151" s="675">
        <f t="shared" si="5247"/>
        <v>0</v>
      </c>
      <c r="AT151" s="549">
        <f t="shared" ref="AT151:AU151" si="5248">SUM(AT484,)</f>
        <v>0</v>
      </c>
      <c r="AU151" s="675">
        <f t="shared" si="5248"/>
        <v>0</v>
      </c>
      <c r="AV151" s="549">
        <f t="shared" ref="AV151:AW151" si="5249">SUM(AV484,)</f>
        <v>0</v>
      </c>
      <c r="AW151" s="675">
        <f t="shared" si="5249"/>
        <v>0</v>
      </c>
      <c r="AX151" s="549">
        <f t="shared" ref="AX151:AY151" si="5250">SUM(AX484,)</f>
        <v>0</v>
      </c>
      <c r="AY151" s="675">
        <f t="shared" si="5250"/>
        <v>0</v>
      </c>
      <c r="AZ151" s="549">
        <f t="shared" ref="AZ151:BA151" si="5251">SUM(AZ484,)</f>
        <v>0</v>
      </c>
      <c r="BA151" s="675">
        <f t="shared" si="5251"/>
        <v>0</v>
      </c>
      <c r="BB151" s="549">
        <f t="shared" ref="BB151:BC151" si="5252">SUM(BB484,)</f>
        <v>0</v>
      </c>
      <c r="BC151" s="675">
        <f t="shared" si="5252"/>
        <v>0</v>
      </c>
      <c r="BD151" s="549">
        <f t="shared" ref="BD151:BE151" si="5253">SUM(BD484,)</f>
        <v>0</v>
      </c>
      <c r="BE151" s="675">
        <f t="shared" si="5253"/>
        <v>0</v>
      </c>
      <c r="BF151" s="549">
        <f t="shared" ref="BF151:BG151" si="5254">SUM(BF484,)</f>
        <v>0</v>
      </c>
      <c r="BG151" s="675">
        <f t="shared" si="5254"/>
        <v>0</v>
      </c>
      <c r="BH151" s="549">
        <f t="shared" ref="BH151:BI151" si="5255">SUM(BH484,)</f>
        <v>0</v>
      </c>
      <c r="BI151" s="675">
        <f t="shared" si="5255"/>
        <v>0</v>
      </c>
      <c r="BJ151" s="549">
        <f t="shared" ref="BJ151:BK151" si="5256">SUM(BJ484,)</f>
        <v>0</v>
      </c>
      <c r="BK151" s="675">
        <f t="shared" si="5256"/>
        <v>0</v>
      </c>
      <c r="BL151" s="549">
        <f t="shared" ref="BL151:BS151" si="5257">SUM(BL484,)</f>
        <v>0</v>
      </c>
      <c r="BM151" s="675">
        <f t="shared" si="5257"/>
        <v>0</v>
      </c>
      <c r="BN151" s="549">
        <f t="shared" si="5257"/>
        <v>0</v>
      </c>
      <c r="BO151" s="675">
        <f t="shared" si="5257"/>
        <v>0</v>
      </c>
      <c r="BP151" s="549">
        <f t="shared" si="5257"/>
        <v>0</v>
      </c>
      <c r="BQ151" s="675">
        <f t="shared" si="5257"/>
        <v>0</v>
      </c>
      <c r="BR151" s="549">
        <f t="shared" si="5257"/>
        <v>0</v>
      </c>
      <c r="BS151" s="675">
        <f t="shared" si="5257"/>
        <v>0</v>
      </c>
      <c r="BT151" s="549">
        <f t="shared" ref="BT151:BU151" si="5258">SUM(BT484,)</f>
        <v>0</v>
      </c>
      <c r="BU151" s="675">
        <f t="shared" si="5258"/>
        <v>0</v>
      </c>
      <c r="BV151" s="549">
        <f t="shared" ref="BV151:BW151" si="5259">SUM(BV484,)</f>
        <v>0</v>
      </c>
      <c r="BW151" s="675">
        <f t="shared" si="5259"/>
        <v>0</v>
      </c>
      <c r="BX151" s="549">
        <f t="shared" ref="BX151:BY151" si="5260">SUM(BX484,)</f>
        <v>0</v>
      </c>
      <c r="BY151" s="675">
        <f t="shared" si="5260"/>
        <v>0</v>
      </c>
      <c r="BZ151" s="549">
        <f t="shared" ref="BZ151:CA151" si="5261">SUM(BZ484,)</f>
        <v>0</v>
      </c>
      <c r="CA151" s="675">
        <f t="shared" si="5261"/>
        <v>0</v>
      </c>
      <c r="CB151" s="549">
        <f t="shared" ref="CB151:CE151" si="5262">SUM(CB484,)</f>
        <v>0</v>
      </c>
      <c r="CC151" s="675">
        <f t="shared" si="5262"/>
        <v>0</v>
      </c>
      <c r="CD151" s="549">
        <f t="shared" si="5262"/>
        <v>0</v>
      </c>
      <c r="CE151" s="675">
        <f t="shared" si="5262"/>
        <v>0</v>
      </c>
      <c r="CF151" s="549">
        <f t="shared" ref="CF151:CG151" si="5263">SUM(CF484,)</f>
        <v>0</v>
      </c>
      <c r="CG151" s="675">
        <f t="shared" si="5263"/>
        <v>0</v>
      </c>
      <c r="CH151" s="549">
        <f t="shared" ref="CH151:CQ151" si="5264">SUM(CH484,)</f>
        <v>0</v>
      </c>
      <c r="CI151" s="675">
        <f t="shared" si="5264"/>
        <v>0</v>
      </c>
      <c r="CJ151" s="549">
        <f t="shared" si="5264"/>
        <v>0</v>
      </c>
      <c r="CK151" s="675">
        <f t="shared" si="5264"/>
        <v>0</v>
      </c>
      <c r="CL151" s="549">
        <f t="shared" si="5264"/>
        <v>0</v>
      </c>
      <c r="CM151" s="675">
        <f t="shared" si="5264"/>
        <v>0</v>
      </c>
      <c r="CN151" s="549">
        <f t="shared" si="5264"/>
        <v>0</v>
      </c>
      <c r="CO151" s="675">
        <f t="shared" si="5264"/>
        <v>0</v>
      </c>
      <c r="CP151" s="549">
        <f t="shared" si="5264"/>
        <v>0</v>
      </c>
      <c r="CQ151" s="675">
        <f t="shared" si="5264"/>
        <v>0</v>
      </c>
      <c r="CR151" s="549">
        <f t="shared" ref="CR151:CY151" si="5265">SUM(CR484,)</f>
        <v>0</v>
      </c>
      <c r="CS151" s="675">
        <f t="shared" si="5265"/>
        <v>0</v>
      </c>
      <c r="CT151" s="549">
        <f t="shared" si="5265"/>
        <v>0</v>
      </c>
      <c r="CU151" s="675">
        <f t="shared" si="5265"/>
        <v>0</v>
      </c>
      <c r="CV151" s="549">
        <f t="shared" si="5265"/>
        <v>0</v>
      </c>
      <c r="CW151" s="675">
        <f t="shared" si="5265"/>
        <v>0</v>
      </c>
      <c r="CX151" s="549">
        <f t="shared" si="5265"/>
        <v>0</v>
      </c>
      <c r="CY151" s="675">
        <f t="shared" si="5265"/>
        <v>0</v>
      </c>
      <c r="CZ151" s="549">
        <f t="shared" ref="CZ151:DI151" si="5266">SUM(CZ484,)</f>
        <v>0</v>
      </c>
      <c r="DA151" s="675">
        <f t="shared" si="5266"/>
        <v>0</v>
      </c>
      <c r="DB151" s="549">
        <f t="shared" si="5266"/>
        <v>0</v>
      </c>
      <c r="DC151" s="675">
        <f t="shared" si="5266"/>
        <v>0</v>
      </c>
      <c r="DD151" s="549">
        <f t="shared" si="5266"/>
        <v>0</v>
      </c>
      <c r="DE151" s="675">
        <f t="shared" si="5266"/>
        <v>0</v>
      </c>
      <c r="DF151" s="549">
        <f t="shared" si="5266"/>
        <v>0</v>
      </c>
      <c r="DG151" s="675">
        <f t="shared" si="5266"/>
        <v>0</v>
      </c>
      <c r="DH151" s="549">
        <f t="shared" si="5266"/>
        <v>0</v>
      </c>
      <c r="DI151" s="675">
        <f t="shared" si="5266"/>
        <v>0</v>
      </c>
      <c r="DJ151" s="549">
        <f t="shared" ref="DJ151:DK151" si="5267">SUM(DJ484,)</f>
        <v>0</v>
      </c>
      <c r="DK151" s="675">
        <f t="shared" si="5267"/>
        <v>0</v>
      </c>
      <c r="DL151" s="549">
        <f t="shared" ref="DL151:DM151" si="5268">SUM(DL484,)</f>
        <v>0</v>
      </c>
      <c r="DM151" s="675">
        <f t="shared" si="5268"/>
        <v>0</v>
      </c>
      <c r="DN151" s="549">
        <f t="shared" ref="DN151:DW151" si="5269">SUM(DN484,)</f>
        <v>0</v>
      </c>
      <c r="DO151" s="675">
        <f t="shared" si="5269"/>
        <v>0</v>
      </c>
      <c r="DP151" s="549">
        <f t="shared" si="5269"/>
        <v>0</v>
      </c>
      <c r="DQ151" s="675">
        <f t="shared" si="5269"/>
        <v>0</v>
      </c>
      <c r="DR151" s="549">
        <f t="shared" si="5269"/>
        <v>0</v>
      </c>
      <c r="DS151" s="675">
        <f t="shared" si="5269"/>
        <v>0</v>
      </c>
      <c r="DT151" s="549">
        <f t="shared" si="5269"/>
        <v>0</v>
      </c>
      <c r="DU151" s="675">
        <f t="shared" si="5269"/>
        <v>0</v>
      </c>
      <c r="DV151" s="549">
        <f t="shared" si="5269"/>
        <v>0</v>
      </c>
      <c r="DW151" s="675">
        <f t="shared" si="5269"/>
        <v>0</v>
      </c>
      <c r="DX151" s="549">
        <f t="shared" ref="DX151:EG151" si="5270">SUM(DX484,)</f>
        <v>0</v>
      </c>
      <c r="DY151" s="675">
        <f t="shared" si="5270"/>
        <v>0</v>
      </c>
      <c r="DZ151" s="549">
        <f t="shared" si="5270"/>
        <v>0</v>
      </c>
      <c r="EA151" s="675">
        <f t="shared" si="5270"/>
        <v>0</v>
      </c>
      <c r="EB151" s="549">
        <f t="shared" si="5270"/>
        <v>0</v>
      </c>
      <c r="EC151" s="675">
        <f t="shared" si="5270"/>
        <v>0</v>
      </c>
      <c r="ED151" s="549">
        <f t="shared" si="5270"/>
        <v>0</v>
      </c>
      <c r="EE151" s="675">
        <f t="shared" si="5270"/>
        <v>0</v>
      </c>
      <c r="EF151" s="549">
        <f t="shared" si="5270"/>
        <v>0</v>
      </c>
      <c r="EG151" s="675">
        <f t="shared" si="5270"/>
        <v>0</v>
      </c>
      <c r="EH151" s="549">
        <f t="shared" ref="EH151:EM151" si="5271">SUM(EH484,)</f>
        <v>0</v>
      </c>
      <c r="EI151" s="675">
        <f t="shared" si="5271"/>
        <v>0</v>
      </c>
      <c r="EJ151" s="549">
        <f t="shared" si="5271"/>
        <v>0</v>
      </c>
      <c r="EK151" s="675">
        <f t="shared" si="5271"/>
        <v>0</v>
      </c>
      <c r="EL151" s="549">
        <f t="shared" si="5271"/>
        <v>0</v>
      </c>
      <c r="EM151" s="675">
        <f t="shared" si="5271"/>
        <v>0</v>
      </c>
      <c r="EN151" s="549">
        <f t="shared" ref="EN151:EO151" si="5272">SUM(EN484,)</f>
        <v>0</v>
      </c>
      <c r="EO151" s="675">
        <f t="shared" si="5272"/>
        <v>0</v>
      </c>
      <c r="EP151" s="549">
        <f t="shared" ref="EP151:FA151" si="5273">SUM(EP484,)</f>
        <v>0</v>
      </c>
      <c r="EQ151" s="675">
        <f t="shared" si="5273"/>
        <v>0</v>
      </c>
      <c r="ER151" s="549">
        <f t="shared" si="5273"/>
        <v>0</v>
      </c>
      <c r="ES151" s="675">
        <f t="shared" si="5273"/>
        <v>0</v>
      </c>
      <c r="ET151" s="549">
        <f t="shared" si="5273"/>
        <v>0</v>
      </c>
      <c r="EU151" s="675">
        <f t="shared" si="5273"/>
        <v>0</v>
      </c>
      <c r="EV151" s="549">
        <f t="shared" ref="EV151:EW151" si="5274">SUM(EV484,)</f>
        <v>0</v>
      </c>
      <c r="EW151" s="675">
        <f t="shared" si="5274"/>
        <v>0</v>
      </c>
      <c r="EX151" s="549">
        <f t="shared" si="5273"/>
        <v>0</v>
      </c>
      <c r="EY151" s="675">
        <f t="shared" si="5273"/>
        <v>0</v>
      </c>
      <c r="EZ151" s="549">
        <f t="shared" si="5273"/>
        <v>0</v>
      </c>
      <c r="FA151" s="675">
        <f t="shared" si="5273"/>
        <v>0</v>
      </c>
      <c r="FB151" s="549">
        <f t="shared" ref="FB151:FC151" si="5275">SUM(FB484,)</f>
        <v>0</v>
      </c>
      <c r="FC151" s="675">
        <f t="shared" si="5275"/>
        <v>0</v>
      </c>
      <c r="FD151" s="549">
        <f t="shared" ref="FD151:FE151" si="5276">SUM(FD484,)</f>
        <v>0</v>
      </c>
      <c r="FE151" s="675">
        <f t="shared" si="5276"/>
        <v>-1400</v>
      </c>
      <c r="FF151" s="549">
        <f t="shared" ref="FF151:FG151" si="5277">SUM(FF484,)</f>
        <v>0</v>
      </c>
      <c r="FG151" s="675">
        <f t="shared" si="5277"/>
        <v>0</v>
      </c>
      <c r="FH151" s="549">
        <f t="shared" ref="FH151:FI151" si="5278">SUM(FH484,)</f>
        <v>0</v>
      </c>
      <c r="FI151" s="675">
        <f t="shared" si="5278"/>
        <v>0</v>
      </c>
      <c r="FJ151" s="549">
        <f t="shared" ref="FJ151:FK151" si="5279">SUM(FJ484,)</f>
        <v>0</v>
      </c>
      <c r="FK151" s="675">
        <f t="shared" si="5279"/>
        <v>0</v>
      </c>
      <c r="FL151" s="549">
        <f t="shared" ref="FL151:FM151" si="5280">SUM(FL484,)</f>
        <v>0</v>
      </c>
      <c r="FM151" s="675">
        <f t="shared" si="5280"/>
        <v>0</v>
      </c>
      <c r="FN151" s="549">
        <f t="shared" ref="FN151:FO151" si="5281">SUM(FN484,)</f>
        <v>0</v>
      </c>
      <c r="FO151" s="675">
        <f t="shared" si="5281"/>
        <v>0</v>
      </c>
      <c r="FP151" s="549">
        <f t="shared" ref="FP151:FQ151" si="5282">SUM(FP484,)</f>
        <v>0</v>
      </c>
      <c r="FQ151" s="675">
        <f t="shared" si="5282"/>
        <v>0</v>
      </c>
      <c r="FR151" s="549">
        <f t="shared" ref="FR151:FS151" si="5283">SUM(FR484,)</f>
        <v>0</v>
      </c>
      <c r="FS151" s="675">
        <f t="shared" si="5283"/>
        <v>0</v>
      </c>
      <c r="FT151" s="549">
        <f t="shared" ref="FT151:FU151" si="5284">SUM(FT484,)</f>
        <v>0</v>
      </c>
      <c r="FU151" s="675">
        <f t="shared" si="5284"/>
        <v>0</v>
      </c>
      <c r="FV151" s="549">
        <f t="shared" ref="FV151:GK151" si="5285">SUM(FV484,)</f>
        <v>0</v>
      </c>
      <c r="FW151" s="675">
        <f t="shared" si="5285"/>
        <v>0</v>
      </c>
      <c r="FX151" s="549">
        <f t="shared" si="5285"/>
        <v>0</v>
      </c>
      <c r="FY151" s="675">
        <f t="shared" si="5285"/>
        <v>0</v>
      </c>
      <c r="FZ151" s="549">
        <f t="shared" ref="FZ151:GI151" si="5286">SUM(FZ484,)</f>
        <v>0</v>
      </c>
      <c r="GA151" s="675">
        <f t="shared" si="5286"/>
        <v>0</v>
      </c>
      <c r="GB151" s="549">
        <f t="shared" si="5286"/>
        <v>0</v>
      </c>
      <c r="GC151" s="675">
        <f t="shared" si="5286"/>
        <v>0</v>
      </c>
      <c r="GD151" s="549">
        <f t="shared" si="5286"/>
        <v>0</v>
      </c>
      <c r="GE151" s="675">
        <f t="shared" si="5286"/>
        <v>0</v>
      </c>
      <c r="GF151" s="549">
        <f t="shared" si="5286"/>
        <v>0</v>
      </c>
      <c r="GG151" s="675">
        <f t="shared" si="5286"/>
        <v>0</v>
      </c>
      <c r="GH151" s="549">
        <f t="shared" si="5286"/>
        <v>0</v>
      </c>
      <c r="GI151" s="675">
        <f t="shared" si="5286"/>
        <v>0</v>
      </c>
      <c r="GJ151" s="549">
        <f t="shared" si="5285"/>
        <v>0</v>
      </c>
      <c r="GK151" s="675">
        <f t="shared" si="5285"/>
        <v>0</v>
      </c>
      <c r="GL151" s="549">
        <f t="shared" ref="GL151:GQ151" si="5287">SUM(GL484,)</f>
        <v>0</v>
      </c>
      <c r="GM151" s="675">
        <f t="shared" si="5287"/>
        <v>0</v>
      </c>
      <c r="GN151" s="549">
        <f t="shared" ref="GN151:GO151" si="5288">SUM(GN484,)</f>
        <v>0</v>
      </c>
      <c r="GO151" s="675">
        <f t="shared" si="5288"/>
        <v>0</v>
      </c>
      <c r="GP151" s="74">
        <f t="shared" si="5287"/>
        <v>0</v>
      </c>
      <c r="GQ151" s="675">
        <f t="shared" si="5287"/>
        <v>-3400</v>
      </c>
      <c r="GR151" s="74">
        <f t="shared" ref="GR151:HK151" si="5289">SUM(GR484,)</f>
        <v>6600</v>
      </c>
      <c r="GS151" s="74">
        <f t="shared" si="5289"/>
        <v>6600</v>
      </c>
      <c r="GT151" s="74">
        <f t="shared" si="5289"/>
        <v>6600</v>
      </c>
      <c r="GU151" s="74">
        <f t="shared" si="5289"/>
        <v>0</v>
      </c>
      <c r="GV151" s="74">
        <f t="shared" si="5289"/>
        <v>4000</v>
      </c>
      <c r="GW151" s="74">
        <f t="shared" si="5289"/>
        <v>0</v>
      </c>
      <c r="GX151" s="74">
        <f t="shared" si="5289"/>
        <v>3000</v>
      </c>
      <c r="GY151" s="74">
        <f t="shared" si="5289"/>
        <v>0</v>
      </c>
      <c r="GZ151" s="74">
        <f t="shared" si="5289"/>
        <v>0</v>
      </c>
      <c r="HA151" s="74">
        <f t="shared" si="5289"/>
        <v>3000</v>
      </c>
      <c r="HB151" s="74">
        <f t="shared" si="5289"/>
        <v>0</v>
      </c>
      <c r="HC151" s="74">
        <f t="shared" si="5289"/>
        <v>0</v>
      </c>
      <c r="HD151" s="74">
        <f t="shared" si="5289"/>
        <v>0</v>
      </c>
      <c r="HE151" s="74">
        <f t="shared" si="5289"/>
        <v>0</v>
      </c>
      <c r="HF151" s="74">
        <f t="shared" si="5289"/>
        <v>0</v>
      </c>
      <c r="HG151" s="74">
        <f t="shared" si="5289"/>
        <v>6600</v>
      </c>
      <c r="HH151" s="74">
        <f t="shared" si="5289"/>
        <v>0</v>
      </c>
      <c r="HI151" s="74">
        <f t="shared" si="5289"/>
        <v>0</v>
      </c>
      <c r="HJ151" s="74">
        <f t="shared" si="5289"/>
        <v>4000</v>
      </c>
      <c r="HK151" s="74">
        <f t="shared" si="5289"/>
        <v>0</v>
      </c>
      <c r="HL151" s="74">
        <f t="shared" ref="HL151:JT151" si="5290">SUM(HL484,)</f>
        <v>-2000</v>
      </c>
      <c r="HM151" s="74">
        <f t="shared" si="5290"/>
        <v>0</v>
      </c>
      <c r="HN151" s="74">
        <f t="shared" si="5290"/>
        <v>3000</v>
      </c>
      <c r="HO151" s="74">
        <f t="shared" si="5290"/>
        <v>0</v>
      </c>
      <c r="HP151" s="74">
        <f t="shared" si="5290"/>
        <v>0</v>
      </c>
      <c r="HQ151" s="74">
        <f t="shared" si="5290"/>
        <v>0</v>
      </c>
      <c r="HR151" s="74">
        <f t="shared" si="5290"/>
        <v>0</v>
      </c>
      <c r="HS151" s="74">
        <f t="shared" si="5290"/>
        <v>0</v>
      </c>
      <c r="HT151" s="74">
        <f t="shared" si="5290"/>
        <v>3000</v>
      </c>
      <c r="HU151" s="74">
        <f t="shared" si="5290"/>
        <v>0</v>
      </c>
      <c r="HV151" s="74">
        <f t="shared" si="5290"/>
        <v>0</v>
      </c>
      <c r="HW151" s="74">
        <f t="shared" si="5290"/>
        <v>0</v>
      </c>
      <c r="HX151" s="74">
        <f t="shared" si="5290"/>
        <v>0</v>
      </c>
      <c r="HY151" s="74">
        <f t="shared" si="5290"/>
        <v>0</v>
      </c>
      <c r="HZ151" s="74">
        <f t="shared" si="5290"/>
        <v>-1400</v>
      </c>
      <c r="IA151" s="74">
        <f t="shared" si="5290"/>
        <v>0</v>
      </c>
      <c r="IB151" s="74">
        <f t="shared" si="5290"/>
        <v>0</v>
      </c>
      <c r="IC151" s="74">
        <f t="shared" si="5290"/>
        <v>0</v>
      </c>
      <c r="ID151" s="74">
        <f t="shared" si="5290"/>
        <v>0</v>
      </c>
      <c r="IE151" s="792">
        <f t="shared" si="5290"/>
        <v>0</v>
      </c>
      <c r="IF151" s="841">
        <f t="shared" si="5290"/>
        <v>6113.11</v>
      </c>
      <c r="IG151" s="263">
        <f t="shared" si="5290"/>
        <v>6113.11</v>
      </c>
      <c r="IH151" s="842">
        <f t="shared" si="5290"/>
        <v>6113.11</v>
      </c>
      <c r="II151" s="155">
        <f t="shared" si="5290"/>
        <v>0</v>
      </c>
      <c r="IJ151" s="74">
        <f t="shared" si="5290"/>
        <v>0</v>
      </c>
      <c r="IK151" s="74">
        <f t="shared" si="5290"/>
        <v>0</v>
      </c>
      <c r="IL151" s="74">
        <f t="shared" si="5290"/>
        <v>6.01</v>
      </c>
      <c r="IM151" s="74">
        <f t="shared" si="5290"/>
        <v>6.01</v>
      </c>
      <c r="IN151" s="74">
        <f t="shared" si="5290"/>
        <v>6.01</v>
      </c>
      <c r="IO151" s="74">
        <f t="shared" si="5290"/>
        <v>855.26</v>
      </c>
      <c r="IP151" s="74">
        <f t="shared" si="5290"/>
        <v>855.26</v>
      </c>
      <c r="IQ151" s="74">
        <f t="shared" si="5290"/>
        <v>855.26</v>
      </c>
      <c r="IR151" s="74">
        <f t="shared" si="5290"/>
        <v>550.83999999999992</v>
      </c>
      <c r="IS151" s="74">
        <f t="shared" si="5290"/>
        <v>550.83999999999992</v>
      </c>
      <c r="IT151" s="74">
        <f t="shared" si="5290"/>
        <v>550.83999999999992</v>
      </c>
      <c r="IU151" s="74">
        <f t="shared" si="5290"/>
        <v>2176.6000000000004</v>
      </c>
      <c r="IV151" s="74">
        <f t="shared" si="5290"/>
        <v>2176.6000000000004</v>
      </c>
      <c r="IW151" s="74">
        <f t="shared" si="5290"/>
        <v>2176.6000000000004</v>
      </c>
      <c r="IX151" s="74">
        <f t="shared" si="5290"/>
        <v>1343.5600000000004</v>
      </c>
      <c r="IY151" s="74">
        <f t="shared" si="5290"/>
        <v>1343.5600000000004</v>
      </c>
      <c r="IZ151" s="74">
        <f t="shared" si="5290"/>
        <v>1343.5600000000004</v>
      </c>
      <c r="JA151" s="74">
        <f t="shared" si="5290"/>
        <v>0</v>
      </c>
      <c r="JB151" s="74">
        <f t="shared" si="5290"/>
        <v>0</v>
      </c>
      <c r="JC151" s="74">
        <f t="shared" si="5290"/>
        <v>0</v>
      </c>
      <c r="JD151" s="74">
        <f t="shared" si="5290"/>
        <v>1075.8399999999992</v>
      </c>
      <c r="JE151" s="74">
        <f t="shared" si="5290"/>
        <v>1075.8399999999992</v>
      </c>
      <c r="JF151" s="74">
        <f t="shared" si="5290"/>
        <v>1075.8399999999992</v>
      </c>
      <c r="JG151" s="74">
        <f t="shared" si="5290"/>
        <v>105</v>
      </c>
      <c r="JH151" s="74">
        <f t="shared" si="5290"/>
        <v>105</v>
      </c>
      <c r="JI151" s="74">
        <f t="shared" si="5290"/>
        <v>105</v>
      </c>
      <c r="JJ151" s="74">
        <f t="shared" si="5290"/>
        <v>0</v>
      </c>
      <c r="JK151" s="74">
        <f t="shared" si="5290"/>
        <v>0</v>
      </c>
      <c r="JL151" s="74">
        <f t="shared" si="5290"/>
        <v>0</v>
      </c>
      <c r="JM151" s="74">
        <f t="shared" si="5290"/>
        <v>0</v>
      </c>
      <c r="JN151" s="74">
        <f t="shared" si="5290"/>
        <v>0</v>
      </c>
      <c r="JO151" s="74">
        <f t="shared" si="5290"/>
        <v>0</v>
      </c>
      <c r="JP151" s="74">
        <f t="shared" si="5290"/>
        <v>0</v>
      </c>
      <c r="JQ151" s="74">
        <f t="shared" si="5290"/>
        <v>0</v>
      </c>
      <c r="JR151" s="74">
        <f t="shared" si="5290"/>
        <v>0</v>
      </c>
      <c r="JS151" s="74">
        <f t="shared" si="5290"/>
        <v>486.89000000000033</v>
      </c>
      <c r="JT151" s="102">
        <f t="shared" si="5290"/>
        <v>486.89000000000033</v>
      </c>
      <c r="JU151" s="671"/>
      <c r="JV151" s="492"/>
      <c r="JW151" s="490"/>
      <c r="JX151" s="549">
        <f>SUM(JX484,)</f>
        <v>6600</v>
      </c>
      <c r="JY151" s="549">
        <f>SUM(JY484,)</f>
        <v>0</v>
      </c>
      <c r="JZ151" s="581">
        <f t="shared" si="4944"/>
        <v>0</v>
      </c>
      <c r="KA151" s="581">
        <f t="shared" si="4945"/>
        <v>-3400</v>
      </c>
      <c r="KB151" s="549">
        <f>SUM(KB484,)</f>
        <v>6600</v>
      </c>
      <c r="KC151" s="709">
        <f t="shared" si="4908"/>
        <v>0</v>
      </c>
      <c r="KD151" s="36"/>
      <c r="KE151" s="36"/>
      <c r="KF151" s="36"/>
      <c r="KG151" s="36"/>
      <c r="KH151" s="36"/>
      <c r="KI151" s="36"/>
      <c r="KJ151" s="36"/>
      <c r="KK151" s="36"/>
    </row>
    <row r="152" spans="1:297" s="8" customFormat="1">
      <c r="A152" s="75" t="s">
        <v>462</v>
      </c>
      <c r="B152" s="72"/>
      <c r="C152" s="74">
        <f t="shared" ref="C152" si="5291">SUM(C485)</f>
        <v>10000</v>
      </c>
      <c r="D152" s="549">
        <f t="shared" ref="D152:E152" si="5292">SUM(D485)</f>
        <v>0</v>
      </c>
      <c r="E152" s="675">
        <f t="shared" si="5292"/>
        <v>0</v>
      </c>
      <c r="F152" s="549">
        <f t="shared" ref="F152:G152" si="5293">SUM(F485)</f>
        <v>0</v>
      </c>
      <c r="G152" s="675">
        <f t="shared" si="5293"/>
        <v>0</v>
      </c>
      <c r="H152" s="549">
        <f t="shared" ref="H152:I152" si="5294">SUM(H485)</f>
        <v>0</v>
      </c>
      <c r="I152" s="675">
        <f t="shared" si="5294"/>
        <v>0</v>
      </c>
      <c r="J152" s="549">
        <f t="shared" ref="J152:K152" si="5295">SUM(J485)</f>
        <v>0</v>
      </c>
      <c r="K152" s="675">
        <f t="shared" si="5295"/>
        <v>0</v>
      </c>
      <c r="L152" s="549">
        <f t="shared" ref="L152:M152" si="5296">SUM(L485)</f>
        <v>0</v>
      </c>
      <c r="M152" s="675">
        <f t="shared" si="5296"/>
        <v>0</v>
      </c>
      <c r="N152" s="549">
        <f t="shared" ref="N152:O152" si="5297">SUM(N485)</f>
        <v>0</v>
      </c>
      <c r="O152" s="675">
        <f t="shared" si="5297"/>
        <v>0</v>
      </c>
      <c r="P152" s="549">
        <f t="shared" ref="P152:Q152" si="5298">SUM(P485)</f>
        <v>0</v>
      </c>
      <c r="Q152" s="675">
        <f t="shared" si="5298"/>
        <v>0</v>
      </c>
      <c r="R152" s="549">
        <f t="shared" ref="R152:S152" si="5299">SUM(R485)</f>
        <v>0</v>
      </c>
      <c r="S152" s="675">
        <f t="shared" si="5299"/>
        <v>0</v>
      </c>
      <c r="T152" s="549">
        <f t="shared" ref="T152:U152" si="5300">SUM(T485)</f>
        <v>0</v>
      </c>
      <c r="U152" s="675">
        <f t="shared" si="5300"/>
        <v>0</v>
      </c>
      <c r="V152" s="549">
        <f t="shared" ref="V152:W152" si="5301">SUM(V485)</f>
        <v>0</v>
      </c>
      <c r="W152" s="675">
        <f t="shared" si="5301"/>
        <v>0</v>
      </c>
      <c r="X152" s="549">
        <f t="shared" ref="X152:Y152" si="5302">SUM(X485)</f>
        <v>0</v>
      </c>
      <c r="Y152" s="675">
        <f t="shared" si="5302"/>
        <v>0</v>
      </c>
      <c r="Z152" s="549">
        <f t="shared" ref="Z152:AA152" si="5303">SUM(Z485)</f>
        <v>0</v>
      </c>
      <c r="AA152" s="675">
        <f t="shared" si="5303"/>
        <v>0</v>
      </c>
      <c r="AB152" s="549">
        <f t="shared" ref="AB152:AC152" si="5304">SUM(AB485)</f>
        <v>0</v>
      </c>
      <c r="AC152" s="675">
        <f t="shared" si="5304"/>
        <v>0</v>
      </c>
      <c r="AD152" s="549">
        <f t="shared" ref="AD152:AE152" si="5305">SUM(AD485)</f>
        <v>0</v>
      </c>
      <c r="AE152" s="675">
        <f t="shared" si="5305"/>
        <v>0</v>
      </c>
      <c r="AF152" s="549">
        <f t="shared" ref="AF152:AI152" si="5306">SUM(AF485)</f>
        <v>0</v>
      </c>
      <c r="AG152" s="675">
        <f t="shared" si="5306"/>
        <v>0</v>
      </c>
      <c r="AH152" s="549">
        <f t="shared" si="5306"/>
        <v>0</v>
      </c>
      <c r="AI152" s="675">
        <f t="shared" si="5306"/>
        <v>0</v>
      </c>
      <c r="AJ152" s="549">
        <f t="shared" ref="AJ152:AK152" si="5307">SUM(AJ485)</f>
        <v>0</v>
      </c>
      <c r="AK152" s="675">
        <f t="shared" si="5307"/>
        <v>0</v>
      </c>
      <c r="AL152" s="549">
        <f t="shared" ref="AL152:AM152" si="5308">SUM(AL485)</f>
        <v>0</v>
      </c>
      <c r="AM152" s="675">
        <f t="shared" si="5308"/>
        <v>0</v>
      </c>
      <c r="AN152" s="549">
        <f t="shared" ref="AN152:AO152" si="5309">SUM(AN485)</f>
        <v>0</v>
      </c>
      <c r="AO152" s="675">
        <f t="shared" si="5309"/>
        <v>0</v>
      </c>
      <c r="AP152" s="549">
        <f t="shared" ref="AP152:AQ152" si="5310">SUM(AP485)</f>
        <v>0</v>
      </c>
      <c r="AQ152" s="675">
        <f t="shared" si="5310"/>
        <v>0</v>
      </c>
      <c r="AR152" s="549">
        <f t="shared" ref="AR152:AS152" si="5311">SUM(AR485)</f>
        <v>0</v>
      </c>
      <c r="AS152" s="675">
        <f t="shared" si="5311"/>
        <v>0</v>
      </c>
      <c r="AT152" s="549">
        <f t="shared" ref="AT152:AU152" si="5312">SUM(AT485)</f>
        <v>0</v>
      </c>
      <c r="AU152" s="675">
        <f t="shared" si="5312"/>
        <v>0</v>
      </c>
      <c r="AV152" s="549">
        <f t="shared" ref="AV152:AW152" si="5313">SUM(AV485)</f>
        <v>0</v>
      </c>
      <c r="AW152" s="675">
        <f t="shared" si="5313"/>
        <v>0</v>
      </c>
      <c r="AX152" s="549">
        <f t="shared" ref="AX152:AY152" si="5314">SUM(AX485)</f>
        <v>0</v>
      </c>
      <c r="AY152" s="675">
        <f t="shared" si="5314"/>
        <v>0</v>
      </c>
      <c r="AZ152" s="549">
        <f t="shared" ref="AZ152:BA152" si="5315">SUM(AZ485)</f>
        <v>30000</v>
      </c>
      <c r="BA152" s="675">
        <f t="shared" si="5315"/>
        <v>0</v>
      </c>
      <c r="BB152" s="549">
        <f t="shared" ref="BB152:BC152" si="5316">SUM(BB485)</f>
        <v>0</v>
      </c>
      <c r="BC152" s="675">
        <f t="shared" si="5316"/>
        <v>0</v>
      </c>
      <c r="BD152" s="549">
        <f t="shared" ref="BD152:BE152" si="5317">SUM(BD485)</f>
        <v>0</v>
      </c>
      <c r="BE152" s="675">
        <f t="shared" si="5317"/>
        <v>0</v>
      </c>
      <c r="BF152" s="549">
        <f t="shared" ref="BF152:BG152" si="5318">SUM(BF485)</f>
        <v>0</v>
      </c>
      <c r="BG152" s="675">
        <f t="shared" si="5318"/>
        <v>0</v>
      </c>
      <c r="BH152" s="549">
        <f t="shared" ref="BH152:BI152" si="5319">SUM(BH485)</f>
        <v>0</v>
      </c>
      <c r="BI152" s="675">
        <f t="shared" si="5319"/>
        <v>0</v>
      </c>
      <c r="BJ152" s="549">
        <f t="shared" ref="BJ152:BK152" si="5320">SUM(BJ485)</f>
        <v>0</v>
      </c>
      <c r="BK152" s="675">
        <f t="shared" si="5320"/>
        <v>0</v>
      </c>
      <c r="BL152" s="549">
        <f t="shared" ref="BL152:BS152" si="5321">SUM(BL485)</f>
        <v>0</v>
      </c>
      <c r="BM152" s="675">
        <f t="shared" si="5321"/>
        <v>0</v>
      </c>
      <c r="BN152" s="549">
        <f t="shared" si="5321"/>
        <v>0</v>
      </c>
      <c r="BO152" s="675">
        <f t="shared" si="5321"/>
        <v>0</v>
      </c>
      <c r="BP152" s="549">
        <f t="shared" si="5321"/>
        <v>0</v>
      </c>
      <c r="BQ152" s="675">
        <f t="shared" si="5321"/>
        <v>0</v>
      </c>
      <c r="BR152" s="549">
        <f t="shared" si="5321"/>
        <v>0</v>
      </c>
      <c r="BS152" s="675">
        <f t="shared" si="5321"/>
        <v>0</v>
      </c>
      <c r="BT152" s="549">
        <f t="shared" ref="BT152:BU152" si="5322">SUM(BT485)</f>
        <v>0</v>
      </c>
      <c r="BU152" s="675">
        <f t="shared" si="5322"/>
        <v>0</v>
      </c>
      <c r="BV152" s="549">
        <f t="shared" ref="BV152:BW152" si="5323">SUM(BV485)</f>
        <v>0</v>
      </c>
      <c r="BW152" s="675">
        <f t="shared" si="5323"/>
        <v>0</v>
      </c>
      <c r="BX152" s="549">
        <f t="shared" ref="BX152:BY152" si="5324">SUM(BX485)</f>
        <v>0</v>
      </c>
      <c r="BY152" s="675">
        <f t="shared" si="5324"/>
        <v>0</v>
      </c>
      <c r="BZ152" s="549">
        <f t="shared" ref="BZ152:CA152" si="5325">SUM(BZ485)</f>
        <v>0</v>
      </c>
      <c r="CA152" s="675">
        <f t="shared" si="5325"/>
        <v>0</v>
      </c>
      <c r="CB152" s="549">
        <f t="shared" ref="CB152:CE152" si="5326">SUM(CB485)</f>
        <v>0</v>
      </c>
      <c r="CC152" s="675">
        <f t="shared" si="5326"/>
        <v>0</v>
      </c>
      <c r="CD152" s="549">
        <f t="shared" si="5326"/>
        <v>0</v>
      </c>
      <c r="CE152" s="675">
        <f t="shared" si="5326"/>
        <v>0</v>
      </c>
      <c r="CF152" s="549">
        <f t="shared" ref="CF152:CG152" si="5327">SUM(CF485)</f>
        <v>0</v>
      </c>
      <c r="CG152" s="675">
        <f t="shared" si="5327"/>
        <v>0</v>
      </c>
      <c r="CH152" s="549">
        <f t="shared" ref="CH152:CQ152" si="5328">SUM(CH485)</f>
        <v>0</v>
      </c>
      <c r="CI152" s="675">
        <f t="shared" si="5328"/>
        <v>0</v>
      </c>
      <c r="CJ152" s="549">
        <f t="shared" si="5328"/>
        <v>0</v>
      </c>
      <c r="CK152" s="675">
        <f t="shared" si="5328"/>
        <v>-10000</v>
      </c>
      <c r="CL152" s="549">
        <f t="shared" si="5328"/>
        <v>0</v>
      </c>
      <c r="CM152" s="675">
        <f t="shared" si="5328"/>
        <v>0</v>
      </c>
      <c r="CN152" s="549">
        <f t="shared" si="5328"/>
        <v>0</v>
      </c>
      <c r="CO152" s="675">
        <f t="shared" si="5328"/>
        <v>0</v>
      </c>
      <c r="CP152" s="549">
        <f t="shared" si="5328"/>
        <v>0</v>
      </c>
      <c r="CQ152" s="675">
        <f t="shared" si="5328"/>
        <v>0</v>
      </c>
      <c r="CR152" s="549">
        <f t="shared" ref="CR152:CY152" si="5329">SUM(CR485)</f>
        <v>0</v>
      </c>
      <c r="CS152" s="675">
        <f t="shared" si="5329"/>
        <v>0</v>
      </c>
      <c r="CT152" s="549">
        <f t="shared" si="5329"/>
        <v>0</v>
      </c>
      <c r="CU152" s="675">
        <f t="shared" si="5329"/>
        <v>0</v>
      </c>
      <c r="CV152" s="549">
        <f t="shared" si="5329"/>
        <v>0</v>
      </c>
      <c r="CW152" s="675">
        <f t="shared" si="5329"/>
        <v>0</v>
      </c>
      <c r="CX152" s="549">
        <f t="shared" si="5329"/>
        <v>0</v>
      </c>
      <c r="CY152" s="675">
        <f t="shared" si="5329"/>
        <v>0</v>
      </c>
      <c r="CZ152" s="549">
        <f t="shared" ref="CZ152:DI152" si="5330">SUM(CZ485)</f>
        <v>0</v>
      </c>
      <c r="DA152" s="675">
        <f t="shared" si="5330"/>
        <v>0</v>
      </c>
      <c r="DB152" s="549">
        <f t="shared" si="5330"/>
        <v>0</v>
      </c>
      <c r="DC152" s="675">
        <f t="shared" si="5330"/>
        <v>0</v>
      </c>
      <c r="DD152" s="549">
        <f t="shared" si="5330"/>
        <v>0</v>
      </c>
      <c r="DE152" s="675">
        <f t="shared" si="5330"/>
        <v>0</v>
      </c>
      <c r="DF152" s="549">
        <f t="shared" si="5330"/>
        <v>0</v>
      </c>
      <c r="DG152" s="675">
        <f t="shared" si="5330"/>
        <v>0</v>
      </c>
      <c r="DH152" s="549">
        <f t="shared" si="5330"/>
        <v>0</v>
      </c>
      <c r="DI152" s="675">
        <f t="shared" si="5330"/>
        <v>0</v>
      </c>
      <c r="DJ152" s="549">
        <f t="shared" ref="DJ152:DK152" si="5331">SUM(DJ485)</f>
        <v>0</v>
      </c>
      <c r="DK152" s="675">
        <f t="shared" si="5331"/>
        <v>0</v>
      </c>
      <c r="DL152" s="549">
        <f t="shared" ref="DL152:DM152" si="5332">SUM(DL485)</f>
        <v>0</v>
      </c>
      <c r="DM152" s="675">
        <f t="shared" si="5332"/>
        <v>0</v>
      </c>
      <c r="DN152" s="549">
        <f t="shared" ref="DN152:DW152" si="5333">SUM(DN485)</f>
        <v>0</v>
      </c>
      <c r="DO152" s="675">
        <f t="shared" si="5333"/>
        <v>0</v>
      </c>
      <c r="DP152" s="549">
        <f t="shared" si="5333"/>
        <v>0</v>
      </c>
      <c r="DQ152" s="675">
        <f t="shared" si="5333"/>
        <v>0</v>
      </c>
      <c r="DR152" s="549">
        <f t="shared" si="5333"/>
        <v>0</v>
      </c>
      <c r="DS152" s="675">
        <f t="shared" si="5333"/>
        <v>0</v>
      </c>
      <c r="DT152" s="549">
        <f t="shared" si="5333"/>
        <v>0</v>
      </c>
      <c r="DU152" s="675">
        <f t="shared" si="5333"/>
        <v>0</v>
      </c>
      <c r="DV152" s="549">
        <f t="shared" si="5333"/>
        <v>0</v>
      </c>
      <c r="DW152" s="675">
        <f t="shared" si="5333"/>
        <v>0</v>
      </c>
      <c r="DX152" s="549">
        <f t="shared" ref="DX152:EG152" si="5334">SUM(DX485)</f>
        <v>0</v>
      </c>
      <c r="DY152" s="675">
        <f t="shared" si="5334"/>
        <v>0</v>
      </c>
      <c r="DZ152" s="549">
        <f t="shared" si="5334"/>
        <v>0</v>
      </c>
      <c r="EA152" s="675">
        <f t="shared" si="5334"/>
        <v>0</v>
      </c>
      <c r="EB152" s="549">
        <f t="shared" si="5334"/>
        <v>0</v>
      </c>
      <c r="EC152" s="675">
        <f t="shared" si="5334"/>
        <v>0</v>
      </c>
      <c r="ED152" s="549">
        <f t="shared" si="5334"/>
        <v>0</v>
      </c>
      <c r="EE152" s="675">
        <f t="shared" si="5334"/>
        <v>0</v>
      </c>
      <c r="EF152" s="549">
        <f t="shared" si="5334"/>
        <v>0</v>
      </c>
      <c r="EG152" s="675">
        <f t="shared" si="5334"/>
        <v>0</v>
      </c>
      <c r="EH152" s="549">
        <f t="shared" ref="EH152:EM152" si="5335">SUM(EH485)</f>
        <v>0</v>
      </c>
      <c r="EI152" s="675">
        <f t="shared" si="5335"/>
        <v>0</v>
      </c>
      <c r="EJ152" s="549">
        <f t="shared" si="5335"/>
        <v>0</v>
      </c>
      <c r="EK152" s="675">
        <f t="shared" si="5335"/>
        <v>0</v>
      </c>
      <c r="EL152" s="549">
        <f t="shared" si="5335"/>
        <v>0</v>
      </c>
      <c r="EM152" s="675">
        <f t="shared" si="5335"/>
        <v>0</v>
      </c>
      <c r="EN152" s="549">
        <f t="shared" ref="EN152:EO152" si="5336">SUM(EN485)</f>
        <v>0</v>
      </c>
      <c r="EO152" s="675">
        <f t="shared" si="5336"/>
        <v>0</v>
      </c>
      <c r="EP152" s="549">
        <f t="shared" ref="EP152:FA152" si="5337">SUM(EP485)</f>
        <v>0</v>
      </c>
      <c r="EQ152" s="675">
        <f t="shared" si="5337"/>
        <v>0</v>
      </c>
      <c r="ER152" s="549">
        <f t="shared" si="5337"/>
        <v>0</v>
      </c>
      <c r="ES152" s="675">
        <f t="shared" si="5337"/>
        <v>0</v>
      </c>
      <c r="ET152" s="549">
        <f t="shared" si="5337"/>
        <v>0</v>
      </c>
      <c r="EU152" s="675">
        <f t="shared" si="5337"/>
        <v>0</v>
      </c>
      <c r="EV152" s="549">
        <f t="shared" ref="EV152:EW152" si="5338">SUM(EV485)</f>
        <v>0</v>
      </c>
      <c r="EW152" s="675">
        <f t="shared" si="5338"/>
        <v>0</v>
      </c>
      <c r="EX152" s="549">
        <f t="shared" si="5337"/>
        <v>0</v>
      </c>
      <c r="EY152" s="675">
        <f t="shared" si="5337"/>
        <v>0</v>
      </c>
      <c r="EZ152" s="549">
        <f t="shared" si="5337"/>
        <v>0</v>
      </c>
      <c r="FA152" s="675">
        <f t="shared" si="5337"/>
        <v>0</v>
      </c>
      <c r="FB152" s="549">
        <f t="shared" ref="FB152:FC152" si="5339">SUM(FB485)</f>
        <v>0</v>
      </c>
      <c r="FC152" s="675">
        <f t="shared" si="5339"/>
        <v>0</v>
      </c>
      <c r="FD152" s="549">
        <f t="shared" ref="FD152:FE152" si="5340">SUM(FD485)</f>
        <v>0</v>
      </c>
      <c r="FE152" s="675">
        <f t="shared" si="5340"/>
        <v>-200</v>
      </c>
      <c r="FF152" s="549">
        <f t="shared" ref="FF152:FG152" si="5341">SUM(FF485)</f>
        <v>0</v>
      </c>
      <c r="FG152" s="675">
        <f t="shared" si="5341"/>
        <v>0</v>
      </c>
      <c r="FH152" s="549">
        <f t="shared" ref="FH152:FI152" si="5342">SUM(FH485)</f>
        <v>0</v>
      </c>
      <c r="FI152" s="675">
        <f t="shared" si="5342"/>
        <v>0</v>
      </c>
      <c r="FJ152" s="549">
        <f t="shared" ref="FJ152:FK152" si="5343">SUM(FJ485)</f>
        <v>0</v>
      </c>
      <c r="FK152" s="675">
        <f t="shared" si="5343"/>
        <v>0</v>
      </c>
      <c r="FL152" s="549">
        <f t="shared" ref="FL152:FM152" si="5344">SUM(FL485)</f>
        <v>0</v>
      </c>
      <c r="FM152" s="675">
        <f t="shared" si="5344"/>
        <v>0</v>
      </c>
      <c r="FN152" s="549">
        <f t="shared" ref="FN152:FO152" si="5345">SUM(FN485)</f>
        <v>0</v>
      </c>
      <c r="FO152" s="675">
        <f t="shared" si="5345"/>
        <v>0</v>
      </c>
      <c r="FP152" s="549">
        <f t="shared" ref="FP152:FQ152" si="5346">SUM(FP485)</f>
        <v>0</v>
      </c>
      <c r="FQ152" s="675">
        <f t="shared" si="5346"/>
        <v>0</v>
      </c>
      <c r="FR152" s="549">
        <f t="shared" ref="FR152:FS152" si="5347">SUM(FR485)</f>
        <v>0</v>
      </c>
      <c r="FS152" s="675">
        <f t="shared" si="5347"/>
        <v>0</v>
      </c>
      <c r="FT152" s="549">
        <f t="shared" ref="FT152:FU152" si="5348">SUM(FT485)</f>
        <v>0</v>
      </c>
      <c r="FU152" s="675">
        <f t="shared" si="5348"/>
        <v>0</v>
      </c>
      <c r="FV152" s="549">
        <f t="shared" ref="FV152:GK152" si="5349">SUM(FV485)</f>
        <v>0</v>
      </c>
      <c r="FW152" s="675">
        <f t="shared" si="5349"/>
        <v>0</v>
      </c>
      <c r="FX152" s="549">
        <f t="shared" si="5349"/>
        <v>0</v>
      </c>
      <c r="FY152" s="675">
        <f t="shared" si="5349"/>
        <v>0</v>
      </c>
      <c r="FZ152" s="549">
        <f t="shared" ref="FZ152:GI152" si="5350">SUM(FZ485)</f>
        <v>0</v>
      </c>
      <c r="GA152" s="675">
        <f t="shared" si="5350"/>
        <v>0</v>
      </c>
      <c r="GB152" s="549">
        <f t="shared" si="5350"/>
        <v>0</v>
      </c>
      <c r="GC152" s="675">
        <f t="shared" si="5350"/>
        <v>0</v>
      </c>
      <c r="GD152" s="549">
        <f t="shared" si="5350"/>
        <v>0</v>
      </c>
      <c r="GE152" s="675">
        <f t="shared" si="5350"/>
        <v>0</v>
      </c>
      <c r="GF152" s="549">
        <f t="shared" si="5350"/>
        <v>0</v>
      </c>
      <c r="GG152" s="675">
        <f t="shared" si="5350"/>
        <v>0</v>
      </c>
      <c r="GH152" s="549">
        <f t="shared" si="5350"/>
        <v>0</v>
      </c>
      <c r="GI152" s="675">
        <f t="shared" si="5350"/>
        <v>0</v>
      </c>
      <c r="GJ152" s="549">
        <f t="shared" si="5349"/>
        <v>0</v>
      </c>
      <c r="GK152" s="675">
        <f t="shared" si="5349"/>
        <v>0</v>
      </c>
      <c r="GL152" s="549">
        <f t="shared" ref="GL152:GQ152" si="5351">SUM(GL485)</f>
        <v>0</v>
      </c>
      <c r="GM152" s="675">
        <f t="shared" si="5351"/>
        <v>0</v>
      </c>
      <c r="GN152" s="549">
        <f t="shared" ref="GN152:GO152" si="5352">SUM(GN485)</f>
        <v>0</v>
      </c>
      <c r="GO152" s="675">
        <f t="shared" si="5352"/>
        <v>0</v>
      </c>
      <c r="GP152" s="74">
        <f t="shared" si="5351"/>
        <v>30000</v>
      </c>
      <c r="GQ152" s="675">
        <f t="shared" si="5351"/>
        <v>-10200</v>
      </c>
      <c r="GR152" s="74">
        <f t="shared" ref="GR152:HK152" si="5353">SUM(GR485)</f>
        <v>29800</v>
      </c>
      <c r="GS152" s="74">
        <f t="shared" si="5353"/>
        <v>29800</v>
      </c>
      <c r="GT152" s="74">
        <f t="shared" si="5353"/>
        <v>29800</v>
      </c>
      <c r="GU152" s="74">
        <f t="shared" si="5353"/>
        <v>0</v>
      </c>
      <c r="GV152" s="74">
        <f t="shared" si="5353"/>
        <v>0</v>
      </c>
      <c r="GW152" s="74">
        <f t="shared" si="5353"/>
        <v>5000</v>
      </c>
      <c r="GX152" s="74">
        <f t="shared" si="5353"/>
        <v>0</v>
      </c>
      <c r="GY152" s="74">
        <f t="shared" si="5353"/>
        <v>0</v>
      </c>
      <c r="GZ152" s="74">
        <f t="shared" si="5353"/>
        <v>5000</v>
      </c>
      <c r="HA152" s="74">
        <f t="shared" si="5353"/>
        <v>0</v>
      </c>
      <c r="HB152" s="74">
        <f t="shared" si="5353"/>
        <v>0</v>
      </c>
      <c r="HC152" s="74">
        <f t="shared" si="5353"/>
        <v>0</v>
      </c>
      <c r="HD152" s="74">
        <f t="shared" si="5353"/>
        <v>0</v>
      </c>
      <c r="HE152" s="74">
        <f t="shared" si="5353"/>
        <v>0</v>
      </c>
      <c r="HF152" s="74">
        <f t="shared" si="5353"/>
        <v>0</v>
      </c>
      <c r="HG152" s="74">
        <f t="shared" si="5353"/>
        <v>29800</v>
      </c>
      <c r="HH152" s="74">
        <f t="shared" si="5353"/>
        <v>0</v>
      </c>
      <c r="HI152" s="74">
        <f t="shared" si="5353"/>
        <v>0</v>
      </c>
      <c r="HJ152" s="74">
        <f t="shared" si="5353"/>
        <v>0</v>
      </c>
      <c r="HK152" s="74">
        <f t="shared" si="5353"/>
        <v>0</v>
      </c>
      <c r="HL152" s="74">
        <f t="shared" ref="HL152:JT152" si="5354">SUM(HL485)</f>
        <v>5000</v>
      </c>
      <c r="HM152" s="74">
        <f t="shared" si="5354"/>
        <v>0</v>
      </c>
      <c r="HN152" s="74">
        <f t="shared" si="5354"/>
        <v>0</v>
      </c>
      <c r="HO152" s="74">
        <f t="shared" si="5354"/>
        <v>0</v>
      </c>
      <c r="HP152" s="74">
        <f t="shared" si="5354"/>
        <v>30000</v>
      </c>
      <c r="HQ152" s="74">
        <f t="shared" si="5354"/>
        <v>0</v>
      </c>
      <c r="HR152" s="74">
        <f t="shared" si="5354"/>
        <v>0</v>
      </c>
      <c r="HS152" s="74">
        <f t="shared" si="5354"/>
        <v>0</v>
      </c>
      <c r="HT152" s="74">
        <f t="shared" si="5354"/>
        <v>-5000</v>
      </c>
      <c r="HU152" s="74">
        <f t="shared" si="5354"/>
        <v>0</v>
      </c>
      <c r="HV152" s="74">
        <f t="shared" si="5354"/>
        <v>0</v>
      </c>
      <c r="HW152" s="74">
        <f t="shared" si="5354"/>
        <v>0</v>
      </c>
      <c r="HX152" s="74">
        <f t="shared" si="5354"/>
        <v>0</v>
      </c>
      <c r="HY152" s="74">
        <f t="shared" si="5354"/>
        <v>0</v>
      </c>
      <c r="HZ152" s="74">
        <f t="shared" si="5354"/>
        <v>-200</v>
      </c>
      <c r="IA152" s="74">
        <f t="shared" si="5354"/>
        <v>0</v>
      </c>
      <c r="IB152" s="74">
        <f t="shared" si="5354"/>
        <v>0</v>
      </c>
      <c r="IC152" s="74">
        <f t="shared" si="5354"/>
        <v>0</v>
      </c>
      <c r="ID152" s="74">
        <f t="shared" si="5354"/>
        <v>0</v>
      </c>
      <c r="IE152" s="792">
        <f t="shared" si="5354"/>
        <v>0</v>
      </c>
      <c r="IF152" s="841">
        <f t="shared" si="5354"/>
        <v>29663.56</v>
      </c>
      <c r="IG152" s="263">
        <f t="shared" si="5354"/>
        <v>29663.56</v>
      </c>
      <c r="IH152" s="842">
        <f t="shared" si="5354"/>
        <v>29663.56</v>
      </c>
      <c r="II152" s="155">
        <f t="shared" si="5354"/>
        <v>0</v>
      </c>
      <c r="IJ152" s="74">
        <f t="shared" si="5354"/>
        <v>0</v>
      </c>
      <c r="IK152" s="74">
        <f t="shared" si="5354"/>
        <v>0</v>
      </c>
      <c r="IL152" s="74">
        <f t="shared" si="5354"/>
        <v>0</v>
      </c>
      <c r="IM152" s="74">
        <f t="shared" si="5354"/>
        <v>0</v>
      </c>
      <c r="IN152" s="74">
        <f t="shared" si="5354"/>
        <v>0</v>
      </c>
      <c r="IO152" s="74">
        <f t="shared" si="5354"/>
        <v>0</v>
      </c>
      <c r="IP152" s="74">
        <f t="shared" si="5354"/>
        <v>0</v>
      </c>
      <c r="IQ152" s="74">
        <f t="shared" si="5354"/>
        <v>0</v>
      </c>
      <c r="IR152" s="74">
        <f t="shared" si="5354"/>
        <v>16.989999999999998</v>
      </c>
      <c r="IS152" s="74">
        <f t="shared" si="5354"/>
        <v>16.989999999999998</v>
      </c>
      <c r="IT152" s="74">
        <f t="shared" si="5354"/>
        <v>16.989999999999998</v>
      </c>
      <c r="IU152" s="74">
        <f t="shared" si="5354"/>
        <v>27804.39</v>
      </c>
      <c r="IV152" s="74">
        <f t="shared" si="5354"/>
        <v>27804.39</v>
      </c>
      <c r="IW152" s="74">
        <f t="shared" si="5354"/>
        <v>27804.39</v>
      </c>
      <c r="IX152" s="74">
        <f t="shared" si="5354"/>
        <v>515.12999999999738</v>
      </c>
      <c r="IY152" s="74">
        <f t="shared" si="5354"/>
        <v>515.12999999999738</v>
      </c>
      <c r="IZ152" s="74">
        <f t="shared" si="5354"/>
        <v>515.12999999999738</v>
      </c>
      <c r="JA152" s="74">
        <f t="shared" si="5354"/>
        <v>303.40000000000146</v>
      </c>
      <c r="JB152" s="74">
        <f t="shared" si="5354"/>
        <v>303.40000000000146</v>
      </c>
      <c r="JC152" s="74">
        <f t="shared" si="5354"/>
        <v>303.40000000000146</v>
      </c>
      <c r="JD152" s="74">
        <f t="shared" si="5354"/>
        <v>993.68000000000029</v>
      </c>
      <c r="JE152" s="74">
        <f t="shared" si="5354"/>
        <v>993.68000000000029</v>
      </c>
      <c r="JF152" s="74">
        <f t="shared" si="5354"/>
        <v>993.68000000000029</v>
      </c>
      <c r="JG152" s="74">
        <f t="shared" si="5354"/>
        <v>29.970000000001164</v>
      </c>
      <c r="JH152" s="74">
        <f t="shared" si="5354"/>
        <v>29.970000000001164</v>
      </c>
      <c r="JI152" s="74">
        <f t="shared" si="5354"/>
        <v>29.970000000001164</v>
      </c>
      <c r="JJ152" s="74">
        <f t="shared" si="5354"/>
        <v>0</v>
      </c>
      <c r="JK152" s="74">
        <f t="shared" si="5354"/>
        <v>0</v>
      </c>
      <c r="JL152" s="74">
        <f t="shared" si="5354"/>
        <v>0</v>
      </c>
      <c r="JM152" s="74">
        <f t="shared" si="5354"/>
        <v>0</v>
      </c>
      <c r="JN152" s="74">
        <f t="shared" si="5354"/>
        <v>0</v>
      </c>
      <c r="JO152" s="74">
        <f t="shared" si="5354"/>
        <v>0</v>
      </c>
      <c r="JP152" s="74">
        <f t="shared" si="5354"/>
        <v>0</v>
      </c>
      <c r="JQ152" s="74">
        <f t="shared" si="5354"/>
        <v>0</v>
      </c>
      <c r="JR152" s="74">
        <f t="shared" si="5354"/>
        <v>0</v>
      </c>
      <c r="JS152" s="74">
        <f t="shared" si="5354"/>
        <v>136.43999999999869</v>
      </c>
      <c r="JT152" s="102">
        <f t="shared" si="5354"/>
        <v>136.43999999999869</v>
      </c>
      <c r="JU152" s="671"/>
      <c r="JV152" s="492"/>
      <c r="JW152" s="490"/>
      <c r="JX152" s="549">
        <f>SUM(JX485)</f>
        <v>29800</v>
      </c>
      <c r="JY152" s="549">
        <f>SUM(JY485)</f>
        <v>0</v>
      </c>
      <c r="JZ152" s="581">
        <f t="shared" si="4944"/>
        <v>30000</v>
      </c>
      <c r="KA152" s="581">
        <f t="shared" si="4945"/>
        <v>-10200</v>
      </c>
      <c r="KB152" s="549">
        <f>SUM(KB485)</f>
        <v>29800</v>
      </c>
      <c r="KC152" s="709">
        <f t="shared" si="4908"/>
        <v>0</v>
      </c>
      <c r="KD152" s="36"/>
      <c r="KE152" s="36"/>
      <c r="KF152" s="36"/>
      <c r="KG152" s="36"/>
      <c r="KH152" s="36"/>
      <c r="KI152" s="36"/>
      <c r="KJ152" s="36"/>
      <c r="KK152" s="36"/>
    </row>
    <row r="153" spans="1:297" s="8" customFormat="1">
      <c r="A153" s="75" t="s">
        <v>180</v>
      </c>
      <c r="B153" s="72" t="s">
        <v>181</v>
      </c>
      <c r="C153" s="74">
        <f t="shared" ref="C153:BP153" si="5355">SUM(C486,C320)</f>
        <v>39000</v>
      </c>
      <c r="D153" s="549">
        <f t="shared" si="5355"/>
        <v>0</v>
      </c>
      <c r="E153" s="675">
        <f t="shared" si="5355"/>
        <v>0</v>
      </c>
      <c r="F153" s="549">
        <f t="shared" si="5355"/>
        <v>0</v>
      </c>
      <c r="G153" s="675">
        <f t="shared" si="5355"/>
        <v>0</v>
      </c>
      <c r="H153" s="549">
        <f t="shared" si="5355"/>
        <v>0</v>
      </c>
      <c r="I153" s="675">
        <f t="shared" si="5355"/>
        <v>0</v>
      </c>
      <c r="J153" s="549">
        <f t="shared" si="5355"/>
        <v>0</v>
      </c>
      <c r="K153" s="675">
        <f t="shared" si="5355"/>
        <v>0</v>
      </c>
      <c r="L153" s="549">
        <f t="shared" si="5355"/>
        <v>0</v>
      </c>
      <c r="M153" s="675">
        <f t="shared" si="5355"/>
        <v>0</v>
      </c>
      <c r="N153" s="549">
        <f t="shared" si="5355"/>
        <v>0</v>
      </c>
      <c r="O153" s="675">
        <f t="shared" si="5355"/>
        <v>0</v>
      </c>
      <c r="P153" s="549">
        <f t="shared" si="5355"/>
        <v>0</v>
      </c>
      <c r="Q153" s="675">
        <f t="shared" si="5355"/>
        <v>0</v>
      </c>
      <c r="R153" s="549">
        <f t="shared" si="5355"/>
        <v>0</v>
      </c>
      <c r="S153" s="675">
        <f t="shared" si="5355"/>
        <v>0</v>
      </c>
      <c r="T153" s="549">
        <f t="shared" si="5355"/>
        <v>0</v>
      </c>
      <c r="U153" s="675">
        <f t="shared" si="5355"/>
        <v>0</v>
      </c>
      <c r="V153" s="549">
        <f t="shared" si="5355"/>
        <v>0</v>
      </c>
      <c r="W153" s="675">
        <f t="shared" si="5355"/>
        <v>-3000</v>
      </c>
      <c r="X153" s="549">
        <f t="shared" si="5355"/>
        <v>0</v>
      </c>
      <c r="Y153" s="675">
        <f t="shared" si="5355"/>
        <v>0</v>
      </c>
      <c r="Z153" s="549">
        <f t="shared" si="5355"/>
        <v>0</v>
      </c>
      <c r="AA153" s="675">
        <f t="shared" si="5355"/>
        <v>0</v>
      </c>
      <c r="AB153" s="549">
        <f t="shared" si="5355"/>
        <v>0</v>
      </c>
      <c r="AC153" s="675">
        <f t="shared" si="5355"/>
        <v>0</v>
      </c>
      <c r="AD153" s="549">
        <f t="shared" si="5355"/>
        <v>0</v>
      </c>
      <c r="AE153" s="675">
        <f t="shared" si="5355"/>
        <v>0</v>
      </c>
      <c r="AF153" s="549">
        <f t="shared" si="5355"/>
        <v>0</v>
      </c>
      <c r="AG153" s="675">
        <f t="shared" si="5355"/>
        <v>0</v>
      </c>
      <c r="AH153" s="549">
        <f t="shared" si="5355"/>
        <v>0</v>
      </c>
      <c r="AI153" s="675">
        <f t="shared" si="5355"/>
        <v>0</v>
      </c>
      <c r="AJ153" s="549">
        <f t="shared" si="5355"/>
        <v>0</v>
      </c>
      <c r="AK153" s="675">
        <f t="shared" si="5355"/>
        <v>0</v>
      </c>
      <c r="AL153" s="549">
        <f t="shared" si="5355"/>
        <v>0</v>
      </c>
      <c r="AM153" s="675">
        <f t="shared" si="5355"/>
        <v>0</v>
      </c>
      <c r="AN153" s="549">
        <f t="shared" si="5355"/>
        <v>0</v>
      </c>
      <c r="AO153" s="675">
        <f t="shared" si="5355"/>
        <v>0</v>
      </c>
      <c r="AP153" s="549">
        <f t="shared" si="5355"/>
        <v>0</v>
      </c>
      <c r="AQ153" s="675">
        <f t="shared" si="5355"/>
        <v>0</v>
      </c>
      <c r="AR153" s="549">
        <f t="shared" si="5355"/>
        <v>0</v>
      </c>
      <c r="AS153" s="675">
        <f t="shared" si="5355"/>
        <v>0</v>
      </c>
      <c r="AT153" s="549">
        <f t="shared" ref="AT153:AU153" si="5356">SUM(AT486,AT320)</f>
        <v>0</v>
      </c>
      <c r="AU153" s="675">
        <f t="shared" si="5356"/>
        <v>0</v>
      </c>
      <c r="AV153" s="549">
        <f t="shared" ref="AV153:AW153" si="5357">SUM(AV486,AV320)</f>
        <v>0</v>
      </c>
      <c r="AW153" s="675">
        <f t="shared" si="5357"/>
        <v>0</v>
      </c>
      <c r="AX153" s="549">
        <f t="shared" ref="AX153:AY153" si="5358">SUM(AX486,AX320)</f>
        <v>0</v>
      </c>
      <c r="AY153" s="675">
        <f t="shared" si="5358"/>
        <v>0</v>
      </c>
      <c r="AZ153" s="549">
        <f t="shared" ref="AZ153:BA153" si="5359">SUM(AZ486,AZ320)</f>
        <v>0</v>
      </c>
      <c r="BA153" s="675">
        <f t="shared" si="5359"/>
        <v>0</v>
      </c>
      <c r="BB153" s="549">
        <f t="shared" ref="BB153:BC153" si="5360">SUM(BB486,BB320)</f>
        <v>0</v>
      </c>
      <c r="BC153" s="675">
        <f t="shared" si="5360"/>
        <v>0</v>
      </c>
      <c r="BD153" s="549">
        <f t="shared" ref="BD153:BE153" si="5361">SUM(BD486,BD320)</f>
        <v>0</v>
      </c>
      <c r="BE153" s="675">
        <f t="shared" si="5361"/>
        <v>0</v>
      </c>
      <c r="BF153" s="549">
        <f t="shared" ref="BF153:BG153" si="5362">SUM(BF486,BF320)</f>
        <v>0</v>
      </c>
      <c r="BG153" s="675">
        <f t="shared" si="5362"/>
        <v>0</v>
      </c>
      <c r="BH153" s="549">
        <f t="shared" ref="BH153:BI153" si="5363">SUM(BH486,BH320)</f>
        <v>0</v>
      </c>
      <c r="BI153" s="675">
        <f t="shared" si="5363"/>
        <v>0</v>
      </c>
      <c r="BJ153" s="549">
        <f t="shared" ref="BJ153:BK153" si="5364">SUM(BJ486,BJ320)</f>
        <v>0</v>
      </c>
      <c r="BK153" s="675">
        <f t="shared" si="5364"/>
        <v>0</v>
      </c>
      <c r="BL153" s="549">
        <f t="shared" si="5355"/>
        <v>0</v>
      </c>
      <c r="BM153" s="675">
        <f t="shared" si="5355"/>
        <v>0</v>
      </c>
      <c r="BN153" s="549">
        <f t="shared" si="5355"/>
        <v>0</v>
      </c>
      <c r="BO153" s="675">
        <f t="shared" si="5355"/>
        <v>0</v>
      </c>
      <c r="BP153" s="549">
        <f t="shared" si="5355"/>
        <v>0</v>
      </c>
      <c r="BQ153" s="675">
        <f t="shared" ref="BQ153" si="5365">SUM(BQ486,BQ320)</f>
        <v>0</v>
      </c>
      <c r="BR153" s="549">
        <f t="shared" ref="BR153:BS153" si="5366">SUM(BR486,BR320)</f>
        <v>0</v>
      </c>
      <c r="BS153" s="675">
        <f t="shared" si="5366"/>
        <v>0</v>
      </c>
      <c r="BT153" s="549">
        <f t="shared" ref="BT153:BU153" si="5367">SUM(BT486,BT320)</f>
        <v>0</v>
      </c>
      <c r="BU153" s="675">
        <f t="shared" si="5367"/>
        <v>0</v>
      </c>
      <c r="BV153" s="549">
        <f t="shared" ref="BV153:BW153" si="5368">SUM(BV486,BV320)</f>
        <v>0</v>
      </c>
      <c r="BW153" s="675">
        <f t="shared" si="5368"/>
        <v>0</v>
      </c>
      <c r="BX153" s="549">
        <f t="shared" ref="BX153:BY153" si="5369">SUM(BX486,BX320)</f>
        <v>0</v>
      </c>
      <c r="BY153" s="675">
        <f t="shared" si="5369"/>
        <v>0</v>
      </c>
      <c r="BZ153" s="549">
        <f t="shared" ref="BZ153:CA153" si="5370">SUM(BZ486,BZ320)</f>
        <v>0</v>
      </c>
      <c r="CA153" s="675">
        <f t="shared" si="5370"/>
        <v>0</v>
      </c>
      <c r="CB153" s="549">
        <f t="shared" ref="CB153:EC153" si="5371">SUM(CB486,CB320)</f>
        <v>0</v>
      </c>
      <c r="CC153" s="675">
        <f t="shared" si="5371"/>
        <v>0</v>
      </c>
      <c r="CD153" s="549">
        <f t="shared" si="5371"/>
        <v>0</v>
      </c>
      <c r="CE153" s="675">
        <f t="shared" si="5371"/>
        <v>0</v>
      </c>
      <c r="CF153" s="549">
        <f t="shared" si="5371"/>
        <v>0</v>
      </c>
      <c r="CG153" s="675">
        <f t="shared" si="5371"/>
        <v>0</v>
      </c>
      <c r="CH153" s="549">
        <f t="shared" si="5371"/>
        <v>0</v>
      </c>
      <c r="CI153" s="675">
        <f t="shared" si="5371"/>
        <v>-4000</v>
      </c>
      <c r="CJ153" s="549">
        <f t="shared" si="5371"/>
        <v>0</v>
      </c>
      <c r="CK153" s="675">
        <f t="shared" si="5371"/>
        <v>-5000</v>
      </c>
      <c r="CL153" s="549">
        <f t="shared" si="5371"/>
        <v>0</v>
      </c>
      <c r="CM153" s="675">
        <f t="shared" si="5371"/>
        <v>0</v>
      </c>
      <c r="CN153" s="549">
        <f t="shared" si="5371"/>
        <v>0</v>
      </c>
      <c r="CO153" s="675">
        <f t="shared" si="5371"/>
        <v>0</v>
      </c>
      <c r="CP153" s="549">
        <f t="shared" si="5371"/>
        <v>0</v>
      </c>
      <c r="CQ153" s="675">
        <f t="shared" si="5371"/>
        <v>0</v>
      </c>
      <c r="CR153" s="549">
        <f t="shared" si="5371"/>
        <v>0</v>
      </c>
      <c r="CS153" s="675">
        <f t="shared" si="5371"/>
        <v>0</v>
      </c>
      <c r="CT153" s="549">
        <f t="shared" si="5371"/>
        <v>0</v>
      </c>
      <c r="CU153" s="675">
        <f t="shared" si="5371"/>
        <v>0</v>
      </c>
      <c r="CV153" s="549">
        <f t="shared" si="5371"/>
        <v>0</v>
      </c>
      <c r="CW153" s="675">
        <f t="shared" si="5371"/>
        <v>0</v>
      </c>
      <c r="CX153" s="549">
        <f t="shared" si="5371"/>
        <v>0</v>
      </c>
      <c r="CY153" s="675">
        <f t="shared" si="5371"/>
        <v>0</v>
      </c>
      <c r="CZ153" s="549">
        <f t="shared" si="5371"/>
        <v>0</v>
      </c>
      <c r="DA153" s="675">
        <f t="shared" si="5371"/>
        <v>-1000</v>
      </c>
      <c r="DB153" s="549">
        <f t="shared" si="5371"/>
        <v>0</v>
      </c>
      <c r="DC153" s="675">
        <f t="shared" si="5371"/>
        <v>0</v>
      </c>
      <c r="DD153" s="549">
        <f t="shared" si="5371"/>
        <v>0</v>
      </c>
      <c r="DE153" s="675">
        <f t="shared" si="5371"/>
        <v>0</v>
      </c>
      <c r="DF153" s="549">
        <f t="shared" si="5371"/>
        <v>0</v>
      </c>
      <c r="DG153" s="675">
        <f t="shared" si="5371"/>
        <v>0</v>
      </c>
      <c r="DH153" s="549">
        <f t="shared" si="5371"/>
        <v>0</v>
      </c>
      <c r="DI153" s="675">
        <f t="shared" si="5371"/>
        <v>0</v>
      </c>
      <c r="DJ153" s="549">
        <f t="shared" si="5371"/>
        <v>0</v>
      </c>
      <c r="DK153" s="675">
        <f t="shared" si="5371"/>
        <v>0</v>
      </c>
      <c r="DL153" s="549">
        <f t="shared" si="5371"/>
        <v>0</v>
      </c>
      <c r="DM153" s="675">
        <f t="shared" si="5371"/>
        <v>0</v>
      </c>
      <c r="DN153" s="549">
        <f t="shared" si="5371"/>
        <v>0</v>
      </c>
      <c r="DO153" s="675">
        <f t="shared" si="5371"/>
        <v>0</v>
      </c>
      <c r="DP153" s="549">
        <f t="shared" si="5371"/>
        <v>0</v>
      </c>
      <c r="DQ153" s="675">
        <f t="shared" si="5371"/>
        <v>0</v>
      </c>
      <c r="DR153" s="549">
        <f t="shared" si="5371"/>
        <v>0</v>
      </c>
      <c r="DS153" s="675">
        <f t="shared" si="5371"/>
        <v>0</v>
      </c>
      <c r="DT153" s="549">
        <f t="shared" si="5371"/>
        <v>0</v>
      </c>
      <c r="DU153" s="675">
        <f t="shared" si="5371"/>
        <v>0</v>
      </c>
      <c r="DV153" s="549">
        <f t="shared" si="5371"/>
        <v>0</v>
      </c>
      <c r="DW153" s="675">
        <f t="shared" si="5371"/>
        <v>0</v>
      </c>
      <c r="DX153" s="549">
        <f t="shared" si="5371"/>
        <v>0</v>
      </c>
      <c r="DY153" s="675">
        <f t="shared" si="5371"/>
        <v>0</v>
      </c>
      <c r="DZ153" s="549">
        <f t="shared" si="5371"/>
        <v>0</v>
      </c>
      <c r="EA153" s="675">
        <f t="shared" si="5371"/>
        <v>0</v>
      </c>
      <c r="EB153" s="549">
        <f t="shared" si="5371"/>
        <v>0</v>
      </c>
      <c r="EC153" s="675">
        <f t="shared" si="5371"/>
        <v>0</v>
      </c>
      <c r="ED153" s="549">
        <f t="shared" ref="ED153:EE153" si="5372">SUM(ED486,ED320)</f>
        <v>0</v>
      </c>
      <c r="EE153" s="675">
        <f t="shared" si="5372"/>
        <v>0</v>
      </c>
      <c r="EF153" s="549">
        <f t="shared" ref="EF153:HV153" si="5373">SUM(EF486,EF320)</f>
        <v>0</v>
      </c>
      <c r="EG153" s="675">
        <f t="shared" si="5373"/>
        <v>0</v>
      </c>
      <c r="EH153" s="549">
        <f t="shared" si="5373"/>
        <v>0</v>
      </c>
      <c r="EI153" s="675">
        <f t="shared" si="5373"/>
        <v>0</v>
      </c>
      <c r="EJ153" s="549">
        <f t="shared" si="5373"/>
        <v>0</v>
      </c>
      <c r="EK153" s="675">
        <f t="shared" si="5373"/>
        <v>0</v>
      </c>
      <c r="EL153" s="549">
        <f t="shared" si="5373"/>
        <v>0</v>
      </c>
      <c r="EM153" s="675">
        <f t="shared" si="5373"/>
        <v>0</v>
      </c>
      <c r="EN153" s="549">
        <f t="shared" si="5373"/>
        <v>0</v>
      </c>
      <c r="EO153" s="675">
        <f t="shared" si="5373"/>
        <v>0</v>
      </c>
      <c r="EP153" s="549">
        <f t="shared" si="5373"/>
        <v>0</v>
      </c>
      <c r="EQ153" s="675">
        <f t="shared" si="5373"/>
        <v>0</v>
      </c>
      <c r="ER153" s="549">
        <f t="shared" si="5373"/>
        <v>0</v>
      </c>
      <c r="ES153" s="675">
        <f t="shared" si="5373"/>
        <v>0</v>
      </c>
      <c r="ET153" s="549">
        <f t="shared" si="5373"/>
        <v>0</v>
      </c>
      <c r="EU153" s="675">
        <f t="shared" si="5373"/>
        <v>0</v>
      </c>
      <c r="EV153" s="549">
        <f t="shared" si="5373"/>
        <v>0</v>
      </c>
      <c r="EW153" s="675">
        <f t="shared" si="5373"/>
        <v>0</v>
      </c>
      <c r="EX153" s="549">
        <f t="shared" si="5373"/>
        <v>0</v>
      </c>
      <c r="EY153" s="675">
        <f t="shared" si="5373"/>
        <v>0</v>
      </c>
      <c r="EZ153" s="549">
        <f t="shared" si="5373"/>
        <v>0</v>
      </c>
      <c r="FA153" s="675">
        <f t="shared" si="5373"/>
        <v>0</v>
      </c>
      <c r="FB153" s="549">
        <f t="shared" si="5373"/>
        <v>0</v>
      </c>
      <c r="FC153" s="675">
        <f t="shared" si="5373"/>
        <v>0</v>
      </c>
      <c r="FD153" s="549">
        <f t="shared" si="5373"/>
        <v>0</v>
      </c>
      <c r="FE153" s="675">
        <f t="shared" si="5373"/>
        <v>0</v>
      </c>
      <c r="FF153" s="549">
        <f t="shared" si="5373"/>
        <v>0</v>
      </c>
      <c r="FG153" s="675">
        <f t="shared" si="5373"/>
        <v>0</v>
      </c>
      <c r="FH153" s="549">
        <f t="shared" si="5373"/>
        <v>0</v>
      </c>
      <c r="FI153" s="675">
        <f t="shared" si="5373"/>
        <v>0</v>
      </c>
      <c r="FJ153" s="549">
        <f t="shared" si="5373"/>
        <v>0</v>
      </c>
      <c r="FK153" s="675">
        <f t="shared" si="5373"/>
        <v>-5000</v>
      </c>
      <c r="FL153" s="549">
        <f t="shared" ref="FL153:FM153" si="5374">SUM(FL486,FL320)</f>
        <v>0</v>
      </c>
      <c r="FM153" s="675">
        <f t="shared" si="5374"/>
        <v>0</v>
      </c>
      <c r="FN153" s="549">
        <f t="shared" ref="FN153:FO153" si="5375">SUM(FN486,FN320)</f>
        <v>0</v>
      </c>
      <c r="FO153" s="675">
        <f t="shared" si="5375"/>
        <v>0</v>
      </c>
      <c r="FP153" s="549">
        <f t="shared" ref="FP153:FQ153" si="5376">SUM(FP486,FP320)</f>
        <v>0</v>
      </c>
      <c r="FQ153" s="675">
        <f t="shared" si="5376"/>
        <v>0</v>
      </c>
      <c r="FR153" s="549">
        <f t="shared" ref="FR153:FS153" si="5377">SUM(FR486,FR320)</f>
        <v>0</v>
      </c>
      <c r="FS153" s="675">
        <f t="shared" si="5377"/>
        <v>0</v>
      </c>
      <c r="FT153" s="549">
        <f t="shared" ref="FT153:FU153" si="5378">SUM(FT486,FT320)</f>
        <v>0</v>
      </c>
      <c r="FU153" s="675">
        <f t="shared" si="5378"/>
        <v>0</v>
      </c>
      <c r="FV153" s="549">
        <f t="shared" ref="FV153:GK153" si="5379">SUM(FV486,FV320)</f>
        <v>0</v>
      </c>
      <c r="FW153" s="675">
        <f t="shared" si="5379"/>
        <v>0</v>
      </c>
      <c r="FX153" s="549">
        <f t="shared" si="5379"/>
        <v>0</v>
      </c>
      <c r="FY153" s="675">
        <f t="shared" si="5379"/>
        <v>0</v>
      </c>
      <c r="FZ153" s="549">
        <f t="shared" ref="FZ153:GI153" si="5380">SUM(FZ486,FZ320)</f>
        <v>0</v>
      </c>
      <c r="GA153" s="675">
        <f t="shared" si="5380"/>
        <v>0</v>
      </c>
      <c r="GB153" s="549">
        <f t="shared" si="5380"/>
        <v>0</v>
      </c>
      <c r="GC153" s="675">
        <f t="shared" si="5380"/>
        <v>0</v>
      </c>
      <c r="GD153" s="549">
        <f t="shared" si="5380"/>
        <v>0</v>
      </c>
      <c r="GE153" s="675">
        <f t="shared" si="5380"/>
        <v>0</v>
      </c>
      <c r="GF153" s="549">
        <f t="shared" si="5380"/>
        <v>0</v>
      </c>
      <c r="GG153" s="675">
        <f t="shared" si="5380"/>
        <v>0</v>
      </c>
      <c r="GH153" s="549">
        <f t="shared" si="5380"/>
        <v>0</v>
      </c>
      <c r="GI153" s="675">
        <f t="shared" si="5380"/>
        <v>0</v>
      </c>
      <c r="GJ153" s="549">
        <f t="shared" si="5379"/>
        <v>0</v>
      </c>
      <c r="GK153" s="675">
        <f t="shared" si="5379"/>
        <v>0</v>
      </c>
      <c r="GL153" s="549">
        <f t="shared" ref="GL153:GM153" si="5381">SUM(GL486,GL320)</f>
        <v>0</v>
      </c>
      <c r="GM153" s="675">
        <f t="shared" si="5381"/>
        <v>0</v>
      </c>
      <c r="GN153" s="549">
        <f t="shared" ref="GN153:GO153" si="5382">SUM(GN486,GN320)</f>
        <v>0</v>
      </c>
      <c r="GO153" s="675">
        <f t="shared" si="5382"/>
        <v>0</v>
      </c>
      <c r="GP153" s="74">
        <f t="shared" si="5373"/>
        <v>0</v>
      </c>
      <c r="GQ153" s="675">
        <f t="shared" si="5373"/>
        <v>-18000</v>
      </c>
      <c r="GR153" s="74">
        <f t="shared" si="5373"/>
        <v>21000</v>
      </c>
      <c r="GS153" s="74">
        <f t="shared" si="5373"/>
        <v>21000</v>
      </c>
      <c r="GT153" s="74">
        <f t="shared" si="5373"/>
        <v>21000</v>
      </c>
      <c r="GU153" s="74">
        <f t="shared" si="5373"/>
        <v>3900</v>
      </c>
      <c r="GV153" s="74">
        <f t="shared" si="5373"/>
        <v>3900</v>
      </c>
      <c r="GW153" s="74">
        <f t="shared" si="5373"/>
        <v>3900</v>
      </c>
      <c r="GX153" s="74">
        <f t="shared" si="5373"/>
        <v>3900</v>
      </c>
      <c r="GY153" s="74">
        <f t="shared" si="5373"/>
        <v>3900</v>
      </c>
      <c r="GZ153" s="74">
        <f t="shared" si="5373"/>
        <v>3900</v>
      </c>
      <c r="HA153" s="74">
        <f t="shared" si="5373"/>
        <v>3900</v>
      </c>
      <c r="HB153" s="74">
        <f t="shared" si="5373"/>
        <v>3900</v>
      </c>
      <c r="HC153" s="74">
        <f t="shared" si="5373"/>
        <v>3900</v>
      </c>
      <c r="HD153" s="74">
        <f t="shared" si="5373"/>
        <v>3900</v>
      </c>
      <c r="HE153" s="74">
        <f t="shared" si="5373"/>
        <v>0</v>
      </c>
      <c r="HF153" s="74">
        <f t="shared" si="5373"/>
        <v>0</v>
      </c>
      <c r="HG153" s="74">
        <f t="shared" si="5373"/>
        <v>21000</v>
      </c>
      <c r="HH153" s="74">
        <f t="shared" si="5373"/>
        <v>3900</v>
      </c>
      <c r="HI153" s="74">
        <f t="shared" si="5373"/>
        <v>0</v>
      </c>
      <c r="HJ153" s="74">
        <f t="shared" si="5373"/>
        <v>3900</v>
      </c>
      <c r="HK153" s="74">
        <f t="shared" si="5373"/>
        <v>0</v>
      </c>
      <c r="HL153" s="74">
        <f t="shared" si="5373"/>
        <v>900</v>
      </c>
      <c r="HM153" s="74">
        <f t="shared" si="5373"/>
        <v>0</v>
      </c>
      <c r="HN153" s="74">
        <f t="shared" si="5373"/>
        <v>3900</v>
      </c>
      <c r="HO153" s="74">
        <f t="shared" si="5373"/>
        <v>0</v>
      </c>
      <c r="HP153" s="74">
        <f t="shared" si="5373"/>
        <v>0</v>
      </c>
      <c r="HQ153" s="74">
        <f t="shared" si="5373"/>
        <v>0</v>
      </c>
      <c r="HR153" s="74">
        <f t="shared" si="5373"/>
        <v>3800</v>
      </c>
      <c r="HS153" s="74">
        <f t="shared" si="5373"/>
        <v>0</v>
      </c>
      <c r="HT153" s="74">
        <f t="shared" si="5373"/>
        <v>-2100</v>
      </c>
      <c r="HU153" s="74">
        <f t="shared" si="5373"/>
        <v>0</v>
      </c>
      <c r="HV153" s="74">
        <f t="shared" si="5373"/>
        <v>0</v>
      </c>
      <c r="HW153" s="74">
        <f t="shared" ref="HW153:JT153" si="5383">SUM(HW486,HW320)</f>
        <v>0</v>
      </c>
      <c r="HX153" s="74">
        <f t="shared" si="5383"/>
        <v>7800</v>
      </c>
      <c r="HY153" s="74">
        <f t="shared" si="5383"/>
        <v>0</v>
      </c>
      <c r="HZ153" s="74">
        <f t="shared" si="5383"/>
        <v>-1100</v>
      </c>
      <c r="IA153" s="74">
        <f t="shared" si="5383"/>
        <v>0</v>
      </c>
      <c r="IB153" s="74">
        <f t="shared" si="5383"/>
        <v>0</v>
      </c>
      <c r="IC153" s="74">
        <f t="shared" si="5383"/>
        <v>0</v>
      </c>
      <c r="ID153" s="74">
        <f t="shared" si="5383"/>
        <v>0</v>
      </c>
      <c r="IE153" s="792">
        <f t="shared" si="5383"/>
        <v>0</v>
      </c>
      <c r="IF153" s="841">
        <f t="shared" si="5383"/>
        <v>15246.31</v>
      </c>
      <c r="IG153" s="263">
        <f t="shared" si="5383"/>
        <v>15246.31</v>
      </c>
      <c r="IH153" s="842">
        <f t="shared" si="5383"/>
        <v>15246.31</v>
      </c>
      <c r="II153" s="155">
        <f t="shared" si="5383"/>
        <v>1785.95</v>
      </c>
      <c r="IJ153" s="74">
        <f t="shared" si="5383"/>
        <v>1785.95</v>
      </c>
      <c r="IK153" s="74">
        <f t="shared" si="5383"/>
        <v>1785.95</v>
      </c>
      <c r="IL153" s="74">
        <f t="shared" si="5383"/>
        <v>1019.9799999999998</v>
      </c>
      <c r="IM153" s="74">
        <f t="shared" si="5383"/>
        <v>1019.9799999999998</v>
      </c>
      <c r="IN153" s="74">
        <f t="shared" si="5383"/>
        <v>1019.9799999999998</v>
      </c>
      <c r="IO153" s="74">
        <f t="shared" si="5383"/>
        <v>0.70000000000027285</v>
      </c>
      <c r="IP153" s="74">
        <f t="shared" si="5383"/>
        <v>0.70000000000027285</v>
      </c>
      <c r="IQ153" s="74">
        <f t="shared" si="5383"/>
        <v>0.70000000000027285</v>
      </c>
      <c r="IR153" s="74">
        <f t="shared" si="5383"/>
        <v>1324.0699999999997</v>
      </c>
      <c r="IS153" s="74">
        <f t="shared" si="5383"/>
        <v>1324.0699999999997</v>
      </c>
      <c r="IT153" s="74">
        <f t="shared" si="5383"/>
        <v>1324.0699999999997</v>
      </c>
      <c r="IU153" s="74">
        <f t="shared" si="5383"/>
        <v>2698.3</v>
      </c>
      <c r="IV153" s="74">
        <f t="shared" si="5383"/>
        <v>2698.3</v>
      </c>
      <c r="IW153" s="74">
        <f t="shared" si="5383"/>
        <v>2698.3</v>
      </c>
      <c r="IX153" s="74">
        <f t="shared" si="5383"/>
        <v>477.03999999999996</v>
      </c>
      <c r="IY153" s="74">
        <f t="shared" si="5383"/>
        <v>477.03999999999996</v>
      </c>
      <c r="IZ153" s="74">
        <f t="shared" si="5383"/>
        <v>477.03999999999996</v>
      </c>
      <c r="JA153" s="74">
        <f t="shared" si="5383"/>
        <v>1955.29</v>
      </c>
      <c r="JB153" s="74">
        <f t="shared" si="5383"/>
        <v>1955.29</v>
      </c>
      <c r="JC153" s="74">
        <f t="shared" si="5383"/>
        <v>1955.29</v>
      </c>
      <c r="JD153" s="74">
        <f t="shared" si="5383"/>
        <v>4664.8700000000008</v>
      </c>
      <c r="JE153" s="74">
        <f t="shared" si="5383"/>
        <v>4664.8700000000008</v>
      </c>
      <c r="JF153" s="74">
        <f t="shared" si="5383"/>
        <v>4664.8700000000008</v>
      </c>
      <c r="JG153" s="74">
        <f t="shared" si="5383"/>
        <v>591.65999999999985</v>
      </c>
      <c r="JH153" s="74">
        <f t="shared" si="5383"/>
        <v>591.65999999999985</v>
      </c>
      <c r="JI153" s="74">
        <f t="shared" si="5383"/>
        <v>591.65999999999985</v>
      </c>
      <c r="JJ153" s="74">
        <f t="shared" si="5383"/>
        <v>728.44999999999891</v>
      </c>
      <c r="JK153" s="74">
        <f t="shared" si="5383"/>
        <v>728.44999999999891</v>
      </c>
      <c r="JL153" s="74">
        <f t="shared" si="5383"/>
        <v>728.44999999999891</v>
      </c>
      <c r="JM153" s="74">
        <f t="shared" si="5383"/>
        <v>0</v>
      </c>
      <c r="JN153" s="74">
        <f t="shared" si="5383"/>
        <v>0</v>
      </c>
      <c r="JO153" s="74">
        <f t="shared" si="5383"/>
        <v>0</v>
      </c>
      <c r="JP153" s="74">
        <f t="shared" si="5383"/>
        <v>0</v>
      </c>
      <c r="JQ153" s="74">
        <f t="shared" si="5383"/>
        <v>0</v>
      </c>
      <c r="JR153" s="74">
        <f t="shared" si="5383"/>
        <v>0</v>
      </c>
      <c r="JS153" s="74">
        <f t="shared" si="5383"/>
        <v>5753.6900000000005</v>
      </c>
      <c r="JT153" s="74">
        <f t="shared" si="5383"/>
        <v>5753.6900000000005</v>
      </c>
      <c r="JU153" s="671"/>
      <c r="JV153" s="492"/>
      <c r="JW153" s="490"/>
      <c r="JX153" s="74">
        <f>SUM(JX486,JX320)</f>
        <v>21000</v>
      </c>
      <c r="JY153" s="74">
        <f>SUM(JY486,JY320)</f>
        <v>0</v>
      </c>
      <c r="JZ153" s="581">
        <f t="shared" si="4944"/>
        <v>0</v>
      </c>
      <c r="KA153" s="581">
        <f t="shared" si="4945"/>
        <v>-18000</v>
      </c>
      <c r="KB153" s="74">
        <f>SUM(KB486,KB320)</f>
        <v>21000</v>
      </c>
      <c r="KC153" s="709">
        <f t="shared" si="4908"/>
        <v>0</v>
      </c>
      <c r="KD153" s="36"/>
      <c r="KE153" s="36"/>
      <c r="KF153" s="36"/>
      <c r="KG153" s="36"/>
      <c r="KH153" s="36"/>
      <c r="KI153" s="36"/>
      <c r="KJ153" s="36"/>
      <c r="KK153" s="36"/>
    </row>
    <row r="154" spans="1:297" s="8" customFormat="1">
      <c r="A154" s="75"/>
      <c r="B154" s="72"/>
      <c r="C154" s="74"/>
      <c r="D154" s="549"/>
      <c r="E154" s="675"/>
      <c r="F154" s="549"/>
      <c r="G154" s="675"/>
      <c r="H154" s="549"/>
      <c r="I154" s="675"/>
      <c r="J154" s="549"/>
      <c r="K154" s="675"/>
      <c r="L154" s="549"/>
      <c r="M154" s="675"/>
      <c r="N154" s="549"/>
      <c r="O154" s="675"/>
      <c r="P154" s="549"/>
      <c r="Q154" s="675"/>
      <c r="R154" s="549"/>
      <c r="S154" s="675"/>
      <c r="T154" s="549"/>
      <c r="U154" s="675"/>
      <c r="V154" s="549"/>
      <c r="W154" s="675"/>
      <c r="X154" s="549"/>
      <c r="Y154" s="675"/>
      <c r="Z154" s="549"/>
      <c r="AA154" s="675"/>
      <c r="AB154" s="549"/>
      <c r="AC154" s="675"/>
      <c r="AD154" s="549"/>
      <c r="AE154" s="675"/>
      <c r="AF154" s="549"/>
      <c r="AG154" s="675"/>
      <c r="AH154" s="549"/>
      <c r="AI154" s="675"/>
      <c r="AJ154" s="549"/>
      <c r="AK154" s="675"/>
      <c r="AL154" s="549"/>
      <c r="AM154" s="675"/>
      <c r="AN154" s="549"/>
      <c r="AO154" s="675"/>
      <c r="AP154" s="549"/>
      <c r="AQ154" s="675"/>
      <c r="AR154" s="549"/>
      <c r="AS154" s="675"/>
      <c r="AT154" s="549"/>
      <c r="AU154" s="675"/>
      <c r="AV154" s="549"/>
      <c r="AW154" s="675"/>
      <c r="AX154" s="549"/>
      <c r="AY154" s="675"/>
      <c r="AZ154" s="549"/>
      <c r="BA154" s="675"/>
      <c r="BB154" s="549"/>
      <c r="BC154" s="675"/>
      <c r="BD154" s="549"/>
      <c r="BE154" s="675"/>
      <c r="BF154" s="549"/>
      <c r="BG154" s="675"/>
      <c r="BH154" s="549"/>
      <c r="BI154" s="675"/>
      <c r="BJ154" s="549"/>
      <c r="BK154" s="675"/>
      <c r="BL154" s="549"/>
      <c r="BM154" s="675"/>
      <c r="BN154" s="549"/>
      <c r="BO154" s="675"/>
      <c r="BP154" s="549"/>
      <c r="BQ154" s="675"/>
      <c r="BR154" s="549"/>
      <c r="BS154" s="675"/>
      <c r="BT154" s="549"/>
      <c r="BU154" s="675"/>
      <c r="BV154" s="549"/>
      <c r="BW154" s="675"/>
      <c r="BX154" s="549"/>
      <c r="BY154" s="675"/>
      <c r="BZ154" s="549"/>
      <c r="CA154" s="675"/>
      <c r="CB154" s="549"/>
      <c r="CC154" s="675"/>
      <c r="CD154" s="549"/>
      <c r="CE154" s="675"/>
      <c r="CF154" s="549"/>
      <c r="CG154" s="675"/>
      <c r="CH154" s="549"/>
      <c r="CI154" s="675"/>
      <c r="CJ154" s="549"/>
      <c r="CK154" s="675"/>
      <c r="CL154" s="549"/>
      <c r="CM154" s="675"/>
      <c r="CN154" s="549"/>
      <c r="CO154" s="675"/>
      <c r="CP154" s="549"/>
      <c r="CQ154" s="675"/>
      <c r="CR154" s="549"/>
      <c r="CS154" s="675"/>
      <c r="CT154" s="549"/>
      <c r="CU154" s="675"/>
      <c r="CV154" s="549"/>
      <c r="CW154" s="675"/>
      <c r="CX154" s="549"/>
      <c r="CY154" s="675"/>
      <c r="CZ154" s="549"/>
      <c r="DA154" s="675"/>
      <c r="DB154" s="549"/>
      <c r="DC154" s="675"/>
      <c r="DD154" s="549"/>
      <c r="DE154" s="675"/>
      <c r="DF154" s="549"/>
      <c r="DG154" s="675"/>
      <c r="DH154" s="549"/>
      <c r="DI154" s="675"/>
      <c r="DJ154" s="549"/>
      <c r="DK154" s="675"/>
      <c r="DL154" s="549"/>
      <c r="DM154" s="675"/>
      <c r="DN154" s="549"/>
      <c r="DO154" s="675"/>
      <c r="DP154" s="549"/>
      <c r="DQ154" s="675"/>
      <c r="DR154" s="549"/>
      <c r="DS154" s="675"/>
      <c r="DT154" s="549"/>
      <c r="DU154" s="675"/>
      <c r="DV154" s="549"/>
      <c r="DW154" s="675"/>
      <c r="DX154" s="549"/>
      <c r="DY154" s="675"/>
      <c r="DZ154" s="549"/>
      <c r="EA154" s="675"/>
      <c r="EB154" s="549"/>
      <c r="EC154" s="675"/>
      <c r="ED154" s="549"/>
      <c r="EE154" s="675"/>
      <c r="EF154" s="549"/>
      <c r="EG154" s="675"/>
      <c r="EH154" s="549"/>
      <c r="EI154" s="675"/>
      <c r="EJ154" s="549"/>
      <c r="EK154" s="675"/>
      <c r="EL154" s="549"/>
      <c r="EM154" s="675"/>
      <c r="EN154" s="549"/>
      <c r="EO154" s="675"/>
      <c r="EP154" s="549"/>
      <c r="EQ154" s="675"/>
      <c r="ER154" s="549"/>
      <c r="ES154" s="675"/>
      <c r="ET154" s="549"/>
      <c r="EU154" s="675"/>
      <c r="EV154" s="549"/>
      <c r="EW154" s="675"/>
      <c r="EX154" s="549"/>
      <c r="EY154" s="675"/>
      <c r="EZ154" s="549"/>
      <c r="FA154" s="675"/>
      <c r="FB154" s="549"/>
      <c r="FC154" s="675"/>
      <c r="FD154" s="549"/>
      <c r="FE154" s="675"/>
      <c r="FF154" s="549"/>
      <c r="FG154" s="675"/>
      <c r="FH154" s="549"/>
      <c r="FI154" s="675"/>
      <c r="FJ154" s="549"/>
      <c r="FK154" s="675"/>
      <c r="FL154" s="549"/>
      <c r="FM154" s="675"/>
      <c r="FN154" s="549"/>
      <c r="FO154" s="675"/>
      <c r="FP154" s="549"/>
      <c r="FQ154" s="675"/>
      <c r="FR154" s="549"/>
      <c r="FS154" s="675"/>
      <c r="FT154" s="549"/>
      <c r="FU154" s="675"/>
      <c r="FV154" s="549"/>
      <c r="FW154" s="675"/>
      <c r="FX154" s="549"/>
      <c r="FY154" s="675"/>
      <c r="FZ154" s="549"/>
      <c r="GA154" s="675"/>
      <c r="GB154" s="549"/>
      <c r="GC154" s="675"/>
      <c r="GD154" s="549"/>
      <c r="GE154" s="675"/>
      <c r="GF154" s="549"/>
      <c r="GG154" s="675"/>
      <c r="GH154" s="549"/>
      <c r="GI154" s="675"/>
      <c r="GJ154" s="549"/>
      <c r="GK154" s="675"/>
      <c r="GL154" s="549"/>
      <c r="GM154" s="675"/>
      <c r="GN154" s="549"/>
      <c r="GO154" s="675"/>
      <c r="GP154" s="74"/>
      <c r="GQ154" s="675"/>
      <c r="GR154" s="74"/>
      <c r="GS154" s="74"/>
      <c r="GT154" s="549"/>
      <c r="GU154" s="74"/>
      <c r="GV154" s="74"/>
      <c r="GW154" s="549"/>
      <c r="GX154" s="549"/>
      <c r="GY154" s="74"/>
      <c r="GZ154" s="74"/>
      <c r="HA154" s="74"/>
      <c r="HB154" s="74"/>
      <c r="HC154" s="74"/>
      <c r="HD154" s="74"/>
      <c r="HE154" s="74"/>
      <c r="HF154" s="74"/>
      <c r="HG154" s="74"/>
      <c r="HH154" s="74"/>
      <c r="HI154" s="74"/>
      <c r="HJ154" s="74"/>
      <c r="HK154" s="74"/>
      <c r="HL154" s="74"/>
      <c r="HM154" s="74"/>
      <c r="HN154" s="74"/>
      <c r="HO154" s="74"/>
      <c r="HP154" s="74"/>
      <c r="HQ154" s="74"/>
      <c r="HR154" s="74"/>
      <c r="HS154" s="74"/>
      <c r="HT154" s="74"/>
      <c r="HU154" s="74"/>
      <c r="HV154" s="74"/>
      <c r="HW154" s="74"/>
      <c r="HX154" s="74"/>
      <c r="HY154" s="74"/>
      <c r="HZ154" s="74"/>
      <c r="IA154" s="74"/>
      <c r="IB154" s="74"/>
      <c r="IC154" s="74"/>
      <c r="ID154" s="74"/>
      <c r="IE154" s="792"/>
      <c r="IF154" s="841"/>
      <c r="IG154" s="263"/>
      <c r="IH154" s="842"/>
      <c r="II154" s="155"/>
      <c r="IJ154" s="74"/>
      <c r="IK154" s="74"/>
      <c r="IL154" s="74"/>
      <c r="IM154" s="74"/>
      <c r="IN154" s="74"/>
      <c r="IO154" s="74"/>
      <c r="IP154" s="74"/>
      <c r="IQ154" s="74"/>
      <c r="IR154" s="74"/>
      <c r="IS154" s="74"/>
      <c r="IT154" s="74"/>
      <c r="IU154" s="74"/>
      <c r="IV154" s="74"/>
      <c r="IW154" s="74"/>
      <c r="IX154" s="74"/>
      <c r="IY154" s="74"/>
      <c r="IZ154" s="74"/>
      <c r="JA154" s="74"/>
      <c r="JB154" s="74"/>
      <c r="JC154" s="74"/>
      <c r="JD154" s="74"/>
      <c r="JE154" s="74"/>
      <c r="JF154" s="74"/>
      <c r="JG154" s="74"/>
      <c r="JH154" s="74"/>
      <c r="JI154" s="74"/>
      <c r="JJ154" s="74"/>
      <c r="JK154" s="74"/>
      <c r="JL154" s="74"/>
      <c r="JM154" s="74"/>
      <c r="JN154" s="74"/>
      <c r="JO154" s="74"/>
      <c r="JP154" s="74"/>
      <c r="JQ154" s="74"/>
      <c r="JR154" s="74"/>
      <c r="JS154" s="74"/>
      <c r="JT154" s="382"/>
      <c r="JU154" s="671"/>
      <c r="JV154" s="492"/>
      <c r="JW154" s="490"/>
      <c r="JX154" s="549"/>
      <c r="JY154" s="549"/>
      <c r="JZ154" s="581">
        <f t="shared" si="4944"/>
        <v>0</v>
      </c>
      <c r="KA154" s="581">
        <f t="shared" si="4945"/>
        <v>0</v>
      </c>
      <c r="KB154" s="549"/>
      <c r="KC154" s="709">
        <f t="shared" si="4908"/>
        <v>0</v>
      </c>
      <c r="KD154" s="36"/>
      <c r="KE154" s="36"/>
      <c r="KF154" s="36"/>
      <c r="KG154" s="36"/>
      <c r="KH154" s="36"/>
      <c r="KI154" s="36"/>
      <c r="KJ154" s="36"/>
      <c r="KK154" s="36"/>
    </row>
    <row r="155" spans="1:297" s="8" customFormat="1">
      <c r="A155" s="75" t="s">
        <v>182</v>
      </c>
      <c r="B155" s="72" t="s">
        <v>183</v>
      </c>
      <c r="C155" s="74">
        <f>SUM(C156:C163)</f>
        <v>125000</v>
      </c>
      <c r="D155" s="549">
        <f t="shared" ref="D155:E155" si="5384">SUM(D156:D163)</f>
        <v>0</v>
      </c>
      <c r="E155" s="675">
        <f t="shared" si="5384"/>
        <v>0</v>
      </c>
      <c r="F155" s="549">
        <f t="shared" ref="F155:G155" si="5385">SUM(F156:F163)</f>
        <v>0</v>
      </c>
      <c r="G155" s="675">
        <f t="shared" si="5385"/>
        <v>0</v>
      </c>
      <c r="H155" s="549">
        <f t="shared" ref="H155:AC155" si="5386">SUM(H156:H163)</f>
        <v>0</v>
      </c>
      <c r="I155" s="675">
        <f t="shared" si="5386"/>
        <v>0</v>
      </c>
      <c r="J155" s="549">
        <f t="shared" si="5386"/>
        <v>0</v>
      </c>
      <c r="K155" s="675">
        <f t="shared" si="5386"/>
        <v>0</v>
      </c>
      <c r="L155" s="549">
        <f t="shared" si="5386"/>
        <v>0</v>
      </c>
      <c r="M155" s="675">
        <f t="shared" si="5386"/>
        <v>0</v>
      </c>
      <c r="N155" s="549">
        <f t="shared" si="5386"/>
        <v>0</v>
      </c>
      <c r="O155" s="675">
        <f t="shared" si="5386"/>
        <v>0</v>
      </c>
      <c r="P155" s="549">
        <f t="shared" si="5386"/>
        <v>0</v>
      </c>
      <c r="Q155" s="675">
        <f t="shared" si="5386"/>
        <v>0</v>
      </c>
      <c r="R155" s="549">
        <f t="shared" si="5386"/>
        <v>0</v>
      </c>
      <c r="S155" s="675">
        <f t="shared" si="5386"/>
        <v>0</v>
      </c>
      <c r="T155" s="549">
        <f t="shared" si="5386"/>
        <v>0</v>
      </c>
      <c r="U155" s="675">
        <f t="shared" si="5386"/>
        <v>0</v>
      </c>
      <c r="V155" s="549">
        <f t="shared" si="5386"/>
        <v>0</v>
      </c>
      <c r="W155" s="675">
        <f t="shared" si="5386"/>
        <v>-9000</v>
      </c>
      <c r="X155" s="549">
        <f t="shared" si="5386"/>
        <v>0</v>
      </c>
      <c r="Y155" s="675">
        <f t="shared" si="5386"/>
        <v>0</v>
      </c>
      <c r="Z155" s="549">
        <f t="shared" si="5386"/>
        <v>0</v>
      </c>
      <c r="AA155" s="675">
        <f t="shared" si="5386"/>
        <v>0</v>
      </c>
      <c r="AB155" s="549">
        <f t="shared" si="5386"/>
        <v>0</v>
      </c>
      <c r="AC155" s="675">
        <f t="shared" si="5386"/>
        <v>0</v>
      </c>
      <c r="AD155" s="549">
        <f t="shared" ref="AD155:AK155" si="5387">SUM(AD156:AD163)</f>
        <v>3000</v>
      </c>
      <c r="AE155" s="675">
        <f t="shared" si="5387"/>
        <v>-4000</v>
      </c>
      <c r="AF155" s="549">
        <f t="shared" si="5387"/>
        <v>0</v>
      </c>
      <c r="AG155" s="675">
        <f t="shared" si="5387"/>
        <v>0</v>
      </c>
      <c r="AH155" s="549">
        <f t="shared" si="5387"/>
        <v>0</v>
      </c>
      <c r="AI155" s="675">
        <f t="shared" si="5387"/>
        <v>0</v>
      </c>
      <c r="AJ155" s="549">
        <f t="shared" si="5387"/>
        <v>0</v>
      </c>
      <c r="AK155" s="675">
        <f t="shared" si="5387"/>
        <v>0</v>
      </c>
      <c r="AL155" s="549">
        <f t="shared" ref="AL155:AM155" si="5388">SUM(AL156:AL163)</f>
        <v>0</v>
      </c>
      <c r="AM155" s="675">
        <f t="shared" si="5388"/>
        <v>0</v>
      </c>
      <c r="AN155" s="549">
        <f t="shared" ref="AN155:AS155" si="5389">SUM(AN156:AN163)</f>
        <v>0</v>
      </c>
      <c r="AO155" s="675">
        <f t="shared" si="5389"/>
        <v>0</v>
      </c>
      <c r="AP155" s="549">
        <f t="shared" si="5389"/>
        <v>0</v>
      </c>
      <c r="AQ155" s="675">
        <f t="shared" si="5389"/>
        <v>0</v>
      </c>
      <c r="AR155" s="549">
        <f t="shared" si="5389"/>
        <v>0</v>
      </c>
      <c r="AS155" s="675">
        <f t="shared" si="5389"/>
        <v>0</v>
      </c>
      <c r="AT155" s="549">
        <f t="shared" ref="AT155:AU155" si="5390">SUM(AT156:AT163)</f>
        <v>0</v>
      </c>
      <c r="AU155" s="675">
        <f t="shared" si="5390"/>
        <v>0</v>
      </c>
      <c r="AV155" s="549">
        <f t="shared" ref="AV155:AW155" si="5391">SUM(AV156:AV163)</f>
        <v>0</v>
      </c>
      <c r="AW155" s="675">
        <f t="shared" si="5391"/>
        <v>0</v>
      </c>
      <c r="AX155" s="549">
        <f t="shared" ref="AX155:AY155" si="5392">SUM(AX156:AX163)</f>
        <v>0</v>
      </c>
      <c r="AY155" s="675">
        <f t="shared" si="5392"/>
        <v>0</v>
      </c>
      <c r="AZ155" s="549">
        <f t="shared" ref="AZ155:BA155" si="5393">SUM(AZ156:AZ163)</f>
        <v>0</v>
      </c>
      <c r="BA155" s="675">
        <f t="shared" si="5393"/>
        <v>0</v>
      </c>
      <c r="BB155" s="549">
        <f t="shared" ref="BB155:BC155" si="5394">SUM(BB156:BB163)</f>
        <v>0</v>
      </c>
      <c r="BC155" s="675">
        <f t="shared" si="5394"/>
        <v>0</v>
      </c>
      <c r="BD155" s="549">
        <f t="shared" ref="BD155:BE155" si="5395">SUM(BD156:BD163)</f>
        <v>0</v>
      </c>
      <c r="BE155" s="675">
        <f t="shared" si="5395"/>
        <v>0</v>
      </c>
      <c r="BF155" s="549">
        <f t="shared" ref="BF155:BG155" si="5396">SUM(BF156:BF163)</f>
        <v>10000</v>
      </c>
      <c r="BG155" s="675">
        <f t="shared" si="5396"/>
        <v>0</v>
      </c>
      <c r="BH155" s="549">
        <f t="shared" ref="BH155:BI155" si="5397">SUM(BH156:BH163)</f>
        <v>0</v>
      </c>
      <c r="BI155" s="675">
        <f t="shared" si="5397"/>
        <v>0</v>
      </c>
      <c r="BJ155" s="549">
        <f t="shared" ref="BJ155:BK155" si="5398">SUM(BJ156:BJ163)</f>
        <v>0</v>
      </c>
      <c r="BK155" s="675">
        <f t="shared" si="5398"/>
        <v>0</v>
      </c>
      <c r="BL155" s="549">
        <f t="shared" ref="BL155:BS155" si="5399">SUM(BL156:BL163)</f>
        <v>0</v>
      </c>
      <c r="BM155" s="675">
        <f t="shared" si="5399"/>
        <v>0</v>
      </c>
      <c r="BN155" s="549">
        <f t="shared" si="5399"/>
        <v>0</v>
      </c>
      <c r="BO155" s="675">
        <f t="shared" si="5399"/>
        <v>0</v>
      </c>
      <c r="BP155" s="549">
        <f t="shared" si="5399"/>
        <v>0</v>
      </c>
      <c r="BQ155" s="675">
        <f t="shared" si="5399"/>
        <v>0</v>
      </c>
      <c r="BR155" s="549">
        <f t="shared" si="5399"/>
        <v>0</v>
      </c>
      <c r="BS155" s="675">
        <f t="shared" si="5399"/>
        <v>0</v>
      </c>
      <c r="BT155" s="549">
        <f t="shared" ref="BT155:BU155" si="5400">SUM(BT156:BT163)</f>
        <v>0</v>
      </c>
      <c r="BU155" s="675">
        <f t="shared" si="5400"/>
        <v>0</v>
      </c>
      <c r="BV155" s="549">
        <f t="shared" ref="BV155:BW155" si="5401">SUM(BV156:BV163)</f>
        <v>0</v>
      </c>
      <c r="BW155" s="675">
        <f t="shared" si="5401"/>
        <v>0</v>
      </c>
      <c r="BX155" s="549">
        <f t="shared" ref="BX155:BY155" si="5402">SUM(BX156:BX163)</f>
        <v>0</v>
      </c>
      <c r="BY155" s="675">
        <f t="shared" si="5402"/>
        <v>0</v>
      </c>
      <c r="BZ155" s="549">
        <f t="shared" ref="BZ155:CA155" si="5403">SUM(BZ156:BZ163)</f>
        <v>0</v>
      </c>
      <c r="CA155" s="675">
        <f t="shared" si="5403"/>
        <v>0</v>
      </c>
      <c r="CB155" s="549">
        <f t="shared" ref="CB155:CE155" si="5404">SUM(CB156:CB163)</f>
        <v>0</v>
      </c>
      <c r="CC155" s="675">
        <f t="shared" si="5404"/>
        <v>0</v>
      </c>
      <c r="CD155" s="549">
        <f t="shared" si="5404"/>
        <v>0</v>
      </c>
      <c r="CE155" s="675">
        <f t="shared" si="5404"/>
        <v>0</v>
      </c>
      <c r="CF155" s="549">
        <f t="shared" ref="CF155:CQ155" si="5405">SUM(CF156:CF163)</f>
        <v>0</v>
      </c>
      <c r="CG155" s="675">
        <f t="shared" si="5405"/>
        <v>0</v>
      </c>
      <c r="CH155" s="549">
        <f t="shared" si="5405"/>
        <v>3000</v>
      </c>
      <c r="CI155" s="675">
        <f t="shared" si="5405"/>
        <v>0</v>
      </c>
      <c r="CJ155" s="549">
        <f t="shared" si="5405"/>
        <v>0</v>
      </c>
      <c r="CK155" s="675">
        <f t="shared" si="5405"/>
        <v>-3500</v>
      </c>
      <c r="CL155" s="549">
        <f t="shared" si="5405"/>
        <v>0</v>
      </c>
      <c r="CM155" s="675">
        <f t="shared" si="5405"/>
        <v>0</v>
      </c>
      <c r="CN155" s="549">
        <f t="shared" si="5405"/>
        <v>0</v>
      </c>
      <c r="CO155" s="675">
        <f t="shared" si="5405"/>
        <v>0</v>
      </c>
      <c r="CP155" s="549">
        <f t="shared" si="5405"/>
        <v>0</v>
      </c>
      <c r="CQ155" s="675">
        <f t="shared" si="5405"/>
        <v>0</v>
      </c>
      <c r="CR155" s="549">
        <f t="shared" ref="CR155:CY155" si="5406">SUM(CR156:CR163)</f>
        <v>0</v>
      </c>
      <c r="CS155" s="675">
        <f t="shared" si="5406"/>
        <v>0</v>
      </c>
      <c r="CT155" s="549">
        <f t="shared" si="5406"/>
        <v>0</v>
      </c>
      <c r="CU155" s="675">
        <f t="shared" si="5406"/>
        <v>0</v>
      </c>
      <c r="CV155" s="549">
        <f t="shared" si="5406"/>
        <v>0</v>
      </c>
      <c r="CW155" s="675">
        <f t="shared" si="5406"/>
        <v>0</v>
      </c>
      <c r="CX155" s="549">
        <f t="shared" si="5406"/>
        <v>0</v>
      </c>
      <c r="CY155" s="675">
        <f t="shared" si="5406"/>
        <v>0</v>
      </c>
      <c r="CZ155" s="549">
        <f t="shared" ref="CZ155:DG155" si="5407">SUM(CZ156:CZ163)</f>
        <v>0</v>
      </c>
      <c r="DA155" s="675">
        <f t="shared" si="5407"/>
        <v>0</v>
      </c>
      <c r="DB155" s="549">
        <f t="shared" si="5407"/>
        <v>0</v>
      </c>
      <c r="DC155" s="675">
        <f t="shared" si="5407"/>
        <v>0</v>
      </c>
      <c r="DD155" s="549">
        <f t="shared" si="5407"/>
        <v>0</v>
      </c>
      <c r="DE155" s="675">
        <f t="shared" si="5407"/>
        <v>0</v>
      </c>
      <c r="DF155" s="549">
        <f t="shared" si="5407"/>
        <v>0</v>
      </c>
      <c r="DG155" s="675">
        <f t="shared" si="5407"/>
        <v>0</v>
      </c>
      <c r="DH155" s="549">
        <f t="shared" ref="DH155:DM155" si="5408">SUM(DH156:DH163)</f>
        <v>0</v>
      </c>
      <c r="DI155" s="675">
        <f t="shared" si="5408"/>
        <v>0</v>
      </c>
      <c r="DJ155" s="549">
        <f t="shared" si="5408"/>
        <v>0</v>
      </c>
      <c r="DK155" s="675">
        <f t="shared" si="5408"/>
        <v>-1000</v>
      </c>
      <c r="DL155" s="549">
        <f t="shared" si="5408"/>
        <v>0</v>
      </c>
      <c r="DM155" s="675">
        <f t="shared" si="5408"/>
        <v>0</v>
      </c>
      <c r="DN155" s="549">
        <f t="shared" ref="DN155:DW155" si="5409">SUM(DN156:DN163)</f>
        <v>0</v>
      </c>
      <c r="DO155" s="675">
        <f t="shared" si="5409"/>
        <v>0</v>
      </c>
      <c r="DP155" s="549">
        <f t="shared" si="5409"/>
        <v>0</v>
      </c>
      <c r="DQ155" s="675">
        <f t="shared" si="5409"/>
        <v>0</v>
      </c>
      <c r="DR155" s="549">
        <f t="shared" si="5409"/>
        <v>0</v>
      </c>
      <c r="DS155" s="675">
        <f t="shared" si="5409"/>
        <v>0</v>
      </c>
      <c r="DT155" s="549">
        <f t="shared" si="5409"/>
        <v>0</v>
      </c>
      <c r="DU155" s="675">
        <f t="shared" si="5409"/>
        <v>0</v>
      </c>
      <c r="DV155" s="549">
        <f t="shared" si="5409"/>
        <v>0</v>
      </c>
      <c r="DW155" s="675">
        <f t="shared" si="5409"/>
        <v>0</v>
      </c>
      <c r="DX155" s="549">
        <f t="shared" ref="DX155:EG155" si="5410">SUM(DX156:DX163)</f>
        <v>0</v>
      </c>
      <c r="DY155" s="675">
        <f t="shared" si="5410"/>
        <v>0</v>
      </c>
      <c r="DZ155" s="549">
        <f t="shared" si="5410"/>
        <v>0</v>
      </c>
      <c r="EA155" s="675">
        <f t="shared" si="5410"/>
        <v>0</v>
      </c>
      <c r="EB155" s="549">
        <f t="shared" si="5410"/>
        <v>0</v>
      </c>
      <c r="EC155" s="675">
        <f t="shared" si="5410"/>
        <v>0</v>
      </c>
      <c r="ED155" s="549">
        <f t="shared" si="5410"/>
        <v>0</v>
      </c>
      <c r="EE155" s="675">
        <f t="shared" si="5410"/>
        <v>0</v>
      </c>
      <c r="EF155" s="549">
        <f t="shared" si="5410"/>
        <v>0</v>
      </c>
      <c r="EG155" s="675">
        <f t="shared" si="5410"/>
        <v>0</v>
      </c>
      <c r="EH155" s="549">
        <f t="shared" ref="EH155:EM155" si="5411">SUM(EH156:EH163)</f>
        <v>0</v>
      </c>
      <c r="EI155" s="675">
        <f t="shared" si="5411"/>
        <v>0</v>
      </c>
      <c r="EJ155" s="549">
        <f t="shared" si="5411"/>
        <v>0</v>
      </c>
      <c r="EK155" s="675">
        <f t="shared" si="5411"/>
        <v>0</v>
      </c>
      <c r="EL155" s="549">
        <f t="shared" si="5411"/>
        <v>0</v>
      </c>
      <c r="EM155" s="675">
        <f t="shared" si="5411"/>
        <v>0</v>
      </c>
      <c r="EN155" s="549">
        <f t="shared" ref="EN155:EO155" si="5412">SUM(EN156:EN163)</f>
        <v>0</v>
      </c>
      <c r="EO155" s="675">
        <f t="shared" si="5412"/>
        <v>0</v>
      </c>
      <c r="EP155" s="549">
        <f t="shared" ref="EP155:FA155" si="5413">SUM(EP156:EP163)</f>
        <v>0</v>
      </c>
      <c r="EQ155" s="675">
        <f t="shared" si="5413"/>
        <v>0</v>
      </c>
      <c r="ER155" s="549">
        <f t="shared" si="5413"/>
        <v>0</v>
      </c>
      <c r="ES155" s="675">
        <f t="shared" si="5413"/>
        <v>0</v>
      </c>
      <c r="ET155" s="549">
        <f t="shared" si="5413"/>
        <v>5000</v>
      </c>
      <c r="EU155" s="675">
        <f t="shared" si="5413"/>
        <v>0</v>
      </c>
      <c r="EV155" s="549">
        <f t="shared" ref="EV155:EW155" si="5414">SUM(EV156:EV163)</f>
        <v>0</v>
      </c>
      <c r="EW155" s="675">
        <f t="shared" si="5414"/>
        <v>0</v>
      </c>
      <c r="EX155" s="549">
        <f t="shared" si="5413"/>
        <v>25600</v>
      </c>
      <c r="EY155" s="675">
        <f t="shared" si="5413"/>
        <v>0</v>
      </c>
      <c r="EZ155" s="549">
        <f t="shared" si="5413"/>
        <v>0</v>
      </c>
      <c r="FA155" s="675">
        <f t="shared" si="5413"/>
        <v>0</v>
      </c>
      <c r="FB155" s="549">
        <f t="shared" ref="FB155:FC155" si="5415">SUM(FB156:FB163)</f>
        <v>0</v>
      </c>
      <c r="FC155" s="675">
        <f t="shared" si="5415"/>
        <v>0</v>
      </c>
      <c r="FD155" s="549">
        <f t="shared" ref="FD155:FE155" si="5416">SUM(FD156:FD163)</f>
        <v>0</v>
      </c>
      <c r="FE155" s="675">
        <f t="shared" si="5416"/>
        <v>-244</v>
      </c>
      <c r="FF155" s="549">
        <f t="shared" ref="FF155:FG155" si="5417">SUM(FF156:FF163)</f>
        <v>0</v>
      </c>
      <c r="FG155" s="675">
        <f t="shared" si="5417"/>
        <v>0</v>
      </c>
      <c r="FH155" s="549">
        <f t="shared" ref="FH155:FI155" si="5418">SUM(FH156:FH163)</f>
        <v>0</v>
      </c>
      <c r="FI155" s="675">
        <f t="shared" si="5418"/>
        <v>0</v>
      </c>
      <c r="FJ155" s="549">
        <f t="shared" ref="FJ155:FK155" si="5419">SUM(FJ156:FJ163)</f>
        <v>0</v>
      </c>
      <c r="FK155" s="675">
        <f t="shared" si="5419"/>
        <v>0</v>
      </c>
      <c r="FL155" s="549">
        <f t="shared" ref="FL155:FM155" si="5420">SUM(FL156:FL163)</f>
        <v>5000</v>
      </c>
      <c r="FM155" s="675">
        <f t="shared" si="5420"/>
        <v>0</v>
      </c>
      <c r="FN155" s="549">
        <f t="shared" ref="FN155:FO155" si="5421">SUM(FN156:FN163)</f>
        <v>0</v>
      </c>
      <c r="FO155" s="675">
        <f t="shared" si="5421"/>
        <v>0</v>
      </c>
      <c r="FP155" s="549">
        <f t="shared" ref="FP155:FQ155" si="5422">SUM(FP156:FP163)</f>
        <v>0</v>
      </c>
      <c r="FQ155" s="675">
        <f t="shared" si="5422"/>
        <v>0</v>
      </c>
      <c r="FR155" s="549">
        <f t="shared" ref="FR155:FS155" si="5423">SUM(FR156:FR163)</f>
        <v>0</v>
      </c>
      <c r="FS155" s="675">
        <f t="shared" si="5423"/>
        <v>0</v>
      </c>
      <c r="FT155" s="549">
        <f t="shared" ref="FT155:FU155" si="5424">SUM(FT156:FT163)</f>
        <v>0</v>
      </c>
      <c r="FU155" s="675">
        <f t="shared" si="5424"/>
        <v>0</v>
      </c>
      <c r="FV155" s="549">
        <f t="shared" ref="FV155:GK155" si="5425">SUM(FV156:FV163)</f>
        <v>0</v>
      </c>
      <c r="FW155" s="675">
        <f t="shared" si="5425"/>
        <v>0</v>
      </c>
      <c r="FX155" s="549">
        <f t="shared" si="5425"/>
        <v>0</v>
      </c>
      <c r="FY155" s="675">
        <f t="shared" si="5425"/>
        <v>0</v>
      </c>
      <c r="FZ155" s="549">
        <f t="shared" ref="FZ155:GI155" si="5426">SUM(FZ156:FZ163)</f>
        <v>0</v>
      </c>
      <c r="GA155" s="675">
        <f t="shared" si="5426"/>
        <v>0</v>
      </c>
      <c r="GB155" s="549">
        <f t="shared" si="5426"/>
        <v>0</v>
      </c>
      <c r="GC155" s="675">
        <f t="shared" si="5426"/>
        <v>0</v>
      </c>
      <c r="GD155" s="549">
        <f t="shared" si="5426"/>
        <v>0</v>
      </c>
      <c r="GE155" s="675">
        <f t="shared" si="5426"/>
        <v>0</v>
      </c>
      <c r="GF155" s="549">
        <f t="shared" si="5426"/>
        <v>0</v>
      </c>
      <c r="GG155" s="675">
        <f t="shared" si="5426"/>
        <v>0</v>
      </c>
      <c r="GH155" s="549">
        <f t="shared" si="5426"/>
        <v>0</v>
      </c>
      <c r="GI155" s="675">
        <f t="shared" si="5426"/>
        <v>0</v>
      </c>
      <c r="GJ155" s="549">
        <f t="shared" si="5425"/>
        <v>0</v>
      </c>
      <c r="GK155" s="675">
        <f t="shared" si="5425"/>
        <v>0</v>
      </c>
      <c r="GL155" s="549">
        <f t="shared" ref="GL155:GQ155" si="5427">SUM(GL156:GL163)</f>
        <v>0</v>
      </c>
      <c r="GM155" s="675">
        <f t="shared" si="5427"/>
        <v>0</v>
      </c>
      <c r="GN155" s="549">
        <f t="shared" ref="GN155:GO155" si="5428">SUM(GN156:GN163)</f>
        <v>0</v>
      </c>
      <c r="GO155" s="675">
        <f t="shared" si="5428"/>
        <v>0</v>
      </c>
      <c r="GP155" s="74">
        <f t="shared" si="5427"/>
        <v>51600</v>
      </c>
      <c r="GQ155" s="675">
        <f t="shared" si="5427"/>
        <v>-17744</v>
      </c>
      <c r="GR155" s="74">
        <f t="shared" ref="GR155:JM155" si="5429">SUM(GR156:GR163)</f>
        <v>158856</v>
      </c>
      <c r="GS155" s="74">
        <f>SUM(GS156:GS163)</f>
        <v>158856</v>
      </c>
      <c r="GT155" s="549">
        <f t="shared" si="5429"/>
        <v>133256</v>
      </c>
      <c r="GU155" s="74">
        <f>SUM(GU156:GU163)</f>
        <v>13860</v>
      </c>
      <c r="GV155" s="74">
        <f t="shared" ref="GV155:HA155" si="5430">SUM(GV156:GV163)</f>
        <v>12355</v>
      </c>
      <c r="GW155" s="74">
        <f t="shared" si="5430"/>
        <v>24655</v>
      </c>
      <c r="GX155" s="74">
        <f t="shared" si="5430"/>
        <v>12355</v>
      </c>
      <c r="GY155" s="74">
        <f t="shared" si="5430"/>
        <v>12355</v>
      </c>
      <c r="GZ155" s="74">
        <f t="shared" si="5430"/>
        <v>12355</v>
      </c>
      <c r="HA155" s="74">
        <f t="shared" si="5430"/>
        <v>12355</v>
      </c>
      <c r="HB155" s="74">
        <f t="shared" ref="HB155:HF155" si="5431">SUM(HB156:HB163)</f>
        <v>12355</v>
      </c>
      <c r="HC155" s="74">
        <f t="shared" si="5431"/>
        <v>12355</v>
      </c>
      <c r="HD155" s="74">
        <f t="shared" si="5431"/>
        <v>0</v>
      </c>
      <c r="HE155" s="74">
        <f t="shared" si="5431"/>
        <v>0</v>
      </c>
      <c r="HF155" s="74">
        <f t="shared" si="5431"/>
        <v>0</v>
      </c>
      <c r="HG155" s="74">
        <f t="shared" si="5429"/>
        <v>158856</v>
      </c>
      <c r="HH155" s="74">
        <f t="shared" ref="HH155:HU155" si="5432">SUM(HH156:HH163)</f>
        <v>13860</v>
      </c>
      <c r="HI155" s="74">
        <f t="shared" si="5432"/>
        <v>0</v>
      </c>
      <c r="HJ155" s="74">
        <f t="shared" si="5432"/>
        <v>12355</v>
      </c>
      <c r="HK155" s="74">
        <f t="shared" si="5432"/>
        <v>0</v>
      </c>
      <c r="HL155" s="74">
        <f t="shared" si="5432"/>
        <v>10355</v>
      </c>
      <c r="HM155" s="74">
        <f t="shared" si="5432"/>
        <v>0</v>
      </c>
      <c r="HN155" s="74">
        <f t="shared" si="5432"/>
        <v>12355</v>
      </c>
      <c r="HO155" s="74">
        <f t="shared" si="5432"/>
        <v>0</v>
      </c>
      <c r="HP155" s="74">
        <f t="shared" si="5432"/>
        <v>25155</v>
      </c>
      <c r="HQ155" s="74">
        <f t="shared" si="5432"/>
        <v>0</v>
      </c>
      <c r="HR155" s="74">
        <f t="shared" si="5432"/>
        <v>12355</v>
      </c>
      <c r="HS155" s="74">
        <f t="shared" si="5432"/>
        <v>0</v>
      </c>
      <c r="HT155" s="74">
        <f t="shared" si="5432"/>
        <v>9511</v>
      </c>
      <c r="HU155" s="74">
        <f t="shared" si="5432"/>
        <v>0</v>
      </c>
      <c r="HV155" s="74">
        <f t="shared" si="5429"/>
        <v>15199</v>
      </c>
      <c r="HW155" s="74">
        <f t="shared" si="5429"/>
        <v>0</v>
      </c>
      <c r="HX155" s="74">
        <f t="shared" si="5429"/>
        <v>17355</v>
      </c>
      <c r="HY155" s="74">
        <f t="shared" si="5429"/>
        <v>0</v>
      </c>
      <c r="HZ155" s="74">
        <f t="shared" si="5429"/>
        <v>4756</v>
      </c>
      <c r="IA155" s="74">
        <f t="shared" si="5429"/>
        <v>0</v>
      </c>
      <c r="IB155" s="74">
        <f t="shared" si="5429"/>
        <v>0</v>
      </c>
      <c r="IC155" s="74">
        <f t="shared" si="5429"/>
        <v>0</v>
      </c>
      <c r="ID155" s="74">
        <f t="shared" si="5429"/>
        <v>0</v>
      </c>
      <c r="IE155" s="792">
        <f t="shared" si="5429"/>
        <v>0</v>
      </c>
      <c r="IF155" s="841">
        <f t="shared" si="5429"/>
        <v>146347.53000000003</v>
      </c>
      <c r="IG155" s="263">
        <f t="shared" si="5429"/>
        <v>146347.53000000003</v>
      </c>
      <c r="IH155" s="842">
        <f t="shared" si="5429"/>
        <v>146347.53000000003</v>
      </c>
      <c r="II155" s="155">
        <f t="shared" si="5429"/>
        <v>6465.12</v>
      </c>
      <c r="IJ155" s="74">
        <f t="shared" si="5429"/>
        <v>6465.12</v>
      </c>
      <c r="IK155" s="74">
        <f t="shared" si="5429"/>
        <v>6465.12</v>
      </c>
      <c r="IL155" s="74">
        <f t="shared" si="5429"/>
        <v>6657.58</v>
      </c>
      <c r="IM155" s="74">
        <f t="shared" si="5429"/>
        <v>6657.58</v>
      </c>
      <c r="IN155" s="74">
        <f t="shared" si="5429"/>
        <v>6657.58</v>
      </c>
      <c r="IO155" s="74">
        <f t="shared" si="5429"/>
        <v>5285.16</v>
      </c>
      <c r="IP155" s="74">
        <f t="shared" si="5429"/>
        <v>5285.16</v>
      </c>
      <c r="IQ155" s="74">
        <f t="shared" si="5429"/>
        <v>5285.16</v>
      </c>
      <c r="IR155" s="74">
        <f t="shared" si="5429"/>
        <v>7940.6400000000012</v>
      </c>
      <c r="IS155" s="74">
        <f t="shared" si="5429"/>
        <v>7940.6400000000012</v>
      </c>
      <c r="IT155" s="74">
        <f t="shared" si="5429"/>
        <v>7940.6400000000012</v>
      </c>
      <c r="IU155" s="74">
        <f t="shared" si="5429"/>
        <v>28528.249999999993</v>
      </c>
      <c r="IV155" s="74">
        <f t="shared" si="5429"/>
        <v>28528.249999999993</v>
      </c>
      <c r="IW155" s="74">
        <f t="shared" si="5429"/>
        <v>28528.249999999993</v>
      </c>
      <c r="IX155" s="74">
        <f t="shared" si="5429"/>
        <v>12575.270000000002</v>
      </c>
      <c r="IY155" s="74">
        <f t="shared" si="5429"/>
        <v>12575.270000000002</v>
      </c>
      <c r="IZ155" s="74">
        <f t="shared" si="5429"/>
        <v>12575.270000000002</v>
      </c>
      <c r="JA155" s="74">
        <f t="shared" si="5429"/>
        <v>10955.149999999998</v>
      </c>
      <c r="JB155" s="74">
        <f t="shared" si="5429"/>
        <v>10955.149999999998</v>
      </c>
      <c r="JC155" s="74">
        <f t="shared" si="5429"/>
        <v>10955.149999999998</v>
      </c>
      <c r="JD155" s="74">
        <f t="shared" si="5429"/>
        <v>21852.329999999998</v>
      </c>
      <c r="JE155" s="74">
        <f t="shared" si="5429"/>
        <v>21852.329999999998</v>
      </c>
      <c r="JF155" s="74">
        <f t="shared" si="5429"/>
        <v>21852.329999999998</v>
      </c>
      <c r="JG155" s="74">
        <f t="shared" si="5429"/>
        <v>10023.32</v>
      </c>
      <c r="JH155" s="74">
        <f t="shared" si="5429"/>
        <v>10023.32</v>
      </c>
      <c r="JI155" s="74">
        <f t="shared" si="5429"/>
        <v>10023.32</v>
      </c>
      <c r="JJ155" s="74">
        <f t="shared" si="5429"/>
        <v>36064.710000000006</v>
      </c>
      <c r="JK155" s="74">
        <f t="shared" si="5429"/>
        <v>36064.710000000006</v>
      </c>
      <c r="JL155" s="74">
        <f t="shared" si="5429"/>
        <v>36064.710000000006</v>
      </c>
      <c r="JM155" s="74">
        <f t="shared" si="5429"/>
        <v>0</v>
      </c>
      <c r="JN155" s="74">
        <f t="shared" ref="JN155:JT155" si="5433">SUM(JN156:JN163)</f>
        <v>0</v>
      </c>
      <c r="JO155" s="74">
        <f t="shared" si="5433"/>
        <v>0</v>
      </c>
      <c r="JP155" s="74">
        <f t="shared" si="5433"/>
        <v>0</v>
      </c>
      <c r="JQ155" s="74">
        <f t="shared" si="5433"/>
        <v>0</v>
      </c>
      <c r="JR155" s="74">
        <f t="shared" si="5433"/>
        <v>0</v>
      </c>
      <c r="JS155" s="74">
        <f t="shared" si="5433"/>
        <v>12508.47</v>
      </c>
      <c r="JT155" s="382">
        <f t="shared" si="5433"/>
        <v>12508.47</v>
      </c>
      <c r="JU155" s="671"/>
      <c r="JV155" s="492"/>
      <c r="JW155" s="490"/>
      <c r="JX155" s="549">
        <f>SUM(JX156:JX163)</f>
        <v>133256</v>
      </c>
      <c r="JY155" s="549">
        <f>SUM(JY156:JY163)</f>
        <v>0</v>
      </c>
      <c r="JZ155" s="581">
        <f t="shared" si="4944"/>
        <v>51600</v>
      </c>
      <c r="KA155" s="581">
        <f t="shared" si="4945"/>
        <v>-17744</v>
      </c>
      <c r="KB155" s="549">
        <f>SUM(KB156:KB163)</f>
        <v>158856</v>
      </c>
      <c r="KC155" s="709">
        <f t="shared" si="4908"/>
        <v>0</v>
      </c>
      <c r="KD155" s="36"/>
      <c r="KE155" s="36"/>
      <c r="KF155" s="36"/>
      <c r="KG155" s="36"/>
      <c r="KH155" s="36"/>
      <c r="KI155" s="36"/>
      <c r="KJ155" s="36"/>
      <c r="KK155" s="36"/>
    </row>
    <row r="156" spans="1:297" s="8" customFormat="1">
      <c r="A156" s="75" t="s">
        <v>184</v>
      </c>
      <c r="B156" s="72" t="s">
        <v>185</v>
      </c>
      <c r="C156" s="74">
        <f t="shared" ref="C156" si="5434">SUM(C489)</f>
        <v>1500</v>
      </c>
      <c r="D156" s="549">
        <f t="shared" ref="D156:E156" si="5435">SUM(D489)</f>
        <v>0</v>
      </c>
      <c r="E156" s="675">
        <f t="shared" si="5435"/>
        <v>0</v>
      </c>
      <c r="F156" s="549">
        <f t="shared" ref="F156:G156" si="5436">SUM(F489)</f>
        <v>0</v>
      </c>
      <c r="G156" s="675">
        <f t="shared" si="5436"/>
        <v>0</v>
      </c>
      <c r="H156" s="549">
        <f t="shared" ref="H156:I156" si="5437">SUM(H489)</f>
        <v>0</v>
      </c>
      <c r="I156" s="675">
        <f t="shared" si="5437"/>
        <v>0</v>
      </c>
      <c r="J156" s="549">
        <f t="shared" ref="J156:K156" si="5438">SUM(J489)</f>
        <v>0</v>
      </c>
      <c r="K156" s="675">
        <f t="shared" si="5438"/>
        <v>0</v>
      </c>
      <c r="L156" s="549">
        <f t="shared" ref="L156:M156" si="5439">SUM(L489)</f>
        <v>0</v>
      </c>
      <c r="M156" s="675">
        <f t="shared" si="5439"/>
        <v>0</v>
      </c>
      <c r="N156" s="549">
        <f t="shared" ref="N156:O156" si="5440">SUM(N489)</f>
        <v>0</v>
      </c>
      <c r="O156" s="675">
        <f t="shared" si="5440"/>
        <v>0</v>
      </c>
      <c r="P156" s="549">
        <f t="shared" ref="P156:Q156" si="5441">SUM(P489)</f>
        <v>0</v>
      </c>
      <c r="Q156" s="675">
        <f t="shared" si="5441"/>
        <v>0</v>
      </c>
      <c r="R156" s="549">
        <f t="shared" ref="R156:S156" si="5442">SUM(R489)</f>
        <v>0</v>
      </c>
      <c r="S156" s="675">
        <f t="shared" si="5442"/>
        <v>0</v>
      </c>
      <c r="T156" s="549">
        <f t="shared" ref="T156:U156" si="5443">SUM(T489)</f>
        <v>0</v>
      </c>
      <c r="U156" s="675">
        <f t="shared" si="5443"/>
        <v>0</v>
      </c>
      <c r="V156" s="549">
        <f t="shared" ref="V156:W156" si="5444">SUM(V489)</f>
        <v>0</v>
      </c>
      <c r="W156" s="675">
        <f t="shared" si="5444"/>
        <v>0</v>
      </c>
      <c r="X156" s="549">
        <f t="shared" ref="X156:Y156" si="5445">SUM(X489)</f>
        <v>0</v>
      </c>
      <c r="Y156" s="675">
        <f t="shared" si="5445"/>
        <v>0</v>
      </c>
      <c r="Z156" s="549">
        <f t="shared" ref="Z156:AA156" si="5446">SUM(Z489)</f>
        <v>0</v>
      </c>
      <c r="AA156" s="675">
        <f t="shared" si="5446"/>
        <v>0</v>
      </c>
      <c r="AB156" s="549">
        <f t="shared" ref="AB156:AC156" si="5447">SUM(AB489)</f>
        <v>0</v>
      </c>
      <c r="AC156" s="675">
        <f t="shared" si="5447"/>
        <v>0</v>
      </c>
      <c r="AD156" s="549">
        <f t="shared" ref="AD156:AE156" si="5448">SUM(AD489)</f>
        <v>0</v>
      </c>
      <c r="AE156" s="675">
        <f t="shared" si="5448"/>
        <v>0</v>
      </c>
      <c r="AF156" s="549">
        <f t="shared" ref="AF156:AI156" si="5449">SUM(AF489)</f>
        <v>0</v>
      </c>
      <c r="AG156" s="675">
        <f t="shared" si="5449"/>
        <v>0</v>
      </c>
      <c r="AH156" s="549">
        <f t="shared" si="5449"/>
        <v>0</v>
      </c>
      <c r="AI156" s="675">
        <f t="shared" si="5449"/>
        <v>0</v>
      </c>
      <c r="AJ156" s="549">
        <f t="shared" ref="AJ156:AK156" si="5450">SUM(AJ489)</f>
        <v>0</v>
      </c>
      <c r="AK156" s="675">
        <f t="shared" si="5450"/>
        <v>0</v>
      </c>
      <c r="AL156" s="549">
        <f t="shared" ref="AL156:AM156" si="5451">SUM(AL489)</f>
        <v>0</v>
      </c>
      <c r="AM156" s="675">
        <f t="shared" si="5451"/>
        <v>0</v>
      </c>
      <c r="AN156" s="549">
        <f t="shared" ref="AN156:AO156" si="5452">SUM(AN489)</f>
        <v>0</v>
      </c>
      <c r="AO156" s="675">
        <f t="shared" si="5452"/>
        <v>0</v>
      </c>
      <c r="AP156" s="549">
        <f t="shared" ref="AP156:AQ156" si="5453">SUM(AP489)</f>
        <v>0</v>
      </c>
      <c r="AQ156" s="675">
        <f t="shared" si="5453"/>
        <v>0</v>
      </c>
      <c r="AR156" s="549">
        <f t="shared" ref="AR156:AS156" si="5454">SUM(AR489)</f>
        <v>0</v>
      </c>
      <c r="AS156" s="675">
        <f t="shared" si="5454"/>
        <v>0</v>
      </c>
      <c r="AT156" s="549">
        <f t="shared" ref="AT156:AU156" si="5455">SUM(AT489)</f>
        <v>0</v>
      </c>
      <c r="AU156" s="675">
        <f t="shared" si="5455"/>
        <v>0</v>
      </c>
      <c r="AV156" s="549">
        <f t="shared" ref="AV156:AW156" si="5456">SUM(AV489)</f>
        <v>0</v>
      </c>
      <c r="AW156" s="675">
        <f t="shared" si="5456"/>
        <v>0</v>
      </c>
      <c r="AX156" s="549">
        <f t="shared" ref="AX156:AY156" si="5457">SUM(AX489)</f>
        <v>0</v>
      </c>
      <c r="AY156" s="675">
        <f t="shared" si="5457"/>
        <v>0</v>
      </c>
      <c r="AZ156" s="549">
        <f t="shared" ref="AZ156:BA156" si="5458">SUM(AZ489)</f>
        <v>0</v>
      </c>
      <c r="BA156" s="675">
        <f t="shared" si="5458"/>
        <v>0</v>
      </c>
      <c r="BB156" s="549">
        <f t="shared" ref="BB156:BC156" si="5459">SUM(BB489)</f>
        <v>0</v>
      </c>
      <c r="BC156" s="675">
        <f t="shared" si="5459"/>
        <v>0</v>
      </c>
      <c r="BD156" s="549">
        <f t="shared" ref="BD156:BE156" si="5460">SUM(BD489)</f>
        <v>0</v>
      </c>
      <c r="BE156" s="675">
        <f t="shared" si="5460"/>
        <v>0</v>
      </c>
      <c r="BF156" s="549">
        <f t="shared" ref="BF156:BG156" si="5461">SUM(BF489)</f>
        <v>0</v>
      </c>
      <c r="BG156" s="675">
        <f t="shared" si="5461"/>
        <v>0</v>
      </c>
      <c r="BH156" s="549">
        <f t="shared" ref="BH156:BI156" si="5462">SUM(BH489)</f>
        <v>0</v>
      </c>
      <c r="BI156" s="675">
        <f t="shared" si="5462"/>
        <v>0</v>
      </c>
      <c r="BJ156" s="549">
        <f t="shared" ref="BJ156:BK156" si="5463">SUM(BJ489)</f>
        <v>0</v>
      </c>
      <c r="BK156" s="675">
        <f t="shared" si="5463"/>
        <v>0</v>
      </c>
      <c r="BL156" s="549">
        <f t="shared" ref="BL156:BS156" si="5464">SUM(BL489)</f>
        <v>0</v>
      </c>
      <c r="BM156" s="675">
        <f t="shared" si="5464"/>
        <v>0</v>
      </c>
      <c r="BN156" s="549">
        <f t="shared" si="5464"/>
        <v>0</v>
      </c>
      <c r="BO156" s="675">
        <f t="shared" si="5464"/>
        <v>0</v>
      </c>
      <c r="BP156" s="549">
        <f t="shared" si="5464"/>
        <v>0</v>
      </c>
      <c r="BQ156" s="675">
        <f t="shared" si="5464"/>
        <v>0</v>
      </c>
      <c r="BR156" s="549">
        <f t="shared" si="5464"/>
        <v>0</v>
      </c>
      <c r="BS156" s="675">
        <f t="shared" si="5464"/>
        <v>0</v>
      </c>
      <c r="BT156" s="549">
        <f t="shared" ref="BT156:BW159" si="5465">SUM(BT489)</f>
        <v>0</v>
      </c>
      <c r="BU156" s="675">
        <f t="shared" si="5465"/>
        <v>0</v>
      </c>
      <c r="BV156" s="549">
        <f t="shared" si="5465"/>
        <v>0</v>
      </c>
      <c r="BW156" s="675">
        <f t="shared" si="5465"/>
        <v>0</v>
      </c>
      <c r="BX156" s="549">
        <f t="shared" ref="BX156:BY156" si="5466">SUM(BX489)</f>
        <v>0</v>
      </c>
      <c r="BY156" s="675">
        <f t="shared" si="5466"/>
        <v>0</v>
      </c>
      <c r="BZ156" s="549">
        <f t="shared" ref="BZ156:CA156" si="5467">SUM(BZ489)</f>
        <v>0</v>
      </c>
      <c r="CA156" s="675">
        <f t="shared" si="5467"/>
        <v>0</v>
      </c>
      <c r="CB156" s="549">
        <f t="shared" ref="CB156:CE156" si="5468">SUM(CB489)</f>
        <v>0</v>
      </c>
      <c r="CC156" s="675">
        <f t="shared" si="5468"/>
        <v>0</v>
      </c>
      <c r="CD156" s="549">
        <f t="shared" si="5468"/>
        <v>0</v>
      </c>
      <c r="CE156" s="675">
        <f t="shared" si="5468"/>
        <v>0</v>
      </c>
      <c r="CF156" s="549">
        <f t="shared" ref="CF156:CG159" si="5469">SUM(CF489)</f>
        <v>0</v>
      </c>
      <c r="CG156" s="675">
        <f t="shared" si="5469"/>
        <v>0</v>
      </c>
      <c r="CH156" s="549">
        <f t="shared" ref="CH156:CQ156" si="5470">SUM(CH489)</f>
        <v>0</v>
      </c>
      <c r="CI156" s="675">
        <f t="shared" si="5470"/>
        <v>0</v>
      </c>
      <c r="CJ156" s="549">
        <f t="shared" si="5470"/>
        <v>0</v>
      </c>
      <c r="CK156" s="675">
        <f t="shared" si="5470"/>
        <v>0</v>
      </c>
      <c r="CL156" s="549">
        <f t="shared" si="5470"/>
        <v>0</v>
      </c>
      <c r="CM156" s="675">
        <f t="shared" si="5470"/>
        <v>0</v>
      </c>
      <c r="CN156" s="549">
        <f t="shared" si="5470"/>
        <v>0</v>
      </c>
      <c r="CO156" s="675">
        <f t="shared" si="5470"/>
        <v>0</v>
      </c>
      <c r="CP156" s="549">
        <f t="shared" si="5470"/>
        <v>0</v>
      </c>
      <c r="CQ156" s="675">
        <f t="shared" si="5470"/>
        <v>0</v>
      </c>
      <c r="CR156" s="549">
        <f t="shared" ref="CR156:CY159" si="5471">SUM(CR489)</f>
        <v>0</v>
      </c>
      <c r="CS156" s="675">
        <f t="shared" si="5471"/>
        <v>0</v>
      </c>
      <c r="CT156" s="549">
        <f t="shared" si="5471"/>
        <v>0</v>
      </c>
      <c r="CU156" s="675">
        <f t="shared" si="5471"/>
        <v>0</v>
      </c>
      <c r="CV156" s="549">
        <f t="shared" si="5471"/>
        <v>0</v>
      </c>
      <c r="CW156" s="675">
        <f t="shared" si="5471"/>
        <v>0</v>
      </c>
      <c r="CX156" s="549">
        <f t="shared" si="5471"/>
        <v>0</v>
      </c>
      <c r="CY156" s="675">
        <f t="shared" si="5471"/>
        <v>0</v>
      </c>
      <c r="CZ156" s="549">
        <f t="shared" ref="CZ156:DG159" si="5472">SUM(CZ489)</f>
        <v>0</v>
      </c>
      <c r="DA156" s="675">
        <f t="shared" si="5472"/>
        <v>0</v>
      </c>
      <c r="DB156" s="549">
        <f t="shared" si="5472"/>
        <v>0</v>
      </c>
      <c r="DC156" s="675">
        <f t="shared" si="5472"/>
        <v>0</v>
      </c>
      <c r="DD156" s="549">
        <f t="shared" ref="DD156:DE159" si="5473">SUM(DD489)</f>
        <v>0</v>
      </c>
      <c r="DE156" s="675">
        <f t="shared" si="5473"/>
        <v>0</v>
      </c>
      <c r="DF156" s="549">
        <f t="shared" si="5472"/>
        <v>0</v>
      </c>
      <c r="DG156" s="675">
        <f t="shared" si="5472"/>
        <v>0</v>
      </c>
      <c r="DH156" s="549">
        <f t="shared" ref="DH156:DI159" si="5474">SUM(DH489)</f>
        <v>0</v>
      </c>
      <c r="DI156" s="675">
        <f t="shared" si="5474"/>
        <v>0</v>
      </c>
      <c r="DJ156" s="549">
        <f t="shared" ref="DJ156:DM158" si="5475">SUM(DJ489)</f>
        <v>0</v>
      </c>
      <c r="DK156" s="675">
        <f t="shared" si="5475"/>
        <v>0</v>
      </c>
      <c r="DL156" s="549">
        <f t="shared" si="5475"/>
        <v>0</v>
      </c>
      <c r="DM156" s="675">
        <f t="shared" si="5475"/>
        <v>0</v>
      </c>
      <c r="DN156" s="549">
        <f t="shared" ref="DN156:DO159" si="5476">SUM(DN489)</f>
        <v>0</v>
      </c>
      <c r="DO156" s="675">
        <f t="shared" si="5476"/>
        <v>0</v>
      </c>
      <c r="DP156" s="549">
        <f t="shared" ref="DP156:DU156" si="5477">SUM(DP489)</f>
        <v>0</v>
      </c>
      <c r="DQ156" s="675">
        <f t="shared" si="5477"/>
        <v>0</v>
      </c>
      <c r="DR156" s="549">
        <f t="shared" si="5477"/>
        <v>0</v>
      </c>
      <c r="DS156" s="675">
        <f t="shared" si="5477"/>
        <v>0</v>
      </c>
      <c r="DT156" s="549">
        <f t="shared" si="5477"/>
        <v>0</v>
      </c>
      <c r="DU156" s="675">
        <f t="shared" si="5477"/>
        <v>0</v>
      </c>
      <c r="DV156" s="549">
        <f t="shared" ref="DV156:DW159" si="5478">SUM(DV489)</f>
        <v>0</v>
      </c>
      <c r="DW156" s="675">
        <f t="shared" si="5478"/>
        <v>0</v>
      </c>
      <c r="DX156" s="549">
        <f t="shared" ref="DX156:EG156" si="5479">SUM(DX489)</f>
        <v>0</v>
      </c>
      <c r="DY156" s="675">
        <f t="shared" si="5479"/>
        <v>0</v>
      </c>
      <c r="DZ156" s="549">
        <f t="shared" si="5479"/>
        <v>0</v>
      </c>
      <c r="EA156" s="675">
        <f t="shared" si="5479"/>
        <v>0</v>
      </c>
      <c r="EB156" s="549">
        <f t="shared" si="5479"/>
        <v>0</v>
      </c>
      <c r="EC156" s="675">
        <f t="shared" si="5479"/>
        <v>0</v>
      </c>
      <c r="ED156" s="549">
        <f t="shared" si="5479"/>
        <v>0</v>
      </c>
      <c r="EE156" s="675">
        <f t="shared" si="5479"/>
        <v>0</v>
      </c>
      <c r="EF156" s="549">
        <f t="shared" si="5479"/>
        <v>0</v>
      </c>
      <c r="EG156" s="675">
        <f t="shared" si="5479"/>
        <v>0</v>
      </c>
      <c r="EH156" s="549">
        <f t="shared" ref="EH156:EM156" si="5480">SUM(EH489)</f>
        <v>0</v>
      </c>
      <c r="EI156" s="675">
        <f t="shared" si="5480"/>
        <v>0</v>
      </c>
      <c r="EJ156" s="549">
        <f t="shared" si="5480"/>
        <v>0</v>
      </c>
      <c r="EK156" s="675">
        <f t="shared" si="5480"/>
        <v>0</v>
      </c>
      <c r="EL156" s="549">
        <f t="shared" si="5480"/>
        <v>0</v>
      </c>
      <c r="EM156" s="675">
        <f t="shared" si="5480"/>
        <v>0</v>
      </c>
      <c r="EN156" s="549">
        <f t="shared" ref="EN156:EO159" si="5481">SUM(EN489)</f>
        <v>0</v>
      </c>
      <c r="EO156" s="675">
        <f t="shared" si="5481"/>
        <v>0</v>
      </c>
      <c r="EP156" s="549">
        <f t="shared" ref="EP156:EU156" si="5482">SUM(EP489)</f>
        <v>0</v>
      </c>
      <c r="EQ156" s="675">
        <f t="shared" si="5482"/>
        <v>0</v>
      </c>
      <c r="ER156" s="549">
        <f t="shared" si="5482"/>
        <v>0</v>
      </c>
      <c r="ES156" s="675">
        <f t="shared" si="5482"/>
        <v>0</v>
      </c>
      <c r="ET156" s="549">
        <f t="shared" si="5482"/>
        <v>0</v>
      </c>
      <c r="EU156" s="675">
        <f t="shared" si="5482"/>
        <v>0</v>
      </c>
      <c r="EV156" s="549">
        <f t="shared" ref="EV156:GQ156" si="5483">SUM(EV489)</f>
        <v>0</v>
      </c>
      <c r="EW156" s="675">
        <f t="shared" si="5483"/>
        <v>0</v>
      </c>
      <c r="EX156" s="549">
        <f t="shared" si="5483"/>
        <v>0</v>
      </c>
      <c r="EY156" s="675">
        <f t="shared" si="5483"/>
        <v>0</v>
      </c>
      <c r="EZ156" s="549">
        <f t="shared" si="5483"/>
        <v>0</v>
      </c>
      <c r="FA156" s="675">
        <f t="shared" si="5483"/>
        <v>0</v>
      </c>
      <c r="FB156" s="549">
        <f t="shared" si="5483"/>
        <v>0</v>
      </c>
      <c r="FC156" s="675">
        <f t="shared" si="5483"/>
        <v>0</v>
      </c>
      <c r="FD156" s="549">
        <f t="shared" si="5483"/>
        <v>0</v>
      </c>
      <c r="FE156" s="675">
        <f t="shared" si="5483"/>
        <v>0</v>
      </c>
      <c r="FF156" s="549">
        <f t="shared" ref="FF156:FG156" si="5484">SUM(FF489)</f>
        <v>0</v>
      </c>
      <c r="FG156" s="675">
        <f t="shared" si="5484"/>
        <v>0</v>
      </c>
      <c r="FH156" s="549">
        <f t="shared" ref="FH156:FI156" si="5485">SUM(FH489)</f>
        <v>0</v>
      </c>
      <c r="FI156" s="675">
        <f t="shared" si="5485"/>
        <v>0</v>
      </c>
      <c r="FJ156" s="549">
        <f t="shared" ref="FJ156:FK156" si="5486">SUM(FJ489)</f>
        <v>0</v>
      </c>
      <c r="FK156" s="675">
        <f t="shared" si="5486"/>
        <v>0</v>
      </c>
      <c r="FL156" s="549">
        <f t="shared" ref="FL156:FM156" si="5487">SUM(FL489)</f>
        <v>0</v>
      </c>
      <c r="FM156" s="675">
        <f t="shared" si="5487"/>
        <v>0</v>
      </c>
      <c r="FN156" s="549">
        <f t="shared" ref="FN156:FO156" si="5488">SUM(FN489)</f>
        <v>0</v>
      </c>
      <c r="FO156" s="675">
        <f t="shared" si="5488"/>
        <v>0</v>
      </c>
      <c r="FP156" s="549">
        <f t="shared" ref="FP156:FQ156" si="5489">SUM(FP489)</f>
        <v>0</v>
      </c>
      <c r="FQ156" s="675">
        <f t="shared" si="5489"/>
        <v>0</v>
      </c>
      <c r="FR156" s="549">
        <f t="shared" ref="FR156:FS156" si="5490">SUM(FR489)</f>
        <v>0</v>
      </c>
      <c r="FS156" s="675">
        <f t="shared" si="5490"/>
        <v>0</v>
      </c>
      <c r="FT156" s="549">
        <f t="shared" ref="FT156:FU156" si="5491">SUM(FT489)</f>
        <v>0</v>
      </c>
      <c r="FU156" s="675">
        <f t="shared" si="5491"/>
        <v>0</v>
      </c>
      <c r="FV156" s="549">
        <f t="shared" ref="FV156:GK156" si="5492">SUM(FV489)</f>
        <v>0</v>
      </c>
      <c r="FW156" s="675">
        <f t="shared" si="5492"/>
        <v>0</v>
      </c>
      <c r="FX156" s="549">
        <f t="shared" si="5492"/>
        <v>0</v>
      </c>
      <c r="FY156" s="675">
        <f t="shared" si="5492"/>
        <v>0</v>
      </c>
      <c r="FZ156" s="549">
        <f t="shared" ref="FZ156:GI156" si="5493">SUM(FZ489)</f>
        <v>0</v>
      </c>
      <c r="GA156" s="675">
        <f t="shared" si="5493"/>
        <v>0</v>
      </c>
      <c r="GB156" s="549">
        <f t="shared" si="5493"/>
        <v>0</v>
      </c>
      <c r="GC156" s="675">
        <f t="shared" si="5493"/>
        <v>0</v>
      </c>
      <c r="GD156" s="549">
        <f t="shared" si="5493"/>
        <v>0</v>
      </c>
      <c r="GE156" s="675">
        <f t="shared" si="5493"/>
        <v>0</v>
      </c>
      <c r="GF156" s="549">
        <f t="shared" si="5493"/>
        <v>0</v>
      </c>
      <c r="GG156" s="675">
        <f t="shared" si="5493"/>
        <v>0</v>
      </c>
      <c r="GH156" s="549">
        <f t="shared" si="5493"/>
        <v>0</v>
      </c>
      <c r="GI156" s="675">
        <f t="shared" si="5493"/>
        <v>0</v>
      </c>
      <c r="GJ156" s="549">
        <f t="shared" si="5492"/>
        <v>0</v>
      </c>
      <c r="GK156" s="675">
        <f t="shared" si="5492"/>
        <v>0</v>
      </c>
      <c r="GL156" s="549">
        <f t="shared" ref="GL156:GM156" si="5494">SUM(GL489)</f>
        <v>0</v>
      </c>
      <c r="GM156" s="675">
        <f t="shared" si="5494"/>
        <v>0</v>
      </c>
      <c r="GN156" s="549">
        <f t="shared" ref="GN156:GO156" si="5495">SUM(GN489)</f>
        <v>0</v>
      </c>
      <c r="GO156" s="675">
        <f t="shared" si="5495"/>
        <v>0</v>
      </c>
      <c r="GP156" s="74">
        <f t="shared" si="5483"/>
        <v>0</v>
      </c>
      <c r="GQ156" s="675">
        <f t="shared" si="5483"/>
        <v>0</v>
      </c>
      <c r="GR156" s="74">
        <f t="shared" ref="GR156:HK156" si="5496">SUM(GR489)</f>
        <v>1500</v>
      </c>
      <c r="GS156" s="74">
        <f t="shared" si="5496"/>
        <v>1500</v>
      </c>
      <c r="GT156" s="74">
        <f t="shared" si="5496"/>
        <v>1500</v>
      </c>
      <c r="GU156" s="74">
        <f t="shared" si="5496"/>
        <v>1500</v>
      </c>
      <c r="GV156" s="74">
        <f t="shared" si="5496"/>
        <v>0</v>
      </c>
      <c r="GW156" s="74">
        <f t="shared" si="5496"/>
        <v>0</v>
      </c>
      <c r="GX156" s="74">
        <f t="shared" si="5496"/>
        <v>0</v>
      </c>
      <c r="GY156" s="74">
        <f t="shared" si="5496"/>
        <v>0</v>
      </c>
      <c r="GZ156" s="74">
        <f t="shared" si="5496"/>
        <v>0</v>
      </c>
      <c r="HA156" s="74">
        <f t="shared" si="5496"/>
        <v>0</v>
      </c>
      <c r="HB156" s="74">
        <f t="shared" si="5496"/>
        <v>0</v>
      </c>
      <c r="HC156" s="74">
        <f t="shared" si="5496"/>
        <v>0</v>
      </c>
      <c r="HD156" s="74">
        <f t="shared" si="5496"/>
        <v>0</v>
      </c>
      <c r="HE156" s="74">
        <f t="shared" si="5496"/>
        <v>0</v>
      </c>
      <c r="HF156" s="74">
        <f t="shared" si="5496"/>
        <v>0</v>
      </c>
      <c r="HG156" s="74">
        <f t="shared" si="5496"/>
        <v>1500</v>
      </c>
      <c r="HH156" s="74">
        <f t="shared" si="5496"/>
        <v>1500</v>
      </c>
      <c r="HI156" s="74">
        <f t="shared" si="5496"/>
        <v>0</v>
      </c>
      <c r="HJ156" s="74">
        <f t="shared" si="5496"/>
        <v>0</v>
      </c>
      <c r="HK156" s="74">
        <f t="shared" si="5496"/>
        <v>0</v>
      </c>
      <c r="HL156" s="74">
        <f t="shared" ref="HL156:JT156" si="5497">SUM(HL489)</f>
        <v>0</v>
      </c>
      <c r="HM156" s="74">
        <f t="shared" si="5497"/>
        <v>0</v>
      </c>
      <c r="HN156" s="74">
        <f t="shared" si="5497"/>
        <v>0</v>
      </c>
      <c r="HO156" s="74">
        <f t="shared" si="5497"/>
        <v>0</v>
      </c>
      <c r="HP156" s="74">
        <f t="shared" si="5497"/>
        <v>0</v>
      </c>
      <c r="HQ156" s="74">
        <f t="shared" si="5497"/>
        <v>0</v>
      </c>
      <c r="HR156" s="74">
        <f t="shared" si="5497"/>
        <v>0</v>
      </c>
      <c r="HS156" s="74">
        <f t="shared" si="5497"/>
        <v>0</v>
      </c>
      <c r="HT156" s="74">
        <f t="shared" si="5497"/>
        <v>0</v>
      </c>
      <c r="HU156" s="74">
        <f t="shared" si="5497"/>
        <v>0</v>
      </c>
      <c r="HV156" s="74">
        <f t="shared" si="5497"/>
        <v>0</v>
      </c>
      <c r="HW156" s="74">
        <f t="shared" si="5497"/>
        <v>0</v>
      </c>
      <c r="HX156" s="74">
        <f t="shared" si="5497"/>
        <v>0</v>
      </c>
      <c r="HY156" s="74">
        <f t="shared" si="5497"/>
        <v>0</v>
      </c>
      <c r="HZ156" s="74">
        <f t="shared" si="5497"/>
        <v>0</v>
      </c>
      <c r="IA156" s="74">
        <f t="shared" si="5497"/>
        <v>0</v>
      </c>
      <c r="IB156" s="74">
        <f t="shared" si="5497"/>
        <v>0</v>
      </c>
      <c r="IC156" s="74">
        <f t="shared" si="5497"/>
        <v>0</v>
      </c>
      <c r="ID156" s="74">
        <f t="shared" si="5497"/>
        <v>0</v>
      </c>
      <c r="IE156" s="792">
        <f t="shared" si="5497"/>
        <v>0</v>
      </c>
      <c r="IF156" s="841">
        <f t="shared" si="5497"/>
        <v>1487.13</v>
      </c>
      <c r="IG156" s="263">
        <f t="shared" si="5497"/>
        <v>1487.13</v>
      </c>
      <c r="IH156" s="842">
        <f t="shared" si="5497"/>
        <v>1487.13</v>
      </c>
      <c r="II156" s="155">
        <f t="shared" si="5497"/>
        <v>244.96</v>
      </c>
      <c r="IJ156" s="74">
        <f t="shared" si="5497"/>
        <v>244.96</v>
      </c>
      <c r="IK156" s="74">
        <f t="shared" si="5497"/>
        <v>244.96</v>
      </c>
      <c r="IL156" s="74">
        <f t="shared" si="5497"/>
        <v>69.97999999999999</v>
      </c>
      <c r="IM156" s="74">
        <f t="shared" si="5497"/>
        <v>69.97999999999999</v>
      </c>
      <c r="IN156" s="74">
        <f t="shared" si="5497"/>
        <v>69.97999999999999</v>
      </c>
      <c r="IO156" s="74">
        <f t="shared" si="5497"/>
        <v>180.8</v>
      </c>
      <c r="IP156" s="74">
        <f t="shared" si="5497"/>
        <v>180.8</v>
      </c>
      <c r="IQ156" s="74">
        <f t="shared" si="5497"/>
        <v>180.8</v>
      </c>
      <c r="IR156" s="74">
        <f t="shared" si="5497"/>
        <v>457.54999999999995</v>
      </c>
      <c r="IS156" s="74">
        <f t="shared" si="5497"/>
        <v>457.54999999999995</v>
      </c>
      <c r="IT156" s="74">
        <f t="shared" si="5497"/>
        <v>457.54999999999995</v>
      </c>
      <c r="IU156" s="74">
        <f t="shared" si="5497"/>
        <v>522.24</v>
      </c>
      <c r="IV156" s="74">
        <f t="shared" si="5497"/>
        <v>522.24</v>
      </c>
      <c r="IW156" s="74">
        <f t="shared" si="5497"/>
        <v>522.24</v>
      </c>
      <c r="IX156" s="74">
        <f t="shared" si="5497"/>
        <v>11.600000000000136</v>
      </c>
      <c r="IY156" s="74">
        <f t="shared" si="5497"/>
        <v>11.600000000000136</v>
      </c>
      <c r="IZ156" s="74">
        <f t="shared" si="5497"/>
        <v>11.600000000000136</v>
      </c>
      <c r="JA156" s="74">
        <f t="shared" si="5497"/>
        <v>0</v>
      </c>
      <c r="JB156" s="74">
        <f t="shared" si="5497"/>
        <v>0</v>
      </c>
      <c r="JC156" s="74">
        <f t="shared" si="5497"/>
        <v>0</v>
      </c>
      <c r="JD156" s="74">
        <f t="shared" si="5497"/>
        <v>0</v>
      </c>
      <c r="JE156" s="74">
        <f t="shared" si="5497"/>
        <v>0</v>
      </c>
      <c r="JF156" s="74">
        <f t="shared" si="5497"/>
        <v>0</v>
      </c>
      <c r="JG156" s="74">
        <f t="shared" si="5497"/>
        <v>0</v>
      </c>
      <c r="JH156" s="74">
        <f t="shared" si="5497"/>
        <v>0</v>
      </c>
      <c r="JI156" s="74">
        <f t="shared" si="5497"/>
        <v>0</v>
      </c>
      <c r="JJ156" s="74">
        <f t="shared" si="5497"/>
        <v>0</v>
      </c>
      <c r="JK156" s="74">
        <f t="shared" si="5497"/>
        <v>0</v>
      </c>
      <c r="JL156" s="74">
        <f t="shared" si="5497"/>
        <v>0</v>
      </c>
      <c r="JM156" s="74">
        <f t="shared" si="5497"/>
        <v>0</v>
      </c>
      <c r="JN156" s="74">
        <f t="shared" si="5497"/>
        <v>0</v>
      </c>
      <c r="JO156" s="74">
        <f t="shared" si="5497"/>
        <v>0</v>
      </c>
      <c r="JP156" s="74">
        <f t="shared" si="5497"/>
        <v>0</v>
      </c>
      <c r="JQ156" s="74">
        <f t="shared" si="5497"/>
        <v>0</v>
      </c>
      <c r="JR156" s="74">
        <f t="shared" si="5497"/>
        <v>0</v>
      </c>
      <c r="JS156" s="74">
        <f t="shared" si="5497"/>
        <v>12.869999999999891</v>
      </c>
      <c r="JT156" s="102">
        <f t="shared" si="5497"/>
        <v>12.869999999999891</v>
      </c>
      <c r="JU156" s="671"/>
      <c r="JV156" s="492"/>
      <c r="JW156" s="490"/>
      <c r="JX156" s="549">
        <f t="shared" ref="JX156:KB159" si="5498">SUM(JX489)</f>
        <v>1500</v>
      </c>
      <c r="JY156" s="549">
        <f t="shared" si="5498"/>
        <v>0</v>
      </c>
      <c r="JZ156" s="581">
        <f t="shared" si="4944"/>
        <v>0</v>
      </c>
      <c r="KA156" s="581">
        <f t="shared" si="4945"/>
        <v>0</v>
      </c>
      <c r="KB156" s="549">
        <f t="shared" si="5498"/>
        <v>1500</v>
      </c>
      <c r="KC156" s="709">
        <f t="shared" si="4908"/>
        <v>0</v>
      </c>
      <c r="KD156" s="36"/>
      <c r="KE156" s="36"/>
      <c r="KF156" s="36"/>
      <c r="KG156" s="36"/>
      <c r="KH156" s="36"/>
      <c r="KI156" s="36"/>
      <c r="KJ156" s="36"/>
      <c r="KK156" s="36"/>
    </row>
    <row r="157" spans="1:297" s="8" customFormat="1" ht="12.75" customHeight="1">
      <c r="A157" s="75" t="s">
        <v>186</v>
      </c>
      <c r="B157" s="72" t="s">
        <v>187</v>
      </c>
      <c r="C157" s="74">
        <f t="shared" ref="C157:AS157" si="5499">SUM(C490)</f>
        <v>2000</v>
      </c>
      <c r="D157" s="549">
        <f t="shared" si="5499"/>
        <v>0</v>
      </c>
      <c r="E157" s="675">
        <f t="shared" si="5499"/>
        <v>0</v>
      </c>
      <c r="F157" s="549">
        <f t="shared" si="5499"/>
        <v>0</v>
      </c>
      <c r="G157" s="675">
        <f t="shared" si="5499"/>
        <v>0</v>
      </c>
      <c r="H157" s="549">
        <f t="shared" si="5499"/>
        <v>0</v>
      </c>
      <c r="I157" s="675">
        <f t="shared" si="5499"/>
        <v>0</v>
      </c>
      <c r="J157" s="549">
        <f t="shared" si="5499"/>
        <v>0</v>
      </c>
      <c r="K157" s="675">
        <f t="shared" si="5499"/>
        <v>0</v>
      </c>
      <c r="L157" s="549">
        <f t="shared" si="5499"/>
        <v>0</v>
      </c>
      <c r="M157" s="675">
        <f t="shared" si="5499"/>
        <v>0</v>
      </c>
      <c r="N157" s="549">
        <f t="shared" si="5499"/>
        <v>0</v>
      </c>
      <c r="O157" s="675">
        <f t="shared" si="5499"/>
        <v>0</v>
      </c>
      <c r="P157" s="549">
        <f t="shared" si="5499"/>
        <v>0</v>
      </c>
      <c r="Q157" s="675">
        <f t="shared" si="5499"/>
        <v>0</v>
      </c>
      <c r="R157" s="549">
        <f t="shared" si="5499"/>
        <v>0</v>
      </c>
      <c r="S157" s="675">
        <f t="shared" si="5499"/>
        <v>0</v>
      </c>
      <c r="T157" s="549">
        <f t="shared" si="5499"/>
        <v>0</v>
      </c>
      <c r="U157" s="675">
        <f t="shared" si="5499"/>
        <v>0</v>
      </c>
      <c r="V157" s="549">
        <f t="shared" si="5499"/>
        <v>0</v>
      </c>
      <c r="W157" s="675">
        <f t="shared" si="5499"/>
        <v>0</v>
      </c>
      <c r="X157" s="549">
        <f t="shared" si="5499"/>
        <v>0</v>
      </c>
      <c r="Y157" s="675">
        <f t="shared" si="5499"/>
        <v>0</v>
      </c>
      <c r="Z157" s="549">
        <f t="shared" si="5499"/>
        <v>0</v>
      </c>
      <c r="AA157" s="675">
        <f t="shared" si="5499"/>
        <v>0</v>
      </c>
      <c r="AB157" s="549">
        <f t="shared" si="5499"/>
        <v>0</v>
      </c>
      <c r="AC157" s="675">
        <f t="shared" si="5499"/>
        <v>0</v>
      </c>
      <c r="AD157" s="549">
        <f t="shared" si="5499"/>
        <v>0</v>
      </c>
      <c r="AE157" s="675">
        <f t="shared" si="5499"/>
        <v>0</v>
      </c>
      <c r="AF157" s="549">
        <f t="shared" si="5499"/>
        <v>0</v>
      </c>
      <c r="AG157" s="675">
        <f t="shared" si="5499"/>
        <v>0</v>
      </c>
      <c r="AH157" s="549">
        <f t="shared" si="5499"/>
        <v>0</v>
      </c>
      <c r="AI157" s="675">
        <f t="shared" si="5499"/>
        <v>0</v>
      </c>
      <c r="AJ157" s="549">
        <f t="shared" si="5499"/>
        <v>0</v>
      </c>
      <c r="AK157" s="675">
        <f t="shared" si="5499"/>
        <v>0</v>
      </c>
      <c r="AL157" s="549">
        <f t="shared" si="5499"/>
        <v>0</v>
      </c>
      <c r="AM157" s="675">
        <f t="shared" si="5499"/>
        <v>0</v>
      </c>
      <c r="AN157" s="549">
        <f t="shared" si="5499"/>
        <v>0</v>
      </c>
      <c r="AO157" s="675">
        <f t="shared" si="5499"/>
        <v>0</v>
      </c>
      <c r="AP157" s="549">
        <f t="shared" si="5499"/>
        <v>0</v>
      </c>
      <c r="AQ157" s="675">
        <f t="shared" si="5499"/>
        <v>0</v>
      </c>
      <c r="AR157" s="549">
        <f t="shared" si="5499"/>
        <v>0</v>
      </c>
      <c r="AS157" s="675">
        <f t="shared" si="5499"/>
        <v>0</v>
      </c>
      <c r="AT157" s="549">
        <f t="shared" ref="AT157:AU157" si="5500">SUM(AT490)</f>
        <v>0</v>
      </c>
      <c r="AU157" s="675">
        <f t="shared" si="5500"/>
        <v>0</v>
      </c>
      <c r="AV157" s="549">
        <f t="shared" ref="AV157:AW157" si="5501">SUM(AV490)</f>
        <v>0</v>
      </c>
      <c r="AW157" s="675">
        <f t="shared" si="5501"/>
        <v>0</v>
      </c>
      <c r="AX157" s="549">
        <f t="shared" ref="AX157:AY157" si="5502">SUM(AX490)</f>
        <v>0</v>
      </c>
      <c r="AY157" s="675">
        <f t="shared" si="5502"/>
        <v>0</v>
      </c>
      <c r="AZ157" s="549">
        <f t="shared" ref="AZ157:BA157" si="5503">SUM(AZ490)</f>
        <v>0</v>
      </c>
      <c r="BA157" s="675">
        <f t="shared" si="5503"/>
        <v>0</v>
      </c>
      <c r="BB157" s="549">
        <f t="shared" ref="BB157:BC157" si="5504">SUM(BB490)</f>
        <v>0</v>
      </c>
      <c r="BC157" s="675">
        <f t="shared" si="5504"/>
        <v>0</v>
      </c>
      <c r="BD157" s="549">
        <f t="shared" ref="BD157:BE157" si="5505">SUM(BD490)</f>
        <v>0</v>
      </c>
      <c r="BE157" s="675">
        <f t="shared" si="5505"/>
        <v>0</v>
      </c>
      <c r="BF157" s="549">
        <f t="shared" ref="BF157:BG157" si="5506">SUM(BF490)</f>
        <v>0</v>
      </c>
      <c r="BG157" s="675">
        <f t="shared" si="5506"/>
        <v>0</v>
      </c>
      <c r="BH157" s="549">
        <f t="shared" ref="BH157:BI157" si="5507">SUM(BH490)</f>
        <v>0</v>
      </c>
      <c r="BI157" s="675">
        <f t="shared" si="5507"/>
        <v>0</v>
      </c>
      <c r="BJ157" s="549">
        <f t="shared" ref="BJ157:BK157" si="5508">SUM(BJ490)</f>
        <v>0</v>
      </c>
      <c r="BK157" s="675">
        <f t="shared" si="5508"/>
        <v>0</v>
      </c>
      <c r="BL157" s="549">
        <f t="shared" ref="BL157:BS157" si="5509">SUM(BL490)</f>
        <v>0</v>
      </c>
      <c r="BM157" s="675">
        <f t="shared" si="5509"/>
        <v>0</v>
      </c>
      <c r="BN157" s="549">
        <f t="shared" si="5509"/>
        <v>0</v>
      </c>
      <c r="BO157" s="675">
        <f t="shared" si="5509"/>
        <v>0</v>
      </c>
      <c r="BP157" s="549">
        <f t="shared" si="5509"/>
        <v>0</v>
      </c>
      <c r="BQ157" s="675">
        <f t="shared" si="5509"/>
        <v>0</v>
      </c>
      <c r="BR157" s="549">
        <f t="shared" si="5509"/>
        <v>0</v>
      </c>
      <c r="BS157" s="675">
        <f t="shared" si="5509"/>
        <v>0</v>
      </c>
      <c r="BT157" s="549">
        <f t="shared" si="5465"/>
        <v>0</v>
      </c>
      <c r="BU157" s="675">
        <f t="shared" si="5465"/>
        <v>0</v>
      </c>
      <c r="BV157" s="549">
        <f t="shared" si="5465"/>
        <v>0</v>
      </c>
      <c r="BW157" s="675">
        <f t="shared" si="5465"/>
        <v>0</v>
      </c>
      <c r="BX157" s="549">
        <f t="shared" ref="BX157:BY157" si="5510">SUM(BX490)</f>
        <v>0</v>
      </c>
      <c r="BY157" s="675">
        <f t="shared" si="5510"/>
        <v>0</v>
      </c>
      <c r="BZ157" s="549">
        <f t="shared" ref="BZ157:CA157" si="5511">SUM(BZ490)</f>
        <v>0</v>
      </c>
      <c r="CA157" s="675">
        <f t="shared" si="5511"/>
        <v>0</v>
      </c>
      <c r="CB157" s="549">
        <f t="shared" ref="CB157:CE157" si="5512">SUM(CB490)</f>
        <v>0</v>
      </c>
      <c r="CC157" s="675">
        <f t="shared" si="5512"/>
        <v>0</v>
      </c>
      <c r="CD157" s="549">
        <f t="shared" si="5512"/>
        <v>0</v>
      </c>
      <c r="CE157" s="675">
        <f t="shared" si="5512"/>
        <v>0</v>
      </c>
      <c r="CF157" s="549">
        <f t="shared" si="5469"/>
        <v>0</v>
      </c>
      <c r="CG157" s="675">
        <f t="shared" si="5469"/>
        <v>0</v>
      </c>
      <c r="CH157" s="549">
        <f t="shared" ref="CH157:CQ157" si="5513">SUM(CH490)</f>
        <v>0</v>
      </c>
      <c r="CI157" s="675">
        <f t="shared" si="5513"/>
        <v>0</v>
      </c>
      <c r="CJ157" s="549">
        <f t="shared" si="5513"/>
        <v>0</v>
      </c>
      <c r="CK157" s="675">
        <f t="shared" si="5513"/>
        <v>0</v>
      </c>
      <c r="CL157" s="549">
        <f t="shared" si="5513"/>
        <v>0</v>
      </c>
      <c r="CM157" s="675">
        <f t="shared" si="5513"/>
        <v>0</v>
      </c>
      <c r="CN157" s="549">
        <f t="shared" si="5513"/>
        <v>0</v>
      </c>
      <c r="CO157" s="675">
        <f t="shared" si="5513"/>
        <v>0</v>
      </c>
      <c r="CP157" s="549">
        <f t="shared" si="5513"/>
        <v>0</v>
      </c>
      <c r="CQ157" s="675">
        <f t="shared" si="5513"/>
        <v>0</v>
      </c>
      <c r="CR157" s="549">
        <f t="shared" si="5471"/>
        <v>0</v>
      </c>
      <c r="CS157" s="675">
        <f t="shared" si="5471"/>
        <v>0</v>
      </c>
      <c r="CT157" s="549">
        <f t="shared" si="5471"/>
        <v>0</v>
      </c>
      <c r="CU157" s="675">
        <f t="shared" si="5471"/>
        <v>0</v>
      </c>
      <c r="CV157" s="549">
        <f t="shared" si="5471"/>
        <v>0</v>
      </c>
      <c r="CW157" s="675">
        <f t="shared" si="5471"/>
        <v>0</v>
      </c>
      <c r="CX157" s="549">
        <f t="shared" si="5471"/>
        <v>0</v>
      </c>
      <c r="CY157" s="675">
        <f t="shared" si="5471"/>
        <v>0</v>
      </c>
      <c r="CZ157" s="549">
        <f t="shared" si="5472"/>
        <v>0</v>
      </c>
      <c r="DA157" s="675">
        <f t="shared" si="5472"/>
        <v>0</v>
      </c>
      <c r="DB157" s="549">
        <f t="shared" si="5472"/>
        <v>0</v>
      </c>
      <c r="DC157" s="675">
        <f t="shared" si="5472"/>
        <v>0</v>
      </c>
      <c r="DD157" s="549">
        <f t="shared" si="5473"/>
        <v>0</v>
      </c>
      <c r="DE157" s="675">
        <f t="shared" si="5473"/>
        <v>0</v>
      </c>
      <c r="DF157" s="549">
        <f t="shared" ref="DF157:DG157" si="5514">SUM(DF490)</f>
        <v>0</v>
      </c>
      <c r="DG157" s="675">
        <f t="shared" si="5514"/>
        <v>0</v>
      </c>
      <c r="DH157" s="549">
        <f t="shared" si="5474"/>
        <v>0</v>
      </c>
      <c r="DI157" s="675">
        <f t="shared" si="5474"/>
        <v>0</v>
      </c>
      <c r="DJ157" s="549">
        <f t="shared" si="5475"/>
        <v>0</v>
      </c>
      <c r="DK157" s="675">
        <f t="shared" si="5475"/>
        <v>-1000</v>
      </c>
      <c r="DL157" s="549">
        <f t="shared" si="5475"/>
        <v>0</v>
      </c>
      <c r="DM157" s="675">
        <f t="shared" si="5475"/>
        <v>0</v>
      </c>
      <c r="DN157" s="549">
        <f t="shared" si="5476"/>
        <v>0</v>
      </c>
      <c r="DO157" s="675">
        <f t="shared" si="5476"/>
        <v>0</v>
      </c>
      <c r="DP157" s="549">
        <f t="shared" ref="DP157:DU157" si="5515">SUM(DP490)</f>
        <v>0</v>
      </c>
      <c r="DQ157" s="675">
        <f t="shared" si="5515"/>
        <v>0</v>
      </c>
      <c r="DR157" s="549">
        <f t="shared" si="5515"/>
        <v>0</v>
      </c>
      <c r="DS157" s="675">
        <f t="shared" si="5515"/>
        <v>0</v>
      </c>
      <c r="DT157" s="549">
        <f t="shared" si="5515"/>
        <v>0</v>
      </c>
      <c r="DU157" s="675">
        <f t="shared" si="5515"/>
        <v>0</v>
      </c>
      <c r="DV157" s="549">
        <f t="shared" si="5478"/>
        <v>0</v>
      </c>
      <c r="DW157" s="675">
        <f t="shared" si="5478"/>
        <v>0</v>
      </c>
      <c r="DX157" s="549">
        <f t="shared" ref="DX157:EA159" si="5516">SUM(DX490)</f>
        <v>0</v>
      </c>
      <c r="DY157" s="675">
        <f t="shared" si="5516"/>
        <v>0</v>
      </c>
      <c r="DZ157" s="549">
        <f t="shared" si="5516"/>
        <v>0</v>
      </c>
      <c r="EA157" s="675">
        <f t="shared" si="5516"/>
        <v>0</v>
      </c>
      <c r="EB157" s="549">
        <f t="shared" ref="EB157:EM157" si="5517">SUM(EB490)</f>
        <v>0</v>
      </c>
      <c r="EC157" s="675">
        <f t="shared" si="5517"/>
        <v>0</v>
      </c>
      <c r="ED157" s="549">
        <f t="shared" si="5517"/>
        <v>0</v>
      </c>
      <c r="EE157" s="675">
        <f t="shared" si="5517"/>
        <v>0</v>
      </c>
      <c r="EF157" s="549">
        <f t="shared" si="5517"/>
        <v>0</v>
      </c>
      <c r="EG157" s="675">
        <f t="shared" si="5517"/>
        <v>0</v>
      </c>
      <c r="EH157" s="549">
        <f t="shared" si="5517"/>
        <v>0</v>
      </c>
      <c r="EI157" s="675">
        <f t="shared" si="5517"/>
        <v>0</v>
      </c>
      <c r="EJ157" s="549">
        <f t="shared" si="5517"/>
        <v>0</v>
      </c>
      <c r="EK157" s="675">
        <f t="shared" si="5517"/>
        <v>0</v>
      </c>
      <c r="EL157" s="549">
        <f t="shared" si="5517"/>
        <v>0</v>
      </c>
      <c r="EM157" s="675">
        <f t="shared" si="5517"/>
        <v>0</v>
      </c>
      <c r="EN157" s="549">
        <f t="shared" si="5481"/>
        <v>0</v>
      </c>
      <c r="EO157" s="675">
        <f t="shared" si="5481"/>
        <v>0</v>
      </c>
      <c r="EP157" s="549">
        <f t="shared" ref="EP157:FA157" si="5518">SUM(EP490)</f>
        <v>0</v>
      </c>
      <c r="EQ157" s="675">
        <f t="shared" si="5518"/>
        <v>0</v>
      </c>
      <c r="ER157" s="549">
        <f t="shared" si="5518"/>
        <v>0</v>
      </c>
      <c r="ES157" s="675">
        <f t="shared" si="5518"/>
        <v>0</v>
      </c>
      <c r="ET157" s="549">
        <f t="shared" si="5518"/>
        <v>0</v>
      </c>
      <c r="EU157" s="675">
        <f t="shared" si="5518"/>
        <v>0</v>
      </c>
      <c r="EV157" s="549">
        <f t="shared" ref="EV157:EW159" si="5519">SUM(EV490)</f>
        <v>0</v>
      </c>
      <c r="EW157" s="675">
        <f t="shared" si="5519"/>
        <v>0</v>
      </c>
      <c r="EX157" s="549">
        <f t="shared" si="5518"/>
        <v>0</v>
      </c>
      <c r="EY157" s="675">
        <f t="shared" si="5518"/>
        <v>0</v>
      </c>
      <c r="EZ157" s="549">
        <f t="shared" si="5518"/>
        <v>0</v>
      </c>
      <c r="FA157" s="675">
        <f t="shared" si="5518"/>
        <v>0</v>
      </c>
      <c r="FB157" s="549">
        <f t="shared" ref="FB157:GQ158" si="5520">SUM(FB490)</f>
        <v>0</v>
      </c>
      <c r="FC157" s="675">
        <f t="shared" si="5520"/>
        <v>0</v>
      </c>
      <c r="FD157" s="549">
        <f t="shared" si="5520"/>
        <v>0</v>
      </c>
      <c r="FE157" s="675">
        <f t="shared" si="5520"/>
        <v>-244</v>
      </c>
      <c r="FF157" s="549">
        <f t="shared" ref="FF157:FG157" si="5521">SUM(FF490)</f>
        <v>0</v>
      </c>
      <c r="FG157" s="675">
        <f t="shared" si="5521"/>
        <v>0</v>
      </c>
      <c r="FH157" s="549">
        <f t="shared" ref="FH157:FI157" si="5522">SUM(FH490)</f>
        <v>0</v>
      </c>
      <c r="FI157" s="675">
        <f t="shared" si="5522"/>
        <v>0</v>
      </c>
      <c r="FJ157" s="549">
        <f t="shared" ref="FJ157:FK157" si="5523">SUM(FJ490)</f>
        <v>0</v>
      </c>
      <c r="FK157" s="675">
        <f t="shared" si="5523"/>
        <v>0</v>
      </c>
      <c r="FL157" s="549">
        <f t="shared" ref="FL157:FM157" si="5524">SUM(FL490)</f>
        <v>0</v>
      </c>
      <c r="FM157" s="675">
        <f t="shared" si="5524"/>
        <v>0</v>
      </c>
      <c r="FN157" s="549">
        <f t="shared" ref="FN157:FO157" si="5525">SUM(FN490)</f>
        <v>0</v>
      </c>
      <c r="FO157" s="675">
        <f t="shared" si="5525"/>
        <v>0</v>
      </c>
      <c r="FP157" s="549">
        <f t="shared" ref="FP157:FQ157" si="5526">SUM(FP490)</f>
        <v>0</v>
      </c>
      <c r="FQ157" s="675">
        <f t="shared" si="5526"/>
        <v>0</v>
      </c>
      <c r="FR157" s="549">
        <f t="shared" ref="FR157:FS157" si="5527">SUM(FR490)</f>
        <v>0</v>
      </c>
      <c r="FS157" s="675">
        <f t="shared" si="5527"/>
        <v>0</v>
      </c>
      <c r="FT157" s="549">
        <f t="shared" ref="FT157:FU157" si="5528">SUM(FT490)</f>
        <v>0</v>
      </c>
      <c r="FU157" s="675">
        <f t="shared" si="5528"/>
        <v>0</v>
      </c>
      <c r="FV157" s="549">
        <f t="shared" ref="FV157:GK157" si="5529">SUM(FV490)</f>
        <v>0</v>
      </c>
      <c r="FW157" s="675">
        <f t="shared" si="5529"/>
        <v>0</v>
      </c>
      <c r="FX157" s="549">
        <f t="shared" si="5529"/>
        <v>0</v>
      </c>
      <c r="FY157" s="675">
        <f t="shared" si="5529"/>
        <v>0</v>
      </c>
      <c r="FZ157" s="549">
        <f t="shared" ref="FZ157:GI157" si="5530">SUM(FZ490)</f>
        <v>0</v>
      </c>
      <c r="GA157" s="675">
        <f t="shared" si="5530"/>
        <v>0</v>
      </c>
      <c r="GB157" s="549">
        <f t="shared" si="5530"/>
        <v>0</v>
      </c>
      <c r="GC157" s="675">
        <f t="shared" si="5530"/>
        <v>0</v>
      </c>
      <c r="GD157" s="549">
        <f t="shared" si="5530"/>
        <v>0</v>
      </c>
      <c r="GE157" s="675">
        <f t="shared" si="5530"/>
        <v>0</v>
      </c>
      <c r="GF157" s="549">
        <f t="shared" si="5530"/>
        <v>0</v>
      </c>
      <c r="GG157" s="675">
        <f t="shared" si="5530"/>
        <v>0</v>
      </c>
      <c r="GH157" s="549">
        <f t="shared" si="5530"/>
        <v>0</v>
      </c>
      <c r="GI157" s="675">
        <f t="shared" si="5530"/>
        <v>0</v>
      </c>
      <c r="GJ157" s="549">
        <f t="shared" si="5529"/>
        <v>0</v>
      </c>
      <c r="GK157" s="675">
        <f t="shared" si="5529"/>
        <v>0</v>
      </c>
      <c r="GL157" s="549">
        <f t="shared" ref="GL157:GM157" si="5531">SUM(GL490)</f>
        <v>0</v>
      </c>
      <c r="GM157" s="675">
        <f t="shared" si="5531"/>
        <v>0</v>
      </c>
      <c r="GN157" s="549">
        <f t="shared" ref="GN157:GO157" si="5532">SUM(GN490)</f>
        <v>0</v>
      </c>
      <c r="GO157" s="675">
        <f t="shared" si="5532"/>
        <v>0</v>
      </c>
      <c r="GP157" s="74">
        <f t="shared" si="5520"/>
        <v>0</v>
      </c>
      <c r="GQ157" s="675">
        <f t="shared" si="5520"/>
        <v>-1244</v>
      </c>
      <c r="GR157" s="74">
        <f t="shared" ref="GR157:HK157" si="5533">SUM(GR490)</f>
        <v>756</v>
      </c>
      <c r="GS157" s="74">
        <f t="shared" si="5533"/>
        <v>756</v>
      </c>
      <c r="GT157" s="74">
        <f t="shared" si="5533"/>
        <v>756</v>
      </c>
      <c r="GU157" s="74">
        <f t="shared" si="5533"/>
        <v>0</v>
      </c>
      <c r="GV157" s="74">
        <f t="shared" si="5533"/>
        <v>0</v>
      </c>
      <c r="GW157" s="74">
        <f t="shared" si="5533"/>
        <v>2000</v>
      </c>
      <c r="GX157" s="74">
        <f t="shared" si="5533"/>
        <v>0</v>
      </c>
      <c r="GY157" s="74">
        <f t="shared" si="5533"/>
        <v>0</v>
      </c>
      <c r="GZ157" s="74">
        <f t="shared" si="5533"/>
        <v>0</v>
      </c>
      <c r="HA157" s="74">
        <f t="shared" si="5533"/>
        <v>0</v>
      </c>
      <c r="HB157" s="74">
        <f t="shared" si="5533"/>
        <v>0</v>
      </c>
      <c r="HC157" s="74">
        <f t="shared" si="5533"/>
        <v>0</v>
      </c>
      <c r="HD157" s="74">
        <f t="shared" si="5533"/>
        <v>0</v>
      </c>
      <c r="HE157" s="74">
        <f t="shared" si="5533"/>
        <v>0</v>
      </c>
      <c r="HF157" s="74">
        <f t="shared" si="5533"/>
        <v>0</v>
      </c>
      <c r="HG157" s="74">
        <f t="shared" si="5533"/>
        <v>756</v>
      </c>
      <c r="HH157" s="74">
        <f t="shared" si="5533"/>
        <v>0</v>
      </c>
      <c r="HI157" s="74">
        <f t="shared" si="5533"/>
        <v>0</v>
      </c>
      <c r="HJ157" s="74">
        <f t="shared" si="5533"/>
        <v>0</v>
      </c>
      <c r="HK157" s="74">
        <f t="shared" si="5533"/>
        <v>0</v>
      </c>
      <c r="HL157" s="74">
        <f t="shared" ref="HL157:JT157" si="5534">SUM(HL490)</f>
        <v>2000</v>
      </c>
      <c r="HM157" s="74">
        <f t="shared" si="5534"/>
        <v>0</v>
      </c>
      <c r="HN157" s="74">
        <f t="shared" si="5534"/>
        <v>0</v>
      </c>
      <c r="HO157" s="74">
        <f t="shared" si="5534"/>
        <v>0</v>
      </c>
      <c r="HP157" s="74">
        <f t="shared" si="5534"/>
        <v>0</v>
      </c>
      <c r="HQ157" s="74">
        <f t="shared" si="5534"/>
        <v>0</v>
      </c>
      <c r="HR157" s="74">
        <f t="shared" si="5534"/>
        <v>0</v>
      </c>
      <c r="HS157" s="74">
        <f t="shared" si="5534"/>
        <v>0</v>
      </c>
      <c r="HT157" s="74">
        <f t="shared" si="5534"/>
        <v>0</v>
      </c>
      <c r="HU157" s="74">
        <f t="shared" si="5534"/>
        <v>0</v>
      </c>
      <c r="HV157" s="74">
        <f t="shared" si="5534"/>
        <v>-1000</v>
      </c>
      <c r="HW157" s="74">
        <f t="shared" si="5534"/>
        <v>0</v>
      </c>
      <c r="HX157" s="74">
        <f t="shared" si="5534"/>
        <v>0</v>
      </c>
      <c r="HY157" s="74">
        <f t="shared" si="5534"/>
        <v>0</v>
      </c>
      <c r="HZ157" s="74">
        <f t="shared" si="5534"/>
        <v>-244</v>
      </c>
      <c r="IA157" s="74">
        <f t="shared" si="5534"/>
        <v>0</v>
      </c>
      <c r="IB157" s="74">
        <f t="shared" si="5534"/>
        <v>0</v>
      </c>
      <c r="IC157" s="74">
        <f t="shared" si="5534"/>
        <v>0</v>
      </c>
      <c r="ID157" s="74">
        <f t="shared" si="5534"/>
        <v>0</v>
      </c>
      <c r="IE157" s="792">
        <f t="shared" si="5534"/>
        <v>0</v>
      </c>
      <c r="IF157" s="841">
        <f t="shared" si="5534"/>
        <v>756</v>
      </c>
      <c r="IG157" s="263">
        <f t="shared" si="5534"/>
        <v>756</v>
      </c>
      <c r="IH157" s="842">
        <f t="shared" si="5534"/>
        <v>756</v>
      </c>
      <c r="II157" s="155">
        <f t="shared" si="5534"/>
        <v>0</v>
      </c>
      <c r="IJ157" s="74">
        <f t="shared" si="5534"/>
        <v>0</v>
      </c>
      <c r="IK157" s="74">
        <f t="shared" si="5534"/>
        <v>0</v>
      </c>
      <c r="IL157" s="74">
        <f t="shared" si="5534"/>
        <v>0</v>
      </c>
      <c r="IM157" s="74">
        <f t="shared" si="5534"/>
        <v>0</v>
      </c>
      <c r="IN157" s="74">
        <f t="shared" si="5534"/>
        <v>0</v>
      </c>
      <c r="IO157" s="74">
        <f t="shared" si="5534"/>
        <v>472.2</v>
      </c>
      <c r="IP157" s="74">
        <f t="shared" si="5534"/>
        <v>472.2</v>
      </c>
      <c r="IQ157" s="74">
        <f t="shared" si="5534"/>
        <v>472.2</v>
      </c>
      <c r="IR157" s="74">
        <f t="shared" si="5534"/>
        <v>0</v>
      </c>
      <c r="IS157" s="74">
        <f t="shared" si="5534"/>
        <v>0</v>
      </c>
      <c r="IT157" s="74">
        <f t="shared" si="5534"/>
        <v>0</v>
      </c>
      <c r="IU157" s="74">
        <f t="shared" si="5534"/>
        <v>283.8</v>
      </c>
      <c r="IV157" s="74">
        <f t="shared" si="5534"/>
        <v>283.8</v>
      </c>
      <c r="IW157" s="74">
        <f t="shared" si="5534"/>
        <v>283.8</v>
      </c>
      <c r="IX157" s="74">
        <f t="shared" si="5534"/>
        <v>0</v>
      </c>
      <c r="IY157" s="74">
        <f t="shared" si="5534"/>
        <v>0</v>
      </c>
      <c r="IZ157" s="74">
        <f t="shared" si="5534"/>
        <v>0</v>
      </c>
      <c r="JA157" s="74">
        <f t="shared" si="5534"/>
        <v>0</v>
      </c>
      <c r="JB157" s="74">
        <f t="shared" si="5534"/>
        <v>0</v>
      </c>
      <c r="JC157" s="74">
        <f t="shared" si="5534"/>
        <v>0</v>
      </c>
      <c r="JD157" s="74">
        <f t="shared" si="5534"/>
        <v>0</v>
      </c>
      <c r="JE157" s="74">
        <f t="shared" si="5534"/>
        <v>0</v>
      </c>
      <c r="JF157" s="74">
        <f t="shared" si="5534"/>
        <v>0</v>
      </c>
      <c r="JG157" s="74">
        <f t="shared" si="5534"/>
        <v>0</v>
      </c>
      <c r="JH157" s="74">
        <f t="shared" si="5534"/>
        <v>0</v>
      </c>
      <c r="JI157" s="74">
        <f t="shared" si="5534"/>
        <v>0</v>
      </c>
      <c r="JJ157" s="74">
        <f t="shared" si="5534"/>
        <v>0</v>
      </c>
      <c r="JK157" s="74">
        <f t="shared" si="5534"/>
        <v>0</v>
      </c>
      <c r="JL157" s="74">
        <f t="shared" si="5534"/>
        <v>0</v>
      </c>
      <c r="JM157" s="74">
        <f t="shared" si="5534"/>
        <v>0</v>
      </c>
      <c r="JN157" s="74">
        <f t="shared" si="5534"/>
        <v>0</v>
      </c>
      <c r="JO157" s="74">
        <f t="shared" si="5534"/>
        <v>0</v>
      </c>
      <c r="JP157" s="74">
        <f t="shared" si="5534"/>
        <v>0</v>
      </c>
      <c r="JQ157" s="74">
        <f t="shared" si="5534"/>
        <v>0</v>
      </c>
      <c r="JR157" s="74">
        <f t="shared" si="5534"/>
        <v>0</v>
      </c>
      <c r="JS157" s="74">
        <f t="shared" si="5534"/>
        <v>0</v>
      </c>
      <c r="JT157" s="102">
        <f t="shared" si="5534"/>
        <v>0</v>
      </c>
      <c r="JU157" s="671"/>
      <c r="JV157" s="492"/>
      <c r="JW157" s="490"/>
      <c r="JX157" s="549">
        <f t="shared" si="5498"/>
        <v>756</v>
      </c>
      <c r="JY157" s="549">
        <f t="shared" si="5498"/>
        <v>0</v>
      </c>
      <c r="JZ157" s="581">
        <f t="shared" si="4944"/>
        <v>0</v>
      </c>
      <c r="KA157" s="581">
        <f t="shared" si="4945"/>
        <v>-1244</v>
      </c>
      <c r="KB157" s="549">
        <f t="shared" si="5498"/>
        <v>756</v>
      </c>
      <c r="KC157" s="709">
        <f t="shared" si="4908"/>
        <v>0</v>
      </c>
      <c r="KD157" s="36"/>
      <c r="KE157" s="36"/>
      <c r="KF157" s="36"/>
      <c r="KG157" s="36"/>
      <c r="KH157" s="36"/>
      <c r="KI157" s="36"/>
      <c r="KJ157" s="36"/>
      <c r="KK157" s="36"/>
    </row>
    <row r="158" spans="1:297" s="8" customFormat="1">
      <c r="A158" s="75" t="s">
        <v>501</v>
      </c>
      <c r="B158" s="72" t="s">
        <v>188</v>
      </c>
      <c r="C158" s="74">
        <f t="shared" ref="C158:AS158" si="5535">SUM(C491)</f>
        <v>6800</v>
      </c>
      <c r="D158" s="549">
        <f t="shared" si="5535"/>
        <v>0</v>
      </c>
      <c r="E158" s="675">
        <f t="shared" si="5535"/>
        <v>0</v>
      </c>
      <c r="F158" s="549">
        <f t="shared" si="5535"/>
        <v>0</v>
      </c>
      <c r="G158" s="675">
        <f t="shared" si="5535"/>
        <v>0</v>
      </c>
      <c r="H158" s="549">
        <f t="shared" si="5535"/>
        <v>0</v>
      </c>
      <c r="I158" s="675">
        <f t="shared" si="5535"/>
        <v>0</v>
      </c>
      <c r="J158" s="549">
        <f t="shared" si="5535"/>
        <v>0</v>
      </c>
      <c r="K158" s="675">
        <f t="shared" si="5535"/>
        <v>0</v>
      </c>
      <c r="L158" s="549">
        <f t="shared" si="5535"/>
        <v>0</v>
      </c>
      <c r="M158" s="675">
        <f t="shared" si="5535"/>
        <v>0</v>
      </c>
      <c r="N158" s="549">
        <f t="shared" si="5535"/>
        <v>0</v>
      </c>
      <c r="O158" s="675">
        <f t="shared" si="5535"/>
        <v>0</v>
      </c>
      <c r="P158" s="549">
        <f t="shared" si="5535"/>
        <v>0</v>
      </c>
      <c r="Q158" s="675">
        <f t="shared" si="5535"/>
        <v>0</v>
      </c>
      <c r="R158" s="549">
        <f t="shared" si="5535"/>
        <v>0</v>
      </c>
      <c r="S158" s="675">
        <f t="shared" si="5535"/>
        <v>0</v>
      </c>
      <c r="T158" s="549">
        <f t="shared" si="5535"/>
        <v>0</v>
      </c>
      <c r="U158" s="675">
        <f t="shared" si="5535"/>
        <v>0</v>
      </c>
      <c r="V158" s="549">
        <f t="shared" si="5535"/>
        <v>0</v>
      </c>
      <c r="W158" s="675">
        <f t="shared" si="5535"/>
        <v>0</v>
      </c>
      <c r="X158" s="549">
        <f t="shared" si="5535"/>
        <v>0</v>
      </c>
      <c r="Y158" s="675">
        <f t="shared" si="5535"/>
        <v>0</v>
      </c>
      <c r="Z158" s="549">
        <f t="shared" si="5535"/>
        <v>0</v>
      </c>
      <c r="AA158" s="675">
        <f t="shared" si="5535"/>
        <v>0</v>
      </c>
      <c r="AB158" s="549">
        <f t="shared" si="5535"/>
        <v>0</v>
      </c>
      <c r="AC158" s="675">
        <f t="shared" si="5535"/>
        <v>0</v>
      </c>
      <c r="AD158" s="549">
        <f t="shared" si="5535"/>
        <v>0</v>
      </c>
      <c r="AE158" s="675">
        <f t="shared" si="5535"/>
        <v>-2000</v>
      </c>
      <c r="AF158" s="549">
        <f t="shared" si="5535"/>
        <v>0</v>
      </c>
      <c r="AG158" s="675">
        <f t="shared" si="5535"/>
        <v>0</v>
      </c>
      <c r="AH158" s="549">
        <f t="shared" si="5535"/>
        <v>0</v>
      </c>
      <c r="AI158" s="675">
        <f t="shared" si="5535"/>
        <v>0</v>
      </c>
      <c r="AJ158" s="549">
        <f t="shared" si="5535"/>
        <v>0</v>
      </c>
      <c r="AK158" s="675">
        <f t="shared" si="5535"/>
        <v>0</v>
      </c>
      <c r="AL158" s="549">
        <f t="shared" si="5535"/>
        <v>0</v>
      </c>
      <c r="AM158" s="675">
        <f t="shared" si="5535"/>
        <v>0</v>
      </c>
      <c r="AN158" s="549">
        <f t="shared" si="5535"/>
        <v>0</v>
      </c>
      <c r="AO158" s="675">
        <f t="shared" si="5535"/>
        <v>0</v>
      </c>
      <c r="AP158" s="549">
        <f t="shared" si="5535"/>
        <v>0</v>
      </c>
      <c r="AQ158" s="675">
        <f t="shared" si="5535"/>
        <v>0</v>
      </c>
      <c r="AR158" s="549">
        <f t="shared" si="5535"/>
        <v>0</v>
      </c>
      <c r="AS158" s="675">
        <f t="shared" si="5535"/>
        <v>0</v>
      </c>
      <c r="AT158" s="549">
        <f t="shared" ref="AT158:AU158" si="5536">SUM(AT491)</f>
        <v>0</v>
      </c>
      <c r="AU158" s="675">
        <f t="shared" si="5536"/>
        <v>0</v>
      </c>
      <c r="AV158" s="549">
        <f t="shared" ref="AV158:AW158" si="5537">SUM(AV491)</f>
        <v>0</v>
      </c>
      <c r="AW158" s="675">
        <f t="shared" si="5537"/>
        <v>0</v>
      </c>
      <c r="AX158" s="549">
        <f t="shared" ref="AX158:AY158" si="5538">SUM(AX491)</f>
        <v>0</v>
      </c>
      <c r="AY158" s="675">
        <f t="shared" si="5538"/>
        <v>0</v>
      </c>
      <c r="AZ158" s="549">
        <f t="shared" ref="AZ158:BA158" si="5539">SUM(AZ491)</f>
        <v>0</v>
      </c>
      <c r="BA158" s="675">
        <f t="shared" si="5539"/>
        <v>0</v>
      </c>
      <c r="BB158" s="549">
        <f t="shared" ref="BB158:BC158" si="5540">SUM(BB491)</f>
        <v>0</v>
      </c>
      <c r="BC158" s="675">
        <f t="shared" si="5540"/>
        <v>0</v>
      </c>
      <c r="BD158" s="549">
        <f t="shared" ref="BD158:BE158" si="5541">SUM(BD491)</f>
        <v>0</v>
      </c>
      <c r="BE158" s="675">
        <f t="shared" si="5541"/>
        <v>0</v>
      </c>
      <c r="BF158" s="549">
        <f t="shared" ref="BF158:BG158" si="5542">SUM(BF491)</f>
        <v>0</v>
      </c>
      <c r="BG158" s="675">
        <f t="shared" si="5542"/>
        <v>0</v>
      </c>
      <c r="BH158" s="549">
        <f t="shared" ref="BH158:BI158" si="5543">SUM(BH491)</f>
        <v>0</v>
      </c>
      <c r="BI158" s="675">
        <f t="shared" si="5543"/>
        <v>0</v>
      </c>
      <c r="BJ158" s="549">
        <f t="shared" ref="BJ158:BK158" si="5544">SUM(BJ491)</f>
        <v>0</v>
      </c>
      <c r="BK158" s="675">
        <f t="shared" si="5544"/>
        <v>0</v>
      </c>
      <c r="BL158" s="549">
        <f t="shared" ref="BL158:BS158" si="5545">SUM(BL491)</f>
        <v>0</v>
      </c>
      <c r="BM158" s="675">
        <f t="shared" si="5545"/>
        <v>0</v>
      </c>
      <c r="BN158" s="549">
        <f t="shared" si="5545"/>
        <v>0</v>
      </c>
      <c r="BO158" s="675">
        <f t="shared" si="5545"/>
        <v>0</v>
      </c>
      <c r="BP158" s="549">
        <f t="shared" si="5545"/>
        <v>0</v>
      </c>
      <c r="BQ158" s="675">
        <f t="shared" si="5545"/>
        <v>0</v>
      </c>
      <c r="BR158" s="549">
        <f t="shared" si="5545"/>
        <v>0</v>
      </c>
      <c r="BS158" s="675">
        <f t="shared" si="5545"/>
        <v>0</v>
      </c>
      <c r="BT158" s="549">
        <f t="shared" si="5465"/>
        <v>0</v>
      </c>
      <c r="BU158" s="675">
        <f t="shared" si="5465"/>
        <v>0</v>
      </c>
      <c r="BV158" s="549">
        <f t="shared" si="5465"/>
        <v>0</v>
      </c>
      <c r="BW158" s="675">
        <f t="shared" si="5465"/>
        <v>0</v>
      </c>
      <c r="BX158" s="549">
        <f t="shared" ref="BX158:BY158" si="5546">SUM(BX491)</f>
        <v>0</v>
      </c>
      <c r="BY158" s="675">
        <f t="shared" si="5546"/>
        <v>0</v>
      </c>
      <c r="BZ158" s="549">
        <f t="shared" ref="BZ158:CA158" si="5547">SUM(BZ491)</f>
        <v>0</v>
      </c>
      <c r="CA158" s="675">
        <f t="shared" si="5547"/>
        <v>0</v>
      </c>
      <c r="CB158" s="549">
        <f t="shared" ref="CB158:CE158" si="5548">SUM(CB491)</f>
        <v>0</v>
      </c>
      <c r="CC158" s="675">
        <f t="shared" si="5548"/>
        <v>0</v>
      </c>
      <c r="CD158" s="549">
        <f t="shared" si="5548"/>
        <v>0</v>
      </c>
      <c r="CE158" s="675">
        <f t="shared" si="5548"/>
        <v>0</v>
      </c>
      <c r="CF158" s="549">
        <f t="shared" si="5469"/>
        <v>0</v>
      </c>
      <c r="CG158" s="675">
        <f t="shared" si="5469"/>
        <v>0</v>
      </c>
      <c r="CH158" s="549">
        <f t="shared" ref="CH158:CQ158" si="5549">SUM(CH491)</f>
        <v>0</v>
      </c>
      <c r="CI158" s="675">
        <f t="shared" si="5549"/>
        <v>0</v>
      </c>
      <c r="CJ158" s="549">
        <f t="shared" si="5549"/>
        <v>0</v>
      </c>
      <c r="CK158" s="675">
        <f t="shared" si="5549"/>
        <v>0</v>
      </c>
      <c r="CL158" s="549">
        <f t="shared" si="5549"/>
        <v>0</v>
      </c>
      <c r="CM158" s="675">
        <f t="shared" si="5549"/>
        <v>0</v>
      </c>
      <c r="CN158" s="549">
        <f t="shared" si="5549"/>
        <v>0</v>
      </c>
      <c r="CO158" s="675">
        <f t="shared" si="5549"/>
        <v>0</v>
      </c>
      <c r="CP158" s="549">
        <f t="shared" si="5549"/>
        <v>0</v>
      </c>
      <c r="CQ158" s="675">
        <f t="shared" si="5549"/>
        <v>0</v>
      </c>
      <c r="CR158" s="549">
        <f t="shared" si="5471"/>
        <v>0</v>
      </c>
      <c r="CS158" s="675">
        <f t="shared" si="5471"/>
        <v>0</v>
      </c>
      <c r="CT158" s="549">
        <f t="shared" si="5471"/>
        <v>0</v>
      </c>
      <c r="CU158" s="675">
        <f t="shared" si="5471"/>
        <v>0</v>
      </c>
      <c r="CV158" s="549">
        <f t="shared" si="5471"/>
        <v>0</v>
      </c>
      <c r="CW158" s="675">
        <f t="shared" si="5471"/>
        <v>0</v>
      </c>
      <c r="CX158" s="549">
        <f t="shared" si="5471"/>
        <v>0</v>
      </c>
      <c r="CY158" s="675">
        <f t="shared" si="5471"/>
        <v>0</v>
      </c>
      <c r="CZ158" s="549">
        <f t="shared" si="5472"/>
        <v>0</v>
      </c>
      <c r="DA158" s="675">
        <f t="shared" si="5472"/>
        <v>0</v>
      </c>
      <c r="DB158" s="549">
        <f t="shared" si="5472"/>
        <v>0</v>
      </c>
      <c r="DC158" s="675">
        <f t="shared" si="5472"/>
        <v>0</v>
      </c>
      <c r="DD158" s="549">
        <f t="shared" si="5473"/>
        <v>0</v>
      </c>
      <c r="DE158" s="675">
        <f t="shared" si="5473"/>
        <v>0</v>
      </c>
      <c r="DF158" s="549">
        <f t="shared" si="5472"/>
        <v>0</v>
      </c>
      <c r="DG158" s="675">
        <f t="shared" si="5472"/>
        <v>0</v>
      </c>
      <c r="DH158" s="549">
        <f t="shared" si="5474"/>
        <v>0</v>
      </c>
      <c r="DI158" s="675">
        <f t="shared" si="5474"/>
        <v>0</v>
      </c>
      <c r="DJ158" s="549">
        <f t="shared" si="5475"/>
        <v>0</v>
      </c>
      <c r="DK158" s="675">
        <f t="shared" si="5475"/>
        <v>0</v>
      </c>
      <c r="DL158" s="549">
        <f t="shared" si="5475"/>
        <v>0</v>
      </c>
      <c r="DM158" s="675">
        <f t="shared" si="5475"/>
        <v>0</v>
      </c>
      <c r="DN158" s="549">
        <f t="shared" si="5476"/>
        <v>0</v>
      </c>
      <c r="DO158" s="675">
        <f t="shared" si="5476"/>
        <v>0</v>
      </c>
      <c r="DP158" s="549">
        <f t="shared" ref="DP158:DU158" si="5550">SUM(DP491)</f>
        <v>0</v>
      </c>
      <c r="DQ158" s="675">
        <f t="shared" si="5550"/>
        <v>0</v>
      </c>
      <c r="DR158" s="549">
        <f t="shared" si="5550"/>
        <v>0</v>
      </c>
      <c r="DS158" s="675">
        <f t="shared" si="5550"/>
        <v>0</v>
      </c>
      <c r="DT158" s="549">
        <f t="shared" si="5550"/>
        <v>0</v>
      </c>
      <c r="DU158" s="675">
        <f t="shared" si="5550"/>
        <v>0</v>
      </c>
      <c r="DV158" s="549">
        <f t="shared" si="5478"/>
        <v>0</v>
      </c>
      <c r="DW158" s="675">
        <f t="shared" si="5478"/>
        <v>0</v>
      </c>
      <c r="DX158" s="549">
        <f t="shared" si="5516"/>
        <v>0</v>
      </c>
      <c r="DY158" s="675">
        <f t="shared" si="5516"/>
        <v>0</v>
      </c>
      <c r="DZ158" s="549">
        <f t="shared" si="5516"/>
        <v>0</v>
      </c>
      <c r="EA158" s="675">
        <f t="shared" si="5516"/>
        <v>0</v>
      </c>
      <c r="EB158" s="549">
        <f t="shared" ref="EB158:EM158" si="5551">SUM(EB491)</f>
        <v>0</v>
      </c>
      <c r="EC158" s="675">
        <f t="shared" si="5551"/>
        <v>0</v>
      </c>
      <c r="ED158" s="549">
        <f t="shared" si="5551"/>
        <v>0</v>
      </c>
      <c r="EE158" s="675">
        <f t="shared" si="5551"/>
        <v>0</v>
      </c>
      <c r="EF158" s="549">
        <f t="shared" si="5551"/>
        <v>0</v>
      </c>
      <c r="EG158" s="675">
        <f t="shared" si="5551"/>
        <v>0</v>
      </c>
      <c r="EH158" s="549">
        <f t="shared" si="5551"/>
        <v>0</v>
      </c>
      <c r="EI158" s="675">
        <f t="shared" si="5551"/>
        <v>0</v>
      </c>
      <c r="EJ158" s="549">
        <f t="shared" si="5551"/>
        <v>0</v>
      </c>
      <c r="EK158" s="675">
        <f t="shared" si="5551"/>
        <v>0</v>
      </c>
      <c r="EL158" s="549">
        <f t="shared" si="5551"/>
        <v>0</v>
      </c>
      <c r="EM158" s="675">
        <f t="shared" si="5551"/>
        <v>0</v>
      </c>
      <c r="EN158" s="549">
        <f t="shared" si="5481"/>
        <v>0</v>
      </c>
      <c r="EO158" s="675">
        <f t="shared" si="5481"/>
        <v>0</v>
      </c>
      <c r="EP158" s="549">
        <f t="shared" ref="EP158:FA158" si="5552">SUM(EP491)</f>
        <v>0</v>
      </c>
      <c r="EQ158" s="675">
        <f t="shared" si="5552"/>
        <v>0</v>
      </c>
      <c r="ER158" s="549">
        <f t="shared" si="5552"/>
        <v>0</v>
      </c>
      <c r="ES158" s="675">
        <f t="shared" si="5552"/>
        <v>0</v>
      </c>
      <c r="ET158" s="549">
        <f t="shared" si="5552"/>
        <v>0</v>
      </c>
      <c r="EU158" s="675">
        <f t="shared" si="5552"/>
        <v>0</v>
      </c>
      <c r="EV158" s="549">
        <f t="shared" si="5519"/>
        <v>0</v>
      </c>
      <c r="EW158" s="675">
        <f t="shared" si="5519"/>
        <v>0</v>
      </c>
      <c r="EX158" s="549">
        <f t="shared" si="5552"/>
        <v>0</v>
      </c>
      <c r="EY158" s="675">
        <f t="shared" si="5552"/>
        <v>0</v>
      </c>
      <c r="EZ158" s="549">
        <f t="shared" si="5552"/>
        <v>0</v>
      </c>
      <c r="FA158" s="675">
        <f t="shared" si="5552"/>
        <v>0</v>
      </c>
      <c r="FB158" s="549">
        <f t="shared" si="5520"/>
        <v>0</v>
      </c>
      <c r="FC158" s="675">
        <f t="shared" si="5520"/>
        <v>0</v>
      </c>
      <c r="FD158" s="549">
        <f t="shared" si="5520"/>
        <v>0</v>
      </c>
      <c r="FE158" s="675">
        <f t="shared" si="5520"/>
        <v>0</v>
      </c>
      <c r="FF158" s="549">
        <f t="shared" ref="FF158:FG158" si="5553">SUM(FF491)</f>
        <v>0</v>
      </c>
      <c r="FG158" s="675">
        <f t="shared" si="5553"/>
        <v>0</v>
      </c>
      <c r="FH158" s="549">
        <f t="shared" ref="FH158:FI158" si="5554">SUM(FH491)</f>
        <v>0</v>
      </c>
      <c r="FI158" s="675">
        <f t="shared" si="5554"/>
        <v>0</v>
      </c>
      <c r="FJ158" s="549">
        <f t="shared" ref="FJ158:FK158" si="5555">SUM(FJ491)</f>
        <v>0</v>
      </c>
      <c r="FK158" s="675">
        <f t="shared" si="5555"/>
        <v>0</v>
      </c>
      <c r="FL158" s="549">
        <f t="shared" ref="FL158:FM158" si="5556">SUM(FL491)</f>
        <v>0</v>
      </c>
      <c r="FM158" s="675">
        <f t="shared" si="5556"/>
        <v>0</v>
      </c>
      <c r="FN158" s="549">
        <f t="shared" ref="FN158:FO158" si="5557">SUM(FN491)</f>
        <v>0</v>
      </c>
      <c r="FO158" s="675">
        <f t="shared" si="5557"/>
        <v>0</v>
      </c>
      <c r="FP158" s="549">
        <f t="shared" ref="FP158:FQ158" si="5558">SUM(FP491)</f>
        <v>0</v>
      </c>
      <c r="FQ158" s="675">
        <f t="shared" si="5558"/>
        <v>0</v>
      </c>
      <c r="FR158" s="549">
        <f t="shared" ref="FR158:FS158" si="5559">SUM(FR491)</f>
        <v>0</v>
      </c>
      <c r="FS158" s="675">
        <f t="shared" si="5559"/>
        <v>0</v>
      </c>
      <c r="FT158" s="549">
        <f t="shared" ref="FT158:FU158" si="5560">SUM(FT491)</f>
        <v>0</v>
      </c>
      <c r="FU158" s="675">
        <f t="shared" si="5560"/>
        <v>0</v>
      </c>
      <c r="FV158" s="549">
        <f t="shared" ref="FV158:GK158" si="5561">SUM(FV491)</f>
        <v>0</v>
      </c>
      <c r="FW158" s="675">
        <f t="shared" si="5561"/>
        <v>0</v>
      </c>
      <c r="FX158" s="549">
        <f t="shared" si="5561"/>
        <v>0</v>
      </c>
      <c r="FY158" s="675">
        <f t="shared" si="5561"/>
        <v>0</v>
      </c>
      <c r="FZ158" s="549">
        <f t="shared" ref="FZ158:GI158" si="5562">SUM(FZ491)</f>
        <v>0</v>
      </c>
      <c r="GA158" s="675">
        <f t="shared" si="5562"/>
        <v>0</v>
      </c>
      <c r="GB158" s="549">
        <f t="shared" si="5562"/>
        <v>0</v>
      </c>
      <c r="GC158" s="675">
        <f t="shared" si="5562"/>
        <v>0</v>
      </c>
      <c r="GD158" s="549">
        <f t="shared" si="5562"/>
        <v>0</v>
      </c>
      <c r="GE158" s="675">
        <f t="shared" si="5562"/>
        <v>0</v>
      </c>
      <c r="GF158" s="549">
        <f t="shared" si="5562"/>
        <v>0</v>
      </c>
      <c r="GG158" s="675">
        <f t="shared" si="5562"/>
        <v>0</v>
      </c>
      <c r="GH158" s="549">
        <f t="shared" si="5562"/>
        <v>0</v>
      </c>
      <c r="GI158" s="675">
        <f t="shared" si="5562"/>
        <v>0</v>
      </c>
      <c r="GJ158" s="549">
        <f t="shared" si="5561"/>
        <v>0</v>
      </c>
      <c r="GK158" s="675">
        <f t="shared" si="5561"/>
        <v>0</v>
      </c>
      <c r="GL158" s="549">
        <f t="shared" ref="GL158:GM158" si="5563">SUM(GL491)</f>
        <v>0</v>
      </c>
      <c r="GM158" s="675">
        <f t="shared" si="5563"/>
        <v>0</v>
      </c>
      <c r="GN158" s="549">
        <f t="shared" ref="GN158:GO158" si="5564">SUM(GN491)</f>
        <v>0</v>
      </c>
      <c r="GO158" s="675">
        <f t="shared" si="5564"/>
        <v>0</v>
      </c>
      <c r="GP158" s="74">
        <f t="shared" si="5520"/>
        <v>0</v>
      </c>
      <c r="GQ158" s="675">
        <f t="shared" si="5520"/>
        <v>-2000</v>
      </c>
      <c r="GR158" s="74">
        <f t="shared" ref="GR158:HK158" si="5565">SUM(GR491)</f>
        <v>4800</v>
      </c>
      <c r="GS158" s="74">
        <f t="shared" si="5565"/>
        <v>4800</v>
      </c>
      <c r="GT158" s="74">
        <f t="shared" si="5565"/>
        <v>4800</v>
      </c>
      <c r="GU158" s="74">
        <f t="shared" si="5565"/>
        <v>0</v>
      </c>
      <c r="GV158" s="74">
        <f t="shared" si="5565"/>
        <v>0</v>
      </c>
      <c r="GW158" s="74">
        <f t="shared" si="5565"/>
        <v>6800</v>
      </c>
      <c r="GX158" s="74">
        <f t="shared" si="5565"/>
        <v>0</v>
      </c>
      <c r="GY158" s="74">
        <f t="shared" si="5565"/>
        <v>0</v>
      </c>
      <c r="GZ158" s="74">
        <f t="shared" si="5565"/>
        <v>0</v>
      </c>
      <c r="HA158" s="74">
        <f t="shared" si="5565"/>
        <v>0</v>
      </c>
      <c r="HB158" s="74">
        <f t="shared" si="5565"/>
        <v>0</v>
      </c>
      <c r="HC158" s="74">
        <f t="shared" si="5565"/>
        <v>0</v>
      </c>
      <c r="HD158" s="74">
        <f t="shared" si="5565"/>
        <v>0</v>
      </c>
      <c r="HE158" s="74">
        <f t="shared" si="5565"/>
        <v>0</v>
      </c>
      <c r="HF158" s="74">
        <f t="shared" si="5565"/>
        <v>0</v>
      </c>
      <c r="HG158" s="74">
        <f t="shared" si="5565"/>
        <v>4800</v>
      </c>
      <c r="HH158" s="74">
        <f t="shared" si="5565"/>
        <v>0</v>
      </c>
      <c r="HI158" s="74">
        <f t="shared" si="5565"/>
        <v>0</v>
      </c>
      <c r="HJ158" s="74">
        <f t="shared" si="5565"/>
        <v>0</v>
      </c>
      <c r="HK158" s="74">
        <f t="shared" si="5565"/>
        <v>0</v>
      </c>
      <c r="HL158" s="74">
        <f t="shared" ref="HL158:JT158" si="5566">SUM(HL491)</f>
        <v>2000</v>
      </c>
      <c r="HM158" s="74">
        <f t="shared" si="5566"/>
        <v>0</v>
      </c>
      <c r="HN158" s="74">
        <f t="shared" si="5566"/>
        <v>0</v>
      </c>
      <c r="HO158" s="74">
        <f t="shared" si="5566"/>
        <v>0</v>
      </c>
      <c r="HP158" s="74">
        <f t="shared" si="5566"/>
        <v>2800</v>
      </c>
      <c r="HQ158" s="74">
        <f t="shared" si="5566"/>
        <v>0</v>
      </c>
      <c r="HR158" s="74">
        <f t="shared" si="5566"/>
        <v>0</v>
      </c>
      <c r="HS158" s="74">
        <f t="shared" si="5566"/>
        <v>0</v>
      </c>
      <c r="HT158" s="74">
        <f t="shared" si="5566"/>
        <v>0</v>
      </c>
      <c r="HU158" s="74">
        <f t="shared" si="5566"/>
        <v>0</v>
      </c>
      <c r="HV158" s="74">
        <f t="shared" si="5566"/>
        <v>0</v>
      </c>
      <c r="HW158" s="74">
        <f t="shared" si="5566"/>
        <v>0</v>
      </c>
      <c r="HX158" s="74">
        <f t="shared" si="5566"/>
        <v>0</v>
      </c>
      <c r="HY158" s="74">
        <f t="shared" si="5566"/>
        <v>0</v>
      </c>
      <c r="HZ158" s="74">
        <f t="shared" si="5566"/>
        <v>0</v>
      </c>
      <c r="IA158" s="74">
        <f t="shared" si="5566"/>
        <v>0</v>
      </c>
      <c r="IB158" s="74">
        <f t="shared" si="5566"/>
        <v>0</v>
      </c>
      <c r="IC158" s="74">
        <f t="shared" si="5566"/>
        <v>0</v>
      </c>
      <c r="ID158" s="74">
        <f t="shared" si="5566"/>
        <v>0</v>
      </c>
      <c r="IE158" s="792">
        <f t="shared" si="5566"/>
        <v>0</v>
      </c>
      <c r="IF158" s="841">
        <f t="shared" si="5566"/>
        <v>4715.6099999999997</v>
      </c>
      <c r="IG158" s="263">
        <f t="shared" si="5566"/>
        <v>4715.6099999999997</v>
      </c>
      <c r="IH158" s="842">
        <f t="shared" si="5566"/>
        <v>4715.6099999999997</v>
      </c>
      <c r="II158" s="155">
        <f t="shared" si="5566"/>
        <v>0</v>
      </c>
      <c r="IJ158" s="74">
        <f t="shared" si="5566"/>
        <v>0</v>
      </c>
      <c r="IK158" s="74">
        <f t="shared" si="5566"/>
        <v>0</v>
      </c>
      <c r="IL158" s="74">
        <f t="shared" si="5566"/>
        <v>0</v>
      </c>
      <c r="IM158" s="74">
        <f t="shared" si="5566"/>
        <v>0</v>
      </c>
      <c r="IN158" s="74">
        <f t="shared" si="5566"/>
        <v>0</v>
      </c>
      <c r="IO158" s="74">
        <f t="shared" si="5566"/>
        <v>0</v>
      </c>
      <c r="IP158" s="74">
        <f t="shared" si="5566"/>
        <v>0</v>
      </c>
      <c r="IQ158" s="74">
        <f t="shared" si="5566"/>
        <v>0</v>
      </c>
      <c r="IR158" s="74">
        <f t="shared" si="5566"/>
        <v>169.02</v>
      </c>
      <c r="IS158" s="74">
        <f t="shared" si="5566"/>
        <v>169.02</v>
      </c>
      <c r="IT158" s="74">
        <f t="shared" si="5566"/>
        <v>169.02</v>
      </c>
      <c r="IU158" s="74">
        <f t="shared" si="5566"/>
        <v>4546.5899999999992</v>
      </c>
      <c r="IV158" s="74">
        <f t="shared" si="5566"/>
        <v>4546.5899999999992</v>
      </c>
      <c r="IW158" s="74">
        <f t="shared" si="5566"/>
        <v>4546.5899999999992</v>
      </c>
      <c r="IX158" s="74">
        <f t="shared" si="5566"/>
        <v>0</v>
      </c>
      <c r="IY158" s="74">
        <f t="shared" si="5566"/>
        <v>0</v>
      </c>
      <c r="IZ158" s="74">
        <f t="shared" si="5566"/>
        <v>0</v>
      </c>
      <c r="JA158" s="74">
        <f t="shared" si="5566"/>
        <v>0</v>
      </c>
      <c r="JB158" s="74">
        <f t="shared" si="5566"/>
        <v>0</v>
      </c>
      <c r="JC158" s="74">
        <f t="shared" si="5566"/>
        <v>0</v>
      </c>
      <c r="JD158" s="74">
        <f t="shared" si="5566"/>
        <v>0</v>
      </c>
      <c r="JE158" s="74">
        <f t="shared" si="5566"/>
        <v>0</v>
      </c>
      <c r="JF158" s="74">
        <f t="shared" si="5566"/>
        <v>0</v>
      </c>
      <c r="JG158" s="74">
        <f t="shared" si="5566"/>
        <v>0</v>
      </c>
      <c r="JH158" s="74">
        <f t="shared" si="5566"/>
        <v>0</v>
      </c>
      <c r="JI158" s="74">
        <f t="shared" si="5566"/>
        <v>0</v>
      </c>
      <c r="JJ158" s="74">
        <f t="shared" si="5566"/>
        <v>0</v>
      </c>
      <c r="JK158" s="74">
        <f t="shared" si="5566"/>
        <v>0</v>
      </c>
      <c r="JL158" s="74">
        <f t="shared" si="5566"/>
        <v>0</v>
      </c>
      <c r="JM158" s="74">
        <f t="shared" si="5566"/>
        <v>0</v>
      </c>
      <c r="JN158" s="74">
        <f t="shared" si="5566"/>
        <v>0</v>
      </c>
      <c r="JO158" s="74">
        <f t="shared" si="5566"/>
        <v>0</v>
      </c>
      <c r="JP158" s="74">
        <f t="shared" si="5566"/>
        <v>0</v>
      </c>
      <c r="JQ158" s="74">
        <f t="shared" si="5566"/>
        <v>0</v>
      </c>
      <c r="JR158" s="74">
        <f t="shared" si="5566"/>
        <v>0</v>
      </c>
      <c r="JS158" s="74">
        <f t="shared" si="5566"/>
        <v>84.390000000000327</v>
      </c>
      <c r="JT158" s="102">
        <f t="shared" si="5566"/>
        <v>84.390000000000327</v>
      </c>
      <c r="JU158" s="671"/>
      <c r="JV158" s="492"/>
      <c r="JW158" s="490"/>
      <c r="JX158" s="549">
        <f t="shared" si="5498"/>
        <v>4800</v>
      </c>
      <c r="JY158" s="549">
        <f t="shared" si="5498"/>
        <v>0</v>
      </c>
      <c r="JZ158" s="581">
        <f t="shared" si="4944"/>
        <v>0</v>
      </c>
      <c r="KA158" s="581">
        <f t="shared" si="4945"/>
        <v>-2000</v>
      </c>
      <c r="KB158" s="549">
        <f t="shared" si="5498"/>
        <v>4800</v>
      </c>
      <c r="KC158" s="709">
        <f t="shared" si="4908"/>
        <v>0</v>
      </c>
      <c r="KD158" s="36"/>
      <c r="KE158" s="36"/>
      <c r="KF158" s="36"/>
      <c r="KG158" s="36"/>
      <c r="KH158" s="36"/>
      <c r="KI158" s="36"/>
      <c r="KJ158" s="36"/>
      <c r="KK158" s="36"/>
    </row>
    <row r="159" spans="1:297" s="8" customFormat="1" ht="12.75" hidden="1" customHeight="1">
      <c r="A159" s="75" t="s">
        <v>502</v>
      </c>
      <c r="B159" s="72"/>
      <c r="C159" s="74">
        <f>SUM(C492)</f>
        <v>0</v>
      </c>
      <c r="D159" s="549">
        <f t="shared" ref="D159:E159" si="5567">SUM(D492)</f>
        <v>0</v>
      </c>
      <c r="E159" s="675">
        <f t="shared" si="5567"/>
        <v>0</v>
      </c>
      <c r="F159" s="549">
        <f t="shared" ref="F159:G159" si="5568">SUM(F492)</f>
        <v>0</v>
      </c>
      <c r="G159" s="675">
        <f t="shared" si="5568"/>
        <v>0</v>
      </c>
      <c r="H159" s="549">
        <f t="shared" ref="H159:AS159" si="5569">SUM(H492)</f>
        <v>0</v>
      </c>
      <c r="I159" s="675">
        <f t="shared" si="5569"/>
        <v>0</v>
      </c>
      <c r="J159" s="549">
        <f t="shared" si="5569"/>
        <v>0</v>
      </c>
      <c r="K159" s="675">
        <f t="shared" si="5569"/>
        <v>0</v>
      </c>
      <c r="L159" s="549">
        <f t="shared" si="5569"/>
        <v>0</v>
      </c>
      <c r="M159" s="675">
        <f t="shared" si="5569"/>
        <v>0</v>
      </c>
      <c r="N159" s="549">
        <f t="shared" si="5569"/>
        <v>0</v>
      </c>
      <c r="O159" s="675">
        <f t="shared" si="5569"/>
        <v>0</v>
      </c>
      <c r="P159" s="549">
        <f t="shared" si="5569"/>
        <v>0</v>
      </c>
      <c r="Q159" s="675">
        <f t="shared" si="5569"/>
        <v>0</v>
      </c>
      <c r="R159" s="549">
        <f t="shared" si="5569"/>
        <v>0</v>
      </c>
      <c r="S159" s="675">
        <f t="shared" si="5569"/>
        <v>0</v>
      </c>
      <c r="T159" s="549">
        <f t="shared" si="5569"/>
        <v>0</v>
      </c>
      <c r="U159" s="675">
        <f t="shared" si="5569"/>
        <v>0</v>
      </c>
      <c r="V159" s="549">
        <f t="shared" si="5569"/>
        <v>0</v>
      </c>
      <c r="W159" s="675">
        <f t="shared" si="5569"/>
        <v>0</v>
      </c>
      <c r="X159" s="549">
        <f t="shared" si="5569"/>
        <v>0</v>
      </c>
      <c r="Y159" s="675">
        <f t="shared" si="5569"/>
        <v>0</v>
      </c>
      <c r="Z159" s="549">
        <f t="shared" si="5569"/>
        <v>0</v>
      </c>
      <c r="AA159" s="675">
        <f t="shared" si="5569"/>
        <v>0</v>
      </c>
      <c r="AB159" s="549">
        <f t="shared" si="5569"/>
        <v>0</v>
      </c>
      <c r="AC159" s="675">
        <f t="shared" si="5569"/>
        <v>0</v>
      </c>
      <c r="AD159" s="549">
        <f t="shared" si="5569"/>
        <v>0</v>
      </c>
      <c r="AE159" s="675">
        <f t="shared" si="5569"/>
        <v>0</v>
      </c>
      <c r="AF159" s="549">
        <f t="shared" si="5569"/>
        <v>0</v>
      </c>
      <c r="AG159" s="675">
        <f t="shared" si="5569"/>
        <v>0</v>
      </c>
      <c r="AH159" s="549">
        <f t="shared" si="5569"/>
        <v>0</v>
      </c>
      <c r="AI159" s="675">
        <f t="shared" si="5569"/>
        <v>0</v>
      </c>
      <c r="AJ159" s="549">
        <f t="shared" si="5569"/>
        <v>0</v>
      </c>
      <c r="AK159" s="675">
        <f t="shared" si="5569"/>
        <v>0</v>
      </c>
      <c r="AL159" s="549">
        <f t="shared" si="5569"/>
        <v>0</v>
      </c>
      <c r="AM159" s="675">
        <f t="shared" si="5569"/>
        <v>0</v>
      </c>
      <c r="AN159" s="549">
        <f t="shared" si="5569"/>
        <v>0</v>
      </c>
      <c r="AO159" s="675">
        <f t="shared" si="5569"/>
        <v>0</v>
      </c>
      <c r="AP159" s="549">
        <f t="shared" si="5569"/>
        <v>0</v>
      </c>
      <c r="AQ159" s="675">
        <f t="shared" si="5569"/>
        <v>0</v>
      </c>
      <c r="AR159" s="549">
        <f t="shared" si="5569"/>
        <v>0</v>
      </c>
      <c r="AS159" s="675">
        <f t="shared" si="5569"/>
        <v>0</v>
      </c>
      <c r="AT159" s="549">
        <f t="shared" ref="AT159:AU159" si="5570">SUM(AT492)</f>
        <v>0</v>
      </c>
      <c r="AU159" s="675">
        <f t="shared" si="5570"/>
        <v>0</v>
      </c>
      <c r="AV159" s="549">
        <f t="shared" ref="AV159:AW159" si="5571">SUM(AV492)</f>
        <v>0</v>
      </c>
      <c r="AW159" s="675">
        <f t="shared" si="5571"/>
        <v>0</v>
      </c>
      <c r="AX159" s="549">
        <f t="shared" ref="AX159:AY159" si="5572">SUM(AX492)</f>
        <v>0</v>
      </c>
      <c r="AY159" s="675">
        <f t="shared" si="5572"/>
        <v>0</v>
      </c>
      <c r="AZ159" s="549">
        <f t="shared" ref="AZ159:BA159" si="5573">SUM(AZ492)</f>
        <v>0</v>
      </c>
      <c r="BA159" s="675">
        <f t="shared" si="5573"/>
        <v>0</v>
      </c>
      <c r="BB159" s="549">
        <f t="shared" ref="BB159:BC159" si="5574">SUM(BB492)</f>
        <v>0</v>
      </c>
      <c r="BC159" s="675">
        <f t="shared" si="5574"/>
        <v>0</v>
      </c>
      <c r="BD159" s="549">
        <f t="shared" ref="BD159:BE159" si="5575">SUM(BD492)</f>
        <v>0</v>
      </c>
      <c r="BE159" s="675">
        <f t="shared" si="5575"/>
        <v>0</v>
      </c>
      <c r="BF159" s="549">
        <f t="shared" ref="BF159:BG159" si="5576">SUM(BF492)</f>
        <v>0</v>
      </c>
      <c r="BG159" s="675">
        <f t="shared" si="5576"/>
        <v>0</v>
      </c>
      <c r="BH159" s="549">
        <f t="shared" ref="BH159:BI159" si="5577">SUM(BH492)</f>
        <v>0</v>
      </c>
      <c r="BI159" s="675">
        <f t="shared" si="5577"/>
        <v>0</v>
      </c>
      <c r="BJ159" s="549">
        <f t="shared" ref="BJ159:BK159" si="5578">SUM(BJ492)</f>
        <v>0</v>
      </c>
      <c r="BK159" s="675">
        <f t="shared" si="5578"/>
        <v>0</v>
      </c>
      <c r="BL159" s="549">
        <f t="shared" ref="BL159:BS159" si="5579">SUM(BL492)</f>
        <v>0</v>
      </c>
      <c r="BM159" s="675">
        <f t="shared" si="5579"/>
        <v>0</v>
      </c>
      <c r="BN159" s="549">
        <f t="shared" si="5579"/>
        <v>0</v>
      </c>
      <c r="BO159" s="675">
        <f t="shared" si="5579"/>
        <v>0</v>
      </c>
      <c r="BP159" s="549">
        <f t="shared" si="5579"/>
        <v>0</v>
      </c>
      <c r="BQ159" s="675">
        <f t="shared" si="5579"/>
        <v>0</v>
      </c>
      <c r="BR159" s="549">
        <f t="shared" si="5579"/>
        <v>0</v>
      </c>
      <c r="BS159" s="675">
        <f t="shared" si="5579"/>
        <v>0</v>
      </c>
      <c r="BT159" s="549">
        <f t="shared" si="5465"/>
        <v>0</v>
      </c>
      <c r="BU159" s="675">
        <f t="shared" si="5465"/>
        <v>0</v>
      </c>
      <c r="BV159" s="549">
        <f t="shared" si="5465"/>
        <v>0</v>
      </c>
      <c r="BW159" s="675">
        <f t="shared" si="5465"/>
        <v>0</v>
      </c>
      <c r="BX159" s="549">
        <f t="shared" ref="BX159:BY159" si="5580">SUM(BX492)</f>
        <v>0</v>
      </c>
      <c r="BY159" s="675">
        <f t="shared" si="5580"/>
        <v>0</v>
      </c>
      <c r="BZ159" s="549">
        <f t="shared" ref="BZ159:CA159" si="5581">SUM(BZ492)</f>
        <v>0</v>
      </c>
      <c r="CA159" s="675">
        <f t="shared" si="5581"/>
        <v>0</v>
      </c>
      <c r="CB159" s="549">
        <f t="shared" ref="CB159:CE159" si="5582">SUM(CB492)</f>
        <v>0</v>
      </c>
      <c r="CC159" s="675">
        <f t="shared" si="5582"/>
        <v>0</v>
      </c>
      <c r="CD159" s="549">
        <f t="shared" si="5582"/>
        <v>0</v>
      </c>
      <c r="CE159" s="675">
        <f t="shared" si="5582"/>
        <v>0</v>
      </c>
      <c r="CF159" s="549">
        <f t="shared" si="5469"/>
        <v>0</v>
      </c>
      <c r="CG159" s="675">
        <f t="shared" si="5469"/>
        <v>0</v>
      </c>
      <c r="CH159" s="549">
        <f t="shared" ref="CH159:CQ159" si="5583">SUM(CH492)</f>
        <v>0</v>
      </c>
      <c r="CI159" s="675">
        <f t="shared" si="5583"/>
        <v>0</v>
      </c>
      <c r="CJ159" s="549">
        <f t="shared" si="5583"/>
        <v>0</v>
      </c>
      <c r="CK159" s="675">
        <f t="shared" si="5583"/>
        <v>0</v>
      </c>
      <c r="CL159" s="549">
        <f t="shared" si="5583"/>
        <v>0</v>
      </c>
      <c r="CM159" s="675">
        <f t="shared" si="5583"/>
        <v>0</v>
      </c>
      <c r="CN159" s="549">
        <f t="shared" si="5583"/>
        <v>0</v>
      </c>
      <c r="CO159" s="675">
        <f t="shared" si="5583"/>
        <v>0</v>
      </c>
      <c r="CP159" s="549">
        <f t="shared" si="5583"/>
        <v>0</v>
      </c>
      <c r="CQ159" s="675">
        <f t="shared" si="5583"/>
        <v>0</v>
      </c>
      <c r="CR159" s="549">
        <f t="shared" si="5471"/>
        <v>0</v>
      </c>
      <c r="CS159" s="675">
        <f t="shared" si="5471"/>
        <v>0</v>
      </c>
      <c r="CT159" s="549">
        <f t="shared" si="5471"/>
        <v>0</v>
      </c>
      <c r="CU159" s="675">
        <f t="shared" si="5471"/>
        <v>0</v>
      </c>
      <c r="CV159" s="549">
        <f t="shared" si="5471"/>
        <v>0</v>
      </c>
      <c r="CW159" s="675">
        <f t="shared" si="5471"/>
        <v>0</v>
      </c>
      <c r="CX159" s="549">
        <f t="shared" si="5471"/>
        <v>0</v>
      </c>
      <c r="CY159" s="675">
        <f t="shared" si="5471"/>
        <v>0</v>
      </c>
      <c r="CZ159" s="549">
        <f t="shared" si="5472"/>
        <v>0</v>
      </c>
      <c r="DA159" s="675">
        <f t="shared" si="5472"/>
        <v>0</v>
      </c>
      <c r="DB159" s="549">
        <f t="shared" si="5472"/>
        <v>0</v>
      </c>
      <c r="DC159" s="675">
        <f t="shared" si="5472"/>
        <v>0</v>
      </c>
      <c r="DD159" s="549">
        <f t="shared" si="5473"/>
        <v>0</v>
      </c>
      <c r="DE159" s="675">
        <f t="shared" si="5473"/>
        <v>0</v>
      </c>
      <c r="DF159" s="549">
        <f t="shared" ref="DF159:DG159" si="5584">SUM(DF492)</f>
        <v>0</v>
      </c>
      <c r="DG159" s="675">
        <f t="shared" si="5584"/>
        <v>0</v>
      </c>
      <c r="DH159" s="549">
        <f t="shared" si="5474"/>
        <v>0</v>
      </c>
      <c r="DI159" s="675">
        <f t="shared" si="5474"/>
        <v>0</v>
      </c>
      <c r="DJ159" s="549">
        <f t="shared" ref="DJ159:DM159" si="5585">SUM(DJ492)</f>
        <v>0</v>
      </c>
      <c r="DK159" s="675">
        <f t="shared" si="5585"/>
        <v>0</v>
      </c>
      <c r="DL159" s="549">
        <f t="shared" si="5585"/>
        <v>0</v>
      </c>
      <c r="DM159" s="675">
        <f t="shared" si="5585"/>
        <v>0</v>
      </c>
      <c r="DN159" s="549">
        <f t="shared" si="5476"/>
        <v>0</v>
      </c>
      <c r="DO159" s="675">
        <f t="shared" si="5476"/>
        <v>0</v>
      </c>
      <c r="DP159" s="549">
        <f t="shared" ref="DP159:DU159" si="5586">SUM(DP492)</f>
        <v>0</v>
      </c>
      <c r="DQ159" s="675">
        <f t="shared" si="5586"/>
        <v>0</v>
      </c>
      <c r="DR159" s="549">
        <f t="shared" si="5586"/>
        <v>0</v>
      </c>
      <c r="DS159" s="675">
        <f t="shared" si="5586"/>
        <v>0</v>
      </c>
      <c r="DT159" s="549">
        <f t="shared" si="5586"/>
        <v>0</v>
      </c>
      <c r="DU159" s="675">
        <f t="shared" si="5586"/>
        <v>0</v>
      </c>
      <c r="DV159" s="549">
        <f t="shared" si="5478"/>
        <v>0</v>
      </c>
      <c r="DW159" s="675">
        <f t="shared" si="5478"/>
        <v>0</v>
      </c>
      <c r="DX159" s="549">
        <f t="shared" si="5516"/>
        <v>0</v>
      </c>
      <c r="DY159" s="675">
        <f t="shared" si="5516"/>
        <v>0</v>
      </c>
      <c r="DZ159" s="549">
        <f t="shared" si="5516"/>
        <v>0</v>
      </c>
      <c r="EA159" s="675">
        <f t="shared" si="5516"/>
        <v>0</v>
      </c>
      <c r="EB159" s="549">
        <f t="shared" ref="EB159:EM159" si="5587">SUM(EB492)</f>
        <v>0</v>
      </c>
      <c r="EC159" s="675">
        <f t="shared" si="5587"/>
        <v>0</v>
      </c>
      <c r="ED159" s="549">
        <f t="shared" si="5587"/>
        <v>0</v>
      </c>
      <c r="EE159" s="675">
        <f t="shared" si="5587"/>
        <v>0</v>
      </c>
      <c r="EF159" s="549">
        <f t="shared" si="5587"/>
        <v>0</v>
      </c>
      <c r="EG159" s="675">
        <f t="shared" si="5587"/>
        <v>0</v>
      </c>
      <c r="EH159" s="549">
        <f t="shared" si="5587"/>
        <v>0</v>
      </c>
      <c r="EI159" s="675">
        <f t="shared" si="5587"/>
        <v>0</v>
      </c>
      <c r="EJ159" s="549">
        <f t="shared" si="5587"/>
        <v>0</v>
      </c>
      <c r="EK159" s="675">
        <f t="shared" si="5587"/>
        <v>0</v>
      </c>
      <c r="EL159" s="549">
        <f t="shared" si="5587"/>
        <v>0</v>
      </c>
      <c r="EM159" s="675">
        <f t="shared" si="5587"/>
        <v>0</v>
      </c>
      <c r="EN159" s="549">
        <f t="shared" si="5481"/>
        <v>0</v>
      </c>
      <c r="EO159" s="675">
        <f t="shared" si="5481"/>
        <v>0</v>
      </c>
      <c r="EP159" s="549">
        <f t="shared" ref="EP159:EU159" si="5588">SUM(EP492)</f>
        <v>0</v>
      </c>
      <c r="EQ159" s="675">
        <f t="shared" si="5588"/>
        <v>0</v>
      </c>
      <c r="ER159" s="549">
        <f t="shared" si="5588"/>
        <v>0</v>
      </c>
      <c r="ES159" s="675">
        <f t="shared" si="5588"/>
        <v>0</v>
      </c>
      <c r="ET159" s="549">
        <f t="shared" si="5588"/>
        <v>0</v>
      </c>
      <c r="EU159" s="675">
        <f t="shared" si="5588"/>
        <v>0</v>
      </c>
      <c r="EV159" s="549">
        <f t="shared" si="5519"/>
        <v>0</v>
      </c>
      <c r="EW159" s="675">
        <f t="shared" si="5519"/>
        <v>0</v>
      </c>
      <c r="EX159" s="549">
        <f t="shared" ref="EX159:FE159" si="5589">SUM(EX492)</f>
        <v>0</v>
      </c>
      <c r="EY159" s="675">
        <f t="shared" si="5589"/>
        <v>0</v>
      </c>
      <c r="EZ159" s="549">
        <f t="shared" si="5589"/>
        <v>0</v>
      </c>
      <c r="FA159" s="675">
        <f t="shared" si="5589"/>
        <v>0</v>
      </c>
      <c r="FB159" s="549">
        <f t="shared" si="5589"/>
        <v>0</v>
      </c>
      <c r="FC159" s="675">
        <f t="shared" si="5589"/>
        <v>0</v>
      </c>
      <c r="FD159" s="549">
        <f t="shared" si="5589"/>
        <v>0</v>
      </c>
      <c r="FE159" s="675">
        <f t="shared" si="5589"/>
        <v>0</v>
      </c>
      <c r="FF159" s="549">
        <f t="shared" ref="FF159:FG159" si="5590">SUM(FF492)</f>
        <v>0</v>
      </c>
      <c r="FG159" s="675">
        <f t="shared" si="5590"/>
        <v>0</v>
      </c>
      <c r="FH159" s="549">
        <f t="shared" ref="FH159:FI159" si="5591">SUM(FH492)</f>
        <v>0</v>
      </c>
      <c r="FI159" s="675">
        <f t="shared" si="5591"/>
        <v>0</v>
      </c>
      <c r="FJ159" s="549">
        <f t="shared" ref="FJ159:FK159" si="5592">SUM(FJ492)</f>
        <v>0</v>
      </c>
      <c r="FK159" s="675">
        <f t="shared" si="5592"/>
        <v>0</v>
      </c>
      <c r="FL159" s="549">
        <f t="shared" ref="FL159:FM159" si="5593">SUM(FL492)</f>
        <v>0</v>
      </c>
      <c r="FM159" s="675">
        <f t="shared" si="5593"/>
        <v>0</v>
      </c>
      <c r="FN159" s="549">
        <f t="shared" ref="FN159:FO159" si="5594">SUM(FN492)</f>
        <v>0</v>
      </c>
      <c r="FO159" s="675">
        <f t="shared" si="5594"/>
        <v>0</v>
      </c>
      <c r="FP159" s="549">
        <f t="shared" ref="FP159:FQ159" si="5595">SUM(FP492)</f>
        <v>0</v>
      </c>
      <c r="FQ159" s="675">
        <f t="shared" si="5595"/>
        <v>0</v>
      </c>
      <c r="FR159" s="549">
        <f t="shared" ref="FR159:FS159" si="5596">SUM(FR492)</f>
        <v>0</v>
      </c>
      <c r="FS159" s="675">
        <f t="shared" si="5596"/>
        <v>0</v>
      </c>
      <c r="FT159" s="549">
        <f t="shared" ref="FT159:FU159" si="5597">SUM(FT492)</f>
        <v>0</v>
      </c>
      <c r="FU159" s="675">
        <f t="shared" si="5597"/>
        <v>0</v>
      </c>
      <c r="FV159" s="549">
        <f t="shared" ref="FV159:GK159" si="5598">SUM(FV492)</f>
        <v>0</v>
      </c>
      <c r="FW159" s="675">
        <f t="shared" si="5598"/>
        <v>0</v>
      </c>
      <c r="FX159" s="549">
        <f t="shared" si="5598"/>
        <v>0</v>
      </c>
      <c r="FY159" s="675">
        <f t="shared" si="5598"/>
        <v>0</v>
      </c>
      <c r="FZ159" s="549">
        <f t="shared" ref="FZ159:GI159" si="5599">SUM(FZ492)</f>
        <v>0</v>
      </c>
      <c r="GA159" s="675">
        <f t="shared" si="5599"/>
        <v>0</v>
      </c>
      <c r="GB159" s="549">
        <f t="shared" si="5599"/>
        <v>0</v>
      </c>
      <c r="GC159" s="675">
        <f t="shared" si="5599"/>
        <v>0</v>
      </c>
      <c r="GD159" s="549">
        <f t="shared" si="5599"/>
        <v>0</v>
      </c>
      <c r="GE159" s="675">
        <f t="shared" si="5599"/>
        <v>0</v>
      </c>
      <c r="GF159" s="549">
        <f t="shared" si="5599"/>
        <v>0</v>
      </c>
      <c r="GG159" s="675">
        <f t="shared" si="5599"/>
        <v>0</v>
      </c>
      <c r="GH159" s="549">
        <f t="shared" si="5599"/>
        <v>0</v>
      </c>
      <c r="GI159" s="675">
        <f t="shared" si="5599"/>
        <v>0</v>
      </c>
      <c r="GJ159" s="549">
        <f t="shared" si="5598"/>
        <v>0</v>
      </c>
      <c r="GK159" s="675">
        <f t="shared" si="5598"/>
        <v>0</v>
      </c>
      <c r="GL159" s="549">
        <f t="shared" ref="GL159:GM159" si="5600">SUM(GL492)</f>
        <v>0</v>
      </c>
      <c r="GM159" s="675">
        <f t="shared" si="5600"/>
        <v>0</v>
      </c>
      <c r="GN159" s="549">
        <f t="shared" ref="GN159:GO159" si="5601">SUM(GN492)</f>
        <v>0</v>
      </c>
      <c r="GO159" s="675">
        <f t="shared" si="5601"/>
        <v>0</v>
      </c>
      <c r="GP159" s="74">
        <f t="shared" ref="GP159:HK159" si="5602">SUM(GP492)</f>
        <v>0</v>
      </c>
      <c r="GQ159" s="675">
        <f t="shared" si="5602"/>
        <v>0</v>
      </c>
      <c r="GR159" s="74">
        <f t="shared" si="5602"/>
        <v>0</v>
      </c>
      <c r="GS159" s="74">
        <f t="shared" si="5602"/>
        <v>0</v>
      </c>
      <c r="GT159" s="74">
        <f t="shared" si="5602"/>
        <v>0</v>
      </c>
      <c r="GU159" s="74">
        <f t="shared" si="5602"/>
        <v>0</v>
      </c>
      <c r="GV159" s="74">
        <f t="shared" si="5602"/>
        <v>0</v>
      </c>
      <c r="GW159" s="74">
        <f t="shared" si="5602"/>
        <v>0</v>
      </c>
      <c r="GX159" s="74">
        <f t="shared" si="5602"/>
        <v>0</v>
      </c>
      <c r="GY159" s="74">
        <f t="shared" si="5602"/>
        <v>0</v>
      </c>
      <c r="GZ159" s="74">
        <f t="shared" si="5602"/>
        <v>0</v>
      </c>
      <c r="HA159" s="74">
        <f t="shared" si="5602"/>
        <v>0</v>
      </c>
      <c r="HB159" s="74">
        <f t="shared" si="5602"/>
        <v>0</v>
      </c>
      <c r="HC159" s="74">
        <f t="shared" si="5602"/>
        <v>0</v>
      </c>
      <c r="HD159" s="74">
        <f t="shared" si="5602"/>
        <v>0</v>
      </c>
      <c r="HE159" s="74">
        <f t="shared" si="5602"/>
        <v>0</v>
      </c>
      <c r="HF159" s="74">
        <f t="shared" si="5602"/>
        <v>0</v>
      </c>
      <c r="HG159" s="74">
        <f t="shared" si="5602"/>
        <v>0</v>
      </c>
      <c r="HH159" s="74">
        <f t="shared" si="5602"/>
        <v>0</v>
      </c>
      <c r="HI159" s="74">
        <f t="shared" si="5602"/>
        <v>0</v>
      </c>
      <c r="HJ159" s="74">
        <f t="shared" si="5602"/>
        <v>0</v>
      </c>
      <c r="HK159" s="74">
        <f t="shared" si="5602"/>
        <v>0</v>
      </c>
      <c r="HL159" s="74">
        <f t="shared" ref="HL159:JT159" si="5603">SUM(HL492)</f>
        <v>0</v>
      </c>
      <c r="HM159" s="74">
        <f t="shared" si="5603"/>
        <v>0</v>
      </c>
      <c r="HN159" s="74">
        <f t="shared" si="5603"/>
        <v>0</v>
      </c>
      <c r="HO159" s="74">
        <f t="shared" si="5603"/>
        <v>0</v>
      </c>
      <c r="HP159" s="74">
        <f t="shared" si="5603"/>
        <v>0</v>
      </c>
      <c r="HQ159" s="74">
        <f t="shared" si="5603"/>
        <v>0</v>
      </c>
      <c r="HR159" s="74">
        <f t="shared" si="5603"/>
        <v>0</v>
      </c>
      <c r="HS159" s="74">
        <f t="shared" si="5603"/>
        <v>0</v>
      </c>
      <c r="HT159" s="74">
        <f t="shared" si="5603"/>
        <v>0</v>
      </c>
      <c r="HU159" s="74">
        <f t="shared" si="5603"/>
        <v>0</v>
      </c>
      <c r="HV159" s="74">
        <f t="shared" si="5603"/>
        <v>0</v>
      </c>
      <c r="HW159" s="74">
        <f t="shared" si="5603"/>
        <v>0</v>
      </c>
      <c r="HX159" s="74">
        <f t="shared" si="5603"/>
        <v>0</v>
      </c>
      <c r="HY159" s="74">
        <f t="shared" si="5603"/>
        <v>0</v>
      </c>
      <c r="HZ159" s="74">
        <f t="shared" si="5603"/>
        <v>0</v>
      </c>
      <c r="IA159" s="74">
        <f t="shared" si="5603"/>
        <v>0</v>
      </c>
      <c r="IB159" s="74">
        <f t="shared" si="5603"/>
        <v>0</v>
      </c>
      <c r="IC159" s="74">
        <f t="shared" si="5603"/>
        <v>0</v>
      </c>
      <c r="ID159" s="74">
        <f t="shared" si="5603"/>
        <v>0</v>
      </c>
      <c r="IE159" s="792">
        <f t="shared" si="5603"/>
        <v>0</v>
      </c>
      <c r="IF159" s="841">
        <f t="shared" si="5603"/>
        <v>0</v>
      </c>
      <c r="IG159" s="263">
        <f t="shared" si="5603"/>
        <v>0</v>
      </c>
      <c r="IH159" s="842">
        <f t="shared" si="5603"/>
        <v>0</v>
      </c>
      <c r="II159" s="155">
        <f t="shared" si="5603"/>
        <v>0</v>
      </c>
      <c r="IJ159" s="74">
        <f t="shared" si="5603"/>
        <v>0</v>
      </c>
      <c r="IK159" s="74">
        <f t="shared" si="5603"/>
        <v>0</v>
      </c>
      <c r="IL159" s="74">
        <f t="shared" si="5603"/>
        <v>0</v>
      </c>
      <c r="IM159" s="74">
        <f t="shared" si="5603"/>
        <v>0</v>
      </c>
      <c r="IN159" s="74">
        <f t="shared" si="5603"/>
        <v>0</v>
      </c>
      <c r="IO159" s="74">
        <f t="shared" si="5603"/>
        <v>0</v>
      </c>
      <c r="IP159" s="74">
        <f t="shared" si="5603"/>
        <v>0</v>
      </c>
      <c r="IQ159" s="74">
        <f t="shared" si="5603"/>
        <v>0</v>
      </c>
      <c r="IR159" s="74">
        <f t="shared" si="5603"/>
        <v>0</v>
      </c>
      <c r="IS159" s="74">
        <f t="shared" si="5603"/>
        <v>0</v>
      </c>
      <c r="IT159" s="74">
        <f t="shared" si="5603"/>
        <v>0</v>
      </c>
      <c r="IU159" s="74">
        <f t="shared" si="5603"/>
        <v>0</v>
      </c>
      <c r="IV159" s="74">
        <f t="shared" si="5603"/>
        <v>0</v>
      </c>
      <c r="IW159" s="74">
        <f t="shared" si="5603"/>
        <v>0</v>
      </c>
      <c r="IX159" s="74">
        <f t="shared" si="5603"/>
        <v>0</v>
      </c>
      <c r="IY159" s="74">
        <f t="shared" si="5603"/>
        <v>0</v>
      </c>
      <c r="IZ159" s="74">
        <f t="shared" si="5603"/>
        <v>0</v>
      </c>
      <c r="JA159" s="74">
        <f t="shared" si="5603"/>
        <v>0</v>
      </c>
      <c r="JB159" s="74">
        <f t="shared" si="5603"/>
        <v>0</v>
      </c>
      <c r="JC159" s="74">
        <f t="shared" si="5603"/>
        <v>0</v>
      </c>
      <c r="JD159" s="74">
        <f t="shared" si="5603"/>
        <v>0</v>
      </c>
      <c r="JE159" s="74">
        <f t="shared" si="5603"/>
        <v>0</v>
      </c>
      <c r="JF159" s="74">
        <f t="shared" si="5603"/>
        <v>0</v>
      </c>
      <c r="JG159" s="74">
        <f t="shared" si="5603"/>
        <v>0</v>
      </c>
      <c r="JH159" s="74">
        <f t="shared" si="5603"/>
        <v>0</v>
      </c>
      <c r="JI159" s="74">
        <f t="shared" si="5603"/>
        <v>0</v>
      </c>
      <c r="JJ159" s="74">
        <f t="shared" si="5603"/>
        <v>0</v>
      </c>
      <c r="JK159" s="74">
        <f t="shared" si="5603"/>
        <v>0</v>
      </c>
      <c r="JL159" s="74">
        <f t="shared" si="5603"/>
        <v>0</v>
      </c>
      <c r="JM159" s="74">
        <f t="shared" si="5603"/>
        <v>0</v>
      </c>
      <c r="JN159" s="74">
        <f t="shared" si="5603"/>
        <v>0</v>
      </c>
      <c r="JO159" s="74">
        <f t="shared" si="5603"/>
        <v>0</v>
      </c>
      <c r="JP159" s="74">
        <f t="shared" si="5603"/>
        <v>0</v>
      </c>
      <c r="JQ159" s="74">
        <f t="shared" si="5603"/>
        <v>0</v>
      </c>
      <c r="JR159" s="74">
        <f t="shared" si="5603"/>
        <v>0</v>
      </c>
      <c r="JS159" s="74">
        <f t="shared" si="5603"/>
        <v>0</v>
      </c>
      <c r="JT159" s="102">
        <f t="shared" si="5603"/>
        <v>0</v>
      </c>
      <c r="JU159" s="671"/>
      <c r="JV159" s="492"/>
      <c r="JW159" s="490"/>
      <c r="JX159" s="549">
        <f t="shared" si="5498"/>
        <v>0</v>
      </c>
      <c r="JY159" s="549">
        <f t="shared" si="5498"/>
        <v>0</v>
      </c>
      <c r="JZ159" s="581">
        <f t="shared" si="4944"/>
        <v>0</v>
      </c>
      <c r="KA159" s="581">
        <f t="shared" si="4945"/>
        <v>0</v>
      </c>
      <c r="KB159" s="549">
        <f t="shared" si="5498"/>
        <v>0</v>
      </c>
      <c r="KC159" s="709">
        <f t="shared" si="4908"/>
        <v>0</v>
      </c>
      <c r="KD159" s="36"/>
      <c r="KE159" s="36"/>
      <c r="KF159" s="36"/>
      <c r="KG159" s="36"/>
      <c r="KH159" s="36"/>
      <c r="KI159" s="36"/>
      <c r="KJ159" s="36"/>
      <c r="KK159" s="36"/>
    </row>
    <row r="160" spans="1:297" s="8" customFormat="1">
      <c r="A160" s="75" t="s">
        <v>189</v>
      </c>
      <c r="B160" s="72" t="s">
        <v>190</v>
      </c>
      <c r="C160" s="74">
        <f>SUM(C493)+C323</f>
        <v>58600</v>
      </c>
      <c r="D160" s="549">
        <f t="shared" ref="D160:E160" si="5604">SUM(D493)+D323</f>
        <v>0</v>
      </c>
      <c r="E160" s="675">
        <f t="shared" si="5604"/>
        <v>0</v>
      </c>
      <c r="F160" s="549">
        <f t="shared" ref="F160:G160" si="5605">SUM(F493)+F323</f>
        <v>0</v>
      </c>
      <c r="G160" s="675">
        <f t="shared" si="5605"/>
        <v>0</v>
      </c>
      <c r="H160" s="549">
        <f t="shared" ref="H160:I160" si="5606">SUM(H493)+H323</f>
        <v>0</v>
      </c>
      <c r="I160" s="675">
        <f t="shared" si="5606"/>
        <v>0</v>
      </c>
      <c r="J160" s="549">
        <f t="shared" ref="J160:K160" si="5607">SUM(J493)+J323</f>
        <v>0</v>
      </c>
      <c r="K160" s="675">
        <f t="shared" si="5607"/>
        <v>0</v>
      </c>
      <c r="L160" s="549">
        <f t="shared" ref="L160:M160" si="5608">SUM(L493)+L323</f>
        <v>0</v>
      </c>
      <c r="M160" s="675">
        <f t="shared" si="5608"/>
        <v>0</v>
      </c>
      <c r="N160" s="549">
        <f t="shared" ref="N160:O160" si="5609">SUM(N493)+N323</f>
        <v>0</v>
      </c>
      <c r="O160" s="675">
        <f t="shared" si="5609"/>
        <v>0</v>
      </c>
      <c r="P160" s="549">
        <f t="shared" ref="P160:Q160" si="5610">SUM(P493)+P323</f>
        <v>0</v>
      </c>
      <c r="Q160" s="675">
        <f t="shared" si="5610"/>
        <v>0</v>
      </c>
      <c r="R160" s="549">
        <f t="shared" ref="R160:S160" si="5611">SUM(R493)+R323</f>
        <v>0</v>
      </c>
      <c r="S160" s="675">
        <f t="shared" si="5611"/>
        <v>0</v>
      </c>
      <c r="T160" s="549">
        <f t="shared" ref="T160:U160" si="5612">SUM(T493)+T323</f>
        <v>0</v>
      </c>
      <c r="U160" s="675">
        <f t="shared" si="5612"/>
        <v>0</v>
      </c>
      <c r="V160" s="549">
        <f t="shared" ref="V160:W160" si="5613">SUM(V493)+V323</f>
        <v>0</v>
      </c>
      <c r="W160" s="675">
        <f t="shared" si="5613"/>
        <v>0</v>
      </c>
      <c r="X160" s="549">
        <f t="shared" ref="X160:Y160" si="5614">SUM(X493)+X323</f>
        <v>0</v>
      </c>
      <c r="Y160" s="675">
        <f t="shared" si="5614"/>
        <v>0</v>
      </c>
      <c r="Z160" s="549">
        <f t="shared" ref="Z160:AA160" si="5615">SUM(Z493)+Z323</f>
        <v>0</v>
      </c>
      <c r="AA160" s="675">
        <f t="shared" si="5615"/>
        <v>0</v>
      </c>
      <c r="AB160" s="549">
        <f t="shared" ref="AB160:AC160" si="5616">SUM(AB493)+AB323</f>
        <v>0</v>
      </c>
      <c r="AC160" s="675">
        <f t="shared" si="5616"/>
        <v>0</v>
      </c>
      <c r="AD160" s="549">
        <f t="shared" ref="AD160:AE160" si="5617">SUM(AD493)+AD323</f>
        <v>0</v>
      </c>
      <c r="AE160" s="675">
        <f t="shared" si="5617"/>
        <v>0</v>
      </c>
      <c r="AF160" s="549">
        <f t="shared" ref="AF160:AI160" si="5618">SUM(AF493)+AF323</f>
        <v>0</v>
      </c>
      <c r="AG160" s="675">
        <f t="shared" si="5618"/>
        <v>0</v>
      </c>
      <c r="AH160" s="549">
        <f t="shared" si="5618"/>
        <v>0</v>
      </c>
      <c r="AI160" s="675">
        <f t="shared" si="5618"/>
        <v>0</v>
      </c>
      <c r="AJ160" s="549">
        <f t="shared" ref="AJ160:AK160" si="5619">SUM(AJ493)+AJ323</f>
        <v>0</v>
      </c>
      <c r="AK160" s="675">
        <f t="shared" si="5619"/>
        <v>0</v>
      </c>
      <c r="AL160" s="549">
        <f t="shared" ref="AL160:AM160" si="5620">SUM(AL493)+AL323</f>
        <v>0</v>
      </c>
      <c r="AM160" s="675">
        <f t="shared" si="5620"/>
        <v>0</v>
      </c>
      <c r="AN160" s="549">
        <f t="shared" ref="AN160:AO160" si="5621">SUM(AN493)+AN323</f>
        <v>0</v>
      </c>
      <c r="AO160" s="675">
        <f t="shared" si="5621"/>
        <v>0</v>
      </c>
      <c r="AP160" s="549">
        <f t="shared" ref="AP160:AQ160" si="5622">SUM(AP493)+AP323</f>
        <v>0</v>
      </c>
      <c r="AQ160" s="675">
        <f t="shared" si="5622"/>
        <v>0</v>
      </c>
      <c r="AR160" s="549">
        <f t="shared" ref="AR160:AS160" si="5623">SUM(AR493)+AR323</f>
        <v>0</v>
      </c>
      <c r="AS160" s="675">
        <f t="shared" si="5623"/>
        <v>0</v>
      </c>
      <c r="AT160" s="549">
        <f t="shared" ref="AT160:AU160" si="5624">SUM(AT493)+AT323</f>
        <v>0</v>
      </c>
      <c r="AU160" s="675">
        <f t="shared" si="5624"/>
        <v>0</v>
      </c>
      <c r="AV160" s="549">
        <f t="shared" ref="AV160:AW160" si="5625">SUM(AV493)+AV323</f>
        <v>0</v>
      </c>
      <c r="AW160" s="675">
        <f t="shared" si="5625"/>
        <v>0</v>
      </c>
      <c r="AX160" s="549">
        <f t="shared" ref="AX160:AY160" si="5626">SUM(AX493)+AX323</f>
        <v>0</v>
      </c>
      <c r="AY160" s="675">
        <f t="shared" si="5626"/>
        <v>0</v>
      </c>
      <c r="AZ160" s="549">
        <f t="shared" ref="AZ160:BA160" si="5627">SUM(AZ493)+AZ323</f>
        <v>0</v>
      </c>
      <c r="BA160" s="675">
        <f t="shared" si="5627"/>
        <v>0</v>
      </c>
      <c r="BB160" s="549">
        <f t="shared" ref="BB160:BC160" si="5628">SUM(BB493)+BB323</f>
        <v>0</v>
      </c>
      <c r="BC160" s="675">
        <f t="shared" si="5628"/>
        <v>0</v>
      </c>
      <c r="BD160" s="549">
        <f t="shared" ref="BD160:BE160" si="5629">SUM(BD493)+BD323</f>
        <v>0</v>
      </c>
      <c r="BE160" s="675">
        <f t="shared" si="5629"/>
        <v>0</v>
      </c>
      <c r="BF160" s="549">
        <f t="shared" ref="BF160:BG160" si="5630">SUM(BF493)+BF323</f>
        <v>10000</v>
      </c>
      <c r="BG160" s="675">
        <f t="shared" si="5630"/>
        <v>0</v>
      </c>
      <c r="BH160" s="549">
        <f t="shared" ref="BH160:BI160" si="5631">SUM(BH493)+BH323</f>
        <v>0</v>
      </c>
      <c r="BI160" s="675">
        <f t="shared" si="5631"/>
        <v>0</v>
      </c>
      <c r="BJ160" s="549">
        <f t="shared" ref="BJ160:BK160" si="5632">SUM(BJ493)+BJ323</f>
        <v>0</v>
      </c>
      <c r="BK160" s="675">
        <f t="shared" si="5632"/>
        <v>0</v>
      </c>
      <c r="BL160" s="549">
        <f t="shared" ref="BL160:BM160" si="5633">SUM(BL493)+BL323</f>
        <v>0</v>
      </c>
      <c r="BM160" s="675">
        <f t="shared" si="5633"/>
        <v>0</v>
      </c>
      <c r="BN160" s="549">
        <f t="shared" ref="BN160:BO160" si="5634">SUM(BN493)+BN323</f>
        <v>0</v>
      </c>
      <c r="BO160" s="675">
        <f t="shared" si="5634"/>
        <v>0</v>
      </c>
      <c r="BP160" s="549">
        <f t="shared" ref="BP160:BQ160" si="5635">SUM(BP493)+BP323</f>
        <v>0</v>
      </c>
      <c r="BQ160" s="675">
        <f t="shared" si="5635"/>
        <v>0</v>
      </c>
      <c r="BR160" s="549">
        <f t="shared" ref="BR160:BS160" si="5636">SUM(BR493)+BR323</f>
        <v>0</v>
      </c>
      <c r="BS160" s="675">
        <f t="shared" si="5636"/>
        <v>0</v>
      </c>
      <c r="BT160" s="549">
        <f t="shared" ref="BT160:BU160" si="5637">SUM(BT493)+BT323</f>
        <v>0</v>
      </c>
      <c r="BU160" s="675">
        <f t="shared" si="5637"/>
        <v>0</v>
      </c>
      <c r="BV160" s="549">
        <f t="shared" ref="BV160:BW160" si="5638">SUM(BV493)+BV323</f>
        <v>0</v>
      </c>
      <c r="BW160" s="675">
        <f t="shared" si="5638"/>
        <v>0</v>
      </c>
      <c r="BX160" s="549">
        <f t="shared" ref="BX160:BY160" si="5639">SUM(BX493)+BX323</f>
        <v>0</v>
      </c>
      <c r="BY160" s="675">
        <f t="shared" si="5639"/>
        <v>0</v>
      </c>
      <c r="BZ160" s="549">
        <f t="shared" ref="BZ160:CA160" si="5640">SUM(BZ493)+BZ323</f>
        <v>0</v>
      </c>
      <c r="CA160" s="675">
        <f t="shared" si="5640"/>
        <v>0</v>
      </c>
      <c r="CB160" s="549">
        <f t="shared" ref="CB160:CC160" si="5641">SUM(CB493)+CB323</f>
        <v>0</v>
      </c>
      <c r="CC160" s="675">
        <f t="shared" si="5641"/>
        <v>0</v>
      </c>
      <c r="CD160" s="549">
        <f t="shared" ref="CD160:CE160" si="5642">SUM(CD493)+CD323</f>
        <v>0</v>
      </c>
      <c r="CE160" s="675">
        <f t="shared" si="5642"/>
        <v>0</v>
      </c>
      <c r="CF160" s="549">
        <f t="shared" ref="CF160:CG160" si="5643">SUM(CF493)+CF323</f>
        <v>0</v>
      </c>
      <c r="CG160" s="675">
        <f t="shared" si="5643"/>
        <v>0</v>
      </c>
      <c r="CH160" s="549">
        <f t="shared" ref="CH160:CI160" si="5644">SUM(CH493)+CH323</f>
        <v>0</v>
      </c>
      <c r="CI160" s="675">
        <f t="shared" si="5644"/>
        <v>0</v>
      </c>
      <c r="CJ160" s="549">
        <f t="shared" ref="CJ160:CK160" si="5645">SUM(CJ493)+CJ323</f>
        <v>0</v>
      </c>
      <c r="CK160" s="675">
        <f t="shared" si="5645"/>
        <v>0</v>
      </c>
      <c r="CL160" s="549">
        <f t="shared" ref="CL160:CM160" si="5646">SUM(CL493)+CL323</f>
        <v>0</v>
      </c>
      <c r="CM160" s="675">
        <f t="shared" si="5646"/>
        <v>0</v>
      </c>
      <c r="CN160" s="549">
        <f t="shared" ref="CN160:CO160" si="5647">SUM(CN493)+CN323</f>
        <v>0</v>
      </c>
      <c r="CO160" s="675">
        <f t="shared" si="5647"/>
        <v>0</v>
      </c>
      <c r="CP160" s="549">
        <f t="shared" ref="CP160:CQ160" si="5648">SUM(CP493)+CP323</f>
        <v>0</v>
      </c>
      <c r="CQ160" s="675">
        <f t="shared" si="5648"/>
        <v>0</v>
      </c>
      <c r="CR160" s="549">
        <f t="shared" ref="CR160:CS160" si="5649">SUM(CR493)+CR323</f>
        <v>0</v>
      </c>
      <c r="CS160" s="675">
        <f t="shared" si="5649"/>
        <v>0</v>
      </c>
      <c r="CT160" s="549">
        <f t="shared" ref="CT160:CU160" si="5650">SUM(CT493)+CT323</f>
        <v>0</v>
      </c>
      <c r="CU160" s="675">
        <f t="shared" si="5650"/>
        <v>0</v>
      </c>
      <c r="CV160" s="549">
        <f t="shared" ref="CV160:CW160" si="5651">SUM(CV493)+CV323</f>
        <v>0</v>
      </c>
      <c r="CW160" s="675">
        <f t="shared" si="5651"/>
        <v>0</v>
      </c>
      <c r="CX160" s="549">
        <f t="shared" ref="CX160:CY160" si="5652">SUM(CX493)+CX323</f>
        <v>0</v>
      </c>
      <c r="CY160" s="675">
        <f t="shared" si="5652"/>
        <v>0</v>
      </c>
      <c r="CZ160" s="549">
        <f t="shared" ref="CZ160:DA160" si="5653">SUM(CZ493)+CZ323</f>
        <v>0</v>
      </c>
      <c r="DA160" s="675">
        <f t="shared" si="5653"/>
        <v>0</v>
      </c>
      <c r="DB160" s="549">
        <f t="shared" ref="DB160:DC160" si="5654">SUM(DB493)+DB323</f>
        <v>0</v>
      </c>
      <c r="DC160" s="675">
        <f t="shared" si="5654"/>
        <v>0</v>
      </c>
      <c r="DD160" s="549">
        <f t="shared" ref="DD160:DE160" si="5655">SUM(DD493)+DD323</f>
        <v>0</v>
      </c>
      <c r="DE160" s="675">
        <f t="shared" si="5655"/>
        <v>0</v>
      </c>
      <c r="DF160" s="549">
        <f t="shared" ref="DF160:DG160" si="5656">SUM(DF493)+DF323</f>
        <v>0</v>
      </c>
      <c r="DG160" s="675">
        <f t="shared" si="5656"/>
        <v>0</v>
      </c>
      <c r="DH160" s="549">
        <f t="shared" ref="DH160:DI160" si="5657">SUM(DH493)+DH323</f>
        <v>0</v>
      </c>
      <c r="DI160" s="675">
        <f t="shared" si="5657"/>
        <v>0</v>
      </c>
      <c r="DJ160" s="549">
        <f t="shared" ref="DJ160:DK160" si="5658">SUM(DJ493)+DJ323</f>
        <v>0</v>
      </c>
      <c r="DK160" s="675">
        <f t="shared" si="5658"/>
        <v>0</v>
      </c>
      <c r="DL160" s="549">
        <f t="shared" ref="DL160:DM160" si="5659">SUM(DL493)+DL323</f>
        <v>0</v>
      </c>
      <c r="DM160" s="675">
        <f t="shared" si="5659"/>
        <v>0</v>
      </c>
      <c r="DN160" s="549">
        <f t="shared" ref="DN160:DO160" si="5660">SUM(DN493)+DN323</f>
        <v>0</v>
      </c>
      <c r="DO160" s="675">
        <f t="shared" si="5660"/>
        <v>0</v>
      </c>
      <c r="DP160" s="549">
        <f t="shared" ref="DP160:DQ160" si="5661">SUM(DP493)+DP323</f>
        <v>0</v>
      </c>
      <c r="DQ160" s="675">
        <f t="shared" si="5661"/>
        <v>0</v>
      </c>
      <c r="DR160" s="549">
        <f t="shared" ref="DR160:DS160" si="5662">SUM(DR493)+DR323</f>
        <v>0</v>
      </c>
      <c r="DS160" s="675">
        <f t="shared" si="5662"/>
        <v>0</v>
      </c>
      <c r="DT160" s="549">
        <f t="shared" ref="DT160:DU160" si="5663">SUM(DT493)+DT323</f>
        <v>0</v>
      </c>
      <c r="DU160" s="675">
        <f t="shared" si="5663"/>
        <v>0</v>
      </c>
      <c r="DV160" s="549">
        <f t="shared" ref="DV160:DW160" si="5664">SUM(DV493)+DV323</f>
        <v>0</v>
      </c>
      <c r="DW160" s="675">
        <f t="shared" si="5664"/>
        <v>0</v>
      </c>
      <c r="DX160" s="549">
        <f t="shared" ref="DX160:DY160" si="5665">SUM(DX493)+DX323</f>
        <v>0</v>
      </c>
      <c r="DY160" s="675">
        <f t="shared" si="5665"/>
        <v>0</v>
      </c>
      <c r="DZ160" s="549">
        <f t="shared" ref="DZ160:EA160" si="5666">SUM(DZ493)+DZ323</f>
        <v>0</v>
      </c>
      <c r="EA160" s="675">
        <f t="shared" si="5666"/>
        <v>0</v>
      </c>
      <c r="EB160" s="549">
        <f t="shared" ref="EB160:EC160" si="5667">SUM(EB493)+EB323</f>
        <v>0</v>
      </c>
      <c r="EC160" s="675">
        <f t="shared" si="5667"/>
        <v>0</v>
      </c>
      <c r="ED160" s="549">
        <f t="shared" ref="ED160:EE160" si="5668">SUM(ED493)+ED323</f>
        <v>0</v>
      </c>
      <c r="EE160" s="675">
        <f t="shared" si="5668"/>
        <v>0</v>
      </c>
      <c r="EF160" s="549">
        <f t="shared" ref="EF160:EG160" si="5669">SUM(EF493)+EF323</f>
        <v>0</v>
      </c>
      <c r="EG160" s="675">
        <f t="shared" si="5669"/>
        <v>0</v>
      </c>
      <c r="EH160" s="549">
        <f t="shared" ref="EH160:HW160" si="5670">SUM(EH493)+EH323</f>
        <v>0</v>
      </c>
      <c r="EI160" s="675">
        <f t="shared" si="5670"/>
        <v>0</v>
      </c>
      <c r="EJ160" s="549">
        <f t="shared" si="5670"/>
        <v>0</v>
      </c>
      <c r="EK160" s="675">
        <f t="shared" si="5670"/>
        <v>0</v>
      </c>
      <c r="EL160" s="549">
        <f t="shared" si="5670"/>
        <v>0</v>
      </c>
      <c r="EM160" s="675">
        <f t="shared" si="5670"/>
        <v>0</v>
      </c>
      <c r="EN160" s="549">
        <f t="shared" si="5670"/>
        <v>0</v>
      </c>
      <c r="EO160" s="675">
        <f t="shared" si="5670"/>
        <v>0</v>
      </c>
      <c r="EP160" s="549">
        <f t="shared" si="5670"/>
        <v>0</v>
      </c>
      <c r="EQ160" s="675">
        <f t="shared" si="5670"/>
        <v>0</v>
      </c>
      <c r="ER160" s="549">
        <f t="shared" si="5670"/>
        <v>0</v>
      </c>
      <c r="ES160" s="675">
        <f t="shared" si="5670"/>
        <v>0</v>
      </c>
      <c r="ET160" s="549">
        <f t="shared" si="5670"/>
        <v>0</v>
      </c>
      <c r="EU160" s="675">
        <f t="shared" si="5670"/>
        <v>0</v>
      </c>
      <c r="EV160" s="549">
        <f t="shared" si="5670"/>
        <v>0</v>
      </c>
      <c r="EW160" s="675">
        <f t="shared" si="5670"/>
        <v>0</v>
      </c>
      <c r="EX160" s="549">
        <f t="shared" si="5670"/>
        <v>0</v>
      </c>
      <c r="EY160" s="675">
        <f t="shared" si="5670"/>
        <v>0</v>
      </c>
      <c r="EZ160" s="549">
        <f t="shared" si="5670"/>
        <v>0</v>
      </c>
      <c r="FA160" s="675">
        <f t="shared" si="5670"/>
        <v>0</v>
      </c>
      <c r="FB160" s="549">
        <f t="shared" si="5670"/>
        <v>0</v>
      </c>
      <c r="FC160" s="675">
        <f t="shared" si="5670"/>
        <v>0</v>
      </c>
      <c r="FD160" s="549">
        <f t="shared" si="5670"/>
        <v>0</v>
      </c>
      <c r="FE160" s="675">
        <f t="shared" si="5670"/>
        <v>0</v>
      </c>
      <c r="FF160" s="549">
        <f t="shared" si="5670"/>
        <v>0</v>
      </c>
      <c r="FG160" s="675">
        <f t="shared" si="5670"/>
        <v>0</v>
      </c>
      <c r="FH160" s="549">
        <f t="shared" si="5670"/>
        <v>0</v>
      </c>
      <c r="FI160" s="675">
        <f t="shared" si="5670"/>
        <v>0</v>
      </c>
      <c r="FJ160" s="549">
        <f t="shared" si="5670"/>
        <v>0</v>
      </c>
      <c r="FK160" s="675">
        <f t="shared" si="5670"/>
        <v>0</v>
      </c>
      <c r="FL160" s="549">
        <f t="shared" ref="FL160:FM160" si="5671">SUM(FL493)+FL323</f>
        <v>0</v>
      </c>
      <c r="FM160" s="675">
        <f t="shared" si="5671"/>
        <v>0</v>
      </c>
      <c r="FN160" s="549">
        <f t="shared" ref="FN160:FO160" si="5672">SUM(FN493)+FN323</f>
        <v>0</v>
      </c>
      <c r="FO160" s="675">
        <f t="shared" si="5672"/>
        <v>0</v>
      </c>
      <c r="FP160" s="549">
        <f t="shared" ref="FP160:FQ160" si="5673">SUM(FP493)+FP323</f>
        <v>0</v>
      </c>
      <c r="FQ160" s="675">
        <f t="shared" si="5673"/>
        <v>0</v>
      </c>
      <c r="FR160" s="549">
        <f t="shared" ref="FR160:FS160" si="5674">SUM(FR493)+FR323</f>
        <v>0</v>
      </c>
      <c r="FS160" s="675">
        <f t="shared" si="5674"/>
        <v>0</v>
      </c>
      <c r="FT160" s="549">
        <f t="shared" ref="FT160:FU160" si="5675">SUM(FT493)+FT323</f>
        <v>0</v>
      </c>
      <c r="FU160" s="675">
        <f t="shared" si="5675"/>
        <v>0</v>
      </c>
      <c r="FV160" s="549">
        <f t="shared" ref="FV160:GK160" si="5676">SUM(FV493)+FV323</f>
        <v>0</v>
      </c>
      <c r="FW160" s="675">
        <f t="shared" si="5676"/>
        <v>0</v>
      </c>
      <c r="FX160" s="549">
        <f t="shared" si="5676"/>
        <v>0</v>
      </c>
      <c r="FY160" s="675">
        <f t="shared" si="5676"/>
        <v>0</v>
      </c>
      <c r="FZ160" s="549">
        <f t="shared" ref="FZ160:GI160" si="5677">SUM(FZ493)+FZ323</f>
        <v>0</v>
      </c>
      <c r="GA160" s="675">
        <f t="shared" si="5677"/>
        <v>0</v>
      </c>
      <c r="GB160" s="549">
        <f t="shared" si="5677"/>
        <v>0</v>
      </c>
      <c r="GC160" s="675">
        <f t="shared" si="5677"/>
        <v>0</v>
      </c>
      <c r="GD160" s="549">
        <f t="shared" si="5677"/>
        <v>0</v>
      </c>
      <c r="GE160" s="675">
        <f t="shared" si="5677"/>
        <v>0</v>
      </c>
      <c r="GF160" s="549">
        <f t="shared" si="5677"/>
        <v>0</v>
      </c>
      <c r="GG160" s="675">
        <f t="shared" si="5677"/>
        <v>0</v>
      </c>
      <c r="GH160" s="549">
        <f t="shared" si="5677"/>
        <v>0</v>
      </c>
      <c r="GI160" s="675">
        <f t="shared" si="5677"/>
        <v>0</v>
      </c>
      <c r="GJ160" s="549">
        <f t="shared" si="5676"/>
        <v>0</v>
      </c>
      <c r="GK160" s="675">
        <f t="shared" si="5676"/>
        <v>0</v>
      </c>
      <c r="GL160" s="549">
        <f t="shared" ref="GL160:GM160" si="5678">SUM(GL493)+GL323</f>
        <v>0</v>
      </c>
      <c r="GM160" s="675">
        <f t="shared" si="5678"/>
        <v>0</v>
      </c>
      <c r="GN160" s="549">
        <f t="shared" ref="GN160:GO160" si="5679">SUM(GN493)+GN323</f>
        <v>0</v>
      </c>
      <c r="GO160" s="675">
        <f t="shared" si="5679"/>
        <v>0</v>
      </c>
      <c r="GP160" s="74">
        <f t="shared" si="5670"/>
        <v>10000</v>
      </c>
      <c r="GQ160" s="675">
        <f t="shared" si="5670"/>
        <v>0</v>
      </c>
      <c r="GR160" s="74">
        <f t="shared" si="5670"/>
        <v>68600</v>
      </c>
      <c r="GS160" s="74">
        <f t="shared" si="5670"/>
        <v>68600</v>
      </c>
      <c r="GT160" s="74">
        <f t="shared" si="5670"/>
        <v>68600</v>
      </c>
      <c r="GU160" s="74">
        <f t="shared" si="5670"/>
        <v>6512</v>
      </c>
      <c r="GV160" s="74">
        <f t="shared" si="5670"/>
        <v>6511</v>
      </c>
      <c r="GW160" s="74">
        <f t="shared" si="5670"/>
        <v>6511</v>
      </c>
      <c r="GX160" s="74">
        <f t="shared" si="5670"/>
        <v>6511</v>
      </c>
      <c r="GY160" s="74">
        <f t="shared" si="5670"/>
        <v>6511</v>
      </c>
      <c r="GZ160" s="74">
        <f t="shared" si="5670"/>
        <v>6511</v>
      </c>
      <c r="HA160" s="74">
        <f t="shared" si="5670"/>
        <v>6511</v>
      </c>
      <c r="HB160" s="74">
        <f t="shared" si="5670"/>
        <v>6511</v>
      </c>
      <c r="HC160" s="74">
        <f t="shared" si="5670"/>
        <v>6511</v>
      </c>
      <c r="HD160" s="74">
        <f t="shared" si="5670"/>
        <v>0</v>
      </c>
      <c r="HE160" s="74">
        <f t="shared" si="5670"/>
        <v>0</v>
      </c>
      <c r="HF160" s="74">
        <f t="shared" si="5670"/>
        <v>0</v>
      </c>
      <c r="HG160" s="74">
        <f t="shared" si="5670"/>
        <v>68600</v>
      </c>
      <c r="HH160" s="74">
        <f t="shared" si="5670"/>
        <v>6512</v>
      </c>
      <c r="HI160" s="74">
        <f t="shared" si="5670"/>
        <v>0</v>
      </c>
      <c r="HJ160" s="74">
        <f t="shared" si="5670"/>
        <v>6511</v>
      </c>
      <c r="HK160" s="74">
        <f t="shared" si="5670"/>
        <v>0</v>
      </c>
      <c r="HL160" s="74">
        <f t="shared" si="5670"/>
        <v>6511</v>
      </c>
      <c r="HM160" s="74">
        <f t="shared" si="5670"/>
        <v>0</v>
      </c>
      <c r="HN160" s="74">
        <f t="shared" si="5670"/>
        <v>6511</v>
      </c>
      <c r="HO160" s="74">
        <f t="shared" si="5670"/>
        <v>0</v>
      </c>
      <c r="HP160" s="74">
        <f t="shared" si="5670"/>
        <v>16511</v>
      </c>
      <c r="HQ160" s="74">
        <f t="shared" si="5670"/>
        <v>0</v>
      </c>
      <c r="HR160" s="74">
        <f t="shared" si="5670"/>
        <v>6511</v>
      </c>
      <c r="HS160" s="74">
        <f t="shared" si="5670"/>
        <v>0</v>
      </c>
      <c r="HT160" s="74">
        <f t="shared" si="5670"/>
        <v>6511</v>
      </c>
      <c r="HU160" s="74">
        <f t="shared" si="5670"/>
        <v>0</v>
      </c>
      <c r="HV160" s="74">
        <f t="shared" si="5670"/>
        <v>6511</v>
      </c>
      <c r="HW160" s="74">
        <f t="shared" si="5670"/>
        <v>0</v>
      </c>
      <c r="HX160" s="74">
        <f t="shared" ref="HX160:KC160" si="5680">SUM(HX493)+HX323</f>
        <v>6511</v>
      </c>
      <c r="HY160" s="74">
        <f t="shared" si="5680"/>
        <v>0</v>
      </c>
      <c r="HZ160" s="74">
        <f t="shared" si="5680"/>
        <v>0</v>
      </c>
      <c r="IA160" s="74">
        <f t="shared" si="5680"/>
        <v>0</v>
      </c>
      <c r="IB160" s="74">
        <f t="shared" si="5680"/>
        <v>0</v>
      </c>
      <c r="IC160" s="74">
        <f t="shared" si="5680"/>
        <v>0</v>
      </c>
      <c r="ID160" s="74">
        <f t="shared" si="5680"/>
        <v>0</v>
      </c>
      <c r="IE160" s="792">
        <f t="shared" si="5680"/>
        <v>0</v>
      </c>
      <c r="IF160" s="841">
        <f t="shared" si="5680"/>
        <v>66596.88</v>
      </c>
      <c r="IG160" s="263">
        <f t="shared" si="5680"/>
        <v>66596.88</v>
      </c>
      <c r="IH160" s="842">
        <f t="shared" si="5680"/>
        <v>66596.88</v>
      </c>
      <c r="II160" s="155">
        <f t="shared" si="5680"/>
        <v>5092.88</v>
      </c>
      <c r="IJ160" s="74">
        <f t="shared" si="5680"/>
        <v>5092.88</v>
      </c>
      <c r="IK160" s="74">
        <f t="shared" si="5680"/>
        <v>5092.88</v>
      </c>
      <c r="IL160" s="74">
        <f t="shared" si="5680"/>
        <v>6358.05</v>
      </c>
      <c r="IM160" s="74">
        <f t="shared" si="5680"/>
        <v>6358.05</v>
      </c>
      <c r="IN160" s="74">
        <f t="shared" si="5680"/>
        <v>6358.05</v>
      </c>
      <c r="IO160" s="74">
        <f t="shared" si="5680"/>
        <v>3712.6399999999994</v>
      </c>
      <c r="IP160" s="74">
        <f t="shared" si="5680"/>
        <v>3712.6399999999994</v>
      </c>
      <c r="IQ160" s="74">
        <f t="shared" si="5680"/>
        <v>3712.6399999999994</v>
      </c>
      <c r="IR160" s="74">
        <f t="shared" si="5680"/>
        <v>4471.7400000000016</v>
      </c>
      <c r="IS160" s="74">
        <f t="shared" si="5680"/>
        <v>4471.7400000000016</v>
      </c>
      <c r="IT160" s="74">
        <f t="shared" si="5680"/>
        <v>4471.7400000000016</v>
      </c>
      <c r="IU160" s="74">
        <f t="shared" si="5680"/>
        <v>8385.2899999999972</v>
      </c>
      <c r="IV160" s="74">
        <f t="shared" si="5680"/>
        <v>8385.2899999999972</v>
      </c>
      <c r="IW160" s="74">
        <f t="shared" si="5680"/>
        <v>8385.2899999999972</v>
      </c>
      <c r="IX160" s="74">
        <f t="shared" si="5680"/>
        <v>8895.3300000000017</v>
      </c>
      <c r="IY160" s="74">
        <f t="shared" si="5680"/>
        <v>8895.3300000000017</v>
      </c>
      <c r="IZ160" s="74">
        <f t="shared" si="5680"/>
        <v>8895.3300000000017</v>
      </c>
      <c r="JA160" s="74">
        <f t="shared" si="5680"/>
        <v>9089.3099999999977</v>
      </c>
      <c r="JB160" s="74">
        <f t="shared" si="5680"/>
        <v>9089.3099999999977</v>
      </c>
      <c r="JC160" s="74">
        <f t="shared" si="5680"/>
        <v>9089.3099999999977</v>
      </c>
      <c r="JD160" s="74">
        <f t="shared" si="5680"/>
        <v>12507.07</v>
      </c>
      <c r="JE160" s="74">
        <f t="shared" si="5680"/>
        <v>12507.07</v>
      </c>
      <c r="JF160" s="74">
        <f t="shared" si="5680"/>
        <v>12507.07</v>
      </c>
      <c r="JG160" s="74">
        <f t="shared" si="5680"/>
        <v>7448.3699999999953</v>
      </c>
      <c r="JH160" s="74">
        <f t="shared" si="5680"/>
        <v>7448.3699999999953</v>
      </c>
      <c r="JI160" s="74">
        <f t="shared" si="5680"/>
        <v>7448.3699999999953</v>
      </c>
      <c r="JJ160" s="74">
        <f t="shared" si="5680"/>
        <v>636.20000000001164</v>
      </c>
      <c r="JK160" s="74">
        <f t="shared" si="5680"/>
        <v>636.20000000001164</v>
      </c>
      <c r="JL160" s="74">
        <f t="shared" si="5680"/>
        <v>636.20000000001164</v>
      </c>
      <c r="JM160" s="74">
        <f t="shared" si="5680"/>
        <v>0</v>
      </c>
      <c r="JN160" s="74">
        <f t="shared" si="5680"/>
        <v>0</v>
      </c>
      <c r="JO160" s="74">
        <f t="shared" si="5680"/>
        <v>0</v>
      </c>
      <c r="JP160" s="74">
        <f t="shared" si="5680"/>
        <v>0</v>
      </c>
      <c r="JQ160" s="74">
        <f t="shared" si="5680"/>
        <v>0</v>
      </c>
      <c r="JR160" s="74">
        <f t="shared" si="5680"/>
        <v>0</v>
      </c>
      <c r="JS160" s="74">
        <f t="shared" si="5680"/>
        <v>2003.1199999999953</v>
      </c>
      <c r="JT160" s="102">
        <f t="shared" si="5680"/>
        <v>2003.1199999999953</v>
      </c>
      <c r="JU160" s="671"/>
      <c r="JV160" s="492"/>
      <c r="JW160" s="490"/>
      <c r="JX160" s="549">
        <f t="shared" si="5680"/>
        <v>68600</v>
      </c>
      <c r="JY160" s="549">
        <f t="shared" si="5680"/>
        <v>0</v>
      </c>
      <c r="JZ160" s="581">
        <f t="shared" si="5680"/>
        <v>10000</v>
      </c>
      <c r="KA160" s="581">
        <f t="shared" si="5680"/>
        <v>0</v>
      </c>
      <c r="KB160" s="549">
        <f t="shared" si="5680"/>
        <v>68600</v>
      </c>
      <c r="KC160" s="709">
        <f t="shared" si="5680"/>
        <v>0</v>
      </c>
      <c r="KD160" s="36"/>
      <c r="KE160" s="36"/>
      <c r="KF160" s="36"/>
      <c r="KG160" s="36"/>
      <c r="KH160" s="36"/>
      <c r="KI160" s="36"/>
      <c r="KJ160" s="36"/>
      <c r="KK160" s="36"/>
    </row>
    <row r="161" spans="1:297" s="8" customFormat="1" ht="12.75" hidden="1" customHeight="1">
      <c r="A161" s="262" t="s">
        <v>1063</v>
      </c>
      <c r="B161" s="72"/>
      <c r="C161" s="74">
        <f t="shared" ref="C161:AS161" si="5681">C494</f>
        <v>0</v>
      </c>
      <c r="D161" s="74">
        <f t="shared" si="5681"/>
        <v>0</v>
      </c>
      <c r="E161" s="675">
        <f t="shared" si="5681"/>
        <v>0</v>
      </c>
      <c r="F161" s="74">
        <f t="shared" si="5681"/>
        <v>0</v>
      </c>
      <c r="G161" s="675">
        <f t="shared" si="5681"/>
        <v>0</v>
      </c>
      <c r="H161" s="74">
        <f t="shared" si="5681"/>
        <v>0</v>
      </c>
      <c r="I161" s="675">
        <f t="shared" si="5681"/>
        <v>0</v>
      </c>
      <c r="J161" s="74">
        <f t="shared" si="5681"/>
        <v>0</v>
      </c>
      <c r="K161" s="675">
        <f t="shared" si="5681"/>
        <v>0</v>
      </c>
      <c r="L161" s="74">
        <f t="shared" si="5681"/>
        <v>0</v>
      </c>
      <c r="M161" s="675">
        <f t="shared" si="5681"/>
        <v>0</v>
      </c>
      <c r="N161" s="74">
        <f t="shared" si="5681"/>
        <v>0</v>
      </c>
      <c r="O161" s="675">
        <f t="shared" si="5681"/>
        <v>0</v>
      </c>
      <c r="P161" s="74">
        <f t="shared" si="5681"/>
        <v>0</v>
      </c>
      <c r="Q161" s="675">
        <f t="shared" si="5681"/>
        <v>0</v>
      </c>
      <c r="R161" s="74">
        <f t="shared" si="5681"/>
        <v>0</v>
      </c>
      <c r="S161" s="675">
        <f t="shared" si="5681"/>
        <v>0</v>
      </c>
      <c r="T161" s="74">
        <f t="shared" si="5681"/>
        <v>0</v>
      </c>
      <c r="U161" s="675">
        <f t="shared" si="5681"/>
        <v>0</v>
      </c>
      <c r="V161" s="74">
        <f t="shared" si="5681"/>
        <v>0</v>
      </c>
      <c r="W161" s="675">
        <f t="shared" si="5681"/>
        <v>0</v>
      </c>
      <c r="X161" s="74">
        <f t="shared" si="5681"/>
        <v>0</v>
      </c>
      <c r="Y161" s="675">
        <f t="shared" si="5681"/>
        <v>0</v>
      </c>
      <c r="Z161" s="74">
        <f t="shared" si="5681"/>
        <v>0</v>
      </c>
      <c r="AA161" s="675">
        <f t="shared" si="5681"/>
        <v>0</v>
      </c>
      <c r="AB161" s="74">
        <f t="shared" si="5681"/>
        <v>0</v>
      </c>
      <c r="AC161" s="675">
        <f t="shared" si="5681"/>
        <v>0</v>
      </c>
      <c r="AD161" s="74">
        <f t="shared" si="5681"/>
        <v>0</v>
      </c>
      <c r="AE161" s="675">
        <f t="shared" si="5681"/>
        <v>0</v>
      </c>
      <c r="AF161" s="74">
        <f t="shared" si="5681"/>
        <v>0</v>
      </c>
      <c r="AG161" s="675">
        <f t="shared" si="5681"/>
        <v>0</v>
      </c>
      <c r="AH161" s="74">
        <f t="shared" si="5681"/>
        <v>0</v>
      </c>
      <c r="AI161" s="675">
        <f t="shared" si="5681"/>
        <v>0</v>
      </c>
      <c r="AJ161" s="74">
        <f t="shared" si="5681"/>
        <v>0</v>
      </c>
      <c r="AK161" s="675">
        <f t="shared" si="5681"/>
        <v>0</v>
      </c>
      <c r="AL161" s="74">
        <f t="shared" si="5681"/>
        <v>0</v>
      </c>
      <c r="AM161" s="675">
        <f t="shared" si="5681"/>
        <v>0</v>
      </c>
      <c r="AN161" s="74">
        <f t="shared" si="5681"/>
        <v>0</v>
      </c>
      <c r="AO161" s="675">
        <f t="shared" si="5681"/>
        <v>0</v>
      </c>
      <c r="AP161" s="74">
        <f t="shared" si="5681"/>
        <v>0</v>
      </c>
      <c r="AQ161" s="675">
        <f t="shared" si="5681"/>
        <v>0</v>
      </c>
      <c r="AR161" s="74">
        <f t="shared" si="5681"/>
        <v>0</v>
      </c>
      <c r="AS161" s="675">
        <f t="shared" si="5681"/>
        <v>0</v>
      </c>
      <c r="AT161" s="74">
        <f t="shared" ref="AT161:AU161" si="5682">AT494</f>
        <v>0</v>
      </c>
      <c r="AU161" s="675">
        <f t="shared" si="5682"/>
        <v>0</v>
      </c>
      <c r="AV161" s="74">
        <f t="shared" ref="AV161:AW161" si="5683">AV494</f>
        <v>0</v>
      </c>
      <c r="AW161" s="675">
        <f t="shared" si="5683"/>
        <v>0</v>
      </c>
      <c r="AX161" s="74">
        <f t="shared" ref="AX161:AY161" si="5684">AX494</f>
        <v>0</v>
      </c>
      <c r="AY161" s="675">
        <f t="shared" si="5684"/>
        <v>0</v>
      </c>
      <c r="AZ161" s="74">
        <f t="shared" ref="AZ161:BA161" si="5685">AZ494</f>
        <v>0</v>
      </c>
      <c r="BA161" s="675">
        <f t="shared" si="5685"/>
        <v>0</v>
      </c>
      <c r="BB161" s="74">
        <f t="shared" ref="BB161:BC161" si="5686">BB494</f>
        <v>0</v>
      </c>
      <c r="BC161" s="675">
        <f t="shared" si="5686"/>
        <v>0</v>
      </c>
      <c r="BD161" s="74">
        <f t="shared" ref="BD161:BE161" si="5687">BD494</f>
        <v>0</v>
      </c>
      <c r="BE161" s="675">
        <f t="shared" si="5687"/>
        <v>0</v>
      </c>
      <c r="BF161" s="74">
        <f t="shared" ref="BF161:BG161" si="5688">BF494</f>
        <v>0</v>
      </c>
      <c r="BG161" s="675">
        <f t="shared" si="5688"/>
        <v>0</v>
      </c>
      <c r="BH161" s="74">
        <f t="shared" ref="BH161:BI161" si="5689">BH494</f>
        <v>0</v>
      </c>
      <c r="BI161" s="675">
        <f t="shared" si="5689"/>
        <v>0</v>
      </c>
      <c r="BJ161" s="74">
        <f t="shared" ref="BJ161:BK161" si="5690">BJ494</f>
        <v>0</v>
      </c>
      <c r="BK161" s="675">
        <f t="shared" si="5690"/>
        <v>0</v>
      </c>
      <c r="BL161" s="74">
        <f t="shared" ref="BL161:BM161" si="5691">BL494</f>
        <v>0</v>
      </c>
      <c r="BM161" s="675">
        <f t="shared" si="5691"/>
        <v>0</v>
      </c>
      <c r="BN161" s="74">
        <f t="shared" ref="BN161:BO161" si="5692">BN494</f>
        <v>0</v>
      </c>
      <c r="BO161" s="675">
        <f t="shared" si="5692"/>
        <v>0</v>
      </c>
      <c r="BP161" s="74">
        <f t="shared" ref="BP161:BQ161" si="5693">BP494</f>
        <v>0</v>
      </c>
      <c r="BQ161" s="675">
        <f t="shared" si="5693"/>
        <v>0</v>
      </c>
      <c r="BR161" s="74">
        <f t="shared" ref="BR161:BS161" si="5694">BR494</f>
        <v>0</v>
      </c>
      <c r="BS161" s="675">
        <f t="shared" si="5694"/>
        <v>0</v>
      </c>
      <c r="BT161" s="74">
        <f t="shared" ref="BT161:BU161" si="5695">BT494</f>
        <v>0</v>
      </c>
      <c r="BU161" s="675">
        <f t="shared" si="5695"/>
        <v>0</v>
      </c>
      <c r="BV161" s="74">
        <f t="shared" ref="BV161:BW161" si="5696">BV494</f>
        <v>0</v>
      </c>
      <c r="BW161" s="675">
        <f t="shared" si="5696"/>
        <v>0</v>
      </c>
      <c r="BX161" s="74">
        <f t="shared" ref="BX161:BY161" si="5697">BX494</f>
        <v>0</v>
      </c>
      <c r="BY161" s="675">
        <f t="shared" si="5697"/>
        <v>0</v>
      </c>
      <c r="BZ161" s="74">
        <f t="shared" ref="BZ161:CA161" si="5698">BZ494</f>
        <v>0</v>
      </c>
      <c r="CA161" s="675">
        <f t="shared" si="5698"/>
        <v>0</v>
      </c>
      <c r="CB161" s="74">
        <f t="shared" ref="CB161:DM161" si="5699">CB494</f>
        <v>0</v>
      </c>
      <c r="CC161" s="675">
        <f t="shared" si="5699"/>
        <v>0</v>
      </c>
      <c r="CD161" s="74">
        <f t="shared" si="5699"/>
        <v>0</v>
      </c>
      <c r="CE161" s="675">
        <f t="shared" si="5699"/>
        <v>0</v>
      </c>
      <c r="CF161" s="74">
        <f t="shared" si="5699"/>
        <v>0</v>
      </c>
      <c r="CG161" s="675">
        <f t="shared" si="5699"/>
        <v>0</v>
      </c>
      <c r="CH161" s="74">
        <f t="shared" si="5699"/>
        <v>0</v>
      </c>
      <c r="CI161" s="675">
        <f t="shared" si="5699"/>
        <v>0</v>
      </c>
      <c r="CJ161" s="74">
        <f t="shared" si="5699"/>
        <v>0</v>
      </c>
      <c r="CK161" s="675">
        <f t="shared" si="5699"/>
        <v>0</v>
      </c>
      <c r="CL161" s="74">
        <f t="shared" si="5699"/>
        <v>0</v>
      </c>
      <c r="CM161" s="675">
        <f t="shared" si="5699"/>
        <v>0</v>
      </c>
      <c r="CN161" s="74">
        <f t="shared" si="5699"/>
        <v>0</v>
      </c>
      <c r="CO161" s="675">
        <f t="shared" si="5699"/>
        <v>0</v>
      </c>
      <c r="CP161" s="74">
        <f t="shared" si="5699"/>
        <v>0</v>
      </c>
      <c r="CQ161" s="675">
        <f t="shared" si="5699"/>
        <v>0</v>
      </c>
      <c r="CR161" s="74">
        <f t="shared" si="5699"/>
        <v>0</v>
      </c>
      <c r="CS161" s="675">
        <f t="shared" si="5699"/>
        <v>0</v>
      </c>
      <c r="CT161" s="74">
        <f t="shared" si="5699"/>
        <v>0</v>
      </c>
      <c r="CU161" s="675">
        <f t="shared" si="5699"/>
        <v>0</v>
      </c>
      <c r="CV161" s="74">
        <f t="shared" si="5699"/>
        <v>0</v>
      </c>
      <c r="CW161" s="675">
        <f t="shared" si="5699"/>
        <v>0</v>
      </c>
      <c r="CX161" s="74">
        <f t="shared" si="5699"/>
        <v>0</v>
      </c>
      <c r="CY161" s="675">
        <f t="shared" si="5699"/>
        <v>0</v>
      </c>
      <c r="CZ161" s="74">
        <f t="shared" si="5699"/>
        <v>0</v>
      </c>
      <c r="DA161" s="675">
        <f t="shared" si="5699"/>
        <v>0</v>
      </c>
      <c r="DB161" s="74">
        <f t="shared" si="5699"/>
        <v>0</v>
      </c>
      <c r="DC161" s="675">
        <f t="shared" si="5699"/>
        <v>0</v>
      </c>
      <c r="DD161" s="74">
        <f t="shared" si="5699"/>
        <v>0</v>
      </c>
      <c r="DE161" s="675">
        <f t="shared" si="5699"/>
        <v>0</v>
      </c>
      <c r="DF161" s="74">
        <f t="shared" si="5699"/>
        <v>0</v>
      </c>
      <c r="DG161" s="675">
        <f t="shared" si="5699"/>
        <v>0</v>
      </c>
      <c r="DH161" s="74">
        <f t="shared" si="5699"/>
        <v>0</v>
      </c>
      <c r="DI161" s="675">
        <f t="shared" si="5699"/>
        <v>0</v>
      </c>
      <c r="DJ161" s="74">
        <f t="shared" si="5699"/>
        <v>0</v>
      </c>
      <c r="DK161" s="675">
        <f t="shared" si="5699"/>
        <v>0</v>
      </c>
      <c r="DL161" s="74">
        <f t="shared" si="5699"/>
        <v>0</v>
      </c>
      <c r="DM161" s="675">
        <f t="shared" si="5699"/>
        <v>0</v>
      </c>
      <c r="DN161" s="74">
        <f t="shared" ref="DN161:FK161" si="5700">DN494</f>
        <v>0</v>
      </c>
      <c r="DO161" s="675">
        <f t="shared" si="5700"/>
        <v>0</v>
      </c>
      <c r="DP161" s="74">
        <f t="shared" si="5700"/>
        <v>0</v>
      </c>
      <c r="DQ161" s="675">
        <f t="shared" si="5700"/>
        <v>0</v>
      </c>
      <c r="DR161" s="74">
        <f t="shared" si="5700"/>
        <v>0</v>
      </c>
      <c r="DS161" s="675">
        <f t="shared" si="5700"/>
        <v>0</v>
      </c>
      <c r="DT161" s="74">
        <f t="shared" si="5700"/>
        <v>0</v>
      </c>
      <c r="DU161" s="675">
        <f t="shared" si="5700"/>
        <v>0</v>
      </c>
      <c r="DV161" s="74">
        <f t="shared" si="5700"/>
        <v>0</v>
      </c>
      <c r="DW161" s="675">
        <f t="shared" si="5700"/>
        <v>0</v>
      </c>
      <c r="DX161" s="74">
        <f t="shared" si="5700"/>
        <v>0</v>
      </c>
      <c r="DY161" s="675">
        <f t="shared" si="5700"/>
        <v>0</v>
      </c>
      <c r="DZ161" s="74">
        <f t="shared" si="5700"/>
        <v>0</v>
      </c>
      <c r="EA161" s="675">
        <f t="shared" si="5700"/>
        <v>0</v>
      </c>
      <c r="EB161" s="74">
        <f t="shared" si="5700"/>
        <v>0</v>
      </c>
      <c r="EC161" s="675">
        <f t="shared" si="5700"/>
        <v>0</v>
      </c>
      <c r="ED161" s="74">
        <f t="shared" si="5700"/>
        <v>0</v>
      </c>
      <c r="EE161" s="675">
        <f t="shared" si="5700"/>
        <v>0</v>
      </c>
      <c r="EF161" s="74">
        <f t="shared" si="5700"/>
        <v>0</v>
      </c>
      <c r="EG161" s="675">
        <f t="shared" si="5700"/>
        <v>0</v>
      </c>
      <c r="EH161" s="74">
        <f t="shared" si="5700"/>
        <v>0</v>
      </c>
      <c r="EI161" s="675">
        <f t="shared" si="5700"/>
        <v>0</v>
      </c>
      <c r="EJ161" s="74">
        <f t="shared" si="5700"/>
        <v>0</v>
      </c>
      <c r="EK161" s="675">
        <f t="shared" si="5700"/>
        <v>0</v>
      </c>
      <c r="EL161" s="74">
        <f t="shared" si="5700"/>
        <v>0</v>
      </c>
      <c r="EM161" s="675">
        <f t="shared" si="5700"/>
        <v>0</v>
      </c>
      <c r="EN161" s="74">
        <f t="shared" si="5700"/>
        <v>0</v>
      </c>
      <c r="EO161" s="675">
        <f t="shared" si="5700"/>
        <v>0</v>
      </c>
      <c r="EP161" s="74">
        <f t="shared" si="5700"/>
        <v>0</v>
      </c>
      <c r="EQ161" s="675">
        <f t="shared" si="5700"/>
        <v>0</v>
      </c>
      <c r="ER161" s="74">
        <f t="shared" si="5700"/>
        <v>0</v>
      </c>
      <c r="ES161" s="675">
        <f t="shared" si="5700"/>
        <v>0</v>
      </c>
      <c r="ET161" s="74">
        <f t="shared" si="5700"/>
        <v>0</v>
      </c>
      <c r="EU161" s="675">
        <f t="shared" si="5700"/>
        <v>0</v>
      </c>
      <c r="EV161" s="74">
        <f t="shared" si="5700"/>
        <v>0</v>
      </c>
      <c r="EW161" s="675">
        <f t="shared" si="5700"/>
        <v>0</v>
      </c>
      <c r="EX161" s="74">
        <f t="shared" si="5700"/>
        <v>0</v>
      </c>
      <c r="EY161" s="675">
        <f t="shared" si="5700"/>
        <v>0</v>
      </c>
      <c r="EZ161" s="74">
        <f t="shared" si="5700"/>
        <v>0</v>
      </c>
      <c r="FA161" s="675">
        <f t="shared" si="5700"/>
        <v>0</v>
      </c>
      <c r="FB161" s="74">
        <f t="shared" si="5700"/>
        <v>0</v>
      </c>
      <c r="FC161" s="675">
        <f t="shared" si="5700"/>
        <v>0</v>
      </c>
      <c r="FD161" s="74">
        <f t="shared" si="5700"/>
        <v>0</v>
      </c>
      <c r="FE161" s="675">
        <f t="shared" si="5700"/>
        <v>0</v>
      </c>
      <c r="FF161" s="74">
        <f t="shared" si="5700"/>
        <v>0</v>
      </c>
      <c r="FG161" s="675">
        <f t="shared" si="5700"/>
        <v>0</v>
      </c>
      <c r="FH161" s="74">
        <f t="shared" si="5700"/>
        <v>0</v>
      </c>
      <c r="FI161" s="675">
        <f t="shared" si="5700"/>
        <v>0</v>
      </c>
      <c r="FJ161" s="74">
        <f t="shared" si="5700"/>
        <v>0</v>
      </c>
      <c r="FK161" s="675">
        <f t="shared" si="5700"/>
        <v>0</v>
      </c>
      <c r="FL161" s="74">
        <f t="shared" ref="FL161:FM161" si="5701">FL494</f>
        <v>0</v>
      </c>
      <c r="FM161" s="675">
        <f t="shared" si="5701"/>
        <v>0</v>
      </c>
      <c r="FN161" s="74">
        <f t="shared" ref="FN161:FO161" si="5702">FN494</f>
        <v>0</v>
      </c>
      <c r="FO161" s="675">
        <f t="shared" si="5702"/>
        <v>0</v>
      </c>
      <c r="FP161" s="74">
        <f t="shared" ref="FP161:FQ161" si="5703">FP494</f>
        <v>0</v>
      </c>
      <c r="FQ161" s="675">
        <f t="shared" si="5703"/>
        <v>0</v>
      </c>
      <c r="FR161" s="74">
        <f t="shared" ref="FR161:FS161" si="5704">FR494</f>
        <v>0</v>
      </c>
      <c r="FS161" s="675">
        <f t="shared" si="5704"/>
        <v>0</v>
      </c>
      <c r="FT161" s="74">
        <f t="shared" ref="FT161:FU161" si="5705">FT494</f>
        <v>0</v>
      </c>
      <c r="FU161" s="675">
        <f t="shared" si="5705"/>
        <v>0</v>
      </c>
      <c r="FV161" s="74">
        <f t="shared" ref="FV161:GK161" si="5706">FV494</f>
        <v>0</v>
      </c>
      <c r="FW161" s="675">
        <f t="shared" si="5706"/>
        <v>0</v>
      </c>
      <c r="FX161" s="74">
        <f t="shared" si="5706"/>
        <v>0</v>
      </c>
      <c r="FY161" s="675">
        <f t="shared" si="5706"/>
        <v>0</v>
      </c>
      <c r="FZ161" s="74">
        <f t="shared" ref="FZ161:GI161" si="5707">FZ494</f>
        <v>0</v>
      </c>
      <c r="GA161" s="675">
        <f t="shared" si="5707"/>
        <v>0</v>
      </c>
      <c r="GB161" s="74">
        <f t="shared" si="5707"/>
        <v>0</v>
      </c>
      <c r="GC161" s="675">
        <f t="shared" si="5707"/>
        <v>0</v>
      </c>
      <c r="GD161" s="74">
        <f t="shared" si="5707"/>
        <v>0</v>
      </c>
      <c r="GE161" s="675">
        <f t="shared" si="5707"/>
        <v>0</v>
      </c>
      <c r="GF161" s="74">
        <f t="shared" si="5707"/>
        <v>0</v>
      </c>
      <c r="GG161" s="675">
        <f t="shared" si="5707"/>
        <v>0</v>
      </c>
      <c r="GH161" s="74">
        <f t="shared" si="5707"/>
        <v>0</v>
      </c>
      <c r="GI161" s="675">
        <f t="shared" si="5707"/>
        <v>0</v>
      </c>
      <c r="GJ161" s="74">
        <f t="shared" si="5706"/>
        <v>0</v>
      </c>
      <c r="GK161" s="675">
        <f t="shared" si="5706"/>
        <v>0</v>
      </c>
      <c r="GL161" s="74">
        <f t="shared" ref="GL161:GM161" si="5708">GL494</f>
        <v>0</v>
      </c>
      <c r="GM161" s="675">
        <f t="shared" si="5708"/>
        <v>0</v>
      </c>
      <c r="GN161" s="74">
        <f t="shared" ref="GN161:GO161" si="5709">GN494</f>
        <v>0</v>
      </c>
      <c r="GO161" s="675">
        <f t="shared" si="5709"/>
        <v>0</v>
      </c>
      <c r="GP161" s="74">
        <f t="shared" ref="GP161:GQ161" si="5710">GP494</f>
        <v>0</v>
      </c>
      <c r="GQ161" s="675">
        <f t="shared" si="5710"/>
        <v>0</v>
      </c>
      <c r="GR161" s="74">
        <f t="shared" ref="GR161:HK161" si="5711">GR494</f>
        <v>0</v>
      </c>
      <c r="GS161" s="74">
        <f t="shared" si="5711"/>
        <v>0</v>
      </c>
      <c r="GT161" s="74">
        <f t="shared" si="5711"/>
        <v>0</v>
      </c>
      <c r="GU161" s="74">
        <f t="shared" si="5711"/>
        <v>0</v>
      </c>
      <c r="GV161" s="74">
        <f t="shared" si="5711"/>
        <v>0</v>
      </c>
      <c r="GW161" s="74">
        <f t="shared" si="5711"/>
        <v>0</v>
      </c>
      <c r="GX161" s="74">
        <f t="shared" si="5711"/>
        <v>0</v>
      </c>
      <c r="GY161" s="74">
        <f t="shared" si="5711"/>
        <v>0</v>
      </c>
      <c r="GZ161" s="74">
        <f t="shared" si="5711"/>
        <v>0</v>
      </c>
      <c r="HA161" s="74">
        <f t="shared" si="5711"/>
        <v>0</v>
      </c>
      <c r="HB161" s="74">
        <f t="shared" si="5711"/>
        <v>0</v>
      </c>
      <c r="HC161" s="74">
        <f t="shared" si="5711"/>
        <v>0</v>
      </c>
      <c r="HD161" s="74">
        <f t="shared" si="5711"/>
        <v>0</v>
      </c>
      <c r="HE161" s="74">
        <f t="shared" si="5711"/>
        <v>0</v>
      </c>
      <c r="HF161" s="74">
        <f t="shared" si="5711"/>
        <v>0</v>
      </c>
      <c r="HG161" s="74">
        <f t="shared" si="5711"/>
        <v>0</v>
      </c>
      <c r="HH161" s="74">
        <f t="shared" si="5711"/>
        <v>0</v>
      </c>
      <c r="HI161" s="74">
        <f t="shared" si="5711"/>
        <v>0</v>
      </c>
      <c r="HJ161" s="74">
        <f t="shared" si="5711"/>
        <v>0</v>
      </c>
      <c r="HK161" s="74">
        <f t="shared" si="5711"/>
        <v>0</v>
      </c>
      <c r="HL161" s="74">
        <f t="shared" ref="HL161:JT161" si="5712">HL494</f>
        <v>0</v>
      </c>
      <c r="HM161" s="74">
        <f t="shared" si="5712"/>
        <v>0</v>
      </c>
      <c r="HN161" s="74">
        <f t="shared" si="5712"/>
        <v>0</v>
      </c>
      <c r="HO161" s="74">
        <f t="shared" si="5712"/>
        <v>0</v>
      </c>
      <c r="HP161" s="74">
        <f t="shared" si="5712"/>
        <v>0</v>
      </c>
      <c r="HQ161" s="74">
        <f t="shared" si="5712"/>
        <v>0</v>
      </c>
      <c r="HR161" s="74">
        <f t="shared" si="5712"/>
        <v>0</v>
      </c>
      <c r="HS161" s="74">
        <f t="shared" si="5712"/>
        <v>0</v>
      </c>
      <c r="HT161" s="74">
        <f t="shared" si="5712"/>
        <v>0</v>
      </c>
      <c r="HU161" s="74">
        <f t="shared" si="5712"/>
        <v>0</v>
      </c>
      <c r="HV161" s="74">
        <f t="shared" si="5712"/>
        <v>0</v>
      </c>
      <c r="HW161" s="74">
        <f t="shared" si="5712"/>
        <v>0</v>
      </c>
      <c r="HX161" s="74">
        <f t="shared" si="5712"/>
        <v>0</v>
      </c>
      <c r="HY161" s="74">
        <f t="shared" si="5712"/>
        <v>0</v>
      </c>
      <c r="HZ161" s="74">
        <f t="shared" si="5712"/>
        <v>0</v>
      </c>
      <c r="IA161" s="74">
        <f t="shared" si="5712"/>
        <v>0</v>
      </c>
      <c r="IB161" s="74">
        <f t="shared" si="5712"/>
        <v>0</v>
      </c>
      <c r="IC161" s="74">
        <f t="shared" si="5712"/>
        <v>0</v>
      </c>
      <c r="ID161" s="74">
        <f t="shared" si="5712"/>
        <v>0</v>
      </c>
      <c r="IE161" s="792">
        <f t="shared" si="5712"/>
        <v>0</v>
      </c>
      <c r="IF161" s="841">
        <f t="shared" si="5712"/>
        <v>0</v>
      </c>
      <c r="IG161" s="263">
        <f t="shared" si="5712"/>
        <v>0</v>
      </c>
      <c r="IH161" s="842">
        <f t="shared" si="5712"/>
        <v>0</v>
      </c>
      <c r="II161" s="155">
        <f t="shared" si="5712"/>
        <v>0</v>
      </c>
      <c r="IJ161" s="74">
        <f t="shared" si="5712"/>
        <v>0</v>
      </c>
      <c r="IK161" s="74">
        <f t="shared" si="5712"/>
        <v>0</v>
      </c>
      <c r="IL161" s="74">
        <f t="shared" si="5712"/>
        <v>0</v>
      </c>
      <c r="IM161" s="74">
        <f t="shared" si="5712"/>
        <v>0</v>
      </c>
      <c r="IN161" s="74">
        <f t="shared" si="5712"/>
        <v>0</v>
      </c>
      <c r="IO161" s="74">
        <f t="shared" si="5712"/>
        <v>0</v>
      </c>
      <c r="IP161" s="74">
        <f t="shared" si="5712"/>
        <v>0</v>
      </c>
      <c r="IQ161" s="74">
        <f t="shared" si="5712"/>
        <v>0</v>
      </c>
      <c r="IR161" s="74">
        <f t="shared" si="5712"/>
        <v>0</v>
      </c>
      <c r="IS161" s="74">
        <f t="shared" si="5712"/>
        <v>0</v>
      </c>
      <c r="IT161" s="74">
        <f t="shared" si="5712"/>
        <v>0</v>
      </c>
      <c r="IU161" s="74">
        <f t="shared" si="5712"/>
        <v>0</v>
      </c>
      <c r="IV161" s="74">
        <f t="shared" si="5712"/>
        <v>0</v>
      </c>
      <c r="IW161" s="74">
        <f t="shared" si="5712"/>
        <v>0</v>
      </c>
      <c r="IX161" s="74">
        <f t="shared" si="5712"/>
        <v>0</v>
      </c>
      <c r="IY161" s="74">
        <f t="shared" si="5712"/>
        <v>0</v>
      </c>
      <c r="IZ161" s="74">
        <f t="shared" si="5712"/>
        <v>0</v>
      </c>
      <c r="JA161" s="74">
        <f t="shared" si="5712"/>
        <v>0</v>
      </c>
      <c r="JB161" s="74">
        <f t="shared" si="5712"/>
        <v>0</v>
      </c>
      <c r="JC161" s="74">
        <f t="shared" si="5712"/>
        <v>0</v>
      </c>
      <c r="JD161" s="74">
        <f t="shared" si="5712"/>
        <v>0</v>
      </c>
      <c r="JE161" s="74">
        <f t="shared" si="5712"/>
        <v>0</v>
      </c>
      <c r="JF161" s="74">
        <f t="shared" si="5712"/>
        <v>0</v>
      </c>
      <c r="JG161" s="74">
        <f t="shared" si="5712"/>
        <v>0</v>
      </c>
      <c r="JH161" s="74">
        <f t="shared" si="5712"/>
        <v>0</v>
      </c>
      <c r="JI161" s="74">
        <f t="shared" si="5712"/>
        <v>0</v>
      </c>
      <c r="JJ161" s="74">
        <f t="shared" si="5712"/>
        <v>0</v>
      </c>
      <c r="JK161" s="74">
        <f t="shared" si="5712"/>
        <v>0</v>
      </c>
      <c r="JL161" s="74">
        <f t="shared" si="5712"/>
        <v>0</v>
      </c>
      <c r="JM161" s="74">
        <f t="shared" si="5712"/>
        <v>0</v>
      </c>
      <c r="JN161" s="74">
        <f t="shared" si="5712"/>
        <v>0</v>
      </c>
      <c r="JO161" s="74">
        <f t="shared" si="5712"/>
        <v>0</v>
      </c>
      <c r="JP161" s="74">
        <f t="shared" si="5712"/>
        <v>0</v>
      </c>
      <c r="JQ161" s="74">
        <f t="shared" si="5712"/>
        <v>0</v>
      </c>
      <c r="JR161" s="74">
        <f t="shared" si="5712"/>
        <v>0</v>
      </c>
      <c r="JS161" s="74">
        <f t="shared" si="5712"/>
        <v>0</v>
      </c>
      <c r="JT161" s="102">
        <f t="shared" si="5712"/>
        <v>0</v>
      </c>
      <c r="JU161" s="671"/>
      <c r="JV161" s="492"/>
      <c r="JW161" s="490"/>
      <c r="JX161" s="549">
        <f>JX494</f>
        <v>0</v>
      </c>
      <c r="JY161" s="549">
        <f>JY494</f>
        <v>0</v>
      </c>
      <c r="JZ161" s="581">
        <f t="shared" si="4944"/>
        <v>0</v>
      </c>
      <c r="KA161" s="581">
        <f t="shared" si="4945"/>
        <v>0</v>
      </c>
      <c r="KB161" s="549">
        <f>KB494</f>
        <v>0</v>
      </c>
      <c r="KC161" s="709">
        <f t="shared" si="4908"/>
        <v>0</v>
      </c>
      <c r="KD161" s="36"/>
      <c r="KE161" s="36"/>
      <c r="KF161" s="36"/>
      <c r="KG161" s="36"/>
      <c r="KH161" s="36"/>
      <c r="KI161" s="36"/>
      <c r="KJ161" s="36"/>
      <c r="KK161" s="36"/>
    </row>
    <row r="162" spans="1:297" s="8" customFormat="1">
      <c r="A162" s="75" t="s">
        <v>191</v>
      </c>
      <c r="B162" s="72" t="s">
        <v>192</v>
      </c>
      <c r="C162" s="74">
        <f t="shared" ref="C162:AS162" si="5713">SUM(C495)</f>
        <v>3500</v>
      </c>
      <c r="D162" s="74">
        <f t="shared" si="5713"/>
        <v>0</v>
      </c>
      <c r="E162" s="675">
        <f t="shared" si="5713"/>
        <v>0</v>
      </c>
      <c r="F162" s="74">
        <f t="shared" si="5713"/>
        <v>0</v>
      </c>
      <c r="G162" s="675">
        <f t="shared" si="5713"/>
        <v>0</v>
      </c>
      <c r="H162" s="74">
        <f t="shared" si="5713"/>
        <v>0</v>
      </c>
      <c r="I162" s="675">
        <f t="shared" si="5713"/>
        <v>0</v>
      </c>
      <c r="J162" s="74">
        <f t="shared" si="5713"/>
        <v>0</v>
      </c>
      <c r="K162" s="675">
        <f t="shared" si="5713"/>
        <v>0</v>
      </c>
      <c r="L162" s="74">
        <f t="shared" si="5713"/>
        <v>0</v>
      </c>
      <c r="M162" s="675">
        <f t="shared" si="5713"/>
        <v>0</v>
      </c>
      <c r="N162" s="74">
        <f t="shared" si="5713"/>
        <v>0</v>
      </c>
      <c r="O162" s="675">
        <f t="shared" si="5713"/>
        <v>0</v>
      </c>
      <c r="P162" s="74">
        <f t="shared" si="5713"/>
        <v>0</v>
      </c>
      <c r="Q162" s="675">
        <f t="shared" si="5713"/>
        <v>0</v>
      </c>
      <c r="R162" s="74">
        <f t="shared" si="5713"/>
        <v>0</v>
      </c>
      <c r="S162" s="675">
        <f t="shared" si="5713"/>
        <v>0</v>
      </c>
      <c r="T162" s="74">
        <f t="shared" si="5713"/>
        <v>0</v>
      </c>
      <c r="U162" s="675">
        <f t="shared" si="5713"/>
        <v>0</v>
      </c>
      <c r="V162" s="74">
        <f t="shared" si="5713"/>
        <v>0</v>
      </c>
      <c r="W162" s="675">
        <f t="shared" si="5713"/>
        <v>0</v>
      </c>
      <c r="X162" s="74">
        <f t="shared" si="5713"/>
        <v>0</v>
      </c>
      <c r="Y162" s="675">
        <f t="shared" si="5713"/>
        <v>0</v>
      </c>
      <c r="Z162" s="74">
        <f t="shared" si="5713"/>
        <v>0</v>
      </c>
      <c r="AA162" s="675">
        <f t="shared" si="5713"/>
        <v>0</v>
      </c>
      <c r="AB162" s="74">
        <f t="shared" si="5713"/>
        <v>0</v>
      </c>
      <c r="AC162" s="675">
        <f t="shared" si="5713"/>
        <v>0</v>
      </c>
      <c r="AD162" s="74">
        <f t="shared" si="5713"/>
        <v>0</v>
      </c>
      <c r="AE162" s="675">
        <f t="shared" si="5713"/>
        <v>-2000</v>
      </c>
      <c r="AF162" s="74">
        <f t="shared" si="5713"/>
        <v>0</v>
      </c>
      <c r="AG162" s="675">
        <f t="shared" si="5713"/>
        <v>0</v>
      </c>
      <c r="AH162" s="74">
        <f t="shared" si="5713"/>
        <v>0</v>
      </c>
      <c r="AI162" s="675">
        <f t="shared" si="5713"/>
        <v>0</v>
      </c>
      <c r="AJ162" s="74">
        <f t="shared" si="5713"/>
        <v>0</v>
      </c>
      <c r="AK162" s="675">
        <f t="shared" si="5713"/>
        <v>0</v>
      </c>
      <c r="AL162" s="74">
        <f t="shared" si="5713"/>
        <v>0</v>
      </c>
      <c r="AM162" s="675">
        <f t="shared" si="5713"/>
        <v>0</v>
      </c>
      <c r="AN162" s="74">
        <f t="shared" si="5713"/>
        <v>0</v>
      </c>
      <c r="AO162" s="675">
        <f t="shared" si="5713"/>
        <v>0</v>
      </c>
      <c r="AP162" s="74">
        <f t="shared" si="5713"/>
        <v>0</v>
      </c>
      <c r="AQ162" s="675">
        <f t="shared" si="5713"/>
        <v>0</v>
      </c>
      <c r="AR162" s="74">
        <f t="shared" si="5713"/>
        <v>0</v>
      </c>
      <c r="AS162" s="675">
        <f t="shared" si="5713"/>
        <v>0</v>
      </c>
      <c r="AT162" s="74">
        <f t="shared" ref="AT162:AU162" si="5714">SUM(AT495)</f>
        <v>0</v>
      </c>
      <c r="AU162" s="675">
        <f t="shared" si="5714"/>
        <v>0</v>
      </c>
      <c r="AV162" s="74">
        <f t="shared" ref="AV162:AW162" si="5715">SUM(AV495)</f>
        <v>0</v>
      </c>
      <c r="AW162" s="675">
        <f t="shared" si="5715"/>
        <v>0</v>
      </c>
      <c r="AX162" s="74">
        <f t="shared" ref="AX162:AY162" si="5716">SUM(AX495)</f>
        <v>0</v>
      </c>
      <c r="AY162" s="675">
        <f t="shared" si="5716"/>
        <v>0</v>
      </c>
      <c r="AZ162" s="74">
        <f t="shared" ref="AZ162:BA162" si="5717">SUM(AZ495)</f>
        <v>0</v>
      </c>
      <c r="BA162" s="675">
        <f t="shared" si="5717"/>
        <v>0</v>
      </c>
      <c r="BB162" s="74">
        <f t="shared" ref="BB162:BC162" si="5718">SUM(BB495)</f>
        <v>0</v>
      </c>
      <c r="BC162" s="675">
        <f t="shared" si="5718"/>
        <v>0</v>
      </c>
      <c r="BD162" s="74">
        <f t="shared" ref="BD162:BE162" si="5719">SUM(BD495)</f>
        <v>0</v>
      </c>
      <c r="BE162" s="675">
        <f t="shared" si="5719"/>
        <v>0</v>
      </c>
      <c r="BF162" s="74">
        <f t="shared" ref="BF162:BG162" si="5720">SUM(BF495)</f>
        <v>0</v>
      </c>
      <c r="BG162" s="675">
        <f t="shared" si="5720"/>
        <v>0</v>
      </c>
      <c r="BH162" s="74">
        <f t="shared" ref="BH162:BI162" si="5721">SUM(BH495)</f>
        <v>0</v>
      </c>
      <c r="BI162" s="675">
        <f t="shared" si="5721"/>
        <v>0</v>
      </c>
      <c r="BJ162" s="74">
        <f t="shared" ref="BJ162:BK162" si="5722">SUM(BJ495)</f>
        <v>0</v>
      </c>
      <c r="BK162" s="675">
        <f t="shared" si="5722"/>
        <v>0</v>
      </c>
      <c r="BL162" s="74">
        <f t="shared" ref="BL162:BM162" si="5723">SUM(BL495)</f>
        <v>0</v>
      </c>
      <c r="BM162" s="675">
        <f t="shared" si="5723"/>
        <v>0</v>
      </c>
      <c r="BN162" s="74">
        <f t="shared" ref="BN162:BO162" si="5724">SUM(BN495)</f>
        <v>0</v>
      </c>
      <c r="BO162" s="675">
        <f t="shared" si="5724"/>
        <v>0</v>
      </c>
      <c r="BP162" s="74">
        <f t="shared" ref="BP162:BQ162" si="5725">SUM(BP495)</f>
        <v>0</v>
      </c>
      <c r="BQ162" s="675">
        <f t="shared" si="5725"/>
        <v>0</v>
      </c>
      <c r="BR162" s="74">
        <f t="shared" ref="BR162:BS162" si="5726">SUM(BR495)</f>
        <v>0</v>
      </c>
      <c r="BS162" s="675">
        <f t="shared" si="5726"/>
        <v>0</v>
      </c>
      <c r="BT162" s="74">
        <f t="shared" ref="BT162:BU162" si="5727">SUM(BT495)</f>
        <v>0</v>
      </c>
      <c r="BU162" s="675">
        <f t="shared" si="5727"/>
        <v>0</v>
      </c>
      <c r="BV162" s="74">
        <f t="shared" ref="BV162:BW162" si="5728">SUM(BV495)</f>
        <v>0</v>
      </c>
      <c r="BW162" s="675">
        <f t="shared" si="5728"/>
        <v>0</v>
      </c>
      <c r="BX162" s="74">
        <f t="shared" ref="BX162:BY162" si="5729">SUM(BX495)</f>
        <v>0</v>
      </c>
      <c r="BY162" s="675">
        <f t="shared" si="5729"/>
        <v>0</v>
      </c>
      <c r="BZ162" s="74">
        <f t="shared" ref="BZ162:CA162" si="5730">SUM(BZ495)</f>
        <v>0</v>
      </c>
      <c r="CA162" s="675">
        <f t="shared" si="5730"/>
        <v>0</v>
      </c>
      <c r="CB162" s="74">
        <f t="shared" ref="CB162:DM162" si="5731">SUM(CB495)</f>
        <v>0</v>
      </c>
      <c r="CC162" s="675">
        <f t="shared" si="5731"/>
        <v>0</v>
      </c>
      <c r="CD162" s="74">
        <f t="shared" si="5731"/>
        <v>0</v>
      </c>
      <c r="CE162" s="675">
        <f t="shared" si="5731"/>
        <v>0</v>
      </c>
      <c r="CF162" s="74">
        <f t="shared" si="5731"/>
        <v>0</v>
      </c>
      <c r="CG162" s="675">
        <f t="shared" si="5731"/>
        <v>0</v>
      </c>
      <c r="CH162" s="74">
        <f t="shared" si="5731"/>
        <v>0</v>
      </c>
      <c r="CI162" s="675">
        <f t="shared" si="5731"/>
        <v>0</v>
      </c>
      <c r="CJ162" s="74">
        <f t="shared" si="5731"/>
        <v>0</v>
      </c>
      <c r="CK162" s="675">
        <f t="shared" si="5731"/>
        <v>-1500</v>
      </c>
      <c r="CL162" s="74">
        <f t="shared" si="5731"/>
        <v>0</v>
      </c>
      <c r="CM162" s="675">
        <f t="shared" si="5731"/>
        <v>0</v>
      </c>
      <c r="CN162" s="74">
        <f t="shared" si="5731"/>
        <v>0</v>
      </c>
      <c r="CO162" s="675">
        <f t="shared" si="5731"/>
        <v>0</v>
      </c>
      <c r="CP162" s="74">
        <f t="shared" si="5731"/>
        <v>0</v>
      </c>
      <c r="CQ162" s="675">
        <f t="shared" si="5731"/>
        <v>0</v>
      </c>
      <c r="CR162" s="74">
        <f t="shared" si="5731"/>
        <v>0</v>
      </c>
      <c r="CS162" s="675">
        <f t="shared" si="5731"/>
        <v>0</v>
      </c>
      <c r="CT162" s="74">
        <f t="shared" si="5731"/>
        <v>0</v>
      </c>
      <c r="CU162" s="675">
        <f t="shared" si="5731"/>
        <v>0</v>
      </c>
      <c r="CV162" s="74">
        <f t="shared" si="5731"/>
        <v>0</v>
      </c>
      <c r="CW162" s="675">
        <f t="shared" si="5731"/>
        <v>0</v>
      </c>
      <c r="CX162" s="74">
        <f t="shared" si="5731"/>
        <v>0</v>
      </c>
      <c r="CY162" s="675">
        <f t="shared" si="5731"/>
        <v>0</v>
      </c>
      <c r="CZ162" s="74">
        <f t="shared" si="5731"/>
        <v>0</v>
      </c>
      <c r="DA162" s="675">
        <f t="shared" si="5731"/>
        <v>0</v>
      </c>
      <c r="DB162" s="74">
        <f t="shared" si="5731"/>
        <v>0</v>
      </c>
      <c r="DC162" s="675">
        <f t="shared" si="5731"/>
        <v>0</v>
      </c>
      <c r="DD162" s="74">
        <f t="shared" si="5731"/>
        <v>0</v>
      </c>
      <c r="DE162" s="675">
        <f t="shared" si="5731"/>
        <v>0</v>
      </c>
      <c r="DF162" s="74">
        <f t="shared" si="5731"/>
        <v>0</v>
      </c>
      <c r="DG162" s="675">
        <f t="shared" si="5731"/>
        <v>0</v>
      </c>
      <c r="DH162" s="74">
        <f t="shared" si="5731"/>
        <v>0</v>
      </c>
      <c r="DI162" s="675">
        <f t="shared" si="5731"/>
        <v>0</v>
      </c>
      <c r="DJ162" s="74">
        <f t="shared" si="5731"/>
        <v>0</v>
      </c>
      <c r="DK162" s="675">
        <f t="shared" si="5731"/>
        <v>0</v>
      </c>
      <c r="DL162" s="74">
        <f t="shared" si="5731"/>
        <v>0</v>
      </c>
      <c r="DM162" s="675">
        <f t="shared" si="5731"/>
        <v>0</v>
      </c>
      <c r="DN162" s="74">
        <f t="shared" ref="DN162:FK162" si="5732">SUM(DN495)</f>
        <v>0</v>
      </c>
      <c r="DO162" s="675">
        <f t="shared" si="5732"/>
        <v>0</v>
      </c>
      <c r="DP162" s="74">
        <f t="shared" si="5732"/>
        <v>0</v>
      </c>
      <c r="DQ162" s="675">
        <f t="shared" si="5732"/>
        <v>0</v>
      </c>
      <c r="DR162" s="74">
        <f t="shared" si="5732"/>
        <v>0</v>
      </c>
      <c r="DS162" s="675">
        <f t="shared" si="5732"/>
        <v>0</v>
      </c>
      <c r="DT162" s="74">
        <f t="shared" si="5732"/>
        <v>0</v>
      </c>
      <c r="DU162" s="675">
        <f t="shared" si="5732"/>
        <v>0</v>
      </c>
      <c r="DV162" s="74">
        <f t="shared" si="5732"/>
        <v>0</v>
      </c>
      <c r="DW162" s="675">
        <f t="shared" si="5732"/>
        <v>0</v>
      </c>
      <c r="DX162" s="74">
        <f t="shared" si="5732"/>
        <v>0</v>
      </c>
      <c r="DY162" s="675">
        <f t="shared" si="5732"/>
        <v>0</v>
      </c>
      <c r="DZ162" s="74">
        <f t="shared" si="5732"/>
        <v>0</v>
      </c>
      <c r="EA162" s="675">
        <f t="shared" si="5732"/>
        <v>0</v>
      </c>
      <c r="EB162" s="74">
        <f t="shared" si="5732"/>
        <v>0</v>
      </c>
      <c r="EC162" s="675">
        <f t="shared" si="5732"/>
        <v>0</v>
      </c>
      <c r="ED162" s="74">
        <f t="shared" si="5732"/>
        <v>0</v>
      </c>
      <c r="EE162" s="675">
        <f t="shared" si="5732"/>
        <v>0</v>
      </c>
      <c r="EF162" s="74">
        <f t="shared" si="5732"/>
        <v>0</v>
      </c>
      <c r="EG162" s="675">
        <f t="shared" si="5732"/>
        <v>0</v>
      </c>
      <c r="EH162" s="74">
        <f t="shared" si="5732"/>
        <v>0</v>
      </c>
      <c r="EI162" s="675">
        <f t="shared" si="5732"/>
        <v>0</v>
      </c>
      <c r="EJ162" s="74">
        <f t="shared" si="5732"/>
        <v>0</v>
      </c>
      <c r="EK162" s="675">
        <f t="shared" si="5732"/>
        <v>0</v>
      </c>
      <c r="EL162" s="74">
        <f t="shared" si="5732"/>
        <v>0</v>
      </c>
      <c r="EM162" s="675">
        <f t="shared" si="5732"/>
        <v>0</v>
      </c>
      <c r="EN162" s="74">
        <f t="shared" si="5732"/>
        <v>0</v>
      </c>
      <c r="EO162" s="675">
        <f t="shared" si="5732"/>
        <v>0</v>
      </c>
      <c r="EP162" s="74">
        <f t="shared" si="5732"/>
        <v>0</v>
      </c>
      <c r="EQ162" s="675">
        <f t="shared" si="5732"/>
        <v>0</v>
      </c>
      <c r="ER162" s="74">
        <f t="shared" si="5732"/>
        <v>0</v>
      </c>
      <c r="ES162" s="675">
        <f t="shared" si="5732"/>
        <v>0</v>
      </c>
      <c r="ET162" s="74">
        <f t="shared" si="5732"/>
        <v>0</v>
      </c>
      <c r="EU162" s="675">
        <f t="shared" si="5732"/>
        <v>0</v>
      </c>
      <c r="EV162" s="74">
        <f t="shared" si="5732"/>
        <v>0</v>
      </c>
      <c r="EW162" s="675">
        <f t="shared" si="5732"/>
        <v>0</v>
      </c>
      <c r="EX162" s="74">
        <f t="shared" si="5732"/>
        <v>0</v>
      </c>
      <c r="EY162" s="675">
        <f t="shared" si="5732"/>
        <v>0</v>
      </c>
      <c r="EZ162" s="74">
        <f t="shared" si="5732"/>
        <v>0</v>
      </c>
      <c r="FA162" s="675">
        <f t="shared" si="5732"/>
        <v>0</v>
      </c>
      <c r="FB162" s="74">
        <f t="shared" si="5732"/>
        <v>0</v>
      </c>
      <c r="FC162" s="675">
        <f t="shared" si="5732"/>
        <v>0</v>
      </c>
      <c r="FD162" s="74">
        <f t="shared" si="5732"/>
        <v>0</v>
      </c>
      <c r="FE162" s="675">
        <f t="shared" si="5732"/>
        <v>0</v>
      </c>
      <c r="FF162" s="74">
        <f t="shared" si="5732"/>
        <v>0</v>
      </c>
      <c r="FG162" s="675">
        <f t="shared" si="5732"/>
        <v>0</v>
      </c>
      <c r="FH162" s="74">
        <f t="shared" si="5732"/>
        <v>0</v>
      </c>
      <c r="FI162" s="675">
        <f t="shared" si="5732"/>
        <v>0</v>
      </c>
      <c r="FJ162" s="74">
        <f t="shared" si="5732"/>
        <v>0</v>
      </c>
      <c r="FK162" s="675">
        <f t="shared" si="5732"/>
        <v>0</v>
      </c>
      <c r="FL162" s="74">
        <f t="shared" ref="FL162:FM162" si="5733">SUM(FL495)</f>
        <v>0</v>
      </c>
      <c r="FM162" s="675">
        <f t="shared" si="5733"/>
        <v>0</v>
      </c>
      <c r="FN162" s="74">
        <f t="shared" ref="FN162:FO162" si="5734">SUM(FN495)</f>
        <v>0</v>
      </c>
      <c r="FO162" s="675">
        <f t="shared" si="5734"/>
        <v>0</v>
      </c>
      <c r="FP162" s="74">
        <f t="shared" ref="FP162:FQ162" si="5735">SUM(FP495)</f>
        <v>0</v>
      </c>
      <c r="FQ162" s="675">
        <f t="shared" si="5735"/>
        <v>0</v>
      </c>
      <c r="FR162" s="74">
        <f t="shared" ref="FR162:FS162" si="5736">SUM(FR495)</f>
        <v>0</v>
      </c>
      <c r="FS162" s="675">
        <f t="shared" si="5736"/>
        <v>0</v>
      </c>
      <c r="FT162" s="74">
        <f t="shared" ref="FT162:FU162" si="5737">SUM(FT495)</f>
        <v>0</v>
      </c>
      <c r="FU162" s="675">
        <f t="shared" si="5737"/>
        <v>0</v>
      </c>
      <c r="FV162" s="74">
        <f t="shared" ref="FV162:GK162" si="5738">SUM(FV495)</f>
        <v>0</v>
      </c>
      <c r="FW162" s="675">
        <f t="shared" si="5738"/>
        <v>0</v>
      </c>
      <c r="FX162" s="74">
        <f t="shared" si="5738"/>
        <v>0</v>
      </c>
      <c r="FY162" s="675">
        <f t="shared" si="5738"/>
        <v>0</v>
      </c>
      <c r="FZ162" s="74">
        <f t="shared" ref="FZ162:GI162" si="5739">SUM(FZ495)</f>
        <v>0</v>
      </c>
      <c r="GA162" s="675">
        <f t="shared" si="5739"/>
        <v>0</v>
      </c>
      <c r="GB162" s="74">
        <f t="shared" si="5739"/>
        <v>0</v>
      </c>
      <c r="GC162" s="675">
        <f t="shared" si="5739"/>
        <v>0</v>
      </c>
      <c r="GD162" s="74">
        <f t="shared" si="5739"/>
        <v>0</v>
      </c>
      <c r="GE162" s="675">
        <f t="shared" si="5739"/>
        <v>0</v>
      </c>
      <c r="GF162" s="74">
        <f t="shared" si="5739"/>
        <v>0</v>
      </c>
      <c r="GG162" s="675">
        <f t="shared" si="5739"/>
        <v>0</v>
      </c>
      <c r="GH162" s="74">
        <f t="shared" si="5739"/>
        <v>0</v>
      </c>
      <c r="GI162" s="675">
        <f t="shared" si="5739"/>
        <v>0</v>
      </c>
      <c r="GJ162" s="74">
        <f t="shared" si="5738"/>
        <v>0</v>
      </c>
      <c r="GK162" s="675">
        <f t="shared" si="5738"/>
        <v>0</v>
      </c>
      <c r="GL162" s="74">
        <f t="shared" ref="GL162:GM162" si="5740">SUM(GL495)</f>
        <v>0</v>
      </c>
      <c r="GM162" s="675">
        <f t="shared" si="5740"/>
        <v>0</v>
      </c>
      <c r="GN162" s="74">
        <f t="shared" ref="GN162:GO162" si="5741">SUM(GN495)</f>
        <v>0</v>
      </c>
      <c r="GO162" s="675">
        <f t="shared" si="5741"/>
        <v>0</v>
      </c>
      <c r="GP162" s="74">
        <f t="shared" ref="GP162:GQ162" si="5742">SUM(GP495)</f>
        <v>0</v>
      </c>
      <c r="GQ162" s="675">
        <f t="shared" si="5742"/>
        <v>-3500</v>
      </c>
      <c r="GR162" s="74">
        <f t="shared" ref="GR162:HK162" si="5743">SUM(GR495)</f>
        <v>0</v>
      </c>
      <c r="GS162" s="74">
        <f t="shared" si="5743"/>
        <v>0</v>
      </c>
      <c r="GT162" s="74">
        <f t="shared" si="5743"/>
        <v>0</v>
      </c>
      <c r="GU162" s="74">
        <f t="shared" si="5743"/>
        <v>0</v>
      </c>
      <c r="GV162" s="74">
        <f t="shared" si="5743"/>
        <v>0</v>
      </c>
      <c r="GW162" s="74">
        <f t="shared" si="5743"/>
        <v>3500</v>
      </c>
      <c r="GX162" s="74">
        <f t="shared" si="5743"/>
        <v>0</v>
      </c>
      <c r="GY162" s="74">
        <f t="shared" si="5743"/>
        <v>0</v>
      </c>
      <c r="GZ162" s="74">
        <f t="shared" si="5743"/>
        <v>0</v>
      </c>
      <c r="HA162" s="74">
        <f t="shared" si="5743"/>
        <v>0</v>
      </c>
      <c r="HB162" s="74">
        <f t="shared" si="5743"/>
        <v>0</v>
      </c>
      <c r="HC162" s="74">
        <f t="shared" si="5743"/>
        <v>0</v>
      </c>
      <c r="HD162" s="74">
        <f t="shared" si="5743"/>
        <v>0</v>
      </c>
      <c r="HE162" s="74">
        <f t="shared" si="5743"/>
        <v>0</v>
      </c>
      <c r="HF162" s="74">
        <f t="shared" si="5743"/>
        <v>0</v>
      </c>
      <c r="HG162" s="74">
        <f t="shared" si="5743"/>
        <v>0</v>
      </c>
      <c r="HH162" s="74">
        <f t="shared" si="5743"/>
        <v>0</v>
      </c>
      <c r="HI162" s="74">
        <f t="shared" si="5743"/>
        <v>0</v>
      </c>
      <c r="HJ162" s="74">
        <f t="shared" si="5743"/>
        <v>0</v>
      </c>
      <c r="HK162" s="74">
        <f t="shared" si="5743"/>
        <v>0</v>
      </c>
      <c r="HL162" s="74">
        <f t="shared" ref="HL162:JT162" si="5744">SUM(HL495)</f>
        <v>0</v>
      </c>
      <c r="HM162" s="74">
        <f t="shared" si="5744"/>
        <v>0</v>
      </c>
      <c r="HN162" s="74">
        <f t="shared" si="5744"/>
        <v>0</v>
      </c>
      <c r="HO162" s="74">
        <f t="shared" si="5744"/>
        <v>0</v>
      </c>
      <c r="HP162" s="74">
        <f t="shared" si="5744"/>
        <v>0</v>
      </c>
      <c r="HQ162" s="74">
        <f t="shared" si="5744"/>
        <v>0</v>
      </c>
      <c r="HR162" s="74">
        <f t="shared" si="5744"/>
        <v>0</v>
      </c>
      <c r="HS162" s="74">
        <f t="shared" si="5744"/>
        <v>0</v>
      </c>
      <c r="HT162" s="74">
        <f t="shared" si="5744"/>
        <v>0</v>
      </c>
      <c r="HU162" s="74">
        <f t="shared" si="5744"/>
        <v>0</v>
      </c>
      <c r="HV162" s="74">
        <f t="shared" si="5744"/>
        <v>0</v>
      </c>
      <c r="HW162" s="74">
        <f t="shared" si="5744"/>
        <v>0</v>
      </c>
      <c r="HX162" s="74">
        <f t="shared" si="5744"/>
        <v>0</v>
      </c>
      <c r="HY162" s="74">
        <f t="shared" si="5744"/>
        <v>0</v>
      </c>
      <c r="HZ162" s="74">
        <f t="shared" si="5744"/>
        <v>0</v>
      </c>
      <c r="IA162" s="74">
        <f t="shared" si="5744"/>
        <v>0</v>
      </c>
      <c r="IB162" s="74">
        <f t="shared" si="5744"/>
        <v>0</v>
      </c>
      <c r="IC162" s="74">
        <f t="shared" si="5744"/>
        <v>0</v>
      </c>
      <c r="ID162" s="74">
        <f t="shared" si="5744"/>
        <v>0</v>
      </c>
      <c r="IE162" s="792">
        <f t="shared" si="5744"/>
        <v>0</v>
      </c>
      <c r="IF162" s="841">
        <f t="shared" si="5744"/>
        <v>0</v>
      </c>
      <c r="IG162" s="263">
        <f t="shared" si="5744"/>
        <v>0</v>
      </c>
      <c r="IH162" s="842">
        <f t="shared" si="5744"/>
        <v>0</v>
      </c>
      <c r="II162" s="155">
        <f t="shared" si="5744"/>
        <v>0</v>
      </c>
      <c r="IJ162" s="74">
        <f t="shared" si="5744"/>
        <v>0</v>
      </c>
      <c r="IK162" s="74">
        <f t="shared" si="5744"/>
        <v>0</v>
      </c>
      <c r="IL162" s="74">
        <f t="shared" si="5744"/>
        <v>0</v>
      </c>
      <c r="IM162" s="74">
        <f t="shared" si="5744"/>
        <v>0</v>
      </c>
      <c r="IN162" s="74">
        <f t="shared" si="5744"/>
        <v>0</v>
      </c>
      <c r="IO162" s="74">
        <f t="shared" si="5744"/>
        <v>0</v>
      </c>
      <c r="IP162" s="74">
        <f t="shared" si="5744"/>
        <v>0</v>
      </c>
      <c r="IQ162" s="74">
        <f t="shared" si="5744"/>
        <v>0</v>
      </c>
      <c r="IR162" s="74">
        <f t="shared" si="5744"/>
        <v>0</v>
      </c>
      <c r="IS162" s="74">
        <f t="shared" si="5744"/>
        <v>0</v>
      </c>
      <c r="IT162" s="74">
        <f t="shared" si="5744"/>
        <v>0</v>
      </c>
      <c r="IU162" s="74">
        <f t="shared" si="5744"/>
        <v>0</v>
      </c>
      <c r="IV162" s="74">
        <f t="shared" si="5744"/>
        <v>0</v>
      </c>
      <c r="IW162" s="74">
        <f t="shared" si="5744"/>
        <v>0</v>
      </c>
      <c r="IX162" s="74">
        <f t="shared" si="5744"/>
        <v>0</v>
      </c>
      <c r="IY162" s="74">
        <f t="shared" si="5744"/>
        <v>0</v>
      </c>
      <c r="IZ162" s="74">
        <f t="shared" si="5744"/>
        <v>0</v>
      </c>
      <c r="JA162" s="74">
        <f t="shared" si="5744"/>
        <v>0</v>
      </c>
      <c r="JB162" s="74">
        <f t="shared" si="5744"/>
        <v>0</v>
      </c>
      <c r="JC162" s="74">
        <f t="shared" si="5744"/>
        <v>0</v>
      </c>
      <c r="JD162" s="74">
        <f t="shared" si="5744"/>
        <v>0</v>
      </c>
      <c r="JE162" s="74">
        <f t="shared" si="5744"/>
        <v>0</v>
      </c>
      <c r="JF162" s="74">
        <f t="shared" si="5744"/>
        <v>0</v>
      </c>
      <c r="JG162" s="74">
        <f t="shared" si="5744"/>
        <v>0</v>
      </c>
      <c r="JH162" s="74">
        <f t="shared" si="5744"/>
        <v>0</v>
      </c>
      <c r="JI162" s="74">
        <f t="shared" si="5744"/>
        <v>0</v>
      </c>
      <c r="JJ162" s="74">
        <f t="shared" si="5744"/>
        <v>0</v>
      </c>
      <c r="JK162" s="74">
        <f t="shared" si="5744"/>
        <v>0</v>
      </c>
      <c r="JL162" s="74">
        <f t="shared" si="5744"/>
        <v>0</v>
      </c>
      <c r="JM162" s="74">
        <f t="shared" si="5744"/>
        <v>0</v>
      </c>
      <c r="JN162" s="74">
        <f t="shared" si="5744"/>
        <v>0</v>
      </c>
      <c r="JO162" s="74">
        <f t="shared" si="5744"/>
        <v>0</v>
      </c>
      <c r="JP162" s="74">
        <f t="shared" si="5744"/>
        <v>0</v>
      </c>
      <c r="JQ162" s="74">
        <f t="shared" si="5744"/>
        <v>0</v>
      </c>
      <c r="JR162" s="74">
        <f t="shared" si="5744"/>
        <v>0</v>
      </c>
      <c r="JS162" s="74">
        <f t="shared" si="5744"/>
        <v>0</v>
      </c>
      <c r="JT162" s="102">
        <f t="shared" si="5744"/>
        <v>0</v>
      </c>
      <c r="JU162" s="671"/>
      <c r="JV162" s="492"/>
      <c r="JW162" s="490"/>
      <c r="JX162" s="549">
        <f>SUM(JX495)</f>
        <v>0</v>
      </c>
      <c r="JY162" s="549">
        <f>SUM(JY495)</f>
        <v>0</v>
      </c>
      <c r="JZ162" s="581">
        <f t="shared" si="4944"/>
        <v>0</v>
      </c>
      <c r="KA162" s="581">
        <f t="shared" si="4945"/>
        <v>-3500</v>
      </c>
      <c r="KB162" s="549">
        <f>SUM(KB495)</f>
        <v>0</v>
      </c>
      <c r="KC162" s="709">
        <f t="shared" si="4908"/>
        <v>0</v>
      </c>
      <c r="KD162" s="36"/>
      <c r="KE162" s="36"/>
      <c r="KF162" s="36"/>
      <c r="KG162" s="36"/>
      <c r="KH162" s="36"/>
      <c r="KI162" s="36"/>
      <c r="KJ162" s="36"/>
      <c r="KK162" s="36"/>
    </row>
    <row r="163" spans="1:297" s="8" customFormat="1">
      <c r="A163" s="75" t="s">
        <v>193</v>
      </c>
      <c r="B163" s="72" t="s">
        <v>194</v>
      </c>
      <c r="C163" s="74">
        <f>SUM(C496,C324)</f>
        <v>52600</v>
      </c>
      <c r="D163" s="549">
        <f t="shared" ref="D163:E163" si="5745">SUM(D496,D324)</f>
        <v>0</v>
      </c>
      <c r="E163" s="675">
        <f t="shared" si="5745"/>
        <v>0</v>
      </c>
      <c r="F163" s="549">
        <f t="shared" ref="F163:G163" si="5746">SUM(F496,F324)</f>
        <v>0</v>
      </c>
      <c r="G163" s="675">
        <f t="shared" si="5746"/>
        <v>0</v>
      </c>
      <c r="H163" s="549">
        <f t="shared" ref="H163:I163" si="5747">SUM(H496,H324)</f>
        <v>0</v>
      </c>
      <c r="I163" s="675">
        <f t="shared" si="5747"/>
        <v>0</v>
      </c>
      <c r="J163" s="549">
        <f t="shared" ref="J163:K163" si="5748">SUM(J496,J324)</f>
        <v>0</v>
      </c>
      <c r="K163" s="675">
        <f t="shared" si="5748"/>
        <v>0</v>
      </c>
      <c r="L163" s="549">
        <f t="shared" ref="L163:M163" si="5749">SUM(L496,L324)</f>
        <v>0</v>
      </c>
      <c r="M163" s="675">
        <f t="shared" si="5749"/>
        <v>0</v>
      </c>
      <c r="N163" s="549">
        <f t="shared" ref="N163:O163" si="5750">SUM(N496,N324)</f>
        <v>0</v>
      </c>
      <c r="O163" s="675">
        <f t="shared" si="5750"/>
        <v>0</v>
      </c>
      <c r="P163" s="549">
        <f t="shared" ref="P163:Q163" si="5751">SUM(P496,P324)</f>
        <v>0</v>
      </c>
      <c r="Q163" s="675">
        <f t="shared" si="5751"/>
        <v>0</v>
      </c>
      <c r="R163" s="549">
        <f t="shared" ref="R163:S163" si="5752">SUM(R496,R324)</f>
        <v>0</v>
      </c>
      <c r="S163" s="675">
        <f t="shared" si="5752"/>
        <v>0</v>
      </c>
      <c r="T163" s="549">
        <f t="shared" ref="T163:U163" si="5753">SUM(T496,T324)</f>
        <v>0</v>
      </c>
      <c r="U163" s="675">
        <f t="shared" si="5753"/>
        <v>0</v>
      </c>
      <c r="V163" s="549">
        <f t="shared" ref="V163:W163" si="5754">SUM(V496,V324)</f>
        <v>0</v>
      </c>
      <c r="W163" s="675">
        <f t="shared" si="5754"/>
        <v>-9000</v>
      </c>
      <c r="X163" s="549">
        <f t="shared" ref="X163:Y163" si="5755">SUM(X496,X324)</f>
        <v>0</v>
      </c>
      <c r="Y163" s="675">
        <f t="shared" si="5755"/>
        <v>0</v>
      </c>
      <c r="Z163" s="549">
        <f t="shared" ref="Z163:AA163" si="5756">SUM(Z496,Z324)</f>
        <v>0</v>
      </c>
      <c r="AA163" s="675">
        <f t="shared" si="5756"/>
        <v>0</v>
      </c>
      <c r="AB163" s="549">
        <f t="shared" ref="AB163:AC163" si="5757">SUM(AB496,AB324)</f>
        <v>0</v>
      </c>
      <c r="AC163" s="675">
        <f t="shared" si="5757"/>
        <v>0</v>
      </c>
      <c r="AD163" s="549">
        <f t="shared" ref="AD163:AE163" si="5758">SUM(AD496,AD324)</f>
        <v>3000</v>
      </c>
      <c r="AE163" s="675">
        <f t="shared" si="5758"/>
        <v>0</v>
      </c>
      <c r="AF163" s="549">
        <f t="shared" ref="AF163:AG163" si="5759">SUM(AF496,AF324)</f>
        <v>0</v>
      </c>
      <c r="AG163" s="675">
        <f t="shared" si="5759"/>
        <v>0</v>
      </c>
      <c r="AH163" s="549">
        <f t="shared" ref="AH163:AI163" si="5760">SUM(AH496,AH324)</f>
        <v>0</v>
      </c>
      <c r="AI163" s="675">
        <f t="shared" si="5760"/>
        <v>0</v>
      </c>
      <c r="AJ163" s="549">
        <f t="shared" ref="AJ163:AK163" si="5761">SUM(AJ496,AJ324)</f>
        <v>0</v>
      </c>
      <c r="AK163" s="675">
        <f t="shared" si="5761"/>
        <v>0</v>
      </c>
      <c r="AL163" s="549">
        <f t="shared" ref="AL163:AM163" si="5762">SUM(AL496,AL324)</f>
        <v>0</v>
      </c>
      <c r="AM163" s="675">
        <f t="shared" si="5762"/>
        <v>0</v>
      </c>
      <c r="AN163" s="549">
        <f t="shared" ref="AN163:AO163" si="5763">SUM(AN496,AN324)</f>
        <v>0</v>
      </c>
      <c r="AO163" s="675">
        <f t="shared" si="5763"/>
        <v>0</v>
      </c>
      <c r="AP163" s="549">
        <f t="shared" ref="AP163:AQ163" si="5764">SUM(AP496,AP324)</f>
        <v>0</v>
      </c>
      <c r="AQ163" s="675">
        <f t="shared" si="5764"/>
        <v>0</v>
      </c>
      <c r="AR163" s="549">
        <f t="shared" ref="AR163:AS163" si="5765">SUM(AR496,AR324)</f>
        <v>0</v>
      </c>
      <c r="AS163" s="675">
        <f t="shared" si="5765"/>
        <v>0</v>
      </c>
      <c r="AT163" s="549">
        <f t="shared" ref="AT163:AU163" si="5766">SUM(AT496,AT324)</f>
        <v>0</v>
      </c>
      <c r="AU163" s="675">
        <f t="shared" si="5766"/>
        <v>0</v>
      </c>
      <c r="AV163" s="549">
        <f t="shared" ref="AV163:AW163" si="5767">SUM(AV496,AV324)</f>
        <v>0</v>
      </c>
      <c r="AW163" s="675">
        <f t="shared" si="5767"/>
        <v>0</v>
      </c>
      <c r="AX163" s="549">
        <f t="shared" ref="AX163:AY163" si="5768">SUM(AX496,AX324)</f>
        <v>0</v>
      </c>
      <c r="AY163" s="675">
        <f t="shared" si="5768"/>
        <v>0</v>
      </c>
      <c r="AZ163" s="549">
        <f t="shared" ref="AZ163:BQ163" si="5769">SUM(AZ496,AZ324)</f>
        <v>0</v>
      </c>
      <c r="BA163" s="675">
        <f t="shared" si="5769"/>
        <v>0</v>
      </c>
      <c r="BB163" s="549">
        <f t="shared" si="5769"/>
        <v>0</v>
      </c>
      <c r="BC163" s="675">
        <f t="shared" si="5769"/>
        <v>0</v>
      </c>
      <c r="BD163" s="549">
        <f t="shared" si="5769"/>
        <v>0</v>
      </c>
      <c r="BE163" s="675">
        <f t="shared" si="5769"/>
        <v>0</v>
      </c>
      <c r="BF163" s="549">
        <f t="shared" si="5769"/>
        <v>0</v>
      </c>
      <c r="BG163" s="675">
        <f t="shared" si="5769"/>
        <v>0</v>
      </c>
      <c r="BH163" s="549">
        <f t="shared" si="5769"/>
        <v>0</v>
      </c>
      <c r="BI163" s="675">
        <f t="shared" si="5769"/>
        <v>0</v>
      </c>
      <c r="BJ163" s="549">
        <f t="shared" si="5769"/>
        <v>0</v>
      </c>
      <c r="BK163" s="675">
        <f t="shared" si="5769"/>
        <v>0</v>
      </c>
      <c r="BL163" s="549">
        <f t="shared" si="5769"/>
        <v>0</v>
      </c>
      <c r="BM163" s="675">
        <f t="shared" si="5769"/>
        <v>0</v>
      </c>
      <c r="BN163" s="549">
        <f t="shared" si="5769"/>
        <v>0</v>
      </c>
      <c r="BO163" s="675">
        <f t="shared" si="5769"/>
        <v>0</v>
      </c>
      <c r="BP163" s="549">
        <f t="shared" si="5769"/>
        <v>0</v>
      </c>
      <c r="BQ163" s="675">
        <f t="shared" si="5769"/>
        <v>0</v>
      </c>
      <c r="BR163" s="549">
        <f t="shared" ref="BR163:BS163" si="5770">SUM(BR496,BR324)</f>
        <v>0</v>
      </c>
      <c r="BS163" s="675">
        <f t="shared" si="5770"/>
        <v>0</v>
      </c>
      <c r="BT163" s="549">
        <f t="shared" ref="BT163:BU163" si="5771">SUM(BT496,BT324)</f>
        <v>0</v>
      </c>
      <c r="BU163" s="675">
        <f t="shared" si="5771"/>
        <v>0</v>
      </c>
      <c r="BV163" s="549">
        <f t="shared" ref="BV163:BW163" si="5772">SUM(BV496,BV324)</f>
        <v>0</v>
      </c>
      <c r="BW163" s="675">
        <f t="shared" si="5772"/>
        <v>0</v>
      </c>
      <c r="BX163" s="549">
        <f t="shared" ref="BX163:BY163" si="5773">SUM(BX496,BX324)</f>
        <v>0</v>
      </c>
      <c r="BY163" s="675">
        <f t="shared" si="5773"/>
        <v>0</v>
      </c>
      <c r="BZ163" s="549">
        <f t="shared" ref="BZ163:CA163" si="5774">SUM(BZ496,BZ324)</f>
        <v>0</v>
      </c>
      <c r="CA163" s="675">
        <f t="shared" si="5774"/>
        <v>0</v>
      </c>
      <c r="CB163" s="549">
        <f t="shared" ref="CB163:EE163" si="5775">SUM(CB496,CB324)</f>
        <v>0</v>
      </c>
      <c r="CC163" s="675">
        <f t="shared" si="5775"/>
        <v>0</v>
      </c>
      <c r="CD163" s="549">
        <f t="shared" si="5775"/>
        <v>0</v>
      </c>
      <c r="CE163" s="675">
        <f t="shared" si="5775"/>
        <v>0</v>
      </c>
      <c r="CF163" s="549">
        <f t="shared" si="5775"/>
        <v>0</v>
      </c>
      <c r="CG163" s="675">
        <f t="shared" si="5775"/>
        <v>0</v>
      </c>
      <c r="CH163" s="549">
        <f t="shared" si="5775"/>
        <v>3000</v>
      </c>
      <c r="CI163" s="675">
        <f t="shared" si="5775"/>
        <v>0</v>
      </c>
      <c r="CJ163" s="549">
        <f t="shared" si="5775"/>
        <v>0</v>
      </c>
      <c r="CK163" s="675">
        <f t="shared" si="5775"/>
        <v>-2000</v>
      </c>
      <c r="CL163" s="549">
        <f t="shared" si="5775"/>
        <v>0</v>
      </c>
      <c r="CM163" s="675">
        <f t="shared" si="5775"/>
        <v>0</v>
      </c>
      <c r="CN163" s="549">
        <f t="shared" si="5775"/>
        <v>0</v>
      </c>
      <c r="CO163" s="675">
        <f t="shared" si="5775"/>
        <v>0</v>
      </c>
      <c r="CP163" s="549">
        <f t="shared" si="5775"/>
        <v>0</v>
      </c>
      <c r="CQ163" s="675">
        <f t="shared" si="5775"/>
        <v>0</v>
      </c>
      <c r="CR163" s="549">
        <f t="shared" si="5775"/>
        <v>0</v>
      </c>
      <c r="CS163" s="675">
        <f t="shared" si="5775"/>
        <v>0</v>
      </c>
      <c r="CT163" s="549">
        <f t="shared" si="5775"/>
        <v>0</v>
      </c>
      <c r="CU163" s="675">
        <f t="shared" si="5775"/>
        <v>0</v>
      </c>
      <c r="CV163" s="549">
        <f t="shared" si="5775"/>
        <v>0</v>
      </c>
      <c r="CW163" s="675">
        <f t="shared" si="5775"/>
        <v>0</v>
      </c>
      <c r="CX163" s="549">
        <f t="shared" si="5775"/>
        <v>0</v>
      </c>
      <c r="CY163" s="675">
        <f t="shared" si="5775"/>
        <v>0</v>
      </c>
      <c r="CZ163" s="549">
        <f t="shared" si="5775"/>
        <v>0</v>
      </c>
      <c r="DA163" s="675">
        <f t="shared" si="5775"/>
        <v>0</v>
      </c>
      <c r="DB163" s="549">
        <f t="shared" si="5775"/>
        <v>0</v>
      </c>
      <c r="DC163" s="675">
        <f t="shared" si="5775"/>
        <v>0</v>
      </c>
      <c r="DD163" s="549">
        <f t="shared" si="5775"/>
        <v>0</v>
      </c>
      <c r="DE163" s="675">
        <f t="shared" si="5775"/>
        <v>0</v>
      </c>
      <c r="DF163" s="549">
        <f t="shared" si="5775"/>
        <v>0</v>
      </c>
      <c r="DG163" s="675">
        <f t="shared" si="5775"/>
        <v>0</v>
      </c>
      <c r="DH163" s="549">
        <f t="shared" si="5775"/>
        <v>0</v>
      </c>
      <c r="DI163" s="675">
        <f t="shared" si="5775"/>
        <v>0</v>
      </c>
      <c r="DJ163" s="549">
        <f t="shared" si="5775"/>
        <v>0</v>
      </c>
      <c r="DK163" s="675">
        <f t="shared" si="5775"/>
        <v>0</v>
      </c>
      <c r="DL163" s="549">
        <f t="shared" si="5775"/>
        <v>0</v>
      </c>
      <c r="DM163" s="675">
        <f t="shared" si="5775"/>
        <v>0</v>
      </c>
      <c r="DN163" s="549">
        <f t="shared" si="5775"/>
        <v>0</v>
      </c>
      <c r="DO163" s="675">
        <f t="shared" si="5775"/>
        <v>0</v>
      </c>
      <c r="DP163" s="549">
        <f t="shared" si="5775"/>
        <v>0</v>
      </c>
      <c r="DQ163" s="675">
        <f t="shared" si="5775"/>
        <v>0</v>
      </c>
      <c r="DR163" s="549">
        <f t="shared" si="5775"/>
        <v>0</v>
      </c>
      <c r="DS163" s="675">
        <f t="shared" si="5775"/>
        <v>0</v>
      </c>
      <c r="DT163" s="549">
        <f t="shared" si="5775"/>
        <v>0</v>
      </c>
      <c r="DU163" s="675">
        <f t="shared" si="5775"/>
        <v>0</v>
      </c>
      <c r="DV163" s="549">
        <f t="shared" si="5775"/>
        <v>0</v>
      </c>
      <c r="DW163" s="675">
        <f t="shared" si="5775"/>
        <v>0</v>
      </c>
      <c r="DX163" s="549">
        <f t="shared" si="5775"/>
        <v>0</v>
      </c>
      <c r="DY163" s="675">
        <f t="shared" si="5775"/>
        <v>0</v>
      </c>
      <c r="DZ163" s="549">
        <f t="shared" si="5775"/>
        <v>0</v>
      </c>
      <c r="EA163" s="675">
        <f t="shared" si="5775"/>
        <v>0</v>
      </c>
      <c r="EB163" s="549">
        <f t="shared" si="5775"/>
        <v>0</v>
      </c>
      <c r="EC163" s="675">
        <f t="shared" si="5775"/>
        <v>0</v>
      </c>
      <c r="ED163" s="549">
        <f t="shared" si="5775"/>
        <v>0</v>
      </c>
      <c r="EE163" s="675">
        <f t="shared" si="5775"/>
        <v>0</v>
      </c>
      <c r="EF163" s="549">
        <f t="shared" ref="EF163:EG163" si="5776">SUM(EF496,EF324)</f>
        <v>0</v>
      </c>
      <c r="EG163" s="675">
        <f t="shared" si="5776"/>
        <v>0</v>
      </c>
      <c r="EH163" s="549">
        <f t="shared" ref="EH163:HW163" si="5777">SUM(EH496,EH324)</f>
        <v>0</v>
      </c>
      <c r="EI163" s="675">
        <f t="shared" si="5777"/>
        <v>0</v>
      </c>
      <c r="EJ163" s="549">
        <f t="shared" si="5777"/>
        <v>0</v>
      </c>
      <c r="EK163" s="675">
        <f t="shared" si="5777"/>
        <v>0</v>
      </c>
      <c r="EL163" s="549">
        <f t="shared" si="5777"/>
        <v>0</v>
      </c>
      <c r="EM163" s="675">
        <f t="shared" si="5777"/>
        <v>0</v>
      </c>
      <c r="EN163" s="549">
        <f t="shared" si="5777"/>
        <v>0</v>
      </c>
      <c r="EO163" s="675">
        <f t="shared" si="5777"/>
        <v>0</v>
      </c>
      <c r="EP163" s="549">
        <f t="shared" si="5777"/>
        <v>0</v>
      </c>
      <c r="EQ163" s="675">
        <f t="shared" si="5777"/>
        <v>0</v>
      </c>
      <c r="ER163" s="549">
        <f t="shared" si="5777"/>
        <v>0</v>
      </c>
      <c r="ES163" s="675">
        <f t="shared" si="5777"/>
        <v>0</v>
      </c>
      <c r="ET163" s="549">
        <f t="shared" si="5777"/>
        <v>5000</v>
      </c>
      <c r="EU163" s="675">
        <f t="shared" si="5777"/>
        <v>0</v>
      </c>
      <c r="EV163" s="549">
        <f t="shared" si="5777"/>
        <v>0</v>
      </c>
      <c r="EW163" s="675">
        <f t="shared" si="5777"/>
        <v>0</v>
      </c>
      <c r="EX163" s="549">
        <f t="shared" si="5777"/>
        <v>25600</v>
      </c>
      <c r="EY163" s="675">
        <f t="shared" si="5777"/>
        <v>0</v>
      </c>
      <c r="EZ163" s="549">
        <f t="shared" si="5777"/>
        <v>0</v>
      </c>
      <c r="FA163" s="675">
        <f t="shared" si="5777"/>
        <v>0</v>
      </c>
      <c r="FB163" s="549">
        <f t="shared" si="5777"/>
        <v>0</v>
      </c>
      <c r="FC163" s="675">
        <f t="shared" si="5777"/>
        <v>0</v>
      </c>
      <c r="FD163" s="549">
        <f t="shared" si="5777"/>
        <v>0</v>
      </c>
      <c r="FE163" s="675">
        <f t="shared" si="5777"/>
        <v>0</v>
      </c>
      <c r="FF163" s="549">
        <f t="shared" si="5777"/>
        <v>0</v>
      </c>
      <c r="FG163" s="675">
        <f t="shared" si="5777"/>
        <v>0</v>
      </c>
      <c r="FH163" s="549">
        <f t="shared" si="5777"/>
        <v>0</v>
      </c>
      <c r="FI163" s="675">
        <f t="shared" si="5777"/>
        <v>0</v>
      </c>
      <c r="FJ163" s="549">
        <f t="shared" si="5777"/>
        <v>0</v>
      </c>
      <c r="FK163" s="675">
        <f t="shared" si="5777"/>
        <v>0</v>
      </c>
      <c r="FL163" s="549">
        <f t="shared" ref="FL163:FM163" si="5778">SUM(FL496,FL324)</f>
        <v>5000</v>
      </c>
      <c r="FM163" s="675">
        <f t="shared" si="5778"/>
        <v>0</v>
      </c>
      <c r="FN163" s="549">
        <f t="shared" ref="FN163:FO163" si="5779">SUM(FN496,FN324)</f>
        <v>0</v>
      </c>
      <c r="FO163" s="675">
        <f t="shared" si="5779"/>
        <v>0</v>
      </c>
      <c r="FP163" s="549">
        <f t="shared" ref="FP163:FQ163" si="5780">SUM(FP496,FP324)</f>
        <v>0</v>
      </c>
      <c r="FQ163" s="675">
        <f t="shared" si="5780"/>
        <v>0</v>
      </c>
      <c r="FR163" s="549">
        <f t="shared" ref="FR163:FS163" si="5781">SUM(FR496,FR324)</f>
        <v>0</v>
      </c>
      <c r="FS163" s="675">
        <f t="shared" si="5781"/>
        <v>0</v>
      </c>
      <c r="FT163" s="549">
        <f t="shared" ref="FT163:FU163" si="5782">SUM(FT496,FT324)</f>
        <v>0</v>
      </c>
      <c r="FU163" s="675">
        <f t="shared" si="5782"/>
        <v>0</v>
      </c>
      <c r="FV163" s="549">
        <f t="shared" ref="FV163:GK163" si="5783">SUM(FV496,FV324)</f>
        <v>0</v>
      </c>
      <c r="FW163" s="675">
        <f t="shared" si="5783"/>
        <v>0</v>
      </c>
      <c r="FX163" s="549">
        <f t="shared" si="5783"/>
        <v>0</v>
      </c>
      <c r="FY163" s="675">
        <f t="shared" si="5783"/>
        <v>0</v>
      </c>
      <c r="FZ163" s="549">
        <f t="shared" ref="FZ163:GI163" si="5784">SUM(FZ496,FZ324)</f>
        <v>0</v>
      </c>
      <c r="GA163" s="675">
        <f t="shared" si="5784"/>
        <v>0</v>
      </c>
      <c r="GB163" s="549">
        <f t="shared" si="5784"/>
        <v>0</v>
      </c>
      <c r="GC163" s="675">
        <f t="shared" si="5784"/>
        <v>0</v>
      </c>
      <c r="GD163" s="549">
        <f t="shared" si="5784"/>
        <v>0</v>
      </c>
      <c r="GE163" s="675">
        <f t="shared" si="5784"/>
        <v>0</v>
      </c>
      <c r="GF163" s="549">
        <f t="shared" si="5784"/>
        <v>0</v>
      </c>
      <c r="GG163" s="675">
        <f t="shared" si="5784"/>
        <v>0</v>
      </c>
      <c r="GH163" s="549">
        <f t="shared" si="5784"/>
        <v>0</v>
      </c>
      <c r="GI163" s="675">
        <f t="shared" si="5784"/>
        <v>0</v>
      </c>
      <c r="GJ163" s="549">
        <f t="shared" si="5783"/>
        <v>0</v>
      </c>
      <c r="GK163" s="675">
        <f t="shared" si="5783"/>
        <v>0</v>
      </c>
      <c r="GL163" s="549">
        <f t="shared" ref="GL163:GM163" si="5785">SUM(GL496,GL324)</f>
        <v>0</v>
      </c>
      <c r="GM163" s="675">
        <f t="shared" si="5785"/>
        <v>0</v>
      </c>
      <c r="GN163" s="549">
        <f t="shared" ref="GN163:GO163" si="5786">SUM(GN496,GN324)</f>
        <v>0</v>
      </c>
      <c r="GO163" s="675">
        <f t="shared" si="5786"/>
        <v>0</v>
      </c>
      <c r="GP163" s="74">
        <f t="shared" si="5777"/>
        <v>41600</v>
      </c>
      <c r="GQ163" s="675">
        <f t="shared" si="5777"/>
        <v>-11000</v>
      </c>
      <c r="GR163" s="74">
        <f t="shared" si="5777"/>
        <v>83200</v>
      </c>
      <c r="GS163" s="74">
        <f t="shared" si="5777"/>
        <v>83200</v>
      </c>
      <c r="GT163" s="74">
        <f t="shared" si="5777"/>
        <v>57600</v>
      </c>
      <c r="GU163" s="74">
        <f t="shared" si="5777"/>
        <v>5848</v>
      </c>
      <c r="GV163" s="74">
        <f t="shared" si="5777"/>
        <v>5844</v>
      </c>
      <c r="GW163" s="74">
        <f t="shared" si="5777"/>
        <v>5844</v>
      </c>
      <c r="GX163" s="74">
        <f t="shared" si="5777"/>
        <v>5844</v>
      </c>
      <c r="GY163" s="74">
        <f t="shared" si="5777"/>
        <v>5844</v>
      </c>
      <c r="GZ163" s="74">
        <f t="shared" si="5777"/>
        <v>5844</v>
      </c>
      <c r="HA163" s="74">
        <f t="shared" si="5777"/>
        <v>5844</v>
      </c>
      <c r="HB163" s="74">
        <f t="shared" si="5777"/>
        <v>5844</v>
      </c>
      <c r="HC163" s="74">
        <f t="shared" si="5777"/>
        <v>5844</v>
      </c>
      <c r="HD163" s="74">
        <f t="shared" si="5777"/>
        <v>0</v>
      </c>
      <c r="HE163" s="74">
        <f t="shared" si="5777"/>
        <v>0</v>
      </c>
      <c r="HF163" s="74">
        <f t="shared" si="5777"/>
        <v>0</v>
      </c>
      <c r="HG163" s="74">
        <f t="shared" si="5777"/>
        <v>83200</v>
      </c>
      <c r="HH163" s="74">
        <f t="shared" si="5777"/>
        <v>5848</v>
      </c>
      <c r="HI163" s="74">
        <f t="shared" si="5777"/>
        <v>0</v>
      </c>
      <c r="HJ163" s="74">
        <f t="shared" si="5777"/>
        <v>5844</v>
      </c>
      <c r="HK163" s="74">
        <f t="shared" si="5777"/>
        <v>0</v>
      </c>
      <c r="HL163" s="74">
        <f t="shared" si="5777"/>
        <v>-156</v>
      </c>
      <c r="HM163" s="74">
        <f t="shared" si="5777"/>
        <v>0</v>
      </c>
      <c r="HN163" s="74">
        <f t="shared" si="5777"/>
        <v>5844</v>
      </c>
      <c r="HO163" s="74">
        <f t="shared" si="5777"/>
        <v>0</v>
      </c>
      <c r="HP163" s="74">
        <f t="shared" si="5777"/>
        <v>5844</v>
      </c>
      <c r="HQ163" s="74">
        <f t="shared" si="5777"/>
        <v>0</v>
      </c>
      <c r="HR163" s="74">
        <f t="shared" si="5777"/>
        <v>5844</v>
      </c>
      <c r="HS163" s="74">
        <f t="shared" si="5777"/>
        <v>0</v>
      </c>
      <c r="HT163" s="74">
        <f t="shared" si="5777"/>
        <v>3000</v>
      </c>
      <c r="HU163" s="74">
        <f t="shared" si="5777"/>
        <v>0</v>
      </c>
      <c r="HV163" s="74">
        <f t="shared" si="5777"/>
        <v>9688</v>
      </c>
      <c r="HW163" s="74">
        <f t="shared" si="5777"/>
        <v>0</v>
      </c>
      <c r="HX163" s="74">
        <f t="shared" ref="HX163:KC163" si="5787">SUM(HX496,HX324)</f>
        <v>10844</v>
      </c>
      <c r="HY163" s="74">
        <f t="shared" si="5787"/>
        <v>0</v>
      </c>
      <c r="HZ163" s="74">
        <f t="shared" si="5787"/>
        <v>5000</v>
      </c>
      <c r="IA163" s="74">
        <f t="shared" si="5787"/>
        <v>0</v>
      </c>
      <c r="IB163" s="74">
        <f t="shared" si="5787"/>
        <v>0</v>
      </c>
      <c r="IC163" s="74">
        <f t="shared" si="5787"/>
        <v>0</v>
      </c>
      <c r="ID163" s="74">
        <f t="shared" si="5787"/>
        <v>0</v>
      </c>
      <c r="IE163" s="792">
        <f t="shared" si="5787"/>
        <v>0</v>
      </c>
      <c r="IF163" s="841">
        <f t="shared" si="5787"/>
        <v>72791.91</v>
      </c>
      <c r="IG163" s="263">
        <f t="shared" si="5787"/>
        <v>72791.91</v>
      </c>
      <c r="IH163" s="842">
        <f t="shared" si="5787"/>
        <v>72791.91</v>
      </c>
      <c r="II163" s="155">
        <f t="shared" si="5787"/>
        <v>1127.28</v>
      </c>
      <c r="IJ163" s="74">
        <f t="shared" si="5787"/>
        <v>1127.28</v>
      </c>
      <c r="IK163" s="74">
        <f t="shared" si="5787"/>
        <v>1127.28</v>
      </c>
      <c r="IL163" s="74">
        <f t="shared" si="5787"/>
        <v>229.54999999999995</v>
      </c>
      <c r="IM163" s="74">
        <f t="shared" si="5787"/>
        <v>229.54999999999995</v>
      </c>
      <c r="IN163" s="74">
        <f t="shared" si="5787"/>
        <v>229.54999999999995</v>
      </c>
      <c r="IO163" s="74">
        <f t="shared" si="5787"/>
        <v>919.52</v>
      </c>
      <c r="IP163" s="74">
        <f t="shared" si="5787"/>
        <v>919.52</v>
      </c>
      <c r="IQ163" s="74">
        <f t="shared" si="5787"/>
        <v>919.52</v>
      </c>
      <c r="IR163" s="74">
        <f t="shared" si="5787"/>
        <v>2842.3300000000004</v>
      </c>
      <c r="IS163" s="74">
        <f t="shared" si="5787"/>
        <v>2842.3300000000004</v>
      </c>
      <c r="IT163" s="74">
        <f t="shared" si="5787"/>
        <v>2842.3300000000004</v>
      </c>
      <c r="IU163" s="74">
        <f t="shared" si="5787"/>
        <v>14790.329999999998</v>
      </c>
      <c r="IV163" s="74">
        <f t="shared" si="5787"/>
        <v>14790.329999999998</v>
      </c>
      <c r="IW163" s="74">
        <f t="shared" si="5787"/>
        <v>14790.329999999998</v>
      </c>
      <c r="IX163" s="74">
        <f t="shared" si="5787"/>
        <v>3668.34</v>
      </c>
      <c r="IY163" s="74">
        <f t="shared" si="5787"/>
        <v>3668.34</v>
      </c>
      <c r="IZ163" s="74">
        <f t="shared" si="5787"/>
        <v>3668.34</v>
      </c>
      <c r="JA163" s="74">
        <f t="shared" si="5787"/>
        <v>1865.8400000000001</v>
      </c>
      <c r="JB163" s="74">
        <f t="shared" si="5787"/>
        <v>1865.8400000000001</v>
      </c>
      <c r="JC163" s="74">
        <f t="shared" si="5787"/>
        <v>1865.8400000000001</v>
      </c>
      <c r="JD163" s="74">
        <f t="shared" si="5787"/>
        <v>9345.2599999999984</v>
      </c>
      <c r="JE163" s="74">
        <f t="shared" si="5787"/>
        <v>9345.2599999999984</v>
      </c>
      <c r="JF163" s="74">
        <f t="shared" si="5787"/>
        <v>9345.2599999999984</v>
      </c>
      <c r="JG163" s="74">
        <f t="shared" si="5787"/>
        <v>2574.9500000000044</v>
      </c>
      <c r="JH163" s="74">
        <f t="shared" si="5787"/>
        <v>2574.9500000000044</v>
      </c>
      <c r="JI163" s="74">
        <f t="shared" si="5787"/>
        <v>2574.9500000000044</v>
      </c>
      <c r="JJ163" s="74">
        <f t="shared" si="5787"/>
        <v>35428.509999999995</v>
      </c>
      <c r="JK163" s="74">
        <f t="shared" si="5787"/>
        <v>35428.509999999995</v>
      </c>
      <c r="JL163" s="74">
        <f t="shared" si="5787"/>
        <v>35428.509999999995</v>
      </c>
      <c r="JM163" s="74">
        <f t="shared" si="5787"/>
        <v>0</v>
      </c>
      <c r="JN163" s="74">
        <f t="shared" si="5787"/>
        <v>0</v>
      </c>
      <c r="JO163" s="74">
        <f t="shared" si="5787"/>
        <v>0</v>
      </c>
      <c r="JP163" s="74">
        <f t="shared" si="5787"/>
        <v>0</v>
      </c>
      <c r="JQ163" s="74">
        <f t="shared" si="5787"/>
        <v>0</v>
      </c>
      <c r="JR163" s="74">
        <f t="shared" si="5787"/>
        <v>0</v>
      </c>
      <c r="JS163" s="74">
        <f t="shared" si="5787"/>
        <v>10408.090000000004</v>
      </c>
      <c r="JT163" s="102">
        <f t="shared" si="5787"/>
        <v>10408.090000000004</v>
      </c>
      <c r="JU163" s="671"/>
      <c r="JV163" s="492"/>
      <c r="JW163" s="490"/>
      <c r="JX163" s="549">
        <f t="shared" si="5787"/>
        <v>57600</v>
      </c>
      <c r="JY163" s="549">
        <f t="shared" si="5787"/>
        <v>0</v>
      </c>
      <c r="JZ163" s="581">
        <f t="shared" si="5787"/>
        <v>41600</v>
      </c>
      <c r="KA163" s="581">
        <f t="shared" si="5787"/>
        <v>-11000</v>
      </c>
      <c r="KB163" s="549">
        <f t="shared" si="5787"/>
        <v>83200</v>
      </c>
      <c r="KC163" s="709">
        <f t="shared" si="5787"/>
        <v>0</v>
      </c>
      <c r="KD163" s="36"/>
      <c r="KE163" s="36"/>
      <c r="KF163" s="36"/>
      <c r="KG163" s="36"/>
      <c r="KH163" s="36"/>
      <c r="KI163" s="36"/>
      <c r="KJ163" s="36"/>
      <c r="KK163" s="36"/>
    </row>
    <row r="164" spans="1:297" s="8" customFormat="1">
      <c r="A164" s="75"/>
      <c r="B164" s="72"/>
      <c r="C164" s="74"/>
      <c r="D164" s="549"/>
      <c r="E164" s="675"/>
      <c r="F164" s="549"/>
      <c r="G164" s="675"/>
      <c r="H164" s="549"/>
      <c r="I164" s="675"/>
      <c r="J164" s="549"/>
      <c r="K164" s="675"/>
      <c r="L164" s="549"/>
      <c r="M164" s="675"/>
      <c r="N164" s="549"/>
      <c r="O164" s="675"/>
      <c r="P164" s="549"/>
      <c r="Q164" s="675"/>
      <c r="R164" s="549"/>
      <c r="S164" s="675"/>
      <c r="T164" s="549"/>
      <c r="U164" s="675"/>
      <c r="V164" s="549"/>
      <c r="W164" s="675"/>
      <c r="X164" s="549"/>
      <c r="Y164" s="675"/>
      <c r="Z164" s="549"/>
      <c r="AA164" s="675"/>
      <c r="AB164" s="549"/>
      <c r="AC164" s="675"/>
      <c r="AD164" s="549"/>
      <c r="AE164" s="675"/>
      <c r="AF164" s="549"/>
      <c r="AG164" s="675"/>
      <c r="AH164" s="549"/>
      <c r="AI164" s="675"/>
      <c r="AJ164" s="549"/>
      <c r="AK164" s="675"/>
      <c r="AL164" s="549"/>
      <c r="AM164" s="675"/>
      <c r="AN164" s="549"/>
      <c r="AO164" s="675"/>
      <c r="AP164" s="549"/>
      <c r="AQ164" s="675"/>
      <c r="AR164" s="549"/>
      <c r="AS164" s="675"/>
      <c r="AT164" s="549"/>
      <c r="AU164" s="675"/>
      <c r="AV164" s="549"/>
      <c r="AW164" s="675"/>
      <c r="AX164" s="549"/>
      <c r="AY164" s="675"/>
      <c r="AZ164" s="549"/>
      <c r="BA164" s="675"/>
      <c r="BB164" s="549"/>
      <c r="BC164" s="675"/>
      <c r="BD164" s="549"/>
      <c r="BE164" s="675"/>
      <c r="BF164" s="549"/>
      <c r="BG164" s="675"/>
      <c r="BH164" s="549"/>
      <c r="BI164" s="675"/>
      <c r="BJ164" s="549"/>
      <c r="BK164" s="675"/>
      <c r="BL164" s="549"/>
      <c r="BM164" s="675"/>
      <c r="BN164" s="549"/>
      <c r="BO164" s="675"/>
      <c r="BP164" s="549"/>
      <c r="BQ164" s="675"/>
      <c r="BR164" s="549"/>
      <c r="BS164" s="675"/>
      <c r="BT164" s="549"/>
      <c r="BU164" s="675"/>
      <c r="BV164" s="549"/>
      <c r="BW164" s="675"/>
      <c r="BX164" s="549"/>
      <c r="BY164" s="675"/>
      <c r="BZ164" s="549"/>
      <c r="CA164" s="675"/>
      <c r="CB164" s="549"/>
      <c r="CC164" s="675"/>
      <c r="CD164" s="549"/>
      <c r="CE164" s="675"/>
      <c r="CF164" s="549"/>
      <c r="CG164" s="675"/>
      <c r="CH164" s="549"/>
      <c r="CI164" s="675"/>
      <c r="CJ164" s="549"/>
      <c r="CK164" s="675"/>
      <c r="CL164" s="549"/>
      <c r="CM164" s="675"/>
      <c r="CN164" s="549"/>
      <c r="CO164" s="675"/>
      <c r="CP164" s="549"/>
      <c r="CQ164" s="675"/>
      <c r="CR164" s="549"/>
      <c r="CS164" s="675"/>
      <c r="CT164" s="549"/>
      <c r="CU164" s="675"/>
      <c r="CV164" s="549"/>
      <c r="CW164" s="675"/>
      <c r="CX164" s="549"/>
      <c r="CY164" s="675"/>
      <c r="CZ164" s="549"/>
      <c r="DA164" s="675"/>
      <c r="DB164" s="549"/>
      <c r="DC164" s="675"/>
      <c r="DD164" s="549"/>
      <c r="DE164" s="675"/>
      <c r="DF164" s="549"/>
      <c r="DG164" s="675"/>
      <c r="DH164" s="549"/>
      <c r="DI164" s="675"/>
      <c r="DJ164" s="549"/>
      <c r="DK164" s="675"/>
      <c r="DL164" s="549"/>
      <c r="DM164" s="675"/>
      <c r="DN164" s="549"/>
      <c r="DO164" s="675"/>
      <c r="DP164" s="549"/>
      <c r="DQ164" s="675"/>
      <c r="DR164" s="549"/>
      <c r="DS164" s="675"/>
      <c r="DT164" s="549"/>
      <c r="DU164" s="675"/>
      <c r="DV164" s="549"/>
      <c r="DW164" s="675"/>
      <c r="DX164" s="549"/>
      <c r="DY164" s="675"/>
      <c r="DZ164" s="549"/>
      <c r="EA164" s="675"/>
      <c r="EB164" s="549"/>
      <c r="EC164" s="675"/>
      <c r="ED164" s="549"/>
      <c r="EE164" s="675"/>
      <c r="EF164" s="549"/>
      <c r="EG164" s="675"/>
      <c r="EH164" s="549"/>
      <c r="EI164" s="675"/>
      <c r="EJ164" s="549"/>
      <c r="EK164" s="675"/>
      <c r="EL164" s="549"/>
      <c r="EM164" s="675"/>
      <c r="EN164" s="549"/>
      <c r="EO164" s="675"/>
      <c r="EP164" s="549"/>
      <c r="EQ164" s="675"/>
      <c r="ER164" s="549"/>
      <c r="ES164" s="675"/>
      <c r="ET164" s="549"/>
      <c r="EU164" s="675"/>
      <c r="EV164" s="549"/>
      <c r="EW164" s="675"/>
      <c r="EX164" s="549"/>
      <c r="EY164" s="675"/>
      <c r="EZ164" s="549"/>
      <c r="FA164" s="675"/>
      <c r="FB164" s="549"/>
      <c r="FC164" s="675"/>
      <c r="FD164" s="549"/>
      <c r="FE164" s="675"/>
      <c r="FF164" s="549"/>
      <c r="FG164" s="675"/>
      <c r="FH164" s="549"/>
      <c r="FI164" s="675"/>
      <c r="FJ164" s="549"/>
      <c r="FK164" s="675"/>
      <c r="FL164" s="549"/>
      <c r="FM164" s="675"/>
      <c r="FN164" s="549"/>
      <c r="FO164" s="675"/>
      <c r="FP164" s="549"/>
      <c r="FQ164" s="675"/>
      <c r="FR164" s="549"/>
      <c r="FS164" s="675"/>
      <c r="FT164" s="549"/>
      <c r="FU164" s="675"/>
      <c r="FV164" s="549"/>
      <c r="FW164" s="675"/>
      <c r="FX164" s="549"/>
      <c r="FY164" s="675"/>
      <c r="FZ164" s="549"/>
      <c r="GA164" s="675"/>
      <c r="GB164" s="549"/>
      <c r="GC164" s="675"/>
      <c r="GD164" s="549"/>
      <c r="GE164" s="675"/>
      <c r="GF164" s="549"/>
      <c r="GG164" s="675"/>
      <c r="GH164" s="549"/>
      <c r="GI164" s="675"/>
      <c r="GJ164" s="549"/>
      <c r="GK164" s="675"/>
      <c r="GL164" s="549"/>
      <c r="GM164" s="675"/>
      <c r="GN164" s="549"/>
      <c r="GO164" s="675"/>
      <c r="GP164" s="74"/>
      <c r="GQ164" s="675"/>
      <c r="GR164" s="74"/>
      <c r="GS164" s="74"/>
      <c r="GT164" s="549"/>
      <c r="GU164" s="74"/>
      <c r="GV164" s="74"/>
      <c r="GW164" s="549"/>
      <c r="GX164" s="549"/>
      <c r="GY164" s="74"/>
      <c r="GZ164" s="74"/>
      <c r="HA164" s="74"/>
      <c r="HB164" s="74"/>
      <c r="HC164" s="74"/>
      <c r="HD164" s="74"/>
      <c r="HE164" s="74"/>
      <c r="HF164" s="74"/>
      <c r="HG164" s="74"/>
      <c r="HH164" s="74"/>
      <c r="HI164" s="74"/>
      <c r="HJ164" s="74"/>
      <c r="HK164" s="74"/>
      <c r="HL164" s="74"/>
      <c r="HM164" s="74"/>
      <c r="HN164" s="74"/>
      <c r="HO164" s="74"/>
      <c r="HP164" s="74"/>
      <c r="HQ164" s="74"/>
      <c r="HR164" s="74"/>
      <c r="HS164" s="74"/>
      <c r="HT164" s="74"/>
      <c r="HU164" s="74"/>
      <c r="HV164" s="74"/>
      <c r="HW164" s="74"/>
      <c r="HX164" s="74"/>
      <c r="HY164" s="74"/>
      <c r="HZ164" s="74"/>
      <c r="IA164" s="74"/>
      <c r="IB164" s="74"/>
      <c r="IC164" s="74"/>
      <c r="ID164" s="74"/>
      <c r="IE164" s="792"/>
      <c r="IF164" s="841"/>
      <c r="IG164" s="263"/>
      <c r="IH164" s="842"/>
      <c r="II164" s="155"/>
      <c r="IJ164" s="74"/>
      <c r="IK164" s="74"/>
      <c r="IL164" s="74"/>
      <c r="IM164" s="74"/>
      <c r="IN164" s="74"/>
      <c r="IO164" s="74"/>
      <c r="IP164" s="74"/>
      <c r="IQ164" s="74"/>
      <c r="IR164" s="74"/>
      <c r="IS164" s="74"/>
      <c r="IT164" s="74"/>
      <c r="IU164" s="74"/>
      <c r="IV164" s="74"/>
      <c r="IW164" s="74"/>
      <c r="IX164" s="74"/>
      <c r="IY164" s="74"/>
      <c r="IZ164" s="74"/>
      <c r="JA164" s="74"/>
      <c r="JB164" s="74"/>
      <c r="JC164" s="74"/>
      <c r="JD164" s="74"/>
      <c r="JE164" s="74"/>
      <c r="JF164" s="74"/>
      <c r="JG164" s="74"/>
      <c r="JH164" s="74"/>
      <c r="JI164" s="74"/>
      <c r="JJ164" s="74"/>
      <c r="JK164" s="74"/>
      <c r="JL164" s="74"/>
      <c r="JM164" s="74"/>
      <c r="JN164" s="74"/>
      <c r="JO164" s="74"/>
      <c r="JP164" s="74"/>
      <c r="JQ164" s="74"/>
      <c r="JR164" s="74"/>
      <c r="JS164" s="74"/>
      <c r="JT164" s="382"/>
      <c r="JU164" s="671"/>
      <c r="JV164" s="492"/>
      <c r="JW164" s="490"/>
      <c r="JX164" s="549"/>
      <c r="JY164" s="549"/>
      <c r="JZ164" s="581">
        <f t="shared" si="4944"/>
        <v>0</v>
      </c>
      <c r="KA164" s="581">
        <f t="shared" si="4945"/>
        <v>0</v>
      </c>
      <c r="KB164" s="549"/>
      <c r="KC164" s="709">
        <f t="shared" si="4908"/>
        <v>0</v>
      </c>
      <c r="KD164" s="36"/>
      <c r="KE164" s="36"/>
      <c r="KF164" s="36"/>
      <c r="KG164" s="36"/>
      <c r="KH164" s="36"/>
      <c r="KI164" s="36"/>
      <c r="KJ164" s="36"/>
      <c r="KK164" s="36"/>
    </row>
    <row r="165" spans="1:297" s="8" customFormat="1">
      <c r="A165" s="75" t="s">
        <v>195</v>
      </c>
      <c r="B165" s="72" t="s">
        <v>196</v>
      </c>
      <c r="C165" s="74">
        <f t="shared" ref="C165:AS165" si="5788">SUM(C498)</f>
        <v>20000</v>
      </c>
      <c r="D165" s="549">
        <f t="shared" si="5788"/>
        <v>0</v>
      </c>
      <c r="E165" s="675">
        <f t="shared" si="5788"/>
        <v>0</v>
      </c>
      <c r="F165" s="549">
        <f t="shared" si="5788"/>
        <v>0</v>
      </c>
      <c r="G165" s="675">
        <f t="shared" si="5788"/>
        <v>0</v>
      </c>
      <c r="H165" s="549">
        <f t="shared" si="5788"/>
        <v>0</v>
      </c>
      <c r="I165" s="675">
        <f t="shared" si="5788"/>
        <v>0</v>
      </c>
      <c r="J165" s="549">
        <f t="shared" si="5788"/>
        <v>0</v>
      </c>
      <c r="K165" s="675">
        <f t="shared" si="5788"/>
        <v>0</v>
      </c>
      <c r="L165" s="549">
        <f t="shared" si="5788"/>
        <v>0</v>
      </c>
      <c r="M165" s="675">
        <f t="shared" si="5788"/>
        <v>0</v>
      </c>
      <c r="N165" s="549">
        <f t="shared" si="5788"/>
        <v>0</v>
      </c>
      <c r="O165" s="675">
        <f t="shared" si="5788"/>
        <v>0</v>
      </c>
      <c r="P165" s="549">
        <f t="shared" si="5788"/>
        <v>0</v>
      </c>
      <c r="Q165" s="675">
        <f t="shared" si="5788"/>
        <v>0</v>
      </c>
      <c r="R165" s="549">
        <f t="shared" si="5788"/>
        <v>0</v>
      </c>
      <c r="S165" s="675">
        <f t="shared" si="5788"/>
        <v>0</v>
      </c>
      <c r="T165" s="549">
        <f t="shared" si="5788"/>
        <v>0</v>
      </c>
      <c r="U165" s="675">
        <f t="shared" si="5788"/>
        <v>0</v>
      </c>
      <c r="V165" s="549">
        <f t="shared" si="5788"/>
        <v>0</v>
      </c>
      <c r="W165" s="675">
        <f t="shared" si="5788"/>
        <v>0</v>
      </c>
      <c r="X165" s="549">
        <f t="shared" si="5788"/>
        <v>0</v>
      </c>
      <c r="Y165" s="675">
        <f t="shared" si="5788"/>
        <v>0</v>
      </c>
      <c r="Z165" s="549">
        <f t="shared" si="5788"/>
        <v>0</v>
      </c>
      <c r="AA165" s="675">
        <f t="shared" si="5788"/>
        <v>0</v>
      </c>
      <c r="AB165" s="549">
        <f t="shared" si="5788"/>
        <v>0</v>
      </c>
      <c r="AC165" s="675">
        <f t="shared" si="5788"/>
        <v>0</v>
      </c>
      <c r="AD165" s="549">
        <f t="shared" si="5788"/>
        <v>0</v>
      </c>
      <c r="AE165" s="675">
        <f t="shared" si="5788"/>
        <v>0</v>
      </c>
      <c r="AF165" s="549">
        <f t="shared" si="5788"/>
        <v>0</v>
      </c>
      <c r="AG165" s="675">
        <f t="shared" si="5788"/>
        <v>0</v>
      </c>
      <c r="AH165" s="549">
        <f t="shared" si="5788"/>
        <v>0</v>
      </c>
      <c r="AI165" s="675">
        <f t="shared" si="5788"/>
        <v>0</v>
      </c>
      <c r="AJ165" s="549">
        <f t="shared" si="5788"/>
        <v>0</v>
      </c>
      <c r="AK165" s="675">
        <f t="shared" si="5788"/>
        <v>0</v>
      </c>
      <c r="AL165" s="549">
        <f t="shared" si="5788"/>
        <v>0</v>
      </c>
      <c r="AM165" s="675">
        <f t="shared" si="5788"/>
        <v>0</v>
      </c>
      <c r="AN165" s="549">
        <f t="shared" si="5788"/>
        <v>0</v>
      </c>
      <c r="AO165" s="675">
        <f t="shared" si="5788"/>
        <v>0</v>
      </c>
      <c r="AP165" s="549">
        <f t="shared" si="5788"/>
        <v>0</v>
      </c>
      <c r="AQ165" s="675">
        <f t="shared" si="5788"/>
        <v>0</v>
      </c>
      <c r="AR165" s="549">
        <f t="shared" si="5788"/>
        <v>0</v>
      </c>
      <c r="AS165" s="675">
        <f t="shared" si="5788"/>
        <v>0</v>
      </c>
      <c r="AT165" s="549">
        <f t="shared" ref="AT165:AU165" si="5789">SUM(AT498)</f>
        <v>0</v>
      </c>
      <c r="AU165" s="675">
        <f t="shared" si="5789"/>
        <v>0</v>
      </c>
      <c r="AV165" s="549">
        <f t="shared" ref="AV165:AW165" si="5790">SUM(AV498)</f>
        <v>0</v>
      </c>
      <c r="AW165" s="675">
        <f t="shared" si="5790"/>
        <v>0</v>
      </c>
      <c r="AX165" s="549">
        <f t="shared" ref="AX165:AY165" si="5791">SUM(AX498)</f>
        <v>0</v>
      </c>
      <c r="AY165" s="675">
        <f t="shared" si="5791"/>
        <v>0</v>
      </c>
      <c r="AZ165" s="549">
        <f t="shared" ref="AZ165:BA165" si="5792">SUM(AZ498)</f>
        <v>0</v>
      </c>
      <c r="BA165" s="675">
        <f t="shared" si="5792"/>
        <v>0</v>
      </c>
      <c r="BB165" s="549">
        <f t="shared" ref="BB165:BC165" si="5793">SUM(BB498)</f>
        <v>0</v>
      </c>
      <c r="BC165" s="675">
        <f t="shared" si="5793"/>
        <v>0</v>
      </c>
      <c r="BD165" s="549">
        <f t="shared" ref="BD165:BE165" si="5794">SUM(BD498)</f>
        <v>0</v>
      </c>
      <c r="BE165" s="675">
        <f t="shared" si="5794"/>
        <v>0</v>
      </c>
      <c r="BF165" s="549">
        <f t="shared" ref="BF165:BG165" si="5795">SUM(BF498)</f>
        <v>5000</v>
      </c>
      <c r="BG165" s="675">
        <f t="shared" si="5795"/>
        <v>0</v>
      </c>
      <c r="BH165" s="549">
        <f t="shared" ref="BH165:BI165" si="5796">SUM(BH498)</f>
        <v>0</v>
      </c>
      <c r="BI165" s="675">
        <f t="shared" si="5796"/>
        <v>0</v>
      </c>
      <c r="BJ165" s="549">
        <f t="shared" ref="BJ165:BK165" si="5797">SUM(BJ498)</f>
        <v>0</v>
      </c>
      <c r="BK165" s="675">
        <f t="shared" si="5797"/>
        <v>0</v>
      </c>
      <c r="BL165" s="549">
        <f t="shared" ref="BL165:BS165" si="5798">SUM(BL498)</f>
        <v>0</v>
      </c>
      <c r="BM165" s="675">
        <f t="shared" si="5798"/>
        <v>0</v>
      </c>
      <c r="BN165" s="549">
        <f t="shared" si="5798"/>
        <v>0</v>
      </c>
      <c r="BO165" s="675">
        <f t="shared" si="5798"/>
        <v>0</v>
      </c>
      <c r="BP165" s="549">
        <f t="shared" si="5798"/>
        <v>0</v>
      </c>
      <c r="BQ165" s="675">
        <f t="shared" si="5798"/>
        <v>0</v>
      </c>
      <c r="BR165" s="549">
        <f t="shared" si="5798"/>
        <v>0</v>
      </c>
      <c r="BS165" s="675">
        <f t="shared" si="5798"/>
        <v>0</v>
      </c>
      <c r="BT165" s="549">
        <f t="shared" ref="BT165:BU165" si="5799">SUM(BT498)</f>
        <v>0</v>
      </c>
      <c r="BU165" s="675">
        <f t="shared" si="5799"/>
        <v>0</v>
      </c>
      <c r="BV165" s="549">
        <f t="shared" ref="BV165:BW165" si="5800">SUM(BV498)</f>
        <v>0</v>
      </c>
      <c r="BW165" s="675">
        <f t="shared" si="5800"/>
        <v>0</v>
      </c>
      <c r="BX165" s="549">
        <f t="shared" ref="BX165:BY165" si="5801">SUM(BX498)</f>
        <v>0</v>
      </c>
      <c r="BY165" s="675">
        <f t="shared" si="5801"/>
        <v>0</v>
      </c>
      <c r="BZ165" s="549">
        <f t="shared" ref="BZ165:CA165" si="5802">SUM(BZ498)</f>
        <v>0</v>
      </c>
      <c r="CA165" s="675">
        <f t="shared" si="5802"/>
        <v>0</v>
      </c>
      <c r="CB165" s="549">
        <f t="shared" ref="CB165:CE165" si="5803">SUM(CB498)</f>
        <v>0</v>
      </c>
      <c r="CC165" s="675">
        <f t="shared" si="5803"/>
        <v>0</v>
      </c>
      <c r="CD165" s="549">
        <f t="shared" si="5803"/>
        <v>0</v>
      </c>
      <c r="CE165" s="675">
        <f t="shared" si="5803"/>
        <v>0</v>
      </c>
      <c r="CF165" s="549">
        <f t="shared" ref="CF165:CG165" si="5804">SUM(CF498)</f>
        <v>0</v>
      </c>
      <c r="CG165" s="675">
        <f t="shared" si="5804"/>
        <v>0</v>
      </c>
      <c r="CH165" s="549">
        <f t="shared" ref="CH165:CQ165" si="5805">SUM(CH498)</f>
        <v>0</v>
      </c>
      <c r="CI165" s="675">
        <f t="shared" si="5805"/>
        <v>0</v>
      </c>
      <c r="CJ165" s="549">
        <f t="shared" si="5805"/>
        <v>0</v>
      </c>
      <c r="CK165" s="675">
        <f t="shared" si="5805"/>
        <v>0</v>
      </c>
      <c r="CL165" s="549">
        <f t="shared" si="5805"/>
        <v>0</v>
      </c>
      <c r="CM165" s="675">
        <f t="shared" si="5805"/>
        <v>0</v>
      </c>
      <c r="CN165" s="549">
        <f t="shared" si="5805"/>
        <v>0</v>
      </c>
      <c r="CO165" s="675">
        <f t="shared" si="5805"/>
        <v>0</v>
      </c>
      <c r="CP165" s="549">
        <f t="shared" si="5805"/>
        <v>0</v>
      </c>
      <c r="CQ165" s="675">
        <f t="shared" si="5805"/>
        <v>0</v>
      </c>
      <c r="CR165" s="549">
        <f t="shared" ref="CR165:CY165" si="5806">SUM(CR498)</f>
        <v>0</v>
      </c>
      <c r="CS165" s="675">
        <f t="shared" si="5806"/>
        <v>0</v>
      </c>
      <c r="CT165" s="549">
        <f t="shared" si="5806"/>
        <v>0</v>
      </c>
      <c r="CU165" s="675">
        <f t="shared" si="5806"/>
        <v>0</v>
      </c>
      <c r="CV165" s="549">
        <f t="shared" si="5806"/>
        <v>0</v>
      </c>
      <c r="CW165" s="675">
        <f t="shared" si="5806"/>
        <v>0</v>
      </c>
      <c r="CX165" s="549">
        <f t="shared" si="5806"/>
        <v>0</v>
      </c>
      <c r="CY165" s="675">
        <f t="shared" si="5806"/>
        <v>0</v>
      </c>
      <c r="CZ165" s="549">
        <f t="shared" ref="CZ165:DI165" si="5807">SUM(CZ498)</f>
        <v>0</v>
      </c>
      <c r="DA165" s="675">
        <f t="shared" si="5807"/>
        <v>0</v>
      </c>
      <c r="DB165" s="549">
        <f t="shared" si="5807"/>
        <v>0</v>
      </c>
      <c r="DC165" s="675">
        <f t="shared" si="5807"/>
        <v>0</v>
      </c>
      <c r="DD165" s="549">
        <f t="shared" si="5807"/>
        <v>0</v>
      </c>
      <c r="DE165" s="675">
        <f t="shared" si="5807"/>
        <v>0</v>
      </c>
      <c r="DF165" s="549">
        <f t="shared" si="5807"/>
        <v>0</v>
      </c>
      <c r="DG165" s="675">
        <f t="shared" si="5807"/>
        <v>0</v>
      </c>
      <c r="DH165" s="549">
        <f t="shared" si="5807"/>
        <v>0</v>
      </c>
      <c r="DI165" s="675">
        <f t="shared" si="5807"/>
        <v>0</v>
      </c>
      <c r="DJ165" s="549">
        <f t="shared" ref="DJ165:DK165" si="5808">SUM(DJ498)</f>
        <v>0</v>
      </c>
      <c r="DK165" s="675">
        <f t="shared" si="5808"/>
        <v>0</v>
      </c>
      <c r="DL165" s="549">
        <f t="shared" ref="DL165:DM165" si="5809">SUM(DL498)</f>
        <v>0</v>
      </c>
      <c r="DM165" s="675">
        <f t="shared" si="5809"/>
        <v>0</v>
      </c>
      <c r="DN165" s="549">
        <f t="shared" ref="DN165:DW165" si="5810">SUM(DN498)</f>
        <v>0</v>
      </c>
      <c r="DO165" s="675">
        <f t="shared" si="5810"/>
        <v>0</v>
      </c>
      <c r="DP165" s="549">
        <f t="shared" si="5810"/>
        <v>0</v>
      </c>
      <c r="DQ165" s="675">
        <f t="shared" si="5810"/>
        <v>-3000</v>
      </c>
      <c r="DR165" s="549">
        <f t="shared" si="5810"/>
        <v>0</v>
      </c>
      <c r="DS165" s="675">
        <f t="shared" si="5810"/>
        <v>0</v>
      </c>
      <c r="DT165" s="549">
        <f t="shared" si="5810"/>
        <v>0</v>
      </c>
      <c r="DU165" s="675">
        <f t="shared" si="5810"/>
        <v>0</v>
      </c>
      <c r="DV165" s="549">
        <f t="shared" si="5810"/>
        <v>0</v>
      </c>
      <c r="DW165" s="675">
        <f t="shared" si="5810"/>
        <v>0</v>
      </c>
      <c r="DX165" s="549">
        <f t="shared" ref="DX165:EG165" si="5811">SUM(DX498)</f>
        <v>0</v>
      </c>
      <c r="DY165" s="675">
        <f t="shared" si="5811"/>
        <v>0</v>
      </c>
      <c r="DZ165" s="549">
        <f t="shared" si="5811"/>
        <v>0</v>
      </c>
      <c r="EA165" s="675">
        <f t="shared" si="5811"/>
        <v>0</v>
      </c>
      <c r="EB165" s="549">
        <f t="shared" si="5811"/>
        <v>0</v>
      </c>
      <c r="EC165" s="675">
        <f t="shared" si="5811"/>
        <v>0</v>
      </c>
      <c r="ED165" s="549">
        <f t="shared" si="5811"/>
        <v>0</v>
      </c>
      <c r="EE165" s="675">
        <f t="shared" si="5811"/>
        <v>0</v>
      </c>
      <c r="EF165" s="549">
        <f t="shared" si="5811"/>
        <v>0</v>
      </c>
      <c r="EG165" s="675">
        <f t="shared" si="5811"/>
        <v>0</v>
      </c>
      <c r="EH165" s="549">
        <f t="shared" ref="EH165:EM165" si="5812">SUM(EH498)</f>
        <v>0</v>
      </c>
      <c r="EI165" s="675">
        <f t="shared" si="5812"/>
        <v>0</v>
      </c>
      <c r="EJ165" s="549">
        <f t="shared" si="5812"/>
        <v>0</v>
      </c>
      <c r="EK165" s="675">
        <f t="shared" si="5812"/>
        <v>0</v>
      </c>
      <c r="EL165" s="549">
        <f t="shared" si="5812"/>
        <v>5000</v>
      </c>
      <c r="EM165" s="675">
        <f t="shared" si="5812"/>
        <v>0</v>
      </c>
      <c r="EN165" s="549">
        <f t="shared" ref="EN165:EO165" si="5813">SUM(EN498)</f>
        <v>0</v>
      </c>
      <c r="EO165" s="675">
        <f t="shared" si="5813"/>
        <v>0</v>
      </c>
      <c r="EP165" s="549">
        <f t="shared" ref="EP165:FA165" si="5814">SUM(EP498)</f>
        <v>0</v>
      </c>
      <c r="EQ165" s="675">
        <f t="shared" si="5814"/>
        <v>0</v>
      </c>
      <c r="ER165" s="549">
        <f t="shared" si="5814"/>
        <v>0</v>
      </c>
      <c r="ES165" s="675">
        <f t="shared" si="5814"/>
        <v>0</v>
      </c>
      <c r="ET165" s="549">
        <f t="shared" si="5814"/>
        <v>0</v>
      </c>
      <c r="EU165" s="675">
        <f t="shared" si="5814"/>
        <v>0</v>
      </c>
      <c r="EV165" s="549">
        <f t="shared" ref="EV165:EW165" si="5815">SUM(EV498)</f>
        <v>0</v>
      </c>
      <c r="EW165" s="675">
        <f t="shared" si="5815"/>
        <v>0</v>
      </c>
      <c r="EX165" s="549">
        <f t="shared" si="5814"/>
        <v>0</v>
      </c>
      <c r="EY165" s="675">
        <f t="shared" si="5814"/>
        <v>0</v>
      </c>
      <c r="EZ165" s="549">
        <f t="shared" si="5814"/>
        <v>0</v>
      </c>
      <c r="FA165" s="675">
        <f t="shared" si="5814"/>
        <v>0</v>
      </c>
      <c r="FB165" s="549">
        <f t="shared" ref="FB165:FC165" si="5816">SUM(FB498)</f>
        <v>0</v>
      </c>
      <c r="FC165" s="675">
        <f t="shared" si="5816"/>
        <v>0</v>
      </c>
      <c r="FD165" s="549">
        <f t="shared" ref="FD165:FE165" si="5817">SUM(FD498)</f>
        <v>3000</v>
      </c>
      <c r="FE165" s="675">
        <f t="shared" si="5817"/>
        <v>0</v>
      </c>
      <c r="FF165" s="549">
        <f t="shared" ref="FF165:FG165" si="5818">SUM(FF498)</f>
        <v>0</v>
      </c>
      <c r="FG165" s="675">
        <f t="shared" si="5818"/>
        <v>0</v>
      </c>
      <c r="FH165" s="549">
        <f t="shared" ref="FH165:FI165" si="5819">SUM(FH498)</f>
        <v>0</v>
      </c>
      <c r="FI165" s="675">
        <f t="shared" si="5819"/>
        <v>0</v>
      </c>
      <c r="FJ165" s="549">
        <f t="shared" ref="FJ165:FK165" si="5820">SUM(FJ498)</f>
        <v>0</v>
      </c>
      <c r="FK165" s="675">
        <f t="shared" si="5820"/>
        <v>0</v>
      </c>
      <c r="FL165" s="549">
        <f t="shared" ref="FL165:FM165" si="5821">SUM(FL498)</f>
        <v>5000</v>
      </c>
      <c r="FM165" s="675">
        <f t="shared" si="5821"/>
        <v>0</v>
      </c>
      <c r="FN165" s="549">
        <f t="shared" ref="FN165:FO165" si="5822">SUM(FN498)</f>
        <v>0</v>
      </c>
      <c r="FO165" s="675">
        <f t="shared" si="5822"/>
        <v>0</v>
      </c>
      <c r="FP165" s="549">
        <f t="shared" ref="FP165:FQ165" si="5823">SUM(FP498)</f>
        <v>0</v>
      </c>
      <c r="FQ165" s="675">
        <f t="shared" si="5823"/>
        <v>0</v>
      </c>
      <c r="FR165" s="549">
        <f t="shared" ref="FR165:FS165" si="5824">SUM(FR498)</f>
        <v>5000</v>
      </c>
      <c r="FS165" s="675">
        <f t="shared" si="5824"/>
        <v>0</v>
      </c>
      <c r="FT165" s="549">
        <f t="shared" ref="FT165:FU165" si="5825">SUM(FT498)</f>
        <v>0</v>
      </c>
      <c r="FU165" s="675">
        <f t="shared" si="5825"/>
        <v>0</v>
      </c>
      <c r="FV165" s="549">
        <f t="shared" ref="FV165:GK165" si="5826">SUM(FV498)</f>
        <v>0</v>
      </c>
      <c r="FW165" s="675">
        <f t="shared" si="5826"/>
        <v>0</v>
      </c>
      <c r="FX165" s="549">
        <f t="shared" si="5826"/>
        <v>0</v>
      </c>
      <c r="FY165" s="675">
        <f t="shared" si="5826"/>
        <v>0</v>
      </c>
      <c r="FZ165" s="549">
        <f t="shared" ref="FZ165:GI165" si="5827">SUM(FZ498)</f>
        <v>0</v>
      </c>
      <c r="GA165" s="675">
        <f t="shared" si="5827"/>
        <v>0</v>
      </c>
      <c r="GB165" s="549">
        <f t="shared" si="5827"/>
        <v>0</v>
      </c>
      <c r="GC165" s="675">
        <f t="shared" si="5827"/>
        <v>0</v>
      </c>
      <c r="GD165" s="549">
        <f t="shared" si="5827"/>
        <v>0</v>
      </c>
      <c r="GE165" s="675">
        <f t="shared" si="5827"/>
        <v>0</v>
      </c>
      <c r="GF165" s="549">
        <f t="shared" si="5827"/>
        <v>0</v>
      </c>
      <c r="GG165" s="675">
        <f t="shared" si="5827"/>
        <v>0</v>
      </c>
      <c r="GH165" s="549">
        <f t="shared" si="5827"/>
        <v>0</v>
      </c>
      <c r="GI165" s="675">
        <f t="shared" si="5827"/>
        <v>0</v>
      </c>
      <c r="GJ165" s="549">
        <f t="shared" si="5826"/>
        <v>0</v>
      </c>
      <c r="GK165" s="675">
        <f t="shared" si="5826"/>
        <v>0</v>
      </c>
      <c r="GL165" s="549">
        <f t="shared" ref="GL165:GQ165" si="5828">SUM(GL498)</f>
        <v>0</v>
      </c>
      <c r="GM165" s="675">
        <f t="shared" si="5828"/>
        <v>0</v>
      </c>
      <c r="GN165" s="549">
        <f t="shared" ref="GN165:GO165" si="5829">SUM(GN498)</f>
        <v>0</v>
      </c>
      <c r="GO165" s="675">
        <f t="shared" si="5829"/>
        <v>0</v>
      </c>
      <c r="GP165" s="74">
        <f t="shared" si="5828"/>
        <v>23000</v>
      </c>
      <c r="GQ165" s="675">
        <f t="shared" si="5828"/>
        <v>-3000</v>
      </c>
      <c r="GR165" s="74">
        <f t="shared" ref="GR165:HK165" si="5830">SUM(GR498)</f>
        <v>40000</v>
      </c>
      <c r="GS165" s="74">
        <f t="shared" si="5830"/>
        <v>40000</v>
      </c>
      <c r="GT165" s="74">
        <f t="shared" si="5830"/>
        <v>40000</v>
      </c>
      <c r="GU165" s="74">
        <f t="shared" si="5830"/>
        <v>2858</v>
      </c>
      <c r="GV165" s="74">
        <f t="shared" si="5830"/>
        <v>2857</v>
      </c>
      <c r="GW165" s="74">
        <f t="shared" si="5830"/>
        <v>2857</v>
      </c>
      <c r="GX165" s="74">
        <f t="shared" si="5830"/>
        <v>2857</v>
      </c>
      <c r="GY165" s="74">
        <f t="shared" si="5830"/>
        <v>2857</v>
      </c>
      <c r="GZ165" s="74">
        <f t="shared" si="5830"/>
        <v>2857</v>
      </c>
      <c r="HA165" s="74">
        <f t="shared" si="5830"/>
        <v>2857</v>
      </c>
      <c r="HB165" s="74">
        <f t="shared" si="5830"/>
        <v>0</v>
      </c>
      <c r="HC165" s="74">
        <f t="shared" si="5830"/>
        <v>0</v>
      </c>
      <c r="HD165" s="74">
        <f t="shared" si="5830"/>
        <v>0</v>
      </c>
      <c r="HE165" s="74">
        <f t="shared" si="5830"/>
        <v>0</v>
      </c>
      <c r="HF165" s="74">
        <f t="shared" si="5830"/>
        <v>0</v>
      </c>
      <c r="HG165" s="74">
        <f t="shared" si="5830"/>
        <v>40000</v>
      </c>
      <c r="HH165" s="74">
        <f t="shared" si="5830"/>
        <v>2858</v>
      </c>
      <c r="HI165" s="74">
        <f t="shared" si="5830"/>
        <v>0</v>
      </c>
      <c r="HJ165" s="74">
        <f t="shared" si="5830"/>
        <v>2857</v>
      </c>
      <c r="HK165" s="74">
        <f t="shared" si="5830"/>
        <v>0</v>
      </c>
      <c r="HL165" s="74">
        <f t="shared" ref="HL165:JT165" si="5831">SUM(HL498)</f>
        <v>2857</v>
      </c>
      <c r="HM165" s="74">
        <f t="shared" si="5831"/>
        <v>0</v>
      </c>
      <c r="HN165" s="74">
        <f t="shared" si="5831"/>
        <v>2857</v>
      </c>
      <c r="HO165" s="74">
        <f t="shared" si="5831"/>
        <v>0</v>
      </c>
      <c r="HP165" s="74">
        <f t="shared" si="5831"/>
        <v>7857</v>
      </c>
      <c r="HQ165" s="74">
        <f t="shared" si="5831"/>
        <v>0</v>
      </c>
      <c r="HR165" s="74">
        <f t="shared" si="5831"/>
        <v>0</v>
      </c>
      <c r="HS165" s="74">
        <f t="shared" si="5831"/>
        <v>0</v>
      </c>
      <c r="HT165" s="74">
        <f t="shared" si="5831"/>
        <v>0</v>
      </c>
      <c r="HU165" s="74">
        <f t="shared" si="5831"/>
        <v>0</v>
      </c>
      <c r="HV165" s="74">
        <f t="shared" si="5831"/>
        <v>5070</v>
      </c>
      <c r="HW165" s="74">
        <f t="shared" si="5831"/>
        <v>0</v>
      </c>
      <c r="HX165" s="74">
        <f t="shared" si="5831"/>
        <v>1000</v>
      </c>
      <c r="HY165" s="74">
        <f t="shared" si="5831"/>
        <v>0</v>
      </c>
      <c r="HZ165" s="74">
        <f t="shared" si="5831"/>
        <v>14644</v>
      </c>
      <c r="IA165" s="74">
        <f t="shared" si="5831"/>
        <v>0</v>
      </c>
      <c r="IB165" s="74">
        <f t="shared" si="5831"/>
        <v>0</v>
      </c>
      <c r="IC165" s="74">
        <f t="shared" si="5831"/>
        <v>0</v>
      </c>
      <c r="ID165" s="74">
        <f t="shared" si="5831"/>
        <v>0</v>
      </c>
      <c r="IE165" s="792">
        <f t="shared" si="5831"/>
        <v>0</v>
      </c>
      <c r="IF165" s="841">
        <f t="shared" si="5831"/>
        <v>26705.31</v>
      </c>
      <c r="IG165" s="263">
        <f t="shared" si="5831"/>
        <v>26705.31</v>
      </c>
      <c r="IH165" s="842">
        <f t="shared" si="5831"/>
        <v>26705.31</v>
      </c>
      <c r="II165" s="155">
        <f t="shared" si="5831"/>
        <v>466.41</v>
      </c>
      <c r="IJ165" s="74">
        <f t="shared" si="5831"/>
        <v>466.41</v>
      </c>
      <c r="IK165" s="74">
        <f t="shared" si="5831"/>
        <v>466.41</v>
      </c>
      <c r="IL165" s="74">
        <f t="shared" si="5831"/>
        <v>47.199999999999989</v>
      </c>
      <c r="IM165" s="74">
        <f t="shared" si="5831"/>
        <v>47.199999999999989</v>
      </c>
      <c r="IN165" s="74">
        <f t="shared" si="5831"/>
        <v>47.199999999999989</v>
      </c>
      <c r="IO165" s="74">
        <f t="shared" si="5831"/>
        <v>2967.22</v>
      </c>
      <c r="IP165" s="74">
        <f t="shared" si="5831"/>
        <v>2967.22</v>
      </c>
      <c r="IQ165" s="74">
        <f t="shared" si="5831"/>
        <v>2967.22</v>
      </c>
      <c r="IR165" s="74">
        <f t="shared" si="5831"/>
        <v>1360.1999999999998</v>
      </c>
      <c r="IS165" s="74">
        <f t="shared" si="5831"/>
        <v>1360.1999999999998</v>
      </c>
      <c r="IT165" s="74">
        <f t="shared" si="5831"/>
        <v>1360.1999999999998</v>
      </c>
      <c r="IU165" s="74">
        <f t="shared" si="5831"/>
        <v>6168.5100000000011</v>
      </c>
      <c r="IV165" s="74">
        <f t="shared" si="5831"/>
        <v>6168.5100000000011</v>
      </c>
      <c r="IW165" s="74">
        <f t="shared" si="5831"/>
        <v>6168.5100000000011</v>
      </c>
      <c r="IX165" s="74">
        <f t="shared" si="5831"/>
        <v>769.60999999999876</v>
      </c>
      <c r="IY165" s="74">
        <f t="shared" si="5831"/>
        <v>769.60999999999876</v>
      </c>
      <c r="IZ165" s="74">
        <f t="shared" si="5831"/>
        <v>769.60999999999876</v>
      </c>
      <c r="JA165" s="74">
        <f t="shared" si="5831"/>
        <v>2695.6400000000012</v>
      </c>
      <c r="JB165" s="74">
        <f t="shared" si="5831"/>
        <v>2695.6400000000012</v>
      </c>
      <c r="JC165" s="74">
        <f t="shared" si="5831"/>
        <v>2695.6400000000012</v>
      </c>
      <c r="JD165" s="74">
        <f t="shared" si="5831"/>
        <v>4313.1899999999987</v>
      </c>
      <c r="JE165" s="74">
        <f t="shared" si="5831"/>
        <v>4313.1899999999987</v>
      </c>
      <c r="JF165" s="74">
        <f t="shared" si="5831"/>
        <v>4313.1899999999987</v>
      </c>
      <c r="JG165" s="74">
        <f t="shared" si="5831"/>
        <v>2814.2200000000012</v>
      </c>
      <c r="JH165" s="74">
        <f t="shared" si="5831"/>
        <v>2814.2200000000012</v>
      </c>
      <c r="JI165" s="74">
        <f t="shared" si="5831"/>
        <v>2814.2200000000012</v>
      </c>
      <c r="JJ165" s="74">
        <f t="shared" si="5831"/>
        <v>5103.1100000000006</v>
      </c>
      <c r="JK165" s="74">
        <f t="shared" si="5831"/>
        <v>5103.1100000000006</v>
      </c>
      <c r="JL165" s="74">
        <f t="shared" si="5831"/>
        <v>5103.1100000000006</v>
      </c>
      <c r="JM165" s="74">
        <f t="shared" si="5831"/>
        <v>0</v>
      </c>
      <c r="JN165" s="74">
        <f t="shared" si="5831"/>
        <v>0</v>
      </c>
      <c r="JO165" s="74">
        <f t="shared" si="5831"/>
        <v>0</v>
      </c>
      <c r="JP165" s="74">
        <f t="shared" si="5831"/>
        <v>0</v>
      </c>
      <c r="JQ165" s="74">
        <f t="shared" si="5831"/>
        <v>0</v>
      </c>
      <c r="JR165" s="74">
        <f t="shared" si="5831"/>
        <v>0</v>
      </c>
      <c r="JS165" s="74">
        <f t="shared" si="5831"/>
        <v>13294.689999999999</v>
      </c>
      <c r="JT165" s="102">
        <f t="shared" si="5831"/>
        <v>13294.689999999999</v>
      </c>
      <c r="JU165" s="671"/>
      <c r="JV165" s="492"/>
      <c r="JW165" s="490"/>
      <c r="JX165" s="549">
        <f>SUM(JX498)</f>
        <v>40000</v>
      </c>
      <c r="JY165" s="549">
        <f>SUM(JY498)</f>
        <v>0</v>
      </c>
      <c r="JZ165" s="581">
        <f t="shared" si="4944"/>
        <v>23000</v>
      </c>
      <c r="KA165" s="581">
        <f t="shared" si="4945"/>
        <v>-3000</v>
      </c>
      <c r="KB165" s="549">
        <f>SUM(KB498)</f>
        <v>40000</v>
      </c>
      <c r="KC165" s="709">
        <f t="shared" si="4908"/>
        <v>0</v>
      </c>
      <c r="KD165" s="36"/>
      <c r="KE165" s="36"/>
      <c r="KF165" s="36"/>
      <c r="KG165" s="36"/>
      <c r="KH165" s="36"/>
      <c r="KI165" s="36"/>
      <c r="KJ165" s="36"/>
      <c r="KK165" s="36"/>
    </row>
    <row r="166" spans="1:297" s="8" customFormat="1">
      <c r="A166" s="75"/>
      <c r="B166" s="72"/>
      <c r="C166" s="74"/>
      <c r="D166" s="549"/>
      <c r="E166" s="675"/>
      <c r="F166" s="549"/>
      <c r="G166" s="675"/>
      <c r="H166" s="549"/>
      <c r="I166" s="675"/>
      <c r="J166" s="549"/>
      <c r="K166" s="675"/>
      <c r="L166" s="549"/>
      <c r="M166" s="675"/>
      <c r="N166" s="549"/>
      <c r="O166" s="675"/>
      <c r="P166" s="549"/>
      <c r="Q166" s="675"/>
      <c r="R166" s="549"/>
      <c r="S166" s="675"/>
      <c r="T166" s="549"/>
      <c r="U166" s="675"/>
      <c r="V166" s="549"/>
      <c r="W166" s="675"/>
      <c r="X166" s="549"/>
      <c r="Y166" s="675"/>
      <c r="Z166" s="549"/>
      <c r="AA166" s="675"/>
      <c r="AB166" s="549"/>
      <c r="AC166" s="675"/>
      <c r="AD166" s="549"/>
      <c r="AE166" s="675"/>
      <c r="AF166" s="549"/>
      <c r="AG166" s="675"/>
      <c r="AH166" s="549"/>
      <c r="AI166" s="675"/>
      <c r="AJ166" s="549"/>
      <c r="AK166" s="675"/>
      <c r="AL166" s="549"/>
      <c r="AM166" s="675"/>
      <c r="AN166" s="549"/>
      <c r="AO166" s="675"/>
      <c r="AP166" s="549"/>
      <c r="AQ166" s="675"/>
      <c r="AR166" s="549"/>
      <c r="AS166" s="675"/>
      <c r="AT166" s="549"/>
      <c r="AU166" s="675"/>
      <c r="AV166" s="549"/>
      <c r="AW166" s="675"/>
      <c r="AX166" s="549"/>
      <c r="AY166" s="675"/>
      <c r="AZ166" s="549"/>
      <c r="BA166" s="675"/>
      <c r="BB166" s="549"/>
      <c r="BC166" s="675"/>
      <c r="BD166" s="549"/>
      <c r="BE166" s="675"/>
      <c r="BF166" s="549"/>
      <c r="BG166" s="675"/>
      <c r="BH166" s="549"/>
      <c r="BI166" s="675"/>
      <c r="BJ166" s="549"/>
      <c r="BK166" s="675"/>
      <c r="BL166" s="549"/>
      <c r="BM166" s="675"/>
      <c r="BN166" s="549"/>
      <c r="BO166" s="675"/>
      <c r="BP166" s="549"/>
      <c r="BQ166" s="675"/>
      <c r="BR166" s="549"/>
      <c r="BS166" s="675"/>
      <c r="BT166" s="549"/>
      <c r="BU166" s="675"/>
      <c r="BV166" s="549"/>
      <c r="BW166" s="675"/>
      <c r="BX166" s="549"/>
      <c r="BY166" s="675"/>
      <c r="BZ166" s="549"/>
      <c r="CA166" s="675"/>
      <c r="CB166" s="549"/>
      <c r="CC166" s="675"/>
      <c r="CD166" s="549"/>
      <c r="CE166" s="675"/>
      <c r="CF166" s="549"/>
      <c r="CG166" s="675"/>
      <c r="CH166" s="549"/>
      <c r="CI166" s="675"/>
      <c r="CJ166" s="549"/>
      <c r="CK166" s="675"/>
      <c r="CL166" s="549"/>
      <c r="CM166" s="675"/>
      <c r="CN166" s="549"/>
      <c r="CO166" s="675"/>
      <c r="CP166" s="549"/>
      <c r="CQ166" s="675"/>
      <c r="CR166" s="549"/>
      <c r="CS166" s="675"/>
      <c r="CT166" s="549"/>
      <c r="CU166" s="675"/>
      <c r="CV166" s="549"/>
      <c r="CW166" s="675"/>
      <c r="CX166" s="549"/>
      <c r="CY166" s="675"/>
      <c r="CZ166" s="549"/>
      <c r="DA166" s="675"/>
      <c r="DB166" s="549"/>
      <c r="DC166" s="675"/>
      <c r="DD166" s="549"/>
      <c r="DE166" s="675"/>
      <c r="DF166" s="549"/>
      <c r="DG166" s="675"/>
      <c r="DH166" s="549"/>
      <c r="DI166" s="675"/>
      <c r="DJ166" s="549"/>
      <c r="DK166" s="675"/>
      <c r="DL166" s="549"/>
      <c r="DM166" s="675"/>
      <c r="DN166" s="549"/>
      <c r="DO166" s="675"/>
      <c r="DP166" s="549"/>
      <c r="DQ166" s="675"/>
      <c r="DR166" s="549"/>
      <c r="DS166" s="675"/>
      <c r="DT166" s="549"/>
      <c r="DU166" s="675"/>
      <c r="DV166" s="549"/>
      <c r="DW166" s="675"/>
      <c r="DX166" s="549"/>
      <c r="DY166" s="675"/>
      <c r="DZ166" s="549"/>
      <c r="EA166" s="675"/>
      <c r="EB166" s="549"/>
      <c r="EC166" s="675"/>
      <c r="ED166" s="549"/>
      <c r="EE166" s="675"/>
      <c r="EF166" s="549"/>
      <c r="EG166" s="675"/>
      <c r="EH166" s="549"/>
      <c r="EI166" s="675"/>
      <c r="EJ166" s="549"/>
      <c r="EK166" s="675"/>
      <c r="EL166" s="549"/>
      <c r="EM166" s="675"/>
      <c r="EN166" s="549"/>
      <c r="EO166" s="675"/>
      <c r="EP166" s="549"/>
      <c r="EQ166" s="675"/>
      <c r="ER166" s="549"/>
      <c r="ES166" s="675"/>
      <c r="ET166" s="549"/>
      <c r="EU166" s="675"/>
      <c r="EV166" s="549"/>
      <c r="EW166" s="675"/>
      <c r="EX166" s="549"/>
      <c r="EY166" s="675"/>
      <c r="EZ166" s="549"/>
      <c r="FA166" s="675"/>
      <c r="FB166" s="549"/>
      <c r="FC166" s="675"/>
      <c r="FD166" s="549"/>
      <c r="FE166" s="675"/>
      <c r="FF166" s="549"/>
      <c r="FG166" s="675"/>
      <c r="FH166" s="549"/>
      <c r="FI166" s="675"/>
      <c r="FJ166" s="549"/>
      <c r="FK166" s="675"/>
      <c r="FL166" s="549"/>
      <c r="FM166" s="675"/>
      <c r="FN166" s="549"/>
      <c r="FO166" s="675"/>
      <c r="FP166" s="549"/>
      <c r="FQ166" s="675"/>
      <c r="FR166" s="549"/>
      <c r="FS166" s="675"/>
      <c r="FT166" s="549"/>
      <c r="FU166" s="675"/>
      <c r="FV166" s="549"/>
      <c r="FW166" s="675"/>
      <c r="FX166" s="549"/>
      <c r="FY166" s="675"/>
      <c r="FZ166" s="549"/>
      <c r="GA166" s="675"/>
      <c r="GB166" s="549"/>
      <c r="GC166" s="675"/>
      <c r="GD166" s="549"/>
      <c r="GE166" s="675"/>
      <c r="GF166" s="549"/>
      <c r="GG166" s="675"/>
      <c r="GH166" s="549"/>
      <c r="GI166" s="675"/>
      <c r="GJ166" s="549"/>
      <c r="GK166" s="675"/>
      <c r="GL166" s="549"/>
      <c r="GM166" s="675"/>
      <c r="GN166" s="549"/>
      <c r="GO166" s="675"/>
      <c r="GP166" s="74"/>
      <c r="GQ166" s="675"/>
      <c r="GR166" s="74"/>
      <c r="GS166" s="74"/>
      <c r="GT166" s="549"/>
      <c r="GU166" s="74"/>
      <c r="GV166" s="74"/>
      <c r="GW166" s="549"/>
      <c r="GX166" s="549"/>
      <c r="GY166" s="74"/>
      <c r="GZ166" s="74"/>
      <c r="HA166" s="74"/>
      <c r="HB166" s="74"/>
      <c r="HC166" s="74"/>
      <c r="HD166" s="74"/>
      <c r="HE166" s="74"/>
      <c r="HF166" s="74"/>
      <c r="HG166" s="74"/>
      <c r="HH166" s="74"/>
      <c r="HI166" s="74"/>
      <c r="HJ166" s="74"/>
      <c r="HK166" s="74"/>
      <c r="HL166" s="74"/>
      <c r="HM166" s="74"/>
      <c r="HN166" s="74"/>
      <c r="HO166" s="74"/>
      <c r="HP166" s="74"/>
      <c r="HQ166" s="74"/>
      <c r="HR166" s="74"/>
      <c r="HS166" s="74"/>
      <c r="HT166" s="74"/>
      <c r="HU166" s="74"/>
      <c r="HV166" s="74"/>
      <c r="HW166" s="74"/>
      <c r="HX166" s="74"/>
      <c r="HY166" s="74"/>
      <c r="HZ166" s="74"/>
      <c r="IA166" s="74"/>
      <c r="IB166" s="74"/>
      <c r="IC166" s="74"/>
      <c r="ID166" s="74"/>
      <c r="IE166" s="792"/>
      <c r="IF166" s="841"/>
      <c r="IG166" s="263"/>
      <c r="IH166" s="842"/>
      <c r="II166" s="155"/>
      <c r="IJ166" s="74"/>
      <c r="IK166" s="74"/>
      <c r="IL166" s="74"/>
      <c r="IM166" s="74"/>
      <c r="IN166" s="74"/>
      <c r="IO166" s="74"/>
      <c r="IP166" s="74"/>
      <c r="IQ166" s="74"/>
      <c r="IR166" s="74"/>
      <c r="IS166" s="74"/>
      <c r="IT166" s="74"/>
      <c r="IU166" s="74"/>
      <c r="IV166" s="74"/>
      <c r="IW166" s="74"/>
      <c r="IX166" s="74"/>
      <c r="IY166" s="74"/>
      <c r="IZ166" s="74"/>
      <c r="JA166" s="74"/>
      <c r="JB166" s="74"/>
      <c r="JC166" s="74"/>
      <c r="JD166" s="74"/>
      <c r="JE166" s="74"/>
      <c r="JF166" s="74"/>
      <c r="JG166" s="74"/>
      <c r="JH166" s="74"/>
      <c r="JI166" s="74"/>
      <c r="JJ166" s="74"/>
      <c r="JK166" s="74"/>
      <c r="JL166" s="74"/>
      <c r="JM166" s="74"/>
      <c r="JN166" s="74"/>
      <c r="JO166" s="74"/>
      <c r="JP166" s="74"/>
      <c r="JQ166" s="74"/>
      <c r="JR166" s="74"/>
      <c r="JS166" s="74"/>
      <c r="JT166" s="382"/>
      <c r="JU166" s="670"/>
      <c r="JV166" s="489"/>
      <c r="JW166" s="490"/>
      <c r="JX166" s="549"/>
      <c r="JY166" s="549"/>
      <c r="JZ166" s="581">
        <f t="shared" si="4944"/>
        <v>0</v>
      </c>
      <c r="KA166" s="581">
        <f t="shared" si="4945"/>
        <v>0</v>
      </c>
      <c r="KB166" s="549"/>
      <c r="KC166" s="709">
        <f t="shared" si="4908"/>
        <v>0</v>
      </c>
      <c r="KD166" s="36"/>
      <c r="KE166" s="36"/>
      <c r="KF166" s="36"/>
      <c r="KG166" s="36"/>
      <c r="KH166" s="36"/>
      <c r="KI166" s="36"/>
      <c r="KJ166" s="36"/>
      <c r="KK166" s="36"/>
    </row>
    <row r="167" spans="1:297" s="8" customFormat="1" ht="12.75" hidden="1" customHeight="1">
      <c r="A167" s="262" t="s">
        <v>796</v>
      </c>
      <c r="B167" s="72"/>
      <c r="C167" s="74">
        <f t="shared" ref="C167" si="5832">SUM(C168:C170)</f>
        <v>0</v>
      </c>
      <c r="D167" s="549">
        <f t="shared" ref="D167:E167" si="5833">SUM(D168:D170)</f>
        <v>0</v>
      </c>
      <c r="E167" s="675">
        <f t="shared" si="5833"/>
        <v>0</v>
      </c>
      <c r="F167" s="549">
        <f t="shared" ref="F167:G167" si="5834">SUM(F168:F170)</f>
        <v>0</v>
      </c>
      <c r="G167" s="675">
        <f t="shared" si="5834"/>
        <v>0</v>
      </c>
      <c r="H167" s="549">
        <f t="shared" ref="H167:I167" si="5835">SUM(H168:H170)</f>
        <v>0</v>
      </c>
      <c r="I167" s="675">
        <f t="shared" si="5835"/>
        <v>0</v>
      </c>
      <c r="J167" s="549">
        <f t="shared" ref="J167:K167" si="5836">SUM(J168:J170)</f>
        <v>0</v>
      </c>
      <c r="K167" s="675">
        <f t="shared" si="5836"/>
        <v>0</v>
      </c>
      <c r="L167" s="549">
        <f t="shared" ref="L167:M167" si="5837">SUM(L168:L170)</f>
        <v>0</v>
      </c>
      <c r="M167" s="675">
        <f t="shared" si="5837"/>
        <v>0</v>
      </c>
      <c r="N167" s="549">
        <f t="shared" ref="N167:O167" si="5838">SUM(N168:N170)</f>
        <v>0</v>
      </c>
      <c r="O167" s="675">
        <f t="shared" si="5838"/>
        <v>0</v>
      </c>
      <c r="P167" s="549">
        <f t="shared" ref="P167:Q167" si="5839">SUM(P168:P170)</f>
        <v>0</v>
      </c>
      <c r="Q167" s="675">
        <f t="shared" si="5839"/>
        <v>0</v>
      </c>
      <c r="R167" s="549">
        <f t="shared" ref="R167:S167" si="5840">SUM(R168:R170)</f>
        <v>0</v>
      </c>
      <c r="S167" s="675">
        <f t="shared" si="5840"/>
        <v>0</v>
      </c>
      <c r="T167" s="549">
        <f t="shared" ref="T167:U167" si="5841">SUM(T168:T170)</f>
        <v>0</v>
      </c>
      <c r="U167" s="675">
        <f t="shared" si="5841"/>
        <v>0</v>
      </c>
      <c r="V167" s="549">
        <f t="shared" ref="V167:W167" si="5842">SUM(V168:V170)</f>
        <v>0</v>
      </c>
      <c r="W167" s="675">
        <f t="shared" si="5842"/>
        <v>0</v>
      </c>
      <c r="X167" s="549">
        <f t="shared" ref="X167:Y167" si="5843">SUM(X168:X170)</f>
        <v>0</v>
      </c>
      <c r="Y167" s="675">
        <f t="shared" si="5843"/>
        <v>0</v>
      </c>
      <c r="Z167" s="549">
        <f t="shared" ref="Z167:AA167" si="5844">SUM(Z168:Z170)</f>
        <v>0</v>
      </c>
      <c r="AA167" s="675">
        <f t="shared" si="5844"/>
        <v>0</v>
      </c>
      <c r="AB167" s="549">
        <f t="shared" ref="AB167:AC167" si="5845">SUM(AB168:AB170)</f>
        <v>0</v>
      </c>
      <c r="AC167" s="675">
        <f t="shared" si="5845"/>
        <v>0</v>
      </c>
      <c r="AD167" s="549">
        <f t="shared" ref="AD167:AK167" si="5846">SUM(AD168:AD170)</f>
        <v>0</v>
      </c>
      <c r="AE167" s="675">
        <f t="shared" si="5846"/>
        <v>0</v>
      </c>
      <c r="AF167" s="549">
        <f t="shared" si="5846"/>
        <v>0</v>
      </c>
      <c r="AG167" s="675">
        <f t="shared" si="5846"/>
        <v>0</v>
      </c>
      <c r="AH167" s="549">
        <f t="shared" si="5846"/>
        <v>0</v>
      </c>
      <c r="AI167" s="675">
        <f t="shared" si="5846"/>
        <v>0</v>
      </c>
      <c r="AJ167" s="549">
        <f t="shared" si="5846"/>
        <v>0</v>
      </c>
      <c r="AK167" s="675">
        <f t="shared" si="5846"/>
        <v>0</v>
      </c>
      <c r="AL167" s="549">
        <f t="shared" ref="AL167:AM167" si="5847">SUM(AL168:AL170)</f>
        <v>0</v>
      </c>
      <c r="AM167" s="675">
        <f t="shared" si="5847"/>
        <v>0</v>
      </c>
      <c r="AN167" s="549">
        <f t="shared" ref="AN167:AS167" si="5848">SUM(AN168:AN170)</f>
        <v>0</v>
      </c>
      <c r="AO167" s="675">
        <f t="shared" si="5848"/>
        <v>0</v>
      </c>
      <c r="AP167" s="549">
        <f t="shared" si="5848"/>
        <v>0</v>
      </c>
      <c r="AQ167" s="675">
        <f t="shared" si="5848"/>
        <v>0</v>
      </c>
      <c r="AR167" s="549">
        <f t="shared" si="5848"/>
        <v>0</v>
      </c>
      <c r="AS167" s="675">
        <f t="shared" si="5848"/>
        <v>0</v>
      </c>
      <c r="AT167" s="549">
        <f t="shared" ref="AT167:AU167" si="5849">SUM(AT168:AT170)</f>
        <v>0</v>
      </c>
      <c r="AU167" s="675">
        <f t="shared" si="5849"/>
        <v>0</v>
      </c>
      <c r="AV167" s="549">
        <f t="shared" ref="AV167:AW167" si="5850">SUM(AV168:AV170)</f>
        <v>0</v>
      </c>
      <c r="AW167" s="675">
        <f t="shared" si="5850"/>
        <v>0</v>
      </c>
      <c r="AX167" s="549">
        <f t="shared" ref="AX167:AY167" si="5851">SUM(AX168:AX170)</f>
        <v>0</v>
      </c>
      <c r="AY167" s="675">
        <f t="shared" si="5851"/>
        <v>0</v>
      </c>
      <c r="AZ167" s="549">
        <f t="shared" ref="AZ167:BA167" si="5852">SUM(AZ168:AZ170)</f>
        <v>0</v>
      </c>
      <c r="BA167" s="675">
        <f t="shared" si="5852"/>
        <v>0</v>
      </c>
      <c r="BB167" s="549">
        <f t="shared" ref="BB167:BC167" si="5853">SUM(BB168:BB170)</f>
        <v>0</v>
      </c>
      <c r="BC167" s="675">
        <f t="shared" si="5853"/>
        <v>0</v>
      </c>
      <c r="BD167" s="549">
        <f t="shared" ref="BD167:BE167" si="5854">SUM(BD168:BD170)</f>
        <v>0</v>
      </c>
      <c r="BE167" s="675">
        <f t="shared" si="5854"/>
        <v>0</v>
      </c>
      <c r="BF167" s="549">
        <f t="shared" ref="BF167:BG167" si="5855">SUM(BF168:BF170)</f>
        <v>0</v>
      </c>
      <c r="BG167" s="675">
        <f t="shared" si="5855"/>
        <v>0</v>
      </c>
      <c r="BH167" s="549">
        <f t="shared" ref="BH167:BI167" si="5856">SUM(BH168:BH170)</f>
        <v>0</v>
      </c>
      <c r="BI167" s="675">
        <f t="shared" si="5856"/>
        <v>0</v>
      </c>
      <c r="BJ167" s="549">
        <f t="shared" ref="BJ167:BK167" si="5857">SUM(BJ168:BJ170)</f>
        <v>0</v>
      </c>
      <c r="BK167" s="675">
        <f t="shared" si="5857"/>
        <v>0</v>
      </c>
      <c r="BL167" s="549">
        <f t="shared" ref="BL167:BS167" si="5858">SUM(BL168:BL170)</f>
        <v>0</v>
      </c>
      <c r="BM167" s="675">
        <f t="shared" si="5858"/>
        <v>0</v>
      </c>
      <c r="BN167" s="549">
        <f t="shared" si="5858"/>
        <v>0</v>
      </c>
      <c r="BO167" s="675">
        <f t="shared" si="5858"/>
        <v>0</v>
      </c>
      <c r="BP167" s="549">
        <f t="shared" si="5858"/>
        <v>0</v>
      </c>
      <c r="BQ167" s="675">
        <f t="shared" si="5858"/>
        <v>0</v>
      </c>
      <c r="BR167" s="549">
        <f t="shared" si="5858"/>
        <v>0</v>
      </c>
      <c r="BS167" s="675">
        <f t="shared" si="5858"/>
        <v>0</v>
      </c>
      <c r="BT167" s="549">
        <f t="shared" ref="BT167:BU167" si="5859">SUM(BT168:BT170)</f>
        <v>0</v>
      </c>
      <c r="BU167" s="675">
        <f t="shared" si="5859"/>
        <v>0</v>
      </c>
      <c r="BV167" s="549">
        <f t="shared" ref="BV167:BW167" si="5860">SUM(BV168:BV170)</f>
        <v>0</v>
      </c>
      <c r="BW167" s="675">
        <f t="shared" si="5860"/>
        <v>0</v>
      </c>
      <c r="BX167" s="549">
        <f t="shared" ref="BX167:BY167" si="5861">SUM(BX168:BX170)</f>
        <v>0</v>
      </c>
      <c r="BY167" s="675">
        <f t="shared" si="5861"/>
        <v>0</v>
      </c>
      <c r="BZ167" s="549">
        <f t="shared" ref="BZ167:CA167" si="5862">SUM(BZ168:BZ170)</f>
        <v>0</v>
      </c>
      <c r="CA167" s="675">
        <f t="shared" si="5862"/>
        <v>0</v>
      </c>
      <c r="CB167" s="549">
        <f t="shared" ref="CB167:CE167" si="5863">SUM(CB168:CB170)</f>
        <v>0</v>
      </c>
      <c r="CC167" s="675">
        <f t="shared" si="5863"/>
        <v>0</v>
      </c>
      <c r="CD167" s="549">
        <f t="shared" si="5863"/>
        <v>0</v>
      </c>
      <c r="CE167" s="675">
        <f t="shared" si="5863"/>
        <v>0</v>
      </c>
      <c r="CF167" s="549">
        <f t="shared" ref="CF167:CQ167" si="5864">SUM(CF168:CF170)</f>
        <v>0</v>
      </c>
      <c r="CG167" s="675">
        <f t="shared" si="5864"/>
        <v>0</v>
      </c>
      <c r="CH167" s="549">
        <f t="shared" si="5864"/>
        <v>0</v>
      </c>
      <c r="CI167" s="675">
        <f t="shared" si="5864"/>
        <v>0</v>
      </c>
      <c r="CJ167" s="549">
        <f t="shared" si="5864"/>
        <v>0</v>
      </c>
      <c r="CK167" s="675">
        <f t="shared" si="5864"/>
        <v>0</v>
      </c>
      <c r="CL167" s="549">
        <f t="shared" si="5864"/>
        <v>0</v>
      </c>
      <c r="CM167" s="675">
        <f t="shared" si="5864"/>
        <v>0</v>
      </c>
      <c r="CN167" s="549">
        <f t="shared" si="5864"/>
        <v>0</v>
      </c>
      <c r="CO167" s="675">
        <f t="shared" si="5864"/>
        <v>0</v>
      </c>
      <c r="CP167" s="549">
        <f t="shared" si="5864"/>
        <v>0</v>
      </c>
      <c r="CQ167" s="675">
        <f t="shared" si="5864"/>
        <v>0</v>
      </c>
      <c r="CR167" s="549">
        <f t="shared" ref="CR167:CY167" si="5865">SUM(CR168:CR170)</f>
        <v>0</v>
      </c>
      <c r="CS167" s="675">
        <f t="shared" si="5865"/>
        <v>0</v>
      </c>
      <c r="CT167" s="549">
        <f t="shared" si="5865"/>
        <v>0</v>
      </c>
      <c r="CU167" s="675">
        <f t="shared" si="5865"/>
        <v>0</v>
      </c>
      <c r="CV167" s="549">
        <f t="shared" si="5865"/>
        <v>0</v>
      </c>
      <c r="CW167" s="675">
        <f t="shared" si="5865"/>
        <v>0</v>
      </c>
      <c r="CX167" s="549">
        <f t="shared" si="5865"/>
        <v>0</v>
      </c>
      <c r="CY167" s="675">
        <f t="shared" si="5865"/>
        <v>0</v>
      </c>
      <c r="CZ167" s="549">
        <f t="shared" ref="CZ167:DG167" si="5866">SUM(CZ168:CZ170)</f>
        <v>0</v>
      </c>
      <c r="DA167" s="675">
        <f t="shared" si="5866"/>
        <v>0</v>
      </c>
      <c r="DB167" s="549">
        <f t="shared" si="5866"/>
        <v>0</v>
      </c>
      <c r="DC167" s="675">
        <f t="shared" si="5866"/>
        <v>0</v>
      </c>
      <c r="DD167" s="549">
        <f t="shared" si="5866"/>
        <v>0</v>
      </c>
      <c r="DE167" s="675">
        <f t="shared" si="5866"/>
        <v>0</v>
      </c>
      <c r="DF167" s="549">
        <f t="shared" si="5866"/>
        <v>0</v>
      </c>
      <c r="DG167" s="675">
        <f t="shared" si="5866"/>
        <v>0</v>
      </c>
      <c r="DH167" s="549">
        <f t="shared" ref="DH167:DM167" si="5867">SUM(DH168:DH170)</f>
        <v>0</v>
      </c>
      <c r="DI167" s="675">
        <f t="shared" si="5867"/>
        <v>0</v>
      </c>
      <c r="DJ167" s="549">
        <f t="shared" si="5867"/>
        <v>0</v>
      </c>
      <c r="DK167" s="675">
        <f t="shared" si="5867"/>
        <v>0</v>
      </c>
      <c r="DL167" s="549">
        <f t="shared" si="5867"/>
        <v>0</v>
      </c>
      <c r="DM167" s="675">
        <f t="shared" si="5867"/>
        <v>0</v>
      </c>
      <c r="DN167" s="549">
        <f t="shared" ref="DN167:DW167" si="5868">SUM(DN168:DN170)</f>
        <v>0</v>
      </c>
      <c r="DO167" s="675">
        <f t="shared" si="5868"/>
        <v>0</v>
      </c>
      <c r="DP167" s="549">
        <f t="shared" si="5868"/>
        <v>0</v>
      </c>
      <c r="DQ167" s="675">
        <f t="shared" si="5868"/>
        <v>0</v>
      </c>
      <c r="DR167" s="549">
        <f t="shared" si="5868"/>
        <v>0</v>
      </c>
      <c r="DS167" s="675">
        <f t="shared" si="5868"/>
        <v>0</v>
      </c>
      <c r="DT167" s="549">
        <f t="shared" si="5868"/>
        <v>0</v>
      </c>
      <c r="DU167" s="675">
        <f t="shared" si="5868"/>
        <v>0</v>
      </c>
      <c r="DV167" s="549">
        <f t="shared" si="5868"/>
        <v>0</v>
      </c>
      <c r="DW167" s="675">
        <f t="shared" si="5868"/>
        <v>0</v>
      </c>
      <c r="DX167" s="549">
        <f t="shared" ref="DX167:EG167" si="5869">SUM(DX168:DX170)</f>
        <v>0</v>
      </c>
      <c r="DY167" s="675">
        <f t="shared" si="5869"/>
        <v>0</v>
      </c>
      <c r="DZ167" s="549">
        <f t="shared" si="5869"/>
        <v>0</v>
      </c>
      <c r="EA167" s="675">
        <f t="shared" si="5869"/>
        <v>0</v>
      </c>
      <c r="EB167" s="549">
        <f t="shared" si="5869"/>
        <v>0</v>
      </c>
      <c r="EC167" s="675">
        <f t="shared" si="5869"/>
        <v>0</v>
      </c>
      <c r="ED167" s="549">
        <f t="shared" si="5869"/>
        <v>0</v>
      </c>
      <c r="EE167" s="675">
        <f t="shared" si="5869"/>
        <v>0</v>
      </c>
      <c r="EF167" s="549">
        <f t="shared" si="5869"/>
        <v>0</v>
      </c>
      <c r="EG167" s="675">
        <f t="shared" si="5869"/>
        <v>0</v>
      </c>
      <c r="EH167" s="549">
        <f t="shared" ref="EH167:EM167" si="5870">SUM(EH168:EH170)</f>
        <v>0</v>
      </c>
      <c r="EI167" s="675">
        <f t="shared" si="5870"/>
        <v>0</v>
      </c>
      <c r="EJ167" s="549">
        <f t="shared" si="5870"/>
        <v>0</v>
      </c>
      <c r="EK167" s="675">
        <f t="shared" si="5870"/>
        <v>0</v>
      </c>
      <c r="EL167" s="549">
        <f t="shared" si="5870"/>
        <v>0</v>
      </c>
      <c r="EM167" s="675">
        <f t="shared" si="5870"/>
        <v>0</v>
      </c>
      <c r="EN167" s="549">
        <f t="shared" ref="EN167:EO167" si="5871">SUM(EN168:EN170)</f>
        <v>0</v>
      </c>
      <c r="EO167" s="675">
        <f t="shared" si="5871"/>
        <v>0</v>
      </c>
      <c r="EP167" s="549">
        <f t="shared" ref="EP167:FA167" si="5872">SUM(EP168:EP170)</f>
        <v>0</v>
      </c>
      <c r="EQ167" s="675">
        <f t="shared" si="5872"/>
        <v>0</v>
      </c>
      <c r="ER167" s="549">
        <f t="shared" si="5872"/>
        <v>0</v>
      </c>
      <c r="ES167" s="675">
        <f t="shared" si="5872"/>
        <v>0</v>
      </c>
      <c r="ET167" s="549">
        <f t="shared" si="5872"/>
        <v>0</v>
      </c>
      <c r="EU167" s="675">
        <f t="shared" si="5872"/>
        <v>0</v>
      </c>
      <c r="EV167" s="549">
        <f t="shared" ref="EV167:EW167" si="5873">SUM(EV168:EV170)</f>
        <v>0</v>
      </c>
      <c r="EW167" s="675">
        <f t="shared" si="5873"/>
        <v>0</v>
      </c>
      <c r="EX167" s="549">
        <f t="shared" si="5872"/>
        <v>0</v>
      </c>
      <c r="EY167" s="675">
        <f t="shared" si="5872"/>
        <v>0</v>
      </c>
      <c r="EZ167" s="549">
        <f t="shared" si="5872"/>
        <v>0</v>
      </c>
      <c r="FA167" s="675">
        <f t="shared" si="5872"/>
        <v>0</v>
      </c>
      <c r="FB167" s="549">
        <f t="shared" ref="FB167:FC167" si="5874">SUM(FB168:FB170)</f>
        <v>0</v>
      </c>
      <c r="FC167" s="675">
        <f t="shared" si="5874"/>
        <v>0</v>
      </c>
      <c r="FD167" s="549">
        <f t="shared" ref="FD167:FE167" si="5875">SUM(FD168:FD170)</f>
        <v>0</v>
      </c>
      <c r="FE167" s="675">
        <f t="shared" si="5875"/>
        <v>0</v>
      </c>
      <c r="FF167" s="549">
        <f t="shared" ref="FF167:FG167" si="5876">SUM(FF168:FF170)</f>
        <v>0</v>
      </c>
      <c r="FG167" s="675">
        <f t="shared" si="5876"/>
        <v>0</v>
      </c>
      <c r="FH167" s="549">
        <f t="shared" ref="FH167:FI167" si="5877">SUM(FH168:FH170)</f>
        <v>0</v>
      </c>
      <c r="FI167" s="675">
        <f t="shared" si="5877"/>
        <v>0</v>
      </c>
      <c r="FJ167" s="549">
        <f t="shared" ref="FJ167:FK167" si="5878">SUM(FJ168:FJ170)</f>
        <v>0</v>
      </c>
      <c r="FK167" s="675">
        <f t="shared" si="5878"/>
        <v>0</v>
      </c>
      <c r="FL167" s="549">
        <f t="shared" ref="FL167:FM167" si="5879">SUM(FL168:FL170)</f>
        <v>0</v>
      </c>
      <c r="FM167" s="675">
        <f t="shared" si="5879"/>
        <v>0</v>
      </c>
      <c r="FN167" s="549">
        <f t="shared" ref="FN167:FO167" si="5880">SUM(FN168:FN170)</f>
        <v>0</v>
      </c>
      <c r="FO167" s="675">
        <f t="shared" si="5880"/>
        <v>0</v>
      </c>
      <c r="FP167" s="549">
        <f t="shared" ref="FP167:FQ167" si="5881">SUM(FP168:FP170)</f>
        <v>0</v>
      </c>
      <c r="FQ167" s="675">
        <f t="shared" si="5881"/>
        <v>0</v>
      </c>
      <c r="FR167" s="549">
        <f t="shared" ref="FR167:FS167" si="5882">SUM(FR168:FR170)</f>
        <v>0</v>
      </c>
      <c r="FS167" s="675">
        <f t="shared" si="5882"/>
        <v>0</v>
      </c>
      <c r="FT167" s="549">
        <f t="shared" ref="FT167:FU167" si="5883">SUM(FT168:FT170)</f>
        <v>0</v>
      </c>
      <c r="FU167" s="675">
        <f t="shared" si="5883"/>
        <v>0</v>
      </c>
      <c r="FV167" s="549">
        <f t="shared" ref="FV167:GK167" si="5884">SUM(FV168:FV170)</f>
        <v>0</v>
      </c>
      <c r="FW167" s="675">
        <f t="shared" si="5884"/>
        <v>0</v>
      </c>
      <c r="FX167" s="549">
        <f t="shared" si="5884"/>
        <v>0</v>
      </c>
      <c r="FY167" s="675">
        <f t="shared" si="5884"/>
        <v>0</v>
      </c>
      <c r="FZ167" s="549">
        <f t="shared" ref="FZ167:GI167" si="5885">SUM(FZ168:FZ170)</f>
        <v>0</v>
      </c>
      <c r="GA167" s="675">
        <f t="shared" si="5885"/>
        <v>0</v>
      </c>
      <c r="GB167" s="549">
        <f t="shared" si="5885"/>
        <v>0</v>
      </c>
      <c r="GC167" s="675">
        <f t="shared" si="5885"/>
        <v>0</v>
      </c>
      <c r="GD167" s="549">
        <f t="shared" si="5885"/>
        <v>0</v>
      </c>
      <c r="GE167" s="675">
        <f t="shared" si="5885"/>
        <v>0</v>
      </c>
      <c r="GF167" s="549">
        <f t="shared" si="5885"/>
        <v>0</v>
      </c>
      <c r="GG167" s="675">
        <f t="shared" si="5885"/>
        <v>0</v>
      </c>
      <c r="GH167" s="549">
        <f t="shared" si="5885"/>
        <v>0</v>
      </c>
      <c r="GI167" s="675">
        <f t="shared" si="5885"/>
        <v>0</v>
      </c>
      <c r="GJ167" s="549">
        <f t="shared" si="5884"/>
        <v>0</v>
      </c>
      <c r="GK167" s="675">
        <f t="shared" si="5884"/>
        <v>0</v>
      </c>
      <c r="GL167" s="549">
        <f t="shared" ref="GL167:GQ167" si="5886">SUM(GL168:GL170)</f>
        <v>0</v>
      </c>
      <c r="GM167" s="675">
        <f t="shared" si="5886"/>
        <v>0</v>
      </c>
      <c r="GN167" s="549">
        <f t="shared" ref="GN167:GO167" si="5887">SUM(GN168:GN170)</f>
        <v>0</v>
      </c>
      <c r="GO167" s="675">
        <f t="shared" si="5887"/>
        <v>0</v>
      </c>
      <c r="GP167" s="74">
        <f>SUM(GP168:GP170)</f>
        <v>0</v>
      </c>
      <c r="GQ167" s="675">
        <f t="shared" si="5886"/>
        <v>0</v>
      </c>
      <c r="GR167" s="74">
        <f t="shared" ref="GR167:JA167" si="5888">SUM(GR168:GR170)</f>
        <v>0</v>
      </c>
      <c r="GS167" s="74">
        <f t="shared" si="5888"/>
        <v>0</v>
      </c>
      <c r="GT167" s="549">
        <f t="shared" si="5888"/>
        <v>0</v>
      </c>
      <c r="GU167" s="74">
        <f t="shared" si="5888"/>
        <v>0</v>
      </c>
      <c r="GV167" s="74">
        <f t="shared" si="5888"/>
        <v>0</v>
      </c>
      <c r="GW167" s="549">
        <f t="shared" si="5888"/>
        <v>0</v>
      </c>
      <c r="GX167" s="549">
        <f t="shared" si="5888"/>
        <v>0</v>
      </c>
      <c r="GY167" s="74">
        <f t="shared" si="5888"/>
        <v>0</v>
      </c>
      <c r="GZ167" s="74">
        <f t="shared" si="5888"/>
        <v>0</v>
      </c>
      <c r="HA167" s="74">
        <f t="shared" si="5888"/>
        <v>0</v>
      </c>
      <c r="HB167" s="74">
        <f t="shared" si="5888"/>
        <v>0</v>
      </c>
      <c r="HC167" s="74">
        <f t="shared" si="5888"/>
        <v>0</v>
      </c>
      <c r="HD167" s="74">
        <f t="shared" si="5888"/>
        <v>0</v>
      </c>
      <c r="HE167" s="74">
        <f t="shared" si="5888"/>
        <v>0</v>
      </c>
      <c r="HF167" s="74">
        <f t="shared" si="5888"/>
        <v>0</v>
      </c>
      <c r="HG167" s="74">
        <f t="shared" si="5888"/>
        <v>0</v>
      </c>
      <c r="HH167" s="74">
        <f t="shared" ref="HH167:HU167" si="5889">SUM(HH168:HH170)</f>
        <v>0</v>
      </c>
      <c r="HI167" s="74">
        <f t="shared" si="5889"/>
        <v>0</v>
      </c>
      <c r="HJ167" s="74">
        <f t="shared" si="5889"/>
        <v>0</v>
      </c>
      <c r="HK167" s="74">
        <f t="shared" si="5889"/>
        <v>0</v>
      </c>
      <c r="HL167" s="74">
        <f t="shared" si="5889"/>
        <v>0</v>
      </c>
      <c r="HM167" s="74">
        <f t="shared" si="5889"/>
        <v>0</v>
      </c>
      <c r="HN167" s="74">
        <f t="shared" si="5889"/>
        <v>0</v>
      </c>
      <c r="HO167" s="74">
        <f t="shared" si="5889"/>
        <v>0</v>
      </c>
      <c r="HP167" s="74">
        <f t="shared" si="5889"/>
        <v>0</v>
      </c>
      <c r="HQ167" s="74">
        <f t="shared" si="5889"/>
        <v>0</v>
      </c>
      <c r="HR167" s="74">
        <f t="shared" si="5889"/>
        <v>0</v>
      </c>
      <c r="HS167" s="74">
        <f t="shared" si="5889"/>
        <v>0</v>
      </c>
      <c r="HT167" s="74">
        <f t="shared" si="5889"/>
        <v>0</v>
      </c>
      <c r="HU167" s="74">
        <f t="shared" si="5889"/>
        <v>0</v>
      </c>
      <c r="HV167" s="74">
        <f t="shared" si="5888"/>
        <v>0</v>
      </c>
      <c r="HW167" s="74">
        <f t="shared" si="5888"/>
        <v>0</v>
      </c>
      <c r="HX167" s="74">
        <f t="shared" si="5888"/>
        <v>0</v>
      </c>
      <c r="HY167" s="74">
        <f t="shared" si="5888"/>
        <v>0</v>
      </c>
      <c r="HZ167" s="74">
        <f t="shared" si="5888"/>
        <v>0</v>
      </c>
      <c r="IA167" s="74">
        <f t="shared" si="5888"/>
        <v>0</v>
      </c>
      <c r="IB167" s="74">
        <f t="shared" si="5888"/>
        <v>0</v>
      </c>
      <c r="IC167" s="74">
        <f t="shared" si="5888"/>
        <v>0</v>
      </c>
      <c r="ID167" s="74">
        <f t="shared" si="5888"/>
        <v>0</v>
      </c>
      <c r="IE167" s="792">
        <f t="shared" si="5888"/>
        <v>0</v>
      </c>
      <c r="IF167" s="841">
        <f t="shared" si="5888"/>
        <v>0</v>
      </c>
      <c r="IG167" s="263">
        <f t="shared" si="5888"/>
        <v>0</v>
      </c>
      <c r="IH167" s="842">
        <f t="shared" si="5888"/>
        <v>0</v>
      </c>
      <c r="II167" s="155">
        <f t="shared" si="5888"/>
        <v>0</v>
      </c>
      <c r="IJ167" s="74">
        <f t="shared" si="5888"/>
        <v>0</v>
      </c>
      <c r="IK167" s="74">
        <f t="shared" si="5888"/>
        <v>0</v>
      </c>
      <c r="IL167" s="74">
        <f t="shared" si="5888"/>
        <v>0</v>
      </c>
      <c r="IM167" s="74">
        <f t="shared" si="5888"/>
        <v>0</v>
      </c>
      <c r="IN167" s="74">
        <f t="shared" si="5888"/>
        <v>0</v>
      </c>
      <c r="IO167" s="74">
        <f t="shared" si="5888"/>
        <v>0</v>
      </c>
      <c r="IP167" s="74">
        <f t="shared" si="5888"/>
        <v>0</v>
      </c>
      <c r="IQ167" s="74">
        <f t="shared" si="5888"/>
        <v>0</v>
      </c>
      <c r="IR167" s="74">
        <f t="shared" si="5888"/>
        <v>0</v>
      </c>
      <c r="IS167" s="74">
        <f t="shared" si="5888"/>
        <v>0</v>
      </c>
      <c r="IT167" s="74">
        <f t="shared" si="5888"/>
        <v>0</v>
      </c>
      <c r="IU167" s="74">
        <f t="shared" si="5888"/>
        <v>0</v>
      </c>
      <c r="IV167" s="74">
        <f t="shared" si="5888"/>
        <v>0</v>
      </c>
      <c r="IW167" s="74">
        <f t="shared" si="5888"/>
        <v>0</v>
      </c>
      <c r="IX167" s="74">
        <f t="shared" si="5888"/>
        <v>0</v>
      </c>
      <c r="IY167" s="74">
        <f t="shared" si="5888"/>
        <v>0</v>
      </c>
      <c r="IZ167" s="74">
        <f t="shared" si="5888"/>
        <v>0</v>
      </c>
      <c r="JA167" s="74">
        <f t="shared" si="5888"/>
        <v>0</v>
      </c>
      <c r="JB167" s="74">
        <f t="shared" ref="JB167:JT167" si="5890">SUM(JB168:JB170)</f>
        <v>0</v>
      </c>
      <c r="JC167" s="74">
        <f t="shared" si="5890"/>
        <v>0</v>
      </c>
      <c r="JD167" s="74">
        <f t="shared" si="5890"/>
        <v>0</v>
      </c>
      <c r="JE167" s="74">
        <f t="shared" si="5890"/>
        <v>0</v>
      </c>
      <c r="JF167" s="74">
        <f t="shared" si="5890"/>
        <v>0</v>
      </c>
      <c r="JG167" s="74">
        <f t="shared" si="5890"/>
        <v>0</v>
      </c>
      <c r="JH167" s="74">
        <f t="shared" si="5890"/>
        <v>0</v>
      </c>
      <c r="JI167" s="74">
        <f t="shared" si="5890"/>
        <v>0</v>
      </c>
      <c r="JJ167" s="74">
        <f t="shared" si="5890"/>
        <v>0</v>
      </c>
      <c r="JK167" s="74">
        <f t="shared" si="5890"/>
        <v>0</v>
      </c>
      <c r="JL167" s="74">
        <f t="shared" si="5890"/>
        <v>0</v>
      </c>
      <c r="JM167" s="74">
        <f t="shared" si="5890"/>
        <v>0</v>
      </c>
      <c r="JN167" s="74">
        <f t="shared" si="5890"/>
        <v>0</v>
      </c>
      <c r="JO167" s="74">
        <f t="shared" si="5890"/>
        <v>0</v>
      </c>
      <c r="JP167" s="74">
        <f t="shared" si="5890"/>
        <v>0</v>
      </c>
      <c r="JQ167" s="74">
        <f t="shared" si="5890"/>
        <v>0</v>
      </c>
      <c r="JR167" s="74">
        <f t="shared" si="5890"/>
        <v>0</v>
      </c>
      <c r="JS167" s="74">
        <f t="shared" si="5890"/>
        <v>0</v>
      </c>
      <c r="JT167" s="382">
        <f t="shared" si="5890"/>
        <v>0</v>
      </c>
      <c r="JU167" s="670"/>
      <c r="JV167" s="489"/>
      <c r="JW167" s="490"/>
      <c r="JX167" s="549">
        <f>SUM(JX168:JX170)</f>
        <v>0</v>
      </c>
      <c r="JY167" s="549">
        <f>SUM(JY168:JY170)</f>
        <v>0</v>
      </c>
      <c r="JZ167" s="581">
        <f t="shared" si="4944"/>
        <v>0</v>
      </c>
      <c r="KA167" s="581">
        <f t="shared" si="4945"/>
        <v>0</v>
      </c>
      <c r="KB167" s="549">
        <f>SUM(KB168:KB170)</f>
        <v>0</v>
      </c>
      <c r="KC167" s="709">
        <f t="shared" si="4908"/>
        <v>0</v>
      </c>
      <c r="KD167" s="36"/>
      <c r="KE167" s="36"/>
      <c r="KF167" s="36"/>
      <c r="KG167" s="36"/>
      <c r="KH167" s="36"/>
      <c r="KI167" s="36"/>
      <c r="KJ167" s="36"/>
      <c r="KK167" s="36"/>
    </row>
    <row r="168" spans="1:297" s="8" customFormat="1" ht="12.75" hidden="1" customHeight="1">
      <c r="A168" s="262" t="s">
        <v>797</v>
      </c>
      <c r="B168" s="72"/>
      <c r="C168" s="74">
        <f t="shared" ref="C168:M170" si="5891">C501</f>
        <v>0</v>
      </c>
      <c r="D168" s="549">
        <f t="shared" ref="D168" si="5892">+D327</f>
        <v>0</v>
      </c>
      <c r="E168" s="675">
        <f t="shared" ref="E168" si="5893">E327</f>
        <v>0</v>
      </c>
      <c r="F168" s="549">
        <f t="shared" ref="F168" si="5894">+F327</f>
        <v>0</v>
      </c>
      <c r="G168" s="675">
        <f t="shared" ref="G168" si="5895">G327</f>
        <v>0</v>
      </c>
      <c r="H168" s="549">
        <f t="shared" ref="H168" si="5896">+H327</f>
        <v>0</v>
      </c>
      <c r="I168" s="675">
        <f t="shared" ref="I168" si="5897">I327</f>
        <v>0</v>
      </c>
      <c r="J168" s="549">
        <f t="shared" ref="J168" si="5898">+J327</f>
        <v>0</v>
      </c>
      <c r="K168" s="675">
        <f t="shared" ref="K168" si="5899">K327</f>
        <v>0</v>
      </c>
      <c r="L168" s="549">
        <f t="shared" ref="L168" si="5900">+L327</f>
        <v>0</v>
      </c>
      <c r="M168" s="675">
        <f t="shared" ref="M168" si="5901">M327</f>
        <v>0</v>
      </c>
      <c r="N168" s="549">
        <f t="shared" ref="N168" si="5902">+N327</f>
        <v>0</v>
      </c>
      <c r="O168" s="675">
        <f t="shared" ref="O168" si="5903">O327</f>
        <v>0</v>
      </c>
      <c r="P168" s="549">
        <f t="shared" ref="P168" si="5904">+P327</f>
        <v>0</v>
      </c>
      <c r="Q168" s="675">
        <f t="shared" ref="Q168" si="5905">Q327</f>
        <v>0</v>
      </c>
      <c r="R168" s="549">
        <f t="shared" ref="R168" si="5906">+R327</f>
        <v>0</v>
      </c>
      <c r="S168" s="675">
        <f t="shared" ref="S168" si="5907">S327</f>
        <v>0</v>
      </c>
      <c r="T168" s="549">
        <f t="shared" ref="T168" si="5908">+T327</f>
        <v>0</v>
      </c>
      <c r="U168" s="675">
        <f t="shared" ref="U168" si="5909">U327</f>
        <v>0</v>
      </c>
      <c r="V168" s="549">
        <f t="shared" ref="V168" si="5910">+V327</f>
        <v>0</v>
      </c>
      <c r="W168" s="675">
        <f t="shared" ref="W168" si="5911">W327</f>
        <v>0</v>
      </c>
      <c r="X168" s="549">
        <f t="shared" ref="X168" si="5912">+X327</f>
        <v>0</v>
      </c>
      <c r="Y168" s="675">
        <f t="shared" ref="Y168" si="5913">Y327</f>
        <v>0</v>
      </c>
      <c r="Z168" s="549">
        <f t="shared" ref="Z168" si="5914">+Z327</f>
        <v>0</v>
      </c>
      <c r="AA168" s="675">
        <f t="shared" ref="AA168" si="5915">AA327</f>
        <v>0</v>
      </c>
      <c r="AB168" s="549">
        <f t="shared" ref="AB168" si="5916">+AB327</f>
        <v>0</v>
      </c>
      <c r="AC168" s="675">
        <f t="shared" ref="AC168" si="5917">AC327</f>
        <v>0</v>
      </c>
      <c r="AD168" s="549">
        <f t="shared" ref="AD168" si="5918">+AD327</f>
        <v>0</v>
      </c>
      <c r="AE168" s="675">
        <f t="shared" ref="AE168" si="5919">AE327</f>
        <v>0</v>
      </c>
      <c r="AF168" s="549">
        <f t="shared" ref="AF168" si="5920">+AF327</f>
        <v>0</v>
      </c>
      <c r="AG168" s="675">
        <f t="shared" ref="AG168" si="5921">AG327</f>
        <v>0</v>
      </c>
      <c r="AH168" s="549">
        <f t="shared" ref="AH168" si="5922">+AH327</f>
        <v>0</v>
      </c>
      <c r="AI168" s="675">
        <f t="shared" ref="AI168" si="5923">AI327</f>
        <v>0</v>
      </c>
      <c r="AJ168" s="549">
        <f t="shared" ref="AJ168" si="5924">+AJ327</f>
        <v>0</v>
      </c>
      <c r="AK168" s="675">
        <f t="shared" ref="AK168" si="5925">AK327</f>
        <v>0</v>
      </c>
      <c r="AL168" s="549">
        <f t="shared" ref="AL168" si="5926">+AL327</f>
        <v>0</v>
      </c>
      <c r="AM168" s="675">
        <f t="shared" ref="AM168" si="5927">AM327</f>
        <v>0</v>
      </c>
      <c r="AN168" s="549">
        <f t="shared" ref="AN168" si="5928">+AN327</f>
        <v>0</v>
      </c>
      <c r="AO168" s="675">
        <f t="shared" ref="AO168" si="5929">AO327</f>
        <v>0</v>
      </c>
      <c r="AP168" s="549">
        <f t="shared" ref="AP168" si="5930">+AP327</f>
        <v>0</v>
      </c>
      <c r="AQ168" s="675">
        <f t="shared" ref="AQ168" si="5931">AQ327</f>
        <v>0</v>
      </c>
      <c r="AR168" s="549">
        <f t="shared" ref="AR168" si="5932">+AR327</f>
        <v>0</v>
      </c>
      <c r="AS168" s="675">
        <f t="shared" ref="AS168" si="5933">AS327</f>
        <v>0</v>
      </c>
      <c r="AT168" s="549">
        <f t="shared" ref="AT168" si="5934">+AT327</f>
        <v>0</v>
      </c>
      <c r="AU168" s="675">
        <f t="shared" ref="AU168" si="5935">AU327</f>
        <v>0</v>
      </c>
      <c r="AV168" s="549">
        <f t="shared" ref="AV168" si="5936">+AV327</f>
        <v>0</v>
      </c>
      <c r="AW168" s="675">
        <f t="shared" ref="AW168" si="5937">AW327</f>
        <v>0</v>
      </c>
      <c r="AX168" s="549">
        <f t="shared" ref="AX168:AZ168" si="5938">+AX327</f>
        <v>0</v>
      </c>
      <c r="AY168" s="675">
        <f t="shared" ref="AY168:BA168" si="5939">AY327</f>
        <v>0</v>
      </c>
      <c r="AZ168" s="549">
        <f t="shared" si="5938"/>
        <v>0</v>
      </c>
      <c r="BA168" s="675">
        <f t="shared" si="5939"/>
        <v>0</v>
      </c>
      <c r="BB168" s="549">
        <f t="shared" ref="BB168" si="5940">+BB327</f>
        <v>0</v>
      </c>
      <c r="BC168" s="675">
        <f t="shared" ref="BC168" si="5941">BC327</f>
        <v>0</v>
      </c>
      <c r="BD168" s="549">
        <f t="shared" ref="BD168" si="5942">+BD327</f>
        <v>0</v>
      </c>
      <c r="BE168" s="675">
        <f t="shared" ref="BE168" si="5943">BE327</f>
        <v>0</v>
      </c>
      <c r="BF168" s="549">
        <f t="shared" ref="BF168" si="5944">+BF327</f>
        <v>0</v>
      </c>
      <c r="BG168" s="675">
        <f t="shared" ref="BG168" si="5945">BG327</f>
        <v>0</v>
      </c>
      <c r="BH168" s="549">
        <f t="shared" ref="BH168" si="5946">+BH327</f>
        <v>0</v>
      </c>
      <c r="BI168" s="675">
        <f t="shared" ref="BI168" si="5947">BI327</f>
        <v>0</v>
      </c>
      <c r="BJ168" s="549">
        <f t="shared" ref="BJ168" si="5948">+BJ327</f>
        <v>0</v>
      </c>
      <c r="BK168" s="675">
        <f t="shared" ref="BK168" si="5949">BK327</f>
        <v>0</v>
      </c>
      <c r="BL168" s="549">
        <f t="shared" ref="BL168" si="5950">+BL327</f>
        <v>0</v>
      </c>
      <c r="BM168" s="675">
        <f t="shared" ref="BM168" si="5951">BM327</f>
        <v>0</v>
      </c>
      <c r="BN168" s="549">
        <f t="shared" ref="BN168" si="5952">+BN327</f>
        <v>0</v>
      </c>
      <c r="BO168" s="675">
        <f t="shared" ref="BO168" si="5953">BO327</f>
        <v>0</v>
      </c>
      <c r="BP168" s="549">
        <f t="shared" ref="BP168" si="5954">+BP327</f>
        <v>0</v>
      </c>
      <c r="BQ168" s="675">
        <f t="shared" ref="BQ168" si="5955">BQ327</f>
        <v>0</v>
      </c>
      <c r="BR168" s="549">
        <f t="shared" ref="BR168" si="5956">+BR327</f>
        <v>0</v>
      </c>
      <c r="BS168" s="675">
        <f t="shared" ref="BS168" si="5957">BS327</f>
        <v>0</v>
      </c>
      <c r="BT168" s="549">
        <f t="shared" ref="BT168" si="5958">+BT327</f>
        <v>0</v>
      </c>
      <c r="BU168" s="675">
        <f t="shared" ref="BU168" si="5959">BU327</f>
        <v>0</v>
      </c>
      <c r="BV168" s="549">
        <f t="shared" ref="BV168" si="5960">+BV327</f>
        <v>0</v>
      </c>
      <c r="BW168" s="675">
        <f t="shared" ref="BW168" si="5961">BW327</f>
        <v>0</v>
      </c>
      <c r="BX168" s="549">
        <f t="shared" ref="BX168" si="5962">+BX327</f>
        <v>0</v>
      </c>
      <c r="BY168" s="675">
        <f t="shared" ref="BY168" si="5963">BY327</f>
        <v>0</v>
      </c>
      <c r="BZ168" s="549">
        <f t="shared" ref="BZ168" si="5964">+BZ327</f>
        <v>0</v>
      </c>
      <c r="CA168" s="675">
        <f t="shared" ref="CA168:CC168" si="5965">CA327</f>
        <v>0</v>
      </c>
      <c r="CB168" s="549">
        <f t="shared" ref="CB168" si="5966">+CB327</f>
        <v>0</v>
      </c>
      <c r="CC168" s="675">
        <f t="shared" si="5965"/>
        <v>0</v>
      </c>
      <c r="CD168" s="549">
        <f t="shared" ref="CD168" si="5967">+CD327</f>
        <v>0</v>
      </c>
      <c r="CE168" s="675">
        <f t="shared" ref="CE168" si="5968">CE327</f>
        <v>0</v>
      </c>
      <c r="CF168" s="549">
        <f t="shared" ref="CF168" si="5969">+CF327</f>
        <v>0</v>
      </c>
      <c r="CG168" s="675">
        <f t="shared" ref="CG168" si="5970">CG327</f>
        <v>0</v>
      </c>
      <c r="CH168" s="549">
        <f t="shared" ref="CH168" si="5971">+CH327</f>
        <v>0</v>
      </c>
      <c r="CI168" s="675">
        <f t="shared" ref="CI168" si="5972">CI327</f>
        <v>0</v>
      </c>
      <c r="CJ168" s="549">
        <f t="shared" ref="CJ168" si="5973">+CJ327</f>
        <v>0</v>
      </c>
      <c r="CK168" s="675">
        <f t="shared" ref="CK168" si="5974">CK327</f>
        <v>0</v>
      </c>
      <c r="CL168" s="549">
        <f t="shared" ref="CL168" si="5975">+CL327</f>
        <v>0</v>
      </c>
      <c r="CM168" s="675">
        <f t="shared" ref="CM168" si="5976">CM327</f>
        <v>0</v>
      </c>
      <c r="CN168" s="549">
        <f t="shared" ref="CN168" si="5977">+CN327</f>
        <v>0</v>
      </c>
      <c r="CO168" s="675">
        <f t="shared" ref="CO168" si="5978">CO327</f>
        <v>0</v>
      </c>
      <c r="CP168" s="549">
        <f t="shared" ref="CP168" si="5979">+CP327</f>
        <v>0</v>
      </c>
      <c r="CQ168" s="675">
        <f t="shared" ref="CQ168" si="5980">CQ327</f>
        <v>0</v>
      </c>
      <c r="CR168" s="549">
        <f t="shared" ref="CR168" si="5981">+CR327</f>
        <v>0</v>
      </c>
      <c r="CS168" s="675">
        <f t="shared" ref="CS168" si="5982">CS327</f>
        <v>0</v>
      </c>
      <c r="CT168" s="549">
        <f t="shared" ref="CT168" si="5983">+CT327</f>
        <v>0</v>
      </c>
      <c r="CU168" s="675">
        <f t="shared" ref="CU168" si="5984">CU327</f>
        <v>0</v>
      </c>
      <c r="CV168" s="549">
        <f t="shared" ref="CV168" si="5985">+CV327</f>
        <v>0</v>
      </c>
      <c r="CW168" s="675">
        <f t="shared" ref="CW168" si="5986">CW327</f>
        <v>0</v>
      </c>
      <c r="CX168" s="549">
        <f t="shared" ref="CX168" si="5987">+CX327</f>
        <v>0</v>
      </c>
      <c r="CY168" s="675">
        <f t="shared" ref="CY168" si="5988">CY327</f>
        <v>0</v>
      </c>
      <c r="CZ168" s="549">
        <f t="shared" ref="CZ168" si="5989">+CZ327</f>
        <v>0</v>
      </c>
      <c r="DA168" s="675">
        <f t="shared" ref="DA168" si="5990">DA327</f>
        <v>0</v>
      </c>
      <c r="DB168" s="549">
        <f t="shared" ref="DB168" si="5991">+DB327</f>
        <v>0</v>
      </c>
      <c r="DC168" s="675">
        <f t="shared" ref="DC168" si="5992">DC327</f>
        <v>0</v>
      </c>
      <c r="DD168" s="549">
        <f t="shared" ref="DD168" si="5993">+DD327</f>
        <v>0</v>
      </c>
      <c r="DE168" s="675">
        <f t="shared" ref="DE168" si="5994">DE327</f>
        <v>0</v>
      </c>
      <c r="DF168" s="549">
        <f t="shared" ref="DF168" si="5995">+DF327</f>
        <v>0</v>
      </c>
      <c r="DG168" s="675">
        <f t="shared" ref="DG168" si="5996">DG327</f>
        <v>0</v>
      </c>
      <c r="DH168" s="549">
        <f t="shared" ref="DH168" si="5997">+DH327</f>
        <v>0</v>
      </c>
      <c r="DI168" s="675">
        <f t="shared" ref="DI168" si="5998">DI327</f>
        <v>0</v>
      </c>
      <c r="DJ168" s="549">
        <f t="shared" ref="DJ168" si="5999">+DJ327</f>
        <v>0</v>
      </c>
      <c r="DK168" s="675">
        <f t="shared" ref="DK168" si="6000">DK327</f>
        <v>0</v>
      </c>
      <c r="DL168" s="549">
        <f t="shared" ref="DL168" si="6001">+DL327</f>
        <v>0</v>
      </c>
      <c r="DM168" s="675">
        <f t="shared" ref="DM168" si="6002">DM327</f>
        <v>0</v>
      </c>
      <c r="DN168" s="549">
        <f t="shared" ref="DN168" si="6003">+DN327</f>
        <v>0</v>
      </c>
      <c r="DO168" s="675">
        <f t="shared" ref="DO168" si="6004">DO327</f>
        <v>0</v>
      </c>
      <c r="DP168" s="549">
        <f t="shared" ref="DP168" si="6005">+DP327</f>
        <v>0</v>
      </c>
      <c r="DQ168" s="675">
        <f t="shared" ref="DQ168" si="6006">DQ327</f>
        <v>0</v>
      </c>
      <c r="DR168" s="549">
        <f t="shared" ref="DR168" si="6007">+DR327</f>
        <v>0</v>
      </c>
      <c r="DS168" s="675">
        <f t="shared" ref="DS168" si="6008">DS327</f>
        <v>0</v>
      </c>
      <c r="DT168" s="549">
        <f t="shared" ref="DT168" si="6009">+DT327</f>
        <v>0</v>
      </c>
      <c r="DU168" s="675">
        <f t="shared" ref="DU168" si="6010">DU327</f>
        <v>0</v>
      </c>
      <c r="DV168" s="549">
        <f t="shared" ref="DV168" si="6011">+DV327</f>
        <v>0</v>
      </c>
      <c r="DW168" s="675">
        <f t="shared" ref="DW168" si="6012">DW327</f>
        <v>0</v>
      </c>
      <c r="DX168" s="549">
        <f t="shared" ref="DX168" si="6013">+DX327</f>
        <v>0</v>
      </c>
      <c r="DY168" s="675">
        <f t="shared" ref="DY168" si="6014">DY327</f>
        <v>0</v>
      </c>
      <c r="DZ168" s="549">
        <f t="shared" ref="DZ168" si="6015">+DZ327</f>
        <v>0</v>
      </c>
      <c r="EA168" s="675">
        <f t="shared" ref="EA168" si="6016">EA327</f>
        <v>0</v>
      </c>
      <c r="EB168" s="549">
        <f t="shared" ref="EB168" si="6017">+EB327</f>
        <v>0</v>
      </c>
      <c r="EC168" s="675">
        <f t="shared" ref="EC168" si="6018">EC327</f>
        <v>0</v>
      </c>
      <c r="ED168" s="549">
        <f t="shared" ref="ED168" si="6019">+ED327</f>
        <v>0</v>
      </c>
      <c r="EE168" s="675">
        <f t="shared" ref="EE168" si="6020">EE327</f>
        <v>0</v>
      </c>
      <c r="EF168" s="549">
        <f t="shared" ref="EF168" si="6021">+EF327</f>
        <v>0</v>
      </c>
      <c r="EG168" s="675">
        <f t="shared" ref="EG168" si="6022">EG327</f>
        <v>0</v>
      </c>
      <c r="EH168" s="549">
        <f t="shared" ref="EH168" si="6023">+EH327</f>
        <v>0</v>
      </c>
      <c r="EI168" s="675">
        <f t="shared" ref="EI168" si="6024">EI327</f>
        <v>0</v>
      </c>
      <c r="EJ168" s="549">
        <f t="shared" ref="EJ168" si="6025">+EJ327</f>
        <v>0</v>
      </c>
      <c r="EK168" s="675">
        <f t="shared" ref="EK168" si="6026">EK327</f>
        <v>0</v>
      </c>
      <c r="EL168" s="549">
        <f t="shared" ref="EL168" si="6027">+EL327</f>
        <v>0</v>
      </c>
      <c r="EM168" s="675">
        <f t="shared" ref="EM168" si="6028">EM327</f>
        <v>0</v>
      </c>
      <c r="EN168" s="549">
        <f t="shared" ref="EN168" si="6029">+EN327</f>
        <v>0</v>
      </c>
      <c r="EO168" s="675">
        <f t="shared" ref="EO168" si="6030">EO327</f>
        <v>0</v>
      </c>
      <c r="EP168" s="549">
        <f t="shared" ref="EP168" si="6031">+EP327</f>
        <v>0</v>
      </c>
      <c r="EQ168" s="675">
        <f t="shared" ref="EQ168" si="6032">EQ327</f>
        <v>0</v>
      </c>
      <c r="ER168" s="549">
        <f t="shared" ref="ER168" si="6033">+ER327</f>
        <v>0</v>
      </c>
      <c r="ES168" s="675">
        <f t="shared" ref="ES168" si="6034">ES327</f>
        <v>0</v>
      </c>
      <c r="ET168" s="549">
        <f t="shared" ref="ET168" si="6035">+ET327</f>
        <v>0</v>
      </c>
      <c r="EU168" s="675">
        <f t="shared" ref="EU168" si="6036">EU327</f>
        <v>0</v>
      </c>
      <c r="EV168" s="549">
        <f t="shared" ref="EV168" si="6037">+EV327</f>
        <v>0</v>
      </c>
      <c r="EW168" s="675">
        <f t="shared" ref="EW168" si="6038">EW327</f>
        <v>0</v>
      </c>
      <c r="EX168" s="549">
        <f t="shared" ref="EX168" si="6039">+EX327</f>
        <v>0</v>
      </c>
      <c r="EY168" s="675">
        <f t="shared" ref="EY168" si="6040">EY327</f>
        <v>0</v>
      </c>
      <c r="EZ168" s="549">
        <f t="shared" ref="EZ168" si="6041">+EZ327</f>
        <v>0</v>
      </c>
      <c r="FA168" s="675">
        <f t="shared" ref="FA168" si="6042">FA327</f>
        <v>0</v>
      </c>
      <c r="FB168" s="549">
        <f t="shared" ref="FB168" si="6043">+FB327</f>
        <v>0</v>
      </c>
      <c r="FC168" s="675">
        <f t="shared" ref="FC168" si="6044">FC327</f>
        <v>0</v>
      </c>
      <c r="FD168" s="549">
        <f t="shared" ref="FD168" si="6045">+FD327</f>
        <v>0</v>
      </c>
      <c r="FE168" s="675">
        <f t="shared" ref="FE168" si="6046">FE327</f>
        <v>0</v>
      </c>
      <c r="FF168" s="549">
        <f t="shared" ref="FF168" si="6047">+FF327</f>
        <v>0</v>
      </c>
      <c r="FG168" s="675">
        <f t="shared" ref="FG168" si="6048">FG327</f>
        <v>0</v>
      </c>
      <c r="FH168" s="549">
        <f t="shared" ref="FH168" si="6049">+FH327</f>
        <v>0</v>
      </c>
      <c r="FI168" s="675">
        <f t="shared" ref="FI168" si="6050">FI327</f>
        <v>0</v>
      </c>
      <c r="FJ168" s="549">
        <f t="shared" ref="FJ168" si="6051">+FJ327</f>
        <v>0</v>
      </c>
      <c r="FK168" s="675">
        <f t="shared" ref="FK168" si="6052">FK327</f>
        <v>0</v>
      </c>
      <c r="FL168" s="549">
        <f t="shared" ref="FL168" si="6053">+FL327</f>
        <v>0</v>
      </c>
      <c r="FM168" s="675">
        <f t="shared" ref="FM168" si="6054">FM327</f>
        <v>0</v>
      </c>
      <c r="FN168" s="549">
        <f t="shared" ref="FN168" si="6055">+FN327</f>
        <v>0</v>
      </c>
      <c r="FO168" s="675">
        <f t="shared" ref="FO168" si="6056">FO327</f>
        <v>0</v>
      </c>
      <c r="FP168" s="549">
        <f t="shared" ref="FP168" si="6057">+FP327</f>
        <v>0</v>
      </c>
      <c r="FQ168" s="675">
        <f t="shared" ref="FQ168" si="6058">FQ327</f>
        <v>0</v>
      </c>
      <c r="FR168" s="549">
        <f t="shared" ref="FR168" si="6059">+FR327</f>
        <v>0</v>
      </c>
      <c r="FS168" s="675">
        <f t="shared" ref="FS168" si="6060">FS327</f>
        <v>0</v>
      </c>
      <c r="FT168" s="549">
        <f t="shared" ref="FT168" si="6061">+FT327</f>
        <v>0</v>
      </c>
      <c r="FU168" s="675">
        <f t="shared" ref="FU168" si="6062">FU327</f>
        <v>0</v>
      </c>
      <c r="FV168" s="549">
        <f t="shared" ref="FV168" si="6063">+FV327</f>
        <v>0</v>
      </c>
      <c r="FW168" s="675">
        <f t="shared" ref="FW168" si="6064">FW327</f>
        <v>0</v>
      </c>
      <c r="FX168" s="549">
        <f t="shared" ref="FX168" si="6065">+FX327</f>
        <v>0</v>
      </c>
      <c r="FY168" s="675">
        <f t="shared" ref="FY168" si="6066">FY327</f>
        <v>0</v>
      </c>
      <c r="FZ168" s="549">
        <f t="shared" ref="FZ168" si="6067">+FZ327</f>
        <v>0</v>
      </c>
      <c r="GA168" s="675">
        <f t="shared" ref="GA168" si="6068">GA327</f>
        <v>0</v>
      </c>
      <c r="GB168" s="549">
        <f t="shared" ref="GB168" si="6069">+GB327</f>
        <v>0</v>
      </c>
      <c r="GC168" s="675">
        <f t="shared" ref="GC168" si="6070">GC327</f>
        <v>0</v>
      </c>
      <c r="GD168" s="549">
        <f t="shared" ref="GD168" si="6071">+GD327</f>
        <v>0</v>
      </c>
      <c r="GE168" s="675">
        <f t="shared" ref="GE168" si="6072">GE327</f>
        <v>0</v>
      </c>
      <c r="GF168" s="549">
        <f t="shared" ref="GF168" si="6073">+GF327</f>
        <v>0</v>
      </c>
      <c r="GG168" s="675">
        <f t="shared" ref="GG168" si="6074">GG327</f>
        <v>0</v>
      </c>
      <c r="GH168" s="549">
        <f t="shared" ref="GH168" si="6075">+GH327</f>
        <v>0</v>
      </c>
      <c r="GI168" s="675">
        <f t="shared" ref="GI168" si="6076">GI327</f>
        <v>0</v>
      </c>
      <c r="GJ168" s="549">
        <f t="shared" ref="GJ168" si="6077">+GJ327</f>
        <v>0</v>
      </c>
      <c r="GK168" s="675">
        <f t="shared" ref="GK168" si="6078">GK327</f>
        <v>0</v>
      </c>
      <c r="GL168" s="549">
        <f t="shared" ref="GL168:GN168" si="6079">+GL327</f>
        <v>0</v>
      </c>
      <c r="GM168" s="675">
        <f t="shared" ref="GM168:GO168" si="6080">GM327</f>
        <v>0</v>
      </c>
      <c r="GN168" s="549">
        <f t="shared" si="6079"/>
        <v>0</v>
      </c>
      <c r="GO168" s="675">
        <f t="shared" si="6080"/>
        <v>0</v>
      </c>
      <c r="GP168" s="74">
        <f t="shared" ref="GP168:GT168" si="6081">GP327</f>
        <v>0</v>
      </c>
      <c r="GQ168" s="675">
        <f t="shared" si="6081"/>
        <v>0</v>
      </c>
      <c r="GR168" s="74">
        <f t="shared" si="6081"/>
        <v>0</v>
      </c>
      <c r="GS168" s="74">
        <f t="shared" si="6081"/>
        <v>0</v>
      </c>
      <c r="GT168" s="74">
        <f t="shared" si="6081"/>
        <v>0</v>
      </c>
      <c r="GU168" s="74">
        <f t="shared" ref="GU168:HA168" si="6082">GU501</f>
        <v>0</v>
      </c>
      <c r="GV168" s="74">
        <f t="shared" si="6082"/>
        <v>0</v>
      </c>
      <c r="GW168" s="549">
        <f t="shared" si="6082"/>
        <v>0</v>
      </c>
      <c r="GX168" s="549">
        <f t="shared" si="6082"/>
        <v>0</v>
      </c>
      <c r="GY168" s="74">
        <f t="shared" si="6082"/>
        <v>0</v>
      </c>
      <c r="GZ168" s="74">
        <f t="shared" si="6082"/>
        <v>0</v>
      </c>
      <c r="HA168" s="74">
        <f t="shared" si="6082"/>
        <v>0</v>
      </c>
      <c r="HB168" s="74">
        <f t="shared" ref="HB168:IC168" si="6083">HB501</f>
        <v>0</v>
      </c>
      <c r="HC168" s="74">
        <f t="shared" si="6083"/>
        <v>0</v>
      </c>
      <c r="HD168" s="74">
        <f t="shared" si="6083"/>
        <v>0</v>
      </c>
      <c r="HE168" s="74">
        <f t="shared" si="6083"/>
        <v>0</v>
      </c>
      <c r="HF168" s="74">
        <f t="shared" si="6083"/>
        <v>0</v>
      </c>
      <c r="HG168" s="74">
        <f>HG327</f>
        <v>0</v>
      </c>
      <c r="HH168" s="74">
        <f t="shared" ref="HH168:HU168" si="6084">HH501</f>
        <v>0</v>
      </c>
      <c r="HI168" s="74">
        <f t="shared" si="6084"/>
        <v>0</v>
      </c>
      <c r="HJ168" s="74">
        <f t="shared" si="6084"/>
        <v>0</v>
      </c>
      <c r="HK168" s="74">
        <f t="shared" si="6084"/>
        <v>0</v>
      </c>
      <c r="HL168" s="74">
        <f t="shared" si="6084"/>
        <v>0</v>
      </c>
      <c r="HM168" s="74">
        <f t="shared" si="6084"/>
        <v>0</v>
      </c>
      <c r="HN168" s="74">
        <f t="shared" si="6084"/>
        <v>0</v>
      </c>
      <c r="HO168" s="74">
        <f t="shared" si="6084"/>
        <v>0</v>
      </c>
      <c r="HP168" s="74">
        <f>HP327</f>
        <v>0</v>
      </c>
      <c r="HQ168" s="74">
        <f>HQ327</f>
        <v>0</v>
      </c>
      <c r="HR168" s="74">
        <f t="shared" si="6084"/>
        <v>0</v>
      </c>
      <c r="HS168" s="74">
        <f t="shared" si="6084"/>
        <v>0</v>
      </c>
      <c r="HT168" s="74">
        <f t="shared" si="6084"/>
        <v>0</v>
      </c>
      <c r="HU168" s="74">
        <f t="shared" si="6084"/>
        <v>0</v>
      </c>
      <c r="HV168" s="74">
        <f t="shared" si="6083"/>
        <v>0</v>
      </c>
      <c r="HW168" s="74">
        <f t="shared" si="6083"/>
        <v>0</v>
      </c>
      <c r="HX168" s="74">
        <f t="shared" si="6083"/>
        <v>0</v>
      </c>
      <c r="HY168" s="74">
        <f t="shared" si="6083"/>
        <v>0</v>
      </c>
      <c r="HZ168" s="74">
        <f t="shared" si="6083"/>
        <v>0</v>
      </c>
      <c r="IA168" s="74">
        <f t="shared" si="6083"/>
        <v>0</v>
      </c>
      <c r="IB168" s="74">
        <f t="shared" si="6083"/>
        <v>0</v>
      </c>
      <c r="IC168" s="74">
        <f t="shared" si="6083"/>
        <v>0</v>
      </c>
      <c r="ID168" s="74">
        <f t="shared" ref="ID168:JB168" si="6085">ID501</f>
        <v>0</v>
      </c>
      <c r="IE168" s="792">
        <f t="shared" si="6085"/>
        <v>0</v>
      </c>
      <c r="IF168" s="841">
        <f>IF327</f>
        <v>0</v>
      </c>
      <c r="IG168" s="263">
        <f>IG327</f>
        <v>0</v>
      </c>
      <c r="IH168" s="842">
        <f>IH327</f>
        <v>0</v>
      </c>
      <c r="II168" s="155">
        <f t="shared" si="6085"/>
        <v>0</v>
      </c>
      <c r="IJ168" s="74">
        <f t="shared" si="6085"/>
        <v>0</v>
      </c>
      <c r="IK168" s="74">
        <f t="shared" si="6085"/>
        <v>0</v>
      </c>
      <c r="IL168" s="74">
        <f t="shared" si="6085"/>
        <v>0</v>
      </c>
      <c r="IM168" s="74">
        <f t="shared" si="6085"/>
        <v>0</v>
      </c>
      <c r="IN168" s="74">
        <f t="shared" si="6085"/>
        <v>0</v>
      </c>
      <c r="IO168" s="74">
        <f t="shared" si="6085"/>
        <v>0</v>
      </c>
      <c r="IP168" s="74">
        <f t="shared" si="6085"/>
        <v>0</v>
      </c>
      <c r="IQ168" s="74">
        <f t="shared" si="6085"/>
        <v>0</v>
      </c>
      <c r="IR168" s="74">
        <f t="shared" si="6085"/>
        <v>0</v>
      </c>
      <c r="IS168" s="74">
        <f t="shared" si="6085"/>
        <v>0</v>
      </c>
      <c r="IT168" s="74">
        <f t="shared" si="6085"/>
        <v>0</v>
      </c>
      <c r="IU168" s="74">
        <f>IU327</f>
        <v>0</v>
      </c>
      <c r="IV168" s="74">
        <f>IV327</f>
        <v>0</v>
      </c>
      <c r="IW168" s="74">
        <f>IW327</f>
        <v>0</v>
      </c>
      <c r="IX168" s="74">
        <f t="shared" si="6085"/>
        <v>0</v>
      </c>
      <c r="IY168" s="74">
        <f t="shared" si="6085"/>
        <v>0</v>
      </c>
      <c r="IZ168" s="74">
        <f t="shared" si="6085"/>
        <v>0</v>
      </c>
      <c r="JA168" s="74">
        <f t="shared" si="6085"/>
        <v>0</v>
      </c>
      <c r="JB168" s="74">
        <f t="shared" si="6085"/>
        <v>0</v>
      </c>
      <c r="JC168" s="74">
        <f t="shared" ref="JC168:JR168" si="6086">JC501</f>
        <v>0</v>
      </c>
      <c r="JD168" s="74">
        <f t="shared" si="6086"/>
        <v>0</v>
      </c>
      <c r="JE168" s="74">
        <f t="shared" si="6086"/>
        <v>0</v>
      </c>
      <c r="JF168" s="74">
        <f t="shared" si="6086"/>
        <v>0</v>
      </c>
      <c r="JG168" s="74">
        <f t="shared" si="6086"/>
        <v>0</v>
      </c>
      <c r="JH168" s="74">
        <f t="shared" si="6086"/>
        <v>0</v>
      </c>
      <c r="JI168" s="74">
        <f t="shared" si="6086"/>
        <v>0</v>
      </c>
      <c r="JJ168" s="74">
        <f t="shared" si="6086"/>
        <v>0</v>
      </c>
      <c r="JK168" s="74">
        <f t="shared" si="6086"/>
        <v>0</v>
      </c>
      <c r="JL168" s="74">
        <f t="shared" si="6086"/>
        <v>0</v>
      </c>
      <c r="JM168" s="74">
        <f t="shared" si="6086"/>
        <v>0</v>
      </c>
      <c r="JN168" s="74">
        <f t="shared" si="6086"/>
        <v>0</v>
      </c>
      <c r="JO168" s="74">
        <f t="shared" si="6086"/>
        <v>0</v>
      </c>
      <c r="JP168" s="74">
        <f t="shared" si="6086"/>
        <v>0</v>
      </c>
      <c r="JQ168" s="74">
        <f t="shared" si="6086"/>
        <v>0</v>
      </c>
      <c r="JR168" s="74">
        <f t="shared" si="6086"/>
        <v>0</v>
      </c>
      <c r="JS168" s="74">
        <f>JS327</f>
        <v>0</v>
      </c>
      <c r="JT168" s="382">
        <f>JT327</f>
        <v>0</v>
      </c>
      <c r="JU168" s="670"/>
      <c r="JV168" s="489"/>
      <c r="JW168" s="490"/>
      <c r="JX168" s="549">
        <f>JX501+JX327</f>
        <v>0</v>
      </c>
      <c r="JY168" s="549">
        <f>JY501+JY327</f>
        <v>0</v>
      </c>
      <c r="JZ168" s="581">
        <f t="shared" si="4944"/>
        <v>0</v>
      </c>
      <c r="KA168" s="581">
        <f t="shared" si="4945"/>
        <v>0</v>
      </c>
      <c r="KB168" s="549">
        <f>KB501+KB327</f>
        <v>0</v>
      </c>
      <c r="KC168" s="709">
        <f t="shared" si="4908"/>
        <v>0</v>
      </c>
      <c r="KD168" s="36"/>
      <c r="KE168" s="36"/>
      <c r="KF168" s="36"/>
      <c r="KG168" s="36"/>
      <c r="KH168" s="36"/>
      <c r="KI168" s="36"/>
      <c r="KJ168" s="36"/>
      <c r="KK168" s="36"/>
    </row>
    <row r="169" spans="1:297" s="8" customFormat="1" ht="12.75" hidden="1" customHeight="1">
      <c r="A169" s="262" t="s">
        <v>798</v>
      </c>
      <c r="B169" s="72"/>
      <c r="C169" s="74">
        <f t="shared" si="5891"/>
        <v>0</v>
      </c>
      <c r="D169" s="549">
        <f t="shared" si="5891"/>
        <v>0</v>
      </c>
      <c r="E169" s="675">
        <f t="shared" si="5891"/>
        <v>0</v>
      </c>
      <c r="F169" s="549">
        <f t="shared" si="5891"/>
        <v>0</v>
      </c>
      <c r="G169" s="675">
        <f t="shared" si="5891"/>
        <v>0</v>
      </c>
      <c r="H169" s="549">
        <f t="shared" si="5891"/>
        <v>0</v>
      </c>
      <c r="I169" s="675">
        <f t="shared" si="5891"/>
        <v>0</v>
      </c>
      <c r="J169" s="549">
        <f t="shared" si="5891"/>
        <v>0</v>
      </c>
      <c r="K169" s="675">
        <f t="shared" si="5891"/>
        <v>0</v>
      </c>
      <c r="L169" s="549">
        <f t="shared" si="5891"/>
        <v>0</v>
      </c>
      <c r="M169" s="675">
        <f t="shared" si="5891"/>
        <v>0</v>
      </c>
      <c r="N169" s="549">
        <f t="shared" ref="N169:Q170" si="6087">N502</f>
        <v>0</v>
      </c>
      <c r="O169" s="675">
        <f t="shared" si="6087"/>
        <v>0</v>
      </c>
      <c r="P169" s="549">
        <f t="shared" si="6087"/>
        <v>0</v>
      </c>
      <c r="Q169" s="675">
        <f t="shared" si="6087"/>
        <v>0</v>
      </c>
      <c r="R169" s="549">
        <f t="shared" ref="R169:U170" si="6088">R502</f>
        <v>0</v>
      </c>
      <c r="S169" s="675">
        <f t="shared" si="6088"/>
        <v>0</v>
      </c>
      <c r="T169" s="549">
        <f t="shared" si="6088"/>
        <v>0</v>
      </c>
      <c r="U169" s="675">
        <f t="shared" si="6088"/>
        <v>0</v>
      </c>
      <c r="V169" s="549">
        <f t="shared" ref="V169:AC170" si="6089">V502</f>
        <v>0</v>
      </c>
      <c r="W169" s="675">
        <f t="shared" si="6089"/>
        <v>0</v>
      </c>
      <c r="X169" s="549">
        <f t="shared" ref="X169:Y170" si="6090">X502</f>
        <v>0</v>
      </c>
      <c r="Y169" s="675">
        <f t="shared" si="6090"/>
        <v>0</v>
      </c>
      <c r="Z169" s="549">
        <f t="shared" si="6089"/>
        <v>0</v>
      </c>
      <c r="AA169" s="675">
        <f t="shared" si="6089"/>
        <v>0</v>
      </c>
      <c r="AB169" s="549">
        <f t="shared" si="6089"/>
        <v>0</v>
      </c>
      <c r="AC169" s="675">
        <f t="shared" si="6089"/>
        <v>0</v>
      </c>
      <c r="AD169" s="549">
        <f t="shared" ref="AD169:AK169" si="6091">AD502</f>
        <v>0</v>
      </c>
      <c r="AE169" s="675">
        <f t="shared" si="6091"/>
        <v>0</v>
      </c>
      <c r="AF169" s="549">
        <f t="shared" si="6091"/>
        <v>0</v>
      </c>
      <c r="AG169" s="675">
        <f t="shared" si="6091"/>
        <v>0</v>
      </c>
      <c r="AH169" s="549">
        <f t="shared" si="6091"/>
        <v>0</v>
      </c>
      <c r="AI169" s="675">
        <f t="shared" si="6091"/>
        <v>0</v>
      </c>
      <c r="AJ169" s="549">
        <f t="shared" si="6091"/>
        <v>0</v>
      </c>
      <c r="AK169" s="675">
        <f t="shared" si="6091"/>
        <v>0</v>
      </c>
      <c r="AL169" s="549">
        <f t="shared" ref="AL169:AM170" si="6092">AL502</f>
        <v>0</v>
      </c>
      <c r="AM169" s="675">
        <f t="shared" si="6092"/>
        <v>0</v>
      </c>
      <c r="AN169" s="549">
        <f t="shared" ref="AN169:AQ170" si="6093">AN502</f>
        <v>0</v>
      </c>
      <c r="AO169" s="675">
        <f t="shared" si="6093"/>
        <v>0</v>
      </c>
      <c r="AP169" s="549">
        <f t="shared" si="6093"/>
        <v>0</v>
      </c>
      <c r="AQ169" s="675">
        <f t="shared" si="6093"/>
        <v>0</v>
      </c>
      <c r="AR169" s="549">
        <f t="shared" ref="AR169:AS170" si="6094">AR502</f>
        <v>0</v>
      </c>
      <c r="AS169" s="675">
        <f t="shared" si="6094"/>
        <v>0</v>
      </c>
      <c r="AT169" s="549">
        <f t="shared" ref="AT169:AU169" si="6095">AT502</f>
        <v>0</v>
      </c>
      <c r="AU169" s="675">
        <f t="shared" si="6095"/>
        <v>0</v>
      </c>
      <c r="AV169" s="549">
        <f t="shared" ref="AV169:AW169" si="6096">AV502</f>
        <v>0</v>
      </c>
      <c r="AW169" s="675">
        <f t="shared" si="6096"/>
        <v>0</v>
      </c>
      <c r="AX169" s="549">
        <f t="shared" ref="AX169:AY169" si="6097">AX502</f>
        <v>0</v>
      </c>
      <c r="AY169" s="675">
        <f t="shared" si="6097"/>
        <v>0</v>
      </c>
      <c r="AZ169" s="549">
        <f t="shared" ref="AZ169:BA169" si="6098">AZ502</f>
        <v>0</v>
      </c>
      <c r="BA169" s="675">
        <f t="shared" si="6098"/>
        <v>0</v>
      </c>
      <c r="BB169" s="549">
        <f t="shared" ref="BB169:BC169" si="6099">BB502</f>
        <v>0</v>
      </c>
      <c r="BC169" s="675">
        <f t="shared" si="6099"/>
        <v>0</v>
      </c>
      <c r="BD169" s="549">
        <f t="shared" ref="BD169:BE169" si="6100">BD502</f>
        <v>0</v>
      </c>
      <c r="BE169" s="675">
        <f t="shared" si="6100"/>
        <v>0</v>
      </c>
      <c r="BF169" s="549">
        <f t="shared" ref="BF169:BG169" si="6101">BF502</f>
        <v>0</v>
      </c>
      <c r="BG169" s="675">
        <f t="shared" si="6101"/>
        <v>0</v>
      </c>
      <c r="BH169" s="549">
        <f t="shared" ref="BH169:BI169" si="6102">BH502</f>
        <v>0</v>
      </c>
      <c r="BI169" s="675">
        <f t="shared" si="6102"/>
        <v>0</v>
      </c>
      <c r="BJ169" s="549">
        <f t="shared" ref="BJ169:BK169" si="6103">BJ502</f>
        <v>0</v>
      </c>
      <c r="BK169" s="675">
        <f t="shared" si="6103"/>
        <v>0</v>
      </c>
      <c r="BL169" s="549">
        <f t="shared" ref="BL169:BS169" si="6104">BL502</f>
        <v>0</v>
      </c>
      <c r="BM169" s="675">
        <f t="shared" si="6104"/>
        <v>0</v>
      </c>
      <c r="BN169" s="549">
        <f t="shared" si="6104"/>
        <v>0</v>
      </c>
      <c r="BO169" s="675">
        <f t="shared" si="6104"/>
        <v>0</v>
      </c>
      <c r="BP169" s="549">
        <f t="shared" si="6104"/>
        <v>0</v>
      </c>
      <c r="BQ169" s="675">
        <f t="shared" si="6104"/>
        <v>0</v>
      </c>
      <c r="BR169" s="549">
        <f t="shared" si="6104"/>
        <v>0</v>
      </c>
      <c r="BS169" s="675">
        <f t="shared" si="6104"/>
        <v>0</v>
      </c>
      <c r="BT169" s="549">
        <f t="shared" ref="BT169:BW170" si="6105">BT502</f>
        <v>0</v>
      </c>
      <c r="BU169" s="675">
        <f t="shared" si="6105"/>
        <v>0</v>
      </c>
      <c r="BV169" s="549">
        <f t="shared" si="6105"/>
        <v>0</v>
      </c>
      <c r="BW169" s="675">
        <f t="shared" si="6105"/>
        <v>0</v>
      </c>
      <c r="BX169" s="549">
        <f t="shared" ref="BX169:BY169" si="6106">BX502</f>
        <v>0</v>
      </c>
      <c r="BY169" s="675">
        <f t="shared" si="6106"/>
        <v>0</v>
      </c>
      <c r="BZ169" s="549">
        <f t="shared" ref="BZ169:CA169" si="6107">BZ502</f>
        <v>0</v>
      </c>
      <c r="CA169" s="675">
        <f t="shared" si="6107"/>
        <v>0</v>
      </c>
      <c r="CB169" s="549">
        <f t="shared" ref="CB169:CE169" si="6108">CB502</f>
        <v>0</v>
      </c>
      <c r="CC169" s="675">
        <f t="shared" si="6108"/>
        <v>0</v>
      </c>
      <c r="CD169" s="549">
        <f t="shared" si="6108"/>
        <v>0</v>
      </c>
      <c r="CE169" s="675">
        <f t="shared" si="6108"/>
        <v>0</v>
      </c>
      <c r="CF169" s="549">
        <f t="shared" ref="CF169:CG170" si="6109">CF502</f>
        <v>0</v>
      </c>
      <c r="CG169" s="675">
        <f t="shared" si="6109"/>
        <v>0</v>
      </c>
      <c r="CH169" s="549">
        <f t="shared" ref="CH169:CQ169" si="6110">CH502</f>
        <v>0</v>
      </c>
      <c r="CI169" s="675">
        <f t="shared" si="6110"/>
        <v>0</v>
      </c>
      <c r="CJ169" s="549">
        <f t="shared" si="6110"/>
        <v>0</v>
      </c>
      <c r="CK169" s="675">
        <f t="shared" si="6110"/>
        <v>0</v>
      </c>
      <c r="CL169" s="549">
        <f t="shared" si="6110"/>
        <v>0</v>
      </c>
      <c r="CM169" s="675">
        <f t="shared" si="6110"/>
        <v>0</v>
      </c>
      <c r="CN169" s="549">
        <f t="shared" si="6110"/>
        <v>0</v>
      </c>
      <c r="CO169" s="675">
        <f t="shared" si="6110"/>
        <v>0</v>
      </c>
      <c r="CP169" s="549">
        <f t="shared" si="6110"/>
        <v>0</v>
      </c>
      <c r="CQ169" s="675">
        <f t="shared" si="6110"/>
        <v>0</v>
      </c>
      <c r="CR169" s="549">
        <f t="shared" ref="CR169:CY170" si="6111">CR502</f>
        <v>0</v>
      </c>
      <c r="CS169" s="675">
        <f t="shared" si="6111"/>
        <v>0</v>
      </c>
      <c r="CT169" s="549">
        <f t="shared" si="6111"/>
        <v>0</v>
      </c>
      <c r="CU169" s="675">
        <f t="shared" si="6111"/>
        <v>0</v>
      </c>
      <c r="CV169" s="549">
        <f t="shared" si="6111"/>
        <v>0</v>
      </c>
      <c r="CW169" s="675">
        <f t="shared" si="6111"/>
        <v>0</v>
      </c>
      <c r="CX169" s="549">
        <f t="shared" si="6111"/>
        <v>0</v>
      </c>
      <c r="CY169" s="675">
        <f t="shared" si="6111"/>
        <v>0</v>
      </c>
      <c r="CZ169" s="549">
        <f t="shared" ref="CZ169:DG170" si="6112">CZ502</f>
        <v>0</v>
      </c>
      <c r="DA169" s="675">
        <f t="shared" si="6112"/>
        <v>0</v>
      </c>
      <c r="DB169" s="549">
        <f t="shared" si="6112"/>
        <v>0</v>
      </c>
      <c r="DC169" s="675">
        <f t="shared" si="6112"/>
        <v>0</v>
      </c>
      <c r="DD169" s="549">
        <f t="shared" ref="DD169:DE170" si="6113">DD502</f>
        <v>0</v>
      </c>
      <c r="DE169" s="675">
        <f t="shared" si="6113"/>
        <v>0</v>
      </c>
      <c r="DF169" s="549">
        <f t="shared" si="6112"/>
        <v>0</v>
      </c>
      <c r="DG169" s="675">
        <f t="shared" si="6112"/>
        <v>0</v>
      </c>
      <c r="DH169" s="549">
        <f t="shared" ref="DH169:DI170" si="6114">DH502</f>
        <v>0</v>
      </c>
      <c r="DI169" s="675">
        <f t="shared" si="6114"/>
        <v>0</v>
      </c>
      <c r="DJ169" s="549">
        <f t="shared" ref="DJ169:DM170" si="6115">DJ502</f>
        <v>0</v>
      </c>
      <c r="DK169" s="675">
        <f t="shared" si="6115"/>
        <v>0</v>
      </c>
      <c r="DL169" s="549">
        <f t="shared" si="6115"/>
        <v>0</v>
      </c>
      <c r="DM169" s="675">
        <f t="shared" si="6115"/>
        <v>0</v>
      </c>
      <c r="DN169" s="549">
        <f t="shared" ref="DN169:DO170" si="6116">DN502</f>
        <v>0</v>
      </c>
      <c r="DO169" s="675">
        <f t="shared" si="6116"/>
        <v>0</v>
      </c>
      <c r="DP169" s="549">
        <f t="shared" ref="DP169:DU169" si="6117">DP502</f>
        <v>0</v>
      </c>
      <c r="DQ169" s="675">
        <f t="shared" si="6117"/>
        <v>0</v>
      </c>
      <c r="DR169" s="549">
        <f t="shared" si="6117"/>
        <v>0</v>
      </c>
      <c r="DS169" s="675">
        <f t="shared" si="6117"/>
        <v>0</v>
      </c>
      <c r="DT169" s="549">
        <f t="shared" si="6117"/>
        <v>0</v>
      </c>
      <c r="DU169" s="675">
        <f t="shared" si="6117"/>
        <v>0</v>
      </c>
      <c r="DV169" s="549">
        <f t="shared" ref="DV169:DW170" si="6118">DV502</f>
        <v>0</v>
      </c>
      <c r="DW169" s="675">
        <f t="shared" si="6118"/>
        <v>0</v>
      </c>
      <c r="DX169" s="549">
        <f t="shared" ref="DX169:EA170" si="6119">DX502</f>
        <v>0</v>
      </c>
      <c r="DY169" s="675">
        <f t="shared" si="6119"/>
        <v>0</v>
      </c>
      <c r="DZ169" s="549">
        <f t="shared" si="6119"/>
        <v>0</v>
      </c>
      <c r="EA169" s="675">
        <f t="shared" si="6119"/>
        <v>0</v>
      </c>
      <c r="EB169" s="549">
        <f t="shared" ref="EB169:EM169" si="6120">EB502</f>
        <v>0</v>
      </c>
      <c r="EC169" s="675">
        <f t="shared" si="6120"/>
        <v>0</v>
      </c>
      <c r="ED169" s="549">
        <f t="shared" si="6120"/>
        <v>0</v>
      </c>
      <c r="EE169" s="675">
        <f t="shared" si="6120"/>
        <v>0</v>
      </c>
      <c r="EF169" s="549">
        <f t="shared" si="6120"/>
        <v>0</v>
      </c>
      <c r="EG169" s="675">
        <f t="shared" si="6120"/>
        <v>0</v>
      </c>
      <c r="EH169" s="549">
        <f t="shared" si="6120"/>
        <v>0</v>
      </c>
      <c r="EI169" s="675">
        <f t="shared" si="6120"/>
        <v>0</v>
      </c>
      <c r="EJ169" s="549">
        <f t="shared" si="6120"/>
        <v>0</v>
      </c>
      <c r="EK169" s="675">
        <f t="shared" si="6120"/>
        <v>0</v>
      </c>
      <c r="EL169" s="549">
        <f t="shared" si="6120"/>
        <v>0</v>
      </c>
      <c r="EM169" s="675">
        <f t="shared" si="6120"/>
        <v>0</v>
      </c>
      <c r="EN169" s="549">
        <f t="shared" ref="EN169:EO170" si="6121">EN502</f>
        <v>0</v>
      </c>
      <c r="EO169" s="675">
        <f t="shared" si="6121"/>
        <v>0</v>
      </c>
      <c r="EP169" s="549">
        <f t="shared" ref="EP169:FA169" si="6122">EP502</f>
        <v>0</v>
      </c>
      <c r="EQ169" s="675">
        <f t="shared" si="6122"/>
        <v>0</v>
      </c>
      <c r="ER169" s="549">
        <f t="shared" si="6122"/>
        <v>0</v>
      </c>
      <c r="ES169" s="675">
        <f t="shared" si="6122"/>
        <v>0</v>
      </c>
      <c r="ET169" s="549">
        <f t="shared" si="6122"/>
        <v>0</v>
      </c>
      <c r="EU169" s="675">
        <f t="shared" si="6122"/>
        <v>0</v>
      </c>
      <c r="EV169" s="549">
        <f t="shared" ref="EV169:EW169" si="6123">EV502</f>
        <v>0</v>
      </c>
      <c r="EW169" s="675">
        <f t="shared" si="6123"/>
        <v>0</v>
      </c>
      <c r="EX169" s="549">
        <f t="shared" si="6122"/>
        <v>0</v>
      </c>
      <c r="EY169" s="675">
        <f t="shared" si="6122"/>
        <v>0</v>
      </c>
      <c r="EZ169" s="549">
        <f t="shared" si="6122"/>
        <v>0</v>
      </c>
      <c r="FA169" s="675">
        <f t="shared" si="6122"/>
        <v>0</v>
      </c>
      <c r="FB169" s="549">
        <f t="shared" ref="FB169:GQ170" si="6124">FB502</f>
        <v>0</v>
      </c>
      <c r="FC169" s="675">
        <f t="shared" si="6124"/>
        <v>0</v>
      </c>
      <c r="FD169" s="549">
        <f t="shared" si="6124"/>
        <v>0</v>
      </c>
      <c r="FE169" s="675">
        <f t="shared" si="6124"/>
        <v>0</v>
      </c>
      <c r="FF169" s="549">
        <f t="shared" ref="FF169:FG169" si="6125">FF502</f>
        <v>0</v>
      </c>
      <c r="FG169" s="675">
        <f t="shared" si="6125"/>
        <v>0</v>
      </c>
      <c r="FH169" s="549">
        <f t="shared" ref="FH169:FI169" si="6126">FH502</f>
        <v>0</v>
      </c>
      <c r="FI169" s="675">
        <f t="shared" si="6126"/>
        <v>0</v>
      </c>
      <c r="FJ169" s="549">
        <f t="shared" ref="FJ169:FK169" si="6127">FJ502</f>
        <v>0</v>
      </c>
      <c r="FK169" s="675">
        <f t="shared" si="6127"/>
        <v>0</v>
      </c>
      <c r="FL169" s="549">
        <f t="shared" ref="FL169:FM169" si="6128">FL502</f>
        <v>0</v>
      </c>
      <c r="FM169" s="675">
        <f t="shared" si="6128"/>
        <v>0</v>
      </c>
      <c r="FN169" s="549">
        <f t="shared" ref="FN169:FO169" si="6129">FN502</f>
        <v>0</v>
      </c>
      <c r="FO169" s="675">
        <f t="shared" si="6129"/>
        <v>0</v>
      </c>
      <c r="FP169" s="549">
        <f t="shared" ref="FP169:FQ169" si="6130">FP502</f>
        <v>0</v>
      </c>
      <c r="FQ169" s="675">
        <f t="shared" si="6130"/>
        <v>0</v>
      </c>
      <c r="FR169" s="549">
        <f t="shared" ref="FR169:FS169" si="6131">FR502</f>
        <v>0</v>
      </c>
      <c r="FS169" s="675">
        <f t="shared" si="6131"/>
        <v>0</v>
      </c>
      <c r="FT169" s="549">
        <f t="shared" ref="FT169:FU169" si="6132">FT502</f>
        <v>0</v>
      </c>
      <c r="FU169" s="675">
        <f t="shared" si="6132"/>
        <v>0</v>
      </c>
      <c r="FV169" s="549">
        <f t="shared" ref="FV169:GK169" si="6133">FV502</f>
        <v>0</v>
      </c>
      <c r="FW169" s="675">
        <f t="shared" si="6133"/>
        <v>0</v>
      </c>
      <c r="FX169" s="549">
        <f t="shared" si="6133"/>
        <v>0</v>
      </c>
      <c r="FY169" s="675">
        <f t="shared" si="6133"/>
        <v>0</v>
      </c>
      <c r="FZ169" s="549">
        <f t="shared" ref="FZ169:GI169" si="6134">FZ502</f>
        <v>0</v>
      </c>
      <c r="GA169" s="675">
        <f t="shared" si="6134"/>
        <v>0</v>
      </c>
      <c r="GB169" s="549">
        <f t="shared" si="6134"/>
        <v>0</v>
      </c>
      <c r="GC169" s="675">
        <f t="shared" si="6134"/>
        <v>0</v>
      </c>
      <c r="GD169" s="549">
        <f t="shared" si="6134"/>
        <v>0</v>
      </c>
      <c r="GE169" s="675">
        <f t="shared" si="6134"/>
        <v>0</v>
      </c>
      <c r="GF169" s="549">
        <f t="shared" si="6134"/>
        <v>0</v>
      </c>
      <c r="GG169" s="675">
        <f t="shared" si="6134"/>
        <v>0</v>
      </c>
      <c r="GH169" s="549">
        <f t="shared" si="6134"/>
        <v>0</v>
      </c>
      <c r="GI169" s="675">
        <f t="shared" si="6134"/>
        <v>0</v>
      </c>
      <c r="GJ169" s="549">
        <f t="shared" si="6133"/>
        <v>0</v>
      </c>
      <c r="GK169" s="675">
        <f t="shared" si="6133"/>
        <v>0</v>
      </c>
      <c r="GL169" s="549">
        <f t="shared" ref="GL169:GM169" si="6135">GL502</f>
        <v>0</v>
      </c>
      <c r="GM169" s="675">
        <f t="shared" si="6135"/>
        <v>0</v>
      </c>
      <c r="GN169" s="549">
        <f t="shared" ref="GN169:GO169" si="6136">GN502</f>
        <v>0</v>
      </c>
      <c r="GO169" s="675">
        <f t="shared" si="6136"/>
        <v>0</v>
      </c>
      <c r="GP169" s="74">
        <f t="shared" si="6124"/>
        <v>0</v>
      </c>
      <c r="GQ169" s="675">
        <f t="shared" si="6124"/>
        <v>0</v>
      </c>
      <c r="GR169" s="74">
        <f t="shared" ref="GR169:JB169" si="6137">GR502</f>
        <v>0</v>
      </c>
      <c r="GS169" s="74">
        <f t="shared" si="6137"/>
        <v>0</v>
      </c>
      <c r="GT169" s="549">
        <f t="shared" si="6137"/>
        <v>0</v>
      </c>
      <c r="GU169" s="74">
        <f t="shared" si="6137"/>
        <v>0</v>
      </c>
      <c r="GV169" s="74">
        <f t="shared" si="6137"/>
        <v>0</v>
      </c>
      <c r="GW169" s="549">
        <f t="shared" si="6137"/>
        <v>0</v>
      </c>
      <c r="GX169" s="549">
        <f t="shared" si="6137"/>
        <v>0</v>
      </c>
      <c r="GY169" s="74">
        <f t="shared" si="6137"/>
        <v>0</v>
      </c>
      <c r="GZ169" s="74">
        <f t="shared" si="6137"/>
        <v>0</v>
      </c>
      <c r="HA169" s="74">
        <f t="shared" si="6137"/>
        <v>0</v>
      </c>
      <c r="HB169" s="74">
        <f t="shared" si="6137"/>
        <v>0</v>
      </c>
      <c r="HC169" s="74">
        <f t="shared" si="6137"/>
        <v>0</v>
      </c>
      <c r="HD169" s="74">
        <f t="shared" si="6137"/>
        <v>0</v>
      </c>
      <c r="HE169" s="74">
        <f t="shared" si="6137"/>
        <v>0</v>
      </c>
      <c r="HF169" s="74">
        <f t="shared" si="6137"/>
        <v>0</v>
      </c>
      <c r="HG169" s="74">
        <f t="shared" si="6137"/>
        <v>0</v>
      </c>
      <c r="HH169" s="74">
        <f t="shared" ref="HH169:HU169" si="6138">HH502</f>
        <v>0</v>
      </c>
      <c r="HI169" s="74">
        <f t="shared" si="6138"/>
        <v>0</v>
      </c>
      <c r="HJ169" s="74">
        <f t="shared" si="6138"/>
        <v>0</v>
      </c>
      <c r="HK169" s="74">
        <f t="shared" si="6138"/>
        <v>0</v>
      </c>
      <c r="HL169" s="74">
        <f t="shared" si="6138"/>
        <v>0</v>
      </c>
      <c r="HM169" s="74">
        <f t="shared" si="6138"/>
        <v>0</v>
      </c>
      <c r="HN169" s="74">
        <f t="shared" si="6138"/>
        <v>0</v>
      </c>
      <c r="HO169" s="74">
        <f t="shared" si="6138"/>
        <v>0</v>
      </c>
      <c r="HP169" s="74">
        <f t="shared" si="6138"/>
        <v>0</v>
      </c>
      <c r="HQ169" s="74">
        <f t="shared" si="6138"/>
        <v>0</v>
      </c>
      <c r="HR169" s="74">
        <f t="shared" si="6138"/>
        <v>0</v>
      </c>
      <c r="HS169" s="74">
        <f t="shared" si="6138"/>
        <v>0</v>
      </c>
      <c r="HT169" s="74">
        <f t="shared" si="6138"/>
        <v>0</v>
      </c>
      <c r="HU169" s="74">
        <f t="shared" si="6138"/>
        <v>0</v>
      </c>
      <c r="HV169" s="74">
        <f t="shared" si="6137"/>
        <v>0</v>
      </c>
      <c r="HW169" s="74">
        <f t="shared" si="6137"/>
        <v>0</v>
      </c>
      <c r="HX169" s="74">
        <f t="shared" si="6137"/>
        <v>0</v>
      </c>
      <c r="HY169" s="74">
        <f t="shared" si="6137"/>
        <v>0</v>
      </c>
      <c r="HZ169" s="74">
        <f t="shared" si="6137"/>
        <v>0</v>
      </c>
      <c r="IA169" s="74">
        <f t="shared" si="6137"/>
        <v>0</v>
      </c>
      <c r="IB169" s="74">
        <f t="shared" si="6137"/>
        <v>0</v>
      </c>
      <c r="IC169" s="74">
        <f t="shared" si="6137"/>
        <v>0</v>
      </c>
      <c r="ID169" s="74">
        <f t="shared" si="6137"/>
        <v>0</v>
      </c>
      <c r="IE169" s="792">
        <f t="shared" si="6137"/>
        <v>0</v>
      </c>
      <c r="IF169" s="841">
        <f t="shared" si="6137"/>
        <v>0</v>
      </c>
      <c r="IG169" s="263">
        <f t="shared" si="6137"/>
        <v>0</v>
      </c>
      <c r="IH169" s="842">
        <f t="shared" si="6137"/>
        <v>0</v>
      </c>
      <c r="II169" s="155">
        <f t="shared" si="6137"/>
        <v>0</v>
      </c>
      <c r="IJ169" s="74">
        <f t="shared" si="6137"/>
        <v>0</v>
      </c>
      <c r="IK169" s="74">
        <f t="shared" si="6137"/>
        <v>0</v>
      </c>
      <c r="IL169" s="74">
        <f t="shared" si="6137"/>
        <v>0</v>
      </c>
      <c r="IM169" s="74">
        <f t="shared" si="6137"/>
        <v>0</v>
      </c>
      <c r="IN169" s="74">
        <f t="shared" si="6137"/>
        <v>0</v>
      </c>
      <c r="IO169" s="74">
        <f t="shared" si="6137"/>
        <v>0</v>
      </c>
      <c r="IP169" s="74">
        <f t="shared" si="6137"/>
        <v>0</v>
      </c>
      <c r="IQ169" s="74">
        <f t="shared" si="6137"/>
        <v>0</v>
      </c>
      <c r="IR169" s="74">
        <f t="shared" si="6137"/>
        <v>0</v>
      </c>
      <c r="IS169" s="74">
        <f t="shared" si="6137"/>
        <v>0</v>
      </c>
      <c r="IT169" s="74">
        <f t="shared" si="6137"/>
        <v>0</v>
      </c>
      <c r="IU169" s="74">
        <f t="shared" si="6137"/>
        <v>0</v>
      </c>
      <c r="IV169" s="74">
        <f t="shared" si="6137"/>
        <v>0</v>
      </c>
      <c r="IW169" s="74">
        <f t="shared" si="6137"/>
        <v>0</v>
      </c>
      <c r="IX169" s="74">
        <f t="shared" si="6137"/>
        <v>0</v>
      </c>
      <c r="IY169" s="74">
        <f t="shared" si="6137"/>
        <v>0</v>
      </c>
      <c r="IZ169" s="74">
        <f t="shared" si="6137"/>
        <v>0</v>
      </c>
      <c r="JA169" s="74">
        <f t="shared" si="6137"/>
        <v>0</v>
      </c>
      <c r="JB169" s="74">
        <f t="shared" si="6137"/>
        <v>0</v>
      </c>
      <c r="JC169" s="74">
        <f t="shared" ref="JC169:JT169" si="6139">JC502</f>
        <v>0</v>
      </c>
      <c r="JD169" s="74">
        <f t="shared" si="6139"/>
        <v>0</v>
      </c>
      <c r="JE169" s="74">
        <f t="shared" si="6139"/>
        <v>0</v>
      </c>
      <c r="JF169" s="74">
        <f t="shared" si="6139"/>
        <v>0</v>
      </c>
      <c r="JG169" s="74">
        <f t="shared" si="6139"/>
        <v>0</v>
      </c>
      <c r="JH169" s="74">
        <f t="shared" si="6139"/>
        <v>0</v>
      </c>
      <c r="JI169" s="74">
        <f t="shared" si="6139"/>
        <v>0</v>
      </c>
      <c r="JJ169" s="74">
        <f t="shared" si="6139"/>
        <v>0</v>
      </c>
      <c r="JK169" s="74">
        <f t="shared" si="6139"/>
        <v>0</v>
      </c>
      <c r="JL169" s="74">
        <f t="shared" si="6139"/>
        <v>0</v>
      </c>
      <c r="JM169" s="74">
        <f t="shared" si="6139"/>
        <v>0</v>
      </c>
      <c r="JN169" s="74">
        <f t="shared" si="6139"/>
        <v>0</v>
      </c>
      <c r="JO169" s="74">
        <f t="shared" si="6139"/>
        <v>0</v>
      </c>
      <c r="JP169" s="74">
        <f t="shared" si="6139"/>
        <v>0</v>
      </c>
      <c r="JQ169" s="74">
        <f t="shared" si="6139"/>
        <v>0</v>
      </c>
      <c r="JR169" s="74">
        <f t="shared" si="6139"/>
        <v>0</v>
      </c>
      <c r="JS169" s="74">
        <f t="shared" si="6139"/>
        <v>0</v>
      </c>
      <c r="JT169" s="382">
        <f t="shared" si="6139"/>
        <v>0</v>
      </c>
      <c r="JU169" s="670"/>
      <c r="JV169" s="489"/>
      <c r="JW169" s="490"/>
      <c r="JX169" s="549">
        <f t="shared" ref="JX169:KB170" si="6140">JX502</f>
        <v>0</v>
      </c>
      <c r="JY169" s="549">
        <f t="shared" si="6140"/>
        <v>0</v>
      </c>
      <c r="JZ169" s="581">
        <f t="shared" si="4944"/>
        <v>0</v>
      </c>
      <c r="KA169" s="581">
        <f t="shared" si="4945"/>
        <v>0</v>
      </c>
      <c r="KB169" s="549">
        <f t="shared" si="6140"/>
        <v>0</v>
      </c>
      <c r="KC169" s="709">
        <f t="shared" si="4908"/>
        <v>0</v>
      </c>
      <c r="KD169" s="36"/>
      <c r="KE169" s="36"/>
      <c r="KF169" s="36"/>
      <c r="KG169" s="36"/>
      <c r="KH169" s="36"/>
      <c r="KI169" s="36"/>
      <c r="KJ169" s="36"/>
      <c r="KK169" s="36"/>
    </row>
    <row r="170" spans="1:297" s="8" customFormat="1" ht="12.75" hidden="1" customHeight="1">
      <c r="A170" s="262" t="s">
        <v>799</v>
      </c>
      <c r="B170" s="72"/>
      <c r="C170" s="74">
        <f t="shared" si="5891"/>
        <v>0</v>
      </c>
      <c r="D170" s="549">
        <f t="shared" si="5891"/>
        <v>0</v>
      </c>
      <c r="E170" s="675">
        <f t="shared" si="5891"/>
        <v>0</v>
      </c>
      <c r="F170" s="549">
        <f t="shared" si="5891"/>
        <v>0</v>
      </c>
      <c r="G170" s="675">
        <f t="shared" si="5891"/>
        <v>0</v>
      </c>
      <c r="H170" s="549">
        <f t="shared" si="5891"/>
        <v>0</v>
      </c>
      <c r="I170" s="675">
        <f t="shared" si="5891"/>
        <v>0</v>
      </c>
      <c r="J170" s="549">
        <f t="shared" si="5891"/>
        <v>0</v>
      </c>
      <c r="K170" s="675">
        <f t="shared" si="5891"/>
        <v>0</v>
      </c>
      <c r="L170" s="549">
        <f t="shared" si="5891"/>
        <v>0</v>
      </c>
      <c r="M170" s="675">
        <f t="shared" si="5891"/>
        <v>0</v>
      </c>
      <c r="N170" s="549">
        <f t="shared" si="6087"/>
        <v>0</v>
      </c>
      <c r="O170" s="675">
        <f t="shared" si="6087"/>
        <v>0</v>
      </c>
      <c r="P170" s="549">
        <f t="shared" si="6087"/>
        <v>0</v>
      </c>
      <c r="Q170" s="675">
        <f t="shared" si="6087"/>
        <v>0</v>
      </c>
      <c r="R170" s="549">
        <f t="shared" si="6088"/>
        <v>0</v>
      </c>
      <c r="S170" s="675">
        <f t="shared" si="6088"/>
        <v>0</v>
      </c>
      <c r="T170" s="549">
        <f t="shared" si="6088"/>
        <v>0</v>
      </c>
      <c r="U170" s="675">
        <f t="shared" si="6088"/>
        <v>0</v>
      </c>
      <c r="V170" s="549">
        <f t="shared" si="6089"/>
        <v>0</v>
      </c>
      <c r="W170" s="675">
        <f t="shared" si="6089"/>
        <v>0</v>
      </c>
      <c r="X170" s="549">
        <f t="shared" si="6090"/>
        <v>0</v>
      </c>
      <c r="Y170" s="675">
        <f t="shared" si="6090"/>
        <v>0</v>
      </c>
      <c r="Z170" s="549">
        <f t="shared" si="6089"/>
        <v>0</v>
      </c>
      <c r="AA170" s="675">
        <f t="shared" si="6089"/>
        <v>0</v>
      </c>
      <c r="AB170" s="549">
        <f t="shared" si="6089"/>
        <v>0</v>
      </c>
      <c r="AC170" s="675">
        <f t="shared" si="6089"/>
        <v>0</v>
      </c>
      <c r="AD170" s="549">
        <f t="shared" ref="AD170:AK170" si="6141">AD503</f>
        <v>0</v>
      </c>
      <c r="AE170" s="675">
        <f t="shared" si="6141"/>
        <v>0</v>
      </c>
      <c r="AF170" s="549">
        <f t="shared" si="6141"/>
        <v>0</v>
      </c>
      <c r="AG170" s="675">
        <f t="shared" si="6141"/>
        <v>0</v>
      </c>
      <c r="AH170" s="549">
        <f t="shared" si="6141"/>
        <v>0</v>
      </c>
      <c r="AI170" s="675">
        <f t="shared" si="6141"/>
        <v>0</v>
      </c>
      <c r="AJ170" s="549">
        <f t="shared" si="6141"/>
        <v>0</v>
      </c>
      <c r="AK170" s="675">
        <f t="shared" si="6141"/>
        <v>0</v>
      </c>
      <c r="AL170" s="549">
        <f t="shared" si="6092"/>
        <v>0</v>
      </c>
      <c r="AM170" s="675">
        <f t="shared" si="6092"/>
        <v>0</v>
      </c>
      <c r="AN170" s="549">
        <f t="shared" si="6093"/>
        <v>0</v>
      </c>
      <c r="AO170" s="675">
        <f t="shared" si="6093"/>
        <v>0</v>
      </c>
      <c r="AP170" s="549">
        <f t="shared" si="6093"/>
        <v>0</v>
      </c>
      <c r="AQ170" s="675">
        <f t="shared" si="6093"/>
        <v>0</v>
      </c>
      <c r="AR170" s="549">
        <f t="shared" si="6094"/>
        <v>0</v>
      </c>
      <c r="AS170" s="675">
        <f t="shared" si="6094"/>
        <v>0</v>
      </c>
      <c r="AT170" s="549">
        <f t="shared" ref="AT170:AU170" si="6142">AT503</f>
        <v>0</v>
      </c>
      <c r="AU170" s="675">
        <f t="shared" si="6142"/>
        <v>0</v>
      </c>
      <c r="AV170" s="549">
        <f t="shared" ref="AV170:AW170" si="6143">AV503</f>
        <v>0</v>
      </c>
      <c r="AW170" s="675">
        <f t="shared" si="6143"/>
        <v>0</v>
      </c>
      <c r="AX170" s="549">
        <f t="shared" ref="AX170:AY170" si="6144">AX503</f>
        <v>0</v>
      </c>
      <c r="AY170" s="675">
        <f t="shared" si="6144"/>
        <v>0</v>
      </c>
      <c r="AZ170" s="549">
        <f t="shared" ref="AZ170:BA170" si="6145">AZ503</f>
        <v>0</v>
      </c>
      <c r="BA170" s="675">
        <f t="shared" si="6145"/>
        <v>0</v>
      </c>
      <c r="BB170" s="549">
        <f t="shared" ref="BB170:BC170" si="6146">BB503</f>
        <v>0</v>
      </c>
      <c r="BC170" s="675">
        <f t="shared" si="6146"/>
        <v>0</v>
      </c>
      <c r="BD170" s="549">
        <f t="shared" ref="BD170:BE170" si="6147">BD503</f>
        <v>0</v>
      </c>
      <c r="BE170" s="675">
        <f t="shared" si="6147"/>
        <v>0</v>
      </c>
      <c r="BF170" s="549">
        <f t="shared" ref="BF170:BG170" si="6148">BF503</f>
        <v>0</v>
      </c>
      <c r="BG170" s="675">
        <f t="shared" si="6148"/>
        <v>0</v>
      </c>
      <c r="BH170" s="549">
        <f t="shared" ref="BH170:BI170" si="6149">BH503</f>
        <v>0</v>
      </c>
      <c r="BI170" s="675">
        <f t="shared" si="6149"/>
        <v>0</v>
      </c>
      <c r="BJ170" s="549">
        <f t="shared" ref="BJ170:BK170" si="6150">BJ503</f>
        <v>0</v>
      </c>
      <c r="BK170" s="675">
        <f t="shared" si="6150"/>
        <v>0</v>
      </c>
      <c r="BL170" s="549">
        <f t="shared" ref="BL170:BS170" si="6151">BL503</f>
        <v>0</v>
      </c>
      <c r="BM170" s="675">
        <f t="shared" si="6151"/>
        <v>0</v>
      </c>
      <c r="BN170" s="549">
        <f t="shared" si="6151"/>
        <v>0</v>
      </c>
      <c r="BO170" s="675">
        <f t="shared" si="6151"/>
        <v>0</v>
      </c>
      <c r="BP170" s="549">
        <f t="shared" si="6151"/>
        <v>0</v>
      </c>
      <c r="BQ170" s="675">
        <f t="shared" si="6151"/>
        <v>0</v>
      </c>
      <c r="BR170" s="549">
        <f t="shared" si="6151"/>
        <v>0</v>
      </c>
      <c r="BS170" s="675">
        <f t="shared" si="6151"/>
        <v>0</v>
      </c>
      <c r="BT170" s="549">
        <f t="shared" si="6105"/>
        <v>0</v>
      </c>
      <c r="BU170" s="675">
        <f t="shared" si="6105"/>
        <v>0</v>
      </c>
      <c r="BV170" s="549">
        <f t="shared" si="6105"/>
        <v>0</v>
      </c>
      <c r="BW170" s="675">
        <f t="shared" si="6105"/>
        <v>0</v>
      </c>
      <c r="BX170" s="549">
        <f t="shared" ref="BX170:BY170" si="6152">BX503</f>
        <v>0</v>
      </c>
      <c r="BY170" s="675">
        <f t="shared" si="6152"/>
        <v>0</v>
      </c>
      <c r="BZ170" s="549">
        <f t="shared" ref="BZ170:CA170" si="6153">BZ503</f>
        <v>0</v>
      </c>
      <c r="CA170" s="675">
        <f t="shared" si="6153"/>
        <v>0</v>
      </c>
      <c r="CB170" s="549">
        <f t="shared" ref="CB170:CE170" si="6154">CB503</f>
        <v>0</v>
      </c>
      <c r="CC170" s="675">
        <f t="shared" si="6154"/>
        <v>0</v>
      </c>
      <c r="CD170" s="549">
        <f t="shared" si="6154"/>
        <v>0</v>
      </c>
      <c r="CE170" s="675">
        <f t="shared" si="6154"/>
        <v>0</v>
      </c>
      <c r="CF170" s="549">
        <f t="shared" si="6109"/>
        <v>0</v>
      </c>
      <c r="CG170" s="675">
        <f t="shared" si="6109"/>
        <v>0</v>
      </c>
      <c r="CH170" s="549">
        <f t="shared" ref="CH170:CQ170" si="6155">CH503</f>
        <v>0</v>
      </c>
      <c r="CI170" s="675">
        <f t="shared" si="6155"/>
        <v>0</v>
      </c>
      <c r="CJ170" s="549">
        <f t="shared" si="6155"/>
        <v>0</v>
      </c>
      <c r="CK170" s="675">
        <f t="shared" si="6155"/>
        <v>0</v>
      </c>
      <c r="CL170" s="549">
        <f t="shared" si="6155"/>
        <v>0</v>
      </c>
      <c r="CM170" s="675">
        <f t="shared" si="6155"/>
        <v>0</v>
      </c>
      <c r="CN170" s="549">
        <f t="shared" si="6155"/>
        <v>0</v>
      </c>
      <c r="CO170" s="675">
        <f t="shared" si="6155"/>
        <v>0</v>
      </c>
      <c r="CP170" s="549">
        <f t="shared" si="6155"/>
        <v>0</v>
      </c>
      <c r="CQ170" s="675">
        <f t="shared" si="6155"/>
        <v>0</v>
      </c>
      <c r="CR170" s="549">
        <f t="shared" si="6111"/>
        <v>0</v>
      </c>
      <c r="CS170" s="675">
        <f t="shared" si="6111"/>
        <v>0</v>
      </c>
      <c r="CT170" s="549">
        <f t="shared" si="6111"/>
        <v>0</v>
      </c>
      <c r="CU170" s="675">
        <f t="shared" si="6111"/>
        <v>0</v>
      </c>
      <c r="CV170" s="549">
        <f t="shared" si="6111"/>
        <v>0</v>
      </c>
      <c r="CW170" s="675">
        <f t="shared" si="6111"/>
        <v>0</v>
      </c>
      <c r="CX170" s="549">
        <f t="shared" si="6111"/>
        <v>0</v>
      </c>
      <c r="CY170" s="675">
        <f t="shared" si="6111"/>
        <v>0</v>
      </c>
      <c r="CZ170" s="549">
        <f t="shared" si="6112"/>
        <v>0</v>
      </c>
      <c r="DA170" s="675">
        <f t="shared" si="6112"/>
        <v>0</v>
      </c>
      <c r="DB170" s="549">
        <f t="shared" si="6112"/>
        <v>0</v>
      </c>
      <c r="DC170" s="675">
        <f t="shared" si="6112"/>
        <v>0</v>
      </c>
      <c r="DD170" s="549">
        <f t="shared" si="6113"/>
        <v>0</v>
      </c>
      <c r="DE170" s="675">
        <f t="shared" si="6113"/>
        <v>0</v>
      </c>
      <c r="DF170" s="549">
        <f t="shared" si="6112"/>
        <v>0</v>
      </c>
      <c r="DG170" s="675">
        <f t="shared" si="6112"/>
        <v>0</v>
      </c>
      <c r="DH170" s="549">
        <f t="shared" si="6114"/>
        <v>0</v>
      </c>
      <c r="DI170" s="675">
        <f t="shared" si="6114"/>
        <v>0</v>
      </c>
      <c r="DJ170" s="549">
        <f t="shared" si="6115"/>
        <v>0</v>
      </c>
      <c r="DK170" s="675">
        <f t="shared" si="6115"/>
        <v>0</v>
      </c>
      <c r="DL170" s="549">
        <f t="shared" si="6115"/>
        <v>0</v>
      </c>
      <c r="DM170" s="675">
        <f t="shared" si="6115"/>
        <v>0</v>
      </c>
      <c r="DN170" s="549">
        <f t="shared" si="6116"/>
        <v>0</v>
      </c>
      <c r="DO170" s="675">
        <f t="shared" si="6116"/>
        <v>0</v>
      </c>
      <c r="DP170" s="549">
        <f t="shared" ref="DP170:DU170" si="6156">DP503</f>
        <v>0</v>
      </c>
      <c r="DQ170" s="675">
        <f t="shared" si="6156"/>
        <v>0</v>
      </c>
      <c r="DR170" s="549">
        <f t="shared" si="6156"/>
        <v>0</v>
      </c>
      <c r="DS170" s="675">
        <f t="shared" si="6156"/>
        <v>0</v>
      </c>
      <c r="DT170" s="549">
        <f t="shared" si="6156"/>
        <v>0</v>
      </c>
      <c r="DU170" s="675">
        <f t="shared" si="6156"/>
        <v>0</v>
      </c>
      <c r="DV170" s="549">
        <f t="shared" si="6118"/>
        <v>0</v>
      </c>
      <c r="DW170" s="675">
        <f t="shared" si="6118"/>
        <v>0</v>
      </c>
      <c r="DX170" s="549">
        <f t="shared" si="6119"/>
        <v>0</v>
      </c>
      <c r="DY170" s="675">
        <f t="shared" si="6119"/>
        <v>0</v>
      </c>
      <c r="DZ170" s="549">
        <f t="shared" si="6119"/>
        <v>0</v>
      </c>
      <c r="EA170" s="675">
        <f t="shared" si="6119"/>
        <v>0</v>
      </c>
      <c r="EB170" s="549">
        <f t="shared" ref="EB170:EM170" si="6157">EB503</f>
        <v>0</v>
      </c>
      <c r="EC170" s="675">
        <f t="shared" si="6157"/>
        <v>0</v>
      </c>
      <c r="ED170" s="549">
        <f t="shared" si="6157"/>
        <v>0</v>
      </c>
      <c r="EE170" s="675">
        <f t="shared" si="6157"/>
        <v>0</v>
      </c>
      <c r="EF170" s="549">
        <f t="shared" si="6157"/>
        <v>0</v>
      </c>
      <c r="EG170" s="675">
        <f t="shared" si="6157"/>
        <v>0</v>
      </c>
      <c r="EH170" s="549">
        <f t="shared" si="6157"/>
        <v>0</v>
      </c>
      <c r="EI170" s="675">
        <f t="shared" si="6157"/>
        <v>0</v>
      </c>
      <c r="EJ170" s="549">
        <f t="shared" si="6157"/>
        <v>0</v>
      </c>
      <c r="EK170" s="675">
        <f t="shared" si="6157"/>
        <v>0</v>
      </c>
      <c r="EL170" s="549">
        <f t="shared" si="6157"/>
        <v>0</v>
      </c>
      <c r="EM170" s="675">
        <f t="shared" si="6157"/>
        <v>0</v>
      </c>
      <c r="EN170" s="549">
        <f t="shared" si="6121"/>
        <v>0</v>
      </c>
      <c r="EO170" s="675">
        <f t="shared" si="6121"/>
        <v>0</v>
      </c>
      <c r="EP170" s="549">
        <f t="shared" ref="EP170:FA170" si="6158">EP503</f>
        <v>0</v>
      </c>
      <c r="EQ170" s="675">
        <f t="shared" si="6158"/>
        <v>0</v>
      </c>
      <c r="ER170" s="549">
        <f t="shared" si="6158"/>
        <v>0</v>
      </c>
      <c r="ES170" s="675">
        <f t="shared" si="6158"/>
        <v>0</v>
      </c>
      <c r="ET170" s="549">
        <f t="shared" si="6158"/>
        <v>0</v>
      </c>
      <c r="EU170" s="675">
        <f t="shared" si="6158"/>
        <v>0</v>
      </c>
      <c r="EV170" s="549">
        <f t="shared" ref="EV170:EW170" si="6159">EV503</f>
        <v>0</v>
      </c>
      <c r="EW170" s="675">
        <f t="shared" si="6159"/>
        <v>0</v>
      </c>
      <c r="EX170" s="549">
        <f t="shared" si="6158"/>
        <v>0</v>
      </c>
      <c r="EY170" s="675">
        <f t="shared" si="6158"/>
        <v>0</v>
      </c>
      <c r="EZ170" s="549">
        <f t="shared" si="6158"/>
        <v>0</v>
      </c>
      <c r="FA170" s="675">
        <f t="shared" si="6158"/>
        <v>0</v>
      </c>
      <c r="FB170" s="549">
        <f t="shared" si="6124"/>
        <v>0</v>
      </c>
      <c r="FC170" s="675">
        <f t="shared" si="6124"/>
        <v>0</v>
      </c>
      <c r="FD170" s="549">
        <f t="shared" si="6124"/>
        <v>0</v>
      </c>
      <c r="FE170" s="675">
        <f t="shared" si="6124"/>
        <v>0</v>
      </c>
      <c r="FF170" s="549">
        <f t="shared" ref="FF170:FG170" si="6160">FF503</f>
        <v>0</v>
      </c>
      <c r="FG170" s="675">
        <f t="shared" si="6160"/>
        <v>0</v>
      </c>
      <c r="FH170" s="549">
        <f t="shared" ref="FH170:FI170" si="6161">FH503</f>
        <v>0</v>
      </c>
      <c r="FI170" s="675">
        <f t="shared" si="6161"/>
        <v>0</v>
      </c>
      <c r="FJ170" s="549">
        <f t="shared" ref="FJ170:FK170" si="6162">FJ503</f>
        <v>0</v>
      </c>
      <c r="FK170" s="675">
        <f t="shared" si="6162"/>
        <v>0</v>
      </c>
      <c r="FL170" s="549">
        <f t="shared" ref="FL170:FM170" si="6163">FL503</f>
        <v>0</v>
      </c>
      <c r="FM170" s="675">
        <f t="shared" si="6163"/>
        <v>0</v>
      </c>
      <c r="FN170" s="549">
        <f t="shared" ref="FN170:FO170" si="6164">FN503</f>
        <v>0</v>
      </c>
      <c r="FO170" s="675">
        <f t="shared" si="6164"/>
        <v>0</v>
      </c>
      <c r="FP170" s="549">
        <f t="shared" ref="FP170:FQ170" si="6165">FP503</f>
        <v>0</v>
      </c>
      <c r="FQ170" s="675">
        <f t="shared" si="6165"/>
        <v>0</v>
      </c>
      <c r="FR170" s="549">
        <f t="shared" ref="FR170:FS170" si="6166">FR503</f>
        <v>0</v>
      </c>
      <c r="FS170" s="675">
        <f t="shared" si="6166"/>
        <v>0</v>
      </c>
      <c r="FT170" s="549">
        <f t="shared" ref="FT170:FU170" si="6167">FT503</f>
        <v>0</v>
      </c>
      <c r="FU170" s="675">
        <f t="shared" si="6167"/>
        <v>0</v>
      </c>
      <c r="FV170" s="549">
        <f t="shared" ref="FV170:GK170" si="6168">FV503</f>
        <v>0</v>
      </c>
      <c r="FW170" s="675">
        <f t="shared" si="6168"/>
        <v>0</v>
      </c>
      <c r="FX170" s="549">
        <f t="shared" si="6168"/>
        <v>0</v>
      </c>
      <c r="FY170" s="675">
        <f t="shared" si="6168"/>
        <v>0</v>
      </c>
      <c r="FZ170" s="549">
        <f t="shared" ref="FZ170:GI170" si="6169">FZ503</f>
        <v>0</v>
      </c>
      <c r="GA170" s="675">
        <f t="shared" si="6169"/>
        <v>0</v>
      </c>
      <c r="GB170" s="549">
        <f t="shared" si="6169"/>
        <v>0</v>
      </c>
      <c r="GC170" s="675">
        <f t="shared" si="6169"/>
        <v>0</v>
      </c>
      <c r="GD170" s="549">
        <f t="shared" si="6169"/>
        <v>0</v>
      </c>
      <c r="GE170" s="675">
        <f t="shared" si="6169"/>
        <v>0</v>
      </c>
      <c r="GF170" s="549">
        <f t="shared" si="6169"/>
        <v>0</v>
      </c>
      <c r="GG170" s="675">
        <f t="shared" si="6169"/>
        <v>0</v>
      </c>
      <c r="GH170" s="549">
        <f t="shared" si="6169"/>
        <v>0</v>
      </c>
      <c r="GI170" s="675">
        <f t="shared" si="6169"/>
        <v>0</v>
      </c>
      <c r="GJ170" s="549">
        <f t="shared" si="6168"/>
        <v>0</v>
      </c>
      <c r="GK170" s="675">
        <f t="shared" si="6168"/>
        <v>0</v>
      </c>
      <c r="GL170" s="549">
        <f t="shared" ref="GL170:GM170" si="6170">GL503</f>
        <v>0</v>
      </c>
      <c r="GM170" s="675">
        <f t="shared" si="6170"/>
        <v>0</v>
      </c>
      <c r="GN170" s="549">
        <f t="shared" ref="GN170:GO170" si="6171">GN503</f>
        <v>0</v>
      </c>
      <c r="GO170" s="675">
        <f t="shared" si="6171"/>
        <v>0</v>
      </c>
      <c r="GP170" s="74">
        <f t="shared" si="6124"/>
        <v>0</v>
      </c>
      <c r="GQ170" s="675">
        <f t="shared" si="6124"/>
        <v>0</v>
      </c>
      <c r="GR170" s="74">
        <f t="shared" ref="GR170:JB170" si="6172">GR503</f>
        <v>0</v>
      </c>
      <c r="GS170" s="74">
        <f t="shared" si="6172"/>
        <v>0</v>
      </c>
      <c r="GT170" s="549">
        <f t="shared" si="6172"/>
        <v>0</v>
      </c>
      <c r="GU170" s="74">
        <f t="shared" si="6172"/>
        <v>0</v>
      </c>
      <c r="GV170" s="74">
        <f t="shared" si="6172"/>
        <v>0</v>
      </c>
      <c r="GW170" s="549">
        <f t="shared" si="6172"/>
        <v>0</v>
      </c>
      <c r="GX170" s="549">
        <f t="shared" si="6172"/>
        <v>0</v>
      </c>
      <c r="GY170" s="74">
        <f t="shared" si="6172"/>
        <v>0</v>
      </c>
      <c r="GZ170" s="74">
        <f t="shared" si="6172"/>
        <v>0</v>
      </c>
      <c r="HA170" s="74">
        <f t="shared" si="6172"/>
        <v>0</v>
      </c>
      <c r="HB170" s="74">
        <f t="shared" si="6172"/>
        <v>0</v>
      </c>
      <c r="HC170" s="74">
        <f t="shared" si="6172"/>
        <v>0</v>
      </c>
      <c r="HD170" s="74">
        <f t="shared" si="6172"/>
        <v>0</v>
      </c>
      <c r="HE170" s="74">
        <f t="shared" si="6172"/>
        <v>0</v>
      </c>
      <c r="HF170" s="74">
        <f t="shared" si="6172"/>
        <v>0</v>
      </c>
      <c r="HG170" s="74">
        <f t="shared" si="6172"/>
        <v>0</v>
      </c>
      <c r="HH170" s="74">
        <f t="shared" ref="HH170:HU170" si="6173">HH503</f>
        <v>0</v>
      </c>
      <c r="HI170" s="74">
        <f t="shared" si="6173"/>
        <v>0</v>
      </c>
      <c r="HJ170" s="74">
        <f t="shared" si="6173"/>
        <v>0</v>
      </c>
      <c r="HK170" s="74">
        <f t="shared" si="6173"/>
        <v>0</v>
      </c>
      <c r="HL170" s="74">
        <f t="shared" si="6173"/>
        <v>0</v>
      </c>
      <c r="HM170" s="74">
        <f t="shared" si="6173"/>
        <v>0</v>
      </c>
      <c r="HN170" s="74">
        <f t="shared" si="6173"/>
        <v>0</v>
      </c>
      <c r="HO170" s="74">
        <f t="shared" si="6173"/>
        <v>0</v>
      </c>
      <c r="HP170" s="74">
        <f t="shared" si="6173"/>
        <v>0</v>
      </c>
      <c r="HQ170" s="74">
        <f t="shared" si="6173"/>
        <v>0</v>
      </c>
      <c r="HR170" s="74">
        <f t="shared" si="6173"/>
        <v>0</v>
      </c>
      <c r="HS170" s="74">
        <f t="shared" si="6173"/>
        <v>0</v>
      </c>
      <c r="HT170" s="74">
        <f t="shared" si="6173"/>
        <v>0</v>
      </c>
      <c r="HU170" s="74">
        <f t="shared" si="6173"/>
        <v>0</v>
      </c>
      <c r="HV170" s="74">
        <f t="shared" si="6172"/>
        <v>0</v>
      </c>
      <c r="HW170" s="74">
        <f t="shared" si="6172"/>
        <v>0</v>
      </c>
      <c r="HX170" s="74">
        <f t="shared" si="6172"/>
        <v>0</v>
      </c>
      <c r="HY170" s="74">
        <f t="shared" si="6172"/>
        <v>0</v>
      </c>
      <c r="HZ170" s="74">
        <f t="shared" si="6172"/>
        <v>0</v>
      </c>
      <c r="IA170" s="74">
        <f t="shared" si="6172"/>
        <v>0</v>
      </c>
      <c r="IB170" s="74">
        <f t="shared" si="6172"/>
        <v>0</v>
      </c>
      <c r="IC170" s="74">
        <f t="shared" si="6172"/>
        <v>0</v>
      </c>
      <c r="ID170" s="74">
        <f t="shared" si="6172"/>
        <v>0</v>
      </c>
      <c r="IE170" s="792">
        <f t="shared" si="6172"/>
        <v>0</v>
      </c>
      <c r="IF170" s="841">
        <f t="shared" si="6172"/>
        <v>0</v>
      </c>
      <c r="IG170" s="263">
        <f t="shared" si="6172"/>
        <v>0</v>
      </c>
      <c r="IH170" s="842">
        <f t="shared" si="6172"/>
        <v>0</v>
      </c>
      <c r="II170" s="155">
        <f t="shared" si="6172"/>
        <v>0</v>
      </c>
      <c r="IJ170" s="74">
        <f t="shared" si="6172"/>
        <v>0</v>
      </c>
      <c r="IK170" s="74">
        <f t="shared" si="6172"/>
        <v>0</v>
      </c>
      <c r="IL170" s="74">
        <f t="shared" si="6172"/>
        <v>0</v>
      </c>
      <c r="IM170" s="74">
        <f t="shared" si="6172"/>
        <v>0</v>
      </c>
      <c r="IN170" s="74">
        <f t="shared" si="6172"/>
        <v>0</v>
      </c>
      <c r="IO170" s="74">
        <f t="shared" si="6172"/>
        <v>0</v>
      </c>
      <c r="IP170" s="74">
        <f t="shared" si="6172"/>
        <v>0</v>
      </c>
      <c r="IQ170" s="74">
        <f t="shared" si="6172"/>
        <v>0</v>
      </c>
      <c r="IR170" s="74">
        <f t="shared" si="6172"/>
        <v>0</v>
      </c>
      <c r="IS170" s="74">
        <f t="shared" si="6172"/>
        <v>0</v>
      </c>
      <c r="IT170" s="74">
        <f t="shared" si="6172"/>
        <v>0</v>
      </c>
      <c r="IU170" s="74">
        <f t="shared" si="6172"/>
        <v>0</v>
      </c>
      <c r="IV170" s="74">
        <f t="shared" si="6172"/>
        <v>0</v>
      </c>
      <c r="IW170" s="74">
        <f t="shared" si="6172"/>
        <v>0</v>
      </c>
      <c r="IX170" s="74">
        <f t="shared" si="6172"/>
        <v>0</v>
      </c>
      <c r="IY170" s="74">
        <f t="shared" si="6172"/>
        <v>0</v>
      </c>
      <c r="IZ170" s="74">
        <f t="shared" si="6172"/>
        <v>0</v>
      </c>
      <c r="JA170" s="74">
        <f t="shared" si="6172"/>
        <v>0</v>
      </c>
      <c r="JB170" s="74">
        <f t="shared" si="6172"/>
        <v>0</v>
      </c>
      <c r="JC170" s="74">
        <f t="shared" ref="JC170:JT170" si="6174">JC503</f>
        <v>0</v>
      </c>
      <c r="JD170" s="74">
        <f t="shared" si="6174"/>
        <v>0</v>
      </c>
      <c r="JE170" s="74">
        <f t="shared" si="6174"/>
        <v>0</v>
      </c>
      <c r="JF170" s="74">
        <f t="shared" si="6174"/>
        <v>0</v>
      </c>
      <c r="JG170" s="74">
        <f t="shared" si="6174"/>
        <v>0</v>
      </c>
      <c r="JH170" s="74">
        <f t="shared" si="6174"/>
        <v>0</v>
      </c>
      <c r="JI170" s="74">
        <f t="shared" si="6174"/>
        <v>0</v>
      </c>
      <c r="JJ170" s="74">
        <f t="shared" si="6174"/>
        <v>0</v>
      </c>
      <c r="JK170" s="74">
        <f t="shared" si="6174"/>
        <v>0</v>
      </c>
      <c r="JL170" s="74">
        <f t="shared" si="6174"/>
        <v>0</v>
      </c>
      <c r="JM170" s="74">
        <f t="shared" si="6174"/>
        <v>0</v>
      </c>
      <c r="JN170" s="74">
        <f t="shared" si="6174"/>
        <v>0</v>
      </c>
      <c r="JO170" s="74">
        <f t="shared" si="6174"/>
        <v>0</v>
      </c>
      <c r="JP170" s="74">
        <f t="shared" si="6174"/>
        <v>0</v>
      </c>
      <c r="JQ170" s="74">
        <f t="shared" si="6174"/>
        <v>0</v>
      </c>
      <c r="JR170" s="74">
        <f t="shared" si="6174"/>
        <v>0</v>
      </c>
      <c r="JS170" s="74">
        <f t="shared" si="6174"/>
        <v>0</v>
      </c>
      <c r="JT170" s="382">
        <f t="shared" si="6174"/>
        <v>0</v>
      </c>
      <c r="JU170" s="670"/>
      <c r="JV170" s="489"/>
      <c r="JW170" s="490"/>
      <c r="JX170" s="549">
        <f t="shared" si="6140"/>
        <v>0</v>
      </c>
      <c r="JY170" s="549">
        <f t="shared" si="6140"/>
        <v>0</v>
      </c>
      <c r="JZ170" s="581">
        <f t="shared" si="4944"/>
        <v>0</v>
      </c>
      <c r="KA170" s="581">
        <f t="shared" si="4945"/>
        <v>0</v>
      </c>
      <c r="KB170" s="549">
        <f t="shared" si="6140"/>
        <v>0</v>
      </c>
      <c r="KC170" s="709">
        <f t="shared" si="4908"/>
        <v>0</v>
      </c>
      <c r="KD170" s="36"/>
      <c r="KE170" s="36"/>
      <c r="KF170" s="36"/>
      <c r="KG170" s="36"/>
      <c r="KH170" s="36"/>
      <c r="KI170" s="36"/>
      <c r="KJ170" s="36"/>
      <c r="KK170" s="36"/>
    </row>
    <row r="171" spans="1:297" s="8" customFormat="1" ht="12.75" hidden="1" customHeight="1">
      <c r="A171" s="75"/>
      <c r="B171" s="72"/>
      <c r="C171" s="74"/>
      <c r="D171" s="549"/>
      <c r="E171" s="675"/>
      <c r="F171" s="549"/>
      <c r="G171" s="675"/>
      <c r="H171" s="549"/>
      <c r="I171" s="675"/>
      <c r="J171" s="549"/>
      <c r="K171" s="675"/>
      <c r="L171" s="549"/>
      <c r="M171" s="675"/>
      <c r="N171" s="549"/>
      <c r="O171" s="675"/>
      <c r="P171" s="549"/>
      <c r="Q171" s="675"/>
      <c r="R171" s="549"/>
      <c r="S171" s="675"/>
      <c r="T171" s="549"/>
      <c r="U171" s="675"/>
      <c r="V171" s="549"/>
      <c r="W171" s="675"/>
      <c r="X171" s="549"/>
      <c r="Y171" s="675"/>
      <c r="Z171" s="549"/>
      <c r="AA171" s="675"/>
      <c r="AB171" s="549"/>
      <c r="AC171" s="675"/>
      <c r="AD171" s="549"/>
      <c r="AE171" s="675"/>
      <c r="AF171" s="549"/>
      <c r="AG171" s="675"/>
      <c r="AH171" s="549"/>
      <c r="AI171" s="675"/>
      <c r="AJ171" s="549"/>
      <c r="AK171" s="675"/>
      <c r="AL171" s="549"/>
      <c r="AM171" s="675"/>
      <c r="AN171" s="549"/>
      <c r="AO171" s="675"/>
      <c r="AP171" s="549"/>
      <c r="AQ171" s="675"/>
      <c r="AR171" s="549"/>
      <c r="AS171" s="675"/>
      <c r="AT171" s="549"/>
      <c r="AU171" s="675"/>
      <c r="AV171" s="549"/>
      <c r="AW171" s="675"/>
      <c r="AX171" s="549"/>
      <c r="AY171" s="675"/>
      <c r="AZ171" s="549"/>
      <c r="BA171" s="675"/>
      <c r="BB171" s="549"/>
      <c r="BC171" s="675"/>
      <c r="BD171" s="549"/>
      <c r="BE171" s="675"/>
      <c r="BF171" s="549"/>
      <c r="BG171" s="675"/>
      <c r="BH171" s="549"/>
      <c r="BI171" s="675"/>
      <c r="BJ171" s="549"/>
      <c r="BK171" s="675"/>
      <c r="BL171" s="549"/>
      <c r="BM171" s="675"/>
      <c r="BN171" s="549"/>
      <c r="BO171" s="675"/>
      <c r="BP171" s="549"/>
      <c r="BQ171" s="675"/>
      <c r="BR171" s="549"/>
      <c r="BS171" s="675"/>
      <c r="BT171" s="549"/>
      <c r="BU171" s="675"/>
      <c r="BV171" s="549"/>
      <c r="BW171" s="675"/>
      <c r="BX171" s="549"/>
      <c r="BY171" s="675"/>
      <c r="BZ171" s="549"/>
      <c r="CA171" s="675"/>
      <c r="CB171" s="549"/>
      <c r="CC171" s="675"/>
      <c r="CD171" s="549"/>
      <c r="CE171" s="675"/>
      <c r="CF171" s="549"/>
      <c r="CG171" s="675"/>
      <c r="CH171" s="549"/>
      <c r="CI171" s="675"/>
      <c r="CJ171" s="549"/>
      <c r="CK171" s="675"/>
      <c r="CL171" s="549"/>
      <c r="CM171" s="675"/>
      <c r="CN171" s="549"/>
      <c r="CO171" s="675"/>
      <c r="CP171" s="549"/>
      <c r="CQ171" s="675"/>
      <c r="CR171" s="549"/>
      <c r="CS171" s="675"/>
      <c r="CT171" s="549"/>
      <c r="CU171" s="675"/>
      <c r="CV171" s="549"/>
      <c r="CW171" s="675"/>
      <c r="CX171" s="549"/>
      <c r="CY171" s="675"/>
      <c r="CZ171" s="549"/>
      <c r="DA171" s="675"/>
      <c r="DB171" s="549"/>
      <c r="DC171" s="675"/>
      <c r="DD171" s="549"/>
      <c r="DE171" s="675"/>
      <c r="DF171" s="549"/>
      <c r="DG171" s="675"/>
      <c r="DH171" s="549"/>
      <c r="DI171" s="675"/>
      <c r="DJ171" s="549"/>
      <c r="DK171" s="675"/>
      <c r="DL171" s="549"/>
      <c r="DM171" s="675"/>
      <c r="DN171" s="549"/>
      <c r="DO171" s="675"/>
      <c r="DP171" s="549"/>
      <c r="DQ171" s="675"/>
      <c r="DR171" s="549"/>
      <c r="DS171" s="675"/>
      <c r="DT171" s="549"/>
      <c r="DU171" s="675"/>
      <c r="DV171" s="549"/>
      <c r="DW171" s="675"/>
      <c r="DX171" s="549"/>
      <c r="DY171" s="675"/>
      <c r="DZ171" s="549"/>
      <c r="EA171" s="675"/>
      <c r="EB171" s="549"/>
      <c r="EC171" s="675"/>
      <c r="ED171" s="549"/>
      <c r="EE171" s="675"/>
      <c r="EF171" s="549"/>
      <c r="EG171" s="675"/>
      <c r="EH171" s="549"/>
      <c r="EI171" s="675"/>
      <c r="EJ171" s="549"/>
      <c r="EK171" s="675"/>
      <c r="EL171" s="549"/>
      <c r="EM171" s="675"/>
      <c r="EN171" s="549"/>
      <c r="EO171" s="675"/>
      <c r="EP171" s="549"/>
      <c r="EQ171" s="675"/>
      <c r="ER171" s="549"/>
      <c r="ES171" s="675"/>
      <c r="ET171" s="549"/>
      <c r="EU171" s="675"/>
      <c r="EV171" s="549"/>
      <c r="EW171" s="675"/>
      <c r="EX171" s="549"/>
      <c r="EY171" s="675"/>
      <c r="EZ171" s="549"/>
      <c r="FA171" s="675"/>
      <c r="FB171" s="549"/>
      <c r="FC171" s="675"/>
      <c r="FD171" s="549"/>
      <c r="FE171" s="675"/>
      <c r="FF171" s="549"/>
      <c r="FG171" s="675"/>
      <c r="FH171" s="549"/>
      <c r="FI171" s="675"/>
      <c r="FJ171" s="549"/>
      <c r="FK171" s="675"/>
      <c r="FL171" s="549"/>
      <c r="FM171" s="675"/>
      <c r="FN171" s="549"/>
      <c r="FO171" s="675"/>
      <c r="FP171" s="549"/>
      <c r="FQ171" s="675"/>
      <c r="FR171" s="549"/>
      <c r="FS171" s="675"/>
      <c r="FT171" s="549"/>
      <c r="FU171" s="675"/>
      <c r="FV171" s="549"/>
      <c r="FW171" s="675"/>
      <c r="FX171" s="549"/>
      <c r="FY171" s="675"/>
      <c r="FZ171" s="549"/>
      <c r="GA171" s="675"/>
      <c r="GB171" s="549"/>
      <c r="GC171" s="675"/>
      <c r="GD171" s="549"/>
      <c r="GE171" s="675"/>
      <c r="GF171" s="549"/>
      <c r="GG171" s="675"/>
      <c r="GH171" s="549"/>
      <c r="GI171" s="675"/>
      <c r="GJ171" s="549"/>
      <c r="GK171" s="675"/>
      <c r="GL171" s="549"/>
      <c r="GM171" s="675"/>
      <c r="GN171" s="549"/>
      <c r="GO171" s="675"/>
      <c r="GP171" s="74"/>
      <c r="GQ171" s="675"/>
      <c r="GR171" s="74"/>
      <c r="GS171" s="74"/>
      <c r="GT171" s="549"/>
      <c r="GU171" s="74"/>
      <c r="GV171" s="74"/>
      <c r="GW171" s="549"/>
      <c r="GX171" s="549"/>
      <c r="GY171" s="74"/>
      <c r="GZ171" s="74"/>
      <c r="HA171" s="74"/>
      <c r="HB171" s="74"/>
      <c r="HC171" s="74"/>
      <c r="HD171" s="74"/>
      <c r="HE171" s="74"/>
      <c r="HF171" s="74"/>
      <c r="HG171" s="74"/>
      <c r="HH171" s="74"/>
      <c r="HI171" s="74"/>
      <c r="HJ171" s="74"/>
      <c r="HK171" s="74"/>
      <c r="HL171" s="74"/>
      <c r="HM171" s="74"/>
      <c r="HN171" s="74"/>
      <c r="HO171" s="74"/>
      <c r="HP171" s="74"/>
      <c r="HQ171" s="74"/>
      <c r="HR171" s="74"/>
      <c r="HS171" s="74"/>
      <c r="HT171" s="74"/>
      <c r="HU171" s="74"/>
      <c r="HV171" s="74"/>
      <c r="HW171" s="74"/>
      <c r="HX171" s="74"/>
      <c r="HY171" s="74"/>
      <c r="HZ171" s="74"/>
      <c r="IA171" s="74"/>
      <c r="IB171" s="74"/>
      <c r="IC171" s="74"/>
      <c r="ID171" s="74"/>
      <c r="IE171" s="792"/>
      <c r="IF171" s="841"/>
      <c r="IG171" s="263"/>
      <c r="IH171" s="842"/>
      <c r="II171" s="155"/>
      <c r="IJ171" s="74"/>
      <c r="IK171" s="74"/>
      <c r="IL171" s="74"/>
      <c r="IM171" s="74"/>
      <c r="IN171" s="74"/>
      <c r="IO171" s="74"/>
      <c r="IP171" s="74"/>
      <c r="IQ171" s="74"/>
      <c r="IR171" s="74"/>
      <c r="IS171" s="74"/>
      <c r="IT171" s="74"/>
      <c r="IU171" s="74"/>
      <c r="IV171" s="74"/>
      <c r="IW171" s="74"/>
      <c r="IX171" s="74"/>
      <c r="IY171" s="74"/>
      <c r="IZ171" s="74"/>
      <c r="JA171" s="74"/>
      <c r="JB171" s="74"/>
      <c r="JC171" s="74"/>
      <c r="JD171" s="74"/>
      <c r="JE171" s="74"/>
      <c r="JF171" s="74"/>
      <c r="JG171" s="74"/>
      <c r="JH171" s="74"/>
      <c r="JI171" s="74"/>
      <c r="JJ171" s="74"/>
      <c r="JK171" s="74"/>
      <c r="JL171" s="74"/>
      <c r="JM171" s="74"/>
      <c r="JN171" s="74"/>
      <c r="JO171" s="74"/>
      <c r="JP171" s="74"/>
      <c r="JQ171" s="74"/>
      <c r="JR171" s="74"/>
      <c r="JS171" s="74"/>
      <c r="JT171" s="382"/>
      <c r="JU171" s="670"/>
      <c r="JV171" s="489"/>
      <c r="JW171" s="490"/>
      <c r="JX171" s="549"/>
      <c r="JY171" s="549"/>
      <c r="JZ171" s="581">
        <f t="shared" si="4944"/>
        <v>0</v>
      </c>
      <c r="KA171" s="581">
        <f t="shared" si="4945"/>
        <v>0</v>
      </c>
      <c r="KB171" s="549"/>
      <c r="KC171" s="709">
        <f t="shared" si="4908"/>
        <v>0</v>
      </c>
      <c r="KD171" s="36"/>
      <c r="KE171" s="36"/>
      <c r="KF171" s="36"/>
      <c r="KG171" s="36"/>
      <c r="KH171" s="36"/>
      <c r="KI171" s="36"/>
      <c r="KJ171" s="36"/>
      <c r="KK171" s="36"/>
    </row>
    <row r="172" spans="1:297" s="8" customFormat="1">
      <c r="A172" s="75" t="s">
        <v>451</v>
      </c>
      <c r="B172" s="72"/>
      <c r="C172" s="74">
        <f t="shared" ref="C172:AM172" si="6175">SUM(C174,C179,C182,C184,C187,C189,C191,C193)+C195</f>
        <v>559000</v>
      </c>
      <c r="D172" s="549">
        <f t="shared" si="6175"/>
        <v>0</v>
      </c>
      <c r="E172" s="675">
        <f t="shared" si="6175"/>
        <v>0</v>
      </c>
      <c r="F172" s="549">
        <f t="shared" si="6175"/>
        <v>0</v>
      </c>
      <c r="G172" s="675">
        <f t="shared" si="6175"/>
        <v>-13000</v>
      </c>
      <c r="H172" s="549">
        <f t="shared" si="6175"/>
        <v>0</v>
      </c>
      <c r="I172" s="675">
        <f t="shared" si="6175"/>
        <v>0</v>
      </c>
      <c r="J172" s="549">
        <f t="shared" si="6175"/>
        <v>0</v>
      </c>
      <c r="K172" s="675">
        <f t="shared" si="6175"/>
        <v>0</v>
      </c>
      <c r="L172" s="549">
        <f t="shared" si="6175"/>
        <v>0</v>
      </c>
      <c r="M172" s="675">
        <f t="shared" si="6175"/>
        <v>0</v>
      </c>
      <c r="N172" s="549">
        <f t="shared" si="6175"/>
        <v>0</v>
      </c>
      <c r="O172" s="675">
        <f t="shared" si="6175"/>
        <v>0</v>
      </c>
      <c r="P172" s="549">
        <f t="shared" si="6175"/>
        <v>0</v>
      </c>
      <c r="Q172" s="675">
        <f t="shared" si="6175"/>
        <v>0</v>
      </c>
      <c r="R172" s="549">
        <f t="shared" si="6175"/>
        <v>0</v>
      </c>
      <c r="S172" s="675">
        <f t="shared" si="6175"/>
        <v>0</v>
      </c>
      <c r="T172" s="549">
        <f t="shared" si="6175"/>
        <v>0</v>
      </c>
      <c r="U172" s="675">
        <f t="shared" si="6175"/>
        <v>0</v>
      </c>
      <c r="V172" s="549">
        <f t="shared" si="6175"/>
        <v>0</v>
      </c>
      <c r="W172" s="675">
        <f t="shared" si="6175"/>
        <v>0</v>
      </c>
      <c r="X172" s="549">
        <f t="shared" si="6175"/>
        <v>0</v>
      </c>
      <c r="Y172" s="675">
        <f t="shared" si="6175"/>
        <v>0</v>
      </c>
      <c r="Z172" s="549">
        <f t="shared" si="6175"/>
        <v>0</v>
      </c>
      <c r="AA172" s="675">
        <f t="shared" si="6175"/>
        <v>0</v>
      </c>
      <c r="AB172" s="549">
        <f t="shared" si="6175"/>
        <v>0</v>
      </c>
      <c r="AC172" s="675">
        <f t="shared" si="6175"/>
        <v>0</v>
      </c>
      <c r="AD172" s="549">
        <f t="shared" ref="AD172:AK172" si="6176">SUM(AD174,AD179,AD182,AD184,AD187,AD189,AD191,AD193)+AD195</f>
        <v>0</v>
      </c>
      <c r="AE172" s="675">
        <f t="shared" si="6176"/>
        <v>0</v>
      </c>
      <c r="AF172" s="549">
        <f t="shared" si="6176"/>
        <v>0</v>
      </c>
      <c r="AG172" s="675">
        <f t="shared" si="6176"/>
        <v>0</v>
      </c>
      <c r="AH172" s="549">
        <f t="shared" si="6176"/>
        <v>123000</v>
      </c>
      <c r="AI172" s="675">
        <f t="shared" si="6176"/>
        <v>-123000</v>
      </c>
      <c r="AJ172" s="549">
        <f t="shared" si="6176"/>
        <v>0</v>
      </c>
      <c r="AK172" s="675">
        <f t="shared" si="6176"/>
        <v>0</v>
      </c>
      <c r="AL172" s="549">
        <f t="shared" si="6175"/>
        <v>0</v>
      </c>
      <c r="AM172" s="675">
        <f t="shared" si="6175"/>
        <v>0</v>
      </c>
      <c r="AN172" s="549">
        <f t="shared" ref="AN172:AS172" si="6177">SUM(AN174,AN179,AN182,AN184,AN187,AN189,AN191,AN193)+AN195</f>
        <v>125000</v>
      </c>
      <c r="AO172" s="675">
        <f t="shared" si="6177"/>
        <v>0</v>
      </c>
      <c r="AP172" s="549">
        <f t="shared" si="6177"/>
        <v>0</v>
      </c>
      <c r="AQ172" s="675">
        <f t="shared" si="6177"/>
        <v>0</v>
      </c>
      <c r="AR172" s="549">
        <f t="shared" si="6177"/>
        <v>0</v>
      </c>
      <c r="AS172" s="675">
        <f t="shared" si="6177"/>
        <v>0</v>
      </c>
      <c r="AT172" s="549">
        <f t="shared" ref="AT172:AU172" si="6178">SUM(AT174,AT179,AT182,AT184,AT187,AT189,AT191,AT193)+AT195</f>
        <v>0</v>
      </c>
      <c r="AU172" s="675">
        <f t="shared" si="6178"/>
        <v>0</v>
      </c>
      <c r="AV172" s="549">
        <f t="shared" ref="AV172:AW172" si="6179">SUM(AV174,AV179,AV182,AV184,AV187,AV189,AV191,AV193)+AV195</f>
        <v>0</v>
      </c>
      <c r="AW172" s="675">
        <f t="shared" si="6179"/>
        <v>0</v>
      </c>
      <c r="AX172" s="549">
        <f t="shared" ref="AX172:AY172" si="6180">SUM(AX174,AX179,AX182,AX184,AX187,AX189,AX191,AX193)+AX195</f>
        <v>0</v>
      </c>
      <c r="AY172" s="675">
        <f t="shared" si="6180"/>
        <v>0</v>
      </c>
      <c r="AZ172" s="549">
        <f t="shared" ref="AZ172:BA172" si="6181">SUM(AZ174,AZ179,AZ182,AZ184,AZ187,AZ189,AZ191,AZ193)+AZ195</f>
        <v>0</v>
      </c>
      <c r="BA172" s="675">
        <f t="shared" si="6181"/>
        <v>0</v>
      </c>
      <c r="BB172" s="549">
        <f t="shared" ref="BB172:BC172" si="6182">SUM(BB174,BB179,BB182,BB184,BB187,BB189,BB191,BB193)+BB195</f>
        <v>0</v>
      </c>
      <c r="BC172" s="675">
        <f t="shared" si="6182"/>
        <v>0</v>
      </c>
      <c r="BD172" s="549">
        <f t="shared" ref="BD172:BE172" si="6183">SUM(BD174,BD179,BD182,BD184,BD187,BD189,BD191,BD193)+BD195</f>
        <v>0</v>
      </c>
      <c r="BE172" s="675">
        <f t="shared" si="6183"/>
        <v>-32000</v>
      </c>
      <c r="BF172" s="549">
        <f t="shared" ref="BF172:BG172" si="6184">SUM(BF174,BF179,BF182,BF184,BF187,BF189,BF191,BF193)+BF195</f>
        <v>0</v>
      </c>
      <c r="BG172" s="675">
        <f t="shared" si="6184"/>
        <v>-39000</v>
      </c>
      <c r="BH172" s="549">
        <f t="shared" ref="BH172:BI172" si="6185">SUM(BH174,BH179,BH182,BH184,BH187,BH189,BH191,BH193)+BH195</f>
        <v>0</v>
      </c>
      <c r="BI172" s="675">
        <f t="shared" si="6185"/>
        <v>-27000</v>
      </c>
      <c r="BJ172" s="549">
        <f t="shared" ref="BJ172:BK172" si="6186">SUM(BJ174,BJ179,BJ182,BJ184,BJ187,BJ189,BJ191,BJ193)+BJ195</f>
        <v>0</v>
      </c>
      <c r="BK172" s="675">
        <f t="shared" si="6186"/>
        <v>0</v>
      </c>
      <c r="BL172" s="549">
        <f t="shared" ref="BL172:BS172" si="6187">SUM(BL174,BL179,BL182,BL184,BL187,BL189,BL191,BL193)+BL195</f>
        <v>0</v>
      </c>
      <c r="BM172" s="675">
        <f t="shared" si="6187"/>
        <v>-6599</v>
      </c>
      <c r="BN172" s="549">
        <f t="shared" si="6187"/>
        <v>0</v>
      </c>
      <c r="BO172" s="675">
        <f t="shared" si="6187"/>
        <v>-5000</v>
      </c>
      <c r="BP172" s="549">
        <f t="shared" si="6187"/>
        <v>0</v>
      </c>
      <c r="BQ172" s="675">
        <f t="shared" si="6187"/>
        <v>-20000</v>
      </c>
      <c r="BR172" s="549">
        <f t="shared" si="6187"/>
        <v>0</v>
      </c>
      <c r="BS172" s="675">
        <f t="shared" si="6187"/>
        <v>0</v>
      </c>
      <c r="BT172" s="549">
        <f t="shared" ref="BT172:BU172" si="6188">SUM(BT174,BT179,BT182,BT184,BT187,BT189,BT191,BT193)+BT195</f>
        <v>0</v>
      </c>
      <c r="BU172" s="675">
        <f t="shared" si="6188"/>
        <v>0</v>
      </c>
      <c r="BV172" s="549">
        <f t="shared" ref="BV172:BW172" si="6189">SUM(BV174,BV179,BV182,BV184,BV187,BV189,BV191,BV193)+BV195</f>
        <v>0</v>
      </c>
      <c r="BW172" s="675">
        <f t="shared" si="6189"/>
        <v>0</v>
      </c>
      <c r="BX172" s="549">
        <f t="shared" ref="BX172:BY172" si="6190">SUM(BX174,BX179,BX182,BX184,BX187,BX189,BX191,BX193)+BX195</f>
        <v>0</v>
      </c>
      <c r="BY172" s="675">
        <f t="shared" si="6190"/>
        <v>0</v>
      </c>
      <c r="BZ172" s="549">
        <f t="shared" ref="BZ172:CA172" si="6191">SUM(BZ174,BZ179,BZ182,BZ184,BZ187,BZ189,BZ191,BZ193)+BZ195</f>
        <v>0</v>
      </c>
      <c r="CA172" s="675">
        <f t="shared" si="6191"/>
        <v>0</v>
      </c>
      <c r="CB172" s="549">
        <f t="shared" ref="CB172:CE172" si="6192">SUM(CB174,CB179,CB182,CB184,CB187,CB189,CB191,CB193)+CB195</f>
        <v>0</v>
      </c>
      <c r="CC172" s="675">
        <f t="shared" si="6192"/>
        <v>-15000</v>
      </c>
      <c r="CD172" s="549">
        <f t="shared" si="6192"/>
        <v>0</v>
      </c>
      <c r="CE172" s="675">
        <f t="shared" si="6192"/>
        <v>0</v>
      </c>
      <c r="CF172" s="549">
        <f t="shared" ref="CF172:CQ172" si="6193">SUM(CF174,CF179,CF182,CF184,CF187,CF189,CF191,CF193)+CF195</f>
        <v>0</v>
      </c>
      <c r="CG172" s="675">
        <f t="shared" si="6193"/>
        <v>0</v>
      </c>
      <c r="CH172" s="549">
        <f t="shared" si="6193"/>
        <v>0</v>
      </c>
      <c r="CI172" s="675">
        <f t="shared" si="6193"/>
        <v>-4000</v>
      </c>
      <c r="CJ172" s="549">
        <f t="shared" si="6193"/>
        <v>0</v>
      </c>
      <c r="CK172" s="675">
        <f t="shared" si="6193"/>
        <v>-108700</v>
      </c>
      <c r="CL172" s="549">
        <f t="shared" si="6193"/>
        <v>0</v>
      </c>
      <c r="CM172" s="675">
        <f t="shared" si="6193"/>
        <v>0</v>
      </c>
      <c r="CN172" s="549">
        <f t="shared" si="6193"/>
        <v>0</v>
      </c>
      <c r="CO172" s="675">
        <f t="shared" si="6193"/>
        <v>0</v>
      </c>
      <c r="CP172" s="549">
        <f t="shared" si="6193"/>
        <v>0</v>
      </c>
      <c r="CQ172" s="675">
        <f t="shared" si="6193"/>
        <v>0</v>
      </c>
      <c r="CR172" s="549">
        <f t="shared" ref="CR172:CY172" si="6194">SUM(CR174,CR179,CR182,CR184,CR187,CR189,CR191,CR193)+CR195</f>
        <v>0</v>
      </c>
      <c r="CS172" s="675">
        <f t="shared" si="6194"/>
        <v>0</v>
      </c>
      <c r="CT172" s="549">
        <f t="shared" si="6194"/>
        <v>0</v>
      </c>
      <c r="CU172" s="675">
        <f t="shared" si="6194"/>
        <v>0</v>
      </c>
      <c r="CV172" s="549">
        <f t="shared" si="6194"/>
        <v>0</v>
      </c>
      <c r="CW172" s="675">
        <f t="shared" si="6194"/>
        <v>0</v>
      </c>
      <c r="CX172" s="549">
        <f t="shared" si="6194"/>
        <v>0</v>
      </c>
      <c r="CY172" s="675">
        <f t="shared" si="6194"/>
        <v>0</v>
      </c>
      <c r="CZ172" s="549">
        <f t="shared" ref="CZ172:DG172" si="6195">SUM(CZ174,CZ179,CZ182,CZ184,CZ187,CZ189,CZ191,CZ193)+CZ195</f>
        <v>0</v>
      </c>
      <c r="DA172" s="675">
        <f t="shared" si="6195"/>
        <v>0</v>
      </c>
      <c r="DB172" s="549">
        <f t="shared" si="6195"/>
        <v>0</v>
      </c>
      <c r="DC172" s="675">
        <f t="shared" si="6195"/>
        <v>0</v>
      </c>
      <c r="DD172" s="549">
        <f t="shared" si="6195"/>
        <v>0</v>
      </c>
      <c r="DE172" s="675">
        <f t="shared" si="6195"/>
        <v>0</v>
      </c>
      <c r="DF172" s="549">
        <f t="shared" si="6195"/>
        <v>0</v>
      </c>
      <c r="DG172" s="675">
        <f t="shared" si="6195"/>
        <v>0</v>
      </c>
      <c r="DH172" s="549">
        <f t="shared" ref="DH172:DM172" si="6196">SUM(DH174,DH179,DH182,DH184,DH187,DH189,DH191,DH193)+DH195</f>
        <v>5000</v>
      </c>
      <c r="DI172" s="675">
        <f t="shared" si="6196"/>
        <v>0</v>
      </c>
      <c r="DJ172" s="549">
        <f t="shared" si="6196"/>
        <v>0</v>
      </c>
      <c r="DK172" s="675">
        <f t="shared" si="6196"/>
        <v>0</v>
      </c>
      <c r="DL172" s="549">
        <f t="shared" si="6196"/>
        <v>0</v>
      </c>
      <c r="DM172" s="675">
        <f t="shared" si="6196"/>
        <v>0</v>
      </c>
      <c r="DN172" s="549">
        <f t="shared" ref="DN172:DW172" si="6197">SUM(DN174,DN179,DN182,DN184,DN187,DN189,DN191,DN193)+DN195</f>
        <v>0</v>
      </c>
      <c r="DO172" s="675">
        <f t="shared" si="6197"/>
        <v>0</v>
      </c>
      <c r="DP172" s="549">
        <f t="shared" si="6197"/>
        <v>0</v>
      </c>
      <c r="DQ172" s="675">
        <f t="shared" si="6197"/>
        <v>-17000</v>
      </c>
      <c r="DR172" s="549">
        <f t="shared" si="6197"/>
        <v>0</v>
      </c>
      <c r="DS172" s="675">
        <f t="shared" si="6197"/>
        <v>0</v>
      </c>
      <c r="DT172" s="549">
        <f t="shared" si="6197"/>
        <v>0</v>
      </c>
      <c r="DU172" s="675">
        <f t="shared" si="6197"/>
        <v>0</v>
      </c>
      <c r="DV172" s="549">
        <f t="shared" si="6197"/>
        <v>0</v>
      </c>
      <c r="DW172" s="675">
        <f t="shared" si="6197"/>
        <v>0</v>
      </c>
      <c r="DX172" s="549">
        <f t="shared" ref="DX172:EG172" si="6198">SUM(DX174,DX179,DX182,DX184,DX187,DX189,DX191,DX193)+DX195</f>
        <v>0</v>
      </c>
      <c r="DY172" s="675">
        <f t="shared" si="6198"/>
        <v>0</v>
      </c>
      <c r="DZ172" s="549">
        <f t="shared" si="6198"/>
        <v>0</v>
      </c>
      <c r="EA172" s="675">
        <f t="shared" si="6198"/>
        <v>0</v>
      </c>
      <c r="EB172" s="549">
        <f t="shared" si="6198"/>
        <v>0</v>
      </c>
      <c r="EC172" s="675">
        <f t="shared" si="6198"/>
        <v>0</v>
      </c>
      <c r="ED172" s="549">
        <f t="shared" si="6198"/>
        <v>0</v>
      </c>
      <c r="EE172" s="675">
        <f t="shared" si="6198"/>
        <v>0</v>
      </c>
      <c r="EF172" s="549">
        <f t="shared" si="6198"/>
        <v>0</v>
      </c>
      <c r="EG172" s="675">
        <f t="shared" si="6198"/>
        <v>0</v>
      </c>
      <c r="EH172" s="549">
        <f t="shared" ref="EH172:EM172" si="6199">SUM(EH174,EH179,EH182,EH184,EH187,EH189,EH191,EH193)+EH195</f>
        <v>0</v>
      </c>
      <c r="EI172" s="675">
        <f t="shared" si="6199"/>
        <v>0</v>
      </c>
      <c r="EJ172" s="549">
        <f t="shared" si="6199"/>
        <v>0</v>
      </c>
      <c r="EK172" s="675">
        <f t="shared" si="6199"/>
        <v>0</v>
      </c>
      <c r="EL172" s="549">
        <f t="shared" si="6199"/>
        <v>0</v>
      </c>
      <c r="EM172" s="675">
        <f t="shared" si="6199"/>
        <v>-500</v>
      </c>
      <c r="EN172" s="549">
        <f t="shared" ref="EN172:EO172" si="6200">SUM(EN174,EN179,EN182,EN184,EN187,EN189,EN191,EN193)+EN195</f>
        <v>0</v>
      </c>
      <c r="EO172" s="675">
        <f t="shared" si="6200"/>
        <v>0</v>
      </c>
      <c r="EP172" s="549">
        <f t="shared" ref="EP172:FA172" si="6201">SUM(EP174,EP179,EP182,EP184,EP187,EP189,EP191,EP193)+EP195</f>
        <v>0</v>
      </c>
      <c r="EQ172" s="675">
        <f t="shared" si="6201"/>
        <v>0</v>
      </c>
      <c r="ER172" s="549">
        <f t="shared" si="6201"/>
        <v>0</v>
      </c>
      <c r="ES172" s="675">
        <f t="shared" si="6201"/>
        <v>0</v>
      </c>
      <c r="ET172" s="549">
        <f t="shared" si="6201"/>
        <v>0</v>
      </c>
      <c r="EU172" s="675">
        <f t="shared" si="6201"/>
        <v>0</v>
      </c>
      <c r="EV172" s="549">
        <f t="shared" ref="EV172:EW172" si="6202">SUM(EV174,EV179,EV182,EV184,EV187,EV189,EV191,EV193)+EV195</f>
        <v>0</v>
      </c>
      <c r="EW172" s="675">
        <f t="shared" si="6202"/>
        <v>0</v>
      </c>
      <c r="EX172" s="549">
        <f t="shared" si="6201"/>
        <v>0</v>
      </c>
      <c r="EY172" s="675">
        <f t="shared" si="6201"/>
        <v>0</v>
      </c>
      <c r="EZ172" s="549">
        <f t="shared" si="6201"/>
        <v>0</v>
      </c>
      <c r="FA172" s="675">
        <f t="shared" si="6201"/>
        <v>0</v>
      </c>
      <c r="FB172" s="549">
        <f t="shared" ref="FB172:FC172" si="6203">SUM(FB174,FB179,FB182,FB184,FB187,FB189,FB191,FB193)+FB195</f>
        <v>0</v>
      </c>
      <c r="FC172" s="675">
        <f t="shared" si="6203"/>
        <v>0</v>
      </c>
      <c r="FD172" s="549">
        <f t="shared" ref="FD172:FE172" si="6204">SUM(FD174,FD179,FD182,FD184,FD187,FD189,FD191,FD193)+FD195</f>
        <v>0</v>
      </c>
      <c r="FE172" s="675">
        <f t="shared" si="6204"/>
        <v>-5785</v>
      </c>
      <c r="FF172" s="549">
        <f t="shared" ref="FF172:FG172" si="6205">SUM(FF174,FF179,FF182,FF184,FF187,FF189,FF191,FF193)+FF195</f>
        <v>0</v>
      </c>
      <c r="FG172" s="675">
        <f t="shared" si="6205"/>
        <v>0</v>
      </c>
      <c r="FH172" s="549">
        <f t="shared" ref="FH172:FI172" si="6206">SUM(FH174,FH179,FH182,FH184,FH187,FH189,FH191,FH193)+FH195</f>
        <v>0</v>
      </c>
      <c r="FI172" s="675">
        <f t="shared" si="6206"/>
        <v>0</v>
      </c>
      <c r="FJ172" s="549">
        <f t="shared" ref="FJ172:FK172" si="6207">SUM(FJ174,FJ179,FJ182,FJ184,FJ187,FJ189,FJ191,FJ193)+FJ195</f>
        <v>0</v>
      </c>
      <c r="FK172" s="675">
        <f t="shared" si="6207"/>
        <v>0</v>
      </c>
      <c r="FL172" s="549">
        <f t="shared" ref="FL172:FM172" si="6208">SUM(FL174,FL179,FL182,FL184,FL187,FL189,FL191,FL193)+FL195</f>
        <v>500</v>
      </c>
      <c r="FM172" s="675">
        <f t="shared" si="6208"/>
        <v>-2340</v>
      </c>
      <c r="FN172" s="549">
        <f t="shared" ref="FN172:FO172" si="6209">SUM(FN174,FN179,FN182,FN184,FN187,FN189,FN191,FN193)+FN195</f>
        <v>0</v>
      </c>
      <c r="FO172" s="675">
        <f t="shared" si="6209"/>
        <v>0</v>
      </c>
      <c r="FP172" s="549">
        <f t="shared" ref="FP172:FQ172" si="6210">SUM(FP174,FP179,FP182,FP184,FP187,FP189,FP191,FP193)+FP195</f>
        <v>0</v>
      </c>
      <c r="FQ172" s="675">
        <f t="shared" si="6210"/>
        <v>0</v>
      </c>
      <c r="FR172" s="549">
        <f t="shared" ref="FR172:FS172" si="6211">SUM(FR174,FR179,FR182,FR184,FR187,FR189,FR191,FR193)+FR195</f>
        <v>20000</v>
      </c>
      <c r="FS172" s="675">
        <f t="shared" si="6211"/>
        <v>0</v>
      </c>
      <c r="FT172" s="549">
        <f t="shared" ref="FT172:FU172" si="6212">SUM(FT174,FT179,FT182,FT184,FT187,FT189,FT191,FT193)+FT195</f>
        <v>0</v>
      </c>
      <c r="FU172" s="675">
        <f t="shared" si="6212"/>
        <v>0</v>
      </c>
      <c r="FV172" s="549">
        <f t="shared" ref="FV172:GK172" si="6213">SUM(FV174,FV179,FV182,FV184,FV187,FV189,FV191,FV193)+FV195</f>
        <v>0</v>
      </c>
      <c r="FW172" s="675">
        <f t="shared" si="6213"/>
        <v>0</v>
      </c>
      <c r="FX172" s="549">
        <f t="shared" si="6213"/>
        <v>0</v>
      </c>
      <c r="FY172" s="675">
        <f t="shared" si="6213"/>
        <v>0</v>
      </c>
      <c r="FZ172" s="549">
        <f t="shared" ref="FZ172:GI172" si="6214">SUM(FZ174,FZ179,FZ182,FZ184,FZ187,FZ189,FZ191,FZ193)+FZ195</f>
        <v>0</v>
      </c>
      <c r="GA172" s="675">
        <f t="shared" si="6214"/>
        <v>0</v>
      </c>
      <c r="GB172" s="549">
        <f t="shared" si="6214"/>
        <v>0</v>
      </c>
      <c r="GC172" s="675">
        <f t="shared" si="6214"/>
        <v>0</v>
      </c>
      <c r="GD172" s="549">
        <f t="shared" si="6214"/>
        <v>0</v>
      </c>
      <c r="GE172" s="675">
        <f t="shared" si="6214"/>
        <v>0</v>
      </c>
      <c r="GF172" s="549">
        <f t="shared" si="6214"/>
        <v>0</v>
      </c>
      <c r="GG172" s="675">
        <f t="shared" si="6214"/>
        <v>0</v>
      </c>
      <c r="GH172" s="549">
        <f t="shared" si="6214"/>
        <v>0</v>
      </c>
      <c r="GI172" s="675">
        <f t="shared" si="6214"/>
        <v>0</v>
      </c>
      <c r="GJ172" s="549">
        <f t="shared" si="6213"/>
        <v>0</v>
      </c>
      <c r="GK172" s="675">
        <f t="shared" si="6213"/>
        <v>0</v>
      </c>
      <c r="GL172" s="549">
        <f t="shared" ref="GL172:GQ172" si="6215">SUM(GL174,GL179,GL182,GL184,GL187,GL189,GL191,GL193)+GL195</f>
        <v>0</v>
      </c>
      <c r="GM172" s="675">
        <f t="shared" si="6215"/>
        <v>0</v>
      </c>
      <c r="GN172" s="549">
        <f t="shared" ref="GN172:GO172" si="6216">SUM(GN174,GN179,GN182,GN184,GN187,GN189,GN191,GN193)+GN195</f>
        <v>0</v>
      </c>
      <c r="GO172" s="675">
        <f t="shared" si="6216"/>
        <v>0</v>
      </c>
      <c r="GP172" s="74">
        <f t="shared" si="6215"/>
        <v>273500</v>
      </c>
      <c r="GQ172" s="675">
        <f t="shared" si="6215"/>
        <v>-418924</v>
      </c>
      <c r="GR172" s="74">
        <f t="shared" ref="GR172:JA172" si="6217">SUM(GR174,GR179,GR182,GR184,GR187,GR189,GR191,GR193)+GR195</f>
        <v>413576</v>
      </c>
      <c r="GS172" s="74">
        <f>SUM(GS174,GS179,GS182,GS184,GS187,GS189,GS191,GS193)+GS195</f>
        <v>413576</v>
      </c>
      <c r="GT172" s="549">
        <f t="shared" si="6217"/>
        <v>413576</v>
      </c>
      <c r="GU172" s="74">
        <f>SUM(GU174,GU179,GU182,GU184,GU187,GU189,GU191,GU193)+GU195</f>
        <v>77500</v>
      </c>
      <c r="GV172" s="74">
        <f t="shared" si="6217"/>
        <v>122500</v>
      </c>
      <c r="GW172" s="549">
        <f t="shared" si="6217"/>
        <v>107500</v>
      </c>
      <c r="GX172" s="549">
        <f t="shared" si="6217"/>
        <v>116500</v>
      </c>
      <c r="GY172" s="74">
        <f t="shared" si="6217"/>
        <v>57500</v>
      </c>
      <c r="GZ172" s="74">
        <f t="shared" si="6217"/>
        <v>57500</v>
      </c>
      <c r="HA172" s="74">
        <f t="shared" si="6217"/>
        <v>20000</v>
      </c>
      <c r="HB172" s="74">
        <f t="shared" si="6217"/>
        <v>0</v>
      </c>
      <c r="HC172" s="74">
        <f t="shared" si="6217"/>
        <v>0</v>
      </c>
      <c r="HD172" s="74">
        <f t="shared" si="6217"/>
        <v>0</v>
      </c>
      <c r="HE172" s="74">
        <f t="shared" si="6217"/>
        <v>0</v>
      </c>
      <c r="HF172" s="74">
        <f t="shared" si="6217"/>
        <v>0</v>
      </c>
      <c r="HG172" s="74">
        <f t="shared" si="6217"/>
        <v>413576</v>
      </c>
      <c r="HH172" s="74">
        <f t="shared" ref="HH172:HU172" si="6218">SUM(HH174,HH179,HH182,HH184,HH187,HH189,HH191,HH193)+HH195</f>
        <v>77500</v>
      </c>
      <c r="HI172" s="74">
        <f t="shared" si="6218"/>
        <v>0</v>
      </c>
      <c r="HJ172" s="74">
        <f t="shared" si="6218"/>
        <v>59500</v>
      </c>
      <c r="HK172" s="74">
        <f t="shared" si="6218"/>
        <v>0</v>
      </c>
      <c r="HL172" s="74">
        <f t="shared" si="6218"/>
        <v>156739.95000000001</v>
      </c>
      <c r="HM172" s="74">
        <f t="shared" si="6218"/>
        <v>0</v>
      </c>
      <c r="HN172" s="74">
        <f t="shared" si="6218"/>
        <v>51500</v>
      </c>
      <c r="HO172" s="74">
        <f t="shared" si="6218"/>
        <v>0</v>
      </c>
      <c r="HP172" s="74">
        <f t="shared" si="6218"/>
        <v>-42099</v>
      </c>
      <c r="HQ172" s="74">
        <f t="shared" si="6218"/>
        <v>0</v>
      </c>
      <c r="HR172" s="74">
        <f t="shared" si="6218"/>
        <v>110</v>
      </c>
      <c r="HS172" s="74">
        <f t="shared" si="6218"/>
        <v>0</v>
      </c>
      <c r="HT172" s="74">
        <f t="shared" si="6218"/>
        <v>-28500</v>
      </c>
      <c r="HU172" s="74">
        <f t="shared" si="6218"/>
        <v>0</v>
      </c>
      <c r="HV172" s="74">
        <f t="shared" si="6217"/>
        <v>2105</v>
      </c>
      <c r="HW172" s="74">
        <f t="shared" si="6217"/>
        <v>0</v>
      </c>
      <c r="HX172" s="74">
        <f t="shared" si="6217"/>
        <v>-2000</v>
      </c>
      <c r="HY172" s="74">
        <f t="shared" si="6217"/>
        <v>0</v>
      </c>
      <c r="HZ172" s="74">
        <f t="shared" si="6217"/>
        <v>13720.05</v>
      </c>
      <c r="IA172" s="74">
        <f t="shared" si="6217"/>
        <v>0</v>
      </c>
      <c r="IB172" s="74">
        <f t="shared" si="6217"/>
        <v>0</v>
      </c>
      <c r="IC172" s="74">
        <f t="shared" si="6217"/>
        <v>0</v>
      </c>
      <c r="ID172" s="74">
        <f t="shared" si="6217"/>
        <v>0</v>
      </c>
      <c r="IE172" s="792">
        <f t="shared" si="6217"/>
        <v>0</v>
      </c>
      <c r="IF172" s="841">
        <f t="shared" si="6217"/>
        <v>265152.25</v>
      </c>
      <c r="IG172" s="263">
        <f t="shared" si="6217"/>
        <v>265152.25</v>
      </c>
      <c r="IH172" s="842">
        <f t="shared" si="6217"/>
        <v>265152.25</v>
      </c>
      <c r="II172" s="155">
        <f t="shared" si="6217"/>
        <v>277</v>
      </c>
      <c r="IJ172" s="74">
        <f t="shared" si="6217"/>
        <v>277</v>
      </c>
      <c r="IK172" s="74">
        <f t="shared" si="6217"/>
        <v>277</v>
      </c>
      <c r="IL172" s="74">
        <f t="shared" si="6217"/>
        <v>7075.95</v>
      </c>
      <c r="IM172" s="74">
        <f t="shared" si="6217"/>
        <v>7075.95</v>
      </c>
      <c r="IN172" s="74">
        <f t="shared" si="6217"/>
        <v>7075.95</v>
      </c>
      <c r="IO172" s="74">
        <f t="shared" si="6217"/>
        <v>125.27000000000044</v>
      </c>
      <c r="IP172" s="74">
        <f t="shared" si="6217"/>
        <v>125.27000000000044</v>
      </c>
      <c r="IQ172" s="74">
        <f t="shared" si="6217"/>
        <v>125.27000000000044</v>
      </c>
      <c r="IR172" s="74">
        <f t="shared" si="6217"/>
        <v>2891.0899999999992</v>
      </c>
      <c r="IS172" s="74">
        <f t="shared" si="6217"/>
        <v>2891.0899999999992</v>
      </c>
      <c r="IT172" s="74">
        <f t="shared" si="6217"/>
        <v>2891.0899999999992</v>
      </c>
      <c r="IU172" s="74">
        <f t="shared" si="6217"/>
        <v>15219.63</v>
      </c>
      <c r="IV172" s="74">
        <f t="shared" si="6217"/>
        <v>15219.63</v>
      </c>
      <c r="IW172" s="74">
        <f t="shared" si="6217"/>
        <v>15219.63</v>
      </c>
      <c r="IX172" s="74">
        <f t="shared" si="6217"/>
        <v>11657.64</v>
      </c>
      <c r="IY172" s="74">
        <f t="shared" si="6217"/>
        <v>11657.64</v>
      </c>
      <c r="IZ172" s="74">
        <f t="shared" si="6217"/>
        <v>11657.64</v>
      </c>
      <c r="JA172" s="74">
        <f t="shared" si="6217"/>
        <v>18522.79</v>
      </c>
      <c r="JB172" s="74">
        <f t="shared" ref="JB172:JT172" si="6219">SUM(JB174,JB179,JB182,JB184,JB187,JB189,JB191,JB193)+JB195</f>
        <v>18522.79</v>
      </c>
      <c r="JC172" s="74">
        <f t="shared" si="6219"/>
        <v>18522.79</v>
      </c>
      <c r="JD172" s="74">
        <f t="shared" si="6219"/>
        <v>205872.01999999996</v>
      </c>
      <c r="JE172" s="74">
        <f t="shared" si="6219"/>
        <v>205872.01999999996</v>
      </c>
      <c r="JF172" s="74">
        <f t="shared" si="6219"/>
        <v>205872.01999999996</v>
      </c>
      <c r="JG172" s="74">
        <f t="shared" si="6219"/>
        <v>2701.1699999999946</v>
      </c>
      <c r="JH172" s="74">
        <f t="shared" si="6219"/>
        <v>2701.1699999999946</v>
      </c>
      <c r="JI172" s="74">
        <f t="shared" si="6219"/>
        <v>2701.1699999999946</v>
      </c>
      <c r="JJ172" s="74">
        <f t="shared" si="6219"/>
        <v>809.68999999999869</v>
      </c>
      <c r="JK172" s="74">
        <f t="shared" si="6219"/>
        <v>809.68999999999869</v>
      </c>
      <c r="JL172" s="74">
        <f t="shared" si="6219"/>
        <v>809.68999999999869</v>
      </c>
      <c r="JM172" s="74">
        <f t="shared" si="6219"/>
        <v>0</v>
      </c>
      <c r="JN172" s="74">
        <f t="shared" si="6219"/>
        <v>0</v>
      </c>
      <c r="JO172" s="74">
        <f t="shared" si="6219"/>
        <v>0</v>
      </c>
      <c r="JP172" s="74">
        <f t="shared" si="6219"/>
        <v>0</v>
      </c>
      <c r="JQ172" s="74">
        <f t="shared" si="6219"/>
        <v>0</v>
      </c>
      <c r="JR172" s="74">
        <f t="shared" si="6219"/>
        <v>0</v>
      </c>
      <c r="JS172" s="74">
        <f t="shared" si="6219"/>
        <v>148423.75</v>
      </c>
      <c r="JT172" s="382">
        <f t="shared" si="6219"/>
        <v>148423.75</v>
      </c>
      <c r="JU172" s="670"/>
      <c r="JV172" s="489"/>
      <c r="JW172" s="490"/>
      <c r="JX172" s="549">
        <f>SUM(JX174,JX179,JX182,JX184,JX187,JX189,JX191,JX193)+JX195</f>
        <v>288576</v>
      </c>
      <c r="JY172" s="549">
        <f>SUM(JY174,JY179,JY182,JY184,JY187,JY189,JY191,JY193)+JY195</f>
        <v>0</v>
      </c>
      <c r="JZ172" s="581">
        <f t="shared" si="4944"/>
        <v>273500</v>
      </c>
      <c r="KA172" s="581">
        <f t="shared" si="4945"/>
        <v>-418924</v>
      </c>
      <c r="KB172" s="549">
        <f>SUM(KB174,KB179,KB182,KB184,KB187,KB189,KB191,KB193)+KB195</f>
        <v>413576</v>
      </c>
      <c r="KC172" s="709">
        <f t="shared" si="4908"/>
        <v>0</v>
      </c>
      <c r="KD172" s="36"/>
      <c r="KE172" s="36"/>
      <c r="KF172" s="36"/>
      <c r="KG172" s="36"/>
      <c r="KH172" s="36"/>
      <c r="KI172" s="36"/>
      <c r="KJ172" s="36"/>
      <c r="KK172" s="36"/>
    </row>
    <row r="173" spans="1:297" s="8" customFormat="1">
      <c r="A173" s="75"/>
      <c r="B173" s="72"/>
      <c r="C173" s="74"/>
      <c r="D173" s="549"/>
      <c r="E173" s="675"/>
      <c r="F173" s="549"/>
      <c r="G173" s="675"/>
      <c r="H173" s="549"/>
      <c r="I173" s="675"/>
      <c r="J173" s="549"/>
      <c r="K173" s="675"/>
      <c r="L173" s="549"/>
      <c r="M173" s="675"/>
      <c r="N173" s="549"/>
      <c r="O173" s="675"/>
      <c r="P173" s="549"/>
      <c r="Q173" s="675"/>
      <c r="R173" s="549"/>
      <c r="S173" s="675"/>
      <c r="T173" s="549"/>
      <c r="U173" s="675"/>
      <c r="V173" s="549"/>
      <c r="W173" s="675"/>
      <c r="X173" s="549"/>
      <c r="Y173" s="675"/>
      <c r="Z173" s="549"/>
      <c r="AA173" s="675"/>
      <c r="AB173" s="549"/>
      <c r="AC173" s="675"/>
      <c r="AD173" s="549"/>
      <c r="AE173" s="675"/>
      <c r="AF173" s="549"/>
      <c r="AG173" s="675"/>
      <c r="AH173" s="549"/>
      <c r="AI173" s="675"/>
      <c r="AJ173" s="549"/>
      <c r="AK173" s="675"/>
      <c r="AL173" s="549"/>
      <c r="AM173" s="675"/>
      <c r="AN173" s="549"/>
      <c r="AO173" s="675"/>
      <c r="AP173" s="549"/>
      <c r="AQ173" s="675"/>
      <c r="AR173" s="549"/>
      <c r="AS173" s="675"/>
      <c r="AT173" s="549"/>
      <c r="AU173" s="675"/>
      <c r="AV173" s="549"/>
      <c r="AW173" s="675"/>
      <c r="AX173" s="549"/>
      <c r="AY173" s="675"/>
      <c r="AZ173" s="549"/>
      <c r="BA173" s="675"/>
      <c r="BB173" s="549"/>
      <c r="BC173" s="675"/>
      <c r="BD173" s="549"/>
      <c r="BE173" s="675"/>
      <c r="BF173" s="549"/>
      <c r="BG173" s="675"/>
      <c r="BH173" s="549"/>
      <c r="BI173" s="675"/>
      <c r="BJ173" s="549"/>
      <c r="BK173" s="675"/>
      <c r="BL173" s="549"/>
      <c r="BM173" s="675"/>
      <c r="BN173" s="549"/>
      <c r="BO173" s="675"/>
      <c r="BP173" s="549"/>
      <c r="BQ173" s="675"/>
      <c r="BR173" s="549"/>
      <c r="BS173" s="675"/>
      <c r="BT173" s="549"/>
      <c r="BU173" s="675"/>
      <c r="BV173" s="549"/>
      <c r="BW173" s="675"/>
      <c r="BX173" s="549"/>
      <c r="BY173" s="675"/>
      <c r="BZ173" s="549"/>
      <c r="CA173" s="675"/>
      <c r="CB173" s="549"/>
      <c r="CC173" s="675"/>
      <c r="CD173" s="549"/>
      <c r="CE173" s="675"/>
      <c r="CF173" s="549"/>
      <c r="CG173" s="675"/>
      <c r="CH173" s="549"/>
      <c r="CI173" s="675"/>
      <c r="CJ173" s="549"/>
      <c r="CK173" s="675"/>
      <c r="CL173" s="549"/>
      <c r="CM173" s="675"/>
      <c r="CN173" s="549"/>
      <c r="CO173" s="675"/>
      <c r="CP173" s="549"/>
      <c r="CQ173" s="675"/>
      <c r="CR173" s="549"/>
      <c r="CS173" s="675"/>
      <c r="CT173" s="549"/>
      <c r="CU173" s="675"/>
      <c r="CV173" s="549"/>
      <c r="CW173" s="675"/>
      <c r="CX173" s="549"/>
      <c r="CY173" s="675"/>
      <c r="CZ173" s="549"/>
      <c r="DA173" s="675"/>
      <c r="DB173" s="549"/>
      <c r="DC173" s="675"/>
      <c r="DD173" s="549"/>
      <c r="DE173" s="675"/>
      <c r="DF173" s="549"/>
      <c r="DG173" s="675"/>
      <c r="DH173" s="549"/>
      <c r="DI173" s="675"/>
      <c r="DJ173" s="549"/>
      <c r="DK173" s="675"/>
      <c r="DL173" s="549"/>
      <c r="DM173" s="675"/>
      <c r="DN173" s="549"/>
      <c r="DO173" s="675"/>
      <c r="DP173" s="549"/>
      <c r="DQ173" s="675"/>
      <c r="DR173" s="549"/>
      <c r="DS173" s="675"/>
      <c r="DT173" s="549"/>
      <c r="DU173" s="675"/>
      <c r="DV173" s="549"/>
      <c r="DW173" s="675"/>
      <c r="DX173" s="549"/>
      <c r="DY173" s="675"/>
      <c r="DZ173" s="549"/>
      <c r="EA173" s="675"/>
      <c r="EB173" s="549"/>
      <c r="EC173" s="675"/>
      <c r="ED173" s="549"/>
      <c r="EE173" s="675"/>
      <c r="EF173" s="549"/>
      <c r="EG173" s="675"/>
      <c r="EH173" s="549"/>
      <c r="EI173" s="675"/>
      <c r="EJ173" s="549"/>
      <c r="EK173" s="675"/>
      <c r="EL173" s="549"/>
      <c r="EM173" s="675"/>
      <c r="EN173" s="549"/>
      <c r="EO173" s="675"/>
      <c r="EP173" s="549"/>
      <c r="EQ173" s="675"/>
      <c r="ER173" s="549"/>
      <c r="ES173" s="675"/>
      <c r="ET173" s="549"/>
      <c r="EU173" s="675"/>
      <c r="EV173" s="549"/>
      <c r="EW173" s="675"/>
      <c r="EX173" s="549"/>
      <c r="EY173" s="675"/>
      <c r="EZ173" s="549"/>
      <c r="FA173" s="675"/>
      <c r="FB173" s="549"/>
      <c r="FC173" s="675"/>
      <c r="FD173" s="549"/>
      <c r="FE173" s="675"/>
      <c r="FF173" s="549"/>
      <c r="FG173" s="675"/>
      <c r="FH173" s="549"/>
      <c r="FI173" s="675"/>
      <c r="FJ173" s="549"/>
      <c r="FK173" s="675"/>
      <c r="FL173" s="549"/>
      <c r="FM173" s="675"/>
      <c r="FN173" s="549"/>
      <c r="FO173" s="675"/>
      <c r="FP173" s="549"/>
      <c r="FQ173" s="675"/>
      <c r="FR173" s="549"/>
      <c r="FS173" s="675"/>
      <c r="FT173" s="549"/>
      <c r="FU173" s="675"/>
      <c r="FV173" s="549"/>
      <c r="FW173" s="675"/>
      <c r="FX173" s="549"/>
      <c r="FY173" s="675"/>
      <c r="FZ173" s="549"/>
      <c r="GA173" s="675"/>
      <c r="GB173" s="549"/>
      <c r="GC173" s="675"/>
      <c r="GD173" s="549"/>
      <c r="GE173" s="675"/>
      <c r="GF173" s="549"/>
      <c r="GG173" s="675"/>
      <c r="GH173" s="549"/>
      <c r="GI173" s="675"/>
      <c r="GJ173" s="549"/>
      <c r="GK173" s="675"/>
      <c r="GL173" s="549"/>
      <c r="GM173" s="675"/>
      <c r="GN173" s="549"/>
      <c r="GO173" s="675"/>
      <c r="GP173" s="74"/>
      <c r="GQ173" s="675"/>
      <c r="GR173" s="74"/>
      <c r="GS173" s="74"/>
      <c r="GT173" s="549"/>
      <c r="GU173" s="74"/>
      <c r="GV173" s="74"/>
      <c r="GW173" s="549"/>
      <c r="GX173" s="549"/>
      <c r="GY173" s="74"/>
      <c r="GZ173" s="74"/>
      <c r="HA173" s="74"/>
      <c r="HB173" s="74"/>
      <c r="HC173" s="74"/>
      <c r="HD173" s="74"/>
      <c r="HE173" s="74"/>
      <c r="HF173" s="74"/>
      <c r="HG173" s="74"/>
      <c r="HH173" s="74"/>
      <c r="HI173" s="74"/>
      <c r="HJ173" s="74"/>
      <c r="HK173" s="74"/>
      <c r="HL173" s="74"/>
      <c r="HM173" s="74"/>
      <c r="HN173" s="74"/>
      <c r="HO173" s="74"/>
      <c r="HP173" s="74"/>
      <c r="HQ173" s="74"/>
      <c r="HR173" s="74"/>
      <c r="HS173" s="74"/>
      <c r="HT173" s="74"/>
      <c r="HU173" s="74"/>
      <c r="HV173" s="74"/>
      <c r="HW173" s="74"/>
      <c r="HX173" s="74"/>
      <c r="HY173" s="74"/>
      <c r="HZ173" s="74"/>
      <c r="IA173" s="74"/>
      <c r="IB173" s="74"/>
      <c r="IC173" s="74"/>
      <c r="ID173" s="74"/>
      <c r="IE173" s="792"/>
      <c r="IF173" s="841"/>
      <c r="IG173" s="263"/>
      <c r="IH173" s="842"/>
      <c r="II173" s="155"/>
      <c r="IJ173" s="74"/>
      <c r="IK173" s="74"/>
      <c r="IL173" s="74"/>
      <c r="IM173" s="74"/>
      <c r="IN173" s="74"/>
      <c r="IO173" s="74"/>
      <c r="IP173" s="74"/>
      <c r="IQ173" s="74"/>
      <c r="IR173" s="74"/>
      <c r="IS173" s="74"/>
      <c r="IT173" s="74"/>
      <c r="IU173" s="74"/>
      <c r="IV173" s="74"/>
      <c r="IW173" s="74"/>
      <c r="IX173" s="74"/>
      <c r="IY173" s="74"/>
      <c r="IZ173" s="74"/>
      <c r="JA173" s="74"/>
      <c r="JB173" s="74"/>
      <c r="JC173" s="74"/>
      <c r="JD173" s="74"/>
      <c r="JE173" s="74"/>
      <c r="JF173" s="74"/>
      <c r="JG173" s="74"/>
      <c r="JH173" s="74"/>
      <c r="JI173" s="74"/>
      <c r="JJ173" s="74"/>
      <c r="JK173" s="74"/>
      <c r="JL173" s="74"/>
      <c r="JM173" s="74"/>
      <c r="JN173" s="74"/>
      <c r="JO173" s="74"/>
      <c r="JP173" s="74"/>
      <c r="JQ173" s="74"/>
      <c r="JR173" s="74"/>
      <c r="JS173" s="74"/>
      <c r="JT173" s="382"/>
      <c r="JU173" s="670"/>
      <c r="JV173" s="489"/>
      <c r="JW173" s="490"/>
      <c r="JX173" s="549"/>
      <c r="JY173" s="549"/>
      <c r="JZ173" s="581">
        <f t="shared" si="4944"/>
        <v>0</v>
      </c>
      <c r="KA173" s="581">
        <f t="shared" si="4945"/>
        <v>0</v>
      </c>
      <c r="KB173" s="549"/>
      <c r="KC173" s="709">
        <f t="shared" si="4908"/>
        <v>0</v>
      </c>
      <c r="KD173" s="36"/>
      <c r="KE173" s="36"/>
      <c r="KF173" s="36"/>
      <c r="KG173" s="36"/>
      <c r="KH173" s="36"/>
      <c r="KI173" s="36"/>
      <c r="KJ173" s="36"/>
      <c r="KK173" s="36"/>
    </row>
    <row r="174" spans="1:297" s="8" customFormat="1">
      <c r="A174" s="75" t="s">
        <v>503</v>
      </c>
      <c r="B174" s="72"/>
      <c r="C174" s="74">
        <f>SUM(C175:C177)</f>
        <v>10000</v>
      </c>
      <c r="D174" s="549">
        <f t="shared" ref="D174:E174" si="6220">SUM(D175:D177)</f>
        <v>0</v>
      </c>
      <c r="E174" s="675">
        <f t="shared" si="6220"/>
        <v>0</v>
      </c>
      <c r="F174" s="549">
        <f t="shared" ref="F174:G174" si="6221">SUM(F175:F177)</f>
        <v>0</v>
      </c>
      <c r="G174" s="675">
        <f t="shared" si="6221"/>
        <v>0</v>
      </c>
      <c r="H174" s="549">
        <f t="shared" ref="H174:I174" si="6222">SUM(H175:H177)</f>
        <v>0</v>
      </c>
      <c r="I174" s="675">
        <f t="shared" si="6222"/>
        <v>0</v>
      </c>
      <c r="J174" s="549">
        <f t="shared" ref="J174:K174" si="6223">SUM(J175:J177)</f>
        <v>0</v>
      </c>
      <c r="K174" s="675">
        <f t="shared" si="6223"/>
        <v>0</v>
      </c>
      <c r="L174" s="549">
        <f t="shared" ref="L174:M174" si="6224">SUM(L175:L177)</f>
        <v>0</v>
      </c>
      <c r="M174" s="675">
        <f t="shared" si="6224"/>
        <v>0</v>
      </c>
      <c r="N174" s="549">
        <f t="shared" ref="N174:O174" si="6225">SUM(N175:N177)</f>
        <v>0</v>
      </c>
      <c r="O174" s="675">
        <f t="shared" si="6225"/>
        <v>0</v>
      </c>
      <c r="P174" s="549">
        <f t="shared" ref="P174:Q174" si="6226">SUM(P175:P177)</f>
        <v>0</v>
      </c>
      <c r="Q174" s="675">
        <f t="shared" si="6226"/>
        <v>0</v>
      </c>
      <c r="R174" s="549">
        <f t="shared" ref="R174:S174" si="6227">SUM(R175:R177)</f>
        <v>0</v>
      </c>
      <c r="S174" s="675">
        <f t="shared" si="6227"/>
        <v>0</v>
      </c>
      <c r="T174" s="549">
        <f t="shared" ref="T174:U174" si="6228">SUM(T175:T177)</f>
        <v>0</v>
      </c>
      <c r="U174" s="675">
        <f t="shared" si="6228"/>
        <v>0</v>
      </c>
      <c r="V174" s="549">
        <f t="shared" ref="V174:W174" si="6229">SUM(V175:V177)</f>
        <v>0</v>
      </c>
      <c r="W174" s="675">
        <f t="shared" si="6229"/>
        <v>0</v>
      </c>
      <c r="X174" s="549">
        <f t="shared" ref="X174:Y174" si="6230">SUM(X175:X177)</f>
        <v>0</v>
      </c>
      <c r="Y174" s="675">
        <f t="shared" si="6230"/>
        <v>0</v>
      </c>
      <c r="Z174" s="549">
        <f t="shared" ref="Z174:AA174" si="6231">SUM(Z175:Z177)</f>
        <v>0</v>
      </c>
      <c r="AA174" s="675">
        <f t="shared" si="6231"/>
        <v>0</v>
      </c>
      <c r="AB174" s="549">
        <f t="shared" ref="AB174:AC174" si="6232">SUM(AB175:AB177)</f>
        <v>0</v>
      </c>
      <c r="AC174" s="675">
        <f t="shared" si="6232"/>
        <v>0</v>
      </c>
      <c r="AD174" s="549">
        <f t="shared" ref="AD174:AE174" si="6233">SUM(AD175:AD177)</f>
        <v>0</v>
      </c>
      <c r="AE174" s="675">
        <f t="shared" si="6233"/>
        <v>0</v>
      </c>
      <c r="AF174" s="549">
        <f t="shared" ref="AF174:AI174" si="6234">SUM(AF175:AF177)</f>
        <v>0</v>
      </c>
      <c r="AG174" s="675">
        <f t="shared" si="6234"/>
        <v>0</v>
      </c>
      <c r="AH174" s="549">
        <f t="shared" si="6234"/>
        <v>0</v>
      </c>
      <c r="AI174" s="675">
        <f t="shared" si="6234"/>
        <v>-5000</v>
      </c>
      <c r="AJ174" s="549">
        <f t="shared" ref="AJ174:AK174" si="6235">SUM(AJ175:AJ177)</f>
        <v>0</v>
      </c>
      <c r="AK174" s="675">
        <f t="shared" si="6235"/>
        <v>0</v>
      </c>
      <c r="AL174" s="549">
        <f t="shared" ref="AL174:AM174" si="6236">SUM(AL175:AL177)</f>
        <v>0</v>
      </c>
      <c r="AM174" s="675">
        <f t="shared" si="6236"/>
        <v>0</v>
      </c>
      <c r="AN174" s="549">
        <f t="shared" ref="AN174:AO174" si="6237">SUM(AN175:AN177)</f>
        <v>125000</v>
      </c>
      <c r="AO174" s="675">
        <f t="shared" si="6237"/>
        <v>0</v>
      </c>
      <c r="AP174" s="549">
        <f t="shared" ref="AP174:AQ174" si="6238">SUM(AP175:AP177)</f>
        <v>0</v>
      </c>
      <c r="AQ174" s="675">
        <f t="shared" si="6238"/>
        <v>0</v>
      </c>
      <c r="AR174" s="549">
        <f t="shared" ref="AR174:AS174" si="6239">SUM(AR175:AR177)</f>
        <v>0</v>
      </c>
      <c r="AS174" s="675">
        <f t="shared" si="6239"/>
        <v>0</v>
      </c>
      <c r="AT174" s="549">
        <f t="shared" ref="AT174:AU174" si="6240">SUM(AT175:AT177)</f>
        <v>0</v>
      </c>
      <c r="AU174" s="675">
        <f t="shared" si="6240"/>
        <v>0</v>
      </c>
      <c r="AV174" s="549">
        <f t="shared" ref="AV174:AW174" si="6241">SUM(AV175:AV177)</f>
        <v>0</v>
      </c>
      <c r="AW174" s="675">
        <f t="shared" si="6241"/>
        <v>0</v>
      </c>
      <c r="AX174" s="549">
        <f t="shared" ref="AX174:AY174" si="6242">SUM(AX175:AX177)</f>
        <v>0</v>
      </c>
      <c r="AY174" s="675">
        <f t="shared" si="6242"/>
        <v>0</v>
      </c>
      <c r="AZ174" s="549">
        <f t="shared" ref="AZ174:BA174" si="6243">SUM(AZ175:AZ177)</f>
        <v>0</v>
      </c>
      <c r="BA174" s="675">
        <f t="shared" si="6243"/>
        <v>0</v>
      </c>
      <c r="BB174" s="549">
        <f t="shared" ref="BB174:BC174" si="6244">SUM(BB175:BB177)</f>
        <v>0</v>
      </c>
      <c r="BC174" s="675">
        <f t="shared" si="6244"/>
        <v>0</v>
      </c>
      <c r="BD174" s="549">
        <f t="shared" ref="BD174:BE174" si="6245">SUM(BD175:BD177)</f>
        <v>0</v>
      </c>
      <c r="BE174" s="675">
        <f t="shared" si="6245"/>
        <v>0</v>
      </c>
      <c r="BF174" s="549">
        <f t="shared" ref="BF174:BG174" si="6246">SUM(BF175:BF177)</f>
        <v>0</v>
      </c>
      <c r="BG174" s="675">
        <f t="shared" si="6246"/>
        <v>0</v>
      </c>
      <c r="BH174" s="549">
        <f t="shared" ref="BH174:BI174" si="6247">SUM(BH175:BH177)</f>
        <v>0</v>
      </c>
      <c r="BI174" s="675">
        <f t="shared" si="6247"/>
        <v>0</v>
      </c>
      <c r="BJ174" s="549">
        <f t="shared" ref="BJ174:BK174" si="6248">SUM(BJ175:BJ177)</f>
        <v>0</v>
      </c>
      <c r="BK174" s="675">
        <f t="shared" si="6248"/>
        <v>0</v>
      </c>
      <c r="BL174" s="549">
        <f t="shared" ref="BL174:BM174" si="6249">SUM(BL175:BL177)</f>
        <v>0</v>
      </c>
      <c r="BM174" s="675">
        <f t="shared" si="6249"/>
        <v>0</v>
      </c>
      <c r="BN174" s="549">
        <f t="shared" ref="BN174:BO174" si="6250">SUM(BN175:BN177)</f>
        <v>0</v>
      </c>
      <c r="BO174" s="675">
        <f t="shared" si="6250"/>
        <v>0</v>
      </c>
      <c r="BP174" s="549">
        <f t="shared" ref="BP174:BQ174" si="6251">SUM(BP175:BP177)</f>
        <v>0</v>
      </c>
      <c r="BQ174" s="675">
        <f t="shared" si="6251"/>
        <v>0</v>
      </c>
      <c r="BR174" s="549">
        <f t="shared" ref="BR174:BS174" si="6252">SUM(BR175:BR177)</f>
        <v>0</v>
      </c>
      <c r="BS174" s="675">
        <f t="shared" si="6252"/>
        <v>0</v>
      </c>
      <c r="BT174" s="549">
        <f t="shared" ref="BT174:BU174" si="6253">SUM(BT175:BT177)</f>
        <v>0</v>
      </c>
      <c r="BU174" s="675">
        <f t="shared" si="6253"/>
        <v>0</v>
      </c>
      <c r="BV174" s="549">
        <f t="shared" ref="BV174:BW174" si="6254">SUM(BV175:BV177)</f>
        <v>0</v>
      </c>
      <c r="BW174" s="675">
        <f t="shared" si="6254"/>
        <v>0</v>
      </c>
      <c r="BX174" s="549">
        <f t="shared" ref="BX174:BY174" si="6255">SUM(BX175:BX177)</f>
        <v>0</v>
      </c>
      <c r="BY174" s="675">
        <f t="shared" si="6255"/>
        <v>0</v>
      </c>
      <c r="BZ174" s="549">
        <f t="shared" ref="BZ174:CA174" si="6256">SUM(BZ175:BZ177)</f>
        <v>0</v>
      </c>
      <c r="CA174" s="675">
        <f t="shared" si="6256"/>
        <v>0</v>
      </c>
      <c r="CB174" s="549">
        <f t="shared" ref="CB174:CC174" si="6257">SUM(CB175:CB177)</f>
        <v>0</v>
      </c>
      <c r="CC174" s="675">
        <f t="shared" si="6257"/>
        <v>0</v>
      </c>
      <c r="CD174" s="549">
        <f t="shared" ref="CD174:CE174" si="6258">SUM(CD175:CD177)</f>
        <v>0</v>
      </c>
      <c r="CE174" s="675">
        <f t="shared" si="6258"/>
        <v>0</v>
      </c>
      <c r="CF174" s="549">
        <f t="shared" ref="CF174:CG174" si="6259">SUM(CF175:CF177)</f>
        <v>0</v>
      </c>
      <c r="CG174" s="675">
        <f t="shared" si="6259"/>
        <v>0</v>
      </c>
      <c r="CH174" s="549">
        <f t="shared" ref="CH174:CI174" si="6260">SUM(CH175:CH177)</f>
        <v>0</v>
      </c>
      <c r="CI174" s="675">
        <f t="shared" si="6260"/>
        <v>0</v>
      </c>
      <c r="CJ174" s="549">
        <f t="shared" ref="CJ174:CK174" si="6261">SUM(CJ175:CJ177)</f>
        <v>0</v>
      </c>
      <c r="CK174" s="675">
        <f t="shared" si="6261"/>
        <v>-4000</v>
      </c>
      <c r="CL174" s="549">
        <f t="shared" ref="CL174:CM174" si="6262">SUM(CL175:CL177)</f>
        <v>0</v>
      </c>
      <c r="CM174" s="675">
        <f t="shared" si="6262"/>
        <v>0</v>
      </c>
      <c r="CN174" s="549">
        <f t="shared" ref="CN174:CO174" si="6263">SUM(CN175:CN177)</f>
        <v>0</v>
      </c>
      <c r="CO174" s="675">
        <f t="shared" si="6263"/>
        <v>0</v>
      </c>
      <c r="CP174" s="549">
        <f t="shared" ref="CP174:CQ174" si="6264">SUM(CP175:CP177)</f>
        <v>0</v>
      </c>
      <c r="CQ174" s="675">
        <f t="shared" si="6264"/>
        <v>0</v>
      </c>
      <c r="CR174" s="549">
        <f t="shared" ref="CR174:CS174" si="6265">SUM(CR175:CR177)</f>
        <v>0</v>
      </c>
      <c r="CS174" s="675">
        <f t="shared" si="6265"/>
        <v>0</v>
      </c>
      <c r="CT174" s="549">
        <f t="shared" ref="CT174:CU174" si="6266">SUM(CT175:CT177)</f>
        <v>0</v>
      </c>
      <c r="CU174" s="675">
        <f t="shared" si="6266"/>
        <v>0</v>
      </c>
      <c r="CV174" s="549">
        <f t="shared" ref="CV174:CW174" si="6267">SUM(CV175:CV177)</f>
        <v>0</v>
      </c>
      <c r="CW174" s="675">
        <f t="shared" si="6267"/>
        <v>0</v>
      </c>
      <c r="CX174" s="549">
        <f t="shared" ref="CX174:CY174" si="6268">SUM(CX175:CX177)</f>
        <v>0</v>
      </c>
      <c r="CY174" s="675">
        <f t="shared" si="6268"/>
        <v>0</v>
      </c>
      <c r="CZ174" s="549">
        <f t="shared" ref="CZ174:DA174" si="6269">SUM(CZ175:CZ177)</f>
        <v>0</v>
      </c>
      <c r="DA174" s="675">
        <f t="shared" si="6269"/>
        <v>0</v>
      </c>
      <c r="DB174" s="549">
        <f t="shared" ref="DB174:DC174" si="6270">SUM(DB175:DB177)</f>
        <v>0</v>
      </c>
      <c r="DC174" s="675">
        <f t="shared" si="6270"/>
        <v>0</v>
      </c>
      <c r="DD174" s="549">
        <f t="shared" ref="DD174:DE174" si="6271">SUM(DD175:DD177)</f>
        <v>0</v>
      </c>
      <c r="DE174" s="675">
        <f t="shared" si="6271"/>
        <v>0</v>
      </c>
      <c r="DF174" s="549">
        <f t="shared" ref="DF174:DG174" si="6272">SUM(DF175:DF177)</f>
        <v>0</v>
      </c>
      <c r="DG174" s="675">
        <f t="shared" si="6272"/>
        <v>0</v>
      </c>
      <c r="DH174" s="549">
        <f t="shared" ref="DH174:DI174" si="6273">SUM(DH175:DH177)</f>
        <v>0</v>
      </c>
      <c r="DI174" s="675">
        <f t="shared" si="6273"/>
        <v>0</v>
      </c>
      <c r="DJ174" s="549">
        <f t="shared" ref="DJ174:DK174" si="6274">SUM(DJ175:DJ177)</f>
        <v>0</v>
      </c>
      <c r="DK174" s="675">
        <f t="shared" si="6274"/>
        <v>0</v>
      </c>
      <c r="DL174" s="549">
        <f t="shared" ref="DL174:EQ174" si="6275">SUM(DL175:DL177)</f>
        <v>0</v>
      </c>
      <c r="DM174" s="675">
        <f t="shared" si="6275"/>
        <v>0</v>
      </c>
      <c r="DN174" s="549">
        <f t="shared" si="6275"/>
        <v>0</v>
      </c>
      <c r="DO174" s="675">
        <f t="shared" si="6275"/>
        <v>0</v>
      </c>
      <c r="DP174" s="549">
        <f t="shared" si="6275"/>
        <v>0</v>
      </c>
      <c r="DQ174" s="675">
        <f t="shared" si="6275"/>
        <v>0</v>
      </c>
      <c r="DR174" s="549">
        <f t="shared" si="6275"/>
        <v>0</v>
      </c>
      <c r="DS174" s="675">
        <f t="shared" si="6275"/>
        <v>0</v>
      </c>
      <c r="DT174" s="549">
        <f t="shared" si="6275"/>
        <v>0</v>
      </c>
      <c r="DU174" s="675">
        <f t="shared" si="6275"/>
        <v>0</v>
      </c>
      <c r="DV174" s="549">
        <f t="shared" si="6275"/>
        <v>0</v>
      </c>
      <c r="DW174" s="675">
        <f t="shared" si="6275"/>
        <v>0</v>
      </c>
      <c r="DX174" s="549">
        <f t="shared" si="6275"/>
        <v>0</v>
      </c>
      <c r="DY174" s="675">
        <f t="shared" si="6275"/>
        <v>0</v>
      </c>
      <c r="DZ174" s="549">
        <f t="shared" si="6275"/>
        <v>0</v>
      </c>
      <c r="EA174" s="675">
        <f t="shared" si="6275"/>
        <v>0</v>
      </c>
      <c r="EB174" s="549">
        <f t="shared" si="6275"/>
        <v>0</v>
      </c>
      <c r="EC174" s="675">
        <f t="shared" si="6275"/>
        <v>0</v>
      </c>
      <c r="ED174" s="549">
        <f t="shared" si="6275"/>
        <v>0</v>
      </c>
      <c r="EE174" s="675">
        <f t="shared" si="6275"/>
        <v>0</v>
      </c>
      <c r="EF174" s="549">
        <f t="shared" si="6275"/>
        <v>0</v>
      </c>
      <c r="EG174" s="675">
        <f t="shared" si="6275"/>
        <v>0</v>
      </c>
      <c r="EH174" s="549">
        <f t="shared" si="6275"/>
        <v>0</v>
      </c>
      <c r="EI174" s="675">
        <f t="shared" si="6275"/>
        <v>0</v>
      </c>
      <c r="EJ174" s="549">
        <f t="shared" si="6275"/>
        <v>0</v>
      </c>
      <c r="EK174" s="675">
        <f t="shared" si="6275"/>
        <v>0</v>
      </c>
      <c r="EL174" s="549">
        <f t="shared" si="6275"/>
        <v>0</v>
      </c>
      <c r="EM174" s="675">
        <f t="shared" si="6275"/>
        <v>0</v>
      </c>
      <c r="EN174" s="549">
        <f t="shared" si="6275"/>
        <v>0</v>
      </c>
      <c r="EO174" s="675">
        <f t="shared" si="6275"/>
        <v>0</v>
      </c>
      <c r="EP174" s="549">
        <f t="shared" si="6275"/>
        <v>0</v>
      </c>
      <c r="EQ174" s="675">
        <f t="shared" si="6275"/>
        <v>0</v>
      </c>
      <c r="ER174" s="549">
        <f t="shared" ref="ER174:FK174" si="6276">SUM(ER175:ER177)</f>
        <v>0</v>
      </c>
      <c r="ES174" s="675">
        <f t="shared" si="6276"/>
        <v>0</v>
      </c>
      <c r="ET174" s="549">
        <f t="shared" si="6276"/>
        <v>0</v>
      </c>
      <c r="EU174" s="675">
        <f t="shared" si="6276"/>
        <v>0</v>
      </c>
      <c r="EV174" s="549">
        <f t="shared" si="6276"/>
        <v>0</v>
      </c>
      <c r="EW174" s="675">
        <f t="shared" si="6276"/>
        <v>0</v>
      </c>
      <c r="EX174" s="549">
        <f t="shared" si="6276"/>
        <v>0</v>
      </c>
      <c r="EY174" s="675">
        <f t="shared" si="6276"/>
        <v>0</v>
      </c>
      <c r="EZ174" s="549">
        <f t="shared" si="6276"/>
        <v>0</v>
      </c>
      <c r="FA174" s="675">
        <f t="shared" si="6276"/>
        <v>0</v>
      </c>
      <c r="FB174" s="549">
        <f t="shared" si="6276"/>
        <v>0</v>
      </c>
      <c r="FC174" s="675">
        <f t="shared" si="6276"/>
        <v>0</v>
      </c>
      <c r="FD174" s="549">
        <f t="shared" si="6276"/>
        <v>0</v>
      </c>
      <c r="FE174" s="675">
        <f t="shared" si="6276"/>
        <v>-785</v>
      </c>
      <c r="FF174" s="549">
        <f t="shared" si="6276"/>
        <v>0</v>
      </c>
      <c r="FG174" s="675">
        <f t="shared" si="6276"/>
        <v>0</v>
      </c>
      <c r="FH174" s="549">
        <f t="shared" si="6276"/>
        <v>0</v>
      </c>
      <c r="FI174" s="675">
        <f t="shared" si="6276"/>
        <v>0</v>
      </c>
      <c r="FJ174" s="549">
        <f t="shared" si="6276"/>
        <v>0</v>
      </c>
      <c r="FK174" s="675">
        <f t="shared" si="6276"/>
        <v>0</v>
      </c>
      <c r="FL174" s="549">
        <f t="shared" ref="FL174:FM174" si="6277">SUM(FL175:FL177)</f>
        <v>500</v>
      </c>
      <c r="FM174" s="675">
        <f t="shared" si="6277"/>
        <v>0</v>
      </c>
      <c r="FN174" s="549">
        <f t="shared" ref="FN174:FO174" si="6278">SUM(FN175:FN177)</f>
        <v>0</v>
      </c>
      <c r="FO174" s="675">
        <f t="shared" si="6278"/>
        <v>0</v>
      </c>
      <c r="FP174" s="549">
        <f t="shared" ref="FP174:FQ174" si="6279">SUM(FP175:FP177)</f>
        <v>0</v>
      </c>
      <c r="FQ174" s="675">
        <f t="shared" si="6279"/>
        <v>0</v>
      </c>
      <c r="FR174" s="549">
        <f t="shared" ref="FR174:FS174" si="6280">SUM(FR175:FR177)</f>
        <v>0</v>
      </c>
      <c r="FS174" s="675">
        <f t="shared" si="6280"/>
        <v>0</v>
      </c>
      <c r="FT174" s="549">
        <f t="shared" ref="FT174:FU174" si="6281">SUM(FT175:FT177)</f>
        <v>0</v>
      </c>
      <c r="FU174" s="675">
        <f t="shared" si="6281"/>
        <v>0</v>
      </c>
      <c r="FV174" s="549">
        <f t="shared" ref="FV174:GK174" si="6282">SUM(FV175:FV177)</f>
        <v>0</v>
      </c>
      <c r="FW174" s="675">
        <f t="shared" si="6282"/>
        <v>0</v>
      </c>
      <c r="FX174" s="549">
        <f t="shared" si="6282"/>
        <v>0</v>
      </c>
      <c r="FY174" s="675">
        <f t="shared" si="6282"/>
        <v>0</v>
      </c>
      <c r="FZ174" s="549">
        <f t="shared" ref="FZ174:GI174" si="6283">SUM(FZ175:FZ177)</f>
        <v>0</v>
      </c>
      <c r="GA174" s="675">
        <f t="shared" si="6283"/>
        <v>0</v>
      </c>
      <c r="GB174" s="549">
        <f t="shared" si="6283"/>
        <v>0</v>
      </c>
      <c r="GC174" s="675">
        <f t="shared" si="6283"/>
        <v>0</v>
      </c>
      <c r="GD174" s="549">
        <f t="shared" si="6283"/>
        <v>0</v>
      </c>
      <c r="GE174" s="675">
        <f t="shared" si="6283"/>
        <v>0</v>
      </c>
      <c r="GF174" s="549">
        <f t="shared" si="6283"/>
        <v>0</v>
      </c>
      <c r="GG174" s="675">
        <f t="shared" si="6283"/>
        <v>0</v>
      </c>
      <c r="GH174" s="549">
        <f t="shared" si="6283"/>
        <v>0</v>
      </c>
      <c r="GI174" s="675">
        <f t="shared" si="6283"/>
        <v>0</v>
      </c>
      <c r="GJ174" s="549">
        <f t="shared" si="6282"/>
        <v>0</v>
      </c>
      <c r="GK174" s="675">
        <f t="shared" si="6282"/>
        <v>0</v>
      </c>
      <c r="GL174" s="549">
        <f t="shared" ref="GL174:GM174" si="6284">SUM(GL175:GL177)</f>
        <v>0</v>
      </c>
      <c r="GM174" s="675">
        <f t="shared" si="6284"/>
        <v>0</v>
      </c>
      <c r="GN174" s="549">
        <f t="shared" ref="GN174:GO174" si="6285">SUM(GN175:GN177)</f>
        <v>0</v>
      </c>
      <c r="GO174" s="675">
        <f t="shared" si="6285"/>
        <v>0</v>
      </c>
      <c r="GP174" s="74">
        <f t="shared" ref="GP174:GY174" si="6286">SUM(GP175:GP177)</f>
        <v>125500</v>
      </c>
      <c r="GQ174" s="675">
        <f t="shared" si="6286"/>
        <v>-9785</v>
      </c>
      <c r="GR174" s="74">
        <f t="shared" si="6286"/>
        <v>125715</v>
      </c>
      <c r="GS174" s="74">
        <f t="shared" si="6286"/>
        <v>125715</v>
      </c>
      <c r="GT174" s="549">
        <f t="shared" si="6286"/>
        <v>125715</v>
      </c>
      <c r="GU174" s="74">
        <f>SUM(GU175:GU177)</f>
        <v>0</v>
      </c>
      <c r="GV174" s="74">
        <f t="shared" si="6286"/>
        <v>5000</v>
      </c>
      <c r="GW174" s="549">
        <f t="shared" si="6286"/>
        <v>0</v>
      </c>
      <c r="GX174" s="549">
        <f t="shared" si="6286"/>
        <v>5000</v>
      </c>
      <c r="GY174" s="74">
        <f t="shared" si="6286"/>
        <v>0</v>
      </c>
      <c r="GZ174" s="74">
        <f t="shared" ref="GZ174:HD174" si="6287">SUM(GZ175:GZ177)</f>
        <v>0</v>
      </c>
      <c r="HA174" s="74">
        <f t="shared" si="6287"/>
        <v>0</v>
      </c>
      <c r="HB174" s="74">
        <f t="shared" si="6287"/>
        <v>0</v>
      </c>
      <c r="HC174" s="74">
        <f t="shared" si="6287"/>
        <v>0</v>
      </c>
      <c r="HD174" s="74">
        <f t="shared" si="6287"/>
        <v>0</v>
      </c>
      <c r="HE174" s="74">
        <f t="shared" ref="HE174" si="6288">SUM(HE175:HE177)</f>
        <v>0</v>
      </c>
      <c r="HF174" s="74">
        <f t="shared" ref="HF174" si="6289">SUM(HF175:HF177)</f>
        <v>0</v>
      </c>
      <c r="HG174" s="74">
        <f>SUM(HG175:HG177)</f>
        <v>125715</v>
      </c>
      <c r="HH174" s="74">
        <f t="shared" ref="HH174:HU174" si="6290">SUM(HH176:HH177)</f>
        <v>0</v>
      </c>
      <c r="HI174" s="74">
        <f t="shared" si="6290"/>
        <v>0</v>
      </c>
      <c r="HJ174" s="74">
        <f t="shared" si="6290"/>
        <v>5000</v>
      </c>
      <c r="HK174" s="74">
        <f t="shared" si="6290"/>
        <v>0</v>
      </c>
      <c r="HL174" s="74">
        <f>SUM(HL175:HL177)</f>
        <v>-5000</v>
      </c>
      <c r="HM174" s="74">
        <f t="shared" si="6290"/>
        <v>0</v>
      </c>
      <c r="HN174" s="74">
        <f t="shared" si="6290"/>
        <v>0</v>
      </c>
      <c r="HO174" s="74">
        <f t="shared" si="6290"/>
        <v>0</v>
      </c>
      <c r="HP174" s="74">
        <f t="shared" si="6290"/>
        <v>0</v>
      </c>
      <c r="HQ174" s="74">
        <f t="shared" si="6290"/>
        <v>0</v>
      </c>
      <c r="HR174" s="74">
        <f>SUM(HR175:HR177)</f>
        <v>110</v>
      </c>
      <c r="HS174" s="74">
        <f t="shared" si="6290"/>
        <v>0</v>
      </c>
      <c r="HT174" s="74">
        <f t="shared" si="6290"/>
        <v>0</v>
      </c>
      <c r="HU174" s="74">
        <f t="shared" si="6290"/>
        <v>0</v>
      </c>
      <c r="HV174" s="74">
        <f>SUM(HV175:HV177)</f>
        <v>105</v>
      </c>
      <c r="HW174" s="74">
        <f>SUM(HW175:HW177)</f>
        <v>0</v>
      </c>
      <c r="HX174" s="74">
        <f>SUM(HX175:HX177)</f>
        <v>0</v>
      </c>
      <c r="HY174" s="74">
        <f t="shared" ref="HY174:JO174" si="6291">SUM(HY176:HY177)</f>
        <v>0</v>
      </c>
      <c r="HZ174" s="74">
        <f t="shared" si="6291"/>
        <v>500</v>
      </c>
      <c r="IA174" s="74">
        <f t="shared" si="6291"/>
        <v>0</v>
      </c>
      <c r="IB174" s="74">
        <f t="shared" si="6291"/>
        <v>0</v>
      </c>
      <c r="IC174" s="74">
        <f t="shared" si="6291"/>
        <v>0</v>
      </c>
      <c r="ID174" s="74">
        <f>SUM(ID175:ID177)</f>
        <v>0</v>
      </c>
      <c r="IE174" s="792">
        <f>SUM(IE175:IE177)</f>
        <v>0</v>
      </c>
      <c r="IF174" s="841">
        <f>SUM(IF175:IF177)</f>
        <v>290</v>
      </c>
      <c r="IG174" s="263">
        <f>SUM(IG175:IG177)</f>
        <v>290</v>
      </c>
      <c r="IH174" s="842">
        <f>SUM(IH175:IH177)</f>
        <v>290</v>
      </c>
      <c r="II174" s="155">
        <f t="shared" si="6291"/>
        <v>0</v>
      </c>
      <c r="IJ174" s="74">
        <f t="shared" si="6291"/>
        <v>0</v>
      </c>
      <c r="IK174" s="74">
        <f t="shared" si="6291"/>
        <v>0</v>
      </c>
      <c r="IL174" s="74">
        <f t="shared" si="6291"/>
        <v>0</v>
      </c>
      <c r="IM174" s="74">
        <f t="shared" si="6291"/>
        <v>0</v>
      </c>
      <c r="IN174" s="74">
        <f t="shared" si="6291"/>
        <v>0</v>
      </c>
      <c r="IO174" s="74">
        <f>SUM(IO175:IO177)</f>
        <v>0</v>
      </c>
      <c r="IP174" s="74">
        <f>SUM(IP175:IP177)</f>
        <v>0</v>
      </c>
      <c r="IQ174" s="74">
        <f>SUM(IQ175:IQ177)</f>
        <v>0</v>
      </c>
      <c r="IR174" s="74">
        <f t="shared" si="6291"/>
        <v>0</v>
      </c>
      <c r="IS174" s="74">
        <f t="shared" si="6291"/>
        <v>0</v>
      </c>
      <c r="IT174" s="74">
        <f t="shared" si="6291"/>
        <v>0</v>
      </c>
      <c r="IU174" s="74">
        <f t="shared" si="6291"/>
        <v>0</v>
      </c>
      <c r="IV174" s="74">
        <f t="shared" si="6291"/>
        <v>0</v>
      </c>
      <c r="IW174" s="74">
        <f t="shared" si="6291"/>
        <v>0</v>
      </c>
      <c r="IX174" s="74">
        <f t="shared" si="6291"/>
        <v>110</v>
      </c>
      <c r="IY174" s="74">
        <f t="shared" si="6291"/>
        <v>110</v>
      </c>
      <c r="IZ174" s="74">
        <f t="shared" si="6291"/>
        <v>110</v>
      </c>
      <c r="JA174" s="74">
        <f t="shared" si="6291"/>
        <v>0</v>
      </c>
      <c r="JB174" s="74">
        <f t="shared" si="6291"/>
        <v>0</v>
      </c>
      <c r="JC174" s="74">
        <f t="shared" si="6291"/>
        <v>0</v>
      </c>
      <c r="JD174" s="74">
        <f t="shared" si="6291"/>
        <v>105</v>
      </c>
      <c r="JE174" s="74">
        <f t="shared" si="6291"/>
        <v>105</v>
      </c>
      <c r="JF174" s="74">
        <f t="shared" si="6291"/>
        <v>105</v>
      </c>
      <c r="JG174" s="74">
        <f t="shared" si="6291"/>
        <v>0</v>
      </c>
      <c r="JH174" s="74">
        <f t="shared" si="6291"/>
        <v>0</v>
      </c>
      <c r="JI174" s="74">
        <f t="shared" si="6291"/>
        <v>0</v>
      </c>
      <c r="JJ174" s="74">
        <f t="shared" si="6291"/>
        <v>75</v>
      </c>
      <c r="JK174" s="74">
        <f t="shared" si="6291"/>
        <v>75</v>
      </c>
      <c r="JL174" s="74">
        <f t="shared" si="6291"/>
        <v>75</v>
      </c>
      <c r="JM174" s="74">
        <f t="shared" si="6291"/>
        <v>0</v>
      </c>
      <c r="JN174" s="74">
        <f t="shared" si="6291"/>
        <v>0</v>
      </c>
      <c r="JO174" s="74">
        <f t="shared" si="6291"/>
        <v>0</v>
      </c>
      <c r="JP174" s="74">
        <f>SUM(JP175:JP177)</f>
        <v>0</v>
      </c>
      <c r="JQ174" s="74">
        <f>SUM(JQ175:JQ177)</f>
        <v>0</v>
      </c>
      <c r="JR174" s="74">
        <f>SUM(JR175:JR177)</f>
        <v>0</v>
      </c>
      <c r="JS174" s="74">
        <f>SUM(JS175:JS177)</f>
        <v>125425</v>
      </c>
      <c r="JT174" s="382">
        <f>SUM(JT175:JT177)</f>
        <v>125425</v>
      </c>
      <c r="JU174" s="670"/>
      <c r="JV174" s="489"/>
      <c r="JW174" s="529"/>
      <c r="JX174" s="549">
        <f>SUM(JX175:JX177)</f>
        <v>715</v>
      </c>
      <c r="JY174" s="549">
        <f>SUM(JY175:JY177)</f>
        <v>0</v>
      </c>
      <c r="JZ174" s="581">
        <f t="shared" si="4944"/>
        <v>125500</v>
      </c>
      <c r="KA174" s="581">
        <f>GQ174</f>
        <v>-9785</v>
      </c>
      <c r="KB174" s="549">
        <f>SUM(KB175:KB177)</f>
        <v>125715</v>
      </c>
      <c r="KC174" s="709">
        <f t="shared" si="4908"/>
        <v>0</v>
      </c>
      <c r="KD174" s="36"/>
      <c r="KE174" s="36"/>
      <c r="KF174" s="36"/>
      <c r="KG174" s="36"/>
      <c r="KH174" s="36"/>
      <c r="KI174" s="36"/>
      <c r="KJ174" s="36"/>
      <c r="KK174" s="36"/>
    </row>
    <row r="175" spans="1:297" s="8" customFormat="1" ht="12.75" hidden="1" customHeight="1">
      <c r="A175" s="262" t="s">
        <v>1128</v>
      </c>
      <c r="B175" s="72"/>
      <c r="C175" s="74">
        <f>C508</f>
        <v>0</v>
      </c>
      <c r="D175" s="74">
        <f t="shared" ref="D175:E175" si="6292">D508</f>
        <v>0</v>
      </c>
      <c r="E175" s="74">
        <f t="shared" si="6292"/>
        <v>0</v>
      </c>
      <c r="F175" s="74">
        <f t="shared" ref="F175:G175" si="6293">F508</f>
        <v>0</v>
      </c>
      <c r="G175" s="74">
        <f t="shared" si="6293"/>
        <v>0</v>
      </c>
      <c r="H175" s="74">
        <f t="shared" ref="H175:BQ175" si="6294">H508</f>
        <v>0</v>
      </c>
      <c r="I175" s="74">
        <f t="shared" si="6294"/>
        <v>0</v>
      </c>
      <c r="J175" s="74">
        <f t="shared" si="6294"/>
        <v>0</v>
      </c>
      <c r="K175" s="74">
        <f t="shared" si="6294"/>
        <v>0</v>
      </c>
      <c r="L175" s="74">
        <f t="shared" si="6294"/>
        <v>0</v>
      </c>
      <c r="M175" s="74">
        <f t="shared" si="6294"/>
        <v>0</v>
      </c>
      <c r="N175" s="74">
        <f t="shared" si="6294"/>
        <v>0</v>
      </c>
      <c r="O175" s="74">
        <f t="shared" si="6294"/>
        <v>0</v>
      </c>
      <c r="P175" s="74">
        <f t="shared" si="6294"/>
        <v>0</v>
      </c>
      <c r="Q175" s="74">
        <f t="shared" si="6294"/>
        <v>0</v>
      </c>
      <c r="R175" s="74">
        <f t="shared" si="6294"/>
        <v>0</v>
      </c>
      <c r="S175" s="74">
        <f t="shared" si="6294"/>
        <v>0</v>
      </c>
      <c r="T175" s="74">
        <f t="shared" si="6294"/>
        <v>0</v>
      </c>
      <c r="U175" s="74">
        <f t="shared" si="6294"/>
        <v>0</v>
      </c>
      <c r="V175" s="74">
        <f t="shared" si="6294"/>
        <v>0</v>
      </c>
      <c r="W175" s="74">
        <f t="shared" si="6294"/>
        <v>0</v>
      </c>
      <c r="X175" s="74">
        <f t="shared" si="6294"/>
        <v>0</v>
      </c>
      <c r="Y175" s="74">
        <f t="shared" si="6294"/>
        <v>0</v>
      </c>
      <c r="Z175" s="74">
        <f t="shared" si="6294"/>
        <v>0</v>
      </c>
      <c r="AA175" s="74">
        <f t="shared" si="6294"/>
        <v>0</v>
      </c>
      <c r="AB175" s="74">
        <f t="shared" si="6294"/>
        <v>0</v>
      </c>
      <c r="AC175" s="74">
        <f t="shared" si="6294"/>
        <v>0</v>
      </c>
      <c r="AD175" s="74">
        <f t="shared" si="6294"/>
        <v>0</v>
      </c>
      <c r="AE175" s="74">
        <f t="shared" si="6294"/>
        <v>0</v>
      </c>
      <c r="AF175" s="74">
        <f t="shared" si="6294"/>
        <v>0</v>
      </c>
      <c r="AG175" s="74">
        <f t="shared" si="6294"/>
        <v>0</v>
      </c>
      <c r="AH175" s="74">
        <f t="shared" si="6294"/>
        <v>0</v>
      </c>
      <c r="AI175" s="74">
        <f t="shared" si="6294"/>
        <v>0</v>
      </c>
      <c r="AJ175" s="74">
        <f t="shared" si="6294"/>
        <v>0</v>
      </c>
      <c r="AK175" s="74">
        <f t="shared" si="6294"/>
        <v>0</v>
      </c>
      <c r="AL175" s="74">
        <f t="shared" si="6294"/>
        <v>0</v>
      </c>
      <c r="AM175" s="74">
        <f t="shared" si="6294"/>
        <v>0</v>
      </c>
      <c r="AN175" s="74">
        <f t="shared" si="6294"/>
        <v>0</v>
      </c>
      <c r="AO175" s="74">
        <f t="shared" si="6294"/>
        <v>0</v>
      </c>
      <c r="AP175" s="74">
        <f t="shared" si="6294"/>
        <v>0</v>
      </c>
      <c r="AQ175" s="74">
        <f t="shared" si="6294"/>
        <v>0</v>
      </c>
      <c r="AR175" s="74">
        <f t="shared" si="6294"/>
        <v>0</v>
      </c>
      <c r="AS175" s="74">
        <f t="shared" si="6294"/>
        <v>0</v>
      </c>
      <c r="AT175" s="74">
        <f t="shared" ref="AT175:AU175" si="6295">AT508</f>
        <v>0</v>
      </c>
      <c r="AU175" s="74">
        <f t="shared" si="6295"/>
        <v>0</v>
      </c>
      <c r="AV175" s="74">
        <f t="shared" ref="AV175:AW175" si="6296">AV508</f>
        <v>0</v>
      </c>
      <c r="AW175" s="74">
        <f t="shared" si="6296"/>
        <v>0</v>
      </c>
      <c r="AX175" s="74">
        <f t="shared" ref="AX175:AY175" si="6297">AX508</f>
        <v>0</v>
      </c>
      <c r="AY175" s="74">
        <f t="shared" si="6297"/>
        <v>0</v>
      </c>
      <c r="AZ175" s="74">
        <f t="shared" ref="AZ175:BA175" si="6298">AZ508</f>
        <v>0</v>
      </c>
      <c r="BA175" s="74">
        <f t="shared" si="6298"/>
        <v>0</v>
      </c>
      <c r="BB175" s="74">
        <f t="shared" ref="BB175:BC175" si="6299">BB508</f>
        <v>0</v>
      </c>
      <c r="BC175" s="74">
        <f t="shared" si="6299"/>
        <v>0</v>
      </c>
      <c r="BD175" s="74">
        <f t="shared" ref="BD175:BE175" si="6300">BD508</f>
        <v>0</v>
      </c>
      <c r="BE175" s="74">
        <f t="shared" si="6300"/>
        <v>0</v>
      </c>
      <c r="BF175" s="74">
        <f t="shared" ref="BF175:BG175" si="6301">BF508</f>
        <v>0</v>
      </c>
      <c r="BG175" s="74">
        <f t="shared" si="6301"/>
        <v>0</v>
      </c>
      <c r="BH175" s="74">
        <f t="shared" ref="BH175:BI175" si="6302">BH508</f>
        <v>0</v>
      </c>
      <c r="BI175" s="74">
        <f t="shared" si="6302"/>
        <v>0</v>
      </c>
      <c r="BJ175" s="74">
        <f t="shared" ref="BJ175:BK175" si="6303">BJ508</f>
        <v>0</v>
      </c>
      <c r="BK175" s="74">
        <f t="shared" si="6303"/>
        <v>0</v>
      </c>
      <c r="BL175" s="74">
        <f t="shared" si="6294"/>
        <v>0</v>
      </c>
      <c r="BM175" s="74">
        <f t="shared" si="6294"/>
        <v>0</v>
      </c>
      <c r="BN175" s="74">
        <f t="shared" si="6294"/>
        <v>0</v>
      </c>
      <c r="BO175" s="74">
        <f t="shared" si="6294"/>
        <v>0</v>
      </c>
      <c r="BP175" s="74">
        <f t="shared" si="6294"/>
        <v>0</v>
      </c>
      <c r="BQ175" s="74">
        <f t="shared" si="6294"/>
        <v>0</v>
      </c>
      <c r="BR175" s="74">
        <f t="shared" ref="BR175:BS175" si="6304">BR508</f>
        <v>0</v>
      </c>
      <c r="BS175" s="74">
        <f t="shared" si="6304"/>
        <v>0</v>
      </c>
      <c r="BT175" s="74">
        <f t="shared" ref="BT175:BU175" si="6305">BT508</f>
        <v>0</v>
      </c>
      <c r="BU175" s="74">
        <f t="shared" si="6305"/>
        <v>0</v>
      </c>
      <c r="BV175" s="74">
        <f t="shared" ref="BV175:BW175" si="6306">BV508</f>
        <v>0</v>
      </c>
      <c r="BW175" s="74">
        <f t="shared" si="6306"/>
        <v>0</v>
      </c>
      <c r="BX175" s="74">
        <f t="shared" ref="BX175:BY175" si="6307">BX508</f>
        <v>0</v>
      </c>
      <c r="BY175" s="74">
        <f t="shared" si="6307"/>
        <v>0</v>
      </c>
      <c r="BZ175" s="74">
        <f t="shared" ref="BZ175:CA175" si="6308">BZ508</f>
        <v>0</v>
      </c>
      <c r="CA175" s="74">
        <f t="shared" si="6308"/>
        <v>0</v>
      </c>
      <c r="CB175" s="74">
        <f t="shared" ref="CB175:EE175" si="6309">CB508</f>
        <v>0</v>
      </c>
      <c r="CC175" s="74">
        <f t="shared" si="6309"/>
        <v>0</v>
      </c>
      <c r="CD175" s="74">
        <f t="shared" si="6309"/>
        <v>0</v>
      </c>
      <c r="CE175" s="74">
        <f t="shared" si="6309"/>
        <v>0</v>
      </c>
      <c r="CF175" s="74">
        <f t="shared" si="6309"/>
        <v>0</v>
      </c>
      <c r="CG175" s="74">
        <f t="shared" si="6309"/>
        <v>0</v>
      </c>
      <c r="CH175" s="74">
        <f t="shared" si="6309"/>
        <v>0</v>
      </c>
      <c r="CI175" s="74">
        <f t="shared" si="6309"/>
        <v>0</v>
      </c>
      <c r="CJ175" s="74">
        <f t="shared" si="6309"/>
        <v>0</v>
      </c>
      <c r="CK175" s="74">
        <f t="shared" si="6309"/>
        <v>0</v>
      </c>
      <c r="CL175" s="74">
        <f t="shared" si="6309"/>
        <v>0</v>
      </c>
      <c r="CM175" s="74">
        <f t="shared" si="6309"/>
        <v>0</v>
      </c>
      <c r="CN175" s="74">
        <f t="shared" si="6309"/>
        <v>0</v>
      </c>
      <c r="CO175" s="74">
        <f t="shared" si="6309"/>
        <v>0</v>
      </c>
      <c r="CP175" s="74">
        <f t="shared" si="6309"/>
        <v>0</v>
      </c>
      <c r="CQ175" s="74">
        <f t="shared" si="6309"/>
        <v>0</v>
      </c>
      <c r="CR175" s="74">
        <f t="shared" si="6309"/>
        <v>0</v>
      </c>
      <c r="CS175" s="74">
        <f t="shared" si="6309"/>
        <v>0</v>
      </c>
      <c r="CT175" s="74">
        <f t="shared" si="6309"/>
        <v>0</v>
      </c>
      <c r="CU175" s="74">
        <f t="shared" si="6309"/>
        <v>0</v>
      </c>
      <c r="CV175" s="74">
        <f t="shared" si="6309"/>
        <v>0</v>
      </c>
      <c r="CW175" s="74">
        <f t="shared" si="6309"/>
        <v>0</v>
      </c>
      <c r="CX175" s="74">
        <f t="shared" si="6309"/>
        <v>0</v>
      </c>
      <c r="CY175" s="74">
        <f t="shared" si="6309"/>
        <v>0</v>
      </c>
      <c r="CZ175" s="74">
        <f t="shared" si="6309"/>
        <v>0</v>
      </c>
      <c r="DA175" s="74">
        <f t="shared" si="6309"/>
        <v>0</v>
      </c>
      <c r="DB175" s="74">
        <f t="shared" si="6309"/>
        <v>0</v>
      </c>
      <c r="DC175" s="74">
        <f t="shared" si="6309"/>
        <v>0</v>
      </c>
      <c r="DD175" s="74">
        <f t="shared" si="6309"/>
        <v>0</v>
      </c>
      <c r="DE175" s="74">
        <f t="shared" si="6309"/>
        <v>0</v>
      </c>
      <c r="DF175" s="74">
        <f t="shared" si="6309"/>
        <v>0</v>
      </c>
      <c r="DG175" s="74">
        <f t="shared" si="6309"/>
        <v>0</v>
      </c>
      <c r="DH175" s="74">
        <f t="shared" si="6309"/>
        <v>0</v>
      </c>
      <c r="DI175" s="74">
        <f t="shared" si="6309"/>
        <v>0</v>
      </c>
      <c r="DJ175" s="74">
        <f t="shared" si="6309"/>
        <v>0</v>
      </c>
      <c r="DK175" s="74">
        <f t="shared" si="6309"/>
        <v>0</v>
      </c>
      <c r="DL175" s="74">
        <f t="shared" si="6309"/>
        <v>0</v>
      </c>
      <c r="DM175" s="74">
        <f t="shared" si="6309"/>
        <v>0</v>
      </c>
      <c r="DN175" s="74">
        <f t="shared" si="6309"/>
        <v>0</v>
      </c>
      <c r="DO175" s="74">
        <f t="shared" si="6309"/>
        <v>0</v>
      </c>
      <c r="DP175" s="74">
        <f t="shared" si="6309"/>
        <v>0</v>
      </c>
      <c r="DQ175" s="74">
        <f t="shared" si="6309"/>
        <v>0</v>
      </c>
      <c r="DR175" s="74">
        <f t="shared" si="6309"/>
        <v>0</v>
      </c>
      <c r="DS175" s="74">
        <f t="shared" si="6309"/>
        <v>0</v>
      </c>
      <c r="DT175" s="74">
        <f t="shared" si="6309"/>
        <v>0</v>
      </c>
      <c r="DU175" s="74">
        <f t="shared" si="6309"/>
        <v>0</v>
      </c>
      <c r="DV175" s="74">
        <f t="shared" si="6309"/>
        <v>0</v>
      </c>
      <c r="DW175" s="74">
        <f t="shared" si="6309"/>
        <v>0</v>
      </c>
      <c r="DX175" s="74">
        <f t="shared" si="6309"/>
        <v>0</v>
      </c>
      <c r="DY175" s="74">
        <f t="shared" si="6309"/>
        <v>0</v>
      </c>
      <c r="DZ175" s="74">
        <f t="shared" si="6309"/>
        <v>0</v>
      </c>
      <c r="EA175" s="74">
        <f t="shared" si="6309"/>
        <v>0</v>
      </c>
      <c r="EB175" s="74">
        <f t="shared" si="6309"/>
        <v>0</v>
      </c>
      <c r="EC175" s="74">
        <f t="shared" si="6309"/>
        <v>0</v>
      </c>
      <c r="ED175" s="74">
        <f t="shared" si="6309"/>
        <v>0</v>
      </c>
      <c r="EE175" s="74">
        <f t="shared" si="6309"/>
        <v>0</v>
      </c>
      <c r="EF175" s="74">
        <f t="shared" ref="EF175:EG175" si="6310">EF508</f>
        <v>0</v>
      </c>
      <c r="EG175" s="74">
        <f t="shared" si="6310"/>
        <v>0</v>
      </c>
      <c r="EH175" s="74">
        <f t="shared" ref="EH175:HW175" si="6311">EH508</f>
        <v>0</v>
      </c>
      <c r="EI175" s="74">
        <f t="shared" si="6311"/>
        <v>0</v>
      </c>
      <c r="EJ175" s="74">
        <f t="shared" si="6311"/>
        <v>0</v>
      </c>
      <c r="EK175" s="74">
        <f t="shared" si="6311"/>
        <v>0</v>
      </c>
      <c r="EL175" s="74">
        <f t="shared" si="6311"/>
        <v>0</v>
      </c>
      <c r="EM175" s="74">
        <f t="shared" si="6311"/>
        <v>0</v>
      </c>
      <c r="EN175" s="74">
        <f t="shared" si="6311"/>
        <v>0</v>
      </c>
      <c r="EO175" s="74">
        <f t="shared" si="6311"/>
        <v>0</v>
      </c>
      <c r="EP175" s="74">
        <f t="shared" si="6311"/>
        <v>0</v>
      </c>
      <c r="EQ175" s="74">
        <f t="shared" si="6311"/>
        <v>0</v>
      </c>
      <c r="ER175" s="74">
        <f t="shared" si="6311"/>
        <v>0</v>
      </c>
      <c r="ES175" s="74">
        <f t="shared" si="6311"/>
        <v>0</v>
      </c>
      <c r="ET175" s="74">
        <f t="shared" si="6311"/>
        <v>0</v>
      </c>
      <c r="EU175" s="74">
        <f t="shared" si="6311"/>
        <v>0</v>
      </c>
      <c r="EV175" s="74">
        <f t="shared" si="6311"/>
        <v>0</v>
      </c>
      <c r="EW175" s="74">
        <f t="shared" si="6311"/>
        <v>0</v>
      </c>
      <c r="EX175" s="74">
        <f t="shared" si="6311"/>
        <v>0</v>
      </c>
      <c r="EY175" s="74">
        <f t="shared" si="6311"/>
        <v>0</v>
      </c>
      <c r="EZ175" s="74">
        <f t="shared" si="6311"/>
        <v>0</v>
      </c>
      <c r="FA175" s="74">
        <f t="shared" si="6311"/>
        <v>0</v>
      </c>
      <c r="FB175" s="74">
        <f t="shared" si="6311"/>
        <v>0</v>
      </c>
      <c r="FC175" s="74">
        <f t="shared" si="6311"/>
        <v>0</v>
      </c>
      <c r="FD175" s="74">
        <f t="shared" si="6311"/>
        <v>0</v>
      </c>
      <c r="FE175" s="74">
        <f t="shared" si="6311"/>
        <v>0</v>
      </c>
      <c r="FF175" s="74">
        <f t="shared" si="6311"/>
        <v>0</v>
      </c>
      <c r="FG175" s="74">
        <f t="shared" si="6311"/>
        <v>0</v>
      </c>
      <c r="FH175" s="74">
        <f t="shared" si="6311"/>
        <v>0</v>
      </c>
      <c r="FI175" s="74">
        <f t="shared" si="6311"/>
        <v>0</v>
      </c>
      <c r="FJ175" s="74">
        <f t="shared" si="6311"/>
        <v>0</v>
      </c>
      <c r="FK175" s="74">
        <f t="shared" si="6311"/>
        <v>0</v>
      </c>
      <c r="FL175" s="74">
        <f t="shared" ref="FL175:FM175" si="6312">FL508</f>
        <v>0</v>
      </c>
      <c r="FM175" s="74">
        <f t="shared" si="6312"/>
        <v>0</v>
      </c>
      <c r="FN175" s="74">
        <f t="shared" ref="FN175:FO175" si="6313">FN508</f>
        <v>0</v>
      </c>
      <c r="FO175" s="74">
        <f t="shared" si="6313"/>
        <v>0</v>
      </c>
      <c r="FP175" s="74">
        <f t="shared" ref="FP175:FQ175" si="6314">FP508</f>
        <v>0</v>
      </c>
      <c r="FQ175" s="74">
        <f t="shared" si="6314"/>
        <v>0</v>
      </c>
      <c r="FR175" s="74">
        <f t="shared" ref="FR175:FS175" si="6315">FR508</f>
        <v>0</v>
      </c>
      <c r="FS175" s="74">
        <f t="shared" si="6315"/>
        <v>0</v>
      </c>
      <c r="FT175" s="74">
        <f t="shared" ref="FT175:FU175" si="6316">FT508</f>
        <v>0</v>
      </c>
      <c r="FU175" s="74">
        <f t="shared" si="6316"/>
        <v>0</v>
      </c>
      <c r="FV175" s="74">
        <f t="shared" ref="FV175:GK175" si="6317">FV508</f>
        <v>0</v>
      </c>
      <c r="FW175" s="74">
        <f t="shared" si="6317"/>
        <v>0</v>
      </c>
      <c r="FX175" s="74">
        <f t="shared" si="6317"/>
        <v>0</v>
      </c>
      <c r="FY175" s="74">
        <f t="shared" si="6317"/>
        <v>0</v>
      </c>
      <c r="FZ175" s="74">
        <f t="shared" ref="FZ175:GI175" si="6318">FZ508</f>
        <v>0</v>
      </c>
      <c r="GA175" s="74">
        <f t="shared" si="6318"/>
        <v>0</v>
      </c>
      <c r="GB175" s="74">
        <f t="shared" si="6318"/>
        <v>0</v>
      </c>
      <c r="GC175" s="74">
        <f t="shared" si="6318"/>
        <v>0</v>
      </c>
      <c r="GD175" s="74">
        <f t="shared" si="6318"/>
        <v>0</v>
      </c>
      <c r="GE175" s="74">
        <f t="shared" si="6318"/>
        <v>0</v>
      </c>
      <c r="GF175" s="74">
        <f t="shared" si="6318"/>
        <v>0</v>
      </c>
      <c r="GG175" s="74">
        <f t="shared" si="6318"/>
        <v>0</v>
      </c>
      <c r="GH175" s="74">
        <f t="shared" si="6318"/>
        <v>0</v>
      </c>
      <c r="GI175" s="74">
        <f t="shared" si="6318"/>
        <v>0</v>
      </c>
      <c r="GJ175" s="74">
        <f t="shared" si="6317"/>
        <v>0</v>
      </c>
      <c r="GK175" s="74">
        <f t="shared" si="6317"/>
        <v>0</v>
      </c>
      <c r="GL175" s="74">
        <f t="shared" ref="GL175:GM175" si="6319">GL508</f>
        <v>0</v>
      </c>
      <c r="GM175" s="74">
        <f t="shared" si="6319"/>
        <v>0</v>
      </c>
      <c r="GN175" s="74">
        <f t="shared" ref="GN175:GO175" si="6320">GN508</f>
        <v>0</v>
      </c>
      <c r="GO175" s="74">
        <f t="shared" si="6320"/>
        <v>0</v>
      </c>
      <c r="GP175" s="74">
        <f t="shared" si="6311"/>
        <v>0</v>
      </c>
      <c r="GQ175" s="675">
        <f t="shared" si="6311"/>
        <v>0</v>
      </c>
      <c r="GR175" s="74">
        <f t="shared" si="6311"/>
        <v>0</v>
      </c>
      <c r="GS175" s="74">
        <f t="shared" si="6311"/>
        <v>0</v>
      </c>
      <c r="GT175" s="549">
        <f t="shared" si="6311"/>
        <v>0</v>
      </c>
      <c r="GU175" s="74">
        <f t="shared" si="6311"/>
        <v>0</v>
      </c>
      <c r="GV175" s="74">
        <f t="shared" si="6311"/>
        <v>0</v>
      </c>
      <c r="GW175" s="74">
        <f t="shared" si="6311"/>
        <v>0</v>
      </c>
      <c r="GX175" s="74">
        <f t="shared" si="6311"/>
        <v>0</v>
      </c>
      <c r="GY175" s="74">
        <f t="shared" si="6311"/>
        <v>0</v>
      </c>
      <c r="GZ175" s="74">
        <f t="shared" si="6311"/>
        <v>0</v>
      </c>
      <c r="HA175" s="74">
        <f t="shared" si="6311"/>
        <v>0</v>
      </c>
      <c r="HB175" s="74">
        <f t="shared" si="6311"/>
        <v>0</v>
      </c>
      <c r="HC175" s="74">
        <f t="shared" si="6311"/>
        <v>0</v>
      </c>
      <c r="HD175" s="74">
        <f t="shared" si="6311"/>
        <v>0</v>
      </c>
      <c r="HE175" s="74">
        <f t="shared" si="6311"/>
        <v>0</v>
      </c>
      <c r="HF175" s="74">
        <f t="shared" si="6311"/>
        <v>0</v>
      </c>
      <c r="HG175" s="74">
        <f t="shared" si="6311"/>
        <v>0</v>
      </c>
      <c r="HH175" s="74">
        <f t="shared" si="6311"/>
        <v>0</v>
      </c>
      <c r="HI175" s="74">
        <f t="shared" si="6311"/>
        <v>0</v>
      </c>
      <c r="HJ175" s="74">
        <f t="shared" si="6311"/>
        <v>0</v>
      </c>
      <c r="HK175" s="74">
        <f t="shared" si="6311"/>
        <v>0</v>
      </c>
      <c r="HL175" s="74">
        <f t="shared" si="6311"/>
        <v>0</v>
      </c>
      <c r="HM175" s="74">
        <f t="shared" si="6311"/>
        <v>0</v>
      </c>
      <c r="HN175" s="74">
        <f t="shared" si="6311"/>
        <v>0</v>
      </c>
      <c r="HO175" s="74">
        <f t="shared" si="6311"/>
        <v>0</v>
      </c>
      <c r="HP175" s="74">
        <f t="shared" si="6311"/>
        <v>0</v>
      </c>
      <c r="HQ175" s="74">
        <f t="shared" si="6311"/>
        <v>0</v>
      </c>
      <c r="HR175" s="74">
        <f t="shared" si="6311"/>
        <v>0</v>
      </c>
      <c r="HS175" s="74">
        <f t="shared" si="6311"/>
        <v>0</v>
      </c>
      <c r="HT175" s="74">
        <f t="shared" si="6311"/>
        <v>0</v>
      </c>
      <c r="HU175" s="74">
        <f t="shared" si="6311"/>
        <v>0</v>
      </c>
      <c r="HV175" s="74">
        <f t="shared" si="6311"/>
        <v>0</v>
      </c>
      <c r="HW175" s="74">
        <f t="shared" si="6311"/>
        <v>0</v>
      </c>
      <c r="HX175" s="74">
        <f t="shared" ref="HX175:JT175" si="6321">HX508</f>
        <v>0</v>
      </c>
      <c r="HY175" s="74">
        <f t="shared" si="6321"/>
        <v>0</v>
      </c>
      <c r="HZ175" s="74">
        <f t="shared" si="6321"/>
        <v>0</v>
      </c>
      <c r="IA175" s="74">
        <f t="shared" si="6321"/>
        <v>0</v>
      </c>
      <c r="IB175" s="74">
        <f t="shared" si="6321"/>
        <v>0</v>
      </c>
      <c r="IC175" s="74">
        <f t="shared" si="6321"/>
        <v>0</v>
      </c>
      <c r="ID175" s="74">
        <f t="shared" si="6321"/>
        <v>0</v>
      </c>
      <c r="IE175" s="792">
        <f t="shared" si="6321"/>
        <v>0</v>
      </c>
      <c r="IF175" s="853">
        <f t="shared" si="6321"/>
        <v>0</v>
      </c>
      <c r="IG175" s="74">
        <f t="shared" si="6321"/>
        <v>0</v>
      </c>
      <c r="IH175" s="575">
        <f t="shared" si="6321"/>
        <v>0</v>
      </c>
      <c r="II175" s="155">
        <f t="shared" si="6321"/>
        <v>0</v>
      </c>
      <c r="IJ175" s="74">
        <f t="shared" si="6321"/>
        <v>0</v>
      </c>
      <c r="IK175" s="74">
        <f t="shared" si="6321"/>
        <v>0</v>
      </c>
      <c r="IL175" s="74">
        <f t="shared" si="6321"/>
        <v>0</v>
      </c>
      <c r="IM175" s="74">
        <f t="shared" si="6321"/>
        <v>0</v>
      </c>
      <c r="IN175" s="74">
        <f t="shared" si="6321"/>
        <v>0</v>
      </c>
      <c r="IO175" s="74">
        <f t="shared" si="6321"/>
        <v>0</v>
      </c>
      <c r="IP175" s="74">
        <f t="shared" si="6321"/>
        <v>0</v>
      </c>
      <c r="IQ175" s="74">
        <f t="shared" si="6321"/>
        <v>0</v>
      </c>
      <c r="IR175" s="74">
        <f t="shared" si="6321"/>
        <v>0</v>
      </c>
      <c r="IS175" s="74">
        <f t="shared" si="6321"/>
        <v>0</v>
      </c>
      <c r="IT175" s="74">
        <f t="shared" si="6321"/>
        <v>0</v>
      </c>
      <c r="IU175" s="74">
        <f t="shared" si="6321"/>
        <v>0</v>
      </c>
      <c r="IV175" s="74">
        <f t="shared" si="6321"/>
        <v>0</v>
      </c>
      <c r="IW175" s="74">
        <f t="shared" si="6321"/>
        <v>0</v>
      </c>
      <c r="IX175" s="74">
        <f t="shared" si="6321"/>
        <v>0</v>
      </c>
      <c r="IY175" s="74">
        <f t="shared" si="6321"/>
        <v>0</v>
      </c>
      <c r="IZ175" s="74">
        <f t="shared" si="6321"/>
        <v>0</v>
      </c>
      <c r="JA175" s="74">
        <f t="shared" si="6321"/>
        <v>0</v>
      </c>
      <c r="JB175" s="74">
        <f t="shared" si="6321"/>
        <v>0</v>
      </c>
      <c r="JC175" s="74">
        <f t="shared" si="6321"/>
        <v>0</v>
      </c>
      <c r="JD175" s="74">
        <f t="shared" si="6321"/>
        <v>0</v>
      </c>
      <c r="JE175" s="74">
        <f t="shared" si="6321"/>
        <v>0</v>
      </c>
      <c r="JF175" s="74">
        <f t="shared" si="6321"/>
        <v>0</v>
      </c>
      <c r="JG175" s="74">
        <f t="shared" si="6321"/>
        <v>0</v>
      </c>
      <c r="JH175" s="74">
        <f t="shared" si="6321"/>
        <v>0</v>
      </c>
      <c r="JI175" s="74">
        <f t="shared" si="6321"/>
        <v>0</v>
      </c>
      <c r="JJ175" s="74">
        <f t="shared" si="6321"/>
        <v>0</v>
      </c>
      <c r="JK175" s="74">
        <f t="shared" si="6321"/>
        <v>0</v>
      </c>
      <c r="JL175" s="74">
        <f t="shared" si="6321"/>
        <v>0</v>
      </c>
      <c r="JM175" s="74">
        <f t="shared" si="6321"/>
        <v>0</v>
      </c>
      <c r="JN175" s="74">
        <f t="shared" si="6321"/>
        <v>0</v>
      </c>
      <c r="JO175" s="74">
        <f t="shared" si="6321"/>
        <v>0</v>
      </c>
      <c r="JP175" s="74">
        <f t="shared" si="6321"/>
        <v>0</v>
      </c>
      <c r="JQ175" s="74">
        <f t="shared" si="6321"/>
        <v>0</v>
      </c>
      <c r="JR175" s="74">
        <f t="shared" si="6321"/>
        <v>0</v>
      </c>
      <c r="JS175" s="74">
        <f t="shared" si="6321"/>
        <v>0</v>
      </c>
      <c r="JT175" s="74">
        <f t="shared" si="6321"/>
        <v>0</v>
      </c>
      <c r="JU175" s="670"/>
      <c r="JV175" s="489"/>
      <c r="JW175" s="529"/>
      <c r="JX175" s="549">
        <f>JX508</f>
        <v>0</v>
      </c>
      <c r="JY175" s="549">
        <f>JY508</f>
        <v>0</v>
      </c>
      <c r="JZ175" s="581">
        <f t="shared" si="4944"/>
        <v>0</v>
      </c>
      <c r="KA175" s="581">
        <f t="shared" si="4945"/>
        <v>0</v>
      </c>
      <c r="KB175" s="549">
        <f>KB508</f>
        <v>0</v>
      </c>
      <c r="KC175" s="709">
        <f t="shared" si="4908"/>
        <v>0</v>
      </c>
      <c r="KD175" s="36"/>
      <c r="KE175" s="36"/>
      <c r="KF175" s="36"/>
      <c r="KG175" s="36"/>
      <c r="KH175" s="36"/>
      <c r="KI175" s="36"/>
      <c r="KJ175" s="36"/>
      <c r="KK175" s="36"/>
    </row>
    <row r="176" spans="1:297" s="8" customFormat="1" ht="12.75" hidden="1" customHeight="1">
      <c r="A176" s="262" t="s">
        <v>933</v>
      </c>
      <c r="B176" s="72"/>
      <c r="C176" s="74">
        <f t="shared" ref="C176:AM176" si="6322">C509</f>
        <v>0</v>
      </c>
      <c r="D176" s="549">
        <f t="shared" si="6322"/>
        <v>0</v>
      </c>
      <c r="E176" s="675">
        <f t="shared" si="6322"/>
        <v>0</v>
      </c>
      <c r="F176" s="549">
        <f t="shared" si="6322"/>
        <v>0</v>
      </c>
      <c r="G176" s="675">
        <f t="shared" si="6322"/>
        <v>0</v>
      </c>
      <c r="H176" s="549">
        <f t="shared" si="6322"/>
        <v>0</v>
      </c>
      <c r="I176" s="675">
        <f t="shared" si="6322"/>
        <v>0</v>
      </c>
      <c r="J176" s="549">
        <f t="shared" si="6322"/>
        <v>0</v>
      </c>
      <c r="K176" s="675">
        <f t="shared" si="6322"/>
        <v>0</v>
      </c>
      <c r="L176" s="549">
        <f t="shared" si="6322"/>
        <v>0</v>
      </c>
      <c r="M176" s="675">
        <f t="shared" si="6322"/>
        <v>0</v>
      </c>
      <c r="N176" s="549">
        <f t="shared" si="6322"/>
        <v>0</v>
      </c>
      <c r="O176" s="675">
        <f t="shared" si="6322"/>
        <v>0</v>
      </c>
      <c r="P176" s="549">
        <f t="shared" si="6322"/>
        <v>0</v>
      </c>
      <c r="Q176" s="675">
        <f t="shared" si="6322"/>
        <v>0</v>
      </c>
      <c r="R176" s="549">
        <f t="shared" si="6322"/>
        <v>0</v>
      </c>
      <c r="S176" s="675">
        <f t="shared" si="6322"/>
        <v>0</v>
      </c>
      <c r="T176" s="549">
        <f t="shared" si="6322"/>
        <v>0</v>
      </c>
      <c r="U176" s="675">
        <f t="shared" si="6322"/>
        <v>0</v>
      </c>
      <c r="V176" s="549">
        <f t="shared" si="6322"/>
        <v>0</v>
      </c>
      <c r="W176" s="675">
        <f t="shared" si="6322"/>
        <v>0</v>
      </c>
      <c r="X176" s="549">
        <f t="shared" si="6322"/>
        <v>0</v>
      </c>
      <c r="Y176" s="675">
        <f t="shared" si="6322"/>
        <v>0</v>
      </c>
      <c r="Z176" s="549">
        <f t="shared" si="6322"/>
        <v>0</v>
      </c>
      <c r="AA176" s="675">
        <f t="shared" si="6322"/>
        <v>0</v>
      </c>
      <c r="AB176" s="549">
        <f t="shared" si="6322"/>
        <v>0</v>
      </c>
      <c r="AC176" s="675">
        <f t="shared" si="6322"/>
        <v>0</v>
      </c>
      <c r="AD176" s="549">
        <f t="shared" ref="AD176:AK176" si="6323">AD509</f>
        <v>0</v>
      </c>
      <c r="AE176" s="675">
        <f t="shared" si="6323"/>
        <v>0</v>
      </c>
      <c r="AF176" s="549">
        <f t="shared" si="6323"/>
        <v>0</v>
      </c>
      <c r="AG176" s="675">
        <f t="shared" si="6323"/>
        <v>0</v>
      </c>
      <c r="AH176" s="549">
        <f t="shared" si="6323"/>
        <v>0</v>
      </c>
      <c r="AI176" s="675">
        <f t="shared" si="6323"/>
        <v>0</v>
      </c>
      <c r="AJ176" s="549">
        <f t="shared" si="6323"/>
        <v>0</v>
      </c>
      <c r="AK176" s="675">
        <f t="shared" si="6323"/>
        <v>0</v>
      </c>
      <c r="AL176" s="549">
        <f t="shared" si="6322"/>
        <v>0</v>
      </c>
      <c r="AM176" s="675">
        <f t="shared" si="6322"/>
        <v>0</v>
      </c>
      <c r="AN176" s="549">
        <f t="shared" ref="AN176:AS176" si="6324">AN509</f>
        <v>0</v>
      </c>
      <c r="AO176" s="675">
        <f t="shared" si="6324"/>
        <v>0</v>
      </c>
      <c r="AP176" s="549">
        <f t="shared" si="6324"/>
        <v>0</v>
      </c>
      <c r="AQ176" s="675">
        <f t="shared" si="6324"/>
        <v>0</v>
      </c>
      <c r="AR176" s="549">
        <f t="shared" si="6324"/>
        <v>0</v>
      </c>
      <c r="AS176" s="675">
        <f t="shared" si="6324"/>
        <v>0</v>
      </c>
      <c r="AT176" s="549">
        <f t="shared" ref="AT176:AU176" si="6325">AT509</f>
        <v>0</v>
      </c>
      <c r="AU176" s="675">
        <f t="shared" si="6325"/>
        <v>0</v>
      </c>
      <c r="AV176" s="549">
        <f t="shared" ref="AV176:AW176" si="6326">AV509</f>
        <v>0</v>
      </c>
      <c r="AW176" s="675">
        <f t="shared" si="6326"/>
        <v>0</v>
      </c>
      <c r="AX176" s="549">
        <f t="shared" ref="AX176:AY176" si="6327">AX509</f>
        <v>0</v>
      </c>
      <c r="AY176" s="675">
        <f t="shared" si="6327"/>
        <v>0</v>
      </c>
      <c r="AZ176" s="549">
        <f t="shared" ref="AZ176:BA176" si="6328">AZ509</f>
        <v>0</v>
      </c>
      <c r="BA176" s="675">
        <f t="shared" si="6328"/>
        <v>0</v>
      </c>
      <c r="BB176" s="549">
        <f t="shared" ref="BB176:BC176" si="6329">BB509</f>
        <v>0</v>
      </c>
      <c r="BC176" s="675">
        <f t="shared" si="6329"/>
        <v>0</v>
      </c>
      <c r="BD176" s="549">
        <f t="shared" ref="BD176:BE176" si="6330">BD509</f>
        <v>0</v>
      </c>
      <c r="BE176" s="675">
        <f t="shared" si="6330"/>
        <v>0</v>
      </c>
      <c r="BF176" s="549">
        <f t="shared" ref="BF176:BG176" si="6331">BF509</f>
        <v>0</v>
      </c>
      <c r="BG176" s="675">
        <f t="shared" si="6331"/>
        <v>0</v>
      </c>
      <c r="BH176" s="549">
        <f t="shared" ref="BH176:BI176" si="6332">BH509</f>
        <v>0</v>
      </c>
      <c r="BI176" s="675">
        <f t="shared" si="6332"/>
        <v>0</v>
      </c>
      <c r="BJ176" s="549">
        <f t="shared" ref="BJ176:BK176" si="6333">BJ509</f>
        <v>0</v>
      </c>
      <c r="BK176" s="675">
        <f t="shared" si="6333"/>
        <v>0</v>
      </c>
      <c r="BL176" s="549">
        <f t="shared" ref="BL176:BS176" si="6334">BL509</f>
        <v>0</v>
      </c>
      <c r="BM176" s="675">
        <f t="shared" si="6334"/>
        <v>0</v>
      </c>
      <c r="BN176" s="549">
        <f t="shared" si="6334"/>
        <v>0</v>
      </c>
      <c r="BO176" s="675">
        <f t="shared" si="6334"/>
        <v>0</v>
      </c>
      <c r="BP176" s="549">
        <f t="shared" si="6334"/>
        <v>0</v>
      </c>
      <c r="BQ176" s="675">
        <f t="shared" si="6334"/>
        <v>0</v>
      </c>
      <c r="BR176" s="549">
        <f t="shared" si="6334"/>
        <v>0</v>
      </c>
      <c r="BS176" s="675">
        <f t="shared" si="6334"/>
        <v>0</v>
      </c>
      <c r="BT176" s="549">
        <f t="shared" ref="BT176:BU176" si="6335">BT509</f>
        <v>0</v>
      </c>
      <c r="BU176" s="675">
        <f t="shared" si="6335"/>
        <v>0</v>
      </c>
      <c r="BV176" s="549">
        <f t="shared" ref="BV176:BW176" si="6336">BV509</f>
        <v>0</v>
      </c>
      <c r="BW176" s="675">
        <f t="shared" si="6336"/>
        <v>0</v>
      </c>
      <c r="BX176" s="549">
        <f t="shared" ref="BX176:BY176" si="6337">BX509</f>
        <v>0</v>
      </c>
      <c r="BY176" s="675">
        <f t="shared" si="6337"/>
        <v>0</v>
      </c>
      <c r="BZ176" s="549">
        <f t="shared" ref="BZ176:CA176" si="6338">BZ509</f>
        <v>0</v>
      </c>
      <c r="CA176" s="675">
        <f t="shared" si="6338"/>
        <v>0</v>
      </c>
      <c r="CB176" s="549">
        <f t="shared" ref="CB176:CE176" si="6339">CB509</f>
        <v>0</v>
      </c>
      <c r="CC176" s="675">
        <f t="shared" si="6339"/>
        <v>0</v>
      </c>
      <c r="CD176" s="549">
        <f t="shared" si="6339"/>
        <v>0</v>
      </c>
      <c r="CE176" s="675">
        <f t="shared" si="6339"/>
        <v>0</v>
      </c>
      <c r="CF176" s="549">
        <f t="shared" ref="CF176:CQ176" si="6340">CF509</f>
        <v>0</v>
      </c>
      <c r="CG176" s="675">
        <f t="shared" si="6340"/>
        <v>0</v>
      </c>
      <c r="CH176" s="549">
        <f t="shared" si="6340"/>
        <v>0</v>
      </c>
      <c r="CI176" s="675">
        <f t="shared" si="6340"/>
        <v>0</v>
      </c>
      <c r="CJ176" s="549">
        <f t="shared" si="6340"/>
        <v>0</v>
      </c>
      <c r="CK176" s="675">
        <f t="shared" si="6340"/>
        <v>0</v>
      </c>
      <c r="CL176" s="549">
        <f t="shared" si="6340"/>
        <v>0</v>
      </c>
      <c r="CM176" s="675">
        <f t="shared" si="6340"/>
        <v>0</v>
      </c>
      <c r="CN176" s="549">
        <f t="shared" si="6340"/>
        <v>0</v>
      </c>
      <c r="CO176" s="675">
        <f t="shared" si="6340"/>
        <v>0</v>
      </c>
      <c r="CP176" s="549">
        <f t="shared" si="6340"/>
        <v>0</v>
      </c>
      <c r="CQ176" s="675">
        <f t="shared" si="6340"/>
        <v>0</v>
      </c>
      <c r="CR176" s="549">
        <f t="shared" ref="CR176:CY176" si="6341">CR509</f>
        <v>0</v>
      </c>
      <c r="CS176" s="675">
        <f t="shared" si="6341"/>
        <v>0</v>
      </c>
      <c r="CT176" s="549">
        <f t="shared" si="6341"/>
        <v>0</v>
      </c>
      <c r="CU176" s="675">
        <f t="shared" si="6341"/>
        <v>0</v>
      </c>
      <c r="CV176" s="549">
        <f t="shared" si="6341"/>
        <v>0</v>
      </c>
      <c r="CW176" s="675">
        <f t="shared" si="6341"/>
        <v>0</v>
      </c>
      <c r="CX176" s="549">
        <f t="shared" si="6341"/>
        <v>0</v>
      </c>
      <c r="CY176" s="675">
        <f t="shared" si="6341"/>
        <v>0</v>
      </c>
      <c r="CZ176" s="549">
        <f t="shared" ref="CZ176:DG176" si="6342">CZ509</f>
        <v>0</v>
      </c>
      <c r="DA176" s="675">
        <f t="shared" si="6342"/>
        <v>0</v>
      </c>
      <c r="DB176" s="549">
        <f t="shared" si="6342"/>
        <v>0</v>
      </c>
      <c r="DC176" s="675">
        <f t="shared" si="6342"/>
        <v>0</v>
      </c>
      <c r="DD176" s="549">
        <f t="shared" si="6342"/>
        <v>0</v>
      </c>
      <c r="DE176" s="675">
        <f t="shared" si="6342"/>
        <v>0</v>
      </c>
      <c r="DF176" s="549">
        <f t="shared" si="6342"/>
        <v>0</v>
      </c>
      <c r="DG176" s="675">
        <f t="shared" si="6342"/>
        <v>0</v>
      </c>
      <c r="DH176" s="549">
        <f t="shared" ref="DH176:DM176" si="6343">DH509</f>
        <v>0</v>
      </c>
      <c r="DI176" s="675">
        <f t="shared" si="6343"/>
        <v>0</v>
      </c>
      <c r="DJ176" s="549">
        <f t="shared" si="6343"/>
        <v>0</v>
      </c>
      <c r="DK176" s="675">
        <f t="shared" si="6343"/>
        <v>0</v>
      </c>
      <c r="DL176" s="549">
        <f t="shared" si="6343"/>
        <v>0</v>
      </c>
      <c r="DM176" s="675">
        <f t="shared" si="6343"/>
        <v>0</v>
      </c>
      <c r="DN176" s="549">
        <f t="shared" ref="DN176:DW176" si="6344">DN509</f>
        <v>0</v>
      </c>
      <c r="DO176" s="675">
        <f t="shared" si="6344"/>
        <v>0</v>
      </c>
      <c r="DP176" s="549">
        <f t="shared" si="6344"/>
        <v>0</v>
      </c>
      <c r="DQ176" s="675">
        <f t="shared" si="6344"/>
        <v>0</v>
      </c>
      <c r="DR176" s="549">
        <f t="shared" si="6344"/>
        <v>0</v>
      </c>
      <c r="DS176" s="675">
        <f t="shared" si="6344"/>
        <v>0</v>
      </c>
      <c r="DT176" s="549">
        <f t="shared" si="6344"/>
        <v>0</v>
      </c>
      <c r="DU176" s="675">
        <f t="shared" si="6344"/>
        <v>0</v>
      </c>
      <c r="DV176" s="549">
        <f t="shared" si="6344"/>
        <v>0</v>
      </c>
      <c r="DW176" s="675">
        <f t="shared" si="6344"/>
        <v>0</v>
      </c>
      <c r="DX176" s="549">
        <f t="shared" ref="DX176:EG176" si="6345">DX509</f>
        <v>0</v>
      </c>
      <c r="DY176" s="675">
        <f t="shared" si="6345"/>
        <v>0</v>
      </c>
      <c r="DZ176" s="549">
        <f t="shared" si="6345"/>
        <v>0</v>
      </c>
      <c r="EA176" s="675">
        <f t="shared" si="6345"/>
        <v>0</v>
      </c>
      <c r="EB176" s="549">
        <f t="shared" si="6345"/>
        <v>0</v>
      </c>
      <c r="EC176" s="675">
        <f t="shared" si="6345"/>
        <v>0</v>
      </c>
      <c r="ED176" s="549">
        <f t="shared" si="6345"/>
        <v>0</v>
      </c>
      <c r="EE176" s="675">
        <f t="shared" si="6345"/>
        <v>0</v>
      </c>
      <c r="EF176" s="549">
        <f t="shared" si="6345"/>
        <v>0</v>
      </c>
      <c r="EG176" s="675">
        <f t="shared" si="6345"/>
        <v>0</v>
      </c>
      <c r="EH176" s="549">
        <f t="shared" ref="EH176:EM176" si="6346">EH509</f>
        <v>0</v>
      </c>
      <c r="EI176" s="675">
        <f t="shared" si="6346"/>
        <v>0</v>
      </c>
      <c r="EJ176" s="549">
        <f t="shared" si="6346"/>
        <v>0</v>
      </c>
      <c r="EK176" s="675">
        <f t="shared" si="6346"/>
        <v>0</v>
      </c>
      <c r="EL176" s="549">
        <f t="shared" si="6346"/>
        <v>0</v>
      </c>
      <c r="EM176" s="675">
        <f t="shared" si="6346"/>
        <v>0</v>
      </c>
      <c r="EN176" s="549">
        <f t="shared" ref="EN176:EO176" si="6347">EN509</f>
        <v>0</v>
      </c>
      <c r="EO176" s="675">
        <f t="shared" si="6347"/>
        <v>0</v>
      </c>
      <c r="EP176" s="549">
        <f t="shared" ref="EP176:FA176" si="6348">EP509</f>
        <v>0</v>
      </c>
      <c r="EQ176" s="675">
        <f t="shared" si="6348"/>
        <v>0</v>
      </c>
      <c r="ER176" s="549">
        <f t="shared" si="6348"/>
        <v>0</v>
      </c>
      <c r="ES176" s="675">
        <f t="shared" si="6348"/>
        <v>0</v>
      </c>
      <c r="ET176" s="549">
        <f t="shared" si="6348"/>
        <v>0</v>
      </c>
      <c r="EU176" s="675">
        <f t="shared" si="6348"/>
        <v>0</v>
      </c>
      <c r="EV176" s="549">
        <f t="shared" ref="EV176:EW176" si="6349">EV509</f>
        <v>0</v>
      </c>
      <c r="EW176" s="675">
        <f t="shared" si="6349"/>
        <v>0</v>
      </c>
      <c r="EX176" s="549">
        <f t="shared" si="6348"/>
        <v>0</v>
      </c>
      <c r="EY176" s="675">
        <f t="shared" si="6348"/>
        <v>0</v>
      </c>
      <c r="EZ176" s="549">
        <f t="shared" si="6348"/>
        <v>0</v>
      </c>
      <c r="FA176" s="675">
        <f t="shared" si="6348"/>
        <v>0</v>
      </c>
      <c r="FB176" s="549">
        <f t="shared" ref="FB176:FC176" si="6350">FB509</f>
        <v>0</v>
      </c>
      <c r="FC176" s="675">
        <f t="shared" si="6350"/>
        <v>0</v>
      </c>
      <c r="FD176" s="549">
        <f t="shared" ref="FD176:FE176" si="6351">FD509</f>
        <v>0</v>
      </c>
      <c r="FE176" s="675">
        <f t="shared" si="6351"/>
        <v>0</v>
      </c>
      <c r="FF176" s="549">
        <f t="shared" ref="FF176:FG176" si="6352">FF509</f>
        <v>0</v>
      </c>
      <c r="FG176" s="675">
        <f t="shared" si="6352"/>
        <v>0</v>
      </c>
      <c r="FH176" s="549">
        <f t="shared" ref="FH176:FI176" si="6353">FH509</f>
        <v>0</v>
      </c>
      <c r="FI176" s="675">
        <f t="shared" si="6353"/>
        <v>0</v>
      </c>
      <c r="FJ176" s="549">
        <f t="shared" ref="FJ176:FK176" si="6354">FJ509</f>
        <v>0</v>
      </c>
      <c r="FK176" s="675">
        <f t="shared" si="6354"/>
        <v>0</v>
      </c>
      <c r="FL176" s="549">
        <f t="shared" ref="FL176:FM176" si="6355">FL509</f>
        <v>0</v>
      </c>
      <c r="FM176" s="675">
        <f t="shared" si="6355"/>
        <v>0</v>
      </c>
      <c r="FN176" s="549">
        <f t="shared" ref="FN176:FO176" si="6356">FN509</f>
        <v>0</v>
      </c>
      <c r="FO176" s="675">
        <f t="shared" si="6356"/>
        <v>0</v>
      </c>
      <c r="FP176" s="549">
        <f t="shared" ref="FP176:FQ176" si="6357">FP509</f>
        <v>0</v>
      </c>
      <c r="FQ176" s="675">
        <f t="shared" si="6357"/>
        <v>0</v>
      </c>
      <c r="FR176" s="549">
        <f t="shared" ref="FR176:FS176" si="6358">FR509</f>
        <v>0</v>
      </c>
      <c r="FS176" s="675">
        <f t="shared" si="6358"/>
        <v>0</v>
      </c>
      <c r="FT176" s="549">
        <f t="shared" ref="FT176:FU176" si="6359">FT509</f>
        <v>0</v>
      </c>
      <c r="FU176" s="675">
        <f t="shared" si="6359"/>
        <v>0</v>
      </c>
      <c r="FV176" s="549">
        <f t="shared" ref="FV176:GK176" si="6360">FV509</f>
        <v>0</v>
      </c>
      <c r="FW176" s="675">
        <f t="shared" si="6360"/>
        <v>0</v>
      </c>
      <c r="FX176" s="549">
        <f t="shared" si="6360"/>
        <v>0</v>
      </c>
      <c r="FY176" s="675">
        <f t="shared" si="6360"/>
        <v>0</v>
      </c>
      <c r="FZ176" s="549">
        <f t="shared" ref="FZ176:GI176" si="6361">FZ509</f>
        <v>0</v>
      </c>
      <c r="GA176" s="675">
        <f t="shared" si="6361"/>
        <v>0</v>
      </c>
      <c r="GB176" s="549">
        <f t="shared" si="6361"/>
        <v>0</v>
      </c>
      <c r="GC176" s="675">
        <f t="shared" si="6361"/>
        <v>0</v>
      </c>
      <c r="GD176" s="549">
        <f t="shared" si="6361"/>
        <v>0</v>
      </c>
      <c r="GE176" s="675">
        <f t="shared" si="6361"/>
        <v>0</v>
      </c>
      <c r="GF176" s="549">
        <f t="shared" si="6361"/>
        <v>0</v>
      </c>
      <c r="GG176" s="675">
        <f t="shared" si="6361"/>
        <v>0</v>
      </c>
      <c r="GH176" s="549">
        <f t="shared" si="6361"/>
        <v>0</v>
      </c>
      <c r="GI176" s="675">
        <f t="shared" si="6361"/>
        <v>0</v>
      </c>
      <c r="GJ176" s="549">
        <f t="shared" si="6360"/>
        <v>0</v>
      </c>
      <c r="GK176" s="675">
        <f t="shared" si="6360"/>
        <v>0</v>
      </c>
      <c r="GL176" s="549">
        <f t="shared" ref="GL176:GQ176" si="6362">GL509</f>
        <v>0</v>
      </c>
      <c r="GM176" s="675">
        <f t="shared" si="6362"/>
        <v>0</v>
      </c>
      <c r="GN176" s="549">
        <f t="shared" ref="GN176:GO176" si="6363">GN509</f>
        <v>0</v>
      </c>
      <c r="GO176" s="675">
        <f t="shared" si="6363"/>
        <v>0</v>
      </c>
      <c r="GP176" s="74">
        <f t="shared" si="6362"/>
        <v>0</v>
      </c>
      <c r="GQ176" s="675">
        <f t="shared" si="6362"/>
        <v>0</v>
      </c>
      <c r="GR176" s="74">
        <f t="shared" ref="GR176:JA176" si="6364">GR509</f>
        <v>0</v>
      </c>
      <c r="GS176" s="74">
        <f t="shared" si="6364"/>
        <v>0</v>
      </c>
      <c r="GT176" s="549">
        <f t="shared" si="6364"/>
        <v>0</v>
      </c>
      <c r="GU176" s="74">
        <f t="shared" si="6364"/>
        <v>0</v>
      </c>
      <c r="GV176" s="74">
        <f t="shared" si="6364"/>
        <v>0</v>
      </c>
      <c r="GW176" s="549">
        <f t="shared" si="6364"/>
        <v>0</v>
      </c>
      <c r="GX176" s="549">
        <f t="shared" si="6364"/>
        <v>0</v>
      </c>
      <c r="GY176" s="74">
        <f t="shared" si="6364"/>
        <v>0</v>
      </c>
      <c r="GZ176" s="74">
        <f t="shared" si="6364"/>
        <v>0</v>
      </c>
      <c r="HA176" s="74">
        <f t="shared" si="6364"/>
        <v>0</v>
      </c>
      <c r="HB176" s="74">
        <f t="shared" si="6364"/>
        <v>0</v>
      </c>
      <c r="HC176" s="74">
        <f t="shared" si="6364"/>
        <v>0</v>
      </c>
      <c r="HD176" s="74">
        <f t="shared" si="6364"/>
        <v>0</v>
      </c>
      <c r="HE176" s="74">
        <f t="shared" si="6364"/>
        <v>0</v>
      </c>
      <c r="HF176" s="74">
        <f t="shared" si="6364"/>
        <v>0</v>
      </c>
      <c r="HG176" s="74">
        <f t="shared" si="6364"/>
        <v>0</v>
      </c>
      <c r="HH176" s="74">
        <f t="shared" ref="HH176:HU176" si="6365">HH509</f>
        <v>0</v>
      </c>
      <c r="HI176" s="74">
        <f t="shared" si="6365"/>
        <v>0</v>
      </c>
      <c r="HJ176" s="74">
        <f t="shared" si="6365"/>
        <v>0</v>
      </c>
      <c r="HK176" s="74">
        <f t="shared" si="6365"/>
        <v>0</v>
      </c>
      <c r="HL176" s="74">
        <f t="shared" si="6365"/>
        <v>0</v>
      </c>
      <c r="HM176" s="74">
        <f t="shared" si="6365"/>
        <v>0</v>
      </c>
      <c r="HN176" s="74">
        <f t="shared" si="6365"/>
        <v>0</v>
      </c>
      <c r="HO176" s="74">
        <f t="shared" si="6365"/>
        <v>0</v>
      </c>
      <c r="HP176" s="74">
        <f t="shared" si="6365"/>
        <v>0</v>
      </c>
      <c r="HQ176" s="74">
        <f t="shared" si="6365"/>
        <v>0</v>
      </c>
      <c r="HR176" s="74">
        <f t="shared" si="6365"/>
        <v>0</v>
      </c>
      <c r="HS176" s="74">
        <f t="shared" si="6365"/>
        <v>0</v>
      </c>
      <c r="HT176" s="74">
        <f t="shared" si="6365"/>
        <v>0</v>
      </c>
      <c r="HU176" s="74">
        <f t="shared" si="6365"/>
        <v>0</v>
      </c>
      <c r="HV176" s="74">
        <f t="shared" si="6364"/>
        <v>0</v>
      </c>
      <c r="HW176" s="74">
        <f t="shared" si="6364"/>
        <v>0</v>
      </c>
      <c r="HX176" s="74">
        <f t="shared" si="6364"/>
        <v>0</v>
      </c>
      <c r="HY176" s="74">
        <f t="shared" si="6364"/>
        <v>0</v>
      </c>
      <c r="HZ176" s="74">
        <f t="shared" si="6364"/>
        <v>0</v>
      </c>
      <c r="IA176" s="74">
        <f t="shared" si="6364"/>
        <v>0</v>
      </c>
      <c r="IB176" s="74">
        <f t="shared" si="6364"/>
        <v>0</v>
      </c>
      <c r="IC176" s="74">
        <f t="shared" si="6364"/>
        <v>0</v>
      </c>
      <c r="ID176" s="74">
        <f t="shared" si="6364"/>
        <v>0</v>
      </c>
      <c r="IE176" s="792">
        <f t="shared" si="6364"/>
        <v>0</v>
      </c>
      <c r="IF176" s="841">
        <f t="shared" si="6364"/>
        <v>0</v>
      </c>
      <c r="IG176" s="263">
        <f t="shared" si="6364"/>
        <v>0</v>
      </c>
      <c r="IH176" s="842">
        <f t="shared" si="6364"/>
        <v>0</v>
      </c>
      <c r="II176" s="155">
        <f t="shared" si="6364"/>
        <v>0</v>
      </c>
      <c r="IJ176" s="74">
        <f t="shared" si="6364"/>
        <v>0</v>
      </c>
      <c r="IK176" s="74">
        <f t="shared" si="6364"/>
        <v>0</v>
      </c>
      <c r="IL176" s="74">
        <f t="shared" si="6364"/>
        <v>0</v>
      </c>
      <c r="IM176" s="74">
        <f t="shared" si="6364"/>
        <v>0</v>
      </c>
      <c r="IN176" s="74">
        <f t="shared" si="6364"/>
        <v>0</v>
      </c>
      <c r="IO176" s="74">
        <f t="shared" si="6364"/>
        <v>0</v>
      </c>
      <c r="IP176" s="74">
        <f t="shared" si="6364"/>
        <v>0</v>
      </c>
      <c r="IQ176" s="74">
        <f t="shared" si="6364"/>
        <v>0</v>
      </c>
      <c r="IR176" s="74">
        <f t="shared" si="6364"/>
        <v>0</v>
      </c>
      <c r="IS176" s="74">
        <f t="shared" si="6364"/>
        <v>0</v>
      </c>
      <c r="IT176" s="74">
        <f t="shared" si="6364"/>
        <v>0</v>
      </c>
      <c r="IU176" s="74">
        <f t="shared" si="6364"/>
        <v>0</v>
      </c>
      <c r="IV176" s="74">
        <f t="shared" si="6364"/>
        <v>0</v>
      </c>
      <c r="IW176" s="74">
        <f t="shared" si="6364"/>
        <v>0</v>
      </c>
      <c r="IX176" s="74">
        <f t="shared" si="6364"/>
        <v>0</v>
      </c>
      <c r="IY176" s="74">
        <f t="shared" si="6364"/>
        <v>0</v>
      </c>
      <c r="IZ176" s="74">
        <f t="shared" si="6364"/>
        <v>0</v>
      </c>
      <c r="JA176" s="74">
        <f t="shared" si="6364"/>
        <v>0</v>
      </c>
      <c r="JB176" s="74">
        <f t="shared" ref="JB176:JT176" si="6366">JB509</f>
        <v>0</v>
      </c>
      <c r="JC176" s="74">
        <f t="shared" si="6366"/>
        <v>0</v>
      </c>
      <c r="JD176" s="74">
        <f t="shared" si="6366"/>
        <v>0</v>
      </c>
      <c r="JE176" s="74">
        <f t="shared" si="6366"/>
        <v>0</v>
      </c>
      <c r="JF176" s="74">
        <f t="shared" si="6366"/>
        <v>0</v>
      </c>
      <c r="JG176" s="74">
        <f t="shared" si="6366"/>
        <v>0</v>
      </c>
      <c r="JH176" s="74">
        <f t="shared" si="6366"/>
        <v>0</v>
      </c>
      <c r="JI176" s="74">
        <f t="shared" si="6366"/>
        <v>0</v>
      </c>
      <c r="JJ176" s="74">
        <f t="shared" si="6366"/>
        <v>0</v>
      </c>
      <c r="JK176" s="74">
        <f t="shared" si="6366"/>
        <v>0</v>
      </c>
      <c r="JL176" s="74">
        <f t="shared" si="6366"/>
        <v>0</v>
      </c>
      <c r="JM176" s="74">
        <f t="shared" si="6366"/>
        <v>0</v>
      </c>
      <c r="JN176" s="74">
        <f t="shared" si="6366"/>
        <v>0</v>
      </c>
      <c r="JO176" s="74">
        <f t="shared" si="6366"/>
        <v>0</v>
      </c>
      <c r="JP176" s="74">
        <f t="shared" si="6366"/>
        <v>0</v>
      </c>
      <c r="JQ176" s="74">
        <f t="shared" si="6366"/>
        <v>0</v>
      </c>
      <c r="JR176" s="74">
        <f t="shared" si="6366"/>
        <v>0</v>
      </c>
      <c r="JS176" s="74">
        <f t="shared" si="6366"/>
        <v>0</v>
      </c>
      <c r="JT176" s="102">
        <f t="shared" si="6366"/>
        <v>0</v>
      </c>
      <c r="JU176" s="671"/>
      <c r="JV176" s="492"/>
      <c r="JW176" s="490"/>
      <c r="JX176" s="549">
        <f>JX509</f>
        <v>0</v>
      </c>
      <c r="JY176" s="549">
        <f>JY509</f>
        <v>0</v>
      </c>
      <c r="JZ176" s="581">
        <f t="shared" si="4944"/>
        <v>0</v>
      </c>
      <c r="KA176" s="581">
        <f t="shared" si="4945"/>
        <v>0</v>
      </c>
      <c r="KB176" s="549">
        <f>KB509</f>
        <v>0</v>
      </c>
      <c r="KC176" s="709">
        <f t="shared" si="4908"/>
        <v>0</v>
      </c>
      <c r="KD176" s="36"/>
      <c r="KE176" s="36"/>
      <c r="KF176" s="36"/>
      <c r="KG176" s="36"/>
      <c r="KH176" s="36"/>
      <c r="KI176" s="36"/>
      <c r="KJ176" s="36"/>
      <c r="KK176" s="36"/>
    </row>
    <row r="177" spans="1:297" s="8" customFormat="1">
      <c r="A177" s="75" t="s">
        <v>504</v>
      </c>
      <c r="B177" s="72"/>
      <c r="C177" s="74">
        <f t="shared" ref="C177:AM177" si="6367">C331+C510</f>
        <v>10000</v>
      </c>
      <c r="D177" s="549">
        <f t="shared" si="6367"/>
        <v>0</v>
      </c>
      <c r="E177" s="675">
        <f t="shared" si="6367"/>
        <v>0</v>
      </c>
      <c r="F177" s="549">
        <f t="shared" si="6367"/>
        <v>0</v>
      </c>
      <c r="G177" s="675">
        <f t="shared" si="6367"/>
        <v>0</v>
      </c>
      <c r="H177" s="549">
        <f t="shared" si="6367"/>
        <v>0</v>
      </c>
      <c r="I177" s="675">
        <f t="shared" si="6367"/>
        <v>0</v>
      </c>
      <c r="J177" s="549">
        <f t="shared" si="6367"/>
        <v>0</v>
      </c>
      <c r="K177" s="675">
        <f t="shared" si="6367"/>
        <v>0</v>
      </c>
      <c r="L177" s="549">
        <f t="shared" si="6367"/>
        <v>0</v>
      </c>
      <c r="M177" s="675">
        <f t="shared" si="6367"/>
        <v>0</v>
      </c>
      <c r="N177" s="549">
        <f t="shared" si="6367"/>
        <v>0</v>
      </c>
      <c r="O177" s="675">
        <f t="shared" si="6367"/>
        <v>0</v>
      </c>
      <c r="P177" s="549">
        <f t="shared" si="6367"/>
        <v>0</v>
      </c>
      <c r="Q177" s="675">
        <f t="shared" si="6367"/>
        <v>0</v>
      </c>
      <c r="R177" s="549">
        <f t="shared" si="6367"/>
        <v>0</v>
      </c>
      <c r="S177" s="675">
        <f t="shared" si="6367"/>
        <v>0</v>
      </c>
      <c r="T177" s="549">
        <f t="shared" si="6367"/>
        <v>0</v>
      </c>
      <c r="U177" s="675">
        <f t="shared" si="6367"/>
        <v>0</v>
      </c>
      <c r="V177" s="549">
        <f t="shared" si="6367"/>
        <v>0</v>
      </c>
      <c r="W177" s="675">
        <f t="shared" si="6367"/>
        <v>0</v>
      </c>
      <c r="X177" s="549">
        <f t="shared" si="6367"/>
        <v>0</v>
      </c>
      <c r="Y177" s="675">
        <f t="shared" si="6367"/>
        <v>0</v>
      </c>
      <c r="Z177" s="549">
        <f t="shared" si="6367"/>
        <v>0</v>
      </c>
      <c r="AA177" s="675">
        <f t="shared" si="6367"/>
        <v>0</v>
      </c>
      <c r="AB177" s="549">
        <f t="shared" si="6367"/>
        <v>0</v>
      </c>
      <c r="AC177" s="675">
        <f t="shared" si="6367"/>
        <v>0</v>
      </c>
      <c r="AD177" s="549">
        <f t="shared" si="6367"/>
        <v>0</v>
      </c>
      <c r="AE177" s="675">
        <f t="shared" si="6367"/>
        <v>0</v>
      </c>
      <c r="AF177" s="549">
        <f t="shared" si="6367"/>
        <v>0</v>
      </c>
      <c r="AG177" s="675">
        <f t="shared" si="6367"/>
        <v>0</v>
      </c>
      <c r="AH177" s="549">
        <f t="shared" si="6367"/>
        <v>0</v>
      </c>
      <c r="AI177" s="675">
        <f t="shared" si="6367"/>
        <v>-5000</v>
      </c>
      <c r="AJ177" s="549">
        <f t="shared" si="6367"/>
        <v>0</v>
      </c>
      <c r="AK177" s="675">
        <f t="shared" si="6367"/>
        <v>0</v>
      </c>
      <c r="AL177" s="549">
        <f t="shared" si="6367"/>
        <v>0</v>
      </c>
      <c r="AM177" s="675">
        <f t="shared" si="6367"/>
        <v>0</v>
      </c>
      <c r="AN177" s="549">
        <f t="shared" ref="AN177:AS177" si="6368">AN331+AN510</f>
        <v>125000</v>
      </c>
      <c r="AO177" s="675">
        <f t="shared" si="6368"/>
        <v>0</v>
      </c>
      <c r="AP177" s="549">
        <f t="shared" si="6368"/>
        <v>0</v>
      </c>
      <c r="AQ177" s="675">
        <f t="shared" si="6368"/>
        <v>0</v>
      </c>
      <c r="AR177" s="549">
        <f t="shared" si="6368"/>
        <v>0</v>
      </c>
      <c r="AS177" s="675">
        <f t="shared" si="6368"/>
        <v>0</v>
      </c>
      <c r="AT177" s="549">
        <f t="shared" ref="AT177:AU177" si="6369">AT331+AT510</f>
        <v>0</v>
      </c>
      <c r="AU177" s="675">
        <f t="shared" si="6369"/>
        <v>0</v>
      </c>
      <c r="AV177" s="549">
        <f t="shared" ref="AV177:AW177" si="6370">AV331+AV510</f>
        <v>0</v>
      </c>
      <c r="AW177" s="675">
        <f t="shared" si="6370"/>
        <v>0</v>
      </c>
      <c r="AX177" s="549">
        <f t="shared" ref="AX177:AY177" si="6371">AX331+AX510</f>
        <v>0</v>
      </c>
      <c r="AY177" s="675">
        <f t="shared" si="6371"/>
        <v>0</v>
      </c>
      <c r="AZ177" s="549">
        <f t="shared" ref="AZ177:BA177" si="6372">AZ331+AZ510</f>
        <v>0</v>
      </c>
      <c r="BA177" s="675">
        <f t="shared" si="6372"/>
        <v>0</v>
      </c>
      <c r="BB177" s="549">
        <f t="shared" ref="BB177:BC177" si="6373">BB331+BB510</f>
        <v>0</v>
      </c>
      <c r="BC177" s="675">
        <f t="shared" si="6373"/>
        <v>0</v>
      </c>
      <c r="BD177" s="549">
        <f t="shared" ref="BD177:BE177" si="6374">BD331+BD510</f>
        <v>0</v>
      </c>
      <c r="BE177" s="675">
        <f t="shared" si="6374"/>
        <v>0</v>
      </c>
      <c r="BF177" s="549">
        <f t="shared" ref="BF177:BG177" si="6375">BF331+BF510</f>
        <v>0</v>
      </c>
      <c r="BG177" s="675">
        <f t="shared" si="6375"/>
        <v>0</v>
      </c>
      <c r="BH177" s="549">
        <f t="shared" ref="BH177:BI177" si="6376">BH331+BH510</f>
        <v>0</v>
      </c>
      <c r="BI177" s="675">
        <f t="shared" si="6376"/>
        <v>0</v>
      </c>
      <c r="BJ177" s="549">
        <f t="shared" ref="BJ177:BK177" si="6377">BJ331+BJ510</f>
        <v>0</v>
      </c>
      <c r="BK177" s="675">
        <f t="shared" si="6377"/>
        <v>0</v>
      </c>
      <c r="BL177" s="549">
        <f t="shared" ref="BL177:BS177" si="6378">BL331+BL510</f>
        <v>0</v>
      </c>
      <c r="BM177" s="675">
        <f t="shared" si="6378"/>
        <v>0</v>
      </c>
      <c r="BN177" s="549">
        <f t="shared" si="6378"/>
        <v>0</v>
      </c>
      <c r="BO177" s="675">
        <f t="shared" si="6378"/>
        <v>0</v>
      </c>
      <c r="BP177" s="549">
        <f t="shared" si="6378"/>
        <v>0</v>
      </c>
      <c r="BQ177" s="675">
        <f t="shared" si="6378"/>
        <v>0</v>
      </c>
      <c r="BR177" s="549">
        <f t="shared" si="6378"/>
        <v>0</v>
      </c>
      <c r="BS177" s="675">
        <f t="shared" si="6378"/>
        <v>0</v>
      </c>
      <c r="BT177" s="549">
        <f t="shared" ref="BT177:BU177" si="6379">BT331+BT510</f>
        <v>0</v>
      </c>
      <c r="BU177" s="675">
        <f t="shared" si="6379"/>
        <v>0</v>
      </c>
      <c r="BV177" s="549">
        <f t="shared" ref="BV177:BW177" si="6380">BV331+BV510</f>
        <v>0</v>
      </c>
      <c r="BW177" s="675">
        <f t="shared" si="6380"/>
        <v>0</v>
      </c>
      <c r="BX177" s="549">
        <f t="shared" ref="BX177:BY177" si="6381">BX331+BX510</f>
        <v>0</v>
      </c>
      <c r="BY177" s="675">
        <f t="shared" si="6381"/>
        <v>0</v>
      </c>
      <c r="BZ177" s="549">
        <f t="shared" ref="BZ177:CA177" si="6382">BZ331+BZ510</f>
        <v>0</v>
      </c>
      <c r="CA177" s="675">
        <f t="shared" si="6382"/>
        <v>0</v>
      </c>
      <c r="CB177" s="549">
        <f t="shared" ref="CB177:CE177" si="6383">CB331+CB510</f>
        <v>0</v>
      </c>
      <c r="CC177" s="675">
        <f t="shared" si="6383"/>
        <v>0</v>
      </c>
      <c r="CD177" s="549">
        <f t="shared" si="6383"/>
        <v>0</v>
      </c>
      <c r="CE177" s="675">
        <f t="shared" si="6383"/>
        <v>0</v>
      </c>
      <c r="CF177" s="549">
        <f t="shared" ref="CF177:CQ177" si="6384">CF331+CF510</f>
        <v>0</v>
      </c>
      <c r="CG177" s="675">
        <f t="shared" si="6384"/>
        <v>0</v>
      </c>
      <c r="CH177" s="549">
        <f t="shared" si="6384"/>
        <v>0</v>
      </c>
      <c r="CI177" s="675">
        <f t="shared" si="6384"/>
        <v>0</v>
      </c>
      <c r="CJ177" s="549">
        <f t="shared" si="6384"/>
        <v>0</v>
      </c>
      <c r="CK177" s="675">
        <f t="shared" si="6384"/>
        <v>-4000</v>
      </c>
      <c r="CL177" s="549">
        <f t="shared" si="6384"/>
        <v>0</v>
      </c>
      <c r="CM177" s="675">
        <f t="shared" si="6384"/>
        <v>0</v>
      </c>
      <c r="CN177" s="549">
        <f t="shared" si="6384"/>
        <v>0</v>
      </c>
      <c r="CO177" s="675">
        <f t="shared" si="6384"/>
        <v>0</v>
      </c>
      <c r="CP177" s="549">
        <f t="shared" si="6384"/>
        <v>0</v>
      </c>
      <c r="CQ177" s="675">
        <f t="shared" si="6384"/>
        <v>0</v>
      </c>
      <c r="CR177" s="549">
        <f t="shared" ref="CR177:CY177" si="6385">CR331+CR510</f>
        <v>0</v>
      </c>
      <c r="CS177" s="675">
        <f t="shared" si="6385"/>
        <v>0</v>
      </c>
      <c r="CT177" s="549">
        <f t="shared" si="6385"/>
        <v>0</v>
      </c>
      <c r="CU177" s="675">
        <f t="shared" si="6385"/>
        <v>0</v>
      </c>
      <c r="CV177" s="549">
        <f t="shared" si="6385"/>
        <v>0</v>
      </c>
      <c r="CW177" s="675">
        <f t="shared" si="6385"/>
        <v>0</v>
      </c>
      <c r="CX177" s="549">
        <f t="shared" si="6385"/>
        <v>0</v>
      </c>
      <c r="CY177" s="675">
        <f t="shared" si="6385"/>
        <v>0</v>
      </c>
      <c r="CZ177" s="549">
        <f t="shared" ref="CZ177:DM177" si="6386">CZ331+CZ510</f>
        <v>0</v>
      </c>
      <c r="DA177" s="675">
        <f t="shared" si="6386"/>
        <v>0</v>
      </c>
      <c r="DB177" s="549">
        <f t="shared" si="6386"/>
        <v>0</v>
      </c>
      <c r="DC177" s="675">
        <f t="shared" si="6386"/>
        <v>0</v>
      </c>
      <c r="DD177" s="549">
        <f t="shared" si="6386"/>
        <v>0</v>
      </c>
      <c r="DE177" s="675">
        <f t="shared" si="6386"/>
        <v>0</v>
      </c>
      <c r="DF177" s="549">
        <f t="shared" si="6386"/>
        <v>0</v>
      </c>
      <c r="DG177" s="675">
        <f t="shared" si="6386"/>
        <v>0</v>
      </c>
      <c r="DH177" s="549">
        <f t="shared" si="6386"/>
        <v>0</v>
      </c>
      <c r="DI177" s="675">
        <f t="shared" si="6386"/>
        <v>0</v>
      </c>
      <c r="DJ177" s="549">
        <f t="shared" si="6386"/>
        <v>0</v>
      </c>
      <c r="DK177" s="675">
        <f t="shared" si="6386"/>
        <v>0</v>
      </c>
      <c r="DL177" s="549">
        <f t="shared" si="6386"/>
        <v>0</v>
      </c>
      <c r="DM177" s="675">
        <f t="shared" si="6386"/>
        <v>0</v>
      </c>
      <c r="DN177" s="549">
        <f t="shared" ref="DN177:DW177" si="6387">DN331+DN510</f>
        <v>0</v>
      </c>
      <c r="DO177" s="675">
        <f t="shared" si="6387"/>
        <v>0</v>
      </c>
      <c r="DP177" s="549">
        <f t="shared" si="6387"/>
        <v>0</v>
      </c>
      <c r="DQ177" s="675">
        <f t="shared" si="6387"/>
        <v>0</v>
      </c>
      <c r="DR177" s="549">
        <f t="shared" si="6387"/>
        <v>0</v>
      </c>
      <c r="DS177" s="675">
        <f t="shared" si="6387"/>
        <v>0</v>
      </c>
      <c r="DT177" s="549">
        <f t="shared" si="6387"/>
        <v>0</v>
      </c>
      <c r="DU177" s="675">
        <f t="shared" si="6387"/>
        <v>0</v>
      </c>
      <c r="DV177" s="549">
        <f t="shared" si="6387"/>
        <v>0</v>
      </c>
      <c r="DW177" s="675">
        <f t="shared" si="6387"/>
        <v>0</v>
      </c>
      <c r="DX177" s="549">
        <f t="shared" ref="DX177:EG177" si="6388">DX331+DX510</f>
        <v>0</v>
      </c>
      <c r="DY177" s="675">
        <f t="shared" si="6388"/>
        <v>0</v>
      </c>
      <c r="DZ177" s="549">
        <f t="shared" si="6388"/>
        <v>0</v>
      </c>
      <c r="EA177" s="675">
        <f t="shared" si="6388"/>
        <v>0</v>
      </c>
      <c r="EB177" s="549">
        <f t="shared" si="6388"/>
        <v>0</v>
      </c>
      <c r="EC177" s="675">
        <f t="shared" si="6388"/>
        <v>0</v>
      </c>
      <c r="ED177" s="549">
        <f t="shared" si="6388"/>
        <v>0</v>
      </c>
      <c r="EE177" s="675">
        <f t="shared" si="6388"/>
        <v>0</v>
      </c>
      <c r="EF177" s="549">
        <f t="shared" si="6388"/>
        <v>0</v>
      </c>
      <c r="EG177" s="675">
        <f t="shared" si="6388"/>
        <v>0</v>
      </c>
      <c r="EH177" s="549">
        <f t="shared" ref="EH177:EM177" si="6389">EH331+EH510</f>
        <v>0</v>
      </c>
      <c r="EI177" s="675">
        <f t="shared" si="6389"/>
        <v>0</v>
      </c>
      <c r="EJ177" s="549">
        <f t="shared" si="6389"/>
        <v>0</v>
      </c>
      <c r="EK177" s="675">
        <f t="shared" si="6389"/>
        <v>0</v>
      </c>
      <c r="EL177" s="549">
        <f t="shared" si="6389"/>
        <v>0</v>
      </c>
      <c r="EM177" s="675">
        <f t="shared" si="6389"/>
        <v>0</v>
      </c>
      <c r="EN177" s="549">
        <f t="shared" ref="EN177:EO177" si="6390">EN331+EN510</f>
        <v>0</v>
      </c>
      <c r="EO177" s="675">
        <f t="shared" si="6390"/>
        <v>0</v>
      </c>
      <c r="EP177" s="549">
        <f t="shared" ref="EP177:FA177" si="6391">EP331+EP510</f>
        <v>0</v>
      </c>
      <c r="EQ177" s="675">
        <f t="shared" si="6391"/>
        <v>0</v>
      </c>
      <c r="ER177" s="549">
        <f t="shared" si="6391"/>
        <v>0</v>
      </c>
      <c r="ES177" s="675">
        <f t="shared" si="6391"/>
        <v>0</v>
      </c>
      <c r="ET177" s="549">
        <f t="shared" si="6391"/>
        <v>0</v>
      </c>
      <c r="EU177" s="675">
        <f t="shared" si="6391"/>
        <v>0</v>
      </c>
      <c r="EV177" s="549">
        <f t="shared" ref="EV177:EW177" si="6392">EV331+EV510</f>
        <v>0</v>
      </c>
      <c r="EW177" s="675">
        <f t="shared" si="6392"/>
        <v>0</v>
      </c>
      <c r="EX177" s="549">
        <f t="shared" si="6391"/>
        <v>0</v>
      </c>
      <c r="EY177" s="675">
        <f t="shared" si="6391"/>
        <v>0</v>
      </c>
      <c r="EZ177" s="549">
        <f t="shared" si="6391"/>
        <v>0</v>
      </c>
      <c r="FA177" s="675">
        <f t="shared" si="6391"/>
        <v>0</v>
      </c>
      <c r="FB177" s="549">
        <f t="shared" ref="FB177:FC177" si="6393">FB331+FB510</f>
        <v>0</v>
      </c>
      <c r="FC177" s="675">
        <f t="shared" si="6393"/>
        <v>0</v>
      </c>
      <c r="FD177" s="549">
        <f t="shared" ref="FD177:FE177" si="6394">FD331+FD510</f>
        <v>0</v>
      </c>
      <c r="FE177" s="675">
        <f t="shared" si="6394"/>
        <v>-785</v>
      </c>
      <c r="FF177" s="549">
        <f t="shared" ref="FF177:FG177" si="6395">FF331+FF510</f>
        <v>0</v>
      </c>
      <c r="FG177" s="675">
        <f t="shared" si="6395"/>
        <v>0</v>
      </c>
      <c r="FH177" s="549">
        <f t="shared" ref="FH177:FI177" si="6396">FH331+FH510</f>
        <v>0</v>
      </c>
      <c r="FI177" s="675">
        <f t="shared" si="6396"/>
        <v>0</v>
      </c>
      <c r="FJ177" s="549">
        <f t="shared" ref="FJ177:FK177" si="6397">FJ331+FJ510</f>
        <v>0</v>
      </c>
      <c r="FK177" s="675">
        <f t="shared" si="6397"/>
        <v>0</v>
      </c>
      <c r="FL177" s="549">
        <f t="shared" ref="FL177:FM177" si="6398">FL331+FL510</f>
        <v>500</v>
      </c>
      <c r="FM177" s="675">
        <f t="shared" si="6398"/>
        <v>0</v>
      </c>
      <c r="FN177" s="549">
        <f t="shared" ref="FN177:FO177" si="6399">FN331+FN510</f>
        <v>0</v>
      </c>
      <c r="FO177" s="675">
        <f t="shared" si="6399"/>
        <v>0</v>
      </c>
      <c r="FP177" s="549">
        <f t="shared" ref="FP177:FQ177" si="6400">FP331+FP510</f>
        <v>0</v>
      </c>
      <c r="FQ177" s="675">
        <f t="shared" si="6400"/>
        <v>0</v>
      </c>
      <c r="FR177" s="549">
        <f t="shared" ref="FR177:FS177" si="6401">FR331+FR510</f>
        <v>0</v>
      </c>
      <c r="FS177" s="675">
        <f t="shared" si="6401"/>
        <v>0</v>
      </c>
      <c r="FT177" s="549">
        <f t="shared" ref="FT177:FU177" si="6402">FT331+FT510</f>
        <v>0</v>
      </c>
      <c r="FU177" s="675">
        <f t="shared" si="6402"/>
        <v>0</v>
      </c>
      <c r="FV177" s="549">
        <f t="shared" ref="FV177:GK177" si="6403">FV331+FV510</f>
        <v>0</v>
      </c>
      <c r="FW177" s="675">
        <f t="shared" si="6403"/>
        <v>0</v>
      </c>
      <c r="FX177" s="549">
        <f t="shared" si="6403"/>
        <v>0</v>
      </c>
      <c r="FY177" s="675">
        <f t="shared" si="6403"/>
        <v>0</v>
      </c>
      <c r="FZ177" s="549">
        <f t="shared" ref="FZ177:GI177" si="6404">FZ331+FZ510</f>
        <v>0</v>
      </c>
      <c r="GA177" s="675">
        <f t="shared" si="6404"/>
        <v>0</v>
      </c>
      <c r="GB177" s="549">
        <f t="shared" si="6404"/>
        <v>0</v>
      </c>
      <c r="GC177" s="675">
        <f t="shared" si="6404"/>
        <v>0</v>
      </c>
      <c r="GD177" s="549">
        <f t="shared" si="6404"/>
        <v>0</v>
      </c>
      <c r="GE177" s="675">
        <f t="shared" si="6404"/>
        <v>0</v>
      </c>
      <c r="GF177" s="549">
        <f t="shared" si="6404"/>
        <v>0</v>
      </c>
      <c r="GG177" s="675">
        <f t="shared" si="6404"/>
        <v>0</v>
      </c>
      <c r="GH177" s="549">
        <f t="shared" si="6404"/>
        <v>0</v>
      </c>
      <c r="GI177" s="675">
        <f t="shared" si="6404"/>
        <v>0</v>
      </c>
      <c r="GJ177" s="549">
        <f t="shared" si="6403"/>
        <v>0</v>
      </c>
      <c r="GK177" s="675">
        <f t="shared" si="6403"/>
        <v>0</v>
      </c>
      <c r="GL177" s="549">
        <f t="shared" ref="GL177:GQ177" si="6405">GL331+GL510</f>
        <v>0</v>
      </c>
      <c r="GM177" s="675">
        <f t="shared" si="6405"/>
        <v>0</v>
      </c>
      <c r="GN177" s="549">
        <f t="shared" ref="GN177:GO177" si="6406">GN331+GN510</f>
        <v>0</v>
      </c>
      <c r="GO177" s="675">
        <f t="shared" si="6406"/>
        <v>0</v>
      </c>
      <c r="GP177" s="74">
        <f t="shared" si="6405"/>
        <v>125500</v>
      </c>
      <c r="GQ177" s="675">
        <f t="shared" si="6405"/>
        <v>-9785</v>
      </c>
      <c r="GR177" s="74">
        <f t="shared" ref="GR177:HJ177" si="6407">GR331+GR510</f>
        <v>125715</v>
      </c>
      <c r="GS177" s="74">
        <f t="shared" si="6407"/>
        <v>125715</v>
      </c>
      <c r="GT177" s="549">
        <f t="shared" si="6407"/>
        <v>125715</v>
      </c>
      <c r="GU177" s="74">
        <f t="shared" si="6407"/>
        <v>0</v>
      </c>
      <c r="GV177" s="74">
        <f t="shared" si="6407"/>
        <v>5000</v>
      </c>
      <c r="GW177" s="549">
        <f t="shared" si="6407"/>
        <v>0</v>
      </c>
      <c r="GX177" s="549">
        <f t="shared" si="6407"/>
        <v>5000</v>
      </c>
      <c r="GY177" s="74">
        <f t="shared" si="6407"/>
        <v>0</v>
      </c>
      <c r="GZ177" s="74">
        <f t="shared" si="6407"/>
        <v>0</v>
      </c>
      <c r="HA177" s="74">
        <f t="shared" si="6407"/>
        <v>0</v>
      </c>
      <c r="HB177" s="74">
        <f t="shared" si="6407"/>
        <v>0</v>
      </c>
      <c r="HC177" s="74">
        <f t="shared" si="6407"/>
        <v>0</v>
      </c>
      <c r="HD177" s="74">
        <f t="shared" si="6407"/>
        <v>0</v>
      </c>
      <c r="HE177" s="74">
        <f t="shared" si="6407"/>
        <v>0</v>
      </c>
      <c r="HF177" s="74">
        <f t="shared" si="6407"/>
        <v>0</v>
      </c>
      <c r="HG177" s="74">
        <f t="shared" si="6407"/>
        <v>125715</v>
      </c>
      <c r="HH177" s="74">
        <f t="shared" si="6407"/>
        <v>0</v>
      </c>
      <c r="HI177" s="74">
        <f t="shared" si="6407"/>
        <v>0</v>
      </c>
      <c r="HJ177" s="74">
        <f t="shared" si="6407"/>
        <v>5000</v>
      </c>
      <c r="HK177" s="74">
        <f t="shared" ref="HK177:IP177" si="6408">HK331+HK510</f>
        <v>0</v>
      </c>
      <c r="HL177" s="74">
        <f t="shared" si="6408"/>
        <v>-5000</v>
      </c>
      <c r="HM177" s="74">
        <f t="shared" si="6408"/>
        <v>0</v>
      </c>
      <c r="HN177" s="74">
        <f t="shared" si="6408"/>
        <v>0</v>
      </c>
      <c r="HO177" s="74">
        <f t="shared" si="6408"/>
        <v>0</v>
      </c>
      <c r="HP177" s="74">
        <f t="shared" si="6408"/>
        <v>0</v>
      </c>
      <c r="HQ177" s="74">
        <f t="shared" si="6408"/>
        <v>0</v>
      </c>
      <c r="HR177" s="74">
        <f t="shared" si="6408"/>
        <v>110</v>
      </c>
      <c r="HS177" s="74">
        <f t="shared" si="6408"/>
        <v>0</v>
      </c>
      <c r="HT177" s="74">
        <f t="shared" si="6408"/>
        <v>0</v>
      </c>
      <c r="HU177" s="74">
        <f t="shared" si="6408"/>
        <v>0</v>
      </c>
      <c r="HV177" s="74">
        <f t="shared" si="6408"/>
        <v>105</v>
      </c>
      <c r="HW177" s="74">
        <f t="shared" si="6408"/>
        <v>0</v>
      </c>
      <c r="HX177" s="74">
        <f t="shared" si="6408"/>
        <v>0</v>
      </c>
      <c r="HY177" s="74">
        <f t="shared" si="6408"/>
        <v>0</v>
      </c>
      <c r="HZ177" s="74">
        <f t="shared" si="6408"/>
        <v>500</v>
      </c>
      <c r="IA177" s="74">
        <f t="shared" si="6408"/>
        <v>0</v>
      </c>
      <c r="IB177" s="74">
        <f t="shared" si="6408"/>
        <v>0</v>
      </c>
      <c r="IC177" s="74">
        <f t="shared" si="6408"/>
        <v>0</v>
      </c>
      <c r="ID177" s="74">
        <f t="shared" si="6408"/>
        <v>0</v>
      </c>
      <c r="IE177" s="792">
        <f t="shared" si="6408"/>
        <v>0</v>
      </c>
      <c r="IF177" s="841">
        <f t="shared" si="6408"/>
        <v>290</v>
      </c>
      <c r="IG177" s="263">
        <f t="shared" si="6408"/>
        <v>290</v>
      </c>
      <c r="IH177" s="842">
        <f t="shared" si="6408"/>
        <v>290</v>
      </c>
      <c r="II177" s="155">
        <f t="shared" si="6408"/>
        <v>0</v>
      </c>
      <c r="IJ177" s="74">
        <f t="shared" si="6408"/>
        <v>0</v>
      </c>
      <c r="IK177" s="74">
        <f t="shared" si="6408"/>
        <v>0</v>
      </c>
      <c r="IL177" s="74">
        <f t="shared" si="6408"/>
        <v>0</v>
      </c>
      <c r="IM177" s="74">
        <f t="shared" si="6408"/>
        <v>0</v>
      </c>
      <c r="IN177" s="74">
        <f t="shared" si="6408"/>
        <v>0</v>
      </c>
      <c r="IO177" s="74">
        <f t="shared" si="6408"/>
        <v>0</v>
      </c>
      <c r="IP177" s="74">
        <f t="shared" si="6408"/>
        <v>0</v>
      </c>
      <c r="IQ177" s="74">
        <f t="shared" ref="IQ177:JT177" si="6409">IQ331+IQ510</f>
        <v>0</v>
      </c>
      <c r="IR177" s="74">
        <f t="shared" si="6409"/>
        <v>0</v>
      </c>
      <c r="IS177" s="74">
        <f t="shared" si="6409"/>
        <v>0</v>
      </c>
      <c r="IT177" s="74">
        <f t="shared" si="6409"/>
        <v>0</v>
      </c>
      <c r="IU177" s="74">
        <f t="shared" si="6409"/>
        <v>0</v>
      </c>
      <c r="IV177" s="74">
        <f t="shared" si="6409"/>
        <v>0</v>
      </c>
      <c r="IW177" s="74">
        <f t="shared" si="6409"/>
        <v>0</v>
      </c>
      <c r="IX177" s="74">
        <f t="shared" si="6409"/>
        <v>110</v>
      </c>
      <c r="IY177" s="74">
        <f t="shared" si="6409"/>
        <v>110</v>
      </c>
      <c r="IZ177" s="74">
        <f t="shared" si="6409"/>
        <v>110</v>
      </c>
      <c r="JA177" s="74">
        <f t="shared" si="6409"/>
        <v>0</v>
      </c>
      <c r="JB177" s="74">
        <f t="shared" si="6409"/>
        <v>0</v>
      </c>
      <c r="JC177" s="74">
        <f t="shared" si="6409"/>
        <v>0</v>
      </c>
      <c r="JD177" s="74">
        <f t="shared" si="6409"/>
        <v>105</v>
      </c>
      <c r="JE177" s="74">
        <f t="shared" si="6409"/>
        <v>105</v>
      </c>
      <c r="JF177" s="74">
        <f t="shared" si="6409"/>
        <v>105</v>
      </c>
      <c r="JG177" s="74">
        <f t="shared" si="6409"/>
        <v>0</v>
      </c>
      <c r="JH177" s="74">
        <f t="shared" si="6409"/>
        <v>0</v>
      </c>
      <c r="JI177" s="74">
        <f t="shared" si="6409"/>
        <v>0</v>
      </c>
      <c r="JJ177" s="74">
        <f t="shared" si="6409"/>
        <v>75</v>
      </c>
      <c r="JK177" s="74">
        <f t="shared" si="6409"/>
        <v>75</v>
      </c>
      <c r="JL177" s="74">
        <f t="shared" si="6409"/>
        <v>75</v>
      </c>
      <c r="JM177" s="74">
        <f t="shared" si="6409"/>
        <v>0</v>
      </c>
      <c r="JN177" s="74">
        <f t="shared" si="6409"/>
        <v>0</v>
      </c>
      <c r="JO177" s="74">
        <f t="shared" si="6409"/>
        <v>0</v>
      </c>
      <c r="JP177" s="74">
        <f t="shared" si="6409"/>
        <v>0</v>
      </c>
      <c r="JQ177" s="74">
        <f t="shared" si="6409"/>
        <v>0</v>
      </c>
      <c r="JR177" s="74">
        <f t="shared" si="6409"/>
        <v>0</v>
      </c>
      <c r="JS177" s="74">
        <f t="shared" si="6409"/>
        <v>125425</v>
      </c>
      <c r="JT177" s="102">
        <f t="shared" si="6409"/>
        <v>125425</v>
      </c>
      <c r="JU177" s="671"/>
      <c r="JV177" s="492"/>
      <c r="JW177" s="490"/>
      <c r="JX177" s="549">
        <f>JX331+JX510</f>
        <v>715</v>
      </c>
      <c r="JY177" s="549">
        <f>JY331+JY510</f>
        <v>0</v>
      </c>
      <c r="JZ177" s="581">
        <f t="shared" si="4944"/>
        <v>125500</v>
      </c>
      <c r="KA177" s="581">
        <f t="shared" si="4945"/>
        <v>-9785</v>
      </c>
      <c r="KB177" s="549">
        <f>KB331+KB510</f>
        <v>125715</v>
      </c>
      <c r="KC177" s="709">
        <f t="shared" si="4908"/>
        <v>0</v>
      </c>
      <c r="KD177" s="36"/>
      <c r="KE177" s="36"/>
      <c r="KF177" s="36"/>
      <c r="KG177" s="36"/>
      <c r="KH177" s="36"/>
      <c r="KI177" s="36"/>
      <c r="KJ177" s="36"/>
      <c r="KK177" s="36"/>
    </row>
    <row r="178" spans="1:297" s="8" customFormat="1">
      <c r="A178" s="75"/>
      <c r="B178" s="72"/>
      <c r="C178" s="74"/>
      <c r="D178" s="549"/>
      <c r="E178" s="675"/>
      <c r="F178" s="549"/>
      <c r="G178" s="675"/>
      <c r="H178" s="549"/>
      <c r="I178" s="675"/>
      <c r="J178" s="549"/>
      <c r="K178" s="675"/>
      <c r="L178" s="549"/>
      <c r="M178" s="675"/>
      <c r="N178" s="549"/>
      <c r="O178" s="675"/>
      <c r="P178" s="549"/>
      <c r="Q178" s="675"/>
      <c r="R178" s="549"/>
      <c r="S178" s="675"/>
      <c r="T178" s="549"/>
      <c r="U178" s="675"/>
      <c r="V178" s="549"/>
      <c r="W178" s="675"/>
      <c r="X178" s="549"/>
      <c r="Y178" s="675"/>
      <c r="Z178" s="549"/>
      <c r="AA178" s="675"/>
      <c r="AB178" s="549"/>
      <c r="AC178" s="675"/>
      <c r="AD178" s="549"/>
      <c r="AE178" s="675"/>
      <c r="AF178" s="549"/>
      <c r="AG178" s="675"/>
      <c r="AH178" s="549"/>
      <c r="AI178" s="675"/>
      <c r="AJ178" s="549"/>
      <c r="AK178" s="675"/>
      <c r="AL178" s="549"/>
      <c r="AM178" s="675"/>
      <c r="AN178" s="549"/>
      <c r="AO178" s="675"/>
      <c r="AP178" s="549"/>
      <c r="AQ178" s="675"/>
      <c r="AR178" s="549"/>
      <c r="AS178" s="675"/>
      <c r="AT178" s="549"/>
      <c r="AU178" s="675"/>
      <c r="AV178" s="549"/>
      <c r="AW178" s="675"/>
      <c r="AX178" s="549"/>
      <c r="AY178" s="675"/>
      <c r="AZ178" s="549"/>
      <c r="BA178" s="675"/>
      <c r="BB178" s="549"/>
      <c r="BC178" s="675"/>
      <c r="BD178" s="549"/>
      <c r="BE178" s="675"/>
      <c r="BF178" s="549"/>
      <c r="BG178" s="675"/>
      <c r="BH178" s="549"/>
      <c r="BI178" s="675"/>
      <c r="BJ178" s="549"/>
      <c r="BK178" s="675"/>
      <c r="BL178" s="549"/>
      <c r="BM178" s="675"/>
      <c r="BN178" s="549"/>
      <c r="BO178" s="675"/>
      <c r="BP178" s="549"/>
      <c r="BQ178" s="675"/>
      <c r="BR178" s="549"/>
      <c r="BS178" s="675"/>
      <c r="BT178" s="549"/>
      <c r="BU178" s="675"/>
      <c r="BV178" s="549"/>
      <c r="BW178" s="675"/>
      <c r="BX178" s="549"/>
      <c r="BY178" s="675"/>
      <c r="BZ178" s="549"/>
      <c r="CA178" s="675"/>
      <c r="CB178" s="549"/>
      <c r="CC178" s="675"/>
      <c r="CD178" s="549"/>
      <c r="CE178" s="675"/>
      <c r="CF178" s="549"/>
      <c r="CG178" s="675"/>
      <c r="CH178" s="549"/>
      <c r="CI178" s="675"/>
      <c r="CJ178" s="549"/>
      <c r="CK178" s="675"/>
      <c r="CL178" s="549"/>
      <c r="CM178" s="675"/>
      <c r="CN178" s="549"/>
      <c r="CO178" s="675"/>
      <c r="CP178" s="549"/>
      <c r="CQ178" s="675"/>
      <c r="CR178" s="549"/>
      <c r="CS178" s="675"/>
      <c r="CT178" s="549"/>
      <c r="CU178" s="675"/>
      <c r="CV178" s="549"/>
      <c r="CW178" s="675"/>
      <c r="CX178" s="549"/>
      <c r="CY178" s="675"/>
      <c r="CZ178" s="549"/>
      <c r="DA178" s="675"/>
      <c r="DB178" s="549"/>
      <c r="DC178" s="675"/>
      <c r="DD178" s="549"/>
      <c r="DE178" s="675"/>
      <c r="DF178" s="549"/>
      <c r="DG178" s="675"/>
      <c r="DH178" s="549"/>
      <c r="DI178" s="675"/>
      <c r="DJ178" s="549"/>
      <c r="DK178" s="675"/>
      <c r="DL178" s="549"/>
      <c r="DM178" s="675"/>
      <c r="DN178" s="549"/>
      <c r="DO178" s="675"/>
      <c r="DP178" s="549"/>
      <c r="DQ178" s="675"/>
      <c r="DR178" s="549"/>
      <c r="DS178" s="675"/>
      <c r="DT178" s="549"/>
      <c r="DU178" s="675"/>
      <c r="DV178" s="549"/>
      <c r="DW178" s="675"/>
      <c r="DX178" s="549"/>
      <c r="DY178" s="675"/>
      <c r="DZ178" s="549"/>
      <c r="EA178" s="675"/>
      <c r="EB178" s="549"/>
      <c r="EC178" s="675"/>
      <c r="ED178" s="549"/>
      <c r="EE178" s="675"/>
      <c r="EF178" s="549"/>
      <c r="EG178" s="675"/>
      <c r="EH178" s="549"/>
      <c r="EI178" s="675"/>
      <c r="EJ178" s="549"/>
      <c r="EK178" s="675"/>
      <c r="EL178" s="549"/>
      <c r="EM178" s="675"/>
      <c r="EN178" s="549"/>
      <c r="EO178" s="675"/>
      <c r="EP178" s="549"/>
      <c r="EQ178" s="675"/>
      <c r="ER178" s="549"/>
      <c r="ES178" s="675"/>
      <c r="ET178" s="549"/>
      <c r="EU178" s="675"/>
      <c r="EV178" s="549"/>
      <c r="EW178" s="675"/>
      <c r="EX178" s="549"/>
      <c r="EY178" s="675"/>
      <c r="EZ178" s="549"/>
      <c r="FA178" s="675"/>
      <c r="FB178" s="549"/>
      <c r="FC178" s="675"/>
      <c r="FD178" s="549"/>
      <c r="FE178" s="675"/>
      <c r="FF178" s="549"/>
      <c r="FG178" s="675"/>
      <c r="FH178" s="549"/>
      <c r="FI178" s="675"/>
      <c r="FJ178" s="549"/>
      <c r="FK178" s="675"/>
      <c r="FL178" s="549"/>
      <c r="FM178" s="675"/>
      <c r="FN178" s="549"/>
      <c r="FO178" s="675"/>
      <c r="FP178" s="549"/>
      <c r="FQ178" s="675"/>
      <c r="FR178" s="549"/>
      <c r="FS178" s="675"/>
      <c r="FT178" s="549"/>
      <c r="FU178" s="675"/>
      <c r="FV178" s="549"/>
      <c r="FW178" s="675"/>
      <c r="FX178" s="549"/>
      <c r="FY178" s="675"/>
      <c r="FZ178" s="549"/>
      <c r="GA178" s="675"/>
      <c r="GB178" s="549"/>
      <c r="GC178" s="675"/>
      <c r="GD178" s="549"/>
      <c r="GE178" s="675"/>
      <c r="GF178" s="549"/>
      <c r="GG178" s="675"/>
      <c r="GH178" s="549"/>
      <c r="GI178" s="675"/>
      <c r="GJ178" s="549"/>
      <c r="GK178" s="675"/>
      <c r="GL178" s="549"/>
      <c r="GM178" s="675"/>
      <c r="GN178" s="549"/>
      <c r="GO178" s="675"/>
      <c r="GP178" s="74"/>
      <c r="GQ178" s="675"/>
      <c r="GR178" s="74"/>
      <c r="GS178" s="74"/>
      <c r="GT178" s="549"/>
      <c r="GU178" s="74"/>
      <c r="GV178" s="74"/>
      <c r="GW178" s="549"/>
      <c r="GX178" s="549"/>
      <c r="GY178" s="74"/>
      <c r="GZ178" s="74"/>
      <c r="HA178" s="74"/>
      <c r="HB178" s="74"/>
      <c r="HC178" s="74"/>
      <c r="HD178" s="74"/>
      <c r="HE178" s="74"/>
      <c r="HF178" s="74"/>
      <c r="HG178" s="74"/>
      <c r="HH178" s="74"/>
      <c r="HI178" s="74"/>
      <c r="HJ178" s="74"/>
      <c r="HK178" s="74"/>
      <c r="HL178" s="74"/>
      <c r="HM178" s="74"/>
      <c r="HN178" s="74"/>
      <c r="HO178" s="74"/>
      <c r="HP178" s="74"/>
      <c r="HQ178" s="74"/>
      <c r="HR178" s="74"/>
      <c r="HS178" s="74"/>
      <c r="HT178" s="74"/>
      <c r="HU178" s="74"/>
      <c r="HV178" s="74"/>
      <c r="HW178" s="74"/>
      <c r="HX178" s="74"/>
      <c r="HY178" s="74"/>
      <c r="HZ178" s="74"/>
      <c r="IA178" s="74"/>
      <c r="IB178" s="74"/>
      <c r="IC178" s="74"/>
      <c r="ID178" s="74"/>
      <c r="IE178" s="792"/>
      <c r="IF178" s="841"/>
      <c r="IG178" s="263"/>
      <c r="IH178" s="842"/>
      <c r="II178" s="155"/>
      <c r="IJ178" s="74"/>
      <c r="IK178" s="74"/>
      <c r="IL178" s="74"/>
      <c r="IM178" s="74"/>
      <c r="IN178" s="74"/>
      <c r="IO178" s="74"/>
      <c r="IP178" s="74"/>
      <c r="IQ178" s="74"/>
      <c r="IR178" s="74"/>
      <c r="IS178" s="74"/>
      <c r="IT178" s="74"/>
      <c r="IU178" s="74"/>
      <c r="IV178" s="74"/>
      <c r="IW178" s="74"/>
      <c r="IX178" s="74"/>
      <c r="IY178" s="74"/>
      <c r="IZ178" s="74"/>
      <c r="JA178" s="74"/>
      <c r="JB178" s="74"/>
      <c r="JC178" s="74"/>
      <c r="JD178" s="74"/>
      <c r="JE178" s="74"/>
      <c r="JF178" s="74"/>
      <c r="JG178" s="74"/>
      <c r="JH178" s="74"/>
      <c r="JI178" s="74"/>
      <c r="JJ178" s="74"/>
      <c r="JK178" s="74"/>
      <c r="JL178" s="74"/>
      <c r="JM178" s="74"/>
      <c r="JN178" s="74"/>
      <c r="JO178" s="74"/>
      <c r="JP178" s="74"/>
      <c r="JQ178" s="74"/>
      <c r="JR178" s="74"/>
      <c r="JS178" s="74"/>
      <c r="JT178" s="382"/>
      <c r="JU178" s="670"/>
      <c r="JV178" s="489"/>
      <c r="JW178" s="529"/>
      <c r="JX178" s="549"/>
      <c r="JY178" s="549"/>
      <c r="JZ178" s="581">
        <f t="shared" si="4944"/>
        <v>0</v>
      </c>
      <c r="KA178" s="581">
        <f t="shared" si="4945"/>
        <v>0</v>
      </c>
      <c r="KB178" s="549"/>
      <c r="KC178" s="709">
        <f t="shared" si="4908"/>
        <v>0</v>
      </c>
      <c r="KD178" s="36"/>
      <c r="KE178" s="36"/>
      <c r="KF178" s="36"/>
      <c r="KG178" s="36"/>
      <c r="KH178" s="36"/>
      <c r="KI178" s="36"/>
      <c r="KJ178" s="36"/>
      <c r="KK178" s="36"/>
    </row>
    <row r="179" spans="1:297" s="8" customFormat="1" ht="12.75" hidden="1" customHeight="1">
      <c r="A179" s="75" t="s">
        <v>505</v>
      </c>
      <c r="B179" s="72"/>
      <c r="C179" s="74">
        <f>SUM(C180)</f>
        <v>99000</v>
      </c>
      <c r="D179" s="549">
        <f t="shared" ref="D179:E179" si="6410">SUM(D180)</f>
        <v>0</v>
      </c>
      <c r="E179" s="675">
        <f t="shared" si="6410"/>
        <v>0</v>
      </c>
      <c r="F179" s="549">
        <f t="shared" ref="F179:G179" si="6411">SUM(F180)</f>
        <v>0</v>
      </c>
      <c r="G179" s="675">
        <f t="shared" si="6411"/>
        <v>0</v>
      </c>
      <c r="H179" s="549">
        <f t="shared" ref="H179:I179" si="6412">SUM(H180)</f>
        <v>0</v>
      </c>
      <c r="I179" s="675">
        <f t="shared" si="6412"/>
        <v>0</v>
      </c>
      <c r="J179" s="549">
        <f t="shared" ref="J179:K179" si="6413">SUM(J180)</f>
        <v>0</v>
      </c>
      <c r="K179" s="675">
        <f t="shared" si="6413"/>
        <v>0</v>
      </c>
      <c r="L179" s="549">
        <f t="shared" ref="L179:M179" si="6414">SUM(L180)</f>
        <v>0</v>
      </c>
      <c r="M179" s="675">
        <f t="shared" si="6414"/>
        <v>0</v>
      </c>
      <c r="N179" s="549">
        <f t="shared" ref="N179:O179" si="6415">SUM(N180)</f>
        <v>0</v>
      </c>
      <c r="O179" s="675">
        <f t="shared" si="6415"/>
        <v>0</v>
      </c>
      <c r="P179" s="549">
        <f t="shared" ref="P179:Q179" si="6416">SUM(P180)</f>
        <v>0</v>
      </c>
      <c r="Q179" s="675">
        <f t="shared" si="6416"/>
        <v>0</v>
      </c>
      <c r="R179" s="549">
        <f t="shared" ref="R179:S179" si="6417">SUM(R180)</f>
        <v>0</v>
      </c>
      <c r="S179" s="675">
        <f t="shared" si="6417"/>
        <v>0</v>
      </c>
      <c r="T179" s="549">
        <f t="shared" ref="T179:JO179" si="6418">SUM(T180)</f>
        <v>0</v>
      </c>
      <c r="U179" s="675">
        <f t="shared" ref="U179" si="6419">SUM(U180)</f>
        <v>0</v>
      </c>
      <c r="V179" s="549">
        <f t="shared" si="6418"/>
        <v>0</v>
      </c>
      <c r="W179" s="675">
        <f t="shared" si="6418"/>
        <v>0</v>
      </c>
      <c r="X179" s="549">
        <f t="shared" si="6418"/>
        <v>0</v>
      </c>
      <c r="Y179" s="675">
        <f t="shared" si="6418"/>
        <v>0</v>
      </c>
      <c r="Z179" s="549">
        <f t="shared" si="6418"/>
        <v>0</v>
      </c>
      <c r="AA179" s="675">
        <f t="shared" si="6418"/>
        <v>0</v>
      </c>
      <c r="AB179" s="549">
        <f t="shared" si="6418"/>
        <v>0</v>
      </c>
      <c r="AC179" s="675">
        <f t="shared" si="6418"/>
        <v>0</v>
      </c>
      <c r="AD179" s="549">
        <f t="shared" si="6418"/>
        <v>0</v>
      </c>
      <c r="AE179" s="675">
        <f t="shared" si="6418"/>
        <v>0</v>
      </c>
      <c r="AF179" s="549">
        <f t="shared" si="6418"/>
        <v>0</v>
      </c>
      <c r="AG179" s="675">
        <f t="shared" si="6418"/>
        <v>0</v>
      </c>
      <c r="AH179" s="549">
        <f t="shared" si="6418"/>
        <v>0</v>
      </c>
      <c r="AI179" s="675">
        <f t="shared" si="6418"/>
        <v>-50000</v>
      </c>
      <c r="AJ179" s="549">
        <f t="shared" si="6418"/>
        <v>0</v>
      </c>
      <c r="AK179" s="675">
        <f t="shared" si="6418"/>
        <v>0</v>
      </c>
      <c r="AL179" s="549">
        <f t="shared" si="6418"/>
        <v>0</v>
      </c>
      <c r="AM179" s="675">
        <f t="shared" si="6418"/>
        <v>0</v>
      </c>
      <c r="AN179" s="549">
        <f t="shared" si="6418"/>
        <v>0</v>
      </c>
      <c r="AO179" s="675">
        <f t="shared" si="6418"/>
        <v>0</v>
      </c>
      <c r="AP179" s="549">
        <f t="shared" si="6418"/>
        <v>0</v>
      </c>
      <c r="AQ179" s="675">
        <f t="shared" si="6418"/>
        <v>0</v>
      </c>
      <c r="AR179" s="549">
        <f t="shared" si="6418"/>
        <v>0</v>
      </c>
      <c r="AS179" s="675">
        <f t="shared" si="6418"/>
        <v>0</v>
      </c>
      <c r="AT179" s="549">
        <f t="shared" si="6418"/>
        <v>0</v>
      </c>
      <c r="AU179" s="675">
        <f t="shared" si="6418"/>
        <v>0</v>
      </c>
      <c r="AV179" s="549">
        <f t="shared" si="6418"/>
        <v>0</v>
      </c>
      <c r="AW179" s="675">
        <f t="shared" si="6418"/>
        <v>0</v>
      </c>
      <c r="AX179" s="549">
        <f t="shared" si="6418"/>
        <v>0</v>
      </c>
      <c r="AY179" s="675">
        <f t="shared" si="6418"/>
        <v>0</v>
      </c>
      <c r="AZ179" s="549">
        <f t="shared" si="6418"/>
        <v>0</v>
      </c>
      <c r="BA179" s="675">
        <f t="shared" si="6418"/>
        <v>0</v>
      </c>
      <c r="BB179" s="549">
        <f t="shared" si="6418"/>
        <v>0</v>
      </c>
      <c r="BC179" s="675">
        <f t="shared" si="6418"/>
        <v>0</v>
      </c>
      <c r="BD179" s="549">
        <f t="shared" si="6418"/>
        <v>0</v>
      </c>
      <c r="BE179" s="675">
        <f t="shared" si="6418"/>
        <v>0</v>
      </c>
      <c r="BF179" s="549">
        <f t="shared" si="6418"/>
        <v>0</v>
      </c>
      <c r="BG179" s="675">
        <f t="shared" si="6418"/>
        <v>-39000</v>
      </c>
      <c r="BH179" s="549">
        <f t="shared" si="6418"/>
        <v>0</v>
      </c>
      <c r="BI179" s="675">
        <f t="shared" si="6418"/>
        <v>-10000</v>
      </c>
      <c r="BJ179" s="549">
        <f t="shared" si="6418"/>
        <v>0</v>
      </c>
      <c r="BK179" s="675">
        <f t="shared" si="6418"/>
        <v>0</v>
      </c>
      <c r="BL179" s="549">
        <f t="shared" si="6418"/>
        <v>0</v>
      </c>
      <c r="BM179" s="675">
        <f t="shared" si="6418"/>
        <v>0</v>
      </c>
      <c r="BN179" s="549">
        <f t="shared" si="6418"/>
        <v>0</v>
      </c>
      <c r="BO179" s="675">
        <f t="shared" si="6418"/>
        <v>0</v>
      </c>
      <c r="BP179" s="549">
        <f t="shared" si="6418"/>
        <v>0</v>
      </c>
      <c r="BQ179" s="675">
        <f t="shared" si="6418"/>
        <v>0</v>
      </c>
      <c r="BR179" s="549">
        <f t="shared" si="6418"/>
        <v>0</v>
      </c>
      <c r="BS179" s="675">
        <f t="shared" si="6418"/>
        <v>0</v>
      </c>
      <c r="BT179" s="549">
        <f t="shared" si="6418"/>
        <v>0</v>
      </c>
      <c r="BU179" s="675">
        <f t="shared" si="6418"/>
        <v>0</v>
      </c>
      <c r="BV179" s="549">
        <f t="shared" si="6418"/>
        <v>0</v>
      </c>
      <c r="BW179" s="675">
        <f t="shared" si="6418"/>
        <v>0</v>
      </c>
      <c r="BX179" s="549">
        <f t="shared" si="6418"/>
        <v>0</v>
      </c>
      <c r="BY179" s="675">
        <f t="shared" si="6418"/>
        <v>0</v>
      </c>
      <c r="BZ179" s="549">
        <f t="shared" si="6418"/>
        <v>0</v>
      </c>
      <c r="CA179" s="675">
        <f t="shared" si="6418"/>
        <v>0</v>
      </c>
      <c r="CB179" s="549">
        <f t="shared" si="6418"/>
        <v>0</v>
      </c>
      <c r="CC179" s="675">
        <f t="shared" si="6418"/>
        <v>0</v>
      </c>
      <c r="CD179" s="549">
        <f t="shared" si="6418"/>
        <v>0</v>
      </c>
      <c r="CE179" s="675">
        <f t="shared" si="6418"/>
        <v>0</v>
      </c>
      <c r="CF179" s="549">
        <f t="shared" si="6418"/>
        <v>0</v>
      </c>
      <c r="CG179" s="675">
        <f t="shared" si="6418"/>
        <v>0</v>
      </c>
      <c r="CH179" s="549">
        <f t="shared" si="6418"/>
        <v>0</v>
      </c>
      <c r="CI179" s="675">
        <f t="shared" si="6418"/>
        <v>0</v>
      </c>
      <c r="CJ179" s="549">
        <f t="shared" si="6418"/>
        <v>0</v>
      </c>
      <c r="CK179" s="675">
        <f t="shared" si="6418"/>
        <v>0</v>
      </c>
      <c r="CL179" s="549">
        <f t="shared" si="6418"/>
        <v>0</v>
      </c>
      <c r="CM179" s="675">
        <f t="shared" si="6418"/>
        <v>0</v>
      </c>
      <c r="CN179" s="549">
        <f t="shared" si="6418"/>
        <v>0</v>
      </c>
      <c r="CO179" s="675">
        <f t="shared" si="6418"/>
        <v>0</v>
      </c>
      <c r="CP179" s="549">
        <f t="shared" si="6418"/>
        <v>0</v>
      </c>
      <c r="CQ179" s="675">
        <f t="shared" si="6418"/>
        <v>0</v>
      </c>
      <c r="CR179" s="549">
        <f t="shared" si="6418"/>
        <v>0</v>
      </c>
      <c r="CS179" s="675">
        <f t="shared" si="6418"/>
        <v>0</v>
      </c>
      <c r="CT179" s="549">
        <f t="shared" si="6418"/>
        <v>0</v>
      </c>
      <c r="CU179" s="675">
        <f t="shared" si="6418"/>
        <v>0</v>
      </c>
      <c r="CV179" s="549">
        <f t="shared" si="6418"/>
        <v>0</v>
      </c>
      <c r="CW179" s="675">
        <f t="shared" si="6418"/>
        <v>0</v>
      </c>
      <c r="CX179" s="549">
        <f t="shared" si="6418"/>
        <v>0</v>
      </c>
      <c r="CY179" s="675">
        <f t="shared" si="6418"/>
        <v>0</v>
      </c>
      <c r="CZ179" s="549">
        <f t="shared" si="6418"/>
        <v>0</v>
      </c>
      <c r="DA179" s="675">
        <f t="shared" si="6418"/>
        <v>0</v>
      </c>
      <c r="DB179" s="549">
        <f t="shared" si="6418"/>
        <v>0</v>
      </c>
      <c r="DC179" s="675">
        <f t="shared" si="6418"/>
        <v>0</v>
      </c>
      <c r="DD179" s="549">
        <f t="shared" si="6418"/>
        <v>0</v>
      </c>
      <c r="DE179" s="675">
        <f t="shared" si="6418"/>
        <v>0</v>
      </c>
      <c r="DF179" s="549">
        <f t="shared" si="6418"/>
        <v>0</v>
      </c>
      <c r="DG179" s="675">
        <f t="shared" si="6418"/>
        <v>0</v>
      </c>
      <c r="DH179" s="549">
        <f t="shared" si="6418"/>
        <v>0</v>
      </c>
      <c r="DI179" s="675">
        <f t="shared" si="6418"/>
        <v>0</v>
      </c>
      <c r="DJ179" s="549">
        <f t="shared" si="6418"/>
        <v>0</v>
      </c>
      <c r="DK179" s="675">
        <f t="shared" si="6418"/>
        <v>0</v>
      </c>
      <c r="DL179" s="549">
        <f t="shared" si="6418"/>
        <v>0</v>
      </c>
      <c r="DM179" s="675">
        <f t="shared" si="6418"/>
        <v>0</v>
      </c>
      <c r="DN179" s="549">
        <f t="shared" si="6418"/>
        <v>0</v>
      </c>
      <c r="DO179" s="675">
        <f t="shared" si="6418"/>
        <v>0</v>
      </c>
      <c r="DP179" s="549">
        <f t="shared" si="6418"/>
        <v>0</v>
      </c>
      <c r="DQ179" s="675">
        <f t="shared" si="6418"/>
        <v>0</v>
      </c>
      <c r="DR179" s="549">
        <f t="shared" si="6418"/>
        <v>0</v>
      </c>
      <c r="DS179" s="675">
        <f t="shared" si="6418"/>
        <v>0</v>
      </c>
      <c r="DT179" s="549">
        <f t="shared" si="6418"/>
        <v>0</v>
      </c>
      <c r="DU179" s="675">
        <f t="shared" si="6418"/>
        <v>0</v>
      </c>
      <c r="DV179" s="549">
        <f t="shared" si="6418"/>
        <v>0</v>
      </c>
      <c r="DW179" s="675">
        <f t="shared" si="6418"/>
        <v>0</v>
      </c>
      <c r="DX179" s="549">
        <f t="shared" si="6418"/>
        <v>0</v>
      </c>
      <c r="DY179" s="675">
        <f t="shared" si="6418"/>
        <v>0</v>
      </c>
      <c r="DZ179" s="549">
        <f t="shared" si="6418"/>
        <v>0</v>
      </c>
      <c r="EA179" s="675">
        <f t="shared" si="6418"/>
        <v>0</v>
      </c>
      <c r="EB179" s="549">
        <f t="shared" si="6418"/>
        <v>0</v>
      </c>
      <c r="EC179" s="675">
        <f t="shared" si="6418"/>
        <v>0</v>
      </c>
      <c r="ED179" s="549">
        <f t="shared" si="6418"/>
        <v>0</v>
      </c>
      <c r="EE179" s="675">
        <f t="shared" si="6418"/>
        <v>0</v>
      </c>
      <c r="EF179" s="549">
        <f t="shared" si="6418"/>
        <v>0</v>
      </c>
      <c r="EG179" s="675">
        <f t="shared" si="6418"/>
        <v>0</v>
      </c>
      <c r="EH179" s="549">
        <f t="shared" si="6418"/>
        <v>0</v>
      </c>
      <c r="EI179" s="675">
        <f t="shared" si="6418"/>
        <v>0</v>
      </c>
      <c r="EJ179" s="549">
        <f t="shared" si="6418"/>
        <v>0</v>
      </c>
      <c r="EK179" s="675">
        <f t="shared" si="6418"/>
        <v>0</v>
      </c>
      <c r="EL179" s="549">
        <f t="shared" si="6418"/>
        <v>0</v>
      </c>
      <c r="EM179" s="675">
        <f t="shared" si="6418"/>
        <v>0</v>
      </c>
      <c r="EN179" s="549">
        <f t="shared" si="6418"/>
        <v>0</v>
      </c>
      <c r="EO179" s="675">
        <f t="shared" si="6418"/>
        <v>0</v>
      </c>
      <c r="EP179" s="549">
        <f t="shared" si="6418"/>
        <v>0</v>
      </c>
      <c r="EQ179" s="675">
        <f t="shared" si="6418"/>
        <v>0</v>
      </c>
      <c r="ER179" s="549">
        <f t="shared" si="6418"/>
        <v>0</v>
      </c>
      <c r="ES179" s="675">
        <f t="shared" si="6418"/>
        <v>0</v>
      </c>
      <c r="ET179" s="549">
        <f t="shared" si="6418"/>
        <v>0</v>
      </c>
      <c r="EU179" s="675">
        <f t="shared" si="6418"/>
        <v>0</v>
      </c>
      <c r="EV179" s="549">
        <f t="shared" si="6418"/>
        <v>0</v>
      </c>
      <c r="EW179" s="675">
        <f t="shared" si="6418"/>
        <v>0</v>
      </c>
      <c r="EX179" s="549">
        <f t="shared" si="6418"/>
        <v>0</v>
      </c>
      <c r="EY179" s="675">
        <f t="shared" si="6418"/>
        <v>0</v>
      </c>
      <c r="EZ179" s="549">
        <f t="shared" si="6418"/>
        <v>0</v>
      </c>
      <c r="FA179" s="675">
        <f t="shared" si="6418"/>
        <v>0</v>
      </c>
      <c r="FB179" s="549">
        <f t="shared" si="6418"/>
        <v>0</v>
      </c>
      <c r="FC179" s="675">
        <f t="shared" si="6418"/>
        <v>0</v>
      </c>
      <c r="FD179" s="549">
        <f t="shared" si="6418"/>
        <v>0</v>
      </c>
      <c r="FE179" s="675">
        <f t="shared" si="6418"/>
        <v>0</v>
      </c>
      <c r="FF179" s="549">
        <f t="shared" si="6418"/>
        <v>0</v>
      </c>
      <c r="FG179" s="675">
        <f t="shared" si="6418"/>
        <v>0</v>
      </c>
      <c r="FH179" s="549">
        <f t="shared" si="6418"/>
        <v>0</v>
      </c>
      <c r="FI179" s="675">
        <f t="shared" si="6418"/>
        <v>0</v>
      </c>
      <c r="FJ179" s="549">
        <f t="shared" si="6418"/>
        <v>0</v>
      </c>
      <c r="FK179" s="675">
        <f t="shared" si="6418"/>
        <v>0</v>
      </c>
      <c r="FL179" s="549">
        <f t="shared" si="6418"/>
        <v>0</v>
      </c>
      <c r="FM179" s="675">
        <f t="shared" si="6418"/>
        <v>0</v>
      </c>
      <c r="FN179" s="549">
        <f t="shared" si="6418"/>
        <v>0</v>
      </c>
      <c r="FO179" s="675">
        <f t="shared" si="6418"/>
        <v>0</v>
      </c>
      <c r="FP179" s="549">
        <f t="shared" si="6418"/>
        <v>0</v>
      </c>
      <c r="FQ179" s="675">
        <f t="shared" si="6418"/>
        <v>0</v>
      </c>
      <c r="FR179" s="549">
        <f t="shared" si="6418"/>
        <v>0</v>
      </c>
      <c r="FS179" s="675">
        <f t="shared" si="6418"/>
        <v>0</v>
      </c>
      <c r="FT179" s="549">
        <f t="shared" si="6418"/>
        <v>0</v>
      </c>
      <c r="FU179" s="675">
        <f t="shared" si="6418"/>
        <v>0</v>
      </c>
      <c r="FV179" s="549">
        <f t="shared" si="6418"/>
        <v>0</v>
      </c>
      <c r="FW179" s="675">
        <f t="shared" si="6418"/>
        <v>0</v>
      </c>
      <c r="FX179" s="549">
        <f t="shared" si="6418"/>
        <v>0</v>
      </c>
      <c r="FY179" s="675">
        <f t="shared" si="6418"/>
        <v>0</v>
      </c>
      <c r="FZ179" s="549">
        <f t="shared" si="6418"/>
        <v>0</v>
      </c>
      <c r="GA179" s="675">
        <f t="shared" si="6418"/>
        <v>0</v>
      </c>
      <c r="GB179" s="549">
        <f t="shared" si="6418"/>
        <v>0</v>
      </c>
      <c r="GC179" s="675">
        <f t="shared" si="6418"/>
        <v>0</v>
      </c>
      <c r="GD179" s="549">
        <f t="shared" si="6418"/>
        <v>0</v>
      </c>
      <c r="GE179" s="675">
        <f t="shared" si="6418"/>
        <v>0</v>
      </c>
      <c r="GF179" s="549">
        <f t="shared" si="6418"/>
        <v>0</v>
      </c>
      <c r="GG179" s="675">
        <f t="shared" si="6418"/>
        <v>0</v>
      </c>
      <c r="GH179" s="549">
        <f t="shared" si="6418"/>
        <v>0</v>
      </c>
      <c r="GI179" s="675">
        <f t="shared" si="6418"/>
        <v>0</v>
      </c>
      <c r="GJ179" s="549">
        <f t="shared" si="6418"/>
        <v>0</v>
      </c>
      <c r="GK179" s="675">
        <f t="shared" si="6418"/>
        <v>0</v>
      </c>
      <c r="GL179" s="549">
        <f t="shared" si="6418"/>
        <v>0</v>
      </c>
      <c r="GM179" s="675">
        <f t="shared" si="6418"/>
        <v>0</v>
      </c>
      <c r="GN179" s="549">
        <f t="shared" si="6418"/>
        <v>0</v>
      </c>
      <c r="GO179" s="675">
        <f t="shared" si="6418"/>
        <v>0</v>
      </c>
      <c r="GP179" s="74">
        <f t="shared" si="6418"/>
        <v>0</v>
      </c>
      <c r="GQ179" s="675">
        <f t="shared" si="6418"/>
        <v>-99000</v>
      </c>
      <c r="GR179" s="74">
        <f t="shared" si="6418"/>
        <v>0</v>
      </c>
      <c r="GS179" s="74">
        <f t="shared" si="6418"/>
        <v>0</v>
      </c>
      <c r="GT179" s="549">
        <f t="shared" si="6418"/>
        <v>0</v>
      </c>
      <c r="GU179" s="74">
        <f t="shared" si="6418"/>
        <v>0</v>
      </c>
      <c r="GV179" s="74">
        <f t="shared" si="6418"/>
        <v>50000</v>
      </c>
      <c r="GW179" s="549">
        <f t="shared" si="6418"/>
        <v>0</v>
      </c>
      <c r="GX179" s="549">
        <f t="shared" si="6418"/>
        <v>49000</v>
      </c>
      <c r="GY179" s="74">
        <f t="shared" si="6418"/>
        <v>0</v>
      </c>
      <c r="GZ179" s="74">
        <f t="shared" si="6418"/>
        <v>0</v>
      </c>
      <c r="HA179" s="74">
        <f t="shared" si="6418"/>
        <v>0</v>
      </c>
      <c r="HB179" s="74">
        <f t="shared" si="6418"/>
        <v>0</v>
      </c>
      <c r="HC179" s="74">
        <f t="shared" si="6418"/>
        <v>0</v>
      </c>
      <c r="HD179" s="74">
        <f t="shared" si="6418"/>
        <v>0</v>
      </c>
      <c r="HE179" s="74">
        <f t="shared" si="6418"/>
        <v>0</v>
      </c>
      <c r="HF179" s="74">
        <f t="shared" si="6418"/>
        <v>0</v>
      </c>
      <c r="HG179" s="74">
        <f t="shared" si="6418"/>
        <v>0</v>
      </c>
      <c r="HH179" s="74">
        <f t="shared" si="6418"/>
        <v>0</v>
      </c>
      <c r="HI179" s="74">
        <f t="shared" si="6418"/>
        <v>0</v>
      </c>
      <c r="HJ179" s="74">
        <f t="shared" si="6418"/>
        <v>0</v>
      </c>
      <c r="HK179" s="74">
        <f t="shared" si="6418"/>
        <v>0</v>
      </c>
      <c r="HL179" s="74">
        <f t="shared" si="6418"/>
        <v>0</v>
      </c>
      <c r="HM179" s="74">
        <f t="shared" si="6418"/>
        <v>0</v>
      </c>
      <c r="HN179" s="74">
        <f t="shared" si="6418"/>
        <v>0</v>
      </c>
      <c r="HO179" s="74">
        <f t="shared" si="6418"/>
        <v>0</v>
      </c>
      <c r="HP179" s="74">
        <f t="shared" si="6418"/>
        <v>0</v>
      </c>
      <c r="HQ179" s="74">
        <f t="shared" si="6418"/>
        <v>0</v>
      </c>
      <c r="HR179" s="74">
        <f t="shared" si="6418"/>
        <v>0</v>
      </c>
      <c r="HS179" s="74">
        <f t="shared" si="6418"/>
        <v>0</v>
      </c>
      <c r="HT179" s="74">
        <f t="shared" si="6418"/>
        <v>0</v>
      </c>
      <c r="HU179" s="74">
        <f t="shared" si="6418"/>
        <v>0</v>
      </c>
      <c r="HV179" s="74">
        <f t="shared" si="6418"/>
        <v>0</v>
      </c>
      <c r="HW179" s="74">
        <f t="shared" si="6418"/>
        <v>0</v>
      </c>
      <c r="HX179" s="74">
        <f t="shared" si="6418"/>
        <v>0</v>
      </c>
      <c r="HY179" s="74">
        <f t="shared" si="6418"/>
        <v>0</v>
      </c>
      <c r="HZ179" s="74">
        <f t="shared" si="6418"/>
        <v>0</v>
      </c>
      <c r="IA179" s="74">
        <f t="shared" si="6418"/>
        <v>0</v>
      </c>
      <c r="IB179" s="74">
        <f t="shared" si="6418"/>
        <v>0</v>
      </c>
      <c r="IC179" s="74">
        <f t="shared" si="6418"/>
        <v>0</v>
      </c>
      <c r="ID179" s="74">
        <f t="shared" si="6418"/>
        <v>0</v>
      </c>
      <c r="IE179" s="792">
        <f t="shared" si="6418"/>
        <v>0</v>
      </c>
      <c r="IF179" s="841">
        <f t="shared" si="6418"/>
        <v>0</v>
      </c>
      <c r="IG179" s="263">
        <f t="shared" si="6418"/>
        <v>0</v>
      </c>
      <c r="IH179" s="842">
        <f t="shared" si="6418"/>
        <v>0</v>
      </c>
      <c r="II179" s="155">
        <f t="shared" si="6418"/>
        <v>0</v>
      </c>
      <c r="IJ179" s="74">
        <f t="shared" si="6418"/>
        <v>0</v>
      </c>
      <c r="IK179" s="74">
        <f t="shared" si="6418"/>
        <v>0</v>
      </c>
      <c r="IL179" s="74">
        <f t="shared" si="6418"/>
        <v>0</v>
      </c>
      <c r="IM179" s="74">
        <f t="shared" si="6418"/>
        <v>0</v>
      </c>
      <c r="IN179" s="74">
        <f t="shared" si="6418"/>
        <v>0</v>
      </c>
      <c r="IO179" s="74">
        <f t="shared" si="6418"/>
        <v>0</v>
      </c>
      <c r="IP179" s="74">
        <f t="shared" si="6418"/>
        <v>0</v>
      </c>
      <c r="IQ179" s="74">
        <f t="shared" si="6418"/>
        <v>0</v>
      </c>
      <c r="IR179" s="74">
        <f t="shared" si="6418"/>
        <v>0</v>
      </c>
      <c r="IS179" s="74">
        <f t="shared" si="6418"/>
        <v>0</v>
      </c>
      <c r="IT179" s="74">
        <f t="shared" si="6418"/>
        <v>0</v>
      </c>
      <c r="IU179" s="74">
        <f t="shared" si="6418"/>
        <v>0</v>
      </c>
      <c r="IV179" s="74">
        <f t="shared" si="6418"/>
        <v>0</v>
      </c>
      <c r="IW179" s="74">
        <f t="shared" si="6418"/>
        <v>0</v>
      </c>
      <c r="IX179" s="74">
        <f t="shared" si="6418"/>
        <v>0</v>
      </c>
      <c r="IY179" s="74">
        <f t="shared" si="6418"/>
        <v>0</v>
      </c>
      <c r="IZ179" s="74">
        <f t="shared" si="6418"/>
        <v>0</v>
      </c>
      <c r="JA179" s="74">
        <f t="shared" si="6418"/>
        <v>0</v>
      </c>
      <c r="JB179" s="74">
        <f t="shared" si="6418"/>
        <v>0</v>
      </c>
      <c r="JC179" s="74">
        <f t="shared" si="6418"/>
        <v>0</v>
      </c>
      <c r="JD179" s="74">
        <f t="shared" si="6418"/>
        <v>0</v>
      </c>
      <c r="JE179" s="74">
        <f t="shared" si="6418"/>
        <v>0</v>
      </c>
      <c r="JF179" s="74">
        <f t="shared" si="6418"/>
        <v>0</v>
      </c>
      <c r="JG179" s="74">
        <f t="shared" si="6418"/>
        <v>0</v>
      </c>
      <c r="JH179" s="74">
        <f t="shared" si="6418"/>
        <v>0</v>
      </c>
      <c r="JI179" s="74">
        <f t="shared" si="6418"/>
        <v>0</v>
      </c>
      <c r="JJ179" s="74">
        <f t="shared" si="6418"/>
        <v>0</v>
      </c>
      <c r="JK179" s="74">
        <f t="shared" si="6418"/>
        <v>0</v>
      </c>
      <c r="JL179" s="74">
        <f t="shared" si="6418"/>
        <v>0</v>
      </c>
      <c r="JM179" s="74">
        <f t="shared" si="6418"/>
        <v>0</v>
      </c>
      <c r="JN179" s="74">
        <f t="shared" si="6418"/>
        <v>0</v>
      </c>
      <c r="JO179" s="74">
        <f t="shared" si="6418"/>
        <v>0</v>
      </c>
      <c r="JP179" s="74">
        <f>SUM(JP180)</f>
        <v>0</v>
      </c>
      <c r="JQ179" s="74">
        <f>SUM(JQ180)</f>
        <v>0</v>
      </c>
      <c r="JR179" s="74">
        <f>SUM(JR180)</f>
        <v>0</v>
      </c>
      <c r="JS179" s="74">
        <f>SUM(JS180)</f>
        <v>0</v>
      </c>
      <c r="JT179" s="382">
        <f>SUM(JT180)</f>
        <v>0</v>
      </c>
      <c r="JU179" s="670"/>
      <c r="JV179" s="489"/>
      <c r="JW179" s="529"/>
      <c r="JX179" s="549">
        <f>SUM(JX180)</f>
        <v>0</v>
      </c>
      <c r="JY179" s="549">
        <f>SUM(JY180)</f>
        <v>0</v>
      </c>
      <c r="JZ179" s="581">
        <f t="shared" si="4944"/>
        <v>0</v>
      </c>
      <c r="KA179" s="581">
        <f t="shared" si="4945"/>
        <v>-99000</v>
      </c>
      <c r="KB179" s="549">
        <f>SUM(KB180)</f>
        <v>0</v>
      </c>
      <c r="KC179" s="709">
        <f t="shared" si="4908"/>
        <v>0</v>
      </c>
      <c r="KD179" s="36"/>
      <c r="KE179" s="36"/>
      <c r="KF179" s="36"/>
      <c r="KG179" s="36"/>
      <c r="KH179" s="36"/>
      <c r="KI179" s="36"/>
      <c r="KJ179" s="36"/>
      <c r="KK179" s="36"/>
    </row>
    <row r="180" spans="1:297" s="8" customFormat="1" ht="12.75" hidden="1" customHeight="1">
      <c r="A180" s="75" t="s">
        <v>506</v>
      </c>
      <c r="B180" s="72"/>
      <c r="C180" s="74">
        <f t="shared" ref="C180:AM180" si="6420">C333+C512</f>
        <v>99000</v>
      </c>
      <c r="D180" s="549">
        <f t="shared" si="6420"/>
        <v>0</v>
      </c>
      <c r="E180" s="675">
        <f t="shared" si="6420"/>
        <v>0</v>
      </c>
      <c r="F180" s="549">
        <f t="shared" si="6420"/>
        <v>0</v>
      </c>
      <c r="G180" s="675">
        <f t="shared" si="6420"/>
        <v>0</v>
      </c>
      <c r="H180" s="549">
        <f t="shared" si="6420"/>
        <v>0</v>
      </c>
      <c r="I180" s="675">
        <f t="shared" si="6420"/>
        <v>0</v>
      </c>
      <c r="J180" s="549">
        <f t="shared" si="6420"/>
        <v>0</v>
      </c>
      <c r="K180" s="675">
        <f t="shared" si="6420"/>
        <v>0</v>
      </c>
      <c r="L180" s="549">
        <f t="shared" si="6420"/>
        <v>0</v>
      </c>
      <c r="M180" s="675">
        <f t="shared" si="6420"/>
        <v>0</v>
      </c>
      <c r="N180" s="549">
        <f t="shared" si="6420"/>
        <v>0</v>
      </c>
      <c r="O180" s="675">
        <f t="shared" si="6420"/>
        <v>0</v>
      </c>
      <c r="P180" s="549">
        <f t="shared" si="6420"/>
        <v>0</v>
      </c>
      <c r="Q180" s="675">
        <f t="shared" si="6420"/>
        <v>0</v>
      </c>
      <c r="R180" s="549">
        <f t="shared" si="6420"/>
        <v>0</v>
      </c>
      <c r="S180" s="675">
        <f t="shared" si="6420"/>
        <v>0</v>
      </c>
      <c r="T180" s="549">
        <f t="shared" si="6420"/>
        <v>0</v>
      </c>
      <c r="U180" s="675">
        <f t="shared" si="6420"/>
        <v>0</v>
      </c>
      <c r="V180" s="549">
        <f t="shared" si="6420"/>
        <v>0</v>
      </c>
      <c r="W180" s="675">
        <f t="shared" si="6420"/>
        <v>0</v>
      </c>
      <c r="X180" s="549">
        <f t="shared" si="6420"/>
        <v>0</v>
      </c>
      <c r="Y180" s="675">
        <f t="shared" si="6420"/>
        <v>0</v>
      </c>
      <c r="Z180" s="549">
        <f t="shared" si="6420"/>
        <v>0</v>
      </c>
      <c r="AA180" s="675">
        <f t="shared" si="6420"/>
        <v>0</v>
      </c>
      <c r="AB180" s="549">
        <f t="shared" si="6420"/>
        <v>0</v>
      </c>
      <c r="AC180" s="675">
        <f t="shared" si="6420"/>
        <v>0</v>
      </c>
      <c r="AD180" s="549">
        <f t="shared" si="6420"/>
        <v>0</v>
      </c>
      <c r="AE180" s="675">
        <f t="shared" si="6420"/>
        <v>0</v>
      </c>
      <c r="AF180" s="549">
        <f t="shared" si="6420"/>
        <v>0</v>
      </c>
      <c r="AG180" s="675">
        <f t="shared" si="6420"/>
        <v>0</v>
      </c>
      <c r="AH180" s="549">
        <f t="shared" si="6420"/>
        <v>0</v>
      </c>
      <c r="AI180" s="675">
        <f t="shared" si="6420"/>
        <v>-50000</v>
      </c>
      <c r="AJ180" s="549">
        <f t="shared" si="6420"/>
        <v>0</v>
      </c>
      <c r="AK180" s="675">
        <f t="shared" si="6420"/>
        <v>0</v>
      </c>
      <c r="AL180" s="549">
        <f t="shared" si="6420"/>
        <v>0</v>
      </c>
      <c r="AM180" s="675">
        <f t="shared" si="6420"/>
        <v>0</v>
      </c>
      <c r="AN180" s="549">
        <f t="shared" ref="AN180:AS180" si="6421">AN333+AN512</f>
        <v>0</v>
      </c>
      <c r="AO180" s="675">
        <f t="shared" si="6421"/>
        <v>0</v>
      </c>
      <c r="AP180" s="549">
        <f t="shared" si="6421"/>
        <v>0</v>
      </c>
      <c r="AQ180" s="675">
        <f t="shared" si="6421"/>
        <v>0</v>
      </c>
      <c r="AR180" s="549">
        <f t="shared" si="6421"/>
        <v>0</v>
      </c>
      <c r="AS180" s="675">
        <f t="shared" si="6421"/>
        <v>0</v>
      </c>
      <c r="AT180" s="549">
        <f t="shared" ref="AT180:AU180" si="6422">AT333+AT512</f>
        <v>0</v>
      </c>
      <c r="AU180" s="675">
        <f t="shared" si="6422"/>
        <v>0</v>
      </c>
      <c r="AV180" s="549">
        <f t="shared" ref="AV180:AW180" si="6423">AV333+AV512</f>
        <v>0</v>
      </c>
      <c r="AW180" s="675">
        <f t="shared" si="6423"/>
        <v>0</v>
      </c>
      <c r="AX180" s="549">
        <f t="shared" ref="AX180:AY180" si="6424">AX333+AX512</f>
        <v>0</v>
      </c>
      <c r="AY180" s="675">
        <f t="shared" si="6424"/>
        <v>0</v>
      </c>
      <c r="AZ180" s="549">
        <f t="shared" ref="AZ180:BA180" si="6425">AZ333+AZ512</f>
        <v>0</v>
      </c>
      <c r="BA180" s="675">
        <f t="shared" si="6425"/>
        <v>0</v>
      </c>
      <c r="BB180" s="549">
        <f t="shared" ref="BB180:BC180" si="6426">BB333+BB512</f>
        <v>0</v>
      </c>
      <c r="BC180" s="675">
        <f t="shared" si="6426"/>
        <v>0</v>
      </c>
      <c r="BD180" s="549">
        <f t="shared" ref="BD180:BE180" si="6427">BD333+BD512</f>
        <v>0</v>
      </c>
      <c r="BE180" s="675">
        <f t="shared" si="6427"/>
        <v>0</v>
      </c>
      <c r="BF180" s="549">
        <f t="shared" ref="BF180:BG180" si="6428">BF333+BF512</f>
        <v>0</v>
      </c>
      <c r="BG180" s="675">
        <f t="shared" si="6428"/>
        <v>-39000</v>
      </c>
      <c r="BH180" s="549">
        <f t="shared" ref="BH180:BI180" si="6429">BH333+BH512</f>
        <v>0</v>
      </c>
      <c r="BI180" s="675">
        <f t="shared" si="6429"/>
        <v>-10000</v>
      </c>
      <c r="BJ180" s="549">
        <f t="shared" ref="BJ180:BK180" si="6430">BJ333+BJ512</f>
        <v>0</v>
      </c>
      <c r="BK180" s="675">
        <f t="shared" si="6430"/>
        <v>0</v>
      </c>
      <c r="BL180" s="549">
        <f t="shared" ref="BL180:BS180" si="6431">BL333+BL512</f>
        <v>0</v>
      </c>
      <c r="BM180" s="675">
        <f t="shared" si="6431"/>
        <v>0</v>
      </c>
      <c r="BN180" s="549">
        <f t="shared" si="6431"/>
        <v>0</v>
      </c>
      <c r="BO180" s="675">
        <f t="shared" si="6431"/>
        <v>0</v>
      </c>
      <c r="BP180" s="549">
        <f t="shared" si="6431"/>
        <v>0</v>
      </c>
      <c r="BQ180" s="675">
        <f t="shared" si="6431"/>
        <v>0</v>
      </c>
      <c r="BR180" s="549">
        <f t="shared" si="6431"/>
        <v>0</v>
      </c>
      <c r="BS180" s="675">
        <f t="shared" si="6431"/>
        <v>0</v>
      </c>
      <c r="BT180" s="549">
        <f t="shared" ref="BT180:BU180" si="6432">BT333+BT512</f>
        <v>0</v>
      </c>
      <c r="BU180" s="675">
        <f t="shared" si="6432"/>
        <v>0</v>
      </c>
      <c r="BV180" s="549">
        <f t="shared" ref="BV180:BW180" si="6433">BV333+BV512</f>
        <v>0</v>
      </c>
      <c r="BW180" s="675">
        <f t="shared" si="6433"/>
        <v>0</v>
      </c>
      <c r="BX180" s="549">
        <f t="shared" ref="BX180:BY180" si="6434">BX333+BX512</f>
        <v>0</v>
      </c>
      <c r="BY180" s="675">
        <f t="shared" si="6434"/>
        <v>0</v>
      </c>
      <c r="BZ180" s="549">
        <f t="shared" ref="BZ180:CA180" si="6435">BZ333+BZ512</f>
        <v>0</v>
      </c>
      <c r="CA180" s="675">
        <f t="shared" si="6435"/>
        <v>0</v>
      </c>
      <c r="CB180" s="549">
        <f t="shared" ref="CB180:CE180" si="6436">CB333+CB512</f>
        <v>0</v>
      </c>
      <c r="CC180" s="675">
        <f t="shared" si="6436"/>
        <v>0</v>
      </c>
      <c r="CD180" s="549">
        <f t="shared" si="6436"/>
        <v>0</v>
      </c>
      <c r="CE180" s="675">
        <f t="shared" si="6436"/>
        <v>0</v>
      </c>
      <c r="CF180" s="549">
        <f t="shared" ref="CF180:CQ180" si="6437">CF333+CF512</f>
        <v>0</v>
      </c>
      <c r="CG180" s="675">
        <f t="shared" si="6437"/>
        <v>0</v>
      </c>
      <c r="CH180" s="549">
        <f t="shared" si="6437"/>
        <v>0</v>
      </c>
      <c r="CI180" s="675">
        <f t="shared" si="6437"/>
        <v>0</v>
      </c>
      <c r="CJ180" s="549">
        <f t="shared" si="6437"/>
        <v>0</v>
      </c>
      <c r="CK180" s="675">
        <f t="shared" si="6437"/>
        <v>0</v>
      </c>
      <c r="CL180" s="549">
        <f t="shared" si="6437"/>
        <v>0</v>
      </c>
      <c r="CM180" s="675">
        <f t="shared" si="6437"/>
        <v>0</v>
      </c>
      <c r="CN180" s="549">
        <f t="shared" si="6437"/>
        <v>0</v>
      </c>
      <c r="CO180" s="675">
        <f t="shared" si="6437"/>
        <v>0</v>
      </c>
      <c r="CP180" s="549">
        <f t="shared" si="6437"/>
        <v>0</v>
      </c>
      <c r="CQ180" s="675">
        <f t="shared" si="6437"/>
        <v>0</v>
      </c>
      <c r="CR180" s="549">
        <f t="shared" ref="CR180:CY180" si="6438">CR333+CR512</f>
        <v>0</v>
      </c>
      <c r="CS180" s="675">
        <f t="shared" si="6438"/>
        <v>0</v>
      </c>
      <c r="CT180" s="549">
        <f t="shared" si="6438"/>
        <v>0</v>
      </c>
      <c r="CU180" s="675">
        <f t="shared" si="6438"/>
        <v>0</v>
      </c>
      <c r="CV180" s="549">
        <f t="shared" si="6438"/>
        <v>0</v>
      </c>
      <c r="CW180" s="675">
        <f t="shared" si="6438"/>
        <v>0</v>
      </c>
      <c r="CX180" s="549">
        <f t="shared" si="6438"/>
        <v>0</v>
      </c>
      <c r="CY180" s="675">
        <f t="shared" si="6438"/>
        <v>0</v>
      </c>
      <c r="CZ180" s="549">
        <f t="shared" ref="CZ180:DM180" si="6439">CZ333+CZ512</f>
        <v>0</v>
      </c>
      <c r="DA180" s="675">
        <f t="shared" si="6439"/>
        <v>0</v>
      </c>
      <c r="DB180" s="549">
        <f t="shared" si="6439"/>
        <v>0</v>
      </c>
      <c r="DC180" s="675">
        <f t="shared" si="6439"/>
        <v>0</v>
      </c>
      <c r="DD180" s="549">
        <f t="shared" si="6439"/>
        <v>0</v>
      </c>
      <c r="DE180" s="675">
        <f t="shared" si="6439"/>
        <v>0</v>
      </c>
      <c r="DF180" s="549">
        <f t="shared" si="6439"/>
        <v>0</v>
      </c>
      <c r="DG180" s="675">
        <f t="shared" si="6439"/>
        <v>0</v>
      </c>
      <c r="DH180" s="549">
        <f t="shared" si="6439"/>
        <v>0</v>
      </c>
      <c r="DI180" s="675">
        <f t="shared" si="6439"/>
        <v>0</v>
      </c>
      <c r="DJ180" s="549">
        <f t="shared" si="6439"/>
        <v>0</v>
      </c>
      <c r="DK180" s="675">
        <f t="shared" si="6439"/>
        <v>0</v>
      </c>
      <c r="DL180" s="549">
        <f t="shared" si="6439"/>
        <v>0</v>
      </c>
      <c r="DM180" s="675">
        <f t="shared" si="6439"/>
        <v>0</v>
      </c>
      <c r="DN180" s="549">
        <f t="shared" ref="DN180:DW180" si="6440">DN333+DN512</f>
        <v>0</v>
      </c>
      <c r="DO180" s="675">
        <f t="shared" si="6440"/>
        <v>0</v>
      </c>
      <c r="DP180" s="549">
        <f t="shared" si="6440"/>
        <v>0</v>
      </c>
      <c r="DQ180" s="675">
        <f t="shared" si="6440"/>
        <v>0</v>
      </c>
      <c r="DR180" s="549">
        <f t="shared" si="6440"/>
        <v>0</v>
      </c>
      <c r="DS180" s="675">
        <f t="shared" si="6440"/>
        <v>0</v>
      </c>
      <c r="DT180" s="549">
        <f t="shared" si="6440"/>
        <v>0</v>
      </c>
      <c r="DU180" s="675">
        <f t="shared" si="6440"/>
        <v>0</v>
      </c>
      <c r="DV180" s="549">
        <f t="shared" si="6440"/>
        <v>0</v>
      </c>
      <c r="DW180" s="675">
        <f t="shared" si="6440"/>
        <v>0</v>
      </c>
      <c r="DX180" s="549">
        <f t="shared" ref="DX180:EG180" si="6441">DX333+DX512</f>
        <v>0</v>
      </c>
      <c r="DY180" s="675">
        <f t="shared" si="6441"/>
        <v>0</v>
      </c>
      <c r="DZ180" s="549">
        <f t="shared" si="6441"/>
        <v>0</v>
      </c>
      <c r="EA180" s="675">
        <f t="shared" si="6441"/>
        <v>0</v>
      </c>
      <c r="EB180" s="549">
        <f t="shared" si="6441"/>
        <v>0</v>
      </c>
      <c r="EC180" s="675">
        <f t="shared" si="6441"/>
        <v>0</v>
      </c>
      <c r="ED180" s="549">
        <f t="shared" si="6441"/>
        <v>0</v>
      </c>
      <c r="EE180" s="675">
        <f t="shared" si="6441"/>
        <v>0</v>
      </c>
      <c r="EF180" s="549">
        <f t="shared" si="6441"/>
        <v>0</v>
      </c>
      <c r="EG180" s="675">
        <f t="shared" si="6441"/>
        <v>0</v>
      </c>
      <c r="EH180" s="549">
        <f t="shared" ref="EH180:EM180" si="6442">EH333+EH512</f>
        <v>0</v>
      </c>
      <c r="EI180" s="675">
        <f t="shared" si="6442"/>
        <v>0</v>
      </c>
      <c r="EJ180" s="549">
        <f t="shared" si="6442"/>
        <v>0</v>
      </c>
      <c r="EK180" s="675">
        <f t="shared" si="6442"/>
        <v>0</v>
      </c>
      <c r="EL180" s="549">
        <f t="shared" si="6442"/>
        <v>0</v>
      </c>
      <c r="EM180" s="675">
        <f t="shared" si="6442"/>
        <v>0</v>
      </c>
      <c r="EN180" s="549">
        <f t="shared" ref="EN180:EO180" si="6443">EN333+EN512</f>
        <v>0</v>
      </c>
      <c r="EO180" s="675">
        <f t="shared" si="6443"/>
        <v>0</v>
      </c>
      <c r="EP180" s="549">
        <f t="shared" ref="EP180:FA180" si="6444">EP333+EP512</f>
        <v>0</v>
      </c>
      <c r="EQ180" s="675">
        <f t="shared" si="6444"/>
        <v>0</v>
      </c>
      <c r="ER180" s="549">
        <f t="shared" si="6444"/>
        <v>0</v>
      </c>
      <c r="ES180" s="675">
        <f t="shared" si="6444"/>
        <v>0</v>
      </c>
      <c r="ET180" s="549">
        <f t="shared" si="6444"/>
        <v>0</v>
      </c>
      <c r="EU180" s="675">
        <f t="shared" si="6444"/>
        <v>0</v>
      </c>
      <c r="EV180" s="549">
        <f t="shared" ref="EV180:EW180" si="6445">EV333+EV512</f>
        <v>0</v>
      </c>
      <c r="EW180" s="675">
        <f t="shared" si="6445"/>
        <v>0</v>
      </c>
      <c r="EX180" s="549">
        <f t="shared" si="6444"/>
        <v>0</v>
      </c>
      <c r="EY180" s="675">
        <f t="shared" si="6444"/>
        <v>0</v>
      </c>
      <c r="EZ180" s="549">
        <f t="shared" si="6444"/>
        <v>0</v>
      </c>
      <c r="FA180" s="675">
        <f t="shared" si="6444"/>
        <v>0</v>
      </c>
      <c r="FB180" s="549">
        <f t="shared" ref="FB180:FC180" si="6446">FB333+FB512</f>
        <v>0</v>
      </c>
      <c r="FC180" s="675">
        <f t="shared" si="6446"/>
        <v>0</v>
      </c>
      <c r="FD180" s="549">
        <f t="shared" ref="FD180:FE180" si="6447">FD333+FD512</f>
        <v>0</v>
      </c>
      <c r="FE180" s="675">
        <f t="shared" si="6447"/>
        <v>0</v>
      </c>
      <c r="FF180" s="549">
        <f t="shared" ref="FF180:FG180" si="6448">FF333+FF512</f>
        <v>0</v>
      </c>
      <c r="FG180" s="675">
        <f t="shared" si="6448"/>
        <v>0</v>
      </c>
      <c r="FH180" s="549">
        <f t="shared" ref="FH180:FI180" si="6449">FH333+FH512</f>
        <v>0</v>
      </c>
      <c r="FI180" s="675">
        <f t="shared" si="6449"/>
        <v>0</v>
      </c>
      <c r="FJ180" s="549">
        <f t="shared" ref="FJ180:FK180" si="6450">FJ333+FJ512</f>
        <v>0</v>
      </c>
      <c r="FK180" s="675">
        <f t="shared" si="6450"/>
        <v>0</v>
      </c>
      <c r="FL180" s="549">
        <f t="shared" ref="FL180:FM180" si="6451">FL333+FL512</f>
        <v>0</v>
      </c>
      <c r="FM180" s="675">
        <f t="shared" si="6451"/>
        <v>0</v>
      </c>
      <c r="FN180" s="549">
        <f t="shared" ref="FN180:FO180" si="6452">FN333+FN512</f>
        <v>0</v>
      </c>
      <c r="FO180" s="675">
        <f t="shared" si="6452"/>
        <v>0</v>
      </c>
      <c r="FP180" s="549">
        <f t="shared" ref="FP180:FQ180" si="6453">FP333+FP512</f>
        <v>0</v>
      </c>
      <c r="FQ180" s="675">
        <f t="shared" si="6453"/>
        <v>0</v>
      </c>
      <c r="FR180" s="549">
        <f t="shared" ref="FR180:FS180" si="6454">FR333+FR512</f>
        <v>0</v>
      </c>
      <c r="FS180" s="675">
        <f t="shared" si="6454"/>
        <v>0</v>
      </c>
      <c r="FT180" s="549">
        <f t="shared" ref="FT180:FU180" si="6455">FT333+FT512</f>
        <v>0</v>
      </c>
      <c r="FU180" s="675">
        <f t="shared" si="6455"/>
        <v>0</v>
      </c>
      <c r="FV180" s="549">
        <f t="shared" ref="FV180:GK180" si="6456">FV333+FV512</f>
        <v>0</v>
      </c>
      <c r="FW180" s="675">
        <f t="shared" si="6456"/>
        <v>0</v>
      </c>
      <c r="FX180" s="549">
        <f t="shared" si="6456"/>
        <v>0</v>
      </c>
      <c r="FY180" s="675">
        <f t="shared" si="6456"/>
        <v>0</v>
      </c>
      <c r="FZ180" s="549">
        <f t="shared" ref="FZ180:GI180" si="6457">FZ333+FZ512</f>
        <v>0</v>
      </c>
      <c r="GA180" s="675">
        <f t="shared" si="6457"/>
        <v>0</v>
      </c>
      <c r="GB180" s="549">
        <f t="shared" si="6457"/>
        <v>0</v>
      </c>
      <c r="GC180" s="675">
        <f t="shared" si="6457"/>
        <v>0</v>
      </c>
      <c r="GD180" s="549">
        <f t="shared" si="6457"/>
        <v>0</v>
      </c>
      <c r="GE180" s="675">
        <f t="shared" si="6457"/>
        <v>0</v>
      </c>
      <c r="GF180" s="549">
        <f t="shared" si="6457"/>
        <v>0</v>
      </c>
      <c r="GG180" s="675">
        <f t="shared" si="6457"/>
        <v>0</v>
      </c>
      <c r="GH180" s="549">
        <f t="shared" si="6457"/>
        <v>0</v>
      </c>
      <c r="GI180" s="675">
        <f t="shared" si="6457"/>
        <v>0</v>
      </c>
      <c r="GJ180" s="549">
        <f t="shared" si="6456"/>
        <v>0</v>
      </c>
      <c r="GK180" s="675">
        <f t="shared" si="6456"/>
        <v>0</v>
      </c>
      <c r="GL180" s="549">
        <f t="shared" ref="GL180:GQ180" si="6458">GL333+GL512</f>
        <v>0</v>
      </c>
      <c r="GM180" s="675">
        <f t="shared" si="6458"/>
        <v>0</v>
      </c>
      <c r="GN180" s="549">
        <f t="shared" ref="GN180:GO180" si="6459">GN333+GN512</f>
        <v>0</v>
      </c>
      <c r="GO180" s="675">
        <f t="shared" si="6459"/>
        <v>0</v>
      </c>
      <c r="GP180" s="74">
        <f t="shared" si="6458"/>
        <v>0</v>
      </c>
      <c r="GQ180" s="675">
        <f t="shared" si="6458"/>
        <v>-99000</v>
      </c>
      <c r="GR180" s="74">
        <f t="shared" ref="GR180:HJ180" si="6460">GR333+GR512</f>
        <v>0</v>
      </c>
      <c r="GS180" s="74">
        <f t="shared" si="6460"/>
        <v>0</v>
      </c>
      <c r="GT180" s="549">
        <f t="shared" si="6460"/>
        <v>0</v>
      </c>
      <c r="GU180" s="74">
        <f t="shared" si="6460"/>
        <v>0</v>
      </c>
      <c r="GV180" s="74">
        <f t="shared" si="6460"/>
        <v>50000</v>
      </c>
      <c r="GW180" s="549">
        <f t="shared" si="6460"/>
        <v>0</v>
      </c>
      <c r="GX180" s="549">
        <f t="shared" si="6460"/>
        <v>49000</v>
      </c>
      <c r="GY180" s="74">
        <f t="shared" si="6460"/>
        <v>0</v>
      </c>
      <c r="GZ180" s="74">
        <f t="shared" si="6460"/>
        <v>0</v>
      </c>
      <c r="HA180" s="74">
        <f t="shared" si="6460"/>
        <v>0</v>
      </c>
      <c r="HB180" s="74">
        <f t="shared" si="6460"/>
        <v>0</v>
      </c>
      <c r="HC180" s="74">
        <f t="shared" si="6460"/>
        <v>0</v>
      </c>
      <c r="HD180" s="74">
        <f t="shared" si="6460"/>
        <v>0</v>
      </c>
      <c r="HE180" s="74">
        <f t="shared" si="6460"/>
        <v>0</v>
      </c>
      <c r="HF180" s="74">
        <f t="shared" si="6460"/>
        <v>0</v>
      </c>
      <c r="HG180" s="74">
        <f t="shared" si="6460"/>
        <v>0</v>
      </c>
      <c r="HH180" s="74">
        <f t="shared" si="6460"/>
        <v>0</v>
      </c>
      <c r="HI180" s="74">
        <f t="shared" si="6460"/>
        <v>0</v>
      </c>
      <c r="HJ180" s="74">
        <f t="shared" si="6460"/>
        <v>0</v>
      </c>
      <c r="HK180" s="74">
        <f t="shared" ref="HK180:IP180" si="6461">HK333+HK512</f>
        <v>0</v>
      </c>
      <c r="HL180" s="74">
        <f t="shared" si="6461"/>
        <v>0</v>
      </c>
      <c r="HM180" s="74">
        <f t="shared" si="6461"/>
        <v>0</v>
      </c>
      <c r="HN180" s="74">
        <f t="shared" si="6461"/>
        <v>0</v>
      </c>
      <c r="HO180" s="74">
        <f t="shared" si="6461"/>
        <v>0</v>
      </c>
      <c r="HP180" s="74">
        <f t="shared" si="6461"/>
        <v>0</v>
      </c>
      <c r="HQ180" s="74">
        <f t="shared" si="6461"/>
        <v>0</v>
      </c>
      <c r="HR180" s="74">
        <f t="shared" si="6461"/>
        <v>0</v>
      </c>
      <c r="HS180" s="74">
        <f t="shared" si="6461"/>
        <v>0</v>
      </c>
      <c r="HT180" s="74">
        <f t="shared" si="6461"/>
        <v>0</v>
      </c>
      <c r="HU180" s="74">
        <f t="shared" si="6461"/>
        <v>0</v>
      </c>
      <c r="HV180" s="74">
        <f t="shared" si="6461"/>
        <v>0</v>
      </c>
      <c r="HW180" s="74">
        <f t="shared" si="6461"/>
        <v>0</v>
      </c>
      <c r="HX180" s="74">
        <f t="shared" si="6461"/>
        <v>0</v>
      </c>
      <c r="HY180" s="74">
        <f t="shared" si="6461"/>
        <v>0</v>
      </c>
      <c r="HZ180" s="74">
        <f t="shared" si="6461"/>
        <v>0</v>
      </c>
      <c r="IA180" s="74">
        <f t="shared" si="6461"/>
        <v>0</v>
      </c>
      <c r="IB180" s="74">
        <f t="shared" si="6461"/>
        <v>0</v>
      </c>
      <c r="IC180" s="74">
        <f t="shared" si="6461"/>
        <v>0</v>
      </c>
      <c r="ID180" s="74">
        <f t="shared" si="6461"/>
        <v>0</v>
      </c>
      <c r="IE180" s="792">
        <f t="shared" si="6461"/>
        <v>0</v>
      </c>
      <c r="IF180" s="841">
        <f t="shared" si="6461"/>
        <v>0</v>
      </c>
      <c r="IG180" s="263">
        <f t="shared" si="6461"/>
        <v>0</v>
      </c>
      <c r="IH180" s="842">
        <f t="shared" si="6461"/>
        <v>0</v>
      </c>
      <c r="II180" s="155">
        <f t="shared" si="6461"/>
        <v>0</v>
      </c>
      <c r="IJ180" s="74">
        <f t="shared" si="6461"/>
        <v>0</v>
      </c>
      <c r="IK180" s="74">
        <f t="shared" si="6461"/>
        <v>0</v>
      </c>
      <c r="IL180" s="74">
        <f t="shared" si="6461"/>
        <v>0</v>
      </c>
      <c r="IM180" s="74">
        <f t="shared" si="6461"/>
        <v>0</v>
      </c>
      <c r="IN180" s="74">
        <f t="shared" si="6461"/>
        <v>0</v>
      </c>
      <c r="IO180" s="74">
        <f t="shared" si="6461"/>
        <v>0</v>
      </c>
      <c r="IP180" s="74">
        <f t="shared" si="6461"/>
        <v>0</v>
      </c>
      <c r="IQ180" s="74">
        <f t="shared" ref="IQ180:JT180" si="6462">IQ333+IQ512</f>
        <v>0</v>
      </c>
      <c r="IR180" s="74">
        <f t="shared" si="6462"/>
        <v>0</v>
      </c>
      <c r="IS180" s="74">
        <f t="shared" si="6462"/>
        <v>0</v>
      </c>
      <c r="IT180" s="74">
        <f t="shared" si="6462"/>
        <v>0</v>
      </c>
      <c r="IU180" s="74">
        <f t="shared" si="6462"/>
        <v>0</v>
      </c>
      <c r="IV180" s="74">
        <f t="shared" si="6462"/>
        <v>0</v>
      </c>
      <c r="IW180" s="74">
        <f t="shared" si="6462"/>
        <v>0</v>
      </c>
      <c r="IX180" s="74">
        <f t="shared" si="6462"/>
        <v>0</v>
      </c>
      <c r="IY180" s="74">
        <f t="shared" si="6462"/>
        <v>0</v>
      </c>
      <c r="IZ180" s="74">
        <f t="shared" si="6462"/>
        <v>0</v>
      </c>
      <c r="JA180" s="74">
        <f t="shared" si="6462"/>
        <v>0</v>
      </c>
      <c r="JB180" s="74">
        <f t="shared" si="6462"/>
        <v>0</v>
      </c>
      <c r="JC180" s="74">
        <f t="shared" si="6462"/>
        <v>0</v>
      </c>
      <c r="JD180" s="74">
        <f t="shared" si="6462"/>
        <v>0</v>
      </c>
      <c r="JE180" s="74">
        <f t="shared" si="6462"/>
        <v>0</v>
      </c>
      <c r="JF180" s="74">
        <f t="shared" si="6462"/>
        <v>0</v>
      </c>
      <c r="JG180" s="74">
        <f t="shared" si="6462"/>
        <v>0</v>
      </c>
      <c r="JH180" s="74">
        <f t="shared" si="6462"/>
        <v>0</v>
      </c>
      <c r="JI180" s="74">
        <f t="shared" si="6462"/>
        <v>0</v>
      </c>
      <c r="JJ180" s="74">
        <f t="shared" si="6462"/>
        <v>0</v>
      </c>
      <c r="JK180" s="74">
        <f t="shared" si="6462"/>
        <v>0</v>
      </c>
      <c r="JL180" s="74">
        <f t="shared" si="6462"/>
        <v>0</v>
      </c>
      <c r="JM180" s="74">
        <f t="shared" si="6462"/>
        <v>0</v>
      </c>
      <c r="JN180" s="74">
        <f t="shared" si="6462"/>
        <v>0</v>
      </c>
      <c r="JO180" s="74">
        <f t="shared" si="6462"/>
        <v>0</v>
      </c>
      <c r="JP180" s="74">
        <f t="shared" si="6462"/>
        <v>0</v>
      </c>
      <c r="JQ180" s="74">
        <f t="shared" si="6462"/>
        <v>0</v>
      </c>
      <c r="JR180" s="74">
        <f t="shared" si="6462"/>
        <v>0</v>
      </c>
      <c r="JS180" s="74">
        <f t="shared" si="6462"/>
        <v>0</v>
      </c>
      <c r="JT180" s="102">
        <f t="shared" si="6462"/>
        <v>0</v>
      </c>
      <c r="JU180" s="671"/>
      <c r="JV180" s="492"/>
      <c r="JW180" s="490"/>
      <c r="JX180" s="549">
        <f>JX333+JX512</f>
        <v>0</v>
      </c>
      <c r="JY180" s="549">
        <f>JY333+JY512</f>
        <v>0</v>
      </c>
      <c r="JZ180" s="581">
        <f t="shared" si="4944"/>
        <v>0</v>
      </c>
      <c r="KA180" s="581">
        <f t="shared" si="4945"/>
        <v>-99000</v>
      </c>
      <c r="KB180" s="549">
        <f>KB333+KB512</f>
        <v>0</v>
      </c>
      <c r="KC180" s="709">
        <f t="shared" si="4908"/>
        <v>0</v>
      </c>
      <c r="KD180" s="36"/>
      <c r="KE180" s="36"/>
      <c r="KF180" s="36"/>
      <c r="KG180" s="36"/>
      <c r="KH180" s="36"/>
      <c r="KI180" s="36"/>
      <c r="KJ180" s="36"/>
      <c r="KK180" s="36"/>
    </row>
    <row r="181" spans="1:297" s="8" customFormat="1" ht="12.75" hidden="1" customHeight="1">
      <c r="A181" s="75"/>
      <c r="B181" s="72"/>
      <c r="C181" s="74"/>
      <c r="D181" s="549"/>
      <c r="E181" s="675"/>
      <c r="F181" s="549"/>
      <c r="G181" s="675"/>
      <c r="H181" s="549"/>
      <c r="I181" s="675"/>
      <c r="J181" s="549"/>
      <c r="K181" s="675"/>
      <c r="L181" s="549"/>
      <c r="M181" s="675"/>
      <c r="N181" s="549"/>
      <c r="O181" s="675"/>
      <c r="P181" s="549"/>
      <c r="Q181" s="675"/>
      <c r="R181" s="549"/>
      <c r="S181" s="675"/>
      <c r="T181" s="549"/>
      <c r="U181" s="675"/>
      <c r="V181" s="549"/>
      <c r="W181" s="675"/>
      <c r="X181" s="549"/>
      <c r="Y181" s="675"/>
      <c r="Z181" s="549"/>
      <c r="AA181" s="675"/>
      <c r="AB181" s="549"/>
      <c r="AC181" s="675"/>
      <c r="AD181" s="549"/>
      <c r="AE181" s="675"/>
      <c r="AF181" s="549"/>
      <c r="AG181" s="675"/>
      <c r="AH181" s="549"/>
      <c r="AI181" s="675"/>
      <c r="AJ181" s="549"/>
      <c r="AK181" s="675"/>
      <c r="AL181" s="549"/>
      <c r="AM181" s="675"/>
      <c r="AN181" s="549"/>
      <c r="AO181" s="675"/>
      <c r="AP181" s="549"/>
      <c r="AQ181" s="675"/>
      <c r="AR181" s="549"/>
      <c r="AS181" s="675"/>
      <c r="AT181" s="549"/>
      <c r="AU181" s="675"/>
      <c r="AV181" s="549"/>
      <c r="AW181" s="675"/>
      <c r="AX181" s="549"/>
      <c r="AY181" s="675"/>
      <c r="AZ181" s="549"/>
      <c r="BA181" s="675"/>
      <c r="BB181" s="549"/>
      <c r="BC181" s="675"/>
      <c r="BD181" s="549"/>
      <c r="BE181" s="675"/>
      <c r="BF181" s="549"/>
      <c r="BG181" s="675"/>
      <c r="BH181" s="549"/>
      <c r="BI181" s="675"/>
      <c r="BJ181" s="549"/>
      <c r="BK181" s="675"/>
      <c r="BL181" s="549"/>
      <c r="BM181" s="675"/>
      <c r="BN181" s="549"/>
      <c r="BO181" s="675"/>
      <c r="BP181" s="549"/>
      <c r="BQ181" s="675"/>
      <c r="BR181" s="549"/>
      <c r="BS181" s="675"/>
      <c r="BT181" s="549"/>
      <c r="BU181" s="675"/>
      <c r="BV181" s="549"/>
      <c r="BW181" s="675"/>
      <c r="BX181" s="549"/>
      <c r="BY181" s="675"/>
      <c r="BZ181" s="549"/>
      <c r="CA181" s="675"/>
      <c r="CB181" s="549"/>
      <c r="CC181" s="675"/>
      <c r="CD181" s="549"/>
      <c r="CE181" s="675"/>
      <c r="CF181" s="549"/>
      <c r="CG181" s="675"/>
      <c r="CH181" s="549"/>
      <c r="CI181" s="675"/>
      <c r="CJ181" s="549"/>
      <c r="CK181" s="675"/>
      <c r="CL181" s="549"/>
      <c r="CM181" s="675"/>
      <c r="CN181" s="549"/>
      <c r="CO181" s="675"/>
      <c r="CP181" s="549"/>
      <c r="CQ181" s="675"/>
      <c r="CR181" s="549"/>
      <c r="CS181" s="675"/>
      <c r="CT181" s="549"/>
      <c r="CU181" s="675"/>
      <c r="CV181" s="549"/>
      <c r="CW181" s="675"/>
      <c r="CX181" s="549"/>
      <c r="CY181" s="675"/>
      <c r="CZ181" s="549"/>
      <c r="DA181" s="675"/>
      <c r="DB181" s="549"/>
      <c r="DC181" s="675"/>
      <c r="DD181" s="549"/>
      <c r="DE181" s="675"/>
      <c r="DF181" s="549"/>
      <c r="DG181" s="675"/>
      <c r="DH181" s="549"/>
      <c r="DI181" s="675"/>
      <c r="DJ181" s="549"/>
      <c r="DK181" s="675"/>
      <c r="DL181" s="549"/>
      <c r="DM181" s="675"/>
      <c r="DN181" s="549"/>
      <c r="DO181" s="675"/>
      <c r="DP181" s="549"/>
      <c r="DQ181" s="675"/>
      <c r="DR181" s="549"/>
      <c r="DS181" s="675"/>
      <c r="DT181" s="549"/>
      <c r="DU181" s="675"/>
      <c r="DV181" s="549"/>
      <c r="DW181" s="675"/>
      <c r="DX181" s="549"/>
      <c r="DY181" s="675"/>
      <c r="DZ181" s="549"/>
      <c r="EA181" s="675"/>
      <c r="EB181" s="549"/>
      <c r="EC181" s="675"/>
      <c r="ED181" s="549"/>
      <c r="EE181" s="675"/>
      <c r="EF181" s="549"/>
      <c r="EG181" s="675"/>
      <c r="EH181" s="549"/>
      <c r="EI181" s="675"/>
      <c r="EJ181" s="549"/>
      <c r="EK181" s="675"/>
      <c r="EL181" s="549"/>
      <c r="EM181" s="675"/>
      <c r="EN181" s="549"/>
      <c r="EO181" s="675"/>
      <c r="EP181" s="549"/>
      <c r="EQ181" s="675"/>
      <c r="ER181" s="549"/>
      <c r="ES181" s="675"/>
      <c r="ET181" s="549"/>
      <c r="EU181" s="675"/>
      <c r="EV181" s="549"/>
      <c r="EW181" s="675"/>
      <c r="EX181" s="549"/>
      <c r="EY181" s="675"/>
      <c r="EZ181" s="549"/>
      <c r="FA181" s="675"/>
      <c r="FB181" s="549"/>
      <c r="FC181" s="675"/>
      <c r="FD181" s="549"/>
      <c r="FE181" s="675"/>
      <c r="FF181" s="549"/>
      <c r="FG181" s="675"/>
      <c r="FH181" s="549"/>
      <c r="FI181" s="675"/>
      <c r="FJ181" s="549"/>
      <c r="FK181" s="675"/>
      <c r="FL181" s="549"/>
      <c r="FM181" s="675"/>
      <c r="FN181" s="549"/>
      <c r="FO181" s="675"/>
      <c r="FP181" s="549"/>
      <c r="FQ181" s="675"/>
      <c r="FR181" s="549"/>
      <c r="FS181" s="675"/>
      <c r="FT181" s="549"/>
      <c r="FU181" s="675"/>
      <c r="FV181" s="549"/>
      <c r="FW181" s="675"/>
      <c r="FX181" s="549"/>
      <c r="FY181" s="675"/>
      <c r="FZ181" s="549"/>
      <c r="GA181" s="675"/>
      <c r="GB181" s="549"/>
      <c r="GC181" s="675"/>
      <c r="GD181" s="549"/>
      <c r="GE181" s="675"/>
      <c r="GF181" s="549"/>
      <c r="GG181" s="675"/>
      <c r="GH181" s="549"/>
      <c r="GI181" s="675"/>
      <c r="GJ181" s="549"/>
      <c r="GK181" s="675"/>
      <c r="GL181" s="549"/>
      <c r="GM181" s="675"/>
      <c r="GN181" s="549"/>
      <c r="GO181" s="675"/>
      <c r="GP181" s="74"/>
      <c r="GQ181" s="675"/>
      <c r="GR181" s="74"/>
      <c r="GS181" s="74"/>
      <c r="GT181" s="549"/>
      <c r="GU181" s="74"/>
      <c r="GV181" s="74"/>
      <c r="GW181" s="549"/>
      <c r="GX181" s="549"/>
      <c r="GY181" s="74"/>
      <c r="GZ181" s="74"/>
      <c r="HA181" s="74"/>
      <c r="HB181" s="74"/>
      <c r="HC181" s="74"/>
      <c r="HD181" s="74"/>
      <c r="HE181" s="74"/>
      <c r="HF181" s="74"/>
      <c r="HG181" s="74"/>
      <c r="HH181" s="74"/>
      <c r="HI181" s="74"/>
      <c r="HJ181" s="74"/>
      <c r="HK181" s="74"/>
      <c r="HL181" s="74"/>
      <c r="HM181" s="74"/>
      <c r="HN181" s="74"/>
      <c r="HO181" s="74"/>
      <c r="HP181" s="74"/>
      <c r="HQ181" s="74"/>
      <c r="HR181" s="74"/>
      <c r="HS181" s="74"/>
      <c r="HT181" s="74"/>
      <c r="HU181" s="74"/>
      <c r="HV181" s="74"/>
      <c r="HW181" s="74"/>
      <c r="HX181" s="74"/>
      <c r="HY181" s="74"/>
      <c r="HZ181" s="74"/>
      <c r="IA181" s="74"/>
      <c r="IB181" s="74"/>
      <c r="IC181" s="74"/>
      <c r="ID181" s="74"/>
      <c r="IE181" s="792"/>
      <c r="IF181" s="841"/>
      <c r="IG181" s="263"/>
      <c r="IH181" s="842"/>
      <c r="II181" s="155"/>
      <c r="IJ181" s="74"/>
      <c r="IK181" s="74"/>
      <c r="IL181" s="74"/>
      <c r="IM181" s="74"/>
      <c r="IN181" s="74"/>
      <c r="IO181" s="74"/>
      <c r="IP181" s="74"/>
      <c r="IQ181" s="74"/>
      <c r="IR181" s="74"/>
      <c r="IS181" s="74"/>
      <c r="IT181" s="74"/>
      <c r="IU181" s="74"/>
      <c r="IV181" s="74"/>
      <c r="IW181" s="74"/>
      <c r="IX181" s="74"/>
      <c r="IY181" s="74"/>
      <c r="IZ181" s="74"/>
      <c r="JA181" s="74"/>
      <c r="JB181" s="74"/>
      <c r="JC181" s="74"/>
      <c r="JD181" s="74"/>
      <c r="JE181" s="74"/>
      <c r="JF181" s="74"/>
      <c r="JG181" s="74"/>
      <c r="JH181" s="74"/>
      <c r="JI181" s="74"/>
      <c r="JJ181" s="74"/>
      <c r="JK181" s="74"/>
      <c r="JL181" s="74"/>
      <c r="JM181" s="74"/>
      <c r="JN181" s="74"/>
      <c r="JO181" s="74"/>
      <c r="JP181" s="74"/>
      <c r="JQ181" s="74"/>
      <c r="JR181" s="74"/>
      <c r="JS181" s="74"/>
      <c r="JT181" s="382"/>
      <c r="JU181" s="670"/>
      <c r="JV181" s="489"/>
      <c r="JW181" s="529"/>
      <c r="JX181" s="549"/>
      <c r="JY181" s="549"/>
      <c r="JZ181" s="581">
        <f t="shared" si="4944"/>
        <v>0</v>
      </c>
      <c r="KA181" s="581">
        <f t="shared" si="4945"/>
        <v>0</v>
      </c>
      <c r="KB181" s="549"/>
      <c r="KC181" s="709">
        <f t="shared" si="4908"/>
        <v>0</v>
      </c>
      <c r="KD181" s="36"/>
      <c r="KE181" s="36"/>
      <c r="KF181" s="36"/>
      <c r="KG181" s="36"/>
      <c r="KH181" s="36"/>
      <c r="KI181" s="36"/>
      <c r="KJ181" s="36"/>
      <c r="KK181" s="36"/>
    </row>
    <row r="182" spans="1:297" s="8" customFormat="1">
      <c r="A182" s="75" t="s">
        <v>452</v>
      </c>
      <c r="B182" s="72"/>
      <c r="C182" s="74">
        <f t="shared" ref="C182:AM182" si="6463">C335+C514</f>
        <v>150000</v>
      </c>
      <c r="D182" s="549">
        <f t="shared" si="6463"/>
        <v>0</v>
      </c>
      <c r="E182" s="675">
        <f t="shared" si="6463"/>
        <v>0</v>
      </c>
      <c r="F182" s="549">
        <f t="shared" si="6463"/>
        <v>0</v>
      </c>
      <c r="G182" s="675">
        <f t="shared" si="6463"/>
        <v>-3000</v>
      </c>
      <c r="H182" s="549">
        <f t="shared" si="6463"/>
        <v>0</v>
      </c>
      <c r="I182" s="675">
        <f t="shared" si="6463"/>
        <v>0</v>
      </c>
      <c r="J182" s="549">
        <f t="shared" si="6463"/>
        <v>0</v>
      </c>
      <c r="K182" s="675">
        <f t="shared" si="6463"/>
        <v>0</v>
      </c>
      <c r="L182" s="549">
        <f t="shared" si="6463"/>
        <v>0</v>
      </c>
      <c r="M182" s="675">
        <f t="shared" si="6463"/>
        <v>0</v>
      </c>
      <c r="N182" s="549">
        <f t="shared" si="6463"/>
        <v>0</v>
      </c>
      <c r="O182" s="675">
        <f t="shared" si="6463"/>
        <v>0</v>
      </c>
      <c r="P182" s="549">
        <f t="shared" si="6463"/>
        <v>0</v>
      </c>
      <c r="Q182" s="675">
        <f t="shared" si="6463"/>
        <v>0</v>
      </c>
      <c r="R182" s="549">
        <f t="shared" si="6463"/>
        <v>0</v>
      </c>
      <c r="S182" s="675">
        <f t="shared" si="6463"/>
        <v>0</v>
      </c>
      <c r="T182" s="549">
        <f t="shared" si="6463"/>
        <v>0</v>
      </c>
      <c r="U182" s="675">
        <f t="shared" si="6463"/>
        <v>0</v>
      </c>
      <c r="V182" s="549">
        <f t="shared" si="6463"/>
        <v>0</v>
      </c>
      <c r="W182" s="675">
        <f t="shared" si="6463"/>
        <v>0</v>
      </c>
      <c r="X182" s="549">
        <f t="shared" si="6463"/>
        <v>0</v>
      </c>
      <c r="Y182" s="675">
        <f t="shared" si="6463"/>
        <v>0</v>
      </c>
      <c r="Z182" s="549">
        <f t="shared" si="6463"/>
        <v>0</v>
      </c>
      <c r="AA182" s="675">
        <f t="shared" si="6463"/>
        <v>0</v>
      </c>
      <c r="AB182" s="549">
        <f t="shared" si="6463"/>
        <v>0</v>
      </c>
      <c r="AC182" s="675">
        <f t="shared" si="6463"/>
        <v>0</v>
      </c>
      <c r="AD182" s="549">
        <f t="shared" si="6463"/>
        <v>0</v>
      </c>
      <c r="AE182" s="675">
        <f t="shared" si="6463"/>
        <v>0</v>
      </c>
      <c r="AF182" s="549">
        <f t="shared" si="6463"/>
        <v>0</v>
      </c>
      <c r="AG182" s="675">
        <f t="shared" si="6463"/>
        <v>0</v>
      </c>
      <c r="AH182" s="549">
        <f t="shared" si="6463"/>
        <v>123000</v>
      </c>
      <c r="AI182" s="675">
        <f t="shared" si="6463"/>
        <v>0</v>
      </c>
      <c r="AJ182" s="549">
        <f t="shared" si="6463"/>
        <v>0</v>
      </c>
      <c r="AK182" s="675">
        <f t="shared" si="6463"/>
        <v>0</v>
      </c>
      <c r="AL182" s="549">
        <f t="shared" si="6463"/>
        <v>0</v>
      </c>
      <c r="AM182" s="675">
        <f t="shared" si="6463"/>
        <v>0</v>
      </c>
      <c r="AN182" s="549">
        <f t="shared" ref="AN182:AS182" si="6464">AN335+AN514</f>
        <v>0</v>
      </c>
      <c r="AO182" s="675">
        <f t="shared" si="6464"/>
        <v>0</v>
      </c>
      <c r="AP182" s="549">
        <f t="shared" si="6464"/>
        <v>0</v>
      </c>
      <c r="AQ182" s="675">
        <f t="shared" si="6464"/>
        <v>0</v>
      </c>
      <c r="AR182" s="549">
        <f t="shared" si="6464"/>
        <v>0</v>
      </c>
      <c r="AS182" s="675">
        <f t="shared" si="6464"/>
        <v>0</v>
      </c>
      <c r="AT182" s="549">
        <f t="shared" ref="AT182:AU182" si="6465">AT335+AT514</f>
        <v>0</v>
      </c>
      <c r="AU182" s="675">
        <f t="shared" si="6465"/>
        <v>0</v>
      </c>
      <c r="AV182" s="549">
        <f t="shared" ref="AV182:AW182" si="6466">AV335+AV514</f>
        <v>0</v>
      </c>
      <c r="AW182" s="675">
        <f t="shared" si="6466"/>
        <v>0</v>
      </c>
      <c r="AX182" s="549">
        <f t="shared" ref="AX182:AY182" si="6467">AX335+AX514</f>
        <v>0</v>
      </c>
      <c r="AY182" s="675">
        <f t="shared" si="6467"/>
        <v>0</v>
      </c>
      <c r="AZ182" s="549">
        <f t="shared" ref="AZ182:BA182" si="6468">AZ335+AZ514</f>
        <v>0</v>
      </c>
      <c r="BA182" s="675">
        <f t="shared" si="6468"/>
        <v>0</v>
      </c>
      <c r="BB182" s="549">
        <f t="shared" ref="BB182:BC182" si="6469">BB335+BB514</f>
        <v>0</v>
      </c>
      <c r="BC182" s="675">
        <f t="shared" si="6469"/>
        <v>0</v>
      </c>
      <c r="BD182" s="549">
        <f t="shared" ref="BD182:BE182" si="6470">BD335+BD514</f>
        <v>0</v>
      </c>
      <c r="BE182" s="675">
        <f t="shared" si="6470"/>
        <v>0</v>
      </c>
      <c r="BF182" s="549">
        <f t="shared" ref="BF182:BG182" si="6471">BF335+BF514</f>
        <v>0</v>
      </c>
      <c r="BG182" s="675">
        <f t="shared" si="6471"/>
        <v>0</v>
      </c>
      <c r="BH182" s="549">
        <f t="shared" ref="BH182:BI182" si="6472">BH335+BH514</f>
        <v>0</v>
      </c>
      <c r="BI182" s="675">
        <f t="shared" si="6472"/>
        <v>0</v>
      </c>
      <c r="BJ182" s="549">
        <f t="shared" ref="BJ182:BK182" si="6473">BJ335+BJ514</f>
        <v>0</v>
      </c>
      <c r="BK182" s="675">
        <f t="shared" si="6473"/>
        <v>0</v>
      </c>
      <c r="BL182" s="549">
        <f t="shared" ref="BL182:BS182" si="6474">BL335+BL514</f>
        <v>0</v>
      </c>
      <c r="BM182" s="675">
        <f t="shared" si="6474"/>
        <v>0</v>
      </c>
      <c r="BN182" s="549">
        <f t="shared" si="6474"/>
        <v>0</v>
      </c>
      <c r="BO182" s="675">
        <f t="shared" si="6474"/>
        <v>0</v>
      </c>
      <c r="BP182" s="549">
        <f t="shared" si="6474"/>
        <v>0</v>
      </c>
      <c r="BQ182" s="675">
        <f t="shared" si="6474"/>
        <v>0</v>
      </c>
      <c r="BR182" s="549">
        <f t="shared" si="6474"/>
        <v>0</v>
      </c>
      <c r="BS182" s="675">
        <f t="shared" si="6474"/>
        <v>0</v>
      </c>
      <c r="BT182" s="549">
        <f t="shared" ref="BT182:BU182" si="6475">BT335+BT514</f>
        <v>0</v>
      </c>
      <c r="BU182" s="675">
        <f t="shared" si="6475"/>
        <v>0</v>
      </c>
      <c r="BV182" s="549">
        <f t="shared" ref="BV182:BW182" si="6476">BV335+BV514</f>
        <v>0</v>
      </c>
      <c r="BW182" s="675">
        <f t="shared" si="6476"/>
        <v>0</v>
      </c>
      <c r="BX182" s="549">
        <f t="shared" ref="BX182:BY182" si="6477">BX335+BX514</f>
        <v>0</v>
      </c>
      <c r="BY182" s="675">
        <f t="shared" si="6477"/>
        <v>0</v>
      </c>
      <c r="BZ182" s="549">
        <f t="shared" ref="BZ182:CA182" si="6478">BZ335+BZ514</f>
        <v>0</v>
      </c>
      <c r="CA182" s="675">
        <f t="shared" si="6478"/>
        <v>0</v>
      </c>
      <c r="CB182" s="549">
        <f t="shared" ref="CB182:CE182" si="6479">CB335+CB514</f>
        <v>0</v>
      </c>
      <c r="CC182" s="675">
        <f t="shared" si="6479"/>
        <v>-5000</v>
      </c>
      <c r="CD182" s="549">
        <f t="shared" si="6479"/>
        <v>0</v>
      </c>
      <c r="CE182" s="675">
        <f t="shared" si="6479"/>
        <v>0</v>
      </c>
      <c r="CF182" s="549">
        <f t="shared" ref="CF182:CQ182" si="6480">CF335+CF514</f>
        <v>0</v>
      </c>
      <c r="CG182" s="675">
        <f t="shared" si="6480"/>
        <v>0</v>
      </c>
      <c r="CH182" s="549">
        <f t="shared" si="6480"/>
        <v>0</v>
      </c>
      <c r="CI182" s="675">
        <f t="shared" si="6480"/>
        <v>-2000</v>
      </c>
      <c r="CJ182" s="549">
        <f t="shared" si="6480"/>
        <v>0</v>
      </c>
      <c r="CK182" s="675">
        <f t="shared" si="6480"/>
        <v>-50000</v>
      </c>
      <c r="CL182" s="549">
        <f t="shared" si="6480"/>
        <v>0</v>
      </c>
      <c r="CM182" s="675">
        <f t="shared" si="6480"/>
        <v>0</v>
      </c>
      <c r="CN182" s="549">
        <f t="shared" si="6480"/>
        <v>0</v>
      </c>
      <c r="CO182" s="675">
        <f t="shared" si="6480"/>
        <v>0</v>
      </c>
      <c r="CP182" s="549">
        <f t="shared" si="6480"/>
        <v>0</v>
      </c>
      <c r="CQ182" s="675">
        <f t="shared" si="6480"/>
        <v>0</v>
      </c>
      <c r="CR182" s="549">
        <f t="shared" ref="CR182:CY182" si="6481">CR335+CR514</f>
        <v>0</v>
      </c>
      <c r="CS182" s="675">
        <f t="shared" si="6481"/>
        <v>0</v>
      </c>
      <c r="CT182" s="549">
        <f t="shared" si="6481"/>
        <v>0</v>
      </c>
      <c r="CU182" s="675">
        <f t="shared" si="6481"/>
        <v>0</v>
      </c>
      <c r="CV182" s="549">
        <f t="shared" si="6481"/>
        <v>0</v>
      </c>
      <c r="CW182" s="675">
        <f t="shared" si="6481"/>
        <v>0</v>
      </c>
      <c r="CX182" s="549">
        <f t="shared" si="6481"/>
        <v>0</v>
      </c>
      <c r="CY182" s="675">
        <f t="shared" si="6481"/>
        <v>0</v>
      </c>
      <c r="CZ182" s="549">
        <f t="shared" ref="CZ182:DM182" si="6482">CZ335+CZ514</f>
        <v>0</v>
      </c>
      <c r="DA182" s="675">
        <f t="shared" si="6482"/>
        <v>0</v>
      </c>
      <c r="DB182" s="549">
        <f t="shared" si="6482"/>
        <v>0</v>
      </c>
      <c r="DC182" s="675">
        <f t="shared" si="6482"/>
        <v>0</v>
      </c>
      <c r="DD182" s="549">
        <f t="shared" si="6482"/>
        <v>0</v>
      </c>
      <c r="DE182" s="675">
        <f t="shared" si="6482"/>
        <v>0</v>
      </c>
      <c r="DF182" s="549">
        <f t="shared" si="6482"/>
        <v>0</v>
      </c>
      <c r="DG182" s="675">
        <f t="shared" si="6482"/>
        <v>0</v>
      </c>
      <c r="DH182" s="549">
        <f t="shared" si="6482"/>
        <v>0</v>
      </c>
      <c r="DI182" s="675">
        <f t="shared" si="6482"/>
        <v>0</v>
      </c>
      <c r="DJ182" s="549">
        <f t="shared" si="6482"/>
        <v>0</v>
      </c>
      <c r="DK182" s="675">
        <f t="shared" si="6482"/>
        <v>0</v>
      </c>
      <c r="DL182" s="549">
        <f t="shared" si="6482"/>
        <v>0</v>
      </c>
      <c r="DM182" s="675">
        <f t="shared" si="6482"/>
        <v>0</v>
      </c>
      <c r="DN182" s="549">
        <f t="shared" ref="DN182:DW182" si="6483">DN335+DN514</f>
        <v>0</v>
      </c>
      <c r="DO182" s="675">
        <f t="shared" si="6483"/>
        <v>0</v>
      </c>
      <c r="DP182" s="549">
        <f t="shared" si="6483"/>
        <v>0</v>
      </c>
      <c r="DQ182" s="675">
        <f t="shared" si="6483"/>
        <v>-15000</v>
      </c>
      <c r="DR182" s="549">
        <f t="shared" si="6483"/>
        <v>0</v>
      </c>
      <c r="DS182" s="675">
        <f t="shared" si="6483"/>
        <v>0</v>
      </c>
      <c r="DT182" s="549">
        <f t="shared" si="6483"/>
        <v>0</v>
      </c>
      <c r="DU182" s="675">
        <f t="shared" si="6483"/>
        <v>0</v>
      </c>
      <c r="DV182" s="549">
        <f t="shared" si="6483"/>
        <v>0</v>
      </c>
      <c r="DW182" s="675">
        <f t="shared" si="6483"/>
        <v>0</v>
      </c>
      <c r="DX182" s="549">
        <f t="shared" ref="DX182:EG182" si="6484">DX335+DX514</f>
        <v>0</v>
      </c>
      <c r="DY182" s="675">
        <f t="shared" si="6484"/>
        <v>0</v>
      </c>
      <c r="DZ182" s="549">
        <f t="shared" si="6484"/>
        <v>0</v>
      </c>
      <c r="EA182" s="675">
        <f t="shared" si="6484"/>
        <v>0</v>
      </c>
      <c r="EB182" s="549">
        <f t="shared" si="6484"/>
        <v>0</v>
      </c>
      <c r="EC182" s="675">
        <f t="shared" si="6484"/>
        <v>0</v>
      </c>
      <c r="ED182" s="549">
        <f t="shared" si="6484"/>
        <v>0</v>
      </c>
      <c r="EE182" s="675">
        <f t="shared" si="6484"/>
        <v>0</v>
      </c>
      <c r="EF182" s="549">
        <f t="shared" si="6484"/>
        <v>0</v>
      </c>
      <c r="EG182" s="675">
        <f t="shared" si="6484"/>
        <v>0</v>
      </c>
      <c r="EH182" s="549">
        <f t="shared" ref="EH182:EM182" si="6485">EH335+EH514</f>
        <v>0</v>
      </c>
      <c r="EI182" s="675">
        <f t="shared" si="6485"/>
        <v>0</v>
      </c>
      <c r="EJ182" s="549">
        <f t="shared" si="6485"/>
        <v>0</v>
      </c>
      <c r="EK182" s="675">
        <f t="shared" si="6485"/>
        <v>0</v>
      </c>
      <c r="EL182" s="549">
        <f t="shared" si="6485"/>
        <v>0</v>
      </c>
      <c r="EM182" s="675">
        <f t="shared" si="6485"/>
        <v>0</v>
      </c>
      <c r="EN182" s="549">
        <f t="shared" ref="EN182:EO182" si="6486">EN335+EN514</f>
        <v>0</v>
      </c>
      <c r="EO182" s="675">
        <f t="shared" si="6486"/>
        <v>0</v>
      </c>
      <c r="EP182" s="549">
        <f t="shared" ref="EP182:FA182" si="6487">EP335+EP514</f>
        <v>0</v>
      </c>
      <c r="EQ182" s="675">
        <f t="shared" si="6487"/>
        <v>0</v>
      </c>
      <c r="ER182" s="549">
        <f t="shared" si="6487"/>
        <v>0</v>
      </c>
      <c r="ES182" s="675">
        <f t="shared" si="6487"/>
        <v>0</v>
      </c>
      <c r="ET182" s="549">
        <f t="shared" si="6487"/>
        <v>0</v>
      </c>
      <c r="EU182" s="675">
        <f t="shared" si="6487"/>
        <v>0</v>
      </c>
      <c r="EV182" s="549">
        <f t="shared" ref="EV182:EW182" si="6488">EV335+EV514</f>
        <v>0</v>
      </c>
      <c r="EW182" s="675">
        <f t="shared" si="6488"/>
        <v>0</v>
      </c>
      <c r="EX182" s="549">
        <f t="shared" si="6487"/>
        <v>0</v>
      </c>
      <c r="EY182" s="675">
        <f t="shared" si="6487"/>
        <v>0</v>
      </c>
      <c r="EZ182" s="549">
        <f t="shared" si="6487"/>
        <v>0</v>
      </c>
      <c r="FA182" s="675">
        <f t="shared" si="6487"/>
        <v>0</v>
      </c>
      <c r="FB182" s="549">
        <f t="shared" ref="FB182:FC182" si="6489">FB335+FB514</f>
        <v>0</v>
      </c>
      <c r="FC182" s="675">
        <f t="shared" si="6489"/>
        <v>0</v>
      </c>
      <c r="FD182" s="549">
        <f t="shared" ref="FD182:FE182" si="6490">FD335+FD514</f>
        <v>0</v>
      </c>
      <c r="FE182" s="675">
        <f t="shared" si="6490"/>
        <v>-5000</v>
      </c>
      <c r="FF182" s="549">
        <f t="shared" ref="FF182:FG182" si="6491">FF335+FF514</f>
        <v>0</v>
      </c>
      <c r="FG182" s="675">
        <f t="shared" si="6491"/>
        <v>0</v>
      </c>
      <c r="FH182" s="549">
        <f t="shared" ref="FH182:FI182" si="6492">FH335+FH514</f>
        <v>0</v>
      </c>
      <c r="FI182" s="675">
        <f t="shared" si="6492"/>
        <v>0</v>
      </c>
      <c r="FJ182" s="549">
        <f t="shared" ref="FJ182:FK182" si="6493">FJ335+FJ514</f>
        <v>0</v>
      </c>
      <c r="FK182" s="675">
        <f t="shared" si="6493"/>
        <v>0</v>
      </c>
      <c r="FL182" s="549">
        <f t="shared" ref="FL182:FM182" si="6494">FL335+FL514</f>
        <v>0</v>
      </c>
      <c r="FM182" s="675">
        <f t="shared" si="6494"/>
        <v>-289</v>
      </c>
      <c r="FN182" s="549">
        <f t="shared" ref="FN182:FO182" si="6495">FN335+FN514</f>
        <v>0</v>
      </c>
      <c r="FO182" s="675">
        <f t="shared" si="6495"/>
        <v>0</v>
      </c>
      <c r="FP182" s="549">
        <f t="shared" ref="FP182:FQ182" si="6496">FP335+FP514</f>
        <v>0</v>
      </c>
      <c r="FQ182" s="675">
        <f t="shared" si="6496"/>
        <v>0</v>
      </c>
      <c r="FR182" s="549">
        <f t="shared" ref="FR182:FS182" si="6497">FR335+FR514</f>
        <v>0</v>
      </c>
      <c r="FS182" s="675">
        <f t="shared" si="6497"/>
        <v>0</v>
      </c>
      <c r="FT182" s="549">
        <f t="shared" ref="FT182:FU182" si="6498">FT335+FT514</f>
        <v>0</v>
      </c>
      <c r="FU182" s="675">
        <f t="shared" si="6498"/>
        <v>0</v>
      </c>
      <c r="FV182" s="549">
        <f t="shared" ref="FV182:GK182" si="6499">FV335+FV514</f>
        <v>0</v>
      </c>
      <c r="FW182" s="675">
        <f t="shared" si="6499"/>
        <v>0</v>
      </c>
      <c r="FX182" s="549">
        <f t="shared" si="6499"/>
        <v>0</v>
      </c>
      <c r="FY182" s="675">
        <f t="shared" si="6499"/>
        <v>0</v>
      </c>
      <c r="FZ182" s="549">
        <f t="shared" ref="FZ182:GI182" si="6500">FZ335+FZ514</f>
        <v>0</v>
      </c>
      <c r="GA182" s="675">
        <f t="shared" si="6500"/>
        <v>0</v>
      </c>
      <c r="GB182" s="549">
        <f t="shared" si="6500"/>
        <v>0</v>
      </c>
      <c r="GC182" s="675">
        <f t="shared" si="6500"/>
        <v>0</v>
      </c>
      <c r="GD182" s="549">
        <f t="shared" si="6500"/>
        <v>0</v>
      </c>
      <c r="GE182" s="675">
        <f t="shared" si="6500"/>
        <v>0</v>
      </c>
      <c r="GF182" s="549">
        <f t="shared" si="6500"/>
        <v>0</v>
      </c>
      <c r="GG182" s="675">
        <f t="shared" si="6500"/>
        <v>0</v>
      </c>
      <c r="GH182" s="549">
        <f t="shared" si="6500"/>
        <v>0</v>
      </c>
      <c r="GI182" s="675">
        <f t="shared" si="6500"/>
        <v>0</v>
      </c>
      <c r="GJ182" s="549">
        <f t="shared" si="6499"/>
        <v>0</v>
      </c>
      <c r="GK182" s="675">
        <f t="shared" si="6499"/>
        <v>0</v>
      </c>
      <c r="GL182" s="549">
        <f t="shared" ref="GL182:GQ182" si="6501">GL335+GL514</f>
        <v>0</v>
      </c>
      <c r="GM182" s="675">
        <f t="shared" si="6501"/>
        <v>0</v>
      </c>
      <c r="GN182" s="549">
        <f t="shared" ref="GN182:GO182" si="6502">GN335+GN514</f>
        <v>0</v>
      </c>
      <c r="GO182" s="675">
        <f t="shared" si="6502"/>
        <v>0</v>
      </c>
      <c r="GP182" s="74">
        <f t="shared" si="6501"/>
        <v>123000</v>
      </c>
      <c r="GQ182" s="675">
        <f t="shared" si="6501"/>
        <v>-80289</v>
      </c>
      <c r="GR182" s="74">
        <f t="shared" ref="GR182:HJ182" si="6503">GR335+GR514</f>
        <v>192711</v>
      </c>
      <c r="GS182" s="74">
        <f t="shared" si="6503"/>
        <v>192711</v>
      </c>
      <c r="GT182" s="549">
        <f t="shared" si="6503"/>
        <v>192711</v>
      </c>
      <c r="GU182" s="74">
        <f t="shared" si="6503"/>
        <v>30000</v>
      </c>
      <c r="GV182" s="74">
        <f t="shared" si="6503"/>
        <v>20000</v>
      </c>
      <c r="GW182" s="549">
        <f t="shared" si="6503"/>
        <v>20000</v>
      </c>
      <c r="GX182" s="549">
        <f t="shared" si="6503"/>
        <v>20000</v>
      </c>
      <c r="GY182" s="74">
        <f t="shared" si="6503"/>
        <v>20000</v>
      </c>
      <c r="GZ182" s="74">
        <f t="shared" si="6503"/>
        <v>20000</v>
      </c>
      <c r="HA182" s="74">
        <f t="shared" si="6503"/>
        <v>20000</v>
      </c>
      <c r="HB182" s="74">
        <f t="shared" si="6503"/>
        <v>0</v>
      </c>
      <c r="HC182" s="74">
        <f t="shared" si="6503"/>
        <v>0</v>
      </c>
      <c r="HD182" s="74">
        <f t="shared" si="6503"/>
        <v>0</v>
      </c>
      <c r="HE182" s="74">
        <f t="shared" si="6503"/>
        <v>0</v>
      </c>
      <c r="HF182" s="74">
        <f t="shared" si="6503"/>
        <v>0</v>
      </c>
      <c r="HG182" s="74">
        <f t="shared" si="6503"/>
        <v>192711</v>
      </c>
      <c r="HH182" s="74">
        <f t="shared" si="6503"/>
        <v>30000</v>
      </c>
      <c r="HI182" s="74">
        <f t="shared" si="6503"/>
        <v>0</v>
      </c>
      <c r="HJ182" s="74">
        <f t="shared" si="6503"/>
        <v>17000</v>
      </c>
      <c r="HK182" s="74">
        <f t="shared" ref="HK182:IP182" si="6504">HK335+HK514</f>
        <v>0</v>
      </c>
      <c r="HL182" s="74">
        <f t="shared" si="6504"/>
        <v>143000</v>
      </c>
      <c r="HM182" s="74">
        <f t="shared" si="6504"/>
        <v>0</v>
      </c>
      <c r="HN182" s="74">
        <f t="shared" si="6504"/>
        <v>10000</v>
      </c>
      <c r="HO182" s="74">
        <f t="shared" si="6504"/>
        <v>0</v>
      </c>
      <c r="HP182" s="74">
        <f t="shared" si="6504"/>
        <v>0</v>
      </c>
      <c r="HQ182" s="74">
        <f t="shared" si="6504"/>
        <v>0</v>
      </c>
      <c r="HR182" s="74">
        <f t="shared" si="6504"/>
        <v>0</v>
      </c>
      <c r="HS182" s="74">
        <f t="shared" si="6504"/>
        <v>0</v>
      </c>
      <c r="HT182" s="74">
        <f t="shared" si="6504"/>
        <v>0</v>
      </c>
      <c r="HU182" s="74">
        <f t="shared" si="6504"/>
        <v>0</v>
      </c>
      <c r="HV182" s="74">
        <f t="shared" si="6504"/>
        <v>0</v>
      </c>
      <c r="HW182" s="74">
        <f t="shared" si="6504"/>
        <v>0</v>
      </c>
      <c r="HX182" s="74">
        <f t="shared" si="6504"/>
        <v>-2000</v>
      </c>
      <c r="HY182" s="74">
        <f t="shared" si="6504"/>
        <v>0</v>
      </c>
      <c r="HZ182" s="74">
        <f t="shared" si="6504"/>
        <v>-5289</v>
      </c>
      <c r="IA182" s="74">
        <f t="shared" si="6504"/>
        <v>0</v>
      </c>
      <c r="IB182" s="74">
        <f t="shared" si="6504"/>
        <v>0</v>
      </c>
      <c r="IC182" s="74">
        <f t="shared" si="6504"/>
        <v>0</v>
      </c>
      <c r="ID182" s="74">
        <f t="shared" si="6504"/>
        <v>0</v>
      </c>
      <c r="IE182" s="792">
        <f t="shared" si="6504"/>
        <v>0</v>
      </c>
      <c r="IF182" s="841">
        <f t="shared" si="6504"/>
        <v>192296.43</v>
      </c>
      <c r="IG182" s="263">
        <f t="shared" si="6504"/>
        <v>192296.43</v>
      </c>
      <c r="IH182" s="842">
        <f t="shared" si="6504"/>
        <v>192296.43</v>
      </c>
      <c r="II182" s="155">
        <f t="shared" si="6504"/>
        <v>0</v>
      </c>
      <c r="IJ182" s="74">
        <f t="shared" si="6504"/>
        <v>0</v>
      </c>
      <c r="IK182" s="74">
        <f t="shared" si="6504"/>
        <v>0</v>
      </c>
      <c r="IL182" s="74">
        <f t="shared" si="6504"/>
        <v>0</v>
      </c>
      <c r="IM182" s="74">
        <f t="shared" si="6504"/>
        <v>0</v>
      </c>
      <c r="IN182" s="74">
        <f t="shared" si="6504"/>
        <v>0</v>
      </c>
      <c r="IO182" s="74">
        <f t="shared" si="6504"/>
        <v>0</v>
      </c>
      <c r="IP182" s="74">
        <f t="shared" si="6504"/>
        <v>0</v>
      </c>
      <c r="IQ182" s="74">
        <f t="shared" ref="IQ182:JT182" si="6505">IQ335+IQ514</f>
        <v>0</v>
      </c>
      <c r="IR182" s="74">
        <f t="shared" si="6505"/>
        <v>0</v>
      </c>
      <c r="IS182" s="74">
        <f t="shared" si="6505"/>
        <v>0</v>
      </c>
      <c r="IT182" s="74">
        <f t="shared" si="6505"/>
        <v>0</v>
      </c>
      <c r="IU182" s="74">
        <f t="shared" si="6505"/>
        <v>0</v>
      </c>
      <c r="IV182" s="74">
        <f t="shared" si="6505"/>
        <v>0</v>
      </c>
      <c r="IW182" s="74">
        <f t="shared" si="6505"/>
        <v>0</v>
      </c>
      <c r="IX182" s="74">
        <f t="shared" si="6505"/>
        <v>1268.8</v>
      </c>
      <c r="IY182" s="74">
        <f t="shared" si="6505"/>
        <v>1268.8</v>
      </c>
      <c r="IZ182" s="74">
        <f t="shared" si="6505"/>
        <v>1268.8</v>
      </c>
      <c r="JA182" s="74">
        <f t="shared" si="6505"/>
        <v>863.68000000000006</v>
      </c>
      <c r="JB182" s="74">
        <f t="shared" si="6505"/>
        <v>863.68000000000006</v>
      </c>
      <c r="JC182" s="74">
        <f t="shared" si="6505"/>
        <v>863.68000000000006</v>
      </c>
      <c r="JD182" s="74">
        <f t="shared" si="6505"/>
        <v>189300.27</v>
      </c>
      <c r="JE182" s="74">
        <f t="shared" si="6505"/>
        <v>189300.27</v>
      </c>
      <c r="JF182" s="74">
        <f t="shared" si="6505"/>
        <v>189300.27</v>
      </c>
      <c r="JG182" s="74">
        <f t="shared" si="6505"/>
        <v>863.67999999999302</v>
      </c>
      <c r="JH182" s="74">
        <f t="shared" si="6505"/>
        <v>863.67999999999302</v>
      </c>
      <c r="JI182" s="74">
        <f t="shared" si="6505"/>
        <v>863.67999999999302</v>
      </c>
      <c r="JJ182" s="74">
        <f t="shared" si="6505"/>
        <v>0</v>
      </c>
      <c r="JK182" s="74">
        <f t="shared" si="6505"/>
        <v>0</v>
      </c>
      <c r="JL182" s="74">
        <f t="shared" si="6505"/>
        <v>0</v>
      </c>
      <c r="JM182" s="74">
        <f t="shared" si="6505"/>
        <v>0</v>
      </c>
      <c r="JN182" s="74">
        <f t="shared" si="6505"/>
        <v>0</v>
      </c>
      <c r="JO182" s="74">
        <f t="shared" si="6505"/>
        <v>0</v>
      </c>
      <c r="JP182" s="74">
        <f t="shared" si="6505"/>
        <v>0</v>
      </c>
      <c r="JQ182" s="74">
        <f t="shared" si="6505"/>
        <v>0</v>
      </c>
      <c r="JR182" s="74">
        <f t="shared" si="6505"/>
        <v>0</v>
      </c>
      <c r="JS182" s="74">
        <f t="shared" si="6505"/>
        <v>414.57000000000698</v>
      </c>
      <c r="JT182" s="102">
        <f t="shared" si="6505"/>
        <v>414.57000000000698</v>
      </c>
      <c r="JU182" s="671"/>
      <c r="JV182" s="492"/>
      <c r="JW182" s="490"/>
      <c r="JX182" s="549">
        <f>JX335+JX514</f>
        <v>192711</v>
      </c>
      <c r="JY182" s="549">
        <f>JY335+JY514</f>
        <v>0</v>
      </c>
      <c r="JZ182" s="581">
        <f t="shared" si="4944"/>
        <v>123000</v>
      </c>
      <c r="KA182" s="581">
        <f t="shared" si="4945"/>
        <v>-80289</v>
      </c>
      <c r="KB182" s="549">
        <f>KB335+KB514</f>
        <v>192711</v>
      </c>
      <c r="KC182" s="709">
        <f t="shared" si="4908"/>
        <v>0</v>
      </c>
      <c r="KD182" s="36"/>
      <c r="KE182" s="36"/>
      <c r="KF182" s="36"/>
      <c r="KG182" s="36"/>
      <c r="KH182" s="36"/>
      <c r="KI182" s="36"/>
      <c r="KJ182" s="36"/>
      <c r="KK182" s="36"/>
    </row>
    <row r="183" spans="1:297" s="8" customFormat="1">
      <c r="A183" s="75"/>
      <c r="B183" s="72"/>
      <c r="C183" s="74"/>
      <c r="D183" s="549"/>
      <c r="E183" s="675"/>
      <c r="F183" s="549"/>
      <c r="G183" s="675"/>
      <c r="H183" s="549"/>
      <c r="I183" s="675"/>
      <c r="J183" s="549"/>
      <c r="K183" s="675"/>
      <c r="L183" s="549"/>
      <c r="M183" s="675"/>
      <c r="N183" s="549"/>
      <c r="O183" s="675"/>
      <c r="P183" s="549"/>
      <c r="Q183" s="675"/>
      <c r="R183" s="549"/>
      <c r="S183" s="675"/>
      <c r="T183" s="549"/>
      <c r="U183" s="675"/>
      <c r="V183" s="549"/>
      <c r="W183" s="675"/>
      <c r="X183" s="549"/>
      <c r="Y183" s="675"/>
      <c r="Z183" s="549"/>
      <c r="AA183" s="675"/>
      <c r="AB183" s="549"/>
      <c r="AC183" s="675"/>
      <c r="AD183" s="549"/>
      <c r="AE183" s="675"/>
      <c r="AF183" s="549"/>
      <c r="AG183" s="675"/>
      <c r="AH183" s="549"/>
      <c r="AI183" s="675"/>
      <c r="AJ183" s="549"/>
      <c r="AK183" s="675"/>
      <c r="AL183" s="549"/>
      <c r="AM183" s="675"/>
      <c r="AN183" s="549"/>
      <c r="AO183" s="675"/>
      <c r="AP183" s="549"/>
      <c r="AQ183" s="675"/>
      <c r="AR183" s="549"/>
      <c r="AS183" s="675"/>
      <c r="AT183" s="549"/>
      <c r="AU183" s="675"/>
      <c r="AV183" s="549"/>
      <c r="AW183" s="675"/>
      <c r="AX183" s="549"/>
      <c r="AY183" s="675"/>
      <c r="AZ183" s="549"/>
      <c r="BA183" s="675"/>
      <c r="BB183" s="549"/>
      <c r="BC183" s="675"/>
      <c r="BD183" s="549"/>
      <c r="BE183" s="675"/>
      <c r="BF183" s="549"/>
      <c r="BG183" s="675"/>
      <c r="BH183" s="549"/>
      <c r="BI183" s="675"/>
      <c r="BJ183" s="549"/>
      <c r="BK183" s="675"/>
      <c r="BL183" s="549"/>
      <c r="BM183" s="675"/>
      <c r="BN183" s="549"/>
      <c r="BO183" s="675"/>
      <c r="BP183" s="549"/>
      <c r="BQ183" s="675"/>
      <c r="BR183" s="549"/>
      <c r="BS183" s="675"/>
      <c r="BT183" s="549"/>
      <c r="BU183" s="675"/>
      <c r="BV183" s="549"/>
      <c r="BW183" s="675"/>
      <c r="BX183" s="549"/>
      <c r="BY183" s="675"/>
      <c r="BZ183" s="549"/>
      <c r="CA183" s="675"/>
      <c r="CB183" s="549"/>
      <c r="CC183" s="675"/>
      <c r="CD183" s="549"/>
      <c r="CE183" s="675"/>
      <c r="CF183" s="549"/>
      <c r="CG183" s="675"/>
      <c r="CH183" s="549"/>
      <c r="CI183" s="675"/>
      <c r="CJ183" s="549"/>
      <c r="CK183" s="675"/>
      <c r="CL183" s="549"/>
      <c r="CM183" s="675"/>
      <c r="CN183" s="549"/>
      <c r="CO183" s="675"/>
      <c r="CP183" s="549"/>
      <c r="CQ183" s="675"/>
      <c r="CR183" s="549"/>
      <c r="CS183" s="675"/>
      <c r="CT183" s="549"/>
      <c r="CU183" s="675"/>
      <c r="CV183" s="549"/>
      <c r="CW183" s="675"/>
      <c r="CX183" s="549"/>
      <c r="CY183" s="675"/>
      <c r="CZ183" s="549"/>
      <c r="DA183" s="675"/>
      <c r="DB183" s="549"/>
      <c r="DC183" s="675"/>
      <c r="DD183" s="549"/>
      <c r="DE183" s="675"/>
      <c r="DF183" s="549"/>
      <c r="DG183" s="675"/>
      <c r="DH183" s="549"/>
      <c r="DI183" s="675"/>
      <c r="DJ183" s="549"/>
      <c r="DK183" s="675"/>
      <c r="DL183" s="549"/>
      <c r="DM183" s="675"/>
      <c r="DN183" s="549"/>
      <c r="DO183" s="675"/>
      <c r="DP183" s="549"/>
      <c r="DQ183" s="675"/>
      <c r="DR183" s="549"/>
      <c r="DS183" s="675"/>
      <c r="DT183" s="549"/>
      <c r="DU183" s="675"/>
      <c r="DV183" s="549"/>
      <c r="DW183" s="675"/>
      <c r="DX183" s="549"/>
      <c r="DY183" s="675"/>
      <c r="DZ183" s="549"/>
      <c r="EA183" s="675"/>
      <c r="EB183" s="549"/>
      <c r="EC183" s="675"/>
      <c r="ED183" s="549"/>
      <c r="EE183" s="675"/>
      <c r="EF183" s="549"/>
      <c r="EG183" s="675"/>
      <c r="EH183" s="549"/>
      <c r="EI183" s="675"/>
      <c r="EJ183" s="549"/>
      <c r="EK183" s="675"/>
      <c r="EL183" s="549"/>
      <c r="EM183" s="675"/>
      <c r="EN183" s="549"/>
      <c r="EO183" s="675"/>
      <c r="EP183" s="549"/>
      <c r="EQ183" s="675"/>
      <c r="ER183" s="549"/>
      <c r="ES183" s="675"/>
      <c r="ET183" s="549"/>
      <c r="EU183" s="675"/>
      <c r="EV183" s="549"/>
      <c r="EW183" s="675"/>
      <c r="EX183" s="549"/>
      <c r="EY183" s="675"/>
      <c r="EZ183" s="549"/>
      <c r="FA183" s="675"/>
      <c r="FB183" s="549"/>
      <c r="FC183" s="675"/>
      <c r="FD183" s="549"/>
      <c r="FE183" s="675"/>
      <c r="FF183" s="549"/>
      <c r="FG183" s="675"/>
      <c r="FH183" s="549"/>
      <c r="FI183" s="675"/>
      <c r="FJ183" s="549"/>
      <c r="FK183" s="675"/>
      <c r="FL183" s="549"/>
      <c r="FM183" s="675"/>
      <c r="FN183" s="549"/>
      <c r="FO183" s="675"/>
      <c r="FP183" s="549"/>
      <c r="FQ183" s="675"/>
      <c r="FR183" s="549"/>
      <c r="FS183" s="675"/>
      <c r="FT183" s="549"/>
      <c r="FU183" s="675"/>
      <c r="FV183" s="549"/>
      <c r="FW183" s="675"/>
      <c r="FX183" s="549"/>
      <c r="FY183" s="675"/>
      <c r="FZ183" s="549"/>
      <c r="GA183" s="675"/>
      <c r="GB183" s="549"/>
      <c r="GC183" s="675"/>
      <c r="GD183" s="549"/>
      <c r="GE183" s="675"/>
      <c r="GF183" s="549"/>
      <c r="GG183" s="675"/>
      <c r="GH183" s="549"/>
      <c r="GI183" s="675"/>
      <c r="GJ183" s="549"/>
      <c r="GK183" s="675"/>
      <c r="GL183" s="549"/>
      <c r="GM183" s="675"/>
      <c r="GN183" s="549"/>
      <c r="GO183" s="675"/>
      <c r="GP183" s="74"/>
      <c r="GQ183" s="675"/>
      <c r="GR183" s="74"/>
      <c r="GS183" s="74"/>
      <c r="GT183" s="549"/>
      <c r="GU183" s="74"/>
      <c r="GV183" s="74"/>
      <c r="GW183" s="549"/>
      <c r="GX183" s="549"/>
      <c r="GY183" s="74"/>
      <c r="GZ183" s="74"/>
      <c r="HA183" s="74"/>
      <c r="HB183" s="74"/>
      <c r="HC183" s="74"/>
      <c r="HD183" s="74"/>
      <c r="HE183" s="74"/>
      <c r="HF183" s="74"/>
      <c r="HG183" s="74"/>
      <c r="HH183" s="74"/>
      <c r="HI183" s="74"/>
      <c r="HJ183" s="74"/>
      <c r="HK183" s="74"/>
      <c r="HL183" s="74"/>
      <c r="HM183" s="74"/>
      <c r="HN183" s="74"/>
      <c r="HO183" s="74"/>
      <c r="HP183" s="74"/>
      <c r="HQ183" s="74"/>
      <c r="HR183" s="74"/>
      <c r="HS183" s="74"/>
      <c r="HT183" s="74"/>
      <c r="HU183" s="74"/>
      <c r="HV183" s="74"/>
      <c r="HW183" s="74"/>
      <c r="HX183" s="74"/>
      <c r="HY183" s="74"/>
      <c r="HZ183" s="74"/>
      <c r="IA183" s="74"/>
      <c r="IB183" s="74"/>
      <c r="IC183" s="74"/>
      <c r="ID183" s="74"/>
      <c r="IE183" s="792"/>
      <c r="IF183" s="841"/>
      <c r="IG183" s="263"/>
      <c r="IH183" s="842"/>
      <c r="II183" s="155"/>
      <c r="IJ183" s="74"/>
      <c r="IK183" s="74"/>
      <c r="IL183" s="74"/>
      <c r="IM183" s="74"/>
      <c r="IN183" s="74"/>
      <c r="IO183" s="74"/>
      <c r="IP183" s="74"/>
      <c r="IQ183" s="74"/>
      <c r="IR183" s="74"/>
      <c r="IS183" s="74"/>
      <c r="IT183" s="74"/>
      <c r="IU183" s="74"/>
      <c r="IV183" s="74"/>
      <c r="IW183" s="74"/>
      <c r="IX183" s="74"/>
      <c r="IY183" s="74"/>
      <c r="IZ183" s="74"/>
      <c r="JA183" s="74"/>
      <c r="JB183" s="74"/>
      <c r="JC183" s="74"/>
      <c r="JD183" s="74"/>
      <c r="JE183" s="74"/>
      <c r="JF183" s="74"/>
      <c r="JG183" s="74"/>
      <c r="JH183" s="74"/>
      <c r="JI183" s="74"/>
      <c r="JJ183" s="74"/>
      <c r="JK183" s="74"/>
      <c r="JL183" s="74"/>
      <c r="JM183" s="74"/>
      <c r="JN183" s="74"/>
      <c r="JO183" s="74"/>
      <c r="JP183" s="74"/>
      <c r="JQ183" s="74"/>
      <c r="JR183" s="74"/>
      <c r="JS183" s="74"/>
      <c r="JT183" s="382"/>
      <c r="JU183" s="670"/>
      <c r="JV183" s="489"/>
      <c r="JW183" s="529"/>
      <c r="JX183" s="549"/>
      <c r="JY183" s="549"/>
      <c r="JZ183" s="581">
        <f t="shared" si="4944"/>
        <v>0</v>
      </c>
      <c r="KA183" s="581">
        <f t="shared" si="4945"/>
        <v>0</v>
      </c>
      <c r="KB183" s="549"/>
      <c r="KC183" s="709">
        <f t="shared" si="4908"/>
        <v>0</v>
      </c>
      <c r="KD183" s="36"/>
      <c r="KE183" s="36"/>
      <c r="KF183" s="36"/>
      <c r="KG183" s="36"/>
      <c r="KH183" s="36"/>
      <c r="KI183" s="36"/>
      <c r="KJ183" s="36"/>
      <c r="KK183" s="36"/>
    </row>
    <row r="184" spans="1:297" s="8" customFormat="1" ht="12.75" hidden="1" customHeight="1">
      <c r="A184" s="75" t="s">
        <v>507</v>
      </c>
      <c r="B184" s="72"/>
      <c r="C184" s="74">
        <f t="shared" ref="C184:IG184" si="6506">SUM(C185)</f>
        <v>0</v>
      </c>
      <c r="D184" s="549">
        <f t="shared" si="6506"/>
        <v>0</v>
      </c>
      <c r="E184" s="675">
        <f t="shared" si="6506"/>
        <v>0</v>
      </c>
      <c r="F184" s="549">
        <f t="shared" si="6506"/>
        <v>0</v>
      </c>
      <c r="G184" s="675">
        <f t="shared" si="6506"/>
        <v>0</v>
      </c>
      <c r="H184" s="549">
        <f t="shared" si="6506"/>
        <v>0</v>
      </c>
      <c r="I184" s="675">
        <f t="shared" si="6506"/>
        <v>0</v>
      </c>
      <c r="J184" s="549">
        <f t="shared" si="6506"/>
        <v>0</v>
      </c>
      <c r="K184" s="675">
        <f t="shared" si="6506"/>
        <v>0</v>
      </c>
      <c r="L184" s="549">
        <f t="shared" si="6506"/>
        <v>0</v>
      </c>
      <c r="M184" s="675">
        <f t="shared" si="6506"/>
        <v>0</v>
      </c>
      <c r="N184" s="549">
        <f t="shared" si="6506"/>
        <v>0</v>
      </c>
      <c r="O184" s="675">
        <f t="shared" si="6506"/>
        <v>0</v>
      </c>
      <c r="P184" s="549">
        <f t="shared" si="6506"/>
        <v>0</v>
      </c>
      <c r="Q184" s="675">
        <f t="shared" si="6506"/>
        <v>0</v>
      </c>
      <c r="R184" s="549">
        <f t="shared" si="6506"/>
        <v>0</v>
      </c>
      <c r="S184" s="675">
        <f t="shared" si="6506"/>
        <v>0</v>
      </c>
      <c r="T184" s="549">
        <f t="shared" si="6506"/>
        <v>0</v>
      </c>
      <c r="U184" s="675">
        <f t="shared" si="6506"/>
        <v>0</v>
      </c>
      <c r="V184" s="549">
        <f t="shared" si="6506"/>
        <v>0</v>
      </c>
      <c r="W184" s="675">
        <f t="shared" si="6506"/>
        <v>0</v>
      </c>
      <c r="X184" s="549">
        <f t="shared" si="6506"/>
        <v>0</v>
      </c>
      <c r="Y184" s="675">
        <f t="shared" si="6506"/>
        <v>0</v>
      </c>
      <c r="Z184" s="549">
        <f t="shared" si="6506"/>
        <v>0</v>
      </c>
      <c r="AA184" s="675">
        <f t="shared" si="6506"/>
        <v>0</v>
      </c>
      <c r="AB184" s="549">
        <f t="shared" si="6506"/>
        <v>0</v>
      </c>
      <c r="AC184" s="675">
        <f t="shared" si="6506"/>
        <v>0</v>
      </c>
      <c r="AD184" s="549">
        <f t="shared" si="6506"/>
        <v>0</v>
      </c>
      <c r="AE184" s="675">
        <f t="shared" si="6506"/>
        <v>0</v>
      </c>
      <c r="AF184" s="549">
        <f t="shared" si="6506"/>
        <v>0</v>
      </c>
      <c r="AG184" s="675">
        <f t="shared" si="6506"/>
        <v>0</v>
      </c>
      <c r="AH184" s="549">
        <f t="shared" si="6506"/>
        <v>0</v>
      </c>
      <c r="AI184" s="675">
        <f t="shared" si="6506"/>
        <v>0</v>
      </c>
      <c r="AJ184" s="549">
        <f t="shared" si="6506"/>
        <v>0</v>
      </c>
      <c r="AK184" s="675">
        <f t="shared" si="6506"/>
        <v>0</v>
      </c>
      <c r="AL184" s="549">
        <f t="shared" si="6506"/>
        <v>0</v>
      </c>
      <c r="AM184" s="675">
        <f t="shared" si="6506"/>
        <v>0</v>
      </c>
      <c r="AN184" s="549">
        <f t="shared" si="6506"/>
        <v>0</v>
      </c>
      <c r="AO184" s="675">
        <f t="shared" si="6506"/>
        <v>0</v>
      </c>
      <c r="AP184" s="549">
        <f t="shared" si="6506"/>
        <v>0</v>
      </c>
      <c r="AQ184" s="675">
        <f t="shared" si="6506"/>
        <v>0</v>
      </c>
      <c r="AR184" s="549">
        <f t="shared" si="6506"/>
        <v>0</v>
      </c>
      <c r="AS184" s="675">
        <f t="shared" si="6506"/>
        <v>0</v>
      </c>
      <c r="AT184" s="549">
        <f t="shared" si="6506"/>
        <v>0</v>
      </c>
      <c r="AU184" s="675">
        <f t="shared" si="6506"/>
        <v>0</v>
      </c>
      <c r="AV184" s="549">
        <f t="shared" si="6506"/>
        <v>0</v>
      </c>
      <c r="AW184" s="675">
        <f t="shared" si="6506"/>
        <v>0</v>
      </c>
      <c r="AX184" s="549">
        <f t="shared" si="6506"/>
        <v>0</v>
      </c>
      <c r="AY184" s="675">
        <f t="shared" si="6506"/>
        <v>0</v>
      </c>
      <c r="AZ184" s="549">
        <f t="shared" si="6506"/>
        <v>0</v>
      </c>
      <c r="BA184" s="675">
        <f t="shared" si="6506"/>
        <v>0</v>
      </c>
      <c r="BB184" s="549">
        <f t="shared" si="6506"/>
        <v>0</v>
      </c>
      <c r="BC184" s="675">
        <f t="shared" si="6506"/>
        <v>0</v>
      </c>
      <c r="BD184" s="549">
        <f t="shared" si="6506"/>
        <v>0</v>
      </c>
      <c r="BE184" s="675">
        <f t="shared" si="6506"/>
        <v>0</v>
      </c>
      <c r="BF184" s="549">
        <f t="shared" si="6506"/>
        <v>0</v>
      </c>
      <c r="BG184" s="675">
        <f t="shared" si="6506"/>
        <v>0</v>
      </c>
      <c r="BH184" s="549">
        <f t="shared" si="6506"/>
        <v>0</v>
      </c>
      <c r="BI184" s="675">
        <f t="shared" si="6506"/>
        <v>0</v>
      </c>
      <c r="BJ184" s="549">
        <f t="shared" si="6506"/>
        <v>0</v>
      </c>
      <c r="BK184" s="675">
        <f t="shared" si="6506"/>
        <v>0</v>
      </c>
      <c r="BL184" s="549">
        <f t="shared" si="6506"/>
        <v>0</v>
      </c>
      <c r="BM184" s="675">
        <f t="shared" si="6506"/>
        <v>0</v>
      </c>
      <c r="BN184" s="549">
        <f t="shared" si="6506"/>
        <v>0</v>
      </c>
      <c r="BO184" s="675">
        <f t="shared" si="6506"/>
        <v>0</v>
      </c>
      <c r="BP184" s="549">
        <f t="shared" si="6506"/>
        <v>0</v>
      </c>
      <c r="BQ184" s="675">
        <f t="shared" si="6506"/>
        <v>0</v>
      </c>
      <c r="BR184" s="549">
        <f t="shared" si="6506"/>
        <v>0</v>
      </c>
      <c r="BS184" s="675">
        <f t="shared" si="6506"/>
        <v>0</v>
      </c>
      <c r="BT184" s="549">
        <f t="shared" si="6506"/>
        <v>0</v>
      </c>
      <c r="BU184" s="675">
        <f t="shared" si="6506"/>
        <v>0</v>
      </c>
      <c r="BV184" s="549">
        <f t="shared" si="6506"/>
        <v>0</v>
      </c>
      <c r="BW184" s="675">
        <f t="shared" si="6506"/>
        <v>0</v>
      </c>
      <c r="BX184" s="549">
        <f t="shared" si="6506"/>
        <v>0</v>
      </c>
      <c r="BY184" s="675">
        <f t="shared" si="6506"/>
        <v>0</v>
      </c>
      <c r="BZ184" s="549">
        <f t="shared" si="6506"/>
        <v>0</v>
      </c>
      <c r="CA184" s="675">
        <f t="shared" si="6506"/>
        <v>0</v>
      </c>
      <c r="CB184" s="549">
        <f t="shared" si="6506"/>
        <v>0</v>
      </c>
      <c r="CC184" s="675">
        <f t="shared" si="6506"/>
        <v>0</v>
      </c>
      <c r="CD184" s="549">
        <f t="shared" si="6506"/>
        <v>0</v>
      </c>
      <c r="CE184" s="675">
        <f t="shared" si="6506"/>
        <v>0</v>
      </c>
      <c r="CF184" s="549">
        <f t="shared" si="6506"/>
        <v>0</v>
      </c>
      <c r="CG184" s="675">
        <f t="shared" si="6506"/>
        <v>0</v>
      </c>
      <c r="CH184" s="549">
        <f t="shared" si="6506"/>
        <v>0</v>
      </c>
      <c r="CI184" s="675">
        <f t="shared" si="6506"/>
        <v>0</v>
      </c>
      <c r="CJ184" s="549">
        <f t="shared" si="6506"/>
        <v>0</v>
      </c>
      <c r="CK184" s="675">
        <f t="shared" si="6506"/>
        <v>0</v>
      </c>
      <c r="CL184" s="549">
        <f t="shared" si="6506"/>
        <v>0</v>
      </c>
      <c r="CM184" s="675">
        <f t="shared" si="6506"/>
        <v>0</v>
      </c>
      <c r="CN184" s="549">
        <f t="shared" si="6506"/>
        <v>0</v>
      </c>
      <c r="CO184" s="675">
        <f t="shared" si="6506"/>
        <v>0</v>
      </c>
      <c r="CP184" s="549">
        <f t="shared" si="6506"/>
        <v>0</v>
      </c>
      <c r="CQ184" s="675">
        <f t="shared" si="6506"/>
        <v>0</v>
      </c>
      <c r="CR184" s="549">
        <f t="shared" si="6506"/>
        <v>0</v>
      </c>
      <c r="CS184" s="675">
        <f t="shared" si="6506"/>
        <v>0</v>
      </c>
      <c r="CT184" s="549">
        <f t="shared" si="6506"/>
        <v>0</v>
      </c>
      <c r="CU184" s="675">
        <f t="shared" si="6506"/>
        <v>0</v>
      </c>
      <c r="CV184" s="549">
        <f t="shared" si="6506"/>
        <v>0</v>
      </c>
      <c r="CW184" s="675">
        <f t="shared" si="6506"/>
        <v>0</v>
      </c>
      <c r="CX184" s="549">
        <f t="shared" si="6506"/>
        <v>0</v>
      </c>
      <c r="CY184" s="675">
        <f t="shared" si="6506"/>
        <v>0</v>
      </c>
      <c r="CZ184" s="549">
        <f t="shared" si="6506"/>
        <v>0</v>
      </c>
      <c r="DA184" s="675">
        <f t="shared" si="6506"/>
        <v>0</v>
      </c>
      <c r="DB184" s="549">
        <f t="shared" si="6506"/>
        <v>0</v>
      </c>
      <c r="DC184" s="675">
        <f t="shared" si="6506"/>
        <v>0</v>
      </c>
      <c r="DD184" s="549">
        <f t="shared" si="6506"/>
        <v>0</v>
      </c>
      <c r="DE184" s="675">
        <f t="shared" si="6506"/>
        <v>0</v>
      </c>
      <c r="DF184" s="549">
        <f t="shared" si="6506"/>
        <v>0</v>
      </c>
      <c r="DG184" s="675">
        <f t="shared" si="6506"/>
        <v>0</v>
      </c>
      <c r="DH184" s="549">
        <f t="shared" si="6506"/>
        <v>0</v>
      </c>
      <c r="DI184" s="675">
        <f t="shared" si="6506"/>
        <v>0</v>
      </c>
      <c r="DJ184" s="549">
        <f t="shared" si="6506"/>
        <v>0</v>
      </c>
      <c r="DK184" s="675">
        <f t="shared" si="6506"/>
        <v>0</v>
      </c>
      <c r="DL184" s="549">
        <f t="shared" si="6506"/>
        <v>0</v>
      </c>
      <c r="DM184" s="675">
        <f t="shared" si="6506"/>
        <v>0</v>
      </c>
      <c r="DN184" s="549">
        <f t="shared" si="6506"/>
        <v>0</v>
      </c>
      <c r="DO184" s="675">
        <f t="shared" si="6506"/>
        <v>0</v>
      </c>
      <c r="DP184" s="549">
        <f t="shared" si="6506"/>
        <v>0</v>
      </c>
      <c r="DQ184" s="675">
        <f t="shared" si="6506"/>
        <v>0</v>
      </c>
      <c r="DR184" s="549">
        <f t="shared" si="6506"/>
        <v>0</v>
      </c>
      <c r="DS184" s="675">
        <f t="shared" si="6506"/>
        <v>0</v>
      </c>
      <c r="DT184" s="549">
        <f t="shared" si="6506"/>
        <v>0</v>
      </c>
      <c r="DU184" s="675">
        <f t="shared" si="6506"/>
        <v>0</v>
      </c>
      <c r="DV184" s="549">
        <f t="shared" si="6506"/>
        <v>0</v>
      </c>
      <c r="DW184" s="675">
        <f t="shared" si="6506"/>
        <v>0</v>
      </c>
      <c r="DX184" s="549">
        <f t="shared" si="6506"/>
        <v>0</v>
      </c>
      <c r="DY184" s="675">
        <f t="shared" si="6506"/>
        <v>0</v>
      </c>
      <c r="DZ184" s="549">
        <f t="shared" si="6506"/>
        <v>0</v>
      </c>
      <c r="EA184" s="675">
        <f t="shared" si="6506"/>
        <v>0</v>
      </c>
      <c r="EB184" s="549">
        <f t="shared" si="6506"/>
        <v>0</v>
      </c>
      <c r="EC184" s="675">
        <f t="shared" si="6506"/>
        <v>0</v>
      </c>
      <c r="ED184" s="549">
        <f t="shared" si="6506"/>
        <v>0</v>
      </c>
      <c r="EE184" s="675">
        <f t="shared" si="6506"/>
        <v>0</v>
      </c>
      <c r="EF184" s="549">
        <f t="shared" si="6506"/>
        <v>0</v>
      </c>
      <c r="EG184" s="675">
        <f t="shared" si="6506"/>
        <v>0</v>
      </c>
      <c r="EH184" s="549">
        <f t="shared" si="6506"/>
        <v>0</v>
      </c>
      <c r="EI184" s="675">
        <f t="shared" si="6506"/>
        <v>0</v>
      </c>
      <c r="EJ184" s="549">
        <f t="shared" si="6506"/>
        <v>0</v>
      </c>
      <c r="EK184" s="675">
        <f t="shared" si="6506"/>
        <v>0</v>
      </c>
      <c r="EL184" s="549">
        <f t="shared" si="6506"/>
        <v>0</v>
      </c>
      <c r="EM184" s="675">
        <f t="shared" si="6506"/>
        <v>0</v>
      </c>
      <c r="EN184" s="549">
        <f t="shared" si="6506"/>
        <v>0</v>
      </c>
      <c r="EO184" s="675">
        <f t="shared" si="6506"/>
        <v>0</v>
      </c>
      <c r="EP184" s="549">
        <f t="shared" si="6506"/>
        <v>0</v>
      </c>
      <c r="EQ184" s="675">
        <f t="shared" si="6506"/>
        <v>0</v>
      </c>
      <c r="ER184" s="549">
        <f t="shared" si="6506"/>
        <v>0</v>
      </c>
      <c r="ES184" s="675">
        <f t="shared" si="6506"/>
        <v>0</v>
      </c>
      <c r="ET184" s="549">
        <f t="shared" si="6506"/>
        <v>0</v>
      </c>
      <c r="EU184" s="675">
        <f t="shared" si="6506"/>
        <v>0</v>
      </c>
      <c r="EV184" s="549">
        <f t="shared" si="6506"/>
        <v>0</v>
      </c>
      <c r="EW184" s="675">
        <f t="shared" si="6506"/>
        <v>0</v>
      </c>
      <c r="EX184" s="549">
        <f t="shared" si="6506"/>
        <v>0</v>
      </c>
      <c r="EY184" s="675">
        <f t="shared" si="6506"/>
        <v>0</v>
      </c>
      <c r="EZ184" s="549">
        <f t="shared" si="6506"/>
        <v>0</v>
      </c>
      <c r="FA184" s="675">
        <f t="shared" si="6506"/>
        <v>0</v>
      </c>
      <c r="FB184" s="549">
        <f t="shared" si="6506"/>
        <v>0</v>
      </c>
      <c r="FC184" s="675">
        <f t="shared" si="6506"/>
        <v>0</v>
      </c>
      <c r="FD184" s="549">
        <f t="shared" si="6506"/>
        <v>0</v>
      </c>
      <c r="FE184" s="675">
        <f t="shared" si="6506"/>
        <v>0</v>
      </c>
      <c r="FF184" s="549">
        <f t="shared" si="6506"/>
        <v>0</v>
      </c>
      <c r="FG184" s="675">
        <f t="shared" si="6506"/>
        <v>0</v>
      </c>
      <c r="FH184" s="549">
        <f t="shared" si="6506"/>
        <v>0</v>
      </c>
      <c r="FI184" s="675">
        <f t="shared" si="6506"/>
        <v>0</v>
      </c>
      <c r="FJ184" s="549">
        <f t="shared" si="6506"/>
        <v>0</v>
      </c>
      <c r="FK184" s="675">
        <f t="shared" si="6506"/>
        <v>0</v>
      </c>
      <c r="FL184" s="549">
        <f t="shared" si="6506"/>
        <v>0</v>
      </c>
      <c r="FM184" s="675">
        <f t="shared" si="6506"/>
        <v>0</v>
      </c>
      <c r="FN184" s="549">
        <f t="shared" si="6506"/>
        <v>0</v>
      </c>
      <c r="FO184" s="675">
        <f t="shared" si="6506"/>
        <v>0</v>
      </c>
      <c r="FP184" s="549">
        <f t="shared" si="6506"/>
        <v>0</v>
      </c>
      <c r="FQ184" s="675">
        <f t="shared" si="6506"/>
        <v>0</v>
      </c>
      <c r="FR184" s="549">
        <f t="shared" si="6506"/>
        <v>0</v>
      </c>
      <c r="FS184" s="675">
        <f t="shared" si="6506"/>
        <v>0</v>
      </c>
      <c r="FT184" s="549">
        <f t="shared" si="6506"/>
        <v>0</v>
      </c>
      <c r="FU184" s="675">
        <f t="shared" si="6506"/>
        <v>0</v>
      </c>
      <c r="FV184" s="549">
        <f t="shared" si="6506"/>
        <v>0</v>
      </c>
      <c r="FW184" s="675">
        <f t="shared" si="6506"/>
        <v>0</v>
      </c>
      <c r="FX184" s="549">
        <f t="shared" si="6506"/>
        <v>0</v>
      </c>
      <c r="FY184" s="675">
        <f t="shared" si="6506"/>
        <v>0</v>
      </c>
      <c r="FZ184" s="549">
        <f t="shared" si="6506"/>
        <v>0</v>
      </c>
      <c r="GA184" s="675">
        <f t="shared" si="6506"/>
        <v>0</v>
      </c>
      <c r="GB184" s="549">
        <f t="shared" si="6506"/>
        <v>0</v>
      </c>
      <c r="GC184" s="675">
        <f t="shared" si="6506"/>
        <v>0</v>
      </c>
      <c r="GD184" s="549">
        <f t="shared" si="6506"/>
        <v>0</v>
      </c>
      <c r="GE184" s="675">
        <f t="shared" si="6506"/>
        <v>0</v>
      </c>
      <c r="GF184" s="549">
        <f t="shared" si="6506"/>
        <v>0</v>
      </c>
      <c r="GG184" s="675">
        <f t="shared" si="6506"/>
        <v>0</v>
      </c>
      <c r="GH184" s="549">
        <f t="shared" si="6506"/>
        <v>0</v>
      </c>
      <c r="GI184" s="675">
        <f t="shared" si="6506"/>
        <v>0</v>
      </c>
      <c r="GJ184" s="549">
        <f t="shared" si="6506"/>
        <v>0</v>
      </c>
      <c r="GK184" s="675">
        <f t="shared" si="6506"/>
        <v>0</v>
      </c>
      <c r="GL184" s="549">
        <f t="shared" si="6506"/>
        <v>0</v>
      </c>
      <c r="GM184" s="675">
        <f t="shared" si="6506"/>
        <v>0</v>
      </c>
      <c r="GN184" s="549">
        <f t="shared" si="6506"/>
        <v>0</v>
      </c>
      <c r="GO184" s="675">
        <f t="shared" si="6506"/>
        <v>0</v>
      </c>
      <c r="GP184" s="74">
        <f t="shared" si="6506"/>
        <v>0</v>
      </c>
      <c r="GQ184" s="675">
        <f t="shared" si="6506"/>
        <v>0</v>
      </c>
      <c r="GR184" s="74">
        <f t="shared" si="6506"/>
        <v>0</v>
      </c>
      <c r="GS184" s="74">
        <f t="shared" si="6506"/>
        <v>0</v>
      </c>
      <c r="GT184" s="549">
        <f t="shared" si="6506"/>
        <v>0</v>
      </c>
      <c r="GU184" s="74">
        <f t="shared" si="6506"/>
        <v>0</v>
      </c>
      <c r="GV184" s="74">
        <f t="shared" si="6506"/>
        <v>0</v>
      </c>
      <c r="GW184" s="549">
        <f t="shared" si="6506"/>
        <v>0</v>
      </c>
      <c r="GX184" s="549">
        <f t="shared" si="6506"/>
        <v>0</v>
      </c>
      <c r="GY184" s="74">
        <f t="shared" si="6506"/>
        <v>0</v>
      </c>
      <c r="GZ184" s="74">
        <f t="shared" si="6506"/>
        <v>0</v>
      </c>
      <c r="HA184" s="74">
        <f t="shared" si="6506"/>
        <v>0</v>
      </c>
      <c r="HB184" s="74">
        <f t="shared" si="6506"/>
        <v>0</v>
      </c>
      <c r="HC184" s="74">
        <f t="shared" si="6506"/>
        <v>0</v>
      </c>
      <c r="HD184" s="74">
        <f t="shared" si="6506"/>
        <v>0</v>
      </c>
      <c r="HE184" s="74">
        <f t="shared" si="6506"/>
        <v>0</v>
      </c>
      <c r="HF184" s="74">
        <f t="shared" si="6506"/>
        <v>0</v>
      </c>
      <c r="HG184" s="74">
        <f t="shared" si="6506"/>
        <v>0</v>
      </c>
      <c r="HH184" s="74">
        <f t="shared" si="6506"/>
        <v>0</v>
      </c>
      <c r="HI184" s="74">
        <f t="shared" si="6506"/>
        <v>0</v>
      </c>
      <c r="HJ184" s="74">
        <f t="shared" si="6506"/>
        <v>0</v>
      </c>
      <c r="HK184" s="74">
        <f t="shared" si="6506"/>
        <v>0</v>
      </c>
      <c r="HL184" s="74">
        <f t="shared" si="6506"/>
        <v>0</v>
      </c>
      <c r="HM184" s="74">
        <f t="shared" si="6506"/>
        <v>0</v>
      </c>
      <c r="HN184" s="74">
        <f t="shared" si="6506"/>
        <v>0</v>
      </c>
      <c r="HO184" s="74">
        <f t="shared" si="6506"/>
        <v>0</v>
      </c>
      <c r="HP184" s="74">
        <f t="shared" si="6506"/>
        <v>0</v>
      </c>
      <c r="HQ184" s="74">
        <f t="shared" si="6506"/>
        <v>0</v>
      </c>
      <c r="HR184" s="74">
        <f t="shared" si="6506"/>
        <v>0</v>
      </c>
      <c r="HS184" s="74">
        <f t="shared" si="6506"/>
        <v>0</v>
      </c>
      <c r="HT184" s="74">
        <f t="shared" si="6506"/>
        <v>0</v>
      </c>
      <c r="HU184" s="74">
        <f t="shared" si="6506"/>
        <v>0</v>
      </c>
      <c r="HV184" s="74">
        <f t="shared" si="6506"/>
        <v>0</v>
      </c>
      <c r="HW184" s="74">
        <f t="shared" si="6506"/>
        <v>0</v>
      </c>
      <c r="HX184" s="74">
        <f t="shared" si="6506"/>
        <v>0</v>
      </c>
      <c r="HY184" s="74">
        <f t="shared" si="6506"/>
        <v>0</v>
      </c>
      <c r="HZ184" s="74">
        <f t="shared" si="6506"/>
        <v>0</v>
      </c>
      <c r="IA184" s="74">
        <f t="shared" si="6506"/>
        <v>0</v>
      </c>
      <c r="IB184" s="74">
        <f t="shared" si="6506"/>
        <v>0</v>
      </c>
      <c r="IC184" s="74">
        <f t="shared" si="6506"/>
        <v>0</v>
      </c>
      <c r="ID184" s="74">
        <f t="shared" si="6506"/>
        <v>0</v>
      </c>
      <c r="IE184" s="792">
        <f t="shared" si="6506"/>
        <v>0</v>
      </c>
      <c r="IF184" s="841">
        <f t="shared" si="6506"/>
        <v>0</v>
      </c>
      <c r="IG184" s="263">
        <f t="shared" si="6506"/>
        <v>0</v>
      </c>
      <c r="IH184" s="842">
        <f t="shared" ref="IH184:JM184" si="6507">SUM(IH185)</f>
        <v>0</v>
      </c>
      <c r="II184" s="155">
        <f t="shared" si="6507"/>
        <v>0</v>
      </c>
      <c r="IJ184" s="74">
        <f t="shared" si="6507"/>
        <v>0</v>
      </c>
      <c r="IK184" s="74">
        <f t="shared" si="6507"/>
        <v>0</v>
      </c>
      <c r="IL184" s="74">
        <f t="shared" si="6507"/>
        <v>0</v>
      </c>
      <c r="IM184" s="74">
        <f t="shared" si="6507"/>
        <v>0</v>
      </c>
      <c r="IN184" s="74">
        <f t="shared" si="6507"/>
        <v>0</v>
      </c>
      <c r="IO184" s="74">
        <f t="shared" si="6507"/>
        <v>0</v>
      </c>
      <c r="IP184" s="74">
        <f t="shared" si="6507"/>
        <v>0</v>
      </c>
      <c r="IQ184" s="74">
        <f t="shared" si="6507"/>
        <v>0</v>
      </c>
      <c r="IR184" s="74">
        <f t="shared" si="6507"/>
        <v>0</v>
      </c>
      <c r="IS184" s="74">
        <f t="shared" si="6507"/>
        <v>0</v>
      </c>
      <c r="IT184" s="74">
        <f t="shared" si="6507"/>
        <v>0</v>
      </c>
      <c r="IU184" s="74">
        <f t="shared" si="6507"/>
        <v>0</v>
      </c>
      <c r="IV184" s="74">
        <f t="shared" si="6507"/>
        <v>0</v>
      </c>
      <c r="IW184" s="74">
        <f t="shared" si="6507"/>
        <v>0</v>
      </c>
      <c r="IX184" s="74">
        <f t="shared" si="6507"/>
        <v>0</v>
      </c>
      <c r="IY184" s="74">
        <f t="shared" si="6507"/>
        <v>0</v>
      </c>
      <c r="IZ184" s="74">
        <f t="shared" si="6507"/>
        <v>0</v>
      </c>
      <c r="JA184" s="74">
        <f t="shared" si="6507"/>
        <v>0</v>
      </c>
      <c r="JB184" s="74">
        <f t="shared" si="6507"/>
        <v>0</v>
      </c>
      <c r="JC184" s="74">
        <f t="shared" si="6507"/>
        <v>0</v>
      </c>
      <c r="JD184" s="74">
        <f t="shared" si="6507"/>
        <v>0</v>
      </c>
      <c r="JE184" s="74">
        <f t="shared" si="6507"/>
        <v>0</v>
      </c>
      <c r="JF184" s="74">
        <f t="shared" si="6507"/>
        <v>0</v>
      </c>
      <c r="JG184" s="74">
        <f t="shared" si="6507"/>
        <v>0</v>
      </c>
      <c r="JH184" s="74">
        <f t="shared" si="6507"/>
        <v>0</v>
      </c>
      <c r="JI184" s="74">
        <f t="shared" si="6507"/>
        <v>0</v>
      </c>
      <c r="JJ184" s="74">
        <f t="shared" si="6507"/>
        <v>0</v>
      </c>
      <c r="JK184" s="74">
        <f t="shared" si="6507"/>
        <v>0</v>
      </c>
      <c r="JL184" s="74">
        <f t="shared" si="6507"/>
        <v>0</v>
      </c>
      <c r="JM184" s="74">
        <f t="shared" si="6507"/>
        <v>0</v>
      </c>
      <c r="JN184" s="74">
        <f t="shared" ref="JN184:JT184" si="6508">SUM(JN185)</f>
        <v>0</v>
      </c>
      <c r="JO184" s="74">
        <f t="shared" si="6508"/>
        <v>0</v>
      </c>
      <c r="JP184" s="74">
        <f t="shared" si="6508"/>
        <v>0</v>
      </c>
      <c r="JQ184" s="74">
        <f t="shared" si="6508"/>
        <v>0</v>
      </c>
      <c r="JR184" s="74">
        <f t="shared" si="6508"/>
        <v>0</v>
      </c>
      <c r="JS184" s="74">
        <f t="shared" si="6508"/>
        <v>0</v>
      </c>
      <c r="JT184" s="382">
        <f t="shared" si="6508"/>
        <v>0</v>
      </c>
      <c r="JU184" s="670"/>
      <c r="JV184" s="489"/>
      <c r="JW184" s="529"/>
      <c r="JX184" s="549">
        <f>SUM(JX185)</f>
        <v>0</v>
      </c>
      <c r="JY184" s="549">
        <f>SUM(JY185)</f>
        <v>0</v>
      </c>
      <c r="JZ184" s="581">
        <f t="shared" si="4944"/>
        <v>0</v>
      </c>
      <c r="KA184" s="581">
        <f t="shared" si="4945"/>
        <v>0</v>
      </c>
      <c r="KB184" s="549">
        <f>SUM(KB185)</f>
        <v>0</v>
      </c>
      <c r="KC184" s="709">
        <f t="shared" si="4908"/>
        <v>0</v>
      </c>
      <c r="KD184" s="36"/>
      <c r="KE184" s="36"/>
      <c r="KF184" s="36"/>
      <c r="KG184" s="36"/>
      <c r="KH184" s="36"/>
      <c r="KI184" s="36"/>
      <c r="KJ184" s="36"/>
      <c r="KK184" s="36"/>
    </row>
    <row r="185" spans="1:297" s="8" customFormat="1" ht="12.75" hidden="1" customHeight="1">
      <c r="A185" s="262" t="s">
        <v>1130</v>
      </c>
      <c r="B185" s="72"/>
      <c r="C185" s="74">
        <f t="shared" ref="C185:AM185" si="6509">C337+C516</f>
        <v>0</v>
      </c>
      <c r="D185" s="549">
        <f t="shared" si="6509"/>
        <v>0</v>
      </c>
      <c r="E185" s="675">
        <f t="shared" si="6509"/>
        <v>0</v>
      </c>
      <c r="F185" s="549">
        <f t="shared" si="6509"/>
        <v>0</v>
      </c>
      <c r="G185" s="675">
        <f t="shared" si="6509"/>
        <v>0</v>
      </c>
      <c r="H185" s="549">
        <f t="shared" si="6509"/>
        <v>0</v>
      </c>
      <c r="I185" s="675">
        <f t="shared" si="6509"/>
        <v>0</v>
      </c>
      <c r="J185" s="549">
        <f t="shared" si="6509"/>
        <v>0</v>
      </c>
      <c r="K185" s="675">
        <f t="shared" si="6509"/>
        <v>0</v>
      </c>
      <c r="L185" s="549">
        <f t="shared" si="6509"/>
        <v>0</v>
      </c>
      <c r="M185" s="675">
        <f t="shared" si="6509"/>
        <v>0</v>
      </c>
      <c r="N185" s="549">
        <f t="shared" si="6509"/>
        <v>0</v>
      </c>
      <c r="O185" s="675">
        <f t="shared" si="6509"/>
        <v>0</v>
      </c>
      <c r="P185" s="549">
        <f t="shared" si="6509"/>
        <v>0</v>
      </c>
      <c r="Q185" s="675">
        <f t="shared" si="6509"/>
        <v>0</v>
      </c>
      <c r="R185" s="549">
        <f t="shared" si="6509"/>
        <v>0</v>
      </c>
      <c r="S185" s="675">
        <f t="shared" si="6509"/>
        <v>0</v>
      </c>
      <c r="T185" s="549">
        <f t="shared" si="6509"/>
        <v>0</v>
      </c>
      <c r="U185" s="675">
        <f t="shared" si="6509"/>
        <v>0</v>
      </c>
      <c r="V185" s="549">
        <f t="shared" si="6509"/>
        <v>0</v>
      </c>
      <c r="W185" s="675">
        <f t="shared" si="6509"/>
        <v>0</v>
      </c>
      <c r="X185" s="549">
        <f t="shared" si="6509"/>
        <v>0</v>
      </c>
      <c r="Y185" s="675">
        <f t="shared" si="6509"/>
        <v>0</v>
      </c>
      <c r="Z185" s="549">
        <f t="shared" si="6509"/>
        <v>0</v>
      </c>
      <c r="AA185" s="675">
        <f t="shared" si="6509"/>
        <v>0</v>
      </c>
      <c r="AB185" s="549">
        <f t="shared" si="6509"/>
        <v>0</v>
      </c>
      <c r="AC185" s="675">
        <f t="shared" si="6509"/>
        <v>0</v>
      </c>
      <c r="AD185" s="549">
        <f t="shared" si="6509"/>
        <v>0</v>
      </c>
      <c r="AE185" s="675">
        <f t="shared" si="6509"/>
        <v>0</v>
      </c>
      <c r="AF185" s="549">
        <f t="shared" si="6509"/>
        <v>0</v>
      </c>
      <c r="AG185" s="675">
        <f t="shared" si="6509"/>
        <v>0</v>
      </c>
      <c r="AH185" s="549">
        <f t="shared" si="6509"/>
        <v>0</v>
      </c>
      <c r="AI185" s="675">
        <f t="shared" si="6509"/>
        <v>0</v>
      </c>
      <c r="AJ185" s="549">
        <f t="shared" si="6509"/>
        <v>0</v>
      </c>
      <c r="AK185" s="675">
        <f t="shared" si="6509"/>
        <v>0</v>
      </c>
      <c r="AL185" s="549">
        <f t="shared" si="6509"/>
        <v>0</v>
      </c>
      <c r="AM185" s="675">
        <f t="shared" si="6509"/>
        <v>0</v>
      </c>
      <c r="AN185" s="549">
        <f t="shared" ref="AN185:AS185" si="6510">AN337+AN516</f>
        <v>0</v>
      </c>
      <c r="AO185" s="675">
        <f t="shared" si="6510"/>
        <v>0</v>
      </c>
      <c r="AP185" s="549">
        <f t="shared" si="6510"/>
        <v>0</v>
      </c>
      <c r="AQ185" s="675">
        <f t="shared" si="6510"/>
        <v>0</v>
      </c>
      <c r="AR185" s="549">
        <f t="shared" si="6510"/>
        <v>0</v>
      </c>
      <c r="AS185" s="675">
        <f t="shared" si="6510"/>
        <v>0</v>
      </c>
      <c r="AT185" s="549">
        <f t="shared" ref="AT185:AU185" si="6511">AT337+AT516</f>
        <v>0</v>
      </c>
      <c r="AU185" s="675">
        <f t="shared" si="6511"/>
        <v>0</v>
      </c>
      <c r="AV185" s="549">
        <f t="shared" ref="AV185:AW185" si="6512">AV337+AV516</f>
        <v>0</v>
      </c>
      <c r="AW185" s="675">
        <f t="shared" si="6512"/>
        <v>0</v>
      </c>
      <c r="AX185" s="549">
        <f t="shared" ref="AX185:AY185" si="6513">AX337+AX516</f>
        <v>0</v>
      </c>
      <c r="AY185" s="675">
        <f t="shared" si="6513"/>
        <v>0</v>
      </c>
      <c r="AZ185" s="549">
        <f t="shared" ref="AZ185:BA185" si="6514">AZ337+AZ516</f>
        <v>0</v>
      </c>
      <c r="BA185" s="675">
        <f t="shared" si="6514"/>
        <v>0</v>
      </c>
      <c r="BB185" s="549">
        <f t="shared" ref="BB185:BC185" si="6515">BB337+BB516</f>
        <v>0</v>
      </c>
      <c r="BC185" s="675">
        <f t="shared" si="6515"/>
        <v>0</v>
      </c>
      <c r="BD185" s="549">
        <f t="shared" ref="BD185:BE185" si="6516">BD337+BD516</f>
        <v>0</v>
      </c>
      <c r="BE185" s="675">
        <f t="shared" si="6516"/>
        <v>0</v>
      </c>
      <c r="BF185" s="549">
        <f t="shared" ref="BF185:BG185" si="6517">BF337+BF516</f>
        <v>0</v>
      </c>
      <c r="BG185" s="675">
        <f t="shared" si="6517"/>
        <v>0</v>
      </c>
      <c r="BH185" s="549">
        <f t="shared" ref="BH185:BI185" si="6518">BH337+BH516</f>
        <v>0</v>
      </c>
      <c r="BI185" s="675">
        <f t="shared" si="6518"/>
        <v>0</v>
      </c>
      <c r="BJ185" s="549">
        <f t="shared" ref="BJ185:BK185" si="6519">BJ337+BJ516</f>
        <v>0</v>
      </c>
      <c r="BK185" s="675">
        <f t="shared" si="6519"/>
        <v>0</v>
      </c>
      <c r="BL185" s="549">
        <f t="shared" ref="BL185:BS185" si="6520">BL337+BL516</f>
        <v>0</v>
      </c>
      <c r="BM185" s="675">
        <f t="shared" si="6520"/>
        <v>0</v>
      </c>
      <c r="BN185" s="549">
        <f t="shared" si="6520"/>
        <v>0</v>
      </c>
      <c r="BO185" s="675">
        <f t="shared" si="6520"/>
        <v>0</v>
      </c>
      <c r="BP185" s="549">
        <f t="shared" si="6520"/>
        <v>0</v>
      </c>
      <c r="BQ185" s="675">
        <f t="shared" si="6520"/>
        <v>0</v>
      </c>
      <c r="BR185" s="549">
        <f t="shared" si="6520"/>
        <v>0</v>
      </c>
      <c r="BS185" s="675">
        <f t="shared" si="6520"/>
        <v>0</v>
      </c>
      <c r="BT185" s="549">
        <f t="shared" ref="BT185:BU185" si="6521">BT337+BT516</f>
        <v>0</v>
      </c>
      <c r="BU185" s="675">
        <f t="shared" si="6521"/>
        <v>0</v>
      </c>
      <c r="BV185" s="549">
        <f t="shared" ref="BV185:BW185" si="6522">BV337+BV516</f>
        <v>0</v>
      </c>
      <c r="BW185" s="675">
        <f t="shared" si="6522"/>
        <v>0</v>
      </c>
      <c r="BX185" s="549">
        <f t="shared" ref="BX185:BY185" si="6523">BX337+BX516</f>
        <v>0</v>
      </c>
      <c r="BY185" s="675">
        <f t="shared" si="6523"/>
        <v>0</v>
      </c>
      <c r="BZ185" s="549">
        <f t="shared" ref="BZ185:CA185" si="6524">BZ337+BZ516</f>
        <v>0</v>
      </c>
      <c r="CA185" s="675">
        <f t="shared" si="6524"/>
        <v>0</v>
      </c>
      <c r="CB185" s="549">
        <f t="shared" ref="CB185:CE185" si="6525">CB337+CB516</f>
        <v>0</v>
      </c>
      <c r="CC185" s="675">
        <f t="shared" si="6525"/>
        <v>0</v>
      </c>
      <c r="CD185" s="549">
        <f t="shared" si="6525"/>
        <v>0</v>
      </c>
      <c r="CE185" s="675">
        <f t="shared" si="6525"/>
        <v>0</v>
      </c>
      <c r="CF185" s="549">
        <f t="shared" ref="CF185:CQ185" si="6526">CF337+CF516</f>
        <v>0</v>
      </c>
      <c r="CG185" s="675">
        <f t="shared" si="6526"/>
        <v>0</v>
      </c>
      <c r="CH185" s="549">
        <f t="shared" si="6526"/>
        <v>0</v>
      </c>
      <c r="CI185" s="675">
        <f t="shared" si="6526"/>
        <v>0</v>
      </c>
      <c r="CJ185" s="549">
        <f t="shared" si="6526"/>
        <v>0</v>
      </c>
      <c r="CK185" s="675">
        <f t="shared" si="6526"/>
        <v>0</v>
      </c>
      <c r="CL185" s="549">
        <f t="shared" si="6526"/>
        <v>0</v>
      </c>
      <c r="CM185" s="675">
        <f t="shared" si="6526"/>
        <v>0</v>
      </c>
      <c r="CN185" s="549">
        <f t="shared" si="6526"/>
        <v>0</v>
      </c>
      <c r="CO185" s="675">
        <f t="shared" si="6526"/>
        <v>0</v>
      </c>
      <c r="CP185" s="549">
        <f t="shared" si="6526"/>
        <v>0</v>
      </c>
      <c r="CQ185" s="675">
        <f t="shared" si="6526"/>
        <v>0</v>
      </c>
      <c r="CR185" s="549">
        <f t="shared" ref="CR185:CY185" si="6527">CR337+CR516</f>
        <v>0</v>
      </c>
      <c r="CS185" s="675">
        <f t="shared" si="6527"/>
        <v>0</v>
      </c>
      <c r="CT185" s="549">
        <f t="shared" si="6527"/>
        <v>0</v>
      </c>
      <c r="CU185" s="675">
        <f t="shared" si="6527"/>
        <v>0</v>
      </c>
      <c r="CV185" s="549">
        <f t="shared" si="6527"/>
        <v>0</v>
      </c>
      <c r="CW185" s="675">
        <f t="shared" si="6527"/>
        <v>0</v>
      </c>
      <c r="CX185" s="549">
        <f t="shared" si="6527"/>
        <v>0</v>
      </c>
      <c r="CY185" s="675">
        <f t="shared" si="6527"/>
        <v>0</v>
      </c>
      <c r="CZ185" s="549">
        <f t="shared" ref="CZ185:DM185" si="6528">CZ337+CZ516</f>
        <v>0</v>
      </c>
      <c r="DA185" s="675">
        <f t="shared" si="6528"/>
        <v>0</v>
      </c>
      <c r="DB185" s="549">
        <f t="shared" si="6528"/>
        <v>0</v>
      </c>
      <c r="DC185" s="675">
        <f t="shared" si="6528"/>
        <v>0</v>
      </c>
      <c r="DD185" s="549">
        <f t="shared" si="6528"/>
        <v>0</v>
      </c>
      <c r="DE185" s="675">
        <f t="shared" si="6528"/>
        <v>0</v>
      </c>
      <c r="DF185" s="549">
        <f t="shared" si="6528"/>
        <v>0</v>
      </c>
      <c r="DG185" s="675">
        <f t="shared" si="6528"/>
        <v>0</v>
      </c>
      <c r="DH185" s="549">
        <f t="shared" si="6528"/>
        <v>0</v>
      </c>
      <c r="DI185" s="675">
        <f t="shared" si="6528"/>
        <v>0</v>
      </c>
      <c r="DJ185" s="549">
        <f t="shared" si="6528"/>
        <v>0</v>
      </c>
      <c r="DK185" s="675">
        <f t="shared" si="6528"/>
        <v>0</v>
      </c>
      <c r="DL185" s="549">
        <f t="shared" si="6528"/>
        <v>0</v>
      </c>
      <c r="DM185" s="675">
        <f t="shared" si="6528"/>
        <v>0</v>
      </c>
      <c r="DN185" s="549">
        <f t="shared" ref="DN185:DW185" si="6529">DN337+DN516</f>
        <v>0</v>
      </c>
      <c r="DO185" s="675">
        <f t="shared" si="6529"/>
        <v>0</v>
      </c>
      <c r="DP185" s="549">
        <f t="shared" si="6529"/>
        <v>0</v>
      </c>
      <c r="DQ185" s="675">
        <f t="shared" si="6529"/>
        <v>0</v>
      </c>
      <c r="DR185" s="549">
        <f t="shared" si="6529"/>
        <v>0</v>
      </c>
      <c r="DS185" s="675">
        <f t="shared" si="6529"/>
        <v>0</v>
      </c>
      <c r="DT185" s="549">
        <f t="shared" si="6529"/>
        <v>0</v>
      </c>
      <c r="DU185" s="675">
        <f t="shared" si="6529"/>
        <v>0</v>
      </c>
      <c r="DV185" s="549">
        <f t="shared" si="6529"/>
        <v>0</v>
      </c>
      <c r="DW185" s="675">
        <f t="shared" si="6529"/>
        <v>0</v>
      </c>
      <c r="DX185" s="549">
        <f t="shared" ref="DX185:EG185" si="6530">DX337+DX516</f>
        <v>0</v>
      </c>
      <c r="DY185" s="675">
        <f t="shared" si="6530"/>
        <v>0</v>
      </c>
      <c r="DZ185" s="549">
        <f t="shared" si="6530"/>
        <v>0</v>
      </c>
      <c r="EA185" s="675">
        <f t="shared" si="6530"/>
        <v>0</v>
      </c>
      <c r="EB185" s="549">
        <f t="shared" si="6530"/>
        <v>0</v>
      </c>
      <c r="EC185" s="675">
        <f t="shared" si="6530"/>
        <v>0</v>
      </c>
      <c r="ED185" s="549">
        <f t="shared" si="6530"/>
        <v>0</v>
      </c>
      <c r="EE185" s="675">
        <f t="shared" si="6530"/>
        <v>0</v>
      </c>
      <c r="EF185" s="549">
        <f t="shared" si="6530"/>
        <v>0</v>
      </c>
      <c r="EG185" s="675">
        <f t="shared" si="6530"/>
        <v>0</v>
      </c>
      <c r="EH185" s="549">
        <f t="shared" ref="EH185:EM185" si="6531">EH337+EH516</f>
        <v>0</v>
      </c>
      <c r="EI185" s="675">
        <f t="shared" si="6531"/>
        <v>0</v>
      </c>
      <c r="EJ185" s="549">
        <f t="shared" si="6531"/>
        <v>0</v>
      </c>
      <c r="EK185" s="675">
        <f t="shared" si="6531"/>
        <v>0</v>
      </c>
      <c r="EL185" s="549">
        <f t="shared" si="6531"/>
        <v>0</v>
      </c>
      <c r="EM185" s="675">
        <f t="shared" si="6531"/>
        <v>0</v>
      </c>
      <c r="EN185" s="549">
        <f t="shared" ref="EN185:EO185" si="6532">EN337+EN516</f>
        <v>0</v>
      </c>
      <c r="EO185" s="675">
        <f t="shared" si="6532"/>
        <v>0</v>
      </c>
      <c r="EP185" s="549">
        <f t="shared" ref="EP185:FA185" si="6533">EP337+EP516</f>
        <v>0</v>
      </c>
      <c r="EQ185" s="675">
        <f t="shared" si="6533"/>
        <v>0</v>
      </c>
      <c r="ER185" s="549">
        <f t="shared" si="6533"/>
        <v>0</v>
      </c>
      <c r="ES185" s="675">
        <f t="shared" si="6533"/>
        <v>0</v>
      </c>
      <c r="ET185" s="549">
        <f t="shared" si="6533"/>
        <v>0</v>
      </c>
      <c r="EU185" s="675">
        <f t="shared" si="6533"/>
        <v>0</v>
      </c>
      <c r="EV185" s="549">
        <f t="shared" ref="EV185:EW185" si="6534">EV337+EV516</f>
        <v>0</v>
      </c>
      <c r="EW185" s="675">
        <f t="shared" si="6534"/>
        <v>0</v>
      </c>
      <c r="EX185" s="549">
        <f t="shared" si="6533"/>
        <v>0</v>
      </c>
      <c r="EY185" s="675">
        <f t="shared" si="6533"/>
        <v>0</v>
      </c>
      <c r="EZ185" s="549">
        <f t="shared" si="6533"/>
        <v>0</v>
      </c>
      <c r="FA185" s="675">
        <f t="shared" si="6533"/>
        <v>0</v>
      </c>
      <c r="FB185" s="549">
        <f t="shared" ref="FB185:FC185" si="6535">FB337+FB516</f>
        <v>0</v>
      </c>
      <c r="FC185" s="675">
        <f t="shared" si="6535"/>
        <v>0</v>
      </c>
      <c r="FD185" s="549">
        <f t="shared" ref="FD185:FE185" si="6536">FD337+FD516</f>
        <v>0</v>
      </c>
      <c r="FE185" s="675">
        <f t="shared" si="6536"/>
        <v>0</v>
      </c>
      <c r="FF185" s="549">
        <f t="shared" ref="FF185:FG185" si="6537">FF337+FF516</f>
        <v>0</v>
      </c>
      <c r="FG185" s="675">
        <f t="shared" si="6537"/>
        <v>0</v>
      </c>
      <c r="FH185" s="549">
        <f t="shared" ref="FH185:FI185" si="6538">FH337+FH516</f>
        <v>0</v>
      </c>
      <c r="FI185" s="675">
        <f t="shared" si="6538"/>
        <v>0</v>
      </c>
      <c r="FJ185" s="549">
        <f t="shared" ref="FJ185:FK185" si="6539">FJ337+FJ516</f>
        <v>0</v>
      </c>
      <c r="FK185" s="675">
        <f t="shared" si="6539"/>
        <v>0</v>
      </c>
      <c r="FL185" s="549">
        <f t="shared" ref="FL185:FM185" si="6540">FL337+FL516</f>
        <v>0</v>
      </c>
      <c r="FM185" s="675">
        <f t="shared" si="6540"/>
        <v>0</v>
      </c>
      <c r="FN185" s="549">
        <f t="shared" ref="FN185:FO185" si="6541">FN337+FN516</f>
        <v>0</v>
      </c>
      <c r="FO185" s="675">
        <f t="shared" si="6541"/>
        <v>0</v>
      </c>
      <c r="FP185" s="549">
        <f t="shared" ref="FP185:FQ185" si="6542">FP337+FP516</f>
        <v>0</v>
      </c>
      <c r="FQ185" s="675">
        <f t="shared" si="6542"/>
        <v>0</v>
      </c>
      <c r="FR185" s="549">
        <f t="shared" ref="FR185:FS185" si="6543">FR337+FR516</f>
        <v>0</v>
      </c>
      <c r="FS185" s="675">
        <f t="shared" si="6543"/>
        <v>0</v>
      </c>
      <c r="FT185" s="549">
        <f t="shared" ref="FT185:FU185" si="6544">FT337+FT516</f>
        <v>0</v>
      </c>
      <c r="FU185" s="675">
        <f t="shared" si="6544"/>
        <v>0</v>
      </c>
      <c r="FV185" s="549">
        <f t="shared" ref="FV185:GK185" si="6545">FV337+FV516</f>
        <v>0</v>
      </c>
      <c r="FW185" s="675">
        <f t="shared" si="6545"/>
        <v>0</v>
      </c>
      <c r="FX185" s="549">
        <f t="shared" si="6545"/>
        <v>0</v>
      </c>
      <c r="FY185" s="675">
        <f t="shared" si="6545"/>
        <v>0</v>
      </c>
      <c r="FZ185" s="549">
        <f t="shared" ref="FZ185:GI185" si="6546">FZ337+FZ516</f>
        <v>0</v>
      </c>
      <c r="GA185" s="675">
        <f t="shared" si="6546"/>
        <v>0</v>
      </c>
      <c r="GB185" s="549">
        <f t="shared" si="6546"/>
        <v>0</v>
      </c>
      <c r="GC185" s="675">
        <f t="shared" si="6546"/>
        <v>0</v>
      </c>
      <c r="GD185" s="549">
        <f t="shared" si="6546"/>
        <v>0</v>
      </c>
      <c r="GE185" s="675">
        <f t="shared" si="6546"/>
        <v>0</v>
      </c>
      <c r="GF185" s="549">
        <f t="shared" si="6546"/>
        <v>0</v>
      </c>
      <c r="GG185" s="675">
        <f t="shared" si="6546"/>
        <v>0</v>
      </c>
      <c r="GH185" s="549">
        <f t="shared" si="6546"/>
        <v>0</v>
      </c>
      <c r="GI185" s="675">
        <f t="shared" si="6546"/>
        <v>0</v>
      </c>
      <c r="GJ185" s="549">
        <f t="shared" si="6545"/>
        <v>0</v>
      </c>
      <c r="GK185" s="675">
        <f t="shared" si="6545"/>
        <v>0</v>
      </c>
      <c r="GL185" s="549">
        <f t="shared" ref="GL185:GQ185" si="6547">GL337+GL516</f>
        <v>0</v>
      </c>
      <c r="GM185" s="675">
        <f t="shared" si="6547"/>
        <v>0</v>
      </c>
      <c r="GN185" s="549">
        <f t="shared" ref="GN185:GO185" si="6548">GN337+GN516</f>
        <v>0</v>
      </c>
      <c r="GO185" s="675">
        <f t="shared" si="6548"/>
        <v>0</v>
      </c>
      <c r="GP185" s="74">
        <f t="shared" si="6547"/>
        <v>0</v>
      </c>
      <c r="GQ185" s="675">
        <f t="shared" si="6547"/>
        <v>0</v>
      </c>
      <c r="GR185" s="74">
        <f t="shared" ref="GR185:HJ185" si="6549">GR337+GR516</f>
        <v>0</v>
      </c>
      <c r="GS185" s="74">
        <f t="shared" si="6549"/>
        <v>0</v>
      </c>
      <c r="GT185" s="549">
        <f t="shared" si="6549"/>
        <v>0</v>
      </c>
      <c r="GU185" s="74">
        <f t="shared" si="6549"/>
        <v>0</v>
      </c>
      <c r="GV185" s="74">
        <f t="shared" si="6549"/>
        <v>0</v>
      </c>
      <c r="GW185" s="549">
        <f t="shared" si="6549"/>
        <v>0</v>
      </c>
      <c r="GX185" s="549">
        <f t="shared" si="6549"/>
        <v>0</v>
      </c>
      <c r="GY185" s="74">
        <f t="shared" si="6549"/>
        <v>0</v>
      </c>
      <c r="GZ185" s="74">
        <f t="shared" si="6549"/>
        <v>0</v>
      </c>
      <c r="HA185" s="74">
        <f t="shared" si="6549"/>
        <v>0</v>
      </c>
      <c r="HB185" s="74">
        <f t="shared" si="6549"/>
        <v>0</v>
      </c>
      <c r="HC185" s="74">
        <f t="shared" si="6549"/>
        <v>0</v>
      </c>
      <c r="HD185" s="74">
        <f t="shared" si="6549"/>
        <v>0</v>
      </c>
      <c r="HE185" s="74">
        <f t="shared" si="6549"/>
        <v>0</v>
      </c>
      <c r="HF185" s="74">
        <f t="shared" si="6549"/>
        <v>0</v>
      </c>
      <c r="HG185" s="74">
        <f t="shared" si="6549"/>
        <v>0</v>
      </c>
      <c r="HH185" s="74">
        <f t="shared" si="6549"/>
        <v>0</v>
      </c>
      <c r="HI185" s="74">
        <f t="shared" si="6549"/>
        <v>0</v>
      </c>
      <c r="HJ185" s="74">
        <f t="shared" si="6549"/>
        <v>0</v>
      </c>
      <c r="HK185" s="74">
        <f t="shared" ref="HK185:IP185" si="6550">HK337+HK516</f>
        <v>0</v>
      </c>
      <c r="HL185" s="74">
        <f t="shared" si="6550"/>
        <v>0</v>
      </c>
      <c r="HM185" s="74">
        <f t="shared" si="6550"/>
        <v>0</v>
      </c>
      <c r="HN185" s="74">
        <f t="shared" si="6550"/>
        <v>0</v>
      </c>
      <c r="HO185" s="74">
        <f t="shared" si="6550"/>
        <v>0</v>
      </c>
      <c r="HP185" s="74">
        <f t="shared" si="6550"/>
        <v>0</v>
      </c>
      <c r="HQ185" s="74">
        <f t="shared" si="6550"/>
        <v>0</v>
      </c>
      <c r="HR185" s="74">
        <f t="shared" si="6550"/>
        <v>0</v>
      </c>
      <c r="HS185" s="74">
        <f t="shared" si="6550"/>
        <v>0</v>
      </c>
      <c r="HT185" s="74">
        <f t="shared" si="6550"/>
        <v>0</v>
      </c>
      <c r="HU185" s="74">
        <f t="shared" si="6550"/>
        <v>0</v>
      </c>
      <c r="HV185" s="74">
        <f t="shared" si="6550"/>
        <v>0</v>
      </c>
      <c r="HW185" s="74">
        <f t="shared" si="6550"/>
        <v>0</v>
      </c>
      <c r="HX185" s="74">
        <f t="shared" si="6550"/>
        <v>0</v>
      </c>
      <c r="HY185" s="74">
        <f t="shared" si="6550"/>
        <v>0</v>
      </c>
      <c r="HZ185" s="74">
        <f t="shared" si="6550"/>
        <v>0</v>
      </c>
      <c r="IA185" s="74">
        <f t="shared" si="6550"/>
        <v>0</v>
      </c>
      <c r="IB185" s="74">
        <f t="shared" si="6550"/>
        <v>0</v>
      </c>
      <c r="IC185" s="74">
        <f t="shared" si="6550"/>
        <v>0</v>
      </c>
      <c r="ID185" s="74">
        <f t="shared" si="6550"/>
        <v>0</v>
      </c>
      <c r="IE185" s="792">
        <f t="shared" si="6550"/>
        <v>0</v>
      </c>
      <c r="IF185" s="841">
        <f t="shared" si="6550"/>
        <v>0</v>
      </c>
      <c r="IG185" s="263">
        <f t="shared" si="6550"/>
        <v>0</v>
      </c>
      <c r="IH185" s="842">
        <f t="shared" si="6550"/>
        <v>0</v>
      </c>
      <c r="II185" s="155">
        <f t="shared" si="6550"/>
        <v>0</v>
      </c>
      <c r="IJ185" s="74">
        <f t="shared" si="6550"/>
        <v>0</v>
      </c>
      <c r="IK185" s="74">
        <f t="shared" si="6550"/>
        <v>0</v>
      </c>
      <c r="IL185" s="74">
        <f t="shared" si="6550"/>
        <v>0</v>
      </c>
      <c r="IM185" s="74">
        <f t="shared" si="6550"/>
        <v>0</v>
      </c>
      <c r="IN185" s="74">
        <f t="shared" si="6550"/>
        <v>0</v>
      </c>
      <c r="IO185" s="74">
        <f t="shared" si="6550"/>
        <v>0</v>
      </c>
      <c r="IP185" s="74">
        <f t="shared" si="6550"/>
        <v>0</v>
      </c>
      <c r="IQ185" s="74">
        <f t="shared" ref="IQ185:JT185" si="6551">IQ337+IQ516</f>
        <v>0</v>
      </c>
      <c r="IR185" s="74">
        <f t="shared" si="6551"/>
        <v>0</v>
      </c>
      <c r="IS185" s="74">
        <f t="shared" si="6551"/>
        <v>0</v>
      </c>
      <c r="IT185" s="74">
        <f t="shared" si="6551"/>
        <v>0</v>
      </c>
      <c r="IU185" s="74">
        <f t="shared" si="6551"/>
        <v>0</v>
      </c>
      <c r="IV185" s="74">
        <f t="shared" si="6551"/>
        <v>0</v>
      </c>
      <c r="IW185" s="74">
        <f t="shared" si="6551"/>
        <v>0</v>
      </c>
      <c r="IX185" s="74">
        <f t="shared" si="6551"/>
        <v>0</v>
      </c>
      <c r="IY185" s="74">
        <f t="shared" si="6551"/>
        <v>0</v>
      </c>
      <c r="IZ185" s="74">
        <f t="shared" si="6551"/>
        <v>0</v>
      </c>
      <c r="JA185" s="74">
        <f t="shared" si="6551"/>
        <v>0</v>
      </c>
      <c r="JB185" s="74">
        <f t="shared" si="6551"/>
        <v>0</v>
      </c>
      <c r="JC185" s="74">
        <f t="shared" si="6551"/>
        <v>0</v>
      </c>
      <c r="JD185" s="74">
        <f t="shared" si="6551"/>
        <v>0</v>
      </c>
      <c r="JE185" s="74">
        <f t="shared" si="6551"/>
        <v>0</v>
      </c>
      <c r="JF185" s="74">
        <f t="shared" si="6551"/>
        <v>0</v>
      </c>
      <c r="JG185" s="74">
        <f t="shared" si="6551"/>
        <v>0</v>
      </c>
      <c r="JH185" s="74">
        <f t="shared" si="6551"/>
        <v>0</v>
      </c>
      <c r="JI185" s="74">
        <f t="shared" si="6551"/>
        <v>0</v>
      </c>
      <c r="JJ185" s="74">
        <f t="shared" si="6551"/>
        <v>0</v>
      </c>
      <c r="JK185" s="74">
        <f t="shared" si="6551"/>
        <v>0</v>
      </c>
      <c r="JL185" s="74">
        <f t="shared" si="6551"/>
        <v>0</v>
      </c>
      <c r="JM185" s="74">
        <f t="shared" si="6551"/>
        <v>0</v>
      </c>
      <c r="JN185" s="74">
        <f t="shared" si="6551"/>
        <v>0</v>
      </c>
      <c r="JO185" s="74">
        <f t="shared" si="6551"/>
        <v>0</v>
      </c>
      <c r="JP185" s="74">
        <f t="shared" si="6551"/>
        <v>0</v>
      </c>
      <c r="JQ185" s="74">
        <f t="shared" si="6551"/>
        <v>0</v>
      </c>
      <c r="JR185" s="74">
        <f t="shared" si="6551"/>
        <v>0</v>
      </c>
      <c r="JS185" s="74">
        <f t="shared" si="6551"/>
        <v>0</v>
      </c>
      <c r="JT185" s="102">
        <f t="shared" si="6551"/>
        <v>0</v>
      </c>
      <c r="JU185" s="671"/>
      <c r="JV185" s="492"/>
      <c r="JW185" s="490"/>
      <c r="JX185" s="549">
        <f>JX337+JX516</f>
        <v>0</v>
      </c>
      <c r="JY185" s="549">
        <f>JY337+JY516</f>
        <v>0</v>
      </c>
      <c r="JZ185" s="581">
        <f t="shared" si="4944"/>
        <v>0</v>
      </c>
      <c r="KA185" s="581">
        <f t="shared" si="4945"/>
        <v>0</v>
      </c>
      <c r="KB185" s="549">
        <f>KB337+KB516</f>
        <v>0</v>
      </c>
      <c r="KC185" s="709">
        <f t="shared" si="4908"/>
        <v>0</v>
      </c>
      <c r="KD185" s="36"/>
      <c r="KE185" s="36"/>
      <c r="KF185" s="36"/>
      <c r="KG185" s="36"/>
      <c r="KH185" s="36"/>
      <c r="KI185" s="36"/>
      <c r="KJ185" s="36"/>
      <c r="KK185" s="36"/>
    </row>
    <row r="186" spans="1:297" s="8" customFormat="1" ht="12.75" hidden="1" customHeight="1">
      <c r="A186" s="75"/>
      <c r="B186" s="72"/>
      <c r="C186" s="74"/>
      <c r="D186" s="549"/>
      <c r="E186" s="675"/>
      <c r="F186" s="549"/>
      <c r="G186" s="675"/>
      <c r="H186" s="549"/>
      <c r="I186" s="675"/>
      <c r="J186" s="549"/>
      <c r="K186" s="675"/>
      <c r="L186" s="549"/>
      <c r="M186" s="675"/>
      <c r="N186" s="549"/>
      <c r="O186" s="675"/>
      <c r="P186" s="549"/>
      <c r="Q186" s="675"/>
      <c r="R186" s="549"/>
      <c r="S186" s="675"/>
      <c r="T186" s="549"/>
      <c r="U186" s="675"/>
      <c r="V186" s="549"/>
      <c r="W186" s="675"/>
      <c r="X186" s="549"/>
      <c r="Y186" s="675"/>
      <c r="Z186" s="549"/>
      <c r="AA186" s="675"/>
      <c r="AB186" s="549"/>
      <c r="AC186" s="675"/>
      <c r="AD186" s="549"/>
      <c r="AE186" s="675"/>
      <c r="AF186" s="549"/>
      <c r="AG186" s="675"/>
      <c r="AH186" s="549"/>
      <c r="AI186" s="675"/>
      <c r="AJ186" s="549"/>
      <c r="AK186" s="675"/>
      <c r="AL186" s="549"/>
      <c r="AM186" s="675"/>
      <c r="AN186" s="549"/>
      <c r="AO186" s="675"/>
      <c r="AP186" s="549"/>
      <c r="AQ186" s="675"/>
      <c r="AR186" s="549"/>
      <c r="AS186" s="675"/>
      <c r="AT186" s="549"/>
      <c r="AU186" s="675"/>
      <c r="AV186" s="549"/>
      <c r="AW186" s="675"/>
      <c r="AX186" s="549"/>
      <c r="AY186" s="675"/>
      <c r="AZ186" s="549"/>
      <c r="BA186" s="675"/>
      <c r="BB186" s="549"/>
      <c r="BC186" s="675"/>
      <c r="BD186" s="549"/>
      <c r="BE186" s="675"/>
      <c r="BF186" s="549"/>
      <c r="BG186" s="675"/>
      <c r="BH186" s="549"/>
      <c r="BI186" s="675"/>
      <c r="BJ186" s="549"/>
      <c r="BK186" s="675"/>
      <c r="BL186" s="549"/>
      <c r="BM186" s="675"/>
      <c r="BN186" s="549"/>
      <c r="BO186" s="675"/>
      <c r="BP186" s="549"/>
      <c r="BQ186" s="675"/>
      <c r="BR186" s="549"/>
      <c r="BS186" s="675"/>
      <c r="BT186" s="549"/>
      <c r="BU186" s="675"/>
      <c r="BV186" s="549"/>
      <c r="BW186" s="675"/>
      <c r="BX186" s="549"/>
      <c r="BY186" s="675"/>
      <c r="BZ186" s="549"/>
      <c r="CA186" s="675"/>
      <c r="CB186" s="549"/>
      <c r="CC186" s="675"/>
      <c r="CD186" s="549"/>
      <c r="CE186" s="675"/>
      <c r="CF186" s="549"/>
      <c r="CG186" s="675"/>
      <c r="CH186" s="549"/>
      <c r="CI186" s="675"/>
      <c r="CJ186" s="549"/>
      <c r="CK186" s="675"/>
      <c r="CL186" s="549"/>
      <c r="CM186" s="675"/>
      <c r="CN186" s="549"/>
      <c r="CO186" s="675"/>
      <c r="CP186" s="549"/>
      <c r="CQ186" s="675"/>
      <c r="CR186" s="549"/>
      <c r="CS186" s="675"/>
      <c r="CT186" s="549"/>
      <c r="CU186" s="675"/>
      <c r="CV186" s="549"/>
      <c r="CW186" s="675"/>
      <c r="CX186" s="549"/>
      <c r="CY186" s="675"/>
      <c r="CZ186" s="549"/>
      <c r="DA186" s="675"/>
      <c r="DB186" s="549"/>
      <c r="DC186" s="675"/>
      <c r="DD186" s="549"/>
      <c r="DE186" s="675"/>
      <c r="DF186" s="549"/>
      <c r="DG186" s="675"/>
      <c r="DH186" s="549"/>
      <c r="DI186" s="675"/>
      <c r="DJ186" s="549"/>
      <c r="DK186" s="675"/>
      <c r="DL186" s="549"/>
      <c r="DM186" s="675"/>
      <c r="DN186" s="549"/>
      <c r="DO186" s="675"/>
      <c r="DP186" s="549"/>
      <c r="DQ186" s="675"/>
      <c r="DR186" s="549"/>
      <c r="DS186" s="675"/>
      <c r="DT186" s="549"/>
      <c r="DU186" s="675"/>
      <c r="DV186" s="549"/>
      <c r="DW186" s="675"/>
      <c r="DX186" s="549"/>
      <c r="DY186" s="675"/>
      <c r="DZ186" s="549"/>
      <c r="EA186" s="675"/>
      <c r="EB186" s="549"/>
      <c r="EC186" s="675"/>
      <c r="ED186" s="549"/>
      <c r="EE186" s="675"/>
      <c r="EF186" s="549"/>
      <c r="EG186" s="675"/>
      <c r="EH186" s="549"/>
      <c r="EI186" s="675"/>
      <c r="EJ186" s="549"/>
      <c r="EK186" s="675"/>
      <c r="EL186" s="549"/>
      <c r="EM186" s="675"/>
      <c r="EN186" s="549"/>
      <c r="EO186" s="675"/>
      <c r="EP186" s="549"/>
      <c r="EQ186" s="675"/>
      <c r="ER186" s="549"/>
      <c r="ES186" s="675"/>
      <c r="ET186" s="549"/>
      <c r="EU186" s="675"/>
      <c r="EV186" s="549"/>
      <c r="EW186" s="675"/>
      <c r="EX186" s="549"/>
      <c r="EY186" s="675"/>
      <c r="EZ186" s="549"/>
      <c r="FA186" s="675"/>
      <c r="FB186" s="549"/>
      <c r="FC186" s="675"/>
      <c r="FD186" s="549"/>
      <c r="FE186" s="675"/>
      <c r="FF186" s="549"/>
      <c r="FG186" s="675"/>
      <c r="FH186" s="549"/>
      <c r="FI186" s="675"/>
      <c r="FJ186" s="549"/>
      <c r="FK186" s="675"/>
      <c r="FL186" s="549"/>
      <c r="FM186" s="675"/>
      <c r="FN186" s="549"/>
      <c r="FO186" s="675"/>
      <c r="FP186" s="549"/>
      <c r="FQ186" s="675"/>
      <c r="FR186" s="549"/>
      <c r="FS186" s="675"/>
      <c r="FT186" s="549"/>
      <c r="FU186" s="675"/>
      <c r="FV186" s="549"/>
      <c r="FW186" s="675"/>
      <c r="FX186" s="549"/>
      <c r="FY186" s="675"/>
      <c r="FZ186" s="549"/>
      <c r="GA186" s="675"/>
      <c r="GB186" s="549"/>
      <c r="GC186" s="675"/>
      <c r="GD186" s="549"/>
      <c r="GE186" s="675"/>
      <c r="GF186" s="549"/>
      <c r="GG186" s="675"/>
      <c r="GH186" s="549"/>
      <c r="GI186" s="675"/>
      <c r="GJ186" s="549"/>
      <c r="GK186" s="675"/>
      <c r="GL186" s="549"/>
      <c r="GM186" s="675"/>
      <c r="GN186" s="549"/>
      <c r="GO186" s="675"/>
      <c r="GP186" s="74"/>
      <c r="GQ186" s="675"/>
      <c r="GR186" s="74"/>
      <c r="GS186" s="74"/>
      <c r="GT186" s="549"/>
      <c r="GU186" s="74"/>
      <c r="GV186" s="74"/>
      <c r="GW186" s="549"/>
      <c r="GX186" s="549"/>
      <c r="GY186" s="74"/>
      <c r="GZ186" s="74"/>
      <c r="HA186" s="74"/>
      <c r="HB186" s="74"/>
      <c r="HC186" s="74"/>
      <c r="HD186" s="74"/>
      <c r="HE186" s="74"/>
      <c r="HF186" s="74"/>
      <c r="HG186" s="74"/>
      <c r="HH186" s="74"/>
      <c r="HI186" s="74"/>
      <c r="HJ186" s="74"/>
      <c r="HK186" s="74"/>
      <c r="HL186" s="74"/>
      <c r="HM186" s="74"/>
      <c r="HN186" s="74"/>
      <c r="HO186" s="74"/>
      <c r="HP186" s="74"/>
      <c r="HQ186" s="74"/>
      <c r="HR186" s="74"/>
      <c r="HS186" s="74"/>
      <c r="HT186" s="74"/>
      <c r="HU186" s="74"/>
      <c r="HV186" s="74"/>
      <c r="HW186" s="74"/>
      <c r="HX186" s="74"/>
      <c r="HY186" s="74"/>
      <c r="HZ186" s="74"/>
      <c r="IA186" s="74"/>
      <c r="IB186" s="74"/>
      <c r="IC186" s="74"/>
      <c r="ID186" s="74"/>
      <c r="IE186" s="792"/>
      <c r="IF186" s="841"/>
      <c r="IG186" s="263"/>
      <c r="IH186" s="842"/>
      <c r="II186" s="155"/>
      <c r="IJ186" s="74"/>
      <c r="IK186" s="74"/>
      <c r="IL186" s="74"/>
      <c r="IM186" s="74"/>
      <c r="IN186" s="74"/>
      <c r="IO186" s="74"/>
      <c r="IP186" s="74"/>
      <c r="IQ186" s="74"/>
      <c r="IR186" s="74"/>
      <c r="IS186" s="74"/>
      <c r="IT186" s="74"/>
      <c r="IU186" s="74"/>
      <c r="IV186" s="74"/>
      <c r="IW186" s="74"/>
      <c r="IX186" s="74"/>
      <c r="IY186" s="74"/>
      <c r="IZ186" s="74"/>
      <c r="JA186" s="74"/>
      <c r="JB186" s="74"/>
      <c r="JC186" s="74"/>
      <c r="JD186" s="74"/>
      <c r="JE186" s="74"/>
      <c r="JF186" s="74"/>
      <c r="JG186" s="74"/>
      <c r="JH186" s="74"/>
      <c r="JI186" s="74"/>
      <c r="JJ186" s="74"/>
      <c r="JK186" s="74"/>
      <c r="JL186" s="74"/>
      <c r="JM186" s="74"/>
      <c r="JN186" s="74"/>
      <c r="JO186" s="74"/>
      <c r="JP186" s="74"/>
      <c r="JQ186" s="74"/>
      <c r="JR186" s="74"/>
      <c r="JS186" s="74"/>
      <c r="JT186" s="382"/>
      <c r="JU186" s="670"/>
      <c r="JV186" s="489"/>
      <c r="JW186" s="529"/>
      <c r="JX186" s="549"/>
      <c r="JY186" s="549"/>
      <c r="JZ186" s="581">
        <f t="shared" si="4944"/>
        <v>0</v>
      </c>
      <c r="KA186" s="581">
        <f t="shared" si="4945"/>
        <v>0</v>
      </c>
      <c r="KB186" s="549"/>
      <c r="KC186" s="709">
        <f t="shared" si="4908"/>
        <v>0</v>
      </c>
      <c r="KD186" s="36"/>
      <c r="KE186" s="36"/>
      <c r="KF186" s="36"/>
      <c r="KG186" s="36"/>
      <c r="KH186" s="36"/>
      <c r="KI186" s="36"/>
      <c r="KJ186" s="36"/>
      <c r="KK186" s="36"/>
    </row>
    <row r="187" spans="1:297" s="8" customFormat="1">
      <c r="A187" s="75" t="s">
        <v>508</v>
      </c>
      <c r="B187" s="72"/>
      <c r="C187" s="74">
        <f t="shared" ref="C187" si="6552">SUM(+C518+C339)</f>
        <v>45000</v>
      </c>
      <c r="D187" s="549">
        <f t="shared" ref="D187:E187" si="6553">SUM(+D518+D339)</f>
        <v>0</v>
      </c>
      <c r="E187" s="675">
        <f t="shared" si="6553"/>
        <v>0</v>
      </c>
      <c r="F187" s="549">
        <f t="shared" ref="F187:G187" si="6554">SUM(+F518+F339)</f>
        <v>0</v>
      </c>
      <c r="G187" s="675">
        <f t="shared" si="6554"/>
        <v>0</v>
      </c>
      <c r="H187" s="549">
        <f t="shared" ref="H187:I187" si="6555">SUM(+H518+H339)</f>
        <v>0</v>
      </c>
      <c r="I187" s="675">
        <f t="shared" si="6555"/>
        <v>0</v>
      </c>
      <c r="J187" s="549">
        <f t="shared" ref="J187:K187" si="6556">SUM(+J518+J339)</f>
        <v>0</v>
      </c>
      <c r="K187" s="675">
        <f t="shared" si="6556"/>
        <v>0</v>
      </c>
      <c r="L187" s="549">
        <f t="shared" ref="L187:M187" si="6557">SUM(+L518+L339)</f>
        <v>0</v>
      </c>
      <c r="M187" s="675">
        <f t="shared" si="6557"/>
        <v>0</v>
      </c>
      <c r="N187" s="549">
        <f t="shared" ref="N187:O187" si="6558">SUM(+N518+N339)</f>
        <v>0</v>
      </c>
      <c r="O187" s="675">
        <f t="shared" si="6558"/>
        <v>0</v>
      </c>
      <c r="P187" s="549">
        <f t="shared" ref="P187:Q187" si="6559">SUM(+P518+P339)</f>
        <v>0</v>
      </c>
      <c r="Q187" s="675">
        <f t="shared" si="6559"/>
        <v>0</v>
      </c>
      <c r="R187" s="549">
        <f t="shared" ref="R187:S187" si="6560">SUM(+R518+R339)</f>
        <v>0</v>
      </c>
      <c r="S187" s="675">
        <f t="shared" si="6560"/>
        <v>0</v>
      </c>
      <c r="T187" s="549">
        <f t="shared" ref="T187:U187" si="6561">SUM(+T518+T339)</f>
        <v>0</v>
      </c>
      <c r="U187" s="675">
        <f t="shared" si="6561"/>
        <v>0</v>
      </c>
      <c r="V187" s="549">
        <f t="shared" ref="V187:W187" si="6562">SUM(+V518+V339)</f>
        <v>0</v>
      </c>
      <c r="W187" s="675">
        <f t="shared" si="6562"/>
        <v>0</v>
      </c>
      <c r="X187" s="549">
        <f t="shared" ref="X187:Y187" si="6563">SUM(+X518+X339)</f>
        <v>0</v>
      </c>
      <c r="Y187" s="675">
        <f t="shared" si="6563"/>
        <v>0</v>
      </c>
      <c r="Z187" s="549">
        <f t="shared" ref="Z187:AA187" si="6564">SUM(+Z518+Z339)</f>
        <v>0</v>
      </c>
      <c r="AA187" s="675">
        <f t="shared" si="6564"/>
        <v>0</v>
      </c>
      <c r="AB187" s="549">
        <f t="shared" ref="AB187:AC187" si="6565">SUM(+AB518+AB339)</f>
        <v>0</v>
      </c>
      <c r="AC187" s="675">
        <f t="shared" si="6565"/>
        <v>0</v>
      </c>
      <c r="AD187" s="549">
        <f t="shared" ref="AD187:AE187" si="6566">SUM(+AD518+AD339)</f>
        <v>0</v>
      </c>
      <c r="AE187" s="675">
        <f t="shared" si="6566"/>
        <v>0</v>
      </c>
      <c r="AF187" s="549">
        <f t="shared" ref="AF187:AG187" si="6567">SUM(+AF518+AF339)</f>
        <v>0</v>
      </c>
      <c r="AG187" s="675">
        <f t="shared" si="6567"/>
        <v>0</v>
      </c>
      <c r="AH187" s="549">
        <f t="shared" ref="AH187:AI187" si="6568">SUM(+AH518+AH339)</f>
        <v>0</v>
      </c>
      <c r="AI187" s="675">
        <f t="shared" si="6568"/>
        <v>-44000</v>
      </c>
      <c r="AJ187" s="549">
        <f t="shared" ref="AJ187:AK187" si="6569">SUM(+AJ518+AJ339)</f>
        <v>0</v>
      </c>
      <c r="AK187" s="675">
        <f t="shared" si="6569"/>
        <v>0</v>
      </c>
      <c r="AL187" s="549">
        <f t="shared" ref="AL187:AM187" si="6570">SUM(+AL518+AL339)</f>
        <v>0</v>
      </c>
      <c r="AM187" s="675">
        <f t="shared" si="6570"/>
        <v>0</v>
      </c>
      <c r="AN187" s="549">
        <f t="shared" ref="AN187:AS187" si="6571">SUM(+AN518+AN339)</f>
        <v>0</v>
      </c>
      <c r="AO187" s="675">
        <f t="shared" si="6571"/>
        <v>0</v>
      </c>
      <c r="AP187" s="549">
        <f t="shared" si="6571"/>
        <v>0</v>
      </c>
      <c r="AQ187" s="675">
        <f t="shared" si="6571"/>
        <v>0</v>
      </c>
      <c r="AR187" s="549">
        <f t="shared" si="6571"/>
        <v>0</v>
      </c>
      <c r="AS187" s="675">
        <f t="shared" si="6571"/>
        <v>0</v>
      </c>
      <c r="AT187" s="549">
        <f t="shared" ref="AT187:AU187" si="6572">SUM(+AT518+AT339)</f>
        <v>0</v>
      </c>
      <c r="AU187" s="675">
        <f t="shared" si="6572"/>
        <v>0</v>
      </c>
      <c r="AV187" s="549">
        <f t="shared" ref="AV187:AW187" si="6573">SUM(+AV518+AV339)</f>
        <v>0</v>
      </c>
      <c r="AW187" s="675">
        <f t="shared" si="6573"/>
        <v>0</v>
      </c>
      <c r="AX187" s="549">
        <f t="shared" ref="AX187:AY187" si="6574">SUM(+AX518+AX339)</f>
        <v>0</v>
      </c>
      <c r="AY187" s="675">
        <f t="shared" si="6574"/>
        <v>0</v>
      </c>
      <c r="AZ187" s="549">
        <f t="shared" ref="AZ187:BA187" si="6575">SUM(+AZ518+AZ339)</f>
        <v>0</v>
      </c>
      <c r="BA187" s="675">
        <f t="shared" si="6575"/>
        <v>0</v>
      </c>
      <c r="BB187" s="549">
        <f t="shared" ref="BB187:BC187" si="6576">SUM(+BB518+BB339)</f>
        <v>0</v>
      </c>
      <c r="BC187" s="675">
        <f t="shared" si="6576"/>
        <v>0</v>
      </c>
      <c r="BD187" s="549">
        <f t="shared" ref="BD187:BE187" si="6577">SUM(+BD518+BD339)</f>
        <v>0</v>
      </c>
      <c r="BE187" s="675">
        <f t="shared" si="6577"/>
        <v>0</v>
      </c>
      <c r="BF187" s="549">
        <f t="shared" ref="BF187:BG187" si="6578">SUM(+BF518+BF339)</f>
        <v>0</v>
      </c>
      <c r="BG187" s="675">
        <f t="shared" si="6578"/>
        <v>0</v>
      </c>
      <c r="BH187" s="549">
        <f t="shared" ref="BH187:BI187" si="6579">SUM(+BH518+BH339)</f>
        <v>0</v>
      </c>
      <c r="BI187" s="675">
        <f t="shared" si="6579"/>
        <v>0</v>
      </c>
      <c r="BJ187" s="549">
        <f t="shared" ref="BJ187:BK187" si="6580">SUM(+BJ518+BJ339)</f>
        <v>0</v>
      </c>
      <c r="BK187" s="675">
        <f t="shared" si="6580"/>
        <v>0</v>
      </c>
      <c r="BL187" s="549">
        <f t="shared" ref="BL187:BS187" si="6581">SUM(+BL518+BL339)</f>
        <v>0</v>
      </c>
      <c r="BM187" s="675">
        <f t="shared" si="6581"/>
        <v>0</v>
      </c>
      <c r="BN187" s="549">
        <f t="shared" si="6581"/>
        <v>0</v>
      </c>
      <c r="BO187" s="675">
        <f t="shared" si="6581"/>
        <v>0</v>
      </c>
      <c r="BP187" s="549">
        <f t="shared" si="6581"/>
        <v>0</v>
      </c>
      <c r="BQ187" s="675">
        <f t="shared" si="6581"/>
        <v>0</v>
      </c>
      <c r="BR187" s="549">
        <f t="shared" si="6581"/>
        <v>0</v>
      </c>
      <c r="BS187" s="675">
        <f t="shared" si="6581"/>
        <v>0</v>
      </c>
      <c r="BT187" s="549">
        <f t="shared" ref="BT187:BU187" si="6582">SUM(+BT518+BT339)</f>
        <v>0</v>
      </c>
      <c r="BU187" s="675">
        <f t="shared" si="6582"/>
        <v>0</v>
      </c>
      <c r="BV187" s="549">
        <f t="shared" ref="BV187:BW187" si="6583">SUM(+BV518+BV339)</f>
        <v>0</v>
      </c>
      <c r="BW187" s="675">
        <f t="shared" si="6583"/>
        <v>0</v>
      </c>
      <c r="BX187" s="549">
        <f t="shared" ref="BX187:BY187" si="6584">SUM(+BX518+BX339)</f>
        <v>0</v>
      </c>
      <c r="BY187" s="675">
        <f t="shared" si="6584"/>
        <v>0</v>
      </c>
      <c r="BZ187" s="549">
        <f t="shared" ref="BZ187:CA187" si="6585">SUM(+BZ518+BZ339)</f>
        <v>0</v>
      </c>
      <c r="CA187" s="675">
        <f t="shared" si="6585"/>
        <v>0</v>
      </c>
      <c r="CB187" s="549">
        <f t="shared" ref="CB187:CE187" si="6586">SUM(+CB518+CB339)</f>
        <v>0</v>
      </c>
      <c r="CC187" s="675">
        <f t="shared" si="6586"/>
        <v>0</v>
      </c>
      <c r="CD187" s="549">
        <f t="shared" si="6586"/>
        <v>0</v>
      </c>
      <c r="CE187" s="675">
        <f t="shared" si="6586"/>
        <v>0</v>
      </c>
      <c r="CF187" s="549">
        <f t="shared" ref="CF187:CQ187" si="6587">SUM(+CF518+CF339)</f>
        <v>0</v>
      </c>
      <c r="CG187" s="675">
        <f t="shared" si="6587"/>
        <v>0</v>
      </c>
      <c r="CH187" s="549">
        <f t="shared" si="6587"/>
        <v>0</v>
      </c>
      <c r="CI187" s="675">
        <f t="shared" si="6587"/>
        <v>0</v>
      </c>
      <c r="CJ187" s="549">
        <f t="shared" si="6587"/>
        <v>0</v>
      </c>
      <c r="CK187" s="675">
        <f t="shared" si="6587"/>
        <v>-700</v>
      </c>
      <c r="CL187" s="549">
        <f t="shared" si="6587"/>
        <v>0</v>
      </c>
      <c r="CM187" s="675">
        <f t="shared" si="6587"/>
        <v>0</v>
      </c>
      <c r="CN187" s="549">
        <f t="shared" si="6587"/>
        <v>0</v>
      </c>
      <c r="CO187" s="675">
        <f t="shared" si="6587"/>
        <v>0</v>
      </c>
      <c r="CP187" s="549">
        <f t="shared" si="6587"/>
        <v>0</v>
      </c>
      <c r="CQ187" s="675">
        <f t="shared" si="6587"/>
        <v>0</v>
      </c>
      <c r="CR187" s="549">
        <f t="shared" ref="CR187:CY187" si="6588">SUM(+CR518+CR339)</f>
        <v>0</v>
      </c>
      <c r="CS187" s="675">
        <f t="shared" si="6588"/>
        <v>0</v>
      </c>
      <c r="CT187" s="549">
        <f t="shared" si="6588"/>
        <v>0</v>
      </c>
      <c r="CU187" s="675">
        <f t="shared" si="6588"/>
        <v>0</v>
      </c>
      <c r="CV187" s="549">
        <f t="shared" si="6588"/>
        <v>0</v>
      </c>
      <c r="CW187" s="675">
        <f t="shared" si="6588"/>
        <v>0</v>
      </c>
      <c r="CX187" s="549">
        <f t="shared" si="6588"/>
        <v>0</v>
      </c>
      <c r="CY187" s="675">
        <f t="shared" si="6588"/>
        <v>0</v>
      </c>
      <c r="CZ187" s="549">
        <f t="shared" ref="CZ187:DI187" si="6589">SUM(+CZ518+CZ339)</f>
        <v>0</v>
      </c>
      <c r="DA187" s="675">
        <f t="shared" si="6589"/>
        <v>0</v>
      </c>
      <c r="DB187" s="549">
        <f t="shared" si="6589"/>
        <v>0</v>
      </c>
      <c r="DC187" s="675">
        <f t="shared" si="6589"/>
        <v>0</v>
      </c>
      <c r="DD187" s="549">
        <f t="shared" si="6589"/>
        <v>0</v>
      </c>
      <c r="DE187" s="675">
        <f t="shared" si="6589"/>
        <v>0</v>
      </c>
      <c r="DF187" s="549">
        <f t="shared" si="6589"/>
        <v>0</v>
      </c>
      <c r="DG187" s="675">
        <f t="shared" si="6589"/>
        <v>0</v>
      </c>
      <c r="DH187" s="549">
        <f t="shared" si="6589"/>
        <v>0</v>
      </c>
      <c r="DI187" s="675">
        <f t="shared" si="6589"/>
        <v>0</v>
      </c>
      <c r="DJ187" s="549">
        <f t="shared" ref="DJ187:DK187" si="6590">SUM(+DJ518+DJ339)</f>
        <v>0</v>
      </c>
      <c r="DK187" s="675">
        <f t="shared" si="6590"/>
        <v>0</v>
      </c>
      <c r="DL187" s="549">
        <f t="shared" ref="DL187:DM187" si="6591">SUM(+DL518+DL339)</f>
        <v>0</v>
      </c>
      <c r="DM187" s="675">
        <f t="shared" si="6591"/>
        <v>0</v>
      </c>
      <c r="DN187" s="549">
        <f t="shared" ref="DN187:DW187" si="6592">SUM(+DN518+DN339)</f>
        <v>0</v>
      </c>
      <c r="DO187" s="675">
        <f t="shared" si="6592"/>
        <v>0</v>
      </c>
      <c r="DP187" s="549">
        <f t="shared" si="6592"/>
        <v>0</v>
      </c>
      <c r="DQ187" s="675">
        <f t="shared" si="6592"/>
        <v>0</v>
      </c>
      <c r="DR187" s="549">
        <f t="shared" si="6592"/>
        <v>0</v>
      </c>
      <c r="DS187" s="675">
        <f t="shared" si="6592"/>
        <v>0</v>
      </c>
      <c r="DT187" s="549">
        <f t="shared" si="6592"/>
        <v>0</v>
      </c>
      <c r="DU187" s="675">
        <f t="shared" si="6592"/>
        <v>0</v>
      </c>
      <c r="DV187" s="549">
        <f t="shared" si="6592"/>
        <v>0</v>
      </c>
      <c r="DW187" s="675">
        <f t="shared" si="6592"/>
        <v>0</v>
      </c>
      <c r="DX187" s="549">
        <f t="shared" ref="DX187:EG187" si="6593">SUM(+DX518+DX339)</f>
        <v>0</v>
      </c>
      <c r="DY187" s="675">
        <f t="shared" si="6593"/>
        <v>0</v>
      </c>
      <c r="DZ187" s="549">
        <f t="shared" si="6593"/>
        <v>0</v>
      </c>
      <c r="EA187" s="675">
        <f t="shared" si="6593"/>
        <v>0</v>
      </c>
      <c r="EB187" s="549">
        <f t="shared" si="6593"/>
        <v>0</v>
      </c>
      <c r="EC187" s="675">
        <f t="shared" si="6593"/>
        <v>0</v>
      </c>
      <c r="ED187" s="549">
        <f t="shared" si="6593"/>
        <v>0</v>
      </c>
      <c r="EE187" s="675">
        <f t="shared" si="6593"/>
        <v>0</v>
      </c>
      <c r="EF187" s="549">
        <f t="shared" si="6593"/>
        <v>0</v>
      </c>
      <c r="EG187" s="675">
        <f t="shared" si="6593"/>
        <v>0</v>
      </c>
      <c r="EH187" s="549">
        <f t="shared" ref="EH187:EM187" si="6594">SUM(+EH518+EH339)</f>
        <v>0</v>
      </c>
      <c r="EI187" s="675">
        <f t="shared" si="6594"/>
        <v>0</v>
      </c>
      <c r="EJ187" s="549">
        <f t="shared" si="6594"/>
        <v>0</v>
      </c>
      <c r="EK187" s="675">
        <f t="shared" si="6594"/>
        <v>0</v>
      </c>
      <c r="EL187" s="549">
        <f t="shared" si="6594"/>
        <v>0</v>
      </c>
      <c r="EM187" s="675">
        <f t="shared" si="6594"/>
        <v>0</v>
      </c>
      <c r="EN187" s="549">
        <f t="shared" ref="EN187:EO187" si="6595">SUM(+EN518+EN339)</f>
        <v>0</v>
      </c>
      <c r="EO187" s="675">
        <f t="shared" si="6595"/>
        <v>0</v>
      </c>
      <c r="EP187" s="549">
        <f t="shared" ref="EP187:FA187" si="6596">SUM(+EP518+EP339)</f>
        <v>0</v>
      </c>
      <c r="EQ187" s="675">
        <f t="shared" si="6596"/>
        <v>0</v>
      </c>
      <c r="ER187" s="549">
        <f t="shared" si="6596"/>
        <v>0</v>
      </c>
      <c r="ES187" s="675">
        <f t="shared" si="6596"/>
        <v>0</v>
      </c>
      <c r="ET187" s="549">
        <f t="shared" si="6596"/>
        <v>0</v>
      </c>
      <c r="EU187" s="675">
        <f t="shared" si="6596"/>
        <v>0</v>
      </c>
      <c r="EV187" s="549">
        <f t="shared" ref="EV187:EW187" si="6597">SUM(+EV518+EV339)</f>
        <v>0</v>
      </c>
      <c r="EW187" s="675">
        <f t="shared" si="6597"/>
        <v>0</v>
      </c>
      <c r="EX187" s="549">
        <f t="shared" si="6596"/>
        <v>0</v>
      </c>
      <c r="EY187" s="675">
        <f t="shared" si="6596"/>
        <v>0</v>
      </c>
      <c r="EZ187" s="549">
        <f t="shared" si="6596"/>
        <v>0</v>
      </c>
      <c r="FA187" s="675">
        <f t="shared" si="6596"/>
        <v>0</v>
      </c>
      <c r="FB187" s="549">
        <f t="shared" ref="FB187:FC187" si="6598">SUM(+FB518+FB339)</f>
        <v>0</v>
      </c>
      <c r="FC187" s="675">
        <f t="shared" si="6598"/>
        <v>0</v>
      </c>
      <c r="FD187" s="549">
        <f t="shared" ref="FD187:FE187" si="6599">SUM(+FD518+FD339)</f>
        <v>0</v>
      </c>
      <c r="FE187" s="675">
        <f t="shared" si="6599"/>
        <v>0</v>
      </c>
      <c r="FF187" s="549">
        <f t="shared" ref="FF187:FG187" si="6600">SUM(+FF518+FF339)</f>
        <v>0</v>
      </c>
      <c r="FG187" s="675">
        <f t="shared" si="6600"/>
        <v>0</v>
      </c>
      <c r="FH187" s="549">
        <f t="shared" ref="FH187:FI187" si="6601">SUM(+FH518+FH339)</f>
        <v>0</v>
      </c>
      <c r="FI187" s="675">
        <f t="shared" si="6601"/>
        <v>0</v>
      </c>
      <c r="FJ187" s="549">
        <f t="shared" ref="FJ187:FK187" si="6602">SUM(+FJ518+FJ339)</f>
        <v>0</v>
      </c>
      <c r="FK187" s="675">
        <f t="shared" si="6602"/>
        <v>0</v>
      </c>
      <c r="FL187" s="549">
        <f t="shared" ref="FL187:FM187" si="6603">SUM(+FL518+FL339)</f>
        <v>0</v>
      </c>
      <c r="FM187" s="675">
        <f t="shared" si="6603"/>
        <v>0</v>
      </c>
      <c r="FN187" s="549">
        <f t="shared" ref="FN187:FO187" si="6604">SUM(+FN518+FN339)</f>
        <v>0</v>
      </c>
      <c r="FO187" s="675">
        <f t="shared" si="6604"/>
        <v>0</v>
      </c>
      <c r="FP187" s="549">
        <f t="shared" ref="FP187:FQ187" si="6605">SUM(+FP518+FP339)</f>
        <v>0</v>
      </c>
      <c r="FQ187" s="675">
        <f t="shared" si="6605"/>
        <v>0</v>
      </c>
      <c r="FR187" s="549">
        <f t="shared" ref="FR187:FS187" si="6606">SUM(+FR518+FR339)</f>
        <v>0</v>
      </c>
      <c r="FS187" s="675">
        <f t="shared" si="6606"/>
        <v>0</v>
      </c>
      <c r="FT187" s="549">
        <f t="shared" ref="FT187:FU187" si="6607">SUM(+FT518+FT339)</f>
        <v>0</v>
      </c>
      <c r="FU187" s="675">
        <f t="shared" si="6607"/>
        <v>0</v>
      </c>
      <c r="FV187" s="549">
        <f t="shared" ref="FV187:GK187" si="6608">SUM(+FV518+FV339)</f>
        <v>0</v>
      </c>
      <c r="FW187" s="675">
        <f t="shared" si="6608"/>
        <v>0</v>
      </c>
      <c r="FX187" s="549">
        <f t="shared" si="6608"/>
        <v>0</v>
      </c>
      <c r="FY187" s="675">
        <f t="shared" si="6608"/>
        <v>0</v>
      </c>
      <c r="FZ187" s="549">
        <f t="shared" ref="FZ187:GI187" si="6609">SUM(+FZ518+FZ339)</f>
        <v>0</v>
      </c>
      <c r="GA187" s="675">
        <f t="shared" si="6609"/>
        <v>0</v>
      </c>
      <c r="GB187" s="549">
        <f t="shared" si="6609"/>
        <v>0</v>
      </c>
      <c r="GC187" s="675">
        <f t="shared" si="6609"/>
        <v>0</v>
      </c>
      <c r="GD187" s="549">
        <f t="shared" si="6609"/>
        <v>0</v>
      </c>
      <c r="GE187" s="675">
        <f t="shared" si="6609"/>
        <v>0</v>
      </c>
      <c r="GF187" s="549">
        <f t="shared" si="6609"/>
        <v>0</v>
      </c>
      <c r="GG187" s="675">
        <f t="shared" si="6609"/>
        <v>0</v>
      </c>
      <c r="GH187" s="549">
        <f t="shared" si="6609"/>
        <v>0</v>
      </c>
      <c r="GI187" s="675">
        <f t="shared" si="6609"/>
        <v>0</v>
      </c>
      <c r="GJ187" s="549">
        <f t="shared" si="6608"/>
        <v>0</v>
      </c>
      <c r="GK187" s="675">
        <f t="shared" si="6608"/>
        <v>0</v>
      </c>
      <c r="GL187" s="549">
        <f t="shared" ref="GL187:GQ187" si="6610">SUM(+GL518+GL339)</f>
        <v>0</v>
      </c>
      <c r="GM187" s="675">
        <f t="shared" si="6610"/>
        <v>0</v>
      </c>
      <c r="GN187" s="549">
        <f t="shared" ref="GN187:GO187" si="6611">SUM(+GN518+GN339)</f>
        <v>0</v>
      </c>
      <c r="GO187" s="675">
        <f t="shared" si="6611"/>
        <v>0</v>
      </c>
      <c r="GP187" s="74">
        <f t="shared" si="6610"/>
        <v>0</v>
      </c>
      <c r="GQ187" s="675">
        <f t="shared" si="6610"/>
        <v>-44700</v>
      </c>
      <c r="GR187" s="74">
        <f t="shared" ref="GR187:HK187" si="6612">SUM(+GR518+GR339)</f>
        <v>300</v>
      </c>
      <c r="GS187" s="74">
        <f t="shared" si="6612"/>
        <v>300</v>
      </c>
      <c r="GT187" s="74">
        <f t="shared" si="6612"/>
        <v>300</v>
      </c>
      <c r="GU187" s="74">
        <f t="shared" si="6612"/>
        <v>0</v>
      </c>
      <c r="GV187" s="74">
        <f t="shared" si="6612"/>
        <v>0</v>
      </c>
      <c r="GW187" s="74">
        <f t="shared" si="6612"/>
        <v>45000</v>
      </c>
      <c r="GX187" s="74">
        <f t="shared" si="6612"/>
        <v>0</v>
      </c>
      <c r="GY187" s="74">
        <f t="shared" si="6612"/>
        <v>0</v>
      </c>
      <c r="GZ187" s="74">
        <f t="shared" si="6612"/>
        <v>0</v>
      </c>
      <c r="HA187" s="74">
        <f t="shared" si="6612"/>
        <v>0</v>
      </c>
      <c r="HB187" s="74">
        <f t="shared" si="6612"/>
        <v>0</v>
      </c>
      <c r="HC187" s="74">
        <f t="shared" si="6612"/>
        <v>0</v>
      </c>
      <c r="HD187" s="74">
        <f t="shared" si="6612"/>
        <v>0</v>
      </c>
      <c r="HE187" s="74">
        <f t="shared" si="6612"/>
        <v>0</v>
      </c>
      <c r="HF187" s="74">
        <f t="shared" si="6612"/>
        <v>0</v>
      </c>
      <c r="HG187" s="74">
        <f t="shared" si="6612"/>
        <v>300</v>
      </c>
      <c r="HH187" s="74">
        <f t="shared" si="6612"/>
        <v>0</v>
      </c>
      <c r="HI187" s="74">
        <f t="shared" si="6612"/>
        <v>0</v>
      </c>
      <c r="HJ187" s="74">
        <f t="shared" si="6612"/>
        <v>0</v>
      </c>
      <c r="HK187" s="74">
        <f t="shared" si="6612"/>
        <v>0</v>
      </c>
      <c r="HL187" s="74">
        <f t="shared" ref="HL187:JT187" si="6613">SUM(+HL518+HL339)</f>
        <v>239.95</v>
      </c>
      <c r="HM187" s="74">
        <f t="shared" si="6613"/>
        <v>0</v>
      </c>
      <c r="HN187" s="74">
        <f t="shared" si="6613"/>
        <v>0</v>
      </c>
      <c r="HO187" s="74">
        <f t="shared" si="6613"/>
        <v>0</v>
      </c>
      <c r="HP187" s="74">
        <f t="shared" si="6613"/>
        <v>0</v>
      </c>
      <c r="HQ187" s="74">
        <f t="shared" si="6613"/>
        <v>0</v>
      </c>
      <c r="HR187" s="74">
        <f t="shared" si="6613"/>
        <v>0</v>
      </c>
      <c r="HS187" s="74">
        <f t="shared" si="6613"/>
        <v>0</v>
      </c>
      <c r="HT187" s="74">
        <f t="shared" si="6613"/>
        <v>0</v>
      </c>
      <c r="HU187" s="74">
        <f t="shared" si="6613"/>
        <v>0</v>
      </c>
      <c r="HV187" s="74">
        <f t="shared" si="6613"/>
        <v>0</v>
      </c>
      <c r="HW187" s="74">
        <f t="shared" si="6613"/>
        <v>0</v>
      </c>
      <c r="HX187" s="74">
        <f t="shared" si="6613"/>
        <v>0</v>
      </c>
      <c r="HY187" s="74">
        <f t="shared" si="6613"/>
        <v>0</v>
      </c>
      <c r="HZ187" s="74">
        <f t="shared" si="6613"/>
        <v>60.050000000000011</v>
      </c>
      <c r="IA187" s="74">
        <f t="shared" si="6613"/>
        <v>0</v>
      </c>
      <c r="IB187" s="74">
        <f t="shared" si="6613"/>
        <v>0</v>
      </c>
      <c r="IC187" s="74">
        <f t="shared" si="6613"/>
        <v>0</v>
      </c>
      <c r="ID187" s="74">
        <f t="shared" si="6613"/>
        <v>0</v>
      </c>
      <c r="IE187" s="792">
        <f t="shared" si="6613"/>
        <v>0</v>
      </c>
      <c r="IF187" s="841">
        <f t="shared" si="6613"/>
        <v>239.95</v>
      </c>
      <c r="IG187" s="263">
        <f t="shared" si="6613"/>
        <v>239.95</v>
      </c>
      <c r="IH187" s="842">
        <f t="shared" si="6613"/>
        <v>239.95</v>
      </c>
      <c r="II187" s="155">
        <f t="shared" si="6613"/>
        <v>0</v>
      </c>
      <c r="IJ187" s="74">
        <f t="shared" si="6613"/>
        <v>0</v>
      </c>
      <c r="IK187" s="74">
        <f t="shared" si="6613"/>
        <v>0</v>
      </c>
      <c r="IL187" s="74">
        <f t="shared" si="6613"/>
        <v>0</v>
      </c>
      <c r="IM187" s="74">
        <f t="shared" si="6613"/>
        <v>0</v>
      </c>
      <c r="IN187" s="74">
        <f t="shared" si="6613"/>
        <v>0</v>
      </c>
      <c r="IO187" s="74">
        <f t="shared" si="6613"/>
        <v>0</v>
      </c>
      <c r="IP187" s="74">
        <f t="shared" si="6613"/>
        <v>0</v>
      </c>
      <c r="IQ187" s="74">
        <f t="shared" si="6613"/>
        <v>0</v>
      </c>
      <c r="IR187" s="74">
        <f t="shared" si="6613"/>
        <v>239.95</v>
      </c>
      <c r="IS187" s="74">
        <f t="shared" si="6613"/>
        <v>239.95</v>
      </c>
      <c r="IT187" s="74">
        <f t="shared" si="6613"/>
        <v>239.95</v>
      </c>
      <c r="IU187" s="74">
        <f t="shared" si="6613"/>
        <v>0</v>
      </c>
      <c r="IV187" s="74">
        <f t="shared" si="6613"/>
        <v>0</v>
      </c>
      <c r="IW187" s="74">
        <f t="shared" si="6613"/>
        <v>0</v>
      </c>
      <c r="IX187" s="74">
        <f t="shared" si="6613"/>
        <v>0</v>
      </c>
      <c r="IY187" s="74">
        <f t="shared" si="6613"/>
        <v>0</v>
      </c>
      <c r="IZ187" s="74">
        <f t="shared" si="6613"/>
        <v>0</v>
      </c>
      <c r="JA187" s="74">
        <f t="shared" si="6613"/>
        <v>0</v>
      </c>
      <c r="JB187" s="74">
        <f t="shared" si="6613"/>
        <v>0</v>
      </c>
      <c r="JC187" s="74">
        <f t="shared" si="6613"/>
        <v>0</v>
      </c>
      <c r="JD187" s="74">
        <f t="shared" si="6613"/>
        <v>0</v>
      </c>
      <c r="JE187" s="74">
        <f t="shared" si="6613"/>
        <v>0</v>
      </c>
      <c r="JF187" s="74">
        <f t="shared" si="6613"/>
        <v>0</v>
      </c>
      <c r="JG187" s="74">
        <f t="shared" si="6613"/>
        <v>0</v>
      </c>
      <c r="JH187" s="74">
        <f t="shared" si="6613"/>
        <v>0</v>
      </c>
      <c r="JI187" s="74">
        <f t="shared" si="6613"/>
        <v>0</v>
      </c>
      <c r="JJ187" s="74">
        <f t="shared" si="6613"/>
        <v>0</v>
      </c>
      <c r="JK187" s="74">
        <f t="shared" si="6613"/>
        <v>0</v>
      </c>
      <c r="JL187" s="74">
        <f t="shared" si="6613"/>
        <v>0</v>
      </c>
      <c r="JM187" s="74">
        <f t="shared" si="6613"/>
        <v>0</v>
      </c>
      <c r="JN187" s="74">
        <f t="shared" si="6613"/>
        <v>0</v>
      </c>
      <c r="JO187" s="74">
        <f t="shared" si="6613"/>
        <v>0</v>
      </c>
      <c r="JP187" s="74">
        <f t="shared" si="6613"/>
        <v>0</v>
      </c>
      <c r="JQ187" s="74">
        <f t="shared" si="6613"/>
        <v>0</v>
      </c>
      <c r="JR187" s="74">
        <f t="shared" si="6613"/>
        <v>0</v>
      </c>
      <c r="JS187" s="74">
        <f t="shared" si="6613"/>
        <v>60.050000000000011</v>
      </c>
      <c r="JT187" s="102">
        <f t="shared" si="6613"/>
        <v>60.050000000000011</v>
      </c>
      <c r="JU187" s="671"/>
      <c r="JV187" s="492"/>
      <c r="JW187" s="490"/>
      <c r="JX187" s="549">
        <f>SUM(+JX518+JX339)</f>
        <v>300</v>
      </c>
      <c r="JY187" s="549">
        <f>SUM(+JY518+JY339)</f>
        <v>0</v>
      </c>
      <c r="JZ187" s="581">
        <f t="shared" si="4944"/>
        <v>0</v>
      </c>
      <c r="KA187" s="581">
        <f t="shared" si="4945"/>
        <v>-44700</v>
      </c>
      <c r="KB187" s="549">
        <f>SUM(+KB518+KB339)</f>
        <v>300</v>
      </c>
      <c r="KC187" s="709">
        <f t="shared" si="4908"/>
        <v>0</v>
      </c>
      <c r="KD187" s="36"/>
      <c r="KE187" s="36"/>
      <c r="KF187" s="36"/>
      <c r="KG187" s="36"/>
      <c r="KH187" s="36"/>
      <c r="KI187" s="36"/>
      <c r="KJ187" s="36"/>
      <c r="KK187" s="36"/>
    </row>
    <row r="188" spans="1:297" s="8" customFormat="1">
      <c r="A188" s="75"/>
      <c r="B188" s="72"/>
      <c r="C188" s="74"/>
      <c r="D188" s="549"/>
      <c r="E188" s="675"/>
      <c r="F188" s="549"/>
      <c r="G188" s="675"/>
      <c r="H188" s="549"/>
      <c r="I188" s="675"/>
      <c r="J188" s="549"/>
      <c r="K188" s="675"/>
      <c r="L188" s="549"/>
      <c r="M188" s="675"/>
      <c r="N188" s="549"/>
      <c r="O188" s="675"/>
      <c r="P188" s="549"/>
      <c r="Q188" s="675"/>
      <c r="R188" s="549"/>
      <c r="S188" s="675"/>
      <c r="T188" s="549"/>
      <c r="U188" s="675"/>
      <c r="V188" s="549"/>
      <c r="W188" s="675"/>
      <c r="X188" s="549"/>
      <c r="Y188" s="675"/>
      <c r="Z188" s="549"/>
      <c r="AA188" s="675"/>
      <c r="AB188" s="549"/>
      <c r="AC188" s="675"/>
      <c r="AD188" s="549"/>
      <c r="AE188" s="675"/>
      <c r="AF188" s="549"/>
      <c r="AG188" s="675"/>
      <c r="AH188" s="549"/>
      <c r="AI188" s="675"/>
      <c r="AJ188" s="549"/>
      <c r="AK188" s="675"/>
      <c r="AL188" s="549"/>
      <c r="AM188" s="675"/>
      <c r="AN188" s="549"/>
      <c r="AO188" s="675"/>
      <c r="AP188" s="549"/>
      <c r="AQ188" s="675"/>
      <c r="AR188" s="549"/>
      <c r="AS188" s="675"/>
      <c r="AT188" s="549"/>
      <c r="AU188" s="675"/>
      <c r="AV188" s="549"/>
      <c r="AW188" s="675"/>
      <c r="AX188" s="549"/>
      <c r="AY188" s="675"/>
      <c r="AZ188" s="549"/>
      <c r="BA188" s="675"/>
      <c r="BB188" s="549"/>
      <c r="BC188" s="675"/>
      <c r="BD188" s="549"/>
      <c r="BE188" s="675"/>
      <c r="BF188" s="549"/>
      <c r="BG188" s="675"/>
      <c r="BH188" s="549"/>
      <c r="BI188" s="675"/>
      <c r="BJ188" s="549"/>
      <c r="BK188" s="675"/>
      <c r="BL188" s="549"/>
      <c r="BM188" s="675"/>
      <c r="BN188" s="549"/>
      <c r="BO188" s="675"/>
      <c r="BP188" s="549"/>
      <c r="BQ188" s="675"/>
      <c r="BR188" s="549"/>
      <c r="BS188" s="675"/>
      <c r="BT188" s="549"/>
      <c r="BU188" s="675"/>
      <c r="BV188" s="549"/>
      <c r="BW188" s="675"/>
      <c r="BX188" s="549"/>
      <c r="BY188" s="675"/>
      <c r="BZ188" s="549"/>
      <c r="CA188" s="675"/>
      <c r="CB188" s="549"/>
      <c r="CC188" s="675"/>
      <c r="CD188" s="549"/>
      <c r="CE188" s="675"/>
      <c r="CF188" s="549"/>
      <c r="CG188" s="675"/>
      <c r="CH188" s="549"/>
      <c r="CI188" s="675"/>
      <c r="CJ188" s="549"/>
      <c r="CK188" s="675"/>
      <c r="CL188" s="549"/>
      <c r="CM188" s="675"/>
      <c r="CN188" s="549"/>
      <c r="CO188" s="675"/>
      <c r="CP188" s="549"/>
      <c r="CQ188" s="675"/>
      <c r="CR188" s="549"/>
      <c r="CS188" s="675"/>
      <c r="CT188" s="549"/>
      <c r="CU188" s="675"/>
      <c r="CV188" s="549"/>
      <c r="CW188" s="675"/>
      <c r="CX188" s="549"/>
      <c r="CY188" s="675"/>
      <c r="CZ188" s="549"/>
      <c r="DA188" s="675"/>
      <c r="DB188" s="549"/>
      <c r="DC188" s="675"/>
      <c r="DD188" s="549"/>
      <c r="DE188" s="675"/>
      <c r="DF188" s="549"/>
      <c r="DG188" s="675"/>
      <c r="DH188" s="549"/>
      <c r="DI188" s="675"/>
      <c r="DJ188" s="549"/>
      <c r="DK188" s="675"/>
      <c r="DL188" s="549"/>
      <c r="DM188" s="675"/>
      <c r="DN188" s="549"/>
      <c r="DO188" s="675"/>
      <c r="DP188" s="549"/>
      <c r="DQ188" s="675"/>
      <c r="DR188" s="549"/>
      <c r="DS188" s="675"/>
      <c r="DT188" s="549"/>
      <c r="DU188" s="675"/>
      <c r="DV188" s="549"/>
      <c r="DW188" s="675"/>
      <c r="DX188" s="549"/>
      <c r="DY188" s="675"/>
      <c r="DZ188" s="549"/>
      <c r="EA188" s="675"/>
      <c r="EB188" s="549"/>
      <c r="EC188" s="675"/>
      <c r="ED188" s="549"/>
      <c r="EE188" s="675"/>
      <c r="EF188" s="549"/>
      <c r="EG188" s="675"/>
      <c r="EH188" s="549"/>
      <c r="EI188" s="675"/>
      <c r="EJ188" s="549"/>
      <c r="EK188" s="675"/>
      <c r="EL188" s="549"/>
      <c r="EM188" s="675"/>
      <c r="EN188" s="549"/>
      <c r="EO188" s="675"/>
      <c r="EP188" s="549"/>
      <c r="EQ188" s="675"/>
      <c r="ER188" s="549"/>
      <c r="ES188" s="675"/>
      <c r="ET188" s="549"/>
      <c r="EU188" s="675"/>
      <c r="EV188" s="549"/>
      <c r="EW188" s="675"/>
      <c r="EX188" s="549"/>
      <c r="EY188" s="675"/>
      <c r="EZ188" s="549"/>
      <c r="FA188" s="675"/>
      <c r="FB188" s="549"/>
      <c r="FC188" s="675"/>
      <c r="FD188" s="549"/>
      <c r="FE188" s="675"/>
      <c r="FF188" s="549"/>
      <c r="FG188" s="675"/>
      <c r="FH188" s="549"/>
      <c r="FI188" s="675"/>
      <c r="FJ188" s="549"/>
      <c r="FK188" s="675"/>
      <c r="FL188" s="549"/>
      <c r="FM188" s="675"/>
      <c r="FN188" s="549"/>
      <c r="FO188" s="675"/>
      <c r="FP188" s="549"/>
      <c r="FQ188" s="675"/>
      <c r="FR188" s="549"/>
      <c r="FS188" s="675"/>
      <c r="FT188" s="549"/>
      <c r="FU188" s="675"/>
      <c r="FV188" s="549"/>
      <c r="FW188" s="675"/>
      <c r="FX188" s="549"/>
      <c r="FY188" s="675"/>
      <c r="FZ188" s="549"/>
      <c r="GA188" s="675"/>
      <c r="GB188" s="549"/>
      <c r="GC188" s="675"/>
      <c r="GD188" s="549"/>
      <c r="GE188" s="675"/>
      <c r="GF188" s="549"/>
      <c r="GG188" s="675"/>
      <c r="GH188" s="549"/>
      <c r="GI188" s="675"/>
      <c r="GJ188" s="549"/>
      <c r="GK188" s="675"/>
      <c r="GL188" s="549"/>
      <c r="GM188" s="675"/>
      <c r="GN188" s="549"/>
      <c r="GO188" s="675"/>
      <c r="GP188" s="74"/>
      <c r="GQ188" s="675"/>
      <c r="GR188" s="74"/>
      <c r="GS188" s="74"/>
      <c r="GT188" s="549"/>
      <c r="GU188" s="74"/>
      <c r="GV188" s="74"/>
      <c r="GW188" s="549"/>
      <c r="GX188" s="549"/>
      <c r="GY188" s="74"/>
      <c r="GZ188" s="74"/>
      <c r="HA188" s="74"/>
      <c r="HB188" s="74"/>
      <c r="HC188" s="74"/>
      <c r="HD188" s="74"/>
      <c r="HE188" s="74"/>
      <c r="HF188" s="74"/>
      <c r="HG188" s="74"/>
      <c r="HH188" s="74"/>
      <c r="HI188" s="74"/>
      <c r="HJ188" s="74"/>
      <c r="HK188" s="74"/>
      <c r="HL188" s="74"/>
      <c r="HM188" s="74"/>
      <c r="HN188" s="74"/>
      <c r="HO188" s="74"/>
      <c r="HP188" s="74"/>
      <c r="HQ188" s="74"/>
      <c r="HR188" s="74"/>
      <c r="HS188" s="74"/>
      <c r="HT188" s="74"/>
      <c r="HU188" s="74"/>
      <c r="HV188" s="74"/>
      <c r="HW188" s="74"/>
      <c r="HX188" s="74"/>
      <c r="HY188" s="74"/>
      <c r="HZ188" s="74"/>
      <c r="IA188" s="74"/>
      <c r="IB188" s="74"/>
      <c r="IC188" s="74"/>
      <c r="ID188" s="74"/>
      <c r="IE188" s="792"/>
      <c r="IF188" s="841"/>
      <c r="IG188" s="263"/>
      <c r="IH188" s="842"/>
      <c r="II188" s="155"/>
      <c r="IJ188" s="74"/>
      <c r="IK188" s="74"/>
      <c r="IL188" s="74"/>
      <c r="IM188" s="74"/>
      <c r="IN188" s="74"/>
      <c r="IO188" s="74"/>
      <c r="IP188" s="74"/>
      <c r="IQ188" s="74"/>
      <c r="IR188" s="74"/>
      <c r="IS188" s="74"/>
      <c r="IT188" s="74"/>
      <c r="IU188" s="74"/>
      <c r="IV188" s="74"/>
      <c r="IW188" s="74"/>
      <c r="IX188" s="74"/>
      <c r="IY188" s="74"/>
      <c r="IZ188" s="74"/>
      <c r="JA188" s="74"/>
      <c r="JB188" s="74"/>
      <c r="JC188" s="74"/>
      <c r="JD188" s="74"/>
      <c r="JE188" s="74"/>
      <c r="JF188" s="74"/>
      <c r="JG188" s="74"/>
      <c r="JH188" s="74"/>
      <c r="JI188" s="74"/>
      <c r="JJ188" s="74"/>
      <c r="JK188" s="74"/>
      <c r="JL188" s="74"/>
      <c r="JM188" s="74"/>
      <c r="JN188" s="74"/>
      <c r="JO188" s="74"/>
      <c r="JP188" s="74"/>
      <c r="JQ188" s="74"/>
      <c r="JR188" s="74"/>
      <c r="JS188" s="74"/>
      <c r="JT188" s="382"/>
      <c r="JU188" s="670"/>
      <c r="JV188" s="489"/>
      <c r="JW188" s="528"/>
      <c r="JX188" s="549"/>
      <c r="JY188" s="549"/>
      <c r="JZ188" s="581">
        <f t="shared" si="4944"/>
        <v>0</v>
      </c>
      <c r="KA188" s="581">
        <f t="shared" si="4945"/>
        <v>0</v>
      </c>
      <c r="KB188" s="549"/>
      <c r="KC188" s="709">
        <f t="shared" si="4908"/>
        <v>0</v>
      </c>
      <c r="KD188" s="36"/>
      <c r="KE188" s="36"/>
      <c r="KF188" s="36"/>
      <c r="KG188" s="36"/>
      <c r="KH188" s="36"/>
      <c r="KI188" s="36"/>
      <c r="KJ188" s="36"/>
      <c r="KK188" s="36"/>
    </row>
    <row r="189" spans="1:297" s="8" customFormat="1">
      <c r="A189" s="75" t="s">
        <v>453</v>
      </c>
      <c r="B189" s="72"/>
      <c r="C189" s="74">
        <f t="shared" ref="C189" si="6614">SUM(C520)+C341</f>
        <v>80000</v>
      </c>
      <c r="D189" s="549">
        <f t="shared" ref="D189:E189" si="6615">SUM(D520)+D341</f>
        <v>0</v>
      </c>
      <c r="E189" s="675">
        <f t="shared" si="6615"/>
        <v>0</v>
      </c>
      <c r="F189" s="549">
        <f t="shared" ref="F189:G189" si="6616">SUM(F520)+F341</f>
        <v>0</v>
      </c>
      <c r="G189" s="675">
        <f t="shared" si="6616"/>
        <v>-5000</v>
      </c>
      <c r="H189" s="549">
        <f t="shared" ref="H189:I189" si="6617">SUM(H520)+H341</f>
        <v>0</v>
      </c>
      <c r="I189" s="675">
        <f t="shared" si="6617"/>
        <v>0</v>
      </c>
      <c r="J189" s="549">
        <f t="shared" ref="J189:K189" si="6618">SUM(J520)+J341</f>
        <v>0</v>
      </c>
      <c r="K189" s="675">
        <f t="shared" si="6618"/>
        <v>0</v>
      </c>
      <c r="L189" s="549">
        <f t="shared" ref="L189:M189" si="6619">SUM(L520)+L341</f>
        <v>0</v>
      </c>
      <c r="M189" s="675">
        <f t="shared" si="6619"/>
        <v>0</v>
      </c>
      <c r="N189" s="549">
        <f t="shared" ref="N189:O189" si="6620">SUM(N520)+N341</f>
        <v>0</v>
      </c>
      <c r="O189" s="675">
        <f t="shared" si="6620"/>
        <v>0</v>
      </c>
      <c r="P189" s="549">
        <f t="shared" ref="P189:Q189" si="6621">SUM(P520)+P341</f>
        <v>0</v>
      </c>
      <c r="Q189" s="675">
        <f t="shared" si="6621"/>
        <v>0</v>
      </c>
      <c r="R189" s="549">
        <f t="shared" ref="R189:S189" si="6622">SUM(R520)+R341</f>
        <v>0</v>
      </c>
      <c r="S189" s="675">
        <f t="shared" si="6622"/>
        <v>0</v>
      </c>
      <c r="T189" s="549">
        <f t="shared" ref="T189:U189" si="6623">SUM(T520)+T341</f>
        <v>0</v>
      </c>
      <c r="U189" s="675">
        <f t="shared" si="6623"/>
        <v>0</v>
      </c>
      <c r="V189" s="549">
        <f t="shared" ref="V189:W189" si="6624">SUM(V520)+V341</f>
        <v>0</v>
      </c>
      <c r="W189" s="675">
        <f t="shared" si="6624"/>
        <v>0</v>
      </c>
      <c r="X189" s="549">
        <f t="shared" ref="X189:Y189" si="6625">SUM(X520)+X341</f>
        <v>0</v>
      </c>
      <c r="Y189" s="675">
        <f t="shared" si="6625"/>
        <v>0</v>
      </c>
      <c r="Z189" s="549">
        <f t="shared" ref="Z189:AA189" si="6626">SUM(Z520)+Z341</f>
        <v>0</v>
      </c>
      <c r="AA189" s="675">
        <f t="shared" si="6626"/>
        <v>0</v>
      </c>
      <c r="AB189" s="549">
        <f t="shared" ref="AB189:AC189" si="6627">SUM(AB520)+AB341</f>
        <v>0</v>
      </c>
      <c r="AC189" s="675">
        <f t="shared" si="6627"/>
        <v>0</v>
      </c>
      <c r="AD189" s="549">
        <f t="shared" ref="AD189:AE189" si="6628">SUM(AD520)+AD341</f>
        <v>0</v>
      </c>
      <c r="AE189" s="675">
        <f t="shared" si="6628"/>
        <v>0</v>
      </c>
      <c r="AF189" s="549">
        <f t="shared" ref="AF189:AI189" si="6629">SUM(AF520)+AF341</f>
        <v>0</v>
      </c>
      <c r="AG189" s="675">
        <f t="shared" si="6629"/>
        <v>0</v>
      </c>
      <c r="AH189" s="549">
        <f t="shared" si="6629"/>
        <v>0</v>
      </c>
      <c r="AI189" s="675">
        <f t="shared" si="6629"/>
        <v>-24000</v>
      </c>
      <c r="AJ189" s="549">
        <f t="shared" ref="AJ189:AK189" si="6630">SUM(AJ520)+AJ341</f>
        <v>0</v>
      </c>
      <c r="AK189" s="675">
        <f t="shared" si="6630"/>
        <v>0</v>
      </c>
      <c r="AL189" s="549">
        <f t="shared" ref="AL189:AM189" si="6631">SUM(AL520)+AL341</f>
        <v>0</v>
      </c>
      <c r="AM189" s="675">
        <f t="shared" si="6631"/>
        <v>0</v>
      </c>
      <c r="AN189" s="549">
        <f t="shared" ref="AN189:AO189" si="6632">SUM(AN520)+AN341</f>
        <v>0</v>
      </c>
      <c r="AO189" s="675">
        <f t="shared" si="6632"/>
        <v>0</v>
      </c>
      <c r="AP189" s="549">
        <f t="shared" ref="AP189:AQ189" si="6633">SUM(AP520)+AP341</f>
        <v>0</v>
      </c>
      <c r="AQ189" s="675">
        <f t="shared" si="6633"/>
        <v>0</v>
      </c>
      <c r="AR189" s="549">
        <f t="shared" ref="AR189:AS189" si="6634">SUM(AR520)+AR341</f>
        <v>0</v>
      </c>
      <c r="AS189" s="675">
        <f t="shared" si="6634"/>
        <v>0</v>
      </c>
      <c r="AT189" s="549">
        <f t="shared" ref="AT189:AU189" si="6635">SUM(AT520)+AT341</f>
        <v>0</v>
      </c>
      <c r="AU189" s="675">
        <f t="shared" si="6635"/>
        <v>0</v>
      </c>
      <c r="AV189" s="549">
        <f t="shared" ref="AV189:AW189" si="6636">SUM(AV520)+AV341</f>
        <v>0</v>
      </c>
      <c r="AW189" s="675">
        <f t="shared" si="6636"/>
        <v>0</v>
      </c>
      <c r="AX189" s="549">
        <f t="shared" ref="AX189:AY189" si="6637">SUM(AX520)+AX341</f>
        <v>0</v>
      </c>
      <c r="AY189" s="675">
        <f t="shared" si="6637"/>
        <v>0</v>
      </c>
      <c r="AZ189" s="549">
        <f t="shared" ref="AZ189:BA189" si="6638">SUM(AZ520)+AZ341</f>
        <v>0</v>
      </c>
      <c r="BA189" s="675">
        <f t="shared" si="6638"/>
        <v>0</v>
      </c>
      <c r="BB189" s="549">
        <f t="shared" ref="BB189:BC189" si="6639">SUM(BB520)+BB341</f>
        <v>0</v>
      </c>
      <c r="BC189" s="675">
        <f t="shared" si="6639"/>
        <v>0</v>
      </c>
      <c r="BD189" s="549">
        <f t="shared" ref="BD189:BE189" si="6640">SUM(BD520)+BD341</f>
        <v>0</v>
      </c>
      <c r="BE189" s="675">
        <f t="shared" si="6640"/>
        <v>0</v>
      </c>
      <c r="BF189" s="549">
        <f t="shared" ref="BF189:BG189" si="6641">SUM(BF520)+BF341</f>
        <v>0</v>
      </c>
      <c r="BG189" s="675">
        <f t="shared" si="6641"/>
        <v>0</v>
      </c>
      <c r="BH189" s="549">
        <f t="shared" ref="BH189:BI189" si="6642">SUM(BH520)+BH341</f>
        <v>0</v>
      </c>
      <c r="BI189" s="675">
        <f t="shared" si="6642"/>
        <v>-17000</v>
      </c>
      <c r="BJ189" s="549">
        <f t="shared" ref="BJ189:BK189" si="6643">SUM(BJ520)+BJ341</f>
        <v>0</v>
      </c>
      <c r="BK189" s="675">
        <f t="shared" si="6643"/>
        <v>0</v>
      </c>
      <c r="BL189" s="549">
        <f t="shared" ref="BL189:BS189" si="6644">SUM(BL520)+BL341</f>
        <v>0</v>
      </c>
      <c r="BM189" s="675">
        <f t="shared" si="6644"/>
        <v>-6599</v>
      </c>
      <c r="BN189" s="549">
        <f t="shared" si="6644"/>
        <v>0</v>
      </c>
      <c r="BO189" s="675">
        <f t="shared" si="6644"/>
        <v>0</v>
      </c>
      <c r="BP189" s="549">
        <f t="shared" si="6644"/>
        <v>0</v>
      </c>
      <c r="BQ189" s="675">
        <f t="shared" si="6644"/>
        <v>0</v>
      </c>
      <c r="BR189" s="549">
        <f t="shared" si="6644"/>
        <v>0</v>
      </c>
      <c r="BS189" s="675">
        <f t="shared" si="6644"/>
        <v>0</v>
      </c>
      <c r="BT189" s="549">
        <f t="shared" ref="BT189:BU189" si="6645">SUM(BT520)+BT341</f>
        <v>0</v>
      </c>
      <c r="BU189" s="675">
        <f t="shared" si="6645"/>
        <v>0</v>
      </c>
      <c r="BV189" s="549">
        <f t="shared" ref="BV189:BW189" si="6646">SUM(BV520)+BV341</f>
        <v>0</v>
      </c>
      <c r="BW189" s="675">
        <f t="shared" si="6646"/>
        <v>0</v>
      </c>
      <c r="BX189" s="549">
        <f t="shared" ref="BX189:BY189" si="6647">SUM(BX520)+BX341</f>
        <v>0</v>
      </c>
      <c r="BY189" s="675">
        <f t="shared" si="6647"/>
        <v>0</v>
      </c>
      <c r="BZ189" s="549">
        <f t="shared" ref="BZ189:CA189" si="6648">SUM(BZ520)+BZ341</f>
        <v>0</v>
      </c>
      <c r="CA189" s="675">
        <f t="shared" si="6648"/>
        <v>0</v>
      </c>
      <c r="CB189" s="549">
        <f t="shared" ref="CB189:CC189" si="6649">SUM(CB520)+CB341</f>
        <v>0</v>
      </c>
      <c r="CC189" s="675">
        <f t="shared" si="6649"/>
        <v>0</v>
      </c>
      <c r="CD189" s="549">
        <f t="shared" ref="CD189:CE189" si="6650">SUM(CD520)+CD341</f>
        <v>0</v>
      </c>
      <c r="CE189" s="675">
        <f t="shared" si="6650"/>
        <v>0</v>
      </c>
      <c r="CF189" s="549">
        <f t="shared" ref="CF189:CG189" si="6651">SUM(CF520)+CF341</f>
        <v>0</v>
      </c>
      <c r="CG189" s="675">
        <f t="shared" si="6651"/>
        <v>0</v>
      </c>
      <c r="CH189" s="549">
        <f t="shared" ref="CH189:CI189" si="6652">SUM(CH520)+CH341</f>
        <v>0</v>
      </c>
      <c r="CI189" s="675">
        <f t="shared" si="6652"/>
        <v>-2000</v>
      </c>
      <c r="CJ189" s="549">
        <f t="shared" ref="CJ189:CK189" si="6653">SUM(CJ520)+CJ341</f>
        <v>0</v>
      </c>
      <c r="CK189" s="675">
        <f t="shared" si="6653"/>
        <v>-14000</v>
      </c>
      <c r="CL189" s="549">
        <f t="shared" ref="CL189:CM189" si="6654">SUM(CL520)+CL341</f>
        <v>0</v>
      </c>
      <c r="CM189" s="675">
        <f t="shared" si="6654"/>
        <v>0</v>
      </c>
      <c r="CN189" s="549">
        <f t="shared" ref="CN189:CO189" si="6655">SUM(CN520)+CN341</f>
        <v>0</v>
      </c>
      <c r="CO189" s="675">
        <f t="shared" si="6655"/>
        <v>0</v>
      </c>
      <c r="CP189" s="549">
        <f t="shared" ref="CP189:CQ189" si="6656">SUM(CP520)+CP341</f>
        <v>0</v>
      </c>
      <c r="CQ189" s="675">
        <f t="shared" si="6656"/>
        <v>0</v>
      </c>
      <c r="CR189" s="549">
        <f t="shared" ref="CR189:CS189" si="6657">SUM(CR520)+CR341</f>
        <v>0</v>
      </c>
      <c r="CS189" s="675">
        <f t="shared" si="6657"/>
        <v>0</v>
      </c>
      <c r="CT189" s="549">
        <f t="shared" ref="CT189:CU189" si="6658">SUM(CT520)+CT341</f>
        <v>0</v>
      </c>
      <c r="CU189" s="675">
        <f t="shared" si="6658"/>
        <v>0</v>
      </c>
      <c r="CV189" s="549">
        <f t="shared" ref="CV189:CW189" si="6659">SUM(CV520)+CV341</f>
        <v>0</v>
      </c>
      <c r="CW189" s="675">
        <f t="shared" si="6659"/>
        <v>0</v>
      </c>
      <c r="CX189" s="549">
        <f t="shared" ref="CX189:CY189" si="6660">SUM(CX520)+CX341</f>
        <v>0</v>
      </c>
      <c r="CY189" s="675">
        <f t="shared" si="6660"/>
        <v>0</v>
      </c>
      <c r="CZ189" s="549">
        <f t="shared" ref="CZ189:DI189" si="6661">SUM(CZ520)+CZ341</f>
        <v>0</v>
      </c>
      <c r="DA189" s="675">
        <f t="shared" si="6661"/>
        <v>0</v>
      </c>
      <c r="DB189" s="549">
        <f t="shared" si="6661"/>
        <v>0</v>
      </c>
      <c r="DC189" s="675">
        <f t="shared" si="6661"/>
        <v>0</v>
      </c>
      <c r="DD189" s="549">
        <f t="shared" si="6661"/>
        <v>0</v>
      </c>
      <c r="DE189" s="675">
        <f t="shared" si="6661"/>
        <v>0</v>
      </c>
      <c r="DF189" s="549">
        <f t="shared" si="6661"/>
        <v>0</v>
      </c>
      <c r="DG189" s="675">
        <f t="shared" si="6661"/>
        <v>0</v>
      </c>
      <c r="DH189" s="549">
        <f t="shared" si="6661"/>
        <v>0</v>
      </c>
      <c r="DI189" s="675">
        <f t="shared" si="6661"/>
        <v>0</v>
      </c>
      <c r="DJ189" s="549">
        <f t="shared" ref="DJ189:DK189" si="6662">SUM(DJ520)+DJ341</f>
        <v>0</v>
      </c>
      <c r="DK189" s="675">
        <f t="shared" si="6662"/>
        <v>0</v>
      </c>
      <c r="DL189" s="549">
        <f t="shared" ref="DL189:DM189" si="6663">SUM(DL520)+DL341</f>
        <v>0</v>
      </c>
      <c r="DM189" s="675">
        <f t="shared" si="6663"/>
        <v>0</v>
      </c>
      <c r="DN189" s="549">
        <f t="shared" ref="DN189:DO189" si="6664">SUM(DN520)+DN341</f>
        <v>0</v>
      </c>
      <c r="DO189" s="675">
        <f t="shared" si="6664"/>
        <v>0</v>
      </c>
      <c r="DP189" s="549">
        <f t="shared" ref="DP189:DQ189" si="6665">SUM(DP520)+DP341</f>
        <v>0</v>
      </c>
      <c r="DQ189" s="675">
        <f t="shared" si="6665"/>
        <v>0</v>
      </c>
      <c r="DR189" s="549">
        <f t="shared" ref="DR189:DS189" si="6666">SUM(DR520)+DR341</f>
        <v>0</v>
      </c>
      <c r="DS189" s="675">
        <f t="shared" si="6666"/>
        <v>0</v>
      </c>
      <c r="DT189" s="549">
        <f t="shared" ref="DT189:DU189" si="6667">SUM(DT520)+DT341</f>
        <v>0</v>
      </c>
      <c r="DU189" s="675">
        <f t="shared" si="6667"/>
        <v>0</v>
      </c>
      <c r="DV189" s="549">
        <f t="shared" ref="DV189:DW189" si="6668">SUM(DV520)+DV341</f>
        <v>0</v>
      </c>
      <c r="DW189" s="675">
        <f t="shared" si="6668"/>
        <v>0</v>
      </c>
      <c r="DX189" s="549">
        <f t="shared" ref="DX189:DY189" si="6669">SUM(DX520)+DX341</f>
        <v>0</v>
      </c>
      <c r="DY189" s="675">
        <f t="shared" si="6669"/>
        <v>0</v>
      </c>
      <c r="DZ189" s="549">
        <f t="shared" ref="DZ189:EA189" si="6670">SUM(DZ520)+DZ341</f>
        <v>0</v>
      </c>
      <c r="EA189" s="675">
        <f t="shared" si="6670"/>
        <v>0</v>
      </c>
      <c r="EB189" s="549">
        <f t="shared" ref="EB189:EC189" si="6671">SUM(EB520)+EB341</f>
        <v>0</v>
      </c>
      <c r="EC189" s="675">
        <f t="shared" si="6671"/>
        <v>0</v>
      </c>
      <c r="ED189" s="549">
        <f t="shared" ref="ED189:EE189" si="6672">SUM(ED520)+ED341</f>
        <v>0</v>
      </c>
      <c r="EE189" s="675">
        <f t="shared" si="6672"/>
        <v>0</v>
      </c>
      <c r="EF189" s="549">
        <f t="shared" ref="EF189:EG189" si="6673">SUM(EF520)+EF341</f>
        <v>0</v>
      </c>
      <c r="EG189" s="675">
        <f t="shared" si="6673"/>
        <v>0</v>
      </c>
      <c r="EH189" s="549">
        <f t="shared" ref="EH189:EM189" si="6674">SUM(EH520)+EH341</f>
        <v>0</v>
      </c>
      <c r="EI189" s="675">
        <f t="shared" si="6674"/>
        <v>0</v>
      </c>
      <c r="EJ189" s="549">
        <f t="shared" si="6674"/>
        <v>0</v>
      </c>
      <c r="EK189" s="675">
        <f t="shared" si="6674"/>
        <v>0</v>
      </c>
      <c r="EL189" s="549">
        <f t="shared" si="6674"/>
        <v>0</v>
      </c>
      <c r="EM189" s="675">
        <f t="shared" si="6674"/>
        <v>0</v>
      </c>
      <c r="EN189" s="549">
        <f t="shared" ref="EN189:EO189" si="6675">SUM(EN520)+EN341</f>
        <v>0</v>
      </c>
      <c r="EO189" s="675">
        <f t="shared" si="6675"/>
        <v>0</v>
      </c>
      <c r="EP189" s="549">
        <f t="shared" ref="EP189:EQ189" si="6676">SUM(EP520)+EP341</f>
        <v>0</v>
      </c>
      <c r="EQ189" s="675">
        <f t="shared" si="6676"/>
        <v>0</v>
      </c>
      <c r="ER189" s="549">
        <f t="shared" ref="ER189:ES189" si="6677">SUM(ER520)+ER341</f>
        <v>0</v>
      </c>
      <c r="ES189" s="675">
        <f t="shared" si="6677"/>
        <v>0</v>
      </c>
      <c r="ET189" s="549">
        <f t="shared" ref="ET189:EU189" si="6678">SUM(ET520)+ET341</f>
        <v>0</v>
      </c>
      <c r="EU189" s="675">
        <f t="shared" si="6678"/>
        <v>0</v>
      </c>
      <c r="EV189" s="549">
        <f t="shared" ref="EV189:EW189" si="6679">SUM(EV520)+EV341</f>
        <v>0</v>
      </c>
      <c r="EW189" s="675">
        <f t="shared" si="6679"/>
        <v>0</v>
      </c>
      <c r="EX189" s="549">
        <f t="shared" ref="EX189:EY189" si="6680">SUM(EX520)+EX341</f>
        <v>0</v>
      </c>
      <c r="EY189" s="675">
        <f t="shared" si="6680"/>
        <v>0</v>
      </c>
      <c r="EZ189" s="549">
        <f t="shared" ref="EZ189:FA189" si="6681">SUM(EZ520)+EZ341</f>
        <v>0</v>
      </c>
      <c r="FA189" s="675">
        <f t="shared" si="6681"/>
        <v>0</v>
      </c>
      <c r="FB189" s="549">
        <f t="shared" ref="FB189:FC189" si="6682">SUM(FB520)+FB341</f>
        <v>0</v>
      </c>
      <c r="FC189" s="675">
        <f t="shared" si="6682"/>
        <v>0</v>
      </c>
      <c r="FD189" s="549">
        <f t="shared" ref="FD189:FE189" si="6683">SUM(FD520)+FD341</f>
        <v>0</v>
      </c>
      <c r="FE189" s="675">
        <f t="shared" si="6683"/>
        <v>0</v>
      </c>
      <c r="FF189" s="549">
        <f t="shared" ref="FF189:FG189" si="6684">SUM(FF520)+FF341</f>
        <v>0</v>
      </c>
      <c r="FG189" s="675">
        <f t="shared" si="6684"/>
        <v>0</v>
      </c>
      <c r="FH189" s="549">
        <f t="shared" ref="FH189:FI189" si="6685">SUM(FH520)+FH341</f>
        <v>0</v>
      </c>
      <c r="FI189" s="675">
        <f t="shared" si="6685"/>
        <v>0</v>
      </c>
      <c r="FJ189" s="549">
        <f t="shared" ref="FJ189:FK189" si="6686">SUM(FJ520)+FJ341</f>
        <v>0</v>
      </c>
      <c r="FK189" s="675">
        <f t="shared" si="6686"/>
        <v>0</v>
      </c>
      <c r="FL189" s="549">
        <f t="shared" ref="FL189:FM189" si="6687">SUM(FL520)+FL341</f>
        <v>0</v>
      </c>
      <c r="FM189" s="675">
        <f t="shared" si="6687"/>
        <v>-391</v>
      </c>
      <c r="FN189" s="549">
        <f t="shared" ref="FN189:FO189" si="6688">SUM(FN520)+FN341</f>
        <v>0</v>
      </c>
      <c r="FO189" s="675">
        <f t="shared" si="6688"/>
        <v>0</v>
      </c>
      <c r="FP189" s="549">
        <f t="shared" ref="FP189:FQ189" si="6689">SUM(FP520)+FP341</f>
        <v>0</v>
      </c>
      <c r="FQ189" s="675">
        <f t="shared" si="6689"/>
        <v>0</v>
      </c>
      <c r="FR189" s="549">
        <f t="shared" ref="FR189:FS189" si="6690">SUM(FR520)+FR341</f>
        <v>0</v>
      </c>
      <c r="FS189" s="675">
        <f t="shared" si="6690"/>
        <v>0</v>
      </c>
      <c r="FT189" s="549">
        <f t="shared" ref="FT189:FU189" si="6691">SUM(FT520)+FT341</f>
        <v>0</v>
      </c>
      <c r="FU189" s="675">
        <f t="shared" si="6691"/>
        <v>0</v>
      </c>
      <c r="FV189" s="549">
        <f t="shared" ref="FV189:GK189" si="6692">SUM(FV520)+FV341</f>
        <v>0</v>
      </c>
      <c r="FW189" s="675">
        <f t="shared" si="6692"/>
        <v>0</v>
      </c>
      <c r="FX189" s="549">
        <f t="shared" si="6692"/>
        <v>0</v>
      </c>
      <c r="FY189" s="675">
        <f t="shared" si="6692"/>
        <v>0</v>
      </c>
      <c r="FZ189" s="549">
        <f t="shared" ref="FZ189:GI189" si="6693">SUM(FZ520)+FZ341</f>
        <v>0</v>
      </c>
      <c r="GA189" s="675">
        <f t="shared" si="6693"/>
        <v>0</v>
      </c>
      <c r="GB189" s="549">
        <f t="shared" si="6693"/>
        <v>0</v>
      </c>
      <c r="GC189" s="675">
        <f t="shared" si="6693"/>
        <v>0</v>
      </c>
      <c r="GD189" s="549">
        <f t="shared" si="6693"/>
        <v>0</v>
      </c>
      <c r="GE189" s="675">
        <f t="shared" si="6693"/>
        <v>0</v>
      </c>
      <c r="GF189" s="549">
        <f t="shared" si="6693"/>
        <v>0</v>
      </c>
      <c r="GG189" s="675">
        <f t="shared" si="6693"/>
        <v>0</v>
      </c>
      <c r="GH189" s="549">
        <f t="shared" si="6693"/>
        <v>0</v>
      </c>
      <c r="GI189" s="675">
        <f t="shared" si="6693"/>
        <v>0</v>
      </c>
      <c r="GJ189" s="549">
        <f t="shared" si="6692"/>
        <v>0</v>
      </c>
      <c r="GK189" s="675">
        <f t="shared" si="6692"/>
        <v>0</v>
      </c>
      <c r="GL189" s="549">
        <f t="shared" ref="GL189:GM189" si="6694">SUM(GL520)+GL341</f>
        <v>0</v>
      </c>
      <c r="GM189" s="675">
        <f t="shared" si="6694"/>
        <v>0</v>
      </c>
      <c r="GN189" s="549">
        <f t="shared" ref="GN189:GO189" si="6695">SUM(GN520)+GN341</f>
        <v>0</v>
      </c>
      <c r="GO189" s="675">
        <f t="shared" si="6695"/>
        <v>0</v>
      </c>
      <c r="GP189" s="74">
        <f t="shared" ref="GP189:GQ189" si="6696">SUM(GP520)+GP341</f>
        <v>0</v>
      </c>
      <c r="GQ189" s="675">
        <f t="shared" si="6696"/>
        <v>-68990</v>
      </c>
      <c r="GR189" s="74">
        <f t="shared" ref="GR189:HK189" si="6697">SUM(GR520)+GR341</f>
        <v>11010</v>
      </c>
      <c r="GS189" s="74">
        <f t="shared" si="6697"/>
        <v>11010</v>
      </c>
      <c r="GT189" s="74">
        <f t="shared" si="6697"/>
        <v>11010</v>
      </c>
      <c r="GU189" s="74">
        <f t="shared" si="6697"/>
        <v>15000</v>
      </c>
      <c r="GV189" s="74">
        <f t="shared" si="6697"/>
        <v>15000</v>
      </c>
      <c r="GW189" s="74">
        <f t="shared" si="6697"/>
        <v>15000</v>
      </c>
      <c r="GX189" s="74">
        <f t="shared" si="6697"/>
        <v>15000</v>
      </c>
      <c r="GY189" s="74">
        <f t="shared" si="6697"/>
        <v>10000</v>
      </c>
      <c r="GZ189" s="74">
        <f t="shared" si="6697"/>
        <v>10000</v>
      </c>
      <c r="HA189" s="74">
        <f t="shared" si="6697"/>
        <v>0</v>
      </c>
      <c r="HB189" s="74">
        <f t="shared" si="6697"/>
        <v>0</v>
      </c>
      <c r="HC189" s="74">
        <f t="shared" si="6697"/>
        <v>0</v>
      </c>
      <c r="HD189" s="74">
        <f t="shared" si="6697"/>
        <v>0</v>
      </c>
      <c r="HE189" s="74">
        <f t="shared" si="6697"/>
        <v>0</v>
      </c>
      <c r="HF189" s="74">
        <f t="shared" si="6697"/>
        <v>0</v>
      </c>
      <c r="HG189" s="74">
        <f t="shared" si="6697"/>
        <v>11010</v>
      </c>
      <c r="HH189" s="74">
        <f t="shared" si="6697"/>
        <v>15000</v>
      </c>
      <c r="HI189" s="74">
        <f t="shared" si="6697"/>
        <v>0</v>
      </c>
      <c r="HJ189" s="74">
        <f t="shared" si="6697"/>
        <v>10000</v>
      </c>
      <c r="HK189" s="74">
        <f t="shared" si="6697"/>
        <v>0</v>
      </c>
      <c r="HL189" s="74">
        <f t="shared" ref="HL189:JT189" si="6698">SUM(HL520)+HL341</f>
        <v>-9000</v>
      </c>
      <c r="HM189" s="74">
        <f t="shared" si="6698"/>
        <v>0</v>
      </c>
      <c r="HN189" s="74">
        <f t="shared" si="6698"/>
        <v>15000</v>
      </c>
      <c r="HO189" s="74">
        <f t="shared" si="6698"/>
        <v>0</v>
      </c>
      <c r="HP189" s="74">
        <f t="shared" si="6698"/>
        <v>-13599</v>
      </c>
      <c r="HQ189" s="74">
        <f t="shared" si="6698"/>
        <v>0</v>
      </c>
      <c r="HR189" s="74">
        <f t="shared" si="6698"/>
        <v>0</v>
      </c>
      <c r="HS189" s="74">
        <f t="shared" si="6698"/>
        <v>0</v>
      </c>
      <c r="HT189" s="74">
        <f t="shared" si="6698"/>
        <v>-6000</v>
      </c>
      <c r="HU189" s="74">
        <f t="shared" si="6698"/>
        <v>0</v>
      </c>
      <c r="HV189" s="74">
        <f t="shared" si="6698"/>
        <v>0</v>
      </c>
      <c r="HW189" s="74">
        <f t="shared" si="6698"/>
        <v>0</v>
      </c>
      <c r="HX189" s="74">
        <f t="shared" si="6698"/>
        <v>0</v>
      </c>
      <c r="HY189" s="74">
        <f t="shared" si="6698"/>
        <v>0</v>
      </c>
      <c r="HZ189" s="74">
        <f t="shared" si="6698"/>
        <v>-391</v>
      </c>
      <c r="IA189" s="74">
        <f t="shared" si="6698"/>
        <v>0</v>
      </c>
      <c r="IB189" s="74">
        <f t="shared" si="6698"/>
        <v>0</v>
      </c>
      <c r="IC189" s="74">
        <f t="shared" si="6698"/>
        <v>0</v>
      </c>
      <c r="ID189" s="74">
        <f t="shared" si="6698"/>
        <v>0</v>
      </c>
      <c r="IE189" s="792">
        <f t="shared" si="6698"/>
        <v>0</v>
      </c>
      <c r="IF189" s="841">
        <f t="shared" si="6698"/>
        <v>10864.74</v>
      </c>
      <c r="IG189" s="263">
        <f t="shared" si="6698"/>
        <v>10864.74</v>
      </c>
      <c r="IH189" s="842">
        <f t="shared" si="6698"/>
        <v>10864.74</v>
      </c>
      <c r="II189" s="155">
        <f t="shared" si="6698"/>
        <v>277</v>
      </c>
      <c r="IJ189" s="74">
        <f t="shared" si="6698"/>
        <v>277</v>
      </c>
      <c r="IK189" s="74">
        <f t="shared" si="6698"/>
        <v>277</v>
      </c>
      <c r="IL189" s="74">
        <f t="shared" si="6698"/>
        <v>0</v>
      </c>
      <c r="IM189" s="74">
        <f t="shared" si="6698"/>
        <v>0</v>
      </c>
      <c r="IN189" s="74">
        <f t="shared" si="6698"/>
        <v>0</v>
      </c>
      <c r="IO189" s="74">
        <f t="shared" si="6698"/>
        <v>0</v>
      </c>
      <c r="IP189" s="74">
        <f t="shared" si="6698"/>
        <v>0</v>
      </c>
      <c r="IQ189" s="74">
        <f t="shared" si="6698"/>
        <v>0</v>
      </c>
      <c r="IR189" s="74">
        <f t="shared" si="6698"/>
        <v>125</v>
      </c>
      <c r="IS189" s="74">
        <f t="shared" si="6698"/>
        <v>125</v>
      </c>
      <c r="IT189" s="74">
        <f t="shared" si="6698"/>
        <v>125</v>
      </c>
      <c r="IU189" s="74">
        <f t="shared" si="6698"/>
        <v>2165</v>
      </c>
      <c r="IV189" s="74">
        <f t="shared" si="6698"/>
        <v>2165</v>
      </c>
      <c r="IW189" s="74">
        <f t="shared" si="6698"/>
        <v>2165</v>
      </c>
      <c r="IX189" s="74">
        <f t="shared" si="6698"/>
        <v>2688</v>
      </c>
      <c r="IY189" s="74">
        <f t="shared" si="6698"/>
        <v>2688</v>
      </c>
      <c r="IZ189" s="74">
        <f t="shared" si="6698"/>
        <v>2688</v>
      </c>
      <c r="JA189" s="74">
        <f t="shared" si="6698"/>
        <v>2390</v>
      </c>
      <c r="JB189" s="74">
        <f t="shared" si="6698"/>
        <v>2390</v>
      </c>
      <c r="JC189" s="74">
        <f t="shared" si="6698"/>
        <v>2390</v>
      </c>
      <c r="JD189" s="74">
        <f t="shared" si="6698"/>
        <v>2419.9899999999998</v>
      </c>
      <c r="JE189" s="74">
        <f t="shared" si="6698"/>
        <v>2419.9899999999998</v>
      </c>
      <c r="JF189" s="74">
        <f t="shared" si="6698"/>
        <v>2419.9899999999998</v>
      </c>
      <c r="JG189" s="74">
        <f t="shared" si="6698"/>
        <v>310</v>
      </c>
      <c r="JH189" s="74">
        <f t="shared" si="6698"/>
        <v>310</v>
      </c>
      <c r="JI189" s="74">
        <f t="shared" si="6698"/>
        <v>310</v>
      </c>
      <c r="JJ189" s="74">
        <f t="shared" si="6698"/>
        <v>489.75</v>
      </c>
      <c r="JK189" s="74">
        <f t="shared" si="6698"/>
        <v>489.75</v>
      </c>
      <c r="JL189" s="74">
        <f t="shared" si="6698"/>
        <v>489.75</v>
      </c>
      <c r="JM189" s="74">
        <f t="shared" si="6698"/>
        <v>0</v>
      </c>
      <c r="JN189" s="74">
        <f t="shared" si="6698"/>
        <v>0</v>
      </c>
      <c r="JO189" s="74">
        <f t="shared" si="6698"/>
        <v>0</v>
      </c>
      <c r="JP189" s="74">
        <f t="shared" si="6698"/>
        <v>0</v>
      </c>
      <c r="JQ189" s="74">
        <f t="shared" si="6698"/>
        <v>0</v>
      </c>
      <c r="JR189" s="74">
        <f t="shared" si="6698"/>
        <v>0</v>
      </c>
      <c r="JS189" s="74">
        <f t="shared" si="6698"/>
        <v>145.26000000000022</v>
      </c>
      <c r="JT189" s="102">
        <f t="shared" si="6698"/>
        <v>145.26000000000022</v>
      </c>
      <c r="JU189" s="671"/>
      <c r="JV189" s="492"/>
      <c r="JW189" s="490"/>
      <c r="JX189" s="549">
        <f>SUM(JX520)+JX341</f>
        <v>11010</v>
      </c>
      <c r="JY189" s="549">
        <f>SUM(JY520)+JY341</f>
        <v>0</v>
      </c>
      <c r="JZ189" s="581">
        <f t="shared" si="4944"/>
        <v>0</v>
      </c>
      <c r="KA189" s="581">
        <f t="shared" si="4945"/>
        <v>-68990</v>
      </c>
      <c r="KB189" s="549">
        <f>SUM(KB520)+KB341</f>
        <v>11010</v>
      </c>
      <c r="KC189" s="709">
        <f t="shared" si="4908"/>
        <v>0</v>
      </c>
      <c r="KD189" s="36"/>
      <c r="KE189" s="36"/>
      <c r="KF189" s="36"/>
      <c r="KG189" s="36"/>
      <c r="KH189" s="36"/>
      <c r="KI189" s="36"/>
      <c r="KJ189" s="36"/>
      <c r="KK189" s="36"/>
    </row>
    <row r="190" spans="1:297" s="8" customFormat="1">
      <c r="A190" s="75"/>
      <c r="B190" s="72"/>
      <c r="C190" s="74"/>
      <c r="D190" s="549"/>
      <c r="E190" s="675"/>
      <c r="F190" s="549"/>
      <c r="G190" s="675"/>
      <c r="H190" s="549"/>
      <c r="I190" s="675"/>
      <c r="J190" s="549"/>
      <c r="K190" s="675"/>
      <c r="L190" s="549"/>
      <c r="M190" s="675"/>
      <c r="N190" s="549"/>
      <c r="O190" s="675"/>
      <c r="P190" s="549"/>
      <c r="Q190" s="675"/>
      <c r="R190" s="549"/>
      <c r="S190" s="675"/>
      <c r="T190" s="549"/>
      <c r="U190" s="675"/>
      <c r="V190" s="549"/>
      <c r="W190" s="675"/>
      <c r="X190" s="549"/>
      <c r="Y190" s="675"/>
      <c r="Z190" s="549"/>
      <c r="AA190" s="675"/>
      <c r="AB190" s="549"/>
      <c r="AC190" s="675"/>
      <c r="AD190" s="549"/>
      <c r="AE190" s="675"/>
      <c r="AF190" s="549"/>
      <c r="AG190" s="675"/>
      <c r="AH190" s="549"/>
      <c r="AI190" s="675"/>
      <c r="AJ190" s="549"/>
      <c r="AK190" s="675"/>
      <c r="AL190" s="549"/>
      <c r="AM190" s="675"/>
      <c r="AN190" s="549"/>
      <c r="AO190" s="675"/>
      <c r="AP190" s="549"/>
      <c r="AQ190" s="675"/>
      <c r="AR190" s="549"/>
      <c r="AS190" s="675"/>
      <c r="AT190" s="549"/>
      <c r="AU190" s="675"/>
      <c r="AV190" s="549"/>
      <c r="AW190" s="675"/>
      <c r="AX190" s="549"/>
      <c r="AY190" s="675"/>
      <c r="AZ190" s="549"/>
      <c r="BA190" s="675"/>
      <c r="BB190" s="549"/>
      <c r="BC190" s="675"/>
      <c r="BD190" s="549"/>
      <c r="BE190" s="675"/>
      <c r="BF190" s="549"/>
      <c r="BG190" s="675"/>
      <c r="BH190" s="549"/>
      <c r="BI190" s="675"/>
      <c r="BJ190" s="549"/>
      <c r="BK190" s="675"/>
      <c r="BL190" s="549"/>
      <c r="BM190" s="675"/>
      <c r="BN190" s="549"/>
      <c r="BO190" s="675"/>
      <c r="BP190" s="549"/>
      <c r="BQ190" s="675"/>
      <c r="BR190" s="549"/>
      <c r="BS190" s="675"/>
      <c r="BT190" s="549"/>
      <c r="BU190" s="675"/>
      <c r="BV190" s="549"/>
      <c r="BW190" s="675"/>
      <c r="BX190" s="549"/>
      <c r="BY190" s="675"/>
      <c r="BZ190" s="549"/>
      <c r="CA190" s="675"/>
      <c r="CB190" s="549"/>
      <c r="CC190" s="675"/>
      <c r="CD190" s="549"/>
      <c r="CE190" s="675"/>
      <c r="CF190" s="549"/>
      <c r="CG190" s="675"/>
      <c r="CH190" s="549"/>
      <c r="CI190" s="675"/>
      <c r="CJ190" s="549"/>
      <c r="CK190" s="675"/>
      <c r="CL190" s="549"/>
      <c r="CM190" s="675"/>
      <c r="CN190" s="549"/>
      <c r="CO190" s="675"/>
      <c r="CP190" s="549"/>
      <c r="CQ190" s="675"/>
      <c r="CR190" s="549"/>
      <c r="CS190" s="675"/>
      <c r="CT190" s="549"/>
      <c r="CU190" s="675"/>
      <c r="CV190" s="549"/>
      <c r="CW190" s="675"/>
      <c r="CX190" s="549"/>
      <c r="CY190" s="675"/>
      <c r="CZ190" s="549"/>
      <c r="DA190" s="675"/>
      <c r="DB190" s="549"/>
      <c r="DC190" s="675"/>
      <c r="DD190" s="549"/>
      <c r="DE190" s="675"/>
      <c r="DF190" s="549"/>
      <c r="DG190" s="675"/>
      <c r="DH190" s="549"/>
      <c r="DI190" s="675"/>
      <c r="DJ190" s="549"/>
      <c r="DK190" s="675"/>
      <c r="DL190" s="549"/>
      <c r="DM190" s="675"/>
      <c r="DN190" s="549"/>
      <c r="DO190" s="675"/>
      <c r="DP190" s="549"/>
      <c r="DQ190" s="675"/>
      <c r="DR190" s="549"/>
      <c r="DS190" s="675"/>
      <c r="DT190" s="549"/>
      <c r="DU190" s="675"/>
      <c r="DV190" s="549"/>
      <c r="DW190" s="675"/>
      <c r="DX190" s="549"/>
      <c r="DY190" s="675"/>
      <c r="DZ190" s="549"/>
      <c r="EA190" s="675"/>
      <c r="EB190" s="549"/>
      <c r="EC190" s="675"/>
      <c r="ED190" s="549"/>
      <c r="EE190" s="675"/>
      <c r="EF190" s="549"/>
      <c r="EG190" s="675"/>
      <c r="EH190" s="549"/>
      <c r="EI190" s="675"/>
      <c r="EJ190" s="549"/>
      <c r="EK190" s="675"/>
      <c r="EL190" s="549"/>
      <c r="EM190" s="675"/>
      <c r="EN190" s="549"/>
      <c r="EO190" s="675"/>
      <c r="EP190" s="549"/>
      <c r="EQ190" s="675"/>
      <c r="ER190" s="549"/>
      <c r="ES190" s="675"/>
      <c r="ET190" s="549"/>
      <c r="EU190" s="675"/>
      <c r="EV190" s="549"/>
      <c r="EW190" s="675"/>
      <c r="EX190" s="549"/>
      <c r="EY190" s="675"/>
      <c r="EZ190" s="549"/>
      <c r="FA190" s="675"/>
      <c r="FB190" s="549"/>
      <c r="FC190" s="675"/>
      <c r="FD190" s="549"/>
      <c r="FE190" s="675"/>
      <c r="FF190" s="549"/>
      <c r="FG190" s="675"/>
      <c r="FH190" s="549"/>
      <c r="FI190" s="675"/>
      <c r="FJ190" s="549"/>
      <c r="FK190" s="675"/>
      <c r="FL190" s="549"/>
      <c r="FM190" s="675"/>
      <c r="FN190" s="549"/>
      <c r="FO190" s="675"/>
      <c r="FP190" s="549"/>
      <c r="FQ190" s="675"/>
      <c r="FR190" s="549"/>
      <c r="FS190" s="675"/>
      <c r="FT190" s="549"/>
      <c r="FU190" s="675"/>
      <c r="FV190" s="549"/>
      <c r="FW190" s="675"/>
      <c r="FX190" s="549"/>
      <c r="FY190" s="675"/>
      <c r="FZ190" s="549"/>
      <c r="GA190" s="675"/>
      <c r="GB190" s="549"/>
      <c r="GC190" s="675"/>
      <c r="GD190" s="549"/>
      <c r="GE190" s="675"/>
      <c r="GF190" s="549"/>
      <c r="GG190" s="675"/>
      <c r="GH190" s="549"/>
      <c r="GI190" s="675"/>
      <c r="GJ190" s="549"/>
      <c r="GK190" s="675"/>
      <c r="GL190" s="549"/>
      <c r="GM190" s="675"/>
      <c r="GN190" s="549"/>
      <c r="GO190" s="675"/>
      <c r="GP190" s="74"/>
      <c r="GQ190" s="675"/>
      <c r="GR190" s="74"/>
      <c r="GS190" s="74"/>
      <c r="GT190" s="549"/>
      <c r="GU190" s="74"/>
      <c r="GV190" s="74"/>
      <c r="GW190" s="549"/>
      <c r="GX190" s="549"/>
      <c r="GY190" s="74"/>
      <c r="GZ190" s="74"/>
      <c r="HA190" s="74"/>
      <c r="HB190" s="74"/>
      <c r="HC190" s="74"/>
      <c r="HD190" s="74"/>
      <c r="HE190" s="74"/>
      <c r="HF190" s="74"/>
      <c r="HG190" s="74"/>
      <c r="HH190" s="74"/>
      <c r="HI190" s="74"/>
      <c r="HJ190" s="74"/>
      <c r="HK190" s="74"/>
      <c r="HL190" s="74"/>
      <c r="HM190" s="74"/>
      <c r="HN190" s="74"/>
      <c r="HO190" s="74"/>
      <c r="HP190" s="74"/>
      <c r="HQ190" s="74"/>
      <c r="HR190" s="74"/>
      <c r="HS190" s="74"/>
      <c r="HT190" s="74"/>
      <c r="HU190" s="74"/>
      <c r="HV190" s="74"/>
      <c r="HW190" s="74"/>
      <c r="HX190" s="74"/>
      <c r="HY190" s="74"/>
      <c r="HZ190" s="74"/>
      <c r="IA190" s="74"/>
      <c r="IB190" s="74"/>
      <c r="IC190" s="74"/>
      <c r="ID190" s="74"/>
      <c r="IE190" s="792"/>
      <c r="IF190" s="841"/>
      <c r="IG190" s="263"/>
      <c r="IH190" s="842"/>
      <c r="II190" s="155"/>
      <c r="IJ190" s="74"/>
      <c r="IK190" s="74"/>
      <c r="IL190" s="74"/>
      <c r="IM190" s="74"/>
      <c r="IN190" s="74"/>
      <c r="IO190" s="74"/>
      <c r="IP190" s="74"/>
      <c r="IQ190" s="74"/>
      <c r="IR190" s="74"/>
      <c r="IS190" s="74"/>
      <c r="IT190" s="74"/>
      <c r="IU190" s="74"/>
      <c r="IV190" s="74"/>
      <c r="IW190" s="74"/>
      <c r="IX190" s="74"/>
      <c r="IY190" s="74"/>
      <c r="IZ190" s="74"/>
      <c r="JA190" s="74"/>
      <c r="JB190" s="74"/>
      <c r="JC190" s="74"/>
      <c r="JD190" s="74"/>
      <c r="JE190" s="74"/>
      <c r="JF190" s="74"/>
      <c r="JG190" s="74"/>
      <c r="JH190" s="74"/>
      <c r="JI190" s="74"/>
      <c r="JJ190" s="74"/>
      <c r="JK190" s="74"/>
      <c r="JL190" s="74"/>
      <c r="JM190" s="74"/>
      <c r="JN190" s="74"/>
      <c r="JO190" s="74"/>
      <c r="JP190" s="74"/>
      <c r="JQ190" s="74"/>
      <c r="JR190" s="74"/>
      <c r="JS190" s="74"/>
      <c r="JT190" s="382"/>
      <c r="JU190" s="670"/>
      <c r="JV190" s="489"/>
      <c r="JW190" s="528"/>
      <c r="JX190" s="549"/>
      <c r="JY190" s="549"/>
      <c r="JZ190" s="581">
        <f t="shared" si="4944"/>
        <v>0</v>
      </c>
      <c r="KA190" s="581">
        <f t="shared" si="4945"/>
        <v>0</v>
      </c>
      <c r="KB190" s="549"/>
      <c r="KC190" s="709">
        <f t="shared" si="4908"/>
        <v>0</v>
      </c>
      <c r="KD190" s="36"/>
      <c r="KE190" s="36"/>
      <c r="KF190" s="36"/>
      <c r="KG190" s="36"/>
      <c r="KH190" s="36"/>
      <c r="KI190" s="36"/>
      <c r="KJ190" s="36"/>
      <c r="KK190" s="36"/>
    </row>
    <row r="191" spans="1:297" s="8" customFormat="1">
      <c r="A191" s="75" t="s">
        <v>454</v>
      </c>
      <c r="B191" s="72"/>
      <c r="C191" s="74">
        <f t="shared" ref="C191" si="6699">SUM(C522)+C343</f>
        <v>75000</v>
      </c>
      <c r="D191" s="549">
        <f t="shared" ref="D191:E191" si="6700">SUM(D522)+D343</f>
        <v>0</v>
      </c>
      <c r="E191" s="675">
        <f t="shared" si="6700"/>
        <v>0</v>
      </c>
      <c r="F191" s="549">
        <f t="shared" ref="F191:G191" si="6701">SUM(F522)+F343</f>
        <v>0</v>
      </c>
      <c r="G191" s="675">
        <f t="shared" si="6701"/>
        <v>-5000</v>
      </c>
      <c r="H191" s="549">
        <f t="shared" ref="H191:I191" si="6702">SUM(H522)+H343</f>
        <v>0</v>
      </c>
      <c r="I191" s="675">
        <f t="shared" si="6702"/>
        <v>0</v>
      </c>
      <c r="J191" s="549">
        <f t="shared" ref="J191:K191" si="6703">SUM(J522)+J343</f>
        <v>0</v>
      </c>
      <c r="K191" s="675">
        <f t="shared" si="6703"/>
        <v>0</v>
      </c>
      <c r="L191" s="549">
        <f t="shared" ref="L191:M191" si="6704">SUM(L522)+L343</f>
        <v>0</v>
      </c>
      <c r="M191" s="675">
        <f t="shared" si="6704"/>
        <v>0</v>
      </c>
      <c r="N191" s="549">
        <f t="shared" ref="N191:O191" si="6705">SUM(N522)+N343</f>
        <v>0</v>
      </c>
      <c r="O191" s="675">
        <f t="shared" si="6705"/>
        <v>0</v>
      </c>
      <c r="P191" s="549">
        <f t="shared" ref="P191:Q191" si="6706">SUM(P522)+P343</f>
        <v>0</v>
      </c>
      <c r="Q191" s="675">
        <f t="shared" si="6706"/>
        <v>0</v>
      </c>
      <c r="R191" s="549">
        <f t="shared" ref="R191:S191" si="6707">SUM(R522)+R343</f>
        <v>0</v>
      </c>
      <c r="S191" s="675">
        <f t="shared" si="6707"/>
        <v>0</v>
      </c>
      <c r="T191" s="549">
        <f t="shared" ref="T191:U191" si="6708">SUM(T522)+T343</f>
        <v>0</v>
      </c>
      <c r="U191" s="675">
        <f t="shared" si="6708"/>
        <v>0</v>
      </c>
      <c r="V191" s="549">
        <f t="shared" ref="V191:W191" si="6709">SUM(V522)+V343</f>
        <v>0</v>
      </c>
      <c r="W191" s="675">
        <f t="shared" si="6709"/>
        <v>0</v>
      </c>
      <c r="X191" s="549">
        <f t="shared" ref="X191:Y191" si="6710">SUM(X522)+X343</f>
        <v>0</v>
      </c>
      <c r="Y191" s="675">
        <f t="shared" si="6710"/>
        <v>0</v>
      </c>
      <c r="Z191" s="549">
        <f t="shared" ref="Z191:AA191" si="6711">SUM(Z522)+Z343</f>
        <v>0</v>
      </c>
      <c r="AA191" s="675">
        <f t="shared" si="6711"/>
        <v>0</v>
      </c>
      <c r="AB191" s="549">
        <f t="shared" ref="AB191:AC191" si="6712">SUM(AB522)+AB343</f>
        <v>0</v>
      </c>
      <c r="AC191" s="675">
        <f t="shared" si="6712"/>
        <v>0</v>
      </c>
      <c r="AD191" s="549">
        <f t="shared" ref="AD191:AE191" si="6713">SUM(AD522)+AD343</f>
        <v>0</v>
      </c>
      <c r="AE191" s="675">
        <f t="shared" si="6713"/>
        <v>0</v>
      </c>
      <c r="AF191" s="549">
        <f t="shared" ref="AF191:AI191" si="6714">SUM(AF522)+AF343</f>
        <v>0</v>
      </c>
      <c r="AG191" s="675">
        <f t="shared" si="6714"/>
        <v>0</v>
      </c>
      <c r="AH191" s="549">
        <f t="shared" si="6714"/>
        <v>0</v>
      </c>
      <c r="AI191" s="675">
        <f t="shared" si="6714"/>
        <v>0</v>
      </c>
      <c r="AJ191" s="549">
        <f t="shared" ref="AJ191:AK191" si="6715">SUM(AJ522)+AJ343</f>
        <v>0</v>
      </c>
      <c r="AK191" s="675">
        <f t="shared" si="6715"/>
        <v>0</v>
      </c>
      <c r="AL191" s="549">
        <f t="shared" ref="AL191:AM191" si="6716">SUM(AL522)+AL343</f>
        <v>0</v>
      </c>
      <c r="AM191" s="675">
        <f t="shared" si="6716"/>
        <v>0</v>
      </c>
      <c r="AN191" s="549">
        <f t="shared" ref="AN191:AO191" si="6717">SUM(AN522)+AN343</f>
        <v>0</v>
      </c>
      <c r="AO191" s="675">
        <f t="shared" si="6717"/>
        <v>0</v>
      </c>
      <c r="AP191" s="549">
        <f t="shared" ref="AP191:AQ191" si="6718">SUM(AP522)+AP343</f>
        <v>0</v>
      </c>
      <c r="AQ191" s="675">
        <f t="shared" si="6718"/>
        <v>0</v>
      </c>
      <c r="AR191" s="549">
        <f t="shared" ref="AR191:AS191" si="6719">SUM(AR522)+AR343</f>
        <v>0</v>
      </c>
      <c r="AS191" s="675">
        <f t="shared" si="6719"/>
        <v>0</v>
      </c>
      <c r="AT191" s="549">
        <f t="shared" ref="AT191:AU191" si="6720">SUM(AT522)+AT343</f>
        <v>0</v>
      </c>
      <c r="AU191" s="675">
        <f t="shared" si="6720"/>
        <v>0</v>
      </c>
      <c r="AV191" s="549">
        <f t="shared" ref="AV191:AW191" si="6721">SUM(AV522)+AV343</f>
        <v>0</v>
      </c>
      <c r="AW191" s="675">
        <f t="shared" si="6721"/>
        <v>0</v>
      </c>
      <c r="AX191" s="549">
        <f t="shared" ref="AX191:AY191" si="6722">SUM(AX522)+AX343</f>
        <v>0</v>
      </c>
      <c r="AY191" s="675">
        <f t="shared" si="6722"/>
        <v>0</v>
      </c>
      <c r="AZ191" s="549">
        <f t="shared" ref="AZ191:BA191" si="6723">SUM(AZ522)+AZ343</f>
        <v>0</v>
      </c>
      <c r="BA191" s="675">
        <f t="shared" si="6723"/>
        <v>0</v>
      </c>
      <c r="BB191" s="549">
        <f t="shared" ref="BB191:BC191" si="6724">SUM(BB522)+BB343</f>
        <v>0</v>
      </c>
      <c r="BC191" s="675">
        <f t="shared" si="6724"/>
        <v>0</v>
      </c>
      <c r="BD191" s="549">
        <f t="shared" ref="BD191:BE191" si="6725">SUM(BD522)+BD343</f>
        <v>0</v>
      </c>
      <c r="BE191" s="675">
        <f t="shared" si="6725"/>
        <v>0</v>
      </c>
      <c r="BF191" s="549">
        <f t="shared" ref="BF191:BG191" si="6726">SUM(BF522)+BF343</f>
        <v>0</v>
      </c>
      <c r="BG191" s="675">
        <f t="shared" si="6726"/>
        <v>0</v>
      </c>
      <c r="BH191" s="549">
        <f t="shared" ref="BH191:BI191" si="6727">SUM(BH522)+BH343</f>
        <v>0</v>
      </c>
      <c r="BI191" s="675">
        <f t="shared" si="6727"/>
        <v>0</v>
      </c>
      <c r="BJ191" s="549">
        <f t="shared" ref="BJ191:BK191" si="6728">SUM(BJ522)+BJ343</f>
        <v>0</v>
      </c>
      <c r="BK191" s="675">
        <f t="shared" si="6728"/>
        <v>0</v>
      </c>
      <c r="BL191" s="549">
        <f t="shared" ref="BL191:BS191" si="6729">SUM(BL522)+BL343</f>
        <v>0</v>
      </c>
      <c r="BM191" s="675">
        <f t="shared" si="6729"/>
        <v>0</v>
      </c>
      <c r="BN191" s="549">
        <f t="shared" si="6729"/>
        <v>0</v>
      </c>
      <c r="BO191" s="675">
        <f t="shared" si="6729"/>
        <v>0</v>
      </c>
      <c r="BP191" s="549">
        <f t="shared" si="6729"/>
        <v>0</v>
      </c>
      <c r="BQ191" s="675">
        <f t="shared" si="6729"/>
        <v>-20000</v>
      </c>
      <c r="BR191" s="549">
        <f t="shared" si="6729"/>
        <v>0</v>
      </c>
      <c r="BS191" s="675">
        <f t="shared" si="6729"/>
        <v>0</v>
      </c>
      <c r="BT191" s="549">
        <f t="shared" ref="BT191:BU191" si="6730">SUM(BT522)+BT343</f>
        <v>0</v>
      </c>
      <c r="BU191" s="675">
        <f t="shared" si="6730"/>
        <v>0</v>
      </c>
      <c r="BV191" s="549">
        <f t="shared" ref="BV191:BW191" si="6731">SUM(BV522)+BV343</f>
        <v>0</v>
      </c>
      <c r="BW191" s="675">
        <f t="shared" si="6731"/>
        <v>0</v>
      </c>
      <c r="BX191" s="549">
        <f t="shared" ref="BX191:BY191" si="6732">SUM(BX522)+BX343</f>
        <v>0</v>
      </c>
      <c r="BY191" s="675">
        <f t="shared" si="6732"/>
        <v>0</v>
      </c>
      <c r="BZ191" s="549">
        <f t="shared" ref="BZ191:CA191" si="6733">SUM(BZ522)+BZ343</f>
        <v>0</v>
      </c>
      <c r="CA191" s="675">
        <f t="shared" si="6733"/>
        <v>0</v>
      </c>
      <c r="CB191" s="549">
        <f t="shared" ref="CB191:CC191" si="6734">SUM(CB522)+CB343</f>
        <v>0</v>
      </c>
      <c r="CC191" s="675">
        <f t="shared" si="6734"/>
        <v>-10000</v>
      </c>
      <c r="CD191" s="549">
        <f t="shared" ref="CD191:CE191" si="6735">SUM(CD522)+CD343</f>
        <v>0</v>
      </c>
      <c r="CE191" s="675">
        <f t="shared" si="6735"/>
        <v>0</v>
      </c>
      <c r="CF191" s="549">
        <f t="shared" ref="CF191:CG191" si="6736">SUM(CF522)+CF343</f>
        <v>0</v>
      </c>
      <c r="CG191" s="675">
        <f t="shared" si="6736"/>
        <v>0</v>
      </c>
      <c r="CH191" s="549">
        <f t="shared" ref="CH191:CI191" si="6737">SUM(CH522)+CH343</f>
        <v>0</v>
      </c>
      <c r="CI191" s="675">
        <f t="shared" si="6737"/>
        <v>0</v>
      </c>
      <c r="CJ191" s="549">
        <f t="shared" ref="CJ191:CK191" si="6738">SUM(CJ522)+CJ343</f>
        <v>0</v>
      </c>
      <c r="CK191" s="675">
        <f t="shared" si="6738"/>
        <v>-10000</v>
      </c>
      <c r="CL191" s="549">
        <f t="shared" ref="CL191:CM191" si="6739">SUM(CL522)+CL343</f>
        <v>0</v>
      </c>
      <c r="CM191" s="675">
        <f t="shared" si="6739"/>
        <v>0</v>
      </c>
      <c r="CN191" s="549">
        <f t="shared" ref="CN191:CO191" si="6740">SUM(CN522)+CN343</f>
        <v>0</v>
      </c>
      <c r="CO191" s="675">
        <f t="shared" si="6740"/>
        <v>0</v>
      </c>
      <c r="CP191" s="549">
        <f t="shared" ref="CP191:CQ191" si="6741">SUM(CP522)+CP343</f>
        <v>0</v>
      </c>
      <c r="CQ191" s="675">
        <f t="shared" si="6741"/>
        <v>0</v>
      </c>
      <c r="CR191" s="549">
        <f t="shared" ref="CR191:CY191" si="6742">SUM(CR522)+CR343</f>
        <v>0</v>
      </c>
      <c r="CS191" s="675">
        <f t="shared" si="6742"/>
        <v>0</v>
      </c>
      <c r="CT191" s="549">
        <f t="shared" si="6742"/>
        <v>0</v>
      </c>
      <c r="CU191" s="675">
        <f t="shared" si="6742"/>
        <v>0</v>
      </c>
      <c r="CV191" s="549">
        <f t="shared" si="6742"/>
        <v>0</v>
      </c>
      <c r="CW191" s="675">
        <f t="shared" si="6742"/>
        <v>0</v>
      </c>
      <c r="CX191" s="549">
        <f t="shared" si="6742"/>
        <v>0</v>
      </c>
      <c r="CY191" s="675">
        <f t="shared" si="6742"/>
        <v>0</v>
      </c>
      <c r="CZ191" s="549">
        <f t="shared" ref="CZ191:DM191" si="6743">SUM(CZ522)+CZ343</f>
        <v>0</v>
      </c>
      <c r="DA191" s="675">
        <f t="shared" si="6743"/>
        <v>0</v>
      </c>
      <c r="DB191" s="549">
        <f t="shared" si="6743"/>
        <v>0</v>
      </c>
      <c r="DC191" s="675">
        <f t="shared" si="6743"/>
        <v>0</v>
      </c>
      <c r="DD191" s="549">
        <f t="shared" si="6743"/>
        <v>0</v>
      </c>
      <c r="DE191" s="675">
        <f t="shared" si="6743"/>
        <v>0</v>
      </c>
      <c r="DF191" s="549">
        <f t="shared" si="6743"/>
        <v>0</v>
      </c>
      <c r="DG191" s="675">
        <f t="shared" si="6743"/>
        <v>0</v>
      </c>
      <c r="DH191" s="549">
        <f t="shared" si="6743"/>
        <v>0</v>
      </c>
      <c r="DI191" s="675">
        <f t="shared" si="6743"/>
        <v>0</v>
      </c>
      <c r="DJ191" s="549">
        <f t="shared" si="6743"/>
        <v>0</v>
      </c>
      <c r="DK191" s="675">
        <f t="shared" si="6743"/>
        <v>0</v>
      </c>
      <c r="DL191" s="549">
        <f t="shared" si="6743"/>
        <v>0</v>
      </c>
      <c r="DM191" s="675">
        <f t="shared" si="6743"/>
        <v>0</v>
      </c>
      <c r="DN191" s="549">
        <f t="shared" ref="DN191:DW191" si="6744">SUM(DN522)+DN343</f>
        <v>0</v>
      </c>
      <c r="DO191" s="675">
        <f t="shared" si="6744"/>
        <v>0</v>
      </c>
      <c r="DP191" s="549">
        <f t="shared" si="6744"/>
        <v>0</v>
      </c>
      <c r="DQ191" s="675">
        <f t="shared" si="6744"/>
        <v>0</v>
      </c>
      <c r="DR191" s="549">
        <f t="shared" si="6744"/>
        <v>0</v>
      </c>
      <c r="DS191" s="675">
        <f t="shared" si="6744"/>
        <v>0</v>
      </c>
      <c r="DT191" s="549">
        <f t="shared" si="6744"/>
        <v>0</v>
      </c>
      <c r="DU191" s="675">
        <f t="shared" si="6744"/>
        <v>0</v>
      </c>
      <c r="DV191" s="549">
        <f t="shared" si="6744"/>
        <v>0</v>
      </c>
      <c r="DW191" s="675">
        <f t="shared" si="6744"/>
        <v>0</v>
      </c>
      <c r="DX191" s="549">
        <f t="shared" ref="DX191:EG191" si="6745">SUM(DX522)+DX343</f>
        <v>0</v>
      </c>
      <c r="DY191" s="675">
        <f t="shared" si="6745"/>
        <v>0</v>
      </c>
      <c r="DZ191" s="549">
        <f t="shared" si="6745"/>
        <v>0</v>
      </c>
      <c r="EA191" s="675">
        <f t="shared" si="6745"/>
        <v>0</v>
      </c>
      <c r="EB191" s="549">
        <f t="shared" si="6745"/>
        <v>0</v>
      </c>
      <c r="EC191" s="675">
        <f t="shared" si="6745"/>
        <v>0</v>
      </c>
      <c r="ED191" s="549">
        <f t="shared" si="6745"/>
        <v>0</v>
      </c>
      <c r="EE191" s="675">
        <f t="shared" si="6745"/>
        <v>0</v>
      </c>
      <c r="EF191" s="549">
        <f t="shared" si="6745"/>
        <v>0</v>
      </c>
      <c r="EG191" s="675">
        <f t="shared" si="6745"/>
        <v>0</v>
      </c>
      <c r="EH191" s="549">
        <f t="shared" ref="EH191:EM191" si="6746">SUM(EH522)+EH343</f>
        <v>0</v>
      </c>
      <c r="EI191" s="675">
        <f t="shared" si="6746"/>
        <v>0</v>
      </c>
      <c r="EJ191" s="549">
        <f t="shared" si="6746"/>
        <v>0</v>
      </c>
      <c r="EK191" s="675">
        <f t="shared" si="6746"/>
        <v>0</v>
      </c>
      <c r="EL191" s="549">
        <f t="shared" si="6746"/>
        <v>0</v>
      </c>
      <c r="EM191" s="675">
        <f t="shared" si="6746"/>
        <v>0</v>
      </c>
      <c r="EN191" s="549">
        <f t="shared" ref="EN191:EO191" si="6747">SUM(EN522)+EN343</f>
        <v>0</v>
      </c>
      <c r="EO191" s="675">
        <f t="shared" si="6747"/>
        <v>0</v>
      </c>
      <c r="EP191" s="549">
        <f t="shared" ref="EP191:EQ191" si="6748">SUM(EP522)+EP343</f>
        <v>0</v>
      </c>
      <c r="EQ191" s="675">
        <f t="shared" si="6748"/>
        <v>0</v>
      </c>
      <c r="ER191" s="549">
        <f t="shared" ref="ER191:ES191" si="6749">SUM(ER522)+ER343</f>
        <v>0</v>
      </c>
      <c r="ES191" s="675">
        <f t="shared" si="6749"/>
        <v>0</v>
      </c>
      <c r="ET191" s="549">
        <f t="shared" ref="ET191:EU191" si="6750">SUM(ET522)+ET343</f>
        <v>0</v>
      </c>
      <c r="EU191" s="675">
        <f t="shared" si="6750"/>
        <v>0</v>
      </c>
      <c r="EV191" s="549">
        <f t="shared" ref="EV191:EW191" si="6751">SUM(EV522)+EV343</f>
        <v>0</v>
      </c>
      <c r="EW191" s="675">
        <f t="shared" si="6751"/>
        <v>0</v>
      </c>
      <c r="EX191" s="549">
        <f t="shared" ref="EX191:EY191" si="6752">SUM(EX522)+EX343</f>
        <v>0</v>
      </c>
      <c r="EY191" s="675">
        <f t="shared" si="6752"/>
        <v>0</v>
      </c>
      <c r="EZ191" s="549">
        <f t="shared" ref="EZ191:FA191" si="6753">SUM(EZ522)+EZ343</f>
        <v>0</v>
      </c>
      <c r="FA191" s="675">
        <f t="shared" si="6753"/>
        <v>0</v>
      </c>
      <c r="FB191" s="549">
        <f t="shared" ref="FB191:FC191" si="6754">SUM(FB522)+FB343</f>
        <v>0</v>
      </c>
      <c r="FC191" s="675">
        <f t="shared" si="6754"/>
        <v>0</v>
      </c>
      <c r="FD191" s="549">
        <f t="shared" ref="FD191:FE191" si="6755">SUM(FD522)+FD343</f>
        <v>0</v>
      </c>
      <c r="FE191" s="675">
        <f t="shared" si="6755"/>
        <v>0</v>
      </c>
      <c r="FF191" s="549">
        <f t="shared" ref="FF191:FG191" si="6756">SUM(FF522)+FF343</f>
        <v>0</v>
      </c>
      <c r="FG191" s="675">
        <f t="shared" si="6756"/>
        <v>0</v>
      </c>
      <c r="FH191" s="549">
        <f t="shared" ref="FH191:FI191" si="6757">SUM(FH522)+FH343</f>
        <v>0</v>
      </c>
      <c r="FI191" s="675">
        <f t="shared" si="6757"/>
        <v>0</v>
      </c>
      <c r="FJ191" s="549">
        <f t="shared" ref="FJ191:FK191" si="6758">SUM(FJ522)+FJ343</f>
        <v>0</v>
      </c>
      <c r="FK191" s="675">
        <f t="shared" si="6758"/>
        <v>0</v>
      </c>
      <c r="FL191" s="549">
        <f t="shared" ref="FL191:FM191" si="6759">SUM(FL522)+FL343</f>
        <v>0</v>
      </c>
      <c r="FM191" s="675">
        <f t="shared" si="6759"/>
        <v>-970</v>
      </c>
      <c r="FN191" s="549">
        <f t="shared" ref="FN191:FO191" si="6760">SUM(FN522)+FN343</f>
        <v>0</v>
      </c>
      <c r="FO191" s="675">
        <f t="shared" si="6760"/>
        <v>0</v>
      </c>
      <c r="FP191" s="549">
        <f t="shared" ref="FP191:FQ191" si="6761">SUM(FP522)+FP343</f>
        <v>0</v>
      </c>
      <c r="FQ191" s="675">
        <f t="shared" si="6761"/>
        <v>0</v>
      </c>
      <c r="FR191" s="549">
        <f t="shared" ref="FR191:FS191" si="6762">SUM(FR522)+FR343</f>
        <v>10000</v>
      </c>
      <c r="FS191" s="675">
        <f t="shared" si="6762"/>
        <v>0</v>
      </c>
      <c r="FT191" s="549">
        <f t="shared" ref="FT191:FU191" si="6763">SUM(FT522)+FT343</f>
        <v>0</v>
      </c>
      <c r="FU191" s="675">
        <f t="shared" si="6763"/>
        <v>0</v>
      </c>
      <c r="FV191" s="549">
        <f t="shared" ref="FV191:GK191" si="6764">SUM(FV522)+FV343</f>
        <v>0</v>
      </c>
      <c r="FW191" s="675">
        <f t="shared" si="6764"/>
        <v>0</v>
      </c>
      <c r="FX191" s="549">
        <f t="shared" si="6764"/>
        <v>0</v>
      </c>
      <c r="FY191" s="675">
        <f t="shared" si="6764"/>
        <v>0</v>
      </c>
      <c r="FZ191" s="549">
        <f t="shared" ref="FZ191:GI191" si="6765">SUM(FZ522)+FZ343</f>
        <v>0</v>
      </c>
      <c r="GA191" s="675">
        <f t="shared" si="6765"/>
        <v>0</v>
      </c>
      <c r="GB191" s="549">
        <f t="shared" si="6765"/>
        <v>0</v>
      </c>
      <c r="GC191" s="675">
        <f t="shared" si="6765"/>
        <v>0</v>
      </c>
      <c r="GD191" s="549">
        <f t="shared" si="6765"/>
        <v>0</v>
      </c>
      <c r="GE191" s="675">
        <f t="shared" si="6765"/>
        <v>0</v>
      </c>
      <c r="GF191" s="549">
        <f t="shared" si="6765"/>
        <v>0</v>
      </c>
      <c r="GG191" s="675">
        <f t="shared" si="6765"/>
        <v>0</v>
      </c>
      <c r="GH191" s="549">
        <f t="shared" si="6765"/>
        <v>0</v>
      </c>
      <c r="GI191" s="675">
        <f t="shared" si="6765"/>
        <v>0</v>
      </c>
      <c r="GJ191" s="549">
        <f t="shared" si="6764"/>
        <v>0</v>
      </c>
      <c r="GK191" s="675">
        <f t="shared" si="6764"/>
        <v>0</v>
      </c>
      <c r="GL191" s="549">
        <f t="shared" ref="GL191:GM191" si="6766">SUM(GL522)+GL343</f>
        <v>0</v>
      </c>
      <c r="GM191" s="675">
        <f t="shared" si="6766"/>
        <v>0</v>
      </c>
      <c r="GN191" s="549">
        <f t="shared" ref="GN191:GO191" si="6767">SUM(GN522)+GN343</f>
        <v>0</v>
      </c>
      <c r="GO191" s="675">
        <f t="shared" si="6767"/>
        <v>0</v>
      </c>
      <c r="GP191" s="74">
        <f t="shared" ref="GP191:GQ191" si="6768">SUM(GP522)+GP343</f>
        <v>10000</v>
      </c>
      <c r="GQ191" s="675">
        <f t="shared" si="6768"/>
        <v>-45970</v>
      </c>
      <c r="GR191" s="74">
        <f t="shared" ref="GR191:HJ191" si="6769">SUM(GR522)+GR343</f>
        <v>39030</v>
      </c>
      <c r="GS191" s="74">
        <f t="shared" si="6769"/>
        <v>39030</v>
      </c>
      <c r="GT191" s="549">
        <f t="shared" si="6769"/>
        <v>39030</v>
      </c>
      <c r="GU191" s="74">
        <f t="shared" si="6769"/>
        <v>12500</v>
      </c>
      <c r="GV191" s="74">
        <f t="shared" si="6769"/>
        <v>12500</v>
      </c>
      <c r="GW191" s="549">
        <f t="shared" si="6769"/>
        <v>12500</v>
      </c>
      <c r="GX191" s="549">
        <f t="shared" si="6769"/>
        <v>12500</v>
      </c>
      <c r="GY191" s="74">
        <f t="shared" si="6769"/>
        <v>12500</v>
      </c>
      <c r="GZ191" s="74">
        <f t="shared" si="6769"/>
        <v>12500</v>
      </c>
      <c r="HA191" s="74">
        <f t="shared" si="6769"/>
        <v>0</v>
      </c>
      <c r="HB191" s="74">
        <f t="shared" si="6769"/>
        <v>0</v>
      </c>
      <c r="HC191" s="74">
        <f t="shared" si="6769"/>
        <v>0</v>
      </c>
      <c r="HD191" s="74">
        <f t="shared" si="6769"/>
        <v>0</v>
      </c>
      <c r="HE191" s="74">
        <f t="shared" si="6769"/>
        <v>0</v>
      </c>
      <c r="HF191" s="74">
        <f t="shared" si="6769"/>
        <v>0</v>
      </c>
      <c r="HG191" s="74">
        <f t="shared" si="6769"/>
        <v>39030</v>
      </c>
      <c r="HH191" s="74">
        <f t="shared" si="6769"/>
        <v>12500</v>
      </c>
      <c r="HI191" s="74">
        <f t="shared" si="6769"/>
        <v>0</v>
      </c>
      <c r="HJ191" s="74">
        <f t="shared" si="6769"/>
        <v>7500</v>
      </c>
      <c r="HK191" s="74">
        <f t="shared" ref="HK191:IP191" si="6770">SUM(HK522)+HK343</f>
        <v>0</v>
      </c>
      <c r="HL191" s="74">
        <f t="shared" si="6770"/>
        <v>12500</v>
      </c>
      <c r="HM191" s="74">
        <f t="shared" si="6770"/>
        <v>0</v>
      </c>
      <c r="HN191" s="74">
        <f t="shared" si="6770"/>
        <v>12500</v>
      </c>
      <c r="HO191" s="74">
        <f t="shared" si="6770"/>
        <v>0</v>
      </c>
      <c r="HP191" s="74">
        <f t="shared" si="6770"/>
        <v>-7500</v>
      </c>
      <c r="HQ191" s="74">
        <f t="shared" si="6770"/>
        <v>0</v>
      </c>
      <c r="HR191" s="74">
        <f t="shared" si="6770"/>
        <v>0</v>
      </c>
      <c r="HS191" s="74">
        <f t="shared" si="6770"/>
        <v>0</v>
      </c>
      <c r="HT191" s="74">
        <f t="shared" si="6770"/>
        <v>-7500</v>
      </c>
      <c r="HU191" s="74">
        <f t="shared" si="6770"/>
        <v>0</v>
      </c>
      <c r="HV191" s="74">
        <f t="shared" si="6770"/>
        <v>0</v>
      </c>
      <c r="HW191" s="74">
        <f t="shared" si="6770"/>
        <v>0</v>
      </c>
      <c r="HX191" s="74">
        <f t="shared" si="6770"/>
        <v>0</v>
      </c>
      <c r="HY191" s="74">
        <f t="shared" si="6770"/>
        <v>0</v>
      </c>
      <c r="HZ191" s="74">
        <f t="shared" si="6770"/>
        <v>9030</v>
      </c>
      <c r="IA191" s="74">
        <f t="shared" si="6770"/>
        <v>0</v>
      </c>
      <c r="IB191" s="74">
        <f t="shared" si="6770"/>
        <v>0</v>
      </c>
      <c r="IC191" s="74">
        <f t="shared" si="6770"/>
        <v>0</v>
      </c>
      <c r="ID191" s="74">
        <f t="shared" si="6770"/>
        <v>0</v>
      </c>
      <c r="IE191" s="792">
        <f t="shared" si="6770"/>
        <v>0</v>
      </c>
      <c r="IF191" s="841">
        <f t="shared" si="6770"/>
        <v>28560.880000000001</v>
      </c>
      <c r="IG191" s="263">
        <f t="shared" si="6770"/>
        <v>28560.880000000001</v>
      </c>
      <c r="IH191" s="842">
        <f t="shared" si="6770"/>
        <v>28560.880000000001</v>
      </c>
      <c r="II191" s="155">
        <f t="shared" si="6770"/>
        <v>0</v>
      </c>
      <c r="IJ191" s="74">
        <f t="shared" si="6770"/>
        <v>0</v>
      </c>
      <c r="IK191" s="74">
        <f t="shared" si="6770"/>
        <v>0</v>
      </c>
      <c r="IL191" s="74">
        <f t="shared" si="6770"/>
        <v>6886</v>
      </c>
      <c r="IM191" s="74">
        <f t="shared" si="6770"/>
        <v>6886</v>
      </c>
      <c r="IN191" s="74">
        <f t="shared" si="6770"/>
        <v>6886</v>
      </c>
      <c r="IO191" s="74">
        <f t="shared" si="6770"/>
        <v>125.27000000000044</v>
      </c>
      <c r="IP191" s="74">
        <f t="shared" si="6770"/>
        <v>125.27000000000044</v>
      </c>
      <c r="IQ191" s="74">
        <f t="shared" ref="IQ191:JT191" si="6771">SUM(IQ522)+IQ343</f>
        <v>125.27000000000044</v>
      </c>
      <c r="IR191" s="74">
        <f t="shared" si="6771"/>
        <v>1966.1399999999994</v>
      </c>
      <c r="IS191" s="74">
        <f t="shared" si="6771"/>
        <v>1966.1399999999994</v>
      </c>
      <c r="IT191" s="74">
        <f t="shared" si="6771"/>
        <v>1966.1399999999994</v>
      </c>
      <c r="IU191" s="74">
        <f t="shared" si="6771"/>
        <v>9500.2799999999988</v>
      </c>
      <c r="IV191" s="74">
        <f t="shared" si="6771"/>
        <v>9500.2799999999988</v>
      </c>
      <c r="IW191" s="74">
        <f t="shared" si="6771"/>
        <v>9500.2799999999988</v>
      </c>
      <c r="IX191" s="74">
        <f t="shared" si="6771"/>
        <v>999</v>
      </c>
      <c r="IY191" s="74">
        <f t="shared" si="6771"/>
        <v>999</v>
      </c>
      <c r="IZ191" s="74">
        <f t="shared" si="6771"/>
        <v>999</v>
      </c>
      <c r="JA191" s="74">
        <f t="shared" si="6771"/>
        <v>5951.8100000000013</v>
      </c>
      <c r="JB191" s="74">
        <f t="shared" si="6771"/>
        <v>5951.8100000000013</v>
      </c>
      <c r="JC191" s="74">
        <f t="shared" si="6771"/>
        <v>5951.8100000000013</v>
      </c>
      <c r="JD191" s="74">
        <f t="shared" si="6771"/>
        <v>1945.9300000000003</v>
      </c>
      <c r="JE191" s="74">
        <f t="shared" si="6771"/>
        <v>1945.9300000000003</v>
      </c>
      <c r="JF191" s="74">
        <f t="shared" si="6771"/>
        <v>1945.9300000000003</v>
      </c>
      <c r="JG191" s="74">
        <f t="shared" si="6771"/>
        <v>1050.5</v>
      </c>
      <c r="JH191" s="74">
        <f t="shared" si="6771"/>
        <v>1050.5</v>
      </c>
      <c r="JI191" s="74">
        <f t="shared" si="6771"/>
        <v>1050.5</v>
      </c>
      <c r="JJ191" s="74">
        <f t="shared" si="6771"/>
        <v>135.95000000000073</v>
      </c>
      <c r="JK191" s="74">
        <f t="shared" si="6771"/>
        <v>135.95000000000073</v>
      </c>
      <c r="JL191" s="74">
        <f t="shared" si="6771"/>
        <v>135.95000000000073</v>
      </c>
      <c r="JM191" s="74">
        <f t="shared" si="6771"/>
        <v>0</v>
      </c>
      <c r="JN191" s="74">
        <f t="shared" si="6771"/>
        <v>0</v>
      </c>
      <c r="JO191" s="74">
        <f t="shared" si="6771"/>
        <v>0</v>
      </c>
      <c r="JP191" s="74">
        <f t="shared" si="6771"/>
        <v>0</v>
      </c>
      <c r="JQ191" s="74">
        <f t="shared" si="6771"/>
        <v>0</v>
      </c>
      <c r="JR191" s="74">
        <f t="shared" si="6771"/>
        <v>0</v>
      </c>
      <c r="JS191" s="74">
        <f t="shared" si="6771"/>
        <v>10469.119999999999</v>
      </c>
      <c r="JT191" s="102">
        <f t="shared" si="6771"/>
        <v>10469.119999999999</v>
      </c>
      <c r="JU191" s="671"/>
      <c r="JV191" s="492"/>
      <c r="JW191" s="490"/>
      <c r="JX191" s="549">
        <f>SUM(JX522)+JX343</f>
        <v>39030</v>
      </c>
      <c r="JY191" s="549">
        <f>SUM(JY522)+JY343</f>
        <v>0</v>
      </c>
      <c r="JZ191" s="581">
        <f t="shared" si="4944"/>
        <v>10000</v>
      </c>
      <c r="KA191" s="581">
        <f t="shared" si="4945"/>
        <v>-45970</v>
      </c>
      <c r="KB191" s="549">
        <f>SUM(KB522)+KB343</f>
        <v>39030</v>
      </c>
      <c r="KC191" s="709">
        <f t="shared" si="4908"/>
        <v>0</v>
      </c>
      <c r="KD191" s="36"/>
      <c r="KE191" s="36"/>
      <c r="KF191" s="36"/>
      <c r="KG191" s="36"/>
      <c r="KH191" s="36"/>
      <c r="KI191" s="36"/>
      <c r="KJ191" s="36"/>
      <c r="KK191" s="36"/>
    </row>
    <row r="192" spans="1:297" s="8" customFormat="1">
      <c r="A192" s="75"/>
      <c r="B192" s="72"/>
      <c r="C192" s="74"/>
      <c r="D192" s="549"/>
      <c r="E192" s="675"/>
      <c r="F192" s="549"/>
      <c r="G192" s="675"/>
      <c r="H192" s="549"/>
      <c r="I192" s="675"/>
      <c r="J192" s="549"/>
      <c r="K192" s="675"/>
      <c r="L192" s="549"/>
      <c r="M192" s="675"/>
      <c r="N192" s="549"/>
      <c r="O192" s="675"/>
      <c r="P192" s="549"/>
      <c r="Q192" s="675"/>
      <c r="R192" s="549"/>
      <c r="S192" s="675"/>
      <c r="T192" s="549"/>
      <c r="U192" s="675"/>
      <c r="V192" s="549"/>
      <c r="W192" s="675"/>
      <c r="X192" s="549"/>
      <c r="Y192" s="675"/>
      <c r="Z192" s="549"/>
      <c r="AA192" s="675"/>
      <c r="AB192" s="549"/>
      <c r="AC192" s="675"/>
      <c r="AD192" s="549"/>
      <c r="AE192" s="675"/>
      <c r="AF192" s="549"/>
      <c r="AG192" s="675"/>
      <c r="AH192" s="549"/>
      <c r="AI192" s="675"/>
      <c r="AJ192" s="549"/>
      <c r="AK192" s="675"/>
      <c r="AL192" s="549"/>
      <c r="AM192" s="675"/>
      <c r="AN192" s="549"/>
      <c r="AO192" s="675"/>
      <c r="AP192" s="549"/>
      <c r="AQ192" s="675"/>
      <c r="AR192" s="549"/>
      <c r="AS192" s="675"/>
      <c r="AT192" s="549"/>
      <c r="AU192" s="675"/>
      <c r="AV192" s="549"/>
      <c r="AW192" s="675"/>
      <c r="AX192" s="549"/>
      <c r="AY192" s="675"/>
      <c r="AZ192" s="549"/>
      <c r="BA192" s="675"/>
      <c r="BB192" s="549"/>
      <c r="BC192" s="675"/>
      <c r="BD192" s="549"/>
      <c r="BE192" s="675"/>
      <c r="BF192" s="549"/>
      <c r="BG192" s="675"/>
      <c r="BH192" s="549"/>
      <c r="BI192" s="675"/>
      <c r="BJ192" s="549"/>
      <c r="BK192" s="675"/>
      <c r="BL192" s="549"/>
      <c r="BM192" s="675"/>
      <c r="BN192" s="549"/>
      <c r="BO192" s="675"/>
      <c r="BP192" s="549"/>
      <c r="BQ192" s="675"/>
      <c r="BR192" s="549"/>
      <c r="BS192" s="675"/>
      <c r="BT192" s="549"/>
      <c r="BU192" s="675"/>
      <c r="BV192" s="549"/>
      <c r="BW192" s="675"/>
      <c r="BX192" s="549"/>
      <c r="BY192" s="675"/>
      <c r="BZ192" s="549"/>
      <c r="CA192" s="675"/>
      <c r="CB192" s="549"/>
      <c r="CC192" s="675"/>
      <c r="CD192" s="549"/>
      <c r="CE192" s="675"/>
      <c r="CF192" s="549"/>
      <c r="CG192" s="675"/>
      <c r="CH192" s="549"/>
      <c r="CI192" s="675"/>
      <c r="CJ192" s="549"/>
      <c r="CK192" s="675"/>
      <c r="CL192" s="549"/>
      <c r="CM192" s="675"/>
      <c r="CN192" s="549"/>
      <c r="CO192" s="675"/>
      <c r="CP192" s="549"/>
      <c r="CQ192" s="675"/>
      <c r="CR192" s="549"/>
      <c r="CS192" s="675"/>
      <c r="CT192" s="549"/>
      <c r="CU192" s="675"/>
      <c r="CV192" s="549"/>
      <c r="CW192" s="675"/>
      <c r="CX192" s="549"/>
      <c r="CY192" s="675"/>
      <c r="CZ192" s="549"/>
      <c r="DA192" s="675"/>
      <c r="DB192" s="549"/>
      <c r="DC192" s="675"/>
      <c r="DD192" s="549"/>
      <c r="DE192" s="675"/>
      <c r="DF192" s="549"/>
      <c r="DG192" s="675"/>
      <c r="DH192" s="549"/>
      <c r="DI192" s="675"/>
      <c r="DJ192" s="549"/>
      <c r="DK192" s="675"/>
      <c r="DL192" s="549"/>
      <c r="DM192" s="675"/>
      <c r="DN192" s="549"/>
      <c r="DO192" s="675"/>
      <c r="DP192" s="549"/>
      <c r="DQ192" s="675"/>
      <c r="DR192" s="549"/>
      <c r="DS192" s="675"/>
      <c r="DT192" s="549"/>
      <c r="DU192" s="675"/>
      <c r="DV192" s="549"/>
      <c r="DW192" s="675"/>
      <c r="DX192" s="549"/>
      <c r="DY192" s="675"/>
      <c r="DZ192" s="549"/>
      <c r="EA192" s="675"/>
      <c r="EB192" s="549"/>
      <c r="EC192" s="675"/>
      <c r="ED192" s="549"/>
      <c r="EE192" s="675"/>
      <c r="EF192" s="549"/>
      <c r="EG192" s="675"/>
      <c r="EH192" s="549"/>
      <c r="EI192" s="675"/>
      <c r="EJ192" s="549"/>
      <c r="EK192" s="675"/>
      <c r="EL192" s="549"/>
      <c r="EM192" s="675"/>
      <c r="EN192" s="549"/>
      <c r="EO192" s="675"/>
      <c r="EP192" s="549"/>
      <c r="EQ192" s="675"/>
      <c r="ER192" s="549"/>
      <c r="ES192" s="675"/>
      <c r="ET192" s="549"/>
      <c r="EU192" s="675"/>
      <c r="EV192" s="549"/>
      <c r="EW192" s="675"/>
      <c r="EX192" s="549"/>
      <c r="EY192" s="675"/>
      <c r="EZ192" s="549"/>
      <c r="FA192" s="675"/>
      <c r="FB192" s="549"/>
      <c r="FC192" s="675"/>
      <c r="FD192" s="549"/>
      <c r="FE192" s="675"/>
      <c r="FF192" s="549"/>
      <c r="FG192" s="675"/>
      <c r="FH192" s="549"/>
      <c r="FI192" s="675"/>
      <c r="FJ192" s="549"/>
      <c r="FK192" s="675"/>
      <c r="FL192" s="549"/>
      <c r="FM192" s="675"/>
      <c r="FN192" s="549"/>
      <c r="FO192" s="675"/>
      <c r="FP192" s="549"/>
      <c r="FQ192" s="675"/>
      <c r="FR192" s="549"/>
      <c r="FS192" s="675"/>
      <c r="FT192" s="549"/>
      <c r="FU192" s="675"/>
      <c r="FV192" s="549"/>
      <c r="FW192" s="675"/>
      <c r="FX192" s="549"/>
      <c r="FY192" s="675"/>
      <c r="FZ192" s="549"/>
      <c r="GA192" s="675"/>
      <c r="GB192" s="549"/>
      <c r="GC192" s="675"/>
      <c r="GD192" s="549"/>
      <c r="GE192" s="675"/>
      <c r="GF192" s="549"/>
      <c r="GG192" s="675"/>
      <c r="GH192" s="549"/>
      <c r="GI192" s="675"/>
      <c r="GJ192" s="549"/>
      <c r="GK192" s="675"/>
      <c r="GL192" s="549"/>
      <c r="GM192" s="675"/>
      <c r="GN192" s="549"/>
      <c r="GO192" s="675"/>
      <c r="GP192" s="74"/>
      <c r="GQ192" s="675"/>
      <c r="GR192" s="74"/>
      <c r="GS192" s="74"/>
      <c r="GT192" s="549"/>
      <c r="GU192" s="74"/>
      <c r="GV192" s="74"/>
      <c r="GW192" s="549"/>
      <c r="GX192" s="549"/>
      <c r="GY192" s="74"/>
      <c r="GZ192" s="74"/>
      <c r="HA192" s="74"/>
      <c r="HB192" s="74"/>
      <c r="HC192" s="74"/>
      <c r="HD192" s="74"/>
      <c r="HE192" s="74"/>
      <c r="HF192" s="74"/>
      <c r="HG192" s="74"/>
      <c r="HH192" s="74"/>
      <c r="HI192" s="74"/>
      <c r="HJ192" s="74"/>
      <c r="HK192" s="74"/>
      <c r="HL192" s="74"/>
      <c r="HM192" s="74"/>
      <c r="HN192" s="74"/>
      <c r="HO192" s="74"/>
      <c r="HP192" s="74"/>
      <c r="HQ192" s="74"/>
      <c r="HR192" s="74"/>
      <c r="HS192" s="74"/>
      <c r="HT192" s="74"/>
      <c r="HU192" s="74"/>
      <c r="HV192" s="74"/>
      <c r="HW192" s="74"/>
      <c r="HX192" s="74"/>
      <c r="HY192" s="74"/>
      <c r="HZ192" s="74"/>
      <c r="IA192" s="74"/>
      <c r="IB192" s="74"/>
      <c r="IC192" s="74"/>
      <c r="ID192" s="74"/>
      <c r="IE192" s="792"/>
      <c r="IF192" s="841"/>
      <c r="IG192" s="263"/>
      <c r="IH192" s="842"/>
      <c r="II192" s="155"/>
      <c r="IJ192" s="74"/>
      <c r="IK192" s="74"/>
      <c r="IL192" s="74"/>
      <c r="IM192" s="74"/>
      <c r="IN192" s="74"/>
      <c r="IO192" s="74"/>
      <c r="IP192" s="74"/>
      <c r="IQ192" s="74"/>
      <c r="IR192" s="74"/>
      <c r="IS192" s="74"/>
      <c r="IT192" s="74"/>
      <c r="IU192" s="74"/>
      <c r="IV192" s="74"/>
      <c r="IW192" s="74"/>
      <c r="IX192" s="74"/>
      <c r="IY192" s="74"/>
      <c r="IZ192" s="74"/>
      <c r="JA192" s="74"/>
      <c r="JB192" s="74"/>
      <c r="JC192" s="74"/>
      <c r="JD192" s="74"/>
      <c r="JE192" s="74"/>
      <c r="JF192" s="74"/>
      <c r="JG192" s="74"/>
      <c r="JH192" s="74"/>
      <c r="JI192" s="74"/>
      <c r="JJ192" s="74"/>
      <c r="JK192" s="74"/>
      <c r="JL192" s="74"/>
      <c r="JM192" s="74"/>
      <c r="JN192" s="74"/>
      <c r="JO192" s="74"/>
      <c r="JP192" s="74"/>
      <c r="JQ192" s="74"/>
      <c r="JR192" s="74"/>
      <c r="JS192" s="74"/>
      <c r="JT192" s="382"/>
      <c r="JU192" s="670"/>
      <c r="JV192" s="489"/>
      <c r="JW192" s="490"/>
      <c r="JX192" s="549"/>
      <c r="JY192" s="549"/>
      <c r="JZ192" s="581">
        <f t="shared" si="4944"/>
        <v>0</v>
      </c>
      <c r="KA192" s="581">
        <f t="shared" si="4945"/>
        <v>0</v>
      </c>
      <c r="KB192" s="549"/>
      <c r="KC192" s="709">
        <f t="shared" si="4908"/>
        <v>0</v>
      </c>
      <c r="KD192" s="36"/>
      <c r="KE192" s="36"/>
      <c r="KF192" s="36"/>
      <c r="KG192" s="36"/>
      <c r="KH192" s="36"/>
      <c r="KI192" s="36"/>
      <c r="KJ192" s="36"/>
      <c r="KK192" s="36"/>
    </row>
    <row r="193" spans="1:297" s="8" customFormat="1">
      <c r="A193" s="75" t="s">
        <v>455</v>
      </c>
      <c r="B193" s="72"/>
      <c r="C193" s="74">
        <f t="shared" ref="C193" si="6772">SUM(C524)+C345</f>
        <v>100000</v>
      </c>
      <c r="D193" s="549">
        <f t="shared" ref="D193:E193" si="6773">SUM(D524)+D345</f>
        <v>0</v>
      </c>
      <c r="E193" s="675">
        <f t="shared" si="6773"/>
        <v>0</v>
      </c>
      <c r="F193" s="549">
        <f t="shared" ref="F193:G193" si="6774">SUM(F524)+F345</f>
        <v>0</v>
      </c>
      <c r="G193" s="675">
        <f t="shared" si="6774"/>
        <v>0</v>
      </c>
      <c r="H193" s="549">
        <f t="shared" ref="H193:I193" si="6775">SUM(H524)+H345</f>
        <v>0</v>
      </c>
      <c r="I193" s="675">
        <f t="shared" si="6775"/>
        <v>0</v>
      </c>
      <c r="J193" s="549">
        <f t="shared" ref="J193:K193" si="6776">SUM(J524)+J345</f>
        <v>0</v>
      </c>
      <c r="K193" s="675">
        <f t="shared" si="6776"/>
        <v>0</v>
      </c>
      <c r="L193" s="549">
        <f t="shared" ref="L193:M193" si="6777">SUM(L524)+L345</f>
        <v>0</v>
      </c>
      <c r="M193" s="675">
        <f t="shared" si="6777"/>
        <v>0</v>
      </c>
      <c r="N193" s="549">
        <f t="shared" ref="N193:O193" si="6778">SUM(N524)+N345</f>
        <v>0</v>
      </c>
      <c r="O193" s="675">
        <f t="shared" si="6778"/>
        <v>0</v>
      </c>
      <c r="P193" s="549">
        <f t="shared" ref="P193:Q193" si="6779">SUM(P524)+P345</f>
        <v>0</v>
      </c>
      <c r="Q193" s="675">
        <f t="shared" si="6779"/>
        <v>0</v>
      </c>
      <c r="R193" s="549">
        <f t="shared" ref="R193:S193" si="6780">SUM(R524)+R345</f>
        <v>0</v>
      </c>
      <c r="S193" s="675">
        <f t="shared" si="6780"/>
        <v>0</v>
      </c>
      <c r="T193" s="549">
        <f t="shared" ref="T193:U193" si="6781">SUM(T524)+T345</f>
        <v>0</v>
      </c>
      <c r="U193" s="675">
        <f t="shared" si="6781"/>
        <v>0</v>
      </c>
      <c r="V193" s="549">
        <f t="shared" ref="V193:W193" si="6782">SUM(V524)+V345</f>
        <v>0</v>
      </c>
      <c r="W193" s="675">
        <f t="shared" si="6782"/>
        <v>0</v>
      </c>
      <c r="X193" s="549">
        <f t="shared" ref="X193:Y193" si="6783">SUM(X524)+X345</f>
        <v>0</v>
      </c>
      <c r="Y193" s="675">
        <f t="shared" si="6783"/>
        <v>0</v>
      </c>
      <c r="Z193" s="549">
        <f t="shared" ref="Z193:AA193" si="6784">SUM(Z524)+Z345</f>
        <v>0</v>
      </c>
      <c r="AA193" s="675">
        <f t="shared" si="6784"/>
        <v>0</v>
      </c>
      <c r="AB193" s="549">
        <f t="shared" ref="AB193:AC193" si="6785">SUM(AB524)+AB345</f>
        <v>0</v>
      </c>
      <c r="AC193" s="675">
        <f t="shared" si="6785"/>
        <v>0</v>
      </c>
      <c r="AD193" s="549">
        <f t="shared" ref="AD193:AE193" si="6786">SUM(AD524)+AD345</f>
        <v>0</v>
      </c>
      <c r="AE193" s="675">
        <f t="shared" si="6786"/>
        <v>0</v>
      </c>
      <c r="AF193" s="549">
        <f t="shared" ref="AF193:AI193" si="6787">SUM(AF524)+AF345</f>
        <v>0</v>
      </c>
      <c r="AG193" s="675">
        <f t="shared" si="6787"/>
        <v>0</v>
      </c>
      <c r="AH193" s="549">
        <f t="shared" si="6787"/>
        <v>0</v>
      </c>
      <c r="AI193" s="675">
        <f t="shared" si="6787"/>
        <v>0</v>
      </c>
      <c r="AJ193" s="549">
        <f t="shared" ref="AJ193:AK193" si="6788">SUM(AJ524)+AJ345</f>
        <v>0</v>
      </c>
      <c r="AK193" s="675">
        <f t="shared" si="6788"/>
        <v>0</v>
      </c>
      <c r="AL193" s="549">
        <f t="shared" ref="AL193:AM193" si="6789">SUM(AL524)+AL345</f>
        <v>0</v>
      </c>
      <c r="AM193" s="675">
        <f t="shared" si="6789"/>
        <v>0</v>
      </c>
      <c r="AN193" s="549">
        <f t="shared" ref="AN193:AO193" si="6790">SUM(AN524)+AN345</f>
        <v>0</v>
      </c>
      <c r="AO193" s="675">
        <f t="shared" si="6790"/>
        <v>0</v>
      </c>
      <c r="AP193" s="549">
        <f t="shared" ref="AP193:AQ193" si="6791">SUM(AP524)+AP345</f>
        <v>0</v>
      </c>
      <c r="AQ193" s="675">
        <f t="shared" si="6791"/>
        <v>0</v>
      </c>
      <c r="AR193" s="549">
        <f t="shared" ref="AR193:AS193" si="6792">SUM(AR524)+AR345</f>
        <v>0</v>
      </c>
      <c r="AS193" s="675">
        <f t="shared" si="6792"/>
        <v>0</v>
      </c>
      <c r="AT193" s="549">
        <f t="shared" ref="AT193:AU193" si="6793">SUM(AT524)+AT345</f>
        <v>0</v>
      </c>
      <c r="AU193" s="675">
        <f t="shared" si="6793"/>
        <v>0</v>
      </c>
      <c r="AV193" s="549">
        <f t="shared" ref="AV193:AW193" si="6794">SUM(AV524)+AV345</f>
        <v>0</v>
      </c>
      <c r="AW193" s="675">
        <f t="shared" si="6794"/>
        <v>0</v>
      </c>
      <c r="AX193" s="549">
        <f t="shared" ref="AX193:AY193" si="6795">SUM(AX524)+AX345</f>
        <v>0</v>
      </c>
      <c r="AY193" s="675">
        <f t="shared" si="6795"/>
        <v>0</v>
      </c>
      <c r="AZ193" s="549">
        <f t="shared" ref="AZ193:BA193" si="6796">SUM(AZ524)+AZ345</f>
        <v>0</v>
      </c>
      <c r="BA193" s="675">
        <f t="shared" si="6796"/>
        <v>0</v>
      </c>
      <c r="BB193" s="549">
        <f t="shared" ref="BB193:BC193" si="6797">SUM(BB524)+BB345</f>
        <v>0</v>
      </c>
      <c r="BC193" s="675">
        <f t="shared" si="6797"/>
        <v>0</v>
      </c>
      <c r="BD193" s="549">
        <f t="shared" ref="BD193:BE193" si="6798">SUM(BD524)+BD345</f>
        <v>0</v>
      </c>
      <c r="BE193" s="675">
        <f t="shared" si="6798"/>
        <v>-32000</v>
      </c>
      <c r="BF193" s="549">
        <f t="shared" ref="BF193:BG193" si="6799">SUM(BF524)+BF345</f>
        <v>0</v>
      </c>
      <c r="BG193" s="675">
        <f t="shared" si="6799"/>
        <v>0</v>
      </c>
      <c r="BH193" s="549">
        <f t="shared" ref="BH193:BI193" si="6800">SUM(BH524)+BH345</f>
        <v>0</v>
      </c>
      <c r="BI193" s="675">
        <f t="shared" si="6800"/>
        <v>0</v>
      </c>
      <c r="BJ193" s="549">
        <f t="shared" ref="BJ193:BK193" si="6801">SUM(BJ524)+BJ345</f>
        <v>0</v>
      </c>
      <c r="BK193" s="675">
        <f t="shared" si="6801"/>
        <v>0</v>
      </c>
      <c r="BL193" s="549">
        <f t="shared" ref="BL193:BS193" si="6802">SUM(BL524)+BL345</f>
        <v>0</v>
      </c>
      <c r="BM193" s="675">
        <f t="shared" si="6802"/>
        <v>0</v>
      </c>
      <c r="BN193" s="549">
        <f t="shared" si="6802"/>
        <v>0</v>
      </c>
      <c r="BO193" s="675">
        <f t="shared" si="6802"/>
        <v>-5000</v>
      </c>
      <c r="BP193" s="549">
        <f t="shared" si="6802"/>
        <v>0</v>
      </c>
      <c r="BQ193" s="675">
        <f t="shared" si="6802"/>
        <v>0</v>
      </c>
      <c r="BR193" s="549">
        <f t="shared" si="6802"/>
        <v>0</v>
      </c>
      <c r="BS193" s="675">
        <f t="shared" si="6802"/>
        <v>0</v>
      </c>
      <c r="BT193" s="549">
        <f t="shared" ref="BT193:BU193" si="6803">SUM(BT524)+BT345</f>
        <v>0</v>
      </c>
      <c r="BU193" s="675">
        <f t="shared" si="6803"/>
        <v>0</v>
      </c>
      <c r="BV193" s="549">
        <f t="shared" ref="BV193:BW193" si="6804">SUM(BV524)+BV345</f>
        <v>0</v>
      </c>
      <c r="BW193" s="675">
        <f t="shared" si="6804"/>
        <v>0</v>
      </c>
      <c r="BX193" s="549">
        <f t="shared" ref="BX193:BY193" si="6805">SUM(BX524)+BX345</f>
        <v>0</v>
      </c>
      <c r="BY193" s="675">
        <f t="shared" si="6805"/>
        <v>0</v>
      </c>
      <c r="BZ193" s="549">
        <f t="shared" ref="BZ193:CA193" si="6806">SUM(BZ524)+BZ345</f>
        <v>0</v>
      </c>
      <c r="CA193" s="675">
        <f t="shared" si="6806"/>
        <v>0</v>
      </c>
      <c r="CB193" s="549">
        <f t="shared" ref="CB193:CC193" si="6807">SUM(CB524)+CB345</f>
        <v>0</v>
      </c>
      <c r="CC193" s="675">
        <f t="shared" si="6807"/>
        <v>0</v>
      </c>
      <c r="CD193" s="549">
        <f t="shared" ref="CD193:CE193" si="6808">SUM(CD524)+CD345</f>
        <v>0</v>
      </c>
      <c r="CE193" s="675">
        <f t="shared" si="6808"/>
        <v>0</v>
      </c>
      <c r="CF193" s="549">
        <f t="shared" ref="CF193:CG193" si="6809">SUM(CF524)+CF345</f>
        <v>0</v>
      </c>
      <c r="CG193" s="675">
        <f t="shared" si="6809"/>
        <v>0</v>
      </c>
      <c r="CH193" s="549">
        <f t="shared" ref="CH193:CI193" si="6810">SUM(CH524)+CH345</f>
        <v>0</v>
      </c>
      <c r="CI193" s="675">
        <f t="shared" si="6810"/>
        <v>0</v>
      </c>
      <c r="CJ193" s="549">
        <f t="shared" ref="CJ193:CK193" si="6811">SUM(CJ524)+CJ345</f>
        <v>0</v>
      </c>
      <c r="CK193" s="675">
        <f t="shared" si="6811"/>
        <v>-30000</v>
      </c>
      <c r="CL193" s="549">
        <f t="shared" ref="CL193:CM193" si="6812">SUM(CL524)+CL345</f>
        <v>0</v>
      </c>
      <c r="CM193" s="675">
        <f t="shared" si="6812"/>
        <v>0</v>
      </c>
      <c r="CN193" s="549">
        <f t="shared" ref="CN193:CO193" si="6813">SUM(CN524)+CN345</f>
        <v>0</v>
      </c>
      <c r="CO193" s="675">
        <f t="shared" si="6813"/>
        <v>0</v>
      </c>
      <c r="CP193" s="549">
        <f t="shared" ref="CP193:CQ193" si="6814">SUM(CP524)+CP345</f>
        <v>0</v>
      </c>
      <c r="CQ193" s="675">
        <f t="shared" si="6814"/>
        <v>0</v>
      </c>
      <c r="CR193" s="549">
        <f t="shared" ref="CR193:CS193" si="6815">SUM(CR524)+CR345</f>
        <v>0</v>
      </c>
      <c r="CS193" s="675">
        <f t="shared" si="6815"/>
        <v>0</v>
      </c>
      <c r="CT193" s="549">
        <f t="shared" ref="CT193:CU193" si="6816">SUM(CT524)+CT345</f>
        <v>0</v>
      </c>
      <c r="CU193" s="675">
        <f t="shared" si="6816"/>
        <v>0</v>
      </c>
      <c r="CV193" s="549">
        <f t="shared" ref="CV193:CW193" si="6817">SUM(CV524)+CV345</f>
        <v>0</v>
      </c>
      <c r="CW193" s="675">
        <f t="shared" si="6817"/>
        <v>0</v>
      </c>
      <c r="CX193" s="549">
        <f t="shared" ref="CX193:CY193" si="6818">SUM(CX524)+CX345</f>
        <v>0</v>
      </c>
      <c r="CY193" s="675">
        <f t="shared" si="6818"/>
        <v>0</v>
      </c>
      <c r="CZ193" s="549">
        <f t="shared" ref="CZ193:DI193" si="6819">SUM(CZ524)+CZ345</f>
        <v>0</v>
      </c>
      <c r="DA193" s="675">
        <f t="shared" si="6819"/>
        <v>0</v>
      </c>
      <c r="DB193" s="549">
        <f t="shared" si="6819"/>
        <v>0</v>
      </c>
      <c r="DC193" s="675">
        <f t="shared" si="6819"/>
        <v>0</v>
      </c>
      <c r="DD193" s="549">
        <f t="shared" si="6819"/>
        <v>0</v>
      </c>
      <c r="DE193" s="675">
        <f t="shared" si="6819"/>
        <v>0</v>
      </c>
      <c r="DF193" s="549">
        <f t="shared" si="6819"/>
        <v>0</v>
      </c>
      <c r="DG193" s="675">
        <f t="shared" si="6819"/>
        <v>0</v>
      </c>
      <c r="DH193" s="549">
        <f t="shared" si="6819"/>
        <v>5000</v>
      </c>
      <c r="DI193" s="675">
        <f t="shared" si="6819"/>
        <v>0</v>
      </c>
      <c r="DJ193" s="549">
        <f t="shared" ref="DJ193:DK193" si="6820">SUM(DJ524)+DJ345</f>
        <v>0</v>
      </c>
      <c r="DK193" s="675">
        <f t="shared" si="6820"/>
        <v>0</v>
      </c>
      <c r="DL193" s="549">
        <f t="shared" ref="DL193:DM193" si="6821">SUM(DL524)+DL345</f>
        <v>0</v>
      </c>
      <c r="DM193" s="675">
        <f t="shared" si="6821"/>
        <v>0</v>
      </c>
      <c r="DN193" s="549">
        <f t="shared" ref="DN193:DO193" si="6822">SUM(DN524)+DN345</f>
        <v>0</v>
      </c>
      <c r="DO193" s="675">
        <f t="shared" si="6822"/>
        <v>0</v>
      </c>
      <c r="DP193" s="549">
        <f t="shared" ref="DP193:DQ193" si="6823">SUM(DP524)+DP345</f>
        <v>0</v>
      </c>
      <c r="DQ193" s="675">
        <f t="shared" si="6823"/>
        <v>-2000</v>
      </c>
      <c r="DR193" s="549">
        <f t="shared" ref="DR193:DS193" si="6824">SUM(DR524)+DR345</f>
        <v>0</v>
      </c>
      <c r="DS193" s="675">
        <f t="shared" si="6824"/>
        <v>0</v>
      </c>
      <c r="DT193" s="549">
        <f t="shared" ref="DT193:DU193" si="6825">SUM(DT524)+DT345</f>
        <v>0</v>
      </c>
      <c r="DU193" s="675">
        <f t="shared" si="6825"/>
        <v>0</v>
      </c>
      <c r="DV193" s="549">
        <f t="shared" ref="DV193:DW193" si="6826">SUM(DV524)+DV345</f>
        <v>0</v>
      </c>
      <c r="DW193" s="675">
        <f t="shared" si="6826"/>
        <v>0</v>
      </c>
      <c r="DX193" s="549">
        <f t="shared" ref="DX193:DY193" si="6827">SUM(DX524)+DX345</f>
        <v>0</v>
      </c>
      <c r="DY193" s="675">
        <f t="shared" si="6827"/>
        <v>0</v>
      </c>
      <c r="DZ193" s="549">
        <f t="shared" ref="DZ193:EA193" si="6828">SUM(DZ524)+DZ345</f>
        <v>0</v>
      </c>
      <c r="EA193" s="675">
        <f t="shared" si="6828"/>
        <v>0</v>
      </c>
      <c r="EB193" s="549">
        <f t="shared" ref="EB193:EC193" si="6829">SUM(EB524)+EB345</f>
        <v>0</v>
      </c>
      <c r="EC193" s="675">
        <f t="shared" si="6829"/>
        <v>0</v>
      </c>
      <c r="ED193" s="549">
        <f t="shared" ref="ED193:EE193" si="6830">SUM(ED524)+ED345</f>
        <v>0</v>
      </c>
      <c r="EE193" s="675">
        <f t="shared" si="6830"/>
        <v>0</v>
      </c>
      <c r="EF193" s="549">
        <f t="shared" ref="EF193:EG193" si="6831">SUM(EF524)+EF345</f>
        <v>0</v>
      </c>
      <c r="EG193" s="675">
        <f t="shared" si="6831"/>
        <v>0</v>
      </c>
      <c r="EH193" s="549">
        <f t="shared" ref="EH193:EM193" si="6832">SUM(EH524)+EH345</f>
        <v>0</v>
      </c>
      <c r="EI193" s="675">
        <f t="shared" si="6832"/>
        <v>0</v>
      </c>
      <c r="EJ193" s="549">
        <f t="shared" si="6832"/>
        <v>0</v>
      </c>
      <c r="EK193" s="675">
        <f t="shared" si="6832"/>
        <v>0</v>
      </c>
      <c r="EL193" s="549">
        <f t="shared" si="6832"/>
        <v>0</v>
      </c>
      <c r="EM193" s="675">
        <f t="shared" si="6832"/>
        <v>-500</v>
      </c>
      <c r="EN193" s="549">
        <f t="shared" ref="EN193:EO193" si="6833">SUM(EN524)+EN345</f>
        <v>0</v>
      </c>
      <c r="EO193" s="675">
        <f t="shared" si="6833"/>
        <v>0</v>
      </c>
      <c r="EP193" s="549">
        <f t="shared" ref="EP193:EQ193" si="6834">SUM(EP524)+EP345</f>
        <v>0</v>
      </c>
      <c r="EQ193" s="675">
        <f t="shared" si="6834"/>
        <v>0</v>
      </c>
      <c r="ER193" s="549">
        <f t="shared" ref="ER193:ES193" si="6835">SUM(ER524)+ER345</f>
        <v>0</v>
      </c>
      <c r="ES193" s="675">
        <f t="shared" si="6835"/>
        <v>0</v>
      </c>
      <c r="ET193" s="549">
        <f t="shared" ref="ET193:EU193" si="6836">SUM(ET524)+ET345</f>
        <v>0</v>
      </c>
      <c r="EU193" s="675">
        <f t="shared" si="6836"/>
        <v>0</v>
      </c>
      <c r="EV193" s="549">
        <f t="shared" ref="EV193:EW193" si="6837">SUM(EV524)+EV345</f>
        <v>0</v>
      </c>
      <c r="EW193" s="675">
        <f t="shared" si="6837"/>
        <v>0</v>
      </c>
      <c r="EX193" s="549">
        <f t="shared" ref="EX193:EY193" si="6838">SUM(EX524)+EX345</f>
        <v>0</v>
      </c>
      <c r="EY193" s="675">
        <f t="shared" si="6838"/>
        <v>0</v>
      </c>
      <c r="EZ193" s="549">
        <f t="shared" ref="EZ193:FA193" si="6839">SUM(EZ524)+EZ345</f>
        <v>0</v>
      </c>
      <c r="FA193" s="675">
        <f t="shared" si="6839"/>
        <v>0</v>
      </c>
      <c r="FB193" s="549">
        <f t="shared" ref="FB193:FC193" si="6840">SUM(FB524)+FB345</f>
        <v>0</v>
      </c>
      <c r="FC193" s="675">
        <f t="shared" si="6840"/>
        <v>0</v>
      </c>
      <c r="FD193" s="549">
        <f t="shared" ref="FD193:FE193" si="6841">SUM(FD524)+FD345</f>
        <v>0</v>
      </c>
      <c r="FE193" s="675">
        <f t="shared" si="6841"/>
        <v>0</v>
      </c>
      <c r="FF193" s="549">
        <f t="shared" ref="FF193:FG193" si="6842">SUM(FF524)+FF345</f>
        <v>0</v>
      </c>
      <c r="FG193" s="675">
        <f t="shared" si="6842"/>
        <v>0</v>
      </c>
      <c r="FH193" s="549">
        <f t="shared" ref="FH193:FI193" si="6843">SUM(FH524)+FH345</f>
        <v>0</v>
      </c>
      <c r="FI193" s="675">
        <f t="shared" si="6843"/>
        <v>0</v>
      </c>
      <c r="FJ193" s="549">
        <f t="shared" ref="FJ193:FK193" si="6844">SUM(FJ524)+FJ345</f>
        <v>0</v>
      </c>
      <c r="FK193" s="675">
        <f t="shared" si="6844"/>
        <v>0</v>
      </c>
      <c r="FL193" s="549">
        <f t="shared" ref="FL193:FM193" si="6845">SUM(FL524)+FL345</f>
        <v>0</v>
      </c>
      <c r="FM193" s="675">
        <f t="shared" si="6845"/>
        <v>-690</v>
      </c>
      <c r="FN193" s="549">
        <f t="shared" ref="FN193:FO193" si="6846">SUM(FN524)+FN345</f>
        <v>0</v>
      </c>
      <c r="FO193" s="675">
        <f t="shared" si="6846"/>
        <v>0</v>
      </c>
      <c r="FP193" s="549">
        <f t="shared" ref="FP193:FQ193" si="6847">SUM(FP524)+FP345</f>
        <v>0</v>
      </c>
      <c r="FQ193" s="675">
        <f t="shared" si="6847"/>
        <v>0</v>
      </c>
      <c r="FR193" s="549">
        <f t="shared" ref="FR193:FS193" si="6848">SUM(FR524)+FR345</f>
        <v>10000</v>
      </c>
      <c r="FS193" s="675">
        <f t="shared" si="6848"/>
        <v>0</v>
      </c>
      <c r="FT193" s="549">
        <f t="shared" ref="FT193:FU193" si="6849">SUM(FT524)+FT345</f>
        <v>0</v>
      </c>
      <c r="FU193" s="675">
        <f t="shared" si="6849"/>
        <v>0</v>
      </c>
      <c r="FV193" s="549">
        <f t="shared" ref="FV193:GK193" si="6850">SUM(FV524)+FV345</f>
        <v>0</v>
      </c>
      <c r="FW193" s="675">
        <f t="shared" si="6850"/>
        <v>0</v>
      </c>
      <c r="FX193" s="549">
        <f t="shared" si="6850"/>
        <v>0</v>
      </c>
      <c r="FY193" s="675">
        <f t="shared" si="6850"/>
        <v>0</v>
      </c>
      <c r="FZ193" s="549">
        <f t="shared" ref="FZ193:GI193" si="6851">SUM(FZ524)+FZ345</f>
        <v>0</v>
      </c>
      <c r="GA193" s="675">
        <f t="shared" si="6851"/>
        <v>0</v>
      </c>
      <c r="GB193" s="549">
        <f t="shared" si="6851"/>
        <v>0</v>
      </c>
      <c r="GC193" s="675">
        <f t="shared" si="6851"/>
        <v>0</v>
      </c>
      <c r="GD193" s="549">
        <f t="shared" si="6851"/>
        <v>0</v>
      </c>
      <c r="GE193" s="675">
        <f t="shared" si="6851"/>
        <v>0</v>
      </c>
      <c r="GF193" s="549">
        <f t="shared" si="6851"/>
        <v>0</v>
      </c>
      <c r="GG193" s="675">
        <f t="shared" si="6851"/>
        <v>0</v>
      </c>
      <c r="GH193" s="549">
        <f t="shared" si="6851"/>
        <v>0</v>
      </c>
      <c r="GI193" s="675">
        <f t="shared" si="6851"/>
        <v>0</v>
      </c>
      <c r="GJ193" s="549">
        <f t="shared" si="6850"/>
        <v>0</v>
      </c>
      <c r="GK193" s="675">
        <f t="shared" si="6850"/>
        <v>0</v>
      </c>
      <c r="GL193" s="549">
        <f t="shared" ref="GL193:GM193" si="6852">SUM(GL524)+GL345</f>
        <v>0</v>
      </c>
      <c r="GM193" s="675">
        <f t="shared" si="6852"/>
        <v>0</v>
      </c>
      <c r="GN193" s="549">
        <f t="shared" ref="GN193:GO193" si="6853">SUM(GN524)+GN345</f>
        <v>0</v>
      </c>
      <c r="GO193" s="675">
        <f t="shared" si="6853"/>
        <v>0</v>
      </c>
      <c r="GP193" s="74">
        <f t="shared" ref="GP193:GQ193" si="6854">SUM(GP524)+GP345</f>
        <v>15000</v>
      </c>
      <c r="GQ193" s="675">
        <f t="shared" si="6854"/>
        <v>-70190</v>
      </c>
      <c r="GR193" s="74">
        <f t="shared" ref="GR193:HK193" si="6855">SUM(GR524)+GR345</f>
        <v>44810</v>
      </c>
      <c r="GS193" s="74">
        <f t="shared" si="6855"/>
        <v>44810</v>
      </c>
      <c r="GT193" s="74">
        <f t="shared" si="6855"/>
        <v>44810</v>
      </c>
      <c r="GU193" s="74">
        <f t="shared" si="6855"/>
        <v>20000</v>
      </c>
      <c r="GV193" s="74">
        <f t="shared" si="6855"/>
        <v>20000</v>
      </c>
      <c r="GW193" s="74">
        <f t="shared" si="6855"/>
        <v>15000</v>
      </c>
      <c r="GX193" s="74">
        <f t="shared" si="6855"/>
        <v>15000</v>
      </c>
      <c r="GY193" s="74">
        <f t="shared" si="6855"/>
        <v>15000</v>
      </c>
      <c r="GZ193" s="74">
        <f t="shared" si="6855"/>
        <v>15000</v>
      </c>
      <c r="HA193" s="74">
        <f t="shared" si="6855"/>
        <v>0</v>
      </c>
      <c r="HB193" s="74">
        <f t="shared" si="6855"/>
        <v>0</v>
      </c>
      <c r="HC193" s="74">
        <f t="shared" si="6855"/>
        <v>0</v>
      </c>
      <c r="HD193" s="74">
        <f t="shared" si="6855"/>
        <v>0</v>
      </c>
      <c r="HE193" s="74">
        <f t="shared" si="6855"/>
        <v>0</v>
      </c>
      <c r="HF193" s="74">
        <f t="shared" si="6855"/>
        <v>0</v>
      </c>
      <c r="HG193" s="74">
        <f t="shared" si="6855"/>
        <v>44810</v>
      </c>
      <c r="HH193" s="74">
        <f t="shared" si="6855"/>
        <v>20000</v>
      </c>
      <c r="HI193" s="74">
        <f t="shared" si="6855"/>
        <v>0</v>
      </c>
      <c r="HJ193" s="74">
        <f t="shared" si="6855"/>
        <v>20000</v>
      </c>
      <c r="HK193" s="74">
        <f t="shared" si="6855"/>
        <v>0</v>
      </c>
      <c r="HL193" s="74">
        <f t="shared" ref="HL193:JT193" si="6856">SUM(HL524)+HL345</f>
        <v>15000</v>
      </c>
      <c r="HM193" s="74">
        <f t="shared" si="6856"/>
        <v>0</v>
      </c>
      <c r="HN193" s="74">
        <f t="shared" si="6856"/>
        <v>14000</v>
      </c>
      <c r="HO193" s="74">
        <f t="shared" si="6856"/>
        <v>0</v>
      </c>
      <c r="HP193" s="74">
        <f t="shared" si="6856"/>
        <v>-21000</v>
      </c>
      <c r="HQ193" s="74">
        <f t="shared" si="6856"/>
        <v>0</v>
      </c>
      <c r="HR193" s="74">
        <f t="shared" si="6856"/>
        <v>0</v>
      </c>
      <c r="HS193" s="74">
        <f t="shared" si="6856"/>
        <v>0</v>
      </c>
      <c r="HT193" s="74">
        <f t="shared" si="6856"/>
        <v>-15000</v>
      </c>
      <c r="HU193" s="74">
        <f t="shared" si="6856"/>
        <v>0</v>
      </c>
      <c r="HV193" s="74">
        <f t="shared" si="6856"/>
        <v>2000</v>
      </c>
      <c r="HW193" s="74">
        <f t="shared" si="6856"/>
        <v>0</v>
      </c>
      <c r="HX193" s="74">
        <f t="shared" si="6856"/>
        <v>0</v>
      </c>
      <c r="HY193" s="74">
        <f t="shared" si="6856"/>
        <v>0</v>
      </c>
      <c r="HZ193" s="74">
        <f t="shared" si="6856"/>
        <v>9810</v>
      </c>
      <c r="IA193" s="74">
        <f t="shared" si="6856"/>
        <v>0</v>
      </c>
      <c r="IB193" s="74">
        <f t="shared" si="6856"/>
        <v>0</v>
      </c>
      <c r="IC193" s="74">
        <f t="shared" si="6856"/>
        <v>0</v>
      </c>
      <c r="ID193" s="74">
        <f t="shared" si="6856"/>
        <v>0</v>
      </c>
      <c r="IE193" s="792">
        <f t="shared" si="6856"/>
        <v>0</v>
      </c>
      <c r="IF193" s="841">
        <f t="shared" si="6856"/>
        <v>32900.25</v>
      </c>
      <c r="IG193" s="263">
        <f t="shared" si="6856"/>
        <v>32900.25</v>
      </c>
      <c r="IH193" s="842">
        <f t="shared" si="6856"/>
        <v>32900.25</v>
      </c>
      <c r="II193" s="155">
        <f t="shared" si="6856"/>
        <v>0</v>
      </c>
      <c r="IJ193" s="74">
        <f t="shared" si="6856"/>
        <v>0</v>
      </c>
      <c r="IK193" s="74">
        <f t="shared" si="6856"/>
        <v>0</v>
      </c>
      <c r="IL193" s="74">
        <f t="shared" si="6856"/>
        <v>189.95</v>
      </c>
      <c r="IM193" s="74">
        <f t="shared" si="6856"/>
        <v>189.95</v>
      </c>
      <c r="IN193" s="74">
        <f t="shared" si="6856"/>
        <v>189.95</v>
      </c>
      <c r="IO193" s="74">
        <f t="shared" si="6856"/>
        <v>0</v>
      </c>
      <c r="IP193" s="74">
        <f t="shared" si="6856"/>
        <v>0</v>
      </c>
      <c r="IQ193" s="74">
        <f t="shared" si="6856"/>
        <v>0</v>
      </c>
      <c r="IR193" s="74">
        <f t="shared" si="6856"/>
        <v>560</v>
      </c>
      <c r="IS193" s="74">
        <f t="shared" si="6856"/>
        <v>560</v>
      </c>
      <c r="IT193" s="74">
        <f t="shared" si="6856"/>
        <v>560</v>
      </c>
      <c r="IU193" s="74">
        <f t="shared" si="6856"/>
        <v>3554.3500000000004</v>
      </c>
      <c r="IV193" s="74">
        <f t="shared" si="6856"/>
        <v>3554.3500000000004</v>
      </c>
      <c r="IW193" s="74">
        <f t="shared" si="6856"/>
        <v>3554.3500000000004</v>
      </c>
      <c r="IX193" s="74">
        <f t="shared" si="6856"/>
        <v>6591.8399999999992</v>
      </c>
      <c r="IY193" s="74">
        <f t="shared" si="6856"/>
        <v>6591.8399999999992</v>
      </c>
      <c r="IZ193" s="74">
        <f t="shared" si="6856"/>
        <v>6591.8399999999992</v>
      </c>
      <c r="JA193" s="74">
        <f t="shared" si="6856"/>
        <v>9317.2999999999993</v>
      </c>
      <c r="JB193" s="74">
        <f t="shared" si="6856"/>
        <v>9317.2999999999993</v>
      </c>
      <c r="JC193" s="74">
        <f t="shared" si="6856"/>
        <v>9317.2999999999993</v>
      </c>
      <c r="JD193" s="74">
        <f t="shared" si="6856"/>
        <v>12100.830000000002</v>
      </c>
      <c r="JE193" s="74">
        <f t="shared" si="6856"/>
        <v>12100.830000000002</v>
      </c>
      <c r="JF193" s="74">
        <f t="shared" si="6856"/>
        <v>12100.830000000002</v>
      </c>
      <c r="JG193" s="74">
        <f t="shared" si="6856"/>
        <v>476.9900000000016</v>
      </c>
      <c r="JH193" s="74">
        <f t="shared" si="6856"/>
        <v>476.9900000000016</v>
      </c>
      <c r="JI193" s="74">
        <f t="shared" si="6856"/>
        <v>476.9900000000016</v>
      </c>
      <c r="JJ193" s="74">
        <f t="shared" si="6856"/>
        <v>108.98999999999796</v>
      </c>
      <c r="JK193" s="74">
        <f t="shared" si="6856"/>
        <v>108.98999999999796</v>
      </c>
      <c r="JL193" s="74">
        <f t="shared" si="6856"/>
        <v>108.98999999999796</v>
      </c>
      <c r="JM193" s="74">
        <f t="shared" si="6856"/>
        <v>0</v>
      </c>
      <c r="JN193" s="74">
        <f t="shared" si="6856"/>
        <v>0</v>
      </c>
      <c r="JO193" s="74">
        <f t="shared" si="6856"/>
        <v>0</v>
      </c>
      <c r="JP193" s="74">
        <f t="shared" si="6856"/>
        <v>0</v>
      </c>
      <c r="JQ193" s="74">
        <f t="shared" si="6856"/>
        <v>0</v>
      </c>
      <c r="JR193" s="74">
        <f t="shared" si="6856"/>
        <v>0</v>
      </c>
      <c r="JS193" s="74">
        <f t="shared" si="6856"/>
        <v>11909.75</v>
      </c>
      <c r="JT193" s="102">
        <f t="shared" si="6856"/>
        <v>11909.75</v>
      </c>
      <c r="JU193" s="671"/>
      <c r="JV193" s="492"/>
      <c r="JW193" s="490"/>
      <c r="JX193" s="549">
        <f>SUM(JX524)+JX345</f>
        <v>44810</v>
      </c>
      <c r="JY193" s="549">
        <f>SUM(JY524)+JY345</f>
        <v>0</v>
      </c>
      <c r="JZ193" s="581">
        <f t="shared" si="4944"/>
        <v>15000</v>
      </c>
      <c r="KA193" s="581">
        <f t="shared" si="4945"/>
        <v>-70190</v>
      </c>
      <c r="KB193" s="549">
        <f>SUM(KB524)+KB345</f>
        <v>44810</v>
      </c>
      <c r="KC193" s="709">
        <f t="shared" si="4908"/>
        <v>0</v>
      </c>
      <c r="KD193" s="36"/>
      <c r="KE193" s="36"/>
      <c r="KF193" s="36"/>
      <c r="KG193" s="36"/>
      <c r="KH193" s="36"/>
      <c r="KI193" s="36"/>
      <c r="KJ193" s="36"/>
      <c r="KK193" s="36"/>
    </row>
    <row r="194" spans="1:297" s="8" customFormat="1">
      <c r="A194" s="75"/>
      <c r="B194" s="72"/>
      <c r="C194" s="74"/>
      <c r="D194" s="549"/>
      <c r="E194" s="675"/>
      <c r="F194" s="549"/>
      <c r="G194" s="675"/>
      <c r="H194" s="549"/>
      <c r="I194" s="675"/>
      <c r="J194" s="549"/>
      <c r="K194" s="675"/>
      <c r="L194" s="549"/>
      <c r="M194" s="675"/>
      <c r="N194" s="549"/>
      <c r="O194" s="675"/>
      <c r="P194" s="549"/>
      <c r="Q194" s="675"/>
      <c r="R194" s="549"/>
      <c r="S194" s="675"/>
      <c r="T194" s="549"/>
      <c r="U194" s="675"/>
      <c r="V194" s="549"/>
      <c r="W194" s="675"/>
      <c r="X194" s="549"/>
      <c r="Y194" s="675"/>
      <c r="Z194" s="549"/>
      <c r="AA194" s="675"/>
      <c r="AB194" s="549"/>
      <c r="AC194" s="675"/>
      <c r="AD194" s="549"/>
      <c r="AE194" s="675"/>
      <c r="AF194" s="549"/>
      <c r="AG194" s="675"/>
      <c r="AH194" s="549"/>
      <c r="AI194" s="675"/>
      <c r="AJ194" s="549"/>
      <c r="AK194" s="675"/>
      <c r="AL194" s="549"/>
      <c r="AM194" s="675"/>
      <c r="AN194" s="549"/>
      <c r="AO194" s="675"/>
      <c r="AP194" s="549"/>
      <c r="AQ194" s="675"/>
      <c r="AR194" s="549"/>
      <c r="AS194" s="675"/>
      <c r="AT194" s="549"/>
      <c r="AU194" s="675"/>
      <c r="AV194" s="549"/>
      <c r="AW194" s="675"/>
      <c r="AX194" s="549"/>
      <c r="AY194" s="675"/>
      <c r="AZ194" s="549"/>
      <c r="BA194" s="675"/>
      <c r="BB194" s="549"/>
      <c r="BC194" s="675"/>
      <c r="BD194" s="549"/>
      <c r="BE194" s="675"/>
      <c r="BF194" s="549"/>
      <c r="BG194" s="675"/>
      <c r="BH194" s="549"/>
      <c r="BI194" s="675"/>
      <c r="BJ194" s="549"/>
      <c r="BK194" s="675"/>
      <c r="BL194" s="549"/>
      <c r="BM194" s="675"/>
      <c r="BN194" s="549"/>
      <c r="BO194" s="675"/>
      <c r="BP194" s="549"/>
      <c r="BQ194" s="675"/>
      <c r="BR194" s="549"/>
      <c r="BS194" s="675"/>
      <c r="BT194" s="549"/>
      <c r="BU194" s="675"/>
      <c r="BV194" s="549"/>
      <c r="BW194" s="675"/>
      <c r="BX194" s="549"/>
      <c r="BY194" s="675"/>
      <c r="BZ194" s="549"/>
      <c r="CA194" s="675"/>
      <c r="CB194" s="549"/>
      <c r="CC194" s="675"/>
      <c r="CD194" s="549"/>
      <c r="CE194" s="675"/>
      <c r="CF194" s="549"/>
      <c r="CG194" s="675"/>
      <c r="CH194" s="549"/>
      <c r="CI194" s="675"/>
      <c r="CJ194" s="549"/>
      <c r="CK194" s="675"/>
      <c r="CL194" s="549"/>
      <c r="CM194" s="675"/>
      <c r="CN194" s="549"/>
      <c r="CO194" s="675"/>
      <c r="CP194" s="549"/>
      <c r="CQ194" s="675"/>
      <c r="CR194" s="549"/>
      <c r="CS194" s="675"/>
      <c r="CT194" s="549"/>
      <c r="CU194" s="675"/>
      <c r="CV194" s="549"/>
      <c r="CW194" s="675"/>
      <c r="CX194" s="549"/>
      <c r="CY194" s="675"/>
      <c r="CZ194" s="549"/>
      <c r="DA194" s="675"/>
      <c r="DB194" s="549"/>
      <c r="DC194" s="675"/>
      <c r="DD194" s="549"/>
      <c r="DE194" s="675"/>
      <c r="DF194" s="549"/>
      <c r="DG194" s="675"/>
      <c r="DH194" s="549"/>
      <c r="DI194" s="675"/>
      <c r="DJ194" s="549"/>
      <c r="DK194" s="675"/>
      <c r="DL194" s="549"/>
      <c r="DM194" s="675"/>
      <c r="DN194" s="549"/>
      <c r="DO194" s="675"/>
      <c r="DP194" s="549"/>
      <c r="DQ194" s="675"/>
      <c r="DR194" s="549"/>
      <c r="DS194" s="675"/>
      <c r="DT194" s="549"/>
      <c r="DU194" s="675"/>
      <c r="DV194" s="549"/>
      <c r="DW194" s="675"/>
      <c r="DX194" s="549"/>
      <c r="DY194" s="675"/>
      <c r="DZ194" s="549"/>
      <c r="EA194" s="675"/>
      <c r="EB194" s="549"/>
      <c r="EC194" s="675"/>
      <c r="ED194" s="549"/>
      <c r="EE194" s="675"/>
      <c r="EF194" s="549"/>
      <c r="EG194" s="675"/>
      <c r="EH194" s="549"/>
      <c r="EI194" s="675"/>
      <c r="EJ194" s="549"/>
      <c r="EK194" s="675"/>
      <c r="EL194" s="549"/>
      <c r="EM194" s="675"/>
      <c r="EN194" s="549"/>
      <c r="EO194" s="675"/>
      <c r="EP194" s="549"/>
      <c r="EQ194" s="675"/>
      <c r="ER194" s="549"/>
      <c r="ES194" s="675"/>
      <c r="ET194" s="549"/>
      <c r="EU194" s="675"/>
      <c r="EV194" s="549"/>
      <c r="EW194" s="675"/>
      <c r="EX194" s="549"/>
      <c r="EY194" s="675"/>
      <c r="EZ194" s="549"/>
      <c r="FA194" s="675"/>
      <c r="FB194" s="549"/>
      <c r="FC194" s="675"/>
      <c r="FD194" s="549"/>
      <c r="FE194" s="675"/>
      <c r="FF194" s="549"/>
      <c r="FG194" s="675"/>
      <c r="FH194" s="549"/>
      <c r="FI194" s="675"/>
      <c r="FJ194" s="549"/>
      <c r="FK194" s="675"/>
      <c r="FL194" s="549"/>
      <c r="FM194" s="675"/>
      <c r="FN194" s="549"/>
      <c r="FO194" s="675"/>
      <c r="FP194" s="549"/>
      <c r="FQ194" s="675"/>
      <c r="FR194" s="549"/>
      <c r="FS194" s="675"/>
      <c r="FT194" s="549"/>
      <c r="FU194" s="675"/>
      <c r="FV194" s="549"/>
      <c r="FW194" s="675"/>
      <c r="FX194" s="549"/>
      <c r="FY194" s="675"/>
      <c r="FZ194" s="549"/>
      <c r="GA194" s="675"/>
      <c r="GB194" s="549"/>
      <c r="GC194" s="675"/>
      <c r="GD194" s="549"/>
      <c r="GE194" s="675"/>
      <c r="GF194" s="549"/>
      <c r="GG194" s="675"/>
      <c r="GH194" s="549"/>
      <c r="GI194" s="675"/>
      <c r="GJ194" s="549"/>
      <c r="GK194" s="675"/>
      <c r="GL194" s="549"/>
      <c r="GM194" s="675"/>
      <c r="GN194" s="549"/>
      <c r="GO194" s="675"/>
      <c r="GP194" s="74"/>
      <c r="GQ194" s="675"/>
      <c r="GR194" s="74"/>
      <c r="GS194" s="74"/>
      <c r="GT194" s="549"/>
      <c r="GU194" s="74"/>
      <c r="GV194" s="74"/>
      <c r="GW194" s="549"/>
      <c r="GX194" s="549"/>
      <c r="GY194" s="74"/>
      <c r="GZ194" s="74"/>
      <c r="HA194" s="74"/>
      <c r="HB194" s="74"/>
      <c r="HC194" s="74"/>
      <c r="HD194" s="74"/>
      <c r="HE194" s="74"/>
      <c r="HF194" s="74"/>
      <c r="HG194" s="74"/>
      <c r="HH194" s="74"/>
      <c r="HI194" s="74"/>
      <c r="HJ194" s="74"/>
      <c r="HK194" s="74"/>
      <c r="HL194" s="74"/>
      <c r="HM194" s="74"/>
      <c r="HN194" s="74"/>
      <c r="HO194" s="74"/>
      <c r="HP194" s="74"/>
      <c r="HQ194" s="74"/>
      <c r="HR194" s="74"/>
      <c r="HS194" s="74"/>
      <c r="HT194" s="74"/>
      <c r="HU194" s="74"/>
      <c r="HV194" s="74"/>
      <c r="HW194" s="74"/>
      <c r="HX194" s="74"/>
      <c r="HY194" s="74"/>
      <c r="HZ194" s="74"/>
      <c r="IA194" s="74"/>
      <c r="IB194" s="74"/>
      <c r="IC194" s="74"/>
      <c r="ID194" s="74"/>
      <c r="IE194" s="792"/>
      <c r="IF194" s="841"/>
      <c r="IG194" s="263"/>
      <c r="IH194" s="842"/>
      <c r="II194" s="155"/>
      <c r="IJ194" s="74"/>
      <c r="IK194" s="74"/>
      <c r="IL194" s="74"/>
      <c r="IM194" s="74"/>
      <c r="IN194" s="74"/>
      <c r="IO194" s="74"/>
      <c r="IP194" s="74"/>
      <c r="IQ194" s="74"/>
      <c r="IR194" s="74"/>
      <c r="IS194" s="74"/>
      <c r="IT194" s="74"/>
      <c r="IU194" s="74"/>
      <c r="IV194" s="74"/>
      <c r="IW194" s="74"/>
      <c r="IX194" s="74"/>
      <c r="IY194" s="74"/>
      <c r="IZ194" s="74"/>
      <c r="JA194" s="74"/>
      <c r="JB194" s="74"/>
      <c r="JC194" s="74"/>
      <c r="JD194" s="74"/>
      <c r="JE194" s="74"/>
      <c r="JF194" s="74"/>
      <c r="JG194" s="74"/>
      <c r="JH194" s="74"/>
      <c r="JI194" s="74"/>
      <c r="JJ194" s="74"/>
      <c r="JK194" s="74"/>
      <c r="JL194" s="74"/>
      <c r="JM194" s="74"/>
      <c r="JN194" s="74"/>
      <c r="JO194" s="74"/>
      <c r="JP194" s="74"/>
      <c r="JQ194" s="74"/>
      <c r="JR194" s="74"/>
      <c r="JS194" s="74"/>
      <c r="JT194" s="382"/>
      <c r="JU194" s="670"/>
      <c r="JV194" s="489"/>
      <c r="JW194" s="490"/>
      <c r="JX194" s="549"/>
      <c r="JY194" s="549"/>
      <c r="JZ194" s="581">
        <f t="shared" si="4944"/>
        <v>0</v>
      </c>
      <c r="KA194" s="581">
        <f t="shared" si="4945"/>
        <v>0</v>
      </c>
      <c r="KB194" s="549"/>
      <c r="KC194" s="709">
        <f t="shared" si="4908"/>
        <v>0</v>
      </c>
      <c r="KD194" s="36"/>
      <c r="KE194" s="36"/>
      <c r="KF194" s="36"/>
      <c r="KG194" s="36"/>
      <c r="KH194" s="36"/>
      <c r="KI194" s="36"/>
      <c r="KJ194" s="36"/>
      <c r="KK194" s="36"/>
    </row>
    <row r="195" spans="1:297" s="8" customFormat="1" ht="12.75" hidden="1" customHeight="1">
      <c r="A195" s="262" t="s">
        <v>801</v>
      </c>
      <c r="B195" s="72"/>
      <c r="C195" s="74">
        <f t="shared" ref="C195" si="6857">SUM(C196:C197)</f>
        <v>0</v>
      </c>
      <c r="D195" s="549">
        <f t="shared" ref="D195:E195" si="6858">SUM(D196:D197)</f>
        <v>0</v>
      </c>
      <c r="E195" s="675">
        <f t="shared" si="6858"/>
        <v>0</v>
      </c>
      <c r="F195" s="549">
        <f t="shared" ref="F195:G195" si="6859">SUM(F196:F197)</f>
        <v>0</v>
      </c>
      <c r="G195" s="675">
        <f t="shared" si="6859"/>
        <v>0</v>
      </c>
      <c r="H195" s="549">
        <f t="shared" ref="H195:I195" si="6860">SUM(H196:H197)</f>
        <v>0</v>
      </c>
      <c r="I195" s="675">
        <f t="shared" si="6860"/>
        <v>0</v>
      </c>
      <c r="J195" s="549">
        <f t="shared" ref="J195:K195" si="6861">SUM(J196:J197)</f>
        <v>0</v>
      </c>
      <c r="K195" s="675">
        <f t="shared" si="6861"/>
        <v>0</v>
      </c>
      <c r="L195" s="549">
        <f t="shared" ref="L195:M195" si="6862">SUM(L196:L197)</f>
        <v>0</v>
      </c>
      <c r="M195" s="675">
        <f t="shared" si="6862"/>
        <v>0</v>
      </c>
      <c r="N195" s="549">
        <f t="shared" ref="N195:O195" si="6863">SUM(N196:N197)</f>
        <v>0</v>
      </c>
      <c r="O195" s="675">
        <f t="shared" si="6863"/>
        <v>0</v>
      </c>
      <c r="P195" s="549">
        <f t="shared" ref="P195:Q195" si="6864">SUM(P196:P197)</f>
        <v>0</v>
      </c>
      <c r="Q195" s="675">
        <f t="shared" si="6864"/>
        <v>0</v>
      </c>
      <c r="R195" s="549">
        <f t="shared" ref="R195:S195" si="6865">SUM(R196:R197)</f>
        <v>0</v>
      </c>
      <c r="S195" s="675">
        <f t="shared" si="6865"/>
        <v>0</v>
      </c>
      <c r="T195" s="549">
        <f t="shared" ref="T195:U195" si="6866">SUM(T196:T197)</f>
        <v>0</v>
      </c>
      <c r="U195" s="675">
        <f t="shared" si="6866"/>
        <v>0</v>
      </c>
      <c r="V195" s="549">
        <f t="shared" ref="V195:W195" si="6867">SUM(V196:V197)</f>
        <v>0</v>
      </c>
      <c r="W195" s="675">
        <f t="shared" si="6867"/>
        <v>0</v>
      </c>
      <c r="X195" s="549">
        <f t="shared" ref="X195:Y195" si="6868">SUM(X196:X197)</f>
        <v>0</v>
      </c>
      <c r="Y195" s="675">
        <f t="shared" si="6868"/>
        <v>0</v>
      </c>
      <c r="Z195" s="549">
        <f t="shared" ref="Z195:AA195" si="6869">SUM(Z196:Z197)</f>
        <v>0</v>
      </c>
      <c r="AA195" s="675">
        <f t="shared" si="6869"/>
        <v>0</v>
      </c>
      <c r="AB195" s="549">
        <f t="shared" ref="AB195:AC195" si="6870">SUM(AB196:AB197)</f>
        <v>0</v>
      </c>
      <c r="AC195" s="675">
        <f t="shared" si="6870"/>
        <v>0</v>
      </c>
      <c r="AD195" s="549">
        <f t="shared" ref="AD195:AK195" si="6871">SUM(AD196:AD197)</f>
        <v>0</v>
      </c>
      <c r="AE195" s="675">
        <f t="shared" si="6871"/>
        <v>0</v>
      </c>
      <c r="AF195" s="549">
        <f t="shared" si="6871"/>
        <v>0</v>
      </c>
      <c r="AG195" s="675">
        <f t="shared" si="6871"/>
        <v>0</v>
      </c>
      <c r="AH195" s="549">
        <f t="shared" si="6871"/>
        <v>0</v>
      </c>
      <c r="AI195" s="675">
        <f t="shared" si="6871"/>
        <v>0</v>
      </c>
      <c r="AJ195" s="549">
        <f t="shared" si="6871"/>
        <v>0</v>
      </c>
      <c r="AK195" s="675">
        <f t="shared" si="6871"/>
        <v>0</v>
      </c>
      <c r="AL195" s="549">
        <f t="shared" ref="AL195:AM195" si="6872">SUM(AL196:AL197)</f>
        <v>0</v>
      </c>
      <c r="AM195" s="675">
        <f t="shared" si="6872"/>
        <v>0</v>
      </c>
      <c r="AN195" s="549">
        <f t="shared" ref="AN195:AS195" si="6873">SUM(AN196:AN197)</f>
        <v>0</v>
      </c>
      <c r="AO195" s="675">
        <f t="shared" si="6873"/>
        <v>0</v>
      </c>
      <c r="AP195" s="549">
        <f t="shared" si="6873"/>
        <v>0</v>
      </c>
      <c r="AQ195" s="675">
        <f t="shared" si="6873"/>
        <v>0</v>
      </c>
      <c r="AR195" s="549">
        <f t="shared" si="6873"/>
        <v>0</v>
      </c>
      <c r="AS195" s="675">
        <f t="shared" si="6873"/>
        <v>0</v>
      </c>
      <c r="AT195" s="549">
        <f t="shared" ref="AT195:AU195" si="6874">SUM(AT196:AT197)</f>
        <v>0</v>
      </c>
      <c r="AU195" s="675">
        <f t="shared" si="6874"/>
        <v>0</v>
      </c>
      <c r="AV195" s="549">
        <f t="shared" ref="AV195:AW195" si="6875">SUM(AV196:AV197)</f>
        <v>0</v>
      </c>
      <c r="AW195" s="675">
        <f t="shared" si="6875"/>
        <v>0</v>
      </c>
      <c r="AX195" s="549">
        <f t="shared" ref="AX195:AY195" si="6876">SUM(AX196:AX197)</f>
        <v>0</v>
      </c>
      <c r="AY195" s="675">
        <f t="shared" si="6876"/>
        <v>0</v>
      </c>
      <c r="AZ195" s="549">
        <f t="shared" ref="AZ195:BA195" si="6877">SUM(AZ196:AZ197)</f>
        <v>0</v>
      </c>
      <c r="BA195" s="675">
        <f t="shared" si="6877"/>
        <v>0</v>
      </c>
      <c r="BB195" s="549">
        <f t="shared" ref="BB195:BC195" si="6878">SUM(BB196:BB197)</f>
        <v>0</v>
      </c>
      <c r="BC195" s="675">
        <f t="shared" si="6878"/>
        <v>0</v>
      </c>
      <c r="BD195" s="549">
        <f t="shared" ref="BD195:BE195" si="6879">SUM(BD196:BD197)</f>
        <v>0</v>
      </c>
      <c r="BE195" s="675">
        <f t="shared" si="6879"/>
        <v>0</v>
      </c>
      <c r="BF195" s="549">
        <f t="shared" ref="BF195:BG195" si="6880">SUM(BF196:BF197)</f>
        <v>0</v>
      </c>
      <c r="BG195" s="675">
        <f t="shared" si="6880"/>
        <v>0</v>
      </c>
      <c r="BH195" s="549">
        <f t="shared" ref="BH195:BI195" si="6881">SUM(BH196:BH197)</f>
        <v>0</v>
      </c>
      <c r="BI195" s="675">
        <f t="shared" si="6881"/>
        <v>0</v>
      </c>
      <c r="BJ195" s="549">
        <f t="shared" ref="BJ195:BK195" si="6882">SUM(BJ196:BJ197)</f>
        <v>0</v>
      </c>
      <c r="BK195" s="675">
        <f t="shared" si="6882"/>
        <v>0</v>
      </c>
      <c r="BL195" s="549">
        <f t="shared" ref="BL195:BS195" si="6883">SUM(BL196:BL197)</f>
        <v>0</v>
      </c>
      <c r="BM195" s="675">
        <f t="shared" si="6883"/>
        <v>0</v>
      </c>
      <c r="BN195" s="549">
        <f t="shared" si="6883"/>
        <v>0</v>
      </c>
      <c r="BO195" s="675">
        <f t="shared" si="6883"/>
        <v>0</v>
      </c>
      <c r="BP195" s="549">
        <f t="shared" si="6883"/>
        <v>0</v>
      </c>
      <c r="BQ195" s="675">
        <f t="shared" si="6883"/>
        <v>0</v>
      </c>
      <c r="BR195" s="549">
        <f t="shared" si="6883"/>
        <v>0</v>
      </c>
      <c r="BS195" s="675">
        <f t="shared" si="6883"/>
        <v>0</v>
      </c>
      <c r="BT195" s="549">
        <f t="shared" ref="BT195:BU195" si="6884">SUM(BT196:BT197)</f>
        <v>0</v>
      </c>
      <c r="BU195" s="675">
        <f t="shared" si="6884"/>
        <v>0</v>
      </c>
      <c r="BV195" s="549">
        <f t="shared" ref="BV195:BW195" si="6885">SUM(BV196:BV197)</f>
        <v>0</v>
      </c>
      <c r="BW195" s="675">
        <f t="shared" si="6885"/>
        <v>0</v>
      </c>
      <c r="BX195" s="549">
        <f t="shared" ref="BX195:BY195" si="6886">SUM(BX196:BX197)</f>
        <v>0</v>
      </c>
      <c r="BY195" s="675">
        <f t="shared" si="6886"/>
        <v>0</v>
      </c>
      <c r="BZ195" s="549">
        <f t="shared" ref="BZ195:CA195" si="6887">SUM(BZ196:BZ197)</f>
        <v>0</v>
      </c>
      <c r="CA195" s="675">
        <f t="shared" si="6887"/>
        <v>0</v>
      </c>
      <c r="CB195" s="549">
        <f t="shared" ref="CB195:CE195" si="6888">SUM(CB196:CB197)</f>
        <v>0</v>
      </c>
      <c r="CC195" s="675">
        <f t="shared" si="6888"/>
        <v>0</v>
      </c>
      <c r="CD195" s="549">
        <f t="shared" si="6888"/>
        <v>0</v>
      </c>
      <c r="CE195" s="675">
        <f t="shared" si="6888"/>
        <v>0</v>
      </c>
      <c r="CF195" s="549">
        <f t="shared" ref="CF195:CQ195" si="6889">SUM(CF196:CF197)</f>
        <v>0</v>
      </c>
      <c r="CG195" s="675">
        <f t="shared" si="6889"/>
        <v>0</v>
      </c>
      <c r="CH195" s="549">
        <f t="shared" si="6889"/>
        <v>0</v>
      </c>
      <c r="CI195" s="675">
        <f t="shared" si="6889"/>
        <v>0</v>
      </c>
      <c r="CJ195" s="549">
        <f t="shared" si="6889"/>
        <v>0</v>
      </c>
      <c r="CK195" s="675">
        <f t="shared" si="6889"/>
        <v>0</v>
      </c>
      <c r="CL195" s="549">
        <f t="shared" si="6889"/>
        <v>0</v>
      </c>
      <c r="CM195" s="675">
        <f t="shared" si="6889"/>
        <v>0</v>
      </c>
      <c r="CN195" s="549">
        <f t="shared" si="6889"/>
        <v>0</v>
      </c>
      <c r="CO195" s="675">
        <f t="shared" si="6889"/>
        <v>0</v>
      </c>
      <c r="CP195" s="549">
        <f t="shared" si="6889"/>
        <v>0</v>
      </c>
      <c r="CQ195" s="675">
        <f t="shared" si="6889"/>
        <v>0</v>
      </c>
      <c r="CR195" s="549">
        <f t="shared" ref="CR195:CY195" si="6890">SUM(CR196:CR197)</f>
        <v>0</v>
      </c>
      <c r="CS195" s="675">
        <f t="shared" si="6890"/>
        <v>0</v>
      </c>
      <c r="CT195" s="549">
        <f t="shared" si="6890"/>
        <v>0</v>
      </c>
      <c r="CU195" s="675">
        <f t="shared" si="6890"/>
        <v>0</v>
      </c>
      <c r="CV195" s="549">
        <f t="shared" si="6890"/>
        <v>0</v>
      </c>
      <c r="CW195" s="675">
        <f t="shared" si="6890"/>
        <v>0</v>
      </c>
      <c r="CX195" s="549">
        <f t="shared" si="6890"/>
        <v>0</v>
      </c>
      <c r="CY195" s="675">
        <f t="shared" si="6890"/>
        <v>0</v>
      </c>
      <c r="CZ195" s="549">
        <f t="shared" ref="CZ195:DG195" si="6891">SUM(CZ196:CZ197)</f>
        <v>0</v>
      </c>
      <c r="DA195" s="675">
        <f t="shared" si="6891"/>
        <v>0</v>
      </c>
      <c r="DB195" s="549">
        <f t="shared" si="6891"/>
        <v>0</v>
      </c>
      <c r="DC195" s="675">
        <f t="shared" si="6891"/>
        <v>0</v>
      </c>
      <c r="DD195" s="549">
        <f t="shared" si="6891"/>
        <v>0</v>
      </c>
      <c r="DE195" s="675">
        <f t="shared" si="6891"/>
        <v>0</v>
      </c>
      <c r="DF195" s="549">
        <f t="shared" si="6891"/>
        <v>0</v>
      </c>
      <c r="DG195" s="675">
        <f t="shared" si="6891"/>
        <v>0</v>
      </c>
      <c r="DH195" s="549">
        <f t="shared" ref="DH195:DM195" si="6892">SUM(DH196:DH197)</f>
        <v>0</v>
      </c>
      <c r="DI195" s="675">
        <f t="shared" si="6892"/>
        <v>0</v>
      </c>
      <c r="DJ195" s="549">
        <f t="shared" si="6892"/>
        <v>0</v>
      </c>
      <c r="DK195" s="675">
        <f t="shared" si="6892"/>
        <v>0</v>
      </c>
      <c r="DL195" s="549">
        <f t="shared" si="6892"/>
        <v>0</v>
      </c>
      <c r="DM195" s="675">
        <f t="shared" si="6892"/>
        <v>0</v>
      </c>
      <c r="DN195" s="549">
        <f t="shared" ref="DN195:DW195" si="6893">SUM(DN196:DN197)</f>
        <v>0</v>
      </c>
      <c r="DO195" s="675">
        <f t="shared" si="6893"/>
        <v>0</v>
      </c>
      <c r="DP195" s="549">
        <f t="shared" si="6893"/>
        <v>0</v>
      </c>
      <c r="DQ195" s="675">
        <f t="shared" si="6893"/>
        <v>0</v>
      </c>
      <c r="DR195" s="549">
        <f t="shared" si="6893"/>
        <v>0</v>
      </c>
      <c r="DS195" s="675">
        <f t="shared" si="6893"/>
        <v>0</v>
      </c>
      <c r="DT195" s="549">
        <f t="shared" si="6893"/>
        <v>0</v>
      </c>
      <c r="DU195" s="675">
        <f t="shared" si="6893"/>
        <v>0</v>
      </c>
      <c r="DV195" s="549">
        <f t="shared" si="6893"/>
        <v>0</v>
      </c>
      <c r="DW195" s="675">
        <f t="shared" si="6893"/>
        <v>0</v>
      </c>
      <c r="DX195" s="549">
        <f t="shared" ref="DX195:EG195" si="6894">SUM(DX196:DX197)</f>
        <v>0</v>
      </c>
      <c r="DY195" s="675">
        <f t="shared" si="6894"/>
        <v>0</v>
      </c>
      <c r="DZ195" s="549">
        <f t="shared" si="6894"/>
        <v>0</v>
      </c>
      <c r="EA195" s="675">
        <f t="shared" si="6894"/>
        <v>0</v>
      </c>
      <c r="EB195" s="549">
        <f t="shared" si="6894"/>
        <v>0</v>
      </c>
      <c r="EC195" s="675">
        <f t="shared" si="6894"/>
        <v>0</v>
      </c>
      <c r="ED195" s="549">
        <f t="shared" si="6894"/>
        <v>0</v>
      </c>
      <c r="EE195" s="675">
        <f t="shared" si="6894"/>
        <v>0</v>
      </c>
      <c r="EF195" s="549">
        <f t="shared" si="6894"/>
        <v>0</v>
      </c>
      <c r="EG195" s="675">
        <f t="shared" si="6894"/>
        <v>0</v>
      </c>
      <c r="EH195" s="549">
        <f t="shared" ref="EH195:EM195" si="6895">SUM(EH196:EH197)</f>
        <v>0</v>
      </c>
      <c r="EI195" s="675">
        <f t="shared" si="6895"/>
        <v>0</v>
      </c>
      <c r="EJ195" s="549">
        <f t="shared" si="6895"/>
        <v>0</v>
      </c>
      <c r="EK195" s="675">
        <f t="shared" si="6895"/>
        <v>0</v>
      </c>
      <c r="EL195" s="549">
        <f t="shared" si="6895"/>
        <v>0</v>
      </c>
      <c r="EM195" s="675">
        <f t="shared" si="6895"/>
        <v>0</v>
      </c>
      <c r="EN195" s="549">
        <f t="shared" ref="EN195:EO195" si="6896">SUM(EN196:EN197)</f>
        <v>0</v>
      </c>
      <c r="EO195" s="675">
        <f t="shared" si="6896"/>
        <v>0</v>
      </c>
      <c r="EP195" s="549">
        <f t="shared" ref="EP195:FA195" si="6897">SUM(EP196:EP197)</f>
        <v>0</v>
      </c>
      <c r="EQ195" s="675">
        <f t="shared" si="6897"/>
        <v>0</v>
      </c>
      <c r="ER195" s="549">
        <f t="shared" si="6897"/>
        <v>0</v>
      </c>
      <c r="ES195" s="675">
        <f t="shared" si="6897"/>
        <v>0</v>
      </c>
      <c r="ET195" s="549">
        <f t="shared" si="6897"/>
        <v>0</v>
      </c>
      <c r="EU195" s="675">
        <f t="shared" si="6897"/>
        <v>0</v>
      </c>
      <c r="EV195" s="549">
        <f t="shared" ref="EV195:EW195" si="6898">SUM(EV196:EV197)</f>
        <v>0</v>
      </c>
      <c r="EW195" s="675">
        <f t="shared" si="6898"/>
        <v>0</v>
      </c>
      <c r="EX195" s="549">
        <f t="shared" si="6897"/>
        <v>0</v>
      </c>
      <c r="EY195" s="675">
        <f t="shared" si="6897"/>
        <v>0</v>
      </c>
      <c r="EZ195" s="549">
        <f t="shared" si="6897"/>
        <v>0</v>
      </c>
      <c r="FA195" s="675">
        <f t="shared" si="6897"/>
        <v>0</v>
      </c>
      <c r="FB195" s="549">
        <f t="shared" ref="FB195:FC195" si="6899">SUM(FB196:FB197)</f>
        <v>0</v>
      </c>
      <c r="FC195" s="675">
        <f t="shared" si="6899"/>
        <v>0</v>
      </c>
      <c r="FD195" s="549">
        <f t="shared" ref="FD195:FE195" si="6900">SUM(FD196:FD197)</f>
        <v>0</v>
      </c>
      <c r="FE195" s="675">
        <f t="shared" si="6900"/>
        <v>0</v>
      </c>
      <c r="FF195" s="549">
        <f t="shared" ref="FF195:FG195" si="6901">SUM(FF196:FF197)</f>
        <v>0</v>
      </c>
      <c r="FG195" s="675">
        <f t="shared" si="6901"/>
        <v>0</v>
      </c>
      <c r="FH195" s="549">
        <f t="shared" ref="FH195:FI195" si="6902">SUM(FH196:FH197)</f>
        <v>0</v>
      </c>
      <c r="FI195" s="675">
        <f t="shared" si="6902"/>
        <v>0</v>
      </c>
      <c r="FJ195" s="549">
        <f t="shared" ref="FJ195:FK195" si="6903">SUM(FJ196:FJ197)</f>
        <v>0</v>
      </c>
      <c r="FK195" s="675">
        <f t="shared" si="6903"/>
        <v>0</v>
      </c>
      <c r="FL195" s="549">
        <f t="shared" ref="FL195:FM195" si="6904">SUM(FL196:FL197)</f>
        <v>0</v>
      </c>
      <c r="FM195" s="675">
        <f t="shared" si="6904"/>
        <v>0</v>
      </c>
      <c r="FN195" s="549">
        <f t="shared" ref="FN195:FO195" si="6905">SUM(FN196:FN197)</f>
        <v>0</v>
      </c>
      <c r="FO195" s="675">
        <f t="shared" si="6905"/>
        <v>0</v>
      </c>
      <c r="FP195" s="549">
        <f t="shared" ref="FP195:FQ195" si="6906">SUM(FP196:FP197)</f>
        <v>0</v>
      </c>
      <c r="FQ195" s="675">
        <f t="shared" si="6906"/>
        <v>0</v>
      </c>
      <c r="FR195" s="549">
        <f t="shared" ref="FR195:FS195" si="6907">SUM(FR196:FR197)</f>
        <v>0</v>
      </c>
      <c r="FS195" s="675">
        <f t="shared" si="6907"/>
        <v>0</v>
      </c>
      <c r="FT195" s="549">
        <f t="shared" ref="FT195:FU195" si="6908">SUM(FT196:FT197)</f>
        <v>0</v>
      </c>
      <c r="FU195" s="675">
        <f t="shared" si="6908"/>
        <v>0</v>
      </c>
      <c r="FV195" s="549">
        <f t="shared" ref="FV195:GK195" si="6909">SUM(FV196:FV197)</f>
        <v>0</v>
      </c>
      <c r="FW195" s="675">
        <f t="shared" si="6909"/>
        <v>0</v>
      </c>
      <c r="FX195" s="549">
        <f t="shared" si="6909"/>
        <v>0</v>
      </c>
      <c r="FY195" s="675">
        <f t="shared" si="6909"/>
        <v>0</v>
      </c>
      <c r="FZ195" s="549">
        <f t="shared" ref="FZ195:GI195" si="6910">SUM(FZ196:FZ197)</f>
        <v>0</v>
      </c>
      <c r="GA195" s="675">
        <f t="shared" si="6910"/>
        <v>0</v>
      </c>
      <c r="GB195" s="549">
        <f t="shared" si="6910"/>
        <v>0</v>
      </c>
      <c r="GC195" s="675">
        <f t="shared" si="6910"/>
        <v>0</v>
      </c>
      <c r="GD195" s="549">
        <f t="shared" si="6910"/>
        <v>0</v>
      </c>
      <c r="GE195" s="675">
        <f t="shared" si="6910"/>
        <v>0</v>
      </c>
      <c r="GF195" s="549">
        <f t="shared" si="6910"/>
        <v>0</v>
      </c>
      <c r="GG195" s="675">
        <f t="shared" si="6910"/>
        <v>0</v>
      </c>
      <c r="GH195" s="549">
        <f t="shared" si="6910"/>
        <v>0</v>
      </c>
      <c r="GI195" s="675">
        <f t="shared" si="6910"/>
        <v>0</v>
      </c>
      <c r="GJ195" s="549">
        <f t="shared" si="6909"/>
        <v>0</v>
      </c>
      <c r="GK195" s="675">
        <f t="shared" si="6909"/>
        <v>0</v>
      </c>
      <c r="GL195" s="549">
        <f t="shared" ref="GL195:GQ195" si="6911">SUM(GL196:GL197)</f>
        <v>0</v>
      </c>
      <c r="GM195" s="675">
        <f t="shared" si="6911"/>
        <v>0</v>
      </c>
      <c r="GN195" s="549">
        <f t="shared" ref="GN195:GO195" si="6912">SUM(GN196:GN197)</f>
        <v>0</v>
      </c>
      <c r="GO195" s="675">
        <f t="shared" si="6912"/>
        <v>0</v>
      </c>
      <c r="GP195" s="74">
        <f t="shared" si="6911"/>
        <v>0</v>
      </c>
      <c r="GQ195" s="675">
        <f t="shared" si="6911"/>
        <v>0</v>
      </c>
      <c r="GR195" s="74">
        <f t="shared" ref="GR195:JA195" si="6913">SUM(GR196:GR197)</f>
        <v>0</v>
      </c>
      <c r="GS195" s="74">
        <f t="shared" si="6913"/>
        <v>0</v>
      </c>
      <c r="GT195" s="549">
        <f t="shared" si="6913"/>
        <v>0</v>
      </c>
      <c r="GU195" s="74">
        <f t="shared" si="6913"/>
        <v>0</v>
      </c>
      <c r="GV195" s="74">
        <f t="shared" si="6913"/>
        <v>0</v>
      </c>
      <c r="GW195" s="549">
        <f t="shared" si="6913"/>
        <v>0</v>
      </c>
      <c r="GX195" s="549">
        <f t="shared" si="6913"/>
        <v>0</v>
      </c>
      <c r="GY195" s="74">
        <f t="shared" si="6913"/>
        <v>0</v>
      </c>
      <c r="GZ195" s="74">
        <f t="shared" si="6913"/>
        <v>0</v>
      </c>
      <c r="HA195" s="74">
        <f t="shared" si="6913"/>
        <v>0</v>
      </c>
      <c r="HB195" s="74">
        <f t="shared" si="6913"/>
        <v>0</v>
      </c>
      <c r="HC195" s="74">
        <f t="shared" si="6913"/>
        <v>0</v>
      </c>
      <c r="HD195" s="74">
        <f t="shared" si="6913"/>
        <v>0</v>
      </c>
      <c r="HE195" s="74">
        <f t="shared" si="6913"/>
        <v>0</v>
      </c>
      <c r="HF195" s="74">
        <f t="shared" si="6913"/>
        <v>0</v>
      </c>
      <c r="HG195" s="74">
        <f t="shared" si="6913"/>
        <v>0</v>
      </c>
      <c r="HH195" s="74">
        <f t="shared" ref="HH195:HU195" si="6914">SUM(HH196:HH197)</f>
        <v>0</v>
      </c>
      <c r="HI195" s="74">
        <f t="shared" si="6914"/>
        <v>0</v>
      </c>
      <c r="HJ195" s="74">
        <f t="shared" si="6914"/>
        <v>0</v>
      </c>
      <c r="HK195" s="74">
        <f t="shared" si="6914"/>
        <v>0</v>
      </c>
      <c r="HL195" s="74">
        <f t="shared" si="6914"/>
        <v>0</v>
      </c>
      <c r="HM195" s="74">
        <f t="shared" si="6914"/>
        <v>0</v>
      </c>
      <c r="HN195" s="74">
        <f t="shared" si="6914"/>
        <v>0</v>
      </c>
      <c r="HO195" s="74">
        <f t="shared" si="6914"/>
        <v>0</v>
      </c>
      <c r="HP195" s="74">
        <f t="shared" si="6914"/>
        <v>0</v>
      </c>
      <c r="HQ195" s="74">
        <f t="shared" si="6914"/>
        <v>0</v>
      </c>
      <c r="HR195" s="74">
        <f t="shared" si="6914"/>
        <v>0</v>
      </c>
      <c r="HS195" s="74">
        <f t="shared" si="6914"/>
        <v>0</v>
      </c>
      <c r="HT195" s="74">
        <f t="shared" si="6914"/>
        <v>0</v>
      </c>
      <c r="HU195" s="74">
        <f t="shared" si="6914"/>
        <v>0</v>
      </c>
      <c r="HV195" s="74">
        <f t="shared" si="6913"/>
        <v>0</v>
      </c>
      <c r="HW195" s="74">
        <f t="shared" si="6913"/>
        <v>0</v>
      </c>
      <c r="HX195" s="74">
        <f t="shared" si="6913"/>
        <v>0</v>
      </c>
      <c r="HY195" s="74">
        <f t="shared" si="6913"/>
        <v>0</v>
      </c>
      <c r="HZ195" s="74">
        <f t="shared" si="6913"/>
        <v>0</v>
      </c>
      <c r="IA195" s="74">
        <f t="shared" si="6913"/>
        <v>0</v>
      </c>
      <c r="IB195" s="74">
        <f t="shared" si="6913"/>
        <v>0</v>
      </c>
      <c r="IC195" s="74">
        <f t="shared" si="6913"/>
        <v>0</v>
      </c>
      <c r="ID195" s="74">
        <f t="shared" si="6913"/>
        <v>0</v>
      </c>
      <c r="IE195" s="792">
        <f t="shared" si="6913"/>
        <v>0</v>
      </c>
      <c r="IF195" s="841">
        <f t="shared" si="6913"/>
        <v>0</v>
      </c>
      <c r="IG195" s="263">
        <f t="shared" si="6913"/>
        <v>0</v>
      </c>
      <c r="IH195" s="842">
        <f t="shared" si="6913"/>
        <v>0</v>
      </c>
      <c r="II195" s="155">
        <f t="shared" si="6913"/>
        <v>0</v>
      </c>
      <c r="IJ195" s="74">
        <f t="shared" si="6913"/>
        <v>0</v>
      </c>
      <c r="IK195" s="74">
        <f t="shared" si="6913"/>
        <v>0</v>
      </c>
      <c r="IL195" s="74">
        <f t="shared" si="6913"/>
        <v>0</v>
      </c>
      <c r="IM195" s="74">
        <f t="shared" si="6913"/>
        <v>0</v>
      </c>
      <c r="IN195" s="74">
        <f t="shared" si="6913"/>
        <v>0</v>
      </c>
      <c r="IO195" s="74">
        <f t="shared" si="6913"/>
        <v>0</v>
      </c>
      <c r="IP195" s="74">
        <f t="shared" si="6913"/>
        <v>0</v>
      </c>
      <c r="IQ195" s="74">
        <f t="shared" si="6913"/>
        <v>0</v>
      </c>
      <c r="IR195" s="74">
        <f t="shared" si="6913"/>
        <v>0</v>
      </c>
      <c r="IS195" s="74">
        <f t="shared" si="6913"/>
        <v>0</v>
      </c>
      <c r="IT195" s="74">
        <f t="shared" si="6913"/>
        <v>0</v>
      </c>
      <c r="IU195" s="74">
        <f t="shared" si="6913"/>
        <v>0</v>
      </c>
      <c r="IV195" s="74">
        <f t="shared" si="6913"/>
        <v>0</v>
      </c>
      <c r="IW195" s="74">
        <f t="shared" si="6913"/>
        <v>0</v>
      </c>
      <c r="IX195" s="74">
        <f t="shared" si="6913"/>
        <v>0</v>
      </c>
      <c r="IY195" s="74">
        <f t="shared" si="6913"/>
        <v>0</v>
      </c>
      <c r="IZ195" s="74">
        <f t="shared" si="6913"/>
        <v>0</v>
      </c>
      <c r="JA195" s="74">
        <f t="shared" si="6913"/>
        <v>0</v>
      </c>
      <c r="JB195" s="74">
        <f t="shared" ref="JB195:JT195" si="6915">SUM(JB196:JB197)</f>
        <v>0</v>
      </c>
      <c r="JC195" s="74">
        <f t="shared" si="6915"/>
        <v>0</v>
      </c>
      <c r="JD195" s="74">
        <f t="shared" si="6915"/>
        <v>0</v>
      </c>
      <c r="JE195" s="74">
        <f t="shared" si="6915"/>
        <v>0</v>
      </c>
      <c r="JF195" s="74">
        <f t="shared" si="6915"/>
        <v>0</v>
      </c>
      <c r="JG195" s="74">
        <f t="shared" si="6915"/>
        <v>0</v>
      </c>
      <c r="JH195" s="74">
        <f t="shared" si="6915"/>
        <v>0</v>
      </c>
      <c r="JI195" s="74">
        <f t="shared" si="6915"/>
        <v>0</v>
      </c>
      <c r="JJ195" s="74">
        <f t="shared" si="6915"/>
        <v>0</v>
      </c>
      <c r="JK195" s="74">
        <f t="shared" si="6915"/>
        <v>0</v>
      </c>
      <c r="JL195" s="74">
        <f t="shared" si="6915"/>
        <v>0</v>
      </c>
      <c r="JM195" s="74">
        <f t="shared" si="6915"/>
        <v>0</v>
      </c>
      <c r="JN195" s="74">
        <f t="shared" si="6915"/>
        <v>0</v>
      </c>
      <c r="JO195" s="74">
        <f t="shared" si="6915"/>
        <v>0</v>
      </c>
      <c r="JP195" s="74">
        <f t="shared" si="6915"/>
        <v>0</v>
      </c>
      <c r="JQ195" s="74">
        <f t="shared" si="6915"/>
        <v>0</v>
      </c>
      <c r="JR195" s="74">
        <f t="shared" si="6915"/>
        <v>0</v>
      </c>
      <c r="JS195" s="74">
        <f t="shared" si="6915"/>
        <v>0</v>
      </c>
      <c r="JT195" s="102">
        <f t="shared" si="6915"/>
        <v>0</v>
      </c>
      <c r="JU195" s="671"/>
      <c r="JV195" s="492"/>
      <c r="JW195" s="490"/>
      <c r="JX195" s="549">
        <f>SUM(JX196:JX197)</f>
        <v>0</v>
      </c>
      <c r="JY195" s="549">
        <f>SUM(JY196:JY197)</f>
        <v>0</v>
      </c>
      <c r="JZ195" s="581">
        <f t="shared" si="4944"/>
        <v>0</v>
      </c>
      <c r="KA195" s="581">
        <f t="shared" si="4945"/>
        <v>0</v>
      </c>
      <c r="KB195" s="549">
        <f>SUM(KB196:KB197)</f>
        <v>0</v>
      </c>
      <c r="KC195" s="709">
        <f t="shared" si="4908"/>
        <v>0</v>
      </c>
      <c r="KD195" s="36"/>
      <c r="KE195" s="36"/>
      <c r="KF195" s="36"/>
      <c r="KG195" s="36"/>
      <c r="KH195" s="36"/>
      <c r="KI195" s="36"/>
      <c r="KJ195" s="36"/>
      <c r="KK195" s="36"/>
    </row>
    <row r="196" spans="1:297" s="8" customFormat="1" ht="12.75" hidden="1" customHeight="1">
      <c r="A196" s="262" t="s">
        <v>802</v>
      </c>
      <c r="B196" s="72"/>
      <c r="C196" s="74">
        <f t="shared" ref="C196:M196" si="6916">C527</f>
        <v>0</v>
      </c>
      <c r="D196" s="549">
        <f t="shared" si="6916"/>
        <v>0</v>
      </c>
      <c r="E196" s="675">
        <f t="shared" si="6916"/>
        <v>0</v>
      </c>
      <c r="F196" s="549">
        <f t="shared" si="6916"/>
        <v>0</v>
      </c>
      <c r="G196" s="675">
        <f t="shared" si="6916"/>
        <v>0</v>
      </c>
      <c r="H196" s="549">
        <f t="shared" si="6916"/>
        <v>0</v>
      </c>
      <c r="I196" s="675">
        <f t="shared" si="6916"/>
        <v>0</v>
      </c>
      <c r="J196" s="549">
        <f t="shared" si="6916"/>
        <v>0</v>
      </c>
      <c r="K196" s="675">
        <f t="shared" si="6916"/>
        <v>0</v>
      </c>
      <c r="L196" s="549">
        <f t="shared" si="6916"/>
        <v>0</v>
      </c>
      <c r="M196" s="675">
        <f t="shared" si="6916"/>
        <v>0</v>
      </c>
      <c r="N196" s="549">
        <f t="shared" ref="N196:Q197" si="6917">N527</f>
        <v>0</v>
      </c>
      <c r="O196" s="675">
        <f t="shared" si="6917"/>
        <v>0</v>
      </c>
      <c r="P196" s="549">
        <f t="shared" si="6917"/>
        <v>0</v>
      </c>
      <c r="Q196" s="675">
        <f t="shared" si="6917"/>
        <v>0</v>
      </c>
      <c r="R196" s="549">
        <f t="shared" ref="R196:Y197" si="6918">R527</f>
        <v>0</v>
      </c>
      <c r="S196" s="675">
        <f t="shared" si="6918"/>
        <v>0</v>
      </c>
      <c r="T196" s="549">
        <f t="shared" si="6918"/>
        <v>0</v>
      </c>
      <c r="U196" s="675">
        <f t="shared" si="6918"/>
        <v>0</v>
      </c>
      <c r="V196" s="549">
        <f t="shared" si="6918"/>
        <v>0</v>
      </c>
      <c r="W196" s="675">
        <f t="shared" si="6918"/>
        <v>0</v>
      </c>
      <c r="X196" s="549">
        <f t="shared" si="6918"/>
        <v>0</v>
      </c>
      <c r="Y196" s="675">
        <f t="shared" si="6918"/>
        <v>0</v>
      </c>
      <c r="Z196" s="549">
        <f t="shared" ref="Z196:AC197" si="6919">Z527</f>
        <v>0</v>
      </c>
      <c r="AA196" s="675">
        <f t="shared" si="6919"/>
        <v>0</v>
      </c>
      <c r="AB196" s="549">
        <f t="shared" si="6919"/>
        <v>0</v>
      </c>
      <c r="AC196" s="675">
        <f t="shared" si="6919"/>
        <v>0</v>
      </c>
      <c r="AD196" s="549">
        <f t="shared" ref="AD196:AK196" si="6920">AD527</f>
        <v>0</v>
      </c>
      <c r="AE196" s="675">
        <f t="shared" si="6920"/>
        <v>0</v>
      </c>
      <c r="AF196" s="549">
        <f t="shared" si="6920"/>
        <v>0</v>
      </c>
      <c r="AG196" s="675">
        <f t="shared" si="6920"/>
        <v>0</v>
      </c>
      <c r="AH196" s="549">
        <f t="shared" si="6920"/>
        <v>0</v>
      </c>
      <c r="AI196" s="675">
        <f t="shared" si="6920"/>
        <v>0</v>
      </c>
      <c r="AJ196" s="549">
        <f t="shared" si="6920"/>
        <v>0</v>
      </c>
      <c r="AK196" s="675">
        <f t="shared" si="6920"/>
        <v>0</v>
      </c>
      <c r="AL196" s="549">
        <f t="shared" ref="AL196:AO197" si="6921">AL527</f>
        <v>0</v>
      </c>
      <c r="AM196" s="675">
        <f t="shared" si="6921"/>
        <v>0</v>
      </c>
      <c r="AN196" s="549">
        <f t="shared" si="6921"/>
        <v>0</v>
      </c>
      <c r="AO196" s="675">
        <f t="shared" si="6921"/>
        <v>0</v>
      </c>
      <c r="AP196" s="549">
        <f t="shared" ref="AP196:AQ196" si="6922">AP527</f>
        <v>0</v>
      </c>
      <c r="AQ196" s="675">
        <f t="shared" si="6922"/>
        <v>0</v>
      </c>
      <c r="AR196" s="549">
        <f t="shared" ref="AR196:AS197" si="6923">AR527</f>
        <v>0</v>
      </c>
      <c r="AS196" s="675">
        <f t="shared" si="6923"/>
        <v>0</v>
      </c>
      <c r="AT196" s="549">
        <f t="shared" ref="AT196:AU196" si="6924">AT527</f>
        <v>0</v>
      </c>
      <c r="AU196" s="675">
        <f t="shared" si="6924"/>
        <v>0</v>
      </c>
      <c r="AV196" s="549">
        <f t="shared" ref="AV196:AW196" si="6925">AV527</f>
        <v>0</v>
      </c>
      <c r="AW196" s="675">
        <f t="shared" si="6925"/>
        <v>0</v>
      </c>
      <c r="AX196" s="549">
        <f t="shared" ref="AX196:AY196" si="6926">AX527</f>
        <v>0</v>
      </c>
      <c r="AY196" s="675">
        <f t="shared" si="6926"/>
        <v>0</v>
      </c>
      <c r="AZ196" s="549">
        <f t="shared" ref="AZ196:BA196" si="6927">AZ527</f>
        <v>0</v>
      </c>
      <c r="BA196" s="675">
        <f t="shared" si="6927"/>
        <v>0</v>
      </c>
      <c r="BB196" s="549">
        <f t="shared" ref="BB196:BC196" si="6928">BB527</f>
        <v>0</v>
      </c>
      <c r="BC196" s="675">
        <f t="shared" si="6928"/>
        <v>0</v>
      </c>
      <c r="BD196" s="549">
        <f t="shared" ref="BD196:BE196" si="6929">BD527</f>
        <v>0</v>
      </c>
      <c r="BE196" s="675">
        <f t="shared" si="6929"/>
        <v>0</v>
      </c>
      <c r="BF196" s="549">
        <f t="shared" ref="BF196:BG196" si="6930">BF527</f>
        <v>0</v>
      </c>
      <c r="BG196" s="675">
        <f t="shared" si="6930"/>
        <v>0</v>
      </c>
      <c r="BH196" s="549">
        <f t="shared" ref="BH196:BI196" si="6931">BH527</f>
        <v>0</v>
      </c>
      <c r="BI196" s="675">
        <f t="shared" si="6931"/>
        <v>0</v>
      </c>
      <c r="BJ196" s="549">
        <f t="shared" ref="BJ196:BK196" si="6932">BJ527</f>
        <v>0</v>
      </c>
      <c r="BK196" s="675">
        <f t="shared" si="6932"/>
        <v>0</v>
      </c>
      <c r="BL196" s="549">
        <f t="shared" ref="BL196:BS196" si="6933">BL527</f>
        <v>0</v>
      </c>
      <c r="BM196" s="675">
        <f t="shared" si="6933"/>
        <v>0</v>
      </c>
      <c r="BN196" s="549">
        <f t="shared" si="6933"/>
        <v>0</v>
      </c>
      <c r="BO196" s="675">
        <f t="shared" si="6933"/>
        <v>0</v>
      </c>
      <c r="BP196" s="549">
        <f t="shared" si="6933"/>
        <v>0</v>
      </c>
      <c r="BQ196" s="675">
        <f t="shared" si="6933"/>
        <v>0</v>
      </c>
      <c r="BR196" s="549">
        <f t="shared" si="6933"/>
        <v>0</v>
      </c>
      <c r="BS196" s="675">
        <f t="shared" si="6933"/>
        <v>0</v>
      </c>
      <c r="BT196" s="549">
        <f t="shared" ref="BT196:BW197" si="6934">BT527</f>
        <v>0</v>
      </c>
      <c r="BU196" s="675">
        <f t="shared" si="6934"/>
        <v>0</v>
      </c>
      <c r="BV196" s="549">
        <f t="shared" si="6934"/>
        <v>0</v>
      </c>
      <c r="BW196" s="675">
        <f t="shared" si="6934"/>
        <v>0</v>
      </c>
      <c r="BX196" s="549">
        <f t="shared" ref="BX196:BY196" si="6935">BX527</f>
        <v>0</v>
      </c>
      <c r="BY196" s="675">
        <f t="shared" si="6935"/>
        <v>0</v>
      </c>
      <c r="BZ196" s="549">
        <f t="shared" ref="BZ196:CA196" si="6936">BZ527</f>
        <v>0</v>
      </c>
      <c r="CA196" s="675">
        <f t="shared" si="6936"/>
        <v>0</v>
      </c>
      <c r="CB196" s="549">
        <f t="shared" ref="CB196:CE196" si="6937">CB527</f>
        <v>0</v>
      </c>
      <c r="CC196" s="675">
        <f t="shared" si="6937"/>
        <v>0</v>
      </c>
      <c r="CD196" s="549">
        <f t="shared" si="6937"/>
        <v>0</v>
      </c>
      <c r="CE196" s="675">
        <f t="shared" si="6937"/>
        <v>0</v>
      </c>
      <c r="CF196" s="549">
        <f t="shared" ref="CF196:CQ196" si="6938">CF527</f>
        <v>0</v>
      </c>
      <c r="CG196" s="675">
        <f t="shared" si="6938"/>
        <v>0</v>
      </c>
      <c r="CH196" s="549">
        <f t="shared" si="6938"/>
        <v>0</v>
      </c>
      <c r="CI196" s="675">
        <f t="shared" si="6938"/>
        <v>0</v>
      </c>
      <c r="CJ196" s="549">
        <f t="shared" si="6938"/>
        <v>0</v>
      </c>
      <c r="CK196" s="675">
        <f t="shared" si="6938"/>
        <v>0</v>
      </c>
      <c r="CL196" s="549">
        <f t="shared" si="6938"/>
        <v>0</v>
      </c>
      <c r="CM196" s="675">
        <f t="shared" si="6938"/>
        <v>0</v>
      </c>
      <c r="CN196" s="549">
        <f t="shared" si="6938"/>
        <v>0</v>
      </c>
      <c r="CO196" s="675">
        <f t="shared" si="6938"/>
        <v>0</v>
      </c>
      <c r="CP196" s="549">
        <f t="shared" si="6938"/>
        <v>0</v>
      </c>
      <c r="CQ196" s="675">
        <f t="shared" si="6938"/>
        <v>0</v>
      </c>
      <c r="CR196" s="549">
        <f t="shared" ref="CR196:CY197" si="6939">CR527</f>
        <v>0</v>
      </c>
      <c r="CS196" s="675">
        <f t="shared" si="6939"/>
        <v>0</v>
      </c>
      <c r="CT196" s="549">
        <f t="shared" si="6939"/>
        <v>0</v>
      </c>
      <c r="CU196" s="675">
        <f t="shared" si="6939"/>
        <v>0</v>
      </c>
      <c r="CV196" s="549">
        <f t="shared" si="6939"/>
        <v>0</v>
      </c>
      <c r="CW196" s="675">
        <f t="shared" si="6939"/>
        <v>0</v>
      </c>
      <c r="CX196" s="549">
        <f t="shared" si="6939"/>
        <v>0</v>
      </c>
      <c r="CY196" s="675">
        <f t="shared" si="6939"/>
        <v>0</v>
      </c>
      <c r="CZ196" s="549">
        <f t="shared" ref="CZ196:DG197" si="6940">CZ527</f>
        <v>0</v>
      </c>
      <c r="DA196" s="675">
        <f t="shared" si="6940"/>
        <v>0</v>
      </c>
      <c r="DB196" s="549">
        <f t="shared" si="6940"/>
        <v>0</v>
      </c>
      <c r="DC196" s="675">
        <f t="shared" si="6940"/>
        <v>0</v>
      </c>
      <c r="DD196" s="549">
        <f t="shared" ref="DD196:DE196" si="6941">DD527</f>
        <v>0</v>
      </c>
      <c r="DE196" s="675">
        <f t="shared" si="6941"/>
        <v>0</v>
      </c>
      <c r="DF196" s="549">
        <f t="shared" si="6940"/>
        <v>0</v>
      </c>
      <c r="DG196" s="675">
        <f t="shared" si="6940"/>
        <v>0</v>
      </c>
      <c r="DH196" s="549">
        <f t="shared" ref="DH196:DO197" si="6942">DH527</f>
        <v>0</v>
      </c>
      <c r="DI196" s="675">
        <f t="shared" si="6942"/>
        <v>0</v>
      </c>
      <c r="DJ196" s="549">
        <f t="shared" si="6942"/>
        <v>0</v>
      </c>
      <c r="DK196" s="675">
        <f t="shared" si="6942"/>
        <v>0</v>
      </c>
      <c r="DL196" s="549">
        <f t="shared" si="6942"/>
        <v>0</v>
      </c>
      <c r="DM196" s="675">
        <f t="shared" si="6942"/>
        <v>0</v>
      </c>
      <c r="DN196" s="549">
        <f t="shared" si="6942"/>
        <v>0</v>
      </c>
      <c r="DO196" s="675">
        <f t="shared" si="6942"/>
        <v>0</v>
      </c>
      <c r="DP196" s="549">
        <f t="shared" ref="DP196:DU196" si="6943">DP527</f>
        <v>0</v>
      </c>
      <c r="DQ196" s="675">
        <f t="shared" si="6943"/>
        <v>0</v>
      </c>
      <c r="DR196" s="549">
        <f t="shared" si="6943"/>
        <v>0</v>
      </c>
      <c r="DS196" s="675">
        <f t="shared" si="6943"/>
        <v>0</v>
      </c>
      <c r="DT196" s="549">
        <f t="shared" si="6943"/>
        <v>0</v>
      </c>
      <c r="DU196" s="675">
        <f t="shared" si="6943"/>
        <v>0</v>
      </c>
      <c r="DV196" s="549">
        <f t="shared" ref="DV196:EG196" si="6944">DV527</f>
        <v>0</v>
      </c>
      <c r="DW196" s="675">
        <f t="shared" si="6944"/>
        <v>0</v>
      </c>
      <c r="DX196" s="549">
        <f t="shared" si="6944"/>
        <v>0</v>
      </c>
      <c r="DY196" s="675">
        <f t="shared" si="6944"/>
        <v>0</v>
      </c>
      <c r="DZ196" s="549">
        <f t="shared" si="6944"/>
        <v>0</v>
      </c>
      <c r="EA196" s="675">
        <f t="shared" si="6944"/>
        <v>0</v>
      </c>
      <c r="EB196" s="549">
        <f t="shared" si="6944"/>
        <v>0</v>
      </c>
      <c r="EC196" s="675">
        <f t="shared" si="6944"/>
        <v>0</v>
      </c>
      <c r="ED196" s="549">
        <f t="shared" si="6944"/>
        <v>0</v>
      </c>
      <c r="EE196" s="675">
        <f t="shared" si="6944"/>
        <v>0</v>
      </c>
      <c r="EF196" s="549">
        <f t="shared" si="6944"/>
        <v>0</v>
      </c>
      <c r="EG196" s="675">
        <f t="shared" si="6944"/>
        <v>0</v>
      </c>
      <c r="EH196" s="549">
        <f t="shared" ref="EH196:EM196" si="6945">EH527</f>
        <v>0</v>
      </c>
      <c r="EI196" s="675">
        <f t="shared" si="6945"/>
        <v>0</v>
      </c>
      <c r="EJ196" s="549">
        <f t="shared" si="6945"/>
        <v>0</v>
      </c>
      <c r="EK196" s="675">
        <f t="shared" si="6945"/>
        <v>0</v>
      </c>
      <c r="EL196" s="549">
        <f t="shared" si="6945"/>
        <v>0</v>
      </c>
      <c r="EM196" s="675">
        <f t="shared" si="6945"/>
        <v>0</v>
      </c>
      <c r="EN196" s="549">
        <f t="shared" ref="EN196:EO196" si="6946">EN527</f>
        <v>0</v>
      </c>
      <c r="EO196" s="675">
        <f t="shared" si="6946"/>
        <v>0</v>
      </c>
      <c r="EP196" s="549">
        <f t="shared" ref="EP196:FA196" si="6947">EP527</f>
        <v>0</v>
      </c>
      <c r="EQ196" s="675">
        <f t="shared" si="6947"/>
        <v>0</v>
      </c>
      <c r="ER196" s="549">
        <f t="shared" si="6947"/>
        <v>0</v>
      </c>
      <c r="ES196" s="675">
        <f t="shared" si="6947"/>
        <v>0</v>
      </c>
      <c r="ET196" s="549">
        <f t="shared" si="6947"/>
        <v>0</v>
      </c>
      <c r="EU196" s="675">
        <f t="shared" si="6947"/>
        <v>0</v>
      </c>
      <c r="EV196" s="549">
        <f t="shared" ref="EV196:EW196" si="6948">EV527</f>
        <v>0</v>
      </c>
      <c r="EW196" s="675">
        <f t="shared" si="6948"/>
        <v>0</v>
      </c>
      <c r="EX196" s="549">
        <f t="shared" si="6947"/>
        <v>0</v>
      </c>
      <c r="EY196" s="675">
        <f t="shared" si="6947"/>
        <v>0</v>
      </c>
      <c r="EZ196" s="549">
        <f t="shared" si="6947"/>
        <v>0</v>
      </c>
      <c r="FA196" s="675">
        <f t="shared" si="6947"/>
        <v>0</v>
      </c>
      <c r="FB196" s="549">
        <f t="shared" ref="FB196:GQ197" si="6949">FB527</f>
        <v>0</v>
      </c>
      <c r="FC196" s="675">
        <f t="shared" si="6949"/>
        <v>0</v>
      </c>
      <c r="FD196" s="549">
        <f t="shared" si="6949"/>
        <v>0</v>
      </c>
      <c r="FE196" s="675">
        <f t="shared" si="6949"/>
        <v>0</v>
      </c>
      <c r="FF196" s="549">
        <f t="shared" ref="FF196:FG196" si="6950">FF527</f>
        <v>0</v>
      </c>
      <c r="FG196" s="675">
        <f t="shared" si="6950"/>
        <v>0</v>
      </c>
      <c r="FH196" s="549">
        <f t="shared" ref="FH196:FI196" si="6951">FH527</f>
        <v>0</v>
      </c>
      <c r="FI196" s="675">
        <f t="shared" si="6951"/>
        <v>0</v>
      </c>
      <c r="FJ196" s="549">
        <f t="shared" ref="FJ196:FK196" si="6952">FJ527</f>
        <v>0</v>
      </c>
      <c r="FK196" s="675">
        <f t="shared" si="6952"/>
        <v>0</v>
      </c>
      <c r="FL196" s="549">
        <f t="shared" ref="FL196:FM196" si="6953">FL527</f>
        <v>0</v>
      </c>
      <c r="FM196" s="675">
        <f t="shared" si="6953"/>
        <v>0</v>
      </c>
      <c r="FN196" s="549">
        <f t="shared" ref="FN196:FO196" si="6954">FN527</f>
        <v>0</v>
      </c>
      <c r="FO196" s="675">
        <f t="shared" si="6954"/>
        <v>0</v>
      </c>
      <c r="FP196" s="549">
        <f t="shared" ref="FP196:FQ196" si="6955">FP527</f>
        <v>0</v>
      </c>
      <c r="FQ196" s="675">
        <f t="shared" si="6955"/>
        <v>0</v>
      </c>
      <c r="FR196" s="549">
        <f t="shared" ref="FR196:FS196" si="6956">FR527</f>
        <v>0</v>
      </c>
      <c r="FS196" s="675">
        <f t="shared" si="6956"/>
        <v>0</v>
      </c>
      <c r="FT196" s="549">
        <f t="shared" ref="FT196:FU196" si="6957">FT527</f>
        <v>0</v>
      </c>
      <c r="FU196" s="675">
        <f t="shared" si="6957"/>
        <v>0</v>
      </c>
      <c r="FV196" s="549">
        <f t="shared" ref="FV196:GK196" si="6958">FV527</f>
        <v>0</v>
      </c>
      <c r="FW196" s="675">
        <f t="shared" si="6958"/>
        <v>0</v>
      </c>
      <c r="FX196" s="549">
        <f t="shared" si="6958"/>
        <v>0</v>
      </c>
      <c r="FY196" s="675">
        <f t="shared" si="6958"/>
        <v>0</v>
      </c>
      <c r="FZ196" s="549">
        <f t="shared" ref="FZ196:GI196" si="6959">FZ527</f>
        <v>0</v>
      </c>
      <c r="GA196" s="675">
        <f t="shared" si="6959"/>
        <v>0</v>
      </c>
      <c r="GB196" s="549">
        <f t="shared" si="6959"/>
        <v>0</v>
      </c>
      <c r="GC196" s="675">
        <f t="shared" si="6959"/>
        <v>0</v>
      </c>
      <c r="GD196" s="549">
        <f t="shared" si="6959"/>
        <v>0</v>
      </c>
      <c r="GE196" s="675">
        <f t="shared" si="6959"/>
        <v>0</v>
      </c>
      <c r="GF196" s="549">
        <f t="shared" si="6959"/>
        <v>0</v>
      </c>
      <c r="GG196" s="675">
        <f t="shared" si="6959"/>
        <v>0</v>
      </c>
      <c r="GH196" s="549">
        <f t="shared" si="6959"/>
        <v>0</v>
      </c>
      <c r="GI196" s="675">
        <f t="shared" si="6959"/>
        <v>0</v>
      </c>
      <c r="GJ196" s="549">
        <f t="shared" si="6958"/>
        <v>0</v>
      </c>
      <c r="GK196" s="675">
        <f t="shared" si="6958"/>
        <v>0</v>
      </c>
      <c r="GL196" s="549">
        <f t="shared" ref="GL196:GM196" si="6960">GL527</f>
        <v>0</v>
      </c>
      <c r="GM196" s="675">
        <f t="shared" si="6960"/>
        <v>0</v>
      </c>
      <c r="GN196" s="549">
        <f t="shared" ref="GN196:GO196" si="6961">GN527</f>
        <v>0</v>
      </c>
      <c r="GO196" s="675">
        <f t="shared" si="6961"/>
        <v>0</v>
      </c>
      <c r="GP196" s="74">
        <f t="shared" si="6949"/>
        <v>0</v>
      </c>
      <c r="GQ196" s="675">
        <f t="shared" si="6949"/>
        <v>0</v>
      </c>
      <c r="GR196" s="74">
        <f t="shared" ref="GR196:HA196" si="6962">GR527</f>
        <v>0</v>
      </c>
      <c r="GS196" s="74">
        <f t="shared" si="6962"/>
        <v>0</v>
      </c>
      <c r="GT196" s="549">
        <f t="shared" si="6962"/>
        <v>0</v>
      </c>
      <c r="GU196" s="74">
        <f t="shared" si="6962"/>
        <v>0</v>
      </c>
      <c r="GV196" s="74">
        <f t="shared" si="6962"/>
        <v>0</v>
      </c>
      <c r="GW196" s="549">
        <f t="shared" si="6962"/>
        <v>0</v>
      </c>
      <c r="GX196" s="549">
        <f t="shared" si="6962"/>
        <v>0</v>
      </c>
      <c r="GY196" s="74">
        <f t="shared" si="6962"/>
        <v>0</v>
      </c>
      <c r="GZ196" s="74">
        <f t="shared" si="6962"/>
        <v>0</v>
      </c>
      <c r="HA196" s="74">
        <f t="shared" si="6962"/>
        <v>0</v>
      </c>
      <c r="HB196" s="74">
        <f t="shared" ref="HB196:IC196" si="6963">HB527</f>
        <v>0</v>
      </c>
      <c r="HC196" s="74">
        <f t="shared" si="6963"/>
        <v>0</v>
      </c>
      <c r="HD196" s="74">
        <f t="shared" si="6963"/>
        <v>0</v>
      </c>
      <c r="HE196" s="74">
        <f t="shared" si="6963"/>
        <v>0</v>
      </c>
      <c r="HF196" s="74">
        <f t="shared" si="6963"/>
        <v>0</v>
      </c>
      <c r="HG196" s="74">
        <f t="shared" si="6963"/>
        <v>0</v>
      </c>
      <c r="HH196" s="74">
        <f t="shared" ref="HH196:HU196" si="6964">HH527</f>
        <v>0</v>
      </c>
      <c r="HI196" s="74">
        <f t="shared" si="6964"/>
        <v>0</v>
      </c>
      <c r="HJ196" s="74">
        <f t="shared" si="6964"/>
        <v>0</v>
      </c>
      <c r="HK196" s="74">
        <f t="shared" si="6964"/>
        <v>0</v>
      </c>
      <c r="HL196" s="74">
        <f t="shared" si="6964"/>
        <v>0</v>
      </c>
      <c r="HM196" s="74">
        <f t="shared" si="6964"/>
        <v>0</v>
      </c>
      <c r="HN196" s="74">
        <f t="shared" si="6964"/>
        <v>0</v>
      </c>
      <c r="HO196" s="74">
        <f t="shared" si="6964"/>
        <v>0</v>
      </c>
      <c r="HP196" s="74">
        <f t="shared" si="6964"/>
        <v>0</v>
      </c>
      <c r="HQ196" s="74">
        <f t="shared" si="6964"/>
        <v>0</v>
      </c>
      <c r="HR196" s="74">
        <f t="shared" si="6964"/>
        <v>0</v>
      </c>
      <c r="HS196" s="74">
        <f t="shared" si="6964"/>
        <v>0</v>
      </c>
      <c r="HT196" s="74">
        <f t="shared" si="6964"/>
        <v>0</v>
      </c>
      <c r="HU196" s="74">
        <f t="shared" si="6964"/>
        <v>0</v>
      </c>
      <c r="HV196" s="74">
        <f t="shared" si="6963"/>
        <v>0</v>
      </c>
      <c r="HW196" s="74">
        <f t="shared" si="6963"/>
        <v>0</v>
      </c>
      <c r="HX196" s="74">
        <f t="shared" si="6963"/>
        <v>0</v>
      </c>
      <c r="HY196" s="74">
        <f t="shared" si="6963"/>
        <v>0</v>
      </c>
      <c r="HZ196" s="74">
        <f t="shared" si="6963"/>
        <v>0</v>
      </c>
      <c r="IA196" s="74">
        <f t="shared" si="6963"/>
        <v>0</v>
      </c>
      <c r="IB196" s="74">
        <f t="shared" si="6963"/>
        <v>0</v>
      </c>
      <c r="IC196" s="74">
        <f t="shared" si="6963"/>
        <v>0</v>
      </c>
      <c r="ID196" s="74">
        <f t="shared" ref="ID196:JA196" si="6965">ID527</f>
        <v>0</v>
      </c>
      <c r="IE196" s="792">
        <f t="shared" si="6965"/>
        <v>0</v>
      </c>
      <c r="IF196" s="841">
        <f t="shared" si="6965"/>
        <v>0</v>
      </c>
      <c r="IG196" s="263">
        <f t="shared" si="6965"/>
        <v>0</v>
      </c>
      <c r="IH196" s="842">
        <f t="shared" si="6965"/>
        <v>0</v>
      </c>
      <c r="II196" s="155">
        <f t="shared" si="6965"/>
        <v>0</v>
      </c>
      <c r="IJ196" s="74">
        <f t="shared" si="6965"/>
        <v>0</v>
      </c>
      <c r="IK196" s="74">
        <f t="shared" si="6965"/>
        <v>0</v>
      </c>
      <c r="IL196" s="74">
        <f t="shared" si="6965"/>
        <v>0</v>
      </c>
      <c r="IM196" s="74">
        <f t="shared" si="6965"/>
        <v>0</v>
      </c>
      <c r="IN196" s="74">
        <f t="shared" si="6965"/>
        <v>0</v>
      </c>
      <c r="IO196" s="74">
        <f t="shared" si="6965"/>
        <v>0</v>
      </c>
      <c r="IP196" s="74">
        <f t="shared" si="6965"/>
        <v>0</v>
      </c>
      <c r="IQ196" s="74">
        <f t="shared" si="6965"/>
        <v>0</v>
      </c>
      <c r="IR196" s="74">
        <f t="shared" si="6965"/>
        <v>0</v>
      </c>
      <c r="IS196" s="74">
        <f t="shared" si="6965"/>
        <v>0</v>
      </c>
      <c r="IT196" s="74">
        <f t="shared" si="6965"/>
        <v>0</v>
      </c>
      <c r="IU196" s="74">
        <f t="shared" si="6965"/>
        <v>0</v>
      </c>
      <c r="IV196" s="74">
        <f t="shared" si="6965"/>
        <v>0</v>
      </c>
      <c r="IW196" s="74">
        <f t="shared" si="6965"/>
        <v>0</v>
      </c>
      <c r="IX196" s="74">
        <f t="shared" si="6965"/>
        <v>0</v>
      </c>
      <c r="IY196" s="74">
        <f t="shared" si="6965"/>
        <v>0</v>
      </c>
      <c r="IZ196" s="74">
        <f t="shared" si="6965"/>
        <v>0</v>
      </c>
      <c r="JA196" s="74">
        <f t="shared" si="6965"/>
        <v>0</v>
      </c>
      <c r="JB196" s="74">
        <f t="shared" ref="JB196:JT196" si="6966">JB527</f>
        <v>0</v>
      </c>
      <c r="JC196" s="74">
        <f t="shared" si="6966"/>
        <v>0</v>
      </c>
      <c r="JD196" s="74">
        <f t="shared" si="6966"/>
        <v>0</v>
      </c>
      <c r="JE196" s="74">
        <f t="shared" si="6966"/>
        <v>0</v>
      </c>
      <c r="JF196" s="74">
        <f t="shared" si="6966"/>
        <v>0</v>
      </c>
      <c r="JG196" s="74">
        <f t="shared" si="6966"/>
        <v>0</v>
      </c>
      <c r="JH196" s="74">
        <f t="shared" si="6966"/>
        <v>0</v>
      </c>
      <c r="JI196" s="74">
        <f t="shared" si="6966"/>
        <v>0</v>
      </c>
      <c r="JJ196" s="74">
        <f t="shared" si="6966"/>
        <v>0</v>
      </c>
      <c r="JK196" s="74">
        <f t="shared" si="6966"/>
        <v>0</v>
      </c>
      <c r="JL196" s="74">
        <f t="shared" si="6966"/>
        <v>0</v>
      </c>
      <c r="JM196" s="74">
        <f t="shared" si="6966"/>
        <v>0</v>
      </c>
      <c r="JN196" s="74">
        <f t="shared" si="6966"/>
        <v>0</v>
      </c>
      <c r="JO196" s="74">
        <f t="shared" si="6966"/>
        <v>0</v>
      </c>
      <c r="JP196" s="74">
        <f t="shared" si="6966"/>
        <v>0</v>
      </c>
      <c r="JQ196" s="74">
        <f t="shared" si="6966"/>
        <v>0</v>
      </c>
      <c r="JR196" s="74">
        <f t="shared" si="6966"/>
        <v>0</v>
      </c>
      <c r="JS196" s="74">
        <f t="shared" si="6966"/>
        <v>0</v>
      </c>
      <c r="JT196" s="102">
        <f t="shared" si="6966"/>
        <v>0</v>
      </c>
      <c r="JU196" s="671"/>
      <c r="JV196" s="492"/>
      <c r="JW196" s="490"/>
      <c r="JX196" s="549">
        <f t="shared" ref="JX196:KB197" si="6967">JX527</f>
        <v>0</v>
      </c>
      <c r="JY196" s="549">
        <f t="shared" si="6967"/>
        <v>0</v>
      </c>
      <c r="JZ196" s="581">
        <f t="shared" si="4944"/>
        <v>0</v>
      </c>
      <c r="KA196" s="581">
        <f t="shared" si="4945"/>
        <v>0</v>
      </c>
      <c r="KB196" s="549">
        <f t="shared" si="6967"/>
        <v>0</v>
      </c>
      <c r="KC196" s="709">
        <f t="shared" si="4908"/>
        <v>0</v>
      </c>
      <c r="KD196" s="36"/>
      <c r="KE196" s="36"/>
      <c r="KF196" s="36"/>
      <c r="KG196" s="36"/>
      <c r="KH196" s="36"/>
      <c r="KI196" s="36"/>
      <c r="KJ196" s="36"/>
      <c r="KK196" s="36"/>
    </row>
    <row r="197" spans="1:297" s="8" customFormat="1" ht="12.75" hidden="1" customHeight="1">
      <c r="A197" s="262" t="s">
        <v>803</v>
      </c>
      <c r="B197" s="72"/>
      <c r="C197" s="74">
        <v>0</v>
      </c>
      <c r="D197" s="549">
        <f t="shared" ref="D197:E197" si="6968">D528</f>
        <v>0</v>
      </c>
      <c r="E197" s="675">
        <f t="shared" si="6968"/>
        <v>0</v>
      </c>
      <c r="F197" s="549">
        <f t="shared" ref="F197:G197" si="6969">F528</f>
        <v>0</v>
      </c>
      <c r="G197" s="675">
        <f t="shared" si="6969"/>
        <v>0</v>
      </c>
      <c r="H197" s="549">
        <f t="shared" ref="H197:M197" si="6970">H528</f>
        <v>0</v>
      </c>
      <c r="I197" s="675">
        <f t="shared" si="6970"/>
        <v>0</v>
      </c>
      <c r="J197" s="549">
        <f t="shared" si="6970"/>
        <v>0</v>
      </c>
      <c r="K197" s="675">
        <f t="shared" si="6970"/>
        <v>0</v>
      </c>
      <c r="L197" s="549">
        <f t="shared" si="6970"/>
        <v>0</v>
      </c>
      <c r="M197" s="675">
        <f t="shared" si="6970"/>
        <v>0</v>
      </c>
      <c r="N197" s="549">
        <f t="shared" si="6917"/>
        <v>0</v>
      </c>
      <c r="O197" s="675">
        <f t="shared" si="6917"/>
        <v>0</v>
      </c>
      <c r="P197" s="549">
        <f t="shared" si="6917"/>
        <v>0</v>
      </c>
      <c r="Q197" s="675">
        <f t="shared" si="6917"/>
        <v>0</v>
      </c>
      <c r="R197" s="549">
        <f t="shared" si="6918"/>
        <v>0</v>
      </c>
      <c r="S197" s="675">
        <f t="shared" si="6918"/>
        <v>0</v>
      </c>
      <c r="T197" s="549">
        <f t="shared" si="6918"/>
        <v>0</v>
      </c>
      <c r="U197" s="675">
        <f t="shared" si="6918"/>
        <v>0</v>
      </c>
      <c r="V197" s="549">
        <f t="shared" si="6918"/>
        <v>0</v>
      </c>
      <c r="W197" s="675">
        <f t="shared" si="6918"/>
        <v>0</v>
      </c>
      <c r="X197" s="549">
        <f t="shared" si="6918"/>
        <v>0</v>
      </c>
      <c r="Y197" s="675">
        <f t="shared" si="6918"/>
        <v>0</v>
      </c>
      <c r="Z197" s="549">
        <f t="shared" si="6919"/>
        <v>0</v>
      </c>
      <c r="AA197" s="675">
        <f t="shared" si="6919"/>
        <v>0</v>
      </c>
      <c r="AB197" s="549">
        <f t="shared" si="6919"/>
        <v>0</v>
      </c>
      <c r="AC197" s="675">
        <f t="shared" si="6919"/>
        <v>0</v>
      </c>
      <c r="AD197" s="549">
        <f t="shared" ref="AD197:AK197" si="6971">AD528</f>
        <v>0</v>
      </c>
      <c r="AE197" s="675">
        <f t="shared" si="6971"/>
        <v>0</v>
      </c>
      <c r="AF197" s="549">
        <f t="shared" si="6971"/>
        <v>0</v>
      </c>
      <c r="AG197" s="675">
        <f t="shared" si="6971"/>
        <v>0</v>
      </c>
      <c r="AH197" s="549">
        <f t="shared" si="6971"/>
        <v>0</v>
      </c>
      <c r="AI197" s="675">
        <f t="shared" si="6971"/>
        <v>0</v>
      </c>
      <c r="AJ197" s="549">
        <f t="shared" si="6971"/>
        <v>0</v>
      </c>
      <c r="AK197" s="675">
        <f t="shared" si="6971"/>
        <v>0</v>
      </c>
      <c r="AL197" s="549">
        <f t="shared" si="6921"/>
        <v>0</v>
      </c>
      <c r="AM197" s="675">
        <f t="shared" si="6921"/>
        <v>0</v>
      </c>
      <c r="AN197" s="549">
        <f t="shared" si="6921"/>
        <v>0</v>
      </c>
      <c r="AO197" s="675">
        <f t="shared" si="6921"/>
        <v>0</v>
      </c>
      <c r="AP197" s="549">
        <f t="shared" ref="AP197:AQ197" si="6972">AP528</f>
        <v>0</v>
      </c>
      <c r="AQ197" s="675">
        <f t="shared" si="6972"/>
        <v>0</v>
      </c>
      <c r="AR197" s="549">
        <f t="shared" si="6923"/>
        <v>0</v>
      </c>
      <c r="AS197" s="675">
        <f t="shared" si="6923"/>
        <v>0</v>
      </c>
      <c r="AT197" s="549">
        <f t="shared" ref="AT197:AU197" si="6973">AT528</f>
        <v>0</v>
      </c>
      <c r="AU197" s="675">
        <f t="shared" si="6973"/>
        <v>0</v>
      </c>
      <c r="AV197" s="549">
        <f t="shared" ref="AV197:AW197" si="6974">AV528</f>
        <v>0</v>
      </c>
      <c r="AW197" s="675">
        <f t="shared" si="6974"/>
        <v>0</v>
      </c>
      <c r="AX197" s="549">
        <f t="shared" ref="AX197:AY197" si="6975">AX528</f>
        <v>0</v>
      </c>
      <c r="AY197" s="675">
        <f t="shared" si="6975"/>
        <v>0</v>
      </c>
      <c r="AZ197" s="549">
        <f t="shared" ref="AZ197:BA197" si="6976">AZ528</f>
        <v>0</v>
      </c>
      <c r="BA197" s="675">
        <f t="shared" si="6976"/>
        <v>0</v>
      </c>
      <c r="BB197" s="549">
        <f t="shared" ref="BB197:BC197" si="6977">BB528</f>
        <v>0</v>
      </c>
      <c r="BC197" s="675">
        <f t="shared" si="6977"/>
        <v>0</v>
      </c>
      <c r="BD197" s="549">
        <f t="shared" ref="BD197:BE197" si="6978">BD528</f>
        <v>0</v>
      </c>
      <c r="BE197" s="675">
        <f t="shared" si="6978"/>
        <v>0</v>
      </c>
      <c r="BF197" s="549">
        <f t="shared" ref="BF197:BG197" si="6979">BF528</f>
        <v>0</v>
      </c>
      <c r="BG197" s="675">
        <f t="shared" si="6979"/>
        <v>0</v>
      </c>
      <c r="BH197" s="549">
        <f t="shared" ref="BH197:BI197" si="6980">BH528</f>
        <v>0</v>
      </c>
      <c r="BI197" s="675">
        <f t="shared" si="6980"/>
        <v>0</v>
      </c>
      <c r="BJ197" s="549">
        <f t="shared" ref="BJ197:BK197" si="6981">BJ528</f>
        <v>0</v>
      </c>
      <c r="BK197" s="675">
        <f t="shared" si="6981"/>
        <v>0</v>
      </c>
      <c r="BL197" s="549">
        <f t="shared" ref="BL197:BS197" si="6982">BL528</f>
        <v>0</v>
      </c>
      <c r="BM197" s="675">
        <f t="shared" si="6982"/>
        <v>0</v>
      </c>
      <c r="BN197" s="549">
        <f t="shared" si="6982"/>
        <v>0</v>
      </c>
      <c r="BO197" s="675">
        <f t="shared" si="6982"/>
        <v>0</v>
      </c>
      <c r="BP197" s="549">
        <f t="shared" si="6982"/>
        <v>0</v>
      </c>
      <c r="BQ197" s="675">
        <f t="shared" si="6982"/>
        <v>0</v>
      </c>
      <c r="BR197" s="549">
        <f t="shared" si="6982"/>
        <v>0</v>
      </c>
      <c r="BS197" s="675">
        <f t="shared" si="6982"/>
        <v>0</v>
      </c>
      <c r="BT197" s="549">
        <f t="shared" si="6934"/>
        <v>0</v>
      </c>
      <c r="BU197" s="675">
        <f t="shared" si="6934"/>
        <v>0</v>
      </c>
      <c r="BV197" s="549">
        <f t="shared" si="6934"/>
        <v>0</v>
      </c>
      <c r="BW197" s="675">
        <f t="shared" si="6934"/>
        <v>0</v>
      </c>
      <c r="BX197" s="549">
        <f t="shared" ref="BX197:BY197" si="6983">BX528</f>
        <v>0</v>
      </c>
      <c r="BY197" s="675">
        <f t="shared" si="6983"/>
        <v>0</v>
      </c>
      <c r="BZ197" s="549">
        <f t="shared" ref="BZ197:CA197" si="6984">BZ528</f>
        <v>0</v>
      </c>
      <c r="CA197" s="675">
        <f t="shared" si="6984"/>
        <v>0</v>
      </c>
      <c r="CB197" s="549">
        <f t="shared" ref="CB197:CE197" si="6985">CB528</f>
        <v>0</v>
      </c>
      <c r="CC197" s="675">
        <f t="shared" si="6985"/>
        <v>0</v>
      </c>
      <c r="CD197" s="549">
        <f t="shared" si="6985"/>
        <v>0</v>
      </c>
      <c r="CE197" s="675">
        <f t="shared" si="6985"/>
        <v>0</v>
      </c>
      <c r="CF197" s="549">
        <f t="shared" ref="CF197:CQ197" si="6986">CF528</f>
        <v>0</v>
      </c>
      <c r="CG197" s="675">
        <f t="shared" si="6986"/>
        <v>0</v>
      </c>
      <c r="CH197" s="549">
        <f t="shared" si="6986"/>
        <v>0</v>
      </c>
      <c r="CI197" s="675">
        <f t="shared" si="6986"/>
        <v>0</v>
      </c>
      <c r="CJ197" s="549">
        <f t="shared" si="6986"/>
        <v>0</v>
      </c>
      <c r="CK197" s="675">
        <f t="shared" si="6986"/>
        <v>0</v>
      </c>
      <c r="CL197" s="549">
        <f t="shared" si="6986"/>
        <v>0</v>
      </c>
      <c r="CM197" s="675">
        <f t="shared" si="6986"/>
        <v>0</v>
      </c>
      <c r="CN197" s="549">
        <f t="shared" si="6986"/>
        <v>0</v>
      </c>
      <c r="CO197" s="675">
        <f t="shared" si="6986"/>
        <v>0</v>
      </c>
      <c r="CP197" s="549">
        <f t="shared" si="6986"/>
        <v>0</v>
      </c>
      <c r="CQ197" s="675">
        <f t="shared" si="6986"/>
        <v>0</v>
      </c>
      <c r="CR197" s="549">
        <f t="shared" si="6939"/>
        <v>0</v>
      </c>
      <c r="CS197" s="675">
        <f t="shared" si="6939"/>
        <v>0</v>
      </c>
      <c r="CT197" s="549">
        <f t="shared" si="6939"/>
        <v>0</v>
      </c>
      <c r="CU197" s="675">
        <f t="shared" si="6939"/>
        <v>0</v>
      </c>
      <c r="CV197" s="549">
        <f t="shared" si="6939"/>
        <v>0</v>
      </c>
      <c r="CW197" s="675">
        <f t="shared" si="6939"/>
        <v>0</v>
      </c>
      <c r="CX197" s="549">
        <f t="shared" si="6939"/>
        <v>0</v>
      </c>
      <c r="CY197" s="675">
        <f t="shared" si="6939"/>
        <v>0</v>
      </c>
      <c r="CZ197" s="549">
        <f t="shared" si="6940"/>
        <v>0</v>
      </c>
      <c r="DA197" s="675">
        <f t="shared" si="6940"/>
        <v>0</v>
      </c>
      <c r="DB197" s="549">
        <f t="shared" si="6940"/>
        <v>0</v>
      </c>
      <c r="DC197" s="675">
        <f t="shared" si="6940"/>
        <v>0</v>
      </c>
      <c r="DD197" s="549">
        <f t="shared" ref="DD197:DE197" si="6987">DD528</f>
        <v>0</v>
      </c>
      <c r="DE197" s="675">
        <f t="shared" si="6987"/>
        <v>0</v>
      </c>
      <c r="DF197" s="549">
        <f t="shared" si="6940"/>
        <v>0</v>
      </c>
      <c r="DG197" s="675">
        <f t="shared" si="6940"/>
        <v>0</v>
      </c>
      <c r="DH197" s="549">
        <f t="shared" si="6942"/>
        <v>0</v>
      </c>
      <c r="DI197" s="675">
        <f t="shared" si="6942"/>
        <v>0</v>
      </c>
      <c r="DJ197" s="549">
        <f t="shared" si="6942"/>
        <v>0</v>
      </c>
      <c r="DK197" s="675">
        <f t="shared" si="6942"/>
        <v>0</v>
      </c>
      <c r="DL197" s="549">
        <f t="shared" si="6942"/>
        <v>0</v>
      </c>
      <c r="DM197" s="675">
        <f t="shared" si="6942"/>
        <v>0</v>
      </c>
      <c r="DN197" s="549">
        <f t="shared" si="6942"/>
        <v>0</v>
      </c>
      <c r="DO197" s="675">
        <f t="shared" si="6942"/>
        <v>0</v>
      </c>
      <c r="DP197" s="549">
        <f t="shared" ref="DP197:DU197" si="6988">DP528</f>
        <v>0</v>
      </c>
      <c r="DQ197" s="675">
        <f t="shared" si="6988"/>
        <v>0</v>
      </c>
      <c r="DR197" s="549">
        <f t="shared" si="6988"/>
        <v>0</v>
      </c>
      <c r="DS197" s="675">
        <f t="shared" si="6988"/>
        <v>0</v>
      </c>
      <c r="DT197" s="549">
        <f t="shared" si="6988"/>
        <v>0</v>
      </c>
      <c r="DU197" s="675">
        <f t="shared" si="6988"/>
        <v>0</v>
      </c>
      <c r="DV197" s="549">
        <f t="shared" ref="DV197:EA197" si="6989">DV528</f>
        <v>0</v>
      </c>
      <c r="DW197" s="675">
        <f t="shared" si="6989"/>
        <v>0</v>
      </c>
      <c r="DX197" s="549">
        <f t="shared" si="6989"/>
        <v>0</v>
      </c>
      <c r="DY197" s="675">
        <f t="shared" si="6989"/>
        <v>0</v>
      </c>
      <c r="DZ197" s="549">
        <f t="shared" si="6989"/>
        <v>0</v>
      </c>
      <c r="EA197" s="675">
        <f t="shared" si="6989"/>
        <v>0</v>
      </c>
      <c r="EB197" s="549">
        <f t="shared" ref="EB197:EM197" si="6990">EB528</f>
        <v>0</v>
      </c>
      <c r="EC197" s="675">
        <f t="shared" si="6990"/>
        <v>0</v>
      </c>
      <c r="ED197" s="549">
        <f t="shared" si="6990"/>
        <v>0</v>
      </c>
      <c r="EE197" s="675">
        <f t="shared" si="6990"/>
        <v>0</v>
      </c>
      <c r="EF197" s="549">
        <f t="shared" si="6990"/>
        <v>0</v>
      </c>
      <c r="EG197" s="675">
        <f t="shared" si="6990"/>
        <v>0</v>
      </c>
      <c r="EH197" s="549">
        <f t="shared" si="6990"/>
        <v>0</v>
      </c>
      <c r="EI197" s="675">
        <f t="shared" si="6990"/>
        <v>0</v>
      </c>
      <c r="EJ197" s="549">
        <f t="shared" si="6990"/>
        <v>0</v>
      </c>
      <c r="EK197" s="675">
        <f t="shared" si="6990"/>
        <v>0</v>
      </c>
      <c r="EL197" s="549">
        <f t="shared" si="6990"/>
        <v>0</v>
      </c>
      <c r="EM197" s="675">
        <f t="shared" si="6990"/>
        <v>0</v>
      </c>
      <c r="EN197" s="549">
        <f t="shared" ref="EN197:EO197" si="6991">EN528</f>
        <v>0</v>
      </c>
      <c r="EO197" s="675">
        <f t="shared" si="6991"/>
        <v>0</v>
      </c>
      <c r="EP197" s="549">
        <f t="shared" ref="EP197:EU197" si="6992">EP528</f>
        <v>0</v>
      </c>
      <c r="EQ197" s="675">
        <f t="shared" si="6992"/>
        <v>0</v>
      </c>
      <c r="ER197" s="549">
        <f t="shared" si="6992"/>
        <v>0</v>
      </c>
      <c r="ES197" s="675">
        <f t="shared" si="6992"/>
        <v>0</v>
      </c>
      <c r="ET197" s="549">
        <f t="shared" si="6992"/>
        <v>0</v>
      </c>
      <c r="EU197" s="675">
        <f t="shared" si="6992"/>
        <v>0</v>
      </c>
      <c r="EV197" s="549">
        <f t="shared" ref="EV197:EW197" si="6993">EV528</f>
        <v>0</v>
      </c>
      <c r="EW197" s="675">
        <f t="shared" si="6993"/>
        <v>0</v>
      </c>
      <c r="EX197" s="549">
        <f t="shared" ref="EX197:EY197" si="6994">EX528</f>
        <v>0</v>
      </c>
      <c r="EY197" s="675">
        <f t="shared" si="6994"/>
        <v>0</v>
      </c>
      <c r="EZ197" s="549">
        <f t="shared" ref="EZ197:FA197" si="6995">EZ528</f>
        <v>0</v>
      </c>
      <c r="FA197" s="675">
        <f t="shared" si="6995"/>
        <v>0</v>
      </c>
      <c r="FB197" s="549">
        <f t="shared" si="6949"/>
        <v>0</v>
      </c>
      <c r="FC197" s="675">
        <f t="shared" si="6949"/>
        <v>0</v>
      </c>
      <c r="FD197" s="549">
        <f t="shared" si="6949"/>
        <v>0</v>
      </c>
      <c r="FE197" s="675">
        <f t="shared" si="6949"/>
        <v>0</v>
      </c>
      <c r="FF197" s="549">
        <f t="shared" ref="FF197:FG197" si="6996">FF528</f>
        <v>0</v>
      </c>
      <c r="FG197" s="675">
        <f t="shared" si="6996"/>
        <v>0</v>
      </c>
      <c r="FH197" s="549">
        <f t="shared" ref="FH197:FI197" si="6997">FH528</f>
        <v>0</v>
      </c>
      <c r="FI197" s="675">
        <f t="shared" si="6997"/>
        <v>0</v>
      </c>
      <c r="FJ197" s="549">
        <f t="shared" ref="FJ197:FK197" si="6998">FJ528</f>
        <v>0</v>
      </c>
      <c r="FK197" s="675">
        <f t="shared" si="6998"/>
        <v>0</v>
      </c>
      <c r="FL197" s="549">
        <f t="shared" ref="FL197:FM197" si="6999">FL528</f>
        <v>0</v>
      </c>
      <c r="FM197" s="675">
        <f t="shared" si="6999"/>
        <v>0</v>
      </c>
      <c r="FN197" s="549">
        <f t="shared" ref="FN197:FO197" si="7000">FN528</f>
        <v>0</v>
      </c>
      <c r="FO197" s="675">
        <f t="shared" si="7000"/>
        <v>0</v>
      </c>
      <c r="FP197" s="549">
        <f t="shared" ref="FP197:FQ197" si="7001">FP528</f>
        <v>0</v>
      </c>
      <c r="FQ197" s="675">
        <f t="shared" si="7001"/>
        <v>0</v>
      </c>
      <c r="FR197" s="549">
        <f t="shared" ref="FR197:FS197" si="7002">FR528</f>
        <v>0</v>
      </c>
      <c r="FS197" s="675">
        <f t="shared" si="7002"/>
        <v>0</v>
      </c>
      <c r="FT197" s="549">
        <f t="shared" ref="FT197:FU197" si="7003">FT528</f>
        <v>0</v>
      </c>
      <c r="FU197" s="675">
        <f t="shared" si="7003"/>
        <v>0</v>
      </c>
      <c r="FV197" s="549">
        <f t="shared" ref="FV197:GK197" si="7004">FV528</f>
        <v>0</v>
      </c>
      <c r="FW197" s="675">
        <f t="shared" si="7004"/>
        <v>0</v>
      </c>
      <c r="FX197" s="549">
        <f t="shared" si="7004"/>
        <v>0</v>
      </c>
      <c r="FY197" s="675">
        <f t="shared" si="7004"/>
        <v>0</v>
      </c>
      <c r="FZ197" s="549">
        <f t="shared" ref="FZ197:GI197" si="7005">FZ528</f>
        <v>0</v>
      </c>
      <c r="GA197" s="675">
        <f t="shared" si="7005"/>
        <v>0</v>
      </c>
      <c r="GB197" s="549">
        <f t="shared" si="7005"/>
        <v>0</v>
      </c>
      <c r="GC197" s="675">
        <f t="shared" si="7005"/>
        <v>0</v>
      </c>
      <c r="GD197" s="549">
        <f t="shared" si="7005"/>
        <v>0</v>
      </c>
      <c r="GE197" s="675">
        <f t="shared" si="7005"/>
        <v>0</v>
      </c>
      <c r="GF197" s="549">
        <f t="shared" si="7005"/>
        <v>0</v>
      </c>
      <c r="GG197" s="675">
        <f t="shared" si="7005"/>
        <v>0</v>
      </c>
      <c r="GH197" s="549">
        <f t="shared" si="7005"/>
        <v>0</v>
      </c>
      <c r="GI197" s="675">
        <f t="shared" si="7005"/>
        <v>0</v>
      </c>
      <c r="GJ197" s="549">
        <f t="shared" si="7004"/>
        <v>0</v>
      </c>
      <c r="GK197" s="675">
        <f t="shared" si="7004"/>
        <v>0</v>
      </c>
      <c r="GL197" s="549">
        <f t="shared" ref="GL197:GM197" si="7006">GL528</f>
        <v>0</v>
      </c>
      <c r="GM197" s="675">
        <f t="shared" si="7006"/>
        <v>0</v>
      </c>
      <c r="GN197" s="549">
        <f t="shared" ref="GN197:GO197" si="7007">GN528</f>
        <v>0</v>
      </c>
      <c r="GO197" s="675">
        <f t="shared" si="7007"/>
        <v>0</v>
      </c>
      <c r="GP197" s="74">
        <f t="shared" si="6949"/>
        <v>0</v>
      </c>
      <c r="GQ197" s="675">
        <f t="shared" si="6949"/>
        <v>0</v>
      </c>
      <c r="GR197" s="74">
        <f t="shared" ref="GR197:JB197" si="7008">GR528</f>
        <v>0</v>
      </c>
      <c r="GS197" s="74">
        <f t="shared" si="7008"/>
        <v>0</v>
      </c>
      <c r="GT197" s="549">
        <f t="shared" si="7008"/>
        <v>0</v>
      </c>
      <c r="GU197" s="74">
        <f t="shared" si="7008"/>
        <v>0</v>
      </c>
      <c r="GV197" s="74">
        <f t="shared" si="7008"/>
        <v>0</v>
      </c>
      <c r="GW197" s="549">
        <f t="shared" si="7008"/>
        <v>0</v>
      </c>
      <c r="GX197" s="549">
        <f t="shared" si="7008"/>
        <v>0</v>
      </c>
      <c r="GY197" s="74">
        <f t="shared" si="7008"/>
        <v>0</v>
      </c>
      <c r="GZ197" s="74">
        <f t="shared" si="7008"/>
        <v>0</v>
      </c>
      <c r="HA197" s="74">
        <f t="shared" si="7008"/>
        <v>0</v>
      </c>
      <c r="HB197" s="74">
        <f t="shared" si="7008"/>
        <v>0</v>
      </c>
      <c r="HC197" s="74">
        <f t="shared" si="7008"/>
        <v>0</v>
      </c>
      <c r="HD197" s="74">
        <f t="shared" si="7008"/>
        <v>0</v>
      </c>
      <c r="HE197" s="74">
        <f t="shared" si="7008"/>
        <v>0</v>
      </c>
      <c r="HF197" s="74">
        <f t="shared" si="7008"/>
        <v>0</v>
      </c>
      <c r="HG197" s="74">
        <f t="shared" si="7008"/>
        <v>0</v>
      </c>
      <c r="HH197" s="74">
        <f t="shared" ref="HH197:HU197" si="7009">HH528</f>
        <v>0</v>
      </c>
      <c r="HI197" s="74">
        <f t="shared" si="7009"/>
        <v>0</v>
      </c>
      <c r="HJ197" s="74">
        <f t="shared" si="7009"/>
        <v>0</v>
      </c>
      <c r="HK197" s="74">
        <f t="shared" si="7009"/>
        <v>0</v>
      </c>
      <c r="HL197" s="74">
        <f t="shared" si="7009"/>
        <v>0</v>
      </c>
      <c r="HM197" s="74">
        <f t="shared" si="7009"/>
        <v>0</v>
      </c>
      <c r="HN197" s="74">
        <f t="shared" si="7009"/>
        <v>0</v>
      </c>
      <c r="HO197" s="74">
        <f t="shared" si="7009"/>
        <v>0</v>
      </c>
      <c r="HP197" s="74">
        <f t="shared" si="7009"/>
        <v>0</v>
      </c>
      <c r="HQ197" s="74">
        <f t="shared" si="7009"/>
        <v>0</v>
      </c>
      <c r="HR197" s="74">
        <f t="shared" si="7009"/>
        <v>0</v>
      </c>
      <c r="HS197" s="74">
        <f t="shared" si="7009"/>
        <v>0</v>
      </c>
      <c r="HT197" s="74">
        <f t="shared" si="7009"/>
        <v>0</v>
      </c>
      <c r="HU197" s="74">
        <f t="shared" si="7009"/>
        <v>0</v>
      </c>
      <c r="HV197" s="74">
        <f t="shared" si="7008"/>
        <v>0</v>
      </c>
      <c r="HW197" s="74">
        <f t="shared" si="7008"/>
        <v>0</v>
      </c>
      <c r="HX197" s="74">
        <f t="shared" si="7008"/>
        <v>0</v>
      </c>
      <c r="HY197" s="74">
        <f t="shared" si="7008"/>
        <v>0</v>
      </c>
      <c r="HZ197" s="74">
        <f t="shared" si="7008"/>
        <v>0</v>
      </c>
      <c r="IA197" s="74">
        <f t="shared" si="7008"/>
        <v>0</v>
      </c>
      <c r="IB197" s="74">
        <f t="shared" si="7008"/>
        <v>0</v>
      </c>
      <c r="IC197" s="74">
        <f t="shared" si="7008"/>
        <v>0</v>
      </c>
      <c r="ID197" s="74">
        <f t="shared" si="7008"/>
        <v>0</v>
      </c>
      <c r="IE197" s="792">
        <f t="shared" si="7008"/>
        <v>0</v>
      </c>
      <c r="IF197" s="841">
        <f t="shared" si="7008"/>
        <v>0</v>
      </c>
      <c r="IG197" s="263">
        <f t="shared" si="7008"/>
        <v>0</v>
      </c>
      <c r="IH197" s="842">
        <f t="shared" si="7008"/>
        <v>0</v>
      </c>
      <c r="II197" s="155">
        <f t="shared" si="7008"/>
        <v>0</v>
      </c>
      <c r="IJ197" s="74">
        <f t="shared" si="7008"/>
        <v>0</v>
      </c>
      <c r="IK197" s="74">
        <f t="shared" si="7008"/>
        <v>0</v>
      </c>
      <c r="IL197" s="74">
        <f t="shared" si="7008"/>
        <v>0</v>
      </c>
      <c r="IM197" s="74">
        <f t="shared" si="7008"/>
        <v>0</v>
      </c>
      <c r="IN197" s="74">
        <f t="shared" si="7008"/>
        <v>0</v>
      </c>
      <c r="IO197" s="74">
        <f t="shared" si="7008"/>
        <v>0</v>
      </c>
      <c r="IP197" s="74">
        <f t="shared" si="7008"/>
        <v>0</v>
      </c>
      <c r="IQ197" s="74">
        <f t="shared" si="7008"/>
        <v>0</v>
      </c>
      <c r="IR197" s="74">
        <f t="shared" si="7008"/>
        <v>0</v>
      </c>
      <c r="IS197" s="74">
        <f t="shared" si="7008"/>
        <v>0</v>
      </c>
      <c r="IT197" s="74">
        <f t="shared" si="7008"/>
        <v>0</v>
      </c>
      <c r="IU197" s="74">
        <f t="shared" si="7008"/>
        <v>0</v>
      </c>
      <c r="IV197" s="74">
        <f t="shared" si="7008"/>
        <v>0</v>
      </c>
      <c r="IW197" s="74">
        <f t="shared" si="7008"/>
        <v>0</v>
      </c>
      <c r="IX197" s="74">
        <f t="shared" si="7008"/>
        <v>0</v>
      </c>
      <c r="IY197" s="74">
        <f t="shared" si="7008"/>
        <v>0</v>
      </c>
      <c r="IZ197" s="74">
        <f t="shared" si="7008"/>
        <v>0</v>
      </c>
      <c r="JA197" s="74">
        <f t="shared" si="7008"/>
        <v>0</v>
      </c>
      <c r="JB197" s="74">
        <f t="shared" si="7008"/>
        <v>0</v>
      </c>
      <c r="JC197" s="74">
        <f t="shared" ref="JC197:JT197" si="7010">JC528</f>
        <v>0</v>
      </c>
      <c r="JD197" s="74">
        <f t="shared" si="7010"/>
        <v>0</v>
      </c>
      <c r="JE197" s="74">
        <f t="shared" si="7010"/>
        <v>0</v>
      </c>
      <c r="JF197" s="74">
        <f t="shared" si="7010"/>
        <v>0</v>
      </c>
      <c r="JG197" s="74">
        <f t="shared" si="7010"/>
        <v>0</v>
      </c>
      <c r="JH197" s="74">
        <f t="shared" si="7010"/>
        <v>0</v>
      </c>
      <c r="JI197" s="74">
        <f t="shared" si="7010"/>
        <v>0</v>
      </c>
      <c r="JJ197" s="74">
        <f t="shared" si="7010"/>
        <v>0</v>
      </c>
      <c r="JK197" s="74">
        <f t="shared" si="7010"/>
        <v>0</v>
      </c>
      <c r="JL197" s="74">
        <f t="shared" si="7010"/>
        <v>0</v>
      </c>
      <c r="JM197" s="74">
        <f t="shared" si="7010"/>
        <v>0</v>
      </c>
      <c r="JN197" s="74">
        <f t="shared" si="7010"/>
        <v>0</v>
      </c>
      <c r="JO197" s="74">
        <f t="shared" si="7010"/>
        <v>0</v>
      </c>
      <c r="JP197" s="74">
        <f t="shared" si="7010"/>
        <v>0</v>
      </c>
      <c r="JQ197" s="74">
        <f t="shared" si="7010"/>
        <v>0</v>
      </c>
      <c r="JR197" s="74">
        <f t="shared" si="7010"/>
        <v>0</v>
      </c>
      <c r="JS197" s="74">
        <f t="shared" si="7010"/>
        <v>0</v>
      </c>
      <c r="JT197" s="102">
        <f t="shared" si="7010"/>
        <v>0</v>
      </c>
      <c r="JU197" s="671"/>
      <c r="JV197" s="492"/>
      <c r="JW197" s="490"/>
      <c r="JX197" s="549">
        <f t="shared" si="6967"/>
        <v>0</v>
      </c>
      <c r="JY197" s="549">
        <f t="shared" si="6967"/>
        <v>0</v>
      </c>
      <c r="JZ197" s="581">
        <f t="shared" si="4944"/>
        <v>0</v>
      </c>
      <c r="KA197" s="581">
        <f t="shared" si="4945"/>
        <v>0</v>
      </c>
      <c r="KB197" s="549">
        <f t="shared" si="6967"/>
        <v>0</v>
      </c>
      <c r="KC197" s="709">
        <f t="shared" si="4908"/>
        <v>0</v>
      </c>
      <c r="KD197" s="31"/>
      <c r="KE197" s="31"/>
      <c r="KF197" s="31"/>
      <c r="KG197" s="31"/>
      <c r="KH197" s="31"/>
      <c r="KI197" s="31"/>
      <c r="KJ197" s="56"/>
      <c r="KK197" s="56"/>
    </row>
    <row r="198" spans="1:297" s="8" customFormat="1" ht="12.75" hidden="1" customHeight="1">
      <c r="A198" s="75"/>
      <c r="B198" s="72"/>
      <c r="C198" s="74"/>
      <c r="D198" s="549"/>
      <c r="E198" s="675"/>
      <c r="F198" s="549"/>
      <c r="G198" s="675"/>
      <c r="H198" s="549"/>
      <c r="I198" s="675"/>
      <c r="J198" s="549"/>
      <c r="K198" s="675"/>
      <c r="L198" s="549"/>
      <c r="M198" s="675"/>
      <c r="N198" s="549"/>
      <c r="O198" s="675"/>
      <c r="P198" s="549"/>
      <c r="Q198" s="675"/>
      <c r="R198" s="549"/>
      <c r="S198" s="675"/>
      <c r="T198" s="549"/>
      <c r="U198" s="675"/>
      <c r="V198" s="549"/>
      <c r="W198" s="675"/>
      <c r="X198" s="549"/>
      <c r="Y198" s="675"/>
      <c r="Z198" s="549"/>
      <c r="AA198" s="675"/>
      <c r="AB198" s="549"/>
      <c r="AC198" s="675"/>
      <c r="AD198" s="549"/>
      <c r="AE198" s="675"/>
      <c r="AF198" s="549"/>
      <c r="AG198" s="675"/>
      <c r="AH198" s="549"/>
      <c r="AI198" s="675"/>
      <c r="AJ198" s="549"/>
      <c r="AK198" s="675"/>
      <c r="AL198" s="549"/>
      <c r="AM198" s="675"/>
      <c r="AN198" s="549"/>
      <c r="AO198" s="675"/>
      <c r="AP198" s="549"/>
      <c r="AQ198" s="675"/>
      <c r="AR198" s="549"/>
      <c r="AS198" s="675"/>
      <c r="AT198" s="549"/>
      <c r="AU198" s="675"/>
      <c r="AV198" s="549"/>
      <c r="AW198" s="675"/>
      <c r="AX198" s="549"/>
      <c r="AY198" s="675"/>
      <c r="AZ198" s="549"/>
      <c r="BA198" s="675"/>
      <c r="BB198" s="549"/>
      <c r="BC198" s="675"/>
      <c r="BD198" s="549"/>
      <c r="BE198" s="675"/>
      <c r="BF198" s="549"/>
      <c r="BG198" s="675"/>
      <c r="BH198" s="549"/>
      <c r="BI198" s="675"/>
      <c r="BJ198" s="549"/>
      <c r="BK198" s="675"/>
      <c r="BL198" s="549"/>
      <c r="BM198" s="675"/>
      <c r="BN198" s="549"/>
      <c r="BO198" s="675"/>
      <c r="BP198" s="549"/>
      <c r="BQ198" s="675"/>
      <c r="BR198" s="549"/>
      <c r="BS198" s="675"/>
      <c r="BT198" s="549"/>
      <c r="BU198" s="675"/>
      <c r="BV198" s="549"/>
      <c r="BW198" s="675"/>
      <c r="BX198" s="549"/>
      <c r="BY198" s="675"/>
      <c r="BZ198" s="549"/>
      <c r="CA198" s="675"/>
      <c r="CB198" s="549"/>
      <c r="CC198" s="675"/>
      <c r="CD198" s="549"/>
      <c r="CE198" s="675"/>
      <c r="CF198" s="549"/>
      <c r="CG198" s="675"/>
      <c r="CH198" s="549"/>
      <c r="CI198" s="675"/>
      <c r="CJ198" s="549"/>
      <c r="CK198" s="675"/>
      <c r="CL198" s="549"/>
      <c r="CM198" s="675"/>
      <c r="CN198" s="549"/>
      <c r="CO198" s="675"/>
      <c r="CP198" s="549"/>
      <c r="CQ198" s="675"/>
      <c r="CR198" s="549"/>
      <c r="CS198" s="675"/>
      <c r="CT198" s="549"/>
      <c r="CU198" s="675"/>
      <c r="CV198" s="549"/>
      <c r="CW198" s="675"/>
      <c r="CX198" s="549"/>
      <c r="CY198" s="675"/>
      <c r="CZ198" s="549"/>
      <c r="DA198" s="675"/>
      <c r="DB198" s="549"/>
      <c r="DC198" s="675"/>
      <c r="DD198" s="549"/>
      <c r="DE198" s="675"/>
      <c r="DF198" s="549"/>
      <c r="DG198" s="675"/>
      <c r="DH198" s="549"/>
      <c r="DI198" s="675"/>
      <c r="DJ198" s="549"/>
      <c r="DK198" s="675"/>
      <c r="DL198" s="549"/>
      <c r="DM198" s="675"/>
      <c r="DN198" s="549"/>
      <c r="DO198" s="675"/>
      <c r="DP198" s="549"/>
      <c r="DQ198" s="675"/>
      <c r="DR198" s="549"/>
      <c r="DS198" s="675"/>
      <c r="DT198" s="549"/>
      <c r="DU198" s="675"/>
      <c r="DV198" s="549"/>
      <c r="DW198" s="675"/>
      <c r="DX198" s="549"/>
      <c r="DY198" s="675"/>
      <c r="DZ198" s="549"/>
      <c r="EA198" s="675"/>
      <c r="EB198" s="549"/>
      <c r="EC198" s="675"/>
      <c r="ED198" s="549"/>
      <c r="EE198" s="675"/>
      <c r="EF198" s="549"/>
      <c r="EG198" s="675"/>
      <c r="EH198" s="549"/>
      <c r="EI198" s="675"/>
      <c r="EJ198" s="549"/>
      <c r="EK198" s="675"/>
      <c r="EL198" s="549"/>
      <c r="EM198" s="675"/>
      <c r="EN198" s="549"/>
      <c r="EO198" s="675"/>
      <c r="EP198" s="549"/>
      <c r="EQ198" s="675"/>
      <c r="ER198" s="549"/>
      <c r="ES198" s="675"/>
      <c r="ET198" s="549"/>
      <c r="EU198" s="675"/>
      <c r="EV198" s="549"/>
      <c r="EW198" s="675"/>
      <c r="EX198" s="549"/>
      <c r="EY198" s="675"/>
      <c r="EZ198" s="549"/>
      <c r="FA198" s="675"/>
      <c r="FB198" s="549"/>
      <c r="FC198" s="675"/>
      <c r="FD198" s="549"/>
      <c r="FE198" s="675"/>
      <c r="FF198" s="549"/>
      <c r="FG198" s="675"/>
      <c r="FH198" s="549"/>
      <c r="FI198" s="675"/>
      <c r="FJ198" s="549"/>
      <c r="FK198" s="675"/>
      <c r="FL198" s="549"/>
      <c r="FM198" s="675"/>
      <c r="FN198" s="549"/>
      <c r="FO198" s="675"/>
      <c r="FP198" s="549"/>
      <c r="FQ198" s="675"/>
      <c r="FR198" s="549"/>
      <c r="FS198" s="675"/>
      <c r="FT198" s="549"/>
      <c r="FU198" s="675"/>
      <c r="FV198" s="549"/>
      <c r="FW198" s="675"/>
      <c r="FX198" s="549"/>
      <c r="FY198" s="675"/>
      <c r="FZ198" s="549"/>
      <c r="GA198" s="675"/>
      <c r="GB198" s="549"/>
      <c r="GC198" s="675"/>
      <c r="GD198" s="549"/>
      <c r="GE198" s="675"/>
      <c r="GF198" s="549"/>
      <c r="GG198" s="675"/>
      <c r="GH198" s="549"/>
      <c r="GI198" s="675"/>
      <c r="GJ198" s="549"/>
      <c r="GK198" s="675"/>
      <c r="GL198" s="549"/>
      <c r="GM198" s="675"/>
      <c r="GN198" s="549"/>
      <c r="GO198" s="675"/>
      <c r="GP198" s="74"/>
      <c r="GQ198" s="675"/>
      <c r="GR198" s="74"/>
      <c r="GS198" s="74"/>
      <c r="GT198" s="549"/>
      <c r="GU198" s="74"/>
      <c r="GV198" s="74"/>
      <c r="GW198" s="549"/>
      <c r="GX198" s="549"/>
      <c r="GY198" s="74"/>
      <c r="GZ198" s="74"/>
      <c r="HA198" s="74"/>
      <c r="HB198" s="74"/>
      <c r="HC198" s="74"/>
      <c r="HD198" s="74"/>
      <c r="HE198" s="74"/>
      <c r="HF198" s="74"/>
      <c r="HG198" s="74"/>
      <c r="HH198" s="74"/>
      <c r="HI198" s="74"/>
      <c r="HJ198" s="74"/>
      <c r="HK198" s="74"/>
      <c r="HL198" s="74"/>
      <c r="HM198" s="74"/>
      <c r="HN198" s="74"/>
      <c r="HO198" s="74"/>
      <c r="HP198" s="74"/>
      <c r="HQ198" s="74"/>
      <c r="HR198" s="74"/>
      <c r="HS198" s="74"/>
      <c r="HT198" s="74"/>
      <c r="HU198" s="74"/>
      <c r="HV198" s="74"/>
      <c r="HW198" s="74"/>
      <c r="HX198" s="74"/>
      <c r="HY198" s="74"/>
      <c r="HZ198" s="74"/>
      <c r="IA198" s="74"/>
      <c r="IB198" s="74"/>
      <c r="IC198" s="74"/>
      <c r="ID198" s="74"/>
      <c r="IE198" s="792"/>
      <c r="IF198" s="841"/>
      <c r="IG198" s="263"/>
      <c r="IH198" s="842"/>
      <c r="II198" s="155"/>
      <c r="IJ198" s="74"/>
      <c r="IK198" s="74"/>
      <c r="IL198" s="74"/>
      <c r="IM198" s="74"/>
      <c r="IN198" s="74"/>
      <c r="IO198" s="74"/>
      <c r="IP198" s="74"/>
      <c r="IQ198" s="74"/>
      <c r="IR198" s="74"/>
      <c r="IS198" s="74"/>
      <c r="IT198" s="74"/>
      <c r="IU198" s="74"/>
      <c r="IV198" s="74"/>
      <c r="IW198" s="74"/>
      <c r="IX198" s="74"/>
      <c r="IY198" s="74"/>
      <c r="IZ198" s="74"/>
      <c r="JA198" s="74"/>
      <c r="JB198" s="74"/>
      <c r="JC198" s="74"/>
      <c r="JD198" s="74"/>
      <c r="JE198" s="74"/>
      <c r="JF198" s="74"/>
      <c r="JG198" s="74"/>
      <c r="JH198" s="74"/>
      <c r="JI198" s="74"/>
      <c r="JJ198" s="74"/>
      <c r="JK198" s="74"/>
      <c r="JL198" s="74"/>
      <c r="JM198" s="74"/>
      <c r="JN198" s="74"/>
      <c r="JO198" s="74"/>
      <c r="JP198" s="74"/>
      <c r="JQ198" s="74"/>
      <c r="JR198" s="74"/>
      <c r="JS198" s="74"/>
      <c r="JT198" s="382"/>
      <c r="JU198" s="670"/>
      <c r="JV198" s="489"/>
      <c r="JW198" s="529"/>
      <c r="JX198" s="549"/>
      <c r="JY198" s="549"/>
      <c r="JZ198" s="581">
        <f t="shared" si="4944"/>
        <v>0</v>
      </c>
      <c r="KA198" s="581">
        <f t="shared" si="4945"/>
        <v>0</v>
      </c>
      <c r="KB198" s="549"/>
      <c r="KC198" s="709">
        <f t="shared" si="4908"/>
        <v>0</v>
      </c>
      <c r="KD198" s="36"/>
      <c r="KE198" s="36"/>
      <c r="KF198" s="36"/>
      <c r="KG198" s="36"/>
      <c r="KH198" s="36"/>
      <c r="KI198" s="36"/>
      <c r="KJ198" s="36"/>
      <c r="KK198" s="36"/>
    </row>
    <row r="199" spans="1:297" s="8" customFormat="1">
      <c r="A199" s="75" t="s">
        <v>197</v>
      </c>
      <c r="B199" s="72" t="s">
        <v>198</v>
      </c>
      <c r="C199" s="74">
        <f>SUM(C204)+C201</f>
        <v>615300</v>
      </c>
      <c r="D199" s="549">
        <f t="shared" ref="D199:E199" si="7011">SUM(D204)+D201</f>
        <v>0</v>
      </c>
      <c r="E199" s="675">
        <f t="shared" si="7011"/>
        <v>0</v>
      </c>
      <c r="F199" s="549">
        <f t="shared" ref="F199:G199" si="7012">SUM(F204)+F201</f>
        <v>0</v>
      </c>
      <c r="G199" s="675">
        <f t="shared" si="7012"/>
        <v>0</v>
      </c>
      <c r="H199" s="549">
        <f t="shared" ref="H199:I199" si="7013">SUM(H204)+H201</f>
        <v>0</v>
      </c>
      <c r="I199" s="675">
        <f t="shared" si="7013"/>
        <v>0</v>
      </c>
      <c r="J199" s="549">
        <f t="shared" ref="J199:K199" si="7014">SUM(J204)+J201</f>
        <v>0</v>
      </c>
      <c r="K199" s="675">
        <f t="shared" si="7014"/>
        <v>0</v>
      </c>
      <c r="L199" s="549">
        <f t="shared" ref="L199:M199" si="7015">SUM(L204)+L201</f>
        <v>0</v>
      </c>
      <c r="M199" s="675">
        <f t="shared" si="7015"/>
        <v>0</v>
      </c>
      <c r="N199" s="549">
        <f t="shared" ref="N199:O199" si="7016">SUM(N204)+N201</f>
        <v>0</v>
      </c>
      <c r="O199" s="675">
        <f t="shared" si="7016"/>
        <v>0</v>
      </c>
      <c r="P199" s="549">
        <f t="shared" ref="P199:Q199" si="7017">SUM(P204)+P201</f>
        <v>0</v>
      </c>
      <c r="Q199" s="675">
        <f t="shared" si="7017"/>
        <v>-3724</v>
      </c>
      <c r="R199" s="549">
        <f t="shared" ref="R199:S199" si="7018">SUM(R204)+R201</f>
        <v>0</v>
      </c>
      <c r="S199" s="675">
        <f t="shared" si="7018"/>
        <v>0</v>
      </c>
      <c r="T199" s="549">
        <f t="shared" ref="T199:U199" si="7019">SUM(T204)+T201</f>
        <v>0</v>
      </c>
      <c r="U199" s="675">
        <f t="shared" si="7019"/>
        <v>0</v>
      </c>
      <c r="V199" s="549">
        <f t="shared" ref="V199:W199" si="7020">SUM(V204)+V201</f>
        <v>0</v>
      </c>
      <c r="W199" s="675">
        <f t="shared" si="7020"/>
        <v>-8700</v>
      </c>
      <c r="X199" s="549">
        <f t="shared" ref="X199:Y199" si="7021">SUM(X204)+X201</f>
        <v>0</v>
      </c>
      <c r="Y199" s="675">
        <f t="shared" si="7021"/>
        <v>0</v>
      </c>
      <c r="Z199" s="549">
        <f t="shared" ref="Z199:AA199" si="7022">SUM(Z204)+Z201</f>
        <v>0</v>
      </c>
      <c r="AA199" s="675">
        <f t="shared" si="7022"/>
        <v>0</v>
      </c>
      <c r="AB199" s="549">
        <f t="shared" ref="AB199:AC199" si="7023">SUM(AB204)+AB201</f>
        <v>0</v>
      </c>
      <c r="AC199" s="675">
        <f t="shared" si="7023"/>
        <v>0</v>
      </c>
      <c r="AD199" s="549">
        <f t="shared" ref="AD199:AE199" si="7024">SUM(AD204)+AD201</f>
        <v>0</v>
      </c>
      <c r="AE199" s="675">
        <f t="shared" si="7024"/>
        <v>0</v>
      </c>
      <c r="AF199" s="549">
        <f t="shared" ref="AF199:AG199" si="7025">SUM(AF204)+AF201</f>
        <v>0</v>
      </c>
      <c r="AG199" s="675">
        <f t="shared" si="7025"/>
        <v>0</v>
      </c>
      <c r="AH199" s="549">
        <f t="shared" ref="AH199:AI199" si="7026">SUM(AH204)+AH201</f>
        <v>0</v>
      </c>
      <c r="AI199" s="675">
        <f t="shared" si="7026"/>
        <v>0</v>
      </c>
      <c r="AJ199" s="549">
        <f t="shared" ref="AJ199:AK199" si="7027">SUM(AJ204)+AJ201</f>
        <v>0</v>
      </c>
      <c r="AK199" s="675">
        <f t="shared" si="7027"/>
        <v>0</v>
      </c>
      <c r="AL199" s="549">
        <f t="shared" ref="AL199:AM199" si="7028">SUM(AL204)+AL201</f>
        <v>0</v>
      </c>
      <c r="AM199" s="675">
        <f t="shared" si="7028"/>
        <v>0</v>
      </c>
      <c r="AN199" s="549">
        <f t="shared" ref="AN199:AO199" si="7029">SUM(AN204)+AN201</f>
        <v>0</v>
      </c>
      <c r="AO199" s="675">
        <f t="shared" si="7029"/>
        <v>0</v>
      </c>
      <c r="AP199" s="549">
        <f t="shared" ref="AP199:AQ199" si="7030">SUM(AP204)+AP201</f>
        <v>0</v>
      </c>
      <c r="AQ199" s="675">
        <f t="shared" si="7030"/>
        <v>0</v>
      </c>
      <c r="AR199" s="549">
        <f t="shared" ref="AR199:AS199" si="7031">SUM(AR204)+AR201</f>
        <v>0</v>
      </c>
      <c r="AS199" s="675">
        <f t="shared" si="7031"/>
        <v>0</v>
      </c>
      <c r="AT199" s="549">
        <f t="shared" ref="AT199:AU199" si="7032">SUM(AT204)+AT201</f>
        <v>0</v>
      </c>
      <c r="AU199" s="675">
        <f t="shared" si="7032"/>
        <v>0</v>
      </c>
      <c r="AV199" s="549">
        <f t="shared" ref="AV199:AW199" si="7033">SUM(AV204)+AV201</f>
        <v>0</v>
      </c>
      <c r="AW199" s="675">
        <f t="shared" si="7033"/>
        <v>0</v>
      </c>
      <c r="AX199" s="549">
        <f t="shared" ref="AX199:AY199" si="7034">SUM(AX204)+AX201</f>
        <v>0</v>
      </c>
      <c r="AY199" s="675">
        <f t="shared" si="7034"/>
        <v>0</v>
      </c>
      <c r="AZ199" s="549">
        <f t="shared" ref="AZ199:BA199" si="7035">SUM(AZ204)+AZ201</f>
        <v>0</v>
      </c>
      <c r="BA199" s="675">
        <f t="shared" si="7035"/>
        <v>0</v>
      </c>
      <c r="BB199" s="549">
        <f t="shared" ref="BB199:BC199" si="7036">SUM(BB204)+BB201</f>
        <v>0</v>
      </c>
      <c r="BC199" s="675">
        <f t="shared" si="7036"/>
        <v>0</v>
      </c>
      <c r="BD199" s="549">
        <f t="shared" ref="BD199:BE199" si="7037">SUM(BD204)+BD201</f>
        <v>0</v>
      </c>
      <c r="BE199" s="675">
        <f t="shared" si="7037"/>
        <v>0</v>
      </c>
      <c r="BF199" s="549">
        <f t="shared" ref="BF199:BG199" si="7038">SUM(BF204)+BF201</f>
        <v>0</v>
      </c>
      <c r="BG199" s="675">
        <f t="shared" si="7038"/>
        <v>0</v>
      </c>
      <c r="BH199" s="549">
        <f t="shared" ref="BH199:BI199" si="7039">SUM(BH204)+BH201</f>
        <v>0</v>
      </c>
      <c r="BI199" s="675">
        <f t="shared" si="7039"/>
        <v>0</v>
      </c>
      <c r="BJ199" s="549">
        <f t="shared" ref="BJ199:BK199" si="7040">SUM(BJ204)+BJ201</f>
        <v>0</v>
      </c>
      <c r="BK199" s="675">
        <f t="shared" si="7040"/>
        <v>0</v>
      </c>
      <c r="BL199" s="549">
        <f t="shared" ref="BL199:BM199" si="7041">SUM(BL204)+BL201</f>
        <v>0</v>
      </c>
      <c r="BM199" s="675">
        <f t="shared" si="7041"/>
        <v>0</v>
      </c>
      <c r="BN199" s="549">
        <f t="shared" ref="BN199:BO199" si="7042">SUM(BN204)+BN201</f>
        <v>0</v>
      </c>
      <c r="BO199" s="675">
        <f t="shared" si="7042"/>
        <v>0</v>
      </c>
      <c r="BP199" s="549">
        <f t="shared" ref="BP199:BQ199" si="7043">SUM(BP204)+BP201</f>
        <v>0</v>
      </c>
      <c r="BQ199" s="675">
        <f t="shared" si="7043"/>
        <v>0</v>
      </c>
      <c r="BR199" s="549">
        <f t="shared" ref="BR199:BS199" si="7044">SUM(BR204)+BR201</f>
        <v>0</v>
      </c>
      <c r="BS199" s="675">
        <f t="shared" si="7044"/>
        <v>0</v>
      </c>
      <c r="BT199" s="549">
        <f t="shared" ref="BT199:BU199" si="7045">SUM(BT204)+BT201</f>
        <v>0</v>
      </c>
      <c r="BU199" s="675">
        <f t="shared" si="7045"/>
        <v>0</v>
      </c>
      <c r="BV199" s="549">
        <f t="shared" ref="BV199:BW199" si="7046">SUM(BV204)+BV201</f>
        <v>0</v>
      </c>
      <c r="BW199" s="675">
        <f t="shared" si="7046"/>
        <v>0</v>
      </c>
      <c r="BX199" s="549">
        <f t="shared" ref="BX199:BY199" si="7047">SUM(BX204)+BX201</f>
        <v>0</v>
      </c>
      <c r="BY199" s="675">
        <f t="shared" si="7047"/>
        <v>0</v>
      </c>
      <c r="BZ199" s="549">
        <f t="shared" ref="BZ199:CA199" si="7048">SUM(BZ204)+BZ201</f>
        <v>0</v>
      </c>
      <c r="CA199" s="675">
        <f t="shared" si="7048"/>
        <v>0</v>
      </c>
      <c r="CB199" s="549">
        <f t="shared" ref="CB199:CC199" si="7049">SUM(CB204)+CB201</f>
        <v>0</v>
      </c>
      <c r="CC199" s="675">
        <f t="shared" si="7049"/>
        <v>0</v>
      </c>
      <c r="CD199" s="549">
        <f t="shared" ref="CD199:CE199" si="7050">SUM(CD204)+CD201</f>
        <v>0</v>
      </c>
      <c r="CE199" s="675">
        <f t="shared" si="7050"/>
        <v>0</v>
      </c>
      <c r="CF199" s="549">
        <f t="shared" ref="CF199:CG199" si="7051">SUM(CF204)+CF201</f>
        <v>0</v>
      </c>
      <c r="CG199" s="675">
        <f t="shared" si="7051"/>
        <v>0</v>
      </c>
      <c r="CH199" s="549">
        <f t="shared" ref="CH199:CI199" si="7052">SUM(CH204)+CH201</f>
        <v>0</v>
      </c>
      <c r="CI199" s="675">
        <f t="shared" si="7052"/>
        <v>0</v>
      </c>
      <c r="CJ199" s="549">
        <f t="shared" ref="CJ199:CK199" si="7053">SUM(CJ204)+CJ201</f>
        <v>0</v>
      </c>
      <c r="CK199" s="675">
        <f t="shared" si="7053"/>
        <v>-52768</v>
      </c>
      <c r="CL199" s="549">
        <f t="shared" ref="CL199:CM199" si="7054">SUM(CL204)+CL201</f>
        <v>0</v>
      </c>
      <c r="CM199" s="675">
        <f t="shared" si="7054"/>
        <v>0</v>
      </c>
      <c r="CN199" s="549">
        <f t="shared" ref="CN199:CO199" si="7055">SUM(CN204)+CN201</f>
        <v>0</v>
      </c>
      <c r="CO199" s="675">
        <f t="shared" si="7055"/>
        <v>0</v>
      </c>
      <c r="CP199" s="549">
        <f t="shared" ref="CP199:CQ199" si="7056">SUM(CP204)+CP201</f>
        <v>0</v>
      </c>
      <c r="CQ199" s="675">
        <f t="shared" si="7056"/>
        <v>0</v>
      </c>
      <c r="CR199" s="549">
        <f t="shared" ref="CR199:CS199" si="7057">SUM(CR204)+CR201</f>
        <v>0</v>
      </c>
      <c r="CS199" s="675">
        <f t="shared" si="7057"/>
        <v>0</v>
      </c>
      <c r="CT199" s="549">
        <f t="shared" ref="CT199:CU199" si="7058">SUM(CT204)+CT201</f>
        <v>0</v>
      </c>
      <c r="CU199" s="675">
        <f t="shared" si="7058"/>
        <v>0</v>
      </c>
      <c r="CV199" s="549">
        <f t="shared" ref="CV199:CW199" si="7059">SUM(CV204)+CV201</f>
        <v>0</v>
      </c>
      <c r="CW199" s="675">
        <f t="shared" si="7059"/>
        <v>0</v>
      </c>
      <c r="CX199" s="549">
        <f t="shared" ref="CX199:CY199" si="7060">SUM(CX204)+CX201</f>
        <v>0</v>
      </c>
      <c r="CY199" s="675">
        <f t="shared" si="7060"/>
        <v>0</v>
      </c>
      <c r="CZ199" s="549">
        <f t="shared" ref="CZ199:DA199" si="7061">SUM(CZ204)+CZ201</f>
        <v>0</v>
      </c>
      <c r="DA199" s="675">
        <f t="shared" si="7061"/>
        <v>-35000</v>
      </c>
      <c r="DB199" s="549">
        <f t="shared" ref="DB199:DC199" si="7062">SUM(DB204)+DB201</f>
        <v>0</v>
      </c>
      <c r="DC199" s="675">
        <f t="shared" si="7062"/>
        <v>0</v>
      </c>
      <c r="DD199" s="549">
        <f t="shared" ref="DD199:DE199" si="7063">SUM(DD204)+DD201</f>
        <v>0</v>
      </c>
      <c r="DE199" s="675">
        <f t="shared" si="7063"/>
        <v>0</v>
      </c>
      <c r="DF199" s="549">
        <f t="shared" ref="DF199:DG199" si="7064">SUM(DF204)+DF201</f>
        <v>0</v>
      </c>
      <c r="DG199" s="675">
        <f t="shared" si="7064"/>
        <v>0</v>
      </c>
      <c r="DH199" s="549">
        <f t="shared" ref="DH199:DI199" si="7065">SUM(DH204)+DH201</f>
        <v>0</v>
      </c>
      <c r="DI199" s="675">
        <f t="shared" si="7065"/>
        <v>0</v>
      </c>
      <c r="DJ199" s="549">
        <f t="shared" ref="DJ199:DK199" si="7066">SUM(DJ204)+DJ201</f>
        <v>0</v>
      </c>
      <c r="DK199" s="675">
        <f t="shared" si="7066"/>
        <v>0</v>
      </c>
      <c r="DL199" s="549">
        <f t="shared" ref="DL199:DM199" si="7067">SUM(DL204)+DL201</f>
        <v>0</v>
      </c>
      <c r="DM199" s="675">
        <f t="shared" si="7067"/>
        <v>0</v>
      </c>
      <c r="DN199" s="549">
        <f t="shared" ref="DN199:DO199" si="7068">SUM(DN204)+DN201</f>
        <v>0</v>
      </c>
      <c r="DO199" s="675">
        <f t="shared" si="7068"/>
        <v>0</v>
      </c>
      <c r="DP199" s="549">
        <f t="shared" ref="DP199:DQ199" si="7069">SUM(DP204)+DP201</f>
        <v>0</v>
      </c>
      <c r="DQ199" s="675">
        <f t="shared" si="7069"/>
        <v>-20560</v>
      </c>
      <c r="DR199" s="549">
        <f t="shared" ref="DR199:DS199" si="7070">SUM(DR204)+DR201</f>
        <v>0</v>
      </c>
      <c r="DS199" s="675">
        <f t="shared" si="7070"/>
        <v>0</v>
      </c>
      <c r="DT199" s="549">
        <f t="shared" ref="DT199:DU199" si="7071">SUM(DT204)+DT201</f>
        <v>0</v>
      </c>
      <c r="DU199" s="675">
        <f t="shared" si="7071"/>
        <v>0</v>
      </c>
      <c r="DV199" s="549">
        <f t="shared" ref="DV199:DW199" si="7072">SUM(DV204)+DV201</f>
        <v>0</v>
      </c>
      <c r="DW199" s="675">
        <f t="shared" si="7072"/>
        <v>0</v>
      </c>
      <c r="DX199" s="549">
        <f t="shared" ref="DX199:DY199" si="7073">SUM(DX204)+DX201</f>
        <v>0</v>
      </c>
      <c r="DY199" s="675">
        <f t="shared" si="7073"/>
        <v>0</v>
      </c>
      <c r="DZ199" s="549">
        <f t="shared" ref="DZ199:EA199" si="7074">SUM(DZ204)+DZ201</f>
        <v>0</v>
      </c>
      <c r="EA199" s="675">
        <f t="shared" si="7074"/>
        <v>0</v>
      </c>
      <c r="EB199" s="549">
        <f t="shared" ref="EB199:EC199" si="7075">SUM(EB204)+EB201</f>
        <v>0</v>
      </c>
      <c r="EC199" s="675">
        <f t="shared" si="7075"/>
        <v>0</v>
      </c>
      <c r="ED199" s="549">
        <f t="shared" ref="ED199:GQ199" si="7076">SUM(ED204)+ED201</f>
        <v>0</v>
      </c>
      <c r="EE199" s="675">
        <f t="shared" si="7076"/>
        <v>0</v>
      </c>
      <c r="EF199" s="549">
        <f t="shared" si="7076"/>
        <v>0</v>
      </c>
      <c r="EG199" s="675">
        <f t="shared" si="7076"/>
        <v>0</v>
      </c>
      <c r="EH199" s="549">
        <f t="shared" si="7076"/>
        <v>0</v>
      </c>
      <c r="EI199" s="675">
        <f t="shared" si="7076"/>
        <v>0</v>
      </c>
      <c r="EJ199" s="549">
        <f t="shared" si="7076"/>
        <v>0</v>
      </c>
      <c r="EK199" s="675">
        <f t="shared" si="7076"/>
        <v>0</v>
      </c>
      <c r="EL199" s="549">
        <f t="shared" si="7076"/>
        <v>0</v>
      </c>
      <c r="EM199" s="675">
        <f t="shared" si="7076"/>
        <v>0</v>
      </c>
      <c r="EN199" s="549">
        <f t="shared" si="7076"/>
        <v>0</v>
      </c>
      <c r="EO199" s="675">
        <f t="shared" si="7076"/>
        <v>0</v>
      </c>
      <c r="EP199" s="549">
        <f t="shared" si="7076"/>
        <v>0</v>
      </c>
      <c r="EQ199" s="675">
        <f t="shared" si="7076"/>
        <v>0</v>
      </c>
      <c r="ER199" s="549">
        <f t="shared" si="7076"/>
        <v>0</v>
      </c>
      <c r="ES199" s="675">
        <f t="shared" si="7076"/>
        <v>0</v>
      </c>
      <c r="ET199" s="549">
        <f t="shared" si="7076"/>
        <v>0</v>
      </c>
      <c r="EU199" s="675">
        <f t="shared" si="7076"/>
        <v>0</v>
      </c>
      <c r="EV199" s="549">
        <f t="shared" si="7076"/>
        <v>0</v>
      </c>
      <c r="EW199" s="675">
        <f t="shared" si="7076"/>
        <v>0</v>
      </c>
      <c r="EX199" s="549">
        <f t="shared" si="7076"/>
        <v>0</v>
      </c>
      <c r="EY199" s="675">
        <f t="shared" si="7076"/>
        <v>0</v>
      </c>
      <c r="EZ199" s="549">
        <f t="shared" si="7076"/>
        <v>0</v>
      </c>
      <c r="FA199" s="675">
        <f t="shared" si="7076"/>
        <v>0</v>
      </c>
      <c r="FB199" s="549">
        <f t="shared" si="7076"/>
        <v>0</v>
      </c>
      <c r="FC199" s="675">
        <f t="shared" si="7076"/>
        <v>0</v>
      </c>
      <c r="FD199" s="549">
        <f t="shared" si="7076"/>
        <v>0</v>
      </c>
      <c r="FE199" s="675">
        <f t="shared" si="7076"/>
        <v>0</v>
      </c>
      <c r="FF199" s="549">
        <f t="shared" si="7076"/>
        <v>0</v>
      </c>
      <c r="FG199" s="675">
        <f t="shared" si="7076"/>
        <v>0</v>
      </c>
      <c r="FH199" s="549">
        <f t="shared" si="7076"/>
        <v>0</v>
      </c>
      <c r="FI199" s="675">
        <f t="shared" si="7076"/>
        <v>0</v>
      </c>
      <c r="FJ199" s="549">
        <f t="shared" si="7076"/>
        <v>0</v>
      </c>
      <c r="FK199" s="675">
        <f t="shared" si="7076"/>
        <v>0</v>
      </c>
      <c r="FL199" s="549">
        <f t="shared" si="7076"/>
        <v>0</v>
      </c>
      <c r="FM199" s="675">
        <f t="shared" si="7076"/>
        <v>-8671</v>
      </c>
      <c r="FN199" s="549">
        <f t="shared" si="7076"/>
        <v>0</v>
      </c>
      <c r="FO199" s="675">
        <f t="shared" si="7076"/>
        <v>0</v>
      </c>
      <c r="FP199" s="549">
        <f t="shared" si="7076"/>
        <v>0</v>
      </c>
      <c r="FQ199" s="675">
        <f t="shared" si="7076"/>
        <v>0</v>
      </c>
      <c r="FR199" s="549">
        <f t="shared" si="7076"/>
        <v>0</v>
      </c>
      <c r="FS199" s="675">
        <f t="shared" si="7076"/>
        <v>-46143</v>
      </c>
      <c r="FT199" s="549">
        <f t="shared" si="7076"/>
        <v>0</v>
      </c>
      <c r="FU199" s="675">
        <f t="shared" si="7076"/>
        <v>-10857</v>
      </c>
      <c r="FV199" s="549">
        <f t="shared" si="7076"/>
        <v>0</v>
      </c>
      <c r="FW199" s="675">
        <f t="shared" si="7076"/>
        <v>0</v>
      </c>
      <c r="FX199" s="549">
        <f t="shared" ref="FX199:GK199" si="7077">SUM(FX204)+FX201</f>
        <v>0</v>
      </c>
      <c r="FY199" s="675">
        <f t="shared" si="7077"/>
        <v>-6703</v>
      </c>
      <c r="FZ199" s="549">
        <f t="shared" ref="FZ199:GI199" si="7078">SUM(FZ204)+FZ201</f>
        <v>0</v>
      </c>
      <c r="GA199" s="675">
        <f t="shared" si="7078"/>
        <v>0</v>
      </c>
      <c r="GB199" s="549">
        <f t="shared" si="7078"/>
        <v>0</v>
      </c>
      <c r="GC199" s="675">
        <f t="shared" si="7078"/>
        <v>0</v>
      </c>
      <c r="GD199" s="549">
        <f t="shared" si="7078"/>
        <v>0</v>
      </c>
      <c r="GE199" s="675">
        <f t="shared" si="7078"/>
        <v>0</v>
      </c>
      <c r="GF199" s="549">
        <f t="shared" si="7078"/>
        <v>0</v>
      </c>
      <c r="GG199" s="675">
        <f t="shared" si="7078"/>
        <v>0</v>
      </c>
      <c r="GH199" s="549">
        <f t="shared" si="7078"/>
        <v>0</v>
      </c>
      <c r="GI199" s="675">
        <f t="shared" si="7078"/>
        <v>0</v>
      </c>
      <c r="GJ199" s="549">
        <f t="shared" si="7077"/>
        <v>0</v>
      </c>
      <c r="GK199" s="675">
        <f t="shared" si="7077"/>
        <v>0</v>
      </c>
      <c r="GL199" s="549">
        <f t="shared" si="7076"/>
        <v>0</v>
      </c>
      <c r="GM199" s="675">
        <f t="shared" si="7076"/>
        <v>0</v>
      </c>
      <c r="GN199" s="549">
        <f t="shared" ref="GN199:GO199" si="7079">SUM(GN204)+GN201</f>
        <v>0</v>
      </c>
      <c r="GO199" s="675">
        <f t="shared" si="7079"/>
        <v>0</v>
      </c>
      <c r="GP199" s="74">
        <f>SUM(GP204)+GP201+GP207</f>
        <v>3724</v>
      </c>
      <c r="GQ199" s="675">
        <f t="shared" si="7076"/>
        <v>-193126</v>
      </c>
      <c r="GR199" s="74">
        <f>SUM(GR204)+GR201+GR207</f>
        <v>425898</v>
      </c>
      <c r="GS199" s="74">
        <f t="shared" ref="GS199:JD199" si="7080">SUM(GS204)+GS201+GS207</f>
        <v>425898</v>
      </c>
      <c r="GT199" s="74">
        <f t="shared" si="7080"/>
        <v>425898</v>
      </c>
      <c r="GU199" s="74">
        <f>SUM(GU204)+GU201+GU207</f>
        <v>61530</v>
      </c>
      <c r="GV199" s="74">
        <f t="shared" si="7080"/>
        <v>61530</v>
      </c>
      <c r="GW199" s="74">
        <f t="shared" si="7080"/>
        <v>61530</v>
      </c>
      <c r="GX199" s="74">
        <f t="shared" si="7080"/>
        <v>61530</v>
      </c>
      <c r="GY199" s="74">
        <f t="shared" si="7080"/>
        <v>61530</v>
      </c>
      <c r="GZ199" s="74">
        <f t="shared" si="7080"/>
        <v>61530</v>
      </c>
      <c r="HA199" s="74">
        <f t="shared" si="7080"/>
        <v>61530</v>
      </c>
      <c r="HB199" s="74">
        <f t="shared" si="7080"/>
        <v>61530</v>
      </c>
      <c r="HC199" s="74">
        <f t="shared" si="7080"/>
        <v>61530</v>
      </c>
      <c r="HD199" s="74">
        <f t="shared" si="7080"/>
        <v>61530</v>
      </c>
      <c r="HE199" s="74">
        <f t="shared" si="7080"/>
        <v>0</v>
      </c>
      <c r="HF199" s="74">
        <f t="shared" si="7080"/>
        <v>0</v>
      </c>
      <c r="HG199" s="74">
        <f t="shared" si="7080"/>
        <v>425897.5</v>
      </c>
      <c r="HH199" s="74">
        <f t="shared" si="7080"/>
        <v>61530</v>
      </c>
      <c r="HI199" s="74">
        <f t="shared" si="7080"/>
        <v>0</v>
      </c>
      <c r="HJ199" s="74">
        <f t="shared" si="7080"/>
        <v>11107.67</v>
      </c>
      <c r="HK199" s="74">
        <f t="shared" si="7080"/>
        <v>0</v>
      </c>
      <c r="HL199" s="74">
        <f t="shared" si="7080"/>
        <v>45976.46</v>
      </c>
      <c r="HM199" s="74">
        <f t="shared" si="7080"/>
        <v>0</v>
      </c>
      <c r="HN199" s="74">
        <f t="shared" si="7080"/>
        <v>31992.68</v>
      </c>
      <c r="HO199" s="74">
        <f t="shared" si="7080"/>
        <v>0</v>
      </c>
      <c r="HP199" s="74">
        <f t="shared" si="7080"/>
        <v>127170.21</v>
      </c>
      <c r="HQ199" s="74">
        <f t="shared" si="7080"/>
        <v>0</v>
      </c>
      <c r="HR199" s="74">
        <f t="shared" si="7080"/>
        <v>69727</v>
      </c>
      <c r="HS199" s="74">
        <f t="shared" si="7080"/>
        <v>0</v>
      </c>
      <c r="HT199" s="74">
        <f t="shared" si="7080"/>
        <v>-13262.52</v>
      </c>
      <c r="HU199" s="74">
        <f t="shared" si="7080"/>
        <v>0</v>
      </c>
      <c r="HV199" s="74">
        <f t="shared" si="7080"/>
        <v>40000</v>
      </c>
      <c r="HW199" s="74">
        <f t="shared" si="7080"/>
        <v>0</v>
      </c>
      <c r="HX199" s="74">
        <f t="shared" si="7080"/>
        <v>62500</v>
      </c>
      <c r="HY199" s="74">
        <f t="shared" si="7080"/>
        <v>0</v>
      </c>
      <c r="HZ199" s="74">
        <f t="shared" si="7080"/>
        <v>-10844</v>
      </c>
      <c r="IA199" s="74">
        <f t="shared" si="7080"/>
        <v>0</v>
      </c>
      <c r="IB199" s="74">
        <f t="shared" si="7080"/>
        <v>0</v>
      </c>
      <c r="IC199" s="74">
        <f t="shared" si="7080"/>
        <v>0</v>
      </c>
      <c r="ID199" s="74">
        <f t="shared" si="7080"/>
        <v>0</v>
      </c>
      <c r="IE199" s="74">
        <f t="shared" si="7080"/>
        <v>0</v>
      </c>
      <c r="IF199" s="841">
        <f t="shared" si="7080"/>
        <v>380473.54</v>
      </c>
      <c r="IG199" s="263">
        <f t="shared" si="7080"/>
        <v>380473.54</v>
      </c>
      <c r="IH199" s="842">
        <f t="shared" si="7080"/>
        <v>380473.54</v>
      </c>
      <c r="II199" s="74">
        <f t="shared" si="7080"/>
        <v>18301.75</v>
      </c>
      <c r="IJ199" s="74">
        <f t="shared" si="7080"/>
        <v>18301.75</v>
      </c>
      <c r="IK199" s="74">
        <f t="shared" si="7080"/>
        <v>18301.75</v>
      </c>
      <c r="IL199" s="74">
        <f t="shared" si="7080"/>
        <v>23376.339999999997</v>
      </c>
      <c r="IM199" s="74">
        <f t="shared" si="7080"/>
        <v>23376.339999999997</v>
      </c>
      <c r="IN199" s="74">
        <f t="shared" si="7080"/>
        <v>23376.339999999997</v>
      </c>
      <c r="IO199" s="74">
        <f t="shared" si="7080"/>
        <v>23542.25</v>
      </c>
      <c r="IP199" s="74">
        <f t="shared" si="7080"/>
        <v>23542.25</v>
      </c>
      <c r="IQ199" s="74">
        <f t="shared" si="7080"/>
        <v>23542.25</v>
      </c>
      <c r="IR199" s="74">
        <f t="shared" si="7080"/>
        <v>36203.03</v>
      </c>
      <c r="IS199" s="74">
        <f t="shared" si="7080"/>
        <v>36203.03</v>
      </c>
      <c r="IT199" s="74">
        <f t="shared" si="7080"/>
        <v>36203.03</v>
      </c>
      <c r="IU199" s="74">
        <f t="shared" si="7080"/>
        <v>81866.179999999993</v>
      </c>
      <c r="IV199" s="74">
        <f t="shared" si="7080"/>
        <v>81866.179999999993</v>
      </c>
      <c r="IW199" s="74">
        <f t="shared" si="7080"/>
        <v>81866.179999999993</v>
      </c>
      <c r="IX199" s="74">
        <f t="shared" si="7080"/>
        <v>46100.160000000003</v>
      </c>
      <c r="IY199" s="74">
        <f t="shared" si="7080"/>
        <v>46100.160000000003</v>
      </c>
      <c r="IZ199" s="74">
        <f t="shared" si="7080"/>
        <v>46100.160000000003</v>
      </c>
      <c r="JA199" s="74">
        <f t="shared" si="7080"/>
        <v>42005.810000000027</v>
      </c>
      <c r="JB199" s="74">
        <f t="shared" si="7080"/>
        <v>42005.810000000027</v>
      </c>
      <c r="JC199" s="74">
        <f t="shared" si="7080"/>
        <v>42005.810000000027</v>
      </c>
      <c r="JD199" s="74">
        <f t="shared" si="7080"/>
        <v>27949.510000000009</v>
      </c>
      <c r="JE199" s="74">
        <f t="shared" ref="JE199:JS199" si="7081">SUM(JE204)+JE201+JE207</f>
        <v>27949.510000000009</v>
      </c>
      <c r="JF199" s="74">
        <f t="shared" si="7081"/>
        <v>27949.510000000009</v>
      </c>
      <c r="JG199" s="74">
        <f t="shared" si="7081"/>
        <v>72560.129999999946</v>
      </c>
      <c r="JH199" s="74">
        <f t="shared" si="7081"/>
        <v>72560.129999999946</v>
      </c>
      <c r="JI199" s="74">
        <f t="shared" si="7081"/>
        <v>72560.129999999946</v>
      </c>
      <c r="JJ199" s="74">
        <f t="shared" si="7081"/>
        <v>8568.3800000000047</v>
      </c>
      <c r="JK199" s="74">
        <f t="shared" si="7081"/>
        <v>8568.3800000000047</v>
      </c>
      <c r="JL199" s="74">
        <f t="shared" si="7081"/>
        <v>8568.3800000000047</v>
      </c>
      <c r="JM199" s="74">
        <f t="shared" si="7081"/>
        <v>0</v>
      </c>
      <c r="JN199" s="74">
        <f t="shared" si="7081"/>
        <v>0</v>
      </c>
      <c r="JO199" s="74">
        <f t="shared" si="7081"/>
        <v>0</v>
      </c>
      <c r="JP199" s="74">
        <f t="shared" si="7081"/>
        <v>0</v>
      </c>
      <c r="JQ199" s="74">
        <f t="shared" si="7081"/>
        <v>0</v>
      </c>
      <c r="JR199" s="74">
        <f t="shared" si="7081"/>
        <v>0</v>
      </c>
      <c r="JS199" s="74">
        <f t="shared" si="7081"/>
        <v>45423.960000000021</v>
      </c>
      <c r="JT199" s="74">
        <f>SUM(JT204)+JT201+JT207</f>
        <v>45424.460000000021</v>
      </c>
      <c r="JU199" s="670"/>
      <c r="JV199" s="489"/>
      <c r="JW199" s="528"/>
      <c r="JX199" s="549">
        <f>SUM(JX204)+JX201+JX207</f>
        <v>425897.5</v>
      </c>
      <c r="JY199" s="549">
        <f>SUM(JY204)+JY201+JY207</f>
        <v>0</v>
      </c>
      <c r="JZ199" s="549">
        <f>SUM(JZ204)+JZ201+JZ207</f>
        <v>3724</v>
      </c>
      <c r="KA199" s="549">
        <f>SUM(KA204)+KA201+KA207</f>
        <v>-193126</v>
      </c>
      <c r="KB199" s="549">
        <f>SUM(KB204)+KB201+KB207</f>
        <v>425897.5</v>
      </c>
      <c r="KC199" s="709">
        <f t="shared" si="4908"/>
        <v>0</v>
      </c>
      <c r="KD199" s="34"/>
      <c r="KE199" s="34"/>
      <c r="KF199" s="34"/>
      <c r="KG199" s="34"/>
      <c r="KH199" s="34"/>
      <c r="KI199" s="34"/>
      <c r="KJ199" s="34"/>
      <c r="KK199" s="34"/>
    </row>
    <row r="200" spans="1:297" s="8" customFormat="1">
      <c r="A200" s="75"/>
      <c r="B200" s="72"/>
      <c r="C200" s="74"/>
      <c r="D200" s="549"/>
      <c r="E200" s="675"/>
      <c r="F200" s="549"/>
      <c r="G200" s="675"/>
      <c r="H200" s="549"/>
      <c r="I200" s="675"/>
      <c r="J200" s="549"/>
      <c r="K200" s="675"/>
      <c r="L200" s="549"/>
      <c r="M200" s="675"/>
      <c r="N200" s="549"/>
      <c r="O200" s="675"/>
      <c r="P200" s="549"/>
      <c r="Q200" s="675"/>
      <c r="R200" s="549"/>
      <c r="S200" s="675"/>
      <c r="T200" s="549"/>
      <c r="U200" s="675"/>
      <c r="V200" s="549"/>
      <c r="W200" s="675"/>
      <c r="X200" s="549"/>
      <c r="Y200" s="675"/>
      <c r="Z200" s="549"/>
      <c r="AA200" s="675"/>
      <c r="AB200" s="549"/>
      <c r="AC200" s="675"/>
      <c r="AD200" s="549"/>
      <c r="AE200" s="675"/>
      <c r="AF200" s="549"/>
      <c r="AG200" s="675"/>
      <c r="AH200" s="549"/>
      <c r="AI200" s="675"/>
      <c r="AJ200" s="549"/>
      <c r="AK200" s="675"/>
      <c r="AL200" s="549"/>
      <c r="AM200" s="675"/>
      <c r="AN200" s="549"/>
      <c r="AO200" s="675"/>
      <c r="AP200" s="549"/>
      <c r="AQ200" s="675"/>
      <c r="AR200" s="549"/>
      <c r="AS200" s="675"/>
      <c r="AT200" s="549"/>
      <c r="AU200" s="675"/>
      <c r="AV200" s="549"/>
      <c r="AW200" s="675"/>
      <c r="AX200" s="549"/>
      <c r="AY200" s="675"/>
      <c r="AZ200" s="549"/>
      <c r="BA200" s="675"/>
      <c r="BB200" s="549"/>
      <c r="BC200" s="675"/>
      <c r="BD200" s="549"/>
      <c r="BE200" s="675"/>
      <c r="BF200" s="549"/>
      <c r="BG200" s="675"/>
      <c r="BH200" s="549"/>
      <c r="BI200" s="675"/>
      <c r="BJ200" s="549"/>
      <c r="BK200" s="675"/>
      <c r="BL200" s="549"/>
      <c r="BM200" s="675"/>
      <c r="BN200" s="549"/>
      <c r="BO200" s="675"/>
      <c r="BP200" s="549"/>
      <c r="BQ200" s="675"/>
      <c r="BR200" s="549"/>
      <c r="BS200" s="675"/>
      <c r="BT200" s="549"/>
      <c r="BU200" s="675"/>
      <c r="BV200" s="549"/>
      <c r="BW200" s="675"/>
      <c r="BX200" s="549"/>
      <c r="BY200" s="675"/>
      <c r="BZ200" s="549"/>
      <c r="CA200" s="675"/>
      <c r="CB200" s="549"/>
      <c r="CC200" s="675"/>
      <c r="CD200" s="549"/>
      <c r="CE200" s="675"/>
      <c r="CF200" s="549"/>
      <c r="CG200" s="675"/>
      <c r="CH200" s="549"/>
      <c r="CI200" s="675"/>
      <c r="CJ200" s="549"/>
      <c r="CK200" s="675"/>
      <c r="CL200" s="549"/>
      <c r="CM200" s="675"/>
      <c r="CN200" s="549"/>
      <c r="CO200" s="675"/>
      <c r="CP200" s="549"/>
      <c r="CQ200" s="675"/>
      <c r="CR200" s="549"/>
      <c r="CS200" s="675"/>
      <c r="CT200" s="549"/>
      <c r="CU200" s="675"/>
      <c r="CV200" s="549"/>
      <c r="CW200" s="675"/>
      <c r="CX200" s="549"/>
      <c r="CY200" s="675"/>
      <c r="CZ200" s="549"/>
      <c r="DA200" s="675"/>
      <c r="DB200" s="549"/>
      <c r="DC200" s="675"/>
      <c r="DD200" s="549"/>
      <c r="DE200" s="675"/>
      <c r="DF200" s="549"/>
      <c r="DG200" s="675"/>
      <c r="DH200" s="549"/>
      <c r="DI200" s="675"/>
      <c r="DJ200" s="549"/>
      <c r="DK200" s="675"/>
      <c r="DL200" s="549"/>
      <c r="DM200" s="675"/>
      <c r="DN200" s="549"/>
      <c r="DO200" s="675"/>
      <c r="DP200" s="549"/>
      <c r="DQ200" s="675"/>
      <c r="DR200" s="549"/>
      <c r="DS200" s="675"/>
      <c r="DT200" s="549"/>
      <c r="DU200" s="675"/>
      <c r="DV200" s="549"/>
      <c r="DW200" s="675"/>
      <c r="DX200" s="549"/>
      <c r="DY200" s="675"/>
      <c r="DZ200" s="549"/>
      <c r="EA200" s="675"/>
      <c r="EB200" s="549"/>
      <c r="EC200" s="675"/>
      <c r="ED200" s="549"/>
      <c r="EE200" s="675"/>
      <c r="EF200" s="549"/>
      <c r="EG200" s="675"/>
      <c r="EH200" s="549"/>
      <c r="EI200" s="675"/>
      <c r="EJ200" s="549"/>
      <c r="EK200" s="675"/>
      <c r="EL200" s="549"/>
      <c r="EM200" s="675"/>
      <c r="EN200" s="549"/>
      <c r="EO200" s="675"/>
      <c r="EP200" s="549"/>
      <c r="EQ200" s="675"/>
      <c r="ER200" s="549"/>
      <c r="ES200" s="675"/>
      <c r="ET200" s="549"/>
      <c r="EU200" s="675"/>
      <c r="EV200" s="549"/>
      <c r="EW200" s="675"/>
      <c r="EX200" s="549"/>
      <c r="EY200" s="675"/>
      <c r="EZ200" s="549"/>
      <c r="FA200" s="675"/>
      <c r="FB200" s="549"/>
      <c r="FC200" s="675"/>
      <c r="FD200" s="549"/>
      <c r="FE200" s="675"/>
      <c r="FF200" s="549"/>
      <c r="FG200" s="675"/>
      <c r="FH200" s="549"/>
      <c r="FI200" s="675"/>
      <c r="FJ200" s="549"/>
      <c r="FK200" s="675"/>
      <c r="FL200" s="549"/>
      <c r="FM200" s="675"/>
      <c r="FN200" s="549"/>
      <c r="FO200" s="675"/>
      <c r="FP200" s="549"/>
      <c r="FQ200" s="675"/>
      <c r="FR200" s="549"/>
      <c r="FS200" s="675"/>
      <c r="FT200" s="549"/>
      <c r="FU200" s="675"/>
      <c r="FV200" s="549"/>
      <c r="FW200" s="675"/>
      <c r="FX200" s="549"/>
      <c r="FY200" s="675"/>
      <c r="FZ200" s="549"/>
      <c r="GA200" s="675"/>
      <c r="GB200" s="549"/>
      <c r="GC200" s="675"/>
      <c r="GD200" s="549"/>
      <c r="GE200" s="675"/>
      <c r="GF200" s="549"/>
      <c r="GG200" s="675"/>
      <c r="GH200" s="549"/>
      <c r="GI200" s="675"/>
      <c r="GJ200" s="549"/>
      <c r="GK200" s="675"/>
      <c r="GL200" s="549"/>
      <c r="GM200" s="675"/>
      <c r="GN200" s="549"/>
      <c r="GO200" s="675"/>
      <c r="GP200" s="74"/>
      <c r="GQ200" s="675"/>
      <c r="GR200" s="74"/>
      <c r="GS200" s="74"/>
      <c r="GT200" s="549"/>
      <c r="GU200" s="74"/>
      <c r="GV200" s="74"/>
      <c r="GW200" s="549"/>
      <c r="GX200" s="549"/>
      <c r="GY200" s="74"/>
      <c r="GZ200" s="74"/>
      <c r="HA200" s="74"/>
      <c r="HB200" s="74"/>
      <c r="HC200" s="74"/>
      <c r="HD200" s="74"/>
      <c r="HE200" s="74"/>
      <c r="HF200" s="74"/>
      <c r="HG200" s="74"/>
      <c r="HH200" s="74"/>
      <c r="HI200" s="74"/>
      <c r="HJ200" s="74"/>
      <c r="HK200" s="74"/>
      <c r="HL200" s="74"/>
      <c r="HM200" s="74"/>
      <c r="HN200" s="74"/>
      <c r="HO200" s="74"/>
      <c r="HP200" s="74"/>
      <c r="HQ200" s="74"/>
      <c r="HR200" s="74"/>
      <c r="HS200" s="74"/>
      <c r="HT200" s="74"/>
      <c r="HU200" s="74"/>
      <c r="HV200" s="74"/>
      <c r="HW200" s="74"/>
      <c r="HX200" s="74"/>
      <c r="HY200" s="74"/>
      <c r="HZ200" s="74"/>
      <c r="IA200" s="74"/>
      <c r="IB200" s="74"/>
      <c r="IC200" s="74"/>
      <c r="ID200" s="74"/>
      <c r="IE200" s="792"/>
      <c r="IF200" s="841"/>
      <c r="IG200" s="263"/>
      <c r="IH200" s="842"/>
      <c r="II200" s="155"/>
      <c r="IJ200" s="74"/>
      <c r="IK200" s="74"/>
      <c r="IL200" s="74"/>
      <c r="IM200" s="74"/>
      <c r="IN200" s="74"/>
      <c r="IO200" s="74"/>
      <c r="IP200" s="74"/>
      <c r="IQ200" s="74"/>
      <c r="IR200" s="74"/>
      <c r="IS200" s="74"/>
      <c r="IT200" s="74"/>
      <c r="IU200" s="74"/>
      <c r="IV200" s="74"/>
      <c r="IW200" s="74"/>
      <c r="IX200" s="74"/>
      <c r="IY200" s="74"/>
      <c r="IZ200" s="74"/>
      <c r="JA200" s="74"/>
      <c r="JB200" s="74"/>
      <c r="JC200" s="74"/>
      <c r="JD200" s="74"/>
      <c r="JE200" s="74"/>
      <c r="JF200" s="74"/>
      <c r="JG200" s="74"/>
      <c r="JH200" s="74"/>
      <c r="JI200" s="74"/>
      <c r="JJ200" s="74"/>
      <c r="JK200" s="74"/>
      <c r="JL200" s="74"/>
      <c r="JM200" s="74"/>
      <c r="JN200" s="74"/>
      <c r="JO200" s="74"/>
      <c r="JP200" s="74"/>
      <c r="JQ200" s="74"/>
      <c r="JR200" s="74"/>
      <c r="JS200" s="74"/>
      <c r="JT200" s="382"/>
      <c r="JU200" s="670"/>
      <c r="JV200" s="489"/>
      <c r="JW200" s="490"/>
      <c r="JX200" s="549"/>
      <c r="JY200" s="549"/>
      <c r="JZ200" s="581"/>
      <c r="KA200" s="581"/>
      <c r="KB200" s="549"/>
      <c r="KC200" s="709">
        <f t="shared" si="4908"/>
        <v>0</v>
      </c>
      <c r="KD200" s="35"/>
      <c r="KE200" s="35"/>
      <c r="KF200" s="35"/>
      <c r="KG200" s="35"/>
      <c r="KH200" s="35"/>
      <c r="KI200" s="35"/>
      <c r="KJ200" s="35"/>
      <c r="KK200" s="35"/>
    </row>
    <row r="201" spans="1:297" s="8" customFormat="1">
      <c r="A201" s="75" t="s">
        <v>1232</v>
      </c>
      <c r="B201" s="72"/>
      <c r="C201" s="74">
        <f>C202</f>
        <v>0</v>
      </c>
      <c r="D201" s="549">
        <f t="shared" ref="D201:HC201" si="7082">D202</f>
        <v>0</v>
      </c>
      <c r="E201" s="675">
        <f t="shared" si="7082"/>
        <v>0</v>
      </c>
      <c r="F201" s="549">
        <f t="shared" si="7082"/>
        <v>0</v>
      </c>
      <c r="G201" s="675">
        <f t="shared" si="7082"/>
        <v>0</v>
      </c>
      <c r="H201" s="549">
        <f t="shared" si="7082"/>
        <v>0</v>
      </c>
      <c r="I201" s="675">
        <f t="shared" si="7082"/>
        <v>0</v>
      </c>
      <c r="J201" s="549">
        <f t="shared" si="7082"/>
        <v>0</v>
      </c>
      <c r="K201" s="675">
        <f t="shared" si="7082"/>
        <v>0</v>
      </c>
      <c r="L201" s="549">
        <f t="shared" si="7082"/>
        <v>0</v>
      </c>
      <c r="M201" s="675">
        <f t="shared" si="7082"/>
        <v>0</v>
      </c>
      <c r="N201" s="549">
        <f t="shared" si="7082"/>
        <v>0</v>
      </c>
      <c r="O201" s="675">
        <f t="shared" si="7082"/>
        <v>0</v>
      </c>
      <c r="P201" s="549">
        <f t="shared" si="7082"/>
        <v>0</v>
      </c>
      <c r="Q201" s="675">
        <f t="shared" si="7082"/>
        <v>0</v>
      </c>
      <c r="R201" s="549">
        <f t="shared" si="7082"/>
        <v>0</v>
      </c>
      <c r="S201" s="675">
        <f t="shared" si="7082"/>
        <v>0</v>
      </c>
      <c r="T201" s="549">
        <f t="shared" si="7082"/>
        <v>0</v>
      </c>
      <c r="U201" s="675">
        <f t="shared" si="7082"/>
        <v>0</v>
      </c>
      <c r="V201" s="549">
        <f t="shared" si="7082"/>
        <v>0</v>
      </c>
      <c r="W201" s="675">
        <f t="shared" si="7082"/>
        <v>0</v>
      </c>
      <c r="X201" s="549">
        <f t="shared" si="7082"/>
        <v>0</v>
      </c>
      <c r="Y201" s="675">
        <f t="shared" si="7082"/>
        <v>0</v>
      </c>
      <c r="Z201" s="549">
        <f t="shared" si="7082"/>
        <v>0</v>
      </c>
      <c r="AA201" s="675">
        <f t="shared" si="7082"/>
        <v>0</v>
      </c>
      <c r="AB201" s="549">
        <f t="shared" si="7082"/>
        <v>0</v>
      </c>
      <c r="AC201" s="675">
        <f t="shared" si="7082"/>
        <v>0</v>
      </c>
      <c r="AD201" s="549">
        <f t="shared" si="7082"/>
        <v>0</v>
      </c>
      <c r="AE201" s="675">
        <f t="shared" si="7082"/>
        <v>0</v>
      </c>
      <c r="AF201" s="549">
        <f t="shared" si="7082"/>
        <v>0</v>
      </c>
      <c r="AG201" s="675">
        <f t="shared" si="7082"/>
        <v>0</v>
      </c>
      <c r="AH201" s="549">
        <f t="shared" si="7082"/>
        <v>0</v>
      </c>
      <c r="AI201" s="675">
        <f t="shared" si="7082"/>
        <v>0</v>
      </c>
      <c r="AJ201" s="549">
        <f t="shared" si="7082"/>
        <v>0</v>
      </c>
      <c r="AK201" s="675">
        <f t="shared" si="7082"/>
        <v>0</v>
      </c>
      <c r="AL201" s="549">
        <f t="shared" si="7082"/>
        <v>0</v>
      </c>
      <c r="AM201" s="675">
        <f t="shared" si="7082"/>
        <v>0</v>
      </c>
      <c r="AN201" s="549">
        <f t="shared" si="7082"/>
        <v>0</v>
      </c>
      <c r="AO201" s="675">
        <f t="shared" si="7082"/>
        <v>0</v>
      </c>
      <c r="AP201" s="549">
        <f t="shared" si="7082"/>
        <v>0</v>
      </c>
      <c r="AQ201" s="675">
        <f t="shared" si="7082"/>
        <v>0</v>
      </c>
      <c r="AR201" s="549">
        <f t="shared" si="7082"/>
        <v>0</v>
      </c>
      <c r="AS201" s="675">
        <f t="shared" si="7082"/>
        <v>0</v>
      </c>
      <c r="AT201" s="549">
        <f t="shared" si="7082"/>
        <v>0</v>
      </c>
      <c r="AU201" s="675">
        <f t="shared" si="7082"/>
        <v>0</v>
      </c>
      <c r="AV201" s="549">
        <f t="shared" si="7082"/>
        <v>0</v>
      </c>
      <c r="AW201" s="675">
        <f t="shared" si="7082"/>
        <v>0</v>
      </c>
      <c r="AX201" s="549">
        <f t="shared" si="7082"/>
        <v>0</v>
      </c>
      <c r="AY201" s="675">
        <f t="shared" si="7082"/>
        <v>0</v>
      </c>
      <c r="AZ201" s="549">
        <f t="shared" si="7082"/>
        <v>0</v>
      </c>
      <c r="BA201" s="675">
        <f t="shared" si="7082"/>
        <v>0</v>
      </c>
      <c r="BB201" s="549">
        <f t="shared" si="7082"/>
        <v>0</v>
      </c>
      <c r="BC201" s="675">
        <f t="shared" si="7082"/>
        <v>0</v>
      </c>
      <c r="BD201" s="549">
        <f t="shared" si="7082"/>
        <v>0</v>
      </c>
      <c r="BE201" s="675">
        <f t="shared" si="7082"/>
        <v>0</v>
      </c>
      <c r="BF201" s="549">
        <f t="shared" si="7082"/>
        <v>0</v>
      </c>
      <c r="BG201" s="675">
        <f t="shared" si="7082"/>
        <v>0</v>
      </c>
      <c r="BH201" s="549">
        <f t="shared" si="7082"/>
        <v>0</v>
      </c>
      <c r="BI201" s="675">
        <f t="shared" si="7082"/>
        <v>0</v>
      </c>
      <c r="BJ201" s="549">
        <f t="shared" si="7082"/>
        <v>0</v>
      </c>
      <c r="BK201" s="675">
        <f t="shared" si="7082"/>
        <v>0</v>
      </c>
      <c r="BL201" s="549">
        <f t="shared" si="7082"/>
        <v>0</v>
      </c>
      <c r="BM201" s="675">
        <f t="shared" si="7082"/>
        <v>0</v>
      </c>
      <c r="BN201" s="549">
        <f t="shared" si="7082"/>
        <v>0</v>
      </c>
      <c r="BO201" s="675">
        <f t="shared" si="7082"/>
        <v>0</v>
      </c>
      <c r="BP201" s="549">
        <f t="shared" si="7082"/>
        <v>0</v>
      </c>
      <c r="BQ201" s="675">
        <f t="shared" si="7082"/>
        <v>0</v>
      </c>
      <c r="BR201" s="549">
        <f t="shared" si="7082"/>
        <v>0</v>
      </c>
      <c r="BS201" s="675">
        <f t="shared" si="7082"/>
        <v>0</v>
      </c>
      <c r="BT201" s="549">
        <f t="shared" si="7082"/>
        <v>0</v>
      </c>
      <c r="BU201" s="675">
        <f t="shared" si="7082"/>
        <v>0</v>
      </c>
      <c r="BV201" s="549">
        <f t="shared" si="7082"/>
        <v>0</v>
      </c>
      <c r="BW201" s="675">
        <f t="shared" si="7082"/>
        <v>0</v>
      </c>
      <c r="BX201" s="549">
        <f t="shared" si="7082"/>
        <v>0</v>
      </c>
      <c r="BY201" s="675">
        <f t="shared" si="7082"/>
        <v>0</v>
      </c>
      <c r="BZ201" s="549">
        <f t="shared" si="7082"/>
        <v>0</v>
      </c>
      <c r="CA201" s="675">
        <f t="shared" si="7082"/>
        <v>0</v>
      </c>
      <c r="CB201" s="549">
        <f t="shared" si="7082"/>
        <v>0</v>
      </c>
      <c r="CC201" s="675">
        <f t="shared" si="7082"/>
        <v>0</v>
      </c>
      <c r="CD201" s="549">
        <f t="shared" si="7082"/>
        <v>0</v>
      </c>
      <c r="CE201" s="675">
        <f t="shared" si="7082"/>
        <v>0</v>
      </c>
      <c r="CF201" s="549">
        <f t="shared" si="7082"/>
        <v>0</v>
      </c>
      <c r="CG201" s="675">
        <f t="shared" si="7082"/>
        <v>0</v>
      </c>
      <c r="CH201" s="549">
        <f t="shared" si="7082"/>
        <v>0</v>
      </c>
      <c r="CI201" s="675">
        <f t="shared" si="7082"/>
        <v>0</v>
      </c>
      <c r="CJ201" s="549">
        <f t="shared" si="7082"/>
        <v>0</v>
      </c>
      <c r="CK201" s="675">
        <f t="shared" si="7082"/>
        <v>0</v>
      </c>
      <c r="CL201" s="549">
        <f t="shared" si="7082"/>
        <v>0</v>
      </c>
      <c r="CM201" s="675">
        <f t="shared" si="7082"/>
        <v>0</v>
      </c>
      <c r="CN201" s="549">
        <f t="shared" si="7082"/>
        <v>0</v>
      </c>
      <c r="CO201" s="675">
        <f t="shared" si="7082"/>
        <v>0</v>
      </c>
      <c r="CP201" s="549">
        <f t="shared" si="7082"/>
        <v>0</v>
      </c>
      <c r="CQ201" s="675">
        <f t="shared" si="7082"/>
        <v>0</v>
      </c>
      <c r="CR201" s="549">
        <f t="shared" si="7082"/>
        <v>0</v>
      </c>
      <c r="CS201" s="675">
        <f t="shared" si="7082"/>
        <v>0</v>
      </c>
      <c r="CT201" s="549">
        <f t="shared" si="7082"/>
        <v>0</v>
      </c>
      <c r="CU201" s="675">
        <f t="shared" si="7082"/>
        <v>0</v>
      </c>
      <c r="CV201" s="549">
        <f t="shared" si="7082"/>
        <v>0</v>
      </c>
      <c r="CW201" s="675">
        <f t="shared" si="7082"/>
        <v>0</v>
      </c>
      <c r="CX201" s="549">
        <f t="shared" si="7082"/>
        <v>0</v>
      </c>
      <c r="CY201" s="675">
        <f t="shared" si="7082"/>
        <v>0</v>
      </c>
      <c r="CZ201" s="549">
        <f t="shared" si="7082"/>
        <v>0</v>
      </c>
      <c r="DA201" s="675">
        <f t="shared" si="7082"/>
        <v>0</v>
      </c>
      <c r="DB201" s="549">
        <f t="shared" si="7082"/>
        <v>0</v>
      </c>
      <c r="DC201" s="675">
        <f t="shared" si="7082"/>
        <v>0</v>
      </c>
      <c r="DD201" s="549">
        <f t="shared" si="7082"/>
        <v>0</v>
      </c>
      <c r="DE201" s="675">
        <f t="shared" si="7082"/>
        <v>0</v>
      </c>
      <c r="DF201" s="549">
        <f t="shared" si="7082"/>
        <v>0</v>
      </c>
      <c r="DG201" s="675">
        <f t="shared" si="7082"/>
        <v>0</v>
      </c>
      <c r="DH201" s="549">
        <f t="shared" si="7082"/>
        <v>0</v>
      </c>
      <c r="DI201" s="675">
        <f t="shared" si="7082"/>
        <v>0</v>
      </c>
      <c r="DJ201" s="549">
        <f t="shared" si="7082"/>
        <v>0</v>
      </c>
      <c r="DK201" s="675">
        <f t="shared" si="7082"/>
        <v>0</v>
      </c>
      <c r="DL201" s="549">
        <f t="shared" si="7082"/>
        <v>0</v>
      </c>
      <c r="DM201" s="675">
        <f t="shared" si="7082"/>
        <v>0</v>
      </c>
      <c r="DN201" s="549">
        <f t="shared" si="7082"/>
        <v>0</v>
      </c>
      <c r="DO201" s="675">
        <f t="shared" si="7082"/>
        <v>0</v>
      </c>
      <c r="DP201" s="549">
        <f t="shared" si="7082"/>
        <v>0</v>
      </c>
      <c r="DQ201" s="675">
        <f t="shared" si="7082"/>
        <v>0</v>
      </c>
      <c r="DR201" s="549">
        <f t="shared" si="7082"/>
        <v>0</v>
      </c>
      <c r="DS201" s="675">
        <f t="shared" si="7082"/>
        <v>0</v>
      </c>
      <c r="DT201" s="549">
        <f t="shared" si="7082"/>
        <v>0</v>
      </c>
      <c r="DU201" s="675">
        <f t="shared" si="7082"/>
        <v>0</v>
      </c>
      <c r="DV201" s="549">
        <f t="shared" si="7082"/>
        <v>0</v>
      </c>
      <c r="DW201" s="675">
        <f t="shared" si="7082"/>
        <v>0</v>
      </c>
      <c r="DX201" s="549">
        <f t="shared" si="7082"/>
        <v>0</v>
      </c>
      <c r="DY201" s="675">
        <f t="shared" si="7082"/>
        <v>0</v>
      </c>
      <c r="DZ201" s="549">
        <f t="shared" si="7082"/>
        <v>0</v>
      </c>
      <c r="EA201" s="675">
        <f t="shared" si="7082"/>
        <v>0</v>
      </c>
      <c r="EB201" s="549">
        <f t="shared" si="7082"/>
        <v>0</v>
      </c>
      <c r="EC201" s="675">
        <f t="shared" si="7082"/>
        <v>0</v>
      </c>
      <c r="ED201" s="549">
        <f t="shared" si="7082"/>
        <v>0</v>
      </c>
      <c r="EE201" s="675">
        <f t="shared" si="7082"/>
        <v>0</v>
      </c>
      <c r="EF201" s="549">
        <f t="shared" si="7082"/>
        <v>0</v>
      </c>
      <c r="EG201" s="675">
        <f t="shared" si="7082"/>
        <v>0</v>
      </c>
      <c r="EH201" s="549">
        <f t="shared" si="7082"/>
        <v>0</v>
      </c>
      <c r="EI201" s="675">
        <f t="shared" si="7082"/>
        <v>0</v>
      </c>
      <c r="EJ201" s="549">
        <f t="shared" si="7082"/>
        <v>0</v>
      </c>
      <c r="EK201" s="675">
        <f t="shared" si="7082"/>
        <v>0</v>
      </c>
      <c r="EL201" s="549">
        <f t="shared" si="7082"/>
        <v>0</v>
      </c>
      <c r="EM201" s="675">
        <f t="shared" si="7082"/>
        <v>0</v>
      </c>
      <c r="EN201" s="549">
        <f t="shared" si="7082"/>
        <v>0</v>
      </c>
      <c r="EO201" s="675">
        <f t="shared" si="7082"/>
        <v>0</v>
      </c>
      <c r="EP201" s="549">
        <f t="shared" si="7082"/>
        <v>0</v>
      </c>
      <c r="EQ201" s="675">
        <f t="shared" si="7082"/>
        <v>0</v>
      </c>
      <c r="ER201" s="549">
        <f t="shared" si="7082"/>
        <v>0</v>
      </c>
      <c r="ES201" s="675">
        <f t="shared" si="7082"/>
        <v>0</v>
      </c>
      <c r="ET201" s="549">
        <f t="shared" si="7082"/>
        <v>0</v>
      </c>
      <c r="EU201" s="675">
        <f t="shared" si="7082"/>
        <v>0</v>
      </c>
      <c r="EV201" s="549">
        <f t="shared" si="7082"/>
        <v>0</v>
      </c>
      <c r="EW201" s="675">
        <f t="shared" si="7082"/>
        <v>0</v>
      </c>
      <c r="EX201" s="549">
        <f t="shared" si="7082"/>
        <v>0</v>
      </c>
      <c r="EY201" s="675">
        <f t="shared" si="7082"/>
        <v>0</v>
      </c>
      <c r="EZ201" s="549">
        <f t="shared" si="7082"/>
        <v>0</v>
      </c>
      <c r="FA201" s="675">
        <f t="shared" si="7082"/>
        <v>0</v>
      </c>
      <c r="FB201" s="549">
        <f t="shared" si="7082"/>
        <v>0</v>
      </c>
      <c r="FC201" s="675">
        <f t="shared" si="7082"/>
        <v>0</v>
      </c>
      <c r="FD201" s="549">
        <f t="shared" si="7082"/>
        <v>0</v>
      </c>
      <c r="FE201" s="675">
        <f t="shared" si="7082"/>
        <v>0</v>
      </c>
      <c r="FF201" s="549">
        <f t="shared" si="7082"/>
        <v>0</v>
      </c>
      <c r="FG201" s="675">
        <f t="shared" si="7082"/>
        <v>0</v>
      </c>
      <c r="FH201" s="549">
        <f t="shared" si="7082"/>
        <v>0</v>
      </c>
      <c r="FI201" s="675">
        <f t="shared" si="7082"/>
        <v>0</v>
      </c>
      <c r="FJ201" s="549">
        <f t="shared" si="7082"/>
        <v>0</v>
      </c>
      <c r="FK201" s="675">
        <f t="shared" si="7082"/>
        <v>0</v>
      </c>
      <c r="FL201" s="549">
        <f t="shared" si="7082"/>
        <v>0</v>
      </c>
      <c r="FM201" s="675">
        <f t="shared" si="7082"/>
        <v>0</v>
      </c>
      <c r="FN201" s="549">
        <f t="shared" si="7082"/>
        <v>0</v>
      </c>
      <c r="FO201" s="675">
        <f t="shared" si="7082"/>
        <v>0</v>
      </c>
      <c r="FP201" s="549">
        <f t="shared" si="7082"/>
        <v>0</v>
      </c>
      <c r="FQ201" s="675">
        <f t="shared" si="7082"/>
        <v>0</v>
      </c>
      <c r="FR201" s="549">
        <f t="shared" si="7082"/>
        <v>0</v>
      </c>
      <c r="FS201" s="675">
        <f t="shared" si="7082"/>
        <v>0</v>
      </c>
      <c r="FT201" s="549">
        <f t="shared" si="7082"/>
        <v>0</v>
      </c>
      <c r="FU201" s="675">
        <f t="shared" si="7082"/>
        <v>0</v>
      </c>
      <c r="FV201" s="549">
        <f t="shared" si="7082"/>
        <v>0</v>
      </c>
      <c r="FW201" s="675">
        <f t="shared" si="7082"/>
        <v>0</v>
      </c>
      <c r="FX201" s="549">
        <f t="shared" si="7082"/>
        <v>0</v>
      </c>
      <c r="FY201" s="675">
        <f t="shared" si="7082"/>
        <v>0</v>
      </c>
      <c r="FZ201" s="549">
        <f t="shared" si="7082"/>
        <v>0</v>
      </c>
      <c r="GA201" s="675">
        <f t="shared" si="7082"/>
        <v>0</v>
      </c>
      <c r="GB201" s="549">
        <f t="shared" si="7082"/>
        <v>0</v>
      </c>
      <c r="GC201" s="675">
        <f t="shared" si="7082"/>
        <v>0</v>
      </c>
      <c r="GD201" s="549">
        <f t="shared" si="7082"/>
        <v>0</v>
      </c>
      <c r="GE201" s="675">
        <f t="shared" si="7082"/>
        <v>0</v>
      </c>
      <c r="GF201" s="549">
        <f t="shared" si="7082"/>
        <v>0</v>
      </c>
      <c r="GG201" s="675">
        <f t="shared" si="7082"/>
        <v>0</v>
      </c>
      <c r="GH201" s="549">
        <f t="shared" si="7082"/>
        <v>0</v>
      </c>
      <c r="GI201" s="675">
        <f t="shared" si="7082"/>
        <v>0</v>
      </c>
      <c r="GJ201" s="549">
        <f t="shared" si="7082"/>
        <v>0</v>
      </c>
      <c r="GK201" s="675">
        <f t="shared" si="7082"/>
        <v>0</v>
      </c>
      <c r="GL201" s="549">
        <f t="shared" si="7082"/>
        <v>0</v>
      </c>
      <c r="GM201" s="675">
        <f t="shared" si="7082"/>
        <v>0</v>
      </c>
      <c r="GN201" s="549">
        <f t="shared" si="7082"/>
        <v>0</v>
      </c>
      <c r="GO201" s="675">
        <f t="shared" si="7082"/>
        <v>0</v>
      </c>
      <c r="GP201" s="74">
        <f t="shared" si="7082"/>
        <v>0</v>
      </c>
      <c r="GQ201" s="675">
        <f t="shared" si="7082"/>
        <v>0</v>
      </c>
      <c r="GR201" s="74">
        <f t="shared" si="7082"/>
        <v>0</v>
      </c>
      <c r="GS201" s="74">
        <f t="shared" si="7082"/>
        <v>0</v>
      </c>
      <c r="GT201" s="549">
        <f t="shared" si="7082"/>
        <v>0</v>
      </c>
      <c r="GU201" s="74">
        <f t="shared" si="7082"/>
        <v>0</v>
      </c>
      <c r="GV201" s="74">
        <f t="shared" si="7082"/>
        <v>0</v>
      </c>
      <c r="GW201" s="549">
        <f t="shared" si="7082"/>
        <v>0</v>
      </c>
      <c r="GX201" s="549">
        <f t="shared" si="7082"/>
        <v>0</v>
      </c>
      <c r="GY201" s="74">
        <f t="shared" si="7082"/>
        <v>0</v>
      </c>
      <c r="GZ201" s="74">
        <f t="shared" si="7082"/>
        <v>0</v>
      </c>
      <c r="HA201" s="74">
        <f t="shared" si="7082"/>
        <v>0</v>
      </c>
      <c r="HB201" s="74">
        <f t="shared" si="7082"/>
        <v>0</v>
      </c>
      <c r="HC201" s="74">
        <f t="shared" si="7082"/>
        <v>0</v>
      </c>
      <c r="HD201" s="74">
        <f t="shared" ref="HD201:JO201" si="7083">HD202</f>
        <v>0</v>
      </c>
      <c r="HE201" s="74">
        <f t="shared" si="7083"/>
        <v>0</v>
      </c>
      <c r="HF201" s="74">
        <f t="shared" si="7083"/>
        <v>0</v>
      </c>
      <c r="HG201" s="74">
        <f t="shared" si="7083"/>
        <v>0</v>
      </c>
      <c r="HH201" s="74">
        <f t="shared" si="7083"/>
        <v>0</v>
      </c>
      <c r="HI201" s="74">
        <f t="shared" si="7083"/>
        <v>0</v>
      </c>
      <c r="HJ201" s="74">
        <f t="shared" si="7083"/>
        <v>0</v>
      </c>
      <c r="HK201" s="74">
        <f t="shared" si="7083"/>
        <v>0</v>
      </c>
      <c r="HL201" s="74">
        <f t="shared" si="7083"/>
        <v>0</v>
      </c>
      <c r="HM201" s="74">
        <f t="shared" si="7083"/>
        <v>0</v>
      </c>
      <c r="HN201" s="74">
        <f t="shared" si="7083"/>
        <v>0</v>
      </c>
      <c r="HO201" s="74">
        <f t="shared" si="7083"/>
        <v>0</v>
      </c>
      <c r="HP201" s="74">
        <f t="shared" si="7083"/>
        <v>0</v>
      </c>
      <c r="HQ201" s="74">
        <f t="shared" si="7083"/>
        <v>0</v>
      </c>
      <c r="HR201" s="74">
        <f t="shared" si="7083"/>
        <v>0</v>
      </c>
      <c r="HS201" s="74">
        <f t="shared" si="7083"/>
        <v>0</v>
      </c>
      <c r="HT201" s="74">
        <f t="shared" si="7083"/>
        <v>0</v>
      </c>
      <c r="HU201" s="74">
        <f t="shared" si="7083"/>
        <v>0</v>
      </c>
      <c r="HV201" s="74">
        <f t="shared" si="7083"/>
        <v>0</v>
      </c>
      <c r="HW201" s="74">
        <f t="shared" si="7083"/>
        <v>0</v>
      </c>
      <c r="HX201" s="74">
        <f t="shared" si="7083"/>
        <v>0</v>
      </c>
      <c r="HY201" s="74">
        <f t="shared" si="7083"/>
        <v>0</v>
      </c>
      <c r="HZ201" s="74">
        <f t="shared" si="7083"/>
        <v>0</v>
      </c>
      <c r="IA201" s="74">
        <f t="shared" si="7083"/>
        <v>0</v>
      </c>
      <c r="IB201" s="74">
        <f t="shared" si="7083"/>
        <v>0</v>
      </c>
      <c r="IC201" s="74">
        <f t="shared" si="7083"/>
        <v>0</v>
      </c>
      <c r="ID201" s="74">
        <f t="shared" si="7083"/>
        <v>0</v>
      </c>
      <c r="IE201" s="792">
        <f t="shared" si="7083"/>
        <v>0</v>
      </c>
      <c r="IF201" s="841">
        <f t="shared" si="7083"/>
        <v>0</v>
      </c>
      <c r="IG201" s="263">
        <f t="shared" si="7083"/>
        <v>0</v>
      </c>
      <c r="IH201" s="842">
        <f t="shared" si="7083"/>
        <v>0</v>
      </c>
      <c r="II201" s="155">
        <f t="shared" si="7083"/>
        <v>0</v>
      </c>
      <c r="IJ201" s="74">
        <f t="shared" si="7083"/>
        <v>0</v>
      </c>
      <c r="IK201" s="74">
        <f t="shared" si="7083"/>
        <v>0</v>
      </c>
      <c r="IL201" s="74">
        <f t="shared" si="7083"/>
        <v>0</v>
      </c>
      <c r="IM201" s="74">
        <f t="shared" si="7083"/>
        <v>0</v>
      </c>
      <c r="IN201" s="74">
        <f t="shared" si="7083"/>
        <v>0</v>
      </c>
      <c r="IO201" s="74">
        <f t="shared" si="7083"/>
        <v>0</v>
      </c>
      <c r="IP201" s="74">
        <f t="shared" si="7083"/>
        <v>0</v>
      </c>
      <c r="IQ201" s="74">
        <f t="shared" si="7083"/>
        <v>0</v>
      </c>
      <c r="IR201" s="74">
        <f t="shared" si="7083"/>
        <v>0</v>
      </c>
      <c r="IS201" s="74">
        <f t="shared" si="7083"/>
        <v>0</v>
      </c>
      <c r="IT201" s="74">
        <f t="shared" si="7083"/>
        <v>0</v>
      </c>
      <c r="IU201" s="74">
        <f t="shared" si="7083"/>
        <v>0</v>
      </c>
      <c r="IV201" s="74">
        <f t="shared" si="7083"/>
        <v>0</v>
      </c>
      <c r="IW201" s="74">
        <f t="shared" si="7083"/>
        <v>0</v>
      </c>
      <c r="IX201" s="74">
        <f t="shared" si="7083"/>
        <v>0</v>
      </c>
      <c r="IY201" s="74">
        <f t="shared" si="7083"/>
        <v>0</v>
      </c>
      <c r="IZ201" s="74">
        <f t="shared" si="7083"/>
        <v>0</v>
      </c>
      <c r="JA201" s="74">
        <f t="shared" si="7083"/>
        <v>0</v>
      </c>
      <c r="JB201" s="74">
        <f t="shared" si="7083"/>
        <v>0</v>
      </c>
      <c r="JC201" s="74">
        <f t="shared" si="7083"/>
        <v>0</v>
      </c>
      <c r="JD201" s="74">
        <f t="shared" si="7083"/>
        <v>0</v>
      </c>
      <c r="JE201" s="74">
        <f t="shared" si="7083"/>
        <v>0</v>
      </c>
      <c r="JF201" s="74">
        <f t="shared" si="7083"/>
        <v>0</v>
      </c>
      <c r="JG201" s="74">
        <f t="shared" si="7083"/>
        <v>0</v>
      </c>
      <c r="JH201" s="74">
        <f t="shared" si="7083"/>
        <v>0</v>
      </c>
      <c r="JI201" s="74">
        <f t="shared" si="7083"/>
        <v>0</v>
      </c>
      <c r="JJ201" s="74">
        <f t="shared" si="7083"/>
        <v>0</v>
      </c>
      <c r="JK201" s="74">
        <f t="shared" si="7083"/>
        <v>0</v>
      </c>
      <c r="JL201" s="74">
        <f t="shared" si="7083"/>
        <v>0</v>
      </c>
      <c r="JM201" s="74">
        <f t="shared" si="7083"/>
        <v>0</v>
      </c>
      <c r="JN201" s="74">
        <f t="shared" si="7083"/>
        <v>0</v>
      </c>
      <c r="JO201" s="74">
        <f t="shared" si="7083"/>
        <v>0</v>
      </c>
      <c r="JP201" s="74">
        <f t="shared" ref="JP201:JT201" si="7084">JP202</f>
        <v>0</v>
      </c>
      <c r="JQ201" s="74">
        <f t="shared" si="7084"/>
        <v>0</v>
      </c>
      <c r="JR201" s="74">
        <f t="shared" si="7084"/>
        <v>0</v>
      </c>
      <c r="JS201" s="74">
        <f t="shared" si="7084"/>
        <v>0</v>
      </c>
      <c r="JT201" s="382">
        <f t="shared" si="7084"/>
        <v>0</v>
      </c>
      <c r="JU201" s="670"/>
      <c r="JV201" s="489"/>
      <c r="JW201" s="528"/>
      <c r="JX201" s="549">
        <f t="shared" ref="JX201:KB201" si="7085">SUM(JX202)</f>
        <v>0</v>
      </c>
      <c r="JY201" s="549">
        <f t="shared" si="7085"/>
        <v>0</v>
      </c>
      <c r="JZ201" s="581">
        <f t="shared" ref="JZ201" si="7086">GP201</f>
        <v>0</v>
      </c>
      <c r="KA201" s="581">
        <f t="shared" ref="KA201" si="7087">GQ201</f>
        <v>0</v>
      </c>
      <c r="KB201" s="549">
        <f t="shared" si="7085"/>
        <v>0</v>
      </c>
      <c r="KC201" s="709">
        <f t="shared" si="4908"/>
        <v>0</v>
      </c>
      <c r="KD201" s="34"/>
      <c r="KE201" s="34"/>
      <c r="KF201" s="34"/>
      <c r="KG201" s="34"/>
      <c r="KH201" s="34"/>
      <c r="KI201" s="34"/>
      <c r="KJ201" s="34"/>
      <c r="KK201" s="34"/>
    </row>
    <row r="202" spans="1:297" s="8" customFormat="1">
      <c r="A202" s="75" t="s">
        <v>1233</v>
      </c>
      <c r="B202" s="72"/>
      <c r="C202" s="74">
        <f>C533</f>
        <v>0</v>
      </c>
      <c r="D202" s="549">
        <f t="shared" ref="D202:E202" si="7088">D533</f>
        <v>0</v>
      </c>
      <c r="E202" s="675">
        <f t="shared" si="7088"/>
        <v>0</v>
      </c>
      <c r="F202" s="549">
        <f t="shared" ref="F202:G202" si="7089">F533</f>
        <v>0</v>
      </c>
      <c r="G202" s="675">
        <f t="shared" si="7089"/>
        <v>0</v>
      </c>
      <c r="H202" s="549">
        <f t="shared" ref="H202:I202" si="7090">H533</f>
        <v>0</v>
      </c>
      <c r="I202" s="675">
        <f t="shared" si="7090"/>
        <v>0</v>
      </c>
      <c r="J202" s="549">
        <f t="shared" ref="J202:K202" si="7091">J533</f>
        <v>0</v>
      </c>
      <c r="K202" s="675">
        <f t="shared" si="7091"/>
        <v>0</v>
      </c>
      <c r="L202" s="549">
        <f t="shared" ref="L202:M202" si="7092">L533</f>
        <v>0</v>
      </c>
      <c r="M202" s="675">
        <f t="shared" si="7092"/>
        <v>0</v>
      </c>
      <c r="N202" s="549">
        <f t="shared" ref="N202:O202" si="7093">N533</f>
        <v>0</v>
      </c>
      <c r="O202" s="675">
        <f t="shared" si="7093"/>
        <v>0</v>
      </c>
      <c r="P202" s="549">
        <f t="shared" ref="P202:Q202" si="7094">P533</f>
        <v>0</v>
      </c>
      <c r="Q202" s="675">
        <f t="shared" si="7094"/>
        <v>0</v>
      </c>
      <c r="R202" s="549">
        <f t="shared" ref="R202:S202" si="7095">R533</f>
        <v>0</v>
      </c>
      <c r="S202" s="675">
        <f t="shared" si="7095"/>
        <v>0</v>
      </c>
      <c r="T202" s="549">
        <f t="shared" ref="T202:U202" si="7096">T533</f>
        <v>0</v>
      </c>
      <c r="U202" s="675">
        <f t="shared" si="7096"/>
        <v>0</v>
      </c>
      <c r="V202" s="549">
        <f t="shared" ref="V202:W202" si="7097">V533</f>
        <v>0</v>
      </c>
      <c r="W202" s="675">
        <f t="shared" si="7097"/>
        <v>0</v>
      </c>
      <c r="X202" s="549">
        <f t="shared" ref="X202:Y202" si="7098">X533</f>
        <v>0</v>
      </c>
      <c r="Y202" s="675">
        <f t="shared" si="7098"/>
        <v>0</v>
      </c>
      <c r="Z202" s="549">
        <f t="shared" ref="Z202:AA202" si="7099">Z533</f>
        <v>0</v>
      </c>
      <c r="AA202" s="675">
        <f t="shared" si="7099"/>
        <v>0</v>
      </c>
      <c r="AB202" s="549">
        <f t="shared" ref="AB202:AC202" si="7100">AB533</f>
        <v>0</v>
      </c>
      <c r="AC202" s="675">
        <f t="shared" si="7100"/>
        <v>0</v>
      </c>
      <c r="AD202" s="549">
        <f t="shared" ref="AD202:AE202" si="7101">AD533</f>
        <v>0</v>
      </c>
      <c r="AE202" s="675">
        <f t="shared" si="7101"/>
        <v>0</v>
      </c>
      <c r="AF202" s="549">
        <f t="shared" ref="AF202:AG202" si="7102">AF533</f>
        <v>0</v>
      </c>
      <c r="AG202" s="675">
        <f t="shared" si="7102"/>
        <v>0</v>
      </c>
      <c r="AH202" s="549">
        <f t="shared" ref="AH202:AI202" si="7103">AH533</f>
        <v>0</v>
      </c>
      <c r="AI202" s="675">
        <f t="shared" si="7103"/>
        <v>0</v>
      </c>
      <c r="AJ202" s="549">
        <f t="shared" ref="AJ202:AK202" si="7104">AJ533</f>
        <v>0</v>
      </c>
      <c r="AK202" s="675">
        <f t="shared" si="7104"/>
        <v>0</v>
      </c>
      <c r="AL202" s="549">
        <f t="shared" ref="AL202:AM202" si="7105">AL533</f>
        <v>0</v>
      </c>
      <c r="AM202" s="675">
        <f t="shared" si="7105"/>
        <v>0</v>
      </c>
      <c r="AN202" s="549">
        <f t="shared" ref="AN202:AO202" si="7106">AN533</f>
        <v>0</v>
      </c>
      <c r="AO202" s="675">
        <f t="shared" si="7106"/>
        <v>0</v>
      </c>
      <c r="AP202" s="549">
        <f t="shared" ref="AP202:AQ202" si="7107">AP533</f>
        <v>0</v>
      </c>
      <c r="AQ202" s="675">
        <f t="shared" si="7107"/>
        <v>0</v>
      </c>
      <c r="AR202" s="549">
        <f t="shared" ref="AR202:AS202" si="7108">AR533</f>
        <v>0</v>
      </c>
      <c r="AS202" s="675">
        <f t="shared" si="7108"/>
        <v>0</v>
      </c>
      <c r="AT202" s="549">
        <f t="shared" ref="AT202:AU202" si="7109">AT533</f>
        <v>0</v>
      </c>
      <c r="AU202" s="675">
        <f t="shared" si="7109"/>
        <v>0</v>
      </c>
      <c r="AV202" s="549">
        <f t="shared" ref="AV202:AW202" si="7110">AV533</f>
        <v>0</v>
      </c>
      <c r="AW202" s="675">
        <f t="shared" si="7110"/>
        <v>0</v>
      </c>
      <c r="AX202" s="549">
        <f t="shared" ref="AX202:AY202" si="7111">AX533</f>
        <v>0</v>
      </c>
      <c r="AY202" s="675">
        <f t="shared" si="7111"/>
        <v>0</v>
      </c>
      <c r="AZ202" s="549">
        <f t="shared" ref="AZ202:BO202" si="7112">AZ533</f>
        <v>0</v>
      </c>
      <c r="BA202" s="675">
        <f t="shared" si="7112"/>
        <v>0</v>
      </c>
      <c r="BB202" s="549">
        <f t="shared" si="7112"/>
        <v>0</v>
      </c>
      <c r="BC202" s="675">
        <f t="shared" si="7112"/>
        <v>0</v>
      </c>
      <c r="BD202" s="549">
        <f t="shared" si="7112"/>
        <v>0</v>
      </c>
      <c r="BE202" s="675">
        <f t="shared" si="7112"/>
        <v>0</v>
      </c>
      <c r="BF202" s="549">
        <f t="shared" si="7112"/>
        <v>0</v>
      </c>
      <c r="BG202" s="675">
        <f t="shared" si="7112"/>
        <v>0</v>
      </c>
      <c r="BH202" s="549">
        <f t="shared" si="7112"/>
        <v>0</v>
      </c>
      <c r="BI202" s="675">
        <f t="shared" si="7112"/>
        <v>0</v>
      </c>
      <c r="BJ202" s="549">
        <f t="shared" si="7112"/>
        <v>0</v>
      </c>
      <c r="BK202" s="675">
        <f t="shared" si="7112"/>
        <v>0</v>
      </c>
      <c r="BL202" s="549">
        <f t="shared" si="7112"/>
        <v>0</v>
      </c>
      <c r="BM202" s="675">
        <f t="shared" si="7112"/>
        <v>0</v>
      </c>
      <c r="BN202" s="549">
        <f t="shared" si="7112"/>
        <v>0</v>
      </c>
      <c r="BO202" s="675">
        <f t="shared" si="7112"/>
        <v>0</v>
      </c>
      <c r="BP202" s="549">
        <f t="shared" ref="BP202:BQ202" si="7113">BP533</f>
        <v>0</v>
      </c>
      <c r="BQ202" s="675">
        <f t="shared" si="7113"/>
        <v>0</v>
      </c>
      <c r="BR202" s="549">
        <f t="shared" ref="BR202:BS202" si="7114">BR533</f>
        <v>0</v>
      </c>
      <c r="BS202" s="675">
        <f t="shared" si="7114"/>
        <v>0</v>
      </c>
      <c r="BT202" s="549">
        <f t="shared" ref="BT202:BU202" si="7115">BT533</f>
        <v>0</v>
      </c>
      <c r="BU202" s="675">
        <f t="shared" si="7115"/>
        <v>0</v>
      </c>
      <c r="BV202" s="549">
        <f t="shared" ref="BV202:BW202" si="7116">BV533</f>
        <v>0</v>
      </c>
      <c r="BW202" s="675">
        <f t="shared" si="7116"/>
        <v>0</v>
      </c>
      <c r="BX202" s="549">
        <f t="shared" ref="BX202:BY202" si="7117">BX533</f>
        <v>0</v>
      </c>
      <c r="BY202" s="675">
        <f t="shared" si="7117"/>
        <v>0</v>
      </c>
      <c r="BZ202" s="549">
        <f t="shared" ref="BZ202:CA202" si="7118">BZ533</f>
        <v>0</v>
      </c>
      <c r="CA202" s="675">
        <f t="shared" si="7118"/>
        <v>0</v>
      </c>
      <c r="CB202" s="549">
        <f t="shared" ref="CB202:EA202" si="7119">CB533</f>
        <v>0</v>
      </c>
      <c r="CC202" s="675">
        <f t="shared" si="7119"/>
        <v>0</v>
      </c>
      <c r="CD202" s="549">
        <f t="shared" si="7119"/>
        <v>0</v>
      </c>
      <c r="CE202" s="675">
        <f t="shared" si="7119"/>
        <v>0</v>
      </c>
      <c r="CF202" s="549">
        <f t="shared" si="7119"/>
        <v>0</v>
      </c>
      <c r="CG202" s="675">
        <f t="shared" si="7119"/>
        <v>0</v>
      </c>
      <c r="CH202" s="549">
        <f t="shared" si="7119"/>
        <v>0</v>
      </c>
      <c r="CI202" s="675">
        <f t="shared" si="7119"/>
        <v>0</v>
      </c>
      <c r="CJ202" s="549">
        <f t="shared" si="7119"/>
        <v>0</v>
      </c>
      <c r="CK202" s="675">
        <f t="shared" si="7119"/>
        <v>0</v>
      </c>
      <c r="CL202" s="549">
        <f t="shared" si="7119"/>
        <v>0</v>
      </c>
      <c r="CM202" s="675">
        <f t="shared" si="7119"/>
        <v>0</v>
      </c>
      <c r="CN202" s="549">
        <f t="shared" si="7119"/>
        <v>0</v>
      </c>
      <c r="CO202" s="675">
        <f t="shared" si="7119"/>
        <v>0</v>
      </c>
      <c r="CP202" s="549">
        <f t="shared" si="7119"/>
        <v>0</v>
      </c>
      <c r="CQ202" s="675">
        <f t="shared" si="7119"/>
        <v>0</v>
      </c>
      <c r="CR202" s="549">
        <f t="shared" si="7119"/>
        <v>0</v>
      </c>
      <c r="CS202" s="675">
        <f t="shared" si="7119"/>
        <v>0</v>
      </c>
      <c r="CT202" s="549">
        <f t="shared" si="7119"/>
        <v>0</v>
      </c>
      <c r="CU202" s="675">
        <f t="shared" si="7119"/>
        <v>0</v>
      </c>
      <c r="CV202" s="549">
        <f t="shared" si="7119"/>
        <v>0</v>
      </c>
      <c r="CW202" s="675">
        <f t="shared" si="7119"/>
        <v>0</v>
      </c>
      <c r="CX202" s="549">
        <f t="shared" si="7119"/>
        <v>0</v>
      </c>
      <c r="CY202" s="675">
        <f t="shared" si="7119"/>
        <v>0</v>
      </c>
      <c r="CZ202" s="549">
        <f t="shared" si="7119"/>
        <v>0</v>
      </c>
      <c r="DA202" s="675">
        <f t="shared" si="7119"/>
        <v>0</v>
      </c>
      <c r="DB202" s="549">
        <f t="shared" si="7119"/>
        <v>0</v>
      </c>
      <c r="DC202" s="675">
        <f t="shared" si="7119"/>
        <v>0</v>
      </c>
      <c r="DD202" s="549">
        <f t="shared" si="7119"/>
        <v>0</v>
      </c>
      <c r="DE202" s="675">
        <f t="shared" si="7119"/>
        <v>0</v>
      </c>
      <c r="DF202" s="549">
        <f t="shared" si="7119"/>
        <v>0</v>
      </c>
      <c r="DG202" s="675">
        <f t="shared" si="7119"/>
        <v>0</v>
      </c>
      <c r="DH202" s="549">
        <f t="shared" si="7119"/>
        <v>0</v>
      </c>
      <c r="DI202" s="675">
        <f t="shared" si="7119"/>
        <v>0</v>
      </c>
      <c r="DJ202" s="549">
        <f t="shared" si="7119"/>
        <v>0</v>
      </c>
      <c r="DK202" s="675">
        <f t="shared" si="7119"/>
        <v>0</v>
      </c>
      <c r="DL202" s="549">
        <f t="shared" si="7119"/>
        <v>0</v>
      </c>
      <c r="DM202" s="675">
        <f t="shared" si="7119"/>
        <v>0</v>
      </c>
      <c r="DN202" s="549">
        <f t="shared" si="7119"/>
        <v>0</v>
      </c>
      <c r="DO202" s="675">
        <f t="shared" si="7119"/>
        <v>0</v>
      </c>
      <c r="DP202" s="549">
        <f t="shared" si="7119"/>
        <v>0</v>
      </c>
      <c r="DQ202" s="675">
        <f t="shared" si="7119"/>
        <v>0</v>
      </c>
      <c r="DR202" s="549">
        <f t="shared" si="7119"/>
        <v>0</v>
      </c>
      <c r="DS202" s="675">
        <f t="shared" si="7119"/>
        <v>0</v>
      </c>
      <c r="DT202" s="549">
        <f t="shared" si="7119"/>
        <v>0</v>
      </c>
      <c r="DU202" s="675">
        <f t="shared" si="7119"/>
        <v>0</v>
      </c>
      <c r="DV202" s="549">
        <f t="shared" si="7119"/>
        <v>0</v>
      </c>
      <c r="DW202" s="675">
        <f t="shared" si="7119"/>
        <v>0</v>
      </c>
      <c r="DX202" s="549">
        <f t="shared" si="7119"/>
        <v>0</v>
      </c>
      <c r="DY202" s="675">
        <f t="shared" si="7119"/>
        <v>0</v>
      </c>
      <c r="DZ202" s="549">
        <f t="shared" si="7119"/>
        <v>0</v>
      </c>
      <c r="EA202" s="675">
        <f t="shared" si="7119"/>
        <v>0</v>
      </c>
      <c r="EB202" s="549">
        <f t="shared" ref="EB202:EC202" si="7120">EB533</f>
        <v>0</v>
      </c>
      <c r="EC202" s="675">
        <f t="shared" si="7120"/>
        <v>0</v>
      </c>
      <c r="ED202" s="549">
        <f t="shared" ref="ED202:HC202" si="7121">ED533</f>
        <v>0</v>
      </c>
      <c r="EE202" s="675">
        <f t="shared" si="7121"/>
        <v>0</v>
      </c>
      <c r="EF202" s="549">
        <f t="shared" si="7121"/>
        <v>0</v>
      </c>
      <c r="EG202" s="675">
        <f t="shared" si="7121"/>
        <v>0</v>
      </c>
      <c r="EH202" s="549">
        <f t="shared" si="7121"/>
        <v>0</v>
      </c>
      <c r="EI202" s="675">
        <f t="shared" si="7121"/>
        <v>0</v>
      </c>
      <c r="EJ202" s="549">
        <f t="shared" si="7121"/>
        <v>0</v>
      </c>
      <c r="EK202" s="675">
        <f t="shared" si="7121"/>
        <v>0</v>
      </c>
      <c r="EL202" s="549">
        <f t="shared" si="7121"/>
        <v>0</v>
      </c>
      <c r="EM202" s="675">
        <f t="shared" si="7121"/>
        <v>0</v>
      </c>
      <c r="EN202" s="549">
        <f t="shared" si="7121"/>
        <v>0</v>
      </c>
      <c r="EO202" s="675">
        <f t="shared" si="7121"/>
        <v>0</v>
      </c>
      <c r="EP202" s="549">
        <f t="shared" si="7121"/>
        <v>0</v>
      </c>
      <c r="EQ202" s="675">
        <f t="shared" si="7121"/>
        <v>0</v>
      </c>
      <c r="ER202" s="549">
        <f t="shared" si="7121"/>
        <v>0</v>
      </c>
      <c r="ES202" s="675">
        <f t="shared" si="7121"/>
        <v>0</v>
      </c>
      <c r="ET202" s="549">
        <f t="shared" si="7121"/>
        <v>0</v>
      </c>
      <c r="EU202" s="675">
        <f t="shared" si="7121"/>
        <v>0</v>
      </c>
      <c r="EV202" s="549">
        <f t="shared" si="7121"/>
        <v>0</v>
      </c>
      <c r="EW202" s="675">
        <f t="shared" si="7121"/>
        <v>0</v>
      </c>
      <c r="EX202" s="549">
        <f t="shared" si="7121"/>
        <v>0</v>
      </c>
      <c r="EY202" s="675">
        <f t="shared" si="7121"/>
        <v>0</v>
      </c>
      <c r="EZ202" s="549">
        <f t="shared" si="7121"/>
        <v>0</v>
      </c>
      <c r="FA202" s="675">
        <f t="shared" si="7121"/>
        <v>0</v>
      </c>
      <c r="FB202" s="549">
        <f t="shared" si="7121"/>
        <v>0</v>
      </c>
      <c r="FC202" s="675">
        <f t="shared" si="7121"/>
        <v>0</v>
      </c>
      <c r="FD202" s="549">
        <f t="shared" si="7121"/>
        <v>0</v>
      </c>
      <c r="FE202" s="675">
        <f t="shared" si="7121"/>
        <v>0</v>
      </c>
      <c r="FF202" s="549">
        <f t="shared" si="7121"/>
        <v>0</v>
      </c>
      <c r="FG202" s="675">
        <f t="shared" si="7121"/>
        <v>0</v>
      </c>
      <c r="FH202" s="549">
        <f t="shared" si="7121"/>
        <v>0</v>
      </c>
      <c r="FI202" s="675">
        <f t="shared" si="7121"/>
        <v>0</v>
      </c>
      <c r="FJ202" s="549">
        <f t="shared" si="7121"/>
        <v>0</v>
      </c>
      <c r="FK202" s="675">
        <f t="shared" si="7121"/>
        <v>0</v>
      </c>
      <c r="FL202" s="549">
        <f t="shared" si="7121"/>
        <v>0</v>
      </c>
      <c r="FM202" s="675">
        <f t="shared" si="7121"/>
        <v>0</v>
      </c>
      <c r="FN202" s="549">
        <f t="shared" si="7121"/>
        <v>0</v>
      </c>
      <c r="FO202" s="675">
        <f t="shared" si="7121"/>
        <v>0</v>
      </c>
      <c r="FP202" s="549">
        <f t="shared" si="7121"/>
        <v>0</v>
      </c>
      <c r="FQ202" s="675">
        <f t="shared" si="7121"/>
        <v>0</v>
      </c>
      <c r="FR202" s="549">
        <f t="shared" si="7121"/>
        <v>0</v>
      </c>
      <c r="FS202" s="675">
        <f t="shared" si="7121"/>
        <v>0</v>
      </c>
      <c r="FT202" s="549">
        <f t="shared" si="7121"/>
        <v>0</v>
      </c>
      <c r="FU202" s="675">
        <f t="shared" si="7121"/>
        <v>0</v>
      </c>
      <c r="FV202" s="549">
        <f t="shared" si="7121"/>
        <v>0</v>
      </c>
      <c r="FW202" s="675">
        <f t="shared" si="7121"/>
        <v>0</v>
      </c>
      <c r="FX202" s="549">
        <f t="shared" ref="FX202:GK202" si="7122">FX533</f>
        <v>0</v>
      </c>
      <c r="FY202" s="675">
        <f t="shared" si="7122"/>
        <v>0</v>
      </c>
      <c r="FZ202" s="549">
        <f t="shared" ref="FZ202:GI202" si="7123">FZ533</f>
        <v>0</v>
      </c>
      <c r="GA202" s="675">
        <f t="shared" si="7123"/>
        <v>0</v>
      </c>
      <c r="GB202" s="549">
        <f t="shared" si="7123"/>
        <v>0</v>
      </c>
      <c r="GC202" s="675">
        <f t="shared" si="7123"/>
        <v>0</v>
      </c>
      <c r="GD202" s="549">
        <f t="shared" si="7123"/>
        <v>0</v>
      </c>
      <c r="GE202" s="675">
        <f t="shared" si="7123"/>
        <v>0</v>
      </c>
      <c r="GF202" s="549">
        <f t="shared" si="7123"/>
        <v>0</v>
      </c>
      <c r="GG202" s="675">
        <f t="shared" si="7123"/>
        <v>0</v>
      </c>
      <c r="GH202" s="549">
        <f t="shared" si="7123"/>
        <v>0</v>
      </c>
      <c r="GI202" s="675">
        <f t="shared" si="7123"/>
        <v>0</v>
      </c>
      <c r="GJ202" s="549">
        <f t="shared" si="7122"/>
        <v>0</v>
      </c>
      <c r="GK202" s="675">
        <f t="shared" si="7122"/>
        <v>0</v>
      </c>
      <c r="GL202" s="549">
        <f t="shared" si="7121"/>
        <v>0</v>
      </c>
      <c r="GM202" s="675">
        <f t="shared" si="7121"/>
        <v>0</v>
      </c>
      <c r="GN202" s="549">
        <f t="shared" ref="GN202:GO202" si="7124">GN533</f>
        <v>0</v>
      </c>
      <c r="GO202" s="675">
        <f t="shared" si="7124"/>
        <v>0</v>
      </c>
      <c r="GP202" s="74">
        <f t="shared" si="7121"/>
        <v>0</v>
      </c>
      <c r="GQ202" s="675">
        <f t="shared" si="7121"/>
        <v>0</v>
      </c>
      <c r="GR202" s="74">
        <f t="shared" si="7121"/>
        <v>0</v>
      </c>
      <c r="GS202" s="74">
        <f t="shared" si="7121"/>
        <v>0</v>
      </c>
      <c r="GT202" s="549">
        <f t="shared" si="7121"/>
        <v>0</v>
      </c>
      <c r="GU202" s="74">
        <f t="shared" si="7121"/>
        <v>0</v>
      </c>
      <c r="GV202" s="74">
        <f t="shared" si="7121"/>
        <v>0</v>
      </c>
      <c r="GW202" s="549">
        <f t="shared" si="7121"/>
        <v>0</v>
      </c>
      <c r="GX202" s="549">
        <f t="shared" si="7121"/>
        <v>0</v>
      </c>
      <c r="GY202" s="74">
        <f t="shared" si="7121"/>
        <v>0</v>
      </c>
      <c r="GZ202" s="74">
        <f t="shared" si="7121"/>
        <v>0</v>
      </c>
      <c r="HA202" s="74">
        <f t="shared" si="7121"/>
        <v>0</v>
      </c>
      <c r="HB202" s="74">
        <f t="shared" si="7121"/>
        <v>0</v>
      </c>
      <c r="HC202" s="74">
        <f t="shared" si="7121"/>
        <v>0</v>
      </c>
      <c r="HD202" s="74">
        <f t="shared" ref="HD202:JO202" si="7125">HD533</f>
        <v>0</v>
      </c>
      <c r="HE202" s="74">
        <f t="shared" si="7125"/>
        <v>0</v>
      </c>
      <c r="HF202" s="74">
        <f t="shared" si="7125"/>
        <v>0</v>
      </c>
      <c r="HG202" s="74">
        <f t="shared" si="7125"/>
        <v>0</v>
      </c>
      <c r="HH202" s="74">
        <f t="shared" si="7125"/>
        <v>0</v>
      </c>
      <c r="HI202" s="74">
        <f t="shared" si="7125"/>
        <v>0</v>
      </c>
      <c r="HJ202" s="74">
        <f t="shared" si="7125"/>
        <v>0</v>
      </c>
      <c r="HK202" s="74">
        <f t="shared" si="7125"/>
        <v>0</v>
      </c>
      <c r="HL202" s="74">
        <f t="shared" si="7125"/>
        <v>0</v>
      </c>
      <c r="HM202" s="74">
        <f t="shared" si="7125"/>
        <v>0</v>
      </c>
      <c r="HN202" s="74">
        <f t="shared" si="7125"/>
        <v>0</v>
      </c>
      <c r="HO202" s="74">
        <f t="shared" si="7125"/>
        <v>0</v>
      </c>
      <c r="HP202" s="74">
        <f t="shared" si="7125"/>
        <v>0</v>
      </c>
      <c r="HQ202" s="74">
        <f t="shared" si="7125"/>
        <v>0</v>
      </c>
      <c r="HR202" s="74">
        <f t="shared" si="7125"/>
        <v>0</v>
      </c>
      <c r="HS202" s="74">
        <f t="shared" si="7125"/>
        <v>0</v>
      </c>
      <c r="HT202" s="74">
        <f t="shared" si="7125"/>
        <v>0</v>
      </c>
      <c r="HU202" s="74">
        <f t="shared" si="7125"/>
        <v>0</v>
      </c>
      <c r="HV202" s="74">
        <f t="shared" si="7125"/>
        <v>0</v>
      </c>
      <c r="HW202" s="74">
        <f t="shared" si="7125"/>
        <v>0</v>
      </c>
      <c r="HX202" s="74">
        <f t="shared" si="7125"/>
        <v>0</v>
      </c>
      <c r="HY202" s="74">
        <f t="shared" si="7125"/>
        <v>0</v>
      </c>
      <c r="HZ202" s="74">
        <f t="shared" si="7125"/>
        <v>0</v>
      </c>
      <c r="IA202" s="74">
        <f t="shared" si="7125"/>
        <v>0</v>
      </c>
      <c r="IB202" s="74">
        <f t="shared" si="7125"/>
        <v>0</v>
      </c>
      <c r="IC202" s="74">
        <f t="shared" si="7125"/>
        <v>0</v>
      </c>
      <c r="ID202" s="74">
        <f t="shared" si="7125"/>
        <v>0</v>
      </c>
      <c r="IE202" s="792">
        <f t="shared" si="7125"/>
        <v>0</v>
      </c>
      <c r="IF202" s="841">
        <f t="shared" si="7125"/>
        <v>0</v>
      </c>
      <c r="IG202" s="263">
        <f t="shared" si="7125"/>
        <v>0</v>
      </c>
      <c r="IH202" s="842">
        <f t="shared" si="7125"/>
        <v>0</v>
      </c>
      <c r="II202" s="155">
        <f t="shared" si="7125"/>
        <v>0</v>
      </c>
      <c r="IJ202" s="74">
        <f t="shared" si="7125"/>
        <v>0</v>
      </c>
      <c r="IK202" s="74">
        <f t="shared" si="7125"/>
        <v>0</v>
      </c>
      <c r="IL202" s="74">
        <f t="shared" si="7125"/>
        <v>0</v>
      </c>
      <c r="IM202" s="74">
        <f t="shared" si="7125"/>
        <v>0</v>
      </c>
      <c r="IN202" s="74">
        <f t="shared" si="7125"/>
        <v>0</v>
      </c>
      <c r="IO202" s="74">
        <f t="shared" si="7125"/>
        <v>0</v>
      </c>
      <c r="IP202" s="74">
        <f t="shared" si="7125"/>
        <v>0</v>
      </c>
      <c r="IQ202" s="74">
        <f t="shared" si="7125"/>
        <v>0</v>
      </c>
      <c r="IR202" s="74">
        <f t="shared" si="7125"/>
        <v>0</v>
      </c>
      <c r="IS202" s="74">
        <f t="shared" si="7125"/>
        <v>0</v>
      </c>
      <c r="IT202" s="74">
        <f t="shared" si="7125"/>
        <v>0</v>
      </c>
      <c r="IU202" s="74">
        <f t="shared" si="7125"/>
        <v>0</v>
      </c>
      <c r="IV202" s="74">
        <f t="shared" si="7125"/>
        <v>0</v>
      </c>
      <c r="IW202" s="74">
        <f t="shared" si="7125"/>
        <v>0</v>
      </c>
      <c r="IX202" s="74">
        <f t="shared" si="7125"/>
        <v>0</v>
      </c>
      <c r="IY202" s="74">
        <f t="shared" si="7125"/>
        <v>0</v>
      </c>
      <c r="IZ202" s="74">
        <f t="shared" si="7125"/>
        <v>0</v>
      </c>
      <c r="JA202" s="74">
        <f t="shared" si="7125"/>
        <v>0</v>
      </c>
      <c r="JB202" s="74">
        <f t="shared" si="7125"/>
        <v>0</v>
      </c>
      <c r="JC202" s="74">
        <f t="shared" si="7125"/>
        <v>0</v>
      </c>
      <c r="JD202" s="74">
        <f t="shared" si="7125"/>
        <v>0</v>
      </c>
      <c r="JE202" s="74">
        <f t="shared" si="7125"/>
        <v>0</v>
      </c>
      <c r="JF202" s="74">
        <f t="shared" si="7125"/>
        <v>0</v>
      </c>
      <c r="JG202" s="74">
        <f t="shared" si="7125"/>
        <v>0</v>
      </c>
      <c r="JH202" s="74">
        <f t="shared" si="7125"/>
        <v>0</v>
      </c>
      <c r="JI202" s="74">
        <f t="shared" si="7125"/>
        <v>0</v>
      </c>
      <c r="JJ202" s="74">
        <f t="shared" si="7125"/>
        <v>0</v>
      </c>
      <c r="JK202" s="74">
        <f t="shared" si="7125"/>
        <v>0</v>
      </c>
      <c r="JL202" s="74">
        <f t="shared" si="7125"/>
        <v>0</v>
      </c>
      <c r="JM202" s="74">
        <f t="shared" si="7125"/>
        <v>0</v>
      </c>
      <c r="JN202" s="74">
        <f t="shared" si="7125"/>
        <v>0</v>
      </c>
      <c r="JO202" s="74">
        <f t="shared" si="7125"/>
        <v>0</v>
      </c>
      <c r="JP202" s="74">
        <f t="shared" ref="JP202:JT202" si="7126">JP533</f>
        <v>0</v>
      </c>
      <c r="JQ202" s="74">
        <f t="shared" si="7126"/>
        <v>0</v>
      </c>
      <c r="JR202" s="74">
        <f t="shared" si="7126"/>
        <v>0</v>
      </c>
      <c r="JS202" s="74">
        <f t="shared" si="7126"/>
        <v>0</v>
      </c>
      <c r="JT202" s="382">
        <f t="shared" si="7126"/>
        <v>0</v>
      </c>
      <c r="JU202" s="670"/>
      <c r="JV202" s="489"/>
      <c r="JW202" s="528"/>
      <c r="JX202" s="549">
        <f>JX533</f>
        <v>0</v>
      </c>
      <c r="JY202" s="549">
        <f>JY533</f>
        <v>0</v>
      </c>
      <c r="JZ202" s="581">
        <f t="shared" ref="JZ202" si="7127">GP202</f>
        <v>0</v>
      </c>
      <c r="KA202" s="581">
        <f t="shared" ref="KA202" si="7128">GQ202</f>
        <v>0</v>
      </c>
      <c r="KB202" s="549">
        <f>SUM(KB533)</f>
        <v>0</v>
      </c>
      <c r="KC202" s="709">
        <f t="shared" si="4908"/>
        <v>0</v>
      </c>
      <c r="KD202" s="34"/>
      <c r="KE202" s="34"/>
      <c r="KF202" s="34"/>
      <c r="KG202" s="34"/>
      <c r="KH202" s="34"/>
      <c r="KI202" s="34"/>
      <c r="KJ202" s="34"/>
      <c r="KK202" s="34"/>
    </row>
    <row r="203" spans="1:297" s="8" customFormat="1">
      <c r="A203" s="75"/>
      <c r="B203" s="72"/>
      <c r="C203" s="74"/>
      <c r="D203" s="549"/>
      <c r="E203" s="675"/>
      <c r="F203" s="549"/>
      <c r="G203" s="675"/>
      <c r="H203" s="549"/>
      <c r="I203" s="675"/>
      <c r="J203" s="549"/>
      <c r="K203" s="675"/>
      <c r="L203" s="549"/>
      <c r="M203" s="675"/>
      <c r="N203" s="549"/>
      <c r="O203" s="675"/>
      <c r="P203" s="549"/>
      <c r="Q203" s="675"/>
      <c r="R203" s="549"/>
      <c r="S203" s="675"/>
      <c r="T203" s="549"/>
      <c r="U203" s="675"/>
      <c r="V203" s="549"/>
      <c r="W203" s="675"/>
      <c r="X203" s="549"/>
      <c r="Y203" s="675"/>
      <c r="Z203" s="549"/>
      <c r="AA203" s="675"/>
      <c r="AB203" s="549"/>
      <c r="AC203" s="675"/>
      <c r="AD203" s="549"/>
      <c r="AE203" s="675"/>
      <c r="AF203" s="549"/>
      <c r="AG203" s="675"/>
      <c r="AH203" s="549"/>
      <c r="AI203" s="675"/>
      <c r="AJ203" s="549"/>
      <c r="AK203" s="675"/>
      <c r="AL203" s="549"/>
      <c r="AM203" s="675"/>
      <c r="AN203" s="549"/>
      <c r="AO203" s="675"/>
      <c r="AP203" s="549"/>
      <c r="AQ203" s="675"/>
      <c r="AR203" s="549"/>
      <c r="AS203" s="675"/>
      <c r="AT203" s="549"/>
      <c r="AU203" s="675"/>
      <c r="AV203" s="549"/>
      <c r="AW203" s="675"/>
      <c r="AX203" s="549"/>
      <c r="AY203" s="675"/>
      <c r="AZ203" s="549"/>
      <c r="BA203" s="675"/>
      <c r="BB203" s="549"/>
      <c r="BC203" s="675"/>
      <c r="BD203" s="549"/>
      <c r="BE203" s="675"/>
      <c r="BF203" s="549"/>
      <c r="BG203" s="675"/>
      <c r="BH203" s="549"/>
      <c r="BI203" s="675"/>
      <c r="BJ203" s="549"/>
      <c r="BK203" s="675"/>
      <c r="BL203" s="549"/>
      <c r="BM203" s="675"/>
      <c r="BN203" s="549"/>
      <c r="BO203" s="675"/>
      <c r="BP203" s="549"/>
      <c r="BQ203" s="675"/>
      <c r="BR203" s="549"/>
      <c r="BS203" s="675"/>
      <c r="BT203" s="549"/>
      <c r="BU203" s="675"/>
      <c r="BV203" s="549"/>
      <c r="BW203" s="675"/>
      <c r="BX203" s="549"/>
      <c r="BY203" s="675"/>
      <c r="BZ203" s="549"/>
      <c r="CA203" s="675"/>
      <c r="CB203" s="549"/>
      <c r="CC203" s="675"/>
      <c r="CD203" s="549"/>
      <c r="CE203" s="675"/>
      <c r="CF203" s="549"/>
      <c r="CG203" s="675"/>
      <c r="CH203" s="549"/>
      <c r="CI203" s="675"/>
      <c r="CJ203" s="549"/>
      <c r="CK203" s="675"/>
      <c r="CL203" s="549"/>
      <c r="CM203" s="675"/>
      <c r="CN203" s="549"/>
      <c r="CO203" s="675"/>
      <c r="CP203" s="549"/>
      <c r="CQ203" s="675"/>
      <c r="CR203" s="549"/>
      <c r="CS203" s="675"/>
      <c r="CT203" s="549"/>
      <c r="CU203" s="675"/>
      <c r="CV203" s="549"/>
      <c r="CW203" s="675"/>
      <c r="CX203" s="549"/>
      <c r="CY203" s="675"/>
      <c r="CZ203" s="549"/>
      <c r="DA203" s="675"/>
      <c r="DB203" s="549"/>
      <c r="DC203" s="675"/>
      <c r="DD203" s="549"/>
      <c r="DE203" s="675"/>
      <c r="DF203" s="549"/>
      <c r="DG203" s="675"/>
      <c r="DH203" s="549"/>
      <c r="DI203" s="675"/>
      <c r="DJ203" s="549"/>
      <c r="DK203" s="675"/>
      <c r="DL203" s="549"/>
      <c r="DM203" s="675"/>
      <c r="DN203" s="549"/>
      <c r="DO203" s="675"/>
      <c r="DP203" s="549"/>
      <c r="DQ203" s="675"/>
      <c r="DR203" s="549"/>
      <c r="DS203" s="675"/>
      <c r="DT203" s="549"/>
      <c r="DU203" s="675"/>
      <c r="DV203" s="549"/>
      <c r="DW203" s="675"/>
      <c r="DX203" s="549"/>
      <c r="DY203" s="675"/>
      <c r="DZ203" s="549"/>
      <c r="EA203" s="675"/>
      <c r="EB203" s="549"/>
      <c r="EC203" s="675"/>
      <c r="ED203" s="549"/>
      <c r="EE203" s="675"/>
      <c r="EF203" s="549"/>
      <c r="EG203" s="675"/>
      <c r="EH203" s="549"/>
      <c r="EI203" s="675"/>
      <c r="EJ203" s="549"/>
      <c r="EK203" s="675"/>
      <c r="EL203" s="549"/>
      <c r="EM203" s="675"/>
      <c r="EN203" s="549"/>
      <c r="EO203" s="675"/>
      <c r="EP203" s="549"/>
      <c r="EQ203" s="675"/>
      <c r="ER203" s="549"/>
      <c r="ES203" s="675"/>
      <c r="ET203" s="549"/>
      <c r="EU203" s="675"/>
      <c r="EV203" s="549"/>
      <c r="EW203" s="675"/>
      <c r="EX203" s="549"/>
      <c r="EY203" s="675"/>
      <c r="EZ203" s="549"/>
      <c r="FA203" s="675"/>
      <c r="FB203" s="549"/>
      <c r="FC203" s="675"/>
      <c r="FD203" s="549"/>
      <c r="FE203" s="675"/>
      <c r="FF203" s="549"/>
      <c r="FG203" s="675"/>
      <c r="FH203" s="549"/>
      <c r="FI203" s="675"/>
      <c r="FJ203" s="549"/>
      <c r="FK203" s="675"/>
      <c r="FL203" s="549"/>
      <c r="FM203" s="675"/>
      <c r="FN203" s="549"/>
      <c r="FO203" s="675"/>
      <c r="FP203" s="549"/>
      <c r="FQ203" s="675"/>
      <c r="FR203" s="549"/>
      <c r="FS203" s="675"/>
      <c r="FT203" s="549"/>
      <c r="FU203" s="675"/>
      <c r="FV203" s="549"/>
      <c r="FW203" s="675"/>
      <c r="FX203" s="549"/>
      <c r="FY203" s="675"/>
      <c r="FZ203" s="549"/>
      <c r="GA203" s="675"/>
      <c r="GB203" s="549"/>
      <c r="GC203" s="675"/>
      <c r="GD203" s="549"/>
      <c r="GE203" s="675"/>
      <c r="GF203" s="549"/>
      <c r="GG203" s="675"/>
      <c r="GH203" s="549"/>
      <c r="GI203" s="675"/>
      <c r="GJ203" s="549"/>
      <c r="GK203" s="675"/>
      <c r="GL203" s="549"/>
      <c r="GM203" s="675"/>
      <c r="GN203" s="549"/>
      <c r="GO203" s="675"/>
      <c r="GP203" s="74"/>
      <c r="GQ203" s="675"/>
      <c r="GR203" s="74"/>
      <c r="GS203" s="74"/>
      <c r="GT203" s="549"/>
      <c r="GU203" s="74"/>
      <c r="GV203" s="74"/>
      <c r="GW203" s="549"/>
      <c r="GX203" s="549"/>
      <c r="GY203" s="74"/>
      <c r="GZ203" s="74"/>
      <c r="HA203" s="74"/>
      <c r="HB203" s="74"/>
      <c r="HC203" s="74"/>
      <c r="HD203" s="74"/>
      <c r="HE203" s="74"/>
      <c r="HF203" s="74"/>
      <c r="HG203" s="74"/>
      <c r="HH203" s="74"/>
      <c r="HI203" s="74"/>
      <c r="HJ203" s="74"/>
      <c r="HK203" s="74"/>
      <c r="HL203" s="74"/>
      <c r="HM203" s="74"/>
      <c r="HN203" s="74"/>
      <c r="HO203" s="74"/>
      <c r="HP203" s="74"/>
      <c r="HQ203" s="74"/>
      <c r="HR203" s="74"/>
      <c r="HS203" s="74"/>
      <c r="HT203" s="74"/>
      <c r="HU203" s="74"/>
      <c r="HV203" s="74"/>
      <c r="HW203" s="74"/>
      <c r="HX203" s="74"/>
      <c r="HY203" s="74"/>
      <c r="HZ203" s="74"/>
      <c r="IA203" s="74"/>
      <c r="IB203" s="74"/>
      <c r="IC203" s="74"/>
      <c r="ID203" s="74"/>
      <c r="IE203" s="792"/>
      <c r="IF203" s="841"/>
      <c r="IG203" s="263"/>
      <c r="IH203" s="842"/>
      <c r="II203" s="155"/>
      <c r="IJ203" s="74"/>
      <c r="IK203" s="74"/>
      <c r="IL203" s="74"/>
      <c r="IM203" s="74"/>
      <c r="IN203" s="74"/>
      <c r="IO203" s="74"/>
      <c r="IP203" s="74"/>
      <c r="IQ203" s="74"/>
      <c r="IR203" s="74"/>
      <c r="IS203" s="74"/>
      <c r="IT203" s="74"/>
      <c r="IU203" s="74"/>
      <c r="IV203" s="74"/>
      <c r="IW203" s="74"/>
      <c r="IX203" s="74"/>
      <c r="IY203" s="74"/>
      <c r="IZ203" s="74"/>
      <c r="JA203" s="74"/>
      <c r="JB203" s="74"/>
      <c r="JC203" s="74"/>
      <c r="JD203" s="74"/>
      <c r="JE203" s="74"/>
      <c r="JF203" s="74"/>
      <c r="JG203" s="74"/>
      <c r="JH203" s="74"/>
      <c r="JI203" s="74"/>
      <c r="JJ203" s="74"/>
      <c r="JK203" s="74"/>
      <c r="JL203" s="74"/>
      <c r="JM203" s="74"/>
      <c r="JN203" s="74"/>
      <c r="JO203" s="74"/>
      <c r="JP203" s="74"/>
      <c r="JQ203" s="74"/>
      <c r="JR203" s="74"/>
      <c r="JS203" s="74"/>
      <c r="JT203" s="382"/>
      <c r="JU203" s="670"/>
      <c r="JV203" s="489"/>
      <c r="JW203" s="529"/>
      <c r="JX203" s="549"/>
      <c r="JY203" s="549"/>
      <c r="JZ203" s="581">
        <f t="shared" si="4944"/>
        <v>0</v>
      </c>
      <c r="KA203" s="581">
        <f t="shared" si="4945"/>
        <v>0</v>
      </c>
      <c r="KB203" s="549"/>
      <c r="KC203" s="709">
        <f t="shared" si="4908"/>
        <v>0</v>
      </c>
      <c r="KD203" s="36"/>
      <c r="KE203" s="36"/>
      <c r="KF203" s="36"/>
      <c r="KG203" s="36"/>
      <c r="KH203" s="36"/>
      <c r="KI203" s="36"/>
      <c r="KJ203" s="36"/>
      <c r="KK203" s="36"/>
    </row>
    <row r="204" spans="1:297" s="8" customFormat="1">
      <c r="A204" s="75" t="s">
        <v>199</v>
      </c>
      <c r="B204" s="72" t="s">
        <v>200</v>
      </c>
      <c r="C204" s="74">
        <f>SUM(C205)</f>
        <v>615300</v>
      </c>
      <c r="D204" s="549">
        <f t="shared" ref="D204:E204" si="7129">SUM(D205)</f>
        <v>0</v>
      </c>
      <c r="E204" s="675">
        <f t="shared" si="7129"/>
        <v>0</v>
      </c>
      <c r="F204" s="549">
        <f t="shared" ref="F204:G204" si="7130">SUM(F205)</f>
        <v>0</v>
      </c>
      <c r="G204" s="675">
        <f t="shared" si="7130"/>
        <v>0</v>
      </c>
      <c r="H204" s="549">
        <f t="shared" ref="H204:I204" si="7131">SUM(H205)</f>
        <v>0</v>
      </c>
      <c r="I204" s="675">
        <f t="shared" si="7131"/>
        <v>0</v>
      </c>
      <c r="J204" s="549">
        <f t="shared" ref="J204:K204" si="7132">SUM(J205)</f>
        <v>0</v>
      </c>
      <c r="K204" s="675">
        <f t="shared" si="7132"/>
        <v>0</v>
      </c>
      <c r="L204" s="549">
        <f t="shared" ref="L204:M204" si="7133">SUM(L205)</f>
        <v>0</v>
      </c>
      <c r="M204" s="675">
        <f t="shared" si="7133"/>
        <v>0</v>
      </c>
      <c r="N204" s="549">
        <f t="shared" ref="N204:O204" si="7134">SUM(N205)</f>
        <v>0</v>
      </c>
      <c r="O204" s="675">
        <f t="shared" si="7134"/>
        <v>0</v>
      </c>
      <c r="P204" s="549">
        <f t="shared" ref="P204:Q204" si="7135">SUM(P205)</f>
        <v>0</v>
      </c>
      <c r="Q204" s="675">
        <f t="shared" si="7135"/>
        <v>-3724</v>
      </c>
      <c r="R204" s="549">
        <f t="shared" ref="R204:S204" si="7136">SUM(R205)</f>
        <v>0</v>
      </c>
      <c r="S204" s="675">
        <f t="shared" si="7136"/>
        <v>0</v>
      </c>
      <c r="T204" s="549">
        <f t="shared" ref="T204:JO204" si="7137">SUM(T205)</f>
        <v>0</v>
      </c>
      <c r="U204" s="675">
        <f t="shared" ref="U204" si="7138">SUM(U205)</f>
        <v>0</v>
      </c>
      <c r="V204" s="549">
        <f t="shared" si="7137"/>
        <v>0</v>
      </c>
      <c r="W204" s="675">
        <f t="shared" si="7137"/>
        <v>-8700</v>
      </c>
      <c r="X204" s="549">
        <f t="shared" si="7137"/>
        <v>0</v>
      </c>
      <c r="Y204" s="675">
        <f t="shared" si="7137"/>
        <v>0</v>
      </c>
      <c r="Z204" s="549">
        <f t="shared" si="7137"/>
        <v>0</v>
      </c>
      <c r="AA204" s="675">
        <f t="shared" si="7137"/>
        <v>0</v>
      </c>
      <c r="AB204" s="549">
        <f t="shared" si="7137"/>
        <v>0</v>
      </c>
      <c r="AC204" s="675">
        <f t="shared" si="7137"/>
        <v>0</v>
      </c>
      <c r="AD204" s="549">
        <f t="shared" si="7137"/>
        <v>0</v>
      </c>
      <c r="AE204" s="675">
        <f t="shared" si="7137"/>
        <v>0</v>
      </c>
      <c r="AF204" s="549">
        <f t="shared" si="7137"/>
        <v>0</v>
      </c>
      <c r="AG204" s="675">
        <f t="shared" si="7137"/>
        <v>0</v>
      </c>
      <c r="AH204" s="549">
        <f t="shared" si="7137"/>
        <v>0</v>
      </c>
      <c r="AI204" s="675">
        <f t="shared" si="7137"/>
        <v>0</v>
      </c>
      <c r="AJ204" s="549">
        <f t="shared" si="7137"/>
        <v>0</v>
      </c>
      <c r="AK204" s="675">
        <f t="shared" si="7137"/>
        <v>0</v>
      </c>
      <c r="AL204" s="549">
        <f t="shared" si="7137"/>
        <v>0</v>
      </c>
      <c r="AM204" s="675">
        <f t="shared" si="7137"/>
        <v>0</v>
      </c>
      <c r="AN204" s="549">
        <f t="shared" si="7137"/>
        <v>0</v>
      </c>
      <c r="AO204" s="675">
        <f t="shared" si="7137"/>
        <v>0</v>
      </c>
      <c r="AP204" s="549">
        <f t="shared" si="7137"/>
        <v>0</v>
      </c>
      <c r="AQ204" s="675">
        <f t="shared" si="7137"/>
        <v>0</v>
      </c>
      <c r="AR204" s="549">
        <f t="shared" si="7137"/>
        <v>0</v>
      </c>
      <c r="AS204" s="675">
        <f t="shared" si="7137"/>
        <v>0</v>
      </c>
      <c r="AT204" s="549">
        <f t="shared" si="7137"/>
        <v>0</v>
      </c>
      <c r="AU204" s="675">
        <f t="shared" si="7137"/>
        <v>0</v>
      </c>
      <c r="AV204" s="549">
        <f t="shared" si="7137"/>
        <v>0</v>
      </c>
      <c r="AW204" s="675">
        <f t="shared" si="7137"/>
        <v>0</v>
      </c>
      <c r="AX204" s="549">
        <f t="shared" si="7137"/>
        <v>0</v>
      </c>
      <c r="AY204" s="675">
        <f t="shared" si="7137"/>
        <v>0</v>
      </c>
      <c r="AZ204" s="549">
        <f t="shared" si="7137"/>
        <v>0</v>
      </c>
      <c r="BA204" s="675">
        <f t="shared" si="7137"/>
        <v>0</v>
      </c>
      <c r="BB204" s="549">
        <f t="shared" si="7137"/>
        <v>0</v>
      </c>
      <c r="BC204" s="675">
        <f t="shared" si="7137"/>
        <v>0</v>
      </c>
      <c r="BD204" s="549">
        <f t="shared" si="7137"/>
        <v>0</v>
      </c>
      <c r="BE204" s="675">
        <f t="shared" si="7137"/>
        <v>0</v>
      </c>
      <c r="BF204" s="549">
        <f t="shared" si="7137"/>
        <v>0</v>
      </c>
      <c r="BG204" s="675">
        <f t="shared" si="7137"/>
        <v>0</v>
      </c>
      <c r="BH204" s="549">
        <f t="shared" si="7137"/>
        <v>0</v>
      </c>
      <c r="BI204" s="675">
        <f t="shared" si="7137"/>
        <v>0</v>
      </c>
      <c r="BJ204" s="549">
        <f t="shared" si="7137"/>
        <v>0</v>
      </c>
      <c r="BK204" s="675">
        <f t="shared" si="7137"/>
        <v>0</v>
      </c>
      <c r="BL204" s="549">
        <f t="shared" si="7137"/>
        <v>0</v>
      </c>
      <c r="BM204" s="675">
        <f t="shared" si="7137"/>
        <v>0</v>
      </c>
      <c r="BN204" s="549">
        <f t="shared" si="7137"/>
        <v>0</v>
      </c>
      <c r="BO204" s="675">
        <f t="shared" si="7137"/>
        <v>0</v>
      </c>
      <c r="BP204" s="549">
        <f t="shared" si="7137"/>
        <v>0</v>
      </c>
      <c r="BQ204" s="675">
        <f t="shared" si="7137"/>
        <v>0</v>
      </c>
      <c r="BR204" s="549">
        <f t="shared" si="7137"/>
        <v>0</v>
      </c>
      <c r="BS204" s="675">
        <f t="shared" si="7137"/>
        <v>0</v>
      </c>
      <c r="BT204" s="549">
        <f t="shared" si="7137"/>
        <v>0</v>
      </c>
      <c r="BU204" s="675">
        <f t="shared" si="7137"/>
        <v>0</v>
      </c>
      <c r="BV204" s="549">
        <f t="shared" si="7137"/>
        <v>0</v>
      </c>
      <c r="BW204" s="675">
        <f t="shared" si="7137"/>
        <v>0</v>
      </c>
      <c r="BX204" s="549">
        <f t="shared" si="7137"/>
        <v>0</v>
      </c>
      <c r="BY204" s="675">
        <f t="shared" si="7137"/>
        <v>0</v>
      </c>
      <c r="BZ204" s="549">
        <f t="shared" si="7137"/>
        <v>0</v>
      </c>
      <c r="CA204" s="675">
        <f t="shared" si="7137"/>
        <v>0</v>
      </c>
      <c r="CB204" s="549">
        <f t="shared" si="7137"/>
        <v>0</v>
      </c>
      <c r="CC204" s="675">
        <f t="shared" si="7137"/>
        <v>0</v>
      </c>
      <c r="CD204" s="549">
        <f t="shared" si="7137"/>
        <v>0</v>
      </c>
      <c r="CE204" s="675">
        <f t="shared" si="7137"/>
        <v>0</v>
      </c>
      <c r="CF204" s="549">
        <f t="shared" si="7137"/>
        <v>0</v>
      </c>
      <c r="CG204" s="675">
        <f t="shared" si="7137"/>
        <v>0</v>
      </c>
      <c r="CH204" s="549">
        <f t="shared" si="7137"/>
        <v>0</v>
      </c>
      <c r="CI204" s="675">
        <f t="shared" si="7137"/>
        <v>0</v>
      </c>
      <c r="CJ204" s="549">
        <f t="shared" si="7137"/>
        <v>0</v>
      </c>
      <c r="CK204" s="675">
        <f t="shared" si="7137"/>
        <v>-52768</v>
      </c>
      <c r="CL204" s="549">
        <f t="shared" si="7137"/>
        <v>0</v>
      </c>
      <c r="CM204" s="675">
        <f t="shared" si="7137"/>
        <v>0</v>
      </c>
      <c r="CN204" s="549">
        <f t="shared" si="7137"/>
        <v>0</v>
      </c>
      <c r="CO204" s="675">
        <f t="shared" si="7137"/>
        <v>0</v>
      </c>
      <c r="CP204" s="549">
        <f t="shared" si="7137"/>
        <v>0</v>
      </c>
      <c r="CQ204" s="675">
        <f t="shared" si="7137"/>
        <v>0</v>
      </c>
      <c r="CR204" s="549">
        <f t="shared" si="7137"/>
        <v>0</v>
      </c>
      <c r="CS204" s="675">
        <f t="shared" si="7137"/>
        <v>0</v>
      </c>
      <c r="CT204" s="549">
        <f t="shared" si="7137"/>
        <v>0</v>
      </c>
      <c r="CU204" s="675">
        <f t="shared" si="7137"/>
        <v>0</v>
      </c>
      <c r="CV204" s="549">
        <f t="shared" si="7137"/>
        <v>0</v>
      </c>
      <c r="CW204" s="675">
        <f t="shared" si="7137"/>
        <v>0</v>
      </c>
      <c r="CX204" s="549">
        <f t="shared" si="7137"/>
        <v>0</v>
      </c>
      <c r="CY204" s="675">
        <f t="shared" si="7137"/>
        <v>0</v>
      </c>
      <c r="CZ204" s="549">
        <f t="shared" si="7137"/>
        <v>0</v>
      </c>
      <c r="DA204" s="675">
        <f t="shared" si="7137"/>
        <v>-35000</v>
      </c>
      <c r="DB204" s="549">
        <f t="shared" si="7137"/>
        <v>0</v>
      </c>
      <c r="DC204" s="675">
        <f t="shared" si="7137"/>
        <v>0</v>
      </c>
      <c r="DD204" s="549">
        <f t="shared" si="7137"/>
        <v>0</v>
      </c>
      <c r="DE204" s="675">
        <f t="shared" si="7137"/>
        <v>0</v>
      </c>
      <c r="DF204" s="549">
        <f t="shared" si="7137"/>
        <v>0</v>
      </c>
      <c r="DG204" s="675">
        <f t="shared" si="7137"/>
        <v>0</v>
      </c>
      <c r="DH204" s="549">
        <f t="shared" si="7137"/>
        <v>0</v>
      </c>
      <c r="DI204" s="675">
        <f t="shared" si="7137"/>
        <v>0</v>
      </c>
      <c r="DJ204" s="549">
        <f t="shared" si="7137"/>
        <v>0</v>
      </c>
      <c r="DK204" s="675">
        <f t="shared" si="7137"/>
        <v>0</v>
      </c>
      <c r="DL204" s="549">
        <f t="shared" si="7137"/>
        <v>0</v>
      </c>
      <c r="DM204" s="675">
        <f t="shared" si="7137"/>
        <v>0</v>
      </c>
      <c r="DN204" s="549">
        <f t="shared" si="7137"/>
        <v>0</v>
      </c>
      <c r="DO204" s="675">
        <f t="shared" si="7137"/>
        <v>0</v>
      </c>
      <c r="DP204" s="549">
        <f t="shared" si="7137"/>
        <v>0</v>
      </c>
      <c r="DQ204" s="675">
        <f t="shared" si="7137"/>
        <v>-20560</v>
      </c>
      <c r="DR204" s="549">
        <f t="shared" si="7137"/>
        <v>0</v>
      </c>
      <c r="DS204" s="675">
        <f t="shared" si="7137"/>
        <v>0</v>
      </c>
      <c r="DT204" s="549">
        <f t="shared" si="7137"/>
        <v>0</v>
      </c>
      <c r="DU204" s="675">
        <f t="shared" si="7137"/>
        <v>0</v>
      </c>
      <c r="DV204" s="549">
        <f t="shared" si="7137"/>
        <v>0</v>
      </c>
      <c r="DW204" s="675">
        <f t="shared" si="7137"/>
        <v>0</v>
      </c>
      <c r="DX204" s="549">
        <f t="shared" si="7137"/>
        <v>0</v>
      </c>
      <c r="DY204" s="675">
        <f t="shared" si="7137"/>
        <v>0</v>
      </c>
      <c r="DZ204" s="549">
        <f t="shared" si="7137"/>
        <v>0</v>
      </c>
      <c r="EA204" s="675">
        <f t="shared" si="7137"/>
        <v>0</v>
      </c>
      <c r="EB204" s="549">
        <f t="shared" si="7137"/>
        <v>0</v>
      </c>
      <c r="EC204" s="675">
        <f t="shared" si="7137"/>
        <v>0</v>
      </c>
      <c r="ED204" s="549">
        <f t="shared" si="7137"/>
        <v>0</v>
      </c>
      <c r="EE204" s="675">
        <f t="shared" si="7137"/>
        <v>0</v>
      </c>
      <c r="EF204" s="549">
        <f t="shared" si="7137"/>
        <v>0</v>
      </c>
      <c r="EG204" s="675">
        <f t="shared" si="7137"/>
        <v>0</v>
      </c>
      <c r="EH204" s="549">
        <f t="shared" si="7137"/>
        <v>0</v>
      </c>
      <c r="EI204" s="675">
        <f t="shared" si="7137"/>
        <v>0</v>
      </c>
      <c r="EJ204" s="549">
        <f t="shared" si="7137"/>
        <v>0</v>
      </c>
      <c r="EK204" s="675">
        <f t="shared" si="7137"/>
        <v>0</v>
      </c>
      <c r="EL204" s="549">
        <f t="shared" si="7137"/>
        <v>0</v>
      </c>
      <c r="EM204" s="675">
        <f t="shared" si="7137"/>
        <v>0</v>
      </c>
      <c r="EN204" s="549">
        <f t="shared" si="7137"/>
        <v>0</v>
      </c>
      <c r="EO204" s="675">
        <f t="shared" si="7137"/>
        <v>0</v>
      </c>
      <c r="EP204" s="549">
        <f t="shared" si="7137"/>
        <v>0</v>
      </c>
      <c r="EQ204" s="675">
        <f t="shared" si="7137"/>
        <v>0</v>
      </c>
      <c r="ER204" s="549">
        <f t="shared" si="7137"/>
        <v>0</v>
      </c>
      <c r="ES204" s="675">
        <f t="shared" si="7137"/>
        <v>0</v>
      </c>
      <c r="ET204" s="549">
        <f t="shared" si="7137"/>
        <v>0</v>
      </c>
      <c r="EU204" s="675">
        <f t="shared" si="7137"/>
        <v>0</v>
      </c>
      <c r="EV204" s="549">
        <f t="shared" si="7137"/>
        <v>0</v>
      </c>
      <c r="EW204" s="675">
        <f t="shared" si="7137"/>
        <v>0</v>
      </c>
      <c r="EX204" s="549">
        <f t="shared" si="7137"/>
        <v>0</v>
      </c>
      <c r="EY204" s="675">
        <f t="shared" si="7137"/>
        <v>0</v>
      </c>
      <c r="EZ204" s="549">
        <f t="shared" si="7137"/>
        <v>0</v>
      </c>
      <c r="FA204" s="675">
        <f t="shared" si="7137"/>
        <v>0</v>
      </c>
      <c r="FB204" s="549">
        <f t="shared" si="7137"/>
        <v>0</v>
      </c>
      <c r="FC204" s="675">
        <f t="shared" si="7137"/>
        <v>0</v>
      </c>
      <c r="FD204" s="549">
        <f t="shared" si="7137"/>
        <v>0</v>
      </c>
      <c r="FE204" s="675">
        <f t="shared" si="7137"/>
        <v>0</v>
      </c>
      <c r="FF204" s="549">
        <f t="shared" si="7137"/>
        <v>0</v>
      </c>
      <c r="FG204" s="675">
        <f t="shared" si="7137"/>
        <v>0</v>
      </c>
      <c r="FH204" s="549">
        <f t="shared" si="7137"/>
        <v>0</v>
      </c>
      <c r="FI204" s="675">
        <f t="shared" si="7137"/>
        <v>0</v>
      </c>
      <c r="FJ204" s="549">
        <f t="shared" si="7137"/>
        <v>0</v>
      </c>
      <c r="FK204" s="675">
        <f t="shared" si="7137"/>
        <v>0</v>
      </c>
      <c r="FL204" s="549">
        <f t="shared" si="7137"/>
        <v>0</v>
      </c>
      <c r="FM204" s="675">
        <f t="shared" si="7137"/>
        <v>-8671</v>
      </c>
      <c r="FN204" s="549">
        <f t="shared" si="7137"/>
        <v>0</v>
      </c>
      <c r="FO204" s="675">
        <f t="shared" si="7137"/>
        <v>0</v>
      </c>
      <c r="FP204" s="549">
        <f t="shared" si="7137"/>
        <v>0</v>
      </c>
      <c r="FQ204" s="675">
        <f t="shared" si="7137"/>
        <v>0</v>
      </c>
      <c r="FR204" s="549">
        <f t="shared" si="7137"/>
        <v>0</v>
      </c>
      <c r="FS204" s="675">
        <f t="shared" si="7137"/>
        <v>-46143</v>
      </c>
      <c r="FT204" s="549">
        <f t="shared" si="7137"/>
        <v>0</v>
      </c>
      <c r="FU204" s="675">
        <f t="shared" si="7137"/>
        <v>-10857</v>
      </c>
      <c r="FV204" s="549">
        <f t="shared" si="7137"/>
        <v>0</v>
      </c>
      <c r="FW204" s="675">
        <f t="shared" si="7137"/>
        <v>0</v>
      </c>
      <c r="FX204" s="549">
        <f t="shared" si="7137"/>
        <v>0</v>
      </c>
      <c r="FY204" s="675">
        <f t="shared" si="7137"/>
        <v>-6703</v>
      </c>
      <c r="FZ204" s="549">
        <f t="shared" si="7137"/>
        <v>0</v>
      </c>
      <c r="GA204" s="675">
        <f t="shared" si="7137"/>
        <v>0</v>
      </c>
      <c r="GB204" s="549">
        <f t="shared" si="7137"/>
        <v>0</v>
      </c>
      <c r="GC204" s="675">
        <f t="shared" si="7137"/>
        <v>0</v>
      </c>
      <c r="GD204" s="549">
        <f t="shared" si="7137"/>
        <v>0</v>
      </c>
      <c r="GE204" s="675">
        <f t="shared" si="7137"/>
        <v>0</v>
      </c>
      <c r="GF204" s="549">
        <f t="shared" si="7137"/>
        <v>0</v>
      </c>
      <c r="GG204" s="675">
        <f t="shared" si="7137"/>
        <v>0</v>
      </c>
      <c r="GH204" s="549">
        <f t="shared" si="7137"/>
        <v>0</v>
      </c>
      <c r="GI204" s="675">
        <f t="shared" si="7137"/>
        <v>0</v>
      </c>
      <c r="GJ204" s="549">
        <f t="shared" si="7137"/>
        <v>0</v>
      </c>
      <c r="GK204" s="675">
        <f t="shared" si="7137"/>
        <v>0</v>
      </c>
      <c r="GL204" s="549">
        <f t="shared" si="7137"/>
        <v>0</v>
      </c>
      <c r="GM204" s="675">
        <f t="shared" si="7137"/>
        <v>0</v>
      </c>
      <c r="GN204" s="549">
        <f t="shared" si="7137"/>
        <v>0</v>
      </c>
      <c r="GO204" s="675">
        <f t="shared" si="7137"/>
        <v>0</v>
      </c>
      <c r="GP204" s="74">
        <f t="shared" si="7137"/>
        <v>0</v>
      </c>
      <c r="GQ204" s="675">
        <f t="shared" si="7137"/>
        <v>-193126</v>
      </c>
      <c r="GR204" s="74">
        <f t="shared" si="7137"/>
        <v>422174</v>
      </c>
      <c r="GS204" s="74">
        <f t="shared" si="7137"/>
        <v>422174</v>
      </c>
      <c r="GT204" s="549">
        <f t="shared" si="7137"/>
        <v>422174</v>
      </c>
      <c r="GU204" s="74">
        <f t="shared" si="7137"/>
        <v>61530</v>
      </c>
      <c r="GV204" s="74">
        <f t="shared" si="7137"/>
        <v>61530</v>
      </c>
      <c r="GW204" s="549">
        <f t="shared" si="7137"/>
        <v>61530</v>
      </c>
      <c r="GX204" s="549">
        <f t="shared" si="7137"/>
        <v>61530</v>
      </c>
      <c r="GY204" s="74">
        <f t="shared" si="7137"/>
        <v>61530</v>
      </c>
      <c r="GZ204" s="74">
        <f t="shared" si="7137"/>
        <v>61530</v>
      </c>
      <c r="HA204" s="74">
        <f t="shared" si="7137"/>
        <v>61530</v>
      </c>
      <c r="HB204" s="74">
        <f t="shared" si="7137"/>
        <v>61530</v>
      </c>
      <c r="HC204" s="74">
        <f t="shared" si="7137"/>
        <v>61530</v>
      </c>
      <c r="HD204" s="74">
        <f t="shared" si="7137"/>
        <v>61530</v>
      </c>
      <c r="HE204" s="74">
        <f t="shared" si="7137"/>
        <v>0</v>
      </c>
      <c r="HF204" s="74">
        <f t="shared" si="7137"/>
        <v>0</v>
      </c>
      <c r="HG204" s="74">
        <f t="shared" si="7137"/>
        <v>422174</v>
      </c>
      <c r="HH204" s="74">
        <f t="shared" si="7137"/>
        <v>61530</v>
      </c>
      <c r="HI204" s="74">
        <f t="shared" si="7137"/>
        <v>0</v>
      </c>
      <c r="HJ204" s="74">
        <f t="shared" si="7137"/>
        <v>11107.67</v>
      </c>
      <c r="HK204" s="74">
        <f t="shared" si="7137"/>
        <v>0</v>
      </c>
      <c r="HL204" s="74">
        <f t="shared" si="7137"/>
        <v>42252.959999999999</v>
      </c>
      <c r="HM204" s="74">
        <f t="shared" si="7137"/>
        <v>0</v>
      </c>
      <c r="HN204" s="74">
        <f t="shared" si="7137"/>
        <v>31992.68</v>
      </c>
      <c r="HO204" s="74">
        <f t="shared" si="7137"/>
        <v>0</v>
      </c>
      <c r="HP204" s="74">
        <f t="shared" si="7137"/>
        <v>127170.21</v>
      </c>
      <c r="HQ204" s="74">
        <f t="shared" si="7137"/>
        <v>0</v>
      </c>
      <c r="HR204" s="74">
        <f t="shared" si="7137"/>
        <v>69727</v>
      </c>
      <c r="HS204" s="74">
        <f t="shared" si="7137"/>
        <v>0</v>
      </c>
      <c r="HT204" s="74">
        <f t="shared" si="7137"/>
        <v>-13262.52</v>
      </c>
      <c r="HU204" s="74">
        <f t="shared" si="7137"/>
        <v>0</v>
      </c>
      <c r="HV204" s="74">
        <f t="shared" si="7137"/>
        <v>40000</v>
      </c>
      <c r="HW204" s="74">
        <f t="shared" si="7137"/>
        <v>0</v>
      </c>
      <c r="HX204" s="74">
        <f t="shared" si="7137"/>
        <v>62500</v>
      </c>
      <c r="HY204" s="74">
        <f t="shared" si="7137"/>
        <v>0</v>
      </c>
      <c r="HZ204" s="74">
        <f t="shared" si="7137"/>
        <v>-10844</v>
      </c>
      <c r="IA204" s="74">
        <f t="shared" si="7137"/>
        <v>0</v>
      </c>
      <c r="IB204" s="74">
        <f t="shared" si="7137"/>
        <v>0</v>
      </c>
      <c r="IC204" s="74">
        <f t="shared" si="7137"/>
        <v>0</v>
      </c>
      <c r="ID204" s="74">
        <f t="shared" si="7137"/>
        <v>0</v>
      </c>
      <c r="IE204" s="792">
        <f t="shared" si="7137"/>
        <v>0</v>
      </c>
      <c r="IF204" s="841">
        <f t="shared" si="7137"/>
        <v>376750.04</v>
      </c>
      <c r="IG204" s="263">
        <f t="shared" si="7137"/>
        <v>376750.04</v>
      </c>
      <c r="IH204" s="842">
        <f t="shared" si="7137"/>
        <v>376750.04</v>
      </c>
      <c r="II204" s="155">
        <f t="shared" si="7137"/>
        <v>18301.75</v>
      </c>
      <c r="IJ204" s="74">
        <f t="shared" si="7137"/>
        <v>18301.75</v>
      </c>
      <c r="IK204" s="74">
        <f t="shared" si="7137"/>
        <v>18301.75</v>
      </c>
      <c r="IL204" s="74">
        <f t="shared" si="7137"/>
        <v>23376.339999999997</v>
      </c>
      <c r="IM204" s="74">
        <f t="shared" si="7137"/>
        <v>23376.339999999997</v>
      </c>
      <c r="IN204" s="74">
        <f t="shared" si="7137"/>
        <v>23376.339999999997</v>
      </c>
      <c r="IO204" s="74">
        <f t="shared" si="7137"/>
        <v>19818.75</v>
      </c>
      <c r="IP204" s="74">
        <f t="shared" si="7137"/>
        <v>19818.75</v>
      </c>
      <c r="IQ204" s="74">
        <f t="shared" si="7137"/>
        <v>19818.75</v>
      </c>
      <c r="IR204" s="74">
        <f t="shared" si="7137"/>
        <v>36203.03</v>
      </c>
      <c r="IS204" s="74">
        <f t="shared" si="7137"/>
        <v>36203.03</v>
      </c>
      <c r="IT204" s="74">
        <f t="shared" si="7137"/>
        <v>36203.03</v>
      </c>
      <c r="IU204" s="74">
        <f t="shared" si="7137"/>
        <v>81866.179999999993</v>
      </c>
      <c r="IV204" s="74">
        <f t="shared" si="7137"/>
        <v>81866.179999999993</v>
      </c>
      <c r="IW204" s="74">
        <f t="shared" si="7137"/>
        <v>81866.179999999993</v>
      </c>
      <c r="IX204" s="74">
        <f t="shared" si="7137"/>
        <v>46100.160000000003</v>
      </c>
      <c r="IY204" s="74">
        <f t="shared" si="7137"/>
        <v>46100.160000000003</v>
      </c>
      <c r="IZ204" s="74">
        <f t="shared" si="7137"/>
        <v>46100.160000000003</v>
      </c>
      <c r="JA204" s="74">
        <f t="shared" si="7137"/>
        <v>42005.810000000027</v>
      </c>
      <c r="JB204" s="74">
        <f t="shared" si="7137"/>
        <v>42005.810000000027</v>
      </c>
      <c r="JC204" s="74">
        <f t="shared" si="7137"/>
        <v>42005.810000000027</v>
      </c>
      <c r="JD204" s="74">
        <f t="shared" si="7137"/>
        <v>27949.510000000009</v>
      </c>
      <c r="JE204" s="74">
        <f t="shared" si="7137"/>
        <v>27949.510000000009</v>
      </c>
      <c r="JF204" s="74">
        <f t="shared" si="7137"/>
        <v>27949.510000000009</v>
      </c>
      <c r="JG204" s="74">
        <f t="shared" si="7137"/>
        <v>72560.129999999946</v>
      </c>
      <c r="JH204" s="74">
        <f t="shared" si="7137"/>
        <v>72560.129999999946</v>
      </c>
      <c r="JI204" s="74">
        <f t="shared" si="7137"/>
        <v>72560.129999999946</v>
      </c>
      <c r="JJ204" s="74">
        <f t="shared" si="7137"/>
        <v>8568.3800000000047</v>
      </c>
      <c r="JK204" s="74">
        <f t="shared" si="7137"/>
        <v>8568.3800000000047</v>
      </c>
      <c r="JL204" s="74">
        <f t="shared" si="7137"/>
        <v>8568.3800000000047</v>
      </c>
      <c r="JM204" s="74">
        <f t="shared" si="7137"/>
        <v>0</v>
      </c>
      <c r="JN204" s="74">
        <f t="shared" si="7137"/>
        <v>0</v>
      </c>
      <c r="JO204" s="74">
        <f t="shared" si="7137"/>
        <v>0</v>
      </c>
      <c r="JP204" s="74">
        <f t="shared" ref="JP204:KB204" si="7139">SUM(JP205)</f>
        <v>0</v>
      </c>
      <c r="JQ204" s="74">
        <f t="shared" si="7139"/>
        <v>0</v>
      </c>
      <c r="JR204" s="74">
        <f t="shared" si="7139"/>
        <v>0</v>
      </c>
      <c r="JS204" s="74">
        <f t="shared" si="7139"/>
        <v>45423.960000000021</v>
      </c>
      <c r="JT204" s="382">
        <f t="shared" si="7139"/>
        <v>45423.960000000021</v>
      </c>
      <c r="JU204" s="670"/>
      <c r="JV204" s="489"/>
      <c r="JW204" s="490"/>
      <c r="JX204" s="549">
        <f t="shared" si="7139"/>
        <v>422174</v>
      </c>
      <c r="JY204" s="549">
        <f t="shared" si="7139"/>
        <v>0</v>
      </c>
      <c r="JZ204" s="581">
        <f t="shared" si="4944"/>
        <v>0</v>
      </c>
      <c r="KA204" s="581">
        <f t="shared" si="4945"/>
        <v>-193126</v>
      </c>
      <c r="KB204" s="549">
        <f t="shared" si="7139"/>
        <v>422174</v>
      </c>
      <c r="KC204" s="709">
        <f t="shared" si="4908"/>
        <v>0</v>
      </c>
      <c r="KD204" s="37"/>
      <c r="KE204" s="37"/>
      <c r="KF204" s="37"/>
      <c r="KG204" s="37"/>
      <c r="KH204" s="37"/>
      <c r="KI204" s="37"/>
      <c r="KJ204" s="37"/>
      <c r="KK204" s="37"/>
    </row>
    <row r="205" spans="1:297" s="8" customFormat="1">
      <c r="A205" s="75" t="s">
        <v>201</v>
      </c>
      <c r="B205" s="72" t="s">
        <v>202</v>
      </c>
      <c r="C205" s="74">
        <f t="shared" ref="C205:E205" si="7140">SUM(C536)</f>
        <v>615300</v>
      </c>
      <c r="D205" s="549">
        <f t="shared" si="7140"/>
        <v>0</v>
      </c>
      <c r="E205" s="675">
        <f t="shared" si="7140"/>
        <v>0</v>
      </c>
      <c r="F205" s="549">
        <f t="shared" ref="F205:G205" si="7141">SUM(F536)</f>
        <v>0</v>
      </c>
      <c r="G205" s="675">
        <f t="shared" si="7141"/>
        <v>0</v>
      </c>
      <c r="H205" s="549">
        <f t="shared" ref="H205:I205" si="7142">SUM(H536)</f>
        <v>0</v>
      </c>
      <c r="I205" s="675">
        <f t="shared" si="7142"/>
        <v>0</v>
      </c>
      <c r="J205" s="549">
        <f t="shared" ref="J205:K205" si="7143">SUM(J536)</f>
        <v>0</v>
      </c>
      <c r="K205" s="675">
        <f t="shared" si="7143"/>
        <v>0</v>
      </c>
      <c r="L205" s="549">
        <f t="shared" ref="L205:M205" si="7144">SUM(L536)</f>
        <v>0</v>
      </c>
      <c r="M205" s="675">
        <f t="shared" si="7144"/>
        <v>0</v>
      </c>
      <c r="N205" s="549">
        <f t="shared" ref="N205:O205" si="7145">SUM(N536)</f>
        <v>0</v>
      </c>
      <c r="O205" s="675">
        <f t="shared" si="7145"/>
        <v>0</v>
      </c>
      <c r="P205" s="549">
        <f t="shared" ref="P205:Q205" si="7146">SUM(P536)</f>
        <v>0</v>
      </c>
      <c r="Q205" s="675">
        <f t="shared" si="7146"/>
        <v>-3724</v>
      </c>
      <c r="R205" s="549">
        <f t="shared" ref="R205:S205" si="7147">SUM(R536)</f>
        <v>0</v>
      </c>
      <c r="S205" s="675">
        <f t="shared" si="7147"/>
        <v>0</v>
      </c>
      <c r="T205" s="549">
        <f t="shared" ref="T205:U205" si="7148">SUM(T536)</f>
        <v>0</v>
      </c>
      <c r="U205" s="675">
        <f t="shared" si="7148"/>
        <v>0</v>
      </c>
      <c r="V205" s="549">
        <f t="shared" ref="V205:W205" si="7149">SUM(V536)</f>
        <v>0</v>
      </c>
      <c r="W205" s="675">
        <f t="shared" si="7149"/>
        <v>-8700</v>
      </c>
      <c r="X205" s="549">
        <f t="shared" ref="X205:Y205" si="7150">SUM(X536)</f>
        <v>0</v>
      </c>
      <c r="Y205" s="675">
        <f t="shared" si="7150"/>
        <v>0</v>
      </c>
      <c r="Z205" s="549">
        <f t="shared" ref="Z205:AA205" si="7151">SUM(Z536)</f>
        <v>0</v>
      </c>
      <c r="AA205" s="675">
        <f t="shared" si="7151"/>
        <v>0</v>
      </c>
      <c r="AB205" s="549">
        <f t="shared" ref="AB205:AC205" si="7152">SUM(AB536)</f>
        <v>0</v>
      </c>
      <c r="AC205" s="675">
        <f t="shared" si="7152"/>
        <v>0</v>
      </c>
      <c r="AD205" s="549">
        <f t="shared" ref="AD205:AE205" si="7153">SUM(AD536)</f>
        <v>0</v>
      </c>
      <c r="AE205" s="675">
        <f t="shared" si="7153"/>
        <v>0</v>
      </c>
      <c r="AF205" s="549">
        <f t="shared" ref="AF205:AI205" si="7154">SUM(AF536)</f>
        <v>0</v>
      </c>
      <c r="AG205" s="675">
        <f t="shared" si="7154"/>
        <v>0</v>
      </c>
      <c r="AH205" s="549">
        <f t="shared" si="7154"/>
        <v>0</v>
      </c>
      <c r="AI205" s="675">
        <f t="shared" si="7154"/>
        <v>0</v>
      </c>
      <c r="AJ205" s="549">
        <f t="shared" ref="AJ205:AK205" si="7155">SUM(AJ536)</f>
        <v>0</v>
      </c>
      <c r="AK205" s="675">
        <f t="shared" si="7155"/>
        <v>0</v>
      </c>
      <c r="AL205" s="549">
        <f t="shared" ref="AL205:AM205" si="7156">SUM(AL536)</f>
        <v>0</v>
      </c>
      <c r="AM205" s="675">
        <f t="shared" si="7156"/>
        <v>0</v>
      </c>
      <c r="AN205" s="549">
        <f t="shared" ref="AN205:AO205" si="7157">SUM(AN536)</f>
        <v>0</v>
      </c>
      <c r="AO205" s="675">
        <f t="shared" si="7157"/>
        <v>0</v>
      </c>
      <c r="AP205" s="549">
        <f t="shared" ref="AP205:AQ205" si="7158">SUM(AP536)</f>
        <v>0</v>
      </c>
      <c r="AQ205" s="675">
        <f t="shared" si="7158"/>
        <v>0</v>
      </c>
      <c r="AR205" s="549">
        <f t="shared" ref="AR205:AS205" si="7159">SUM(AR536)</f>
        <v>0</v>
      </c>
      <c r="AS205" s="675">
        <f t="shared" si="7159"/>
        <v>0</v>
      </c>
      <c r="AT205" s="549">
        <f t="shared" ref="AT205:AU205" si="7160">SUM(AT536)</f>
        <v>0</v>
      </c>
      <c r="AU205" s="675">
        <f t="shared" si="7160"/>
        <v>0</v>
      </c>
      <c r="AV205" s="549">
        <f t="shared" ref="AV205:AW205" si="7161">SUM(AV536)</f>
        <v>0</v>
      </c>
      <c r="AW205" s="675">
        <f t="shared" si="7161"/>
        <v>0</v>
      </c>
      <c r="AX205" s="549">
        <f t="shared" ref="AX205:AY205" si="7162">SUM(AX536)</f>
        <v>0</v>
      </c>
      <c r="AY205" s="675">
        <f t="shared" si="7162"/>
        <v>0</v>
      </c>
      <c r="AZ205" s="549">
        <f t="shared" ref="AZ205:BA205" si="7163">SUM(AZ536)</f>
        <v>0</v>
      </c>
      <c r="BA205" s="675">
        <f t="shared" si="7163"/>
        <v>0</v>
      </c>
      <c r="BB205" s="549">
        <f t="shared" ref="BB205:BC205" si="7164">SUM(BB536)</f>
        <v>0</v>
      </c>
      <c r="BC205" s="675">
        <f t="shared" si="7164"/>
        <v>0</v>
      </c>
      <c r="BD205" s="549">
        <f t="shared" ref="BD205:BE205" si="7165">SUM(BD536)</f>
        <v>0</v>
      </c>
      <c r="BE205" s="675">
        <f t="shared" si="7165"/>
        <v>0</v>
      </c>
      <c r="BF205" s="549">
        <f t="shared" ref="BF205:BG205" si="7166">SUM(BF536)</f>
        <v>0</v>
      </c>
      <c r="BG205" s="675">
        <f t="shared" si="7166"/>
        <v>0</v>
      </c>
      <c r="BH205" s="549">
        <f t="shared" ref="BH205:BI205" si="7167">SUM(BH536)</f>
        <v>0</v>
      </c>
      <c r="BI205" s="675">
        <f t="shared" si="7167"/>
        <v>0</v>
      </c>
      <c r="BJ205" s="549">
        <f t="shared" ref="BJ205:BK205" si="7168">SUM(BJ536)</f>
        <v>0</v>
      </c>
      <c r="BK205" s="675">
        <f t="shared" si="7168"/>
        <v>0</v>
      </c>
      <c r="BL205" s="549">
        <f t="shared" ref="BL205:BM205" si="7169">SUM(BL536)</f>
        <v>0</v>
      </c>
      <c r="BM205" s="675">
        <f t="shared" si="7169"/>
        <v>0</v>
      </c>
      <c r="BN205" s="549">
        <f t="shared" ref="BN205:BO205" si="7170">SUM(BN536)</f>
        <v>0</v>
      </c>
      <c r="BO205" s="675">
        <f t="shared" si="7170"/>
        <v>0</v>
      </c>
      <c r="BP205" s="549">
        <f t="shared" ref="BP205:BQ205" si="7171">SUM(BP536)</f>
        <v>0</v>
      </c>
      <c r="BQ205" s="675">
        <f t="shared" si="7171"/>
        <v>0</v>
      </c>
      <c r="BR205" s="549">
        <f t="shared" ref="BR205:BS205" si="7172">SUM(BR536)</f>
        <v>0</v>
      </c>
      <c r="BS205" s="675">
        <f t="shared" si="7172"/>
        <v>0</v>
      </c>
      <c r="BT205" s="549">
        <f t="shared" ref="BT205:BU205" si="7173">SUM(BT536)</f>
        <v>0</v>
      </c>
      <c r="BU205" s="675">
        <f t="shared" si="7173"/>
        <v>0</v>
      </c>
      <c r="BV205" s="549">
        <f t="shared" ref="BV205:BW205" si="7174">SUM(BV536)</f>
        <v>0</v>
      </c>
      <c r="BW205" s="675">
        <f t="shared" si="7174"/>
        <v>0</v>
      </c>
      <c r="BX205" s="549">
        <f t="shared" ref="BX205:BY205" si="7175">SUM(BX536)</f>
        <v>0</v>
      </c>
      <c r="BY205" s="675">
        <f t="shared" si="7175"/>
        <v>0</v>
      </c>
      <c r="BZ205" s="549">
        <f t="shared" ref="BZ205:CA205" si="7176">SUM(BZ536)</f>
        <v>0</v>
      </c>
      <c r="CA205" s="675">
        <f t="shared" si="7176"/>
        <v>0</v>
      </c>
      <c r="CB205" s="549">
        <f t="shared" ref="CB205:CC205" si="7177">SUM(CB536)</f>
        <v>0</v>
      </c>
      <c r="CC205" s="675">
        <f t="shared" si="7177"/>
        <v>0</v>
      </c>
      <c r="CD205" s="549">
        <f t="shared" ref="CD205:CE205" si="7178">SUM(CD536)</f>
        <v>0</v>
      </c>
      <c r="CE205" s="675">
        <f t="shared" si="7178"/>
        <v>0</v>
      </c>
      <c r="CF205" s="549">
        <f t="shared" ref="CF205:CG205" si="7179">SUM(CF536)</f>
        <v>0</v>
      </c>
      <c r="CG205" s="675">
        <f t="shared" si="7179"/>
        <v>0</v>
      </c>
      <c r="CH205" s="549">
        <f t="shared" ref="CH205:CI205" si="7180">SUM(CH536)</f>
        <v>0</v>
      </c>
      <c r="CI205" s="675">
        <f t="shared" si="7180"/>
        <v>0</v>
      </c>
      <c r="CJ205" s="549">
        <f t="shared" ref="CJ205:CK205" si="7181">SUM(CJ536)</f>
        <v>0</v>
      </c>
      <c r="CK205" s="675">
        <f t="shared" si="7181"/>
        <v>-52768</v>
      </c>
      <c r="CL205" s="549">
        <f t="shared" ref="CL205:CM205" si="7182">SUM(CL536)</f>
        <v>0</v>
      </c>
      <c r="CM205" s="675">
        <f t="shared" si="7182"/>
        <v>0</v>
      </c>
      <c r="CN205" s="549">
        <f t="shared" ref="CN205:CO205" si="7183">SUM(CN536)</f>
        <v>0</v>
      </c>
      <c r="CO205" s="675">
        <f t="shared" si="7183"/>
        <v>0</v>
      </c>
      <c r="CP205" s="549">
        <f t="shared" ref="CP205:CQ205" si="7184">SUM(CP536)</f>
        <v>0</v>
      </c>
      <c r="CQ205" s="675">
        <f t="shared" si="7184"/>
        <v>0</v>
      </c>
      <c r="CR205" s="549">
        <f t="shared" ref="CR205:CS205" si="7185">SUM(CR536)</f>
        <v>0</v>
      </c>
      <c r="CS205" s="675">
        <f t="shared" si="7185"/>
        <v>0</v>
      </c>
      <c r="CT205" s="549">
        <f t="shared" ref="CT205:CU205" si="7186">SUM(CT536)</f>
        <v>0</v>
      </c>
      <c r="CU205" s="675">
        <f t="shared" si="7186"/>
        <v>0</v>
      </c>
      <c r="CV205" s="549">
        <f t="shared" ref="CV205:CW205" si="7187">SUM(CV536)</f>
        <v>0</v>
      </c>
      <c r="CW205" s="675">
        <f t="shared" si="7187"/>
        <v>0</v>
      </c>
      <c r="CX205" s="549">
        <f t="shared" ref="CX205:CY205" si="7188">SUM(CX536)</f>
        <v>0</v>
      </c>
      <c r="CY205" s="675">
        <f t="shared" si="7188"/>
        <v>0</v>
      </c>
      <c r="CZ205" s="549">
        <f t="shared" ref="CZ205:DA205" si="7189">SUM(CZ536)</f>
        <v>0</v>
      </c>
      <c r="DA205" s="675">
        <f t="shared" si="7189"/>
        <v>-35000</v>
      </c>
      <c r="DB205" s="549">
        <f t="shared" ref="DB205:DC205" si="7190">SUM(DB536)</f>
        <v>0</v>
      </c>
      <c r="DC205" s="675">
        <f t="shared" si="7190"/>
        <v>0</v>
      </c>
      <c r="DD205" s="549">
        <f t="shared" ref="DD205:DE205" si="7191">SUM(DD536)</f>
        <v>0</v>
      </c>
      <c r="DE205" s="675">
        <f t="shared" si="7191"/>
        <v>0</v>
      </c>
      <c r="DF205" s="549">
        <f t="shared" ref="DF205:DG205" si="7192">SUM(DF536)</f>
        <v>0</v>
      </c>
      <c r="DG205" s="675">
        <f t="shared" si="7192"/>
        <v>0</v>
      </c>
      <c r="DH205" s="549">
        <f t="shared" ref="DH205:DI205" si="7193">SUM(DH536)</f>
        <v>0</v>
      </c>
      <c r="DI205" s="675">
        <f t="shared" si="7193"/>
        <v>0</v>
      </c>
      <c r="DJ205" s="549">
        <f t="shared" ref="DJ205:DK205" si="7194">SUM(DJ536)</f>
        <v>0</v>
      </c>
      <c r="DK205" s="675">
        <f t="shared" si="7194"/>
        <v>0</v>
      </c>
      <c r="DL205" s="549">
        <f t="shared" ref="DL205:DM205" si="7195">SUM(DL536)</f>
        <v>0</v>
      </c>
      <c r="DM205" s="675">
        <f t="shared" si="7195"/>
        <v>0</v>
      </c>
      <c r="DN205" s="549">
        <f t="shared" ref="DN205:DO205" si="7196">SUM(DN536)</f>
        <v>0</v>
      </c>
      <c r="DO205" s="675">
        <f t="shared" si="7196"/>
        <v>0</v>
      </c>
      <c r="DP205" s="549">
        <f t="shared" ref="DP205:DQ205" si="7197">SUM(DP536)</f>
        <v>0</v>
      </c>
      <c r="DQ205" s="675">
        <f t="shared" si="7197"/>
        <v>-20560</v>
      </c>
      <c r="DR205" s="549">
        <f t="shared" ref="DR205:DS205" si="7198">SUM(DR536)</f>
        <v>0</v>
      </c>
      <c r="DS205" s="675">
        <f t="shared" si="7198"/>
        <v>0</v>
      </c>
      <c r="DT205" s="549">
        <f t="shared" ref="DT205:DU205" si="7199">SUM(DT536)</f>
        <v>0</v>
      </c>
      <c r="DU205" s="675">
        <f t="shared" si="7199"/>
        <v>0</v>
      </c>
      <c r="DV205" s="549">
        <f t="shared" ref="DV205:DW205" si="7200">SUM(DV536)</f>
        <v>0</v>
      </c>
      <c r="DW205" s="675">
        <f t="shared" si="7200"/>
        <v>0</v>
      </c>
      <c r="DX205" s="549">
        <f t="shared" ref="DX205:DY205" si="7201">SUM(DX536)</f>
        <v>0</v>
      </c>
      <c r="DY205" s="675">
        <f t="shared" si="7201"/>
        <v>0</v>
      </c>
      <c r="DZ205" s="549">
        <f t="shared" ref="DZ205:EA205" si="7202">SUM(DZ536)</f>
        <v>0</v>
      </c>
      <c r="EA205" s="675">
        <f t="shared" si="7202"/>
        <v>0</v>
      </c>
      <c r="EB205" s="549">
        <f t="shared" ref="EB205:EC205" si="7203">SUM(EB536)</f>
        <v>0</v>
      </c>
      <c r="EC205" s="675">
        <f t="shared" si="7203"/>
        <v>0</v>
      </c>
      <c r="ED205" s="549">
        <f t="shared" ref="ED205:EE205" si="7204">SUM(ED536)</f>
        <v>0</v>
      </c>
      <c r="EE205" s="675">
        <f t="shared" si="7204"/>
        <v>0</v>
      </c>
      <c r="EF205" s="549">
        <f t="shared" ref="EF205:EG205" si="7205">SUM(EF536)</f>
        <v>0</v>
      </c>
      <c r="EG205" s="675">
        <f t="shared" si="7205"/>
        <v>0</v>
      </c>
      <c r="EH205" s="549">
        <f t="shared" ref="EH205:EI205" si="7206">SUM(EH536)</f>
        <v>0</v>
      </c>
      <c r="EI205" s="675">
        <f t="shared" si="7206"/>
        <v>0</v>
      </c>
      <c r="EJ205" s="549">
        <f t="shared" ref="EJ205:EK205" si="7207">SUM(EJ536)</f>
        <v>0</v>
      </c>
      <c r="EK205" s="675">
        <f t="shared" si="7207"/>
        <v>0</v>
      </c>
      <c r="EL205" s="549">
        <f t="shared" ref="EL205:EM205" si="7208">SUM(EL536)</f>
        <v>0</v>
      </c>
      <c r="EM205" s="675">
        <f t="shared" si="7208"/>
        <v>0</v>
      </c>
      <c r="EN205" s="549">
        <f t="shared" ref="EN205:EO205" si="7209">SUM(EN536)</f>
        <v>0</v>
      </c>
      <c r="EO205" s="675">
        <f t="shared" si="7209"/>
        <v>0</v>
      </c>
      <c r="EP205" s="549">
        <f t="shared" ref="EP205:EQ205" si="7210">SUM(EP536)</f>
        <v>0</v>
      </c>
      <c r="EQ205" s="675">
        <f t="shared" si="7210"/>
        <v>0</v>
      </c>
      <c r="ER205" s="549">
        <f t="shared" ref="ER205:ES205" si="7211">SUM(ER536)</f>
        <v>0</v>
      </c>
      <c r="ES205" s="675">
        <f t="shared" si="7211"/>
        <v>0</v>
      </c>
      <c r="ET205" s="549">
        <f t="shared" ref="ET205:EU205" si="7212">SUM(ET536)</f>
        <v>0</v>
      </c>
      <c r="EU205" s="675">
        <f t="shared" si="7212"/>
        <v>0</v>
      </c>
      <c r="EV205" s="549">
        <f t="shared" ref="EV205:EW205" si="7213">SUM(EV536)</f>
        <v>0</v>
      </c>
      <c r="EW205" s="675">
        <f t="shared" si="7213"/>
        <v>0</v>
      </c>
      <c r="EX205" s="549">
        <f t="shared" ref="EX205:EY205" si="7214">SUM(EX536)</f>
        <v>0</v>
      </c>
      <c r="EY205" s="675">
        <f t="shared" si="7214"/>
        <v>0</v>
      </c>
      <c r="EZ205" s="549">
        <f t="shared" ref="EZ205:FA205" si="7215">SUM(EZ536)</f>
        <v>0</v>
      </c>
      <c r="FA205" s="675">
        <f t="shared" si="7215"/>
        <v>0</v>
      </c>
      <c r="FB205" s="549">
        <f t="shared" ref="FB205:FC205" si="7216">SUM(FB536)</f>
        <v>0</v>
      </c>
      <c r="FC205" s="675">
        <f t="shared" si="7216"/>
        <v>0</v>
      </c>
      <c r="FD205" s="549">
        <f t="shared" ref="FD205:FE205" si="7217">SUM(FD536)</f>
        <v>0</v>
      </c>
      <c r="FE205" s="675">
        <f t="shared" si="7217"/>
        <v>0</v>
      </c>
      <c r="FF205" s="549">
        <f t="shared" ref="FF205:FG205" si="7218">SUM(FF536)</f>
        <v>0</v>
      </c>
      <c r="FG205" s="675">
        <f t="shared" si="7218"/>
        <v>0</v>
      </c>
      <c r="FH205" s="549">
        <f t="shared" ref="FH205:FI205" si="7219">SUM(FH536)</f>
        <v>0</v>
      </c>
      <c r="FI205" s="675">
        <f t="shared" si="7219"/>
        <v>0</v>
      </c>
      <c r="FJ205" s="549">
        <f t="shared" ref="FJ205:FK205" si="7220">SUM(FJ536)</f>
        <v>0</v>
      </c>
      <c r="FK205" s="675">
        <f t="shared" si="7220"/>
        <v>0</v>
      </c>
      <c r="FL205" s="549">
        <f t="shared" ref="FL205:FM205" si="7221">SUM(FL536)</f>
        <v>0</v>
      </c>
      <c r="FM205" s="675">
        <f t="shared" si="7221"/>
        <v>-8671</v>
      </c>
      <c r="FN205" s="549">
        <f t="shared" ref="FN205:FO205" si="7222">SUM(FN536)</f>
        <v>0</v>
      </c>
      <c r="FO205" s="675">
        <f t="shared" si="7222"/>
        <v>0</v>
      </c>
      <c r="FP205" s="549">
        <f t="shared" ref="FP205:FQ205" si="7223">SUM(FP536)</f>
        <v>0</v>
      </c>
      <c r="FQ205" s="675">
        <f t="shared" si="7223"/>
        <v>0</v>
      </c>
      <c r="FR205" s="549">
        <f t="shared" ref="FR205:FS205" si="7224">SUM(FR536)</f>
        <v>0</v>
      </c>
      <c r="FS205" s="675">
        <f t="shared" si="7224"/>
        <v>-46143</v>
      </c>
      <c r="FT205" s="549">
        <f t="shared" ref="FT205:FU205" si="7225">SUM(FT536)</f>
        <v>0</v>
      </c>
      <c r="FU205" s="675">
        <f t="shared" si="7225"/>
        <v>-10857</v>
      </c>
      <c r="FV205" s="549">
        <f t="shared" ref="FV205:GK205" si="7226">SUM(FV536)</f>
        <v>0</v>
      </c>
      <c r="FW205" s="675">
        <f t="shared" si="7226"/>
        <v>0</v>
      </c>
      <c r="FX205" s="549">
        <f t="shared" si="7226"/>
        <v>0</v>
      </c>
      <c r="FY205" s="675">
        <f t="shared" si="7226"/>
        <v>-6703</v>
      </c>
      <c r="FZ205" s="549">
        <f t="shared" ref="FZ205:GI205" si="7227">SUM(FZ536)</f>
        <v>0</v>
      </c>
      <c r="GA205" s="675">
        <f t="shared" si="7227"/>
        <v>0</v>
      </c>
      <c r="GB205" s="549">
        <f t="shared" si="7227"/>
        <v>0</v>
      </c>
      <c r="GC205" s="675">
        <f t="shared" si="7227"/>
        <v>0</v>
      </c>
      <c r="GD205" s="549">
        <f t="shared" si="7227"/>
        <v>0</v>
      </c>
      <c r="GE205" s="675">
        <f t="shared" si="7227"/>
        <v>0</v>
      </c>
      <c r="GF205" s="549">
        <f t="shared" si="7227"/>
        <v>0</v>
      </c>
      <c r="GG205" s="675">
        <f t="shared" si="7227"/>
        <v>0</v>
      </c>
      <c r="GH205" s="549">
        <f t="shared" si="7227"/>
        <v>0</v>
      </c>
      <c r="GI205" s="675">
        <f t="shared" si="7227"/>
        <v>0</v>
      </c>
      <c r="GJ205" s="549">
        <f t="shared" si="7226"/>
        <v>0</v>
      </c>
      <c r="GK205" s="675">
        <f t="shared" si="7226"/>
        <v>0</v>
      </c>
      <c r="GL205" s="549">
        <f t="shared" ref="GL205:GQ205" si="7228">SUM(GL536)</f>
        <v>0</v>
      </c>
      <c r="GM205" s="675">
        <f t="shared" si="7228"/>
        <v>0</v>
      </c>
      <c r="GN205" s="549">
        <f t="shared" ref="GN205:GO205" si="7229">SUM(GN536)</f>
        <v>0</v>
      </c>
      <c r="GO205" s="675">
        <f t="shared" si="7229"/>
        <v>0</v>
      </c>
      <c r="GP205" s="74">
        <f t="shared" si="7228"/>
        <v>0</v>
      </c>
      <c r="GQ205" s="675">
        <f t="shared" si="7228"/>
        <v>-193126</v>
      </c>
      <c r="GR205" s="74">
        <f t="shared" ref="GR205:JO205" si="7230">SUM(GR536)</f>
        <v>422174</v>
      </c>
      <c r="GS205" s="74">
        <f t="shared" si="7230"/>
        <v>422174</v>
      </c>
      <c r="GT205" s="549">
        <f t="shared" si="7230"/>
        <v>422174</v>
      </c>
      <c r="GU205" s="74">
        <f t="shared" ref="GU205:HF205" si="7231">SUM(GU536)</f>
        <v>61530</v>
      </c>
      <c r="GV205" s="74">
        <f t="shared" si="7231"/>
        <v>61530</v>
      </c>
      <c r="GW205" s="549">
        <f t="shared" si="7231"/>
        <v>61530</v>
      </c>
      <c r="GX205" s="549">
        <f t="shared" si="7231"/>
        <v>61530</v>
      </c>
      <c r="GY205" s="74">
        <f t="shared" si="7231"/>
        <v>61530</v>
      </c>
      <c r="GZ205" s="74">
        <f t="shared" si="7231"/>
        <v>61530</v>
      </c>
      <c r="HA205" s="74">
        <f t="shared" si="7231"/>
        <v>61530</v>
      </c>
      <c r="HB205" s="74">
        <f t="shared" si="7231"/>
        <v>61530</v>
      </c>
      <c r="HC205" s="74">
        <f t="shared" si="7231"/>
        <v>61530</v>
      </c>
      <c r="HD205" s="74">
        <f t="shared" si="7231"/>
        <v>61530</v>
      </c>
      <c r="HE205" s="74">
        <f t="shared" si="7231"/>
        <v>0</v>
      </c>
      <c r="HF205" s="74">
        <f t="shared" si="7231"/>
        <v>0</v>
      </c>
      <c r="HG205" s="74">
        <f t="shared" si="7230"/>
        <v>422174</v>
      </c>
      <c r="HH205" s="74">
        <f t="shared" ref="HH205:HU205" si="7232">SUM(HH536)</f>
        <v>61530</v>
      </c>
      <c r="HI205" s="74">
        <f t="shared" si="7232"/>
        <v>0</v>
      </c>
      <c r="HJ205" s="74">
        <f t="shared" si="7232"/>
        <v>11107.67</v>
      </c>
      <c r="HK205" s="74">
        <f t="shared" si="7232"/>
        <v>0</v>
      </c>
      <c r="HL205" s="74">
        <f t="shared" si="7232"/>
        <v>42252.959999999999</v>
      </c>
      <c r="HM205" s="74">
        <f t="shared" si="7232"/>
        <v>0</v>
      </c>
      <c r="HN205" s="74">
        <f t="shared" si="7232"/>
        <v>31992.68</v>
      </c>
      <c r="HO205" s="74">
        <f t="shared" si="7232"/>
        <v>0</v>
      </c>
      <c r="HP205" s="74">
        <f t="shared" si="7232"/>
        <v>127170.21</v>
      </c>
      <c r="HQ205" s="74">
        <f t="shared" si="7232"/>
        <v>0</v>
      </c>
      <c r="HR205" s="74">
        <f t="shared" si="7232"/>
        <v>69727</v>
      </c>
      <c r="HS205" s="74">
        <f t="shared" si="7232"/>
        <v>0</v>
      </c>
      <c r="HT205" s="74">
        <f t="shared" si="7232"/>
        <v>-13262.52</v>
      </c>
      <c r="HU205" s="74">
        <f t="shared" si="7232"/>
        <v>0</v>
      </c>
      <c r="HV205" s="74">
        <f t="shared" si="7230"/>
        <v>40000</v>
      </c>
      <c r="HW205" s="74">
        <f t="shared" si="7230"/>
        <v>0</v>
      </c>
      <c r="HX205" s="74">
        <f t="shared" si="7230"/>
        <v>62500</v>
      </c>
      <c r="HY205" s="74">
        <f t="shared" si="7230"/>
        <v>0</v>
      </c>
      <c r="HZ205" s="74">
        <f t="shared" si="7230"/>
        <v>-10844</v>
      </c>
      <c r="IA205" s="74">
        <f t="shared" si="7230"/>
        <v>0</v>
      </c>
      <c r="IB205" s="74">
        <f t="shared" si="7230"/>
        <v>0</v>
      </c>
      <c r="IC205" s="74">
        <f t="shared" si="7230"/>
        <v>0</v>
      </c>
      <c r="ID205" s="74">
        <f t="shared" si="7230"/>
        <v>0</v>
      </c>
      <c r="IE205" s="792">
        <f t="shared" si="7230"/>
        <v>0</v>
      </c>
      <c r="IF205" s="841">
        <f t="shared" si="7230"/>
        <v>376750.04</v>
      </c>
      <c r="IG205" s="263">
        <f t="shared" si="7230"/>
        <v>376750.04</v>
      </c>
      <c r="IH205" s="842">
        <f t="shared" si="7230"/>
        <v>376750.04</v>
      </c>
      <c r="II205" s="155">
        <f t="shared" si="7230"/>
        <v>18301.75</v>
      </c>
      <c r="IJ205" s="74">
        <f t="shared" si="7230"/>
        <v>18301.75</v>
      </c>
      <c r="IK205" s="74">
        <f t="shared" si="7230"/>
        <v>18301.75</v>
      </c>
      <c r="IL205" s="74">
        <f t="shared" si="7230"/>
        <v>23376.339999999997</v>
      </c>
      <c r="IM205" s="74">
        <f t="shared" si="7230"/>
        <v>23376.339999999997</v>
      </c>
      <c r="IN205" s="74">
        <f t="shared" si="7230"/>
        <v>23376.339999999997</v>
      </c>
      <c r="IO205" s="74">
        <f t="shared" si="7230"/>
        <v>19818.75</v>
      </c>
      <c r="IP205" s="74">
        <f t="shared" si="7230"/>
        <v>19818.75</v>
      </c>
      <c r="IQ205" s="74">
        <f t="shared" si="7230"/>
        <v>19818.75</v>
      </c>
      <c r="IR205" s="74">
        <f t="shared" si="7230"/>
        <v>36203.03</v>
      </c>
      <c r="IS205" s="74">
        <f t="shared" si="7230"/>
        <v>36203.03</v>
      </c>
      <c r="IT205" s="74">
        <f t="shared" si="7230"/>
        <v>36203.03</v>
      </c>
      <c r="IU205" s="74">
        <f t="shared" si="7230"/>
        <v>81866.179999999993</v>
      </c>
      <c r="IV205" s="74">
        <f t="shared" si="7230"/>
        <v>81866.179999999993</v>
      </c>
      <c r="IW205" s="74">
        <f t="shared" si="7230"/>
        <v>81866.179999999993</v>
      </c>
      <c r="IX205" s="74">
        <f t="shared" si="7230"/>
        <v>46100.160000000003</v>
      </c>
      <c r="IY205" s="74">
        <f t="shared" si="7230"/>
        <v>46100.160000000003</v>
      </c>
      <c r="IZ205" s="74">
        <f t="shared" si="7230"/>
        <v>46100.160000000003</v>
      </c>
      <c r="JA205" s="74">
        <f t="shared" si="7230"/>
        <v>42005.810000000027</v>
      </c>
      <c r="JB205" s="74">
        <f t="shared" si="7230"/>
        <v>42005.810000000027</v>
      </c>
      <c r="JC205" s="74">
        <f t="shared" si="7230"/>
        <v>42005.810000000027</v>
      </c>
      <c r="JD205" s="74">
        <f t="shared" si="7230"/>
        <v>27949.510000000009</v>
      </c>
      <c r="JE205" s="74">
        <f t="shared" si="7230"/>
        <v>27949.510000000009</v>
      </c>
      <c r="JF205" s="74">
        <f t="shared" si="7230"/>
        <v>27949.510000000009</v>
      </c>
      <c r="JG205" s="74">
        <f t="shared" si="7230"/>
        <v>72560.129999999946</v>
      </c>
      <c r="JH205" s="74">
        <f t="shared" si="7230"/>
        <v>72560.129999999946</v>
      </c>
      <c r="JI205" s="74">
        <f t="shared" si="7230"/>
        <v>72560.129999999946</v>
      </c>
      <c r="JJ205" s="74">
        <f t="shared" si="7230"/>
        <v>8568.3800000000047</v>
      </c>
      <c r="JK205" s="74">
        <f t="shared" si="7230"/>
        <v>8568.3800000000047</v>
      </c>
      <c r="JL205" s="74">
        <f t="shared" si="7230"/>
        <v>8568.3800000000047</v>
      </c>
      <c r="JM205" s="74">
        <f t="shared" si="7230"/>
        <v>0</v>
      </c>
      <c r="JN205" s="74">
        <f t="shared" si="7230"/>
        <v>0</v>
      </c>
      <c r="JO205" s="74">
        <f t="shared" si="7230"/>
        <v>0</v>
      </c>
      <c r="JP205" s="74">
        <f>SUM(JP536)</f>
        <v>0</v>
      </c>
      <c r="JQ205" s="74">
        <f>SUM(JQ536)</f>
        <v>0</v>
      </c>
      <c r="JR205" s="74">
        <f>SUM(JR536)</f>
        <v>0</v>
      </c>
      <c r="JS205" s="74">
        <f>SUM(JS536)</f>
        <v>45423.960000000021</v>
      </c>
      <c r="JT205" s="382">
        <f>SUM(JT536)</f>
        <v>45423.960000000021</v>
      </c>
      <c r="JU205" s="670"/>
      <c r="JV205" s="489"/>
      <c r="JW205" s="528"/>
      <c r="JX205" s="549">
        <f>SUM(JX536)</f>
        <v>422174</v>
      </c>
      <c r="JY205" s="549">
        <f>SUM(JY536)</f>
        <v>0</v>
      </c>
      <c r="JZ205" s="581">
        <f t="shared" si="4944"/>
        <v>0</v>
      </c>
      <c r="KA205" s="581">
        <f t="shared" si="4945"/>
        <v>-193126</v>
      </c>
      <c r="KB205" s="549">
        <f>SUM(KB536)</f>
        <v>422174</v>
      </c>
      <c r="KC205" s="709">
        <f t="shared" si="4908"/>
        <v>0</v>
      </c>
      <c r="KD205" s="34"/>
      <c r="KE205" s="34"/>
      <c r="KF205" s="34"/>
      <c r="KG205" s="34"/>
      <c r="KH205" s="34"/>
      <c r="KI205" s="34"/>
      <c r="KJ205" s="34"/>
      <c r="KK205" s="34"/>
    </row>
    <row r="206" spans="1:297" s="8" customFormat="1">
      <c r="A206" s="75"/>
      <c r="B206" s="72"/>
      <c r="C206" s="74"/>
      <c r="D206" s="549"/>
      <c r="E206" s="675"/>
      <c r="F206" s="549"/>
      <c r="G206" s="675"/>
      <c r="H206" s="549"/>
      <c r="I206" s="675"/>
      <c r="J206" s="549"/>
      <c r="K206" s="675"/>
      <c r="L206" s="549"/>
      <c r="M206" s="675"/>
      <c r="N206" s="549"/>
      <c r="O206" s="675"/>
      <c r="P206" s="549"/>
      <c r="Q206" s="675"/>
      <c r="R206" s="549"/>
      <c r="S206" s="675"/>
      <c r="T206" s="549"/>
      <c r="U206" s="675"/>
      <c r="V206" s="549"/>
      <c r="W206" s="675"/>
      <c r="X206" s="549"/>
      <c r="Y206" s="675"/>
      <c r="Z206" s="549"/>
      <c r="AA206" s="675"/>
      <c r="AB206" s="549"/>
      <c r="AC206" s="675"/>
      <c r="AD206" s="549"/>
      <c r="AE206" s="675"/>
      <c r="AF206" s="549"/>
      <c r="AG206" s="675"/>
      <c r="AH206" s="549"/>
      <c r="AI206" s="675"/>
      <c r="AJ206" s="549"/>
      <c r="AK206" s="675"/>
      <c r="AL206" s="549"/>
      <c r="AM206" s="675"/>
      <c r="AN206" s="549"/>
      <c r="AO206" s="675"/>
      <c r="AP206" s="549"/>
      <c r="AQ206" s="675"/>
      <c r="AR206" s="549"/>
      <c r="AS206" s="675"/>
      <c r="AT206" s="549"/>
      <c r="AU206" s="675"/>
      <c r="AV206" s="549"/>
      <c r="AW206" s="675"/>
      <c r="AX206" s="549"/>
      <c r="AY206" s="675"/>
      <c r="AZ206" s="549"/>
      <c r="BA206" s="675"/>
      <c r="BB206" s="549"/>
      <c r="BC206" s="675"/>
      <c r="BD206" s="549"/>
      <c r="BE206" s="675"/>
      <c r="BF206" s="549"/>
      <c r="BG206" s="675"/>
      <c r="BH206" s="549"/>
      <c r="BI206" s="675"/>
      <c r="BJ206" s="549"/>
      <c r="BK206" s="675"/>
      <c r="BL206" s="549"/>
      <c r="BM206" s="675"/>
      <c r="BN206" s="549"/>
      <c r="BO206" s="675"/>
      <c r="BP206" s="549"/>
      <c r="BQ206" s="675"/>
      <c r="BR206" s="549"/>
      <c r="BS206" s="675"/>
      <c r="BT206" s="549"/>
      <c r="BU206" s="675"/>
      <c r="BV206" s="549"/>
      <c r="BW206" s="675"/>
      <c r="BX206" s="549"/>
      <c r="BY206" s="675"/>
      <c r="BZ206" s="549"/>
      <c r="CA206" s="675"/>
      <c r="CB206" s="549"/>
      <c r="CC206" s="675"/>
      <c r="CD206" s="549"/>
      <c r="CE206" s="675"/>
      <c r="CF206" s="549"/>
      <c r="CG206" s="675"/>
      <c r="CH206" s="549"/>
      <c r="CI206" s="675"/>
      <c r="CJ206" s="549"/>
      <c r="CK206" s="675"/>
      <c r="CL206" s="549"/>
      <c r="CM206" s="675"/>
      <c r="CN206" s="549"/>
      <c r="CO206" s="675"/>
      <c r="CP206" s="549"/>
      <c r="CQ206" s="675"/>
      <c r="CR206" s="549"/>
      <c r="CS206" s="675"/>
      <c r="CT206" s="549"/>
      <c r="CU206" s="675"/>
      <c r="CV206" s="549"/>
      <c r="CW206" s="675"/>
      <c r="CX206" s="549"/>
      <c r="CY206" s="675"/>
      <c r="CZ206" s="549"/>
      <c r="DA206" s="675"/>
      <c r="DB206" s="549"/>
      <c r="DC206" s="675"/>
      <c r="DD206" s="549"/>
      <c r="DE206" s="675"/>
      <c r="DF206" s="549"/>
      <c r="DG206" s="675"/>
      <c r="DH206" s="549"/>
      <c r="DI206" s="675"/>
      <c r="DJ206" s="549"/>
      <c r="DK206" s="675"/>
      <c r="DL206" s="549"/>
      <c r="DM206" s="675"/>
      <c r="DN206" s="549"/>
      <c r="DO206" s="675"/>
      <c r="DP206" s="549"/>
      <c r="DQ206" s="675"/>
      <c r="DR206" s="549"/>
      <c r="DS206" s="675"/>
      <c r="DT206" s="549"/>
      <c r="DU206" s="675"/>
      <c r="DV206" s="549"/>
      <c r="DW206" s="675"/>
      <c r="DX206" s="549"/>
      <c r="DY206" s="675"/>
      <c r="DZ206" s="549"/>
      <c r="EA206" s="675"/>
      <c r="EB206" s="549"/>
      <c r="EC206" s="675"/>
      <c r="ED206" s="549"/>
      <c r="EE206" s="675"/>
      <c r="EF206" s="549"/>
      <c r="EG206" s="675"/>
      <c r="EH206" s="549"/>
      <c r="EI206" s="675"/>
      <c r="EJ206" s="549"/>
      <c r="EK206" s="675"/>
      <c r="EL206" s="549"/>
      <c r="EM206" s="675"/>
      <c r="EN206" s="549"/>
      <c r="EO206" s="675"/>
      <c r="EP206" s="549"/>
      <c r="EQ206" s="675"/>
      <c r="ER206" s="549"/>
      <c r="ES206" s="675"/>
      <c r="ET206" s="549"/>
      <c r="EU206" s="675"/>
      <c r="EV206" s="549"/>
      <c r="EW206" s="675"/>
      <c r="EX206" s="549"/>
      <c r="EY206" s="675"/>
      <c r="EZ206" s="549"/>
      <c r="FA206" s="675"/>
      <c r="FB206" s="549"/>
      <c r="FC206" s="675"/>
      <c r="FD206" s="549"/>
      <c r="FE206" s="675"/>
      <c r="FF206" s="549"/>
      <c r="FG206" s="675"/>
      <c r="FH206" s="549"/>
      <c r="FI206" s="675"/>
      <c r="FJ206" s="549"/>
      <c r="FK206" s="675"/>
      <c r="FL206" s="549"/>
      <c r="FM206" s="675"/>
      <c r="FN206" s="549"/>
      <c r="FO206" s="675"/>
      <c r="FP206" s="549"/>
      <c r="FQ206" s="675"/>
      <c r="FR206" s="549"/>
      <c r="FS206" s="675"/>
      <c r="FT206" s="549"/>
      <c r="FU206" s="675"/>
      <c r="FV206" s="549"/>
      <c r="FW206" s="675"/>
      <c r="FX206" s="549"/>
      <c r="FY206" s="675"/>
      <c r="FZ206" s="549"/>
      <c r="GA206" s="675"/>
      <c r="GB206" s="549"/>
      <c r="GC206" s="675"/>
      <c r="GD206" s="549"/>
      <c r="GE206" s="675"/>
      <c r="GF206" s="549"/>
      <c r="GG206" s="675"/>
      <c r="GH206" s="549"/>
      <c r="GI206" s="675"/>
      <c r="GJ206" s="549"/>
      <c r="GK206" s="675"/>
      <c r="GL206" s="549"/>
      <c r="GM206" s="675"/>
      <c r="GN206" s="549"/>
      <c r="GO206" s="675"/>
      <c r="GP206" s="74"/>
      <c r="GQ206" s="675"/>
      <c r="GR206" s="74"/>
      <c r="GS206" s="74"/>
      <c r="GT206" s="549"/>
      <c r="GU206" s="74"/>
      <c r="GV206" s="74"/>
      <c r="GW206" s="549"/>
      <c r="GX206" s="549"/>
      <c r="GY206" s="74"/>
      <c r="GZ206" s="74"/>
      <c r="HA206" s="74"/>
      <c r="HB206" s="74"/>
      <c r="HC206" s="74"/>
      <c r="HD206" s="74"/>
      <c r="HE206" s="74"/>
      <c r="HF206" s="74"/>
      <c r="HG206" s="74"/>
      <c r="HH206" s="74"/>
      <c r="HI206" s="74"/>
      <c r="HJ206" s="74"/>
      <c r="HK206" s="74"/>
      <c r="HL206" s="74"/>
      <c r="HM206" s="74"/>
      <c r="HN206" s="74"/>
      <c r="HO206" s="74"/>
      <c r="HP206" s="74"/>
      <c r="HQ206" s="74"/>
      <c r="HR206" s="74"/>
      <c r="HS206" s="74"/>
      <c r="HT206" s="74"/>
      <c r="HU206" s="74"/>
      <c r="HV206" s="74"/>
      <c r="HW206" s="74"/>
      <c r="HX206" s="74"/>
      <c r="HY206" s="74"/>
      <c r="HZ206" s="74"/>
      <c r="IA206" s="74"/>
      <c r="IB206" s="74"/>
      <c r="IC206" s="74"/>
      <c r="ID206" s="74"/>
      <c r="IE206" s="792"/>
      <c r="IF206" s="841"/>
      <c r="IG206" s="263"/>
      <c r="IH206" s="842"/>
      <c r="II206" s="155"/>
      <c r="IJ206" s="74"/>
      <c r="IK206" s="74"/>
      <c r="IL206" s="74"/>
      <c r="IM206" s="74"/>
      <c r="IN206" s="74"/>
      <c r="IO206" s="74"/>
      <c r="IP206" s="74"/>
      <c r="IQ206" s="74"/>
      <c r="IR206" s="74"/>
      <c r="IS206" s="74"/>
      <c r="IT206" s="74"/>
      <c r="IU206" s="74"/>
      <c r="IV206" s="74"/>
      <c r="IW206" s="74"/>
      <c r="IX206" s="74"/>
      <c r="IY206" s="74"/>
      <c r="IZ206" s="74"/>
      <c r="JA206" s="74"/>
      <c r="JB206" s="74"/>
      <c r="JC206" s="74"/>
      <c r="JD206" s="74"/>
      <c r="JE206" s="74"/>
      <c r="JF206" s="74"/>
      <c r="JG206" s="74"/>
      <c r="JH206" s="74"/>
      <c r="JI206" s="74"/>
      <c r="JJ206" s="74"/>
      <c r="JK206" s="74"/>
      <c r="JL206" s="74"/>
      <c r="JM206" s="74"/>
      <c r="JN206" s="74"/>
      <c r="JO206" s="74"/>
      <c r="JP206" s="74"/>
      <c r="JQ206" s="74"/>
      <c r="JR206" s="74"/>
      <c r="JS206" s="74"/>
      <c r="JT206" s="382"/>
      <c r="JU206" s="670"/>
      <c r="JV206" s="489"/>
      <c r="JW206" s="528"/>
      <c r="JX206" s="549"/>
      <c r="JY206" s="549"/>
      <c r="JZ206" s="581"/>
      <c r="KA206" s="581"/>
      <c r="KB206" s="549"/>
      <c r="KC206" s="709">
        <f t="shared" si="4908"/>
        <v>0</v>
      </c>
      <c r="KD206" s="34"/>
      <c r="KE206" s="34"/>
      <c r="KF206" s="34"/>
      <c r="KG206" s="34"/>
      <c r="KH206" s="34"/>
      <c r="KI206" s="34"/>
      <c r="KJ206" s="34"/>
      <c r="KK206" s="34"/>
    </row>
    <row r="207" spans="1:297" s="8" customFormat="1">
      <c r="A207" s="262" t="s">
        <v>1266</v>
      </c>
      <c r="B207" s="72"/>
      <c r="C207" s="74">
        <f>C208</f>
        <v>0</v>
      </c>
      <c r="D207" s="549"/>
      <c r="E207" s="675"/>
      <c r="F207" s="549"/>
      <c r="G207" s="675"/>
      <c r="H207" s="549"/>
      <c r="I207" s="675"/>
      <c r="J207" s="549"/>
      <c r="K207" s="675"/>
      <c r="L207" s="549"/>
      <c r="M207" s="675"/>
      <c r="N207" s="549"/>
      <c r="O207" s="675"/>
      <c r="P207" s="549">
        <f t="shared" ref="P207:GN207" si="7233">SUM(P208)</f>
        <v>3724</v>
      </c>
      <c r="Q207" s="675">
        <f t="shared" si="7233"/>
        <v>0</v>
      </c>
      <c r="R207" s="549">
        <f t="shared" si="7233"/>
        <v>0</v>
      </c>
      <c r="S207" s="675">
        <f t="shared" si="7233"/>
        <v>0</v>
      </c>
      <c r="T207" s="549">
        <f t="shared" si="7233"/>
        <v>0</v>
      </c>
      <c r="U207" s="675">
        <f t="shared" si="7233"/>
        <v>0</v>
      </c>
      <c r="V207" s="549">
        <f t="shared" si="7233"/>
        <v>0</v>
      </c>
      <c r="W207" s="675">
        <f t="shared" si="7233"/>
        <v>0</v>
      </c>
      <c r="X207" s="549">
        <f t="shared" si="7233"/>
        <v>0</v>
      </c>
      <c r="Y207" s="675">
        <f t="shared" si="7233"/>
        <v>0</v>
      </c>
      <c r="Z207" s="549">
        <f t="shared" si="7233"/>
        <v>0</v>
      </c>
      <c r="AA207" s="675">
        <f t="shared" si="7233"/>
        <v>0</v>
      </c>
      <c r="AB207" s="549">
        <f t="shared" si="7233"/>
        <v>0</v>
      </c>
      <c r="AC207" s="675">
        <f t="shared" si="7233"/>
        <v>0</v>
      </c>
      <c r="AD207" s="549">
        <f t="shared" si="7233"/>
        <v>0</v>
      </c>
      <c r="AE207" s="675">
        <f t="shared" si="7233"/>
        <v>0</v>
      </c>
      <c r="AF207" s="549">
        <f t="shared" si="7233"/>
        <v>0</v>
      </c>
      <c r="AG207" s="675">
        <f t="shared" si="7233"/>
        <v>0</v>
      </c>
      <c r="AH207" s="549">
        <f t="shared" si="7233"/>
        <v>0</v>
      </c>
      <c r="AI207" s="675">
        <f t="shared" si="7233"/>
        <v>0</v>
      </c>
      <c r="AJ207" s="549">
        <f t="shared" si="7233"/>
        <v>0</v>
      </c>
      <c r="AK207" s="675">
        <f t="shared" si="7233"/>
        <v>0</v>
      </c>
      <c r="AL207" s="549">
        <f t="shared" si="7233"/>
        <v>0</v>
      </c>
      <c r="AM207" s="675">
        <f t="shared" si="7233"/>
        <v>0</v>
      </c>
      <c r="AN207" s="549">
        <f t="shared" si="7233"/>
        <v>0</v>
      </c>
      <c r="AO207" s="675">
        <f t="shared" si="7233"/>
        <v>0</v>
      </c>
      <c r="AP207" s="549">
        <f t="shared" si="7233"/>
        <v>0</v>
      </c>
      <c r="AQ207" s="675">
        <f t="shared" si="7233"/>
        <v>0</v>
      </c>
      <c r="AR207" s="549">
        <f t="shared" si="7233"/>
        <v>0</v>
      </c>
      <c r="AS207" s="675">
        <f t="shared" si="7233"/>
        <v>0</v>
      </c>
      <c r="AT207" s="549">
        <f t="shared" si="7233"/>
        <v>0</v>
      </c>
      <c r="AU207" s="675">
        <f t="shared" si="7233"/>
        <v>0</v>
      </c>
      <c r="AV207" s="549">
        <f t="shared" si="7233"/>
        <v>0</v>
      </c>
      <c r="AW207" s="675">
        <f t="shared" si="7233"/>
        <v>0</v>
      </c>
      <c r="AX207" s="549">
        <f t="shared" si="7233"/>
        <v>0</v>
      </c>
      <c r="AY207" s="675">
        <f t="shared" si="7233"/>
        <v>0</v>
      </c>
      <c r="AZ207" s="549">
        <f t="shared" si="7233"/>
        <v>0</v>
      </c>
      <c r="BA207" s="675">
        <f t="shared" si="7233"/>
        <v>0</v>
      </c>
      <c r="BB207" s="549">
        <f t="shared" si="7233"/>
        <v>0</v>
      </c>
      <c r="BC207" s="675">
        <f t="shared" si="7233"/>
        <v>0</v>
      </c>
      <c r="BD207" s="549">
        <f t="shared" si="7233"/>
        <v>0</v>
      </c>
      <c r="BE207" s="675">
        <f t="shared" si="7233"/>
        <v>0</v>
      </c>
      <c r="BF207" s="549">
        <f t="shared" si="7233"/>
        <v>0</v>
      </c>
      <c r="BG207" s="675">
        <f t="shared" si="7233"/>
        <v>0</v>
      </c>
      <c r="BH207" s="549">
        <f t="shared" si="7233"/>
        <v>0</v>
      </c>
      <c r="BI207" s="675">
        <f t="shared" si="7233"/>
        <v>0</v>
      </c>
      <c r="BJ207" s="549">
        <f t="shared" si="7233"/>
        <v>0</v>
      </c>
      <c r="BK207" s="675">
        <f t="shared" si="7233"/>
        <v>0</v>
      </c>
      <c r="BL207" s="549">
        <f t="shared" si="7233"/>
        <v>0</v>
      </c>
      <c r="BM207" s="675">
        <f t="shared" si="7233"/>
        <v>0</v>
      </c>
      <c r="BN207" s="549">
        <f t="shared" si="7233"/>
        <v>0</v>
      </c>
      <c r="BO207" s="675">
        <f t="shared" si="7233"/>
        <v>0</v>
      </c>
      <c r="BP207" s="549">
        <f t="shared" si="7233"/>
        <v>0</v>
      </c>
      <c r="BQ207" s="675">
        <f t="shared" si="7233"/>
        <v>0</v>
      </c>
      <c r="BR207" s="549">
        <f t="shared" si="7233"/>
        <v>0</v>
      </c>
      <c r="BS207" s="675">
        <f t="shared" si="7233"/>
        <v>0</v>
      </c>
      <c r="BT207" s="549">
        <f t="shared" si="7233"/>
        <v>0</v>
      </c>
      <c r="BU207" s="675">
        <f t="shared" si="7233"/>
        <v>0</v>
      </c>
      <c r="BV207" s="549">
        <f t="shared" si="7233"/>
        <v>0</v>
      </c>
      <c r="BW207" s="675">
        <f t="shared" si="7233"/>
        <v>0</v>
      </c>
      <c r="BX207" s="549">
        <f t="shared" si="7233"/>
        <v>0</v>
      </c>
      <c r="BY207" s="675">
        <f t="shared" si="7233"/>
        <v>0</v>
      </c>
      <c r="BZ207" s="549">
        <f t="shared" si="7233"/>
        <v>0</v>
      </c>
      <c r="CA207" s="675">
        <f t="shared" si="7233"/>
        <v>0</v>
      </c>
      <c r="CB207" s="549">
        <f t="shared" si="7233"/>
        <v>0</v>
      </c>
      <c r="CC207" s="675">
        <f t="shared" ref="CC207" si="7234">SUM(CC208)</f>
        <v>0</v>
      </c>
      <c r="CD207" s="549">
        <f t="shared" si="7233"/>
        <v>0</v>
      </c>
      <c r="CE207" s="675">
        <f t="shared" ref="CE207" si="7235">SUM(CE208)</f>
        <v>0</v>
      </c>
      <c r="CF207" s="549">
        <f t="shared" si="7233"/>
        <v>0</v>
      </c>
      <c r="CG207" s="675">
        <f t="shared" ref="CG207" si="7236">SUM(CG208)</f>
        <v>0</v>
      </c>
      <c r="CH207" s="549">
        <f t="shared" si="7233"/>
        <v>0</v>
      </c>
      <c r="CI207" s="675">
        <f t="shared" ref="CI207" si="7237">SUM(CI208)</f>
        <v>0</v>
      </c>
      <c r="CJ207" s="549">
        <f t="shared" si="7233"/>
        <v>0</v>
      </c>
      <c r="CK207" s="675">
        <f t="shared" ref="CK207" si="7238">SUM(CK208)</f>
        <v>0</v>
      </c>
      <c r="CL207" s="549">
        <f t="shared" si="7233"/>
        <v>0</v>
      </c>
      <c r="CM207" s="675">
        <f t="shared" ref="CM207" si="7239">SUM(CM208)</f>
        <v>0</v>
      </c>
      <c r="CN207" s="549">
        <f t="shared" si="7233"/>
        <v>0</v>
      </c>
      <c r="CO207" s="675">
        <f t="shared" ref="CO207" si="7240">SUM(CO208)</f>
        <v>0</v>
      </c>
      <c r="CP207" s="549">
        <f t="shared" si="7233"/>
        <v>0</v>
      </c>
      <c r="CQ207" s="675">
        <f t="shared" ref="CQ207" si="7241">SUM(CQ208)</f>
        <v>0</v>
      </c>
      <c r="CR207" s="549">
        <f t="shared" si="7233"/>
        <v>0</v>
      </c>
      <c r="CS207" s="675">
        <f t="shared" ref="CS207" si="7242">SUM(CS208)</f>
        <v>0</v>
      </c>
      <c r="CT207" s="549">
        <f t="shared" si="7233"/>
        <v>0</v>
      </c>
      <c r="CU207" s="675">
        <f t="shared" ref="CU207" si="7243">SUM(CU208)</f>
        <v>0</v>
      </c>
      <c r="CV207" s="549">
        <f t="shared" si="7233"/>
        <v>0</v>
      </c>
      <c r="CW207" s="675">
        <f t="shared" ref="CW207" si="7244">SUM(CW208)</f>
        <v>0</v>
      </c>
      <c r="CX207" s="549">
        <f t="shared" si="7233"/>
        <v>0</v>
      </c>
      <c r="CY207" s="675">
        <f t="shared" ref="CY207" si="7245">SUM(CY208)</f>
        <v>0</v>
      </c>
      <c r="CZ207" s="549">
        <f t="shared" si="7233"/>
        <v>0</v>
      </c>
      <c r="DA207" s="675">
        <f t="shared" ref="DA207" si="7246">SUM(DA208)</f>
        <v>0</v>
      </c>
      <c r="DB207" s="549">
        <f t="shared" si="7233"/>
        <v>0</v>
      </c>
      <c r="DC207" s="675">
        <f t="shared" ref="DC207" si="7247">SUM(DC208)</f>
        <v>0</v>
      </c>
      <c r="DD207" s="549">
        <f t="shared" si="7233"/>
        <v>0</v>
      </c>
      <c r="DE207" s="675">
        <f t="shared" ref="DE207" si="7248">SUM(DE208)</f>
        <v>0</v>
      </c>
      <c r="DF207" s="549">
        <f t="shared" si="7233"/>
        <v>0</v>
      </c>
      <c r="DG207" s="675">
        <f t="shared" ref="DG207" si="7249">SUM(DG208)</f>
        <v>0</v>
      </c>
      <c r="DH207" s="549">
        <f t="shared" si="7233"/>
        <v>0</v>
      </c>
      <c r="DI207" s="675">
        <f t="shared" ref="DI207" si="7250">SUM(DI208)</f>
        <v>0</v>
      </c>
      <c r="DJ207" s="549">
        <f t="shared" si="7233"/>
        <v>0</v>
      </c>
      <c r="DK207" s="675">
        <f t="shared" ref="DK207" si="7251">SUM(DK208)</f>
        <v>0</v>
      </c>
      <c r="DL207" s="549">
        <f t="shared" si="7233"/>
        <v>0</v>
      </c>
      <c r="DM207" s="675">
        <f t="shared" ref="DM207" si="7252">SUM(DM208)</f>
        <v>0</v>
      </c>
      <c r="DN207" s="549">
        <f t="shared" si="7233"/>
        <v>0</v>
      </c>
      <c r="DO207" s="675">
        <f t="shared" ref="DO207" si="7253">SUM(DO208)</f>
        <v>0</v>
      </c>
      <c r="DP207" s="549">
        <f t="shared" si="7233"/>
        <v>0</v>
      </c>
      <c r="DQ207" s="675">
        <f t="shared" ref="DQ207" si="7254">SUM(DQ208)</f>
        <v>0</v>
      </c>
      <c r="DR207" s="549">
        <f t="shared" si="7233"/>
        <v>0</v>
      </c>
      <c r="DS207" s="675">
        <f t="shared" ref="DS207" si="7255">SUM(DS208)</f>
        <v>0</v>
      </c>
      <c r="DT207" s="549">
        <f t="shared" si="7233"/>
        <v>0</v>
      </c>
      <c r="DU207" s="675">
        <f t="shared" ref="DU207" si="7256">SUM(DU208)</f>
        <v>0</v>
      </c>
      <c r="DV207" s="549">
        <f t="shared" si="7233"/>
        <v>0</v>
      </c>
      <c r="DW207" s="675">
        <f t="shared" ref="DW207" si="7257">SUM(DW208)</f>
        <v>0</v>
      </c>
      <c r="DX207" s="549">
        <f t="shared" si="7233"/>
        <v>0</v>
      </c>
      <c r="DY207" s="675">
        <f t="shared" ref="DY207" si="7258">SUM(DY208)</f>
        <v>0</v>
      </c>
      <c r="DZ207" s="549">
        <f t="shared" si="7233"/>
        <v>0</v>
      </c>
      <c r="EA207" s="675">
        <f t="shared" ref="EA207" si="7259">SUM(EA208)</f>
        <v>0</v>
      </c>
      <c r="EB207" s="549">
        <f t="shared" si="7233"/>
        <v>0</v>
      </c>
      <c r="EC207" s="675">
        <f t="shared" ref="EC207" si="7260">SUM(EC208)</f>
        <v>0</v>
      </c>
      <c r="ED207" s="549">
        <f t="shared" si="7233"/>
        <v>0</v>
      </c>
      <c r="EE207" s="675">
        <f t="shared" ref="EE207" si="7261">SUM(EE208)</f>
        <v>0</v>
      </c>
      <c r="EF207" s="549">
        <f t="shared" si="7233"/>
        <v>0</v>
      </c>
      <c r="EG207" s="675">
        <f t="shared" ref="EG207" si="7262">SUM(EG208)</f>
        <v>0</v>
      </c>
      <c r="EH207" s="549">
        <f t="shared" si="7233"/>
        <v>0</v>
      </c>
      <c r="EI207" s="675">
        <f t="shared" ref="EI207" si="7263">SUM(EI208)</f>
        <v>0</v>
      </c>
      <c r="EJ207" s="549">
        <f t="shared" si="7233"/>
        <v>0</v>
      </c>
      <c r="EK207" s="675">
        <f t="shared" ref="EK207" si="7264">SUM(EK208)</f>
        <v>0</v>
      </c>
      <c r="EL207" s="549">
        <f t="shared" si="7233"/>
        <v>0</v>
      </c>
      <c r="EM207" s="675">
        <f t="shared" ref="EM207" si="7265">SUM(EM208)</f>
        <v>0</v>
      </c>
      <c r="EN207" s="549">
        <f t="shared" si="7233"/>
        <v>0</v>
      </c>
      <c r="EO207" s="675">
        <f t="shared" ref="EO207" si="7266">SUM(EO208)</f>
        <v>0</v>
      </c>
      <c r="EP207" s="549">
        <f t="shared" si="7233"/>
        <v>0</v>
      </c>
      <c r="EQ207" s="675">
        <f t="shared" ref="EQ207" si="7267">SUM(EQ208)</f>
        <v>0</v>
      </c>
      <c r="ER207" s="549">
        <f t="shared" si="7233"/>
        <v>0</v>
      </c>
      <c r="ES207" s="675">
        <f t="shared" ref="ES207" si="7268">SUM(ES208)</f>
        <v>0</v>
      </c>
      <c r="ET207" s="549">
        <f t="shared" si="7233"/>
        <v>0</v>
      </c>
      <c r="EU207" s="675">
        <f t="shared" ref="EU207" si="7269">SUM(EU208)</f>
        <v>0</v>
      </c>
      <c r="EV207" s="549">
        <f t="shared" si="7233"/>
        <v>0</v>
      </c>
      <c r="EW207" s="675">
        <f t="shared" ref="EW207" si="7270">SUM(EW208)</f>
        <v>0</v>
      </c>
      <c r="EX207" s="549">
        <f t="shared" si="7233"/>
        <v>0</v>
      </c>
      <c r="EY207" s="675">
        <f t="shared" ref="EY207" si="7271">SUM(EY208)</f>
        <v>0</v>
      </c>
      <c r="EZ207" s="549">
        <f t="shared" si="7233"/>
        <v>0</v>
      </c>
      <c r="FA207" s="675">
        <f t="shared" ref="FA207" si="7272">SUM(FA208)</f>
        <v>0</v>
      </c>
      <c r="FB207" s="549">
        <f t="shared" si="7233"/>
        <v>0</v>
      </c>
      <c r="FC207" s="675">
        <f t="shared" ref="FC207" si="7273">SUM(FC208)</f>
        <v>0</v>
      </c>
      <c r="FD207" s="549">
        <f t="shared" si="7233"/>
        <v>0</v>
      </c>
      <c r="FE207" s="675">
        <f t="shared" ref="FE207" si="7274">SUM(FE208)</f>
        <v>0</v>
      </c>
      <c r="FF207" s="549">
        <f t="shared" si="7233"/>
        <v>0</v>
      </c>
      <c r="FG207" s="675">
        <f t="shared" ref="FG207" si="7275">SUM(FG208)</f>
        <v>0</v>
      </c>
      <c r="FH207" s="549">
        <f t="shared" si="7233"/>
        <v>0</v>
      </c>
      <c r="FI207" s="675">
        <f t="shared" ref="FI207" si="7276">SUM(FI208)</f>
        <v>0</v>
      </c>
      <c r="FJ207" s="549">
        <f t="shared" si="7233"/>
        <v>0</v>
      </c>
      <c r="FK207" s="675">
        <f t="shared" ref="FK207" si="7277">SUM(FK208)</f>
        <v>0</v>
      </c>
      <c r="FL207" s="549">
        <f t="shared" si="7233"/>
        <v>0</v>
      </c>
      <c r="FM207" s="675">
        <f t="shared" ref="FM207" si="7278">SUM(FM208)</f>
        <v>0</v>
      </c>
      <c r="FN207" s="549">
        <f t="shared" si="7233"/>
        <v>0</v>
      </c>
      <c r="FO207" s="675">
        <f t="shared" ref="FO207" si="7279">SUM(FO208)</f>
        <v>0</v>
      </c>
      <c r="FP207" s="549">
        <f t="shared" si="7233"/>
        <v>0</v>
      </c>
      <c r="FQ207" s="675">
        <f t="shared" ref="FQ207" si="7280">SUM(FQ208)</f>
        <v>0</v>
      </c>
      <c r="FR207" s="549">
        <f t="shared" si="7233"/>
        <v>0</v>
      </c>
      <c r="FS207" s="675">
        <f t="shared" ref="FS207" si="7281">SUM(FS208)</f>
        <v>0</v>
      </c>
      <c r="FT207" s="549">
        <f t="shared" si="7233"/>
        <v>0</v>
      </c>
      <c r="FU207" s="675">
        <f t="shared" ref="FU207" si="7282">SUM(FU208)</f>
        <v>0</v>
      </c>
      <c r="FV207" s="549">
        <f t="shared" si="7233"/>
        <v>0</v>
      </c>
      <c r="FW207" s="675">
        <f t="shared" ref="FW207" si="7283">SUM(FW208)</f>
        <v>0</v>
      </c>
      <c r="FX207" s="549">
        <f t="shared" si="7233"/>
        <v>0</v>
      </c>
      <c r="FY207" s="675">
        <f t="shared" ref="FY207" si="7284">SUM(FY208)</f>
        <v>0</v>
      </c>
      <c r="FZ207" s="549">
        <f t="shared" si="7233"/>
        <v>0</v>
      </c>
      <c r="GA207" s="675">
        <f t="shared" ref="GA207" si="7285">SUM(GA208)</f>
        <v>0</v>
      </c>
      <c r="GB207" s="549">
        <f t="shared" si="7233"/>
        <v>0</v>
      </c>
      <c r="GC207" s="675">
        <f t="shared" ref="GC207" si="7286">SUM(GC208)</f>
        <v>0</v>
      </c>
      <c r="GD207" s="549">
        <f t="shared" si="7233"/>
        <v>0</v>
      </c>
      <c r="GE207" s="675">
        <f t="shared" ref="GE207" si="7287">SUM(GE208)</f>
        <v>0</v>
      </c>
      <c r="GF207" s="549">
        <f t="shared" si="7233"/>
        <v>0</v>
      </c>
      <c r="GG207" s="675">
        <f t="shared" ref="GG207" si="7288">SUM(GG208)</f>
        <v>0</v>
      </c>
      <c r="GH207" s="549">
        <f t="shared" si="7233"/>
        <v>0</v>
      </c>
      <c r="GI207" s="675">
        <f t="shared" ref="GI207" si="7289">SUM(GI208)</f>
        <v>0</v>
      </c>
      <c r="GJ207" s="549">
        <f t="shared" si="7233"/>
        <v>0</v>
      </c>
      <c r="GK207" s="675">
        <f t="shared" ref="GK207" si="7290">SUM(GK208)</f>
        <v>0</v>
      </c>
      <c r="GL207" s="549">
        <f t="shared" si="7233"/>
        <v>0</v>
      </c>
      <c r="GM207" s="675">
        <f t="shared" ref="GM207" si="7291">SUM(GM208)</f>
        <v>0</v>
      </c>
      <c r="GN207" s="549">
        <f t="shared" si="7233"/>
        <v>0</v>
      </c>
      <c r="GO207" s="675">
        <f t="shared" ref="GO207:IH207" si="7292">SUM(GO208)</f>
        <v>0</v>
      </c>
      <c r="GP207" s="74">
        <f t="shared" si="7292"/>
        <v>3724</v>
      </c>
      <c r="GQ207" s="675">
        <f t="shared" si="7292"/>
        <v>0</v>
      </c>
      <c r="GR207" s="74">
        <f t="shared" si="7292"/>
        <v>3724</v>
      </c>
      <c r="GS207" s="74">
        <f t="shared" si="7292"/>
        <v>3724</v>
      </c>
      <c r="GT207" s="549">
        <f t="shared" si="7292"/>
        <v>3724</v>
      </c>
      <c r="GU207" s="74">
        <f t="shared" si="7292"/>
        <v>0</v>
      </c>
      <c r="GV207" s="74">
        <f t="shared" si="7292"/>
        <v>0</v>
      </c>
      <c r="GW207" s="549">
        <f t="shared" si="7292"/>
        <v>0</v>
      </c>
      <c r="GX207" s="549">
        <f t="shared" si="7292"/>
        <v>0</v>
      </c>
      <c r="GY207" s="74">
        <f t="shared" si="7292"/>
        <v>0</v>
      </c>
      <c r="GZ207" s="74">
        <f t="shared" si="7292"/>
        <v>0</v>
      </c>
      <c r="HA207" s="74">
        <f t="shared" si="7292"/>
        <v>0</v>
      </c>
      <c r="HB207" s="74">
        <f t="shared" si="7292"/>
        <v>0</v>
      </c>
      <c r="HC207" s="74">
        <f t="shared" si="7292"/>
        <v>0</v>
      </c>
      <c r="HD207" s="74">
        <f t="shared" si="7292"/>
        <v>0</v>
      </c>
      <c r="HE207" s="74">
        <f t="shared" si="7292"/>
        <v>0</v>
      </c>
      <c r="HF207" s="74">
        <f t="shared" si="7292"/>
        <v>0</v>
      </c>
      <c r="HG207" s="74">
        <f t="shared" si="7292"/>
        <v>3723.5</v>
      </c>
      <c r="HH207" s="74">
        <f t="shared" si="7292"/>
        <v>0</v>
      </c>
      <c r="HI207" s="74">
        <f t="shared" si="7292"/>
        <v>0</v>
      </c>
      <c r="HJ207" s="74">
        <f t="shared" si="7292"/>
        <v>0</v>
      </c>
      <c r="HK207" s="74">
        <f t="shared" si="7292"/>
        <v>0</v>
      </c>
      <c r="HL207" s="74">
        <f t="shared" si="7292"/>
        <v>3723.5</v>
      </c>
      <c r="HM207" s="74">
        <f t="shared" si="7292"/>
        <v>0</v>
      </c>
      <c r="HN207" s="74">
        <f t="shared" si="7292"/>
        <v>0</v>
      </c>
      <c r="HO207" s="74">
        <f t="shared" si="7292"/>
        <v>0</v>
      </c>
      <c r="HP207" s="74">
        <f t="shared" si="7292"/>
        <v>0</v>
      </c>
      <c r="HQ207" s="74">
        <f t="shared" si="7292"/>
        <v>0</v>
      </c>
      <c r="HR207" s="74">
        <f t="shared" si="7292"/>
        <v>0</v>
      </c>
      <c r="HS207" s="74">
        <f t="shared" si="7292"/>
        <v>0</v>
      </c>
      <c r="HT207" s="74">
        <f t="shared" si="7292"/>
        <v>0</v>
      </c>
      <c r="HU207" s="74">
        <f t="shared" si="7292"/>
        <v>0</v>
      </c>
      <c r="HV207" s="74">
        <f t="shared" si="7292"/>
        <v>0</v>
      </c>
      <c r="HW207" s="74">
        <f t="shared" si="7292"/>
        <v>0</v>
      </c>
      <c r="HX207" s="74">
        <f t="shared" si="7292"/>
        <v>0</v>
      </c>
      <c r="HY207" s="74">
        <f t="shared" si="7292"/>
        <v>0</v>
      </c>
      <c r="HZ207" s="74">
        <f t="shared" si="7292"/>
        <v>0</v>
      </c>
      <c r="IA207" s="74">
        <f t="shared" si="7292"/>
        <v>0</v>
      </c>
      <c r="IB207" s="74">
        <f t="shared" si="7292"/>
        <v>0</v>
      </c>
      <c r="IC207" s="74">
        <f t="shared" si="7292"/>
        <v>0</v>
      </c>
      <c r="ID207" s="74">
        <f t="shared" si="7292"/>
        <v>0</v>
      </c>
      <c r="IE207" s="74">
        <f t="shared" si="7292"/>
        <v>0</v>
      </c>
      <c r="IF207" s="841">
        <f t="shared" si="7292"/>
        <v>3723.5</v>
      </c>
      <c r="IG207" s="263">
        <f t="shared" si="7292"/>
        <v>3723.5</v>
      </c>
      <c r="IH207" s="842">
        <f t="shared" si="7292"/>
        <v>3723.5</v>
      </c>
      <c r="II207" s="155"/>
      <c r="IJ207" s="74"/>
      <c r="IK207" s="74"/>
      <c r="IL207" s="74">
        <f t="shared" ref="IL207:JT207" si="7293">SUM(IL208)</f>
        <v>0</v>
      </c>
      <c r="IM207" s="74">
        <f t="shared" si="7293"/>
        <v>0</v>
      </c>
      <c r="IN207" s="74">
        <f t="shared" si="7293"/>
        <v>0</v>
      </c>
      <c r="IO207" s="74">
        <f t="shared" si="7293"/>
        <v>3723.5</v>
      </c>
      <c r="IP207" s="74">
        <f t="shared" si="7293"/>
        <v>3723.5</v>
      </c>
      <c r="IQ207" s="74">
        <f t="shared" si="7293"/>
        <v>3723.5</v>
      </c>
      <c r="IR207" s="74">
        <f t="shared" si="7293"/>
        <v>0</v>
      </c>
      <c r="IS207" s="74">
        <f t="shared" si="7293"/>
        <v>0</v>
      </c>
      <c r="IT207" s="74">
        <f t="shared" si="7293"/>
        <v>0</v>
      </c>
      <c r="IU207" s="74">
        <f t="shared" si="7293"/>
        <v>0</v>
      </c>
      <c r="IV207" s="74">
        <f t="shared" si="7293"/>
        <v>0</v>
      </c>
      <c r="IW207" s="74">
        <f t="shared" si="7293"/>
        <v>0</v>
      </c>
      <c r="IX207" s="74">
        <f t="shared" si="7293"/>
        <v>0</v>
      </c>
      <c r="IY207" s="74">
        <f t="shared" si="7293"/>
        <v>0</v>
      </c>
      <c r="IZ207" s="74">
        <f t="shared" si="7293"/>
        <v>0</v>
      </c>
      <c r="JA207" s="74">
        <f t="shared" si="7293"/>
        <v>0</v>
      </c>
      <c r="JB207" s="74">
        <f t="shared" si="7293"/>
        <v>0</v>
      </c>
      <c r="JC207" s="74">
        <f t="shared" si="7293"/>
        <v>0</v>
      </c>
      <c r="JD207" s="74">
        <f t="shared" si="7293"/>
        <v>0</v>
      </c>
      <c r="JE207" s="74">
        <f t="shared" si="7293"/>
        <v>0</v>
      </c>
      <c r="JF207" s="74">
        <f t="shared" si="7293"/>
        <v>0</v>
      </c>
      <c r="JG207" s="74">
        <f t="shared" si="7293"/>
        <v>0</v>
      </c>
      <c r="JH207" s="74">
        <f t="shared" si="7293"/>
        <v>0</v>
      </c>
      <c r="JI207" s="74">
        <f t="shared" si="7293"/>
        <v>0</v>
      </c>
      <c r="JJ207" s="74">
        <f t="shared" si="7293"/>
        <v>0</v>
      </c>
      <c r="JK207" s="74">
        <f t="shared" si="7293"/>
        <v>0</v>
      </c>
      <c r="JL207" s="74">
        <f t="shared" si="7293"/>
        <v>0</v>
      </c>
      <c r="JM207" s="74">
        <f t="shared" si="7293"/>
        <v>0</v>
      </c>
      <c r="JN207" s="74">
        <f t="shared" si="7293"/>
        <v>0</v>
      </c>
      <c r="JO207" s="74">
        <f t="shared" si="7293"/>
        <v>0</v>
      </c>
      <c r="JP207" s="74">
        <f t="shared" si="7293"/>
        <v>0</v>
      </c>
      <c r="JQ207" s="74">
        <f t="shared" si="7293"/>
        <v>0</v>
      </c>
      <c r="JR207" s="74">
        <f t="shared" si="7293"/>
        <v>0</v>
      </c>
      <c r="JS207" s="74">
        <f t="shared" si="7293"/>
        <v>0</v>
      </c>
      <c r="JT207" s="382">
        <f t="shared" si="7293"/>
        <v>0.5</v>
      </c>
      <c r="JU207" s="670"/>
      <c r="JV207" s="489"/>
      <c r="JW207" s="528"/>
      <c r="JX207" s="549">
        <f t="shared" ref="JX207:KB207" si="7294">SUM(JX208)</f>
        <v>3723.5</v>
      </c>
      <c r="JY207" s="549">
        <f t="shared" si="7294"/>
        <v>0</v>
      </c>
      <c r="JZ207" s="581">
        <f t="shared" ref="JZ207:JZ208" si="7295">GP207</f>
        <v>3724</v>
      </c>
      <c r="KA207" s="581">
        <f t="shared" ref="KA207:KA208" si="7296">GQ207</f>
        <v>0</v>
      </c>
      <c r="KB207" s="549">
        <f t="shared" si="7294"/>
        <v>3723.5</v>
      </c>
      <c r="KC207" s="709">
        <f t="shared" si="4908"/>
        <v>0</v>
      </c>
      <c r="KD207" s="34"/>
      <c r="KE207" s="34"/>
      <c r="KF207" s="34"/>
      <c r="KG207" s="34"/>
      <c r="KH207" s="34"/>
      <c r="KI207" s="34"/>
      <c r="KJ207" s="34"/>
      <c r="KK207" s="34"/>
    </row>
    <row r="208" spans="1:297" s="8" customFormat="1">
      <c r="A208" s="262" t="s">
        <v>1267</v>
      </c>
      <c r="B208" s="72"/>
      <c r="C208" s="74">
        <f>C539</f>
        <v>0</v>
      </c>
      <c r="D208" s="549"/>
      <c r="E208" s="675"/>
      <c r="F208" s="549"/>
      <c r="G208" s="675"/>
      <c r="H208" s="549"/>
      <c r="I208" s="675"/>
      <c r="J208" s="549"/>
      <c r="K208" s="675"/>
      <c r="L208" s="549"/>
      <c r="M208" s="675"/>
      <c r="N208" s="549"/>
      <c r="O208" s="675"/>
      <c r="P208" s="549">
        <f t="shared" ref="P208:Q208" si="7297">SUM(P539)</f>
        <v>3724</v>
      </c>
      <c r="Q208" s="675">
        <f t="shared" si="7297"/>
        <v>0</v>
      </c>
      <c r="R208" s="549">
        <f t="shared" ref="R208:CC208" si="7298">SUM(R539)</f>
        <v>0</v>
      </c>
      <c r="S208" s="675">
        <f t="shared" si="7298"/>
        <v>0</v>
      </c>
      <c r="T208" s="549">
        <f t="shared" si="7298"/>
        <v>0</v>
      </c>
      <c r="U208" s="675">
        <f t="shared" si="7298"/>
        <v>0</v>
      </c>
      <c r="V208" s="549">
        <f t="shared" si="7298"/>
        <v>0</v>
      </c>
      <c r="W208" s="675">
        <f t="shared" si="7298"/>
        <v>0</v>
      </c>
      <c r="X208" s="549">
        <f t="shared" si="7298"/>
        <v>0</v>
      </c>
      <c r="Y208" s="675">
        <f t="shared" si="7298"/>
        <v>0</v>
      </c>
      <c r="Z208" s="549">
        <f t="shared" si="7298"/>
        <v>0</v>
      </c>
      <c r="AA208" s="675">
        <f t="shared" si="7298"/>
        <v>0</v>
      </c>
      <c r="AB208" s="549">
        <f t="shared" si="7298"/>
        <v>0</v>
      </c>
      <c r="AC208" s="675">
        <f t="shared" si="7298"/>
        <v>0</v>
      </c>
      <c r="AD208" s="549">
        <f t="shared" si="7298"/>
        <v>0</v>
      </c>
      <c r="AE208" s="675">
        <f t="shared" si="7298"/>
        <v>0</v>
      </c>
      <c r="AF208" s="549">
        <f t="shared" si="7298"/>
        <v>0</v>
      </c>
      <c r="AG208" s="675">
        <f t="shared" si="7298"/>
        <v>0</v>
      </c>
      <c r="AH208" s="549">
        <f t="shared" si="7298"/>
        <v>0</v>
      </c>
      <c r="AI208" s="675">
        <f t="shared" si="7298"/>
        <v>0</v>
      </c>
      <c r="AJ208" s="549">
        <f t="shared" si="7298"/>
        <v>0</v>
      </c>
      <c r="AK208" s="675">
        <f t="shared" si="7298"/>
        <v>0</v>
      </c>
      <c r="AL208" s="549">
        <f t="shared" si="7298"/>
        <v>0</v>
      </c>
      <c r="AM208" s="675">
        <f t="shared" si="7298"/>
        <v>0</v>
      </c>
      <c r="AN208" s="549">
        <f t="shared" si="7298"/>
        <v>0</v>
      </c>
      <c r="AO208" s="675">
        <f t="shared" si="7298"/>
        <v>0</v>
      </c>
      <c r="AP208" s="549">
        <f t="shared" si="7298"/>
        <v>0</v>
      </c>
      <c r="AQ208" s="675">
        <f t="shared" si="7298"/>
        <v>0</v>
      </c>
      <c r="AR208" s="549">
        <f t="shared" si="7298"/>
        <v>0</v>
      </c>
      <c r="AS208" s="675">
        <f t="shared" si="7298"/>
        <v>0</v>
      </c>
      <c r="AT208" s="549">
        <f t="shared" si="7298"/>
        <v>0</v>
      </c>
      <c r="AU208" s="675">
        <f t="shared" si="7298"/>
        <v>0</v>
      </c>
      <c r="AV208" s="549">
        <f t="shared" si="7298"/>
        <v>0</v>
      </c>
      <c r="AW208" s="675">
        <f t="shared" si="7298"/>
        <v>0</v>
      </c>
      <c r="AX208" s="549">
        <f t="shared" si="7298"/>
        <v>0</v>
      </c>
      <c r="AY208" s="675">
        <f t="shared" si="7298"/>
        <v>0</v>
      </c>
      <c r="AZ208" s="549">
        <f t="shared" si="7298"/>
        <v>0</v>
      </c>
      <c r="BA208" s="675">
        <f t="shared" si="7298"/>
        <v>0</v>
      </c>
      <c r="BB208" s="549">
        <f t="shared" si="7298"/>
        <v>0</v>
      </c>
      <c r="BC208" s="675">
        <f t="shared" si="7298"/>
        <v>0</v>
      </c>
      <c r="BD208" s="549">
        <f t="shared" si="7298"/>
        <v>0</v>
      </c>
      <c r="BE208" s="675">
        <f t="shared" si="7298"/>
        <v>0</v>
      </c>
      <c r="BF208" s="549">
        <f t="shared" si="7298"/>
        <v>0</v>
      </c>
      <c r="BG208" s="675">
        <f t="shared" si="7298"/>
        <v>0</v>
      </c>
      <c r="BH208" s="549">
        <f t="shared" si="7298"/>
        <v>0</v>
      </c>
      <c r="BI208" s="675">
        <f t="shared" si="7298"/>
        <v>0</v>
      </c>
      <c r="BJ208" s="549">
        <f t="shared" si="7298"/>
        <v>0</v>
      </c>
      <c r="BK208" s="675">
        <f t="shared" si="7298"/>
        <v>0</v>
      </c>
      <c r="BL208" s="549">
        <f t="shared" si="7298"/>
        <v>0</v>
      </c>
      <c r="BM208" s="675">
        <f t="shared" si="7298"/>
        <v>0</v>
      </c>
      <c r="BN208" s="549">
        <f t="shared" si="7298"/>
        <v>0</v>
      </c>
      <c r="BO208" s="675">
        <f t="shared" si="7298"/>
        <v>0</v>
      </c>
      <c r="BP208" s="549">
        <f t="shared" si="7298"/>
        <v>0</v>
      </c>
      <c r="BQ208" s="675">
        <f t="shared" si="7298"/>
        <v>0</v>
      </c>
      <c r="BR208" s="549">
        <f t="shared" si="7298"/>
        <v>0</v>
      </c>
      <c r="BS208" s="675">
        <f t="shared" si="7298"/>
        <v>0</v>
      </c>
      <c r="BT208" s="549">
        <f t="shared" si="7298"/>
        <v>0</v>
      </c>
      <c r="BU208" s="675">
        <f t="shared" si="7298"/>
        <v>0</v>
      </c>
      <c r="BV208" s="549">
        <f t="shared" si="7298"/>
        <v>0</v>
      </c>
      <c r="BW208" s="675">
        <f t="shared" si="7298"/>
        <v>0</v>
      </c>
      <c r="BX208" s="549">
        <f t="shared" si="7298"/>
        <v>0</v>
      </c>
      <c r="BY208" s="675">
        <f t="shared" si="7298"/>
        <v>0</v>
      </c>
      <c r="BZ208" s="549">
        <f t="shared" si="7298"/>
        <v>0</v>
      </c>
      <c r="CA208" s="675">
        <f t="shared" si="7298"/>
        <v>0</v>
      </c>
      <c r="CB208" s="549">
        <f t="shared" si="7298"/>
        <v>0</v>
      </c>
      <c r="CC208" s="675">
        <f t="shared" si="7298"/>
        <v>0</v>
      </c>
      <c r="CD208" s="549">
        <f t="shared" ref="CD208:EO208" si="7299">SUM(CD539)</f>
        <v>0</v>
      </c>
      <c r="CE208" s="675">
        <f t="shared" si="7299"/>
        <v>0</v>
      </c>
      <c r="CF208" s="549">
        <f t="shared" si="7299"/>
        <v>0</v>
      </c>
      <c r="CG208" s="675">
        <f t="shared" si="7299"/>
        <v>0</v>
      </c>
      <c r="CH208" s="549">
        <f t="shared" si="7299"/>
        <v>0</v>
      </c>
      <c r="CI208" s="675">
        <f t="shared" si="7299"/>
        <v>0</v>
      </c>
      <c r="CJ208" s="549">
        <f t="shared" si="7299"/>
        <v>0</v>
      </c>
      <c r="CK208" s="675">
        <f t="shared" si="7299"/>
        <v>0</v>
      </c>
      <c r="CL208" s="549">
        <f t="shared" si="7299"/>
        <v>0</v>
      </c>
      <c r="CM208" s="675">
        <f t="shared" si="7299"/>
        <v>0</v>
      </c>
      <c r="CN208" s="549">
        <f t="shared" si="7299"/>
        <v>0</v>
      </c>
      <c r="CO208" s="675">
        <f t="shared" si="7299"/>
        <v>0</v>
      </c>
      <c r="CP208" s="549">
        <f t="shared" si="7299"/>
        <v>0</v>
      </c>
      <c r="CQ208" s="675">
        <f t="shared" si="7299"/>
        <v>0</v>
      </c>
      <c r="CR208" s="549">
        <f t="shared" si="7299"/>
        <v>0</v>
      </c>
      <c r="CS208" s="675">
        <f t="shared" si="7299"/>
        <v>0</v>
      </c>
      <c r="CT208" s="549">
        <f t="shared" si="7299"/>
        <v>0</v>
      </c>
      <c r="CU208" s="675">
        <f t="shared" si="7299"/>
        <v>0</v>
      </c>
      <c r="CV208" s="549">
        <f t="shared" si="7299"/>
        <v>0</v>
      </c>
      <c r="CW208" s="675">
        <f t="shared" si="7299"/>
        <v>0</v>
      </c>
      <c r="CX208" s="549">
        <f t="shared" si="7299"/>
        <v>0</v>
      </c>
      <c r="CY208" s="675">
        <f t="shared" si="7299"/>
        <v>0</v>
      </c>
      <c r="CZ208" s="549">
        <f t="shared" si="7299"/>
        <v>0</v>
      </c>
      <c r="DA208" s="675">
        <f t="shared" si="7299"/>
        <v>0</v>
      </c>
      <c r="DB208" s="549">
        <f t="shared" si="7299"/>
        <v>0</v>
      </c>
      <c r="DC208" s="675">
        <f t="shared" si="7299"/>
        <v>0</v>
      </c>
      <c r="DD208" s="549">
        <f t="shared" si="7299"/>
        <v>0</v>
      </c>
      <c r="DE208" s="675">
        <f t="shared" si="7299"/>
        <v>0</v>
      </c>
      <c r="DF208" s="549">
        <f t="shared" si="7299"/>
        <v>0</v>
      </c>
      <c r="DG208" s="675">
        <f t="shared" si="7299"/>
        <v>0</v>
      </c>
      <c r="DH208" s="549">
        <f t="shared" si="7299"/>
        <v>0</v>
      </c>
      <c r="DI208" s="675">
        <f t="shared" si="7299"/>
        <v>0</v>
      </c>
      <c r="DJ208" s="549">
        <f t="shared" si="7299"/>
        <v>0</v>
      </c>
      <c r="DK208" s="675">
        <f t="shared" si="7299"/>
        <v>0</v>
      </c>
      <c r="DL208" s="549">
        <f t="shared" si="7299"/>
        <v>0</v>
      </c>
      <c r="DM208" s="675">
        <f t="shared" si="7299"/>
        <v>0</v>
      </c>
      <c r="DN208" s="549">
        <f t="shared" si="7299"/>
        <v>0</v>
      </c>
      <c r="DO208" s="675">
        <f t="shared" si="7299"/>
        <v>0</v>
      </c>
      <c r="DP208" s="549">
        <f t="shared" si="7299"/>
        <v>0</v>
      </c>
      <c r="DQ208" s="675">
        <f t="shared" si="7299"/>
        <v>0</v>
      </c>
      <c r="DR208" s="549">
        <f t="shared" si="7299"/>
        <v>0</v>
      </c>
      <c r="DS208" s="675">
        <f t="shared" si="7299"/>
        <v>0</v>
      </c>
      <c r="DT208" s="549">
        <f t="shared" si="7299"/>
        <v>0</v>
      </c>
      <c r="DU208" s="675">
        <f t="shared" si="7299"/>
        <v>0</v>
      </c>
      <c r="DV208" s="549">
        <f t="shared" si="7299"/>
        <v>0</v>
      </c>
      <c r="DW208" s="675">
        <f t="shared" si="7299"/>
        <v>0</v>
      </c>
      <c r="DX208" s="549">
        <f t="shared" si="7299"/>
        <v>0</v>
      </c>
      <c r="DY208" s="675">
        <f t="shared" si="7299"/>
        <v>0</v>
      </c>
      <c r="DZ208" s="549">
        <f t="shared" si="7299"/>
        <v>0</v>
      </c>
      <c r="EA208" s="675">
        <f t="shared" si="7299"/>
        <v>0</v>
      </c>
      <c r="EB208" s="549">
        <f t="shared" si="7299"/>
        <v>0</v>
      </c>
      <c r="EC208" s="675">
        <f t="shared" si="7299"/>
        <v>0</v>
      </c>
      <c r="ED208" s="549">
        <f t="shared" si="7299"/>
        <v>0</v>
      </c>
      <c r="EE208" s="675">
        <f t="shared" si="7299"/>
        <v>0</v>
      </c>
      <c r="EF208" s="549">
        <f t="shared" si="7299"/>
        <v>0</v>
      </c>
      <c r="EG208" s="675">
        <f t="shared" si="7299"/>
        <v>0</v>
      </c>
      <c r="EH208" s="549">
        <f t="shared" si="7299"/>
        <v>0</v>
      </c>
      <c r="EI208" s="675">
        <f t="shared" si="7299"/>
        <v>0</v>
      </c>
      <c r="EJ208" s="549">
        <f t="shared" si="7299"/>
        <v>0</v>
      </c>
      <c r="EK208" s="675">
        <f t="shared" si="7299"/>
        <v>0</v>
      </c>
      <c r="EL208" s="549">
        <f t="shared" si="7299"/>
        <v>0</v>
      </c>
      <c r="EM208" s="675">
        <f t="shared" si="7299"/>
        <v>0</v>
      </c>
      <c r="EN208" s="549">
        <f t="shared" si="7299"/>
        <v>0</v>
      </c>
      <c r="EO208" s="675">
        <f t="shared" si="7299"/>
        <v>0</v>
      </c>
      <c r="EP208" s="549">
        <f t="shared" ref="EP208:HA208" si="7300">SUM(EP539)</f>
        <v>0</v>
      </c>
      <c r="EQ208" s="675">
        <f t="shared" si="7300"/>
        <v>0</v>
      </c>
      <c r="ER208" s="549">
        <f t="shared" si="7300"/>
        <v>0</v>
      </c>
      <c r="ES208" s="675">
        <f t="shared" si="7300"/>
        <v>0</v>
      </c>
      <c r="ET208" s="549">
        <f t="shared" si="7300"/>
        <v>0</v>
      </c>
      <c r="EU208" s="675">
        <f t="shared" si="7300"/>
        <v>0</v>
      </c>
      <c r="EV208" s="549">
        <f t="shared" si="7300"/>
        <v>0</v>
      </c>
      <c r="EW208" s="675">
        <f t="shared" si="7300"/>
        <v>0</v>
      </c>
      <c r="EX208" s="549">
        <f t="shared" si="7300"/>
        <v>0</v>
      </c>
      <c r="EY208" s="675">
        <f t="shared" si="7300"/>
        <v>0</v>
      </c>
      <c r="EZ208" s="549">
        <f t="shared" si="7300"/>
        <v>0</v>
      </c>
      <c r="FA208" s="675">
        <f t="shared" si="7300"/>
        <v>0</v>
      </c>
      <c r="FB208" s="549">
        <f t="shared" si="7300"/>
        <v>0</v>
      </c>
      <c r="FC208" s="675">
        <f t="shared" si="7300"/>
        <v>0</v>
      </c>
      <c r="FD208" s="549">
        <f t="shared" si="7300"/>
        <v>0</v>
      </c>
      <c r="FE208" s="675">
        <f t="shared" si="7300"/>
        <v>0</v>
      </c>
      <c r="FF208" s="549">
        <f t="shared" si="7300"/>
        <v>0</v>
      </c>
      <c r="FG208" s="675">
        <f t="shared" si="7300"/>
        <v>0</v>
      </c>
      <c r="FH208" s="549">
        <f t="shared" si="7300"/>
        <v>0</v>
      </c>
      <c r="FI208" s="675">
        <f t="shared" si="7300"/>
        <v>0</v>
      </c>
      <c r="FJ208" s="549">
        <f t="shared" si="7300"/>
        <v>0</v>
      </c>
      <c r="FK208" s="675">
        <f t="shared" si="7300"/>
        <v>0</v>
      </c>
      <c r="FL208" s="549">
        <f t="shared" si="7300"/>
        <v>0</v>
      </c>
      <c r="FM208" s="675">
        <f t="shared" si="7300"/>
        <v>0</v>
      </c>
      <c r="FN208" s="549">
        <f t="shared" si="7300"/>
        <v>0</v>
      </c>
      <c r="FO208" s="675">
        <f t="shared" si="7300"/>
        <v>0</v>
      </c>
      <c r="FP208" s="549">
        <f t="shared" si="7300"/>
        <v>0</v>
      </c>
      <c r="FQ208" s="675">
        <f t="shared" si="7300"/>
        <v>0</v>
      </c>
      <c r="FR208" s="549">
        <f t="shared" si="7300"/>
        <v>0</v>
      </c>
      <c r="FS208" s="675">
        <f t="shared" si="7300"/>
        <v>0</v>
      </c>
      <c r="FT208" s="549">
        <f t="shared" si="7300"/>
        <v>0</v>
      </c>
      <c r="FU208" s="675">
        <f t="shared" si="7300"/>
        <v>0</v>
      </c>
      <c r="FV208" s="549">
        <f t="shared" si="7300"/>
        <v>0</v>
      </c>
      <c r="FW208" s="675">
        <f t="shared" si="7300"/>
        <v>0</v>
      </c>
      <c r="FX208" s="549">
        <f t="shared" si="7300"/>
        <v>0</v>
      </c>
      <c r="FY208" s="675">
        <f t="shared" si="7300"/>
        <v>0</v>
      </c>
      <c r="FZ208" s="549">
        <f t="shared" si="7300"/>
        <v>0</v>
      </c>
      <c r="GA208" s="675">
        <f t="shared" si="7300"/>
        <v>0</v>
      </c>
      <c r="GB208" s="549">
        <f t="shared" si="7300"/>
        <v>0</v>
      </c>
      <c r="GC208" s="675">
        <f t="shared" si="7300"/>
        <v>0</v>
      </c>
      <c r="GD208" s="549">
        <f t="shared" si="7300"/>
        <v>0</v>
      </c>
      <c r="GE208" s="675">
        <f t="shared" si="7300"/>
        <v>0</v>
      </c>
      <c r="GF208" s="549">
        <f t="shared" si="7300"/>
        <v>0</v>
      </c>
      <c r="GG208" s="675">
        <f t="shared" si="7300"/>
        <v>0</v>
      </c>
      <c r="GH208" s="549">
        <f t="shared" si="7300"/>
        <v>0</v>
      </c>
      <c r="GI208" s="675">
        <f t="shared" si="7300"/>
        <v>0</v>
      </c>
      <c r="GJ208" s="549">
        <f t="shared" si="7300"/>
        <v>0</v>
      </c>
      <c r="GK208" s="675">
        <f t="shared" si="7300"/>
        <v>0</v>
      </c>
      <c r="GL208" s="549">
        <f t="shared" si="7300"/>
        <v>0</v>
      </c>
      <c r="GM208" s="675">
        <f t="shared" si="7300"/>
        <v>0</v>
      </c>
      <c r="GN208" s="549">
        <f t="shared" si="7300"/>
        <v>0</v>
      </c>
      <c r="GO208" s="675">
        <f t="shared" si="7300"/>
        <v>0</v>
      </c>
      <c r="GP208" s="74">
        <f t="shared" si="7300"/>
        <v>3724</v>
      </c>
      <c r="GQ208" s="675">
        <f t="shared" si="7300"/>
        <v>0</v>
      </c>
      <c r="GR208" s="74">
        <f t="shared" si="7300"/>
        <v>3724</v>
      </c>
      <c r="GS208" s="74">
        <f t="shared" si="7300"/>
        <v>3724</v>
      </c>
      <c r="GT208" s="549">
        <f t="shared" si="7300"/>
        <v>3724</v>
      </c>
      <c r="GU208" s="74">
        <f t="shared" si="7300"/>
        <v>0</v>
      </c>
      <c r="GV208" s="74">
        <f t="shared" si="7300"/>
        <v>0</v>
      </c>
      <c r="GW208" s="549">
        <f t="shared" si="7300"/>
        <v>0</v>
      </c>
      <c r="GX208" s="549">
        <f t="shared" si="7300"/>
        <v>0</v>
      </c>
      <c r="GY208" s="74">
        <f t="shared" si="7300"/>
        <v>0</v>
      </c>
      <c r="GZ208" s="74">
        <f t="shared" si="7300"/>
        <v>0</v>
      </c>
      <c r="HA208" s="74">
        <f t="shared" si="7300"/>
        <v>0</v>
      </c>
      <c r="HB208" s="74">
        <f t="shared" ref="HB208:IH208" si="7301">SUM(HB539)</f>
        <v>0</v>
      </c>
      <c r="HC208" s="74">
        <f t="shared" si="7301"/>
        <v>0</v>
      </c>
      <c r="HD208" s="74">
        <f t="shared" si="7301"/>
        <v>0</v>
      </c>
      <c r="HE208" s="74">
        <f t="shared" si="7301"/>
        <v>0</v>
      </c>
      <c r="HF208" s="74">
        <f t="shared" si="7301"/>
        <v>0</v>
      </c>
      <c r="HG208" s="74">
        <f t="shared" si="7301"/>
        <v>3723.5</v>
      </c>
      <c r="HH208" s="74">
        <f t="shared" si="7301"/>
        <v>0</v>
      </c>
      <c r="HI208" s="74">
        <f t="shared" si="7301"/>
        <v>0</v>
      </c>
      <c r="HJ208" s="74">
        <f t="shared" si="7301"/>
        <v>0</v>
      </c>
      <c r="HK208" s="74">
        <f t="shared" si="7301"/>
        <v>0</v>
      </c>
      <c r="HL208" s="74">
        <f t="shared" si="7301"/>
        <v>3723.5</v>
      </c>
      <c r="HM208" s="74">
        <f t="shared" si="7301"/>
        <v>0</v>
      </c>
      <c r="HN208" s="74">
        <f t="shared" si="7301"/>
        <v>0</v>
      </c>
      <c r="HO208" s="74">
        <f t="shared" si="7301"/>
        <v>0</v>
      </c>
      <c r="HP208" s="74">
        <f t="shared" si="7301"/>
        <v>0</v>
      </c>
      <c r="HQ208" s="74">
        <f t="shared" si="7301"/>
        <v>0</v>
      </c>
      <c r="HR208" s="74">
        <f t="shared" si="7301"/>
        <v>0</v>
      </c>
      <c r="HS208" s="74">
        <f t="shared" si="7301"/>
        <v>0</v>
      </c>
      <c r="HT208" s="74">
        <f t="shared" si="7301"/>
        <v>0</v>
      </c>
      <c r="HU208" s="74">
        <f t="shared" si="7301"/>
        <v>0</v>
      </c>
      <c r="HV208" s="74">
        <f t="shared" si="7301"/>
        <v>0</v>
      </c>
      <c r="HW208" s="74">
        <f t="shared" si="7301"/>
        <v>0</v>
      </c>
      <c r="HX208" s="74">
        <f t="shared" si="7301"/>
        <v>0</v>
      </c>
      <c r="HY208" s="74">
        <f t="shared" si="7301"/>
        <v>0</v>
      </c>
      <c r="HZ208" s="74">
        <f t="shared" si="7301"/>
        <v>0</v>
      </c>
      <c r="IA208" s="74">
        <f t="shared" si="7301"/>
        <v>0</v>
      </c>
      <c r="IB208" s="74">
        <f t="shared" si="7301"/>
        <v>0</v>
      </c>
      <c r="IC208" s="74">
        <f t="shared" si="7301"/>
        <v>0</v>
      </c>
      <c r="ID208" s="74">
        <f t="shared" si="7301"/>
        <v>0</v>
      </c>
      <c r="IE208" s="74">
        <f t="shared" si="7301"/>
        <v>0</v>
      </c>
      <c r="IF208" s="841">
        <f t="shared" si="7301"/>
        <v>3723.5</v>
      </c>
      <c r="IG208" s="263">
        <f t="shared" si="7301"/>
        <v>3723.5</v>
      </c>
      <c r="IH208" s="842">
        <f t="shared" si="7301"/>
        <v>3723.5</v>
      </c>
      <c r="II208" s="155"/>
      <c r="IJ208" s="74"/>
      <c r="IK208" s="74"/>
      <c r="IL208" s="74">
        <f t="shared" ref="IL208:JO208" si="7302">SUM(IL539)</f>
        <v>0</v>
      </c>
      <c r="IM208" s="74">
        <f t="shared" si="7302"/>
        <v>0</v>
      </c>
      <c r="IN208" s="74">
        <f t="shared" si="7302"/>
        <v>0</v>
      </c>
      <c r="IO208" s="74">
        <f t="shared" si="7302"/>
        <v>3723.5</v>
      </c>
      <c r="IP208" s="74">
        <f t="shared" si="7302"/>
        <v>3723.5</v>
      </c>
      <c r="IQ208" s="74">
        <f t="shared" si="7302"/>
        <v>3723.5</v>
      </c>
      <c r="IR208" s="74">
        <f t="shared" si="7302"/>
        <v>0</v>
      </c>
      <c r="IS208" s="74">
        <f t="shared" si="7302"/>
        <v>0</v>
      </c>
      <c r="IT208" s="74">
        <f t="shared" si="7302"/>
        <v>0</v>
      </c>
      <c r="IU208" s="74">
        <f t="shared" si="7302"/>
        <v>0</v>
      </c>
      <c r="IV208" s="74">
        <f t="shared" si="7302"/>
        <v>0</v>
      </c>
      <c r="IW208" s="74">
        <f t="shared" si="7302"/>
        <v>0</v>
      </c>
      <c r="IX208" s="74">
        <f t="shared" si="7302"/>
        <v>0</v>
      </c>
      <c r="IY208" s="74">
        <f t="shared" si="7302"/>
        <v>0</v>
      </c>
      <c r="IZ208" s="74">
        <f t="shared" si="7302"/>
        <v>0</v>
      </c>
      <c r="JA208" s="74">
        <f t="shared" si="7302"/>
        <v>0</v>
      </c>
      <c r="JB208" s="74">
        <f t="shared" si="7302"/>
        <v>0</v>
      </c>
      <c r="JC208" s="74">
        <f t="shared" si="7302"/>
        <v>0</v>
      </c>
      <c r="JD208" s="74">
        <f t="shared" si="7302"/>
        <v>0</v>
      </c>
      <c r="JE208" s="74">
        <f t="shared" si="7302"/>
        <v>0</v>
      </c>
      <c r="JF208" s="74">
        <f t="shared" si="7302"/>
        <v>0</v>
      </c>
      <c r="JG208" s="74">
        <f t="shared" si="7302"/>
        <v>0</v>
      </c>
      <c r="JH208" s="74">
        <f t="shared" si="7302"/>
        <v>0</v>
      </c>
      <c r="JI208" s="74">
        <f t="shared" si="7302"/>
        <v>0</v>
      </c>
      <c r="JJ208" s="74">
        <f t="shared" si="7302"/>
        <v>0</v>
      </c>
      <c r="JK208" s="74">
        <f t="shared" si="7302"/>
        <v>0</v>
      </c>
      <c r="JL208" s="74">
        <f t="shared" si="7302"/>
        <v>0</v>
      </c>
      <c r="JM208" s="74">
        <f t="shared" si="7302"/>
        <v>0</v>
      </c>
      <c r="JN208" s="74">
        <f t="shared" si="7302"/>
        <v>0</v>
      </c>
      <c r="JO208" s="74">
        <f t="shared" si="7302"/>
        <v>0</v>
      </c>
      <c r="JP208" s="74">
        <f>SUM(JP539)</f>
        <v>0</v>
      </c>
      <c r="JQ208" s="74">
        <f>SUM(JQ539)</f>
        <v>0</v>
      </c>
      <c r="JR208" s="74">
        <f>SUM(JR539)</f>
        <v>0</v>
      </c>
      <c r="JS208" s="74">
        <f>SUM(JS539)</f>
        <v>0</v>
      </c>
      <c r="JT208" s="382">
        <f>SUM(JT539)</f>
        <v>0.5</v>
      </c>
      <c r="JU208" s="670"/>
      <c r="JV208" s="489"/>
      <c r="JW208" s="528"/>
      <c r="JX208" s="549">
        <f>SUM(JX539)</f>
        <v>3723.5</v>
      </c>
      <c r="JY208" s="549">
        <f>SUM(JY539)</f>
        <v>0</v>
      </c>
      <c r="JZ208" s="581">
        <f t="shared" si="7295"/>
        <v>3724</v>
      </c>
      <c r="KA208" s="581">
        <f t="shared" si="7296"/>
        <v>0</v>
      </c>
      <c r="KB208" s="549">
        <f>SUM(KB539)</f>
        <v>3723.5</v>
      </c>
      <c r="KC208" s="709">
        <f t="shared" si="4908"/>
        <v>0</v>
      </c>
      <c r="KD208" s="34"/>
      <c r="KE208" s="34"/>
      <c r="KF208" s="34"/>
      <c r="KG208" s="34"/>
      <c r="KH208" s="34"/>
      <c r="KI208" s="34"/>
      <c r="KJ208" s="34"/>
      <c r="KK208" s="34"/>
    </row>
    <row r="209" spans="1:297" s="8" customFormat="1">
      <c r="A209" s="75"/>
      <c r="B209" s="72"/>
      <c r="C209" s="74"/>
      <c r="D209" s="549"/>
      <c r="E209" s="675"/>
      <c r="F209" s="549"/>
      <c r="G209" s="675"/>
      <c r="H209" s="549"/>
      <c r="I209" s="675"/>
      <c r="J209" s="549"/>
      <c r="K209" s="675"/>
      <c r="L209" s="549"/>
      <c r="M209" s="675"/>
      <c r="N209" s="549"/>
      <c r="O209" s="675"/>
      <c r="P209" s="549"/>
      <c r="Q209" s="675"/>
      <c r="R209" s="549"/>
      <c r="S209" s="675"/>
      <c r="T209" s="549"/>
      <c r="U209" s="675"/>
      <c r="V209" s="549"/>
      <c r="W209" s="675"/>
      <c r="X209" s="549"/>
      <c r="Y209" s="675"/>
      <c r="Z209" s="549"/>
      <c r="AA209" s="675"/>
      <c r="AB209" s="549"/>
      <c r="AC209" s="675"/>
      <c r="AD209" s="549"/>
      <c r="AE209" s="675"/>
      <c r="AF209" s="549"/>
      <c r="AG209" s="675"/>
      <c r="AH209" s="549"/>
      <c r="AI209" s="675"/>
      <c r="AJ209" s="549"/>
      <c r="AK209" s="675"/>
      <c r="AL209" s="549"/>
      <c r="AM209" s="675"/>
      <c r="AN209" s="549"/>
      <c r="AO209" s="675"/>
      <c r="AP209" s="549"/>
      <c r="AQ209" s="675"/>
      <c r="AR209" s="549"/>
      <c r="AS209" s="675"/>
      <c r="AT209" s="549"/>
      <c r="AU209" s="675"/>
      <c r="AV209" s="549"/>
      <c r="AW209" s="675"/>
      <c r="AX209" s="549"/>
      <c r="AY209" s="675"/>
      <c r="AZ209" s="549"/>
      <c r="BA209" s="675"/>
      <c r="BB209" s="549"/>
      <c r="BC209" s="675"/>
      <c r="BD209" s="549"/>
      <c r="BE209" s="675"/>
      <c r="BF209" s="549"/>
      <c r="BG209" s="675"/>
      <c r="BH209" s="549"/>
      <c r="BI209" s="675"/>
      <c r="BJ209" s="549"/>
      <c r="BK209" s="675"/>
      <c r="BL209" s="549"/>
      <c r="BM209" s="675"/>
      <c r="BN209" s="549"/>
      <c r="BO209" s="675"/>
      <c r="BP209" s="549"/>
      <c r="BQ209" s="675"/>
      <c r="BR209" s="549"/>
      <c r="BS209" s="675"/>
      <c r="BT209" s="549"/>
      <c r="BU209" s="675"/>
      <c r="BV209" s="549"/>
      <c r="BW209" s="675"/>
      <c r="BX209" s="549"/>
      <c r="BY209" s="675"/>
      <c r="BZ209" s="549"/>
      <c r="CA209" s="675"/>
      <c r="CB209" s="549"/>
      <c r="CC209" s="675"/>
      <c r="CD209" s="549"/>
      <c r="CE209" s="675"/>
      <c r="CF209" s="549"/>
      <c r="CG209" s="675"/>
      <c r="CH209" s="549"/>
      <c r="CI209" s="675"/>
      <c r="CJ209" s="549"/>
      <c r="CK209" s="675"/>
      <c r="CL209" s="549"/>
      <c r="CM209" s="675"/>
      <c r="CN209" s="549"/>
      <c r="CO209" s="675"/>
      <c r="CP209" s="549"/>
      <c r="CQ209" s="675"/>
      <c r="CR209" s="549"/>
      <c r="CS209" s="675"/>
      <c r="CT209" s="549"/>
      <c r="CU209" s="675"/>
      <c r="CV209" s="549"/>
      <c r="CW209" s="675"/>
      <c r="CX209" s="549"/>
      <c r="CY209" s="675"/>
      <c r="CZ209" s="549"/>
      <c r="DA209" s="675"/>
      <c r="DB209" s="549"/>
      <c r="DC209" s="675"/>
      <c r="DD209" s="549"/>
      <c r="DE209" s="675"/>
      <c r="DF209" s="549"/>
      <c r="DG209" s="675"/>
      <c r="DH209" s="549"/>
      <c r="DI209" s="675"/>
      <c r="DJ209" s="549"/>
      <c r="DK209" s="675"/>
      <c r="DL209" s="549"/>
      <c r="DM209" s="675"/>
      <c r="DN209" s="549"/>
      <c r="DO209" s="675"/>
      <c r="DP209" s="549"/>
      <c r="DQ209" s="675"/>
      <c r="DR209" s="549"/>
      <c r="DS209" s="675"/>
      <c r="DT209" s="549"/>
      <c r="DU209" s="675"/>
      <c r="DV209" s="549"/>
      <c r="DW209" s="675"/>
      <c r="DX209" s="549"/>
      <c r="DY209" s="675"/>
      <c r="DZ209" s="549"/>
      <c r="EA209" s="675"/>
      <c r="EB209" s="549"/>
      <c r="EC209" s="675"/>
      <c r="ED209" s="549"/>
      <c r="EE209" s="675"/>
      <c r="EF209" s="549"/>
      <c r="EG209" s="675"/>
      <c r="EH209" s="549"/>
      <c r="EI209" s="675"/>
      <c r="EJ209" s="549"/>
      <c r="EK209" s="675"/>
      <c r="EL209" s="549"/>
      <c r="EM209" s="675"/>
      <c r="EN209" s="549"/>
      <c r="EO209" s="675"/>
      <c r="EP209" s="549"/>
      <c r="EQ209" s="675"/>
      <c r="ER209" s="549"/>
      <c r="ES209" s="675"/>
      <c r="ET209" s="549"/>
      <c r="EU209" s="675"/>
      <c r="EV209" s="549"/>
      <c r="EW209" s="675"/>
      <c r="EX209" s="549"/>
      <c r="EY209" s="675"/>
      <c r="EZ209" s="549"/>
      <c r="FA209" s="675"/>
      <c r="FB209" s="549"/>
      <c r="FC209" s="675"/>
      <c r="FD209" s="549"/>
      <c r="FE209" s="675"/>
      <c r="FF209" s="549"/>
      <c r="FG209" s="675"/>
      <c r="FH209" s="549"/>
      <c r="FI209" s="675"/>
      <c r="FJ209" s="549"/>
      <c r="FK209" s="675"/>
      <c r="FL209" s="549"/>
      <c r="FM209" s="675"/>
      <c r="FN209" s="549"/>
      <c r="FO209" s="675"/>
      <c r="FP209" s="549"/>
      <c r="FQ209" s="675"/>
      <c r="FR209" s="549"/>
      <c r="FS209" s="675"/>
      <c r="FT209" s="549"/>
      <c r="FU209" s="675"/>
      <c r="FV209" s="549"/>
      <c r="FW209" s="675"/>
      <c r="FX209" s="549"/>
      <c r="FY209" s="675"/>
      <c r="FZ209" s="549"/>
      <c r="GA209" s="675"/>
      <c r="GB209" s="549"/>
      <c r="GC209" s="675"/>
      <c r="GD209" s="549"/>
      <c r="GE209" s="675"/>
      <c r="GF209" s="549"/>
      <c r="GG209" s="675"/>
      <c r="GH209" s="549"/>
      <c r="GI209" s="675"/>
      <c r="GJ209" s="549"/>
      <c r="GK209" s="675"/>
      <c r="GL209" s="549"/>
      <c r="GM209" s="675"/>
      <c r="GN209" s="549"/>
      <c r="GO209" s="675"/>
      <c r="GP209" s="74"/>
      <c r="GQ209" s="675"/>
      <c r="GR209" s="74"/>
      <c r="GS209" s="74"/>
      <c r="GT209" s="549"/>
      <c r="GU209" s="74"/>
      <c r="GV209" s="74"/>
      <c r="GW209" s="549"/>
      <c r="GX209" s="549"/>
      <c r="GY209" s="74"/>
      <c r="GZ209" s="74"/>
      <c r="HA209" s="74"/>
      <c r="HB209" s="74"/>
      <c r="HC209" s="74"/>
      <c r="HD209" s="74"/>
      <c r="HE209" s="74"/>
      <c r="HF209" s="74"/>
      <c r="HG209" s="74"/>
      <c r="HH209" s="74"/>
      <c r="HI209" s="74"/>
      <c r="HJ209" s="74"/>
      <c r="HK209" s="74"/>
      <c r="HL209" s="74"/>
      <c r="HM209" s="74"/>
      <c r="HN209" s="74"/>
      <c r="HO209" s="74"/>
      <c r="HP209" s="74"/>
      <c r="HQ209" s="74"/>
      <c r="HR209" s="74"/>
      <c r="HS209" s="74"/>
      <c r="HT209" s="74"/>
      <c r="HU209" s="74"/>
      <c r="HV209" s="74"/>
      <c r="HW209" s="74"/>
      <c r="HX209" s="74"/>
      <c r="HY209" s="74"/>
      <c r="HZ209" s="74"/>
      <c r="IA209" s="74"/>
      <c r="IB209" s="74"/>
      <c r="IC209" s="74"/>
      <c r="ID209" s="74"/>
      <c r="IE209" s="792"/>
      <c r="IF209" s="841"/>
      <c r="IG209" s="263"/>
      <c r="IH209" s="842"/>
      <c r="II209" s="155"/>
      <c r="IJ209" s="74"/>
      <c r="IK209" s="74"/>
      <c r="IL209" s="74"/>
      <c r="IM209" s="74"/>
      <c r="IN209" s="74"/>
      <c r="IO209" s="74"/>
      <c r="IP209" s="74"/>
      <c r="IQ209" s="74"/>
      <c r="IR209" s="74"/>
      <c r="IS209" s="74"/>
      <c r="IT209" s="74"/>
      <c r="IU209" s="74"/>
      <c r="IV209" s="74"/>
      <c r="IW209" s="74"/>
      <c r="IX209" s="74"/>
      <c r="IY209" s="74"/>
      <c r="IZ209" s="74"/>
      <c r="JA209" s="74"/>
      <c r="JB209" s="74"/>
      <c r="JC209" s="74"/>
      <c r="JD209" s="74"/>
      <c r="JE209" s="74"/>
      <c r="JF209" s="74"/>
      <c r="JG209" s="74"/>
      <c r="JH209" s="74"/>
      <c r="JI209" s="74"/>
      <c r="JJ209" s="74"/>
      <c r="JK209" s="74"/>
      <c r="JL209" s="74"/>
      <c r="JM209" s="74"/>
      <c r="JN209" s="74"/>
      <c r="JO209" s="74"/>
      <c r="JP209" s="74"/>
      <c r="JQ209" s="74"/>
      <c r="JR209" s="74"/>
      <c r="JS209" s="74"/>
      <c r="JT209" s="382"/>
      <c r="JU209" s="670"/>
      <c r="JV209" s="489"/>
      <c r="JW209" s="529"/>
      <c r="JX209" s="549"/>
      <c r="JY209" s="549"/>
      <c r="JZ209" s="581">
        <f t="shared" si="4944"/>
        <v>0</v>
      </c>
      <c r="KA209" s="581">
        <f t="shared" si="4945"/>
        <v>0</v>
      </c>
      <c r="KB209" s="549"/>
      <c r="KC209" s="709">
        <f t="shared" si="4908"/>
        <v>0</v>
      </c>
      <c r="KD209" s="36"/>
      <c r="KE209" s="36"/>
      <c r="KF209" s="36"/>
      <c r="KG209" s="36"/>
      <c r="KH209" s="36"/>
      <c r="KI209" s="36"/>
      <c r="KJ209" s="36"/>
      <c r="KK209" s="36"/>
    </row>
    <row r="210" spans="1:297" s="8" customFormat="1">
      <c r="A210" s="75" t="s">
        <v>203</v>
      </c>
      <c r="B210" s="72" t="s">
        <v>204</v>
      </c>
      <c r="C210" s="74">
        <f t="shared" ref="C210" si="7303">SUM(C212,C218,C227,C230)+C236</f>
        <v>236000</v>
      </c>
      <c r="D210" s="549">
        <f t="shared" ref="D210:E210" si="7304">SUM(D212,D218,D227,D230)+D236+D224</f>
        <v>0</v>
      </c>
      <c r="E210" s="675">
        <f t="shared" si="7304"/>
        <v>0</v>
      </c>
      <c r="F210" s="549">
        <f t="shared" ref="F210:G210" si="7305">SUM(F212,F218,F227,F230)+F236+F224</f>
        <v>0</v>
      </c>
      <c r="G210" s="675">
        <f t="shared" si="7305"/>
        <v>0</v>
      </c>
      <c r="H210" s="549">
        <f t="shared" ref="H210:I210" si="7306">SUM(H212,H218,H227,H230)+H236+H224</f>
        <v>0</v>
      </c>
      <c r="I210" s="675">
        <f t="shared" si="7306"/>
        <v>0</v>
      </c>
      <c r="J210" s="549">
        <f t="shared" ref="J210:K210" si="7307">SUM(J212,J218,J227,J230)+J236+J224</f>
        <v>0</v>
      </c>
      <c r="K210" s="675">
        <f t="shared" si="7307"/>
        <v>0</v>
      </c>
      <c r="L210" s="549">
        <f t="shared" ref="L210:M210" si="7308">SUM(L212,L218,L227,L230)+L236+L224</f>
        <v>0</v>
      </c>
      <c r="M210" s="675">
        <f t="shared" si="7308"/>
        <v>0</v>
      </c>
      <c r="N210" s="549">
        <f t="shared" ref="N210:O210" si="7309">SUM(N212,N218,N227,N230)+N236+N224</f>
        <v>0</v>
      </c>
      <c r="O210" s="675">
        <f t="shared" si="7309"/>
        <v>0</v>
      </c>
      <c r="P210" s="549">
        <f t="shared" ref="P210:Q210" si="7310">SUM(P212,P218,P227,P230)+P236+P224</f>
        <v>0</v>
      </c>
      <c r="Q210" s="675">
        <f t="shared" si="7310"/>
        <v>0</v>
      </c>
      <c r="R210" s="549">
        <f t="shared" ref="R210:S210" si="7311">SUM(R212,R218,R227,R230)+R236+R224</f>
        <v>0</v>
      </c>
      <c r="S210" s="675">
        <f t="shared" si="7311"/>
        <v>0</v>
      </c>
      <c r="T210" s="549">
        <f t="shared" ref="T210:U210" si="7312">SUM(T212,T218,T227,T230)+T236+T224</f>
        <v>0</v>
      </c>
      <c r="U210" s="675">
        <f t="shared" si="7312"/>
        <v>0</v>
      </c>
      <c r="V210" s="549">
        <f t="shared" ref="V210:W210" si="7313">SUM(V212,V218,V227,V230)+V236+V224</f>
        <v>0</v>
      </c>
      <c r="W210" s="675">
        <f t="shared" si="7313"/>
        <v>0</v>
      </c>
      <c r="X210" s="549">
        <f t="shared" ref="X210:Y210" si="7314">SUM(X212,X218,X227,X230)+X236+X224</f>
        <v>0</v>
      </c>
      <c r="Y210" s="675">
        <f t="shared" si="7314"/>
        <v>0</v>
      </c>
      <c r="Z210" s="549">
        <f t="shared" ref="Z210:AA210" si="7315">SUM(Z212,Z218,Z227,Z230)+Z236+Z224</f>
        <v>0</v>
      </c>
      <c r="AA210" s="675">
        <f t="shared" si="7315"/>
        <v>0</v>
      </c>
      <c r="AB210" s="549">
        <f t="shared" ref="AB210:AC210" si="7316">SUM(AB212,AB218,AB227,AB230)+AB236+AB224</f>
        <v>0</v>
      </c>
      <c r="AC210" s="675">
        <f t="shared" si="7316"/>
        <v>0</v>
      </c>
      <c r="AD210" s="549">
        <f t="shared" ref="AD210:AE210" si="7317">SUM(AD212,AD218,AD227,AD230)+AD236+AD224</f>
        <v>0</v>
      </c>
      <c r="AE210" s="675">
        <f t="shared" si="7317"/>
        <v>0</v>
      </c>
      <c r="AF210" s="549">
        <f t="shared" ref="AF210:AG210" si="7318">SUM(AF212,AF218,AF227,AF230)+AF236+AF224</f>
        <v>0</v>
      </c>
      <c r="AG210" s="675">
        <f t="shared" si="7318"/>
        <v>0</v>
      </c>
      <c r="AH210" s="549">
        <f t="shared" ref="AH210:AI210" si="7319">SUM(AH212,AH218,AH227,AH230)+AH236+AH224</f>
        <v>0</v>
      </c>
      <c r="AI210" s="675">
        <f t="shared" si="7319"/>
        <v>0</v>
      </c>
      <c r="AJ210" s="549">
        <f t="shared" ref="AJ210:AK210" si="7320">SUM(AJ212,AJ218,AJ227,AJ230)+AJ236+AJ224</f>
        <v>0</v>
      </c>
      <c r="AK210" s="675">
        <f t="shared" si="7320"/>
        <v>0</v>
      </c>
      <c r="AL210" s="549">
        <f t="shared" ref="AL210:AM210" si="7321">SUM(AL212,AL218,AL227,AL230)+AL236+AL224</f>
        <v>0</v>
      </c>
      <c r="AM210" s="675">
        <f t="shared" si="7321"/>
        <v>0</v>
      </c>
      <c r="AN210" s="549">
        <f t="shared" ref="AN210:AO210" si="7322">SUM(AN212,AN218,AN227,AN230)+AN236+AN224</f>
        <v>0</v>
      </c>
      <c r="AO210" s="675">
        <f t="shared" si="7322"/>
        <v>0</v>
      </c>
      <c r="AP210" s="549">
        <f t="shared" ref="AP210:AQ210" si="7323">SUM(AP212,AP218,AP227,AP230)+AP236+AP224</f>
        <v>0</v>
      </c>
      <c r="AQ210" s="675">
        <f t="shared" si="7323"/>
        <v>0</v>
      </c>
      <c r="AR210" s="549">
        <f t="shared" ref="AR210:AS210" si="7324">SUM(AR212,AR218,AR227,AR230)+AR236+AR224</f>
        <v>8480</v>
      </c>
      <c r="AS210" s="675">
        <f t="shared" si="7324"/>
        <v>0</v>
      </c>
      <c r="AT210" s="549">
        <f t="shared" ref="AT210:DC210" si="7325">SUM(AT212,AT218,AT227,AT230)+AT236+AT224</f>
        <v>0</v>
      </c>
      <c r="AU210" s="675">
        <f t="shared" si="7325"/>
        <v>0</v>
      </c>
      <c r="AV210" s="549">
        <f t="shared" si="7325"/>
        <v>0</v>
      </c>
      <c r="AW210" s="675">
        <f t="shared" si="7325"/>
        <v>0</v>
      </c>
      <c r="AX210" s="549">
        <f t="shared" si="7325"/>
        <v>0</v>
      </c>
      <c r="AY210" s="675">
        <f t="shared" si="7325"/>
        <v>0</v>
      </c>
      <c r="AZ210" s="549">
        <f t="shared" ref="AZ210:BA210" si="7326">SUM(AZ212,AZ218,AZ227,AZ230)+AZ236+AZ224</f>
        <v>0</v>
      </c>
      <c r="BA210" s="675">
        <f t="shared" si="7326"/>
        <v>0</v>
      </c>
      <c r="BB210" s="549">
        <f t="shared" ref="BB210:BC210" si="7327">SUM(BB212,BB218,BB227,BB230)+BB236+BB224</f>
        <v>0</v>
      </c>
      <c r="BC210" s="675">
        <f t="shared" si="7327"/>
        <v>0</v>
      </c>
      <c r="BD210" s="549">
        <f t="shared" ref="BD210:BE210" si="7328">SUM(BD212,BD218,BD227,BD230)+BD236+BD224</f>
        <v>0</v>
      </c>
      <c r="BE210" s="675">
        <f t="shared" si="7328"/>
        <v>0</v>
      </c>
      <c r="BF210" s="549">
        <f t="shared" ref="BF210:BG210" si="7329">SUM(BF212,BF218,BF227,BF230)+BF236+BF224</f>
        <v>0</v>
      </c>
      <c r="BG210" s="675">
        <f t="shared" si="7329"/>
        <v>0</v>
      </c>
      <c r="BH210" s="549">
        <f t="shared" ref="BH210:BI210" si="7330">SUM(BH212,BH218,BH227,BH230)+BH236+BH224</f>
        <v>18000</v>
      </c>
      <c r="BI210" s="675">
        <f t="shared" si="7330"/>
        <v>0</v>
      </c>
      <c r="BJ210" s="549">
        <f t="shared" ref="BJ210:BK210" si="7331">SUM(BJ212,BJ218,BJ227,BJ230)+BJ236+BJ224</f>
        <v>0</v>
      </c>
      <c r="BK210" s="675">
        <f t="shared" si="7331"/>
        <v>0</v>
      </c>
      <c r="BL210" s="549">
        <f t="shared" ref="BL210:BM210" si="7332">SUM(BL212,BL218,BL227,BL230)+BL236+BL224</f>
        <v>0</v>
      </c>
      <c r="BM210" s="675">
        <f t="shared" si="7332"/>
        <v>0</v>
      </c>
      <c r="BN210" s="549">
        <f t="shared" ref="BN210:BO210" si="7333">SUM(BN212,BN218,BN227,BN230)+BN236+BN224</f>
        <v>0</v>
      </c>
      <c r="BO210" s="675">
        <f t="shared" si="7333"/>
        <v>0</v>
      </c>
      <c r="BP210" s="549">
        <f t="shared" ref="BP210:BQ210" si="7334">SUM(BP212,BP218,BP227,BP230)+BP236+BP224</f>
        <v>0</v>
      </c>
      <c r="BQ210" s="675">
        <f t="shared" si="7334"/>
        <v>0</v>
      </c>
      <c r="BR210" s="549">
        <f t="shared" ref="BR210:BS210" si="7335">SUM(BR212,BR218,BR227,BR230)+BR236+BR224</f>
        <v>0</v>
      </c>
      <c r="BS210" s="675">
        <f t="shared" si="7335"/>
        <v>0</v>
      </c>
      <c r="BT210" s="549">
        <f t="shared" ref="BT210:BU210" si="7336">SUM(BT212,BT218,BT227,BT230)+BT236+BT224</f>
        <v>0</v>
      </c>
      <c r="BU210" s="675">
        <f t="shared" si="7336"/>
        <v>0</v>
      </c>
      <c r="BV210" s="549">
        <f t="shared" ref="BV210:BW210" si="7337">SUM(BV212,BV218,BV227,BV230)+BV236+BV224</f>
        <v>7480</v>
      </c>
      <c r="BW210" s="675">
        <f t="shared" si="7337"/>
        <v>0</v>
      </c>
      <c r="BX210" s="549">
        <f t="shared" ref="BX210:BY210" si="7338">SUM(BX212,BX218,BX227,BX230)+BX236+BX224</f>
        <v>0</v>
      </c>
      <c r="BY210" s="675">
        <f t="shared" si="7338"/>
        <v>0</v>
      </c>
      <c r="BZ210" s="549">
        <f t="shared" ref="BZ210:CA210" si="7339">SUM(BZ212,BZ218,BZ227,BZ230)+BZ236+BZ224</f>
        <v>0</v>
      </c>
      <c r="CA210" s="675">
        <f t="shared" si="7339"/>
        <v>0</v>
      </c>
      <c r="CB210" s="549">
        <f t="shared" si="7325"/>
        <v>0</v>
      </c>
      <c r="CC210" s="675">
        <f t="shared" si="7325"/>
        <v>0</v>
      </c>
      <c r="CD210" s="549">
        <f t="shared" si="7325"/>
        <v>0</v>
      </c>
      <c r="CE210" s="675">
        <f t="shared" si="7325"/>
        <v>0</v>
      </c>
      <c r="CF210" s="549">
        <f t="shared" si="7325"/>
        <v>0</v>
      </c>
      <c r="CG210" s="675">
        <f t="shared" si="7325"/>
        <v>0</v>
      </c>
      <c r="CH210" s="549">
        <f t="shared" si="7325"/>
        <v>0</v>
      </c>
      <c r="CI210" s="675">
        <f t="shared" si="7325"/>
        <v>0</v>
      </c>
      <c r="CJ210" s="549">
        <f t="shared" si="7325"/>
        <v>0</v>
      </c>
      <c r="CK210" s="675">
        <f t="shared" si="7325"/>
        <v>-32000</v>
      </c>
      <c r="CL210" s="549">
        <f t="shared" si="7325"/>
        <v>0</v>
      </c>
      <c r="CM210" s="675">
        <f t="shared" si="7325"/>
        <v>0</v>
      </c>
      <c r="CN210" s="549">
        <f t="shared" si="7325"/>
        <v>0</v>
      </c>
      <c r="CO210" s="675">
        <f t="shared" si="7325"/>
        <v>0</v>
      </c>
      <c r="CP210" s="549">
        <f t="shared" si="7325"/>
        <v>0</v>
      </c>
      <c r="CQ210" s="675">
        <f t="shared" si="7325"/>
        <v>0</v>
      </c>
      <c r="CR210" s="549">
        <f t="shared" si="7325"/>
        <v>0</v>
      </c>
      <c r="CS210" s="675">
        <f t="shared" si="7325"/>
        <v>0</v>
      </c>
      <c r="CT210" s="549">
        <f t="shared" si="7325"/>
        <v>0</v>
      </c>
      <c r="CU210" s="675">
        <f t="shared" si="7325"/>
        <v>0</v>
      </c>
      <c r="CV210" s="549">
        <f t="shared" si="7325"/>
        <v>0</v>
      </c>
      <c r="CW210" s="675">
        <f t="shared" si="7325"/>
        <v>0</v>
      </c>
      <c r="CX210" s="549">
        <f t="shared" si="7325"/>
        <v>0</v>
      </c>
      <c r="CY210" s="675">
        <f t="shared" si="7325"/>
        <v>0</v>
      </c>
      <c r="CZ210" s="549">
        <f t="shared" si="7325"/>
        <v>0</v>
      </c>
      <c r="DA210" s="675">
        <f t="shared" si="7325"/>
        <v>0</v>
      </c>
      <c r="DB210" s="549">
        <f t="shared" si="7325"/>
        <v>0</v>
      </c>
      <c r="DC210" s="675">
        <f t="shared" si="7325"/>
        <v>0</v>
      </c>
      <c r="DD210" s="549">
        <f t="shared" ref="DD210:DE210" si="7340">SUM(DD212,DD218,DD227,DD230)+DD236+DD224</f>
        <v>0</v>
      </c>
      <c r="DE210" s="675">
        <f t="shared" si="7340"/>
        <v>0</v>
      </c>
      <c r="DF210" s="549">
        <f t="shared" ref="DF210:FO210" si="7341">SUM(DF212,DF218,DF227,DF230)+DF236+DF224</f>
        <v>0</v>
      </c>
      <c r="DG210" s="675">
        <f t="shared" si="7341"/>
        <v>0</v>
      </c>
      <c r="DH210" s="549">
        <f t="shared" si="7341"/>
        <v>0</v>
      </c>
      <c r="DI210" s="675">
        <f t="shared" si="7341"/>
        <v>0</v>
      </c>
      <c r="DJ210" s="549">
        <f t="shared" si="7341"/>
        <v>0</v>
      </c>
      <c r="DK210" s="675">
        <f t="shared" si="7341"/>
        <v>0</v>
      </c>
      <c r="DL210" s="549">
        <f t="shared" si="7341"/>
        <v>0</v>
      </c>
      <c r="DM210" s="675">
        <f t="shared" si="7341"/>
        <v>0</v>
      </c>
      <c r="DN210" s="549">
        <f t="shared" si="7341"/>
        <v>0</v>
      </c>
      <c r="DO210" s="675">
        <f t="shared" si="7341"/>
        <v>0</v>
      </c>
      <c r="DP210" s="549">
        <f t="shared" si="7341"/>
        <v>0</v>
      </c>
      <c r="DQ210" s="675">
        <f t="shared" si="7341"/>
        <v>-8040</v>
      </c>
      <c r="DR210" s="549">
        <f t="shared" si="7341"/>
        <v>0</v>
      </c>
      <c r="DS210" s="675">
        <f t="shared" si="7341"/>
        <v>0</v>
      </c>
      <c r="DT210" s="549">
        <f t="shared" si="7341"/>
        <v>0</v>
      </c>
      <c r="DU210" s="675">
        <f t="shared" si="7341"/>
        <v>0</v>
      </c>
      <c r="DV210" s="549">
        <f t="shared" si="7341"/>
        <v>0</v>
      </c>
      <c r="DW210" s="675">
        <f t="shared" si="7341"/>
        <v>0</v>
      </c>
      <c r="DX210" s="549">
        <f t="shared" si="7341"/>
        <v>0</v>
      </c>
      <c r="DY210" s="675">
        <f t="shared" si="7341"/>
        <v>0</v>
      </c>
      <c r="DZ210" s="549">
        <f t="shared" si="7341"/>
        <v>0</v>
      </c>
      <c r="EA210" s="675">
        <f t="shared" si="7341"/>
        <v>0</v>
      </c>
      <c r="EB210" s="549">
        <f t="shared" si="7341"/>
        <v>0</v>
      </c>
      <c r="EC210" s="675">
        <f t="shared" si="7341"/>
        <v>0</v>
      </c>
      <c r="ED210" s="549">
        <f t="shared" si="7341"/>
        <v>0</v>
      </c>
      <c r="EE210" s="675">
        <f t="shared" si="7341"/>
        <v>0</v>
      </c>
      <c r="EF210" s="549">
        <f t="shared" si="7341"/>
        <v>36277</v>
      </c>
      <c r="EG210" s="675">
        <f t="shared" si="7341"/>
        <v>0</v>
      </c>
      <c r="EH210" s="549">
        <f t="shared" si="7341"/>
        <v>0</v>
      </c>
      <c r="EI210" s="675">
        <f t="shared" si="7341"/>
        <v>0</v>
      </c>
      <c r="EJ210" s="549">
        <f t="shared" si="7341"/>
        <v>52500</v>
      </c>
      <c r="EK210" s="675">
        <f t="shared" si="7341"/>
        <v>0</v>
      </c>
      <c r="EL210" s="549">
        <f t="shared" si="7341"/>
        <v>9500</v>
      </c>
      <c r="EM210" s="675">
        <f t="shared" si="7341"/>
        <v>0</v>
      </c>
      <c r="EN210" s="549">
        <f t="shared" si="7341"/>
        <v>0</v>
      </c>
      <c r="EO210" s="675">
        <f t="shared" si="7341"/>
        <v>0</v>
      </c>
      <c r="EP210" s="549">
        <f t="shared" si="7341"/>
        <v>0</v>
      </c>
      <c r="EQ210" s="675">
        <f t="shared" si="7341"/>
        <v>0</v>
      </c>
      <c r="ER210" s="549">
        <f t="shared" si="7341"/>
        <v>0</v>
      </c>
      <c r="ES210" s="675">
        <f t="shared" si="7341"/>
        <v>0</v>
      </c>
      <c r="ET210" s="549">
        <f t="shared" si="7341"/>
        <v>0</v>
      </c>
      <c r="EU210" s="675">
        <f t="shared" si="7341"/>
        <v>0</v>
      </c>
      <c r="EV210" s="549">
        <f t="shared" si="7341"/>
        <v>0</v>
      </c>
      <c r="EW210" s="675">
        <f t="shared" si="7341"/>
        <v>0</v>
      </c>
      <c r="EX210" s="549">
        <f t="shared" si="7341"/>
        <v>0</v>
      </c>
      <c r="EY210" s="675">
        <f t="shared" si="7341"/>
        <v>0</v>
      </c>
      <c r="EZ210" s="549">
        <f t="shared" si="7341"/>
        <v>15400</v>
      </c>
      <c r="FA210" s="675">
        <f t="shared" si="7341"/>
        <v>0</v>
      </c>
      <c r="FB210" s="549">
        <f t="shared" si="7341"/>
        <v>0</v>
      </c>
      <c r="FC210" s="675">
        <f t="shared" si="7341"/>
        <v>0</v>
      </c>
      <c r="FD210" s="549">
        <f t="shared" si="7341"/>
        <v>2600</v>
      </c>
      <c r="FE210" s="675">
        <f t="shared" si="7341"/>
        <v>0</v>
      </c>
      <c r="FF210" s="549">
        <f t="shared" si="7341"/>
        <v>0</v>
      </c>
      <c r="FG210" s="675">
        <f t="shared" si="7341"/>
        <v>0</v>
      </c>
      <c r="FH210" s="549">
        <f t="shared" si="7341"/>
        <v>4200</v>
      </c>
      <c r="FI210" s="675">
        <f t="shared" si="7341"/>
        <v>0</v>
      </c>
      <c r="FJ210" s="549">
        <f t="shared" si="7341"/>
        <v>0</v>
      </c>
      <c r="FK210" s="675">
        <f t="shared" si="7341"/>
        <v>0</v>
      </c>
      <c r="FL210" s="549">
        <f t="shared" si="7341"/>
        <v>0</v>
      </c>
      <c r="FM210" s="675">
        <f t="shared" si="7341"/>
        <v>0</v>
      </c>
      <c r="FN210" s="549">
        <f t="shared" si="7341"/>
        <v>0</v>
      </c>
      <c r="FO210" s="675">
        <f t="shared" si="7341"/>
        <v>0</v>
      </c>
      <c r="FP210" s="549">
        <f t="shared" ref="FP210:FQ210" si="7342">SUM(FP212,FP218,FP227,FP230)+FP236+FP224</f>
        <v>0</v>
      </c>
      <c r="FQ210" s="675">
        <f t="shared" si="7342"/>
        <v>0</v>
      </c>
      <c r="FR210" s="549">
        <f t="shared" ref="FR210:IQ210" si="7343">SUM(FR212,FR218,FR227,FR230)+FR236+FR224</f>
        <v>0</v>
      </c>
      <c r="FS210" s="675">
        <f t="shared" si="7343"/>
        <v>-3202</v>
      </c>
      <c r="FT210" s="549">
        <f t="shared" si="7343"/>
        <v>10857</v>
      </c>
      <c r="FU210" s="675">
        <f t="shared" si="7343"/>
        <v>0</v>
      </c>
      <c r="FV210" s="549">
        <f t="shared" si="7343"/>
        <v>0</v>
      </c>
      <c r="FW210" s="675">
        <f t="shared" si="7343"/>
        <v>0</v>
      </c>
      <c r="FX210" s="549">
        <f t="shared" ref="FX210:GK210" si="7344">SUM(FX212,FX218,FX227,FX230)+FX236+FX224</f>
        <v>2000</v>
      </c>
      <c r="FY210" s="675">
        <f t="shared" si="7344"/>
        <v>0</v>
      </c>
      <c r="FZ210" s="549">
        <f t="shared" ref="FZ210:GI210" si="7345">SUM(FZ212,FZ218,FZ227,FZ230)+FZ236+FZ224</f>
        <v>0</v>
      </c>
      <c r="GA210" s="675">
        <f t="shared" si="7345"/>
        <v>0</v>
      </c>
      <c r="GB210" s="549">
        <f t="shared" si="7345"/>
        <v>0</v>
      </c>
      <c r="GC210" s="675">
        <f t="shared" si="7345"/>
        <v>0</v>
      </c>
      <c r="GD210" s="549">
        <f t="shared" si="7345"/>
        <v>0</v>
      </c>
      <c r="GE210" s="675">
        <f t="shared" si="7345"/>
        <v>0</v>
      </c>
      <c r="GF210" s="549">
        <f t="shared" si="7345"/>
        <v>0</v>
      </c>
      <c r="GG210" s="675">
        <f t="shared" si="7345"/>
        <v>0</v>
      </c>
      <c r="GH210" s="549">
        <f t="shared" si="7345"/>
        <v>0</v>
      </c>
      <c r="GI210" s="675">
        <f t="shared" si="7345"/>
        <v>0</v>
      </c>
      <c r="GJ210" s="549">
        <f t="shared" si="7344"/>
        <v>0</v>
      </c>
      <c r="GK210" s="675">
        <f t="shared" si="7344"/>
        <v>0</v>
      </c>
      <c r="GL210" s="549">
        <f t="shared" si="7343"/>
        <v>0</v>
      </c>
      <c r="GM210" s="675">
        <f t="shared" si="7343"/>
        <v>0</v>
      </c>
      <c r="GN210" s="549">
        <f t="shared" ref="GN210:GO210" si="7346">SUM(GN212,GN218,GN227,GN230)+GN236+GN224</f>
        <v>0</v>
      </c>
      <c r="GO210" s="675">
        <f t="shared" si="7346"/>
        <v>0</v>
      </c>
      <c r="GP210" s="74">
        <f t="shared" si="7343"/>
        <v>167294</v>
      </c>
      <c r="GQ210" s="675">
        <f t="shared" si="7343"/>
        <v>-43242</v>
      </c>
      <c r="GR210" s="74">
        <f t="shared" si="7343"/>
        <v>360052</v>
      </c>
      <c r="GS210" s="74">
        <f t="shared" si="7343"/>
        <v>356325</v>
      </c>
      <c r="GT210" s="74">
        <f t="shared" si="7343"/>
        <v>355852</v>
      </c>
      <c r="GU210" s="74">
        <f>SUM(GU212,GU218,GU227,GU230)+GU236+GU224</f>
        <v>50430</v>
      </c>
      <c r="GV210" s="74">
        <f t="shared" si="7343"/>
        <v>9727</v>
      </c>
      <c r="GW210" s="74">
        <f t="shared" si="7343"/>
        <v>71027</v>
      </c>
      <c r="GX210" s="74">
        <f t="shared" si="7343"/>
        <v>8727</v>
      </c>
      <c r="GY210" s="74">
        <f t="shared" si="7343"/>
        <v>38727</v>
      </c>
      <c r="GZ210" s="74">
        <f t="shared" si="7343"/>
        <v>8727</v>
      </c>
      <c r="HA210" s="74">
        <f t="shared" si="7343"/>
        <v>3727</v>
      </c>
      <c r="HB210" s="74">
        <f t="shared" si="7343"/>
        <v>33727</v>
      </c>
      <c r="HC210" s="74">
        <f t="shared" si="7343"/>
        <v>3727</v>
      </c>
      <c r="HD210" s="74">
        <f t="shared" si="7343"/>
        <v>3727</v>
      </c>
      <c r="HE210" s="74">
        <f t="shared" si="7343"/>
        <v>3727</v>
      </c>
      <c r="HF210" s="74">
        <f t="shared" si="7343"/>
        <v>0</v>
      </c>
      <c r="HG210" s="74">
        <f t="shared" si="7343"/>
        <v>356325</v>
      </c>
      <c r="HH210" s="74">
        <f t="shared" si="7343"/>
        <v>46700</v>
      </c>
      <c r="HI210" s="74">
        <f t="shared" si="7343"/>
        <v>0</v>
      </c>
      <c r="HJ210" s="74">
        <f t="shared" si="7343"/>
        <v>0</v>
      </c>
      <c r="HK210" s="74">
        <f t="shared" si="7343"/>
        <v>7457</v>
      </c>
      <c r="HL210" s="74">
        <f t="shared" si="7343"/>
        <v>41300</v>
      </c>
      <c r="HM210" s="74">
        <f t="shared" si="7343"/>
        <v>3727</v>
      </c>
      <c r="HN210" s="74">
        <f t="shared" si="7343"/>
        <v>1000</v>
      </c>
      <c r="HO210" s="74">
        <f t="shared" si="7343"/>
        <v>3727</v>
      </c>
      <c r="HP210" s="74">
        <f t="shared" si="7343"/>
        <v>21195</v>
      </c>
      <c r="HQ210" s="74">
        <f t="shared" si="7343"/>
        <v>3727</v>
      </c>
      <c r="HR210" s="74">
        <f t="shared" si="7343"/>
        <v>14740</v>
      </c>
      <c r="HS210" s="74">
        <f t="shared" si="7343"/>
        <v>3727</v>
      </c>
      <c r="HT210" s="74">
        <f t="shared" si="7343"/>
        <v>-2935</v>
      </c>
      <c r="HU210" s="74">
        <f t="shared" si="7343"/>
        <v>3727</v>
      </c>
      <c r="HV210" s="74">
        <f t="shared" si="7343"/>
        <v>44925</v>
      </c>
      <c r="HW210" s="74">
        <f t="shared" si="7343"/>
        <v>3727</v>
      </c>
      <c r="HX210" s="74">
        <f t="shared" si="7343"/>
        <v>83435</v>
      </c>
      <c r="HY210" s="74">
        <f t="shared" si="7343"/>
        <v>3727</v>
      </c>
      <c r="HZ210" s="74">
        <f t="shared" si="7343"/>
        <v>12255</v>
      </c>
      <c r="IA210" s="74">
        <f t="shared" si="7343"/>
        <v>3727</v>
      </c>
      <c r="IB210" s="74">
        <f t="shared" si="7343"/>
        <v>0</v>
      </c>
      <c r="IC210" s="74">
        <f t="shared" si="7343"/>
        <v>0</v>
      </c>
      <c r="ID210" s="74">
        <f t="shared" si="7343"/>
        <v>0</v>
      </c>
      <c r="IE210" s="74">
        <f t="shared" si="7343"/>
        <v>0</v>
      </c>
      <c r="IF210" s="841">
        <f t="shared" si="7343"/>
        <v>342942.61</v>
      </c>
      <c r="IG210" s="74">
        <f t="shared" si="7343"/>
        <v>342942.61</v>
      </c>
      <c r="IH210" s="842">
        <f t="shared" si="7343"/>
        <v>342942.61</v>
      </c>
      <c r="II210" s="74">
        <f t="shared" si="7343"/>
        <v>234.8</v>
      </c>
      <c r="IJ210" s="74">
        <f t="shared" si="7343"/>
        <v>234.8</v>
      </c>
      <c r="IK210" s="74">
        <f t="shared" si="7343"/>
        <v>234.8</v>
      </c>
      <c r="IL210" s="74">
        <f t="shared" si="7343"/>
        <v>24249.4</v>
      </c>
      <c r="IM210" s="74">
        <f t="shared" si="7343"/>
        <v>24249.4</v>
      </c>
      <c r="IN210" s="74">
        <f t="shared" si="7343"/>
        <v>24249.4</v>
      </c>
      <c r="IO210" s="74">
        <f t="shared" si="7343"/>
        <v>5054.93</v>
      </c>
      <c r="IP210" s="74">
        <f t="shared" si="7343"/>
        <v>5054.93</v>
      </c>
      <c r="IQ210" s="74">
        <f t="shared" si="7343"/>
        <v>5054.93</v>
      </c>
      <c r="IR210" s="74">
        <f t="shared" ref="IR210:JT210" si="7347">SUM(IR212,IR218,IR227,IR230)+IR236+IR224</f>
        <v>19715</v>
      </c>
      <c r="IS210" s="74">
        <f t="shared" si="7347"/>
        <v>19715</v>
      </c>
      <c r="IT210" s="74">
        <f t="shared" si="7347"/>
        <v>19715</v>
      </c>
      <c r="IU210" s="74">
        <f t="shared" si="7347"/>
        <v>27554.2</v>
      </c>
      <c r="IV210" s="74">
        <f t="shared" si="7347"/>
        <v>27554.2</v>
      </c>
      <c r="IW210" s="74">
        <f t="shared" si="7347"/>
        <v>27554.2</v>
      </c>
      <c r="IX210" s="74">
        <f t="shared" si="7347"/>
        <v>34854.019999999997</v>
      </c>
      <c r="IY210" s="74">
        <f t="shared" si="7347"/>
        <v>34854.019999999997</v>
      </c>
      <c r="IZ210" s="74">
        <f t="shared" si="7347"/>
        <v>34854.019999999997</v>
      </c>
      <c r="JA210" s="74">
        <f t="shared" si="7347"/>
        <v>22673.989999999998</v>
      </c>
      <c r="JB210" s="74">
        <f t="shared" si="7347"/>
        <v>22673.989999999998</v>
      </c>
      <c r="JC210" s="74">
        <f t="shared" si="7347"/>
        <v>22673.989999999998</v>
      </c>
      <c r="JD210" s="74">
        <f t="shared" si="7347"/>
        <v>46585.58</v>
      </c>
      <c r="JE210" s="74">
        <f t="shared" si="7347"/>
        <v>46585.58</v>
      </c>
      <c r="JF210" s="74">
        <f t="shared" si="7347"/>
        <v>46585.58</v>
      </c>
      <c r="JG210" s="74">
        <f t="shared" si="7347"/>
        <v>81394.5</v>
      </c>
      <c r="JH210" s="74">
        <f t="shared" si="7347"/>
        <v>81394.5</v>
      </c>
      <c r="JI210" s="74">
        <f t="shared" si="7347"/>
        <v>81394.5</v>
      </c>
      <c r="JJ210" s="74">
        <f t="shared" si="7347"/>
        <v>80626.19</v>
      </c>
      <c r="JK210" s="74">
        <f t="shared" si="7347"/>
        <v>80626.19</v>
      </c>
      <c r="JL210" s="74">
        <f t="shared" si="7347"/>
        <v>80626.19</v>
      </c>
      <c r="JM210" s="74">
        <f t="shared" si="7347"/>
        <v>0</v>
      </c>
      <c r="JN210" s="74">
        <f t="shared" si="7347"/>
        <v>0</v>
      </c>
      <c r="JO210" s="74">
        <f t="shared" si="7347"/>
        <v>0</v>
      </c>
      <c r="JP210" s="74">
        <f t="shared" si="7347"/>
        <v>0</v>
      </c>
      <c r="JQ210" s="74">
        <f t="shared" si="7347"/>
        <v>0</v>
      </c>
      <c r="JR210" s="74">
        <f t="shared" si="7347"/>
        <v>0</v>
      </c>
      <c r="JS210" s="74">
        <f t="shared" si="7347"/>
        <v>13382.39</v>
      </c>
      <c r="JT210" s="74">
        <f t="shared" si="7347"/>
        <v>13382.39</v>
      </c>
      <c r="JU210" s="670"/>
      <c r="JV210" s="489"/>
      <c r="JW210" s="490"/>
      <c r="JX210" s="549">
        <f>SUM(JX212,JX218,JX227,JX230)+JX236+JX224</f>
        <v>262615</v>
      </c>
      <c r="JY210" s="549">
        <f>SUM(JY212,JY218,JY227,JY230)+JY236+JY224</f>
        <v>37273</v>
      </c>
      <c r="JZ210" s="581">
        <f>GP210</f>
        <v>167294</v>
      </c>
      <c r="KA210" s="581">
        <f t="shared" si="4945"/>
        <v>-43242</v>
      </c>
      <c r="KB210" s="549">
        <f>SUM(KB212,KB218,KB227,KB230)+KB236+KB224</f>
        <v>356325</v>
      </c>
      <c r="KC210" s="709">
        <f t="shared" si="4908"/>
        <v>0</v>
      </c>
      <c r="KD210" s="36"/>
      <c r="KE210" s="36"/>
      <c r="KF210" s="36"/>
      <c r="KG210" s="36"/>
      <c r="KH210" s="36"/>
      <c r="KI210" s="36"/>
      <c r="KJ210" s="36"/>
      <c r="KK210" s="36"/>
    </row>
    <row r="211" spans="1:297" s="8" customFormat="1">
      <c r="A211" s="75"/>
      <c r="B211" s="72"/>
      <c r="C211" s="74"/>
      <c r="D211" s="549"/>
      <c r="E211" s="675"/>
      <c r="F211" s="549"/>
      <c r="G211" s="675"/>
      <c r="H211" s="549"/>
      <c r="I211" s="675"/>
      <c r="J211" s="549"/>
      <c r="K211" s="675"/>
      <c r="L211" s="549"/>
      <c r="M211" s="675"/>
      <c r="N211" s="549"/>
      <c r="O211" s="675"/>
      <c r="P211" s="549"/>
      <c r="Q211" s="675"/>
      <c r="R211" s="549"/>
      <c r="S211" s="675"/>
      <c r="T211" s="549"/>
      <c r="U211" s="675"/>
      <c r="V211" s="549"/>
      <c r="W211" s="675"/>
      <c r="X211" s="549"/>
      <c r="Y211" s="675"/>
      <c r="Z211" s="549"/>
      <c r="AA211" s="675"/>
      <c r="AB211" s="549"/>
      <c r="AC211" s="675"/>
      <c r="AD211" s="549"/>
      <c r="AE211" s="675"/>
      <c r="AF211" s="549"/>
      <c r="AG211" s="675"/>
      <c r="AH211" s="549"/>
      <c r="AI211" s="675"/>
      <c r="AJ211" s="549"/>
      <c r="AK211" s="675"/>
      <c r="AL211" s="549"/>
      <c r="AM211" s="675"/>
      <c r="AN211" s="549"/>
      <c r="AO211" s="675"/>
      <c r="AP211" s="549"/>
      <c r="AQ211" s="675"/>
      <c r="AR211" s="549"/>
      <c r="AS211" s="675"/>
      <c r="AT211" s="549"/>
      <c r="AU211" s="675"/>
      <c r="AV211" s="549"/>
      <c r="AW211" s="675"/>
      <c r="AX211" s="549"/>
      <c r="AY211" s="675"/>
      <c r="AZ211" s="549"/>
      <c r="BA211" s="675"/>
      <c r="BB211" s="549"/>
      <c r="BC211" s="675"/>
      <c r="BD211" s="549"/>
      <c r="BE211" s="675"/>
      <c r="BF211" s="549"/>
      <c r="BG211" s="675"/>
      <c r="BH211" s="549"/>
      <c r="BI211" s="675"/>
      <c r="BJ211" s="549"/>
      <c r="BK211" s="675"/>
      <c r="BL211" s="549"/>
      <c r="BM211" s="675"/>
      <c r="BN211" s="549"/>
      <c r="BO211" s="675"/>
      <c r="BP211" s="549"/>
      <c r="BQ211" s="675"/>
      <c r="BR211" s="549"/>
      <c r="BS211" s="675"/>
      <c r="BT211" s="549"/>
      <c r="BU211" s="675"/>
      <c r="BV211" s="549"/>
      <c r="BW211" s="675"/>
      <c r="BX211" s="549"/>
      <c r="BY211" s="675"/>
      <c r="BZ211" s="549"/>
      <c r="CA211" s="675"/>
      <c r="CB211" s="549"/>
      <c r="CC211" s="675"/>
      <c r="CD211" s="549"/>
      <c r="CE211" s="675"/>
      <c r="CF211" s="549"/>
      <c r="CG211" s="675"/>
      <c r="CH211" s="549"/>
      <c r="CI211" s="675"/>
      <c r="CJ211" s="549"/>
      <c r="CK211" s="675"/>
      <c r="CL211" s="549"/>
      <c r="CM211" s="675"/>
      <c r="CN211" s="549"/>
      <c r="CO211" s="675"/>
      <c r="CP211" s="549"/>
      <c r="CQ211" s="675"/>
      <c r="CR211" s="549"/>
      <c r="CS211" s="675"/>
      <c r="CT211" s="549"/>
      <c r="CU211" s="675"/>
      <c r="CV211" s="549"/>
      <c r="CW211" s="675"/>
      <c r="CX211" s="549"/>
      <c r="CY211" s="675"/>
      <c r="CZ211" s="549"/>
      <c r="DA211" s="675"/>
      <c r="DB211" s="549"/>
      <c r="DC211" s="675"/>
      <c r="DD211" s="549"/>
      <c r="DE211" s="675"/>
      <c r="DF211" s="549"/>
      <c r="DG211" s="675"/>
      <c r="DH211" s="549"/>
      <c r="DI211" s="675"/>
      <c r="DJ211" s="549"/>
      <c r="DK211" s="675"/>
      <c r="DL211" s="549"/>
      <c r="DM211" s="675"/>
      <c r="DN211" s="549"/>
      <c r="DO211" s="675"/>
      <c r="DP211" s="549"/>
      <c r="DQ211" s="675"/>
      <c r="DR211" s="549"/>
      <c r="DS211" s="675"/>
      <c r="DT211" s="549"/>
      <c r="DU211" s="675"/>
      <c r="DV211" s="549"/>
      <c r="DW211" s="675"/>
      <c r="DX211" s="549"/>
      <c r="DY211" s="675"/>
      <c r="DZ211" s="549"/>
      <c r="EA211" s="675"/>
      <c r="EB211" s="549"/>
      <c r="EC211" s="675"/>
      <c r="ED211" s="549"/>
      <c r="EE211" s="675"/>
      <c r="EF211" s="549"/>
      <c r="EG211" s="675"/>
      <c r="EH211" s="549"/>
      <c r="EI211" s="675"/>
      <c r="EJ211" s="549"/>
      <c r="EK211" s="675"/>
      <c r="EL211" s="549"/>
      <c r="EM211" s="675"/>
      <c r="EN211" s="549"/>
      <c r="EO211" s="675"/>
      <c r="EP211" s="549"/>
      <c r="EQ211" s="675"/>
      <c r="ER211" s="549"/>
      <c r="ES211" s="675"/>
      <c r="ET211" s="549"/>
      <c r="EU211" s="675"/>
      <c r="EV211" s="549"/>
      <c r="EW211" s="675"/>
      <c r="EX211" s="549"/>
      <c r="EY211" s="675"/>
      <c r="EZ211" s="549"/>
      <c r="FA211" s="675"/>
      <c r="FB211" s="549"/>
      <c r="FC211" s="675"/>
      <c r="FD211" s="549"/>
      <c r="FE211" s="675"/>
      <c r="FF211" s="549"/>
      <c r="FG211" s="675"/>
      <c r="FH211" s="549"/>
      <c r="FI211" s="675"/>
      <c r="FJ211" s="549"/>
      <c r="FK211" s="675"/>
      <c r="FL211" s="549"/>
      <c r="FM211" s="675"/>
      <c r="FN211" s="549"/>
      <c r="FO211" s="675"/>
      <c r="FP211" s="549"/>
      <c r="FQ211" s="675"/>
      <c r="FR211" s="549"/>
      <c r="FS211" s="675"/>
      <c r="FT211" s="549"/>
      <c r="FU211" s="675"/>
      <c r="FV211" s="549"/>
      <c r="FW211" s="675"/>
      <c r="FX211" s="549"/>
      <c r="FY211" s="675"/>
      <c r="FZ211" s="549"/>
      <c r="GA211" s="675"/>
      <c r="GB211" s="549"/>
      <c r="GC211" s="675"/>
      <c r="GD211" s="549"/>
      <c r="GE211" s="675"/>
      <c r="GF211" s="549"/>
      <c r="GG211" s="675"/>
      <c r="GH211" s="549"/>
      <c r="GI211" s="675"/>
      <c r="GJ211" s="549"/>
      <c r="GK211" s="675"/>
      <c r="GL211" s="549"/>
      <c r="GM211" s="675"/>
      <c r="GN211" s="549"/>
      <c r="GO211" s="675"/>
      <c r="GP211" s="74"/>
      <c r="GQ211" s="675"/>
      <c r="GR211" s="74"/>
      <c r="GS211" s="74"/>
      <c r="GT211" s="549"/>
      <c r="GU211" s="74"/>
      <c r="GV211" s="74"/>
      <c r="GW211" s="549"/>
      <c r="GX211" s="549"/>
      <c r="GY211" s="74"/>
      <c r="GZ211" s="74"/>
      <c r="HA211" s="74"/>
      <c r="HB211" s="74"/>
      <c r="HC211" s="74"/>
      <c r="HD211" s="74"/>
      <c r="HE211" s="74"/>
      <c r="HF211" s="74"/>
      <c r="HG211" s="74"/>
      <c r="HH211" s="74"/>
      <c r="HI211" s="74"/>
      <c r="HJ211" s="74"/>
      <c r="HK211" s="74"/>
      <c r="HL211" s="74"/>
      <c r="HM211" s="74"/>
      <c r="HN211" s="74"/>
      <c r="HO211" s="74"/>
      <c r="HP211" s="74"/>
      <c r="HQ211" s="74"/>
      <c r="HR211" s="74"/>
      <c r="HS211" s="74"/>
      <c r="HT211" s="74"/>
      <c r="HU211" s="74"/>
      <c r="HV211" s="74"/>
      <c r="HW211" s="74"/>
      <c r="HX211" s="74"/>
      <c r="HY211" s="74"/>
      <c r="HZ211" s="74"/>
      <c r="IA211" s="74"/>
      <c r="IB211" s="74"/>
      <c r="IC211" s="74"/>
      <c r="ID211" s="74"/>
      <c r="IE211" s="792"/>
      <c r="IF211" s="841"/>
      <c r="IG211" s="263"/>
      <c r="IH211" s="842"/>
      <c r="II211" s="155"/>
      <c r="IJ211" s="74"/>
      <c r="IK211" s="74"/>
      <c r="IL211" s="74"/>
      <c r="IM211" s="74"/>
      <c r="IN211" s="74"/>
      <c r="IO211" s="74"/>
      <c r="IP211" s="74"/>
      <c r="IQ211" s="74"/>
      <c r="IR211" s="74"/>
      <c r="IS211" s="74"/>
      <c r="IT211" s="74"/>
      <c r="IU211" s="74"/>
      <c r="IV211" s="74"/>
      <c r="IW211" s="74"/>
      <c r="IX211" s="74"/>
      <c r="IY211" s="74"/>
      <c r="IZ211" s="74"/>
      <c r="JA211" s="74"/>
      <c r="JB211" s="74"/>
      <c r="JC211" s="74"/>
      <c r="JD211" s="74"/>
      <c r="JE211" s="74"/>
      <c r="JF211" s="74"/>
      <c r="JG211" s="74"/>
      <c r="JH211" s="74"/>
      <c r="JI211" s="74"/>
      <c r="JJ211" s="74"/>
      <c r="JK211" s="74"/>
      <c r="JL211" s="74"/>
      <c r="JM211" s="74"/>
      <c r="JN211" s="74"/>
      <c r="JO211" s="74"/>
      <c r="JP211" s="74"/>
      <c r="JQ211" s="74"/>
      <c r="JR211" s="74"/>
      <c r="JS211" s="74"/>
      <c r="JT211" s="382"/>
      <c r="JU211" s="670"/>
      <c r="JV211" s="489"/>
      <c r="JW211" s="529"/>
      <c r="JX211" s="549"/>
      <c r="JY211" s="549"/>
      <c r="JZ211" s="581">
        <f t="shared" si="4944"/>
        <v>0</v>
      </c>
      <c r="KA211" s="581">
        <f t="shared" si="4945"/>
        <v>0</v>
      </c>
      <c r="KB211" s="549"/>
      <c r="KC211" s="709">
        <f t="shared" si="4908"/>
        <v>0</v>
      </c>
      <c r="KD211" s="36"/>
      <c r="KE211" s="36"/>
      <c r="KF211" s="36"/>
      <c r="KG211" s="36"/>
      <c r="KH211" s="36"/>
      <c r="KI211" s="36"/>
      <c r="KJ211" s="36"/>
      <c r="KK211" s="36"/>
    </row>
    <row r="212" spans="1:297" s="8" customFormat="1">
      <c r="A212" s="75">
        <v>610</v>
      </c>
      <c r="B212" s="72" t="s">
        <v>205</v>
      </c>
      <c r="C212" s="74">
        <f t="shared" ref="C212:AC212" si="7348">SUM(C213:C216)</f>
        <v>100000</v>
      </c>
      <c r="D212" s="549">
        <f t="shared" si="7348"/>
        <v>0</v>
      </c>
      <c r="E212" s="675">
        <f t="shared" si="7348"/>
        <v>0</v>
      </c>
      <c r="F212" s="549">
        <f t="shared" si="7348"/>
        <v>0</v>
      </c>
      <c r="G212" s="675">
        <f t="shared" si="7348"/>
        <v>0</v>
      </c>
      <c r="H212" s="549">
        <f t="shared" si="7348"/>
        <v>0</v>
      </c>
      <c r="I212" s="675">
        <f t="shared" si="7348"/>
        <v>0</v>
      </c>
      <c r="J212" s="549">
        <f t="shared" si="7348"/>
        <v>0</v>
      </c>
      <c r="K212" s="675">
        <f t="shared" si="7348"/>
        <v>0</v>
      </c>
      <c r="L212" s="549">
        <f t="shared" si="7348"/>
        <v>0</v>
      </c>
      <c r="M212" s="675">
        <f t="shared" si="7348"/>
        <v>0</v>
      </c>
      <c r="N212" s="549">
        <f t="shared" si="7348"/>
        <v>0</v>
      </c>
      <c r="O212" s="675">
        <f t="shared" si="7348"/>
        <v>0</v>
      </c>
      <c r="P212" s="549">
        <f t="shared" si="7348"/>
        <v>0</v>
      </c>
      <c r="Q212" s="675">
        <f t="shared" si="7348"/>
        <v>0</v>
      </c>
      <c r="R212" s="549">
        <f t="shared" si="7348"/>
        <v>0</v>
      </c>
      <c r="S212" s="675">
        <f t="shared" si="7348"/>
        <v>0</v>
      </c>
      <c r="T212" s="549">
        <f t="shared" si="7348"/>
        <v>0</v>
      </c>
      <c r="U212" s="675">
        <f t="shared" si="7348"/>
        <v>0</v>
      </c>
      <c r="V212" s="549">
        <f t="shared" si="7348"/>
        <v>0</v>
      </c>
      <c r="W212" s="675">
        <f t="shared" si="7348"/>
        <v>0</v>
      </c>
      <c r="X212" s="549">
        <f t="shared" si="7348"/>
        <v>0</v>
      </c>
      <c r="Y212" s="675">
        <f t="shared" si="7348"/>
        <v>0</v>
      </c>
      <c r="Z212" s="549">
        <f t="shared" si="7348"/>
        <v>0</v>
      </c>
      <c r="AA212" s="675">
        <f t="shared" si="7348"/>
        <v>0</v>
      </c>
      <c r="AB212" s="549">
        <f t="shared" si="7348"/>
        <v>0</v>
      </c>
      <c r="AC212" s="675">
        <f t="shared" si="7348"/>
        <v>0</v>
      </c>
      <c r="AD212" s="549">
        <f t="shared" ref="AD212:AK212" si="7349">SUM(AD213:AD216)</f>
        <v>0</v>
      </c>
      <c r="AE212" s="675">
        <f t="shared" si="7349"/>
        <v>0</v>
      </c>
      <c r="AF212" s="549">
        <f t="shared" si="7349"/>
        <v>0</v>
      </c>
      <c r="AG212" s="675">
        <f t="shared" si="7349"/>
        <v>0</v>
      </c>
      <c r="AH212" s="549">
        <f t="shared" si="7349"/>
        <v>0</v>
      </c>
      <c r="AI212" s="675">
        <f t="shared" si="7349"/>
        <v>0</v>
      </c>
      <c r="AJ212" s="549">
        <f t="shared" si="7349"/>
        <v>0</v>
      </c>
      <c r="AK212" s="675">
        <f t="shared" si="7349"/>
        <v>0</v>
      </c>
      <c r="AL212" s="549">
        <f t="shared" ref="AL212:AM212" si="7350">SUM(AL213:AL216)</f>
        <v>0</v>
      </c>
      <c r="AM212" s="675">
        <f t="shared" si="7350"/>
        <v>0</v>
      </c>
      <c r="AN212" s="549">
        <f t="shared" ref="AN212:AS212" si="7351">SUM(AN213:AN216)</f>
        <v>0</v>
      </c>
      <c r="AO212" s="675">
        <f t="shared" si="7351"/>
        <v>0</v>
      </c>
      <c r="AP212" s="549">
        <f t="shared" si="7351"/>
        <v>0</v>
      </c>
      <c r="AQ212" s="675">
        <f t="shared" si="7351"/>
        <v>0</v>
      </c>
      <c r="AR212" s="549">
        <f t="shared" si="7351"/>
        <v>8480</v>
      </c>
      <c r="AS212" s="675">
        <f t="shared" si="7351"/>
        <v>0</v>
      </c>
      <c r="AT212" s="549">
        <f t="shared" ref="AT212:AU212" si="7352">SUM(AT213:AT216)</f>
        <v>0</v>
      </c>
      <c r="AU212" s="675">
        <f t="shared" si="7352"/>
        <v>0</v>
      </c>
      <c r="AV212" s="549">
        <f t="shared" ref="AV212:AW212" si="7353">SUM(AV213:AV216)</f>
        <v>0</v>
      </c>
      <c r="AW212" s="675">
        <f t="shared" si="7353"/>
        <v>0</v>
      </c>
      <c r="AX212" s="549">
        <f t="shared" ref="AX212:AY212" si="7354">SUM(AX213:AX216)</f>
        <v>0</v>
      </c>
      <c r="AY212" s="675">
        <f t="shared" si="7354"/>
        <v>0</v>
      </c>
      <c r="AZ212" s="549">
        <f t="shared" ref="AZ212:BA212" si="7355">SUM(AZ213:AZ216)</f>
        <v>0</v>
      </c>
      <c r="BA212" s="675">
        <f t="shared" si="7355"/>
        <v>0</v>
      </c>
      <c r="BB212" s="549">
        <f t="shared" ref="BB212:BC212" si="7356">SUM(BB213:BB216)</f>
        <v>0</v>
      </c>
      <c r="BC212" s="675">
        <f t="shared" si="7356"/>
        <v>0</v>
      </c>
      <c r="BD212" s="549">
        <f t="shared" ref="BD212:BE212" si="7357">SUM(BD213:BD216)</f>
        <v>0</v>
      </c>
      <c r="BE212" s="675">
        <f t="shared" si="7357"/>
        <v>0</v>
      </c>
      <c r="BF212" s="549">
        <f t="shared" ref="BF212:BG212" si="7358">SUM(BF213:BF216)</f>
        <v>0</v>
      </c>
      <c r="BG212" s="675">
        <f t="shared" si="7358"/>
        <v>0</v>
      </c>
      <c r="BH212" s="549">
        <f t="shared" ref="BH212:BI212" si="7359">SUM(BH213:BH216)</f>
        <v>18000</v>
      </c>
      <c r="BI212" s="675">
        <f t="shared" si="7359"/>
        <v>0</v>
      </c>
      <c r="BJ212" s="549">
        <f t="shared" ref="BJ212:BK212" si="7360">SUM(BJ213:BJ216)</f>
        <v>0</v>
      </c>
      <c r="BK212" s="675">
        <f t="shared" si="7360"/>
        <v>0</v>
      </c>
      <c r="BL212" s="549">
        <f t="shared" ref="BL212:BS212" si="7361">SUM(BL213:BL216)</f>
        <v>0</v>
      </c>
      <c r="BM212" s="675">
        <f t="shared" si="7361"/>
        <v>0</v>
      </c>
      <c r="BN212" s="549">
        <f t="shared" si="7361"/>
        <v>0</v>
      </c>
      <c r="BO212" s="675">
        <f t="shared" si="7361"/>
        <v>0</v>
      </c>
      <c r="BP212" s="549">
        <f t="shared" si="7361"/>
        <v>0</v>
      </c>
      <c r="BQ212" s="675">
        <f t="shared" si="7361"/>
        <v>0</v>
      </c>
      <c r="BR212" s="549">
        <f t="shared" si="7361"/>
        <v>0</v>
      </c>
      <c r="BS212" s="675">
        <f t="shared" si="7361"/>
        <v>0</v>
      </c>
      <c r="BT212" s="549">
        <f t="shared" ref="BT212:BU212" si="7362">SUM(BT213:BT216)</f>
        <v>0</v>
      </c>
      <c r="BU212" s="675">
        <f t="shared" si="7362"/>
        <v>0</v>
      </c>
      <c r="BV212" s="549">
        <f t="shared" ref="BV212:BW212" si="7363">SUM(BV213:BV216)</f>
        <v>7480</v>
      </c>
      <c r="BW212" s="675">
        <f t="shared" si="7363"/>
        <v>0</v>
      </c>
      <c r="BX212" s="549">
        <f t="shared" ref="BX212:BY212" si="7364">SUM(BX213:BX216)</f>
        <v>0</v>
      </c>
      <c r="BY212" s="675">
        <f t="shared" si="7364"/>
        <v>0</v>
      </c>
      <c r="BZ212" s="549">
        <f t="shared" ref="BZ212:CA212" si="7365">SUM(BZ213:BZ216)</f>
        <v>0</v>
      </c>
      <c r="CA212" s="675">
        <f t="shared" si="7365"/>
        <v>0</v>
      </c>
      <c r="CB212" s="549">
        <f t="shared" ref="CB212:CE212" si="7366">SUM(CB213:CB216)</f>
        <v>0</v>
      </c>
      <c r="CC212" s="675">
        <f t="shared" si="7366"/>
        <v>0</v>
      </c>
      <c r="CD212" s="549">
        <f t="shared" si="7366"/>
        <v>0</v>
      </c>
      <c r="CE212" s="675">
        <f t="shared" si="7366"/>
        <v>0</v>
      </c>
      <c r="CF212" s="549">
        <f t="shared" ref="CF212:CQ212" si="7367">SUM(CF213:CF216)</f>
        <v>0</v>
      </c>
      <c r="CG212" s="675">
        <f t="shared" si="7367"/>
        <v>0</v>
      </c>
      <c r="CH212" s="549">
        <f t="shared" si="7367"/>
        <v>0</v>
      </c>
      <c r="CI212" s="675">
        <f t="shared" si="7367"/>
        <v>0</v>
      </c>
      <c r="CJ212" s="549">
        <f t="shared" si="7367"/>
        <v>0</v>
      </c>
      <c r="CK212" s="675">
        <f t="shared" si="7367"/>
        <v>0</v>
      </c>
      <c r="CL212" s="549">
        <f t="shared" si="7367"/>
        <v>0</v>
      </c>
      <c r="CM212" s="675">
        <f t="shared" si="7367"/>
        <v>0</v>
      </c>
      <c r="CN212" s="549">
        <f t="shared" si="7367"/>
        <v>0</v>
      </c>
      <c r="CO212" s="675">
        <f t="shared" si="7367"/>
        <v>0</v>
      </c>
      <c r="CP212" s="549">
        <f t="shared" si="7367"/>
        <v>0</v>
      </c>
      <c r="CQ212" s="675">
        <f t="shared" si="7367"/>
        <v>0</v>
      </c>
      <c r="CR212" s="549">
        <f t="shared" ref="CR212:CY212" si="7368">SUM(CR213:CR216)</f>
        <v>0</v>
      </c>
      <c r="CS212" s="675">
        <f t="shared" si="7368"/>
        <v>0</v>
      </c>
      <c r="CT212" s="549">
        <f t="shared" si="7368"/>
        <v>0</v>
      </c>
      <c r="CU212" s="675">
        <f t="shared" si="7368"/>
        <v>0</v>
      </c>
      <c r="CV212" s="549">
        <f t="shared" si="7368"/>
        <v>0</v>
      </c>
      <c r="CW212" s="675">
        <f t="shared" si="7368"/>
        <v>0</v>
      </c>
      <c r="CX212" s="549">
        <f t="shared" si="7368"/>
        <v>0</v>
      </c>
      <c r="CY212" s="675">
        <f t="shared" si="7368"/>
        <v>0</v>
      </c>
      <c r="CZ212" s="549">
        <f t="shared" ref="CZ212:DG212" si="7369">SUM(CZ213:CZ216)</f>
        <v>0</v>
      </c>
      <c r="DA212" s="675">
        <f t="shared" si="7369"/>
        <v>0</v>
      </c>
      <c r="DB212" s="549">
        <f t="shared" si="7369"/>
        <v>0</v>
      </c>
      <c r="DC212" s="675">
        <f t="shared" si="7369"/>
        <v>0</v>
      </c>
      <c r="DD212" s="549">
        <f t="shared" si="7369"/>
        <v>0</v>
      </c>
      <c r="DE212" s="675">
        <f t="shared" si="7369"/>
        <v>0</v>
      </c>
      <c r="DF212" s="549">
        <f t="shared" si="7369"/>
        <v>0</v>
      </c>
      <c r="DG212" s="675">
        <f t="shared" si="7369"/>
        <v>0</v>
      </c>
      <c r="DH212" s="549">
        <f t="shared" ref="DH212:DM212" si="7370">SUM(DH213:DH216)</f>
        <v>0</v>
      </c>
      <c r="DI212" s="675">
        <f t="shared" si="7370"/>
        <v>0</v>
      </c>
      <c r="DJ212" s="549">
        <f t="shared" si="7370"/>
        <v>0</v>
      </c>
      <c r="DK212" s="675">
        <f t="shared" si="7370"/>
        <v>0</v>
      </c>
      <c r="DL212" s="549">
        <f t="shared" si="7370"/>
        <v>0</v>
      </c>
      <c r="DM212" s="675">
        <f t="shared" si="7370"/>
        <v>0</v>
      </c>
      <c r="DN212" s="549">
        <f t="shared" ref="DN212:DW212" si="7371">SUM(DN213:DN216)</f>
        <v>0</v>
      </c>
      <c r="DO212" s="675">
        <f t="shared" si="7371"/>
        <v>0</v>
      </c>
      <c r="DP212" s="549">
        <f t="shared" si="7371"/>
        <v>0</v>
      </c>
      <c r="DQ212" s="675">
        <f t="shared" si="7371"/>
        <v>-3275</v>
      </c>
      <c r="DR212" s="549">
        <f t="shared" si="7371"/>
        <v>0</v>
      </c>
      <c r="DS212" s="675">
        <f t="shared" si="7371"/>
        <v>0</v>
      </c>
      <c r="DT212" s="549">
        <f t="shared" si="7371"/>
        <v>0</v>
      </c>
      <c r="DU212" s="675">
        <f t="shared" si="7371"/>
        <v>0</v>
      </c>
      <c r="DV212" s="549">
        <f t="shared" si="7371"/>
        <v>0</v>
      </c>
      <c r="DW212" s="675">
        <f t="shared" si="7371"/>
        <v>0</v>
      </c>
      <c r="DX212" s="549">
        <f t="shared" ref="DX212:EG212" si="7372">SUM(DX213:DX216)</f>
        <v>0</v>
      </c>
      <c r="DY212" s="675">
        <f t="shared" si="7372"/>
        <v>0</v>
      </c>
      <c r="DZ212" s="549">
        <f t="shared" si="7372"/>
        <v>0</v>
      </c>
      <c r="EA212" s="675">
        <f t="shared" si="7372"/>
        <v>0</v>
      </c>
      <c r="EB212" s="549">
        <f t="shared" si="7372"/>
        <v>0</v>
      </c>
      <c r="EC212" s="675">
        <f t="shared" si="7372"/>
        <v>0</v>
      </c>
      <c r="ED212" s="549">
        <f t="shared" si="7372"/>
        <v>0</v>
      </c>
      <c r="EE212" s="675">
        <f t="shared" si="7372"/>
        <v>0</v>
      </c>
      <c r="EF212" s="549">
        <f t="shared" si="7372"/>
        <v>36277</v>
      </c>
      <c r="EG212" s="675">
        <f t="shared" si="7372"/>
        <v>0</v>
      </c>
      <c r="EH212" s="549">
        <f t="shared" ref="EH212:EM212" si="7373">SUM(EH213:EH216)</f>
        <v>0</v>
      </c>
      <c r="EI212" s="675">
        <f t="shared" si="7373"/>
        <v>0</v>
      </c>
      <c r="EJ212" s="549">
        <f t="shared" si="7373"/>
        <v>47500</v>
      </c>
      <c r="EK212" s="675">
        <f t="shared" si="7373"/>
        <v>0</v>
      </c>
      <c r="EL212" s="549">
        <f t="shared" si="7373"/>
        <v>9500</v>
      </c>
      <c r="EM212" s="675">
        <f t="shared" si="7373"/>
        <v>0</v>
      </c>
      <c r="EN212" s="549">
        <f t="shared" ref="EN212:EO212" si="7374">SUM(EN213:EN216)</f>
        <v>0</v>
      </c>
      <c r="EO212" s="675">
        <f t="shared" si="7374"/>
        <v>0</v>
      </c>
      <c r="EP212" s="549">
        <f t="shared" ref="EP212:FA212" si="7375">SUM(EP213:EP216)</f>
        <v>0</v>
      </c>
      <c r="EQ212" s="675">
        <f t="shared" si="7375"/>
        <v>0</v>
      </c>
      <c r="ER212" s="549">
        <f t="shared" si="7375"/>
        <v>0</v>
      </c>
      <c r="ES212" s="675">
        <f t="shared" si="7375"/>
        <v>0</v>
      </c>
      <c r="ET212" s="549">
        <f t="shared" si="7375"/>
        <v>0</v>
      </c>
      <c r="EU212" s="675">
        <f t="shared" si="7375"/>
        <v>0</v>
      </c>
      <c r="EV212" s="549">
        <f t="shared" ref="EV212:EW212" si="7376">SUM(EV213:EV216)</f>
        <v>0</v>
      </c>
      <c r="EW212" s="675">
        <f t="shared" si="7376"/>
        <v>0</v>
      </c>
      <c r="EX212" s="549">
        <f t="shared" si="7375"/>
        <v>0</v>
      </c>
      <c r="EY212" s="675">
        <f t="shared" si="7375"/>
        <v>0</v>
      </c>
      <c r="EZ212" s="549">
        <f t="shared" si="7375"/>
        <v>15400</v>
      </c>
      <c r="FA212" s="675">
        <f t="shared" si="7375"/>
        <v>0</v>
      </c>
      <c r="FB212" s="549">
        <f t="shared" ref="FB212:FC212" si="7377">SUM(FB213:FB216)</f>
        <v>0</v>
      </c>
      <c r="FC212" s="675">
        <f t="shared" si="7377"/>
        <v>0</v>
      </c>
      <c r="FD212" s="549">
        <f t="shared" ref="FD212:FE212" si="7378">SUM(FD213:FD216)</f>
        <v>2600</v>
      </c>
      <c r="FE212" s="675">
        <f t="shared" si="7378"/>
        <v>0</v>
      </c>
      <c r="FF212" s="549">
        <f t="shared" ref="FF212:FG212" si="7379">SUM(FF213:FF216)</f>
        <v>0</v>
      </c>
      <c r="FG212" s="675">
        <f t="shared" si="7379"/>
        <v>0</v>
      </c>
      <c r="FH212" s="549">
        <f t="shared" ref="FH212:FI212" si="7380">SUM(FH213:FH216)</f>
        <v>4200</v>
      </c>
      <c r="FI212" s="675">
        <f t="shared" si="7380"/>
        <v>0</v>
      </c>
      <c r="FJ212" s="549">
        <f t="shared" ref="FJ212:FK212" si="7381">SUM(FJ213:FJ216)</f>
        <v>0</v>
      </c>
      <c r="FK212" s="675">
        <f t="shared" si="7381"/>
        <v>0</v>
      </c>
      <c r="FL212" s="549">
        <f t="shared" ref="FL212:FM212" si="7382">SUM(FL213:FL216)</f>
        <v>0</v>
      </c>
      <c r="FM212" s="675">
        <f t="shared" si="7382"/>
        <v>0</v>
      </c>
      <c r="FN212" s="549">
        <f t="shared" ref="FN212:FO212" si="7383">SUM(FN213:FN216)</f>
        <v>0</v>
      </c>
      <c r="FO212" s="675">
        <f t="shared" si="7383"/>
        <v>0</v>
      </c>
      <c r="FP212" s="549">
        <f t="shared" ref="FP212:FQ212" si="7384">SUM(FP213:FP216)</f>
        <v>0</v>
      </c>
      <c r="FQ212" s="675">
        <f t="shared" si="7384"/>
        <v>0</v>
      </c>
      <c r="FR212" s="549">
        <f t="shared" ref="FR212:FS212" si="7385">SUM(FR213:FR216)</f>
        <v>0</v>
      </c>
      <c r="FS212" s="675">
        <f t="shared" si="7385"/>
        <v>0</v>
      </c>
      <c r="FT212" s="549">
        <f t="shared" ref="FT212:FU212" si="7386">SUM(FT213:FT216)</f>
        <v>10857</v>
      </c>
      <c r="FU212" s="675">
        <f t="shared" si="7386"/>
        <v>0</v>
      </c>
      <c r="FV212" s="549">
        <f t="shared" ref="FV212:GK212" si="7387">SUM(FV213:FV216)</f>
        <v>0</v>
      </c>
      <c r="FW212" s="675">
        <f t="shared" si="7387"/>
        <v>0</v>
      </c>
      <c r="FX212" s="549">
        <f t="shared" si="7387"/>
        <v>2000</v>
      </c>
      <c r="FY212" s="675">
        <f t="shared" si="7387"/>
        <v>0</v>
      </c>
      <c r="FZ212" s="549">
        <f t="shared" ref="FZ212:GI212" si="7388">SUM(FZ213:FZ216)</f>
        <v>0</v>
      </c>
      <c r="GA212" s="675">
        <f t="shared" si="7388"/>
        <v>0</v>
      </c>
      <c r="GB212" s="549">
        <f t="shared" si="7388"/>
        <v>0</v>
      </c>
      <c r="GC212" s="675">
        <f t="shared" si="7388"/>
        <v>0</v>
      </c>
      <c r="GD212" s="549">
        <f t="shared" si="7388"/>
        <v>0</v>
      </c>
      <c r="GE212" s="675">
        <f t="shared" si="7388"/>
        <v>0</v>
      </c>
      <c r="GF212" s="549">
        <f t="shared" si="7388"/>
        <v>0</v>
      </c>
      <c r="GG212" s="675">
        <f t="shared" si="7388"/>
        <v>0</v>
      </c>
      <c r="GH212" s="549">
        <f t="shared" si="7388"/>
        <v>0</v>
      </c>
      <c r="GI212" s="675">
        <f t="shared" si="7388"/>
        <v>0</v>
      </c>
      <c r="GJ212" s="549">
        <f t="shared" si="7387"/>
        <v>0</v>
      </c>
      <c r="GK212" s="675">
        <f t="shared" si="7387"/>
        <v>0</v>
      </c>
      <c r="GL212" s="549">
        <f t="shared" ref="GL212:GQ212" si="7389">SUM(GL213:GL216)</f>
        <v>0</v>
      </c>
      <c r="GM212" s="675">
        <f t="shared" si="7389"/>
        <v>0</v>
      </c>
      <c r="GN212" s="549">
        <f t="shared" ref="GN212:GO212" si="7390">SUM(GN213:GN216)</f>
        <v>0</v>
      </c>
      <c r="GO212" s="675">
        <f t="shared" si="7390"/>
        <v>0</v>
      </c>
      <c r="GP212" s="74">
        <f t="shared" si="7389"/>
        <v>162294</v>
      </c>
      <c r="GQ212" s="675">
        <f t="shared" si="7389"/>
        <v>-3275</v>
      </c>
      <c r="GR212" s="74">
        <f t="shared" ref="GR212:JM212" si="7391">SUM(GR213:GR216)</f>
        <v>259019</v>
      </c>
      <c r="GS212" s="74">
        <f>SUM(GS213:GS216)</f>
        <v>259019</v>
      </c>
      <c r="GT212" s="74">
        <f>SUM(GT213:GT216)</f>
        <v>254819</v>
      </c>
      <c r="GU212" s="74">
        <f>SUM(GU213:GU216)</f>
        <v>30000</v>
      </c>
      <c r="GV212" s="74">
        <f t="shared" ref="GV212:HA212" si="7392">SUM(GV213:GV216)</f>
        <v>0</v>
      </c>
      <c r="GW212" s="74">
        <f t="shared" si="7392"/>
        <v>30000</v>
      </c>
      <c r="GX212" s="74">
        <f t="shared" si="7392"/>
        <v>0</v>
      </c>
      <c r="GY212" s="74">
        <f t="shared" si="7392"/>
        <v>20000</v>
      </c>
      <c r="GZ212" s="74">
        <f t="shared" si="7392"/>
        <v>0</v>
      </c>
      <c r="HA212" s="74">
        <f t="shared" si="7392"/>
        <v>0</v>
      </c>
      <c r="HB212" s="74">
        <f t="shared" ref="HB212:HF212" si="7393">SUM(HB213:HB216)</f>
        <v>20000</v>
      </c>
      <c r="HC212" s="74">
        <f t="shared" si="7393"/>
        <v>0</v>
      </c>
      <c r="HD212" s="74">
        <f t="shared" si="7393"/>
        <v>0</v>
      </c>
      <c r="HE212" s="74">
        <f t="shared" si="7393"/>
        <v>0</v>
      </c>
      <c r="HF212" s="74">
        <f t="shared" si="7393"/>
        <v>0</v>
      </c>
      <c r="HG212" s="74">
        <f t="shared" si="7391"/>
        <v>259019</v>
      </c>
      <c r="HH212" s="74">
        <f t="shared" ref="HH212:HU212" si="7394">SUM(HH213:HH216)</f>
        <v>30000</v>
      </c>
      <c r="HI212" s="74">
        <f t="shared" si="7394"/>
        <v>0</v>
      </c>
      <c r="HJ212" s="74">
        <f t="shared" si="7394"/>
        <v>0</v>
      </c>
      <c r="HK212" s="74">
        <f t="shared" si="7394"/>
        <v>0</v>
      </c>
      <c r="HL212" s="74">
        <f t="shared" si="7394"/>
        <v>25000</v>
      </c>
      <c r="HM212" s="74">
        <f t="shared" si="7394"/>
        <v>0</v>
      </c>
      <c r="HN212" s="74">
        <f t="shared" si="7394"/>
        <v>0</v>
      </c>
      <c r="HO212" s="74">
        <f t="shared" si="7394"/>
        <v>0</v>
      </c>
      <c r="HP212" s="74">
        <f t="shared" si="7394"/>
        <v>20000</v>
      </c>
      <c r="HQ212" s="74">
        <f t="shared" si="7394"/>
        <v>0</v>
      </c>
      <c r="HR212" s="74">
        <f t="shared" si="7394"/>
        <v>14000</v>
      </c>
      <c r="HS212" s="74">
        <f t="shared" si="7394"/>
        <v>0</v>
      </c>
      <c r="HT212" s="74">
        <f t="shared" si="7394"/>
        <v>5000</v>
      </c>
      <c r="HU212" s="74">
        <f t="shared" si="7394"/>
        <v>0</v>
      </c>
      <c r="HV212" s="74">
        <f t="shared" si="7391"/>
        <v>16725</v>
      </c>
      <c r="HW212" s="74">
        <f t="shared" si="7391"/>
        <v>0</v>
      </c>
      <c r="HX212" s="74">
        <f t="shared" si="7391"/>
        <v>76400</v>
      </c>
      <c r="HY212" s="74">
        <f t="shared" si="7391"/>
        <v>0</v>
      </c>
      <c r="HZ212" s="74">
        <f t="shared" si="7391"/>
        <v>15457</v>
      </c>
      <c r="IA212" s="74">
        <f t="shared" si="7391"/>
        <v>0</v>
      </c>
      <c r="IB212" s="74">
        <f t="shared" si="7391"/>
        <v>0</v>
      </c>
      <c r="IC212" s="74">
        <f t="shared" si="7391"/>
        <v>0</v>
      </c>
      <c r="ID212" s="74">
        <f t="shared" si="7391"/>
        <v>0</v>
      </c>
      <c r="IE212" s="792">
        <f t="shared" si="7391"/>
        <v>0</v>
      </c>
      <c r="IF212" s="841">
        <f t="shared" si="7391"/>
        <v>252851.61</v>
      </c>
      <c r="IG212" s="263">
        <f t="shared" si="7391"/>
        <v>252851.61</v>
      </c>
      <c r="IH212" s="842">
        <f t="shared" si="7391"/>
        <v>252851.61</v>
      </c>
      <c r="II212" s="155">
        <f t="shared" si="7391"/>
        <v>234.8</v>
      </c>
      <c r="IJ212" s="74">
        <f t="shared" si="7391"/>
        <v>234.8</v>
      </c>
      <c r="IK212" s="74">
        <f t="shared" si="7391"/>
        <v>234.8</v>
      </c>
      <c r="IL212" s="74">
        <f t="shared" si="7391"/>
        <v>24249.4</v>
      </c>
      <c r="IM212" s="74">
        <f t="shared" si="7391"/>
        <v>24249.4</v>
      </c>
      <c r="IN212" s="74">
        <f t="shared" si="7391"/>
        <v>24249.4</v>
      </c>
      <c r="IO212" s="74">
        <f t="shared" si="7391"/>
        <v>2643.9300000000003</v>
      </c>
      <c r="IP212" s="74">
        <f t="shared" si="7391"/>
        <v>2643.9300000000003</v>
      </c>
      <c r="IQ212" s="74">
        <f t="shared" si="7391"/>
        <v>2643.9300000000003</v>
      </c>
      <c r="IR212" s="74">
        <f t="shared" si="7391"/>
        <v>2985</v>
      </c>
      <c r="IS212" s="74">
        <f t="shared" si="7391"/>
        <v>2985</v>
      </c>
      <c r="IT212" s="74">
        <f t="shared" si="7391"/>
        <v>2985</v>
      </c>
      <c r="IU212" s="74">
        <f t="shared" si="7391"/>
        <v>23403.7</v>
      </c>
      <c r="IV212" s="74">
        <f t="shared" si="7391"/>
        <v>23403.7</v>
      </c>
      <c r="IW212" s="74">
        <f t="shared" si="7391"/>
        <v>23403.7</v>
      </c>
      <c r="IX212" s="74">
        <f t="shared" si="7391"/>
        <v>32408.519999999997</v>
      </c>
      <c r="IY212" s="74">
        <f t="shared" si="7391"/>
        <v>32408.519999999997</v>
      </c>
      <c r="IZ212" s="74">
        <f t="shared" si="7391"/>
        <v>32408.519999999997</v>
      </c>
      <c r="JA212" s="74">
        <f t="shared" si="7391"/>
        <v>9842.989999999998</v>
      </c>
      <c r="JB212" s="74">
        <f t="shared" si="7391"/>
        <v>9842.989999999998</v>
      </c>
      <c r="JC212" s="74">
        <f t="shared" si="7391"/>
        <v>9842.989999999998</v>
      </c>
      <c r="JD212" s="74">
        <f t="shared" si="7391"/>
        <v>16884.080000000002</v>
      </c>
      <c r="JE212" s="74">
        <f t="shared" si="7391"/>
        <v>16884.080000000002</v>
      </c>
      <c r="JF212" s="74">
        <f t="shared" si="7391"/>
        <v>16884.080000000002</v>
      </c>
      <c r="JG212" s="74">
        <f t="shared" si="7391"/>
        <v>61835</v>
      </c>
      <c r="JH212" s="74">
        <f t="shared" si="7391"/>
        <v>61835</v>
      </c>
      <c r="JI212" s="74">
        <f t="shared" si="7391"/>
        <v>61835</v>
      </c>
      <c r="JJ212" s="74">
        <f t="shared" si="7391"/>
        <v>78364.19</v>
      </c>
      <c r="JK212" s="74">
        <f t="shared" si="7391"/>
        <v>78364.19</v>
      </c>
      <c r="JL212" s="74">
        <f t="shared" si="7391"/>
        <v>78364.19</v>
      </c>
      <c r="JM212" s="74">
        <f t="shared" si="7391"/>
        <v>0</v>
      </c>
      <c r="JN212" s="74">
        <f t="shared" ref="JN212:JT212" si="7395">SUM(JN213:JN216)</f>
        <v>0</v>
      </c>
      <c r="JO212" s="74">
        <f t="shared" si="7395"/>
        <v>0</v>
      </c>
      <c r="JP212" s="74">
        <f t="shared" si="7395"/>
        <v>0</v>
      </c>
      <c r="JQ212" s="74">
        <f t="shared" si="7395"/>
        <v>0</v>
      </c>
      <c r="JR212" s="74">
        <f t="shared" si="7395"/>
        <v>0</v>
      </c>
      <c r="JS212" s="74">
        <f t="shared" si="7395"/>
        <v>6167.3899999999994</v>
      </c>
      <c r="JT212" s="382">
        <f t="shared" si="7395"/>
        <v>6167.3899999999994</v>
      </c>
      <c r="JU212" s="670"/>
      <c r="JV212" s="489"/>
      <c r="JW212" s="528"/>
      <c r="JX212" s="549">
        <f>SUM(JX213:JX216)</f>
        <v>202582</v>
      </c>
      <c r="JY212" s="549">
        <f>SUM(JY213:JY216)</f>
        <v>0</v>
      </c>
      <c r="JZ212" s="581">
        <f t="shared" si="4944"/>
        <v>162294</v>
      </c>
      <c r="KA212" s="581">
        <f t="shared" si="4945"/>
        <v>-3275</v>
      </c>
      <c r="KB212" s="549">
        <f>SUM(KB213:KB216)</f>
        <v>259019</v>
      </c>
      <c r="KC212" s="709">
        <f t="shared" ref="KC212:KC282" si="7396">HG212-KB212</f>
        <v>0</v>
      </c>
      <c r="KD212" s="36"/>
      <c r="KE212" s="36"/>
      <c r="KF212" s="36"/>
      <c r="KG212" s="36"/>
      <c r="KH212" s="36"/>
      <c r="KI212" s="36"/>
      <c r="KJ212" s="36"/>
      <c r="KK212" s="36"/>
    </row>
    <row r="213" spans="1:297" s="8" customFormat="1">
      <c r="A213" s="75">
        <v>611</v>
      </c>
      <c r="B213" s="72" t="s">
        <v>206</v>
      </c>
      <c r="C213" s="74">
        <f t="shared" ref="C213" si="7397">SUM(C544)+C350</f>
        <v>90000</v>
      </c>
      <c r="D213" s="549">
        <f t="shared" ref="D213:E213" si="7398">SUM(D544)+D350</f>
        <v>0</v>
      </c>
      <c r="E213" s="675">
        <f t="shared" si="7398"/>
        <v>0</v>
      </c>
      <c r="F213" s="549">
        <f t="shared" ref="F213:G213" si="7399">SUM(F544)+F350</f>
        <v>0</v>
      </c>
      <c r="G213" s="675">
        <f t="shared" si="7399"/>
        <v>0</v>
      </c>
      <c r="H213" s="549">
        <f t="shared" ref="H213:I213" si="7400">SUM(H544)+H350</f>
        <v>0</v>
      </c>
      <c r="I213" s="675">
        <f t="shared" si="7400"/>
        <v>0</v>
      </c>
      <c r="J213" s="549">
        <f t="shared" ref="J213:K213" si="7401">SUM(J544)+J350</f>
        <v>0</v>
      </c>
      <c r="K213" s="675">
        <f t="shared" si="7401"/>
        <v>0</v>
      </c>
      <c r="L213" s="549">
        <f t="shared" ref="L213:M213" si="7402">SUM(L544)+L350</f>
        <v>0</v>
      </c>
      <c r="M213" s="675">
        <f t="shared" si="7402"/>
        <v>0</v>
      </c>
      <c r="N213" s="549">
        <f t="shared" ref="N213:O213" si="7403">SUM(N544)+N350</f>
        <v>0</v>
      </c>
      <c r="O213" s="675">
        <f t="shared" si="7403"/>
        <v>0</v>
      </c>
      <c r="P213" s="549">
        <f t="shared" ref="P213:Q213" si="7404">SUM(P544)+P350</f>
        <v>0</v>
      </c>
      <c r="Q213" s="675">
        <f t="shared" si="7404"/>
        <v>0</v>
      </c>
      <c r="R213" s="549">
        <f t="shared" ref="R213:S213" si="7405">SUM(R544)+R350</f>
        <v>0</v>
      </c>
      <c r="S213" s="675">
        <f t="shared" si="7405"/>
        <v>0</v>
      </c>
      <c r="T213" s="549">
        <f t="shared" ref="T213:U213" si="7406">SUM(T544)+T350</f>
        <v>0</v>
      </c>
      <c r="U213" s="675">
        <f t="shared" si="7406"/>
        <v>0</v>
      </c>
      <c r="V213" s="549">
        <f t="shared" ref="V213:W213" si="7407">SUM(V544)+V350</f>
        <v>0</v>
      </c>
      <c r="W213" s="675">
        <f t="shared" si="7407"/>
        <v>0</v>
      </c>
      <c r="X213" s="549">
        <f t="shared" ref="X213:Y213" si="7408">SUM(X544)+X350</f>
        <v>0</v>
      </c>
      <c r="Y213" s="675">
        <f t="shared" si="7408"/>
        <v>0</v>
      </c>
      <c r="Z213" s="549">
        <f t="shared" ref="Z213:AA213" si="7409">SUM(Z544)+Z350</f>
        <v>0</v>
      </c>
      <c r="AA213" s="675">
        <f t="shared" si="7409"/>
        <v>0</v>
      </c>
      <c r="AB213" s="549">
        <f t="shared" ref="AB213:AC213" si="7410">SUM(AB544)+AB350</f>
        <v>0</v>
      </c>
      <c r="AC213" s="675">
        <f t="shared" si="7410"/>
        <v>0</v>
      </c>
      <c r="AD213" s="549">
        <f t="shared" ref="AD213:AE213" si="7411">SUM(AD544)+AD350</f>
        <v>0</v>
      </c>
      <c r="AE213" s="675">
        <f t="shared" si="7411"/>
        <v>0</v>
      </c>
      <c r="AF213" s="549">
        <f t="shared" ref="AF213:AI213" si="7412">SUM(AF544)+AF350</f>
        <v>0</v>
      </c>
      <c r="AG213" s="675">
        <f t="shared" si="7412"/>
        <v>0</v>
      </c>
      <c r="AH213" s="549">
        <f t="shared" si="7412"/>
        <v>0</v>
      </c>
      <c r="AI213" s="675">
        <f t="shared" si="7412"/>
        <v>0</v>
      </c>
      <c r="AJ213" s="549">
        <f t="shared" ref="AJ213:AK213" si="7413">SUM(AJ544)+AJ350</f>
        <v>0</v>
      </c>
      <c r="AK213" s="675">
        <f t="shared" si="7413"/>
        <v>0</v>
      </c>
      <c r="AL213" s="549">
        <f t="shared" ref="AL213:AM213" si="7414">SUM(AL544)+AL350</f>
        <v>0</v>
      </c>
      <c r="AM213" s="675">
        <f t="shared" si="7414"/>
        <v>0</v>
      </c>
      <c r="AN213" s="549">
        <f t="shared" ref="AN213:AO213" si="7415">SUM(AN544)+AN350</f>
        <v>0</v>
      </c>
      <c r="AO213" s="675">
        <f t="shared" si="7415"/>
        <v>0</v>
      </c>
      <c r="AP213" s="549">
        <f t="shared" ref="AP213:AQ213" si="7416">SUM(AP544)+AP350</f>
        <v>0</v>
      </c>
      <c r="AQ213" s="675">
        <f t="shared" si="7416"/>
        <v>0</v>
      </c>
      <c r="AR213" s="549">
        <f t="shared" ref="AR213:AS213" si="7417">SUM(AR544)+AR350</f>
        <v>0</v>
      </c>
      <c r="AS213" s="675">
        <f t="shared" si="7417"/>
        <v>0</v>
      </c>
      <c r="AT213" s="549">
        <f t="shared" ref="AT213:AU213" si="7418">SUM(AT544)+AT350</f>
        <v>0</v>
      </c>
      <c r="AU213" s="675">
        <f t="shared" si="7418"/>
        <v>0</v>
      </c>
      <c r="AV213" s="549">
        <f t="shared" ref="AV213:AW213" si="7419">SUM(AV544)+AV350</f>
        <v>0</v>
      </c>
      <c r="AW213" s="675">
        <f t="shared" si="7419"/>
        <v>0</v>
      </c>
      <c r="AX213" s="549">
        <f t="shared" ref="AX213:AY213" si="7420">SUM(AX544)+AX350</f>
        <v>0</v>
      </c>
      <c r="AY213" s="675">
        <f t="shared" si="7420"/>
        <v>0</v>
      </c>
      <c r="AZ213" s="549">
        <f t="shared" ref="AZ213:BA213" si="7421">SUM(AZ544)+AZ350</f>
        <v>0</v>
      </c>
      <c r="BA213" s="675">
        <f t="shared" si="7421"/>
        <v>0</v>
      </c>
      <c r="BB213" s="549">
        <f t="shared" ref="BB213:BC213" si="7422">SUM(BB544)+BB350</f>
        <v>0</v>
      </c>
      <c r="BC213" s="675">
        <f t="shared" si="7422"/>
        <v>0</v>
      </c>
      <c r="BD213" s="549">
        <f t="shared" ref="BD213:BE213" si="7423">SUM(BD544)+BD350</f>
        <v>0</v>
      </c>
      <c r="BE213" s="675">
        <f t="shared" si="7423"/>
        <v>0</v>
      </c>
      <c r="BF213" s="549">
        <f t="shared" ref="BF213:BG213" si="7424">SUM(BF544)+BF350</f>
        <v>0</v>
      </c>
      <c r="BG213" s="675">
        <f t="shared" si="7424"/>
        <v>0</v>
      </c>
      <c r="BH213" s="549">
        <f t="shared" ref="BH213:BI213" si="7425">SUM(BH544)+BH350</f>
        <v>0</v>
      </c>
      <c r="BI213" s="675">
        <f t="shared" si="7425"/>
        <v>0</v>
      </c>
      <c r="BJ213" s="549">
        <f t="shared" ref="BJ213:BK213" si="7426">SUM(BJ544)+BJ350</f>
        <v>0</v>
      </c>
      <c r="BK213" s="675">
        <f t="shared" si="7426"/>
        <v>0</v>
      </c>
      <c r="BL213" s="549">
        <f t="shared" ref="BL213:BS213" si="7427">SUM(BL544)+BL350</f>
        <v>0</v>
      </c>
      <c r="BM213" s="675">
        <f t="shared" si="7427"/>
        <v>0</v>
      </c>
      <c r="BN213" s="549">
        <f t="shared" si="7427"/>
        <v>0</v>
      </c>
      <c r="BO213" s="675">
        <f t="shared" si="7427"/>
        <v>0</v>
      </c>
      <c r="BP213" s="549">
        <f t="shared" si="7427"/>
        <v>0</v>
      </c>
      <c r="BQ213" s="675">
        <f t="shared" si="7427"/>
        <v>0</v>
      </c>
      <c r="BR213" s="549">
        <f t="shared" si="7427"/>
        <v>0</v>
      </c>
      <c r="BS213" s="675">
        <f t="shared" si="7427"/>
        <v>0</v>
      </c>
      <c r="BT213" s="549">
        <f t="shared" ref="BT213:BU213" si="7428">SUM(BT544)+BT350</f>
        <v>0</v>
      </c>
      <c r="BU213" s="675">
        <f t="shared" si="7428"/>
        <v>0</v>
      </c>
      <c r="BV213" s="549">
        <f t="shared" ref="BV213:BW213" si="7429">SUM(BV544)+BV350</f>
        <v>0</v>
      </c>
      <c r="BW213" s="675">
        <f t="shared" si="7429"/>
        <v>0</v>
      </c>
      <c r="BX213" s="549">
        <f t="shared" ref="BX213:BY213" si="7430">SUM(BX544)+BX350</f>
        <v>0</v>
      </c>
      <c r="BY213" s="675">
        <f t="shared" si="7430"/>
        <v>0</v>
      </c>
      <c r="BZ213" s="549">
        <f t="shared" ref="BZ213:CA213" si="7431">SUM(BZ544)+BZ350</f>
        <v>0</v>
      </c>
      <c r="CA213" s="675">
        <f t="shared" si="7431"/>
        <v>0</v>
      </c>
      <c r="CB213" s="549">
        <f t="shared" ref="CB213:CC213" si="7432">SUM(CB544)+CB350</f>
        <v>0</v>
      </c>
      <c r="CC213" s="675">
        <f t="shared" si="7432"/>
        <v>0</v>
      </c>
      <c r="CD213" s="549">
        <f t="shared" ref="CD213:CE213" si="7433">SUM(CD544)+CD350</f>
        <v>0</v>
      </c>
      <c r="CE213" s="675">
        <f t="shared" si="7433"/>
        <v>0</v>
      </c>
      <c r="CF213" s="549">
        <f t="shared" ref="CF213:CG213" si="7434">SUM(CF544)+CF350</f>
        <v>0</v>
      </c>
      <c r="CG213" s="675">
        <f t="shared" si="7434"/>
        <v>0</v>
      </c>
      <c r="CH213" s="549">
        <f t="shared" ref="CH213:CI213" si="7435">SUM(CH544)+CH350</f>
        <v>0</v>
      </c>
      <c r="CI213" s="675">
        <f t="shared" si="7435"/>
        <v>0</v>
      </c>
      <c r="CJ213" s="549">
        <f t="shared" ref="CJ213:CK213" si="7436">SUM(CJ544)+CJ350</f>
        <v>0</v>
      </c>
      <c r="CK213" s="675">
        <f t="shared" si="7436"/>
        <v>0</v>
      </c>
      <c r="CL213" s="549">
        <f t="shared" ref="CL213:CM213" si="7437">SUM(CL544)+CL350</f>
        <v>0</v>
      </c>
      <c r="CM213" s="675">
        <f t="shared" si="7437"/>
        <v>0</v>
      </c>
      <c r="CN213" s="549">
        <f t="shared" ref="CN213:CO213" si="7438">SUM(CN544)+CN350</f>
        <v>0</v>
      </c>
      <c r="CO213" s="675">
        <f t="shared" si="7438"/>
        <v>0</v>
      </c>
      <c r="CP213" s="549">
        <f t="shared" ref="CP213:CQ213" si="7439">SUM(CP544)+CP350</f>
        <v>0</v>
      </c>
      <c r="CQ213" s="675">
        <f t="shared" si="7439"/>
        <v>0</v>
      </c>
      <c r="CR213" s="549">
        <f t="shared" ref="CR213:CY213" si="7440">SUM(CR544)+CR350</f>
        <v>0</v>
      </c>
      <c r="CS213" s="675">
        <f t="shared" si="7440"/>
        <v>0</v>
      </c>
      <c r="CT213" s="549">
        <f t="shared" si="7440"/>
        <v>0</v>
      </c>
      <c r="CU213" s="675">
        <f t="shared" si="7440"/>
        <v>0</v>
      </c>
      <c r="CV213" s="549">
        <f t="shared" si="7440"/>
        <v>0</v>
      </c>
      <c r="CW213" s="675">
        <f t="shared" si="7440"/>
        <v>0</v>
      </c>
      <c r="CX213" s="549">
        <f t="shared" si="7440"/>
        <v>0</v>
      </c>
      <c r="CY213" s="675">
        <f t="shared" si="7440"/>
        <v>0</v>
      </c>
      <c r="CZ213" s="549">
        <f t="shared" ref="CZ213:DM213" si="7441">SUM(CZ544)+CZ350</f>
        <v>0</v>
      </c>
      <c r="DA213" s="675">
        <f t="shared" si="7441"/>
        <v>0</v>
      </c>
      <c r="DB213" s="549">
        <f t="shared" si="7441"/>
        <v>0</v>
      </c>
      <c r="DC213" s="675">
        <f t="shared" si="7441"/>
        <v>0</v>
      </c>
      <c r="DD213" s="549">
        <f t="shared" si="7441"/>
        <v>0</v>
      </c>
      <c r="DE213" s="675">
        <f t="shared" si="7441"/>
        <v>0</v>
      </c>
      <c r="DF213" s="549">
        <f t="shared" si="7441"/>
        <v>0</v>
      </c>
      <c r="DG213" s="675">
        <f t="shared" si="7441"/>
        <v>0</v>
      </c>
      <c r="DH213" s="549">
        <f t="shared" si="7441"/>
        <v>0</v>
      </c>
      <c r="DI213" s="675">
        <f t="shared" si="7441"/>
        <v>0</v>
      </c>
      <c r="DJ213" s="549">
        <f t="shared" si="7441"/>
        <v>0</v>
      </c>
      <c r="DK213" s="675">
        <f t="shared" si="7441"/>
        <v>0</v>
      </c>
      <c r="DL213" s="549">
        <f t="shared" si="7441"/>
        <v>0</v>
      </c>
      <c r="DM213" s="675">
        <f t="shared" si="7441"/>
        <v>0</v>
      </c>
      <c r="DN213" s="549">
        <f t="shared" ref="DN213:DW213" si="7442">SUM(DN544)+DN350</f>
        <v>0</v>
      </c>
      <c r="DO213" s="675">
        <f t="shared" si="7442"/>
        <v>0</v>
      </c>
      <c r="DP213" s="549">
        <f t="shared" si="7442"/>
        <v>0</v>
      </c>
      <c r="DQ213" s="675">
        <f t="shared" si="7442"/>
        <v>0</v>
      </c>
      <c r="DR213" s="549">
        <f t="shared" si="7442"/>
        <v>0</v>
      </c>
      <c r="DS213" s="675">
        <f t="shared" si="7442"/>
        <v>0</v>
      </c>
      <c r="DT213" s="549">
        <f t="shared" si="7442"/>
        <v>0</v>
      </c>
      <c r="DU213" s="675">
        <f t="shared" si="7442"/>
        <v>0</v>
      </c>
      <c r="DV213" s="549">
        <f t="shared" si="7442"/>
        <v>0</v>
      </c>
      <c r="DW213" s="675">
        <f t="shared" si="7442"/>
        <v>0</v>
      </c>
      <c r="DX213" s="549">
        <f t="shared" ref="DX213:EG213" si="7443">SUM(DX544)+DX350</f>
        <v>0</v>
      </c>
      <c r="DY213" s="675">
        <f t="shared" si="7443"/>
        <v>0</v>
      </c>
      <c r="DZ213" s="549">
        <f t="shared" si="7443"/>
        <v>0</v>
      </c>
      <c r="EA213" s="675">
        <f t="shared" si="7443"/>
        <v>0</v>
      </c>
      <c r="EB213" s="549">
        <f t="shared" si="7443"/>
        <v>0</v>
      </c>
      <c r="EC213" s="675">
        <f t="shared" si="7443"/>
        <v>0</v>
      </c>
      <c r="ED213" s="549">
        <f t="shared" si="7443"/>
        <v>0</v>
      </c>
      <c r="EE213" s="675">
        <f t="shared" si="7443"/>
        <v>0</v>
      </c>
      <c r="EF213" s="549">
        <f t="shared" si="7443"/>
        <v>0</v>
      </c>
      <c r="EG213" s="675">
        <f t="shared" si="7443"/>
        <v>0</v>
      </c>
      <c r="EH213" s="549">
        <f t="shared" ref="EH213:EM213" si="7444">SUM(EH544)+EH350</f>
        <v>0</v>
      </c>
      <c r="EI213" s="675">
        <f t="shared" si="7444"/>
        <v>0</v>
      </c>
      <c r="EJ213" s="549">
        <f t="shared" si="7444"/>
        <v>0</v>
      </c>
      <c r="EK213" s="675">
        <f t="shared" si="7444"/>
        <v>0</v>
      </c>
      <c r="EL213" s="549">
        <f t="shared" si="7444"/>
        <v>9500</v>
      </c>
      <c r="EM213" s="675">
        <f t="shared" si="7444"/>
        <v>0</v>
      </c>
      <c r="EN213" s="549">
        <f t="shared" ref="EN213:EO213" si="7445">SUM(EN544)+EN350</f>
        <v>0</v>
      </c>
      <c r="EO213" s="675">
        <f t="shared" si="7445"/>
        <v>0</v>
      </c>
      <c r="EP213" s="549">
        <f t="shared" ref="EP213:EQ213" si="7446">SUM(EP544)+EP350</f>
        <v>0</v>
      </c>
      <c r="EQ213" s="675">
        <f t="shared" si="7446"/>
        <v>0</v>
      </c>
      <c r="ER213" s="549">
        <f t="shared" ref="ER213:ES213" si="7447">SUM(ER544)+ER350</f>
        <v>0</v>
      </c>
      <c r="ES213" s="675">
        <f t="shared" si="7447"/>
        <v>0</v>
      </c>
      <c r="ET213" s="549">
        <f t="shared" ref="ET213:EU213" si="7448">SUM(ET544)+ET350</f>
        <v>0</v>
      </c>
      <c r="EU213" s="675">
        <f t="shared" si="7448"/>
        <v>0</v>
      </c>
      <c r="EV213" s="549">
        <f t="shared" ref="EV213:EW213" si="7449">SUM(EV544)+EV350</f>
        <v>0</v>
      </c>
      <c r="EW213" s="675">
        <f t="shared" si="7449"/>
        <v>0</v>
      </c>
      <c r="EX213" s="549">
        <f t="shared" ref="EX213:EY213" si="7450">SUM(EX544)+EX350</f>
        <v>0</v>
      </c>
      <c r="EY213" s="675">
        <f t="shared" si="7450"/>
        <v>0</v>
      </c>
      <c r="EZ213" s="549">
        <f t="shared" ref="EZ213:FA213" si="7451">SUM(EZ544)+EZ350</f>
        <v>0</v>
      </c>
      <c r="FA213" s="675">
        <f t="shared" si="7451"/>
        <v>0</v>
      </c>
      <c r="FB213" s="549">
        <f t="shared" ref="FB213:FC213" si="7452">SUM(FB544)+FB350</f>
        <v>0</v>
      </c>
      <c r="FC213" s="675">
        <f t="shared" si="7452"/>
        <v>0</v>
      </c>
      <c r="FD213" s="549">
        <f t="shared" ref="FD213:FE213" si="7453">SUM(FD544)+FD350</f>
        <v>0</v>
      </c>
      <c r="FE213" s="675">
        <f t="shared" si="7453"/>
        <v>0</v>
      </c>
      <c r="FF213" s="549">
        <f t="shared" ref="FF213:FG213" si="7454">SUM(FF544)+FF350</f>
        <v>0</v>
      </c>
      <c r="FG213" s="675">
        <f t="shared" si="7454"/>
        <v>0</v>
      </c>
      <c r="FH213" s="549">
        <f t="shared" ref="FH213:FI213" si="7455">SUM(FH544)+FH350</f>
        <v>0</v>
      </c>
      <c r="FI213" s="675">
        <f t="shared" si="7455"/>
        <v>0</v>
      </c>
      <c r="FJ213" s="549">
        <f t="shared" ref="FJ213:FK213" si="7456">SUM(FJ544)+FJ350</f>
        <v>0</v>
      </c>
      <c r="FK213" s="675">
        <f t="shared" si="7456"/>
        <v>0</v>
      </c>
      <c r="FL213" s="549">
        <f t="shared" ref="FL213:FM213" si="7457">SUM(FL544)+FL350</f>
        <v>0</v>
      </c>
      <c r="FM213" s="675">
        <f t="shared" si="7457"/>
        <v>0</v>
      </c>
      <c r="FN213" s="549">
        <f t="shared" ref="FN213:FO213" si="7458">SUM(FN544)+FN350</f>
        <v>0</v>
      </c>
      <c r="FO213" s="675">
        <f t="shared" si="7458"/>
        <v>0</v>
      </c>
      <c r="FP213" s="549">
        <f t="shared" ref="FP213:FQ213" si="7459">SUM(FP544)+FP350</f>
        <v>0</v>
      </c>
      <c r="FQ213" s="675">
        <f t="shared" si="7459"/>
        <v>0</v>
      </c>
      <c r="FR213" s="549">
        <f t="shared" ref="FR213:FS213" si="7460">SUM(FR544)+FR350</f>
        <v>0</v>
      </c>
      <c r="FS213" s="675">
        <f t="shared" si="7460"/>
        <v>0</v>
      </c>
      <c r="FT213" s="549">
        <f t="shared" ref="FT213:FU213" si="7461">SUM(FT544)+FT350</f>
        <v>10557</v>
      </c>
      <c r="FU213" s="675">
        <f t="shared" si="7461"/>
        <v>0</v>
      </c>
      <c r="FV213" s="549">
        <f t="shared" ref="FV213:GK213" si="7462">SUM(FV544)+FV350</f>
        <v>0</v>
      </c>
      <c r="FW213" s="675">
        <f t="shared" si="7462"/>
        <v>0</v>
      </c>
      <c r="FX213" s="549">
        <f t="shared" si="7462"/>
        <v>2000</v>
      </c>
      <c r="FY213" s="675">
        <f t="shared" si="7462"/>
        <v>0</v>
      </c>
      <c r="FZ213" s="549">
        <f t="shared" ref="FZ213:GI213" si="7463">SUM(FZ544)+FZ350</f>
        <v>0</v>
      </c>
      <c r="GA213" s="675">
        <f t="shared" si="7463"/>
        <v>0</v>
      </c>
      <c r="GB213" s="549">
        <f t="shared" si="7463"/>
        <v>0</v>
      </c>
      <c r="GC213" s="675">
        <f t="shared" si="7463"/>
        <v>0</v>
      </c>
      <c r="GD213" s="549">
        <f t="shared" si="7463"/>
        <v>0</v>
      </c>
      <c r="GE213" s="675">
        <f t="shared" si="7463"/>
        <v>0</v>
      </c>
      <c r="GF213" s="549">
        <f t="shared" si="7463"/>
        <v>0</v>
      </c>
      <c r="GG213" s="675">
        <f t="shared" si="7463"/>
        <v>0</v>
      </c>
      <c r="GH213" s="549">
        <f t="shared" si="7463"/>
        <v>0</v>
      </c>
      <c r="GI213" s="675">
        <f t="shared" si="7463"/>
        <v>0</v>
      </c>
      <c r="GJ213" s="549">
        <f t="shared" si="7462"/>
        <v>0</v>
      </c>
      <c r="GK213" s="675">
        <f t="shared" si="7462"/>
        <v>0</v>
      </c>
      <c r="GL213" s="549">
        <f t="shared" ref="GL213:GM213" si="7464">SUM(GL544)+GL350</f>
        <v>0</v>
      </c>
      <c r="GM213" s="675">
        <f t="shared" si="7464"/>
        <v>0</v>
      </c>
      <c r="GN213" s="549">
        <f t="shared" ref="GN213:GO213" si="7465">SUM(GN544)+GN350</f>
        <v>0</v>
      </c>
      <c r="GO213" s="675">
        <f t="shared" si="7465"/>
        <v>0</v>
      </c>
      <c r="GP213" s="74">
        <f t="shared" ref="GP213:GQ213" si="7466">SUM(GP544)+GP350</f>
        <v>22057</v>
      </c>
      <c r="GQ213" s="675">
        <f t="shared" si="7466"/>
        <v>0</v>
      </c>
      <c r="GR213" s="74">
        <f t="shared" ref="GR213:HJ213" si="7467">SUM(GR544)+GR350</f>
        <v>112057</v>
      </c>
      <c r="GS213" s="74">
        <f t="shared" si="7467"/>
        <v>112057</v>
      </c>
      <c r="GT213" s="74">
        <f t="shared" si="7467"/>
        <v>112057</v>
      </c>
      <c r="GU213" s="74">
        <f t="shared" si="7467"/>
        <v>25000</v>
      </c>
      <c r="GV213" s="74">
        <f t="shared" si="7467"/>
        <v>0</v>
      </c>
      <c r="GW213" s="549">
        <f t="shared" si="7467"/>
        <v>25000</v>
      </c>
      <c r="GX213" s="549">
        <f t="shared" si="7467"/>
        <v>0</v>
      </c>
      <c r="GY213" s="74">
        <f t="shared" si="7467"/>
        <v>20000</v>
      </c>
      <c r="GZ213" s="74">
        <f t="shared" si="7467"/>
        <v>0</v>
      </c>
      <c r="HA213" s="74">
        <f t="shared" si="7467"/>
        <v>0</v>
      </c>
      <c r="HB213" s="74">
        <f t="shared" si="7467"/>
        <v>20000</v>
      </c>
      <c r="HC213" s="74">
        <f t="shared" si="7467"/>
        <v>0</v>
      </c>
      <c r="HD213" s="74">
        <f t="shared" si="7467"/>
        <v>0</v>
      </c>
      <c r="HE213" s="74">
        <f t="shared" si="7467"/>
        <v>0</v>
      </c>
      <c r="HF213" s="74">
        <f t="shared" si="7467"/>
        <v>0</v>
      </c>
      <c r="HG213" s="74">
        <f t="shared" si="7467"/>
        <v>112057</v>
      </c>
      <c r="HH213" s="74">
        <f t="shared" si="7467"/>
        <v>25000</v>
      </c>
      <c r="HI213" s="74">
        <f t="shared" si="7467"/>
        <v>0</v>
      </c>
      <c r="HJ213" s="74">
        <f t="shared" si="7467"/>
        <v>0</v>
      </c>
      <c r="HK213" s="74">
        <f t="shared" ref="HK213:IP213" si="7468">SUM(HK544)+HK350</f>
        <v>0</v>
      </c>
      <c r="HL213" s="74">
        <f t="shared" si="7468"/>
        <v>25000</v>
      </c>
      <c r="HM213" s="74">
        <f t="shared" si="7468"/>
        <v>0</v>
      </c>
      <c r="HN213" s="74">
        <f t="shared" si="7468"/>
        <v>0</v>
      </c>
      <c r="HO213" s="74">
        <f t="shared" si="7468"/>
        <v>0</v>
      </c>
      <c r="HP213" s="74">
        <f t="shared" si="7468"/>
        <v>20000</v>
      </c>
      <c r="HQ213" s="74">
        <f t="shared" si="7468"/>
        <v>0</v>
      </c>
      <c r="HR213" s="74">
        <f t="shared" si="7468"/>
        <v>0</v>
      </c>
      <c r="HS213" s="74">
        <f t="shared" si="7468"/>
        <v>0</v>
      </c>
      <c r="HT213" s="74">
        <f t="shared" si="7468"/>
        <v>0</v>
      </c>
      <c r="HU213" s="74">
        <f t="shared" si="7468"/>
        <v>0</v>
      </c>
      <c r="HV213" s="74">
        <f t="shared" si="7468"/>
        <v>16000</v>
      </c>
      <c r="HW213" s="74">
        <f t="shared" si="7468"/>
        <v>0</v>
      </c>
      <c r="HX213" s="74">
        <f t="shared" si="7468"/>
        <v>13500</v>
      </c>
      <c r="HY213" s="74">
        <f t="shared" si="7468"/>
        <v>0</v>
      </c>
      <c r="HZ213" s="74">
        <f t="shared" si="7468"/>
        <v>12557</v>
      </c>
      <c r="IA213" s="74">
        <f t="shared" si="7468"/>
        <v>0</v>
      </c>
      <c r="IB213" s="74">
        <f t="shared" si="7468"/>
        <v>0</v>
      </c>
      <c r="IC213" s="74">
        <f t="shared" si="7468"/>
        <v>0</v>
      </c>
      <c r="ID213" s="74">
        <f t="shared" si="7468"/>
        <v>0</v>
      </c>
      <c r="IE213" s="792">
        <f t="shared" si="7468"/>
        <v>0</v>
      </c>
      <c r="IF213" s="841">
        <f t="shared" si="7468"/>
        <v>110390.16</v>
      </c>
      <c r="IG213" s="263">
        <f t="shared" si="7468"/>
        <v>110390.16</v>
      </c>
      <c r="IH213" s="842">
        <f t="shared" si="7468"/>
        <v>110390.16</v>
      </c>
      <c r="II213" s="155">
        <f t="shared" si="7468"/>
        <v>234.8</v>
      </c>
      <c r="IJ213" s="74">
        <f t="shared" si="7468"/>
        <v>234.8</v>
      </c>
      <c r="IK213" s="74">
        <f t="shared" si="7468"/>
        <v>234.8</v>
      </c>
      <c r="IL213" s="74">
        <f t="shared" si="7468"/>
        <v>24249.4</v>
      </c>
      <c r="IM213" s="74">
        <f t="shared" si="7468"/>
        <v>24249.4</v>
      </c>
      <c r="IN213" s="74">
        <f t="shared" si="7468"/>
        <v>24249.4</v>
      </c>
      <c r="IO213" s="74">
        <f t="shared" si="7468"/>
        <v>2643.9300000000003</v>
      </c>
      <c r="IP213" s="74">
        <f t="shared" si="7468"/>
        <v>2643.9300000000003</v>
      </c>
      <c r="IQ213" s="74">
        <f t="shared" ref="IQ213:JT213" si="7469">SUM(IQ544)+IQ350</f>
        <v>2643.9300000000003</v>
      </c>
      <c r="IR213" s="74">
        <f t="shared" si="7469"/>
        <v>1985</v>
      </c>
      <c r="IS213" s="74">
        <f t="shared" si="7469"/>
        <v>1985</v>
      </c>
      <c r="IT213" s="74">
        <f t="shared" si="7469"/>
        <v>1985</v>
      </c>
      <c r="IU213" s="74">
        <f t="shared" si="7469"/>
        <v>14923.7</v>
      </c>
      <c r="IV213" s="74">
        <f t="shared" si="7469"/>
        <v>14923.7</v>
      </c>
      <c r="IW213" s="74">
        <f t="shared" si="7469"/>
        <v>14923.7</v>
      </c>
      <c r="IX213" s="74">
        <f t="shared" si="7469"/>
        <v>6928.5199999999968</v>
      </c>
      <c r="IY213" s="74">
        <f t="shared" si="7469"/>
        <v>6928.5199999999968</v>
      </c>
      <c r="IZ213" s="74">
        <f t="shared" si="7469"/>
        <v>6928.5199999999968</v>
      </c>
      <c r="JA213" s="74">
        <f t="shared" si="7469"/>
        <v>8217.989999999998</v>
      </c>
      <c r="JB213" s="74">
        <f t="shared" si="7469"/>
        <v>8217.989999999998</v>
      </c>
      <c r="JC213" s="74">
        <f t="shared" si="7469"/>
        <v>8217.989999999998</v>
      </c>
      <c r="JD213" s="74">
        <f t="shared" si="7469"/>
        <v>12784.080000000002</v>
      </c>
      <c r="JE213" s="74">
        <f t="shared" si="7469"/>
        <v>12784.080000000002</v>
      </c>
      <c r="JF213" s="74">
        <f t="shared" si="7469"/>
        <v>12784.080000000002</v>
      </c>
      <c r="JG213" s="74">
        <f t="shared" si="7469"/>
        <v>14335</v>
      </c>
      <c r="JH213" s="74">
        <f t="shared" si="7469"/>
        <v>14335</v>
      </c>
      <c r="JI213" s="74">
        <f t="shared" si="7469"/>
        <v>14335</v>
      </c>
      <c r="JJ213" s="74">
        <f t="shared" si="7469"/>
        <v>24087.740000000005</v>
      </c>
      <c r="JK213" s="74">
        <f t="shared" si="7469"/>
        <v>24087.740000000005</v>
      </c>
      <c r="JL213" s="74">
        <f t="shared" si="7469"/>
        <v>24087.740000000005</v>
      </c>
      <c r="JM213" s="74">
        <f t="shared" si="7469"/>
        <v>0</v>
      </c>
      <c r="JN213" s="74">
        <f t="shared" si="7469"/>
        <v>0</v>
      </c>
      <c r="JO213" s="74">
        <f t="shared" si="7469"/>
        <v>0</v>
      </c>
      <c r="JP213" s="74">
        <f t="shared" si="7469"/>
        <v>0</v>
      </c>
      <c r="JQ213" s="74">
        <f t="shared" si="7469"/>
        <v>0</v>
      </c>
      <c r="JR213" s="74">
        <f t="shared" si="7469"/>
        <v>0</v>
      </c>
      <c r="JS213" s="74">
        <f t="shared" si="7469"/>
        <v>1666.8399999999965</v>
      </c>
      <c r="JT213" s="102">
        <f t="shared" si="7469"/>
        <v>1666.8399999999965</v>
      </c>
      <c r="JU213" s="671"/>
      <c r="JV213" s="492"/>
      <c r="JW213" s="490"/>
      <c r="JX213" s="549">
        <f>SUM(JX544)+JX350</f>
        <v>112057</v>
      </c>
      <c r="JY213" s="549">
        <f>SUM(JY544)+JY350</f>
        <v>0</v>
      </c>
      <c r="JZ213" s="581">
        <f t="shared" ref="JZ213:JZ283" si="7470">GP213</f>
        <v>22057</v>
      </c>
      <c r="KA213" s="581">
        <f t="shared" ref="KA213:KA283" si="7471">GQ213</f>
        <v>0</v>
      </c>
      <c r="KB213" s="549">
        <f>SUM(KB544)+KB350</f>
        <v>112057</v>
      </c>
      <c r="KC213" s="709">
        <f t="shared" si="7396"/>
        <v>0</v>
      </c>
      <c r="KD213" s="37"/>
      <c r="KE213" s="37"/>
      <c r="KF213" s="37"/>
      <c r="KG213" s="37"/>
      <c r="KH213" s="37"/>
      <c r="KI213" s="37"/>
      <c r="KJ213" s="37"/>
      <c r="KK213" s="37"/>
    </row>
    <row r="214" spans="1:297" s="8" customFormat="1" ht="12.75" hidden="1" customHeight="1">
      <c r="A214" s="262" t="s">
        <v>1175</v>
      </c>
      <c r="B214" s="72"/>
      <c r="C214" s="74">
        <f>C545</f>
        <v>0</v>
      </c>
      <c r="D214" s="549">
        <f t="shared" ref="D214:E214" si="7472">D545</f>
        <v>0</v>
      </c>
      <c r="E214" s="675">
        <f t="shared" si="7472"/>
        <v>0</v>
      </c>
      <c r="F214" s="549">
        <f t="shared" ref="F214:G214" si="7473">F545</f>
        <v>0</v>
      </c>
      <c r="G214" s="675">
        <f t="shared" si="7473"/>
        <v>0</v>
      </c>
      <c r="H214" s="549">
        <f t="shared" ref="H214:I214" si="7474">H545</f>
        <v>0</v>
      </c>
      <c r="I214" s="675">
        <f t="shared" si="7474"/>
        <v>0</v>
      </c>
      <c r="J214" s="549">
        <f t="shared" ref="J214:K214" si="7475">J545</f>
        <v>0</v>
      </c>
      <c r="K214" s="675">
        <f t="shared" si="7475"/>
        <v>0</v>
      </c>
      <c r="L214" s="549">
        <f t="shared" ref="L214:M214" si="7476">L545</f>
        <v>0</v>
      </c>
      <c r="M214" s="675">
        <f t="shared" si="7476"/>
        <v>0</v>
      </c>
      <c r="N214" s="549">
        <f t="shared" ref="N214:O214" si="7477">N545</f>
        <v>0</v>
      </c>
      <c r="O214" s="675">
        <f t="shared" si="7477"/>
        <v>0</v>
      </c>
      <c r="P214" s="549">
        <f t="shared" ref="P214:Q214" si="7478">P545</f>
        <v>0</v>
      </c>
      <c r="Q214" s="675">
        <f t="shared" si="7478"/>
        <v>0</v>
      </c>
      <c r="R214" s="549">
        <f t="shared" ref="R214:S214" si="7479">R545</f>
        <v>0</v>
      </c>
      <c r="S214" s="675">
        <f t="shared" si="7479"/>
        <v>0</v>
      </c>
      <c r="T214" s="549">
        <f t="shared" ref="T214:U214" si="7480">T545</f>
        <v>0</v>
      </c>
      <c r="U214" s="675">
        <f t="shared" si="7480"/>
        <v>0</v>
      </c>
      <c r="V214" s="549">
        <f t="shared" ref="V214:W214" si="7481">V545</f>
        <v>0</v>
      </c>
      <c r="W214" s="675">
        <f t="shared" si="7481"/>
        <v>0</v>
      </c>
      <c r="X214" s="549">
        <f t="shared" ref="X214:Y214" si="7482">X545</f>
        <v>0</v>
      </c>
      <c r="Y214" s="675">
        <f t="shared" si="7482"/>
        <v>0</v>
      </c>
      <c r="Z214" s="549">
        <f t="shared" ref="Z214:AA214" si="7483">Z545</f>
        <v>0</v>
      </c>
      <c r="AA214" s="675">
        <f t="shared" si="7483"/>
        <v>0</v>
      </c>
      <c r="AB214" s="549">
        <f t="shared" ref="AB214:AC214" si="7484">AB545</f>
        <v>0</v>
      </c>
      <c r="AC214" s="675">
        <f t="shared" si="7484"/>
        <v>0</v>
      </c>
      <c r="AD214" s="549">
        <f t="shared" ref="AD214:AE214" si="7485">AD545</f>
        <v>0</v>
      </c>
      <c r="AE214" s="675">
        <f t="shared" si="7485"/>
        <v>0</v>
      </c>
      <c r="AF214" s="549">
        <f t="shared" ref="AF214:AG214" si="7486">AF545</f>
        <v>0</v>
      </c>
      <c r="AG214" s="675">
        <f t="shared" si="7486"/>
        <v>0</v>
      </c>
      <c r="AH214" s="549">
        <f t="shared" ref="AH214:AI214" si="7487">AH545</f>
        <v>0</v>
      </c>
      <c r="AI214" s="675">
        <f t="shared" si="7487"/>
        <v>0</v>
      </c>
      <c r="AJ214" s="549">
        <f t="shared" ref="AJ214:AK214" si="7488">AJ545</f>
        <v>0</v>
      </c>
      <c r="AK214" s="675">
        <f t="shared" si="7488"/>
        <v>0</v>
      </c>
      <c r="AL214" s="549">
        <f t="shared" ref="AL214:AM214" si="7489">AL545</f>
        <v>0</v>
      </c>
      <c r="AM214" s="675">
        <f t="shared" si="7489"/>
        <v>0</v>
      </c>
      <c r="AN214" s="549">
        <f t="shared" ref="AN214:AO214" si="7490">AN545</f>
        <v>0</v>
      </c>
      <c r="AO214" s="675">
        <f t="shared" si="7490"/>
        <v>0</v>
      </c>
      <c r="AP214" s="549">
        <f t="shared" ref="AP214:AQ214" si="7491">AP545</f>
        <v>0</v>
      </c>
      <c r="AQ214" s="675">
        <f t="shared" si="7491"/>
        <v>0</v>
      </c>
      <c r="AR214" s="549">
        <f t="shared" ref="AR214:AS214" si="7492">AR545</f>
        <v>0</v>
      </c>
      <c r="AS214" s="675">
        <f t="shared" si="7492"/>
        <v>0</v>
      </c>
      <c r="AT214" s="549">
        <f t="shared" ref="AT214:AU214" si="7493">AT545</f>
        <v>0</v>
      </c>
      <c r="AU214" s="675">
        <f t="shared" si="7493"/>
        <v>0</v>
      </c>
      <c r="AV214" s="549">
        <f t="shared" ref="AV214:AW214" si="7494">AV545</f>
        <v>0</v>
      </c>
      <c r="AW214" s="675">
        <f t="shared" si="7494"/>
        <v>0</v>
      </c>
      <c r="AX214" s="549">
        <f t="shared" ref="AX214:AY214" si="7495">AX545</f>
        <v>0</v>
      </c>
      <c r="AY214" s="675">
        <f t="shared" si="7495"/>
        <v>0</v>
      </c>
      <c r="AZ214" s="549">
        <f t="shared" ref="AZ214:BQ214" si="7496">AZ545</f>
        <v>0</v>
      </c>
      <c r="BA214" s="675">
        <f t="shared" si="7496"/>
        <v>0</v>
      </c>
      <c r="BB214" s="549">
        <f t="shared" si="7496"/>
        <v>0</v>
      </c>
      <c r="BC214" s="675">
        <f t="shared" si="7496"/>
        <v>0</v>
      </c>
      <c r="BD214" s="549">
        <f t="shared" si="7496"/>
        <v>0</v>
      </c>
      <c r="BE214" s="675">
        <f t="shared" si="7496"/>
        <v>0</v>
      </c>
      <c r="BF214" s="549">
        <f t="shared" si="7496"/>
        <v>0</v>
      </c>
      <c r="BG214" s="675">
        <f t="shared" si="7496"/>
        <v>0</v>
      </c>
      <c r="BH214" s="549">
        <f t="shared" si="7496"/>
        <v>0</v>
      </c>
      <c r="BI214" s="675">
        <f t="shared" si="7496"/>
        <v>0</v>
      </c>
      <c r="BJ214" s="549">
        <f t="shared" si="7496"/>
        <v>0</v>
      </c>
      <c r="BK214" s="675">
        <f t="shared" si="7496"/>
        <v>0</v>
      </c>
      <c r="BL214" s="549">
        <f t="shared" si="7496"/>
        <v>0</v>
      </c>
      <c r="BM214" s="675">
        <f t="shared" si="7496"/>
        <v>0</v>
      </c>
      <c r="BN214" s="549">
        <f t="shared" si="7496"/>
        <v>0</v>
      </c>
      <c r="BO214" s="675">
        <f t="shared" si="7496"/>
        <v>0</v>
      </c>
      <c r="BP214" s="549">
        <f t="shared" si="7496"/>
        <v>0</v>
      </c>
      <c r="BQ214" s="675">
        <f t="shared" si="7496"/>
        <v>0</v>
      </c>
      <c r="BR214" s="549">
        <f t="shared" ref="BR214:BS214" si="7497">BR545</f>
        <v>0</v>
      </c>
      <c r="BS214" s="675">
        <f t="shared" si="7497"/>
        <v>0</v>
      </c>
      <c r="BT214" s="549">
        <f t="shared" ref="BT214:BU214" si="7498">BT545</f>
        <v>0</v>
      </c>
      <c r="BU214" s="675">
        <f t="shared" si="7498"/>
        <v>0</v>
      </c>
      <c r="BV214" s="549">
        <f t="shared" ref="BV214:BW214" si="7499">BV545</f>
        <v>0</v>
      </c>
      <c r="BW214" s="675">
        <f t="shared" si="7499"/>
        <v>0</v>
      </c>
      <c r="BX214" s="549">
        <f t="shared" ref="BX214:BY214" si="7500">BX545</f>
        <v>0</v>
      </c>
      <c r="BY214" s="675">
        <f t="shared" si="7500"/>
        <v>0</v>
      </c>
      <c r="BZ214" s="549">
        <f t="shared" ref="BZ214:CA214" si="7501">BZ545</f>
        <v>0</v>
      </c>
      <c r="CA214" s="675">
        <f t="shared" si="7501"/>
        <v>0</v>
      </c>
      <c r="CB214" s="549">
        <f t="shared" ref="CB214:EE214" si="7502">CB545</f>
        <v>0</v>
      </c>
      <c r="CC214" s="675">
        <f t="shared" si="7502"/>
        <v>0</v>
      </c>
      <c r="CD214" s="549">
        <f t="shared" si="7502"/>
        <v>0</v>
      </c>
      <c r="CE214" s="675">
        <f t="shared" si="7502"/>
        <v>0</v>
      </c>
      <c r="CF214" s="549">
        <f t="shared" si="7502"/>
        <v>0</v>
      </c>
      <c r="CG214" s="675">
        <f t="shared" si="7502"/>
        <v>0</v>
      </c>
      <c r="CH214" s="549">
        <f t="shared" si="7502"/>
        <v>0</v>
      </c>
      <c r="CI214" s="675">
        <f t="shared" si="7502"/>
        <v>0</v>
      </c>
      <c r="CJ214" s="549">
        <f t="shared" si="7502"/>
        <v>0</v>
      </c>
      <c r="CK214" s="675">
        <f t="shared" si="7502"/>
        <v>0</v>
      </c>
      <c r="CL214" s="549">
        <f t="shared" si="7502"/>
        <v>0</v>
      </c>
      <c r="CM214" s="675">
        <f t="shared" si="7502"/>
        <v>0</v>
      </c>
      <c r="CN214" s="549">
        <f t="shared" si="7502"/>
        <v>0</v>
      </c>
      <c r="CO214" s="675">
        <f t="shared" si="7502"/>
        <v>0</v>
      </c>
      <c r="CP214" s="549">
        <f t="shared" si="7502"/>
        <v>0</v>
      </c>
      <c r="CQ214" s="675">
        <f t="shared" si="7502"/>
        <v>0</v>
      </c>
      <c r="CR214" s="549">
        <f t="shared" si="7502"/>
        <v>0</v>
      </c>
      <c r="CS214" s="675">
        <f t="shared" si="7502"/>
        <v>0</v>
      </c>
      <c r="CT214" s="549">
        <f t="shared" si="7502"/>
        <v>0</v>
      </c>
      <c r="CU214" s="675">
        <f t="shared" si="7502"/>
        <v>0</v>
      </c>
      <c r="CV214" s="549">
        <f t="shared" si="7502"/>
        <v>0</v>
      </c>
      <c r="CW214" s="675">
        <f t="shared" si="7502"/>
        <v>0</v>
      </c>
      <c r="CX214" s="549">
        <f t="shared" si="7502"/>
        <v>0</v>
      </c>
      <c r="CY214" s="675">
        <f t="shared" si="7502"/>
        <v>0</v>
      </c>
      <c r="CZ214" s="549">
        <f t="shared" si="7502"/>
        <v>0</v>
      </c>
      <c r="DA214" s="675">
        <f t="shared" si="7502"/>
        <v>0</v>
      </c>
      <c r="DB214" s="549">
        <f t="shared" si="7502"/>
        <v>0</v>
      </c>
      <c r="DC214" s="675">
        <f t="shared" si="7502"/>
        <v>0</v>
      </c>
      <c r="DD214" s="549">
        <f t="shared" si="7502"/>
        <v>0</v>
      </c>
      <c r="DE214" s="675">
        <f t="shared" si="7502"/>
        <v>0</v>
      </c>
      <c r="DF214" s="549">
        <f t="shared" si="7502"/>
        <v>0</v>
      </c>
      <c r="DG214" s="675">
        <f t="shared" si="7502"/>
        <v>0</v>
      </c>
      <c r="DH214" s="549">
        <f t="shared" si="7502"/>
        <v>0</v>
      </c>
      <c r="DI214" s="675">
        <f t="shared" si="7502"/>
        <v>0</v>
      </c>
      <c r="DJ214" s="549">
        <f t="shared" si="7502"/>
        <v>0</v>
      </c>
      <c r="DK214" s="675">
        <f t="shared" si="7502"/>
        <v>0</v>
      </c>
      <c r="DL214" s="549">
        <f t="shared" si="7502"/>
        <v>0</v>
      </c>
      <c r="DM214" s="675">
        <f t="shared" si="7502"/>
        <v>0</v>
      </c>
      <c r="DN214" s="549">
        <f t="shared" si="7502"/>
        <v>0</v>
      </c>
      <c r="DO214" s="675">
        <f t="shared" si="7502"/>
        <v>0</v>
      </c>
      <c r="DP214" s="549">
        <f t="shared" si="7502"/>
        <v>0</v>
      </c>
      <c r="DQ214" s="675">
        <f t="shared" si="7502"/>
        <v>0</v>
      </c>
      <c r="DR214" s="549">
        <f t="shared" si="7502"/>
        <v>0</v>
      </c>
      <c r="DS214" s="675">
        <f t="shared" si="7502"/>
        <v>0</v>
      </c>
      <c r="DT214" s="549">
        <f t="shared" si="7502"/>
        <v>0</v>
      </c>
      <c r="DU214" s="675">
        <f t="shared" si="7502"/>
        <v>0</v>
      </c>
      <c r="DV214" s="549">
        <f t="shared" si="7502"/>
        <v>0</v>
      </c>
      <c r="DW214" s="675">
        <f t="shared" si="7502"/>
        <v>0</v>
      </c>
      <c r="DX214" s="549">
        <f t="shared" si="7502"/>
        <v>0</v>
      </c>
      <c r="DY214" s="675">
        <f t="shared" si="7502"/>
        <v>0</v>
      </c>
      <c r="DZ214" s="549">
        <f t="shared" si="7502"/>
        <v>0</v>
      </c>
      <c r="EA214" s="675">
        <f t="shared" si="7502"/>
        <v>0</v>
      </c>
      <c r="EB214" s="549">
        <f t="shared" si="7502"/>
        <v>0</v>
      </c>
      <c r="EC214" s="675">
        <f t="shared" si="7502"/>
        <v>0</v>
      </c>
      <c r="ED214" s="549">
        <f t="shared" si="7502"/>
        <v>0</v>
      </c>
      <c r="EE214" s="675">
        <f t="shared" si="7502"/>
        <v>0</v>
      </c>
      <c r="EF214" s="549">
        <f t="shared" ref="EF214:EG214" si="7503">EF545</f>
        <v>0</v>
      </c>
      <c r="EG214" s="675">
        <f t="shared" si="7503"/>
        <v>0</v>
      </c>
      <c r="EH214" s="549">
        <f t="shared" ref="EH214:HW214" si="7504">EH545</f>
        <v>0</v>
      </c>
      <c r="EI214" s="675">
        <f t="shared" si="7504"/>
        <v>0</v>
      </c>
      <c r="EJ214" s="549">
        <f t="shared" si="7504"/>
        <v>0</v>
      </c>
      <c r="EK214" s="675">
        <f t="shared" si="7504"/>
        <v>0</v>
      </c>
      <c r="EL214" s="549">
        <f t="shared" si="7504"/>
        <v>0</v>
      </c>
      <c r="EM214" s="675">
        <f t="shared" si="7504"/>
        <v>0</v>
      </c>
      <c r="EN214" s="549">
        <f t="shared" si="7504"/>
        <v>0</v>
      </c>
      <c r="EO214" s="675">
        <f t="shared" si="7504"/>
        <v>0</v>
      </c>
      <c r="EP214" s="549">
        <f t="shared" si="7504"/>
        <v>0</v>
      </c>
      <c r="EQ214" s="675">
        <f t="shared" si="7504"/>
        <v>0</v>
      </c>
      <c r="ER214" s="549">
        <f t="shared" si="7504"/>
        <v>0</v>
      </c>
      <c r="ES214" s="675">
        <f t="shared" si="7504"/>
        <v>0</v>
      </c>
      <c r="ET214" s="549">
        <f t="shared" si="7504"/>
        <v>0</v>
      </c>
      <c r="EU214" s="675">
        <f t="shared" si="7504"/>
        <v>0</v>
      </c>
      <c r="EV214" s="549">
        <f t="shared" si="7504"/>
        <v>0</v>
      </c>
      <c r="EW214" s="675">
        <f t="shared" si="7504"/>
        <v>0</v>
      </c>
      <c r="EX214" s="549">
        <f t="shared" si="7504"/>
        <v>0</v>
      </c>
      <c r="EY214" s="675">
        <f t="shared" si="7504"/>
        <v>0</v>
      </c>
      <c r="EZ214" s="549">
        <f t="shared" si="7504"/>
        <v>0</v>
      </c>
      <c r="FA214" s="675">
        <f t="shared" si="7504"/>
        <v>0</v>
      </c>
      <c r="FB214" s="549">
        <f t="shared" si="7504"/>
        <v>0</v>
      </c>
      <c r="FC214" s="675">
        <f t="shared" si="7504"/>
        <v>0</v>
      </c>
      <c r="FD214" s="549">
        <f t="shared" si="7504"/>
        <v>0</v>
      </c>
      <c r="FE214" s="675">
        <f t="shared" si="7504"/>
        <v>0</v>
      </c>
      <c r="FF214" s="549">
        <f t="shared" si="7504"/>
        <v>0</v>
      </c>
      <c r="FG214" s="675">
        <f t="shared" si="7504"/>
        <v>0</v>
      </c>
      <c r="FH214" s="549">
        <f t="shared" si="7504"/>
        <v>0</v>
      </c>
      <c r="FI214" s="675">
        <f t="shared" si="7504"/>
        <v>0</v>
      </c>
      <c r="FJ214" s="549">
        <f t="shared" si="7504"/>
        <v>0</v>
      </c>
      <c r="FK214" s="675">
        <f t="shared" si="7504"/>
        <v>0</v>
      </c>
      <c r="FL214" s="549">
        <f t="shared" ref="FL214:FM214" si="7505">FL545</f>
        <v>0</v>
      </c>
      <c r="FM214" s="675">
        <f t="shared" si="7505"/>
        <v>0</v>
      </c>
      <c r="FN214" s="549">
        <f t="shared" ref="FN214:FO214" si="7506">FN545</f>
        <v>0</v>
      </c>
      <c r="FO214" s="675">
        <f t="shared" si="7506"/>
        <v>0</v>
      </c>
      <c r="FP214" s="549">
        <f t="shared" ref="FP214:FQ214" si="7507">FP545</f>
        <v>0</v>
      </c>
      <c r="FQ214" s="675">
        <f t="shared" si="7507"/>
        <v>0</v>
      </c>
      <c r="FR214" s="549">
        <f t="shared" ref="FR214:FS214" si="7508">FR545</f>
        <v>0</v>
      </c>
      <c r="FS214" s="675">
        <f t="shared" si="7508"/>
        <v>0</v>
      </c>
      <c r="FT214" s="549">
        <f t="shared" ref="FT214:FU214" si="7509">FT545</f>
        <v>0</v>
      </c>
      <c r="FU214" s="675">
        <f t="shared" si="7509"/>
        <v>0</v>
      </c>
      <c r="FV214" s="549">
        <f t="shared" ref="FV214:GK214" si="7510">FV545</f>
        <v>0</v>
      </c>
      <c r="FW214" s="675">
        <f t="shared" si="7510"/>
        <v>0</v>
      </c>
      <c r="FX214" s="549">
        <f t="shared" si="7510"/>
        <v>0</v>
      </c>
      <c r="FY214" s="675">
        <f t="shared" si="7510"/>
        <v>0</v>
      </c>
      <c r="FZ214" s="549">
        <f t="shared" ref="FZ214:GI214" si="7511">FZ545</f>
        <v>0</v>
      </c>
      <c r="GA214" s="675">
        <f t="shared" si="7511"/>
        <v>0</v>
      </c>
      <c r="GB214" s="549">
        <f t="shared" si="7511"/>
        <v>0</v>
      </c>
      <c r="GC214" s="675">
        <f t="shared" si="7511"/>
        <v>0</v>
      </c>
      <c r="GD214" s="549">
        <f t="shared" si="7511"/>
        <v>0</v>
      </c>
      <c r="GE214" s="675">
        <f t="shared" si="7511"/>
        <v>0</v>
      </c>
      <c r="GF214" s="549">
        <f t="shared" si="7511"/>
        <v>0</v>
      </c>
      <c r="GG214" s="675">
        <f t="shared" si="7511"/>
        <v>0</v>
      </c>
      <c r="GH214" s="549">
        <f t="shared" si="7511"/>
        <v>0</v>
      </c>
      <c r="GI214" s="675">
        <f t="shared" si="7511"/>
        <v>0</v>
      </c>
      <c r="GJ214" s="549">
        <f t="shared" si="7510"/>
        <v>0</v>
      </c>
      <c r="GK214" s="675">
        <f t="shared" si="7510"/>
        <v>0</v>
      </c>
      <c r="GL214" s="549">
        <f t="shared" ref="GL214:GM214" si="7512">GL545</f>
        <v>0</v>
      </c>
      <c r="GM214" s="675">
        <f t="shared" si="7512"/>
        <v>0</v>
      </c>
      <c r="GN214" s="549">
        <f t="shared" ref="GN214:GO214" si="7513">GN545</f>
        <v>0</v>
      </c>
      <c r="GO214" s="675">
        <f t="shared" si="7513"/>
        <v>0</v>
      </c>
      <c r="GP214" s="74">
        <f t="shared" si="7504"/>
        <v>0</v>
      </c>
      <c r="GQ214" s="675">
        <f t="shared" si="7504"/>
        <v>0</v>
      </c>
      <c r="GR214" s="74">
        <f t="shared" si="7504"/>
        <v>0</v>
      </c>
      <c r="GS214" s="74">
        <f t="shared" si="7504"/>
        <v>0</v>
      </c>
      <c r="GT214" s="74">
        <f t="shared" si="7504"/>
        <v>0</v>
      </c>
      <c r="GU214" s="74">
        <f t="shared" si="7504"/>
        <v>0</v>
      </c>
      <c r="GV214" s="74">
        <f t="shared" si="7504"/>
        <v>0</v>
      </c>
      <c r="GW214" s="549">
        <f t="shared" si="7504"/>
        <v>0</v>
      </c>
      <c r="GX214" s="549">
        <f t="shared" si="7504"/>
        <v>0</v>
      </c>
      <c r="GY214" s="74">
        <f t="shared" si="7504"/>
        <v>0</v>
      </c>
      <c r="GZ214" s="74">
        <f t="shared" si="7504"/>
        <v>0</v>
      </c>
      <c r="HA214" s="74">
        <f t="shared" si="7504"/>
        <v>0</v>
      </c>
      <c r="HB214" s="74">
        <f t="shared" si="7504"/>
        <v>0</v>
      </c>
      <c r="HC214" s="74">
        <f t="shared" si="7504"/>
        <v>0</v>
      </c>
      <c r="HD214" s="74">
        <f t="shared" si="7504"/>
        <v>0</v>
      </c>
      <c r="HE214" s="74">
        <f t="shared" si="7504"/>
        <v>0</v>
      </c>
      <c r="HF214" s="74">
        <f t="shared" si="7504"/>
        <v>0</v>
      </c>
      <c r="HG214" s="74">
        <f t="shared" si="7504"/>
        <v>0</v>
      </c>
      <c r="HH214" s="74">
        <f t="shared" si="7504"/>
        <v>0</v>
      </c>
      <c r="HI214" s="74">
        <f t="shared" si="7504"/>
        <v>0</v>
      </c>
      <c r="HJ214" s="74">
        <f t="shared" si="7504"/>
        <v>0</v>
      </c>
      <c r="HK214" s="74">
        <f t="shared" si="7504"/>
        <v>0</v>
      </c>
      <c r="HL214" s="74">
        <f t="shared" si="7504"/>
        <v>0</v>
      </c>
      <c r="HM214" s="74">
        <f t="shared" si="7504"/>
        <v>0</v>
      </c>
      <c r="HN214" s="74">
        <f t="shared" si="7504"/>
        <v>0</v>
      </c>
      <c r="HO214" s="74">
        <f t="shared" si="7504"/>
        <v>0</v>
      </c>
      <c r="HP214" s="74">
        <f t="shared" si="7504"/>
        <v>0</v>
      </c>
      <c r="HQ214" s="74">
        <f t="shared" si="7504"/>
        <v>0</v>
      </c>
      <c r="HR214" s="74">
        <f t="shared" si="7504"/>
        <v>0</v>
      </c>
      <c r="HS214" s="74">
        <f t="shared" si="7504"/>
        <v>0</v>
      </c>
      <c r="HT214" s="74">
        <f t="shared" si="7504"/>
        <v>0</v>
      </c>
      <c r="HU214" s="74">
        <f t="shared" si="7504"/>
        <v>0</v>
      </c>
      <c r="HV214" s="74">
        <f t="shared" si="7504"/>
        <v>0</v>
      </c>
      <c r="HW214" s="74">
        <f t="shared" si="7504"/>
        <v>0</v>
      </c>
      <c r="HX214" s="74">
        <f t="shared" ref="HX214:KC214" si="7514">HX545</f>
        <v>0</v>
      </c>
      <c r="HY214" s="74">
        <f t="shared" si="7514"/>
        <v>0</v>
      </c>
      <c r="HZ214" s="74">
        <f t="shared" si="7514"/>
        <v>0</v>
      </c>
      <c r="IA214" s="74">
        <f t="shared" si="7514"/>
        <v>0</v>
      </c>
      <c r="IB214" s="74">
        <f t="shared" si="7514"/>
        <v>0</v>
      </c>
      <c r="IC214" s="74">
        <f t="shared" si="7514"/>
        <v>0</v>
      </c>
      <c r="ID214" s="74">
        <f t="shared" si="7514"/>
        <v>0</v>
      </c>
      <c r="IE214" s="792">
        <f t="shared" si="7514"/>
        <v>0</v>
      </c>
      <c r="IF214" s="841">
        <f t="shared" si="7514"/>
        <v>0</v>
      </c>
      <c r="IG214" s="263">
        <f t="shared" si="7514"/>
        <v>0</v>
      </c>
      <c r="IH214" s="842">
        <f t="shared" si="7514"/>
        <v>0</v>
      </c>
      <c r="II214" s="155">
        <f t="shared" si="7514"/>
        <v>0</v>
      </c>
      <c r="IJ214" s="74">
        <f t="shared" si="7514"/>
        <v>0</v>
      </c>
      <c r="IK214" s="74">
        <f t="shared" si="7514"/>
        <v>0</v>
      </c>
      <c r="IL214" s="74">
        <f t="shared" si="7514"/>
        <v>0</v>
      </c>
      <c r="IM214" s="74">
        <f t="shared" si="7514"/>
        <v>0</v>
      </c>
      <c r="IN214" s="74">
        <f t="shared" si="7514"/>
        <v>0</v>
      </c>
      <c r="IO214" s="74">
        <f t="shared" si="7514"/>
        <v>0</v>
      </c>
      <c r="IP214" s="74">
        <f t="shared" si="7514"/>
        <v>0</v>
      </c>
      <c r="IQ214" s="74">
        <f t="shared" si="7514"/>
        <v>0</v>
      </c>
      <c r="IR214" s="74">
        <f t="shared" si="7514"/>
        <v>0</v>
      </c>
      <c r="IS214" s="74">
        <f t="shared" si="7514"/>
        <v>0</v>
      </c>
      <c r="IT214" s="74">
        <f t="shared" si="7514"/>
        <v>0</v>
      </c>
      <c r="IU214" s="74">
        <f t="shared" si="7514"/>
        <v>0</v>
      </c>
      <c r="IV214" s="74">
        <f t="shared" si="7514"/>
        <v>0</v>
      </c>
      <c r="IW214" s="74">
        <f t="shared" si="7514"/>
        <v>0</v>
      </c>
      <c r="IX214" s="74">
        <f t="shared" si="7514"/>
        <v>0</v>
      </c>
      <c r="IY214" s="74">
        <f t="shared" si="7514"/>
        <v>0</v>
      </c>
      <c r="IZ214" s="74">
        <f t="shared" si="7514"/>
        <v>0</v>
      </c>
      <c r="JA214" s="74">
        <f t="shared" si="7514"/>
        <v>0</v>
      </c>
      <c r="JB214" s="74">
        <f t="shared" si="7514"/>
        <v>0</v>
      </c>
      <c r="JC214" s="74">
        <f t="shared" si="7514"/>
        <v>0</v>
      </c>
      <c r="JD214" s="74">
        <f t="shared" si="7514"/>
        <v>0</v>
      </c>
      <c r="JE214" s="74">
        <f t="shared" si="7514"/>
        <v>0</v>
      </c>
      <c r="JF214" s="74">
        <f t="shared" si="7514"/>
        <v>0</v>
      </c>
      <c r="JG214" s="74">
        <f t="shared" si="7514"/>
        <v>0</v>
      </c>
      <c r="JH214" s="74">
        <f t="shared" si="7514"/>
        <v>0</v>
      </c>
      <c r="JI214" s="74">
        <f t="shared" si="7514"/>
        <v>0</v>
      </c>
      <c r="JJ214" s="74">
        <f t="shared" si="7514"/>
        <v>0</v>
      </c>
      <c r="JK214" s="74">
        <f t="shared" si="7514"/>
        <v>0</v>
      </c>
      <c r="JL214" s="74">
        <f t="shared" si="7514"/>
        <v>0</v>
      </c>
      <c r="JM214" s="74">
        <f t="shared" si="7514"/>
        <v>0</v>
      </c>
      <c r="JN214" s="74">
        <f t="shared" si="7514"/>
        <v>0</v>
      </c>
      <c r="JO214" s="74">
        <f t="shared" si="7514"/>
        <v>0</v>
      </c>
      <c r="JP214" s="74">
        <f t="shared" si="7514"/>
        <v>0</v>
      </c>
      <c r="JQ214" s="74">
        <f t="shared" si="7514"/>
        <v>0</v>
      </c>
      <c r="JR214" s="74">
        <f t="shared" si="7514"/>
        <v>0</v>
      </c>
      <c r="JS214" s="74">
        <f t="shared" si="7514"/>
        <v>0</v>
      </c>
      <c r="JT214" s="102">
        <f t="shared" si="7514"/>
        <v>0</v>
      </c>
      <c r="JU214" s="671"/>
      <c r="JV214" s="492"/>
      <c r="JW214" s="490"/>
      <c r="JX214" s="549">
        <f t="shared" si="7514"/>
        <v>0</v>
      </c>
      <c r="JY214" s="549">
        <f t="shared" si="7514"/>
        <v>0</v>
      </c>
      <c r="JZ214" s="581">
        <f t="shared" si="7514"/>
        <v>0</v>
      </c>
      <c r="KA214" s="581">
        <f t="shared" si="7514"/>
        <v>0</v>
      </c>
      <c r="KB214" s="549">
        <f t="shared" si="7514"/>
        <v>0</v>
      </c>
      <c r="KC214" s="709">
        <f t="shared" si="7514"/>
        <v>0</v>
      </c>
      <c r="KD214" s="36"/>
      <c r="KE214" s="36"/>
      <c r="KF214" s="36"/>
      <c r="KG214" s="36"/>
      <c r="KH214" s="36"/>
      <c r="KI214" s="36"/>
      <c r="KJ214" s="36"/>
      <c r="KK214" s="36"/>
    </row>
    <row r="215" spans="1:297" s="8" customFormat="1" ht="12.75" customHeight="1">
      <c r="A215" s="262" t="s">
        <v>781</v>
      </c>
      <c r="B215" s="72"/>
      <c r="C215" s="74">
        <f>+C351+C546</f>
        <v>0</v>
      </c>
      <c r="D215" s="549">
        <f t="shared" ref="D215:E215" si="7515">+D351+D546</f>
        <v>0</v>
      </c>
      <c r="E215" s="675">
        <f t="shared" si="7515"/>
        <v>0</v>
      </c>
      <c r="F215" s="549">
        <f t="shared" ref="F215:G215" si="7516">+F351+F546</f>
        <v>0</v>
      </c>
      <c r="G215" s="675">
        <f t="shared" si="7516"/>
        <v>0</v>
      </c>
      <c r="H215" s="549">
        <f t="shared" ref="H215:I215" si="7517">+H351+H546</f>
        <v>0</v>
      </c>
      <c r="I215" s="675">
        <f t="shared" si="7517"/>
        <v>0</v>
      </c>
      <c r="J215" s="549">
        <f t="shared" ref="J215:K215" si="7518">+J351+J546</f>
        <v>0</v>
      </c>
      <c r="K215" s="675">
        <f t="shared" si="7518"/>
        <v>0</v>
      </c>
      <c r="L215" s="549">
        <f t="shared" ref="L215:M215" si="7519">+L351+L546</f>
        <v>0</v>
      </c>
      <c r="M215" s="675">
        <f t="shared" si="7519"/>
        <v>0</v>
      </c>
      <c r="N215" s="549">
        <f t="shared" ref="N215:O215" si="7520">+N351+N546</f>
        <v>0</v>
      </c>
      <c r="O215" s="675">
        <f t="shared" si="7520"/>
        <v>0</v>
      </c>
      <c r="P215" s="549">
        <f t="shared" ref="P215:Q215" si="7521">+P351+P546</f>
        <v>0</v>
      </c>
      <c r="Q215" s="675">
        <f t="shared" si="7521"/>
        <v>0</v>
      </c>
      <c r="R215" s="549">
        <f t="shared" ref="R215:S215" si="7522">+R351+R546</f>
        <v>0</v>
      </c>
      <c r="S215" s="675">
        <f t="shared" si="7522"/>
        <v>0</v>
      </c>
      <c r="T215" s="549">
        <f t="shared" ref="T215:U215" si="7523">+T351+T546</f>
        <v>0</v>
      </c>
      <c r="U215" s="675">
        <f t="shared" si="7523"/>
        <v>0</v>
      </c>
      <c r="V215" s="549">
        <f t="shared" ref="V215:W215" si="7524">+V351+V546</f>
        <v>0</v>
      </c>
      <c r="W215" s="675">
        <f t="shared" si="7524"/>
        <v>0</v>
      </c>
      <c r="X215" s="549">
        <f t="shared" ref="X215:Y215" si="7525">+X351+X546</f>
        <v>0</v>
      </c>
      <c r="Y215" s="675">
        <f t="shared" si="7525"/>
        <v>0</v>
      </c>
      <c r="Z215" s="549">
        <f t="shared" ref="Z215:AA215" si="7526">+Z351+Z546</f>
        <v>0</v>
      </c>
      <c r="AA215" s="675">
        <f t="shared" si="7526"/>
        <v>0</v>
      </c>
      <c r="AB215" s="549">
        <f t="shared" ref="AB215:AC215" si="7527">+AB351+AB546</f>
        <v>0</v>
      </c>
      <c r="AC215" s="675">
        <f t="shared" si="7527"/>
        <v>0</v>
      </c>
      <c r="AD215" s="549">
        <f t="shared" ref="AD215:AE215" si="7528">+AD351+AD546</f>
        <v>0</v>
      </c>
      <c r="AE215" s="675">
        <f t="shared" si="7528"/>
        <v>0</v>
      </c>
      <c r="AF215" s="549">
        <f t="shared" ref="AF215:AG215" si="7529">+AF351+AF546</f>
        <v>0</v>
      </c>
      <c r="AG215" s="675">
        <f t="shared" si="7529"/>
        <v>0</v>
      </c>
      <c r="AH215" s="549">
        <f t="shared" ref="AH215:AI215" si="7530">+AH351+AH546</f>
        <v>0</v>
      </c>
      <c r="AI215" s="675">
        <f t="shared" si="7530"/>
        <v>0</v>
      </c>
      <c r="AJ215" s="549">
        <f t="shared" ref="AJ215:AK215" si="7531">+AJ351+AJ546</f>
        <v>0</v>
      </c>
      <c r="AK215" s="675">
        <f t="shared" si="7531"/>
        <v>0</v>
      </c>
      <c r="AL215" s="549">
        <f t="shared" ref="AL215:AM215" si="7532">+AL351+AL546</f>
        <v>0</v>
      </c>
      <c r="AM215" s="675">
        <f t="shared" si="7532"/>
        <v>0</v>
      </c>
      <c r="AN215" s="549">
        <f t="shared" ref="AN215:AO215" si="7533">+AN351+AN546</f>
        <v>0</v>
      </c>
      <c r="AO215" s="675">
        <f t="shared" si="7533"/>
        <v>0</v>
      </c>
      <c r="AP215" s="549">
        <f t="shared" ref="AP215:AQ215" si="7534">+AP351+AP546</f>
        <v>0</v>
      </c>
      <c r="AQ215" s="675">
        <f t="shared" si="7534"/>
        <v>0</v>
      </c>
      <c r="AR215" s="549">
        <f t="shared" ref="AR215:AS215" si="7535">+AR351+AR546</f>
        <v>8480</v>
      </c>
      <c r="AS215" s="675">
        <f t="shared" si="7535"/>
        <v>0</v>
      </c>
      <c r="AT215" s="549">
        <f t="shared" ref="AT215:AU215" si="7536">+AT351+AT546</f>
        <v>0</v>
      </c>
      <c r="AU215" s="675">
        <f t="shared" si="7536"/>
        <v>0</v>
      </c>
      <c r="AV215" s="549">
        <f t="shared" ref="AV215:AW215" si="7537">+AV351+AV546</f>
        <v>0</v>
      </c>
      <c r="AW215" s="675">
        <f t="shared" si="7537"/>
        <v>0</v>
      </c>
      <c r="AX215" s="549">
        <f t="shared" ref="AX215:AY215" si="7538">+AX351+AX546</f>
        <v>0</v>
      </c>
      <c r="AY215" s="675">
        <f t="shared" si="7538"/>
        <v>0</v>
      </c>
      <c r="AZ215" s="549">
        <f t="shared" ref="AZ215:BQ215" si="7539">+AZ351+AZ546</f>
        <v>0</v>
      </c>
      <c r="BA215" s="675">
        <f t="shared" si="7539"/>
        <v>0</v>
      </c>
      <c r="BB215" s="549">
        <f t="shared" si="7539"/>
        <v>0</v>
      </c>
      <c r="BC215" s="675">
        <f t="shared" si="7539"/>
        <v>0</v>
      </c>
      <c r="BD215" s="549">
        <f t="shared" si="7539"/>
        <v>0</v>
      </c>
      <c r="BE215" s="675">
        <f t="shared" si="7539"/>
        <v>0</v>
      </c>
      <c r="BF215" s="549">
        <f t="shared" si="7539"/>
        <v>0</v>
      </c>
      <c r="BG215" s="675">
        <f t="shared" si="7539"/>
        <v>0</v>
      </c>
      <c r="BH215" s="549">
        <f t="shared" si="7539"/>
        <v>0</v>
      </c>
      <c r="BI215" s="675">
        <f t="shared" si="7539"/>
        <v>0</v>
      </c>
      <c r="BJ215" s="549">
        <f t="shared" si="7539"/>
        <v>0</v>
      </c>
      <c r="BK215" s="675">
        <f t="shared" si="7539"/>
        <v>0</v>
      </c>
      <c r="BL215" s="549">
        <f t="shared" si="7539"/>
        <v>0</v>
      </c>
      <c r="BM215" s="675">
        <f t="shared" si="7539"/>
        <v>0</v>
      </c>
      <c r="BN215" s="549">
        <f t="shared" si="7539"/>
        <v>0</v>
      </c>
      <c r="BO215" s="675">
        <f t="shared" si="7539"/>
        <v>0</v>
      </c>
      <c r="BP215" s="549">
        <f t="shared" si="7539"/>
        <v>0</v>
      </c>
      <c r="BQ215" s="675">
        <f t="shared" si="7539"/>
        <v>0</v>
      </c>
      <c r="BR215" s="549">
        <f t="shared" ref="BR215:BS215" si="7540">+BR351+BR546</f>
        <v>0</v>
      </c>
      <c r="BS215" s="675">
        <f t="shared" si="7540"/>
        <v>0</v>
      </c>
      <c r="BT215" s="549">
        <f t="shared" ref="BT215:BU215" si="7541">+BT351+BT546</f>
        <v>0</v>
      </c>
      <c r="BU215" s="675">
        <f t="shared" si="7541"/>
        <v>0</v>
      </c>
      <c r="BV215" s="549">
        <f t="shared" ref="BV215:BW215" si="7542">+BV351+BV546</f>
        <v>7480</v>
      </c>
      <c r="BW215" s="675">
        <f t="shared" si="7542"/>
        <v>0</v>
      </c>
      <c r="BX215" s="549">
        <f t="shared" ref="BX215:BY215" si="7543">+BX351+BX546</f>
        <v>0</v>
      </c>
      <c r="BY215" s="675">
        <f t="shared" si="7543"/>
        <v>0</v>
      </c>
      <c r="BZ215" s="549">
        <f t="shared" ref="BZ215:CA215" si="7544">+BZ351+BZ546</f>
        <v>0</v>
      </c>
      <c r="CA215" s="675">
        <f t="shared" si="7544"/>
        <v>0</v>
      </c>
      <c r="CB215" s="549">
        <f t="shared" ref="CB215:EE215" si="7545">+CB351+CB546</f>
        <v>0</v>
      </c>
      <c r="CC215" s="675">
        <f t="shared" si="7545"/>
        <v>0</v>
      </c>
      <c r="CD215" s="549">
        <f t="shared" si="7545"/>
        <v>0</v>
      </c>
      <c r="CE215" s="675">
        <f t="shared" si="7545"/>
        <v>0</v>
      </c>
      <c r="CF215" s="549">
        <f t="shared" si="7545"/>
        <v>0</v>
      </c>
      <c r="CG215" s="675">
        <f t="shared" si="7545"/>
        <v>0</v>
      </c>
      <c r="CH215" s="549">
        <f t="shared" si="7545"/>
        <v>0</v>
      </c>
      <c r="CI215" s="675">
        <f t="shared" si="7545"/>
        <v>0</v>
      </c>
      <c r="CJ215" s="549">
        <f t="shared" si="7545"/>
        <v>0</v>
      </c>
      <c r="CK215" s="675">
        <f t="shared" si="7545"/>
        <v>0</v>
      </c>
      <c r="CL215" s="549">
        <f t="shared" si="7545"/>
        <v>0</v>
      </c>
      <c r="CM215" s="675">
        <f t="shared" si="7545"/>
        <v>0</v>
      </c>
      <c r="CN215" s="549">
        <f t="shared" si="7545"/>
        <v>0</v>
      </c>
      <c r="CO215" s="675">
        <f t="shared" si="7545"/>
        <v>0</v>
      </c>
      <c r="CP215" s="549">
        <f t="shared" si="7545"/>
        <v>0</v>
      </c>
      <c r="CQ215" s="675">
        <f t="shared" si="7545"/>
        <v>0</v>
      </c>
      <c r="CR215" s="549">
        <f t="shared" si="7545"/>
        <v>0</v>
      </c>
      <c r="CS215" s="675">
        <f t="shared" si="7545"/>
        <v>0</v>
      </c>
      <c r="CT215" s="549">
        <f t="shared" si="7545"/>
        <v>0</v>
      </c>
      <c r="CU215" s="675">
        <f t="shared" si="7545"/>
        <v>0</v>
      </c>
      <c r="CV215" s="549">
        <f t="shared" si="7545"/>
        <v>0</v>
      </c>
      <c r="CW215" s="675">
        <f t="shared" si="7545"/>
        <v>0</v>
      </c>
      <c r="CX215" s="549">
        <f t="shared" si="7545"/>
        <v>0</v>
      </c>
      <c r="CY215" s="675">
        <f t="shared" si="7545"/>
        <v>0</v>
      </c>
      <c r="CZ215" s="549">
        <f t="shared" si="7545"/>
        <v>0</v>
      </c>
      <c r="DA215" s="675">
        <f t="shared" si="7545"/>
        <v>0</v>
      </c>
      <c r="DB215" s="549">
        <f t="shared" si="7545"/>
        <v>0</v>
      </c>
      <c r="DC215" s="675">
        <f t="shared" si="7545"/>
        <v>0</v>
      </c>
      <c r="DD215" s="549">
        <f t="shared" si="7545"/>
        <v>0</v>
      </c>
      <c r="DE215" s="675">
        <f t="shared" si="7545"/>
        <v>0</v>
      </c>
      <c r="DF215" s="549">
        <f t="shared" si="7545"/>
        <v>0</v>
      </c>
      <c r="DG215" s="675">
        <f t="shared" si="7545"/>
        <v>0</v>
      </c>
      <c r="DH215" s="549">
        <f t="shared" si="7545"/>
        <v>0</v>
      </c>
      <c r="DI215" s="675">
        <f t="shared" si="7545"/>
        <v>0</v>
      </c>
      <c r="DJ215" s="549">
        <f t="shared" si="7545"/>
        <v>0</v>
      </c>
      <c r="DK215" s="675">
        <f t="shared" si="7545"/>
        <v>0</v>
      </c>
      <c r="DL215" s="549">
        <f t="shared" si="7545"/>
        <v>0</v>
      </c>
      <c r="DM215" s="675">
        <f t="shared" si="7545"/>
        <v>0</v>
      </c>
      <c r="DN215" s="549">
        <f t="shared" si="7545"/>
        <v>0</v>
      </c>
      <c r="DO215" s="675">
        <f t="shared" si="7545"/>
        <v>0</v>
      </c>
      <c r="DP215" s="549">
        <f t="shared" si="7545"/>
        <v>0</v>
      </c>
      <c r="DQ215" s="675">
        <f t="shared" si="7545"/>
        <v>0</v>
      </c>
      <c r="DR215" s="549">
        <f t="shared" si="7545"/>
        <v>0</v>
      </c>
      <c r="DS215" s="675">
        <f t="shared" si="7545"/>
        <v>0</v>
      </c>
      <c r="DT215" s="549">
        <f t="shared" si="7545"/>
        <v>0</v>
      </c>
      <c r="DU215" s="675">
        <f t="shared" si="7545"/>
        <v>0</v>
      </c>
      <c r="DV215" s="549">
        <f t="shared" si="7545"/>
        <v>0</v>
      </c>
      <c r="DW215" s="675">
        <f t="shared" si="7545"/>
        <v>0</v>
      </c>
      <c r="DX215" s="549">
        <f t="shared" si="7545"/>
        <v>0</v>
      </c>
      <c r="DY215" s="675">
        <f t="shared" si="7545"/>
        <v>0</v>
      </c>
      <c r="DZ215" s="549">
        <f t="shared" si="7545"/>
        <v>0</v>
      </c>
      <c r="EA215" s="675">
        <f t="shared" si="7545"/>
        <v>0</v>
      </c>
      <c r="EB215" s="549">
        <f t="shared" si="7545"/>
        <v>0</v>
      </c>
      <c r="EC215" s="675">
        <f t="shared" si="7545"/>
        <v>0</v>
      </c>
      <c r="ED215" s="549">
        <f t="shared" si="7545"/>
        <v>0</v>
      </c>
      <c r="EE215" s="675">
        <f t="shared" si="7545"/>
        <v>0</v>
      </c>
      <c r="EF215" s="549">
        <f t="shared" ref="EF215:EG215" si="7546">+EF351+EF546</f>
        <v>36277</v>
      </c>
      <c r="EG215" s="675">
        <f t="shared" si="7546"/>
        <v>0</v>
      </c>
      <c r="EH215" s="549">
        <f t="shared" ref="EH215:HW215" si="7547">+EH351+EH546</f>
        <v>0</v>
      </c>
      <c r="EI215" s="675">
        <f t="shared" si="7547"/>
        <v>0</v>
      </c>
      <c r="EJ215" s="549">
        <f t="shared" si="7547"/>
        <v>0</v>
      </c>
      <c r="EK215" s="675">
        <f t="shared" si="7547"/>
        <v>0</v>
      </c>
      <c r="EL215" s="549">
        <f t="shared" si="7547"/>
        <v>0</v>
      </c>
      <c r="EM215" s="675">
        <f t="shared" si="7547"/>
        <v>0</v>
      </c>
      <c r="EN215" s="549">
        <f t="shared" si="7547"/>
        <v>0</v>
      </c>
      <c r="EO215" s="675">
        <f t="shared" si="7547"/>
        <v>0</v>
      </c>
      <c r="EP215" s="549">
        <f t="shared" si="7547"/>
        <v>0</v>
      </c>
      <c r="EQ215" s="675">
        <f t="shared" si="7547"/>
        <v>0</v>
      </c>
      <c r="ER215" s="549">
        <f t="shared" si="7547"/>
        <v>0</v>
      </c>
      <c r="ES215" s="675">
        <f t="shared" si="7547"/>
        <v>0</v>
      </c>
      <c r="ET215" s="549">
        <f t="shared" si="7547"/>
        <v>0</v>
      </c>
      <c r="EU215" s="675">
        <f t="shared" si="7547"/>
        <v>0</v>
      </c>
      <c r="EV215" s="549">
        <f t="shared" si="7547"/>
        <v>0</v>
      </c>
      <c r="EW215" s="675">
        <f t="shared" si="7547"/>
        <v>0</v>
      </c>
      <c r="EX215" s="549">
        <f t="shared" si="7547"/>
        <v>0</v>
      </c>
      <c r="EY215" s="675">
        <f t="shared" si="7547"/>
        <v>0</v>
      </c>
      <c r="EZ215" s="549">
        <f t="shared" si="7547"/>
        <v>0</v>
      </c>
      <c r="FA215" s="675">
        <f t="shared" si="7547"/>
        <v>0</v>
      </c>
      <c r="FB215" s="549">
        <f t="shared" si="7547"/>
        <v>0</v>
      </c>
      <c r="FC215" s="675">
        <f t="shared" si="7547"/>
        <v>0</v>
      </c>
      <c r="FD215" s="549">
        <f t="shared" si="7547"/>
        <v>0</v>
      </c>
      <c r="FE215" s="675">
        <f t="shared" si="7547"/>
        <v>0</v>
      </c>
      <c r="FF215" s="549">
        <f t="shared" si="7547"/>
        <v>0</v>
      </c>
      <c r="FG215" s="675">
        <f t="shared" si="7547"/>
        <v>0</v>
      </c>
      <c r="FH215" s="549">
        <f t="shared" si="7547"/>
        <v>0</v>
      </c>
      <c r="FI215" s="675">
        <f t="shared" si="7547"/>
        <v>0</v>
      </c>
      <c r="FJ215" s="549">
        <f t="shared" si="7547"/>
        <v>0</v>
      </c>
      <c r="FK215" s="675">
        <f t="shared" si="7547"/>
        <v>0</v>
      </c>
      <c r="FL215" s="549">
        <f t="shared" ref="FL215:FM215" si="7548">+FL351+FL546</f>
        <v>0</v>
      </c>
      <c r="FM215" s="675">
        <f t="shared" si="7548"/>
        <v>0</v>
      </c>
      <c r="FN215" s="549">
        <f t="shared" ref="FN215:FO215" si="7549">+FN351+FN546</f>
        <v>0</v>
      </c>
      <c r="FO215" s="675">
        <f t="shared" si="7549"/>
        <v>0</v>
      </c>
      <c r="FP215" s="549">
        <f t="shared" ref="FP215:FQ215" si="7550">+FP351+FP546</f>
        <v>0</v>
      </c>
      <c r="FQ215" s="675">
        <f t="shared" si="7550"/>
        <v>0</v>
      </c>
      <c r="FR215" s="549">
        <f t="shared" ref="FR215:FS215" si="7551">+FR351+FR546</f>
        <v>0</v>
      </c>
      <c r="FS215" s="675">
        <f t="shared" si="7551"/>
        <v>0</v>
      </c>
      <c r="FT215" s="549">
        <f t="shared" ref="FT215:FU215" si="7552">+FT351+FT546</f>
        <v>0</v>
      </c>
      <c r="FU215" s="675">
        <f t="shared" si="7552"/>
        <v>0</v>
      </c>
      <c r="FV215" s="549">
        <f t="shared" ref="FV215:GK215" si="7553">+FV351+FV546</f>
        <v>0</v>
      </c>
      <c r="FW215" s="675">
        <f t="shared" si="7553"/>
        <v>0</v>
      </c>
      <c r="FX215" s="549">
        <f t="shared" si="7553"/>
        <v>0</v>
      </c>
      <c r="FY215" s="675">
        <f t="shared" si="7553"/>
        <v>0</v>
      </c>
      <c r="FZ215" s="549">
        <f t="shared" ref="FZ215:GI215" si="7554">+FZ351+FZ546</f>
        <v>0</v>
      </c>
      <c r="GA215" s="675">
        <f t="shared" si="7554"/>
        <v>0</v>
      </c>
      <c r="GB215" s="549">
        <f t="shared" si="7554"/>
        <v>0</v>
      </c>
      <c r="GC215" s="675">
        <f t="shared" si="7554"/>
        <v>0</v>
      </c>
      <c r="GD215" s="549">
        <f t="shared" si="7554"/>
        <v>0</v>
      </c>
      <c r="GE215" s="675">
        <f t="shared" si="7554"/>
        <v>0</v>
      </c>
      <c r="GF215" s="549">
        <f t="shared" si="7554"/>
        <v>0</v>
      </c>
      <c r="GG215" s="675">
        <f t="shared" si="7554"/>
        <v>0</v>
      </c>
      <c r="GH215" s="549">
        <f t="shared" si="7554"/>
        <v>0</v>
      </c>
      <c r="GI215" s="675">
        <f t="shared" si="7554"/>
        <v>0</v>
      </c>
      <c r="GJ215" s="549">
        <f t="shared" si="7553"/>
        <v>0</v>
      </c>
      <c r="GK215" s="675">
        <f t="shared" si="7553"/>
        <v>0</v>
      </c>
      <c r="GL215" s="549">
        <f t="shared" ref="GL215:GM215" si="7555">+GL351+GL546</f>
        <v>0</v>
      </c>
      <c r="GM215" s="675">
        <f t="shared" si="7555"/>
        <v>0</v>
      </c>
      <c r="GN215" s="549">
        <f t="shared" ref="GN215:GO215" si="7556">+GN351+GN546</f>
        <v>0</v>
      </c>
      <c r="GO215" s="675">
        <f t="shared" si="7556"/>
        <v>0</v>
      </c>
      <c r="GP215" s="74">
        <f t="shared" si="7547"/>
        <v>52237</v>
      </c>
      <c r="GQ215" s="675">
        <f t="shared" si="7547"/>
        <v>0</v>
      </c>
      <c r="GR215" s="74">
        <f t="shared" si="7547"/>
        <v>52237</v>
      </c>
      <c r="GS215" s="74">
        <f t="shared" si="7547"/>
        <v>52237</v>
      </c>
      <c r="GT215" s="74">
        <f t="shared" si="7547"/>
        <v>52237</v>
      </c>
      <c r="GU215" s="74">
        <f t="shared" si="7547"/>
        <v>0</v>
      </c>
      <c r="GV215" s="74">
        <f t="shared" si="7547"/>
        <v>0</v>
      </c>
      <c r="GW215" s="549">
        <f t="shared" si="7547"/>
        <v>0</v>
      </c>
      <c r="GX215" s="549">
        <f t="shared" si="7547"/>
        <v>0</v>
      </c>
      <c r="GY215" s="74">
        <f t="shared" si="7547"/>
        <v>0</v>
      </c>
      <c r="GZ215" s="74">
        <f t="shared" si="7547"/>
        <v>0</v>
      </c>
      <c r="HA215" s="74">
        <f t="shared" si="7547"/>
        <v>0</v>
      </c>
      <c r="HB215" s="74">
        <f t="shared" si="7547"/>
        <v>0</v>
      </c>
      <c r="HC215" s="74">
        <f t="shared" si="7547"/>
        <v>0</v>
      </c>
      <c r="HD215" s="74">
        <f t="shared" si="7547"/>
        <v>0</v>
      </c>
      <c r="HE215" s="74">
        <f t="shared" si="7547"/>
        <v>0</v>
      </c>
      <c r="HF215" s="74">
        <f t="shared" si="7547"/>
        <v>0</v>
      </c>
      <c r="HG215" s="74">
        <f t="shared" si="7547"/>
        <v>52237</v>
      </c>
      <c r="HH215" s="74">
        <f t="shared" si="7547"/>
        <v>0</v>
      </c>
      <c r="HI215" s="74">
        <f t="shared" si="7547"/>
        <v>0</v>
      </c>
      <c r="HJ215" s="74">
        <f t="shared" si="7547"/>
        <v>0</v>
      </c>
      <c r="HK215" s="74">
        <f t="shared" si="7547"/>
        <v>0</v>
      </c>
      <c r="HL215" s="74">
        <f t="shared" si="7547"/>
        <v>0</v>
      </c>
      <c r="HM215" s="74">
        <f t="shared" si="7547"/>
        <v>0</v>
      </c>
      <c r="HN215" s="74">
        <f t="shared" si="7547"/>
        <v>0</v>
      </c>
      <c r="HO215" s="74">
        <f t="shared" si="7547"/>
        <v>0</v>
      </c>
      <c r="HP215" s="74">
        <f t="shared" si="7547"/>
        <v>0</v>
      </c>
      <c r="HQ215" s="74">
        <f t="shared" si="7547"/>
        <v>0</v>
      </c>
      <c r="HR215" s="74">
        <f t="shared" si="7547"/>
        <v>0</v>
      </c>
      <c r="HS215" s="74">
        <f t="shared" si="7547"/>
        <v>0</v>
      </c>
      <c r="HT215" s="74">
        <f t="shared" si="7547"/>
        <v>0</v>
      </c>
      <c r="HU215" s="74">
        <f t="shared" si="7547"/>
        <v>0</v>
      </c>
      <c r="HV215" s="74">
        <f t="shared" si="7547"/>
        <v>0</v>
      </c>
      <c r="HW215" s="74">
        <f t="shared" si="7547"/>
        <v>0</v>
      </c>
      <c r="HX215" s="74">
        <f t="shared" ref="HX215:JT215" si="7557">+HX351+HX546</f>
        <v>0</v>
      </c>
      <c r="HY215" s="74">
        <f t="shared" si="7557"/>
        <v>0</v>
      </c>
      <c r="HZ215" s="74">
        <f t="shared" si="7557"/>
        <v>0</v>
      </c>
      <c r="IA215" s="74">
        <f t="shared" si="7557"/>
        <v>0</v>
      </c>
      <c r="IB215" s="74">
        <f t="shared" si="7557"/>
        <v>0</v>
      </c>
      <c r="IC215" s="74">
        <f t="shared" si="7557"/>
        <v>0</v>
      </c>
      <c r="ID215" s="74">
        <f t="shared" si="7557"/>
        <v>0</v>
      </c>
      <c r="IE215" s="792">
        <f t="shared" si="7557"/>
        <v>0</v>
      </c>
      <c r="IF215" s="841">
        <f t="shared" si="7557"/>
        <v>52236.45</v>
      </c>
      <c r="IG215" s="263">
        <f t="shared" si="7557"/>
        <v>52236.45</v>
      </c>
      <c r="IH215" s="842">
        <f t="shared" si="7557"/>
        <v>52236.45</v>
      </c>
      <c r="II215" s="155">
        <f t="shared" si="7557"/>
        <v>0</v>
      </c>
      <c r="IJ215" s="74">
        <f t="shared" si="7557"/>
        <v>0</v>
      </c>
      <c r="IK215" s="74">
        <f t="shared" si="7557"/>
        <v>0</v>
      </c>
      <c r="IL215" s="74">
        <f t="shared" si="7557"/>
        <v>0</v>
      </c>
      <c r="IM215" s="74">
        <f t="shared" si="7557"/>
        <v>0</v>
      </c>
      <c r="IN215" s="74">
        <f t="shared" si="7557"/>
        <v>0</v>
      </c>
      <c r="IO215" s="74">
        <f t="shared" si="7557"/>
        <v>0</v>
      </c>
      <c r="IP215" s="74">
        <f t="shared" si="7557"/>
        <v>0</v>
      </c>
      <c r="IQ215" s="74">
        <f t="shared" si="7557"/>
        <v>0</v>
      </c>
      <c r="IR215" s="74">
        <f t="shared" si="7557"/>
        <v>0</v>
      </c>
      <c r="IS215" s="74">
        <f t="shared" si="7557"/>
        <v>0</v>
      </c>
      <c r="IT215" s="74">
        <f t="shared" si="7557"/>
        <v>0</v>
      </c>
      <c r="IU215" s="74">
        <f t="shared" si="7557"/>
        <v>8480</v>
      </c>
      <c r="IV215" s="74">
        <f t="shared" si="7557"/>
        <v>8480</v>
      </c>
      <c r="IW215" s="74">
        <f t="shared" si="7557"/>
        <v>8480</v>
      </c>
      <c r="IX215" s="74">
        <f t="shared" si="7557"/>
        <v>7480</v>
      </c>
      <c r="IY215" s="74">
        <f t="shared" si="7557"/>
        <v>7480</v>
      </c>
      <c r="IZ215" s="74">
        <f t="shared" si="7557"/>
        <v>7480</v>
      </c>
      <c r="JA215" s="74">
        <f t="shared" si="7557"/>
        <v>0</v>
      </c>
      <c r="JB215" s="74">
        <f t="shared" si="7557"/>
        <v>0</v>
      </c>
      <c r="JC215" s="74">
        <f t="shared" si="7557"/>
        <v>0</v>
      </c>
      <c r="JD215" s="74">
        <f t="shared" si="7557"/>
        <v>0</v>
      </c>
      <c r="JE215" s="74">
        <f t="shared" si="7557"/>
        <v>0</v>
      </c>
      <c r="JF215" s="74">
        <f t="shared" si="7557"/>
        <v>0</v>
      </c>
      <c r="JG215" s="74">
        <f t="shared" si="7557"/>
        <v>0</v>
      </c>
      <c r="JH215" s="74">
        <f t="shared" si="7557"/>
        <v>0</v>
      </c>
      <c r="JI215" s="74">
        <f t="shared" si="7557"/>
        <v>0</v>
      </c>
      <c r="JJ215" s="74">
        <f t="shared" si="7557"/>
        <v>36276.449999999997</v>
      </c>
      <c r="JK215" s="74">
        <f t="shared" si="7557"/>
        <v>36276.449999999997</v>
      </c>
      <c r="JL215" s="74">
        <f t="shared" si="7557"/>
        <v>36276.449999999997</v>
      </c>
      <c r="JM215" s="74">
        <f t="shared" si="7557"/>
        <v>0</v>
      </c>
      <c r="JN215" s="74">
        <f t="shared" si="7557"/>
        <v>0</v>
      </c>
      <c r="JO215" s="74">
        <f t="shared" si="7557"/>
        <v>0</v>
      </c>
      <c r="JP215" s="74">
        <f t="shared" si="7557"/>
        <v>0</v>
      </c>
      <c r="JQ215" s="74">
        <f t="shared" si="7557"/>
        <v>0</v>
      </c>
      <c r="JR215" s="74">
        <f t="shared" si="7557"/>
        <v>0</v>
      </c>
      <c r="JS215" s="74">
        <f t="shared" si="7557"/>
        <v>0.55000000000291038</v>
      </c>
      <c r="JT215" s="102">
        <f t="shared" si="7557"/>
        <v>0.55000000000291038</v>
      </c>
      <c r="JU215" s="671"/>
      <c r="JV215" s="492"/>
      <c r="JW215" s="490"/>
      <c r="JX215" s="549">
        <f>JX351+JX546</f>
        <v>0</v>
      </c>
      <c r="JY215" s="549">
        <f t="shared" ref="JY215:KB215" si="7558">JY351+JY546</f>
        <v>0</v>
      </c>
      <c r="JZ215" s="798">
        <f t="shared" si="7558"/>
        <v>52237</v>
      </c>
      <c r="KA215" s="798">
        <f t="shared" si="7558"/>
        <v>0</v>
      </c>
      <c r="KB215" s="549">
        <f t="shared" si="7558"/>
        <v>52237</v>
      </c>
      <c r="KC215" s="709">
        <f t="shared" si="7396"/>
        <v>0</v>
      </c>
      <c r="KD215" s="36"/>
      <c r="KE215" s="36"/>
      <c r="KF215" s="36"/>
      <c r="KG215" s="36"/>
      <c r="KH215" s="36"/>
      <c r="KI215" s="36"/>
      <c r="KJ215" s="36"/>
      <c r="KK215" s="36"/>
    </row>
    <row r="216" spans="1:297" s="8" customFormat="1" ht="12.75" customHeight="1">
      <c r="A216" s="262">
        <v>619</v>
      </c>
      <c r="B216" s="72" t="s">
        <v>207</v>
      </c>
      <c r="C216" s="74">
        <f>+C547+C352</f>
        <v>10000</v>
      </c>
      <c r="D216" s="549">
        <f t="shared" ref="D216:E216" si="7559">+D547</f>
        <v>0</v>
      </c>
      <c r="E216" s="675">
        <f t="shared" si="7559"/>
        <v>0</v>
      </c>
      <c r="F216" s="549">
        <f t="shared" ref="F216:G216" si="7560">+F547</f>
        <v>0</v>
      </c>
      <c r="G216" s="675">
        <f t="shared" si="7560"/>
        <v>0</v>
      </c>
      <c r="H216" s="549">
        <f t="shared" ref="H216:I216" si="7561">+H547</f>
        <v>0</v>
      </c>
      <c r="I216" s="675">
        <f t="shared" si="7561"/>
        <v>0</v>
      </c>
      <c r="J216" s="549">
        <f t="shared" ref="J216:K216" si="7562">+J547</f>
        <v>0</v>
      </c>
      <c r="K216" s="675">
        <f t="shared" si="7562"/>
        <v>0</v>
      </c>
      <c r="L216" s="549">
        <f t="shared" ref="L216:M216" si="7563">+L547</f>
        <v>0</v>
      </c>
      <c r="M216" s="675">
        <f t="shared" si="7563"/>
        <v>0</v>
      </c>
      <c r="N216" s="549">
        <f t="shared" ref="N216:O216" si="7564">+N547</f>
        <v>0</v>
      </c>
      <c r="O216" s="675">
        <f t="shared" si="7564"/>
        <v>0</v>
      </c>
      <c r="P216" s="549">
        <f t="shared" ref="P216:Q216" si="7565">+P547</f>
        <v>0</v>
      </c>
      <c r="Q216" s="675">
        <f t="shared" si="7565"/>
        <v>0</v>
      </c>
      <c r="R216" s="549">
        <f t="shared" ref="R216:S216" si="7566">+R547</f>
        <v>0</v>
      </c>
      <c r="S216" s="675">
        <f t="shared" si="7566"/>
        <v>0</v>
      </c>
      <c r="T216" s="549">
        <f t="shared" ref="T216:U216" si="7567">+T547</f>
        <v>0</v>
      </c>
      <c r="U216" s="675">
        <f t="shared" si="7567"/>
        <v>0</v>
      </c>
      <c r="V216" s="549">
        <f t="shared" ref="V216:W216" si="7568">+V547</f>
        <v>0</v>
      </c>
      <c r="W216" s="675">
        <f t="shared" si="7568"/>
        <v>0</v>
      </c>
      <c r="X216" s="549">
        <f t="shared" ref="X216:Y216" si="7569">+X547</f>
        <v>0</v>
      </c>
      <c r="Y216" s="675">
        <f t="shared" si="7569"/>
        <v>0</v>
      </c>
      <c r="Z216" s="549">
        <f t="shared" ref="Z216:AA216" si="7570">+Z547</f>
        <v>0</v>
      </c>
      <c r="AA216" s="675">
        <f t="shared" si="7570"/>
        <v>0</v>
      </c>
      <c r="AB216" s="549">
        <f t="shared" ref="AB216:AC216" si="7571">+AB547</f>
        <v>0</v>
      </c>
      <c r="AC216" s="675">
        <f t="shared" si="7571"/>
        <v>0</v>
      </c>
      <c r="AD216" s="549">
        <f t="shared" ref="AD216:AE216" si="7572">+AD547</f>
        <v>0</v>
      </c>
      <c r="AE216" s="675">
        <f t="shared" si="7572"/>
        <v>0</v>
      </c>
      <c r="AF216" s="549">
        <f t="shared" ref="AF216:AG216" si="7573">+AF547</f>
        <v>0</v>
      </c>
      <c r="AG216" s="675">
        <f t="shared" si="7573"/>
        <v>0</v>
      </c>
      <c r="AH216" s="549">
        <f t="shared" ref="AH216:AI216" si="7574">+AH547</f>
        <v>0</v>
      </c>
      <c r="AI216" s="675">
        <f t="shared" si="7574"/>
        <v>0</v>
      </c>
      <c r="AJ216" s="549">
        <f t="shared" ref="AJ216:AK216" si="7575">+AJ547</f>
        <v>0</v>
      </c>
      <c r="AK216" s="675">
        <f t="shared" si="7575"/>
        <v>0</v>
      </c>
      <c r="AL216" s="549">
        <f t="shared" ref="AL216:AM216" si="7576">+AL547</f>
        <v>0</v>
      </c>
      <c r="AM216" s="675">
        <f t="shared" si="7576"/>
        <v>0</v>
      </c>
      <c r="AN216" s="549">
        <f t="shared" ref="AN216:AO216" si="7577">+AN547</f>
        <v>0</v>
      </c>
      <c r="AO216" s="675">
        <f t="shared" si="7577"/>
        <v>0</v>
      </c>
      <c r="AP216" s="549">
        <f t="shared" ref="AP216:AQ216" si="7578">+AP547</f>
        <v>0</v>
      </c>
      <c r="AQ216" s="675">
        <f t="shared" si="7578"/>
        <v>0</v>
      </c>
      <c r="AR216" s="549">
        <f t="shared" ref="AR216:AS216" si="7579">+AR547</f>
        <v>0</v>
      </c>
      <c r="AS216" s="675">
        <f t="shared" si="7579"/>
        <v>0</v>
      </c>
      <c r="AT216" s="549">
        <f t="shared" ref="AT216:AU216" si="7580">+AT547</f>
        <v>0</v>
      </c>
      <c r="AU216" s="675">
        <f t="shared" si="7580"/>
        <v>0</v>
      </c>
      <c r="AV216" s="549">
        <f t="shared" ref="AV216:AW216" si="7581">+AV547</f>
        <v>0</v>
      </c>
      <c r="AW216" s="675">
        <f t="shared" si="7581"/>
        <v>0</v>
      </c>
      <c r="AX216" s="549">
        <f t="shared" ref="AX216:AY216" si="7582">+AX547</f>
        <v>0</v>
      </c>
      <c r="AY216" s="675">
        <f t="shared" si="7582"/>
        <v>0</v>
      </c>
      <c r="AZ216" s="549">
        <f t="shared" ref="AZ216:BQ216" si="7583">+AZ547</f>
        <v>0</v>
      </c>
      <c r="BA216" s="675">
        <f t="shared" si="7583"/>
        <v>0</v>
      </c>
      <c r="BB216" s="549">
        <f t="shared" si="7583"/>
        <v>0</v>
      </c>
      <c r="BC216" s="675">
        <f t="shared" si="7583"/>
        <v>0</v>
      </c>
      <c r="BD216" s="549">
        <f t="shared" si="7583"/>
        <v>0</v>
      </c>
      <c r="BE216" s="675">
        <f t="shared" si="7583"/>
        <v>0</v>
      </c>
      <c r="BF216" s="549">
        <f t="shared" si="7583"/>
        <v>0</v>
      </c>
      <c r="BG216" s="675">
        <f t="shared" si="7583"/>
        <v>0</v>
      </c>
      <c r="BH216" s="549">
        <f t="shared" si="7583"/>
        <v>18000</v>
      </c>
      <c r="BI216" s="675">
        <f t="shared" si="7583"/>
        <v>0</v>
      </c>
      <c r="BJ216" s="549">
        <f t="shared" si="7583"/>
        <v>0</v>
      </c>
      <c r="BK216" s="675">
        <f t="shared" si="7583"/>
        <v>0</v>
      </c>
      <c r="BL216" s="549">
        <f t="shared" si="7583"/>
        <v>0</v>
      </c>
      <c r="BM216" s="675">
        <f t="shared" si="7583"/>
        <v>0</v>
      </c>
      <c r="BN216" s="549">
        <f t="shared" si="7583"/>
        <v>0</v>
      </c>
      <c r="BO216" s="675">
        <f t="shared" si="7583"/>
        <v>0</v>
      </c>
      <c r="BP216" s="549">
        <f t="shared" si="7583"/>
        <v>0</v>
      </c>
      <c r="BQ216" s="675">
        <f t="shared" si="7583"/>
        <v>0</v>
      </c>
      <c r="BR216" s="549">
        <f t="shared" ref="BR216:BS216" si="7584">+BR547</f>
        <v>0</v>
      </c>
      <c r="BS216" s="675">
        <f t="shared" si="7584"/>
        <v>0</v>
      </c>
      <c r="BT216" s="549">
        <f t="shared" ref="BT216:BU216" si="7585">+BT547</f>
        <v>0</v>
      </c>
      <c r="BU216" s="675">
        <f t="shared" si="7585"/>
        <v>0</v>
      </c>
      <c r="BV216" s="549">
        <f t="shared" ref="BV216:BW216" si="7586">+BV547</f>
        <v>0</v>
      </c>
      <c r="BW216" s="675">
        <f t="shared" si="7586"/>
        <v>0</v>
      </c>
      <c r="BX216" s="549">
        <f t="shared" ref="BX216:BY216" si="7587">+BX547</f>
        <v>0</v>
      </c>
      <c r="BY216" s="675">
        <f t="shared" si="7587"/>
        <v>0</v>
      </c>
      <c r="BZ216" s="549">
        <f t="shared" ref="BZ216:CA216" si="7588">+BZ547</f>
        <v>0</v>
      </c>
      <c r="CA216" s="675">
        <f t="shared" si="7588"/>
        <v>0</v>
      </c>
      <c r="CB216" s="549">
        <f t="shared" ref="CB216:EE216" si="7589">+CB547</f>
        <v>0</v>
      </c>
      <c r="CC216" s="675">
        <f t="shared" si="7589"/>
        <v>0</v>
      </c>
      <c r="CD216" s="549">
        <f t="shared" si="7589"/>
        <v>0</v>
      </c>
      <c r="CE216" s="675">
        <f t="shared" si="7589"/>
        <v>0</v>
      </c>
      <c r="CF216" s="549">
        <f t="shared" si="7589"/>
        <v>0</v>
      </c>
      <c r="CG216" s="675">
        <f t="shared" si="7589"/>
        <v>0</v>
      </c>
      <c r="CH216" s="549">
        <f t="shared" si="7589"/>
        <v>0</v>
      </c>
      <c r="CI216" s="675">
        <f t="shared" si="7589"/>
        <v>0</v>
      </c>
      <c r="CJ216" s="549">
        <f t="shared" si="7589"/>
        <v>0</v>
      </c>
      <c r="CK216" s="675">
        <f t="shared" si="7589"/>
        <v>0</v>
      </c>
      <c r="CL216" s="549">
        <f t="shared" si="7589"/>
        <v>0</v>
      </c>
      <c r="CM216" s="675">
        <f t="shared" si="7589"/>
        <v>0</v>
      </c>
      <c r="CN216" s="549">
        <f t="shared" si="7589"/>
        <v>0</v>
      </c>
      <c r="CO216" s="675">
        <f t="shared" si="7589"/>
        <v>0</v>
      </c>
      <c r="CP216" s="549">
        <f t="shared" si="7589"/>
        <v>0</v>
      </c>
      <c r="CQ216" s="675">
        <f t="shared" si="7589"/>
        <v>0</v>
      </c>
      <c r="CR216" s="549">
        <f t="shared" si="7589"/>
        <v>0</v>
      </c>
      <c r="CS216" s="675">
        <f t="shared" si="7589"/>
        <v>0</v>
      </c>
      <c r="CT216" s="549">
        <f t="shared" si="7589"/>
        <v>0</v>
      </c>
      <c r="CU216" s="675">
        <f t="shared" si="7589"/>
        <v>0</v>
      </c>
      <c r="CV216" s="549">
        <f t="shared" si="7589"/>
        <v>0</v>
      </c>
      <c r="CW216" s="675">
        <f t="shared" si="7589"/>
        <v>0</v>
      </c>
      <c r="CX216" s="549">
        <f t="shared" si="7589"/>
        <v>0</v>
      </c>
      <c r="CY216" s="675">
        <f t="shared" si="7589"/>
        <v>0</v>
      </c>
      <c r="CZ216" s="549">
        <f t="shared" si="7589"/>
        <v>0</v>
      </c>
      <c r="DA216" s="675">
        <f t="shared" si="7589"/>
        <v>0</v>
      </c>
      <c r="DB216" s="549">
        <f t="shared" si="7589"/>
        <v>0</v>
      </c>
      <c r="DC216" s="675">
        <f t="shared" si="7589"/>
        <v>0</v>
      </c>
      <c r="DD216" s="549">
        <f t="shared" si="7589"/>
        <v>0</v>
      </c>
      <c r="DE216" s="675">
        <f t="shared" si="7589"/>
        <v>0</v>
      </c>
      <c r="DF216" s="549">
        <f t="shared" si="7589"/>
        <v>0</v>
      </c>
      <c r="DG216" s="675">
        <f t="shared" si="7589"/>
        <v>0</v>
      </c>
      <c r="DH216" s="549">
        <f t="shared" si="7589"/>
        <v>0</v>
      </c>
      <c r="DI216" s="675">
        <f t="shared" si="7589"/>
        <v>0</v>
      </c>
      <c r="DJ216" s="549">
        <f t="shared" si="7589"/>
        <v>0</v>
      </c>
      <c r="DK216" s="675">
        <f t="shared" si="7589"/>
        <v>0</v>
      </c>
      <c r="DL216" s="549">
        <f t="shared" si="7589"/>
        <v>0</v>
      </c>
      <c r="DM216" s="675">
        <f t="shared" si="7589"/>
        <v>0</v>
      </c>
      <c r="DN216" s="549">
        <f t="shared" si="7589"/>
        <v>0</v>
      </c>
      <c r="DO216" s="675">
        <f t="shared" si="7589"/>
        <v>0</v>
      </c>
      <c r="DP216" s="549">
        <f t="shared" si="7589"/>
        <v>0</v>
      </c>
      <c r="DQ216" s="675">
        <f t="shared" si="7589"/>
        <v>-3275</v>
      </c>
      <c r="DR216" s="549">
        <f t="shared" si="7589"/>
        <v>0</v>
      </c>
      <c r="DS216" s="675">
        <f t="shared" si="7589"/>
        <v>0</v>
      </c>
      <c r="DT216" s="549">
        <f t="shared" si="7589"/>
        <v>0</v>
      </c>
      <c r="DU216" s="675">
        <f t="shared" si="7589"/>
        <v>0</v>
      </c>
      <c r="DV216" s="549">
        <f t="shared" si="7589"/>
        <v>0</v>
      </c>
      <c r="DW216" s="675">
        <f t="shared" si="7589"/>
        <v>0</v>
      </c>
      <c r="DX216" s="549">
        <f t="shared" si="7589"/>
        <v>0</v>
      </c>
      <c r="DY216" s="675">
        <f t="shared" si="7589"/>
        <v>0</v>
      </c>
      <c r="DZ216" s="549">
        <f t="shared" si="7589"/>
        <v>0</v>
      </c>
      <c r="EA216" s="675">
        <f t="shared" si="7589"/>
        <v>0</v>
      </c>
      <c r="EB216" s="549">
        <f t="shared" si="7589"/>
        <v>0</v>
      </c>
      <c r="EC216" s="675">
        <f t="shared" si="7589"/>
        <v>0</v>
      </c>
      <c r="ED216" s="549">
        <f t="shared" si="7589"/>
        <v>0</v>
      </c>
      <c r="EE216" s="675">
        <f t="shared" si="7589"/>
        <v>0</v>
      </c>
      <c r="EF216" s="549">
        <f t="shared" ref="EF216:EG216" si="7590">+EF547</f>
        <v>0</v>
      </c>
      <c r="EG216" s="675">
        <f t="shared" si="7590"/>
        <v>0</v>
      </c>
      <c r="EH216" s="549">
        <f t="shared" ref="EH216:FG216" si="7591">+EH547</f>
        <v>0</v>
      </c>
      <c r="EI216" s="675">
        <f t="shared" si="7591"/>
        <v>0</v>
      </c>
      <c r="EJ216" s="549">
        <f t="shared" si="7591"/>
        <v>47500</v>
      </c>
      <c r="EK216" s="675">
        <f t="shared" si="7591"/>
        <v>0</v>
      </c>
      <c r="EL216" s="549">
        <f t="shared" si="7591"/>
        <v>0</v>
      </c>
      <c r="EM216" s="675">
        <f t="shared" si="7591"/>
        <v>0</v>
      </c>
      <c r="EN216" s="549">
        <f t="shared" si="7591"/>
        <v>0</v>
      </c>
      <c r="EO216" s="675">
        <f t="shared" si="7591"/>
        <v>0</v>
      </c>
      <c r="EP216" s="549">
        <f t="shared" si="7591"/>
        <v>0</v>
      </c>
      <c r="EQ216" s="675">
        <f t="shared" si="7591"/>
        <v>0</v>
      </c>
      <c r="ER216" s="549">
        <f t="shared" si="7591"/>
        <v>0</v>
      </c>
      <c r="ES216" s="675">
        <f t="shared" si="7591"/>
        <v>0</v>
      </c>
      <c r="ET216" s="549">
        <f t="shared" si="7591"/>
        <v>0</v>
      </c>
      <c r="EU216" s="675">
        <f t="shared" si="7591"/>
        <v>0</v>
      </c>
      <c r="EV216" s="549">
        <f t="shared" si="7591"/>
        <v>0</v>
      </c>
      <c r="EW216" s="675">
        <f t="shared" si="7591"/>
        <v>0</v>
      </c>
      <c r="EX216" s="549">
        <f t="shared" si="7591"/>
        <v>0</v>
      </c>
      <c r="EY216" s="675">
        <f t="shared" si="7591"/>
        <v>0</v>
      </c>
      <c r="EZ216" s="549">
        <f t="shared" si="7591"/>
        <v>15400</v>
      </c>
      <c r="FA216" s="675">
        <f t="shared" si="7591"/>
        <v>0</v>
      </c>
      <c r="FB216" s="549">
        <f t="shared" si="7591"/>
        <v>0</v>
      </c>
      <c r="FC216" s="675">
        <f t="shared" si="7591"/>
        <v>0</v>
      </c>
      <c r="FD216" s="549">
        <f t="shared" si="7591"/>
        <v>2600</v>
      </c>
      <c r="FE216" s="675">
        <f t="shared" si="7591"/>
        <v>0</v>
      </c>
      <c r="FF216" s="549">
        <f t="shared" si="7591"/>
        <v>0</v>
      </c>
      <c r="FG216" s="675">
        <f t="shared" si="7591"/>
        <v>0</v>
      </c>
      <c r="FH216" s="549">
        <f t="shared" ref="FH216:GR216" si="7592">+FH547+FH352</f>
        <v>4200</v>
      </c>
      <c r="FI216" s="675">
        <f t="shared" si="7592"/>
        <v>0</v>
      </c>
      <c r="FJ216" s="549">
        <f t="shared" si="7592"/>
        <v>0</v>
      </c>
      <c r="FK216" s="675">
        <f t="shared" si="7592"/>
        <v>0</v>
      </c>
      <c r="FL216" s="549">
        <f t="shared" si="7592"/>
        <v>0</v>
      </c>
      <c r="FM216" s="675">
        <f t="shared" si="7592"/>
        <v>0</v>
      </c>
      <c r="FN216" s="549">
        <f t="shared" si="7592"/>
        <v>0</v>
      </c>
      <c r="FO216" s="675">
        <f t="shared" si="7592"/>
        <v>0</v>
      </c>
      <c r="FP216" s="549">
        <f t="shared" si="7592"/>
        <v>0</v>
      </c>
      <c r="FQ216" s="675">
        <f t="shared" si="7592"/>
        <v>0</v>
      </c>
      <c r="FR216" s="549">
        <f t="shared" si="7592"/>
        <v>0</v>
      </c>
      <c r="FS216" s="675">
        <f t="shared" si="7592"/>
        <v>0</v>
      </c>
      <c r="FT216" s="549">
        <f t="shared" si="7592"/>
        <v>300</v>
      </c>
      <c r="FU216" s="675">
        <f t="shared" si="7592"/>
        <v>0</v>
      </c>
      <c r="FV216" s="549">
        <f t="shared" si="7592"/>
        <v>0</v>
      </c>
      <c r="FW216" s="675">
        <f t="shared" si="7592"/>
        <v>0</v>
      </c>
      <c r="FX216" s="549">
        <f t="shared" si="7592"/>
        <v>0</v>
      </c>
      <c r="FY216" s="675">
        <f t="shared" si="7592"/>
        <v>0</v>
      </c>
      <c r="FZ216" s="549">
        <f t="shared" si="7592"/>
        <v>0</v>
      </c>
      <c r="GA216" s="675">
        <f t="shared" si="7592"/>
        <v>0</v>
      </c>
      <c r="GB216" s="549">
        <f t="shared" si="7592"/>
        <v>0</v>
      </c>
      <c r="GC216" s="675">
        <f t="shared" si="7592"/>
        <v>0</v>
      </c>
      <c r="GD216" s="549">
        <f t="shared" si="7592"/>
        <v>0</v>
      </c>
      <c r="GE216" s="675">
        <f t="shared" si="7592"/>
        <v>0</v>
      </c>
      <c r="GF216" s="549">
        <f t="shared" si="7592"/>
        <v>0</v>
      </c>
      <c r="GG216" s="675">
        <f t="shared" si="7592"/>
        <v>0</v>
      </c>
      <c r="GH216" s="549">
        <f t="shared" si="7592"/>
        <v>0</v>
      </c>
      <c r="GI216" s="675">
        <f t="shared" si="7592"/>
        <v>0</v>
      </c>
      <c r="GJ216" s="549">
        <f t="shared" si="7592"/>
        <v>0</v>
      </c>
      <c r="GK216" s="675">
        <f t="shared" si="7592"/>
        <v>0</v>
      </c>
      <c r="GL216" s="549">
        <f t="shared" si="7592"/>
        <v>0</v>
      </c>
      <c r="GM216" s="675">
        <f t="shared" si="7592"/>
        <v>0</v>
      </c>
      <c r="GN216" s="549">
        <f t="shared" si="7592"/>
        <v>0</v>
      </c>
      <c r="GO216" s="675">
        <f t="shared" si="7592"/>
        <v>0</v>
      </c>
      <c r="GP216" s="74">
        <f t="shared" si="7592"/>
        <v>88000</v>
      </c>
      <c r="GQ216" s="675">
        <f t="shared" si="7592"/>
        <v>-3275</v>
      </c>
      <c r="GR216" s="74">
        <f t="shared" si="7592"/>
        <v>94725</v>
      </c>
      <c r="GS216" s="74">
        <f t="shared" ref="GS216:JD216" si="7593">+GS547+GS352</f>
        <v>94725</v>
      </c>
      <c r="GT216" s="74">
        <f t="shared" si="7593"/>
        <v>90525</v>
      </c>
      <c r="GU216" s="74">
        <f t="shared" si="7593"/>
        <v>5000</v>
      </c>
      <c r="GV216" s="74">
        <f t="shared" si="7593"/>
        <v>0</v>
      </c>
      <c r="GW216" s="549">
        <f t="shared" si="7593"/>
        <v>5000</v>
      </c>
      <c r="GX216" s="549">
        <f t="shared" si="7593"/>
        <v>0</v>
      </c>
      <c r="GY216" s="74">
        <f t="shared" si="7593"/>
        <v>0</v>
      </c>
      <c r="GZ216" s="74">
        <f t="shared" si="7593"/>
        <v>0</v>
      </c>
      <c r="HA216" s="74">
        <f t="shared" si="7593"/>
        <v>0</v>
      </c>
      <c r="HB216" s="74">
        <f t="shared" si="7593"/>
        <v>0</v>
      </c>
      <c r="HC216" s="74">
        <f t="shared" si="7593"/>
        <v>0</v>
      </c>
      <c r="HD216" s="74">
        <f t="shared" si="7593"/>
        <v>0</v>
      </c>
      <c r="HE216" s="74">
        <f t="shared" si="7593"/>
        <v>0</v>
      </c>
      <c r="HF216" s="74">
        <f t="shared" si="7593"/>
        <v>0</v>
      </c>
      <c r="HG216" s="74">
        <f t="shared" si="7593"/>
        <v>94725</v>
      </c>
      <c r="HH216" s="74">
        <f t="shared" si="7593"/>
        <v>5000</v>
      </c>
      <c r="HI216" s="74">
        <f t="shared" si="7593"/>
        <v>0</v>
      </c>
      <c r="HJ216" s="74">
        <f t="shared" si="7593"/>
        <v>0</v>
      </c>
      <c r="HK216" s="74">
        <f t="shared" si="7593"/>
        <v>0</v>
      </c>
      <c r="HL216" s="74">
        <f t="shared" si="7593"/>
        <v>0</v>
      </c>
      <c r="HM216" s="74">
        <f t="shared" si="7593"/>
        <v>0</v>
      </c>
      <c r="HN216" s="74">
        <f t="shared" si="7593"/>
        <v>0</v>
      </c>
      <c r="HO216" s="74">
        <f t="shared" si="7593"/>
        <v>0</v>
      </c>
      <c r="HP216" s="74">
        <f t="shared" si="7593"/>
        <v>0</v>
      </c>
      <c r="HQ216" s="74">
        <f t="shared" si="7593"/>
        <v>0</v>
      </c>
      <c r="HR216" s="74">
        <f t="shared" si="7593"/>
        <v>14000</v>
      </c>
      <c r="HS216" s="74">
        <f t="shared" si="7593"/>
        <v>0</v>
      </c>
      <c r="HT216" s="74">
        <f t="shared" si="7593"/>
        <v>5000</v>
      </c>
      <c r="HU216" s="74">
        <f t="shared" si="7593"/>
        <v>0</v>
      </c>
      <c r="HV216" s="74">
        <f t="shared" si="7593"/>
        <v>725</v>
      </c>
      <c r="HW216" s="74">
        <f t="shared" si="7593"/>
        <v>0</v>
      </c>
      <c r="HX216" s="74">
        <f t="shared" si="7593"/>
        <v>62900</v>
      </c>
      <c r="HY216" s="74">
        <f t="shared" si="7593"/>
        <v>0</v>
      </c>
      <c r="HZ216" s="74">
        <f t="shared" si="7593"/>
        <v>2900</v>
      </c>
      <c r="IA216" s="74">
        <f t="shared" si="7593"/>
        <v>0</v>
      </c>
      <c r="IB216" s="74">
        <f t="shared" si="7593"/>
        <v>0</v>
      </c>
      <c r="IC216" s="74">
        <f t="shared" si="7593"/>
        <v>0</v>
      </c>
      <c r="ID216" s="74">
        <f t="shared" si="7593"/>
        <v>0</v>
      </c>
      <c r="IE216" s="792">
        <f t="shared" si="7593"/>
        <v>0</v>
      </c>
      <c r="IF216" s="841">
        <f t="shared" si="7593"/>
        <v>90225</v>
      </c>
      <c r="IG216" s="263">
        <f t="shared" si="7593"/>
        <v>90225</v>
      </c>
      <c r="IH216" s="842">
        <f t="shared" si="7593"/>
        <v>90225</v>
      </c>
      <c r="II216" s="155">
        <f t="shared" si="7593"/>
        <v>0</v>
      </c>
      <c r="IJ216" s="74">
        <f t="shared" si="7593"/>
        <v>0</v>
      </c>
      <c r="IK216" s="74">
        <f t="shared" si="7593"/>
        <v>0</v>
      </c>
      <c r="IL216" s="74">
        <f t="shared" si="7593"/>
        <v>0</v>
      </c>
      <c r="IM216" s="74">
        <f t="shared" si="7593"/>
        <v>0</v>
      </c>
      <c r="IN216" s="74">
        <f t="shared" si="7593"/>
        <v>0</v>
      </c>
      <c r="IO216" s="74">
        <f t="shared" si="7593"/>
        <v>0</v>
      </c>
      <c r="IP216" s="74">
        <f t="shared" si="7593"/>
        <v>0</v>
      </c>
      <c r="IQ216" s="74">
        <f t="shared" si="7593"/>
        <v>0</v>
      </c>
      <c r="IR216" s="74">
        <f t="shared" si="7593"/>
        <v>1000</v>
      </c>
      <c r="IS216" s="74">
        <f t="shared" si="7593"/>
        <v>1000</v>
      </c>
      <c r="IT216" s="74">
        <f t="shared" si="7593"/>
        <v>1000</v>
      </c>
      <c r="IU216" s="74">
        <f t="shared" si="7593"/>
        <v>0</v>
      </c>
      <c r="IV216" s="74">
        <f t="shared" si="7593"/>
        <v>0</v>
      </c>
      <c r="IW216" s="74">
        <f t="shared" si="7593"/>
        <v>0</v>
      </c>
      <c r="IX216" s="74">
        <f t="shared" si="7593"/>
        <v>18000</v>
      </c>
      <c r="IY216" s="74">
        <f t="shared" si="7593"/>
        <v>18000</v>
      </c>
      <c r="IZ216" s="74">
        <f t="shared" si="7593"/>
        <v>18000</v>
      </c>
      <c r="JA216" s="74">
        <f t="shared" si="7593"/>
        <v>1625</v>
      </c>
      <c r="JB216" s="74">
        <f t="shared" si="7593"/>
        <v>1625</v>
      </c>
      <c r="JC216" s="74">
        <f t="shared" si="7593"/>
        <v>1625</v>
      </c>
      <c r="JD216" s="74">
        <f t="shared" si="7593"/>
        <v>4100</v>
      </c>
      <c r="JE216" s="74">
        <f t="shared" ref="JE216:JT216" si="7594">+JE547+JE352</f>
        <v>4100</v>
      </c>
      <c r="JF216" s="74">
        <f t="shared" si="7594"/>
        <v>4100</v>
      </c>
      <c r="JG216" s="74">
        <f t="shared" si="7594"/>
        <v>47500</v>
      </c>
      <c r="JH216" s="74">
        <f t="shared" si="7594"/>
        <v>47500</v>
      </c>
      <c r="JI216" s="74">
        <f t="shared" si="7594"/>
        <v>47500</v>
      </c>
      <c r="JJ216" s="74">
        <f t="shared" si="7594"/>
        <v>18000</v>
      </c>
      <c r="JK216" s="74">
        <f t="shared" si="7594"/>
        <v>18000</v>
      </c>
      <c r="JL216" s="74">
        <f t="shared" si="7594"/>
        <v>18000</v>
      </c>
      <c r="JM216" s="74">
        <f t="shared" si="7594"/>
        <v>0</v>
      </c>
      <c r="JN216" s="74">
        <f t="shared" si="7594"/>
        <v>0</v>
      </c>
      <c r="JO216" s="74">
        <f t="shared" si="7594"/>
        <v>0</v>
      </c>
      <c r="JP216" s="74">
        <f t="shared" si="7594"/>
        <v>0</v>
      </c>
      <c r="JQ216" s="74">
        <f t="shared" si="7594"/>
        <v>0</v>
      </c>
      <c r="JR216" s="74">
        <f t="shared" si="7594"/>
        <v>0</v>
      </c>
      <c r="JS216" s="74">
        <f t="shared" si="7594"/>
        <v>4500</v>
      </c>
      <c r="JT216" s="102">
        <f t="shared" si="7594"/>
        <v>4500</v>
      </c>
      <c r="JU216" s="671"/>
      <c r="JV216" s="492"/>
      <c r="JW216" s="490"/>
      <c r="JX216" s="549">
        <f>SUM(JX547)+JX352</f>
        <v>90525</v>
      </c>
      <c r="JY216" s="549">
        <f t="shared" ref="JY216:KB216" si="7595">SUM(JY547)+JY352</f>
        <v>0</v>
      </c>
      <c r="JZ216" s="798">
        <f t="shared" si="7595"/>
        <v>88000</v>
      </c>
      <c r="KA216" s="798">
        <f t="shared" si="7595"/>
        <v>-3275</v>
      </c>
      <c r="KB216" s="549">
        <f t="shared" si="7595"/>
        <v>94725</v>
      </c>
      <c r="KC216" s="709">
        <f t="shared" si="7396"/>
        <v>0</v>
      </c>
      <c r="KD216" s="36"/>
      <c r="KE216" s="36"/>
      <c r="KF216" s="36"/>
      <c r="KG216" s="36"/>
      <c r="KH216" s="36"/>
      <c r="KI216" s="36"/>
      <c r="KJ216" s="36"/>
      <c r="KK216" s="36"/>
    </row>
    <row r="217" spans="1:297" s="8" customFormat="1">
      <c r="A217" s="75"/>
      <c r="B217" s="72"/>
      <c r="C217" s="74"/>
      <c r="D217" s="549"/>
      <c r="E217" s="675"/>
      <c r="F217" s="549"/>
      <c r="G217" s="675"/>
      <c r="H217" s="549"/>
      <c r="I217" s="675"/>
      <c r="J217" s="549"/>
      <c r="K217" s="675"/>
      <c r="L217" s="549"/>
      <c r="M217" s="675"/>
      <c r="N217" s="549"/>
      <c r="O217" s="675"/>
      <c r="P217" s="549"/>
      <c r="Q217" s="675"/>
      <c r="R217" s="549"/>
      <c r="S217" s="675"/>
      <c r="T217" s="549"/>
      <c r="U217" s="675"/>
      <c r="V217" s="549"/>
      <c r="W217" s="675"/>
      <c r="X217" s="549"/>
      <c r="Y217" s="675"/>
      <c r="Z217" s="549"/>
      <c r="AA217" s="675"/>
      <c r="AB217" s="549"/>
      <c r="AC217" s="675"/>
      <c r="AD217" s="549"/>
      <c r="AE217" s="675"/>
      <c r="AF217" s="549"/>
      <c r="AG217" s="675"/>
      <c r="AH217" s="549"/>
      <c r="AI217" s="675"/>
      <c r="AJ217" s="549"/>
      <c r="AK217" s="675"/>
      <c r="AL217" s="549"/>
      <c r="AM217" s="675"/>
      <c r="AN217" s="549"/>
      <c r="AO217" s="675"/>
      <c r="AP217" s="549"/>
      <c r="AQ217" s="675"/>
      <c r="AR217" s="549"/>
      <c r="AS217" s="675"/>
      <c r="AT217" s="549"/>
      <c r="AU217" s="675"/>
      <c r="AV217" s="549"/>
      <c r="AW217" s="675"/>
      <c r="AX217" s="549"/>
      <c r="AY217" s="675"/>
      <c r="AZ217" s="549"/>
      <c r="BA217" s="675"/>
      <c r="BB217" s="549"/>
      <c r="BC217" s="675"/>
      <c r="BD217" s="549"/>
      <c r="BE217" s="675"/>
      <c r="BF217" s="549"/>
      <c r="BG217" s="675"/>
      <c r="BH217" s="549"/>
      <c r="BI217" s="675"/>
      <c r="BJ217" s="549"/>
      <c r="BK217" s="675"/>
      <c r="BL217" s="549"/>
      <c r="BM217" s="675"/>
      <c r="BN217" s="549"/>
      <c r="BO217" s="675"/>
      <c r="BP217" s="549"/>
      <c r="BQ217" s="675"/>
      <c r="BR217" s="549"/>
      <c r="BS217" s="675"/>
      <c r="BT217" s="549"/>
      <c r="BU217" s="675"/>
      <c r="BV217" s="549"/>
      <c r="BW217" s="675"/>
      <c r="BX217" s="549"/>
      <c r="BY217" s="675"/>
      <c r="BZ217" s="549"/>
      <c r="CA217" s="675"/>
      <c r="CB217" s="549"/>
      <c r="CC217" s="675"/>
      <c r="CD217" s="549"/>
      <c r="CE217" s="675"/>
      <c r="CF217" s="549"/>
      <c r="CG217" s="675"/>
      <c r="CH217" s="549"/>
      <c r="CI217" s="675"/>
      <c r="CJ217" s="549"/>
      <c r="CK217" s="675"/>
      <c r="CL217" s="549"/>
      <c r="CM217" s="675"/>
      <c r="CN217" s="549"/>
      <c r="CO217" s="675"/>
      <c r="CP217" s="549"/>
      <c r="CQ217" s="675"/>
      <c r="CR217" s="549"/>
      <c r="CS217" s="675"/>
      <c r="CT217" s="549"/>
      <c r="CU217" s="675"/>
      <c r="CV217" s="549"/>
      <c r="CW217" s="675"/>
      <c r="CX217" s="549"/>
      <c r="CY217" s="675"/>
      <c r="CZ217" s="549"/>
      <c r="DA217" s="675"/>
      <c r="DB217" s="549"/>
      <c r="DC217" s="675"/>
      <c r="DD217" s="549"/>
      <c r="DE217" s="675"/>
      <c r="DF217" s="549"/>
      <c r="DG217" s="675"/>
      <c r="DH217" s="549"/>
      <c r="DI217" s="675"/>
      <c r="DJ217" s="549"/>
      <c r="DK217" s="675"/>
      <c r="DL217" s="549"/>
      <c r="DM217" s="675"/>
      <c r="DN217" s="549"/>
      <c r="DO217" s="675"/>
      <c r="DP217" s="549"/>
      <c r="DQ217" s="675"/>
      <c r="DR217" s="549"/>
      <c r="DS217" s="675"/>
      <c r="DT217" s="549"/>
      <c r="DU217" s="675"/>
      <c r="DV217" s="549"/>
      <c r="DW217" s="675"/>
      <c r="DX217" s="549"/>
      <c r="DY217" s="675"/>
      <c r="DZ217" s="549"/>
      <c r="EA217" s="675"/>
      <c r="EB217" s="549"/>
      <c r="EC217" s="675"/>
      <c r="ED217" s="549"/>
      <c r="EE217" s="675"/>
      <c r="EF217" s="549"/>
      <c r="EG217" s="675"/>
      <c r="EH217" s="549"/>
      <c r="EI217" s="675"/>
      <c r="EJ217" s="549"/>
      <c r="EK217" s="675"/>
      <c r="EL217" s="549"/>
      <c r="EM217" s="675"/>
      <c r="EN217" s="549"/>
      <c r="EO217" s="675"/>
      <c r="EP217" s="549"/>
      <c r="EQ217" s="675"/>
      <c r="ER217" s="549"/>
      <c r="ES217" s="675"/>
      <c r="ET217" s="549"/>
      <c r="EU217" s="675"/>
      <c r="EV217" s="549"/>
      <c r="EW217" s="675"/>
      <c r="EX217" s="549"/>
      <c r="EY217" s="675"/>
      <c r="EZ217" s="549"/>
      <c r="FA217" s="675"/>
      <c r="FB217" s="549"/>
      <c r="FC217" s="675"/>
      <c r="FD217" s="549"/>
      <c r="FE217" s="675"/>
      <c r="FF217" s="549"/>
      <c r="FG217" s="675"/>
      <c r="FH217" s="549"/>
      <c r="FI217" s="675"/>
      <c r="FJ217" s="549"/>
      <c r="FK217" s="675"/>
      <c r="FL217" s="549"/>
      <c r="FM217" s="675"/>
      <c r="FN217" s="549"/>
      <c r="FO217" s="675"/>
      <c r="FP217" s="549"/>
      <c r="FQ217" s="675"/>
      <c r="FR217" s="549"/>
      <c r="FS217" s="675"/>
      <c r="FT217" s="549"/>
      <c r="FU217" s="675"/>
      <c r="FV217" s="549"/>
      <c r="FW217" s="675"/>
      <c r="FX217" s="549"/>
      <c r="FY217" s="675"/>
      <c r="FZ217" s="549"/>
      <c r="GA217" s="675"/>
      <c r="GB217" s="549"/>
      <c r="GC217" s="675"/>
      <c r="GD217" s="549"/>
      <c r="GE217" s="675"/>
      <c r="GF217" s="549"/>
      <c r="GG217" s="675"/>
      <c r="GH217" s="549"/>
      <c r="GI217" s="675"/>
      <c r="GJ217" s="549"/>
      <c r="GK217" s="675"/>
      <c r="GL217" s="549"/>
      <c r="GM217" s="675"/>
      <c r="GN217" s="549"/>
      <c r="GO217" s="675"/>
      <c r="GP217" s="74"/>
      <c r="GQ217" s="675"/>
      <c r="GR217" s="74"/>
      <c r="GS217" s="74"/>
      <c r="GT217" s="549"/>
      <c r="GU217" s="74"/>
      <c r="GV217" s="74"/>
      <c r="GW217" s="549"/>
      <c r="GX217" s="549"/>
      <c r="GY217" s="74"/>
      <c r="GZ217" s="74"/>
      <c r="HA217" s="74"/>
      <c r="HB217" s="74"/>
      <c r="HC217" s="74"/>
      <c r="HD217" s="74"/>
      <c r="HE217" s="74"/>
      <c r="HF217" s="74"/>
      <c r="HG217" s="74"/>
      <c r="HH217" s="74"/>
      <c r="HI217" s="74"/>
      <c r="HJ217" s="74"/>
      <c r="HK217" s="74"/>
      <c r="HL217" s="74"/>
      <c r="HM217" s="74"/>
      <c r="HN217" s="74"/>
      <c r="HO217" s="74"/>
      <c r="HP217" s="74"/>
      <c r="HQ217" s="74"/>
      <c r="HR217" s="74"/>
      <c r="HS217" s="74"/>
      <c r="HT217" s="74"/>
      <c r="HU217" s="74"/>
      <c r="HV217" s="74"/>
      <c r="HW217" s="74"/>
      <c r="HX217" s="74"/>
      <c r="HY217" s="74"/>
      <c r="HZ217" s="74"/>
      <c r="IA217" s="74"/>
      <c r="IB217" s="74"/>
      <c r="IC217" s="74"/>
      <c r="ID217" s="74"/>
      <c r="IE217" s="792"/>
      <c r="IF217" s="841"/>
      <c r="IG217" s="263"/>
      <c r="IH217" s="842"/>
      <c r="II217" s="155"/>
      <c r="IJ217" s="74"/>
      <c r="IK217" s="74"/>
      <c r="IL217" s="74"/>
      <c r="IM217" s="74"/>
      <c r="IN217" s="74"/>
      <c r="IO217" s="74"/>
      <c r="IP217" s="74"/>
      <c r="IQ217" s="74"/>
      <c r="IR217" s="74"/>
      <c r="IS217" s="74"/>
      <c r="IT217" s="74"/>
      <c r="IU217" s="74"/>
      <c r="IV217" s="74"/>
      <c r="IW217" s="74"/>
      <c r="IX217" s="74"/>
      <c r="IY217" s="74"/>
      <c r="IZ217" s="74"/>
      <c r="JA217" s="74"/>
      <c r="JB217" s="74"/>
      <c r="JC217" s="74"/>
      <c r="JD217" s="74"/>
      <c r="JE217" s="74"/>
      <c r="JF217" s="74"/>
      <c r="JG217" s="74"/>
      <c r="JH217" s="74"/>
      <c r="JI217" s="74"/>
      <c r="JJ217" s="74"/>
      <c r="JK217" s="74"/>
      <c r="JL217" s="74"/>
      <c r="JM217" s="74"/>
      <c r="JN217" s="74"/>
      <c r="JO217" s="74"/>
      <c r="JP217" s="74"/>
      <c r="JQ217" s="74"/>
      <c r="JR217" s="74"/>
      <c r="JS217" s="74"/>
      <c r="JT217" s="382"/>
      <c r="JU217" s="670"/>
      <c r="JV217" s="489"/>
      <c r="JW217" s="528"/>
      <c r="JX217" s="549"/>
      <c r="JY217" s="549"/>
      <c r="JZ217" s="581">
        <f t="shared" si="7470"/>
        <v>0</v>
      </c>
      <c r="KA217" s="581">
        <f t="shared" si="7471"/>
        <v>0</v>
      </c>
      <c r="KB217" s="549"/>
      <c r="KC217" s="709">
        <f t="shared" si="7396"/>
        <v>0</v>
      </c>
      <c r="KD217" s="36"/>
      <c r="KE217" s="36"/>
      <c r="KF217" s="36"/>
      <c r="KG217" s="36"/>
      <c r="KH217" s="36"/>
      <c r="KI217" s="36"/>
      <c r="KJ217" s="36"/>
      <c r="KK217" s="36"/>
    </row>
    <row r="218" spans="1:297" s="8" customFormat="1">
      <c r="A218" s="75">
        <v>620</v>
      </c>
      <c r="B218" s="72" t="s">
        <v>208</v>
      </c>
      <c r="C218" s="74">
        <f t="shared" ref="C218" si="7596">SUM(C219:C222)</f>
        <v>50000</v>
      </c>
      <c r="D218" s="549">
        <f t="shared" ref="D218:E218" si="7597">SUM(D219:D222)</f>
        <v>0</v>
      </c>
      <c r="E218" s="675">
        <f t="shared" si="7597"/>
        <v>0</v>
      </c>
      <c r="F218" s="549">
        <f t="shared" ref="F218:G218" si="7598">SUM(F219:F222)</f>
        <v>0</v>
      </c>
      <c r="G218" s="675">
        <f t="shared" si="7598"/>
        <v>0</v>
      </c>
      <c r="H218" s="549">
        <f t="shared" ref="H218:I218" si="7599">SUM(H219:H222)</f>
        <v>0</v>
      </c>
      <c r="I218" s="675">
        <f t="shared" si="7599"/>
        <v>0</v>
      </c>
      <c r="J218" s="549">
        <f t="shared" ref="J218:K218" si="7600">SUM(J219:J222)</f>
        <v>0</v>
      </c>
      <c r="K218" s="675">
        <f t="shared" si="7600"/>
        <v>0</v>
      </c>
      <c r="L218" s="549">
        <f t="shared" ref="L218:M218" si="7601">SUM(L219:L222)</f>
        <v>0</v>
      </c>
      <c r="M218" s="675">
        <f t="shared" si="7601"/>
        <v>0</v>
      </c>
      <c r="N218" s="549">
        <f t="shared" ref="N218:O218" si="7602">SUM(N219:N222)</f>
        <v>0</v>
      </c>
      <c r="O218" s="675">
        <f t="shared" si="7602"/>
        <v>0</v>
      </c>
      <c r="P218" s="549">
        <f t="shared" ref="P218:Q218" si="7603">SUM(P219:P222)</f>
        <v>0</v>
      </c>
      <c r="Q218" s="675">
        <f t="shared" si="7603"/>
        <v>0</v>
      </c>
      <c r="R218" s="549">
        <f t="shared" ref="R218:S218" si="7604">SUM(R219:R222)</f>
        <v>0</v>
      </c>
      <c r="S218" s="675">
        <f t="shared" si="7604"/>
        <v>0</v>
      </c>
      <c r="T218" s="549">
        <f t="shared" ref="T218:U218" si="7605">SUM(T219:T222)</f>
        <v>0</v>
      </c>
      <c r="U218" s="675">
        <f t="shared" si="7605"/>
        <v>0</v>
      </c>
      <c r="V218" s="549">
        <f t="shared" ref="V218:W218" si="7606">SUM(V219:V222)</f>
        <v>0</v>
      </c>
      <c r="W218" s="675">
        <f t="shared" si="7606"/>
        <v>0</v>
      </c>
      <c r="X218" s="549">
        <f t="shared" ref="X218:Y218" si="7607">SUM(X219:X222)</f>
        <v>0</v>
      </c>
      <c r="Y218" s="675">
        <f t="shared" si="7607"/>
        <v>0</v>
      </c>
      <c r="Z218" s="549">
        <f t="shared" ref="Z218:AA218" si="7608">SUM(Z219:Z222)</f>
        <v>0</v>
      </c>
      <c r="AA218" s="675">
        <f t="shared" si="7608"/>
        <v>0</v>
      </c>
      <c r="AB218" s="549">
        <f t="shared" ref="AB218:AC218" si="7609">SUM(AB219:AB222)</f>
        <v>0</v>
      </c>
      <c r="AC218" s="675">
        <f t="shared" si="7609"/>
        <v>0</v>
      </c>
      <c r="AD218" s="549">
        <f t="shared" ref="AD218:AK218" si="7610">SUM(AD219:AD222)</f>
        <v>0</v>
      </c>
      <c r="AE218" s="675">
        <f t="shared" si="7610"/>
        <v>0</v>
      </c>
      <c r="AF218" s="549">
        <f t="shared" si="7610"/>
        <v>0</v>
      </c>
      <c r="AG218" s="675">
        <f t="shared" si="7610"/>
        <v>0</v>
      </c>
      <c r="AH218" s="549">
        <f t="shared" si="7610"/>
        <v>0</v>
      </c>
      <c r="AI218" s="675">
        <f t="shared" si="7610"/>
        <v>0</v>
      </c>
      <c r="AJ218" s="549">
        <f t="shared" si="7610"/>
        <v>0</v>
      </c>
      <c r="AK218" s="675">
        <f t="shared" si="7610"/>
        <v>0</v>
      </c>
      <c r="AL218" s="549">
        <f t="shared" ref="AL218:AM218" si="7611">SUM(AL219:AL222)</f>
        <v>0</v>
      </c>
      <c r="AM218" s="675">
        <f t="shared" si="7611"/>
        <v>0</v>
      </c>
      <c r="AN218" s="549">
        <f t="shared" ref="AN218:AS218" si="7612">SUM(AN219:AN222)</f>
        <v>0</v>
      </c>
      <c r="AO218" s="675">
        <f t="shared" si="7612"/>
        <v>0</v>
      </c>
      <c r="AP218" s="549">
        <f t="shared" si="7612"/>
        <v>0</v>
      </c>
      <c r="AQ218" s="675">
        <f t="shared" si="7612"/>
        <v>0</v>
      </c>
      <c r="AR218" s="549">
        <f t="shared" si="7612"/>
        <v>0</v>
      </c>
      <c r="AS218" s="675">
        <f t="shared" si="7612"/>
        <v>0</v>
      </c>
      <c r="AT218" s="549">
        <f t="shared" ref="AT218:AU218" si="7613">SUM(AT219:AT222)</f>
        <v>0</v>
      </c>
      <c r="AU218" s="675">
        <f t="shared" si="7613"/>
        <v>0</v>
      </c>
      <c r="AV218" s="549">
        <f t="shared" ref="AV218:AW218" si="7614">SUM(AV219:AV222)</f>
        <v>0</v>
      </c>
      <c r="AW218" s="675">
        <f t="shared" si="7614"/>
        <v>0</v>
      </c>
      <c r="AX218" s="549">
        <f t="shared" ref="AX218:AY218" si="7615">SUM(AX219:AX222)</f>
        <v>0</v>
      </c>
      <c r="AY218" s="675">
        <f t="shared" si="7615"/>
        <v>0</v>
      </c>
      <c r="AZ218" s="549">
        <f t="shared" ref="AZ218:BA218" si="7616">SUM(AZ219:AZ222)</f>
        <v>0</v>
      </c>
      <c r="BA218" s="675">
        <f t="shared" si="7616"/>
        <v>0</v>
      </c>
      <c r="BB218" s="549">
        <f t="shared" ref="BB218:BC218" si="7617">SUM(BB219:BB222)</f>
        <v>0</v>
      </c>
      <c r="BC218" s="675">
        <f t="shared" si="7617"/>
        <v>0</v>
      </c>
      <c r="BD218" s="549">
        <f t="shared" ref="BD218:BE218" si="7618">SUM(BD219:BD222)</f>
        <v>0</v>
      </c>
      <c r="BE218" s="675">
        <f t="shared" si="7618"/>
        <v>0</v>
      </c>
      <c r="BF218" s="549">
        <f t="shared" ref="BF218:BG218" si="7619">SUM(BF219:BF222)</f>
        <v>0</v>
      </c>
      <c r="BG218" s="675">
        <f t="shared" si="7619"/>
        <v>0</v>
      </c>
      <c r="BH218" s="549">
        <f t="shared" ref="BH218:BI218" si="7620">SUM(BH219:BH222)</f>
        <v>0</v>
      </c>
      <c r="BI218" s="675">
        <f t="shared" si="7620"/>
        <v>0</v>
      </c>
      <c r="BJ218" s="549">
        <f t="shared" ref="BJ218:BK218" si="7621">SUM(BJ219:BJ222)</f>
        <v>0</v>
      </c>
      <c r="BK218" s="675">
        <f t="shared" si="7621"/>
        <v>0</v>
      </c>
      <c r="BL218" s="549">
        <f t="shared" ref="BL218:BS218" si="7622">SUM(BL219:BL222)</f>
        <v>0</v>
      </c>
      <c r="BM218" s="675">
        <f t="shared" si="7622"/>
        <v>0</v>
      </c>
      <c r="BN218" s="549">
        <f t="shared" si="7622"/>
        <v>0</v>
      </c>
      <c r="BO218" s="675">
        <f t="shared" si="7622"/>
        <v>0</v>
      </c>
      <c r="BP218" s="549">
        <f t="shared" si="7622"/>
        <v>0</v>
      </c>
      <c r="BQ218" s="675">
        <f t="shared" si="7622"/>
        <v>0</v>
      </c>
      <c r="BR218" s="549">
        <f t="shared" si="7622"/>
        <v>0</v>
      </c>
      <c r="BS218" s="675">
        <f t="shared" si="7622"/>
        <v>0</v>
      </c>
      <c r="BT218" s="549">
        <f t="shared" ref="BT218:BU218" si="7623">SUM(BT219:BT222)</f>
        <v>0</v>
      </c>
      <c r="BU218" s="675">
        <f t="shared" si="7623"/>
        <v>0</v>
      </c>
      <c r="BV218" s="549">
        <f t="shared" ref="BV218:BW218" si="7624">SUM(BV219:BV222)</f>
        <v>0</v>
      </c>
      <c r="BW218" s="675">
        <f t="shared" si="7624"/>
        <v>0</v>
      </c>
      <c r="BX218" s="549">
        <f t="shared" ref="BX218:BY218" si="7625">SUM(BX219:BX222)</f>
        <v>0</v>
      </c>
      <c r="BY218" s="675">
        <f t="shared" si="7625"/>
        <v>0</v>
      </c>
      <c r="BZ218" s="549">
        <f t="shared" ref="BZ218:CA218" si="7626">SUM(BZ219:BZ222)</f>
        <v>0</v>
      </c>
      <c r="CA218" s="675">
        <f t="shared" si="7626"/>
        <v>0</v>
      </c>
      <c r="CB218" s="549">
        <f t="shared" ref="CB218:CE218" si="7627">SUM(CB219:CB222)</f>
        <v>0</v>
      </c>
      <c r="CC218" s="675">
        <f t="shared" si="7627"/>
        <v>0</v>
      </c>
      <c r="CD218" s="549">
        <f t="shared" si="7627"/>
        <v>0</v>
      </c>
      <c r="CE218" s="675">
        <f t="shared" si="7627"/>
        <v>0</v>
      </c>
      <c r="CF218" s="549">
        <f t="shared" ref="CF218:CQ218" si="7628">SUM(CF219:CF222)</f>
        <v>0</v>
      </c>
      <c r="CG218" s="675">
        <f t="shared" si="7628"/>
        <v>0</v>
      </c>
      <c r="CH218" s="549">
        <f t="shared" si="7628"/>
        <v>0</v>
      </c>
      <c r="CI218" s="675">
        <f t="shared" si="7628"/>
        <v>0</v>
      </c>
      <c r="CJ218" s="549">
        <f t="shared" si="7628"/>
        <v>0</v>
      </c>
      <c r="CK218" s="675">
        <f t="shared" si="7628"/>
        <v>-32000</v>
      </c>
      <c r="CL218" s="549">
        <f t="shared" si="7628"/>
        <v>0</v>
      </c>
      <c r="CM218" s="675">
        <f t="shared" si="7628"/>
        <v>0</v>
      </c>
      <c r="CN218" s="549">
        <f t="shared" si="7628"/>
        <v>0</v>
      </c>
      <c r="CO218" s="675">
        <f t="shared" si="7628"/>
        <v>0</v>
      </c>
      <c r="CP218" s="549">
        <f t="shared" si="7628"/>
        <v>0</v>
      </c>
      <c r="CQ218" s="675">
        <f t="shared" si="7628"/>
        <v>0</v>
      </c>
      <c r="CR218" s="549">
        <f t="shared" ref="CR218:CY218" si="7629">SUM(CR219:CR222)</f>
        <v>0</v>
      </c>
      <c r="CS218" s="675">
        <f t="shared" si="7629"/>
        <v>0</v>
      </c>
      <c r="CT218" s="549">
        <f t="shared" si="7629"/>
        <v>0</v>
      </c>
      <c r="CU218" s="675">
        <f t="shared" si="7629"/>
        <v>0</v>
      </c>
      <c r="CV218" s="549">
        <f t="shared" si="7629"/>
        <v>0</v>
      </c>
      <c r="CW218" s="675">
        <f t="shared" si="7629"/>
        <v>0</v>
      </c>
      <c r="CX218" s="549">
        <f t="shared" si="7629"/>
        <v>0</v>
      </c>
      <c r="CY218" s="675">
        <f t="shared" si="7629"/>
        <v>0</v>
      </c>
      <c r="CZ218" s="549">
        <f t="shared" ref="CZ218:DG218" si="7630">SUM(CZ219:CZ222)</f>
        <v>0</v>
      </c>
      <c r="DA218" s="675">
        <f t="shared" si="7630"/>
        <v>0</v>
      </c>
      <c r="DB218" s="549">
        <f t="shared" si="7630"/>
        <v>0</v>
      </c>
      <c r="DC218" s="675">
        <f t="shared" si="7630"/>
        <v>0</v>
      </c>
      <c r="DD218" s="549">
        <f t="shared" si="7630"/>
        <v>0</v>
      </c>
      <c r="DE218" s="675">
        <f t="shared" si="7630"/>
        <v>0</v>
      </c>
      <c r="DF218" s="549">
        <f t="shared" si="7630"/>
        <v>0</v>
      </c>
      <c r="DG218" s="675">
        <f t="shared" si="7630"/>
        <v>0</v>
      </c>
      <c r="DH218" s="549">
        <f t="shared" ref="DH218:DM218" si="7631">SUM(DH219:DH222)</f>
        <v>0</v>
      </c>
      <c r="DI218" s="675">
        <f t="shared" si="7631"/>
        <v>0</v>
      </c>
      <c r="DJ218" s="549">
        <f t="shared" si="7631"/>
        <v>0</v>
      </c>
      <c r="DK218" s="675">
        <f t="shared" si="7631"/>
        <v>0</v>
      </c>
      <c r="DL218" s="549">
        <f t="shared" si="7631"/>
        <v>0</v>
      </c>
      <c r="DM218" s="675">
        <f t="shared" si="7631"/>
        <v>0</v>
      </c>
      <c r="DN218" s="549">
        <f t="shared" ref="DN218:DW218" si="7632">SUM(DN219:DN222)</f>
        <v>0</v>
      </c>
      <c r="DO218" s="675">
        <f t="shared" si="7632"/>
        <v>0</v>
      </c>
      <c r="DP218" s="549">
        <f t="shared" si="7632"/>
        <v>0</v>
      </c>
      <c r="DQ218" s="675">
        <f t="shared" si="7632"/>
        <v>-4765</v>
      </c>
      <c r="DR218" s="549">
        <f t="shared" si="7632"/>
        <v>0</v>
      </c>
      <c r="DS218" s="675">
        <f t="shared" si="7632"/>
        <v>0</v>
      </c>
      <c r="DT218" s="549">
        <f t="shared" si="7632"/>
        <v>0</v>
      </c>
      <c r="DU218" s="675">
        <f t="shared" si="7632"/>
        <v>0</v>
      </c>
      <c r="DV218" s="549">
        <f t="shared" si="7632"/>
        <v>0</v>
      </c>
      <c r="DW218" s="675">
        <f t="shared" si="7632"/>
        <v>0</v>
      </c>
      <c r="DX218" s="549">
        <f t="shared" ref="DX218:EG218" si="7633">SUM(DX219:DX222)</f>
        <v>0</v>
      </c>
      <c r="DY218" s="675">
        <f t="shared" si="7633"/>
        <v>0</v>
      </c>
      <c r="DZ218" s="549">
        <f t="shared" si="7633"/>
        <v>0</v>
      </c>
      <c r="EA218" s="675">
        <f t="shared" si="7633"/>
        <v>0</v>
      </c>
      <c r="EB218" s="549">
        <f t="shared" si="7633"/>
        <v>0</v>
      </c>
      <c r="EC218" s="675">
        <f t="shared" si="7633"/>
        <v>0</v>
      </c>
      <c r="ED218" s="549">
        <f t="shared" si="7633"/>
        <v>0</v>
      </c>
      <c r="EE218" s="675">
        <f t="shared" si="7633"/>
        <v>0</v>
      </c>
      <c r="EF218" s="549">
        <f t="shared" si="7633"/>
        <v>0</v>
      </c>
      <c r="EG218" s="675">
        <f t="shared" si="7633"/>
        <v>0</v>
      </c>
      <c r="EH218" s="549">
        <f t="shared" ref="EH218:EM218" si="7634">SUM(EH219:EH222)</f>
        <v>0</v>
      </c>
      <c r="EI218" s="675">
        <f t="shared" si="7634"/>
        <v>0</v>
      </c>
      <c r="EJ218" s="549">
        <f t="shared" si="7634"/>
        <v>5000</v>
      </c>
      <c r="EK218" s="675">
        <f t="shared" si="7634"/>
        <v>0</v>
      </c>
      <c r="EL218" s="549">
        <f t="shared" si="7634"/>
        <v>0</v>
      </c>
      <c r="EM218" s="675">
        <f t="shared" si="7634"/>
        <v>0</v>
      </c>
      <c r="EN218" s="549">
        <f t="shared" ref="EN218:EO218" si="7635">SUM(EN219:EN222)</f>
        <v>0</v>
      </c>
      <c r="EO218" s="675">
        <f t="shared" si="7635"/>
        <v>0</v>
      </c>
      <c r="EP218" s="549">
        <f t="shared" ref="EP218:FA218" si="7636">SUM(EP219:EP222)</f>
        <v>0</v>
      </c>
      <c r="EQ218" s="675">
        <f t="shared" si="7636"/>
        <v>0</v>
      </c>
      <c r="ER218" s="549">
        <f t="shared" si="7636"/>
        <v>0</v>
      </c>
      <c r="ES218" s="675">
        <f t="shared" si="7636"/>
        <v>0</v>
      </c>
      <c r="ET218" s="549">
        <f t="shared" si="7636"/>
        <v>0</v>
      </c>
      <c r="EU218" s="675">
        <f t="shared" si="7636"/>
        <v>0</v>
      </c>
      <c r="EV218" s="549">
        <f t="shared" ref="EV218:EW218" si="7637">SUM(EV219:EV222)</f>
        <v>0</v>
      </c>
      <c r="EW218" s="675">
        <f t="shared" si="7637"/>
        <v>0</v>
      </c>
      <c r="EX218" s="549">
        <f t="shared" si="7636"/>
        <v>0</v>
      </c>
      <c r="EY218" s="675">
        <f t="shared" si="7636"/>
        <v>0</v>
      </c>
      <c r="EZ218" s="549">
        <f t="shared" si="7636"/>
        <v>0</v>
      </c>
      <c r="FA218" s="675">
        <f t="shared" si="7636"/>
        <v>0</v>
      </c>
      <c r="FB218" s="549">
        <f t="shared" ref="FB218:FC218" si="7638">SUM(FB219:FB222)</f>
        <v>0</v>
      </c>
      <c r="FC218" s="675">
        <f t="shared" si="7638"/>
        <v>0</v>
      </c>
      <c r="FD218" s="549">
        <f t="shared" ref="FD218:FE218" si="7639">SUM(FD219:FD222)</f>
        <v>0</v>
      </c>
      <c r="FE218" s="675">
        <f t="shared" si="7639"/>
        <v>0</v>
      </c>
      <c r="FF218" s="549">
        <f t="shared" ref="FF218:FG218" si="7640">SUM(FF219:FF222)</f>
        <v>0</v>
      </c>
      <c r="FG218" s="675">
        <f t="shared" si="7640"/>
        <v>0</v>
      </c>
      <c r="FH218" s="549">
        <f t="shared" ref="FH218:FI218" si="7641">SUM(FH219:FH222)</f>
        <v>0</v>
      </c>
      <c r="FI218" s="675">
        <f t="shared" si="7641"/>
        <v>0</v>
      </c>
      <c r="FJ218" s="549">
        <f t="shared" ref="FJ218:FK218" si="7642">SUM(FJ219:FJ222)</f>
        <v>0</v>
      </c>
      <c r="FK218" s="675">
        <f t="shared" si="7642"/>
        <v>0</v>
      </c>
      <c r="FL218" s="549">
        <f t="shared" ref="FL218:FM218" si="7643">SUM(FL219:FL222)</f>
        <v>0</v>
      </c>
      <c r="FM218" s="675">
        <f t="shared" si="7643"/>
        <v>0</v>
      </c>
      <c r="FN218" s="549">
        <f t="shared" ref="FN218:FO218" si="7644">SUM(FN219:FN222)</f>
        <v>0</v>
      </c>
      <c r="FO218" s="675">
        <f t="shared" si="7644"/>
        <v>0</v>
      </c>
      <c r="FP218" s="549">
        <f t="shared" ref="FP218:FQ218" si="7645">SUM(FP219:FP222)</f>
        <v>0</v>
      </c>
      <c r="FQ218" s="675">
        <f t="shared" si="7645"/>
        <v>0</v>
      </c>
      <c r="FR218" s="549">
        <f t="shared" ref="FR218:FS218" si="7646">SUM(FR219:FR222)</f>
        <v>0</v>
      </c>
      <c r="FS218" s="675">
        <f t="shared" si="7646"/>
        <v>-3202</v>
      </c>
      <c r="FT218" s="549">
        <f t="shared" ref="FT218:FU218" si="7647">SUM(FT219:FT222)</f>
        <v>0</v>
      </c>
      <c r="FU218" s="675">
        <f t="shared" si="7647"/>
        <v>0</v>
      </c>
      <c r="FV218" s="549">
        <f t="shared" ref="FV218:GK218" si="7648">SUM(FV219:FV222)</f>
        <v>0</v>
      </c>
      <c r="FW218" s="675">
        <f t="shared" si="7648"/>
        <v>0</v>
      </c>
      <c r="FX218" s="549">
        <f t="shared" si="7648"/>
        <v>0</v>
      </c>
      <c r="FY218" s="675">
        <f t="shared" si="7648"/>
        <v>0</v>
      </c>
      <c r="FZ218" s="549">
        <f t="shared" ref="FZ218:GI218" si="7649">SUM(FZ219:FZ222)</f>
        <v>0</v>
      </c>
      <c r="GA218" s="675">
        <f t="shared" si="7649"/>
        <v>0</v>
      </c>
      <c r="GB218" s="549">
        <f t="shared" si="7649"/>
        <v>0</v>
      </c>
      <c r="GC218" s="675">
        <f t="shared" si="7649"/>
        <v>0</v>
      </c>
      <c r="GD218" s="549">
        <f t="shared" si="7649"/>
        <v>0</v>
      </c>
      <c r="GE218" s="675">
        <f t="shared" si="7649"/>
        <v>0</v>
      </c>
      <c r="GF218" s="549">
        <f t="shared" si="7649"/>
        <v>0</v>
      </c>
      <c r="GG218" s="675">
        <f t="shared" si="7649"/>
        <v>0</v>
      </c>
      <c r="GH218" s="549">
        <f t="shared" si="7649"/>
        <v>0</v>
      </c>
      <c r="GI218" s="675">
        <f t="shared" si="7649"/>
        <v>0</v>
      </c>
      <c r="GJ218" s="549">
        <f t="shared" si="7648"/>
        <v>0</v>
      </c>
      <c r="GK218" s="675">
        <f t="shared" si="7648"/>
        <v>0</v>
      </c>
      <c r="GL218" s="549">
        <f t="shared" ref="GL218:GQ218" si="7650">SUM(GL219:GL222)</f>
        <v>0</v>
      </c>
      <c r="GM218" s="675">
        <f t="shared" si="7650"/>
        <v>0</v>
      </c>
      <c r="GN218" s="549">
        <f t="shared" ref="GN218:GO218" si="7651">SUM(GN219:GN222)</f>
        <v>0</v>
      </c>
      <c r="GO218" s="675">
        <f t="shared" si="7651"/>
        <v>0</v>
      </c>
      <c r="GP218" s="74">
        <f t="shared" si="7650"/>
        <v>5000</v>
      </c>
      <c r="GQ218" s="675">
        <f t="shared" si="7650"/>
        <v>-39967</v>
      </c>
      <c r="GR218" s="74">
        <f t="shared" ref="GR218:JA218" si="7652">SUM(GR219:GR222)</f>
        <v>15033</v>
      </c>
      <c r="GS218" s="74">
        <f>SUM(GS219:GS222)</f>
        <v>15033</v>
      </c>
      <c r="GT218" s="74">
        <f>SUM(GT219:GT222)</f>
        <v>15033</v>
      </c>
      <c r="GU218" s="74">
        <f>SUM(GU219:GU222)</f>
        <v>6700</v>
      </c>
      <c r="GV218" s="74">
        <f t="shared" ref="GV218:HA218" si="7653">SUM(GV219:GV222)</f>
        <v>6000</v>
      </c>
      <c r="GW218" s="74">
        <f t="shared" si="7653"/>
        <v>22300</v>
      </c>
      <c r="GX218" s="74">
        <f t="shared" si="7653"/>
        <v>5000</v>
      </c>
      <c r="GY218" s="74">
        <f t="shared" si="7653"/>
        <v>5000</v>
      </c>
      <c r="GZ218" s="74">
        <f t="shared" si="7653"/>
        <v>5000</v>
      </c>
      <c r="HA218" s="74">
        <f t="shared" si="7653"/>
        <v>0</v>
      </c>
      <c r="HB218" s="74">
        <f t="shared" si="7652"/>
        <v>0</v>
      </c>
      <c r="HC218" s="74">
        <f t="shared" si="7652"/>
        <v>0</v>
      </c>
      <c r="HD218" s="74">
        <f t="shared" si="7652"/>
        <v>0</v>
      </c>
      <c r="HE218" s="74">
        <f t="shared" si="7652"/>
        <v>0</v>
      </c>
      <c r="HF218" s="74">
        <f t="shared" si="7652"/>
        <v>0</v>
      </c>
      <c r="HG218" s="74">
        <f t="shared" si="7652"/>
        <v>15033</v>
      </c>
      <c r="HH218" s="74">
        <f t="shared" ref="HH218:HU218" si="7654">SUM(HH219:HH222)</f>
        <v>6700</v>
      </c>
      <c r="HI218" s="74">
        <f t="shared" si="7654"/>
        <v>0</v>
      </c>
      <c r="HJ218" s="74">
        <f t="shared" si="7654"/>
        <v>0</v>
      </c>
      <c r="HK218" s="74">
        <f t="shared" si="7654"/>
        <v>0</v>
      </c>
      <c r="HL218" s="74">
        <f t="shared" si="7654"/>
        <v>16300</v>
      </c>
      <c r="HM218" s="74">
        <f t="shared" si="7654"/>
        <v>0</v>
      </c>
      <c r="HN218" s="74">
        <f t="shared" si="7654"/>
        <v>1000</v>
      </c>
      <c r="HO218" s="74">
        <f t="shared" si="7654"/>
        <v>0</v>
      </c>
      <c r="HP218" s="74">
        <f t="shared" si="7654"/>
        <v>1195</v>
      </c>
      <c r="HQ218" s="74">
        <f t="shared" si="7654"/>
        <v>0</v>
      </c>
      <c r="HR218" s="74">
        <f t="shared" si="7654"/>
        <v>740</v>
      </c>
      <c r="HS218" s="74">
        <f t="shared" si="7654"/>
        <v>0</v>
      </c>
      <c r="HT218" s="74">
        <f t="shared" si="7654"/>
        <v>-7935</v>
      </c>
      <c r="HU218" s="74">
        <f t="shared" si="7654"/>
        <v>0</v>
      </c>
      <c r="HV218" s="74">
        <f t="shared" si="7652"/>
        <v>0</v>
      </c>
      <c r="HW218" s="74">
        <f t="shared" si="7652"/>
        <v>0</v>
      </c>
      <c r="HX218" s="74">
        <f t="shared" si="7652"/>
        <v>235</v>
      </c>
      <c r="HY218" s="74">
        <f t="shared" si="7652"/>
        <v>0</v>
      </c>
      <c r="HZ218" s="74">
        <f t="shared" si="7652"/>
        <v>-3202</v>
      </c>
      <c r="IA218" s="74">
        <f t="shared" si="7652"/>
        <v>0</v>
      </c>
      <c r="IB218" s="74">
        <f t="shared" si="7652"/>
        <v>0</v>
      </c>
      <c r="IC218" s="74">
        <f t="shared" si="7652"/>
        <v>0</v>
      </c>
      <c r="ID218" s="74">
        <f t="shared" si="7652"/>
        <v>0</v>
      </c>
      <c r="IE218" s="792">
        <f t="shared" si="7652"/>
        <v>0</v>
      </c>
      <c r="IF218" s="841">
        <f t="shared" si="7652"/>
        <v>11545</v>
      </c>
      <c r="IG218" s="263">
        <f t="shared" si="7652"/>
        <v>11545</v>
      </c>
      <c r="IH218" s="842">
        <f t="shared" si="7652"/>
        <v>11545</v>
      </c>
      <c r="II218" s="155">
        <f t="shared" si="7652"/>
        <v>0</v>
      </c>
      <c r="IJ218" s="74">
        <f t="shared" si="7652"/>
        <v>0</v>
      </c>
      <c r="IK218" s="74">
        <f t="shared" si="7652"/>
        <v>0</v>
      </c>
      <c r="IL218" s="74">
        <f t="shared" si="7652"/>
        <v>0</v>
      </c>
      <c r="IM218" s="74">
        <f t="shared" si="7652"/>
        <v>0</v>
      </c>
      <c r="IN218" s="74">
        <f t="shared" si="7652"/>
        <v>0</v>
      </c>
      <c r="IO218" s="74">
        <f t="shared" si="7652"/>
        <v>1911</v>
      </c>
      <c r="IP218" s="74">
        <f t="shared" si="7652"/>
        <v>1911</v>
      </c>
      <c r="IQ218" s="74">
        <f t="shared" si="7652"/>
        <v>1911</v>
      </c>
      <c r="IR218" s="74">
        <f t="shared" si="7652"/>
        <v>1819</v>
      </c>
      <c r="IS218" s="74">
        <f t="shared" si="7652"/>
        <v>1819</v>
      </c>
      <c r="IT218" s="74">
        <f t="shared" si="7652"/>
        <v>1819</v>
      </c>
      <c r="IU218" s="74">
        <f t="shared" si="7652"/>
        <v>2150.5</v>
      </c>
      <c r="IV218" s="74">
        <f t="shared" si="7652"/>
        <v>2150.5</v>
      </c>
      <c r="IW218" s="74">
        <f t="shared" si="7652"/>
        <v>2150.5</v>
      </c>
      <c r="IX218" s="74">
        <f t="shared" si="7652"/>
        <v>1695.5</v>
      </c>
      <c r="IY218" s="74">
        <f t="shared" si="7652"/>
        <v>1695.5</v>
      </c>
      <c r="IZ218" s="74">
        <f t="shared" si="7652"/>
        <v>1695.5</v>
      </c>
      <c r="JA218" s="74">
        <f t="shared" si="7652"/>
        <v>0</v>
      </c>
      <c r="JB218" s="74">
        <f t="shared" ref="JB218:JT218" si="7655">SUM(JB219:JB222)</f>
        <v>0</v>
      </c>
      <c r="JC218" s="74">
        <f t="shared" si="7655"/>
        <v>0</v>
      </c>
      <c r="JD218" s="74">
        <f t="shared" si="7655"/>
        <v>1501.5</v>
      </c>
      <c r="JE218" s="74">
        <f t="shared" si="7655"/>
        <v>1501.5</v>
      </c>
      <c r="JF218" s="74">
        <f t="shared" si="7655"/>
        <v>1501.5</v>
      </c>
      <c r="JG218" s="74">
        <f t="shared" si="7655"/>
        <v>955.5</v>
      </c>
      <c r="JH218" s="74">
        <f t="shared" si="7655"/>
        <v>955.5</v>
      </c>
      <c r="JI218" s="74">
        <f t="shared" si="7655"/>
        <v>955.5</v>
      </c>
      <c r="JJ218" s="74">
        <f t="shared" si="7655"/>
        <v>1512</v>
      </c>
      <c r="JK218" s="74">
        <f t="shared" si="7655"/>
        <v>1512</v>
      </c>
      <c r="JL218" s="74">
        <f t="shared" si="7655"/>
        <v>1512</v>
      </c>
      <c r="JM218" s="74">
        <f t="shared" si="7655"/>
        <v>0</v>
      </c>
      <c r="JN218" s="74">
        <f t="shared" si="7655"/>
        <v>0</v>
      </c>
      <c r="JO218" s="74">
        <f t="shared" si="7655"/>
        <v>0</v>
      </c>
      <c r="JP218" s="74">
        <f t="shared" si="7655"/>
        <v>0</v>
      </c>
      <c r="JQ218" s="74">
        <f t="shared" si="7655"/>
        <v>0</v>
      </c>
      <c r="JR218" s="74">
        <f t="shared" si="7655"/>
        <v>0</v>
      </c>
      <c r="JS218" s="74">
        <f t="shared" si="7655"/>
        <v>3488</v>
      </c>
      <c r="JT218" s="102">
        <f t="shared" si="7655"/>
        <v>3488</v>
      </c>
      <c r="JU218" s="671"/>
      <c r="JV218" s="492"/>
      <c r="JW218" s="490"/>
      <c r="JX218" s="549">
        <f>SUM(JX219:JX222)</f>
        <v>15033</v>
      </c>
      <c r="JY218" s="549">
        <f>SUM(JY219:JY222)</f>
        <v>0</v>
      </c>
      <c r="JZ218" s="581">
        <f t="shared" si="7470"/>
        <v>5000</v>
      </c>
      <c r="KA218" s="581">
        <f t="shared" si="7471"/>
        <v>-39967</v>
      </c>
      <c r="KB218" s="549">
        <f>SUM(KB219:KB222)</f>
        <v>15033</v>
      </c>
      <c r="KC218" s="709">
        <f t="shared" si="7396"/>
        <v>0</v>
      </c>
      <c r="KD218" s="36"/>
      <c r="KE218" s="36"/>
      <c r="KF218" s="36"/>
      <c r="KG218" s="36"/>
      <c r="KH218" s="36"/>
      <c r="KI218" s="36"/>
      <c r="KJ218" s="36"/>
      <c r="KK218" s="36"/>
    </row>
    <row r="219" spans="1:297" s="8" customFormat="1" ht="12.75" hidden="1" customHeight="1">
      <c r="A219" s="262" t="s">
        <v>932</v>
      </c>
      <c r="B219" s="72"/>
      <c r="C219" s="74">
        <f t="shared" ref="C219:AM219" si="7656">C550</f>
        <v>0</v>
      </c>
      <c r="D219" s="549">
        <f t="shared" si="7656"/>
        <v>0</v>
      </c>
      <c r="E219" s="675">
        <f t="shared" si="7656"/>
        <v>0</v>
      </c>
      <c r="F219" s="549">
        <f t="shared" si="7656"/>
        <v>0</v>
      </c>
      <c r="G219" s="675">
        <f t="shared" si="7656"/>
        <v>0</v>
      </c>
      <c r="H219" s="549">
        <f t="shared" si="7656"/>
        <v>0</v>
      </c>
      <c r="I219" s="675">
        <f t="shared" si="7656"/>
        <v>0</v>
      </c>
      <c r="J219" s="549">
        <f t="shared" si="7656"/>
        <v>0</v>
      </c>
      <c r="K219" s="675">
        <f t="shared" si="7656"/>
        <v>0</v>
      </c>
      <c r="L219" s="549">
        <f t="shared" si="7656"/>
        <v>0</v>
      </c>
      <c r="M219" s="675">
        <f t="shared" si="7656"/>
        <v>0</v>
      </c>
      <c r="N219" s="549">
        <f t="shared" si="7656"/>
        <v>0</v>
      </c>
      <c r="O219" s="675">
        <f t="shared" si="7656"/>
        <v>0</v>
      </c>
      <c r="P219" s="549">
        <f t="shared" si="7656"/>
        <v>0</v>
      </c>
      <c r="Q219" s="675">
        <f t="shared" si="7656"/>
        <v>0</v>
      </c>
      <c r="R219" s="549">
        <f t="shared" si="7656"/>
        <v>0</v>
      </c>
      <c r="S219" s="675">
        <f t="shared" si="7656"/>
        <v>0</v>
      </c>
      <c r="T219" s="549">
        <f t="shared" si="7656"/>
        <v>0</v>
      </c>
      <c r="U219" s="675">
        <f t="shared" si="7656"/>
        <v>0</v>
      </c>
      <c r="V219" s="549">
        <f t="shared" si="7656"/>
        <v>0</v>
      </c>
      <c r="W219" s="675">
        <f t="shared" si="7656"/>
        <v>0</v>
      </c>
      <c r="X219" s="549">
        <f t="shared" si="7656"/>
        <v>0</v>
      </c>
      <c r="Y219" s="675">
        <f t="shared" si="7656"/>
        <v>0</v>
      </c>
      <c r="Z219" s="549">
        <f t="shared" si="7656"/>
        <v>0</v>
      </c>
      <c r="AA219" s="675">
        <f t="shared" si="7656"/>
        <v>0</v>
      </c>
      <c r="AB219" s="549">
        <f t="shared" si="7656"/>
        <v>0</v>
      </c>
      <c r="AC219" s="675">
        <f t="shared" si="7656"/>
        <v>0</v>
      </c>
      <c r="AD219" s="549">
        <f t="shared" ref="AD219:AK219" si="7657">AD550</f>
        <v>0</v>
      </c>
      <c r="AE219" s="675">
        <f t="shared" si="7657"/>
        <v>0</v>
      </c>
      <c r="AF219" s="549">
        <f t="shared" si="7657"/>
        <v>0</v>
      </c>
      <c r="AG219" s="675">
        <f t="shared" si="7657"/>
        <v>0</v>
      </c>
      <c r="AH219" s="549">
        <f t="shared" si="7657"/>
        <v>0</v>
      </c>
      <c r="AI219" s="675">
        <f t="shared" si="7657"/>
        <v>0</v>
      </c>
      <c r="AJ219" s="549">
        <f t="shared" si="7657"/>
        <v>0</v>
      </c>
      <c r="AK219" s="675">
        <f t="shared" si="7657"/>
        <v>0</v>
      </c>
      <c r="AL219" s="549">
        <f t="shared" si="7656"/>
        <v>0</v>
      </c>
      <c r="AM219" s="675">
        <f t="shared" si="7656"/>
        <v>0</v>
      </c>
      <c r="AN219" s="549">
        <f t="shared" ref="AN219:AS219" si="7658">AN550</f>
        <v>0</v>
      </c>
      <c r="AO219" s="675">
        <f t="shared" si="7658"/>
        <v>0</v>
      </c>
      <c r="AP219" s="549">
        <f t="shared" si="7658"/>
        <v>0</v>
      </c>
      <c r="AQ219" s="675">
        <f t="shared" si="7658"/>
        <v>0</v>
      </c>
      <c r="AR219" s="549">
        <f t="shared" si="7658"/>
        <v>0</v>
      </c>
      <c r="AS219" s="675">
        <f t="shared" si="7658"/>
        <v>0</v>
      </c>
      <c r="AT219" s="549">
        <f t="shared" ref="AT219:AU219" si="7659">AT550</f>
        <v>0</v>
      </c>
      <c r="AU219" s="675">
        <f t="shared" si="7659"/>
        <v>0</v>
      </c>
      <c r="AV219" s="549">
        <f t="shared" ref="AV219:AW219" si="7660">AV550</f>
        <v>0</v>
      </c>
      <c r="AW219" s="675">
        <f t="shared" si="7660"/>
        <v>0</v>
      </c>
      <c r="AX219" s="549">
        <f t="shared" ref="AX219:AY219" si="7661">AX550</f>
        <v>0</v>
      </c>
      <c r="AY219" s="675">
        <f t="shared" si="7661"/>
        <v>0</v>
      </c>
      <c r="AZ219" s="549">
        <f t="shared" ref="AZ219:BA219" si="7662">AZ550</f>
        <v>0</v>
      </c>
      <c r="BA219" s="675">
        <f t="shared" si="7662"/>
        <v>0</v>
      </c>
      <c r="BB219" s="549">
        <f t="shared" ref="BB219:BC219" si="7663">BB550</f>
        <v>0</v>
      </c>
      <c r="BC219" s="675">
        <f t="shared" si="7663"/>
        <v>0</v>
      </c>
      <c r="BD219" s="549">
        <f t="shared" ref="BD219:BE219" si="7664">BD550</f>
        <v>0</v>
      </c>
      <c r="BE219" s="675">
        <f t="shared" si="7664"/>
        <v>0</v>
      </c>
      <c r="BF219" s="549">
        <f t="shared" ref="BF219:BG219" si="7665">BF550</f>
        <v>0</v>
      </c>
      <c r="BG219" s="675">
        <f t="shared" si="7665"/>
        <v>0</v>
      </c>
      <c r="BH219" s="549">
        <f t="shared" ref="BH219:BI219" si="7666">BH550</f>
        <v>0</v>
      </c>
      <c r="BI219" s="675">
        <f t="shared" si="7666"/>
        <v>0</v>
      </c>
      <c r="BJ219" s="549">
        <f t="shared" ref="BJ219:BK219" si="7667">BJ550</f>
        <v>0</v>
      </c>
      <c r="BK219" s="675">
        <f t="shared" si="7667"/>
        <v>0</v>
      </c>
      <c r="BL219" s="549">
        <f t="shared" ref="BL219:BS219" si="7668">BL550</f>
        <v>0</v>
      </c>
      <c r="BM219" s="675">
        <f t="shared" si="7668"/>
        <v>0</v>
      </c>
      <c r="BN219" s="549">
        <f t="shared" si="7668"/>
        <v>0</v>
      </c>
      <c r="BO219" s="675">
        <f t="shared" si="7668"/>
        <v>0</v>
      </c>
      <c r="BP219" s="549">
        <f t="shared" si="7668"/>
        <v>0</v>
      </c>
      <c r="BQ219" s="675">
        <f t="shared" si="7668"/>
        <v>0</v>
      </c>
      <c r="BR219" s="549">
        <f t="shared" si="7668"/>
        <v>0</v>
      </c>
      <c r="BS219" s="675">
        <f t="shared" si="7668"/>
        <v>0</v>
      </c>
      <c r="BT219" s="549">
        <f t="shared" ref="BT219:BU219" si="7669">BT550</f>
        <v>0</v>
      </c>
      <c r="BU219" s="675">
        <f t="shared" si="7669"/>
        <v>0</v>
      </c>
      <c r="BV219" s="549">
        <f t="shared" ref="BV219:BW219" si="7670">BV550</f>
        <v>0</v>
      </c>
      <c r="BW219" s="675">
        <f t="shared" si="7670"/>
        <v>0</v>
      </c>
      <c r="BX219" s="549">
        <f t="shared" ref="BX219:BY219" si="7671">BX550</f>
        <v>0</v>
      </c>
      <c r="BY219" s="675">
        <f t="shared" si="7671"/>
        <v>0</v>
      </c>
      <c r="BZ219" s="549">
        <f t="shared" ref="BZ219:CA219" si="7672">BZ550</f>
        <v>0</v>
      </c>
      <c r="CA219" s="675">
        <f t="shared" si="7672"/>
        <v>0</v>
      </c>
      <c r="CB219" s="549">
        <f t="shared" ref="CB219:CE219" si="7673">CB550</f>
        <v>0</v>
      </c>
      <c r="CC219" s="675">
        <f t="shared" si="7673"/>
        <v>0</v>
      </c>
      <c r="CD219" s="549">
        <f t="shared" si="7673"/>
        <v>0</v>
      </c>
      <c r="CE219" s="675">
        <f t="shared" si="7673"/>
        <v>0</v>
      </c>
      <c r="CF219" s="549">
        <f t="shared" ref="CF219:CQ219" si="7674">CF550</f>
        <v>0</v>
      </c>
      <c r="CG219" s="675">
        <f t="shared" si="7674"/>
        <v>0</v>
      </c>
      <c r="CH219" s="549">
        <f t="shared" si="7674"/>
        <v>0</v>
      </c>
      <c r="CI219" s="675">
        <f t="shared" si="7674"/>
        <v>0</v>
      </c>
      <c r="CJ219" s="549">
        <f t="shared" si="7674"/>
        <v>0</v>
      </c>
      <c r="CK219" s="675">
        <f t="shared" si="7674"/>
        <v>0</v>
      </c>
      <c r="CL219" s="549">
        <f t="shared" si="7674"/>
        <v>0</v>
      </c>
      <c r="CM219" s="675">
        <f t="shared" si="7674"/>
        <v>0</v>
      </c>
      <c r="CN219" s="549">
        <f t="shared" si="7674"/>
        <v>0</v>
      </c>
      <c r="CO219" s="675">
        <f t="shared" si="7674"/>
        <v>0</v>
      </c>
      <c r="CP219" s="549">
        <f t="shared" si="7674"/>
        <v>0</v>
      </c>
      <c r="CQ219" s="675">
        <f t="shared" si="7674"/>
        <v>0</v>
      </c>
      <c r="CR219" s="549">
        <f t="shared" ref="CR219:CY219" si="7675">CR550</f>
        <v>0</v>
      </c>
      <c r="CS219" s="675">
        <f t="shared" si="7675"/>
        <v>0</v>
      </c>
      <c r="CT219" s="549">
        <f t="shared" si="7675"/>
        <v>0</v>
      </c>
      <c r="CU219" s="675">
        <f t="shared" si="7675"/>
        <v>0</v>
      </c>
      <c r="CV219" s="549">
        <f t="shared" si="7675"/>
        <v>0</v>
      </c>
      <c r="CW219" s="675">
        <f t="shared" si="7675"/>
        <v>0</v>
      </c>
      <c r="CX219" s="549">
        <f t="shared" si="7675"/>
        <v>0</v>
      </c>
      <c r="CY219" s="675">
        <f t="shared" si="7675"/>
        <v>0</v>
      </c>
      <c r="CZ219" s="549">
        <f t="shared" ref="CZ219:DG219" si="7676">CZ550</f>
        <v>0</v>
      </c>
      <c r="DA219" s="675">
        <f t="shared" si="7676"/>
        <v>0</v>
      </c>
      <c r="DB219" s="549">
        <f t="shared" si="7676"/>
        <v>0</v>
      </c>
      <c r="DC219" s="675">
        <f t="shared" si="7676"/>
        <v>0</v>
      </c>
      <c r="DD219" s="549">
        <f t="shared" si="7676"/>
        <v>0</v>
      </c>
      <c r="DE219" s="675">
        <f t="shared" si="7676"/>
        <v>0</v>
      </c>
      <c r="DF219" s="549">
        <f t="shared" si="7676"/>
        <v>0</v>
      </c>
      <c r="DG219" s="675">
        <f t="shared" si="7676"/>
        <v>0</v>
      </c>
      <c r="DH219" s="549">
        <f t="shared" ref="DH219:DM219" si="7677">DH550</f>
        <v>0</v>
      </c>
      <c r="DI219" s="675">
        <f t="shared" si="7677"/>
        <v>0</v>
      </c>
      <c r="DJ219" s="549">
        <f t="shared" si="7677"/>
        <v>0</v>
      </c>
      <c r="DK219" s="675">
        <f t="shared" si="7677"/>
        <v>0</v>
      </c>
      <c r="DL219" s="549">
        <f t="shared" si="7677"/>
        <v>0</v>
      </c>
      <c r="DM219" s="675">
        <f t="shared" si="7677"/>
        <v>0</v>
      </c>
      <c r="DN219" s="549">
        <f t="shared" ref="DN219:DW219" si="7678">DN550</f>
        <v>0</v>
      </c>
      <c r="DO219" s="675">
        <f t="shared" si="7678"/>
        <v>0</v>
      </c>
      <c r="DP219" s="549">
        <f t="shared" si="7678"/>
        <v>0</v>
      </c>
      <c r="DQ219" s="675">
        <f t="shared" si="7678"/>
        <v>0</v>
      </c>
      <c r="DR219" s="549">
        <f t="shared" si="7678"/>
        <v>0</v>
      </c>
      <c r="DS219" s="675">
        <f t="shared" si="7678"/>
        <v>0</v>
      </c>
      <c r="DT219" s="549">
        <f t="shared" si="7678"/>
        <v>0</v>
      </c>
      <c r="DU219" s="675">
        <f t="shared" si="7678"/>
        <v>0</v>
      </c>
      <c r="DV219" s="549">
        <f t="shared" si="7678"/>
        <v>0</v>
      </c>
      <c r="DW219" s="675">
        <f t="shared" si="7678"/>
        <v>0</v>
      </c>
      <c r="DX219" s="549">
        <f t="shared" ref="DX219:EG219" si="7679">DX550</f>
        <v>0</v>
      </c>
      <c r="DY219" s="675">
        <f t="shared" si="7679"/>
        <v>0</v>
      </c>
      <c r="DZ219" s="549">
        <f t="shared" si="7679"/>
        <v>0</v>
      </c>
      <c r="EA219" s="675">
        <f t="shared" si="7679"/>
        <v>0</v>
      </c>
      <c r="EB219" s="549">
        <f t="shared" si="7679"/>
        <v>0</v>
      </c>
      <c r="EC219" s="675">
        <f t="shared" si="7679"/>
        <v>0</v>
      </c>
      <c r="ED219" s="549">
        <f t="shared" si="7679"/>
        <v>0</v>
      </c>
      <c r="EE219" s="675">
        <f t="shared" si="7679"/>
        <v>0</v>
      </c>
      <c r="EF219" s="549">
        <f t="shared" si="7679"/>
        <v>0</v>
      </c>
      <c r="EG219" s="675">
        <f t="shared" si="7679"/>
        <v>0</v>
      </c>
      <c r="EH219" s="549">
        <f t="shared" ref="EH219:EM219" si="7680">EH550</f>
        <v>0</v>
      </c>
      <c r="EI219" s="675">
        <f t="shared" si="7680"/>
        <v>0</v>
      </c>
      <c r="EJ219" s="549">
        <f t="shared" si="7680"/>
        <v>0</v>
      </c>
      <c r="EK219" s="675">
        <f t="shared" si="7680"/>
        <v>0</v>
      </c>
      <c r="EL219" s="549">
        <f t="shared" si="7680"/>
        <v>0</v>
      </c>
      <c r="EM219" s="675">
        <f t="shared" si="7680"/>
        <v>0</v>
      </c>
      <c r="EN219" s="549">
        <f t="shared" ref="EN219:EO219" si="7681">EN550</f>
        <v>0</v>
      </c>
      <c r="EO219" s="675">
        <f t="shared" si="7681"/>
        <v>0</v>
      </c>
      <c r="EP219" s="549">
        <f t="shared" ref="EP219:FA219" si="7682">EP550</f>
        <v>0</v>
      </c>
      <c r="EQ219" s="675">
        <f t="shared" si="7682"/>
        <v>0</v>
      </c>
      <c r="ER219" s="549">
        <f t="shared" si="7682"/>
        <v>0</v>
      </c>
      <c r="ES219" s="675">
        <f t="shared" si="7682"/>
        <v>0</v>
      </c>
      <c r="ET219" s="549">
        <f t="shared" si="7682"/>
        <v>0</v>
      </c>
      <c r="EU219" s="675">
        <f t="shared" si="7682"/>
        <v>0</v>
      </c>
      <c r="EV219" s="549">
        <f t="shared" ref="EV219:EW219" si="7683">EV550</f>
        <v>0</v>
      </c>
      <c r="EW219" s="675">
        <f t="shared" si="7683"/>
        <v>0</v>
      </c>
      <c r="EX219" s="549">
        <f t="shared" si="7682"/>
        <v>0</v>
      </c>
      <c r="EY219" s="675">
        <f t="shared" si="7682"/>
        <v>0</v>
      </c>
      <c r="EZ219" s="549">
        <f t="shared" si="7682"/>
        <v>0</v>
      </c>
      <c r="FA219" s="675">
        <f t="shared" si="7682"/>
        <v>0</v>
      </c>
      <c r="FB219" s="549">
        <f t="shared" ref="FB219:FC219" si="7684">FB550</f>
        <v>0</v>
      </c>
      <c r="FC219" s="675">
        <f t="shared" si="7684"/>
        <v>0</v>
      </c>
      <c r="FD219" s="549">
        <f t="shared" ref="FD219:FE219" si="7685">FD550</f>
        <v>0</v>
      </c>
      <c r="FE219" s="675">
        <f t="shared" si="7685"/>
        <v>0</v>
      </c>
      <c r="FF219" s="549">
        <f t="shared" ref="FF219:FG219" si="7686">FF550</f>
        <v>0</v>
      </c>
      <c r="FG219" s="675">
        <f t="shared" si="7686"/>
        <v>0</v>
      </c>
      <c r="FH219" s="549">
        <f t="shared" ref="FH219:FI219" si="7687">FH550</f>
        <v>0</v>
      </c>
      <c r="FI219" s="675">
        <f t="shared" si="7687"/>
        <v>0</v>
      </c>
      <c r="FJ219" s="549">
        <f t="shared" ref="FJ219:FK219" si="7688">FJ550</f>
        <v>0</v>
      </c>
      <c r="FK219" s="675">
        <f t="shared" si="7688"/>
        <v>0</v>
      </c>
      <c r="FL219" s="549">
        <f t="shared" ref="FL219:FM219" si="7689">FL550</f>
        <v>0</v>
      </c>
      <c r="FM219" s="675">
        <f t="shared" si="7689"/>
        <v>0</v>
      </c>
      <c r="FN219" s="549">
        <f t="shared" ref="FN219:FO219" si="7690">FN550</f>
        <v>0</v>
      </c>
      <c r="FO219" s="675">
        <f t="shared" si="7690"/>
        <v>0</v>
      </c>
      <c r="FP219" s="549">
        <f t="shared" ref="FP219:FQ219" si="7691">FP550</f>
        <v>0</v>
      </c>
      <c r="FQ219" s="675">
        <f t="shared" si="7691"/>
        <v>0</v>
      </c>
      <c r="FR219" s="549">
        <f t="shared" ref="FR219:FS219" si="7692">FR550</f>
        <v>0</v>
      </c>
      <c r="FS219" s="675">
        <f t="shared" si="7692"/>
        <v>0</v>
      </c>
      <c r="FT219" s="549">
        <f t="shared" ref="FT219:FU219" si="7693">FT550</f>
        <v>0</v>
      </c>
      <c r="FU219" s="675">
        <f t="shared" si="7693"/>
        <v>0</v>
      </c>
      <c r="FV219" s="549">
        <f t="shared" ref="FV219:GK219" si="7694">FV550</f>
        <v>0</v>
      </c>
      <c r="FW219" s="675">
        <f t="shared" si="7694"/>
        <v>0</v>
      </c>
      <c r="FX219" s="549">
        <f t="shared" si="7694"/>
        <v>0</v>
      </c>
      <c r="FY219" s="675">
        <f t="shared" si="7694"/>
        <v>0</v>
      </c>
      <c r="FZ219" s="549">
        <f t="shared" ref="FZ219:GI219" si="7695">FZ550</f>
        <v>0</v>
      </c>
      <c r="GA219" s="675">
        <f t="shared" si="7695"/>
        <v>0</v>
      </c>
      <c r="GB219" s="549">
        <f t="shared" si="7695"/>
        <v>0</v>
      </c>
      <c r="GC219" s="675">
        <f t="shared" si="7695"/>
        <v>0</v>
      </c>
      <c r="GD219" s="549">
        <f t="shared" si="7695"/>
        <v>0</v>
      </c>
      <c r="GE219" s="675">
        <f t="shared" si="7695"/>
        <v>0</v>
      </c>
      <c r="GF219" s="549">
        <f t="shared" si="7695"/>
        <v>0</v>
      </c>
      <c r="GG219" s="675">
        <f t="shared" si="7695"/>
        <v>0</v>
      </c>
      <c r="GH219" s="549">
        <f t="shared" si="7695"/>
        <v>0</v>
      </c>
      <c r="GI219" s="675">
        <f t="shared" si="7695"/>
        <v>0</v>
      </c>
      <c r="GJ219" s="549">
        <f t="shared" si="7694"/>
        <v>0</v>
      </c>
      <c r="GK219" s="675">
        <f t="shared" si="7694"/>
        <v>0</v>
      </c>
      <c r="GL219" s="549">
        <f t="shared" ref="GL219:GQ219" si="7696">GL550</f>
        <v>0</v>
      </c>
      <c r="GM219" s="675">
        <f t="shared" si="7696"/>
        <v>0</v>
      </c>
      <c r="GN219" s="549">
        <f t="shared" ref="GN219:GO219" si="7697">GN550</f>
        <v>0</v>
      </c>
      <c r="GO219" s="675">
        <f t="shared" si="7697"/>
        <v>0</v>
      </c>
      <c r="GP219" s="74">
        <f t="shared" si="7696"/>
        <v>0</v>
      </c>
      <c r="GQ219" s="675">
        <f t="shared" si="7696"/>
        <v>0</v>
      </c>
      <c r="GR219" s="74">
        <f t="shared" ref="GR219:JA219" si="7698">GR550</f>
        <v>0</v>
      </c>
      <c r="GS219" s="74">
        <f t="shared" si="7698"/>
        <v>0</v>
      </c>
      <c r="GT219" s="74">
        <f>GT550</f>
        <v>0</v>
      </c>
      <c r="GU219" s="74">
        <f t="shared" si="7698"/>
        <v>0</v>
      </c>
      <c r="GV219" s="74">
        <f t="shared" si="7698"/>
        <v>0</v>
      </c>
      <c r="GW219" s="549">
        <f t="shared" si="7698"/>
        <v>0</v>
      </c>
      <c r="GX219" s="549">
        <f t="shared" si="7698"/>
        <v>0</v>
      </c>
      <c r="GY219" s="74">
        <f t="shared" si="7698"/>
        <v>0</v>
      </c>
      <c r="GZ219" s="74">
        <f t="shared" si="7698"/>
        <v>0</v>
      </c>
      <c r="HA219" s="74">
        <f t="shared" si="7698"/>
        <v>0</v>
      </c>
      <c r="HB219" s="74">
        <f t="shared" si="7698"/>
        <v>0</v>
      </c>
      <c r="HC219" s="74">
        <f t="shared" si="7698"/>
        <v>0</v>
      </c>
      <c r="HD219" s="74">
        <f t="shared" si="7698"/>
        <v>0</v>
      </c>
      <c r="HE219" s="74">
        <f t="shared" si="7698"/>
        <v>0</v>
      </c>
      <c r="HF219" s="74">
        <f t="shared" si="7698"/>
        <v>0</v>
      </c>
      <c r="HG219" s="74">
        <f t="shared" si="7698"/>
        <v>0</v>
      </c>
      <c r="HH219" s="74">
        <f t="shared" ref="HH219:HU219" si="7699">HH550</f>
        <v>0</v>
      </c>
      <c r="HI219" s="74">
        <f t="shared" si="7699"/>
        <v>0</v>
      </c>
      <c r="HJ219" s="74">
        <f t="shared" si="7699"/>
        <v>0</v>
      </c>
      <c r="HK219" s="74">
        <f t="shared" si="7699"/>
        <v>0</v>
      </c>
      <c r="HL219" s="74">
        <f t="shared" si="7699"/>
        <v>0</v>
      </c>
      <c r="HM219" s="74">
        <f t="shared" si="7699"/>
        <v>0</v>
      </c>
      <c r="HN219" s="74">
        <f t="shared" si="7699"/>
        <v>0</v>
      </c>
      <c r="HO219" s="74">
        <f t="shared" si="7699"/>
        <v>0</v>
      </c>
      <c r="HP219" s="74">
        <f t="shared" si="7699"/>
        <v>0</v>
      </c>
      <c r="HQ219" s="74">
        <f t="shared" si="7699"/>
        <v>0</v>
      </c>
      <c r="HR219" s="74">
        <f t="shared" si="7699"/>
        <v>0</v>
      </c>
      <c r="HS219" s="74">
        <f t="shared" si="7699"/>
        <v>0</v>
      </c>
      <c r="HT219" s="74">
        <f t="shared" si="7699"/>
        <v>0</v>
      </c>
      <c r="HU219" s="74">
        <f t="shared" si="7699"/>
        <v>0</v>
      </c>
      <c r="HV219" s="74">
        <f t="shared" si="7698"/>
        <v>0</v>
      </c>
      <c r="HW219" s="74">
        <f t="shared" si="7698"/>
        <v>0</v>
      </c>
      <c r="HX219" s="74">
        <f t="shared" si="7698"/>
        <v>0</v>
      </c>
      <c r="HY219" s="74">
        <f t="shared" si="7698"/>
        <v>0</v>
      </c>
      <c r="HZ219" s="74">
        <f t="shared" si="7698"/>
        <v>0</v>
      </c>
      <c r="IA219" s="74">
        <f t="shared" si="7698"/>
        <v>0</v>
      </c>
      <c r="IB219" s="74">
        <f t="shared" si="7698"/>
        <v>0</v>
      </c>
      <c r="IC219" s="74">
        <f t="shared" si="7698"/>
        <v>0</v>
      </c>
      <c r="ID219" s="74">
        <f t="shared" si="7698"/>
        <v>0</v>
      </c>
      <c r="IE219" s="792">
        <f t="shared" si="7698"/>
        <v>0</v>
      </c>
      <c r="IF219" s="841">
        <f t="shared" si="7698"/>
        <v>0</v>
      </c>
      <c r="IG219" s="263">
        <f t="shared" si="7698"/>
        <v>0</v>
      </c>
      <c r="IH219" s="842">
        <f t="shared" si="7698"/>
        <v>0</v>
      </c>
      <c r="II219" s="155">
        <f t="shared" si="7698"/>
        <v>0</v>
      </c>
      <c r="IJ219" s="74">
        <f t="shared" si="7698"/>
        <v>0</v>
      </c>
      <c r="IK219" s="74">
        <f t="shared" si="7698"/>
        <v>0</v>
      </c>
      <c r="IL219" s="74">
        <f t="shared" si="7698"/>
        <v>0</v>
      </c>
      <c r="IM219" s="74">
        <f t="shared" si="7698"/>
        <v>0</v>
      </c>
      <c r="IN219" s="74">
        <f t="shared" si="7698"/>
        <v>0</v>
      </c>
      <c r="IO219" s="74">
        <f t="shared" si="7698"/>
        <v>0</v>
      </c>
      <c r="IP219" s="74">
        <f t="shared" si="7698"/>
        <v>0</v>
      </c>
      <c r="IQ219" s="74">
        <f t="shared" si="7698"/>
        <v>0</v>
      </c>
      <c r="IR219" s="74">
        <f t="shared" si="7698"/>
        <v>0</v>
      </c>
      <c r="IS219" s="74">
        <f t="shared" si="7698"/>
        <v>0</v>
      </c>
      <c r="IT219" s="74">
        <f t="shared" si="7698"/>
        <v>0</v>
      </c>
      <c r="IU219" s="74">
        <f t="shared" si="7698"/>
        <v>0</v>
      </c>
      <c r="IV219" s="74">
        <f t="shared" si="7698"/>
        <v>0</v>
      </c>
      <c r="IW219" s="74">
        <f t="shared" si="7698"/>
        <v>0</v>
      </c>
      <c r="IX219" s="74">
        <f t="shared" si="7698"/>
        <v>0</v>
      </c>
      <c r="IY219" s="74">
        <f t="shared" si="7698"/>
        <v>0</v>
      </c>
      <c r="IZ219" s="74">
        <f t="shared" si="7698"/>
        <v>0</v>
      </c>
      <c r="JA219" s="74">
        <f t="shared" si="7698"/>
        <v>0</v>
      </c>
      <c r="JB219" s="74">
        <f t="shared" ref="JB219:JT219" si="7700">JB550</f>
        <v>0</v>
      </c>
      <c r="JC219" s="74">
        <f t="shared" si="7700"/>
        <v>0</v>
      </c>
      <c r="JD219" s="74">
        <f t="shared" si="7700"/>
        <v>0</v>
      </c>
      <c r="JE219" s="74">
        <f t="shared" si="7700"/>
        <v>0</v>
      </c>
      <c r="JF219" s="74">
        <f t="shared" si="7700"/>
        <v>0</v>
      </c>
      <c r="JG219" s="74">
        <f t="shared" si="7700"/>
        <v>0</v>
      </c>
      <c r="JH219" s="74">
        <f t="shared" si="7700"/>
        <v>0</v>
      </c>
      <c r="JI219" s="74">
        <f t="shared" si="7700"/>
        <v>0</v>
      </c>
      <c r="JJ219" s="74">
        <f t="shared" si="7700"/>
        <v>0</v>
      </c>
      <c r="JK219" s="74">
        <f t="shared" si="7700"/>
        <v>0</v>
      </c>
      <c r="JL219" s="74">
        <f t="shared" si="7700"/>
        <v>0</v>
      </c>
      <c r="JM219" s="74">
        <f t="shared" si="7700"/>
        <v>0</v>
      </c>
      <c r="JN219" s="74">
        <f t="shared" si="7700"/>
        <v>0</v>
      </c>
      <c r="JO219" s="74">
        <f t="shared" si="7700"/>
        <v>0</v>
      </c>
      <c r="JP219" s="74">
        <f t="shared" si="7700"/>
        <v>0</v>
      </c>
      <c r="JQ219" s="74">
        <f t="shared" si="7700"/>
        <v>0</v>
      </c>
      <c r="JR219" s="74">
        <f t="shared" si="7700"/>
        <v>0</v>
      </c>
      <c r="JS219" s="74">
        <f t="shared" si="7700"/>
        <v>0</v>
      </c>
      <c r="JT219" s="102">
        <f t="shared" si="7700"/>
        <v>0</v>
      </c>
      <c r="JU219" s="671"/>
      <c r="JV219" s="492"/>
      <c r="JW219" s="490"/>
      <c r="JX219" s="549">
        <f>JX550</f>
        <v>0</v>
      </c>
      <c r="JY219" s="549">
        <f>JY550</f>
        <v>0</v>
      </c>
      <c r="JZ219" s="581">
        <f t="shared" si="7470"/>
        <v>0</v>
      </c>
      <c r="KA219" s="581">
        <f t="shared" si="7471"/>
        <v>0</v>
      </c>
      <c r="KB219" s="549">
        <f>KB550</f>
        <v>0</v>
      </c>
      <c r="KC219" s="709">
        <f t="shared" si="7396"/>
        <v>0</v>
      </c>
      <c r="KD219" s="36"/>
      <c r="KE219" s="36"/>
      <c r="KF219" s="36"/>
      <c r="KG219" s="36"/>
      <c r="KH219" s="36"/>
      <c r="KI219" s="36"/>
      <c r="KJ219" s="36"/>
      <c r="KK219" s="36"/>
    </row>
    <row r="220" spans="1:297" s="8" customFormat="1" ht="12.75" hidden="1" customHeight="1">
      <c r="A220" s="75">
        <v>623</v>
      </c>
      <c r="B220" s="72" t="s">
        <v>209</v>
      </c>
      <c r="C220" s="74">
        <f t="shared" ref="C220:AM220" si="7701">SUM(C551+C355)</f>
        <v>0</v>
      </c>
      <c r="D220" s="549">
        <f t="shared" si="7701"/>
        <v>0</v>
      </c>
      <c r="E220" s="675">
        <f t="shared" si="7701"/>
        <v>0</v>
      </c>
      <c r="F220" s="549">
        <f t="shared" si="7701"/>
        <v>0</v>
      </c>
      <c r="G220" s="675">
        <f t="shared" si="7701"/>
        <v>0</v>
      </c>
      <c r="H220" s="549">
        <f t="shared" si="7701"/>
        <v>0</v>
      </c>
      <c r="I220" s="675">
        <f t="shared" si="7701"/>
        <v>0</v>
      </c>
      <c r="J220" s="549">
        <f t="shared" si="7701"/>
        <v>0</v>
      </c>
      <c r="K220" s="675">
        <f t="shared" si="7701"/>
        <v>0</v>
      </c>
      <c r="L220" s="549">
        <f t="shared" si="7701"/>
        <v>0</v>
      </c>
      <c r="M220" s="675">
        <f t="shared" si="7701"/>
        <v>0</v>
      </c>
      <c r="N220" s="549">
        <f t="shared" si="7701"/>
        <v>0</v>
      </c>
      <c r="O220" s="675">
        <f t="shared" si="7701"/>
        <v>0</v>
      </c>
      <c r="P220" s="549">
        <f t="shared" si="7701"/>
        <v>0</v>
      </c>
      <c r="Q220" s="675">
        <f t="shared" si="7701"/>
        <v>0</v>
      </c>
      <c r="R220" s="549">
        <f t="shared" si="7701"/>
        <v>0</v>
      </c>
      <c r="S220" s="675">
        <f t="shared" si="7701"/>
        <v>0</v>
      </c>
      <c r="T220" s="549">
        <f t="shared" si="7701"/>
        <v>0</v>
      </c>
      <c r="U220" s="675">
        <f t="shared" si="7701"/>
        <v>0</v>
      </c>
      <c r="V220" s="549">
        <f t="shared" si="7701"/>
        <v>0</v>
      </c>
      <c r="W220" s="675">
        <f t="shared" si="7701"/>
        <v>0</v>
      </c>
      <c r="X220" s="549">
        <f t="shared" si="7701"/>
        <v>0</v>
      </c>
      <c r="Y220" s="675">
        <f t="shared" si="7701"/>
        <v>0</v>
      </c>
      <c r="Z220" s="549">
        <f t="shared" si="7701"/>
        <v>0</v>
      </c>
      <c r="AA220" s="675">
        <f t="shared" si="7701"/>
        <v>0</v>
      </c>
      <c r="AB220" s="549">
        <f t="shared" si="7701"/>
        <v>0</v>
      </c>
      <c r="AC220" s="675">
        <f t="shared" si="7701"/>
        <v>0</v>
      </c>
      <c r="AD220" s="549">
        <f t="shared" si="7701"/>
        <v>0</v>
      </c>
      <c r="AE220" s="675">
        <f t="shared" si="7701"/>
        <v>0</v>
      </c>
      <c r="AF220" s="549">
        <f t="shared" si="7701"/>
        <v>0</v>
      </c>
      <c r="AG220" s="675">
        <f t="shared" si="7701"/>
        <v>0</v>
      </c>
      <c r="AH220" s="549">
        <f t="shared" si="7701"/>
        <v>0</v>
      </c>
      <c r="AI220" s="675">
        <f t="shared" si="7701"/>
        <v>0</v>
      </c>
      <c r="AJ220" s="549">
        <f t="shared" si="7701"/>
        <v>0</v>
      </c>
      <c r="AK220" s="675">
        <f t="shared" si="7701"/>
        <v>0</v>
      </c>
      <c r="AL220" s="549">
        <f t="shared" si="7701"/>
        <v>0</v>
      </c>
      <c r="AM220" s="675">
        <f t="shared" si="7701"/>
        <v>0</v>
      </c>
      <c r="AN220" s="549">
        <f t="shared" ref="AN220:AS220" si="7702">SUM(AN551+AN355)</f>
        <v>0</v>
      </c>
      <c r="AO220" s="675">
        <f t="shared" si="7702"/>
        <v>0</v>
      </c>
      <c r="AP220" s="549">
        <f t="shared" si="7702"/>
        <v>0</v>
      </c>
      <c r="AQ220" s="675">
        <f t="shared" si="7702"/>
        <v>0</v>
      </c>
      <c r="AR220" s="549">
        <f t="shared" si="7702"/>
        <v>0</v>
      </c>
      <c r="AS220" s="675">
        <f t="shared" si="7702"/>
        <v>0</v>
      </c>
      <c r="AT220" s="549">
        <f t="shared" ref="AT220:AU220" si="7703">SUM(AT551+AT355)</f>
        <v>0</v>
      </c>
      <c r="AU220" s="675">
        <f t="shared" si="7703"/>
        <v>0</v>
      </c>
      <c r="AV220" s="549">
        <f t="shared" ref="AV220:AW220" si="7704">SUM(AV551+AV355)</f>
        <v>0</v>
      </c>
      <c r="AW220" s="675">
        <f t="shared" si="7704"/>
        <v>0</v>
      </c>
      <c r="AX220" s="549">
        <f t="shared" ref="AX220:AY220" si="7705">SUM(AX551+AX355)</f>
        <v>0</v>
      </c>
      <c r="AY220" s="675">
        <f t="shared" si="7705"/>
        <v>0</v>
      </c>
      <c r="AZ220" s="549">
        <f t="shared" ref="AZ220:BA220" si="7706">SUM(AZ551+AZ355)</f>
        <v>0</v>
      </c>
      <c r="BA220" s="675">
        <f t="shared" si="7706"/>
        <v>0</v>
      </c>
      <c r="BB220" s="549">
        <f t="shared" ref="BB220:BC220" si="7707">SUM(BB551+BB355)</f>
        <v>0</v>
      </c>
      <c r="BC220" s="675">
        <f t="shared" si="7707"/>
        <v>0</v>
      </c>
      <c r="BD220" s="549">
        <f t="shared" ref="BD220:BE220" si="7708">SUM(BD551+BD355)</f>
        <v>0</v>
      </c>
      <c r="BE220" s="675">
        <f t="shared" si="7708"/>
        <v>0</v>
      </c>
      <c r="BF220" s="549">
        <f t="shared" ref="BF220:BG220" si="7709">SUM(BF551+BF355)</f>
        <v>0</v>
      </c>
      <c r="BG220" s="675">
        <f t="shared" si="7709"/>
        <v>0</v>
      </c>
      <c r="BH220" s="549">
        <f t="shared" ref="BH220:BI220" si="7710">SUM(BH551+BH355)</f>
        <v>0</v>
      </c>
      <c r="BI220" s="675">
        <f t="shared" si="7710"/>
        <v>0</v>
      </c>
      <c r="BJ220" s="549">
        <f t="shared" ref="BJ220:BK220" si="7711">SUM(BJ551+BJ355)</f>
        <v>0</v>
      </c>
      <c r="BK220" s="675">
        <f t="shared" si="7711"/>
        <v>0</v>
      </c>
      <c r="BL220" s="549">
        <f t="shared" ref="BL220:BS220" si="7712">SUM(BL551+BL355)</f>
        <v>0</v>
      </c>
      <c r="BM220" s="675">
        <f t="shared" si="7712"/>
        <v>0</v>
      </c>
      <c r="BN220" s="549">
        <f t="shared" si="7712"/>
        <v>0</v>
      </c>
      <c r="BO220" s="675">
        <f t="shared" si="7712"/>
        <v>0</v>
      </c>
      <c r="BP220" s="549">
        <f t="shared" si="7712"/>
        <v>0</v>
      </c>
      <c r="BQ220" s="675">
        <f t="shared" si="7712"/>
        <v>0</v>
      </c>
      <c r="BR220" s="549">
        <f t="shared" si="7712"/>
        <v>0</v>
      </c>
      <c r="BS220" s="675">
        <f t="shared" si="7712"/>
        <v>0</v>
      </c>
      <c r="BT220" s="549">
        <f t="shared" ref="BT220:BU220" si="7713">SUM(BT551+BT355)</f>
        <v>0</v>
      </c>
      <c r="BU220" s="675">
        <f t="shared" si="7713"/>
        <v>0</v>
      </c>
      <c r="BV220" s="549">
        <f t="shared" ref="BV220:BW220" si="7714">SUM(BV551+BV355)</f>
        <v>0</v>
      </c>
      <c r="BW220" s="675">
        <f t="shared" si="7714"/>
        <v>0</v>
      </c>
      <c r="BX220" s="549">
        <f t="shared" ref="BX220:BY220" si="7715">SUM(BX551+BX355)</f>
        <v>0</v>
      </c>
      <c r="BY220" s="675">
        <f t="shared" si="7715"/>
        <v>0</v>
      </c>
      <c r="BZ220" s="549">
        <f t="shared" ref="BZ220:CA220" si="7716">SUM(BZ551+BZ355)</f>
        <v>0</v>
      </c>
      <c r="CA220" s="675">
        <f t="shared" si="7716"/>
        <v>0</v>
      </c>
      <c r="CB220" s="549">
        <f t="shared" ref="CB220:CE220" si="7717">SUM(CB551+CB355)</f>
        <v>0</v>
      </c>
      <c r="CC220" s="675">
        <f t="shared" si="7717"/>
        <v>0</v>
      </c>
      <c r="CD220" s="549">
        <f t="shared" si="7717"/>
        <v>0</v>
      </c>
      <c r="CE220" s="675">
        <f t="shared" si="7717"/>
        <v>0</v>
      </c>
      <c r="CF220" s="549">
        <f t="shared" ref="CF220:CQ220" si="7718">SUM(CF551+CF355)</f>
        <v>0</v>
      </c>
      <c r="CG220" s="675">
        <f t="shared" si="7718"/>
        <v>0</v>
      </c>
      <c r="CH220" s="549">
        <f t="shared" si="7718"/>
        <v>0</v>
      </c>
      <c r="CI220" s="675">
        <f t="shared" si="7718"/>
        <v>0</v>
      </c>
      <c r="CJ220" s="549">
        <f t="shared" si="7718"/>
        <v>0</v>
      </c>
      <c r="CK220" s="675">
        <f t="shared" si="7718"/>
        <v>0</v>
      </c>
      <c r="CL220" s="549">
        <f t="shared" si="7718"/>
        <v>0</v>
      </c>
      <c r="CM220" s="675">
        <f t="shared" si="7718"/>
        <v>0</v>
      </c>
      <c r="CN220" s="549">
        <f t="shared" si="7718"/>
        <v>0</v>
      </c>
      <c r="CO220" s="675">
        <f t="shared" si="7718"/>
        <v>0</v>
      </c>
      <c r="CP220" s="549">
        <f t="shared" si="7718"/>
        <v>0</v>
      </c>
      <c r="CQ220" s="675">
        <f t="shared" si="7718"/>
        <v>0</v>
      </c>
      <c r="CR220" s="549">
        <f t="shared" ref="CR220:CY220" si="7719">SUM(CR551+CR355)</f>
        <v>0</v>
      </c>
      <c r="CS220" s="675">
        <f t="shared" si="7719"/>
        <v>0</v>
      </c>
      <c r="CT220" s="549">
        <f t="shared" si="7719"/>
        <v>0</v>
      </c>
      <c r="CU220" s="675">
        <f t="shared" si="7719"/>
        <v>0</v>
      </c>
      <c r="CV220" s="549">
        <f t="shared" si="7719"/>
        <v>0</v>
      </c>
      <c r="CW220" s="675">
        <f t="shared" si="7719"/>
        <v>0</v>
      </c>
      <c r="CX220" s="549">
        <f t="shared" si="7719"/>
        <v>0</v>
      </c>
      <c r="CY220" s="675">
        <f t="shared" si="7719"/>
        <v>0</v>
      </c>
      <c r="CZ220" s="549">
        <f t="shared" ref="CZ220:DM220" si="7720">SUM(CZ551+CZ355)</f>
        <v>0</v>
      </c>
      <c r="DA220" s="675">
        <f t="shared" si="7720"/>
        <v>0</v>
      </c>
      <c r="DB220" s="549">
        <f t="shared" si="7720"/>
        <v>0</v>
      </c>
      <c r="DC220" s="675">
        <f t="shared" si="7720"/>
        <v>0</v>
      </c>
      <c r="DD220" s="549">
        <f t="shared" si="7720"/>
        <v>0</v>
      </c>
      <c r="DE220" s="675">
        <f t="shared" si="7720"/>
        <v>0</v>
      </c>
      <c r="DF220" s="549">
        <f t="shared" si="7720"/>
        <v>0</v>
      </c>
      <c r="DG220" s="675">
        <f t="shared" si="7720"/>
        <v>0</v>
      </c>
      <c r="DH220" s="549">
        <f t="shared" si="7720"/>
        <v>0</v>
      </c>
      <c r="DI220" s="675">
        <f t="shared" si="7720"/>
        <v>0</v>
      </c>
      <c r="DJ220" s="549">
        <f t="shared" si="7720"/>
        <v>0</v>
      </c>
      <c r="DK220" s="675">
        <f t="shared" si="7720"/>
        <v>0</v>
      </c>
      <c r="DL220" s="549">
        <f t="shared" si="7720"/>
        <v>0</v>
      </c>
      <c r="DM220" s="675">
        <f t="shared" si="7720"/>
        <v>0</v>
      </c>
      <c r="DN220" s="549">
        <f t="shared" ref="DN220:DW220" si="7721">SUM(DN551+DN355)</f>
        <v>0</v>
      </c>
      <c r="DO220" s="675">
        <f t="shared" si="7721"/>
        <v>0</v>
      </c>
      <c r="DP220" s="549">
        <f t="shared" si="7721"/>
        <v>0</v>
      </c>
      <c r="DQ220" s="675">
        <f t="shared" si="7721"/>
        <v>0</v>
      </c>
      <c r="DR220" s="549">
        <f t="shared" si="7721"/>
        <v>0</v>
      </c>
      <c r="DS220" s="675">
        <f t="shared" si="7721"/>
        <v>0</v>
      </c>
      <c r="DT220" s="549">
        <f t="shared" si="7721"/>
        <v>0</v>
      </c>
      <c r="DU220" s="675">
        <f t="shared" si="7721"/>
        <v>0</v>
      </c>
      <c r="DV220" s="549">
        <f t="shared" si="7721"/>
        <v>0</v>
      </c>
      <c r="DW220" s="675">
        <f t="shared" si="7721"/>
        <v>0</v>
      </c>
      <c r="DX220" s="549">
        <f t="shared" ref="DX220:EG220" si="7722">SUM(DX551+DX355)</f>
        <v>0</v>
      </c>
      <c r="DY220" s="675">
        <f t="shared" si="7722"/>
        <v>0</v>
      </c>
      <c r="DZ220" s="549">
        <f t="shared" si="7722"/>
        <v>0</v>
      </c>
      <c r="EA220" s="675">
        <f t="shared" si="7722"/>
        <v>0</v>
      </c>
      <c r="EB220" s="549">
        <f t="shared" si="7722"/>
        <v>0</v>
      </c>
      <c r="EC220" s="675">
        <f t="shared" si="7722"/>
        <v>0</v>
      </c>
      <c r="ED220" s="549">
        <f t="shared" si="7722"/>
        <v>0</v>
      </c>
      <c r="EE220" s="675">
        <f t="shared" si="7722"/>
        <v>0</v>
      </c>
      <c r="EF220" s="549">
        <f t="shared" si="7722"/>
        <v>0</v>
      </c>
      <c r="EG220" s="675">
        <f t="shared" si="7722"/>
        <v>0</v>
      </c>
      <c r="EH220" s="549">
        <f t="shared" ref="EH220:EM220" si="7723">SUM(EH551+EH355)</f>
        <v>0</v>
      </c>
      <c r="EI220" s="675">
        <f t="shared" si="7723"/>
        <v>0</v>
      </c>
      <c r="EJ220" s="549">
        <f t="shared" si="7723"/>
        <v>0</v>
      </c>
      <c r="EK220" s="675">
        <f t="shared" si="7723"/>
        <v>0</v>
      </c>
      <c r="EL220" s="549">
        <f t="shared" si="7723"/>
        <v>0</v>
      </c>
      <c r="EM220" s="675">
        <f t="shared" si="7723"/>
        <v>0</v>
      </c>
      <c r="EN220" s="549">
        <f t="shared" ref="EN220:EO220" si="7724">SUM(EN551+EN355)</f>
        <v>0</v>
      </c>
      <c r="EO220" s="675">
        <f t="shared" si="7724"/>
        <v>0</v>
      </c>
      <c r="EP220" s="549">
        <f t="shared" ref="EP220:FA220" si="7725">SUM(EP551+EP355)</f>
        <v>0</v>
      </c>
      <c r="EQ220" s="675">
        <f t="shared" si="7725"/>
        <v>0</v>
      </c>
      <c r="ER220" s="549">
        <f t="shared" si="7725"/>
        <v>0</v>
      </c>
      <c r="ES220" s="675">
        <f t="shared" si="7725"/>
        <v>0</v>
      </c>
      <c r="ET220" s="549">
        <f t="shared" si="7725"/>
        <v>0</v>
      </c>
      <c r="EU220" s="675">
        <f t="shared" si="7725"/>
        <v>0</v>
      </c>
      <c r="EV220" s="549">
        <f t="shared" ref="EV220:EW220" si="7726">SUM(EV551+EV355)</f>
        <v>0</v>
      </c>
      <c r="EW220" s="675">
        <f t="shared" si="7726"/>
        <v>0</v>
      </c>
      <c r="EX220" s="549">
        <f t="shared" si="7725"/>
        <v>0</v>
      </c>
      <c r="EY220" s="675">
        <f t="shared" si="7725"/>
        <v>0</v>
      </c>
      <c r="EZ220" s="549">
        <f t="shared" si="7725"/>
        <v>0</v>
      </c>
      <c r="FA220" s="675">
        <f t="shared" si="7725"/>
        <v>0</v>
      </c>
      <c r="FB220" s="549">
        <f t="shared" ref="FB220:FC220" si="7727">SUM(FB551+FB355)</f>
        <v>0</v>
      </c>
      <c r="FC220" s="675">
        <f t="shared" si="7727"/>
        <v>0</v>
      </c>
      <c r="FD220" s="549">
        <f t="shared" ref="FD220:FE220" si="7728">SUM(FD551+FD355)</f>
        <v>0</v>
      </c>
      <c r="FE220" s="675">
        <f t="shared" si="7728"/>
        <v>0</v>
      </c>
      <c r="FF220" s="549">
        <f t="shared" ref="FF220:FG220" si="7729">SUM(FF551+FF355)</f>
        <v>0</v>
      </c>
      <c r="FG220" s="675">
        <f t="shared" si="7729"/>
        <v>0</v>
      </c>
      <c r="FH220" s="549">
        <f t="shared" ref="FH220:FI220" si="7730">SUM(FH551+FH355)</f>
        <v>0</v>
      </c>
      <c r="FI220" s="675">
        <f t="shared" si="7730"/>
        <v>0</v>
      </c>
      <c r="FJ220" s="549">
        <f t="shared" ref="FJ220:FK220" si="7731">SUM(FJ551+FJ355)</f>
        <v>0</v>
      </c>
      <c r="FK220" s="675">
        <f t="shared" si="7731"/>
        <v>0</v>
      </c>
      <c r="FL220" s="549">
        <f t="shared" ref="FL220:FM220" si="7732">SUM(FL551+FL355)</f>
        <v>0</v>
      </c>
      <c r="FM220" s="675">
        <f t="shared" si="7732"/>
        <v>0</v>
      </c>
      <c r="FN220" s="549">
        <f t="shared" ref="FN220:FO220" si="7733">SUM(FN551+FN355)</f>
        <v>0</v>
      </c>
      <c r="FO220" s="675">
        <f t="shared" si="7733"/>
        <v>0</v>
      </c>
      <c r="FP220" s="549">
        <f t="shared" ref="FP220:FQ220" si="7734">SUM(FP551+FP355)</f>
        <v>0</v>
      </c>
      <c r="FQ220" s="675">
        <f t="shared" si="7734"/>
        <v>0</v>
      </c>
      <c r="FR220" s="549">
        <f t="shared" ref="FR220:FS220" si="7735">SUM(FR551+FR355)</f>
        <v>0</v>
      </c>
      <c r="FS220" s="675">
        <f t="shared" si="7735"/>
        <v>0</v>
      </c>
      <c r="FT220" s="549">
        <f t="shared" ref="FT220:FU220" si="7736">SUM(FT551+FT355)</f>
        <v>0</v>
      </c>
      <c r="FU220" s="675">
        <f t="shared" si="7736"/>
        <v>0</v>
      </c>
      <c r="FV220" s="549">
        <f t="shared" ref="FV220:GK220" si="7737">SUM(FV551+FV355)</f>
        <v>0</v>
      </c>
      <c r="FW220" s="675">
        <f t="shared" si="7737"/>
        <v>0</v>
      </c>
      <c r="FX220" s="549">
        <f t="shared" si="7737"/>
        <v>0</v>
      </c>
      <c r="FY220" s="675">
        <f t="shared" si="7737"/>
        <v>0</v>
      </c>
      <c r="FZ220" s="549">
        <f t="shared" ref="FZ220:GI220" si="7738">SUM(FZ551+FZ355)</f>
        <v>0</v>
      </c>
      <c r="GA220" s="675">
        <f t="shared" si="7738"/>
        <v>0</v>
      </c>
      <c r="GB220" s="549">
        <f t="shared" si="7738"/>
        <v>0</v>
      </c>
      <c r="GC220" s="675">
        <f t="shared" si="7738"/>
        <v>0</v>
      </c>
      <c r="GD220" s="549">
        <f t="shared" si="7738"/>
        <v>0</v>
      </c>
      <c r="GE220" s="675">
        <f t="shared" si="7738"/>
        <v>0</v>
      </c>
      <c r="GF220" s="549">
        <f t="shared" si="7738"/>
        <v>0</v>
      </c>
      <c r="GG220" s="675">
        <f t="shared" si="7738"/>
        <v>0</v>
      </c>
      <c r="GH220" s="549">
        <f t="shared" si="7738"/>
        <v>0</v>
      </c>
      <c r="GI220" s="675">
        <f t="shared" si="7738"/>
        <v>0</v>
      </c>
      <c r="GJ220" s="549">
        <f t="shared" si="7737"/>
        <v>0</v>
      </c>
      <c r="GK220" s="675">
        <f t="shared" si="7737"/>
        <v>0</v>
      </c>
      <c r="GL220" s="549">
        <f t="shared" ref="GL220:GQ220" si="7739">SUM(GL551+GL355)</f>
        <v>0</v>
      </c>
      <c r="GM220" s="675">
        <f t="shared" si="7739"/>
        <v>0</v>
      </c>
      <c r="GN220" s="549">
        <f t="shared" ref="GN220:GO220" si="7740">SUM(GN551+GN355)</f>
        <v>0</v>
      </c>
      <c r="GO220" s="675">
        <f t="shared" si="7740"/>
        <v>0</v>
      </c>
      <c r="GP220" s="74">
        <f t="shared" si="7739"/>
        <v>0</v>
      </c>
      <c r="GQ220" s="675">
        <f t="shared" si="7739"/>
        <v>0</v>
      </c>
      <c r="GR220" s="74">
        <f t="shared" ref="GR220:HJ220" si="7741">SUM(GR551+GR355)</f>
        <v>0</v>
      </c>
      <c r="GS220" s="74">
        <f t="shared" si="7741"/>
        <v>0</v>
      </c>
      <c r="GT220" s="74">
        <f t="shared" si="7741"/>
        <v>0</v>
      </c>
      <c r="GU220" s="74">
        <f t="shared" si="7741"/>
        <v>0</v>
      </c>
      <c r="GV220" s="74">
        <f t="shared" si="7741"/>
        <v>0</v>
      </c>
      <c r="GW220" s="74">
        <f t="shared" si="7741"/>
        <v>0</v>
      </c>
      <c r="GX220" s="74">
        <f t="shared" si="7741"/>
        <v>0</v>
      </c>
      <c r="GY220" s="74">
        <f t="shared" si="7741"/>
        <v>0</v>
      </c>
      <c r="GZ220" s="74">
        <f t="shared" si="7741"/>
        <v>0</v>
      </c>
      <c r="HA220" s="74">
        <f t="shared" si="7741"/>
        <v>0</v>
      </c>
      <c r="HB220" s="74">
        <f t="shared" si="7741"/>
        <v>0</v>
      </c>
      <c r="HC220" s="74">
        <f t="shared" si="7741"/>
        <v>0</v>
      </c>
      <c r="HD220" s="74">
        <f t="shared" si="7741"/>
        <v>0</v>
      </c>
      <c r="HE220" s="74">
        <f t="shared" si="7741"/>
        <v>0</v>
      </c>
      <c r="HF220" s="74">
        <f t="shared" si="7741"/>
        <v>0</v>
      </c>
      <c r="HG220" s="74">
        <f t="shared" si="7741"/>
        <v>0</v>
      </c>
      <c r="HH220" s="74">
        <f t="shared" si="7741"/>
        <v>0</v>
      </c>
      <c r="HI220" s="74">
        <f t="shared" si="7741"/>
        <v>0</v>
      </c>
      <c r="HJ220" s="74">
        <f t="shared" si="7741"/>
        <v>0</v>
      </c>
      <c r="HK220" s="74">
        <f t="shared" ref="HK220:IP220" si="7742">SUM(HK551+HK355)</f>
        <v>0</v>
      </c>
      <c r="HL220" s="74">
        <f t="shared" si="7742"/>
        <v>0</v>
      </c>
      <c r="HM220" s="74">
        <f t="shared" si="7742"/>
        <v>0</v>
      </c>
      <c r="HN220" s="74">
        <f t="shared" si="7742"/>
        <v>0</v>
      </c>
      <c r="HO220" s="74">
        <f t="shared" si="7742"/>
        <v>0</v>
      </c>
      <c r="HP220" s="74">
        <f t="shared" si="7742"/>
        <v>0</v>
      </c>
      <c r="HQ220" s="74">
        <f t="shared" si="7742"/>
        <v>0</v>
      </c>
      <c r="HR220" s="74">
        <f t="shared" si="7742"/>
        <v>0</v>
      </c>
      <c r="HS220" s="74">
        <f t="shared" si="7742"/>
        <v>0</v>
      </c>
      <c r="HT220" s="74">
        <f t="shared" si="7742"/>
        <v>0</v>
      </c>
      <c r="HU220" s="74">
        <f t="shared" si="7742"/>
        <v>0</v>
      </c>
      <c r="HV220" s="74">
        <f t="shared" si="7742"/>
        <v>0</v>
      </c>
      <c r="HW220" s="74">
        <f t="shared" si="7742"/>
        <v>0</v>
      </c>
      <c r="HX220" s="74">
        <f t="shared" si="7742"/>
        <v>0</v>
      </c>
      <c r="HY220" s="74">
        <f t="shared" si="7742"/>
        <v>0</v>
      </c>
      <c r="HZ220" s="74">
        <f t="shared" si="7742"/>
        <v>0</v>
      </c>
      <c r="IA220" s="74">
        <f t="shared" si="7742"/>
        <v>0</v>
      </c>
      <c r="IB220" s="74">
        <f t="shared" si="7742"/>
        <v>0</v>
      </c>
      <c r="IC220" s="74">
        <f t="shared" si="7742"/>
        <v>0</v>
      </c>
      <c r="ID220" s="74">
        <f t="shared" si="7742"/>
        <v>0</v>
      </c>
      <c r="IE220" s="792">
        <f t="shared" si="7742"/>
        <v>0</v>
      </c>
      <c r="IF220" s="841">
        <f t="shared" si="7742"/>
        <v>0</v>
      </c>
      <c r="IG220" s="263">
        <f t="shared" si="7742"/>
        <v>0</v>
      </c>
      <c r="IH220" s="842">
        <f t="shared" si="7742"/>
        <v>0</v>
      </c>
      <c r="II220" s="155">
        <f t="shared" si="7742"/>
        <v>0</v>
      </c>
      <c r="IJ220" s="74">
        <f t="shared" si="7742"/>
        <v>0</v>
      </c>
      <c r="IK220" s="74">
        <f t="shared" si="7742"/>
        <v>0</v>
      </c>
      <c r="IL220" s="74">
        <f t="shared" si="7742"/>
        <v>0</v>
      </c>
      <c r="IM220" s="74">
        <f t="shared" si="7742"/>
        <v>0</v>
      </c>
      <c r="IN220" s="74">
        <f t="shared" si="7742"/>
        <v>0</v>
      </c>
      <c r="IO220" s="74">
        <f t="shared" si="7742"/>
        <v>0</v>
      </c>
      <c r="IP220" s="74">
        <f t="shared" si="7742"/>
        <v>0</v>
      </c>
      <c r="IQ220" s="74">
        <f t="shared" ref="IQ220:JT220" si="7743">SUM(IQ551+IQ355)</f>
        <v>0</v>
      </c>
      <c r="IR220" s="74">
        <f t="shared" si="7743"/>
        <v>0</v>
      </c>
      <c r="IS220" s="74">
        <f t="shared" si="7743"/>
        <v>0</v>
      </c>
      <c r="IT220" s="74">
        <f t="shared" si="7743"/>
        <v>0</v>
      </c>
      <c r="IU220" s="74">
        <f t="shared" si="7743"/>
        <v>0</v>
      </c>
      <c r="IV220" s="74">
        <f t="shared" si="7743"/>
        <v>0</v>
      </c>
      <c r="IW220" s="74">
        <f t="shared" si="7743"/>
        <v>0</v>
      </c>
      <c r="IX220" s="74">
        <f t="shared" si="7743"/>
        <v>0</v>
      </c>
      <c r="IY220" s="74">
        <f t="shared" si="7743"/>
        <v>0</v>
      </c>
      <c r="IZ220" s="74">
        <f t="shared" si="7743"/>
        <v>0</v>
      </c>
      <c r="JA220" s="74">
        <f t="shared" si="7743"/>
        <v>0</v>
      </c>
      <c r="JB220" s="74">
        <f t="shared" si="7743"/>
        <v>0</v>
      </c>
      <c r="JC220" s="74">
        <f t="shared" si="7743"/>
        <v>0</v>
      </c>
      <c r="JD220" s="74">
        <f t="shared" si="7743"/>
        <v>0</v>
      </c>
      <c r="JE220" s="74">
        <f t="shared" si="7743"/>
        <v>0</v>
      </c>
      <c r="JF220" s="74">
        <f t="shared" si="7743"/>
        <v>0</v>
      </c>
      <c r="JG220" s="74">
        <f t="shared" si="7743"/>
        <v>0</v>
      </c>
      <c r="JH220" s="74">
        <f t="shared" si="7743"/>
        <v>0</v>
      </c>
      <c r="JI220" s="74">
        <f t="shared" si="7743"/>
        <v>0</v>
      </c>
      <c r="JJ220" s="74">
        <f t="shared" si="7743"/>
        <v>0</v>
      </c>
      <c r="JK220" s="74">
        <f t="shared" si="7743"/>
        <v>0</v>
      </c>
      <c r="JL220" s="74">
        <f t="shared" si="7743"/>
        <v>0</v>
      </c>
      <c r="JM220" s="74">
        <f t="shared" si="7743"/>
        <v>0</v>
      </c>
      <c r="JN220" s="74">
        <f t="shared" si="7743"/>
        <v>0</v>
      </c>
      <c r="JO220" s="74">
        <f t="shared" si="7743"/>
        <v>0</v>
      </c>
      <c r="JP220" s="74">
        <f t="shared" si="7743"/>
        <v>0</v>
      </c>
      <c r="JQ220" s="74">
        <f t="shared" si="7743"/>
        <v>0</v>
      </c>
      <c r="JR220" s="74">
        <f t="shared" si="7743"/>
        <v>0</v>
      </c>
      <c r="JS220" s="74">
        <f t="shared" si="7743"/>
        <v>0</v>
      </c>
      <c r="JT220" s="102">
        <f t="shared" si="7743"/>
        <v>0</v>
      </c>
      <c r="JU220" s="671"/>
      <c r="JV220" s="492"/>
      <c r="JW220" s="490"/>
      <c r="JX220" s="549">
        <f>SUM(JX551+JX355)</f>
        <v>0</v>
      </c>
      <c r="JY220" s="549">
        <f>SUM(JY551+JY355)</f>
        <v>0</v>
      </c>
      <c r="JZ220" s="581">
        <f t="shared" si="7470"/>
        <v>0</v>
      </c>
      <c r="KA220" s="581">
        <f t="shared" si="7471"/>
        <v>0</v>
      </c>
      <c r="KB220" s="549">
        <f>SUM(KB551+KB355)</f>
        <v>0</v>
      </c>
      <c r="KC220" s="709">
        <f t="shared" si="7396"/>
        <v>0</v>
      </c>
      <c r="KD220" s="36"/>
      <c r="KE220" s="36"/>
      <c r="KF220" s="36"/>
      <c r="KG220" s="36"/>
      <c r="KH220" s="36"/>
      <c r="KI220" s="36"/>
      <c r="KJ220" s="36"/>
      <c r="KK220" s="36"/>
    </row>
    <row r="221" spans="1:297" s="8" customFormat="1">
      <c r="A221" s="75" t="s">
        <v>466</v>
      </c>
      <c r="B221" s="72"/>
      <c r="C221" s="74">
        <f t="shared" ref="C221" si="7744">SUM(C552)</f>
        <v>33700</v>
      </c>
      <c r="D221" s="549">
        <f t="shared" ref="D221:E221" si="7745">SUM(D552)+D356</f>
        <v>0</v>
      </c>
      <c r="E221" s="675">
        <f t="shared" si="7745"/>
        <v>0</v>
      </c>
      <c r="F221" s="549">
        <f t="shared" ref="F221:G221" si="7746">SUM(F552)+F356</f>
        <v>0</v>
      </c>
      <c r="G221" s="675">
        <f t="shared" si="7746"/>
        <v>0</v>
      </c>
      <c r="H221" s="549">
        <f t="shared" ref="H221:I221" si="7747">SUM(H552)+H356</f>
        <v>0</v>
      </c>
      <c r="I221" s="675">
        <f t="shared" si="7747"/>
        <v>0</v>
      </c>
      <c r="J221" s="549">
        <f t="shared" ref="J221:K221" si="7748">SUM(J552)+J356</f>
        <v>0</v>
      </c>
      <c r="K221" s="675">
        <f t="shared" si="7748"/>
        <v>0</v>
      </c>
      <c r="L221" s="549">
        <f t="shared" ref="L221:M221" si="7749">SUM(L552)+L356</f>
        <v>0</v>
      </c>
      <c r="M221" s="675">
        <f t="shared" si="7749"/>
        <v>0</v>
      </c>
      <c r="N221" s="549">
        <f t="shared" ref="N221:O221" si="7750">SUM(N552)+N356</f>
        <v>0</v>
      </c>
      <c r="O221" s="675">
        <f t="shared" si="7750"/>
        <v>0</v>
      </c>
      <c r="P221" s="549">
        <f t="shared" ref="P221:Q221" si="7751">SUM(P552)+P356</f>
        <v>0</v>
      </c>
      <c r="Q221" s="675">
        <f t="shared" si="7751"/>
        <v>0</v>
      </c>
      <c r="R221" s="549">
        <f t="shared" ref="R221:S221" si="7752">SUM(R552)+R356</f>
        <v>0</v>
      </c>
      <c r="S221" s="675">
        <f t="shared" si="7752"/>
        <v>0</v>
      </c>
      <c r="T221" s="549">
        <f t="shared" ref="T221:U221" si="7753">SUM(T552)+T356</f>
        <v>0</v>
      </c>
      <c r="U221" s="675">
        <f t="shared" si="7753"/>
        <v>0</v>
      </c>
      <c r="V221" s="549">
        <f t="shared" ref="V221:W221" si="7754">SUM(V552)+V356</f>
        <v>0</v>
      </c>
      <c r="W221" s="675">
        <f t="shared" si="7754"/>
        <v>0</v>
      </c>
      <c r="X221" s="549">
        <f t="shared" ref="X221:Y221" si="7755">SUM(X552)+X356</f>
        <v>0</v>
      </c>
      <c r="Y221" s="675">
        <f t="shared" si="7755"/>
        <v>0</v>
      </c>
      <c r="Z221" s="549">
        <f t="shared" ref="Z221:AA221" si="7756">SUM(Z552)+Z356</f>
        <v>0</v>
      </c>
      <c r="AA221" s="675">
        <f t="shared" si="7756"/>
        <v>0</v>
      </c>
      <c r="AB221" s="549">
        <f t="shared" ref="AB221:AC221" si="7757">SUM(AB552)+AB356</f>
        <v>0</v>
      </c>
      <c r="AC221" s="675">
        <f t="shared" si="7757"/>
        <v>0</v>
      </c>
      <c r="AD221" s="549">
        <f t="shared" ref="AD221:AE221" si="7758">SUM(AD552)+AD356</f>
        <v>0</v>
      </c>
      <c r="AE221" s="675">
        <f t="shared" si="7758"/>
        <v>0</v>
      </c>
      <c r="AF221" s="549">
        <f t="shared" ref="AF221:AG221" si="7759">SUM(AF552)+AF356</f>
        <v>0</v>
      </c>
      <c r="AG221" s="675">
        <f t="shared" si="7759"/>
        <v>0</v>
      </c>
      <c r="AH221" s="549">
        <f t="shared" ref="AH221:AI221" si="7760">SUM(AH552)+AH356</f>
        <v>0</v>
      </c>
      <c r="AI221" s="675">
        <f t="shared" si="7760"/>
        <v>0</v>
      </c>
      <c r="AJ221" s="549">
        <f t="shared" ref="AJ221:AK221" si="7761">SUM(AJ552)+AJ356</f>
        <v>0</v>
      </c>
      <c r="AK221" s="675">
        <f t="shared" si="7761"/>
        <v>0</v>
      </c>
      <c r="AL221" s="549">
        <f t="shared" ref="AL221:AM221" si="7762">SUM(AL552)+AL356</f>
        <v>0</v>
      </c>
      <c r="AM221" s="675">
        <f t="shared" si="7762"/>
        <v>0</v>
      </c>
      <c r="AN221" s="549">
        <f t="shared" ref="AN221:AO221" si="7763">SUM(AN552)+AN356</f>
        <v>0</v>
      </c>
      <c r="AO221" s="675">
        <f t="shared" si="7763"/>
        <v>0</v>
      </c>
      <c r="AP221" s="549">
        <f t="shared" ref="AP221:AQ221" si="7764">SUM(AP552)+AP356</f>
        <v>0</v>
      </c>
      <c r="AQ221" s="675">
        <f t="shared" si="7764"/>
        <v>0</v>
      </c>
      <c r="AR221" s="549">
        <f t="shared" ref="AR221:AS221" si="7765">SUM(AR552)+AR356</f>
        <v>0</v>
      </c>
      <c r="AS221" s="675">
        <f t="shared" si="7765"/>
        <v>0</v>
      </c>
      <c r="AT221" s="549">
        <f t="shared" ref="AT221:AU221" si="7766">SUM(AT552)+AT356</f>
        <v>0</v>
      </c>
      <c r="AU221" s="675">
        <f t="shared" si="7766"/>
        <v>0</v>
      </c>
      <c r="AV221" s="549">
        <f t="shared" ref="AV221:AW221" si="7767">SUM(AV552)+AV356</f>
        <v>0</v>
      </c>
      <c r="AW221" s="675">
        <f t="shared" si="7767"/>
        <v>0</v>
      </c>
      <c r="AX221" s="549">
        <f t="shared" ref="AX221:AY221" si="7768">SUM(AX552)+AX356</f>
        <v>0</v>
      </c>
      <c r="AY221" s="675">
        <f t="shared" si="7768"/>
        <v>0</v>
      </c>
      <c r="AZ221" s="549">
        <f t="shared" ref="AZ221:BA221" si="7769">SUM(AZ552)+AZ356</f>
        <v>0</v>
      </c>
      <c r="BA221" s="675">
        <f t="shared" si="7769"/>
        <v>0</v>
      </c>
      <c r="BB221" s="549">
        <f t="shared" ref="BB221:BC221" si="7770">SUM(BB552)+BB356</f>
        <v>0</v>
      </c>
      <c r="BC221" s="675">
        <f t="shared" si="7770"/>
        <v>0</v>
      </c>
      <c r="BD221" s="549">
        <f t="shared" ref="BD221:BE221" si="7771">SUM(BD552)+BD356</f>
        <v>0</v>
      </c>
      <c r="BE221" s="675">
        <f t="shared" si="7771"/>
        <v>0</v>
      </c>
      <c r="BF221" s="549">
        <f t="shared" ref="BF221:BG221" si="7772">SUM(BF552)+BF356</f>
        <v>0</v>
      </c>
      <c r="BG221" s="675">
        <f t="shared" si="7772"/>
        <v>0</v>
      </c>
      <c r="BH221" s="549">
        <f t="shared" ref="BH221:BI221" si="7773">SUM(BH552)+BH356</f>
        <v>0</v>
      </c>
      <c r="BI221" s="675">
        <f t="shared" si="7773"/>
        <v>0</v>
      </c>
      <c r="BJ221" s="549">
        <f t="shared" ref="BJ221:BK221" si="7774">SUM(BJ552)+BJ356</f>
        <v>0</v>
      </c>
      <c r="BK221" s="675">
        <f t="shared" si="7774"/>
        <v>0</v>
      </c>
      <c r="BL221" s="549">
        <f t="shared" ref="BL221:BM221" si="7775">SUM(BL552)+BL356</f>
        <v>0</v>
      </c>
      <c r="BM221" s="675">
        <f t="shared" si="7775"/>
        <v>0</v>
      </c>
      <c r="BN221" s="549">
        <f t="shared" ref="BN221:BO221" si="7776">SUM(BN552)+BN356</f>
        <v>0</v>
      </c>
      <c r="BO221" s="675">
        <f t="shared" si="7776"/>
        <v>0</v>
      </c>
      <c r="BP221" s="549">
        <f t="shared" ref="BP221:BQ221" si="7777">SUM(BP552)+BP356</f>
        <v>0</v>
      </c>
      <c r="BQ221" s="675">
        <f t="shared" si="7777"/>
        <v>0</v>
      </c>
      <c r="BR221" s="549">
        <f t="shared" ref="BR221:BS221" si="7778">SUM(BR552)+BR356</f>
        <v>0</v>
      </c>
      <c r="BS221" s="675">
        <f t="shared" si="7778"/>
        <v>0</v>
      </c>
      <c r="BT221" s="549">
        <f t="shared" ref="BT221:BU221" si="7779">SUM(BT552)+BT356</f>
        <v>0</v>
      </c>
      <c r="BU221" s="675">
        <f t="shared" si="7779"/>
        <v>0</v>
      </c>
      <c r="BV221" s="549">
        <f t="shared" ref="BV221:BW221" si="7780">SUM(BV552)+BV356</f>
        <v>0</v>
      </c>
      <c r="BW221" s="675">
        <f t="shared" si="7780"/>
        <v>0</v>
      </c>
      <c r="BX221" s="549">
        <f t="shared" ref="BX221:BY221" si="7781">SUM(BX552)+BX356</f>
        <v>0</v>
      </c>
      <c r="BY221" s="675">
        <f t="shared" si="7781"/>
        <v>0</v>
      </c>
      <c r="BZ221" s="549">
        <f t="shared" ref="BZ221:CA221" si="7782">SUM(BZ552)+BZ356</f>
        <v>0</v>
      </c>
      <c r="CA221" s="675">
        <f t="shared" si="7782"/>
        <v>0</v>
      </c>
      <c r="CB221" s="549">
        <f t="shared" ref="CB221:CC221" si="7783">SUM(CB552)+CB356</f>
        <v>0</v>
      </c>
      <c r="CC221" s="675">
        <f t="shared" si="7783"/>
        <v>0</v>
      </c>
      <c r="CD221" s="549">
        <f t="shared" ref="CD221:CE221" si="7784">SUM(CD552)+CD356</f>
        <v>0</v>
      </c>
      <c r="CE221" s="675">
        <f t="shared" si="7784"/>
        <v>0</v>
      </c>
      <c r="CF221" s="549">
        <f t="shared" ref="CF221:CG221" si="7785">SUM(CF552)+CF356</f>
        <v>0</v>
      </c>
      <c r="CG221" s="675">
        <f t="shared" si="7785"/>
        <v>0</v>
      </c>
      <c r="CH221" s="549">
        <f t="shared" ref="CH221:CI221" si="7786">SUM(CH552)+CH356</f>
        <v>0</v>
      </c>
      <c r="CI221" s="675">
        <f t="shared" si="7786"/>
        <v>0</v>
      </c>
      <c r="CJ221" s="549">
        <f t="shared" ref="CJ221:CK221" si="7787">SUM(CJ552)+CJ356</f>
        <v>0</v>
      </c>
      <c r="CK221" s="675">
        <f t="shared" si="7787"/>
        <v>-26000</v>
      </c>
      <c r="CL221" s="549">
        <f t="shared" ref="CL221:CM221" si="7788">SUM(CL552)+CL356</f>
        <v>0</v>
      </c>
      <c r="CM221" s="675">
        <f t="shared" si="7788"/>
        <v>0</v>
      </c>
      <c r="CN221" s="549">
        <f t="shared" ref="CN221:CO221" si="7789">SUM(CN552)+CN356</f>
        <v>0</v>
      </c>
      <c r="CO221" s="675">
        <f t="shared" si="7789"/>
        <v>0</v>
      </c>
      <c r="CP221" s="549">
        <f t="shared" ref="CP221:CQ221" si="7790">SUM(CP552)+CP356</f>
        <v>0</v>
      </c>
      <c r="CQ221" s="675">
        <f t="shared" si="7790"/>
        <v>0</v>
      </c>
      <c r="CR221" s="549">
        <f t="shared" ref="CR221:CS221" si="7791">SUM(CR552)+CR356</f>
        <v>0</v>
      </c>
      <c r="CS221" s="675">
        <f t="shared" si="7791"/>
        <v>0</v>
      </c>
      <c r="CT221" s="549">
        <f t="shared" ref="CT221:CU221" si="7792">SUM(CT552)+CT356</f>
        <v>0</v>
      </c>
      <c r="CU221" s="675">
        <f t="shared" si="7792"/>
        <v>0</v>
      </c>
      <c r="CV221" s="549">
        <f t="shared" ref="CV221:CW221" si="7793">SUM(CV552)+CV356</f>
        <v>0</v>
      </c>
      <c r="CW221" s="675">
        <f t="shared" si="7793"/>
        <v>0</v>
      </c>
      <c r="CX221" s="549">
        <f t="shared" ref="CX221:CY221" si="7794">SUM(CX552)+CX356</f>
        <v>0</v>
      </c>
      <c r="CY221" s="675">
        <f t="shared" si="7794"/>
        <v>0</v>
      </c>
      <c r="CZ221" s="549">
        <f t="shared" ref="CZ221:DA221" si="7795">SUM(CZ552)+CZ356</f>
        <v>0</v>
      </c>
      <c r="DA221" s="675">
        <f t="shared" si="7795"/>
        <v>0</v>
      </c>
      <c r="DB221" s="549">
        <f t="shared" ref="DB221:DC221" si="7796">SUM(DB552)+DB356</f>
        <v>0</v>
      </c>
      <c r="DC221" s="675">
        <f t="shared" si="7796"/>
        <v>0</v>
      </c>
      <c r="DD221" s="549">
        <f t="shared" ref="DD221:DE221" si="7797">SUM(DD552)+DD356</f>
        <v>0</v>
      </c>
      <c r="DE221" s="675">
        <f t="shared" si="7797"/>
        <v>0</v>
      </c>
      <c r="DF221" s="549">
        <f t="shared" ref="DF221:DG221" si="7798">SUM(DF552)+DF356</f>
        <v>0</v>
      </c>
      <c r="DG221" s="675">
        <f t="shared" si="7798"/>
        <v>0</v>
      </c>
      <c r="DH221" s="549">
        <f t="shared" ref="DH221:DI221" si="7799">SUM(DH552)+DH356</f>
        <v>0</v>
      </c>
      <c r="DI221" s="675">
        <f t="shared" si="7799"/>
        <v>0</v>
      </c>
      <c r="DJ221" s="549">
        <f t="shared" ref="DJ221:DK221" si="7800">SUM(DJ552)+DJ356</f>
        <v>0</v>
      </c>
      <c r="DK221" s="675">
        <f t="shared" si="7800"/>
        <v>0</v>
      </c>
      <c r="DL221" s="549">
        <f t="shared" ref="DL221:DM221" si="7801">SUM(DL552)+DL356</f>
        <v>0</v>
      </c>
      <c r="DM221" s="675">
        <f t="shared" si="7801"/>
        <v>0</v>
      </c>
      <c r="DN221" s="549">
        <f t="shared" ref="DN221:DO221" si="7802">SUM(DN552)+DN356</f>
        <v>0</v>
      </c>
      <c r="DO221" s="675">
        <f t="shared" si="7802"/>
        <v>0</v>
      </c>
      <c r="DP221" s="549">
        <f t="shared" ref="DP221:DQ221" si="7803">SUM(DP552)+DP356</f>
        <v>0</v>
      </c>
      <c r="DQ221" s="675">
        <f t="shared" si="7803"/>
        <v>-4765</v>
      </c>
      <c r="DR221" s="549">
        <f t="shared" ref="DR221:DS221" si="7804">SUM(DR552)+DR356</f>
        <v>0</v>
      </c>
      <c r="DS221" s="675">
        <f t="shared" si="7804"/>
        <v>0</v>
      </c>
      <c r="DT221" s="549">
        <f t="shared" ref="DT221:DU221" si="7805">SUM(DT552)+DT356</f>
        <v>0</v>
      </c>
      <c r="DU221" s="675">
        <f t="shared" si="7805"/>
        <v>0</v>
      </c>
      <c r="DV221" s="549">
        <f t="shared" ref="DV221:DW221" si="7806">SUM(DV552)+DV356</f>
        <v>0</v>
      </c>
      <c r="DW221" s="675">
        <f t="shared" si="7806"/>
        <v>0</v>
      </c>
      <c r="DX221" s="549">
        <f t="shared" ref="DX221:DY221" si="7807">SUM(DX552)+DX356</f>
        <v>0</v>
      </c>
      <c r="DY221" s="675">
        <f t="shared" si="7807"/>
        <v>0</v>
      </c>
      <c r="DZ221" s="549">
        <f t="shared" ref="DZ221:EA221" si="7808">SUM(DZ552)+DZ356</f>
        <v>0</v>
      </c>
      <c r="EA221" s="675">
        <f t="shared" si="7808"/>
        <v>0</v>
      </c>
      <c r="EB221" s="549">
        <f t="shared" ref="EB221:EC221" si="7809">SUM(EB552)+EB356</f>
        <v>0</v>
      </c>
      <c r="EC221" s="675">
        <f t="shared" si="7809"/>
        <v>0</v>
      </c>
      <c r="ED221" s="549">
        <f t="shared" ref="ED221:EE221" si="7810">SUM(ED552)+ED356</f>
        <v>0</v>
      </c>
      <c r="EE221" s="675">
        <f t="shared" si="7810"/>
        <v>0</v>
      </c>
      <c r="EF221" s="549">
        <f t="shared" ref="EF221:EG221" si="7811">SUM(EF552)+EF356</f>
        <v>0</v>
      </c>
      <c r="EG221" s="675">
        <f t="shared" si="7811"/>
        <v>0</v>
      </c>
      <c r="EH221" s="549">
        <f t="shared" ref="EH221:EI221" si="7812">SUM(EH552)+EH356</f>
        <v>0</v>
      </c>
      <c r="EI221" s="675">
        <f t="shared" si="7812"/>
        <v>0</v>
      </c>
      <c r="EJ221" s="549">
        <f t="shared" ref="EJ221:EK221" si="7813">SUM(EJ552)+EJ356</f>
        <v>5000</v>
      </c>
      <c r="EK221" s="675">
        <f t="shared" si="7813"/>
        <v>0</v>
      </c>
      <c r="EL221" s="549">
        <f t="shared" ref="EL221:EM221" si="7814">SUM(EL552)+EL356</f>
        <v>0</v>
      </c>
      <c r="EM221" s="675">
        <f t="shared" si="7814"/>
        <v>0</v>
      </c>
      <c r="EN221" s="549">
        <f t="shared" ref="EN221:EO221" si="7815">SUM(EN552)+EN356</f>
        <v>0</v>
      </c>
      <c r="EO221" s="675">
        <f t="shared" si="7815"/>
        <v>0</v>
      </c>
      <c r="EP221" s="549">
        <f t="shared" ref="EP221:EQ221" si="7816">SUM(EP552)+EP356</f>
        <v>0</v>
      </c>
      <c r="EQ221" s="675">
        <f t="shared" si="7816"/>
        <v>0</v>
      </c>
      <c r="ER221" s="549">
        <f t="shared" ref="ER221:ES221" si="7817">SUM(ER552)+ER356</f>
        <v>0</v>
      </c>
      <c r="ES221" s="675">
        <f t="shared" si="7817"/>
        <v>0</v>
      </c>
      <c r="ET221" s="549">
        <f t="shared" ref="ET221:EU221" si="7818">SUM(ET552)+ET356</f>
        <v>0</v>
      </c>
      <c r="EU221" s="675">
        <f t="shared" si="7818"/>
        <v>0</v>
      </c>
      <c r="EV221" s="549">
        <f t="shared" ref="EV221:EW221" si="7819">SUM(EV552)+EV356</f>
        <v>0</v>
      </c>
      <c r="EW221" s="675">
        <f t="shared" si="7819"/>
        <v>0</v>
      </c>
      <c r="EX221" s="549">
        <f t="shared" ref="EX221:EY221" si="7820">SUM(EX552)+EX356</f>
        <v>0</v>
      </c>
      <c r="EY221" s="675">
        <f t="shared" si="7820"/>
        <v>0</v>
      </c>
      <c r="EZ221" s="549">
        <f t="shared" ref="EZ221:GR221" si="7821">SUM(EZ552)+EZ356</f>
        <v>0</v>
      </c>
      <c r="FA221" s="675">
        <f t="shared" si="7821"/>
        <v>0</v>
      </c>
      <c r="FB221" s="549">
        <f t="shared" si="7821"/>
        <v>0</v>
      </c>
      <c r="FC221" s="675">
        <f t="shared" si="7821"/>
        <v>0</v>
      </c>
      <c r="FD221" s="549">
        <f t="shared" si="7821"/>
        <v>0</v>
      </c>
      <c r="FE221" s="675">
        <f t="shared" si="7821"/>
        <v>0</v>
      </c>
      <c r="FF221" s="549">
        <f t="shared" si="7821"/>
        <v>0</v>
      </c>
      <c r="FG221" s="675">
        <f t="shared" si="7821"/>
        <v>0</v>
      </c>
      <c r="FH221" s="549">
        <f t="shared" si="7821"/>
        <v>0</v>
      </c>
      <c r="FI221" s="675">
        <f t="shared" si="7821"/>
        <v>0</v>
      </c>
      <c r="FJ221" s="549">
        <f t="shared" si="7821"/>
        <v>0</v>
      </c>
      <c r="FK221" s="675">
        <f t="shared" si="7821"/>
        <v>0</v>
      </c>
      <c r="FL221" s="549">
        <f t="shared" si="7821"/>
        <v>0</v>
      </c>
      <c r="FM221" s="675">
        <f t="shared" si="7821"/>
        <v>0</v>
      </c>
      <c r="FN221" s="549">
        <f t="shared" si="7821"/>
        <v>0</v>
      </c>
      <c r="FO221" s="675">
        <f t="shared" si="7821"/>
        <v>0</v>
      </c>
      <c r="FP221" s="549">
        <f t="shared" si="7821"/>
        <v>0</v>
      </c>
      <c r="FQ221" s="675">
        <f t="shared" si="7821"/>
        <v>0</v>
      </c>
      <c r="FR221" s="549">
        <f t="shared" si="7821"/>
        <v>0</v>
      </c>
      <c r="FS221" s="675">
        <f t="shared" si="7821"/>
        <v>0</v>
      </c>
      <c r="FT221" s="549">
        <f t="shared" si="7821"/>
        <v>0</v>
      </c>
      <c r="FU221" s="675">
        <f t="shared" si="7821"/>
        <v>0</v>
      </c>
      <c r="FV221" s="549">
        <f t="shared" si="7821"/>
        <v>0</v>
      </c>
      <c r="FW221" s="675">
        <f t="shared" si="7821"/>
        <v>0</v>
      </c>
      <c r="FX221" s="549">
        <f t="shared" ref="FX221:GK221" si="7822">SUM(FX552)+FX356</f>
        <v>0</v>
      </c>
      <c r="FY221" s="675">
        <f t="shared" si="7822"/>
        <v>0</v>
      </c>
      <c r="FZ221" s="549">
        <f t="shared" ref="FZ221:GI221" si="7823">SUM(FZ552)+FZ356</f>
        <v>0</v>
      </c>
      <c r="GA221" s="675">
        <f t="shared" si="7823"/>
        <v>0</v>
      </c>
      <c r="GB221" s="549">
        <f t="shared" si="7823"/>
        <v>0</v>
      </c>
      <c r="GC221" s="675">
        <f t="shared" si="7823"/>
        <v>0</v>
      </c>
      <c r="GD221" s="549">
        <f t="shared" si="7823"/>
        <v>0</v>
      </c>
      <c r="GE221" s="675">
        <f t="shared" si="7823"/>
        <v>0</v>
      </c>
      <c r="GF221" s="549">
        <f t="shared" si="7823"/>
        <v>0</v>
      </c>
      <c r="GG221" s="675">
        <f t="shared" si="7823"/>
        <v>0</v>
      </c>
      <c r="GH221" s="549">
        <f t="shared" si="7823"/>
        <v>0</v>
      </c>
      <c r="GI221" s="675">
        <f t="shared" si="7823"/>
        <v>0</v>
      </c>
      <c r="GJ221" s="549">
        <f t="shared" si="7822"/>
        <v>0</v>
      </c>
      <c r="GK221" s="675">
        <f t="shared" si="7822"/>
        <v>0</v>
      </c>
      <c r="GL221" s="549">
        <f t="shared" si="7821"/>
        <v>0</v>
      </c>
      <c r="GM221" s="675">
        <f t="shared" si="7821"/>
        <v>0</v>
      </c>
      <c r="GN221" s="549">
        <f t="shared" ref="GN221:GO221" si="7824">SUM(GN552)+GN356</f>
        <v>0</v>
      </c>
      <c r="GO221" s="675">
        <f t="shared" si="7824"/>
        <v>0</v>
      </c>
      <c r="GP221" s="74">
        <f t="shared" si="7821"/>
        <v>5000</v>
      </c>
      <c r="GQ221" s="675">
        <f t="shared" si="7821"/>
        <v>-30765</v>
      </c>
      <c r="GR221" s="74">
        <f t="shared" si="7821"/>
        <v>7935</v>
      </c>
      <c r="GS221" s="74">
        <f t="shared" ref="GS221:JD221" si="7825">SUM(GS552)+GS356</f>
        <v>7935</v>
      </c>
      <c r="GT221" s="74">
        <f t="shared" si="7825"/>
        <v>7935</v>
      </c>
      <c r="GU221" s="74">
        <f t="shared" si="7825"/>
        <v>6700</v>
      </c>
      <c r="GV221" s="74">
        <f t="shared" si="7825"/>
        <v>6000</v>
      </c>
      <c r="GW221" s="74">
        <f t="shared" si="7825"/>
        <v>6000</v>
      </c>
      <c r="GX221" s="74">
        <f t="shared" si="7825"/>
        <v>5000</v>
      </c>
      <c r="GY221" s="74">
        <f t="shared" si="7825"/>
        <v>5000</v>
      </c>
      <c r="GZ221" s="74">
        <f t="shared" si="7825"/>
        <v>5000</v>
      </c>
      <c r="HA221" s="74">
        <f t="shared" si="7825"/>
        <v>0</v>
      </c>
      <c r="HB221" s="74">
        <f t="shared" si="7825"/>
        <v>0</v>
      </c>
      <c r="HC221" s="74">
        <f t="shared" si="7825"/>
        <v>0</v>
      </c>
      <c r="HD221" s="74">
        <f t="shared" si="7825"/>
        <v>0</v>
      </c>
      <c r="HE221" s="74">
        <f t="shared" si="7825"/>
        <v>0</v>
      </c>
      <c r="HF221" s="74">
        <f t="shared" si="7825"/>
        <v>0</v>
      </c>
      <c r="HG221" s="74">
        <f t="shared" si="7825"/>
        <v>7935</v>
      </c>
      <c r="HH221" s="74">
        <f t="shared" si="7825"/>
        <v>6700</v>
      </c>
      <c r="HI221" s="74">
        <f t="shared" si="7825"/>
        <v>0</v>
      </c>
      <c r="HJ221" s="74">
        <f t="shared" si="7825"/>
        <v>0</v>
      </c>
      <c r="HK221" s="74">
        <f t="shared" si="7825"/>
        <v>0</v>
      </c>
      <c r="HL221" s="74">
        <f t="shared" si="7825"/>
        <v>0</v>
      </c>
      <c r="HM221" s="74">
        <f t="shared" si="7825"/>
        <v>0</v>
      </c>
      <c r="HN221" s="74">
        <f t="shared" si="7825"/>
        <v>1000</v>
      </c>
      <c r="HO221" s="74">
        <f t="shared" si="7825"/>
        <v>0</v>
      </c>
      <c r="HP221" s="74">
        <f t="shared" si="7825"/>
        <v>1195</v>
      </c>
      <c r="HQ221" s="74">
        <f t="shared" si="7825"/>
        <v>0</v>
      </c>
      <c r="HR221" s="74">
        <f t="shared" si="7825"/>
        <v>740</v>
      </c>
      <c r="HS221" s="74">
        <f t="shared" si="7825"/>
        <v>0</v>
      </c>
      <c r="HT221" s="74">
        <f t="shared" si="7825"/>
        <v>-1935</v>
      </c>
      <c r="HU221" s="74">
        <f t="shared" si="7825"/>
        <v>0</v>
      </c>
      <c r="HV221" s="74">
        <f t="shared" si="7825"/>
        <v>0</v>
      </c>
      <c r="HW221" s="74">
        <f t="shared" si="7825"/>
        <v>0</v>
      </c>
      <c r="HX221" s="74">
        <f t="shared" si="7825"/>
        <v>235</v>
      </c>
      <c r="HY221" s="74">
        <f t="shared" si="7825"/>
        <v>0</v>
      </c>
      <c r="HZ221" s="74">
        <f t="shared" si="7825"/>
        <v>0</v>
      </c>
      <c r="IA221" s="74">
        <f t="shared" si="7825"/>
        <v>0</v>
      </c>
      <c r="IB221" s="74">
        <f t="shared" si="7825"/>
        <v>0</v>
      </c>
      <c r="IC221" s="74">
        <f t="shared" si="7825"/>
        <v>0</v>
      </c>
      <c r="ID221" s="74">
        <f t="shared" si="7825"/>
        <v>0</v>
      </c>
      <c r="IE221" s="74">
        <f t="shared" si="7825"/>
        <v>0</v>
      </c>
      <c r="IF221" s="841">
        <f t="shared" si="7825"/>
        <v>4447</v>
      </c>
      <c r="IG221" s="263">
        <f t="shared" si="7825"/>
        <v>4447</v>
      </c>
      <c r="IH221" s="842">
        <f t="shared" si="7825"/>
        <v>4447</v>
      </c>
      <c r="II221" s="74">
        <f t="shared" si="7825"/>
        <v>0</v>
      </c>
      <c r="IJ221" s="74">
        <f t="shared" si="7825"/>
        <v>0</v>
      </c>
      <c r="IK221" s="74">
        <f t="shared" si="7825"/>
        <v>0</v>
      </c>
      <c r="IL221" s="74">
        <f t="shared" si="7825"/>
        <v>0</v>
      </c>
      <c r="IM221" s="74">
        <f t="shared" si="7825"/>
        <v>0</v>
      </c>
      <c r="IN221" s="74">
        <f t="shared" si="7825"/>
        <v>0</v>
      </c>
      <c r="IO221" s="74">
        <f t="shared" si="7825"/>
        <v>0</v>
      </c>
      <c r="IP221" s="74">
        <f t="shared" si="7825"/>
        <v>0</v>
      </c>
      <c r="IQ221" s="74">
        <f t="shared" si="7825"/>
        <v>0</v>
      </c>
      <c r="IR221" s="74">
        <f t="shared" si="7825"/>
        <v>1000</v>
      </c>
      <c r="IS221" s="74">
        <f t="shared" si="7825"/>
        <v>1000</v>
      </c>
      <c r="IT221" s="74">
        <f t="shared" si="7825"/>
        <v>1000</v>
      </c>
      <c r="IU221" s="74">
        <f t="shared" si="7825"/>
        <v>1195</v>
      </c>
      <c r="IV221" s="74">
        <f t="shared" si="7825"/>
        <v>1195</v>
      </c>
      <c r="IW221" s="74">
        <f t="shared" si="7825"/>
        <v>1195</v>
      </c>
      <c r="IX221" s="74">
        <f t="shared" si="7825"/>
        <v>740</v>
      </c>
      <c r="IY221" s="74">
        <f t="shared" si="7825"/>
        <v>740</v>
      </c>
      <c r="IZ221" s="74">
        <f t="shared" si="7825"/>
        <v>740</v>
      </c>
      <c r="JA221" s="74">
        <f t="shared" si="7825"/>
        <v>0</v>
      </c>
      <c r="JB221" s="74">
        <f t="shared" si="7825"/>
        <v>0</v>
      </c>
      <c r="JC221" s="74">
        <f t="shared" si="7825"/>
        <v>0</v>
      </c>
      <c r="JD221" s="74">
        <f t="shared" si="7825"/>
        <v>0</v>
      </c>
      <c r="JE221" s="74">
        <f t="shared" ref="JE221:JT221" si="7826">SUM(JE552)+JE356</f>
        <v>0</v>
      </c>
      <c r="JF221" s="74">
        <f t="shared" si="7826"/>
        <v>0</v>
      </c>
      <c r="JG221" s="74">
        <f t="shared" si="7826"/>
        <v>0</v>
      </c>
      <c r="JH221" s="74">
        <f t="shared" si="7826"/>
        <v>0</v>
      </c>
      <c r="JI221" s="74">
        <f t="shared" si="7826"/>
        <v>0</v>
      </c>
      <c r="JJ221" s="74">
        <f t="shared" si="7826"/>
        <v>1512</v>
      </c>
      <c r="JK221" s="74">
        <f t="shared" si="7826"/>
        <v>1512</v>
      </c>
      <c r="JL221" s="74">
        <f t="shared" si="7826"/>
        <v>1512</v>
      </c>
      <c r="JM221" s="74">
        <f t="shared" si="7826"/>
        <v>0</v>
      </c>
      <c r="JN221" s="74">
        <f t="shared" si="7826"/>
        <v>0</v>
      </c>
      <c r="JO221" s="74">
        <f t="shared" si="7826"/>
        <v>0</v>
      </c>
      <c r="JP221" s="74">
        <f t="shared" si="7826"/>
        <v>0</v>
      </c>
      <c r="JQ221" s="74">
        <f t="shared" si="7826"/>
        <v>0</v>
      </c>
      <c r="JR221" s="74">
        <f t="shared" si="7826"/>
        <v>0</v>
      </c>
      <c r="JS221" s="74">
        <f t="shared" si="7826"/>
        <v>3488</v>
      </c>
      <c r="JT221" s="74">
        <f t="shared" si="7826"/>
        <v>3488</v>
      </c>
      <c r="JU221" s="671"/>
      <c r="JV221" s="492"/>
      <c r="JW221" s="490"/>
      <c r="JX221" s="549">
        <f>SUM(JX552)+JX356</f>
        <v>7935</v>
      </c>
      <c r="JY221" s="549">
        <f>SUM(JY552)+JY356</f>
        <v>0</v>
      </c>
      <c r="JZ221" s="581">
        <f t="shared" si="7470"/>
        <v>5000</v>
      </c>
      <c r="KA221" s="581">
        <f t="shared" si="7471"/>
        <v>-30765</v>
      </c>
      <c r="KB221" s="549">
        <f>SUM(KB552)+KB356</f>
        <v>7935</v>
      </c>
      <c r="KC221" s="709">
        <f t="shared" si="7396"/>
        <v>0</v>
      </c>
      <c r="KD221" s="36"/>
      <c r="KE221" s="36"/>
      <c r="KF221" s="36"/>
      <c r="KG221" s="36"/>
      <c r="KH221" s="36"/>
      <c r="KI221" s="36"/>
      <c r="KJ221" s="36"/>
      <c r="KK221" s="36"/>
    </row>
    <row r="222" spans="1:297" s="8" customFormat="1" ht="12.75" customHeight="1">
      <c r="A222" s="75">
        <v>629</v>
      </c>
      <c r="B222" s="72" t="s">
        <v>210</v>
      </c>
      <c r="C222" s="74">
        <f t="shared" ref="C222" si="7827">SUM(C553)+C356</f>
        <v>16300</v>
      </c>
      <c r="D222" s="549">
        <f t="shared" ref="D222:E222" si="7828">SUM(D553)</f>
        <v>0</v>
      </c>
      <c r="E222" s="675">
        <f t="shared" si="7828"/>
        <v>0</v>
      </c>
      <c r="F222" s="549">
        <f t="shared" ref="F222:G222" si="7829">SUM(F553)</f>
        <v>0</v>
      </c>
      <c r="G222" s="675">
        <f t="shared" si="7829"/>
        <v>0</v>
      </c>
      <c r="H222" s="549">
        <f t="shared" ref="H222:I222" si="7830">SUM(H553)</f>
        <v>0</v>
      </c>
      <c r="I222" s="675">
        <f t="shared" si="7830"/>
        <v>0</v>
      </c>
      <c r="J222" s="549">
        <f t="shared" ref="J222:K222" si="7831">SUM(J553)</f>
        <v>0</v>
      </c>
      <c r="K222" s="675">
        <f t="shared" si="7831"/>
        <v>0</v>
      </c>
      <c r="L222" s="549">
        <f t="shared" ref="L222:M222" si="7832">SUM(L553)</f>
        <v>0</v>
      </c>
      <c r="M222" s="675">
        <f t="shared" si="7832"/>
        <v>0</v>
      </c>
      <c r="N222" s="549">
        <f t="shared" ref="N222:O222" si="7833">SUM(N553)</f>
        <v>0</v>
      </c>
      <c r="O222" s="675">
        <f t="shared" si="7833"/>
        <v>0</v>
      </c>
      <c r="P222" s="549">
        <f t="shared" ref="P222:Q222" si="7834">SUM(P553)</f>
        <v>0</v>
      </c>
      <c r="Q222" s="675">
        <f t="shared" si="7834"/>
        <v>0</v>
      </c>
      <c r="R222" s="549">
        <f t="shared" ref="R222:S222" si="7835">SUM(R553)</f>
        <v>0</v>
      </c>
      <c r="S222" s="675">
        <f t="shared" si="7835"/>
        <v>0</v>
      </c>
      <c r="T222" s="549">
        <f t="shared" ref="T222:U222" si="7836">SUM(T553)</f>
        <v>0</v>
      </c>
      <c r="U222" s="675">
        <f t="shared" si="7836"/>
        <v>0</v>
      </c>
      <c r="V222" s="549">
        <f t="shared" ref="V222:W222" si="7837">SUM(V553)</f>
        <v>0</v>
      </c>
      <c r="W222" s="675">
        <f t="shared" si="7837"/>
        <v>0</v>
      </c>
      <c r="X222" s="549">
        <f t="shared" ref="X222:Y222" si="7838">SUM(X553)</f>
        <v>0</v>
      </c>
      <c r="Y222" s="675">
        <f t="shared" si="7838"/>
        <v>0</v>
      </c>
      <c r="Z222" s="549">
        <f t="shared" ref="Z222:AA222" si="7839">SUM(Z553)</f>
        <v>0</v>
      </c>
      <c r="AA222" s="675">
        <f t="shared" si="7839"/>
        <v>0</v>
      </c>
      <c r="AB222" s="549">
        <f t="shared" ref="AB222:AC222" si="7840">SUM(AB553)</f>
        <v>0</v>
      </c>
      <c r="AC222" s="675">
        <f t="shared" si="7840"/>
        <v>0</v>
      </c>
      <c r="AD222" s="549">
        <f t="shared" ref="AD222:AE222" si="7841">SUM(AD553)</f>
        <v>0</v>
      </c>
      <c r="AE222" s="675">
        <f t="shared" si="7841"/>
        <v>0</v>
      </c>
      <c r="AF222" s="549">
        <f t="shared" ref="AF222:AG222" si="7842">SUM(AF553)</f>
        <v>0</v>
      </c>
      <c r="AG222" s="675">
        <f t="shared" si="7842"/>
        <v>0</v>
      </c>
      <c r="AH222" s="549">
        <f t="shared" ref="AH222:AI222" si="7843">SUM(AH553)</f>
        <v>0</v>
      </c>
      <c r="AI222" s="675">
        <f t="shared" si="7843"/>
        <v>0</v>
      </c>
      <c r="AJ222" s="549">
        <f t="shared" ref="AJ222:AK222" si="7844">SUM(AJ553)</f>
        <v>0</v>
      </c>
      <c r="AK222" s="675">
        <f t="shared" si="7844"/>
        <v>0</v>
      </c>
      <c r="AL222" s="549">
        <f t="shared" ref="AL222:AM222" si="7845">SUM(AL553)</f>
        <v>0</v>
      </c>
      <c r="AM222" s="675">
        <f t="shared" si="7845"/>
        <v>0</v>
      </c>
      <c r="AN222" s="549">
        <f t="shared" ref="AN222:AO222" si="7846">SUM(AN553)</f>
        <v>0</v>
      </c>
      <c r="AO222" s="675">
        <f t="shared" si="7846"/>
        <v>0</v>
      </c>
      <c r="AP222" s="549">
        <f t="shared" ref="AP222:AQ222" si="7847">SUM(AP553)</f>
        <v>0</v>
      </c>
      <c r="AQ222" s="675">
        <f t="shared" si="7847"/>
        <v>0</v>
      </c>
      <c r="AR222" s="549">
        <f t="shared" ref="AR222:AS222" si="7848">SUM(AR553)</f>
        <v>0</v>
      </c>
      <c r="AS222" s="675">
        <f t="shared" si="7848"/>
        <v>0</v>
      </c>
      <c r="AT222" s="549">
        <f t="shared" ref="AT222:AU222" si="7849">SUM(AT553)</f>
        <v>0</v>
      </c>
      <c r="AU222" s="675">
        <f t="shared" si="7849"/>
        <v>0</v>
      </c>
      <c r="AV222" s="549">
        <f t="shared" ref="AV222:AW222" si="7850">SUM(AV553)</f>
        <v>0</v>
      </c>
      <c r="AW222" s="675">
        <f t="shared" si="7850"/>
        <v>0</v>
      </c>
      <c r="AX222" s="549">
        <f t="shared" ref="AX222:AY222" si="7851">SUM(AX553)</f>
        <v>0</v>
      </c>
      <c r="AY222" s="675">
        <f t="shared" si="7851"/>
        <v>0</v>
      </c>
      <c r="AZ222" s="549">
        <f t="shared" ref="AZ222:BA222" si="7852">SUM(AZ553)</f>
        <v>0</v>
      </c>
      <c r="BA222" s="675">
        <f t="shared" si="7852"/>
        <v>0</v>
      </c>
      <c r="BB222" s="549">
        <f t="shared" ref="BB222:BC222" si="7853">SUM(BB553)</f>
        <v>0</v>
      </c>
      <c r="BC222" s="675">
        <f t="shared" si="7853"/>
        <v>0</v>
      </c>
      <c r="BD222" s="549">
        <f t="shared" ref="BD222:BE222" si="7854">SUM(BD553)</f>
        <v>0</v>
      </c>
      <c r="BE222" s="675">
        <f t="shared" si="7854"/>
        <v>0</v>
      </c>
      <c r="BF222" s="549">
        <f t="shared" ref="BF222:BG222" si="7855">SUM(BF553)</f>
        <v>0</v>
      </c>
      <c r="BG222" s="675">
        <f t="shared" si="7855"/>
        <v>0</v>
      </c>
      <c r="BH222" s="549">
        <f t="shared" ref="BH222:BI222" si="7856">SUM(BH553)</f>
        <v>0</v>
      </c>
      <c r="BI222" s="675">
        <f t="shared" si="7856"/>
        <v>0</v>
      </c>
      <c r="BJ222" s="549">
        <f t="shared" ref="BJ222:BK222" si="7857">SUM(BJ553)</f>
        <v>0</v>
      </c>
      <c r="BK222" s="675">
        <f t="shared" si="7857"/>
        <v>0</v>
      </c>
      <c r="BL222" s="549">
        <f t="shared" ref="BL222:BM222" si="7858">SUM(BL553)</f>
        <v>0</v>
      </c>
      <c r="BM222" s="675">
        <f t="shared" si="7858"/>
        <v>0</v>
      </c>
      <c r="BN222" s="549">
        <f t="shared" ref="BN222:BO222" si="7859">SUM(BN553)</f>
        <v>0</v>
      </c>
      <c r="BO222" s="675">
        <f t="shared" si="7859"/>
        <v>0</v>
      </c>
      <c r="BP222" s="549">
        <f t="shared" ref="BP222:BQ222" si="7860">SUM(BP553)</f>
        <v>0</v>
      </c>
      <c r="BQ222" s="675">
        <f t="shared" si="7860"/>
        <v>0</v>
      </c>
      <c r="BR222" s="549">
        <f t="shared" ref="BR222:BS222" si="7861">SUM(BR553)</f>
        <v>0</v>
      </c>
      <c r="BS222" s="675">
        <f t="shared" si="7861"/>
        <v>0</v>
      </c>
      <c r="BT222" s="549">
        <f t="shared" ref="BT222:BU222" si="7862">SUM(BT553)</f>
        <v>0</v>
      </c>
      <c r="BU222" s="675">
        <f t="shared" si="7862"/>
        <v>0</v>
      </c>
      <c r="BV222" s="549">
        <f t="shared" ref="BV222:BW222" si="7863">SUM(BV553)</f>
        <v>0</v>
      </c>
      <c r="BW222" s="675">
        <f t="shared" si="7863"/>
        <v>0</v>
      </c>
      <c r="BX222" s="549">
        <f t="shared" ref="BX222:BY222" si="7864">SUM(BX553)</f>
        <v>0</v>
      </c>
      <c r="BY222" s="675">
        <f t="shared" si="7864"/>
        <v>0</v>
      </c>
      <c r="BZ222" s="549">
        <f t="shared" ref="BZ222:CA222" si="7865">SUM(BZ553)</f>
        <v>0</v>
      </c>
      <c r="CA222" s="675">
        <f t="shared" si="7865"/>
        <v>0</v>
      </c>
      <c r="CB222" s="549">
        <f t="shared" ref="CB222:CC222" si="7866">SUM(CB553)</f>
        <v>0</v>
      </c>
      <c r="CC222" s="675">
        <f t="shared" si="7866"/>
        <v>0</v>
      </c>
      <c r="CD222" s="549">
        <f t="shared" ref="CD222:CE222" si="7867">SUM(CD553)</f>
        <v>0</v>
      </c>
      <c r="CE222" s="675">
        <f t="shared" si="7867"/>
        <v>0</v>
      </c>
      <c r="CF222" s="549">
        <f t="shared" ref="CF222:CG222" si="7868">SUM(CF553)</f>
        <v>0</v>
      </c>
      <c r="CG222" s="675">
        <f t="shared" si="7868"/>
        <v>0</v>
      </c>
      <c r="CH222" s="549">
        <f t="shared" ref="CH222:CI222" si="7869">SUM(CH553)</f>
        <v>0</v>
      </c>
      <c r="CI222" s="675">
        <f t="shared" si="7869"/>
        <v>0</v>
      </c>
      <c r="CJ222" s="549">
        <f t="shared" ref="CJ222:CK222" si="7870">SUM(CJ553)</f>
        <v>0</v>
      </c>
      <c r="CK222" s="675">
        <f t="shared" si="7870"/>
        <v>-6000</v>
      </c>
      <c r="CL222" s="549">
        <f t="shared" ref="CL222:CM222" si="7871">SUM(CL553)</f>
        <v>0</v>
      </c>
      <c r="CM222" s="675">
        <f t="shared" si="7871"/>
        <v>0</v>
      </c>
      <c r="CN222" s="549">
        <f t="shared" ref="CN222:DS222" si="7872">SUM(CN553)</f>
        <v>0</v>
      </c>
      <c r="CO222" s="675">
        <f t="shared" si="7872"/>
        <v>0</v>
      </c>
      <c r="CP222" s="549">
        <f t="shared" si="7872"/>
        <v>0</v>
      </c>
      <c r="CQ222" s="675">
        <f t="shared" si="7872"/>
        <v>0</v>
      </c>
      <c r="CR222" s="549">
        <f t="shared" si="7872"/>
        <v>0</v>
      </c>
      <c r="CS222" s="675">
        <f t="shared" si="7872"/>
        <v>0</v>
      </c>
      <c r="CT222" s="549">
        <f t="shared" si="7872"/>
        <v>0</v>
      </c>
      <c r="CU222" s="675">
        <f t="shared" si="7872"/>
        <v>0</v>
      </c>
      <c r="CV222" s="549">
        <f t="shared" si="7872"/>
        <v>0</v>
      </c>
      <c r="CW222" s="675">
        <f t="shared" si="7872"/>
        <v>0</v>
      </c>
      <c r="CX222" s="549">
        <f t="shared" si="7872"/>
        <v>0</v>
      </c>
      <c r="CY222" s="675">
        <f t="shared" si="7872"/>
        <v>0</v>
      </c>
      <c r="CZ222" s="549">
        <f t="shared" si="7872"/>
        <v>0</v>
      </c>
      <c r="DA222" s="675">
        <f t="shared" si="7872"/>
        <v>0</v>
      </c>
      <c r="DB222" s="549">
        <f t="shared" si="7872"/>
        <v>0</v>
      </c>
      <c r="DC222" s="675">
        <f t="shared" si="7872"/>
        <v>0</v>
      </c>
      <c r="DD222" s="549">
        <f t="shared" si="7872"/>
        <v>0</v>
      </c>
      <c r="DE222" s="675">
        <f t="shared" si="7872"/>
        <v>0</v>
      </c>
      <c r="DF222" s="549">
        <f t="shared" si="7872"/>
        <v>0</v>
      </c>
      <c r="DG222" s="675">
        <f t="shared" si="7872"/>
        <v>0</v>
      </c>
      <c r="DH222" s="549">
        <f t="shared" si="7872"/>
        <v>0</v>
      </c>
      <c r="DI222" s="675">
        <f t="shared" si="7872"/>
        <v>0</v>
      </c>
      <c r="DJ222" s="549">
        <f t="shared" si="7872"/>
        <v>0</v>
      </c>
      <c r="DK222" s="675">
        <f t="shared" si="7872"/>
        <v>0</v>
      </c>
      <c r="DL222" s="549">
        <f t="shared" si="7872"/>
        <v>0</v>
      </c>
      <c r="DM222" s="675">
        <f t="shared" si="7872"/>
        <v>0</v>
      </c>
      <c r="DN222" s="549">
        <f t="shared" si="7872"/>
        <v>0</v>
      </c>
      <c r="DO222" s="675">
        <f t="shared" si="7872"/>
        <v>0</v>
      </c>
      <c r="DP222" s="549">
        <f t="shared" si="7872"/>
        <v>0</v>
      </c>
      <c r="DQ222" s="675">
        <f t="shared" si="7872"/>
        <v>0</v>
      </c>
      <c r="DR222" s="549">
        <f t="shared" si="7872"/>
        <v>0</v>
      </c>
      <c r="DS222" s="675">
        <f t="shared" si="7872"/>
        <v>0</v>
      </c>
      <c r="DT222" s="549">
        <f t="shared" ref="DT222:EY222" si="7873">SUM(DT553)</f>
        <v>0</v>
      </c>
      <c r="DU222" s="675">
        <f t="shared" si="7873"/>
        <v>0</v>
      </c>
      <c r="DV222" s="549">
        <f t="shared" si="7873"/>
        <v>0</v>
      </c>
      <c r="DW222" s="675">
        <f t="shared" si="7873"/>
        <v>0</v>
      </c>
      <c r="DX222" s="549">
        <f t="shared" si="7873"/>
        <v>0</v>
      </c>
      <c r="DY222" s="675">
        <f t="shared" si="7873"/>
        <v>0</v>
      </c>
      <c r="DZ222" s="549">
        <f t="shared" si="7873"/>
        <v>0</v>
      </c>
      <c r="EA222" s="675">
        <f t="shared" si="7873"/>
        <v>0</v>
      </c>
      <c r="EB222" s="549">
        <f t="shared" si="7873"/>
        <v>0</v>
      </c>
      <c r="EC222" s="675">
        <f t="shared" si="7873"/>
        <v>0</v>
      </c>
      <c r="ED222" s="549">
        <f t="shared" si="7873"/>
        <v>0</v>
      </c>
      <c r="EE222" s="675">
        <f t="shared" si="7873"/>
        <v>0</v>
      </c>
      <c r="EF222" s="549">
        <f t="shared" si="7873"/>
        <v>0</v>
      </c>
      <c r="EG222" s="675">
        <f t="shared" si="7873"/>
        <v>0</v>
      </c>
      <c r="EH222" s="549">
        <f t="shared" si="7873"/>
        <v>0</v>
      </c>
      <c r="EI222" s="675">
        <f t="shared" si="7873"/>
        <v>0</v>
      </c>
      <c r="EJ222" s="549">
        <f t="shared" si="7873"/>
        <v>0</v>
      </c>
      <c r="EK222" s="675">
        <f t="shared" si="7873"/>
        <v>0</v>
      </c>
      <c r="EL222" s="549">
        <f t="shared" si="7873"/>
        <v>0</v>
      </c>
      <c r="EM222" s="675">
        <f t="shared" si="7873"/>
        <v>0</v>
      </c>
      <c r="EN222" s="549">
        <f t="shared" si="7873"/>
        <v>0</v>
      </c>
      <c r="EO222" s="675">
        <f t="shared" si="7873"/>
        <v>0</v>
      </c>
      <c r="EP222" s="549">
        <f t="shared" si="7873"/>
        <v>0</v>
      </c>
      <c r="EQ222" s="675">
        <f t="shared" si="7873"/>
        <v>0</v>
      </c>
      <c r="ER222" s="549">
        <f t="shared" si="7873"/>
        <v>0</v>
      </c>
      <c r="ES222" s="675">
        <f t="shared" si="7873"/>
        <v>0</v>
      </c>
      <c r="ET222" s="549">
        <f t="shared" si="7873"/>
        <v>0</v>
      </c>
      <c r="EU222" s="675">
        <f t="shared" si="7873"/>
        <v>0</v>
      </c>
      <c r="EV222" s="549">
        <f t="shared" si="7873"/>
        <v>0</v>
      </c>
      <c r="EW222" s="675">
        <f t="shared" si="7873"/>
        <v>0</v>
      </c>
      <c r="EX222" s="549">
        <f t="shared" si="7873"/>
        <v>0</v>
      </c>
      <c r="EY222" s="675">
        <f t="shared" si="7873"/>
        <v>0</v>
      </c>
      <c r="EZ222" s="549">
        <f t="shared" ref="EZ222:GR222" si="7874">SUM(EZ553)</f>
        <v>0</v>
      </c>
      <c r="FA222" s="675">
        <f t="shared" si="7874"/>
        <v>0</v>
      </c>
      <c r="FB222" s="549">
        <f t="shared" si="7874"/>
        <v>0</v>
      </c>
      <c r="FC222" s="675">
        <f t="shared" si="7874"/>
        <v>0</v>
      </c>
      <c r="FD222" s="549">
        <f t="shared" si="7874"/>
        <v>0</v>
      </c>
      <c r="FE222" s="675">
        <f t="shared" si="7874"/>
        <v>0</v>
      </c>
      <c r="FF222" s="549">
        <f t="shared" si="7874"/>
        <v>0</v>
      </c>
      <c r="FG222" s="675">
        <f t="shared" si="7874"/>
        <v>0</v>
      </c>
      <c r="FH222" s="549">
        <f t="shared" si="7874"/>
        <v>0</v>
      </c>
      <c r="FI222" s="675">
        <f t="shared" si="7874"/>
        <v>0</v>
      </c>
      <c r="FJ222" s="549">
        <f t="shared" si="7874"/>
        <v>0</v>
      </c>
      <c r="FK222" s="675">
        <f t="shared" si="7874"/>
        <v>0</v>
      </c>
      <c r="FL222" s="549">
        <f t="shared" si="7874"/>
        <v>0</v>
      </c>
      <c r="FM222" s="675">
        <f t="shared" si="7874"/>
        <v>0</v>
      </c>
      <c r="FN222" s="549">
        <f t="shared" si="7874"/>
        <v>0</v>
      </c>
      <c r="FO222" s="675">
        <f t="shared" si="7874"/>
        <v>0</v>
      </c>
      <c r="FP222" s="549">
        <f t="shared" si="7874"/>
        <v>0</v>
      </c>
      <c r="FQ222" s="675">
        <f t="shared" si="7874"/>
        <v>0</v>
      </c>
      <c r="FR222" s="549">
        <f t="shared" si="7874"/>
        <v>0</v>
      </c>
      <c r="FS222" s="675">
        <f t="shared" si="7874"/>
        <v>-3202</v>
      </c>
      <c r="FT222" s="549">
        <f t="shared" si="7874"/>
        <v>0</v>
      </c>
      <c r="FU222" s="675">
        <f t="shared" si="7874"/>
        <v>0</v>
      </c>
      <c r="FV222" s="549">
        <f t="shared" si="7874"/>
        <v>0</v>
      </c>
      <c r="FW222" s="675">
        <f t="shared" si="7874"/>
        <v>0</v>
      </c>
      <c r="FX222" s="549">
        <f t="shared" ref="FX222:GK222" si="7875">SUM(FX553)</f>
        <v>0</v>
      </c>
      <c r="FY222" s="675">
        <f t="shared" si="7875"/>
        <v>0</v>
      </c>
      <c r="FZ222" s="549">
        <f t="shared" ref="FZ222:GI222" si="7876">SUM(FZ553)</f>
        <v>0</v>
      </c>
      <c r="GA222" s="675">
        <f t="shared" si="7876"/>
        <v>0</v>
      </c>
      <c r="GB222" s="549">
        <f t="shared" si="7876"/>
        <v>0</v>
      </c>
      <c r="GC222" s="675">
        <f t="shared" si="7876"/>
        <v>0</v>
      </c>
      <c r="GD222" s="549">
        <f t="shared" si="7876"/>
        <v>0</v>
      </c>
      <c r="GE222" s="675">
        <f t="shared" si="7876"/>
        <v>0</v>
      </c>
      <c r="GF222" s="549">
        <f t="shared" si="7876"/>
        <v>0</v>
      </c>
      <c r="GG222" s="675">
        <f t="shared" si="7876"/>
        <v>0</v>
      </c>
      <c r="GH222" s="549">
        <f t="shared" si="7876"/>
        <v>0</v>
      </c>
      <c r="GI222" s="675">
        <f t="shared" si="7876"/>
        <v>0</v>
      </c>
      <c r="GJ222" s="549">
        <f t="shared" si="7875"/>
        <v>0</v>
      </c>
      <c r="GK222" s="675">
        <f t="shared" si="7875"/>
        <v>0</v>
      </c>
      <c r="GL222" s="549">
        <f t="shared" si="7874"/>
        <v>0</v>
      </c>
      <c r="GM222" s="675">
        <f t="shared" si="7874"/>
        <v>0</v>
      </c>
      <c r="GN222" s="549">
        <f t="shared" ref="GN222:GO222" si="7877">SUM(GN553)</f>
        <v>0</v>
      </c>
      <c r="GO222" s="675">
        <f t="shared" si="7877"/>
        <v>0</v>
      </c>
      <c r="GP222" s="74">
        <f t="shared" si="7874"/>
        <v>0</v>
      </c>
      <c r="GQ222" s="675">
        <f t="shared" si="7874"/>
        <v>-9202</v>
      </c>
      <c r="GR222" s="74">
        <f t="shared" si="7874"/>
        <v>7098</v>
      </c>
      <c r="GS222" s="74">
        <f t="shared" ref="GS222:JD222" si="7878">SUM(GS553)</f>
        <v>7098</v>
      </c>
      <c r="GT222" s="74">
        <f t="shared" si="7878"/>
        <v>7098</v>
      </c>
      <c r="GU222" s="74">
        <f t="shared" si="7878"/>
        <v>0</v>
      </c>
      <c r="GV222" s="74">
        <f t="shared" si="7878"/>
        <v>0</v>
      </c>
      <c r="GW222" s="74">
        <f t="shared" si="7878"/>
        <v>16300</v>
      </c>
      <c r="GX222" s="74">
        <f t="shared" si="7878"/>
        <v>0</v>
      </c>
      <c r="GY222" s="74">
        <f t="shared" si="7878"/>
        <v>0</v>
      </c>
      <c r="GZ222" s="74">
        <f t="shared" si="7878"/>
        <v>0</v>
      </c>
      <c r="HA222" s="74">
        <f t="shared" si="7878"/>
        <v>0</v>
      </c>
      <c r="HB222" s="74">
        <f t="shared" si="7878"/>
        <v>0</v>
      </c>
      <c r="HC222" s="74">
        <f t="shared" si="7878"/>
        <v>0</v>
      </c>
      <c r="HD222" s="74">
        <f t="shared" si="7878"/>
        <v>0</v>
      </c>
      <c r="HE222" s="74">
        <f t="shared" si="7878"/>
        <v>0</v>
      </c>
      <c r="HF222" s="74">
        <f t="shared" si="7878"/>
        <v>0</v>
      </c>
      <c r="HG222" s="74">
        <f t="shared" si="7878"/>
        <v>7098</v>
      </c>
      <c r="HH222" s="74">
        <f t="shared" si="7878"/>
        <v>0</v>
      </c>
      <c r="HI222" s="74">
        <f t="shared" si="7878"/>
        <v>0</v>
      </c>
      <c r="HJ222" s="74">
        <f t="shared" si="7878"/>
        <v>0</v>
      </c>
      <c r="HK222" s="74">
        <f t="shared" si="7878"/>
        <v>0</v>
      </c>
      <c r="HL222" s="74">
        <f t="shared" si="7878"/>
        <v>16300</v>
      </c>
      <c r="HM222" s="74">
        <f t="shared" si="7878"/>
        <v>0</v>
      </c>
      <c r="HN222" s="74">
        <f t="shared" si="7878"/>
        <v>0</v>
      </c>
      <c r="HO222" s="74">
        <f t="shared" si="7878"/>
        <v>0</v>
      </c>
      <c r="HP222" s="74">
        <f t="shared" si="7878"/>
        <v>0</v>
      </c>
      <c r="HQ222" s="74">
        <f t="shared" si="7878"/>
        <v>0</v>
      </c>
      <c r="HR222" s="74">
        <f t="shared" si="7878"/>
        <v>0</v>
      </c>
      <c r="HS222" s="74">
        <f t="shared" si="7878"/>
        <v>0</v>
      </c>
      <c r="HT222" s="74">
        <f t="shared" si="7878"/>
        <v>-6000</v>
      </c>
      <c r="HU222" s="74">
        <f t="shared" si="7878"/>
        <v>0</v>
      </c>
      <c r="HV222" s="74">
        <f t="shared" si="7878"/>
        <v>0</v>
      </c>
      <c r="HW222" s="74">
        <f t="shared" si="7878"/>
        <v>0</v>
      </c>
      <c r="HX222" s="74">
        <f t="shared" si="7878"/>
        <v>0</v>
      </c>
      <c r="HY222" s="74">
        <f t="shared" si="7878"/>
        <v>0</v>
      </c>
      <c r="HZ222" s="74">
        <f t="shared" si="7878"/>
        <v>-3202</v>
      </c>
      <c r="IA222" s="74">
        <f t="shared" si="7878"/>
        <v>0</v>
      </c>
      <c r="IB222" s="74">
        <f t="shared" si="7878"/>
        <v>0</v>
      </c>
      <c r="IC222" s="74">
        <f t="shared" si="7878"/>
        <v>0</v>
      </c>
      <c r="ID222" s="74">
        <f t="shared" si="7878"/>
        <v>0</v>
      </c>
      <c r="IE222" s="74">
        <f t="shared" si="7878"/>
        <v>0</v>
      </c>
      <c r="IF222" s="841">
        <f t="shared" si="7878"/>
        <v>7098</v>
      </c>
      <c r="IG222" s="263">
        <f t="shared" si="7878"/>
        <v>7098</v>
      </c>
      <c r="IH222" s="842">
        <f t="shared" si="7878"/>
        <v>7098</v>
      </c>
      <c r="II222" s="74">
        <f t="shared" si="7878"/>
        <v>0</v>
      </c>
      <c r="IJ222" s="74">
        <f t="shared" si="7878"/>
        <v>0</v>
      </c>
      <c r="IK222" s="74">
        <f t="shared" si="7878"/>
        <v>0</v>
      </c>
      <c r="IL222" s="74">
        <f t="shared" si="7878"/>
        <v>0</v>
      </c>
      <c r="IM222" s="74">
        <f t="shared" si="7878"/>
        <v>0</v>
      </c>
      <c r="IN222" s="74">
        <f t="shared" si="7878"/>
        <v>0</v>
      </c>
      <c r="IO222" s="74">
        <f t="shared" si="7878"/>
        <v>1911</v>
      </c>
      <c r="IP222" s="74">
        <f t="shared" si="7878"/>
        <v>1911</v>
      </c>
      <c r="IQ222" s="74">
        <f t="shared" si="7878"/>
        <v>1911</v>
      </c>
      <c r="IR222" s="74">
        <f t="shared" si="7878"/>
        <v>819</v>
      </c>
      <c r="IS222" s="74">
        <f t="shared" si="7878"/>
        <v>819</v>
      </c>
      <c r="IT222" s="74">
        <f t="shared" si="7878"/>
        <v>819</v>
      </c>
      <c r="IU222" s="74">
        <f t="shared" si="7878"/>
        <v>955.5</v>
      </c>
      <c r="IV222" s="74">
        <f t="shared" si="7878"/>
        <v>955.5</v>
      </c>
      <c r="IW222" s="74">
        <f t="shared" si="7878"/>
        <v>955.5</v>
      </c>
      <c r="IX222" s="74">
        <f t="shared" si="7878"/>
        <v>955.5</v>
      </c>
      <c r="IY222" s="74">
        <f t="shared" si="7878"/>
        <v>955.5</v>
      </c>
      <c r="IZ222" s="74">
        <f t="shared" si="7878"/>
        <v>955.5</v>
      </c>
      <c r="JA222" s="74">
        <f t="shared" si="7878"/>
        <v>0</v>
      </c>
      <c r="JB222" s="74">
        <f t="shared" si="7878"/>
        <v>0</v>
      </c>
      <c r="JC222" s="74">
        <f t="shared" si="7878"/>
        <v>0</v>
      </c>
      <c r="JD222" s="74">
        <f t="shared" si="7878"/>
        <v>1501.5</v>
      </c>
      <c r="JE222" s="74">
        <f t="shared" ref="JE222:JT222" si="7879">SUM(JE553)</f>
        <v>1501.5</v>
      </c>
      <c r="JF222" s="74">
        <f t="shared" si="7879"/>
        <v>1501.5</v>
      </c>
      <c r="JG222" s="74">
        <f t="shared" si="7879"/>
        <v>955.5</v>
      </c>
      <c r="JH222" s="74">
        <f t="shared" si="7879"/>
        <v>955.5</v>
      </c>
      <c r="JI222" s="74">
        <f t="shared" si="7879"/>
        <v>955.5</v>
      </c>
      <c r="JJ222" s="74">
        <f t="shared" si="7879"/>
        <v>0</v>
      </c>
      <c r="JK222" s="74">
        <f t="shared" si="7879"/>
        <v>0</v>
      </c>
      <c r="JL222" s="74">
        <f t="shared" si="7879"/>
        <v>0</v>
      </c>
      <c r="JM222" s="74">
        <f t="shared" si="7879"/>
        <v>0</v>
      </c>
      <c r="JN222" s="74">
        <f t="shared" si="7879"/>
        <v>0</v>
      </c>
      <c r="JO222" s="74">
        <f t="shared" si="7879"/>
        <v>0</v>
      </c>
      <c r="JP222" s="74">
        <f t="shared" si="7879"/>
        <v>0</v>
      </c>
      <c r="JQ222" s="74">
        <f t="shared" si="7879"/>
        <v>0</v>
      </c>
      <c r="JR222" s="74">
        <f t="shared" si="7879"/>
        <v>0</v>
      </c>
      <c r="JS222" s="74">
        <f t="shared" si="7879"/>
        <v>0</v>
      </c>
      <c r="JT222" s="74">
        <f t="shared" si="7879"/>
        <v>0</v>
      </c>
      <c r="JU222" s="670"/>
      <c r="JV222" s="489"/>
      <c r="JW222" s="490"/>
      <c r="JX222" s="549">
        <f>SUM(JX553)</f>
        <v>7098</v>
      </c>
      <c r="JY222" s="549">
        <f>SUM(JY553)</f>
        <v>0</v>
      </c>
      <c r="JZ222" s="581">
        <f t="shared" si="7470"/>
        <v>0</v>
      </c>
      <c r="KA222" s="581">
        <f t="shared" si="7471"/>
        <v>-9202</v>
      </c>
      <c r="KB222" s="549">
        <f>SUM(KB553)</f>
        <v>7098</v>
      </c>
      <c r="KC222" s="709">
        <f t="shared" si="7396"/>
        <v>0</v>
      </c>
      <c r="KD222" s="36"/>
      <c r="KE222" s="36"/>
      <c r="KF222" s="36"/>
      <c r="KG222" s="36"/>
      <c r="KH222" s="36"/>
      <c r="KI222" s="36"/>
      <c r="KJ222" s="36"/>
      <c r="KK222" s="36"/>
    </row>
    <row r="223" spans="1:297" s="8" customFormat="1">
      <c r="A223" s="75"/>
      <c r="B223" s="72"/>
      <c r="C223" s="74"/>
      <c r="D223" s="549"/>
      <c r="E223" s="675"/>
      <c r="F223" s="549"/>
      <c r="G223" s="675"/>
      <c r="H223" s="549"/>
      <c r="I223" s="675"/>
      <c r="J223" s="549"/>
      <c r="K223" s="675"/>
      <c r="L223" s="549"/>
      <c r="M223" s="675"/>
      <c r="N223" s="549"/>
      <c r="O223" s="675"/>
      <c r="P223" s="549"/>
      <c r="Q223" s="675"/>
      <c r="R223" s="549"/>
      <c r="S223" s="675"/>
      <c r="T223" s="549"/>
      <c r="U223" s="675"/>
      <c r="V223" s="549"/>
      <c r="W223" s="675"/>
      <c r="X223" s="549"/>
      <c r="Y223" s="675"/>
      <c r="Z223" s="549"/>
      <c r="AA223" s="675"/>
      <c r="AB223" s="549"/>
      <c r="AC223" s="675"/>
      <c r="AD223" s="549"/>
      <c r="AE223" s="675"/>
      <c r="AF223" s="549"/>
      <c r="AG223" s="675"/>
      <c r="AH223" s="549"/>
      <c r="AI223" s="675"/>
      <c r="AJ223" s="549"/>
      <c r="AK223" s="675"/>
      <c r="AL223" s="549"/>
      <c r="AM223" s="675"/>
      <c r="AN223" s="549"/>
      <c r="AO223" s="675"/>
      <c r="AP223" s="549"/>
      <c r="AQ223" s="675"/>
      <c r="AR223" s="549"/>
      <c r="AS223" s="675"/>
      <c r="AT223" s="549"/>
      <c r="AU223" s="675"/>
      <c r="AV223" s="549"/>
      <c r="AW223" s="675"/>
      <c r="AX223" s="549"/>
      <c r="AY223" s="675"/>
      <c r="AZ223" s="549"/>
      <c r="BA223" s="675"/>
      <c r="BB223" s="549"/>
      <c r="BC223" s="675"/>
      <c r="BD223" s="549"/>
      <c r="BE223" s="675"/>
      <c r="BF223" s="549"/>
      <c r="BG223" s="675"/>
      <c r="BH223" s="549"/>
      <c r="BI223" s="675"/>
      <c r="BJ223" s="549"/>
      <c r="BK223" s="675"/>
      <c r="BL223" s="549"/>
      <c r="BM223" s="675"/>
      <c r="BN223" s="549"/>
      <c r="BO223" s="675"/>
      <c r="BP223" s="549"/>
      <c r="BQ223" s="675"/>
      <c r="BR223" s="549"/>
      <c r="BS223" s="675"/>
      <c r="BT223" s="549"/>
      <c r="BU223" s="675"/>
      <c r="BV223" s="549"/>
      <c r="BW223" s="675"/>
      <c r="BX223" s="549"/>
      <c r="BY223" s="675"/>
      <c r="BZ223" s="549"/>
      <c r="CA223" s="675"/>
      <c r="CB223" s="549"/>
      <c r="CC223" s="675"/>
      <c r="CD223" s="549"/>
      <c r="CE223" s="675"/>
      <c r="CF223" s="549"/>
      <c r="CG223" s="675"/>
      <c r="CH223" s="549"/>
      <c r="CI223" s="675"/>
      <c r="CJ223" s="549"/>
      <c r="CK223" s="675"/>
      <c r="CL223" s="549"/>
      <c r="CM223" s="675"/>
      <c r="CN223" s="549"/>
      <c r="CO223" s="675"/>
      <c r="CP223" s="549"/>
      <c r="CQ223" s="675"/>
      <c r="CR223" s="549"/>
      <c r="CS223" s="675"/>
      <c r="CT223" s="549"/>
      <c r="CU223" s="675"/>
      <c r="CV223" s="549"/>
      <c r="CW223" s="675"/>
      <c r="CX223" s="549"/>
      <c r="CY223" s="675"/>
      <c r="CZ223" s="549"/>
      <c r="DA223" s="675"/>
      <c r="DB223" s="549"/>
      <c r="DC223" s="675"/>
      <c r="DD223" s="549"/>
      <c r="DE223" s="675"/>
      <c r="DF223" s="549"/>
      <c r="DG223" s="675"/>
      <c r="DH223" s="549"/>
      <c r="DI223" s="675"/>
      <c r="DJ223" s="549"/>
      <c r="DK223" s="675"/>
      <c r="DL223" s="549"/>
      <c r="DM223" s="675"/>
      <c r="DN223" s="549"/>
      <c r="DO223" s="675"/>
      <c r="DP223" s="549"/>
      <c r="DQ223" s="675"/>
      <c r="DR223" s="549"/>
      <c r="DS223" s="675"/>
      <c r="DT223" s="549"/>
      <c r="DU223" s="675"/>
      <c r="DV223" s="549"/>
      <c r="DW223" s="675"/>
      <c r="DX223" s="549"/>
      <c r="DY223" s="675"/>
      <c r="DZ223" s="549"/>
      <c r="EA223" s="675"/>
      <c r="EB223" s="549"/>
      <c r="EC223" s="675"/>
      <c r="ED223" s="549"/>
      <c r="EE223" s="675"/>
      <c r="EF223" s="549"/>
      <c r="EG223" s="675"/>
      <c r="EH223" s="549"/>
      <c r="EI223" s="675"/>
      <c r="EJ223" s="549"/>
      <c r="EK223" s="675"/>
      <c r="EL223" s="549"/>
      <c r="EM223" s="675"/>
      <c r="EN223" s="549"/>
      <c r="EO223" s="675"/>
      <c r="EP223" s="549"/>
      <c r="EQ223" s="675"/>
      <c r="ER223" s="549"/>
      <c r="ES223" s="675"/>
      <c r="ET223" s="549"/>
      <c r="EU223" s="675"/>
      <c r="EV223" s="549"/>
      <c r="EW223" s="675"/>
      <c r="EX223" s="549"/>
      <c r="EY223" s="675"/>
      <c r="EZ223" s="549"/>
      <c r="FA223" s="675"/>
      <c r="FB223" s="549"/>
      <c r="FC223" s="675"/>
      <c r="FD223" s="549"/>
      <c r="FE223" s="675"/>
      <c r="FF223" s="549"/>
      <c r="FG223" s="675"/>
      <c r="FH223" s="549"/>
      <c r="FI223" s="675"/>
      <c r="FJ223" s="549"/>
      <c r="FK223" s="675"/>
      <c r="FL223" s="549"/>
      <c r="FM223" s="675"/>
      <c r="FN223" s="549"/>
      <c r="FO223" s="675"/>
      <c r="FP223" s="549"/>
      <c r="FQ223" s="675"/>
      <c r="FR223" s="549"/>
      <c r="FS223" s="675"/>
      <c r="FT223" s="549"/>
      <c r="FU223" s="675"/>
      <c r="FV223" s="549"/>
      <c r="FW223" s="675"/>
      <c r="FX223" s="549"/>
      <c r="FY223" s="675"/>
      <c r="FZ223" s="549"/>
      <c r="GA223" s="675"/>
      <c r="GB223" s="549"/>
      <c r="GC223" s="675"/>
      <c r="GD223" s="549"/>
      <c r="GE223" s="675"/>
      <c r="GF223" s="549"/>
      <c r="GG223" s="675"/>
      <c r="GH223" s="549"/>
      <c r="GI223" s="675"/>
      <c r="GJ223" s="549"/>
      <c r="GK223" s="675"/>
      <c r="GL223" s="549"/>
      <c r="GM223" s="675"/>
      <c r="GN223" s="549"/>
      <c r="GO223" s="675"/>
      <c r="GP223" s="74"/>
      <c r="GQ223" s="675"/>
      <c r="GR223" s="74"/>
      <c r="GS223" s="74"/>
      <c r="GT223" s="549"/>
      <c r="GU223" s="74"/>
      <c r="GV223" s="74"/>
      <c r="GW223" s="549"/>
      <c r="GX223" s="549"/>
      <c r="GY223" s="74"/>
      <c r="GZ223" s="74"/>
      <c r="HA223" s="74"/>
      <c r="HB223" s="74"/>
      <c r="HC223" s="74"/>
      <c r="HD223" s="74"/>
      <c r="HE223" s="74"/>
      <c r="HF223" s="74"/>
      <c r="HG223" s="74"/>
      <c r="HH223" s="74"/>
      <c r="HI223" s="74"/>
      <c r="HJ223" s="74"/>
      <c r="HK223" s="74"/>
      <c r="HL223" s="74"/>
      <c r="HM223" s="74"/>
      <c r="HN223" s="74"/>
      <c r="HO223" s="74"/>
      <c r="HP223" s="74"/>
      <c r="HQ223" s="74"/>
      <c r="HR223" s="74"/>
      <c r="HS223" s="74"/>
      <c r="HT223" s="74"/>
      <c r="HU223" s="74"/>
      <c r="HV223" s="74"/>
      <c r="HW223" s="74"/>
      <c r="HX223" s="74"/>
      <c r="HY223" s="74"/>
      <c r="HZ223" s="74"/>
      <c r="IA223" s="74"/>
      <c r="IB223" s="74"/>
      <c r="IC223" s="74"/>
      <c r="ID223" s="74"/>
      <c r="IE223" s="792"/>
      <c r="IF223" s="841"/>
      <c r="IG223" s="263"/>
      <c r="IH223" s="842"/>
      <c r="II223" s="155"/>
      <c r="IJ223" s="74"/>
      <c r="IK223" s="74"/>
      <c r="IL223" s="74"/>
      <c r="IM223" s="74"/>
      <c r="IN223" s="74"/>
      <c r="IO223" s="74"/>
      <c r="IP223" s="74"/>
      <c r="IQ223" s="74"/>
      <c r="IR223" s="74"/>
      <c r="IS223" s="74"/>
      <c r="IT223" s="74"/>
      <c r="IU223" s="74"/>
      <c r="IV223" s="74"/>
      <c r="IW223" s="74"/>
      <c r="IX223" s="74"/>
      <c r="IY223" s="74"/>
      <c r="IZ223" s="74"/>
      <c r="JA223" s="74"/>
      <c r="JB223" s="74"/>
      <c r="JC223" s="74"/>
      <c r="JD223" s="74"/>
      <c r="JE223" s="74"/>
      <c r="JF223" s="74"/>
      <c r="JG223" s="74"/>
      <c r="JH223" s="74"/>
      <c r="JI223" s="74"/>
      <c r="JJ223" s="74"/>
      <c r="JK223" s="74"/>
      <c r="JL223" s="74"/>
      <c r="JM223" s="74"/>
      <c r="JN223" s="74"/>
      <c r="JO223" s="74"/>
      <c r="JP223" s="74"/>
      <c r="JQ223" s="74"/>
      <c r="JR223" s="74"/>
      <c r="JS223" s="74"/>
      <c r="JT223" s="382"/>
      <c r="JU223" s="670"/>
      <c r="JV223" s="489"/>
      <c r="JW223" s="529"/>
      <c r="JX223" s="549"/>
      <c r="JY223" s="549"/>
      <c r="JZ223" s="581">
        <f t="shared" si="7470"/>
        <v>0</v>
      </c>
      <c r="KA223" s="581">
        <f t="shared" si="7471"/>
        <v>0</v>
      </c>
      <c r="KB223" s="549"/>
      <c r="KC223" s="709">
        <f t="shared" si="7396"/>
        <v>0</v>
      </c>
      <c r="KD223" s="36"/>
      <c r="KE223" s="36"/>
      <c r="KF223" s="36"/>
      <c r="KG223" s="36"/>
      <c r="KH223" s="36"/>
      <c r="KI223" s="36"/>
      <c r="KJ223" s="36"/>
      <c r="KK223" s="36"/>
    </row>
    <row r="224" spans="1:297" s="8" customFormat="1">
      <c r="A224" s="262" t="s">
        <v>1216</v>
      </c>
      <c r="B224" s="72"/>
      <c r="C224" s="74">
        <f>C225</f>
        <v>0</v>
      </c>
      <c r="D224" s="549">
        <f t="shared" ref="D224:GQ224" si="7880">D225</f>
        <v>0</v>
      </c>
      <c r="E224" s="675">
        <f t="shared" si="7880"/>
        <v>0</v>
      </c>
      <c r="F224" s="549">
        <f t="shared" si="7880"/>
        <v>0</v>
      </c>
      <c r="G224" s="675">
        <f t="shared" si="7880"/>
        <v>0</v>
      </c>
      <c r="H224" s="549">
        <f t="shared" si="7880"/>
        <v>0</v>
      </c>
      <c r="I224" s="675">
        <f t="shared" si="7880"/>
        <v>0</v>
      </c>
      <c r="J224" s="549">
        <f t="shared" si="7880"/>
        <v>0</v>
      </c>
      <c r="K224" s="675">
        <f t="shared" si="7880"/>
        <v>0</v>
      </c>
      <c r="L224" s="549">
        <f t="shared" si="7880"/>
        <v>0</v>
      </c>
      <c r="M224" s="675">
        <f t="shared" si="7880"/>
        <v>0</v>
      </c>
      <c r="N224" s="549">
        <f t="shared" si="7880"/>
        <v>0</v>
      </c>
      <c r="O224" s="675">
        <f t="shared" si="7880"/>
        <v>0</v>
      </c>
      <c r="P224" s="549">
        <f t="shared" si="7880"/>
        <v>0</v>
      </c>
      <c r="Q224" s="675">
        <f t="shared" si="7880"/>
        <v>0</v>
      </c>
      <c r="R224" s="549">
        <f t="shared" si="7880"/>
        <v>0</v>
      </c>
      <c r="S224" s="675">
        <f t="shared" si="7880"/>
        <v>0</v>
      </c>
      <c r="T224" s="549">
        <f t="shared" si="7880"/>
        <v>0</v>
      </c>
      <c r="U224" s="675">
        <f t="shared" si="7880"/>
        <v>0</v>
      </c>
      <c r="V224" s="549">
        <f t="shared" si="7880"/>
        <v>0</v>
      </c>
      <c r="W224" s="675">
        <f t="shared" si="7880"/>
        <v>0</v>
      </c>
      <c r="X224" s="549">
        <f t="shared" si="7880"/>
        <v>0</v>
      </c>
      <c r="Y224" s="675">
        <f t="shared" si="7880"/>
        <v>0</v>
      </c>
      <c r="Z224" s="549">
        <f t="shared" si="7880"/>
        <v>0</v>
      </c>
      <c r="AA224" s="675">
        <f t="shared" si="7880"/>
        <v>0</v>
      </c>
      <c r="AB224" s="549">
        <f t="shared" si="7880"/>
        <v>0</v>
      </c>
      <c r="AC224" s="675">
        <f t="shared" si="7880"/>
        <v>0</v>
      </c>
      <c r="AD224" s="549">
        <f t="shared" si="7880"/>
        <v>0</v>
      </c>
      <c r="AE224" s="675">
        <f t="shared" si="7880"/>
        <v>0</v>
      </c>
      <c r="AF224" s="549">
        <f t="shared" si="7880"/>
        <v>0</v>
      </c>
      <c r="AG224" s="675">
        <f t="shared" si="7880"/>
        <v>0</v>
      </c>
      <c r="AH224" s="549">
        <f t="shared" si="7880"/>
        <v>0</v>
      </c>
      <c r="AI224" s="675">
        <f t="shared" si="7880"/>
        <v>0</v>
      </c>
      <c r="AJ224" s="549">
        <f t="shared" si="7880"/>
        <v>0</v>
      </c>
      <c r="AK224" s="675">
        <f t="shared" si="7880"/>
        <v>0</v>
      </c>
      <c r="AL224" s="549">
        <f t="shared" si="7880"/>
        <v>0</v>
      </c>
      <c r="AM224" s="675">
        <f t="shared" si="7880"/>
        <v>0</v>
      </c>
      <c r="AN224" s="549">
        <f t="shared" si="7880"/>
        <v>0</v>
      </c>
      <c r="AO224" s="675">
        <f t="shared" si="7880"/>
        <v>0</v>
      </c>
      <c r="AP224" s="549">
        <f t="shared" si="7880"/>
        <v>0</v>
      </c>
      <c r="AQ224" s="675">
        <f t="shared" si="7880"/>
        <v>0</v>
      </c>
      <c r="AR224" s="549">
        <f t="shared" si="7880"/>
        <v>0</v>
      </c>
      <c r="AS224" s="675">
        <f t="shared" si="7880"/>
        <v>0</v>
      </c>
      <c r="AT224" s="549">
        <f t="shared" si="7880"/>
        <v>0</v>
      </c>
      <c r="AU224" s="675">
        <f t="shared" si="7880"/>
        <v>0</v>
      </c>
      <c r="AV224" s="549">
        <f t="shared" si="7880"/>
        <v>0</v>
      </c>
      <c r="AW224" s="675">
        <f t="shared" si="7880"/>
        <v>0</v>
      </c>
      <c r="AX224" s="549">
        <f t="shared" si="7880"/>
        <v>0</v>
      </c>
      <c r="AY224" s="675">
        <f t="shared" si="7880"/>
        <v>0</v>
      </c>
      <c r="AZ224" s="549">
        <f t="shared" si="7880"/>
        <v>0</v>
      </c>
      <c r="BA224" s="675">
        <f t="shared" si="7880"/>
        <v>0</v>
      </c>
      <c r="BB224" s="549">
        <f t="shared" si="7880"/>
        <v>0</v>
      </c>
      <c r="BC224" s="675">
        <f t="shared" si="7880"/>
        <v>0</v>
      </c>
      <c r="BD224" s="549">
        <f t="shared" si="7880"/>
        <v>0</v>
      </c>
      <c r="BE224" s="675">
        <f t="shared" si="7880"/>
        <v>0</v>
      </c>
      <c r="BF224" s="549">
        <f t="shared" si="7880"/>
        <v>0</v>
      </c>
      <c r="BG224" s="675">
        <f t="shared" si="7880"/>
        <v>0</v>
      </c>
      <c r="BH224" s="549">
        <f t="shared" si="7880"/>
        <v>0</v>
      </c>
      <c r="BI224" s="675">
        <f t="shared" si="7880"/>
        <v>0</v>
      </c>
      <c r="BJ224" s="549">
        <f t="shared" si="7880"/>
        <v>0</v>
      </c>
      <c r="BK224" s="675">
        <f t="shared" si="7880"/>
        <v>0</v>
      </c>
      <c r="BL224" s="549">
        <f t="shared" si="7880"/>
        <v>0</v>
      </c>
      <c r="BM224" s="675">
        <f t="shared" si="7880"/>
        <v>0</v>
      </c>
      <c r="BN224" s="549">
        <f t="shared" si="7880"/>
        <v>0</v>
      </c>
      <c r="BO224" s="675">
        <f t="shared" si="7880"/>
        <v>0</v>
      </c>
      <c r="BP224" s="549">
        <f t="shared" si="7880"/>
        <v>0</v>
      </c>
      <c r="BQ224" s="675">
        <f t="shared" si="7880"/>
        <v>0</v>
      </c>
      <c r="BR224" s="549">
        <f t="shared" si="7880"/>
        <v>0</v>
      </c>
      <c r="BS224" s="675">
        <f t="shared" si="7880"/>
        <v>0</v>
      </c>
      <c r="BT224" s="549">
        <f t="shared" si="7880"/>
        <v>0</v>
      </c>
      <c r="BU224" s="675">
        <f t="shared" si="7880"/>
        <v>0</v>
      </c>
      <c r="BV224" s="549">
        <f t="shared" si="7880"/>
        <v>0</v>
      </c>
      <c r="BW224" s="675">
        <f t="shared" si="7880"/>
        <v>0</v>
      </c>
      <c r="BX224" s="549">
        <f t="shared" si="7880"/>
        <v>0</v>
      </c>
      <c r="BY224" s="675">
        <f t="shared" si="7880"/>
        <v>0</v>
      </c>
      <c r="BZ224" s="549">
        <f t="shared" si="7880"/>
        <v>0</v>
      </c>
      <c r="CA224" s="675">
        <f t="shared" si="7880"/>
        <v>0</v>
      </c>
      <c r="CB224" s="549">
        <f t="shared" si="7880"/>
        <v>0</v>
      </c>
      <c r="CC224" s="675">
        <f t="shared" si="7880"/>
        <v>0</v>
      </c>
      <c r="CD224" s="549">
        <f t="shared" si="7880"/>
        <v>0</v>
      </c>
      <c r="CE224" s="675">
        <f t="shared" si="7880"/>
        <v>0</v>
      </c>
      <c r="CF224" s="549">
        <f t="shared" si="7880"/>
        <v>0</v>
      </c>
      <c r="CG224" s="675">
        <f t="shared" si="7880"/>
        <v>0</v>
      </c>
      <c r="CH224" s="549">
        <f t="shared" si="7880"/>
        <v>0</v>
      </c>
      <c r="CI224" s="675">
        <f t="shared" si="7880"/>
        <v>0</v>
      </c>
      <c r="CJ224" s="549">
        <f t="shared" si="7880"/>
        <v>0</v>
      </c>
      <c r="CK224" s="675">
        <f t="shared" si="7880"/>
        <v>0</v>
      </c>
      <c r="CL224" s="549">
        <f t="shared" si="7880"/>
        <v>0</v>
      </c>
      <c r="CM224" s="675">
        <f t="shared" si="7880"/>
        <v>0</v>
      </c>
      <c r="CN224" s="549">
        <f t="shared" si="7880"/>
        <v>0</v>
      </c>
      <c r="CO224" s="675">
        <f t="shared" si="7880"/>
        <v>0</v>
      </c>
      <c r="CP224" s="549">
        <f t="shared" si="7880"/>
        <v>0</v>
      </c>
      <c r="CQ224" s="675">
        <f t="shared" si="7880"/>
        <v>0</v>
      </c>
      <c r="CR224" s="549">
        <f t="shared" si="7880"/>
        <v>0</v>
      </c>
      <c r="CS224" s="675">
        <f t="shared" si="7880"/>
        <v>0</v>
      </c>
      <c r="CT224" s="549">
        <f t="shared" si="7880"/>
        <v>0</v>
      </c>
      <c r="CU224" s="675">
        <f t="shared" si="7880"/>
        <v>0</v>
      </c>
      <c r="CV224" s="549">
        <f t="shared" si="7880"/>
        <v>0</v>
      </c>
      <c r="CW224" s="675">
        <f t="shared" si="7880"/>
        <v>0</v>
      </c>
      <c r="CX224" s="549">
        <f t="shared" si="7880"/>
        <v>0</v>
      </c>
      <c r="CY224" s="675">
        <f t="shared" si="7880"/>
        <v>0</v>
      </c>
      <c r="CZ224" s="549">
        <f t="shared" si="7880"/>
        <v>0</v>
      </c>
      <c r="DA224" s="675">
        <f t="shared" si="7880"/>
        <v>0</v>
      </c>
      <c r="DB224" s="549">
        <f t="shared" si="7880"/>
        <v>0</v>
      </c>
      <c r="DC224" s="675">
        <f t="shared" si="7880"/>
        <v>0</v>
      </c>
      <c r="DD224" s="549">
        <f t="shared" si="7880"/>
        <v>0</v>
      </c>
      <c r="DE224" s="675">
        <f t="shared" si="7880"/>
        <v>0</v>
      </c>
      <c r="DF224" s="549">
        <f t="shared" si="7880"/>
        <v>0</v>
      </c>
      <c r="DG224" s="675">
        <f t="shared" si="7880"/>
        <v>0</v>
      </c>
      <c r="DH224" s="549">
        <f t="shared" si="7880"/>
        <v>0</v>
      </c>
      <c r="DI224" s="675">
        <f t="shared" si="7880"/>
        <v>0</v>
      </c>
      <c r="DJ224" s="549">
        <f t="shared" si="7880"/>
        <v>0</v>
      </c>
      <c r="DK224" s="675">
        <f t="shared" si="7880"/>
        <v>0</v>
      </c>
      <c r="DL224" s="549">
        <f t="shared" si="7880"/>
        <v>0</v>
      </c>
      <c r="DM224" s="675">
        <f t="shared" si="7880"/>
        <v>0</v>
      </c>
      <c r="DN224" s="549">
        <f t="shared" si="7880"/>
        <v>0</v>
      </c>
      <c r="DO224" s="675">
        <f t="shared" si="7880"/>
        <v>0</v>
      </c>
      <c r="DP224" s="549">
        <f t="shared" si="7880"/>
        <v>0</v>
      </c>
      <c r="DQ224" s="675">
        <f t="shared" si="7880"/>
        <v>0</v>
      </c>
      <c r="DR224" s="549">
        <f t="shared" si="7880"/>
        <v>0</v>
      </c>
      <c r="DS224" s="675">
        <f t="shared" si="7880"/>
        <v>0</v>
      </c>
      <c r="DT224" s="549">
        <f t="shared" si="7880"/>
        <v>0</v>
      </c>
      <c r="DU224" s="675">
        <f t="shared" si="7880"/>
        <v>0</v>
      </c>
      <c r="DV224" s="549">
        <f t="shared" si="7880"/>
        <v>0</v>
      </c>
      <c r="DW224" s="675">
        <f t="shared" si="7880"/>
        <v>0</v>
      </c>
      <c r="DX224" s="549">
        <f t="shared" si="7880"/>
        <v>0</v>
      </c>
      <c r="DY224" s="675">
        <f t="shared" si="7880"/>
        <v>0</v>
      </c>
      <c r="DZ224" s="549">
        <f t="shared" si="7880"/>
        <v>0</v>
      </c>
      <c r="EA224" s="675">
        <f t="shared" si="7880"/>
        <v>0</v>
      </c>
      <c r="EB224" s="549">
        <f t="shared" si="7880"/>
        <v>0</v>
      </c>
      <c r="EC224" s="675">
        <f t="shared" si="7880"/>
        <v>0</v>
      </c>
      <c r="ED224" s="549">
        <f t="shared" si="7880"/>
        <v>0</v>
      </c>
      <c r="EE224" s="675">
        <f t="shared" si="7880"/>
        <v>0</v>
      </c>
      <c r="EF224" s="549">
        <f t="shared" si="7880"/>
        <v>0</v>
      </c>
      <c r="EG224" s="675">
        <f t="shared" si="7880"/>
        <v>0</v>
      </c>
      <c r="EH224" s="549">
        <f t="shared" si="7880"/>
        <v>0</v>
      </c>
      <c r="EI224" s="675">
        <f t="shared" si="7880"/>
        <v>0</v>
      </c>
      <c r="EJ224" s="549">
        <f t="shared" si="7880"/>
        <v>0</v>
      </c>
      <c r="EK224" s="675">
        <f t="shared" si="7880"/>
        <v>0</v>
      </c>
      <c r="EL224" s="549">
        <f t="shared" si="7880"/>
        <v>0</v>
      </c>
      <c r="EM224" s="675">
        <f t="shared" si="7880"/>
        <v>0</v>
      </c>
      <c r="EN224" s="549">
        <f t="shared" si="7880"/>
        <v>0</v>
      </c>
      <c r="EO224" s="675">
        <f t="shared" si="7880"/>
        <v>0</v>
      </c>
      <c r="EP224" s="549">
        <f t="shared" si="7880"/>
        <v>0</v>
      </c>
      <c r="EQ224" s="675">
        <f t="shared" si="7880"/>
        <v>0</v>
      </c>
      <c r="ER224" s="549">
        <f t="shared" si="7880"/>
        <v>0</v>
      </c>
      <c r="ES224" s="675">
        <f t="shared" si="7880"/>
        <v>0</v>
      </c>
      <c r="ET224" s="549">
        <f t="shared" si="7880"/>
        <v>0</v>
      </c>
      <c r="EU224" s="675">
        <f t="shared" si="7880"/>
        <v>0</v>
      </c>
      <c r="EV224" s="549">
        <f t="shared" si="7880"/>
        <v>0</v>
      </c>
      <c r="EW224" s="675">
        <f t="shared" si="7880"/>
        <v>0</v>
      </c>
      <c r="EX224" s="549">
        <f t="shared" si="7880"/>
        <v>0</v>
      </c>
      <c r="EY224" s="675">
        <f t="shared" si="7880"/>
        <v>0</v>
      </c>
      <c r="EZ224" s="549">
        <f t="shared" si="7880"/>
        <v>0</v>
      </c>
      <c r="FA224" s="675">
        <f t="shared" si="7880"/>
        <v>0</v>
      </c>
      <c r="FB224" s="549">
        <f t="shared" si="7880"/>
        <v>0</v>
      </c>
      <c r="FC224" s="675">
        <f t="shared" si="7880"/>
        <v>0</v>
      </c>
      <c r="FD224" s="549">
        <f t="shared" si="7880"/>
        <v>0</v>
      </c>
      <c r="FE224" s="675">
        <f t="shared" si="7880"/>
        <v>0</v>
      </c>
      <c r="FF224" s="549">
        <f t="shared" si="7880"/>
        <v>0</v>
      </c>
      <c r="FG224" s="675">
        <f t="shared" si="7880"/>
        <v>0</v>
      </c>
      <c r="FH224" s="549">
        <f t="shared" si="7880"/>
        <v>0</v>
      </c>
      <c r="FI224" s="675">
        <f t="shared" si="7880"/>
        <v>0</v>
      </c>
      <c r="FJ224" s="549">
        <f t="shared" si="7880"/>
        <v>0</v>
      </c>
      <c r="FK224" s="675">
        <f t="shared" si="7880"/>
        <v>0</v>
      </c>
      <c r="FL224" s="549">
        <f t="shared" si="7880"/>
        <v>0</v>
      </c>
      <c r="FM224" s="675">
        <f t="shared" si="7880"/>
        <v>0</v>
      </c>
      <c r="FN224" s="549">
        <f t="shared" si="7880"/>
        <v>0</v>
      </c>
      <c r="FO224" s="675">
        <f t="shared" si="7880"/>
        <v>0</v>
      </c>
      <c r="FP224" s="549">
        <f t="shared" si="7880"/>
        <v>0</v>
      </c>
      <c r="FQ224" s="675">
        <f t="shared" si="7880"/>
        <v>0</v>
      </c>
      <c r="FR224" s="549">
        <f t="shared" si="7880"/>
        <v>0</v>
      </c>
      <c r="FS224" s="675">
        <f t="shared" si="7880"/>
        <v>0</v>
      </c>
      <c r="FT224" s="549">
        <f t="shared" si="7880"/>
        <v>0</v>
      </c>
      <c r="FU224" s="675">
        <f t="shared" si="7880"/>
        <v>0</v>
      </c>
      <c r="FV224" s="549">
        <f t="shared" si="7880"/>
        <v>0</v>
      </c>
      <c r="FW224" s="675">
        <f t="shared" si="7880"/>
        <v>0</v>
      </c>
      <c r="FX224" s="549">
        <f t="shared" si="7880"/>
        <v>0</v>
      </c>
      <c r="FY224" s="675">
        <f t="shared" si="7880"/>
        <v>0</v>
      </c>
      <c r="FZ224" s="549">
        <f t="shared" si="7880"/>
        <v>0</v>
      </c>
      <c r="GA224" s="675">
        <f t="shared" si="7880"/>
        <v>0</v>
      </c>
      <c r="GB224" s="549">
        <f t="shared" si="7880"/>
        <v>0</v>
      </c>
      <c r="GC224" s="675">
        <f t="shared" si="7880"/>
        <v>0</v>
      </c>
      <c r="GD224" s="549">
        <f t="shared" si="7880"/>
        <v>0</v>
      </c>
      <c r="GE224" s="675">
        <f t="shared" si="7880"/>
        <v>0</v>
      </c>
      <c r="GF224" s="549">
        <f t="shared" si="7880"/>
        <v>0</v>
      </c>
      <c r="GG224" s="675">
        <f t="shared" si="7880"/>
        <v>0</v>
      </c>
      <c r="GH224" s="549">
        <f t="shared" si="7880"/>
        <v>0</v>
      </c>
      <c r="GI224" s="675">
        <f t="shared" si="7880"/>
        <v>0</v>
      </c>
      <c r="GJ224" s="549">
        <f t="shared" si="7880"/>
        <v>0</v>
      </c>
      <c r="GK224" s="675">
        <f t="shared" si="7880"/>
        <v>0</v>
      </c>
      <c r="GL224" s="549">
        <f t="shared" si="7880"/>
        <v>0</v>
      </c>
      <c r="GM224" s="675">
        <f t="shared" si="7880"/>
        <v>0</v>
      </c>
      <c r="GN224" s="549">
        <f t="shared" si="7880"/>
        <v>0</v>
      </c>
      <c r="GO224" s="675">
        <f t="shared" si="7880"/>
        <v>0</v>
      </c>
      <c r="GP224" s="263">
        <f t="shared" si="7880"/>
        <v>0</v>
      </c>
      <c r="GQ224" s="675">
        <f t="shared" si="7880"/>
        <v>0</v>
      </c>
      <c r="GR224" s="74">
        <f>SUM(GR225)</f>
        <v>0</v>
      </c>
      <c r="GS224" s="74">
        <f>SUM(GS225)</f>
        <v>0</v>
      </c>
      <c r="GT224" s="549">
        <f t="shared" ref="GT224:JC224" si="7881">SUM(GT225)</f>
        <v>0</v>
      </c>
      <c r="GU224" s="74">
        <f>SUM(GU225)</f>
        <v>0</v>
      </c>
      <c r="GV224" s="74">
        <f t="shared" ref="GV224:HA224" si="7882">SUM(GV225)</f>
        <v>0</v>
      </c>
      <c r="GW224" s="74">
        <f t="shared" si="7882"/>
        <v>0</v>
      </c>
      <c r="GX224" s="74">
        <f t="shared" si="7882"/>
        <v>0</v>
      </c>
      <c r="GY224" s="74">
        <f t="shared" si="7882"/>
        <v>0</v>
      </c>
      <c r="GZ224" s="74">
        <f t="shared" si="7882"/>
        <v>0</v>
      </c>
      <c r="HA224" s="74">
        <f t="shared" si="7882"/>
        <v>0</v>
      </c>
      <c r="HB224" s="74">
        <f t="shared" si="7881"/>
        <v>0</v>
      </c>
      <c r="HC224" s="74">
        <f t="shared" si="7881"/>
        <v>0</v>
      </c>
      <c r="HD224" s="74">
        <f t="shared" si="7881"/>
        <v>0</v>
      </c>
      <c r="HE224" s="74">
        <f t="shared" si="7881"/>
        <v>0</v>
      </c>
      <c r="HF224" s="74">
        <f t="shared" si="7881"/>
        <v>0</v>
      </c>
      <c r="HG224" s="74">
        <f>SUM(HG225)</f>
        <v>0</v>
      </c>
      <c r="HH224" s="74">
        <f t="shared" si="7881"/>
        <v>0</v>
      </c>
      <c r="HI224" s="74">
        <f t="shared" si="7881"/>
        <v>0</v>
      </c>
      <c r="HJ224" s="74">
        <f t="shared" si="7881"/>
        <v>0</v>
      </c>
      <c r="HK224" s="74">
        <f t="shared" si="7881"/>
        <v>0</v>
      </c>
      <c r="HL224" s="74">
        <f t="shared" si="7881"/>
        <v>0</v>
      </c>
      <c r="HM224" s="74">
        <f t="shared" si="7881"/>
        <v>0</v>
      </c>
      <c r="HN224" s="74">
        <f t="shared" si="7881"/>
        <v>0</v>
      </c>
      <c r="HO224" s="74">
        <f t="shared" si="7881"/>
        <v>0</v>
      </c>
      <c r="HP224" s="74">
        <f t="shared" si="7881"/>
        <v>0</v>
      </c>
      <c r="HQ224" s="74">
        <f t="shared" si="7881"/>
        <v>0</v>
      </c>
      <c r="HR224" s="74">
        <f t="shared" si="7881"/>
        <v>0</v>
      </c>
      <c r="HS224" s="74">
        <f t="shared" si="7881"/>
        <v>0</v>
      </c>
      <c r="HT224" s="74">
        <f t="shared" si="7881"/>
        <v>0</v>
      </c>
      <c r="HU224" s="74">
        <f t="shared" si="7881"/>
        <v>0</v>
      </c>
      <c r="HV224" s="74">
        <f t="shared" si="7881"/>
        <v>0</v>
      </c>
      <c r="HW224" s="74">
        <f t="shared" si="7881"/>
        <v>0</v>
      </c>
      <c r="HX224" s="74">
        <f t="shared" si="7881"/>
        <v>0</v>
      </c>
      <c r="HY224" s="74">
        <f t="shared" si="7881"/>
        <v>0</v>
      </c>
      <c r="HZ224" s="74">
        <f t="shared" si="7881"/>
        <v>0</v>
      </c>
      <c r="IA224" s="74">
        <f t="shared" si="7881"/>
        <v>0</v>
      </c>
      <c r="IB224" s="74">
        <f t="shared" si="7881"/>
        <v>0</v>
      </c>
      <c r="IC224" s="74">
        <f t="shared" si="7881"/>
        <v>0</v>
      </c>
      <c r="ID224" s="74">
        <f t="shared" si="7881"/>
        <v>0</v>
      </c>
      <c r="IE224" s="792">
        <f t="shared" si="7881"/>
        <v>0</v>
      </c>
      <c r="IF224" s="841">
        <f>SUM(IF225)</f>
        <v>0</v>
      </c>
      <c r="IG224" s="263">
        <f t="shared" si="7881"/>
        <v>0</v>
      </c>
      <c r="IH224" s="842">
        <f t="shared" si="7881"/>
        <v>0</v>
      </c>
      <c r="II224" s="155">
        <f t="shared" si="7881"/>
        <v>0</v>
      </c>
      <c r="IJ224" s="74">
        <f t="shared" si="7881"/>
        <v>0</v>
      </c>
      <c r="IK224" s="74">
        <f t="shared" si="7881"/>
        <v>0</v>
      </c>
      <c r="IL224" s="74">
        <f t="shared" si="7881"/>
        <v>0</v>
      </c>
      <c r="IM224" s="74">
        <f t="shared" si="7881"/>
        <v>0</v>
      </c>
      <c r="IN224" s="74">
        <f t="shared" si="7881"/>
        <v>0</v>
      </c>
      <c r="IO224" s="74">
        <f t="shared" si="7881"/>
        <v>0</v>
      </c>
      <c r="IP224" s="74">
        <f t="shared" si="7881"/>
        <v>0</v>
      </c>
      <c r="IQ224" s="74">
        <f t="shared" si="7881"/>
        <v>0</v>
      </c>
      <c r="IR224" s="74">
        <f t="shared" si="7881"/>
        <v>0</v>
      </c>
      <c r="IS224" s="74">
        <f t="shared" si="7881"/>
        <v>0</v>
      </c>
      <c r="IT224" s="74">
        <f t="shared" si="7881"/>
        <v>0</v>
      </c>
      <c r="IU224" s="74">
        <f t="shared" si="7881"/>
        <v>0</v>
      </c>
      <c r="IV224" s="74">
        <f t="shared" si="7881"/>
        <v>0</v>
      </c>
      <c r="IW224" s="74">
        <f t="shared" si="7881"/>
        <v>0</v>
      </c>
      <c r="IX224" s="74">
        <f t="shared" si="7881"/>
        <v>0</v>
      </c>
      <c r="IY224" s="74">
        <f t="shared" si="7881"/>
        <v>0</v>
      </c>
      <c r="IZ224" s="74">
        <f t="shared" si="7881"/>
        <v>0</v>
      </c>
      <c r="JA224" s="74">
        <f t="shared" si="7881"/>
        <v>0</v>
      </c>
      <c r="JB224" s="74">
        <f t="shared" si="7881"/>
        <v>0</v>
      </c>
      <c r="JC224" s="74">
        <f t="shared" si="7881"/>
        <v>0</v>
      </c>
      <c r="JD224" s="74">
        <f t="shared" ref="JD224:JS224" si="7883">SUM(JD225)</f>
        <v>0</v>
      </c>
      <c r="JE224" s="74">
        <f t="shared" si="7883"/>
        <v>0</v>
      </c>
      <c r="JF224" s="74">
        <f t="shared" si="7883"/>
        <v>0</v>
      </c>
      <c r="JG224" s="74">
        <f t="shared" si="7883"/>
        <v>0</v>
      </c>
      <c r="JH224" s="74">
        <f t="shared" si="7883"/>
        <v>0</v>
      </c>
      <c r="JI224" s="74">
        <f t="shared" si="7883"/>
        <v>0</v>
      </c>
      <c r="JJ224" s="74">
        <f t="shared" si="7883"/>
        <v>0</v>
      </c>
      <c r="JK224" s="74">
        <f t="shared" si="7883"/>
        <v>0</v>
      </c>
      <c r="JL224" s="74">
        <f t="shared" si="7883"/>
        <v>0</v>
      </c>
      <c r="JM224" s="74">
        <f t="shared" si="7883"/>
        <v>0</v>
      </c>
      <c r="JN224" s="74">
        <f t="shared" si="7883"/>
        <v>0</v>
      </c>
      <c r="JO224" s="74">
        <f t="shared" si="7883"/>
        <v>0</v>
      </c>
      <c r="JP224" s="74">
        <f t="shared" si="7883"/>
        <v>0</v>
      </c>
      <c r="JQ224" s="74">
        <f t="shared" si="7883"/>
        <v>0</v>
      </c>
      <c r="JR224" s="74">
        <f t="shared" si="7883"/>
        <v>0</v>
      </c>
      <c r="JS224" s="74">
        <f t="shared" si="7883"/>
        <v>0</v>
      </c>
      <c r="JT224" s="382">
        <f>SUM(JT225)</f>
        <v>0</v>
      </c>
      <c r="JU224" s="671"/>
      <c r="JV224" s="492"/>
      <c r="JW224" s="490"/>
      <c r="JX224" s="549">
        <f>JX225</f>
        <v>0</v>
      </c>
      <c r="JY224" s="549">
        <f t="shared" ref="JY224:KB224" si="7884">SUM(JY225)</f>
        <v>0</v>
      </c>
      <c r="JZ224" s="581">
        <f t="shared" ref="JZ224:JZ225" si="7885">GP224</f>
        <v>0</v>
      </c>
      <c r="KA224" s="581">
        <f t="shared" ref="KA224:KA225" si="7886">GQ224</f>
        <v>0</v>
      </c>
      <c r="KB224" s="549">
        <f t="shared" si="7884"/>
        <v>0</v>
      </c>
      <c r="KC224" s="709">
        <f>HG224-KB224</f>
        <v>0</v>
      </c>
      <c r="KD224" s="36"/>
      <c r="KE224" s="36"/>
      <c r="KF224" s="36"/>
      <c r="KG224" s="36"/>
      <c r="KH224" s="36"/>
      <c r="KI224" s="36"/>
      <c r="KJ224" s="36"/>
      <c r="KK224" s="36"/>
    </row>
    <row r="225" spans="1:297" s="8" customFormat="1">
      <c r="A225" s="262" t="s">
        <v>1217</v>
      </c>
      <c r="B225" s="72"/>
      <c r="C225" s="74">
        <v>0</v>
      </c>
      <c r="D225" s="549">
        <f t="shared" ref="D225:E225" si="7887">D556</f>
        <v>0</v>
      </c>
      <c r="E225" s="675">
        <f t="shared" si="7887"/>
        <v>0</v>
      </c>
      <c r="F225" s="549">
        <f t="shared" ref="F225:G225" si="7888">F556</f>
        <v>0</v>
      </c>
      <c r="G225" s="675">
        <f t="shared" si="7888"/>
        <v>0</v>
      </c>
      <c r="H225" s="549">
        <f t="shared" ref="H225:I225" si="7889">H556</f>
        <v>0</v>
      </c>
      <c r="I225" s="675">
        <f t="shared" si="7889"/>
        <v>0</v>
      </c>
      <c r="J225" s="549">
        <f t="shared" ref="J225:K225" si="7890">J556</f>
        <v>0</v>
      </c>
      <c r="K225" s="675">
        <f t="shared" si="7890"/>
        <v>0</v>
      </c>
      <c r="L225" s="549">
        <f t="shared" ref="L225:M225" si="7891">L556</f>
        <v>0</v>
      </c>
      <c r="M225" s="675">
        <f t="shared" si="7891"/>
        <v>0</v>
      </c>
      <c r="N225" s="549">
        <f t="shared" ref="N225:O225" si="7892">N556</f>
        <v>0</v>
      </c>
      <c r="O225" s="675">
        <f t="shared" si="7892"/>
        <v>0</v>
      </c>
      <c r="P225" s="549">
        <f t="shared" ref="P225:Q225" si="7893">P556</f>
        <v>0</v>
      </c>
      <c r="Q225" s="675">
        <f t="shared" si="7893"/>
        <v>0</v>
      </c>
      <c r="R225" s="549">
        <f t="shared" ref="R225:S225" si="7894">R556</f>
        <v>0</v>
      </c>
      <c r="S225" s="675">
        <f t="shared" si="7894"/>
        <v>0</v>
      </c>
      <c r="T225" s="549">
        <f t="shared" ref="T225:U225" si="7895">T556</f>
        <v>0</v>
      </c>
      <c r="U225" s="675">
        <f t="shared" si="7895"/>
        <v>0</v>
      </c>
      <c r="V225" s="549">
        <f t="shared" ref="V225:W225" si="7896">V556</f>
        <v>0</v>
      </c>
      <c r="W225" s="675">
        <f t="shared" si="7896"/>
        <v>0</v>
      </c>
      <c r="X225" s="549">
        <f t="shared" ref="X225:Y225" si="7897">X556</f>
        <v>0</v>
      </c>
      <c r="Y225" s="675">
        <f t="shared" si="7897"/>
        <v>0</v>
      </c>
      <c r="Z225" s="549">
        <f t="shared" ref="Z225:AA225" si="7898">Z556</f>
        <v>0</v>
      </c>
      <c r="AA225" s="675">
        <f t="shared" si="7898"/>
        <v>0</v>
      </c>
      <c r="AB225" s="549">
        <f t="shared" ref="AB225:AC225" si="7899">AB556</f>
        <v>0</v>
      </c>
      <c r="AC225" s="675">
        <f t="shared" si="7899"/>
        <v>0</v>
      </c>
      <c r="AD225" s="549">
        <f t="shared" ref="AD225:AE225" si="7900">AD556</f>
        <v>0</v>
      </c>
      <c r="AE225" s="675">
        <f t="shared" si="7900"/>
        <v>0</v>
      </c>
      <c r="AF225" s="549">
        <f t="shared" ref="AF225:AG225" si="7901">AF556</f>
        <v>0</v>
      </c>
      <c r="AG225" s="675">
        <f t="shared" si="7901"/>
        <v>0</v>
      </c>
      <c r="AH225" s="549">
        <f t="shared" ref="AH225:AI225" si="7902">AH556</f>
        <v>0</v>
      </c>
      <c r="AI225" s="675">
        <f t="shared" si="7902"/>
        <v>0</v>
      </c>
      <c r="AJ225" s="549">
        <f t="shared" ref="AJ225:AK225" si="7903">AJ556</f>
        <v>0</v>
      </c>
      <c r="AK225" s="675">
        <f t="shared" si="7903"/>
        <v>0</v>
      </c>
      <c r="AL225" s="549">
        <f t="shared" ref="AL225:AM225" si="7904">AL556</f>
        <v>0</v>
      </c>
      <c r="AM225" s="675">
        <f t="shared" si="7904"/>
        <v>0</v>
      </c>
      <c r="AN225" s="549">
        <f t="shared" ref="AN225:AO225" si="7905">AN556</f>
        <v>0</v>
      </c>
      <c r="AO225" s="675">
        <f t="shared" si="7905"/>
        <v>0</v>
      </c>
      <c r="AP225" s="549">
        <f t="shared" ref="AP225:AQ225" si="7906">AP556</f>
        <v>0</v>
      </c>
      <c r="AQ225" s="675">
        <f t="shared" si="7906"/>
        <v>0</v>
      </c>
      <c r="AR225" s="549">
        <f t="shared" ref="AR225:AS225" si="7907">AR556</f>
        <v>0</v>
      </c>
      <c r="AS225" s="675">
        <f t="shared" si="7907"/>
        <v>0</v>
      </c>
      <c r="AT225" s="549">
        <f t="shared" ref="AT225:DC225" si="7908">AT556</f>
        <v>0</v>
      </c>
      <c r="AU225" s="675">
        <f t="shared" si="7908"/>
        <v>0</v>
      </c>
      <c r="AV225" s="549">
        <f t="shared" si="7908"/>
        <v>0</v>
      </c>
      <c r="AW225" s="675">
        <f t="shared" si="7908"/>
        <v>0</v>
      </c>
      <c r="AX225" s="549">
        <f t="shared" si="7908"/>
        <v>0</v>
      </c>
      <c r="AY225" s="675">
        <f t="shared" si="7908"/>
        <v>0</v>
      </c>
      <c r="AZ225" s="549">
        <f t="shared" ref="AZ225:BA225" si="7909">AZ556</f>
        <v>0</v>
      </c>
      <c r="BA225" s="675">
        <f t="shared" si="7909"/>
        <v>0</v>
      </c>
      <c r="BB225" s="549">
        <f t="shared" ref="BB225:BC225" si="7910">BB556</f>
        <v>0</v>
      </c>
      <c r="BC225" s="675">
        <f t="shared" si="7910"/>
        <v>0</v>
      </c>
      <c r="BD225" s="549">
        <f t="shared" ref="BD225:BE225" si="7911">BD556</f>
        <v>0</v>
      </c>
      <c r="BE225" s="675">
        <f t="shared" si="7911"/>
        <v>0</v>
      </c>
      <c r="BF225" s="549">
        <f t="shared" ref="BF225:BG225" si="7912">BF556</f>
        <v>0</v>
      </c>
      <c r="BG225" s="675">
        <f t="shared" si="7912"/>
        <v>0</v>
      </c>
      <c r="BH225" s="549">
        <f t="shared" ref="BH225:BI225" si="7913">BH556</f>
        <v>0</v>
      </c>
      <c r="BI225" s="675">
        <f t="shared" si="7913"/>
        <v>0</v>
      </c>
      <c r="BJ225" s="549">
        <f t="shared" ref="BJ225:BK225" si="7914">BJ556</f>
        <v>0</v>
      </c>
      <c r="BK225" s="675">
        <f t="shared" si="7914"/>
        <v>0</v>
      </c>
      <c r="BL225" s="549">
        <f t="shared" ref="BL225:BM225" si="7915">BL556</f>
        <v>0</v>
      </c>
      <c r="BM225" s="675">
        <f t="shared" si="7915"/>
        <v>0</v>
      </c>
      <c r="BN225" s="549">
        <f t="shared" ref="BN225:BO225" si="7916">BN556</f>
        <v>0</v>
      </c>
      <c r="BO225" s="675">
        <f t="shared" si="7916"/>
        <v>0</v>
      </c>
      <c r="BP225" s="549">
        <f t="shared" ref="BP225:BQ225" si="7917">BP556</f>
        <v>0</v>
      </c>
      <c r="BQ225" s="675">
        <f t="shared" si="7917"/>
        <v>0</v>
      </c>
      <c r="BR225" s="549">
        <f t="shared" ref="BR225:BS225" si="7918">BR556</f>
        <v>0</v>
      </c>
      <c r="BS225" s="675">
        <f t="shared" si="7918"/>
        <v>0</v>
      </c>
      <c r="BT225" s="549">
        <f t="shared" ref="BT225:BU225" si="7919">BT556</f>
        <v>0</v>
      </c>
      <c r="BU225" s="675">
        <f t="shared" si="7919"/>
        <v>0</v>
      </c>
      <c r="BV225" s="549">
        <f t="shared" ref="BV225:BW225" si="7920">BV556</f>
        <v>0</v>
      </c>
      <c r="BW225" s="675">
        <f t="shared" si="7920"/>
        <v>0</v>
      </c>
      <c r="BX225" s="549">
        <f t="shared" ref="BX225:BY225" si="7921">BX556</f>
        <v>0</v>
      </c>
      <c r="BY225" s="675">
        <f t="shared" si="7921"/>
        <v>0</v>
      </c>
      <c r="BZ225" s="549">
        <f t="shared" ref="BZ225:CA225" si="7922">BZ556</f>
        <v>0</v>
      </c>
      <c r="CA225" s="675">
        <f t="shared" si="7922"/>
        <v>0</v>
      </c>
      <c r="CB225" s="549">
        <f t="shared" si="7908"/>
        <v>0</v>
      </c>
      <c r="CC225" s="675">
        <f t="shared" si="7908"/>
        <v>0</v>
      </c>
      <c r="CD225" s="549">
        <f t="shared" si="7908"/>
        <v>0</v>
      </c>
      <c r="CE225" s="675">
        <f t="shared" si="7908"/>
        <v>0</v>
      </c>
      <c r="CF225" s="549">
        <f t="shared" si="7908"/>
        <v>0</v>
      </c>
      <c r="CG225" s="675">
        <f t="shared" si="7908"/>
        <v>0</v>
      </c>
      <c r="CH225" s="549">
        <f t="shared" si="7908"/>
        <v>0</v>
      </c>
      <c r="CI225" s="675">
        <f t="shared" si="7908"/>
        <v>0</v>
      </c>
      <c r="CJ225" s="549">
        <f t="shared" si="7908"/>
        <v>0</v>
      </c>
      <c r="CK225" s="675">
        <f t="shared" si="7908"/>
        <v>0</v>
      </c>
      <c r="CL225" s="549">
        <f t="shared" si="7908"/>
        <v>0</v>
      </c>
      <c r="CM225" s="675">
        <f t="shared" si="7908"/>
        <v>0</v>
      </c>
      <c r="CN225" s="549">
        <f t="shared" si="7908"/>
        <v>0</v>
      </c>
      <c r="CO225" s="675">
        <f t="shared" si="7908"/>
        <v>0</v>
      </c>
      <c r="CP225" s="549">
        <f t="shared" si="7908"/>
        <v>0</v>
      </c>
      <c r="CQ225" s="675">
        <f t="shared" si="7908"/>
        <v>0</v>
      </c>
      <c r="CR225" s="549">
        <f t="shared" si="7908"/>
        <v>0</v>
      </c>
      <c r="CS225" s="675">
        <f t="shared" si="7908"/>
        <v>0</v>
      </c>
      <c r="CT225" s="549">
        <f t="shared" si="7908"/>
        <v>0</v>
      </c>
      <c r="CU225" s="675">
        <f t="shared" si="7908"/>
        <v>0</v>
      </c>
      <c r="CV225" s="549">
        <f t="shared" si="7908"/>
        <v>0</v>
      </c>
      <c r="CW225" s="675">
        <f t="shared" si="7908"/>
        <v>0</v>
      </c>
      <c r="CX225" s="549">
        <f t="shared" si="7908"/>
        <v>0</v>
      </c>
      <c r="CY225" s="675">
        <f t="shared" si="7908"/>
        <v>0</v>
      </c>
      <c r="CZ225" s="549">
        <f t="shared" si="7908"/>
        <v>0</v>
      </c>
      <c r="DA225" s="675">
        <f t="shared" si="7908"/>
        <v>0</v>
      </c>
      <c r="DB225" s="549">
        <f t="shared" si="7908"/>
        <v>0</v>
      </c>
      <c r="DC225" s="675">
        <f t="shared" si="7908"/>
        <v>0</v>
      </c>
      <c r="DD225" s="549">
        <f t="shared" ref="DD225:DE225" si="7923">DD556</f>
        <v>0</v>
      </c>
      <c r="DE225" s="675">
        <f t="shared" si="7923"/>
        <v>0</v>
      </c>
      <c r="DF225" s="549">
        <f t="shared" ref="DF225:FO225" si="7924">DF556</f>
        <v>0</v>
      </c>
      <c r="DG225" s="675">
        <f t="shared" si="7924"/>
        <v>0</v>
      </c>
      <c r="DH225" s="549">
        <f t="shared" si="7924"/>
        <v>0</v>
      </c>
      <c r="DI225" s="675">
        <f t="shared" si="7924"/>
        <v>0</v>
      </c>
      <c r="DJ225" s="549">
        <f t="shared" si="7924"/>
        <v>0</v>
      </c>
      <c r="DK225" s="675">
        <f t="shared" si="7924"/>
        <v>0</v>
      </c>
      <c r="DL225" s="549">
        <f t="shared" si="7924"/>
        <v>0</v>
      </c>
      <c r="DM225" s="675">
        <f t="shared" si="7924"/>
        <v>0</v>
      </c>
      <c r="DN225" s="549">
        <f t="shared" si="7924"/>
        <v>0</v>
      </c>
      <c r="DO225" s="675">
        <f t="shared" si="7924"/>
        <v>0</v>
      </c>
      <c r="DP225" s="549">
        <f t="shared" si="7924"/>
        <v>0</v>
      </c>
      <c r="DQ225" s="675">
        <f t="shared" si="7924"/>
        <v>0</v>
      </c>
      <c r="DR225" s="549">
        <f t="shared" si="7924"/>
        <v>0</v>
      </c>
      <c r="DS225" s="675">
        <f t="shared" si="7924"/>
        <v>0</v>
      </c>
      <c r="DT225" s="549">
        <f t="shared" si="7924"/>
        <v>0</v>
      </c>
      <c r="DU225" s="675">
        <f t="shared" si="7924"/>
        <v>0</v>
      </c>
      <c r="DV225" s="549">
        <f t="shared" si="7924"/>
        <v>0</v>
      </c>
      <c r="DW225" s="675">
        <f t="shared" si="7924"/>
        <v>0</v>
      </c>
      <c r="DX225" s="549">
        <f t="shared" si="7924"/>
        <v>0</v>
      </c>
      <c r="DY225" s="675">
        <f t="shared" si="7924"/>
        <v>0</v>
      </c>
      <c r="DZ225" s="549">
        <f t="shared" si="7924"/>
        <v>0</v>
      </c>
      <c r="EA225" s="675">
        <f t="shared" si="7924"/>
        <v>0</v>
      </c>
      <c r="EB225" s="549">
        <f t="shared" si="7924"/>
        <v>0</v>
      </c>
      <c r="EC225" s="675">
        <f t="shared" si="7924"/>
        <v>0</v>
      </c>
      <c r="ED225" s="549">
        <f t="shared" si="7924"/>
        <v>0</v>
      </c>
      <c r="EE225" s="675">
        <f t="shared" si="7924"/>
        <v>0</v>
      </c>
      <c r="EF225" s="549">
        <f t="shared" si="7924"/>
        <v>0</v>
      </c>
      <c r="EG225" s="675">
        <f t="shared" si="7924"/>
        <v>0</v>
      </c>
      <c r="EH225" s="549">
        <f t="shared" si="7924"/>
        <v>0</v>
      </c>
      <c r="EI225" s="675">
        <f t="shared" si="7924"/>
        <v>0</v>
      </c>
      <c r="EJ225" s="549">
        <f t="shared" si="7924"/>
        <v>0</v>
      </c>
      <c r="EK225" s="675">
        <f t="shared" si="7924"/>
        <v>0</v>
      </c>
      <c r="EL225" s="549">
        <f t="shared" si="7924"/>
        <v>0</v>
      </c>
      <c r="EM225" s="675">
        <f t="shared" si="7924"/>
        <v>0</v>
      </c>
      <c r="EN225" s="549">
        <f t="shared" si="7924"/>
        <v>0</v>
      </c>
      <c r="EO225" s="675">
        <f t="shared" si="7924"/>
        <v>0</v>
      </c>
      <c r="EP225" s="549">
        <f t="shared" si="7924"/>
        <v>0</v>
      </c>
      <c r="EQ225" s="675">
        <f t="shared" si="7924"/>
        <v>0</v>
      </c>
      <c r="ER225" s="549">
        <f t="shared" si="7924"/>
        <v>0</v>
      </c>
      <c r="ES225" s="675">
        <f t="shared" si="7924"/>
        <v>0</v>
      </c>
      <c r="ET225" s="549">
        <f t="shared" si="7924"/>
        <v>0</v>
      </c>
      <c r="EU225" s="675">
        <f t="shared" si="7924"/>
        <v>0</v>
      </c>
      <c r="EV225" s="549">
        <f t="shared" si="7924"/>
        <v>0</v>
      </c>
      <c r="EW225" s="675">
        <f t="shared" si="7924"/>
        <v>0</v>
      </c>
      <c r="EX225" s="549">
        <f t="shared" si="7924"/>
        <v>0</v>
      </c>
      <c r="EY225" s="675">
        <f t="shared" si="7924"/>
        <v>0</v>
      </c>
      <c r="EZ225" s="549">
        <f t="shared" si="7924"/>
        <v>0</v>
      </c>
      <c r="FA225" s="675">
        <f t="shared" si="7924"/>
        <v>0</v>
      </c>
      <c r="FB225" s="549">
        <f t="shared" si="7924"/>
        <v>0</v>
      </c>
      <c r="FC225" s="675">
        <f t="shared" si="7924"/>
        <v>0</v>
      </c>
      <c r="FD225" s="549">
        <f t="shared" si="7924"/>
        <v>0</v>
      </c>
      <c r="FE225" s="675">
        <f t="shared" si="7924"/>
        <v>0</v>
      </c>
      <c r="FF225" s="549">
        <f t="shared" si="7924"/>
        <v>0</v>
      </c>
      <c r="FG225" s="675">
        <f t="shared" si="7924"/>
        <v>0</v>
      </c>
      <c r="FH225" s="549">
        <f t="shared" si="7924"/>
        <v>0</v>
      </c>
      <c r="FI225" s="675">
        <f t="shared" si="7924"/>
        <v>0</v>
      </c>
      <c r="FJ225" s="549">
        <f t="shared" si="7924"/>
        <v>0</v>
      </c>
      <c r="FK225" s="675">
        <f t="shared" si="7924"/>
        <v>0</v>
      </c>
      <c r="FL225" s="549">
        <f t="shared" si="7924"/>
        <v>0</v>
      </c>
      <c r="FM225" s="675">
        <f t="shared" si="7924"/>
        <v>0</v>
      </c>
      <c r="FN225" s="549">
        <f t="shared" si="7924"/>
        <v>0</v>
      </c>
      <c r="FO225" s="675">
        <f t="shared" si="7924"/>
        <v>0</v>
      </c>
      <c r="FP225" s="549">
        <f t="shared" ref="FP225:FQ225" si="7925">FP556</f>
        <v>0</v>
      </c>
      <c r="FQ225" s="675">
        <f t="shared" si="7925"/>
        <v>0</v>
      </c>
      <c r="FR225" s="549">
        <f t="shared" ref="FR225:IQ225" si="7926">FR556</f>
        <v>0</v>
      </c>
      <c r="FS225" s="675">
        <f t="shared" si="7926"/>
        <v>0</v>
      </c>
      <c r="FT225" s="549">
        <f t="shared" si="7926"/>
        <v>0</v>
      </c>
      <c r="FU225" s="675">
        <f t="shared" si="7926"/>
        <v>0</v>
      </c>
      <c r="FV225" s="549">
        <f t="shared" si="7926"/>
        <v>0</v>
      </c>
      <c r="FW225" s="675">
        <f t="shared" si="7926"/>
        <v>0</v>
      </c>
      <c r="FX225" s="549">
        <f t="shared" ref="FX225:GK225" si="7927">FX556</f>
        <v>0</v>
      </c>
      <c r="FY225" s="675">
        <f t="shared" si="7927"/>
        <v>0</v>
      </c>
      <c r="FZ225" s="549">
        <f t="shared" ref="FZ225:GI225" si="7928">FZ556</f>
        <v>0</v>
      </c>
      <c r="GA225" s="675">
        <f t="shared" si="7928"/>
        <v>0</v>
      </c>
      <c r="GB225" s="549">
        <f t="shared" si="7928"/>
        <v>0</v>
      </c>
      <c r="GC225" s="675">
        <f t="shared" si="7928"/>
        <v>0</v>
      </c>
      <c r="GD225" s="549">
        <f t="shared" si="7928"/>
        <v>0</v>
      </c>
      <c r="GE225" s="675">
        <f t="shared" si="7928"/>
        <v>0</v>
      </c>
      <c r="GF225" s="549">
        <f t="shared" si="7928"/>
        <v>0</v>
      </c>
      <c r="GG225" s="675">
        <f t="shared" si="7928"/>
        <v>0</v>
      </c>
      <c r="GH225" s="549">
        <f t="shared" si="7928"/>
        <v>0</v>
      </c>
      <c r="GI225" s="675">
        <f t="shared" si="7928"/>
        <v>0</v>
      </c>
      <c r="GJ225" s="549">
        <f t="shared" si="7927"/>
        <v>0</v>
      </c>
      <c r="GK225" s="675">
        <f t="shared" si="7927"/>
        <v>0</v>
      </c>
      <c r="GL225" s="549">
        <f t="shared" si="7926"/>
        <v>0</v>
      </c>
      <c r="GM225" s="675">
        <f t="shared" si="7926"/>
        <v>0</v>
      </c>
      <c r="GN225" s="549">
        <f t="shared" ref="GN225:GO225" si="7929">GN556</f>
        <v>0</v>
      </c>
      <c r="GO225" s="675">
        <f t="shared" si="7929"/>
        <v>0</v>
      </c>
      <c r="GP225" s="263">
        <f t="shared" si="7926"/>
        <v>0</v>
      </c>
      <c r="GQ225" s="675">
        <f t="shared" si="7926"/>
        <v>0</v>
      </c>
      <c r="GR225" s="74">
        <f t="shared" si="7926"/>
        <v>0</v>
      </c>
      <c r="GS225" s="74">
        <f t="shared" si="7926"/>
        <v>0</v>
      </c>
      <c r="GT225" s="74">
        <f t="shared" si="7926"/>
        <v>0</v>
      </c>
      <c r="GU225" s="74">
        <f t="shared" si="7926"/>
        <v>0</v>
      </c>
      <c r="GV225" s="74">
        <f t="shared" si="7926"/>
        <v>0</v>
      </c>
      <c r="GW225" s="74">
        <f t="shared" si="7926"/>
        <v>0</v>
      </c>
      <c r="GX225" s="74">
        <f t="shared" si="7926"/>
        <v>0</v>
      </c>
      <c r="GY225" s="74">
        <f t="shared" si="7926"/>
        <v>0</v>
      </c>
      <c r="GZ225" s="74">
        <f t="shared" si="7926"/>
        <v>0</v>
      </c>
      <c r="HA225" s="74">
        <f t="shared" si="7926"/>
        <v>0</v>
      </c>
      <c r="HB225" s="74">
        <f t="shared" si="7926"/>
        <v>0</v>
      </c>
      <c r="HC225" s="74">
        <f t="shared" si="7926"/>
        <v>0</v>
      </c>
      <c r="HD225" s="74">
        <f t="shared" si="7926"/>
        <v>0</v>
      </c>
      <c r="HE225" s="74">
        <f t="shared" si="7926"/>
        <v>0</v>
      </c>
      <c r="HF225" s="74">
        <f t="shared" si="7926"/>
        <v>0</v>
      </c>
      <c r="HG225" s="74">
        <f t="shared" si="7926"/>
        <v>0</v>
      </c>
      <c r="HH225" s="74">
        <f t="shared" si="7926"/>
        <v>0</v>
      </c>
      <c r="HI225" s="74">
        <f t="shared" si="7926"/>
        <v>0</v>
      </c>
      <c r="HJ225" s="74">
        <f t="shared" si="7926"/>
        <v>0</v>
      </c>
      <c r="HK225" s="74">
        <f t="shared" si="7926"/>
        <v>0</v>
      </c>
      <c r="HL225" s="74">
        <f t="shared" si="7926"/>
        <v>0</v>
      </c>
      <c r="HM225" s="74">
        <f t="shared" si="7926"/>
        <v>0</v>
      </c>
      <c r="HN225" s="74">
        <f t="shared" si="7926"/>
        <v>0</v>
      </c>
      <c r="HO225" s="74">
        <f t="shared" si="7926"/>
        <v>0</v>
      </c>
      <c r="HP225" s="74">
        <f t="shared" si="7926"/>
        <v>0</v>
      </c>
      <c r="HQ225" s="74">
        <f t="shared" si="7926"/>
        <v>0</v>
      </c>
      <c r="HR225" s="74">
        <f t="shared" si="7926"/>
        <v>0</v>
      </c>
      <c r="HS225" s="74">
        <f t="shared" si="7926"/>
        <v>0</v>
      </c>
      <c r="HT225" s="74">
        <f t="shared" si="7926"/>
        <v>0</v>
      </c>
      <c r="HU225" s="74">
        <f t="shared" si="7926"/>
        <v>0</v>
      </c>
      <c r="HV225" s="74">
        <f t="shared" si="7926"/>
        <v>0</v>
      </c>
      <c r="HW225" s="74">
        <f t="shared" si="7926"/>
        <v>0</v>
      </c>
      <c r="HX225" s="74">
        <f t="shared" si="7926"/>
        <v>0</v>
      </c>
      <c r="HY225" s="74">
        <f t="shared" si="7926"/>
        <v>0</v>
      </c>
      <c r="HZ225" s="74">
        <f t="shared" si="7926"/>
        <v>0</v>
      </c>
      <c r="IA225" s="74">
        <f t="shared" si="7926"/>
        <v>0</v>
      </c>
      <c r="IB225" s="74">
        <f t="shared" si="7926"/>
        <v>0</v>
      </c>
      <c r="IC225" s="74">
        <f t="shared" si="7926"/>
        <v>0</v>
      </c>
      <c r="ID225" s="74">
        <f t="shared" si="7926"/>
        <v>0</v>
      </c>
      <c r="IE225" s="74">
        <f t="shared" si="7926"/>
        <v>0</v>
      </c>
      <c r="IF225" s="841">
        <f t="shared" si="7926"/>
        <v>0</v>
      </c>
      <c r="IG225" s="263">
        <f t="shared" si="7926"/>
        <v>0</v>
      </c>
      <c r="IH225" s="842">
        <f t="shared" si="7926"/>
        <v>0</v>
      </c>
      <c r="II225" s="74">
        <f t="shared" si="7926"/>
        <v>0</v>
      </c>
      <c r="IJ225" s="74">
        <f t="shared" si="7926"/>
        <v>0</v>
      </c>
      <c r="IK225" s="74">
        <f t="shared" si="7926"/>
        <v>0</v>
      </c>
      <c r="IL225" s="74">
        <f t="shared" si="7926"/>
        <v>0</v>
      </c>
      <c r="IM225" s="74">
        <f t="shared" si="7926"/>
        <v>0</v>
      </c>
      <c r="IN225" s="74">
        <f t="shared" si="7926"/>
        <v>0</v>
      </c>
      <c r="IO225" s="74">
        <f t="shared" si="7926"/>
        <v>0</v>
      </c>
      <c r="IP225" s="74">
        <f t="shared" si="7926"/>
        <v>0</v>
      </c>
      <c r="IQ225" s="74">
        <f t="shared" si="7926"/>
        <v>0</v>
      </c>
      <c r="IR225" s="74">
        <f t="shared" ref="IR225:JT225" si="7930">IR556</f>
        <v>0</v>
      </c>
      <c r="IS225" s="74">
        <f t="shared" si="7930"/>
        <v>0</v>
      </c>
      <c r="IT225" s="74">
        <f t="shared" si="7930"/>
        <v>0</v>
      </c>
      <c r="IU225" s="74">
        <f t="shared" si="7930"/>
        <v>0</v>
      </c>
      <c r="IV225" s="74">
        <f t="shared" si="7930"/>
        <v>0</v>
      </c>
      <c r="IW225" s="74">
        <f t="shared" si="7930"/>
        <v>0</v>
      </c>
      <c r="IX225" s="74">
        <f t="shared" si="7930"/>
        <v>0</v>
      </c>
      <c r="IY225" s="74">
        <f t="shared" si="7930"/>
        <v>0</v>
      </c>
      <c r="IZ225" s="74">
        <f t="shared" si="7930"/>
        <v>0</v>
      </c>
      <c r="JA225" s="74">
        <f t="shared" si="7930"/>
        <v>0</v>
      </c>
      <c r="JB225" s="74">
        <f t="shared" si="7930"/>
        <v>0</v>
      </c>
      <c r="JC225" s="74">
        <f t="shared" si="7930"/>
        <v>0</v>
      </c>
      <c r="JD225" s="74">
        <f t="shared" si="7930"/>
        <v>0</v>
      </c>
      <c r="JE225" s="74">
        <f t="shared" si="7930"/>
        <v>0</v>
      </c>
      <c r="JF225" s="74">
        <f t="shared" si="7930"/>
        <v>0</v>
      </c>
      <c r="JG225" s="74">
        <f t="shared" si="7930"/>
        <v>0</v>
      </c>
      <c r="JH225" s="74">
        <f t="shared" si="7930"/>
        <v>0</v>
      </c>
      <c r="JI225" s="74">
        <f t="shared" si="7930"/>
        <v>0</v>
      </c>
      <c r="JJ225" s="74">
        <f t="shared" si="7930"/>
        <v>0</v>
      </c>
      <c r="JK225" s="74">
        <f t="shared" si="7930"/>
        <v>0</v>
      </c>
      <c r="JL225" s="74">
        <f t="shared" si="7930"/>
        <v>0</v>
      </c>
      <c r="JM225" s="74">
        <f t="shared" si="7930"/>
        <v>0</v>
      </c>
      <c r="JN225" s="74">
        <f t="shared" si="7930"/>
        <v>0</v>
      </c>
      <c r="JO225" s="74">
        <f t="shared" si="7930"/>
        <v>0</v>
      </c>
      <c r="JP225" s="74">
        <f t="shared" si="7930"/>
        <v>0</v>
      </c>
      <c r="JQ225" s="74">
        <f t="shared" si="7930"/>
        <v>0</v>
      </c>
      <c r="JR225" s="74">
        <f t="shared" si="7930"/>
        <v>0</v>
      </c>
      <c r="JS225" s="74">
        <f t="shared" si="7930"/>
        <v>0</v>
      </c>
      <c r="JT225" s="74">
        <f t="shared" si="7930"/>
        <v>0</v>
      </c>
      <c r="JU225" s="671"/>
      <c r="JV225" s="492"/>
      <c r="JW225" s="490"/>
      <c r="JX225" s="549">
        <f>JX556</f>
        <v>0</v>
      </c>
      <c r="JY225" s="549">
        <f>JY559</f>
        <v>0</v>
      </c>
      <c r="JZ225" s="581">
        <f t="shared" si="7885"/>
        <v>0</v>
      </c>
      <c r="KA225" s="581">
        <f t="shared" si="7886"/>
        <v>0</v>
      </c>
      <c r="KB225" s="549">
        <f>KB556</f>
        <v>0</v>
      </c>
      <c r="KC225" s="709">
        <f>HG225-KB225</f>
        <v>0</v>
      </c>
      <c r="KD225" s="36"/>
      <c r="KE225" s="36"/>
      <c r="KF225" s="36"/>
      <c r="KG225" s="36"/>
      <c r="KH225" s="36"/>
      <c r="KI225" s="36"/>
      <c r="KJ225" s="36"/>
      <c r="KK225" s="36"/>
    </row>
    <row r="226" spans="1:297" s="8" customFormat="1">
      <c r="A226" s="75"/>
      <c r="B226" s="72"/>
      <c r="C226" s="74"/>
      <c r="D226" s="549"/>
      <c r="E226" s="675"/>
      <c r="F226" s="549"/>
      <c r="G226" s="675"/>
      <c r="H226" s="549"/>
      <c r="I226" s="675"/>
      <c r="J226" s="549"/>
      <c r="K226" s="675"/>
      <c r="L226" s="549"/>
      <c r="M226" s="675"/>
      <c r="N226" s="549"/>
      <c r="O226" s="675"/>
      <c r="P226" s="549"/>
      <c r="Q226" s="675"/>
      <c r="R226" s="549"/>
      <c r="S226" s="675"/>
      <c r="T226" s="549"/>
      <c r="U226" s="675"/>
      <c r="V226" s="549"/>
      <c r="W226" s="675"/>
      <c r="X226" s="549"/>
      <c r="Y226" s="675"/>
      <c r="Z226" s="549"/>
      <c r="AA226" s="675"/>
      <c r="AB226" s="549"/>
      <c r="AC226" s="675"/>
      <c r="AD226" s="549"/>
      <c r="AE226" s="675"/>
      <c r="AF226" s="549"/>
      <c r="AG226" s="675"/>
      <c r="AH226" s="549"/>
      <c r="AI226" s="675"/>
      <c r="AJ226" s="549"/>
      <c r="AK226" s="675"/>
      <c r="AL226" s="549"/>
      <c r="AM226" s="675"/>
      <c r="AN226" s="549"/>
      <c r="AO226" s="675"/>
      <c r="AP226" s="549"/>
      <c r="AQ226" s="675"/>
      <c r="AR226" s="549"/>
      <c r="AS226" s="675"/>
      <c r="AT226" s="549"/>
      <c r="AU226" s="675"/>
      <c r="AV226" s="549"/>
      <c r="AW226" s="675"/>
      <c r="AX226" s="549"/>
      <c r="AY226" s="675"/>
      <c r="AZ226" s="549"/>
      <c r="BA226" s="675"/>
      <c r="BB226" s="549"/>
      <c r="BC226" s="675"/>
      <c r="BD226" s="549"/>
      <c r="BE226" s="675"/>
      <c r="BF226" s="549"/>
      <c r="BG226" s="675"/>
      <c r="BH226" s="549"/>
      <c r="BI226" s="675"/>
      <c r="BJ226" s="549"/>
      <c r="BK226" s="675"/>
      <c r="BL226" s="549"/>
      <c r="BM226" s="675"/>
      <c r="BN226" s="549"/>
      <c r="BO226" s="675"/>
      <c r="BP226" s="549"/>
      <c r="BQ226" s="675"/>
      <c r="BR226" s="549"/>
      <c r="BS226" s="675"/>
      <c r="BT226" s="549"/>
      <c r="BU226" s="675"/>
      <c r="BV226" s="549"/>
      <c r="BW226" s="675"/>
      <c r="BX226" s="549"/>
      <c r="BY226" s="675"/>
      <c r="BZ226" s="549"/>
      <c r="CA226" s="675"/>
      <c r="CB226" s="549"/>
      <c r="CC226" s="675"/>
      <c r="CD226" s="549"/>
      <c r="CE226" s="675"/>
      <c r="CF226" s="549"/>
      <c r="CG226" s="675"/>
      <c r="CH226" s="549"/>
      <c r="CI226" s="675"/>
      <c r="CJ226" s="549"/>
      <c r="CK226" s="675"/>
      <c r="CL226" s="549"/>
      <c r="CM226" s="675"/>
      <c r="CN226" s="549"/>
      <c r="CO226" s="675"/>
      <c r="CP226" s="549"/>
      <c r="CQ226" s="675"/>
      <c r="CR226" s="549"/>
      <c r="CS226" s="675"/>
      <c r="CT226" s="549"/>
      <c r="CU226" s="675"/>
      <c r="CV226" s="549"/>
      <c r="CW226" s="675"/>
      <c r="CX226" s="549"/>
      <c r="CY226" s="675"/>
      <c r="CZ226" s="549"/>
      <c r="DA226" s="675"/>
      <c r="DB226" s="549"/>
      <c r="DC226" s="675"/>
      <c r="DD226" s="549"/>
      <c r="DE226" s="675"/>
      <c r="DF226" s="549"/>
      <c r="DG226" s="675"/>
      <c r="DH226" s="549"/>
      <c r="DI226" s="675"/>
      <c r="DJ226" s="549"/>
      <c r="DK226" s="675"/>
      <c r="DL226" s="549"/>
      <c r="DM226" s="675"/>
      <c r="DN226" s="549"/>
      <c r="DO226" s="675"/>
      <c r="DP226" s="549"/>
      <c r="DQ226" s="675"/>
      <c r="DR226" s="549"/>
      <c r="DS226" s="675"/>
      <c r="DT226" s="549"/>
      <c r="DU226" s="675"/>
      <c r="DV226" s="549"/>
      <c r="DW226" s="675"/>
      <c r="DX226" s="549"/>
      <c r="DY226" s="675"/>
      <c r="DZ226" s="549"/>
      <c r="EA226" s="675"/>
      <c r="EB226" s="549"/>
      <c r="EC226" s="675"/>
      <c r="ED226" s="549"/>
      <c r="EE226" s="675"/>
      <c r="EF226" s="549"/>
      <c r="EG226" s="675"/>
      <c r="EH226" s="549"/>
      <c r="EI226" s="675"/>
      <c r="EJ226" s="549"/>
      <c r="EK226" s="675"/>
      <c r="EL226" s="549"/>
      <c r="EM226" s="675"/>
      <c r="EN226" s="549"/>
      <c r="EO226" s="675"/>
      <c r="EP226" s="549"/>
      <c r="EQ226" s="675"/>
      <c r="ER226" s="549"/>
      <c r="ES226" s="675"/>
      <c r="ET226" s="549"/>
      <c r="EU226" s="675"/>
      <c r="EV226" s="549"/>
      <c r="EW226" s="675"/>
      <c r="EX226" s="549"/>
      <c r="EY226" s="675"/>
      <c r="EZ226" s="549"/>
      <c r="FA226" s="675"/>
      <c r="FB226" s="549"/>
      <c r="FC226" s="675"/>
      <c r="FD226" s="549"/>
      <c r="FE226" s="675"/>
      <c r="FF226" s="549"/>
      <c r="FG226" s="675"/>
      <c r="FH226" s="549"/>
      <c r="FI226" s="675"/>
      <c r="FJ226" s="549"/>
      <c r="FK226" s="675"/>
      <c r="FL226" s="549"/>
      <c r="FM226" s="675"/>
      <c r="FN226" s="549"/>
      <c r="FO226" s="675"/>
      <c r="FP226" s="549"/>
      <c r="FQ226" s="675"/>
      <c r="FR226" s="549"/>
      <c r="FS226" s="675"/>
      <c r="FT226" s="549"/>
      <c r="FU226" s="675"/>
      <c r="FV226" s="549"/>
      <c r="FW226" s="675"/>
      <c r="FX226" s="549"/>
      <c r="FY226" s="675"/>
      <c r="FZ226" s="549"/>
      <c r="GA226" s="675"/>
      <c r="GB226" s="549"/>
      <c r="GC226" s="675"/>
      <c r="GD226" s="549"/>
      <c r="GE226" s="675"/>
      <c r="GF226" s="549"/>
      <c r="GG226" s="675"/>
      <c r="GH226" s="549"/>
      <c r="GI226" s="675"/>
      <c r="GJ226" s="549"/>
      <c r="GK226" s="675"/>
      <c r="GL226" s="549"/>
      <c r="GM226" s="675"/>
      <c r="GN226" s="549"/>
      <c r="GO226" s="675"/>
      <c r="GP226" s="74"/>
      <c r="GQ226" s="675"/>
      <c r="GR226" s="74"/>
      <c r="GS226" s="74"/>
      <c r="GT226" s="549"/>
      <c r="GU226" s="74"/>
      <c r="GV226" s="74"/>
      <c r="GW226" s="549"/>
      <c r="GX226" s="549"/>
      <c r="GY226" s="74"/>
      <c r="GZ226" s="74"/>
      <c r="HA226" s="74"/>
      <c r="HB226" s="74"/>
      <c r="HC226" s="74"/>
      <c r="HD226" s="74"/>
      <c r="HE226" s="74"/>
      <c r="HF226" s="74"/>
      <c r="HG226" s="74"/>
      <c r="HH226" s="74"/>
      <c r="HI226" s="74"/>
      <c r="HJ226" s="74"/>
      <c r="HK226" s="74"/>
      <c r="HL226" s="74"/>
      <c r="HM226" s="74"/>
      <c r="HN226" s="74"/>
      <c r="HO226" s="74"/>
      <c r="HP226" s="74"/>
      <c r="HQ226" s="74"/>
      <c r="HR226" s="74"/>
      <c r="HS226" s="74"/>
      <c r="HT226" s="74"/>
      <c r="HU226" s="74"/>
      <c r="HV226" s="74"/>
      <c r="HW226" s="74"/>
      <c r="HX226" s="74"/>
      <c r="HY226" s="74"/>
      <c r="HZ226" s="74"/>
      <c r="IA226" s="74"/>
      <c r="IB226" s="74"/>
      <c r="IC226" s="74"/>
      <c r="ID226" s="74"/>
      <c r="IE226" s="792"/>
      <c r="IF226" s="841"/>
      <c r="IG226" s="74"/>
      <c r="IH226" s="842"/>
      <c r="II226" s="155"/>
      <c r="IJ226" s="74"/>
      <c r="IK226" s="74"/>
      <c r="IL226" s="74"/>
      <c r="IM226" s="74"/>
      <c r="IN226" s="74"/>
      <c r="IO226" s="74"/>
      <c r="IP226" s="74"/>
      <c r="IQ226" s="74"/>
      <c r="IR226" s="74"/>
      <c r="IS226" s="74"/>
      <c r="IT226" s="74"/>
      <c r="IU226" s="74"/>
      <c r="IV226" s="74"/>
      <c r="IW226" s="74"/>
      <c r="IX226" s="74"/>
      <c r="IY226" s="74"/>
      <c r="IZ226" s="74"/>
      <c r="JA226" s="74"/>
      <c r="JB226" s="74"/>
      <c r="JC226" s="74"/>
      <c r="JD226" s="74"/>
      <c r="JE226" s="74"/>
      <c r="JF226" s="74"/>
      <c r="JG226" s="74"/>
      <c r="JH226" s="74"/>
      <c r="JI226" s="74"/>
      <c r="JJ226" s="74"/>
      <c r="JK226" s="74"/>
      <c r="JL226" s="74"/>
      <c r="JM226" s="74"/>
      <c r="JN226" s="74"/>
      <c r="JO226" s="74"/>
      <c r="JP226" s="74"/>
      <c r="JQ226" s="74"/>
      <c r="JR226" s="74"/>
      <c r="JS226" s="74"/>
      <c r="JT226" s="382"/>
      <c r="JU226" s="670"/>
      <c r="JV226" s="489"/>
      <c r="JW226" s="529"/>
      <c r="JX226" s="549"/>
      <c r="JY226" s="549"/>
      <c r="JZ226" s="581">
        <f>GP226</f>
        <v>0</v>
      </c>
      <c r="KA226" s="581">
        <f>GQ226</f>
        <v>0</v>
      </c>
      <c r="KB226" s="549"/>
      <c r="KC226" s="709">
        <f>HG226-KB226</f>
        <v>0</v>
      </c>
      <c r="KD226" s="36"/>
      <c r="KE226" s="36"/>
      <c r="KF226" s="36"/>
      <c r="KG226" s="36"/>
      <c r="KH226" s="36"/>
      <c r="KI226" s="36"/>
      <c r="KJ226" s="36"/>
      <c r="KK226" s="36"/>
    </row>
    <row r="227" spans="1:297" s="8" customFormat="1">
      <c r="A227" s="75" t="s">
        <v>212</v>
      </c>
      <c r="B227" s="72" t="s">
        <v>213</v>
      </c>
      <c r="C227" s="74">
        <f>SUM(C228)</f>
        <v>41000</v>
      </c>
      <c r="D227" s="549">
        <f t="shared" ref="D227:AZ227" si="7931">SUM(D228)</f>
        <v>0</v>
      </c>
      <c r="E227" s="675">
        <f t="shared" ref="E227:GO227" si="7932">SUM(E228)</f>
        <v>0</v>
      </c>
      <c r="F227" s="549">
        <f t="shared" si="7931"/>
        <v>0</v>
      </c>
      <c r="G227" s="675">
        <f t="shared" si="7932"/>
        <v>0</v>
      </c>
      <c r="H227" s="549">
        <f t="shared" si="7931"/>
        <v>0</v>
      </c>
      <c r="I227" s="675">
        <f t="shared" si="7932"/>
        <v>0</v>
      </c>
      <c r="J227" s="549">
        <f t="shared" si="7931"/>
        <v>0</v>
      </c>
      <c r="K227" s="675">
        <f t="shared" si="7932"/>
        <v>0</v>
      </c>
      <c r="L227" s="549">
        <f t="shared" si="7931"/>
        <v>0</v>
      </c>
      <c r="M227" s="675">
        <f t="shared" si="7932"/>
        <v>0</v>
      </c>
      <c r="N227" s="549">
        <f t="shared" si="7931"/>
        <v>0</v>
      </c>
      <c r="O227" s="675">
        <f t="shared" si="7932"/>
        <v>0</v>
      </c>
      <c r="P227" s="549">
        <f t="shared" si="7931"/>
        <v>0</v>
      </c>
      <c r="Q227" s="675">
        <f t="shared" si="7932"/>
        <v>0</v>
      </c>
      <c r="R227" s="549">
        <f t="shared" si="7931"/>
        <v>0</v>
      </c>
      <c r="S227" s="675">
        <f t="shared" si="7932"/>
        <v>0</v>
      </c>
      <c r="T227" s="549">
        <f t="shared" si="7931"/>
        <v>0</v>
      </c>
      <c r="U227" s="675">
        <f t="shared" si="7932"/>
        <v>0</v>
      </c>
      <c r="V227" s="549">
        <f t="shared" si="7931"/>
        <v>0</v>
      </c>
      <c r="W227" s="675">
        <f t="shared" si="7932"/>
        <v>0</v>
      </c>
      <c r="X227" s="549">
        <f t="shared" si="7931"/>
        <v>0</v>
      </c>
      <c r="Y227" s="675">
        <f t="shared" si="7932"/>
        <v>0</v>
      </c>
      <c r="Z227" s="549">
        <f t="shared" si="7931"/>
        <v>0</v>
      </c>
      <c r="AA227" s="675">
        <f t="shared" si="7932"/>
        <v>0</v>
      </c>
      <c r="AB227" s="549">
        <f t="shared" si="7931"/>
        <v>0</v>
      </c>
      <c r="AC227" s="675">
        <f t="shared" si="7932"/>
        <v>0</v>
      </c>
      <c r="AD227" s="549">
        <f t="shared" si="7931"/>
        <v>0</v>
      </c>
      <c r="AE227" s="675">
        <f t="shared" si="7932"/>
        <v>0</v>
      </c>
      <c r="AF227" s="549">
        <f t="shared" si="7931"/>
        <v>0</v>
      </c>
      <c r="AG227" s="675">
        <f t="shared" si="7932"/>
        <v>0</v>
      </c>
      <c r="AH227" s="549">
        <f t="shared" si="7931"/>
        <v>0</v>
      </c>
      <c r="AI227" s="675">
        <f t="shared" si="7932"/>
        <v>0</v>
      </c>
      <c r="AJ227" s="549">
        <f t="shared" si="7931"/>
        <v>0</v>
      </c>
      <c r="AK227" s="675">
        <f t="shared" si="7932"/>
        <v>0</v>
      </c>
      <c r="AL227" s="549">
        <f t="shared" si="7931"/>
        <v>0</v>
      </c>
      <c r="AM227" s="675">
        <f t="shared" si="7932"/>
        <v>0</v>
      </c>
      <c r="AN227" s="549">
        <f t="shared" si="7931"/>
        <v>0</v>
      </c>
      <c r="AO227" s="675">
        <f t="shared" si="7932"/>
        <v>0</v>
      </c>
      <c r="AP227" s="549">
        <f t="shared" si="7931"/>
        <v>0</v>
      </c>
      <c r="AQ227" s="675">
        <f t="shared" si="7932"/>
        <v>0</v>
      </c>
      <c r="AR227" s="549">
        <f t="shared" si="7931"/>
        <v>0</v>
      </c>
      <c r="AS227" s="675">
        <f t="shared" si="7932"/>
        <v>0</v>
      </c>
      <c r="AT227" s="549">
        <f t="shared" si="7931"/>
        <v>0</v>
      </c>
      <c r="AU227" s="675">
        <f t="shared" si="7932"/>
        <v>0</v>
      </c>
      <c r="AV227" s="549">
        <f t="shared" si="7931"/>
        <v>0</v>
      </c>
      <c r="AW227" s="675">
        <f t="shared" si="7932"/>
        <v>0</v>
      </c>
      <c r="AX227" s="549">
        <f t="shared" si="7931"/>
        <v>0</v>
      </c>
      <c r="AY227" s="675">
        <f t="shared" si="7932"/>
        <v>0</v>
      </c>
      <c r="AZ227" s="549">
        <f t="shared" si="7931"/>
        <v>0</v>
      </c>
      <c r="BA227" s="675">
        <f t="shared" si="7932"/>
        <v>0</v>
      </c>
      <c r="BB227" s="549">
        <f t="shared" ref="BB227" si="7933">SUM(BB228)</f>
        <v>0</v>
      </c>
      <c r="BC227" s="675">
        <f t="shared" si="7932"/>
        <v>0</v>
      </c>
      <c r="BD227" s="549">
        <f t="shared" ref="BD227" si="7934">SUM(BD228)</f>
        <v>0</v>
      </c>
      <c r="BE227" s="675">
        <f t="shared" si="7932"/>
        <v>0</v>
      </c>
      <c r="BF227" s="549">
        <f t="shared" ref="BF227" si="7935">SUM(BF228)</f>
        <v>0</v>
      </c>
      <c r="BG227" s="675">
        <f t="shared" si="7932"/>
        <v>0</v>
      </c>
      <c r="BH227" s="549">
        <f t="shared" ref="BH227" si="7936">SUM(BH228)</f>
        <v>0</v>
      </c>
      <c r="BI227" s="675">
        <f t="shared" si="7932"/>
        <v>0</v>
      </c>
      <c r="BJ227" s="549">
        <f t="shared" ref="BJ227" si="7937">SUM(BJ228)</f>
        <v>0</v>
      </c>
      <c r="BK227" s="675">
        <f t="shared" si="7932"/>
        <v>0</v>
      </c>
      <c r="BL227" s="549">
        <f t="shared" ref="BL227" si="7938">SUM(BL228)</f>
        <v>0</v>
      </c>
      <c r="BM227" s="675">
        <f t="shared" si="7932"/>
        <v>0</v>
      </c>
      <c r="BN227" s="549">
        <f t="shared" ref="BN227" si="7939">SUM(BN228)</f>
        <v>0</v>
      </c>
      <c r="BO227" s="675">
        <f t="shared" si="7932"/>
        <v>0</v>
      </c>
      <c r="BP227" s="549">
        <f t="shared" ref="BP227" si="7940">SUM(BP228)</f>
        <v>0</v>
      </c>
      <c r="BQ227" s="675">
        <f t="shared" si="7932"/>
        <v>0</v>
      </c>
      <c r="BR227" s="549">
        <f t="shared" ref="BR227" si="7941">SUM(BR228)</f>
        <v>0</v>
      </c>
      <c r="BS227" s="675">
        <f t="shared" si="7932"/>
        <v>0</v>
      </c>
      <c r="BT227" s="549">
        <f t="shared" ref="BT227:GN227" si="7942">SUM(BT228)</f>
        <v>0</v>
      </c>
      <c r="BU227" s="675">
        <f t="shared" si="7932"/>
        <v>0</v>
      </c>
      <c r="BV227" s="549">
        <f t="shared" si="7942"/>
        <v>0</v>
      </c>
      <c r="BW227" s="675">
        <f t="shared" si="7932"/>
        <v>0</v>
      </c>
      <c r="BX227" s="549">
        <f t="shared" si="7942"/>
        <v>0</v>
      </c>
      <c r="BY227" s="675">
        <f t="shared" si="7932"/>
        <v>0</v>
      </c>
      <c r="BZ227" s="549">
        <f t="shared" si="7942"/>
        <v>0</v>
      </c>
      <c r="CA227" s="675">
        <f t="shared" si="7932"/>
        <v>0</v>
      </c>
      <c r="CB227" s="549">
        <f t="shared" si="7942"/>
        <v>0</v>
      </c>
      <c r="CC227" s="675">
        <f t="shared" si="7932"/>
        <v>0</v>
      </c>
      <c r="CD227" s="549">
        <f t="shared" si="7942"/>
        <v>0</v>
      </c>
      <c r="CE227" s="675">
        <f t="shared" si="7932"/>
        <v>0</v>
      </c>
      <c r="CF227" s="549">
        <f t="shared" si="7942"/>
        <v>0</v>
      </c>
      <c r="CG227" s="675">
        <f t="shared" si="7932"/>
        <v>0</v>
      </c>
      <c r="CH227" s="549">
        <f t="shared" si="7942"/>
        <v>0</v>
      </c>
      <c r="CI227" s="675">
        <f t="shared" si="7932"/>
        <v>0</v>
      </c>
      <c r="CJ227" s="549">
        <f t="shared" si="7942"/>
        <v>0</v>
      </c>
      <c r="CK227" s="675">
        <f t="shared" si="7932"/>
        <v>0</v>
      </c>
      <c r="CL227" s="549">
        <f t="shared" si="7942"/>
        <v>0</v>
      </c>
      <c r="CM227" s="675">
        <f t="shared" si="7932"/>
        <v>0</v>
      </c>
      <c r="CN227" s="549">
        <f t="shared" si="7942"/>
        <v>0</v>
      </c>
      <c r="CO227" s="675">
        <f t="shared" si="7932"/>
        <v>0</v>
      </c>
      <c r="CP227" s="549">
        <f t="shared" si="7942"/>
        <v>0</v>
      </c>
      <c r="CQ227" s="675">
        <f t="shared" si="7932"/>
        <v>0</v>
      </c>
      <c r="CR227" s="549">
        <f t="shared" si="7942"/>
        <v>0</v>
      </c>
      <c r="CS227" s="675">
        <f t="shared" si="7932"/>
        <v>0</v>
      </c>
      <c r="CT227" s="549">
        <f t="shared" si="7942"/>
        <v>0</v>
      </c>
      <c r="CU227" s="675">
        <f t="shared" si="7932"/>
        <v>0</v>
      </c>
      <c r="CV227" s="549">
        <f t="shared" si="7942"/>
        <v>0</v>
      </c>
      <c r="CW227" s="675">
        <f t="shared" si="7932"/>
        <v>0</v>
      </c>
      <c r="CX227" s="549">
        <f t="shared" si="7942"/>
        <v>0</v>
      </c>
      <c r="CY227" s="675">
        <f t="shared" si="7932"/>
        <v>0</v>
      </c>
      <c r="CZ227" s="549">
        <f t="shared" si="7942"/>
        <v>0</v>
      </c>
      <c r="DA227" s="675">
        <f t="shared" si="7932"/>
        <v>0</v>
      </c>
      <c r="DB227" s="549">
        <f t="shared" si="7942"/>
        <v>0</v>
      </c>
      <c r="DC227" s="675">
        <f t="shared" si="7932"/>
        <v>0</v>
      </c>
      <c r="DD227" s="549">
        <f t="shared" si="7942"/>
        <v>0</v>
      </c>
      <c r="DE227" s="675">
        <f t="shared" si="7932"/>
        <v>0</v>
      </c>
      <c r="DF227" s="549">
        <f t="shared" si="7942"/>
        <v>0</v>
      </c>
      <c r="DG227" s="675">
        <f t="shared" si="7932"/>
        <v>0</v>
      </c>
      <c r="DH227" s="549">
        <f t="shared" si="7942"/>
        <v>0</v>
      </c>
      <c r="DI227" s="675">
        <f t="shared" si="7932"/>
        <v>0</v>
      </c>
      <c r="DJ227" s="549">
        <f t="shared" si="7942"/>
        <v>0</v>
      </c>
      <c r="DK227" s="675">
        <f t="shared" si="7932"/>
        <v>0</v>
      </c>
      <c r="DL227" s="549">
        <f t="shared" si="7942"/>
        <v>0</v>
      </c>
      <c r="DM227" s="675">
        <f t="shared" si="7932"/>
        <v>0</v>
      </c>
      <c r="DN227" s="549">
        <f t="shared" si="7942"/>
        <v>0</v>
      </c>
      <c r="DO227" s="675">
        <f t="shared" si="7932"/>
        <v>0</v>
      </c>
      <c r="DP227" s="549">
        <f t="shared" si="7942"/>
        <v>0</v>
      </c>
      <c r="DQ227" s="675">
        <f t="shared" si="7932"/>
        <v>0</v>
      </c>
      <c r="DR227" s="549">
        <f t="shared" si="7942"/>
        <v>0</v>
      </c>
      <c r="DS227" s="675">
        <f t="shared" si="7932"/>
        <v>0</v>
      </c>
      <c r="DT227" s="549">
        <f t="shared" si="7942"/>
        <v>0</v>
      </c>
      <c r="DU227" s="675">
        <f t="shared" si="7932"/>
        <v>0</v>
      </c>
      <c r="DV227" s="549">
        <f t="shared" si="7942"/>
        <v>0</v>
      </c>
      <c r="DW227" s="675">
        <f t="shared" si="7932"/>
        <v>0</v>
      </c>
      <c r="DX227" s="549">
        <f t="shared" si="7942"/>
        <v>0</v>
      </c>
      <c r="DY227" s="675">
        <f t="shared" si="7932"/>
        <v>0</v>
      </c>
      <c r="DZ227" s="549">
        <f t="shared" si="7942"/>
        <v>0</v>
      </c>
      <c r="EA227" s="675">
        <f t="shared" si="7932"/>
        <v>0</v>
      </c>
      <c r="EB227" s="549">
        <f t="shared" si="7942"/>
        <v>0</v>
      </c>
      <c r="EC227" s="675">
        <f t="shared" si="7932"/>
        <v>0</v>
      </c>
      <c r="ED227" s="549">
        <f t="shared" si="7942"/>
        <v>0</v>
      </c>
      <c r="EE227" s="675">
        <f t="shared" si="7932"/>
        <v>0</v>
      </c>
      <c r="EF227" s="549">
        <f t="shared" si="7942"/>
        <v>0</v>
      </c>
      <c r="EG227" s="675">
        <f t="shared" si="7932"/>
        <v>0</v>
      </c>
      <c r="EH227" s="549">
        <f t="shared" si="7942"/>
        <v>0</v>
      </c>
      <c r="EI227" s="675">
        <f t="shared" si="7932"/>
        <v>0</v>
      </c>
      <c r="EJ227" s="549">
        <f t="shared" si="7942"/>
        <v>0</v>
      </c>
      <c r="EK227" s="675">
        <f t="shared" si="7932"/>
        <v>0</v>
      </c>
      <c r="EL227" s="549">
        <f t="shared" si="7942"/>
        <v>0</v>
      </c>
      <c r="EM227" s="675">
        <f t="shared" si="7932"/>
        <v>0</v>
      </c>
      <c r="EN227" s="549">
        <f t="shared" si="7942"/>
        <v>0</v>
      </c>
      <c r="EO227" s="675">
        <f t="shared" si="7932"/>
        <v>0</v>
      </c>
      <c r="EP227" s="549">
        <f t="shared" si="7942"/>
        <v>0</v>
      </c>
      <c r="EQ227" s="675">
        <f t="shared" si="7932"/>
        <v>0</v>
      </c>
      <c r="ER227" s="549">
        <f t="shared" si="7942"/>
        <v>0</v>
      </c>
      <c r="ES227" s="675">
        <f t="shared" si="7932"/>
        <v>0</v>
      </c>
      <c r="ET227" s="549">
        <f t="shared" si="7942"/>
        <v>0</v>
      </c>
      <c r="EU227" s="675">
        <f t="shared" si="7932"/>
        <v>0</v>
      </c>
      <c r="EV227" s="549">
        <f t="shared" si="7942"/>
        <v>0</v>
      </c>
      <c r="EW227" s="675">
        <f t="shared" si="7932"/>
        <v>0</v>
      </c>
      <c r="EX227" s="549">
        <f t="shared" si="7942"/>
        <v>0</v>
      </c>
      <c r="EY227" s="675">
        <f t="shared" si="7932"/>
        <v>0</v>
      </c>
      <c r="EZ227" s="549">
        <f t="shared" si="7942"/>
        <v>0</v>
      </c>
      <c r="FA227" s="675">
        <f t="shared" si="7932"/>
        <v>0</v>
      </c>
      <c r="FB227" s="549">
        <f t="shared" si="7942"/>
        <v>0</v>
      </c>
      <c r="FC227" s="675">
        <f t="shared" si="7932"/>
        <v>0</v>
      </c>
      <c r="FD227" s="549">
        <f t="shared" si="7942"/>
        <v>0</v>
      </c>
      <c r="FE227" s="675">
        <f t="shared" si="7932"/>
        <v>0</v>
      </c>
      <c r="FF227" s="549">
        <f t="shared" si="7942"/>
        <v>0</v>
      </c>
      <c r="FG227" s="675">
        <f t="shared" si="7932"/>
        <v>0</v>
      </c>
      <c r="FH227" s="549">
        <f t="shared" si="7942"/>
        <v>0</v>
      </c>
      <c r="FI227" s="675">
        <f t="shared" si="7932"/>
        <v>0</v>
      </c>
      <c r="FJ227" s="549">
        <f t="shared" si="7942"/>
        <v>0</v>
      </c>
      <c r="FK227" s="675">
        <f t="shared" si="7932"/>
        <v>0</v>
      </c>
      <c r="FL227" s="549">
        <f t="shared" si="7942"/>
        <v>0</v>
      </c>
      <c r="FM227" s="675">
        <f t="shared" si="7932"/>
        <v>0</v>
      </c>
      <c r="FN227" s="549">
        <f t="shared" si="7942"/>
        <v>0</v>
      </c>
      <c r="FO227" s="675">
        <f t="shared" si="7932"/>
        <v>0</v>
      </c>
      <c r="FP227" s="549">
        <f t="shared" si="7942"/>
        <v>0</v>
      </c>
      <c r="FQ227" s="675">
        <f t="shared" si="7932"/>
        <v>0</v>
      </c>
      <c r="FR227" s="549">
        <f t="shared" si="7942"/>
        <v>0</v>
      </c>
      <c r="FS227" s="675">
        <f t="shared" si="7932"/>
        <v>0</v>
      </c>
      <c r="FT227" s="549">
        <f t="shared" si="7942"/>
        <v>0</v>
      </c>
      <c r="FU227" s="675">
        <f t="shared" si="7932"/>
        <v>0</v>
      </c>
      <c r="FV227" s="549">
        <f t="shared" si="7942"/>
        <v>0</v>
      </c>
      <c r="FW227" s="675">
        <f t="shared" si="7932"/>
        <v>0</v>
      </c>
      <c r="FX227" s="549">
        <f t="shared" si="7942"/>
        <v>0</v>
      </c>
      <c r="FY227" s="675">
        <f t="shared" si="7932"/>
        <v>0</v>
      </c>
      <c r="FZ227" s="549">
        <f t="shared" si="7942"/>
        <v>0</v>
      </c>
      <c r="GA227" s="675">
        <f t="shared" si="7932"/>
        <v>0</v>
      </c>
      <c r="GB227" s="549">
        <f t="shared" si="7942"/>
        <v>0</v>
      </c>
      <c r="GC227" s="675">
        <f t="shared" si="7932"/>
        <v>0</v>
      </c>
      <c r="GD227" s="549">
        <f t="shared" si="7942"/>
        <v>0</v>
      </c>
      <c r="GE227" s="675">
        <f t="shared" si="7932"/>
        <v>0</v>
      </c>
      <c r="GF227" s="549">
        <f t="shared" si="7942"/>
        <v>0</v>
      </c>
      <c r="GG227" s="675">
        <f t="shared" si="7932"/>
        <v>0</v>
      </c>
      <c r="GH227" s="549">
        <f t="shared" si="7942"/>
        <v>0</v>
      </c>
      <c r="GI227" s="675">
        <f t="shared" si="7932"/>
        <v>0</v>
      </c>
      <c r="GJ227" s="549">
        <f t="shared" si="7942"/>
        <v>0</v>
      </c>
      <c r="GK227" s="675">
        <f t="shared" si="7932"/>
        <v>0</v>
      </c>
      <c r="GL227" s="549">
        <f t="shared" si="7942"/>
        <v>0</v>
      </c>
      <c r="GM227" s="675">
        <f t="shared" si="7932"/>
        <v>0</v>
      </c>
      <c r="GN227" s="549">
        <f t="shared" si="7942"/>
        <v>0</v>
      </c>
      <c r="GO227" s="675">
        <f t="shared" si="7932"/>
        <v>0</v>
      </c>
      <c r="GP227" s="74">
        <f t="shared" ref="GP227:JM227" si="7943">SUM(GP228)</f>
        <v>0</v>
      </c>
      <c r="GQ227" s="675">
        <f t="shared" si="7943"/>
        <v>0</v>
      </c>
      <c r="GR227" s="74">
        <f t="shared" si="7943"/>
        <v>41000</v>
      </c>
      <c r="GS227" s="74">
        <f t="shared" si="7943"/>
        <v>37273</v>
      </c>
      <c r="GT227" s="549">
        <f t="shared" si="7943"/>
        <v>41000</v>
      </c>
      <c r="GU227" s="74">
        <f>SUM(GU228)</f>
        <v>3730</v>
      </c>
      <c r="GV227" s="74">
        <f t="shared" si="7943"/>
        <v>3727</v>
      </c>
      <c r="GW227" s="549">
        <f t="shared" si="7943"/>
        <v>3727</v>
      </c>
      <c r="GX227" s="549">
        <f t="shared" si="7943"/>
        <v>3727</v>
      </c>
      <c r="GY227" s="74">
        <f t="shared" si="7943"/>
        <v>3727</v>
      </c>
      <c r="GZ227" s="74">
        <f t="shared" si="7943"/>
        <v>3727</v>
      </c>
      <c r="HA227" s="74">
        <f t="shared" si="7943"/>
        <v>3727</v>
      </c>
      <c r="HB227" s="74">
        <f t="shared" si="7943"/>
        <v>3727</v>
      </c>
      <c r="HC227" s="74">
        <f t="shared" si="7943"/>
        <v>3727</v>
      </c>
      <c r="HD227" s="74">
        <f t="shared" si="7943"/>
        <v>3727</v>
      </c>
      <c r="HE227" s="74">
        <f t="shared" si="7943"/>
        <v>3727</v>
      </c>
      <c r="HF227" s="74">
        <f t="shared" si="7943"/>
        <v>0</v>
      </c>
      <c r="HG227" s="74">
        <f t="shared" si="7943"/>
        <v>37273</v>
      </c>
      <c r="HH227" s="74">
        <f t="shared" si="7943"/>
        <v>0</v>
      </c>
      <c r="HI227" s="74">
        <f t="shared" si="7943"/>
        <v>0</v>
      </c>
      <c r="HJ227" s="74">
        <f t="shared" si="7943"/>
        <v>0</v>
      </c>
      <c r="HK227" s="74">
        <f t="shared" si="7943"/>
        <v>7457</v>
      </c>
      <c r="HL227" s="74">
        <f t="shared" si="7943"/>
        <v>0</v>
      </c>
      <c r="HM227" s="74">
        <f t="shared" si="7943"/>
        <v>3727</v>
      </c>
      <c r="HN227" s="74">
        <f t="shared" si="7943"/>
        <v>0</v>
      </c>
      <c r="HO227" s="74">
        <f t="shared" si="7943"/>
        <v>3727</v>
      </c>
      <c r="HP227" s="74">
        <f t="shared" si="7943"/>
        <v>0</v>
      </c>
      <c r="HQ227" s="74">
        <f t="shared" si="7943"/>
        <v>3727</v>
      </c>
      <c r="HR227" s="74">
        <f t="shared" si="7943"/>
        <v>0</v>
      </c>
      <c r="HS227" s="74">
        <f t="shared" si="7943"/>
        <v>3727</v>
      </c>
      <c r="HT227" s="74">
        <f t="shared" si="7943"/>
        <v>0</v>
      </c>
      <c r="HU227" s="74">
        <f t="shared" si="7943"/>
        <v>3727</v>
      </c>
      <c r="HV227" s="74">
        <f t="shared" si="7943"/>
        <v>0</v>
      </c>
      <c r="HW227" s="74">
        <f t="shared" si="7943"/>
        <v>3727</v>
      </c>
      <c r="HX227" s="74">
        <f t="shared" si="7943"/>
        <v>0</v>
      </c>
      <c r="HY227" s="74">
        <f t="shared" si="7943"/>
        <v>3727</v>
      </c>
      <c r="HZ227" s="74">
        <f t="shared" si="7943"/>
        <v>0</v>
      </c>
      <c r="IA227" s="74">
        <f t="shared" si="7943"/>
        <v>3727</v>
      </c>
      <c r="IB227" s="74">
        <f t="shared" si="7943"/>
        <v>0</v>
      </c>
      <c r="IC227" s="74">
        <f t="shared" si="7943"/>
        <v>0</v>
      </c>
      <c r="ID227" s="74">
        <f t="shared" si="7943"/>
        <v>0</v>
      </c>
      <c r="IE227" s="792">
        <f t="shared" si="7943"/>
        <v>0</v>
      </c>
      <c r="IF227" s="841">
        <f t="shared" si="7943"/>
        <v>33546</v>
      </c>
      <c r="IG227" s="263">
        <f t="shared" si="7943"/>
        <v>33546</v>
      </c>
      <c r="IH227" s="842">
        <f t="shared" si="7943"/>
        <v>33546</v>
      </c>
      <c r="II227" s="155">
        <f t="shared" si="7943"/>
        <v>0</v>
      </c>
      <c r="IJ227" s="74">
        <f t="shared" si="7943"/>
        <v>0</v>
      </c>
      <c r="IK227" s="74">
        <f t="shared" si="7943"/>
        <v>0</v>
      </c>
      <c r="IL227" s="74">
        <f t="shared" si="7943"/>
        <v>0</v>
      </c>
      <c r="IM227" s="74">
        <f t="shared" si="7943"/>
        <v>0</v>
      </c>
      <c r="IN227" s="74">
        <f t="shared" si="7943"/>
        <v>0</v>
      </c>
      <c r="IO227" s="74">
        <f t="shared" si="7943"/>
        <v>0</v>
      </c>
      <c r="IP227" s="74">
        <f t="shared" si="7943"/>
        <v>0</v>
      </c>
      <c r="IQ227" s="74">
        <f t="shared" si="7943"/>
        <v>0</v>
      </c>
      <c r="IR227" s="74">
        <f t="shared" si="7943"/>
        <v>14911</v>
      </c>
      <c r="IS227" s="74">
        <f t="shared" si="7943"/>
        <v>14911</v>
      </c>
      <c r="IT227" s="74">
        <f t="shared" si="7943"/>
        <v>14911</v>
      </c>
      <c r="IU227" s="74">
        <f t="shared" si="7943"/>
        <v>0</v>
      </c>
      <c r="IV227" s="74">
        <f t="shared" si="7943"/>
        <v>0</v>
      </c>
      <c r="IW227" s="74">
        <f t="shared" si="7943"/>
        <v>0</v>
      </c>
      <c r="IX227" s="74">
        <f t="shared" si="7943"/>
        <v>0</v>
      </c>
      <c r="IY227" s="74">
        <f t="shared" si="7943"/>
        <v>0</v>
      </c>
      <c r="IZ227" s="74">
        <f t="shared" si="7943"/>
        <v>0</v>
      </c>
      <c r="JA227" s="74">
        <f t="shared" si="7943"/>
        <v>11181</v>
      </c>
      <c r="JB227" s="74">
        <f t="shared" si="7943"/>
        <v>11181</v>
      </c>
      <c r="JC227" s="74">
        <f t="shared" si="7943"/>
        <v>11181</v>
      </c>
      <c r="JD227" s="74">
        <f t="shared" si="7943"/>
        <v>0</v>
      </c>
      <c r="JE227" s="74">
        <f t="shared" si="7943"/>
        <v>0</v>
      </c>
      <c r="JF227" s="74">
        <f t="shared" si="7943"/>
        <v>0</v>
      </c>
      <c r="JG227" s="74">
        <f t="shared" si="7943"/>
        <v>7454</v>
      </c>
      <c r="JH227" s="74">
        <f t="shared" si="7943"/>
        <v>7454</v>
      </c>
      <c r="JI227" s="74">
        <f t="shared" si="7943"/>
        <v>7454</v>
      </c>
      <c r="JJ227" s="74">
        <f t="shared" si="7943"/>
        <v>0</v>
      </c>
      <c r="JK227" s="74">
        <f t="shared" si="7943"/>
        <v>0</v>
      </c>
      <c r="JL227" s="74">
        <f t="shared" si="7943"/>
        <v>0</v>
      </c>
      <c r="JM227" s="74">
        <f t="shared" si="7943"/>
        <v>0</v>
      </c>
      <c r="JN227" s="74">
        <f t="shared" ref="JN227:KB227" si="7944">SUM(JN228)</f>
        <v>0</v>
      </c>
      <c r="JO227" s="74">
        <f t="shared" si="7944"/>
        <v>0</v>
      </c>
      <c r="JP227" s="74">
        <f t="shared" si="7944"/>
        <v>0</v>
      </c>
      <c r="JQ227" s="74">
        <f t="shared" si="7944"/>
        <v>0</v>
      </c>
      <c r="JR227" s="74">
        <f t="shared" si="7944"/>
        <v>0</v>
      </c>
      <c r="JS227" s="74">
        <f t="shared" si="7944"/>
        <v>3727</v>
      </c>
      <c r="JT227" s="382">
        <f t="shared" si="7944"/>
        <v>3727</v>
      </c>
      <c r="JU227" s="670"/>
      <c r="JV227" s="489"/>
      <c r="JW227" s="528"/>
      <c r="JX227" s="549">
        <f t="shared" si="7944"/>
        <v>0</v>
      </c>
      <c r="JY227" s="549">
        <f t="shared" si="7944"/>
        <v>37273</v>
      </c>
      <c r="JZ227" s="581">
        <f t="shared" si="7470"/>
        <v>0</v>
      </c>
      <c r="KA227" s="581">
        <f t="shared" si="7471"/>
        <v>0</v>
      </c>
      <c r="KB227" s="549">
        <f t="shared" si="7944"/>
        <v>37273</v>
      </c>
      <c r="KC227" s="709">
        <f t="shared" si="7396"/>
        <v>0</v>
      </c>
      <c r="KD227" s="36"/>
      <c r="KE227" s="36"/>
      <c r="KF227" s="36"/>
      <c r="KG227" s="36"/>
      <c r="KH227" s="36"/>
      <c r="KI227" s="36"/>
      <c r="KJ227" s="36"/>
      <c r="KK227" s="36"/>
    </row>
    <row r="228" spans="1:297" s="8" customFormat="1">
      <c r="A228" s="75" t="s">
        <v>214</v>
      </c>
      <c r="B228" s="72" t="s">
        <v>215</v>
      </c>
      <c r="C228" s="74">
        <f t="shared" ref="C228" si="7945">C556+C359</f>
        <v>41000</v>
      </c>
      <c r="D228" s="549">
        <f t="shared" ref="D228:E228" si="7946">D359</f>
        <v>0</v>
      </c>
      <c r="E228" s="675">
        <f t="shared" si="7946"/>
        <v>0</v>
      </c>
      <c r="F228" s="549">
        <f t="shared" ref="F228:G228" si="7947">F359</f>
        <v>0</v>
      </c>
      <c r="G228" s="675">
        <f t="shared" si="7947"/>
        <v>0</v>
      </c>
      <c r="H228" s="549">
        <f t="shared" ref="H228:I228" si="7948">H359</f>
        <v>0</v>
      </c>
      <c r="I228" s="675">
        <f t="shared" si="7948"/>
        <v>0</v>
      </c>
      <c r="J228" s="549">
        <f t="shared" ref="J228:K228" si="7949">J359</f>
        <v>0</v>
      </c>
      <c r="K228" s="675">
        <f t="shared" si="7949"/>
        <v>0</v>
      </c>
      <c r="L228" s="549">
        <f t="shared" ref="L228:M228" si="7950">L359</f>
        <v>0</v>
      </c>
      <c r="M228" s="675">
        <f t="shared" si="7950"/>
        <v>0</v>
      </c>
      <c r="N228" s="549">
        <f t="shared" ref="N228:O228" si="7951">N359</f>
        <v>0</v>
      </c>
      <c r="O228" s="675">
        <f t="shared" si="7951"/>
        <v>0</v>
      </c>
      <c r="P228" s="549">
        <f t="shared" ref="P228:Q228" si="7952">P359</f>
        <v>0</v>
      </c>
      <c r="Q228" s="675">
        <f t="shared" si="7952"/>
        <v>0</v>
      </c>
      <c r="R228" s="549">
        <f t="shared" ref="R228:S228" si="7953">R359</f>
        <v>0</v>
      </c>
      <c r="S228" s="675">
        <f t="shared" si="7953"/>
        <v>0</v>
      </c>
      <c r="T228" s="549">
        <f t="shared" ref="T228:U228" si="7954">T359</f>
        <v>0</v>
      </c>
      <c r="U228" s="675">
        <f t="shared" si="7954"/>
        <v>0</v>
      </c>
      <c r="V228" s="549">
        <f t="shared" ref="V228:W228" si="7955">V359</f>
        <v>0</v>
      </c>
      <c r="W228" s="675">
        <f t="shared" si="7955"/>
        <v>0</v>
      </c>
      <c r="X228" s="549">
        <f t="shared" ref="X228:Y228" si="7956">X359</f>
        <v>0</v>
      </c>
      <c r="Y228" s="675">
        <f t="shared" si="7956"/>
        <v>0</v>
      </c>
      <c r="Z228" s="549">
        <f t="shared" ref="Z228:AA228" si="7957">Z359</f>
        <v>0</v>
      </c>
      <c r="AA228" s="675">
        <f t="shared" si="7957"/>
        <v>0</v>
      </c>
      <c r="AB228" s="549">
        <f t="shared" ref="AB228:AC228" si="7958">AB359</f>
        <v>0</v>
      </c>
      <c r="AC228" s="675">
        <f t="shared" si="7958"/>
        <v>0</v>
      </c>
      <c r="AD228" s="549">
        <f t="shared" ref="AD228:AE228" si="7959">AD359</f>
        <v>0</v>
      </c>
      <c r="AE228" s="675">
        <f t="shared" si="7959"/>
        <v>0</v>
      </c>
      <c r="AF228" s="549">
        <f t="shared" ref="AF228:AG228" si="7960">AF359</f>
        <v>0</v>
      </c>
      <c r="AG228" s="675">
        <f t="shared" si="7960"/>
        <v>0</v>
      </c>
      <c r="AH228" s="549">
        <f t="shared" ref="AH228:AI228" si="7961">AH359</f>
        <v>0</v>
      </c>
      <c r="AI228" s="675">
        <f t="shared" si="7961"/>
        <v>0</v>
      </c>
      <c r="AJ228" s="549">
        <f t="shared" ref="AJ228:AK228" si="7962">AJ359</f>
        <v>0</v>
      </c>
      <c r="AK228" s="675">
        <f t="shared" si="7962"/>
        <v>0</v>
      </c>
      <c r="AL228" s="549">
        <f t="shared" ref="AL228:AM228" si="7963">AL359</f>
        <v>0</v>
      </c>
      <c r="AM228" s="675">
        <f t="shared" si="7963"/>
        <v>0</v>
      </c>
      <c r="AN228" s="549">
        <f t="shared" ref="AN228:AO228" si="7964">AN359</f>
        <v>0</v>
      </c>
      <c r="AO228" s="675">
        <f t="shared" si="7964"/>
        <v>0</v>
      </c>
      <c r="AP228" s="549">
        <f t="shared" ref="AP228:AQ228" si="7965">AP359</f>
        <v>0</v>
      </c>
      <c r="AQ228" s="675">
        <f t="shared" si="7965"/>
        <v>0</v>
      </c>
      <c r="AR228" s="549">
        <f t="shared" ref="AR228:AS228" si="7966">AR359</f>
        <v>0</v>
      </c>
      <c r="AS228" s="675">
        <f t="shared" si="7966"/>
        <v>0</v>
      </c>
      <c r="AT228" s="549">
        <f t="shared" ref="AT228:AU228" si="7967">AT359</f>
        <v>0</v>
      </c>
      <c r="AU228" s="675">
        <f t="shared" si="7967"/>
        <v>0</v>
      </c>
      <c r="AV228" s="549">
        <f t="shared" ref="AV228:AW228" si="7968">AV359</f>
        <v>0</v>
      </c>
      <c r="AW228" s="675">
        <f t="shared" si="7968"/>
        <v>0</v>
      </c>
      <c r="AX228" s="549">
        <f t="shared" ref="AX228:AY228" si="7969">AX359</f>
        <v>0</v>
      </c>
      <c r="AY228" s="675">
        <f t="shared" si="7969"/>
        <v>0</v>
      </c>
      <c r="AZ228" s="549">
        <f t="shared" ref="AZ228:BY228" si="7970">AZ359</f>
        <v>0</v>
      </c>
      <c r="BA228" s="675">
        <f t="shared" si="7970"/>
        <v>0</v>
      </c>
      <c r="BB228" s="549">
        <f t="shared" si="7970"/>
        <v>0</v>
      </c>
      <c r="BC228" s="675">
        <f t="shared" si="7970"/>
        <v>0</v>
      </c>
      <c r="BD228" s="549">
        <f t="shared" si="7970"/>
        <v>0</v>
      </c>
      <c r="BE228" s="675">
        <f t="shared" si="7970"/>
        <v>0</v>
      </c>
      <c r="BF228" s="549">
        <f t="shared" si="7970"/>
        <v>0</v>
      </c>
      <c r="BG228" s="675">
        <f t="shared" si="7970"/>
        <v>0</v>
      </c>
      <c r="BH228" s="549">
        <f t="shared" si="7970"/>
        <v>0</v>
      </c>
      <c r="BI228" s="675">
        <f t="shared" si="7970"/>
        <v>0</v>
      </c>
      <c r="BJ228" s="549">
        <f t="shared" si="7970"/>
        <v>0</v>
      </c>
      <c r="BK228" s="675">
        <f t="shared" si="7970"/>
        <v>0</v>
      </c>
      <c r="BL228" s="549">
        <f t="shared" si="7970"/>
        <v>0</v>
      </c>
      <c r="BM228" s="675">
        <f t="shared" si="7970"/>
        <v>0</v>
      </c>
      <c r="BN228" s="549">
        <f t="shared" si="7970"/>
        <v>0</v>
      </c>
      <c r="BO228" s="675">
        <f t="shared" si="7970"/>
        <v>0</v>
      </c>
      <c r="BP228" s="549">
        <f t="shared" si="7970"/>
        <v>0</v>
      </c>
      <c r="BQ228" s="675">
        <f t="shared" si="7970"/>
        <v>0</v>
      </c>
      <c r="BR228" s="549">
        <f t="shared" si="7970"/>
        <v>0</v>
      </c>
      <c r="BS228" s="675">
        <f t="shared" si="7970"/>
        <v>0</v>
      </c>
      <c r="BT228" s="549">
        <f t="shared" si="7970"/>
        <v>0</v>
      </c>
      <c r="BU228" s="675">
        <f t="shared" si="7970"/>
        <v>0</v>
      </c>
      <c r="BV228" s="549">
        <f t="shared" si="7970"/>
        <v>0</v>
      </c>
      <c r="BW228" s="675">
        <f t="shared" si="7970"/>
        <v>0</v>
      </c>
      <c r="BX228" s="549">
        <f t="shared" si="7970"/>
        <v>0</v>
      </c>
      <c r="BY228" s="675">
        <f t="shared" si="7970"/>
        <v>0</v>
      </c>
      <c r="BZ228" s="549">
        <f t="shared" ref="BZ228:CA228" si="7971">BZ359</f>
        <v>0</v>
      </c>
      <c r="CA228" s="675">
        <f t="shared" si="7971"/>
        <v>0</v>
      </c>
      <c r="CB228" s="549">
        <f t="shared" ref="CB228:DE228" si="7972">CB359</f>
        <v>0</v>
      </c>
      <c r="CC228" s="675">
        <f t="shared" si="7972"/>
        <v>0</v>
      </c>
      <c r="CD228" s="549">
        <f t="shared" si="7972"/>
        <v>0</v>
      </c>
      <c r="CE228" s="675">
        <f t="shared" si="7972"/>
        <v>0</v>
      </c>
      <c r="CF228" s="549">
        <f t="shared" si="7972"/>
        <v>0</v>
      </c>
      <c r="CG228" s="675">
        <f t="shared" si="7972"/>
        <v>0</v>
      </c>
      <c r="CH228" s="549">
        <f t="shared" si="7972"/>
        <v>0</v>
      </c>
      <c r="CI228" s="675">
        <f t="shared" si="7972"/>
        <v>0</v>
      </c>
      <c r="CJ228" s="549">
        <f t="shared" si="7972"/>
        <v>0</v>
      </c>
      <c r="CK228" s="675">
        <f t="shared" si="7972"/>
        <v>0</v>
      </c>
      <c r="CL228" s="549">
        <f t="shared" si="7972"/>
        <v>0</v>
      </c>
      <c r="CM228" s="675">
        <f t="shared" si="7972"/>
        <v>0</v>
      </c>
      <c r="CN228" s="549">
        <f t="shared" si="7972"/>
        <v>0</v>
      </c>
      <c r="CO228" s="675">
        <f t="shared" si="7972"/>
        <v>0</v>
      </c>
      <c r="CP228" s="549">
        <f t="shared" si="7972"/>
        <v>0</v>
      </c>
      <c r="CQ228" s="675">
        <f t="shared" si="7972"/>
        <v>0</v>
      </c>
      <c r="CR228" s="549">
        <f t="shared" si="7972"/>
        <v>0</v>
      </c>
      <c r="CS228" s="675">
        <f t="shared" si="7972"/>
        <v>0</v>
      </c>
      <c r="CT228" s="549">
        <f t="shared" si="7972"/>
        <v>0</v>
      </c>
      <c r="CU228" s="675">
        <f t="shared" si="7972"/>
        <v>0</v>
      </c>
      <c r="CV228" s="549">
        <f t="shared" si="7972"/>
        <v>0</v>
      </c>
      <c r="CW228" s="675">
        <f t="shared" si="7972"/>
        <v>0</v>
      </c>
      <c r="CX228" s="549">
        <f t="shared" si="7972"/>
        <v>0</v>
      </c>
      <c r="CY228" s="675">
        <f t="shared" si="7972"/>
        <v>0</v>
      </c>
      <c r="CZ228" s="549">
        <f t="shared" si="7972"/>
        <v>0</v>
      </c>
      <c r="DA228" s="675">
        <f t="shared" si="7972"/>
        <v>0</v>
      </c>
      <c r="DB228" s="549">
        <f t="shared" si="7972"/>
        <v>0</v>
      </c>
      <c r="DC228" s="675">
        <f t="shared" si="7972"/>
        <v>0</v>
      </c>
      <c r="DD228" s="549">
        <f t="shared" si="7972"/>
        <v>0</v>
      </c>
      <c r="DE228" s="675">
        <f t="shared" si="7972"/>
        <v>0</v>
      </c>
      <c r="DF228" s="549">
        <f t="shared" ref="DF228:EK228" si="7973">DF359</f>
        <v>0</v>
      </c>
      <c r="DG228" s="675">
        <f t="shared" si="7973"/>
        <v>0</v>
      </c>
      <c r="DH228" s="549">
        <f t="shared" si="7973"/>
        <v>0</v>
      </c>
      <c r="DI228" s="675">
        <f t="shared" si="7973"/>
        <v>0</v>
      </c>
      <c r="DJ228" s="549">
        <f t="shared" si="7973"/>
        <v>0</v>
      </c>
      <c r="DK228" s="675">
        <f t="shared" si="7973"/>
        <v>0</v>
      </c>
      <c r="DL228" s="549">
        <f t="shared" si="7973"/>
        <v>0</v>
      </c>
      <c r="DM228" s="675">
        <f t="shared" si="7973"/>
        <v>0</v>
      </c>
      <c r="DN228" s="549">
        <f t="shared" si="7973"/>
        <v>0</v>
      </c>
      <c r="DO228" s="675">
        <f t="shared" si="7973"/>
        <v>0</v>
      </c>
      <c r="DP228" s="549">
        <f t="shared" si="7973"/>
        <v>0</v>
      </c>
      <c r="DQ228" s="675">
        <f t="shared" si="7973"/>
        <v>0</v>
      </c>
      <c r="DR228" s="549">
        <f t="shared" si="7973"/>
        <v>0</v>
      </c>
      <c r="DS228" s="675">
        <f t="shared" si="7973"/>
        <v>0</v>
      </c>
      <c r="DT228" s="549">
        <f t="shared" si="7973"/>
        <v>0</v>
      </c>
      <c r="DU228" s="675">
        <f t="shared" si="7973"/>
        <v>0</v>
      </c>
      <c r="DV228" s="549">
        <f t="shared" si="7973"/>
        <v>0</v>
      </c>
      <c r="DW228" s="675">
        <f t="shared" si="7973"/>
        <v>0</v>
      </c>
      <c r="DX228" s="549">
        <f t="shared" si="7973"/>
        <v>0</v>
      </c>
      <c r="DY228" s="675">
        <f t="shared" si="7973"/>
        <v>0</v>
      </c>
      <c r="DZ228" s="549">
        <f t="shared" si="7973"/>
        <v>0</v>
      </c>
      <c r="EA228" s="675">
        <f t="shared" si="7973"/>
        <v>0</v>
      </c>
      <c r="EB228" s="549">
        <f t="shared" si="7973"/>
        <v>0</v>
      </c>
      <c r="EC228" s="675">
        <f t="shared" si="7973"/>
        <v>0</v>
      </c>
      <c r="ED228" s="549">
        <f t="shared" si="7973"/>
        <v>0</v>
      </c>
      <c r="EE228" s="675">
        <f t="shared" si="7973"/>
        <v>0</v>
      </c>
      <c r="EF228" s="549">
        <f t="shared" si="7973"/>
        <v>0</v>
      </c>
      <c r="EG228" s="675">
        <f t="shared" si="7973"/>
        <v>0</v>
      </c>
      <c r="EH228" s="549">
        <f t="shared" si="7973"/>
        <v>0</v>
      </c>
      <c r="EI228" s="675">
        <f t="shared" si="7973"/>
        <v>0</v>
      </c>
      <c r="EJ228" s="549">
        <f t="shared" si="7973"/>
        <v>0</v>
      </c>
      <c r="EK228" s="675">
        <f t="shared" si="7973"/>
        <v>0</v>
      </c>
      <c r="EL228" s="549">
        <f t="shared" ref="EL228:FQ228" si="7974">EL359</f>
        <v>0</v>
      </c>
      <c r="EM228" s="675">
        <f t="shared" si="7974"/>
        <v>0</v>
      </c>
      <c r="EN228" s="549">
        <f t="shared" si="7974"/>
        <v>0</v>
      </c>
      <c r="EO228" s="675">
        <f t="shared" si="7974"/>
        <v>0</v>
      </c>
      <c r="EP228" s="549">
        <f t="shared" si="7974"/>
        <v>0</v>
      </c>
      <c r="EQ228" s="675">
        <f t="shared" si="7974"/>
        <v>0</v>
      </c>
      <c r="ER228" s="549">
        <f t="shared" si="7974"/>
        <v>0</v>
      </c>
      <c r="ES228" s="675">
        <f t="shared" si="7974"/>
        <v>0</v>
      </c>
      <c r="ET228" s="549">
        <f t="shared" si="7974"/>
        <v>0</v>
      </c>
      <c r="EU228" s="675">
        <f t="shared" si="7974"/>
        <v>0</v>
      </c>
      <c r="EV228" s="549">
        <f t="shared" si="7974"/>
        <v>0</v>
      </c>
      <c r="EW228" s="675">
        <f t="shared" si="7974"/>
        <v>0</v>
      </c>
      <c r="EX228" s="549">
        <f t="shared" si="7974"/>
        <v>0</v>
      </c>
      <c r="EY228" s="675">
        <f t="shared" si="7974"/>
        <v>0</v>
      </c>
      <c r="EZ228" s="549">
        <f t="shared" si="7974"/>
        <v>0</v>
      </c>
      <c r="FA228" s="675">
        <f t="shared" si="7974"/>
        <v>0</v>
      </c>
      <c r="FB228" s="549">
        <f t="shared" si="7974"/>
        <v>0</v>
      </c>
      <c r="FC228" s="675">
        <f t="shared" si="7974"/>
        <v>0</v>
      </c>
      <c r="FD228" s="549">
        <f t="shared" si="7974"/>
        <v>0</v>
      </c>
      <c r="FE228" s="675">
        <f t="shared" si="7974"/>
        <v>0</v>
      </c>
      <c r="FF228" s="549">
        <f t="shared" si="7974"/>
        <v>0</v>
      </c>
      <c r="FG228" s="675">
        <f t="shared" si="7974"/>
        <v>0</v>
      </c>
      <c r="FH228" s="549">
        <f t="shared" si="7974"/>
        <v>0</v>
      </c>
      <c r="FI228" s="675">
        <f t="shared" si="7974"/>
        <v>0</v>
      </c>
      <c r="FJ228" s="549">
        <f t="shared" si="7974"/>
        <v>0</v>
      </c>
      <c r="FK228" s="675">
        <f t="shared" si="7974"/>
        <v>0</v>
      </c>
      <c r="FL228" s="549">
        <f t="shared" si="7974"/>
        <v>0</v>
      </c>
      <c r="FM228" s="675">
        <f t="shared" si="7974"/>
        <v>0</v>
      </c>
      <c r="FN228" s="549">
        <f t="shared" si="7974"/>
        <v>0</v>
      </c>
      <c r="FO228" s="675">
        <f t="shared" si="7974"/>
        <v>0</v>
      </c>
      <c r="FP228" s="549">
        <f t="shared" si="7974"/>
        <v>0</v>
      </c>
      <c r="FQ228" s="675">
        <f t="shared" si="7974"/>
        <v>0</v>
      </c>
      <c r="FR228" s="549">
        <f t="shared" ref="FR228:GR228" si="7975">FR359</f>
        <v>0</v>
      </c>
      <c r="FS228" s="675">
        <f t="shared" si="7975"/>
        <v>0</v>
      </c>
      <c r="FT228" s="549">
        <f t="shared" si="7975"/>
        <v>0</v>
      </c>
      <c r="FU228" s="675">
        <f t="shared" si="7975"/>
        <v>0</v>
      </c>
      <c r="FV228" s="549">
        <f t="shared" si="7975"/>
        <v>0</v>
      </c>
      <c r="FW228" s="675">
        <f t="shared" si="7975"/>
        <v>0</v>
      </c>
      <c r="FX228" s="549">
        <f t="shared" ref="FX228:GK228" si="7976">FX359</f>
        <v>0</v>
      </c>
      <c r="FY228" s="675">
        <f t="shared" si="7976"/>
        <v>0</v>
      </c>
      <c r="FZ228" s="549">
        <f t="shared" ref="FZ228:GI228" si="7977">FZ359</f>
        <v>0</v>
      </c>
      <c r="GA228" s="675">
        <f t="shared" si="7977"/>
        <v>0</v>
      </c>
      <c r="GB228" s="549">
        <f t="shared" si="7977"/>
        <v>0</v>
      </c>
      <c r="GC228" s="675">
        <f t="shared" si="7977"/>
        <v>0</v>
      </c>
      <c r="GD228" s="549">
        <f t="shared" si="7977"/>
        <v>0</v>
      </c>
      <c r="GE228" s="675">
        <f t="shared" si="7977"/>
        <v>0</v>
      </c>
      <c r="GF228" s="549">
        <f t="shared" si="7977"/>
        <v>0</v>
      </c>
      <c r="GG228" s="675">
        <f t="shared" si="7977"/>
        <v>0</v>
      </c>
      <c r="GH228" s="549">
        <f t="shared" si="7977"/>
        <v>0</v>
      </c>
      <c r="GI228" s="675">
        <f t="shared" si="7977"/>
        <v>0</v>
      </c>
      <c r="GJ228" s="549">
        <f t="shared" si="7976"/>
        <v>0</v>
      </c>
      <c r="GK228" s="675">
        <f t="shared" si="7976"/>
        <v>0</v>
      </c>
      <c r="GL228" s="549">
        <f t="shared" si="7975"/>
        <v>0</v>
      </c>
      <c r="GM228" s="675">
        <f t="shared" si="7975"/>
        <v>0</v>
      </c>
      <c r="GN228" s="549">
        <f t="shared" ref="GN228:GO228" si="7978">GN359</f>
        <v>0</v>
      </c>
      <c r="GO228" s="675">
        <f t="shared" si="7978"/>
        <v>0</v>
      </c>
      <c r="GP228" s="263">
        <f t="shared" si="7975"/>
        <v>0</v>
      </c>
      <c r="GQ228" s="675">
        <f t="shared" si="7975"/>
        <v>0</v>
      </c>
      <c r="GR228" s="74">
        <f t="shared" si="7975"/>
        <v>41000</v>
      </c>
      <c r="GS228" s="74">
        <f t="shared" ref="GS228:JD228" si="7979">GS359</f>
        <v>37273</v>
      </c>
      <c r="GT228" s="74">
        <f t="shared" si="7979"/>
        <v>41000</v>
      </c>
      <c r="GU228" s="74">
        <f t="shared" si="7979"/>
        <v>3730</v>
      </c>
      <c r="GV228" s="74">
        <f t="shared" si="7979"/>
        <v>3727</v>
      </c>
      <c r="GW228" s="74">
        <f t="shared" si="7979"/>
        <v>3727</v>
      </c>
      <c r="GX228" s="74">
        <f t="shared" si="7979"/>
        <v>3727</v>
      </c>
      <c r="GY228" s="74">
        <f t="shared" si="7979"/>
        <v>3727</v>
      </c>
      <c r="GZ228" s="74">
        <f t="shared" si="7979"/>
        <v>3727</v>
      </c>
      <c r="HA228" s="74">
        <f t="shared" si="7979"/>
        <v>3727</v>
      </c>
      <c r="HB228" s="74">
        <f t="shared" si="7979"/>
        <v>3727</v>
      </c>
      <c r="HC228" s="74">
        <f t="shared" si="7979"/>
        <v>3727</v>
      </c>
      <c r="HD228" s="74">
        <f t="shared" si="7979"/>
        <v>3727</v>
      </c>
      <c r="HE228" s="74">
        <f t="shared" si="7979"/>
        <v>3727</v>
      </c>
      <c r="HF228" s="74">
        <f t="shared" si="7979"/>
        <v>0</v>
      </c>
      <c r="HG228" s="74">
        <f t="shared" si="7979"/>
        <v>37273</v>
      </c>
      <c r="HH228" s="74">
        <f t="shared" si="7979"/>
        <v>0</v>
      </c>
      <c r="HI228" s="74">
        <f t="shared" si="7979"/>
        <v>0</v>
      </c>
      <c r="HJ228" s="74">
        <f t="shared" si="7979"/>
        <v>0</v>
      </c>
      <c r="HK228" s="74">
        <f t="shared" si="7979"/>
        <v>7457</v>
      </c>
      <c r="HL228" s="74">
        <f t="shared" si="7979"/>
        <v>0</v>
      </c>
      <c r="HM228" s="74">
        <f t="shared" si="7979"/>
        <v>3727</v>
      </c>
      <c r="HN228" s="74">
        <f t="shared" si="7979"/>
        <v>0</v>
      </c>
      <c r="HO228" s="74">
        <f t="shared" si="7979"/>
        <v>3727</v>
      </c>
      <c r="HP228" s="74">
        <f t="shared" si="7979"/>
        <v>0</v>
      </c>
      <c r="HQ228" s="74">
        <f t="shared" si="7979"/>
        <v>3727</v>
      </c>
      <c r="HR228" s="74">
        <f t="shared" si="7979"/>
        <v>0</v>
      </c>
      <c r="HS228" s="74">
        <f t="shared" si="7979"/>
        <v>3727</v>
      </c>
      <c r="HT228" s="74">
        <f t="shared" si="7979"/>
        <v>0</v>
      </c>
      <c r="HU228" s="74">
        <f t="shared" si="7979"/>
        <v>3727</v>
      </c>
      <c r="HV228" s="74">
        <f t="shared" si="7979"/>
        <v>0</v>
      </c>
      <c r="HW228" s="74">
        <f t="shared" si="7979"/>
        <v>3727</v>
      </c>
      <c r="HX228" s="74">
        <f t="shared" si="7979"/>
        <v>0</v>
      </c>
      <c r="HY228" s="74">
        <f t="shared" si="7979"/>
        <v>3727</v>
      </c>
      <c r="HZ228" s="74">
        <f t="shared" si="7979"/>
        <v>0</v>
      </c>
      <c r="IA228" s="74">
        <f t="shared" si="7979"/>
        <v>3727</v>
      </c>
      <c r="IB228" s="74">
        <f t="shared" si="7979"/>
        <v>0</v>
      </c>
      <c r="IC228" s="74">
        <f t="shared" si="7979"/>
        <v>0</v>
      </c>
      <c r="ID228" s="74">
        <f t="shared" si="7979"/>
        <v>0</v>
      </c>
      <c r="IE228" s="74">
        <f t="shared" si="7979"/>
        <v>0</v>
      </c>
      <c r="IF228" s="841">
        <f t="shared" si="7979"/>
        <v>33546</v>
      </c>
      <c r="IG228" s="74">
        <f t="shared" si="7979"/>
        <v>33546</v>
      </c>
      <c r="IH228" s="842">
        <f t="shared" si="7979"/>
        <v>33546</v>
      </c>
      <c r="II228" s="74">
        <f t="shared" si="7979"/>
        <v>0</v>
      </c>
      <c r="IJ228" s="74">
        <f t="shared" si="7979"/>
        <v>0</v>
      </c>
      <c r="IK228" s="74">
        <f t="shared" si="7979"/>
        <v>0</v>
      </c>
      <c r="IL228" s="74">
        <f t="shared" si="7979"/>
        <v>0</v>
      </c>
      <c r="IM228" s="74">
        <f t="shared" si="7979"/>
        <v>0</v>
      </c>
      <c r="IN228" s="74">
        <f t="shared" si="7979"/>
        <v>0</v>
      </c>
      <c r="IO228" s="74">
        <f t="shared" si="7979"/>
        <v>0</v>
      </c>
      <c r="IP228" s="74">
        <f t="shared" si="7979"/>
        <v>0</v>
      </c>
      <c r="IQ228" s="74">
        <f t="shared" si="7979"/>
        <v>0</v>
      </c>
      <c r="IR228" s="74">
        <f t="shared" si="7979"/>
        <v>14911</v>
      </c>
      <c r="IS228" s="74">
        <f t="shared" si="7979"/>
        <v>14911</v>
      </c>
      <c r="IT228" s="74">
        <f t="shared" si="7979"/>
        <v>14911</v>
      </c>
      <c r="IU228" s="74">
        <f t="shared" si="7979"/>
        <v>0</v>
      </c>
      <c r="IV228" s="74">
        <f t="shared" si="7979"/>
        <v>0</v>
      </c>
      <c r="IW228" s="74">
        <f t="shared" si="7979"/>
        <v>0</v>
      </c>
      <c r="IX228" s="74">
        <f t="shared" si="7979"/>
        <v>0</v>
      </c>
      <c r="IY228" s="74">
        <f t="shared" si="7979"/>
        <v>0</v>
      </c>
      <c r="IZ228" s="74">
        <f t="shared" si="7979"/>
        <v>0</v>
      </c>
      <c r="JA228" s="74">
        <f t="shared" si="7979"/>
        <v>11181</v>
      </c>
      <c r="JB228" s="74">
        <f t="shared" si="7979"/>
        <v>11181</v>
      </c>
      <c r="JC228" s="74">
        <f t="shared" si="7979"/>
        <v>11181</v>
      </c>
      <c r="JD228" s="74">
        <f t="shared" si="7979"/>
        <v>0</v>
      </c>
      <c r="JE228" s="74">
        <f t="shared" ref="JE228:JT228" si="7980">JE359</f>
        <v>0</v>
      </c>
      <c r="JF228" s="74">
        <f t="shared" si="7980"/>
        <v>0</v>
      </c>
      <c r="JG228" s="74">
        <f t="shared" si="7980"/>
        <v>7454</v>
      </c>
      <c r="JH228" s="74">
        <f t="shared" si="7980"/>
        <v>7454</v>
      </c>
      <c r="JI228" s="74">
        <f t="shared" si="7980"/>
        <v>7454</v>
      </c>
      <c r="JJ228" s="74">
        <f t="shared" si="7980"/>
        <v>0</v>
      </c>
      <c r="JK228" s="74">
        <f t="shared" si="7980"/>
        <v>0</v>
      </c>
      <c r="JL228" s="74">
        <f t="shared" si="7980"/>
        <v>0</v>
      </c>
      <c r="JM228" s="74">
        <f t="shared" si="7980"/>
        <v>0</v>
      </c>
      <c r="JN228" s="74">
        <f t="shared" si="7980"/>
        <v>0</v>
      </c>
      <c r="JO228" s="74">
        <f t="shared" si="7980"/>
        <v>0</v>
      </c>
      <c r="JP228" s="74">
        <f t="shared" si="7980"/>
        <v>0</v>
      </c>
      <c r="JQ228" s="74">
        <f t="shared" si="7980"/>
        <v>0</v>
      </c>
      <c r="JR228" s="74">
        <f t="shared" si="7980"/>
        <v>0</v>
      </c>
      <c r="JS228" s="74">
        <f t="shared" si="7980"/>
        <v>3727</v>
      </c>
      <c r="JT228" s="74">
        <f t="shared" si="7980"/>
        <v>3727</v>
      </c>
      <c r="JU228" s="671"/>
      <c r="JV228" s="492"/>
      <c r="JW228" s="490"/>
      <c r="JX228" s="549">
        <f>JX556+JX359</f>
        <v>0</v>
      </c>
      <c r="JY228" s="549">
        <f>JY359</f>
        <v>37273</v>
      </c>
      <c r="JZ228" s="581">
        <f t="shared" si="7470"/>
        <v>0</v>
      </c>
      <c r="KA228" s="581">
        <f t="shared" si="7471"/>
        <v>0</v>
      </c>
      <c r="KB228" s="549">
        <f>KB359</f>
        <v>37273</v>
      </c>
      <c r="KC228" s="709">
        <f t="shared" si="7396"/>
        <v>0</v>
      </c>
      <c r="KD228" s="36"/>
      <c r="KE228" s="36"/>
      <c r="KF228" s="36"/>
      <c r="KG228" s="36"/>
      <c r="KH228" s="36"/>
      <c r="KI228" s="36"/>
      <c r="KJ228" s="36"/>
      <c r="KK228" s="36"/>
    </row>
    <row r="229" spans="1:297" s="8" customFormat="1">
      <c r="A229" s="75"/>
      <c r="B229" s="72"/>
      <c r="C229" s="74"/>
      <c r="D229" s="549"/>
      <c r="E229" s="675"/>
      <c r="F229" s="549"/>
      <c r="G229" s="675"/>
      <c r="H229" s="549"/>
      <c r="I229" s="675"/>
      <c r="J229" s="549"/>
      <c r="K229" s="675"/>
      <c r="L229" s="549"/>
      <c r="M229" s="675"/>
      <c r="N229" s="549"/>
      <c r="O229" s="675"/>
      <c r="P229" s="549"/>
      <c r="Q229" s="675"/>
      <c r="R229" s="549"/>
      <c r="S229" s="675"/>
      <c r="T229" s="549"/>
      <c r="U229" s="675"/>
      <c r="V229" s="549"/>
      <c r="W229" s="675"/>
      <c r="X229" s="549"/>
      <c r="Y229" s="675"/>
      <c r="Z229" s="549"/>
      <c r="AA229" s="675"/>
      <c r="AB229" s="549"/>
      <c r="AC229" s="675"/>
      <c r="AD229" s="549"/>
      <c r="AE229" s="675"/>
      <c r="AF229" s="549"/>
      <c r="AG229" s="675"/>
      <c r="AH229" s="549"/>
      <c r="AI229" s="675"/>
      <c r="AJ229" s="549"/>
      <c r="AK229" s="675"/>
      <c r="AL229" s="549"/>
      <c r="AM229" s="675"/>
      <c r="AN229" s="549"/>
      <c r="AO229" s="675"/>
      <c r="AP229" s="549"/>
      <c r="AQ229" s="675"/>
      <c r="AR229" s="549"/>
      <c r="AS229" s="675"/>
      <c r="AT229" s="549"/>
      <c r="AU229" s="675"/>
      <c r="AV229" s="549"/>
      <c r="AW229" s="675"/>
      <c r="AX229" s="549"/>
      <c r="AY229" s="675"/>
      <c r="AZ229" s="549"/>
      <c r="BA229" s="675"/>
      <c r="BB229" s="549"/>
      <c r="BC229" s="675"/>
      <c r="BD229" s="549"/>
      <c r="BE229" s="675"/>
      <c r="BF229" s="549"/>
      <c r="BG229" s="675"/>
      <c r="BH229" s="549"/>
      <c r="BI229" s="675"/>
      <c r="BJ229" s="549"/>
      <c r="BK229" s="675"/>
      <c r="BL229" s="549"/>
      <c r="BM229" s="675"/>
      <c r="BN229" s="549"/>
      <c r="BO229" s="675"/>
      <c r="BP229" s="549"/>
      <c r="BQ229" s="675"/>
      <c r="BR229" s="549"/>
      <c r="BS229" s="675"/>
      <c r="BT229" s="549"/>
      <c r="BU229" s="675"/>
      <c r="BV229" s="549"/>
      <c r="BW229" s="675"/>
      <c r="BX229" s="549"/>
      <c r="BY229" s="675"/>
      <c r="BZ229" s="549"/>
      <c r="CA229" s="675"/>
      <c r="CB229" s="549"/>
      <c r="CC229" s="675"/>
      <c r="CD229" s="549"/>
      <c r="CE229" s="675"/>
      <c r="CF229" s="549"/>
      <c r="CG229" s="675"/>
      <c r="CH229" s="549"/>
      <c r="CI229" s="675"/>
      <c r="CJ229" s="549"/>
      <c r="CK229" s="675"/>
      <c r="CL229" s="549"/>
      <c r="CM229" s="675"/>
      <c r="CN229" s="549"/>
      <c r="CO229" s="675"/>
      <c r="CP229" s="549"/>
      <c r="CQ229" s="675"/>
      <c r="CR229" s="549"/>
      <c r="CS229" s="675"/>
      <c r="CT229" s="549"/>
      <c r="CU229" s="675"/>
      <c r="CV229" s="549"/>
      <c r="CW229" s="675"/>
      <c r="CX229" s="549"/>
      <c r="CY229" s="675"/>
      <c r="CZ229" s="549"/>
      <c r="DA229" s="675"/>
      <c r="DB229" s="549"/>
      <c r="DC229" s="675"/>
      <c r="DD229" s="549"/>
      <c r="DE229" s="675"/>
      <c r="DF229" s="549"/>
      <c r="DG229" s="675"/>
      <c r="DH229" s="549"/>
      <c r="DI229" s="675"/>
      <c r="DJ229" s="549"/>
      <c r="DK229" s="675"/>
      <c r="DL229" s="549"/>
      <c r="DM229" s="675"/>
      <c r="DN229" s="549"/>
      <c r="DO229" s="675"/>
      <c r="DP229" s="549"/>
      <c r="DQ229" s="675"/>
      <c r="DR229" s="549"/>
      <c r="DS229" s="675"/>
      <c r="DT229" s="549"/>
      <c r="DU229" s="675"/>
      <c r="DV229" s="549"/>
      <c r="DW229" s="675"/>
      <c r="DX229" s="549"/>
      <c r="DY229" s="675"/>
      <c r="DZ229" s="549"/>
      <c r="EA229" s="675"/>
      <c r="EB229" s="549"/>
      <c r="EC229" s="675"/>
      <c r="ED229" s="549"/>
      <c r="EE229" s="675"/>
      <c r="EF229" s="549"/>
      <c r="EG229" s="675"/>
      <c r="EH229" s="549"/>
      <c r="EI229" s="675"/>
      <c r="EJ229" s="549"/>
      <c r="EK229" s="675"/>
      <c r="EL229" s="549"/>
      <c r="EM229" s="675"/>
      <c r="EN229" s="549"/>
      <c r="EO229" s="675"/>
      <c r="EP229" s="549"/>
      <c r="EQ229" s="675"/>
      <c r="ER229" s="549"/>
      <c r="ES229" s="675"/>
      <c r="ET229" s="549"/>
      <c r="EU229" s="675"/>
      <c r="EV229" s="549"/>
      <c r="EW229" s="675"/>
      <c r="EX229" s="549"/>
      <c r="EY229" s="675"/>
      <c r="EZ229" s="549"/>
      <c r="FA229" s="675"/>
      <c r="FB229" s="549"/>
      <c r="FC229" s="675"/>
      <c r="FD229" s="549"/>
      <c r="FE229" s="675"/>
      <c r="FF229" s="549"/>
      <c r="FG229" s="675"/>
      <c r="FH229" s="549"/>
      <c r="FI229" s="675"/>
      <c r="FJ229" s="549"/>
      <c r="FK229" s="675"/>
      <c r="FL229" s="549"/>
      <c r="FM229" s="675"/>
      <c r="FN229" s="549"/>
      <c r="FO229" s="675"/>
      <c r="FP229" s="549"/>
      <c r="FQ229" s="675"/>
      <c r="FR229" s="549"/>
      <c r="FS229" s="675"/>
      <c r="FT229" s="549"/>
      <c r="FU229" s="675"/>
      <c r="FV229" s="549"/>
      <c r="FW229" s="675"/>
      <c r="FX229" s="549"/>
      <c r="FY229" s="675"/>
      <c r="FZ229" s="549"/>
      <c r="GA229" s="675"/>
      <c r="GB229" s="549"/>
      <c r="GC229" s="675"/>
      <c r="GD229" s="549"/>
      <c r="GE229" s="675"/>
      <c r="GF229" s="549"/>
      <c r="GG229" s="675"/>
      <c r="GH229" s="549"/>
      <c r="GI229" s="675"/>
      <c r="GJ229" s="549"/>
      <c r="GK229" s="675"/>
      <c r="GL229" s="549"/>
      <c r="GM229" s="675"/>
      <c r="GN229" s="549"/>
      <c r="GO229" s="675"/>
      <c r="GP229" s="263"/>
      <c r="GQ229" s="675"/>
      <c r="GR229" s="74"/>
      <c r="GS229" s="74"/>
      <c r="GT229" s="74"/>
      <c r="GU229" s="74"/>
      <c r="GV229" s="74"/>
      <c r="GW229" s="74"/>
      <c r="GX229" s="74"/>
      <c r="GY229" s="74"/>
      <c r="GZ229" s="74"/>
      <c r="HA229" s="74"/>
      <c r="HB229" s="74"/>
      <c r="HC229" s="74"/>
      <c r="HD229" s="74"/>
      <c r="HE229" s="74"/>
      <c r="HF229" s="74"/>
      <c r="HG229" s="74"/>
      <c r="HH229" s="74"/>
      <c r="HI229" s="74"/>
      <c r="HJ229" s="74"/>
      <c r="HK229" s="74"/>
      <c r="HL229" s="74"/>
      <c r="HM229" s="74"/>
      <c r="HN229" s="74"/>
      <c r="HO229" s="74"/>
      <c r="HP229" s="74"/>
      <c r="HQ229" s="74"/>
      <c r="HR229" s="74"/>
      <c r="HS229" s="74"/>
      <c r="HT229" s="74"/>
      <c r="HU229" s="74"/>
      <c r="HV229" s="74"/>
      <c r="HW229" s="74"/>
      <c r="HX229" s="74"/>
      <c r="HY229" s="74"/>
      <c r="HZ229" s="74"/>
      <c r="IA229" s="74"/>
      <c r="IB229" s="74"/>
      <c r="IC229" s="74"/>
      <c r="ID229" s="74"/>
      <c r="IE229" s="792"/>
      <c r="IF229" s="841"/>
      <c r="IG229" s="263"/>
      <c r="IH229" s="842"/>
      <c r="II229" s="155"/>
      <c r="IJ229" s="74"/>
      <c r="IK229" s="74"/>
      <c r="IL229" s="74"/>
      <c r="IM229" s="74"/>
      <c r="IN229" s="74"/>
      <c r="IO229" s="74"/>
      <c r="IP229" s="74"/>
      <c r="IQ229" s="74"/>
      <c r="IR229" s="74"/>
      <c r="IS229" s="74"/>
      <c r="IT229" s="74"/>
      <c r="IU229" s="74"/>
      <c r="IV229" s="74"/>
      <c r="IW229" s="74"/>
      <c r="IX229" s="74"/>
      <c r="IY229" s="74"/>
      <c r="IZ229" s="74"/>
      <c r="JA229" s="74"/>
      <c r="JB229" s="74"/>
      <c r="JC229" s="74"/>
      <c r="JD229" s="74"/>
      <c r="JE229" s="74"/>
      <c r="JF229" s="74"/>
      <c r="JG229" s="74"/>
      <c r="JH229" s="74"/>
      <c r="JI229" s="74"/>
      <c r="JJ229" s="74"/>
      <c r="JK229" s="74"/>
      <c r="JL229" s="74"/>
      <c r="JM229" s="74"/>
      <c r="JN229" s="74"/>
      <c r="JO229" s="74"/>
      <c r="JP229" s="74"/>
      <c r="JQ229" s="74"/>
      <c r="JR229" s="74"/>
      <c r="JS229" s="74"/>
      <c r="JT229" s="102"/>
      <c r="JU229" s="671"/>
      <c r="JV229" s="492"/>
      <c r="JW229" s="490"/>
      <c r="JX229" s="549"/>
      <c r="JY229" s="549"/>
      <c r="JZ229" s="581"/>
      <c r="KA229" s="581"/>
      <c r="KB229" s="549"/>
      <c r="KC229" s="709">
        <f t="shared" si="7396"/>
        <v>0</v>
      </c>
      <c r="KD229" s="36"/>
      <c r="KE229" s="36"/>
      <c r="KF229" s="36"/>
      <c r="KG229" s="36"/>
      <c r="KH229" s="36"/>
      <c r="KI229" s="36"/>
      <c r="KJ229" s="36"/>
      <c r="KK229" s="36"/>
    </row>
    <row r="230" spans="1:297" s="8" customFormat="1">
      <c r="A230" s="75" t="s">
        <v>216</v>
      </c>
      <c r="B230" s="72" t="s">
        <v>217</v>
      </c>
      <c r="C230" s="74">
        <f>SUM(C233:C234)</f>
        <v>45000</v>
      </c>
      <c r="D230" s="549">
        <f t="shared" ref="D230:E230" si="7981">SUM(D231:D234)</f>
        <v>0</v>
      </c>
      <c r="E230" s="675">
        <f t="shared" si="7981"/>
        <v>0</v>
      </c>
      <c r="F230" s="549">
        <f t="shared" ref="F230:G230" si="7982">SUM(F231:F234)</f>
        <v>0</v>
      </c>
      <c r="G230" s="675">
        <f t="shared" si="7982"/>
        <v>0</v>
      </c>
      <c r="H230" s="549">
        <f t="shared" ref="H230:I230" si="7983">SUM(H231:H234)</f>
        <v>0</v>
      </c>
      <c r="I230" s="675">
        <f t="shared" si="7983"/>
        <v>0</v>
      </c>
      <c r="J230" s="549">
        <f t="shared" ref="J230:K230" si="7984">SUM(J231:J234)</f>
        <v>0</v>
      </c>
      <c r="K230" s="675">
        <f t="shared" si="7984"/>
        <v>0</v>
      </c>
      <c r="L230" s="549">
        <f t="shared" ref="L230:M230" si="7985">SUM(L231:L234)</f>
        <v>0</v>
      </c>
      <c r="M230" s="675">
        <f t="shared" si="7985"/>
        <v>0</v>
      </c>
      <c r="N230" s="549">
        <f t="shared" ref="N230:O230" si="7986">SUM(N231:N234)</f>
        <v>0</v>
      </c>
      <c r="O230" s="675">
        <f t="shared" si="7986"/>
        <v>0</v>
      </c>
      <c r="P230" s="549">
        <f t="shared" ref="P230:Q230" si="7987">SUM(P231:P234)</f>
        <v>0</v>
      </c>
      <c r="Q230" s="675">
        <f t="shared" si="7987"/>
        <v>0</v>
      </c>
      <c r="R230" s="549">
        <f t="shared" ref="R230:S230" si="7988">SUM(R231:R234)</f>
        <v>0</v>
      </c>
      <c r="S230" s="675">
        <f t="shared" si="7988"/>
        <v>0</v>
      </c>
      <c r="T230" s="549">
        <f t="shared" ref="T230:U230" si="7989">SUM(T231:T234)</f>
        <v>0</v>
      </c>
      <c r="U230" s="675">
        <f t="shared" si="7989"/>
        <v>0</v>
      </c>
      <c r="V230" s="549">
        <f t="shared" ref="V230:W230" si="7990">SUM(V231:V234)</f>
        <v>0</v>
      </c>
      <c r="W230" s="675">
        <f t="shared" si="7990"/>
        <v>0</v>
      </c>
      <c r="X230" s="549">
        <f t="shared" ref="X230:Y230" si="7991">SUM(X231:X234)</f>
        <v>0</v>
      </c>
      <c r="Y230" s="675">
        <f t="shared" si="7991"/>
        <v>0</v>
      </c>
      <c r="Z230" s="549">
        <f t="shared" ref="Z230:AA230" si="7992">SUM(Z231:Z234)</f>
        <v>0</v>
      </c>
      <c r="AA230" s="675">
        <f t="shared" si="7992"/>
        <v>0</v>
      </c>
      <c r="AB230" s="549">
        <f t="shared" ref="AB230:AC230" si="7993">SUM(AB231:AB234)</f>
        <v>0</v>
      </c>
      <c r="AC230" s="675">
        <f t="shared" si="7993"/>
        <v>0</v>
      </c>
      <c r="AD230" s="549">
        <f t="shared" ref="AD230:AE230" si="7994">SUM(AD231:AD234)</f>
        <v>0</v>
      </c>
      <c r="AE230" s="675">
        <f t="shared" si="7994"/>
        <v>0</v>
      </c>
      <c r="AF230" s="549">
        <f t="shared" ref="AF230:AG230" si="7995">SUM(AF231:AF234)</f>
        <v>0</v>
      </c>
      <c r="AG230" s="675">
        <f t="shared" si="7995"/>
        <v>0</v>
      </c>
      <c r="AH230" s="549">
        <f t="shared" ref="AH230:AI230" si="7996">SUM(AH231:AH234)</f>
        <v>0</v>
      </c>
      <c r="AI230" s="675">
        <f t="shared" si="7996"/>
        <v>0</v>
      </c>
      <c r="AJ230" s="549">
        <f t="shared" ref="AJ230:AK230" si="7997">SUM(AJ231:AJ234)</f>
        <v>0</v>
      </c>
      <c r="AK230" s="675">
        <f t="shared" si="7997"/>
        <v>0</v>
      </c>
      <c r="AL230" s="549">
        <f t="shared" ref="AL230:AM230" si="7998">SUM(AL231:AL234)</f>
        <v>0</v>
      </c>
      <c r="AM230" s="675">
        <f t="shared" si="7998"/>
        <v>0</v>
      </c>
      <c r="AN230" s="549">
        <f t="shared" ref="AN230:AO230" si="7999">SUM(AN231:AN234)</f>
        <v>0</v>
      </c>
      <c r="AO230" s="675">
        <f t="shared" si="7999"/>
        <v>0</v>
      </c>
      <c r="AP230" s="549">
        <f t="shared" ref="AP230:AQ230" si="8000">SUM(AP231:AP234)</f>
        <v>0</v>
      </c>
      <c r="AQ230" s="675">
        <f t="shared" si="8000"/>
        <v>0</v>
      </c>
      <c r="AR230" s="549">
        <f t="shared" ref="AR230:AS230" si="8001">SUM(AR231:AR234)</f>
        <v>0</v>
      </c>
      <c r="AS230" s="675">
        <f t="shared" si="8001"/>
        <v>0</v>
      </c>
      <c r="AT230" s="549">
        <f t="shared" ref="AT230:AU230" si="8002">SUM(AT231:AT234)</f>
        <v>0</v>
      </c>
      <c r="AU230" s="675">
        <f t="shared" si="8002"/>
        <v>0</v>
      </c>
      <c r="AV230" s="549">
        <f t="shared" ref="AV230:AW230" si="8003">SUM(AV231:AV234)</f>
        <v>0</v>
      </c>
      <c r="AW230" s="675">
        <f t="shared" si="8003"/>
        <v>0</v>
      </c>
      <c r="AX230" s="549">
        <f t="shared" ref="AX230:AY230" si="8004">SUM(AX231:AX234)</f>
        <v>0</v>
      </c>
      <c r="AY230" s="675">
        <f t="shared" si="8004"/>
        <v>0</v>
      </c>
      <c r="AZ230" s="549">
        <f t="shared" ref="AZ230:BA230" si="8005">SUM(AZ231:AZ234)</f>
        <v>0</v>
      </c>
      <c r="BA230" s="675">
        <f t="shared" si="8005"/>
        <v>0</v>
      </c>
      <c r="BB230" s="549">
        <f t="shared" ref="BB230:BC230" si="8006">SUM(BB231:BB234)</f>
        <v>0</v>
      </c>
      <c r="BC230" s="675">
        <f t="shared" si="8006"/>
        <v>0</v>
      </c>
      <c r="BD230" s="549">
        <f t="shared" ref="BD230:BE230" si="8007">SUM(BD231:BD234)</f>
        <v>0</v>
      </c>
      <c r="BE230" s="675">
        <f t="shared" si="8007"/>
        <v>0</v>
      </c>
      <c r="BF230" s="549">
        <f t="shared" ref="BF230:BG230" si="8008">SUM(BF231:BF234)</f>
        <v>0</v>
      </c>
      <c r="BG230" s="675">
        <f t="shared" si="8008"/>
        <v>0</v>
      </c>
      <c r="BH230" s="549">
        <f t="shared" ref="BH230:BI230" si="8009">SUM(BH231:BH234)</f>
        <v>0</v>
      </c>
      <c r="BI230" s="675">
        <f t="shared" si="8009"/>
        <v>0</v>
      </c>
      <c r="BJ230" s="549">
        <f t="shared" ref="BJ230:BK230" si="8010">SUM(BJ231:BJ234)</f>
        <v>0</v>
      </c>
      <c r="BK230" s="675">
        <f t="shared" si="8010"/>
        <v>0</v>
      </c>
      <c r="BL230" s="549">
        <f t="shared" ref="BL230:BM230" si="8011">SUM(BL231:BL234)</f>
        <v>0</v>
      </c>
      <c r="BM230" s="675">
        <f t="shared" si="8011"/>
        <v>0</v>
      </c>
      <c r="BN230" s="549">
        <f t="shared" ref="BN230:BO230" si="8012">SUM(BN231:BN234)</f>
        <v>0</v>
      </c>
      <c r="BO230" s="675">
        <f t="shared" si="8012"/>
        <v>0</v>
      </c>
      <c r="BP230" s="549">
        <f t="shared" ref="BP230:BQ230" si="8013">SUM(BP231:BP234)</f>
        <v>0</v>
      </c>
      <c r="BQ230" s="675">
        <f t="shared" si="8013"/>
        <v>0</v>
      </c>
      <c r="BR230" s="549">
        <f t="shared" ref="BR230:BS230" si="8014">SUM(BR231:BR234)</f>
        <v>0</v>
      </c>
      <c r="BS230" s="675">
        <f t="shared" si="8014"/>
        <v>0</v>
      </c>
      <c r="BT230" s="549">
        <f t="shared" ref="BT230:BU230" si="8015">SUM(BT231:BT234)</f>
        <v>0</v>
      </c>
      <c r="BU230" s="675">
        <f t="shared" si="8015"/>
        <v>0</v>
      </c>
      <c r="BV230" s="549">
        <f t="shared" ref="BV230:BW230" si="8016">SUM(BV231:BV234)</f>
        <v>0</v>
      </c>
      <c r="BW230" s="675">
        <f t="shared" si="8016"/>
        <v>0</v>
      </c>
      <c r="BX230" s="549">
        <f t="shared" ref="BX230:BY230" si="8017">SUM(BX231:BX234)</f>
        <v>0</v>
      </c>
      <c r="BY230" s="675">
        <f t="shared" si="8017"/>
        <v>0</v>
      </c>
      <c r="BZ230" s="549">
        <f t="shared" ref="BZ230:CA230" si="8018">SUM(BZ231:BZ234)</f>
        <v>0</v>
      </c>
      <c r="CA230" s="675">
        <f t="shared" si="8018"/>
        <v>0</v>
      </c>
      <c r="CB230" s="549">
        <f t="shared" ref="CB230:DG230" si="8019">SUM(CB231:CB234)</f>
        <v>0</v>
      </c>
      <c r="CC230" s="675">
        <f t="shared" si="8019"/>
        <v>0</v>
      </c>
      <c r="CD230" s="549">
        <f t="shared" si="8019"/>
        <v>0</v>
      </c>
      <c r="CE230" s="675">
        <f t="shared" si="8019"/>
        <v>0</v>
      </c>
      <c r="CF230" s="549">
        <f t="shared" si="8019"/>
        <v>0</v>
      </c>
      <c r="CG230" s="675">
        <f t="shared" si="8019"/>
        <v>0</v>
      </c>
      <c r="CH230" s="549">
        <f t="shared" si="8019"/>
        <v>0</v>
      </c>
      <c r="CI230" s="675">
        <f t="shared" si="8019"/>
        <v>0</v>
      </c>
      <c r="CJ230" s="549">
        <f t="shared" si="8019"/>
        <v>0</v>
      </c>
      <c r="CK230" s="675">
        <f t="shared" si="8019"/>
        <v>0</v>
      </c>
      <c r="CL230" s="549">
        <f t="shared" si="8019"/>
        <v>0</v>
      </c>
      <c r="CM230" s="675">
        <f t="shared" si="8019"/>
        <v>0</v>
      </c>
      <c r="CN230" s="549">
        <f t="shared" si="8019"/>
        <v>0</v>
      </c>
      <c r="CO230" s="675">
        <f t="shared" si="8019"/>
        <v>0</v>
      </c>
      <c r="CP230" s="549">
        <f t="shared" si="8019"/>
        <v>0</v>
      </c>
      <c r="CQ230" s="675">
        <f t="shared" si="8019"/>
        <v>0</v>
      </c>
      <c r="CR230" s="549">
        <f t="shared" si="8019"/>
        <v>0</v>
      </c>
      <c r="CS230" s="675">
        <f t="shared" si="8019"/>
        <v>0</v>
      </c>
      <c r="CT230" s="549">
        <f t="shared" si="8019"/>
        <v>0</v>
      </c>
      <c r="CU230" s="675">
        <f t="shared" si="8019"/>
        <v>0</v>
      </c>
      <c r="CV230" s="549">
        <f t="shared" si="8019"/>
        <v>0</v>
      </c>
      <c r="CW230" s="675">
        <f t="shared" si="8019"/>
        <v>0</v>
      </c>
      <c r="CX230" s="549">
        <f t="shared" si="8019"/>
        <v>0</v>
      </c>
      <c r="CY230" s="675">
        <f t="shared" si="8019"/>
        <v>0</v>
      </c>
      <c r="CZ230" s="549">
        <f t="shared" si="8019"/>
        <v>0</v>
      </c>
      <c r="DA230" s="675">
        <f t="shared" si="8019"/>
        <v>0</v>
      </c>
      <c r="DB230" s="549">
        <f t="shared" si="8019"/>
        <v>0</v>
      </c>
      <c r="DC230" s="675">
        <f t="shared" si="8019"/>
        <v>0</v>
      </c>
      <c r="DD230" s="549">
        <f t="shared" si="8019"/>
        <v>0</v>
      </c>
      <c r="DE230" s="675">
        <f t="shared" si="8019"/>
        <v>0</v>
      </c>
      <c r="DF230" s="549">
        <f t="shared" si="8019"/>
        <v>0</v>
      </c>
      <c r="DG230" s="675">
        <f t="shared" si="8019"/>
        <v>0</v>
      </c>
      <c r="DH230" s="549">
        <f t="shared" ref="DH230:EM230" si="8020">SUM(DH231:DH234)</f>
        <v>0</v>
      </c>
      <c r="DI230" s="675">
        <f t="shared" si="8020"/>
        <v>0</v>
      </c>
      <c r="DJ230" s="549">
        <f t="shared" si="8020"/>
        <v>0</v>
      </c>
      <c r="DK230" s="675">
        <f t="shared" si="8020"/>
        <v>0</v>
      </c>
      <c r="DL230" s="549">
        <f t="shared" si="8020"/>
        <v>0</v>
      </c>
      <c r="DM230" s="675">
        <f t="shared" si="8020"/>
        <v>0</v>
      </c>
      <c r="DN230" s="549">
        <f t="shared" si="8020"/>
        <v>0</v>
      </c>
      <c r="DO230" s="675">
        <f t="shared" si="8020"/>
        <v>0</v>
      </c>
      <c r="DP230" s="549">
        <f t="shared" si="8020"/>
        <v>0</v>
      </c>
      <c r="DQ230" s="675">
        <f t="shared" si="8020"/>
        <v>0</v>
      </c>
      <c r="DR230" s="549">
        <f t="shared" si="8020"/>
        <v>0</v>
      </c>
      <c r="DS230" s="675">
        <f t="shared" si="8020"/>
        <v>0</v>
      </c>
      <c r="DT230" s="549">
        <f t="shared" si="8020"/>
        <v>0</v>
      </c>
      <c r="DU230" s="675">
        <f t="shared" si="8020"/>
        <v>0</v>
      </c>
      <c r="DV230" s="549">
        <f t="shared" si="8020"/>
        <v>0</v>
      </c>
      <c r="DW230" s="675">
        <f t="shared" si="8020"/>
        <v>0</v>
      </c>
      <c r="DX230" s="549">
        <f t="shared" si="8020"/>
        <v>0</v>
      </c>
      <c r="DY230" s="675">
        <f t="shared" si="8020"/>
        <v>0</v>
      </c>
      <c r="DZ230" s="549">
        <f t="shared" si="8020"/>
        <v>0</v>
      </c>
      <c r="EA230" s="675">
        <f t="shared" si="8020"/>
        <v>0</v>
      </c>
      <c r="EB230" s="549">
        <f t="shared" si="8020"/>
        <v>0</v>
      </c>
      <c r="EC230" s="675">
        <f t="shared" si="8020"/>
        <v>0</v>
      </c>
      <c r="ED230" s="549">
        <f t="shared" si="8020"/>
        <v>0</v>
      </c>
      <c r="EE230" s="675">
        <f t="shared" si="8020"/>
        <v>0</v>
      </c>
      <c r="EF230" s="549">
        <f t="shared" si="8020"/>
        <v>0</v>
      </c>
      <c r="EG230" s="675">
        <f t="shared" si="8020"/>
        <v>0</v>
      </c>
      <c r="EH230" s="549">
        <f t="shared" si="8020"/>
        <v>0</v>
      </c>
      <c r="EI230" s="675">
        <f t="shared" si="8020"/>
        <v>0</v>
      </c>
      <c r="EJ230" s="549">
        <f t="shared" si="8020"/>
        <v>0</v>
      </c>
      <c r="EK230" s="675">
        <f t="shared" si="8020"/>
        <v>0</v>
      </c>
      <c r="EL230" s="549">
        <f t="shared" si="8020"/>
        <v>0</v>
      </c>
      <c r="EM230" s="675">
        <f t="shared" si="8020"/>
        <v>0</v>
      </c>
      <c r="EN230" s="549">
        <f t="shared" ref="EN230:FS230" si="8021">SUM(EN231:EN234)</f>
        <v>0</v>
      </c>
      <c r="EO230" s="675">
        <f t="shared" si="8021"/>
        <v>0</v>
      </c>
      <c r="EP230" s="549">
        <f t="shared" si="8021"/>
        <v>0</v>
      </c>
      <c r="EQ230" s="675">
        <f t="shared" si="8021"/>
        <v>0</v>
      </c>
      <c r="ER230" s="549">
        <f t="shared" si="8021"/>
        <v>0</v>
      </c>
      <c r="ES230" s="675">
        <f t="shared" si="8021"/>
        <v>0</v>
      </c>
      <c r="ET230" s="549">
        <f t="shared" si="8021"/>
        <v>0</v>
      </c>
      <c r="EU230" s="675">
        <f t="shared" si="8021"/>
        <v>0</v>
      </c>
      <c r="EV230" s="549">
        <f t="shared" si="8021"/>
        <v>0</v>
      </c>
      <c r="EW230" s="675">
        <f t="shared" si="8021"/>
        <v>0</v>
      </c>
      <c r="EX230" s="549">
        <f t="shared" si="8021"/>
        <v>0</v>
      </c>
      <c r="EY230" s="675">
        <f t="shared" si="8021"/>
        <v>0</v>
      </c>
      <c r="EZ230" s="549">
        <f t="shared" si="8021"/>
        <v>0</v>
      </c>
      <c r="FA230" s="675">
        <f t="shared" si="8021"/>
        <v>0</v>
      </c>
      <c r="FB230" s="549">
        <f t="shared" si="8021"/>
        <v>0</v>
      </c>
      <c r="FC230" s="675">
        <f t="shared" si="8021"/>
        <v>0</v>
      </c>
      <c r="FD230" s="549">
        <f t="shared" si="8021"/>
        <v>0</v>
      </c>
      <c r="FE230" s="675">
        <f t="shared" si="8021"/>
        <v>0</v>
      </c>
      <c r="FF230" s="549">
        <f t="shared" si="8021"/>
        <v>0</v>
      </c>
      <c r="FG230" s="675">
        <f t="shared" si="8021"/>
        <v>0</v>
      </c>
      <c r="FH230" s="549">
        <f t="shared" si="8021"/>
        <v>0</v>
      </c>
      <c r="FI230" s="675">
        <f t="shared" si="8021"/>
        <v>0</v>
      </c>
      <c r="FJ230" s="549">
        <f t="shared" si="8021"/>
        <v>0</v>
      </c>
      <c r="FK230" s="675">
        <f t="shared" si="8021"/>
        <v>0</v>
      </c>
      <c r="FL230" s="549">
        <f t="shared" si="8021"/>
        <v>0</v>
      </c>
      <c r="FM230" s="675">
        <f t="shared" si="8021"/>
        <v>0</v>
      </c>
      <c r="FN230" s="549">
        <f t="shared" si="8021"/>
        <v>0</v>
      </c>
      <c r="FO230" s="675">
        <f t="shared" si="8021"/>
        <v>0</v>
      </c>
      <c r="FP230" s="549">
        <f t="shared" si="8021"/>
        <v>0</v>
      </c>
      <c r="FQ230" s="675">
        <f t="shared" si="8021"/>
        <v>0</v>
      </c>
      <c r="FR230" s="549">
        <f t="shared" si="8021"/>
        <v>0</v>
      </c>
      <c r="FS230" s="675">
        <f t="shared" si="8021"/>
        <v>0</v>
      </c>
      <c r="FT230" s="549">
        <f t="shared" ref="FT230:GS230" si="8022">SUM(FT231:FT234)</f>
        <v>0</v>
      </c>
      <c r="FU230" s="675">
        <f t="shared" si="8022"/>
        <v>0</v>
      </c>
      <c r="FV230" s="549">
        <f t="shared" si="8022"/>
        <v>0</v>
      </c>
      <c r="FW230" s="675">
        <f t="shared" si="8022"/>
        <v>0</v>
      </c>
      <c r="FX230" s="549">
        <f t="shared" ref="FX230:GK230" si="8023">SUM(FX231:FX234)</f>
        <v>0</v>
      </c>
      <c r="FY230" s="675">
        <f t="shared" si="8023"/>
        <v>0</v>
      </c>
      <c r="FZ230" s="549">
        <f t="shared" ref="FZ230:GI230" si="8024">SUM(FZ231:FZ234)</f>
        <v>0</v>
      </c>
      <c r="GA230" s="675">
        <f t="shared" si="8024"/>
        <v>0</v>
      </c>
      <c r="GB230" s="549">
        <f t="shared" si="8024"/>
        <v>0</v>
      </c>
      <c r="GC230" s="675">
        <f t="shared" si="8024"/>
        <v>0</v>
      </c>
      <c r="GD230" s="549">
        <f t="shared" si="8024"/>
        <v>0</v>
      </c>
      <c r="GE230" s="675">
        <f t="shared" si="8024"/>
        <v>0</v>
      </c>
      <c r="GF230" s="549">
        <f t="shared" si="8024"/>
        <v>0</v>
      </c>
      <c r="GG230" s="675">
        <f t="shared" si="8024"/>
        <v>0</v>
      </c>
      <c r="GH230" s="549">
        <f t="shared" si="8024"/>
        <v>0</v>
      </c>
      <c r="GI230" s="675">
        <f t="shared" si="8024"/>
        <v>0</v>
      </c>
      <c r="GJ230" s="549">
        <f t="shared" si="8023"/>
        <v>0</v>
      </c>
      <c r="GK230" s="675">
        <f t="shared" si="8023"/>
        <v>0</v>
      </c>
      <c r="GL230" s="549">
        <f t="shared" si="8022"/>
        <v>0</v>
      </c>
      <c r="GM230" s="675">
        <f t="shared" si="8022"/>
        <v>0</v>
      </c>
      <c r="GN230" s="549">
        <f t="shared" ref="GN230:GO230" si="8025">SUM(GN231:GN234)</f>
        <v>0</v>
      </c>
      <c r="GO230" s="675">
        <f t="shared" si="8025"/>
        <v>0</v>
      </c>
      <c r="GP230" s="74">
        <f t="shared" si="8022"/>
        <v>0</v>
      </c>
      <c r="GQ230" s="675">
        <f t="shared" si="8022"/>
        <v>0</v>
      </c>
      <c r="GR230" s="74">
        <f t="shared" si="8022"/>
        <v>45000</v>
      </c>
      <c r="GS230" s="74">
        <f t="shared" si="8022"/>
        <v>45000</v>
      </c>
      <c r="GT230" s="74">
        <f t="shared" ref="GT230:JD230" si="8026">SUM(GT231:GT234)</f>
        <v>45000</v>
      </c>
      <c r="GU230" s="74">
        <f t="shared" si="8026"/>
        <v>10000</v>
      </c>
      <c r="GV230" s="74">
        <f t="shared" si="8026"/>
        <v>0</v>
      </c>
      <c r="GW230" s="74">
        <f t="shared" si="8026"/>
        <v>15000</v>
      </c>
      <c r="GX230" s="74">
        <f t="shared" si="8026"/>
        <v>0</v>
      </c>
      <c r="GY230" s="74">
        <f t="shared" si="8026"/>
        <v>10000</v>
      </c>
      <c r="GZ230" s="74">
        <f t="shared" si="8026"/>
        <v>0</v>
      </c>
      <c r="HA230" s="74">
        <f t="shared" si="8026"/>
        <v>0</v>
      </c>
      <c r="HB230" s="74">
        <f t="shared" si="8026"/>
        <v>10000</v>
      </c>
      <c r="HC230" s="74">
        <f t="shared" si="8026"/>
        <v>0</v>
      </c>
      <c r="HD230" s="74">
        <f t="shared" si="8026"/>
        <v>0</v>
      </c>
      <c r="HE230" s="74">
        <f t="shared" si="8026"/>
        <v>0</v>
      </c>
      <c r="HF230" s="74">
        <f t="shared" si="8026"/>
        <v>0</v>
      </c>
      <c r="HG230" s="74">
        <f>SUM(HG231:HG234)</f>
        <v>45000</v>
      </c>
      <c r="HH230" s="74">
        <f t="shared" si="8026"/>
        <v>10000</v>
      </c>
      <c r="HI230" s="74">
        <f t="shared" si="8026"/>
        <v>0</v>
      </c>
      <c r="HJ230" s="74">
        <f t="shared" si="8026"/>
        <v>0</v>
      </c>
      <c r="HK230" s="74">
        <f t="shared" si="8026"/>
        <v>0</v>
      </c>
      <c r="HL230" s="74">
        <f t="shared" si="8026"/>
        <v>0</v>
      </c>
      <c r="HM230" s="74">
        <f t="shared" si="8026"/>
        <v>0</v>
      </c>
      <c r="HN230" s="74">
        <f t="shared" si="8026"/>
        <v>0</v>
      </c>
      <c r="HO230" s="74">
        <f t="shared" si="8026"/>
        <v>0</v>
      </c>
      <c r="HP230" s="74">
        <f t="shared" si="8026"/>
        <v>0</v>
      </c>
      <c r="HQ230" s="74">
        <f t="shared" si="8026"/>
        <v>0</v>
      </c>
      <c r="HR230" s="74">
        <f t="shared" si="8026"/>
        <v>0</v>
      </c>
      <c r="HS230" s="74">
        <f t="shared" si="8026"/>
        <v>0</v>
      </c>
      <c r="HT230" s="74">
        <f t="shared" si="8026"/>
        <v>0</v>
      </c>
      <c r="HU230" s="74">
        <f t="shared" si="8026"/>
        <v>0</v>
      </c>
      <c r="HV230" s="74">
        <f t="shared" si="8026"/>
        <v>28200</v>
      </c>
      <c r="HW230" s="74">
        <f t="shared" si="8026"/>
        <v>0</v>
      </c>
      <c r="HX230" s="74">
        <f t="shared" si="8026"/>
        <v>6800</v>
      </c>
      <c r="HY230" s="74">
        <f t="shared" si="8026"/>
        <v>0</v>
      </c>
      <c r="HZ230" s="74">
        <f t="shared" si="8026"/>
        <v>0</v>
      </c>
      <c r="IA230" s="74">
        <f t="shared" si="8026"/>
        <v>0</v>
      </c>
      <c r="IB230" s="74">
        <f t="shared" si="8026"/>
        <v>0</v>
      </c>
      <c r="IC230" s="74">
        <f t="shared" si="8026"/>
        <v>0</v>
      </c>
      <c r="ID230" s="74">
        <f t="shared" si="8026"/>
        <v>0</v>
      </c>
      <c r="IE230" s="74">
        <f t="shared" si="8026"/>
        <v>0</v>
      </c>
      <c r="IF230" s="841">
        <f t="shared" si="8026"/>
        <v>45000</v>
      </c>
      <c r="IG230" s="263">
        <f t="shared" si="8026"/>
        <v>45000</v>
      </c>
      <c r="IH230" s="842">
        <f t="shared" si="8026"/>
        <v>45000</v>
      </c>
      <c r="II230" s="74">
        <f t="shared" si="8026"/>
        <v>0</v>
      </c>
      <c r="IJ230" s="74">
        <f t="shared" si="8026"/>
        <v>0</v>
      </c>
      <c r="IK230" s="74">
        <f t="shared" si="8026"/>
        <v>0</v>
      </c>
      <c r="IL230" s="74">
        <f t="shared" si="8026"/>
        <v>0</v>
      </c>
      <c r="IM230" s="74">
        <f t="shared" si="8026"/>
        <v>0</v>
      </c>
      <c r="IN230" s="74">
        <f t="shared" si="8026"/>
        <v>0</v>
      </c>
      <c r="IO230" s="74">
        <f t="shared" si="8026"/>
        <v>500</v>
      </c>
      <c r="IP230" s="74">
        <f t="shared" si="8026"/>
        <v>500</v>
      </c>
      <c r="IQ230" s="74">
        <f t="shared" si="8026"/>
        <v>500</v>
      </c>
      <c r="IR230" s="74">
        <f t="shared" si="8026"/>
        <v>0</v>
      </c>
      <c r="IS230" s="74">
        <f t="shared" si="8026"/>
        <v>0</v>
      </c>
      <c r="IT230" s="74">
        <f t="shared" si="8026"/>
        <v>0</v>
      </c>
      <c r="IU230" s="74">
        <f t="shared" si="8026"/>
        <v>2000</v>
      </c>
      <c r="IV230" s="74">
        <f t="shared" si="8026"/>
        <v>2000</v>
      </c>
      <c r="IW230" s="74">
        <f t="shared" si="8026"/>
        <v>2000</v>
      </c>
      <c r="IX230" s="74">
        <f t="shared" si="8026"/>
        <v>750</v>
      </c>
      <c r="IY230" s="74">
        <f t="shared" si="8026"/>
        <v>750</v>
      </c>
      <c r="IZ230" s="74">
        <f t="shared" si="8026"/>
        <v>750</v>
      </c>
      <c r="JA230" s="74">
        <f t="shared" si="8026"/>
        <v>1650</v>
      </c>
      <c r="JB230" s="74">
        <f t="shared" si="8026"/>
        <v>1650</v>
      </c>
      <c r="JC230" s="74">
        <f t="shared" si="8026"/>
        <v>1650</v>
      </c>
      <c r="JD230" s="74">
        <f t="shared" si="8026"/>
        <v>28200</v>
      </c>
      <c r="JE230" s="74">
        <f t="shared" ref="JE230:JT230" si="8027">SUM(JE231:JE234)</f>
        <v>28200</v>
      </c>
      <c r="JF230" s="74">
        <f t="shared" si="8027"/>
        <v>28200</v>
      </c>
      <c r="JG230" s="74">
        <f t="shared" si="8027"/>
        <v>11150</v>
      </c>
      <c r="JH230" s="74">
        <f t="shared" si="8027"/>
        <v>11150</v>
      </c>
      <c r="JI230" s="74">
        <f t="shared" si="8027"/>
        <v>11150</v>
      </c>
      <c r="JJ230" s="74">
        <f t="shared" si="8027"/>
        <v>750</v>
      </c>
      <c r="JK230" s="74">
        <f t="shared" si="8027"/>
        <v>750</v>
      </c>
      <c r="JL230" s="74">
        <f t="shared" si="8027"/>
        <v>750</v>
      </c>
      <c r="JM230" s="74">
        <f t="shared" si="8027"/>
        <v>0</v>
      </c>
      <c r="JN230" s="74">
        <f t="shared" si="8027"/>
        <v>0</v>
      </c>
      <c r="JO230" s="74">
        <f t="shared" si="8027"/>
        <v>0</v>
      </c>
      <c r="JP230" s="74">
        <f t="shared" si="8027"/>
        <v>0</v>
      </c>
      <c r="JQ230" s="74">
        <f t="shared" si="8027"/>
        <v>0</v>
      </c>
      <c r="JR230" s="74">
        <f t="shared" si="8027"/>
        <v>0</v>
      </c>
      <c r="JS230" s="74">
        <f t="shared" si="8027"/>
        <v>0</v>
      </c>
      <c r="JT230" s="74">
        <f t="shared" si="8027"/>
        <v>0</v>
      </c>
      <c r="JU230" s="671"/>
      <c r="JV230" s="492"/>
      <c r="JW230" s="490"/>
      <c r="JX230" s="549">
        <f>SUM(JX231:JX234)</f>
        <v>45000</v>
      </c>
      <c r="JY230" s="549">
        <f>SUM(JY231:JY234)</f>
        <v>0</v>
      </c>
      <c r="JZ230" s="581">
        <f>GP230</f>
        <v>0</v>
      </c>
      <c r="KA230" s="581">
        <f t="shared" si="7471"/>
        <v>0</v>
      </c>
      <c r="KB230" s="549">
        <f>SUM(KB231:KB234)</f>
        <v>45000</v>
      </c>
      <c r="KC230" s="709">
        <f t="shared" si="7396"/>
        <v>0</v>
      </c>
      <c r="KD230" s="36"/>
      <c r="KE230" s="36"/>
      <c r="KF230" s="36"/>
      <c r="KG230" s="36"/>
      <c r="KH230" s="36"/>
      <c r="KI230" s="36"/>
      <c r="KJ230" s="36"/>
      <c r="KK230" s="36"/>
    </row>
    <row r="231" spans="1:297" s="8" customFormat="1" ht="12.75" hidden="1" customHeight="1">
      <c r="A231" s="262" t="s">
        <v>1134</v>
      </c>
      <c r="B231" s="72" t="s">
        <v>218</v>
      </c>
      <c r="C231" s="74">
        <f>SUM(C559)</f>
        <v>0</v>
      </c>
      <c r="D231" s="549">
        <f t="shared" ref="D231:E231" si="8028">SUM(D559)</f>
        <v>0</v>
      </c>
      <c r="E231" s="675">
        <f t="shared" si="8028"/>
        <v>0</v>
      </c>
      <c r="F231" s="549">
        <f t="shared" ref="F231:G231" si="8029">SUM(F559)</f>
        <v>0</v>
      </c>
      <c r="G231" s="675">
        <f t="shared" si="8029"/>
        <v>0</v>
      </c>
      <c r="H231" s="549">
        <f t="shared" ref="H231:AS231" si="8030">SUM(H559)</f>
        <v>0</v>
      </c>
      <c r="I231" s="675">
        <f t="shared" si="8030"/>
        <v>0</v>
      </c>
      <c r="J231" s="549">
        <f t="shared" si="8030"/>
        <v>0</v>
      </c>
      <c r="K231" s="675">
        <f t="shared" si="8030"/>
        <v>0</v>
      </c>
      <c r="L231" s="549">
        <f t="shared" si="8030"/>
        <v>0</v>
      </c>
      <c r="M231" s="675">
        <f t="shared" si="8030"/>
        <v>0</v>
      </c>
      <c r="N231" s="549">
        <f t="shared" si="8030"/>
        <v>0</v>
      </c>
      <c r="O231" s="675">
        <f t="shared" si="8030"/>
        <v>0</v>
      </c>
      <c r="P231" s="549">
        <f t="shared" si="8030"/>
        <v>0</v>
      </c>
      <c r="Q231" s="675">
        <f t="shared" si="8030"/>
        <v>0</v>
      </c>
      <c r="R231" s="549">
        <f t="shared" si="8030"/>
        <v>0</v>
      </c>
      <c r="S231" s="675">
        <f t="shared" si="8030"/>
        <v>0</v>
      </c>
      <c r="T231" s="549">
        <f t="shared" si="8030"/>
        <v>0</v>
      </c>
      <c r="U231" s="675">
        <f t="shared" si="8030"/>
        <v>0</v>
      </c>
      <c r="V231" s="549">
        <f t="shared" si="8030"/>
        <v>0</v>
      </c>
      <c r="W231" s="675">
        <f t="shared" si="8030"/>
        <v>0</v>
      </c>
      <c r="X231" s="549">
        <f t="shared" si="8030"/>
        <v>0</v>
      </c>
      <c r="Y231" s="675">
        <f t="shared" si="8030"/>
        <v>0</v>
      </c>
      <c r="Z231" s="549">
        <f t="shared" si="8030"/>
        <v>0</v>
      </c>
      <c r="AA231" s="675">
        <f t="shared" si="8030"/>
        <v>0</v>
      </c>
      <c r="AB231" s="549">
        <f t="shared" si="8030"/>
        <v>0</v>
      </c>
      <c r="AC231" s="675">
        <f t="shared" si="8030"/>
        <v>0</v>
      </c>
      <c r="AD231" s="549">
        <f t="shared" si="8030"/>
        <v>0</v>
      </c>
      <c r="AE231" s="675">
        <f t="shared" si="8030"/>
        <v>0</v>
      </c>
      <c r="AF231" s="549">
        <f t="shared" si="8030"/>
        <v>0</v>
      </c>
      <c r="AG231" s="675">
        <f t="shared" si="8030"/>
        <v>0</v>
      </c>
      <c r="AH231" s="549">
        <f t="shared" si="8030"/>
        <v>0</v>
      </c>
      <c r="AI231" s="675">
        <f t="shared" si="8030"/>
        <v>0</v>
      </c>
      <c r="AJ231" s="549">
        <f t="shared" si="8030"/>
        <v>0</v>
      </c>
      <c r="AK231" s="675">
        <f t="shared" si="8030"/>
        <v>0</v>
      </c>
      <c r="AL231" s="549">
        <f t="shared" si="8030"/>
        <v>0</v>
      </c>
      <c r="AM231" s="675">
        <f t="shared" si="8030"/>
        <v>0</v>
      </c>
      <c r="AN231" s="549">
        <f t="shared" si="8030"/>
        <v>0</v>
      </c>
      <c r="AO231" s="675">
        <f t="shared" si="8030"/>
        <v>0</v>
      </c>
      <c r="AP231" s="549">
        <f t="shared" si="8030"/>
        <v>0</v>
      </c>
      <c r="AQ231" s="675">
        <f t="shared" si="8030"/>
        <v>0</v>
      </c>
      <c r="AR231" s="549">
        <f t="shared" si="8030"/>
        <v>0</v>
      </c>
      <c r="AS231" s="675">
        <f t="shared" si="8030"/>
        <v>0</v>
      </c>
      <c r="AT231" s="549">
        <f t="shared" ref="AT231:AU231" si="8031">SUM(AT559)</f>
        <v>0</v>
      </c>
      <c r="AU231" s="675">
        <f t="shared" si="8031"/>
        <v>0</v>
      </c>
      <c r="AV231" s="549">
        <f t="shared" ref="AV231:AW231" si="8032">SUM(AV559)</f>
        <v>0</v>
      </c>
      <c r="AW231" s="675">
        <f t="shared" si="8032"/>
        <v>0</v>
      </c>
      <c r="AX231" s="549">
        <f t="shared" ref="AX231:AY231" si="8033">SUM(AX559)</f>
        <v>0</v>
      </c>
      <c r="AY231" s="675">
        <f t="shared" si="8033"/>
        <v>0</v>
      </c>
      <c r="AZ231" s="549">
        <f t="shared" ref="AZ231:BA231" si="8034">SUM(AZ559)</f>
        <v>0</v>
      </c>
      <c r="BA231" s="675">
        <f t="shared" si="8034"/>
        <v>0</v>
      </c>
      <c r="BB231" s="549">
        <f t="shared" ref="BB231:BC231" si="8035">SUM(BB559)</f>
        <v>0</v>
      </c>
      <c r="BC231" s="675">
        <f t="shared" si="8035"/>
        <v>0</v>
      </c>
      <c r="BD231" s="549">
        <f t="shared" ref="BD231:BE231" si="8036">SUM(BD559)</f>
        <v>0</v>
      </c>
      <c r="BE231" s="675">
        <f t="shared" si="8036"/>
        <v>0</v>
      </c>
      <c r="BF231" s="549">
        <f t="shared" ref="BF231:BG231" si="8037">SUM(BF559)</f>
        <v>0</v>
      </c>
      <c r="BG231" s="675">
        <f t="shared" si="8037"/>
        <v>0</v>
      </c>
      <c r="BH231" s="549">
        <f t="shared" ref="BH231:BI231" si="8038">SUM(BH559)</f>
        <v>0</v>
      </c>
      <c r="BI231" s="675">
        <f t="shared" si="8038"/>
        <v>0</v>
      </c>
      <c r="BJ231" s="549">
        <f t="shared" ref="BJ231:BK231" si="8039">SUM(BJ559)</f>
        <v>0</v>
      </c>
      <c r="BK231" s="675">
        <f t="shared" si="8039"/>
        <v>0</v>
      </c>
      <c r="BL231" s="549">
        <f t="shared" ref="BL231:BS231" si="8040">SUM(BL559)</f>
        <v>0</v>
      </c>
      <c r="BM231" s="675">
        <f t="shared" si="8040"/>
        <v>0</v>
      </c>
      <c r="BN231" s="549">
        <f t="shared" si="8040"/>
        <v>0</v>
      </c>
      <c r="BO231" s="675">
        <f t="shared" si="8040"/>
        <v>0</v>
      </c>
      <c r="BP231" s="549">
        <f t="shared" si="8040"/>
        <v>0</v>
      </c>
      <c r="BQ231" s="675">
        <f t="shared" si="8040"/>
        <v>0</v>
      </c>
      <c r="BR231" s="549">
        <f t="shared" si="8040"/>
        <v>0</v>
      </c>
      <c r="BS231" s="675">
        <f t="shared" si="8040"/>
        <v>0</v>
      </c>
      <c r="BT231" s="549">
        <f t="shared" ref="BT231:BU231" si="8041">SUM(BT559)</f>
        <v>0</v>
      </c>
      <c r="BU231" s="675">
        <f t="shared" si="8041"/>
        <v>0</v>
      </c>
      <c r="BV231" s="549">
        <f t="shared" ref="BV231:BW231" si="8042">SUM(BV559)</f>
        <v>0</v>
      </c>
      <c r="BW231" s="675">
        <f t="shared" si="8042"/>
        <v>0</v>
      </c>
      <c r="BX231" s="549">
        <f t="shared" ref="BX231:BY231" si="8043">SUM(BX559)</f>
        <v>0</v>
      </c>
      <c r="BY231" s="675">
        <f t="shared" si="8043"/>
        <v>0</v>
      </c>
      <c r="BZ231" s="549">
        <f t="shared" ref="BZ231:CA231" si="8044">SUM(BZ559)</f>
        <v>0</v>
      </c>
      <c r="CA231" s="675">
        <f t="shared" si="8044"/>
        <v>0</v>
      </c>
      <c r="CB231" s="549">
        <f t="shared" ref="CB231:CE231" si="8045">SUM(CB559)</f>
        <v>0</v>
      </c>
      <c r="CC231" s="675">
        <f t="shared" si="8045"/>
        <v>0</v>
      </c>
      <c r="CD231" s="549">
        <f t="shared" si="8045"/>
        <v>0</v>
      </c>
      <c r="CE231" s="675">
        <f t="shared" si="8045"/>
        <v>0</v>
      </c>
      <c r="CF231" s="549">
        <f t="shared" ref="CF231:EO231" si="8046">SUM(CF559)</f>
        <v>0</v>
      </c>
      <c r="CG231" s="675">
        <f t="shared" si="8046"/>
        <v>0</v>
      </c>
      <c r="CH231" s="549">
        <f t="shared" si="8046"/>
        <v>0</v>
      </c>
      <c r="CI231" s="675">
        <f t="shared" si="8046"/>
        <v>0</v>
      </c>
      <c r="CJ231" s="549">
        <f t="shared" si="8046"/>
        <v>0</v>
      </c>
      <c r="CK231" s="675">
        <f t="shared" si="8046"/>
        <v>0</v>
      </c>
      <c r="CL231" s="549">
        <f t="shared" si="8046"/>
        <v>0</v>
      </c>
      <c r="CM231" s="675">
        <f t="shared" si="8046"/>
        <v>0</v>
      </c>
      <c r="CN231" s="549">
        <f t="shared" si="8046"/>
        <v>0</v>
      </c>
      <c r="CO231" s="675">
        <f t="shared" si="8046"/>
        <v>0</v>
      </c>
      <c r="CP231" s="549">
        <f t="shared" si="8046"/>
        <v>0</v>
      </c>
      <c r="CQ231" s="675">
        <f t="shared" si="8046"/>
        <v>0</v>
      </c>
      <c r="CR231" s="549">
        <f t="shared" si="8046"/>
        <v>0</v>
      </c>
      <c r="CS231" s="675">
        <f t="shared" si="8046"/>
        <v>0</v>
      </c>
      <c r="CT231" s="549">
        <f t="shared" si="8046"/>
        <v>0</v>
      </c>
      <c r="CU231" s="675">
        <f t="shared" si="8046"/>
        <v>0</v>
      </c>
      <c r="CV231" s="549">
        <f t="shared" si="8046"/>
        <v>0</v>
      </c>
      <c r="CW231" s="675">
        <f t="shared" si="8046"/>
        <v>0</v>
      </c>
      <c r="CX231" s="549">
        <f t="shared" si="8046"/>
        <v>0</v>
      </c>
      <c r="CY231" s="675">
        <f t="shared" si="8046"/>
        <v>0</v>
      </c>
      <c r="CZ231" s="549">
        <f t="shared" si="8046"/>
        <v>0</v>
      </c>
      <c r="DA231" s="675">
        <f t="shared" si="8046"/>
        <v>0</v>
      </c>
      <c r="DB231" s="549">
        <f t="shared" si="8046"/>
        <v>0</v>
      </c>
      <c r="DC231" s="675">
        <f t="shared" si="8046"/>
        <v>0</v>
      </c>
      <c r="DD231" s="549">
        <f t="shared" si="8046"/>
        <v>0</v>
      </c>
      <c r="DE231" s="675">
        <f t="shared" si="8046"/>
        <v>0</v>
      </c>
      <c r="DF231" s="549">
        <f t="shared" si="8046"/>
        <v>0</v>
      </c>
      <c r="DG231" s="675">
        <f t="shared" si="8046"/>
        <v>0</v>
      </c>
      <c r="DH231" s="549">
        <f t="shared" si="8046"/>
        <v>0</v>
      </c>
      <c r="DI231" s="675">
        <f t="shared" si="8046"/>
        <v>0</v>
      </c>
      <c r="DJ231" s="549">
        <f t="shared" si="8046"/>
        <v>0</v>
      </c>
      <c r="DK231" s="675">
        <f t="shared" si="8046"/>
        <v>0</v>
      </c>
      <c r="DL231" s="549">
        <f t="shared" si="8046"/>
        <v>0</v>
      </c>
      <c r="DM231" s="675">
        <f t="shared" si="8046"/>
        <v>0</v>
      </c>
      <c r="DN231" s="549">
        <f t="shared" si="8046"/>
        <v>0</v>
      </c>
      <c r="DO231" s="675">
        <f t="shared" si="8046"/>
        <v>0</v>
      </c>
      <c r="DP231" s="549">
        <f t="shared" si="8046"/>
        <v>0</v>
      </c>
      <c r="DQ231" s="675">
        <f t="shared" si="8046"/>
        <v>0</v>
      </c>
      <c r="DR231" s="549">
        <f t="shared" si="8046"/>
        <v>0</v>
      </c>
      <c r="DS231" s="675">
        <f t="shared" si="8046"/>
        <v>0</v>
      </c>
      <c r="DT231" s="549">
        <f t="shared" si="8046"/>
        <v>0</v>
      </c>
      <c r="DU231" s="675">
        <f t="shared" si="8046"/>
        <v>0</v>
      </c>
      <c r="DV231" s="549">
        <f t="shared" si="8046"/>
        <v>0</v>
      </c>
      <c r="DW231" s="675">
        <f t="shared" si="8046"/>
        <v>0</v>
      </c>
      <c r="DX231" s="549">
        <f t="shared" si="8046"/>
        <v>0</v>
      </c>
      <c r="DY231" s="675">
        <f t="shared" si="8046"/>
        <v>0</v>
      </c>
      <c r="DZ231" s="549">
        <f t="shared" si="8046"/>
        <v>0</v>
      </c>
      <c r="EA231" s="675">
        <f t="shared" si="8046"/>
        <v>0</v>
      </c>
      <c r="EB231" s="549">
        <f t="shared" si="8046"/>
        <v>0</v>
      </c>
      <c r="EC231" s="675">
        <f t="shared" si="8046"/>
        <v>0</v>
      </c>
      <c r="ED231" s="549">
        <f t="shared" si="8046"/>
        <v>0</v>
      </c>
      <c r="EE231" s="675">
        <f t="shared" si="8046"/>
        <v>0</v>
      </c>
      <c r="EF231" s="549">
        <f t="shared" si="8046"/>
        <v>0</v>
      </c>
      <c r="EG231" s="675">
        <f t="shared" si="8046"/>
        <v>0</v>
      </c>
      <c r="EH231" s="549">
        <f t="shared" si="8046"/>
        <v>0</v>
      </c>
      <c r="EI231" s="675">
        <f t="shared" si="8046"/>
        <v>0</v>
      </c>
      <c r="EJ231" s="549">
        <f t="shared" si="8046"/>
        <v>0</v>
      </c>
      <c r="EK231" s="675">
        <f t="shared" si="8046"/>
        <v>0</v>
      </c>
      <c r="EL231" s="549">
        <f t="shared" si="8046"/>
        <v>0</v>
      </c>
      <c r="EM231" s="675">
        <f t="shared" si="8046"/>
        <v>0</v>
      </c>
      <c r="EN231" s="549">
        <f t="shared" si="8046"/>
        <v>0</v>
      </c>
      <c r="EO231" s="675">
        <f t="shared" si="8046"/>
        <v>0</v>
      </c>
      <c r="EP231" s="549">
        <f t="shared" ref="EP231:EQ231" si="8047">SUM(EP559)</f>
        <v>0</v>
      </c>
      <c r="EQ231" s="675">
        <f t="shared" si="8047"/>
        <v>0</v>
      </c>
      <c r="ER231" s="549">
        <f t="shared" ref="ER231:GM231" si="8048">SUM(ER559)</f>
        <v>0</v>
      </c>
      <c r="ES231" s="675">
        <f t="shared" si="8048"/>
        <v>0</v>
      </c>
      <c r="ET231" s="549">
        <f t="shared" si="8048"/>
        <v>0</v>
      </c>
      <c r="EU231" s="675">
        <f t="shared" si="8048"/>
        <v>0</v>
      </c>
      <c r="EV231" s="549">
        <f t="shared" si="8048"/>
        <v>0</v>
      </c>
      <c r="EW231" s="675">
        <f t="shared" si="8048"/>
        <v>0</v>
      </c>
      <c r="EX231" s="549">
        <f t="shared" si="8048"/>
        <v>0</v>
      </c>
      <c r="EY231" s="675">
        <f t="shared" si="8048"/>
        <v>0</v>
      </c>
      <c r="EZ231" s="549">
        <f t="shared" si="8048"/>
        <v>0</v>
      </c>
      <c r="FA231" s="675">
        <f t="shared" si="8048"/>
        <v>0</v>
      </c>
      <c r="FB231" s="549">
        <f t="shared" si="8048"/>
        <v>0</v>
      </c>
      <c r="FC231" s="675">
        <f t="shared" si="8048"/>
        <v>0</v>
      </c>
      <c r="FD231" s="549">
        <f t="shared" si="8048"/>
        <v>0</v>
      </c>
      <c r="FE231" s="675">
        <f t="shared" si="8048"/>
        <v>0</v>
      </c>
      <c r="FF231" s="549">
        <f t="shared" si="8048"/>
        <v>0</v>
      </c>
      <c r="FG231" s="675">
        <f t="shared" si="8048"/>
        <v>0</v>
      </c>
      <c r="FH231" s="549">
        <f t="shared" si="8048"/>
        <v>0</v>
      </c>
      <c r="FI231" s="675">
        <f t="shared" si="8048"/>
        <v>0</v>
      </c>
      <c r="FJ231" s="549">
        <f t="shared" si="8048"/>
        <v>0</v>
      </c>
      <c r="FK231" s="675">
        <f t="shared" si="8048"/>
        <v>0</v>
      </c>
      <c r="FL231" s="549">
        <f t="shared" si="8048"/>
        <v>0</v>
      </c>
      <c r="FM231" s="675">
        <f t="shared" si="8048"/>
        <v>0</v>
      </c>
      <c r="FN231" s="549">
        <f t="shared" si="8048"/>
        <v>0</v>
      </c>
      <c r="FO231" s="675">
        <f t="shared" si="8048"/>
        <v>0</v>
      </c>
      <c r="FP231" s="549">
        <f t="shared" si="8048"/>
        <v>0</v>
      </c>
      <c r="FQ231" s="675">
        <f t="shared" si="8048"/>
        <v>0</v>
      </c>
      <c r="FR231" s="549">
        <f t="shared" si="8048"/>
        <v>0</v>
      </c>
      <c r="FS231" s="675">
        <f t="shared" si="8048"/>
        <v>0</v>
      </c>
      <c r="FT231" s="549">
        <f t="shared" si="8048"/>
        <v>0</v>
      </c>
      <c r="FU231" s="675">
        <f t="shared" si="8048"/>
        <v>0</v>
      </c>
      <c r="FV231" s="549">
        <f t="shared" si="8048"/>
        <v>0</v>
      </c>
      <c r="FW231" s="675">
        <f t="shared" si="8048"/>
        <v>0</v>
      </c>
      <c r="FX231" s="549">
        <f t="shared" ref="FX231:GK231" si="8049">SUM(FX559)</f>
        <v>0</v>
      </c>
      <c r="FY231" s="675">
        <f t="shared" si="8049"/>
        <v>0</v>
      </c>
      <c r="FZ231" s="549">
        <f t="shared" ref="FZ231:GI231" si="8050">SUM(FZ559)</f>
        <v>0</v>
      </c>
      <c r="GA231" s="675">
        <f t="shared" si="8050"/>
        <v>0</v>
      </c>
      <c r="GB231" s="549">
        <f t="shared" si="8050"/>
        <v>0</v>
      </c>
      <c r="GC231" s="675">
        <f t="shared" si="8050"/>
        <v>0</v>
      </c>
      <c r="GD231" s="549">
        <f t="shared" si="8050"/>
        <v>0</v>
      </c>
      <c r="GE231" s="675">
        <f t="shared" si="8050"/>
        <v>0</v>
      </c>
      <c r="GF231" s="549">
        <f t="shared" si="8050"/>
        <v>0</v>
      </c>
      <c r="GG231" s="675">
        <f t="shared" si="8050"/>
        <v>0</v>
      </c>
      <c r="GH231" s="549">
        <f t="shared" si="8050"/>
        <v>0</v>
      </c>
      <c r="GI231" s="675">
        <f t="shared" si="8050"/>
        <v>0</v>
      </c>
      <c r="GJ231" s="549">
        <f t="shared" si="8049"/>
        <v>0</v>
      </c>
      <c r="GK231" s="675">
        <f t="shared" si="8049"/>
        <v>0</v>
      </c>
      <c r="GL231" s="549">
        <f t="shared" si="8048"/>
        <v>0</v>
      </c>
      <c r="GM231" s="675">
        <f t="shared" si="8048"/>
        <v>0</v>
      </c>
      <c r="GN231" s="549">
        <f t="shared" ref="GN231:GO231" si="8051">SUM(GN559)</f>
        <v>0</v>
      </c>
      <c r="GO231" s="675">
        <f t="shared" si="8051"/>
        <v>0</v>
      </c>
      <c r="GP231" s="74">
        <f t="shared" ref="GP231:GQ232" si="8052">SUM(GP559)</f>
        <v>0</v>
      </c>
      <c r="GQ231" s="675">
        <f t="shared" si="8052"/>
        <v>0</v>
      </c>
      <c r="GR231" s="74">
        <f t="shared" ref="GR231:HN232" si="8053">SUM(GR559)</f>
        <v>0</v>
      </c>
      <c r="GS231" s="74">
        <f t="shared" si="8053"/>
        <v>0</v>
      </c>
      <c r="GT231" s="74">
        <f t="shared" si="8053"/>
        <v>0</v>
      </c>
      <c r="GU231" s="74">
        <f t="shared" si="8053"/>
        <v>0</v>
      </c>
      <c r="GV231" s="74">
        <f t="shared" si="8053"/>
        <v>0</v>
      </c>
      <c r="GW231" s="74">
        <f t="shared" si="8053"/>
        <v>0</v>
      </c>
      <c r="GX231" s="74">
        <f t="shared" si="8053"/>
        <v>0</v>
      </c>
      <c r="GY231" s="74">
        <f t="shared" si="8053"/>
        <v>0</v>
      </c>
      <c r="GZ231" s="74">
        <f t="shared" si="8053"/>
        <v>0</v>
      </c>
      <c r="HA231" s="74">
        <f t="shared" si="8053"/>
        <v>0</v>
      </c>
      <c r="HB231" s="74">
        <f t="shared" si="8053"/>
        <v>0</v>
      </c>
      <c r="HC231" s="74">
        <f t="shared" si="8053"/>
        <v>0</v>
      </c>
      <c r="HD231" s="74">
        <f t="shared" si="8053"/>
        <v>0</v>
      </c>
      <c r="HE231" s="74">
        <f t="shared" si="8053"/>
        <v>0</v>
      </c>
      <c r="HF231" s="74">
        <f t="shared" si="8053"/>
        <v>0</v>
      </c>
      <c r="HG231" s="74">
        <f t="shared" si="8053"/>
        <v>0</v>
      </c>
      <c r="HH231" s="74">
        <f t="shared" si="8053"/>
        <v>0</v>
      </c>
      <c r="HI231" s="74">
        <f t="shared" si="8053"/>
        <v>0</v>
      </c>
      <c r="HJ231" s="74">
        <f t="shared" si="8053"/>
        <v>0</v>
      </c>
      <c r="HK231" s="74">
        <f t="shared" si="8053"/>
        <v>0</v>
      </c>
      <c r="HL231" s="74">
        <f t="shared" si="8053"/>
        <v>0</v>
      </c>
      <c r="HM231" s="74">
        <f t="shared" si="8053"/>
        <v>0</v>
      </c>
      <c r="HN231" s="74">
        <f t="shared" si="8053"/>
        <v>0</v>
      </c>
      <c r="HO231" s="74">
        <f t="shared" ref="HO231:IT231" si="8054">SUM(HO559)</f>
        <v>0</v>
      </c>
      <c r="HP231" s="74">
        <f t="shared" si="8054"/>
        <v>0</v>
      </c>
      <c r="HQ231" s="74">
        <f t="shared" si="8054"/>
        <v>0</v>
      </c>
      <c r="HR231" s="74">
        <f t="shared" si="8054"/>
        <v>0</v>
      </c>
      <c r="HS231" s="74">
        <f t="shared" si="8054"/>
        <v>0</v>
      </c>
      <c r="HT231" s="74">
        <f t="shared" si="8054"/>
        <v>0</v>
      </c>
      <c r="HU231" s="74">
        <f t="shared" si="8054"/>
        <v>0</v>
      </c>
      <c r="HV231" s="74">
        <f t="shared" si="8054"/>
        <v>0</v>
      </c>
      <c r="HW231" s="74">
        <f t="shared" si="8054"/>
        <v>0</v>
      </c>
      <c r="HX231" s="74">
        <f t="shared" si="8054"/>
        <v>0</v>
      </c>
      <c r="HY231" s="74">
        <f t="shared" si="8054"/>
        <v>0</v>
      </c>
      <c r="HZ231" s="74">
        <f t="shared" si="8054"/>
        <v>0</v>
      </c>
      <c r="IA231" s="74">
        <f t="shared" si="8054"/>
        <v>0</v>
      </c>
      <c r="IB231" s="74">
        <f t="shared" si="8054"/>
        <v>0</v>
      </c>
      <c r="IC231" s="74">
        <f t="shared" si="8054"/>
        <v>0</v>
      </c>
      <c r="ID231" s="74">
        <f t="shared" si="8054"/>
        <v>0</v>
      </c>
      <c r="IE231" s="792">
        <f t="shared" si="8054"/>
        <v>0</v>
      </c>
      <c r="IF231" s="841">
        <f t="shared" si="8054"/>
        <v>0</v>
      </c>
      <c r="IG231" s="263">
        <f t="shared" si="8054"/>
        <v>0</v>
      </c>
      <c r="IH231" s="842">
        <f t="shared" si="8054"/>
        <v>0</v>
      </c>
      <c r="II231" s="155">
        <f t="shared" si="8054"/>
        <v>0</v>
      </c>
      <c r="IJ231" s="74">
        <f t="shared" si="8054"/>
        <v>0</v>
      </c>
      <c r="IK231" s="74">
        <f t="shared" si="8054"/>
        <v>0</v>
      </c>
      <c r="IL231" s="74">
        <f t="shared" si="8054"/>
        <v>0</v>
      </c>
      <c r="IM231" s="74">
        <f t="shared" si="8054"/>
        <v>0</v>
      </c>
      <c r="IN231" s="74">
        <f t="shared" si="8054"/>
        <v>0</v>
      </c>
      <c r="IO231" s="74">
        <f t="shared" si="8054"/>
        <v>0</v>
      </c>
      <c r="IP231" s="74">
        <f t="shared" si="8054"/>
        <v>0</v>
      </c>
      <c r="IQ231" s="74">
        <f t="shared" si="8054"/>
        <v>0</v>
      </c>
      <c r="IR231" s="74">
        <f t="shared" si="8054"/>
        <v>0</v>
      </c>
      <c r="IS231" s="74">
        <f t="shared" si="8054"/>
        <v>0</v>
      </c>
      <c r="IT231" s="74">
        <f t="shared" si="8054"/>
        <v>0</v>
      </c>
      <c r="IU231" s="74">
        <f t="shared" ref="IU231:JT231" si="8055">SUM(IU559)</f>
        <v>0</v>
      </c>
      <c r="IV231" s="74">
        <f t="shared" si="8055"/>
        <v>0</v>
      </c>
      <c r="IW231" s="74">
        <f t="shared" si="8055"/>
        <v>0</v>
      </c>
      <c r="IX231" s="74">
        <f t="shared" si="8055"/>
        <v>0</v>
      </c>
      <c r="IY231" s="74">
        <f t="shared" si="8055"/>
        <v>0</v>
      </c>
      <c r="IZ231" s="74">
        <f t="shared" si="8055"/>
        <v>0</v>
      </c>
      <c r="JA231" s="74">
        <f t="shared" si="8055"/>
        <v>0</v>
      </c>
      <c r="JB231" s="74">
        <f t="shared" si="8055"/>
        <v>0</v>
      </c>
      <c r="JC231" s="74">
        <f t="shared" si="8055"/>
        <v>0</v>
      </c>
      <c r="JD231" s="74">
        <f t="shared" si="8055"/>
        <v>0</v>
      </c>
      <c r="JE231" s="74">
        <f t="shared" si="8055"/>
        <v>0</v>
      </c>
      <c r="JF231" s="74">
        <f t="shared" si="8055"/>
        <v>0</v>
      </c>
      <c r="JG231" s="74">
        <f t="shared" si="8055"/>
        <v>0</v>
      </c>
      <c r="JH231" s="74">
        <f t="shared" si="8055"/>
        <v>0</v>
      </c>
      <c r="JI231" s="74">
        <f t="shared" si="8055"/>
        <v>0</v>
      </c>
      <c r="JJ231" s="74">
        <f t="shared" si="8055"/>
        <v>0</v>
      </c>
      <c r="JK231" s="74">
        <f t="shared" si="8055"/>
        <v>0</v>
      </c>
      <c r="JL231" s="74">
        <f t="shared" si="8055"/>
        <v>0</v>
      </c>
      <c r="JM231" s="74">
        <f t="shared" si="8055"/>
        <v>0</v>
      </c>
      <c r="JN231" s="74">
        <f t="shared" si="8055"/>
        <v>0</v>
      </c>
      <c r="JO231" s="74">
        <f t="shared" si="8055"/>
        <v>0</v>
      </c>
      <c r="JP231" s="74">
        <f t="shared" si="8055"/>
        <v>0</v>
      </c>
      <c r="JQ231" s="74">
        <f t="shared" si="8055"/>
        <v>0</v>
      </c>
      <c r="JR231" s="74">
        <f t="shared" si="8055"/>
        <v>0</v>
      </c>
      <c r="JS231" s="74">
        <f t="shared" si="8055"/>
        <v>0</v>
      </c>
      <c r="JT231" s="102">
        <f t="shared" si="8055"/>
        <v>0</v>
      </c>
      <c r="JU231" s="671"/>
      <c r="JV231" s="492"/>
      <c r="JW231" s="490"/>
      <c r="JX231" s="549">
        <f>SUM(JX559)</f>
        <v>0</v>
      </c>
      <c r="JY231" s="549">
        <f>SUM(JY559)</f>
        <v>0</v>
      </c>
      <c r="JZ231" s="581">
        <f t="shared" si="7470"/>
        <v>0</v>
      </c>
      <c r="KA231" s="581">
        <f t="shared" si="7471"/>
        <v>0</v>
      </c>
      <c r="KB231" s="549">
        <f>SUM(KB559)</f>
        <v>0</v>
      </c>
      <c r="KC231" s="709">
        <f t="shared" si="7396"/>
        <v>0</v>
      </c>
      <c r="KD231" s="36"/>
      <c r="KE231" s="36"/>
      <c r="KF231" s="36"/>
      <c r="KG231" s="36"/>
      <c r="KH231" s="36"/>
      <c r="KI231" s="36"/>
      <c r="KJ231" s="36"/>
      <c r="KK231" s="36"/>
    </row>
    <row r="232" spans="1:297" s="8" customFormat="1" ht="12.75" hidden="1" customHeight="1">
      <c r="A232" s="262" t="s">
        <v>1135</v>
      </c>
      <c r="B232" s="72"/>
      <c r="C232" s="74">
        <f>SUM(C560)</f>
        <v>0</v>
      </c>
      <c r="D232" s="549"/>
      <c r="E232" s="675"/>
      <c r="F232" s="549"/>
      <c r="G232" s="675"/>
      <c r="H232" s="549"/>
      <c r="I232" s="675"/>
      <c r="J232" s="549"/>
      <c r="K232" s="675"/>
      <c r="L232" s="549"/>
      <c r="M232" s="675"/>
      <c r="N232" s="549"/>
      <c r="O232" s="675"/>
      <c r="P232" s="549"/>
      <c r="Q232" s="675"/>
      <c r="R232" s="549"/>
      <c r="S232" s="675"/>
      <c r="T232" s="549"/>
      <c r="U232" s="675"/>
      <c r="V232" s="549"/>
      <c r="W232" s="675"/>
      <c r="X232" s="549"/>
      <c r="Y232" s="675"/>
      <c r="Z232" s="549"/>
      <c r="AA232" s="675"/>
      <c r="AB232" s="549"/>
      <c r="AC232" s="675"/>
      <c r="AD232" s="549"/>
      <c r="AE232" s="675"/>
      <c r="AF232" s="549"/>
      <c r="AG232" s="675"/>
      <c r="AH232" s="549"/>
      <c r="AI232" s="675"/>
      <c r="AJ232" s="549"/>
      <c r="AK232" s="675"/>
      <c r="AL232" s="549"/>
      <c r="AM232" s="675"/>
      <c r="AN232" s="549"/>
      <c r="AO232" s="675"/>
      <c r="AP232" s="549"/>
      <c r="AQ232" s="675"/>
      <c r="AR232" s="549"/>
      <c r="AS232" s="675"/>
      <c r="AT232" s="549"/>
      <c r="AU232" s="675"/>
      <c r="AV232" s="549"/>
      <c r="AW232" s="675"/>
      <c r="AX232" s="549"/>
      <c r="AY232" s="675"/>
      <c r="AZ232" s="549"/>
      <c r="BA232" s="675"/>
      <c r="BB232" s="549"/>
      <c r="BC232" s="675"/>
      <c r="BD232" s="549"/>
      <c r="BE232" s="675"/>
      <c r="BF232" s="549"/>
      <c r="BG232" s="675"/>
      <c r="BH232" s="549"/>
      <c r="BI232" s="675"/>
      <c r="BJ232" s="549"/>
      <c r="BK232" s="675"/>
      <c r="BL232" s="549"/>
      <c r="BM232" s="675"/>
      <c r="BN232" s="549"/>
      <c r="BO232" s="675"/>
      <c r="BP232" s="549"/>
      <c r="BQ232" s="675"/>
      <c r="BR232" s="549"/>
      <c r="BS232" s="675"/>
      <c r="BT232" s="549"/>
      <c r="BU232" s="675"/>
      <c r="BV232" s="549"/>
      <c r="BW232" s="675"/>
      <c r="BX232" s="549"/>
      <c r="BY232" s="675"/>
      <c r="BZ232" s="549"/>
      <c r="CA232" s="675"/>
      <c r="CB232" s="549"/>
      <c r="CC232" s="675"/>
      <c r="CD232" s="549"/>
      <c r="CE232" s="675"/>
      <c r="CF232" s="549"/>
      <c r="CG232" s="675"/>
      <c r="CH232" s="549"/>
      <c r="CI232" s="675"/>
      <c r="CJ232" s="549"/>
      <c r="CK232" s="675"/>
      <c r="CL232" s="549"/>
      <c r="CM232" s="675"/>
      <c r="CN232" s="549"/>
      <c r="CO232" s="675"/>
      <c r="CP232" s="549"/>
      <c r="CQ232" s="675"/>
      <c r="CR232" s="549"/>
      <c r="CS232" s="675"/>
      <c r="CT232" s="549"/>
      <c r="CU232" s="675"/>
      <c r="CV232" s="549"/>
      <c r="CW232" s="675"/>
      <c r="CX232" s="549"/>
      <c r="CY232" s="675"/>
      <c r="CZ232" s="549"/>
      <c r="DA232" s="675"/>
      <c r="DB232" s="549"/>
      <c r="DC232" s="675"/>
      <c r="DD232" s="549"/>
      <c r="DE232" s="675"/>
      <c r="DF232" s="549"/>
      <c r="DG232" s="675"/>
      <c r="DH232" s="549"/>
      <c r="DI232" s="675"/>
      <c r="DJ232" s="549"/>
      <c r="DK232" s="675"/>
      <c r="DL232" s="549"/>
      <c r="DM232" s="675"/>
      <c r="DN232" s="549"/>
      <c r="DO232" s="675"/>
      <c r="DP232" s="549"/>
      <c r="DQ232" s="675"/>
      <c r="DR232" s="549"/>
      <c r="DS232" s="675"/>
      <c r="DT232" s="549"/>
      <c r="DU232" s="675"/>
      <c r="DV232" s="549"/>
      <c r="DW232" s="675"/>
      <c r="DX232" s="549"/>
      <c r="DY232" s="675"/>
      <c r="DZ232" s="549"/>
      <c r="EA232" s="675"/>
      <c r="EB232" s="549"/>
      <c r="EC232" s="675"/>
      <c r="ED232" s="549"/>
      <c r="EE232" s="675"/>
      <c r="EF232" s="549"/>
      <c r="EG232" s="675"/>
      <c r="EH232" s="549"/>
      <c r="EI232" s="675"/>
      <c r="EJ232" s="549"/>
      <c r="EK232" s="675"/>
      <c r="EL232" s="549"/>
      <c r="EM232" s="675"/>
      <c r="EN232" s="549"/>
      <c r="EO232" s="675"/>
      <c r="EP232" s="549"/>
      <c r="EQ232" s="675"/>
      <c r="ER232" s="549"/>
      <c r="ES232" s="675"/>
      <c r="ET232" s="549"/>
      <c r="EU232" s="675"/>
      <c r="EV232" s="549"/>
      <c r="EW232" s="675"/>
      <c r="EX232" s="549"/>
      <c r="EY232" s="675"/>
      <c r="EZ232" s="549"/>
      <c r="FA232" s="675"/>
      <c r="FB232" s="549"/>
      <c r="FC232" s="675"/>
      <c r="FD232" s="549"/>
      <c r="FE232" s="675"/>
      <c r="FF232" s="549"/>
      <c r="FG232" s="675"/>
      <c r="FH232" s="549"/>
      <c r="FI232" s="675"/>
      <c r="FJ232" s="549"/>
      <c r="FK232" s="675"/>
      <c r="FL232" s="549"/>
      <c r="FM232" s="675"/>
      <c r="FN232" s="549"/>
      <c r="FO232" s="675"/>
      <c r="FP232" s="549"/>
      <c r="FQ232" s="675"/>
      <c r="FR232" s="549"/>
      <c r="FS232" s="675"/>
      <c r="FT232" s="549"/>
      <c r="FU232" s="675"/>
      <c r="FV232" s="549"/>
      <c r="FW232" s="675"/>
      <c r="FX232" s="549"/>
      <c r="FY232" s="675"/>
      <c r="FZ232" s="549"/>
      <c r="GA232" s="675"/>
      <c r="GB232" s="549"/>
      <c r="GC232" s="675"/>
      <c r="GD232" s="549"/>
      <c r="GE232" s="675"/>
      <c r="GF232" s="549"/>
      <c r="GG232" s="675"/>
      <c r="GH232" s="549"/>
      <c r="GI232" s="675"/>
      <c r="GJ232" s="549"/>
      <c r="GK232" s="675"/>
      <c r="GL232" s="549"/>
      <c r="GM232" s="675"/>
      <c r="GN232" s="549"/>
      <c r="GO232" s="675"/>
      <c r="GP232" s="74">
        <f t="shared" si="8052"/>
        <v>0</v>
      </c>
      <c r="GQ232" s="675">
        <f t="shared" si="8052"/>
        <v>0</v>
      </c>
      <c r="GR232" s="74">
        <f t="shared" si="8053"/>
        <v>0</v>
      </c>
      <c r="GS232" s="74">
        <f t="shared" si="8053"/>
        <v>0</v>
      </c>
      <c r="GT232" s="74">
        <f t="shared" si="8053"/>
        <v>0</v>
      </c>
      <c r="GU232" s="74">
        <f t="shared" si="8053"/>
        <v>0</v>
      </c>
      <c r="GV232" s="74">
        <f t="shared" si="8053"/>
        <v>0</v>
      </c>
      <c r="GW232" s="74">
        <f t="shared" si="8053"/>
        <v>0</v>
      </c>
      <c r="GX232" s="74">
        <f t="shared" si="8053"/>
        <v>0</v>
      </c>
      <c r="GY232" s="74">
        <f t="shared" si="8053"/>
        <v>0</v>
      </c>
      <c r="GZ232" s="74">
        <f t="shared" si="8053"/>
        <v>0</v>
      </c>
      <c r="HA232" s="74">
        <f t="shared" si="8053"/>
        <v>0</v>
      </c>
      <c r="HB232" s="74">
        <f t="shared" si="8053"/>
        <v>0</v>
      </c>
      <c r="HC232" s="74">
        <f t="shared" si="8053"/>
        <v>0</v>
      </c>
      <c r="HD232" s="74">
        <f t="shared" si="8053"/>
        <v>0</v>
      </c>
      <c r="HE232" s="74">
        <f t="shared" si="8053"/>
        <v>0</v>
      </c>
      <c r="HF232" s="74">
        <f t="shared" si="8053"/>
        <v>0</v>
      </c>
      <c r="HG232" s="74">
        <f>SUM(HG560)</f>
        <v>0</v>
      </c>
      <c r="HH232" s="74">
        <f t="shared" ref="HH232:HZ232" si="8056">SUM(HH560)</f>
        <v>0</v>
      </c>
      <c r="HI232" s="74">
        <f t="shared" si="8056"/>
        <v>0</v>
      </c>
      <c r="HJ232" s="74">
        <f t="shared" si="8056"/>
        <v>0</v>
      </c>
      <c r="HK232" s="74">
        <f t="shared" si="8056"/>
        <v>0</v>
      </c>
      <c r="HL232" s="74">
        <f t="shared" si="8056"/>
        <v>0</v>
      </c>
      <c r="HM232" s="74">
        <f t="shared" si="8056"/>
        <v>0</v>
      </c>
      <c r="HN232" s="74">
        <f t="shared" si="8056"/>
        <v>0</v>
      </c>
      <c r="HO232" s="74">
        <f t="shared" si="8056"/>
        <v>0</v>
      </c>
      <c r="HP232" s="74">
        <f t="shared" si="8056"/>
        <v>0</v>
      </c>
      <c r="HQ232" s="74">
        <f t="shared" si="8056"/>
        <v>0</v>
      </c>
      <c r="HR232" s="74">
        <f t="shared" si="8056"/>
        <v>0</v>
      </c>
      <c r="HS232" s="74">
        <f t="shared" si="8056"/>
        <v>0</v>
      </c>
      <c r="HT232" s="74">
        <f t="shared" si="8056"/>
        <v>0</v>
      </c>
      <c r="HU232" s="74">
        <f t="shared" si="8056"/>
        <v>0</v>
      </c>
      <c r="HV232" s="74">
        <f t="shared" si="8056"/>
        <v>0</v>
      </c>
      <c r="HW232" s="74">
        <f t="shared" si="8056"/>
        <v>0</v>
      </c>
      <c r="HX232" s="74">
        <f t="shared" si="8056"/>
        <v>0</v>
      </c>
      <c r="HY232" s="74">
        <f t="shared" si="8056"/>
        <v>0</v>
      </c>
      <c r="HZ232" s="74">
        <f t="shared" si="8056"/>
        <v>0</v>
      </c>
      <c r="IA232" s="74">
        <v>0</v>
      </c>
      <c r="IB232" s="74"/>
      <c r="IC232" s="74"/>
      <c r="ID232" s="74">
        <f t="shared" ref="ID232:JF232" si="8057">SUM(ID560)</f>
        <v>0</v>
      </c>
      <c r="IE232" s="792">
        <f t="shared" si="8057"/>
        <v>0</v>
      </c>
      <c r="IF232" s="841">
        <f t="shared" si="8057"/>
        <v>0</v>
      </c>
      <c r="IG232" s="263">
        <f t="shared" si="8057"/>
        <v>0</v>
      </c>
      <c r="IH232" s="842">
        <f t="shared" si="8057"/>
        <v>0</v>
      </c>
      <c r="II232" s="848">
        <f t="shared" si="8057"/>
        <v>0</v>
      </c>
      <c r="IJ232" s="718">
        <f t="shared" si="8057"/>
        <v>0</v>
      </c>
      <c r="IK232" s="718">
        <f t="shared" si="8057"/>
        <v>0</v>
      </c>
      <c r="IL232" s="718">
        <f t="shared" si="8057"/>
        <v>0</v>
      </c>
      <c r="IM232" s="718">
        <f t="shared" si="8057"/>
        <v>0</v>
      </c>
      <c r="IN232" s="718">
        <f t="shared" si="8057"/>
        <v>0</v>
      </c>
      <c r="IO232" s="718">
        <f t="shared" si="8057"/>
        <v>0</v>
      </c>
      <c r="IP232" s="718">
        <f t="shared" si="8057"/>
        <v>0</v>
      </c>
      <c r="IQ232" s="718">
        <f t="shared" si="8057"/>
        <v>0</v>
      </c>
      <c r="IR232" s="718">
        <f t="shared" si="8057"/>
        <v>0</v>
      </c>
      <c r="IS232" s="718">
        <f t="shared" si="8057"/>
        <v>0</v>
      </c>
      <c r="IT232" s="718">
        <f t="shared" si="8057"/>
        <v>0</v>
      </c>
      <c r="IU232" s="718">
        <f t="shared" si="8057"/>
        <v>0</v>
      </c>
      <c r="IV232" s="718">
        <f t="shared" si="8057"/>
        <v>0</v>
      </c>
      <c r="IW232" s="718">
        <f t="shared" si="8057"/>
        <v>0</v>
      </c>
      <c r="IX232" s="718">
        <f t="shared" si="8057"/>
        <v>0</v>
      </c>
      <c r="IY232" s="718">
        <f t="shared" si="8057"/>
        <v>0</v>
      </c>
      <c r="IZ232" s="718">
        <f t="shared" si="8057"/>
        <v>0</v>
      </c>
      <c r="JA232" s="718">
        <f t="shared" si="8057"/>
        <v>0</v>
      </c>
      <c r="JB232" s="718">
        <f t="shared" si="8057"/>
        <v>0</v>
      </c>
      <c r="JC232" s="718">
        <f t="shared" si="8057"/>
        <v>0</v>
      </c>
      <c r="JD232" s="74">
        <f t="shared" si="8057"/>
        <v>0</v>
      </c>
      <c r="JE232" s="74">
        <f t="shared" si="8057"/>
        <v>0</v>
      </c>
      <c r="JF232" s="74">
        <f t="shared" si="8057"/>
        <v>0</v>
      </c>
      <c r="JG232" s="74"/>
      <c r="JH232" s="74"/>
      <c r="JI232" s="74"/>
      <c r="JJ232" s="74"/>
      <c r="JK232" s="74"/>
      <c r="JL232" s="74"/>
      <c r="JM232" s="74"/>
      <c r="JN232" s="74"/>
      <c r="JO232" s="74"/>
      <c r="JP232" s="74">
        <f>SUM(JP560)</f>
        <v>0</v>
      </c>
      <c r="JQ232" s="74">
        <f>SUM(JQ560)</f>
        <v>0</v>
      </c>
      <c r="JR232" s="74">
        <f>SUM(JR560)</f>
        <v>0</v>
      </c>
      <c r="JS232" s="74">
        <f>SUM(JS560)</f>
        <v>0</v>
      </c>
      <c r="JT232" s="102">
        <f>SUM(JT560)</f>
        <v>0</v>
      </c>
      <c r="JU232" s="671"/>
      <c r="JV232" s="492"/>
      <c r="JW232" s="490"/>
      <c r="JX232" s="549">
        <f>SUM(JX560)</f>
        <v>0</v>
      </c>
      <c r="JY232" s="549">
        <f>SUM(JY560)</f>
        <v>0</v>
      </c>
      <c r="JZ232" s="581">
        <f t="shared" si="7470"/>
        <v>0</v>
      </c>
      <c r="KA232" s="581">
        <f t="shared" si="7471"/>
        <v>0</v>
      </c>
      <c r="KB232" s="549">
        <f>SUM(KB560)</f>
        <v>0</v>
      </c>
      <c r="KC232" s="709">
        <f t="shared" si="7396"/>
        <v>0</v>
      </c>
      <c r="KD232" s="36"/>
      <c r="KE232" s="36"/>
      <c r="KF232" s="36"/>
      <c r="KG232" s="36"/>
      <c r="KH232" s="36"/>
      <c r="KI232" s="36"/>
      <c r="KJ232" s="36"/>
      <c r="KK232" s="36"/>
    </row>
    <row r="233" spans="1:297" s="8" customFormat="1">
      <c r="A233" s="262" t="s">
        <v>1183</v>
      </c>
      <c r="B233" s="72"/>
      <c r="C233" s="74">
        <f t="shared" ref="C233" si="8058">SUM(C561)</f>
        <v>45000</v>
      </c>
      <c r="D233" s="549">
        <f t="shared" ref="D233:E233" si="8059">D561</f>
        <v>0</v>
      </c>
      <c r="E233" s="675">
        <f t="shared" si="8059"/>
        <v>0</v>
      </c>
      <c r="F233" s="549">
        <f t="shared" ref="F233:G233" si="8060">F561</f>
        <v>0</v>
      </c>
      <c r="G233" s="675">
        <f t="shared" si="8060"/>
        <v>0</v>
      </c>
      <c r="H233" s="549">
        <f t="shared" ref="H233:I233" si="8061">H561</f>
        <v>0</v>
      </c>
      <c r="I233" s="675">
        <f t="shared" si="8061"/>
        <v>0</v>
      </c>
      <c r="J233" s="549">
        <f t="shared" ref="J233:K233" si="8062">J561</f>
        <v>0</v>
      </c>
      <c r="K233" s="675">
        <f t="shared" si="8062"/>
        <v>0</v>
      </c>
      <c r="L233" s="549">
        <f t="shared" ref="L233:M233" si="8063">L561</f>
        <v>0</v>
      </c>
      <c r="M233" s="675">
        <f t="shared" si="8063"/>
        <v>0</v>
      </c>
      <c r="N233" s="549">
        <f t="shared" ref="N233:O233" si="8064">N561</f>
        <v>0</v>
      </c>
      <c r="O233" s="675">
        <f t="shared" si="8064"/>
        <v>0</v>
      </c>
      <c r="P233" s="549">
        <f t="shared" ref="P233:Q233" si="8065">P561</f>
        <v>0</v>
      </c>
      <c r="Q233" s="675">
        <f t="shared" si="8065"/>
        <v>0</v>
      </c>
      <c r="R233" s="549">
        <f t="shared" ref="R233:S233" si="8066">R561</f>
        <v>0</v>
      </c>
      <c r="S233" s="675">
        <f t="shared" si="8066"/>
        <v>0</v>
      </c>
      <c r="T233" s="549">
        <f t="shared" ref="T233:U233" si="8067">T561</f>
        <v>0</v>
      </c>
      <c r="U233" s="675">
        <f t="shared" si="8067"/>
        <v>0</v>
      </c>
      <c r="V233" s="549">
        <f t="shared" ref="V233:W233" si="8068">V561</f>
        <v>0</v>
      </c>
      <c r="W233" s="675">
        <f t="shared" si="8068"/>
        <v>0</v>
      </c>
      <c r="X233" s="549">
        <f t="shared" ref="X233:Y233" si="8069">X561</f>
        <v>0</v>
      </c>
      <c r="Y233" s="675">
        <f t="shared" si="8069"/>
        <v>0</v>
      </c>
      <c r="Z233" s="549">
        <f t="shared" ref="Z233:AA233" si="8070">Z561</f>
        <v>0</v>
      </c>
      <c r="AA233" s="675">
        <f t="shared" si="8070"/>
        <v>0</v>
      </c>
      <c r="AB233" s="549">
        <f t="shared" ref="AB233:AC233" si="8071">AB561</f>
        <v>0</v>
      </c>
      <c r="AC233" s="675">
        <f t="shared" si="8071"/>
        <v>0</v>
      </c>
      <c r="AD233" s="549">
        <f t="shared" ref="AD233:AE233" si="8072">AD561</f>
        <v>0</v>
      </c>
      <c r="AE233" s="675">
        <f t="shared" si="8072"/>
        <v>0</v>
      </c>
      <c r="AF233" s="549">
        <f t="shared" ref="AF233:AG233" si="8073">AF561</f>
        <v>0</v>
      </c>
      <c r="AG233" s="675">
        <f t="shared" si="8073"/>
        <v>0</v>
      </c>
      <c r="AH233" s="549">
        <f t="shared" ref="AH233:AI233" si="8074">AH561</f>
        <v>0</v>
      </c>
      <c r="AI233" s="675">
        <f t="shared" si="8074"/>
        <v>0</v>
      </c>
      <c r="AJ233" s="549">
        <f t="shared" ref="AJ233:AK233" si="8075">AJ561</f>
        <v>0</v>
      </c>
      <c r="AK233" s="675">
        <f t="shared" si="8075"/>
        <v>0</v>
      </c>
      <c r="AL233" s="549">
        <f t="shared" ref="AL233:AM233" si="8076">AL561</f>
        <v>0</v>
      </c>
      <c r="AM233" s="675">
        <f t="shared" si="8076"/>
        <v>0</v>
      </c>
      <c r="AN233" s="549">
        <f t="shared" ref="AN233:AO233" si="8077">AN561</f>
        <v>0</v>
      </c>
      <c r="AO233" s="675">
        <f t="shared" si="8077"/>
        <v>0</v>
      </c>
      <c r="AP233" s="549">
        <f t="shared" ref="AP233:AQ233" si="8078">AP561</f>
        <v>0</v>
      </c>
      <c r="AQ233" s="675">
        <f t="shared" si="8078"/>
        <v>0</v>
      </c>
      <c r="AR233" s="549">
        <f t="shared" ref="AR233:AS233" si="8079">AR561</f>
        <v>0</v>
      </c>
      <c r="AS233" s="675">
        <f t="shared" si="8079"/>
        <v>0</v>
      </c>
      <c r="AT233" s="549">
        <f t="shared" ref="AT233:AU233" si="8080">AT561</f>
        <v>0</v>
      </c>
      <c r="AU233" s="675">
        <f t="shared" si="8080"/>
        <v>0</v>
      </c>
      <c r="AV233" s="549">
        <f t="shared" ref="AV233:AW233" si="8081">AV561</f>
        <v>0</v>
      </c>
      <c r="AW233" s="675">
        <f t="shared" si="8081"/>
        <v>0</v>
      </c>
      <c r="AX233" s="549">
        <f t="shared" ref="AX233:AY233" si="8082">AX561</f>
        <v>0</v>
      </c>
      <c r="AY233" s="675">
        <f t="shared" si="8082"/>
        <v>0</v>
      </c>
      <c r="AZ233" s="549">
        <f t="shared" ref="AZ233:BA233" si="8083">AZ561</f>
        <v>0</v>
      </c>
      <c r="BA233" s="675">
        <f t="shared" si="8083"/>
        <v>0</v>
      </c>
      <c r="BB233" s="549">
        <f t="shared" ref="BB233:BC233" si="8084">BB561</f>
        <v>0</v>
      </c>
      <c r="BC233" s="675">
        <f t="shared" si="8084"/>
        <v>0</v>
      </c>
      <c r="BD233" s="549">
        <f t="shared" ref="BD233:BE233" si="8085">BD561</f>
        <v>0</v>
      </c>
      <c r="BE233" s="675">
        <f t="shared" si="8085"/>
        <v>0</v>
      </c>
      <c r="BF233" s="549">
        <f t="shared" ref="BF233:BG233" si="8086">BF561</f>
        <v>0</v>
      </c>
      <c r="BG233" s="675">
        <f t="shared" si="8086"/>
        <v>0</v>
      </c>
      <c r="BH233" s="549">
        <f t="shared" ref="BH233:BI233" si="8087">BH561</f>
        <v>0</v>
      </c>
      <c r="BI233" s="675">
        <f t="shared" si="8087"/>
        <v>0</v>
      </c>
      <c r="BJ233" s="549">
        <f t="shared" ref="BJ233:BK233" si="8088">BJ561</f>
        <v>0</v>
      </c>
      <c r="BK233" s="675">
        <f t="shared" si="8088"/>
        <v>0</v>
      </c>
      <c r="BL233" s="549">
        <f t="shared" ref="BL233:BM233" si="8089">BL561</f>
        <v>0</v>
      </c>
      <c r="BM233" s="675">
        <f t="shared" si="8089"/>
        <v>0</v>
      </c>
      <c r="BN233" s="549">
        <f t="shared" ref="BN233:BO233" si="8090">BN561</f>
        <v>0</v>
      </c>
      <c r="BO233" s="675">
        <f t="shared" si="8090"/>
        <v>0</v>
      </c>
      <c r="BP233" s="549">
        <f t="shared" ref="BP233:BQ233" si="8091">BP561</f>
        <v>0</v>
      </c>
      <c r="BQ233" s="675">
        <f t="shared" si="8091"/>
        <v>0</v>
      </c>
      <c r="BR233" s="549">
        <f t="shared" ref="BR233:BS233" si="8092">BR561</f>
        <v>0</v>
      </c>
      <c r="BS233" s="675">
        <f t="shared" si="8092"/>
        <v>0</v>
      </c>
      <c r="BT233" s="549">
        <f t="shared" ref="BT233:BU233" si="8093">BT561</f>
        <v>0</v>
      </c>
      <c r="BU233" s="675">
        <f t="shared" si="8093"/>
        <v>0</v>
      </c>
      <c r="BV233" s="549">
        <f t="shared" ref="BV233:BW233" si="8094">BV561</f>
        <v>0</v>
      </c>
      <c r="BW233" s="675">
        <f t="shared" si="8094"/>
        <v>0</v>
      </c>
      <c r="BX233" s="549">
        <f t="shared" ref="BX233:BY233" si="8095">BX561</f>
        <v>0</v>
      </c>
      <c r="BY233" s="675">
        <f t="shared" si="8095"/>
        <v>0</v>
      </c>
      <c r="BZ233" s="549">
        <f t="shared" ref="BZ233:CA233" si="8096">BZ561</f>
        <v>0</v>
      </c>
      <c r="CA233" s="675">
        <f t="shared" si="8096"/>
        <v>0</v>
      </c>
      <c r="CB233" s="549">
        <f t="shared" ref="CB233:CC233" si="8097">CB561</f>
        <v>0</v>
      </c>
      <c r="CC233" s="675">
        <f t="shared" si="8097"/>
        <v>0</v>
      </c>
      <c r="CD233" s="549">
        <f t="shared" ref="CD233:CE233" si="8098">CD561</f>
        <v>0</v>
      </c>
      <c r="CE233" s="675">
        <f t="shared" si="8098"/>
        <v>0</v>
      </c>
      <c r="CF233" s="549">
        <f t="shared" ref="CF233:DK233" si="8099">CF561</f>
        <v>0</v>
      </c>
      <c r="CG233" s="675">
        <f t="shared" si="8099"/>
        <v>0</v>
      </c>
      <c r="CH233" s="549">
        <f t="shared" si="8099"/>
        <v>0</v>
      </c>
      <c r="CI233" s="675">
        <f t="shared" si="8099"/>
        <v>0</v>
      </c>
      <c r="CJ233" s="549">
        <f t="shared" si="8099"/>
        <v>0</v>
      </c>
      <c r="CK233" s="675">
        <f t="shared" si="8099"/>
        <v>0</v>
      </c>
      <c r="CL233" s="549">
        <f t="shared" si="8099"/>
        <v>0</v>
      </c>
      <c r="CM233" s="675">
        <f t="shared" si="8099"/>
        <v>0</v>
      </c>
      <c r="CN233" s="549">
        <f t="shared" si="8099"/>
        <v>0</v>
      </c>
      <c r="CO233" s="675">
        <f t="shared" si="8099"/>
        <v>0</v>
      </c>
      <c r="CP233" s="549">
        <f t="shared" si="8099"/>
        <v>0</v>
      </c>
      <c r="CQ233" s="675">
        <f t="shared" si="8099"/>
        <v>0</v>
      </c>
      <c r="CR233" s="549">
        <f t="shared" si="8099"/>
        <v>0</v>
      </c>
      <c r="CS233" s="675">
        <f t="shared" si="8099"/>
        <v>0</v>
      </c>
      <c r="CT233" s="549">
        <f t="shared" si="8099"/>
        <v>0</v>
      </c>
      <c r="CU233" s="675">
        <f t="shared" si="8099"/>
        <v>0</v>
      </c>
      <c r="CV233" s="549">
        <f t="shared" si="8099"/>
        <v>0</v>
      </c>
      <c r="CW233" s="675">
        <f t="shared" si="8099"/>
        <v>0</v>
      </c>
      <c r="CX233" s="549">
        <f t="shared" si="8099"/>
        <v>0</v>
      </c>
      <c r="CY233" s="675">
        <f t="shared" si="8099"/>
        <v>0</v>
      </c>
      <c r="CZ233" s="549">
        <f t="shared" si="8099"/>
        <v>0</v>
      </c>
      <c r="DA233" s="675">
        <f t="shared" si="8099"/>
        <v>0</v>
      </c>
      <c r="DB233" s="549">
        <f t="shared" si="8099"/>
        <v>0</v>
      </c>
      <c r="DC233" s="675">
        <f t="shared" si="8099"/>
        <v>0</v>
      </c>
      <c r="DD233" s="549">
        <f t="shared" si="8099"/>
        <v>0</v>
      </c>
      <c r="DE233" s="675">
        <f t="shared" si="8099"/>
        <v>0</v>
      </c>
      <c r="DF233" s="549">
        <f t="shared" si="8099"/>
        <v>0</v>
      </c>
      <c r="DG233" s="675">
        <f t="shared" si="8099"/>
        <v>0</v>
      </c>
      <c r="DH233" s="549">
        <f t="shared" si="8099"/>
        <v>0</v>
      </c>
      <c r="DI233" s="675">
        <f t="shared" si="8099"/>
        <v>0</v>
      </c>
      <c r="DJ233" s="549">
        <f t="shared" si="8099"/>
        <v>0</v>
      </c>
      <c r="DK233" s="675">
        <f t="shared" si="8099"/>
        <v>0</v>
      </c>
      <c r="DL233" s="549">
        <f t="shared" ref="DL233:EQ233" si="8100">DL561</f>
        <v>0</v>
      </c>
      <c r="DM233" s="675">
        <f t="shared" si="8100"/>
        <v>0</v>
      </c>
      <c r="DN233" s="549">
        <f t="shared" si="8100"/>
        <v>0</v>
      </c>
      <c r="DO233" s="675">
        <f t="shared" si="8100"/>
        <v>0</v>
      </c>
      <c r="DP233" s="549">
        <f t="shared" si="8100"/>
        <v>0</v>
      </c>
      <c r="DQ233" s="675">
        <f t="shared" si="8100"/>
        <v>0</v>
      </c>
      <c r="DR233" s="549">
        <f t="shared" si="8100"/>
        <v>0</v>
      </c>
      <c r="DS233" s="675">
        <f t="shared" si="8100"/>
        <v>0</v>
      </c>
      <c r="DT233" s="549">
        <f t="shared" si="8100"/>
        <v>0</v>
      </c>
      <c r="DU233" s="675">
        <f t="shared" si="8100"/>
        <v>0</v>
      </c>
      <c r="DV233" s="549">
        <f t="shared" si="8100"/>
        <v>0</v>
      </c>
      <c r="DW233" s="675">
        <f t="shared" si="8100"/>
        <v>0</v>
      </c>
      <c r="DX233" s="549">
        <f t="shared" si="8100"/>
        <v>0</v>
      </c>
      <c r="DY233" s="675">
        <f t="shared" si="8100"/>
        <v>0</v>
      </c>
      <c r="DZ233" s="549">
        <f t="shared" si="8100"/>
        <v>0</v>
      </c>
      <c r="EA233" s="675">
        <f t="shared" si="8100"/>
        <v>0</v>
      </c>
      <c r="EB233" s="549">
        <f t="shared" si="8100"/>
        <v>0</v>
      </c>
      <c r="EC233" s="675">
        <f t="shared" si="8100"/>
        <v>0</v>
      </c>
      <c r="ED233" s="549">
        <f t="shared" si="8100"/>
        <v>0</v>
      </c>
      <c r="EE233" s="675">
        <f t="shared" si="8100"/>
        <v>0</v>
      </c>
      <c r="EF233" s="549">
        <f t="shared" si="8100"/>
        <v>0</v>
      </c>
      <c r="EG233" s="675">
        <f t="shared" si="8100"/>
        <v>0</v>
      </c>
      <c r="EH233" s="549">
        <f t="shared" si="8100"/>
        <v>0</v>
      </c>
      <c r="EI233" s="675">
        <f t="shared" si="8100"/>
        <v>0</v>
      </c>
      <c r="EJ233" s="549">
        <f t="shared" si="8100"/>
        <v>0</v>
      </c>
      <c r="EK233" s="675">
        <f t="shared" si="8100"/>
        <v>0</v>
      </c>
      <c r="EL233" s="549">
        <f t="shared" si="8100"/>
        <v>0</v>
      </c>
      <c r="EM233" s="675">
        <f t="shared" si="8100"/>
        <v>0</v>
      </c>
      <c r="EN233" s="549">
        <f t="shared" si="8100"/>
        <v>0</v>
      </c>
      <c r="EO233" s="675">
        <f t="shared" si="8100"/>
        <v>0</v>
      </c>
      <c r="EP233" s="549">
        <f t="shared" si="8100"/>
        <v>0</v>
      </c>
      <c r="EQ233" s="675">
        <f t="shared" si="8100"/>
        <v>0</v>
      </c>
      <c r="ER233" s="549">
        <f t="shared" ref="ER233:GK233" si="8101">ER561</f>
        <v>0</v>
      </c>
      <c r="ES233" s="675">
        <f t="shared" si="8101"/>
        <v>0</v>
      </c>
      <c r="ET233" s="549">
        <f t="shared" si="8101"/>
        <v>0</v>
      </c>
      <c r="EU233" s="675">
        <f t="shared" si="8101"/>
        <v>0</v>
      </c>
      <c r="EV233" s="549">
        <f t="shared" si="8101"/>
        <v>0</v>
      </c>
      <c r="EW233" s="675">
        <f t="shared" si="8101"/>
        <v>0</v>
      </c>
      <c r="EX233" s="549">
        <f t="shared" si="8101"/>
        <v>0</v>
      </c>
      <c r="EY233" s="675">
        <f t="shared" si="8101"/>
        <v>0</v>
      </c>
      <c r="EZ233" s="549">
        <f t="shared" si="8101"/>
        <v>0</v>
      </c>
      <c r="FA233" s="675">
        <f t="shared" si="8101"/>
        <v>0</v>
      </c>
      <c r="FB233" s="549">
        <f t="shared" si="8101"/>
        <v>0</v>
      </c>
      <c r="FC233" s="675">
        <f t="shared" si="8101"/>
        <v>0</v>
      </c>
      <c r="FD233" s="549">
        <f t="shared" si="8101"/>
        <v>0</v>
      </c>
      <c r="FE233" s="675">
        <f t="shared" si="8101"/>
        <v>0</v>
      </c>
      <c r="FF233" s="549">
        <f t="shared" si="8101"/>
        <v>0</v>
      </c>
      <c r="FG233" s="675">
        <f t="shared" si="8101"/>
        <v>0</v>
      </c>
      <c r="FH233" s="549">
        <f t="shared" si="8101"/>
        <v>0</v>
      </c>
      <c r="FI233" s="675">
        <f t="shared" si="8101"/>
        <v>0</v>
      </c>
      <c r="FJ233" s="549">
        <f t="shared" si="8101"/>
        <v>0</v>
      </c>
      <c r="FK233" s="675">
        <f t="shared" si="8101"/>
        <v>0</v>
      </c>
      <c r="FL233" s="549">
        <f t="shared" si="8101"/>
        <v>0</v>
      </c>
      <c r="FM233" s="675">
        <f t="shared" si="8101"/>
        <v>0</v>
      </c>
      <c r="FN233" s="549">
        <f t="shared" si="8101"/>
        <v>0</v>
      </c>
      <c r="FO233" s="675">
        <f t="shared" si="8101"/>
        <v>0</v>
      </c>
      <c r="FP233" s="549">
        <f t="shared" si="8101"/>
        <v>0</v>
      </c>
      <c r="FQ233" s="675">
        <f t="shared" si="8101"/>
        <v>0</v>
      </c>
      <c r="FR233" s="549">
        <f t="shared" si="8101"/>
        <v>0</v>
      </c>
      <c r="FS233" s="675">
        <f t="shared" si="8101"/>
        <v>0</v>
      </c>
      <c r="FT233" s="549">
        <f t="shared" si="8101"/>
        <v>0</v>
      </c>
      <c r="FU233" s="675">
        <f t="shared" si="8101"/>
        <v>0</v>
      </c>
      <c r="FV233" s="549">
        <f t="shared" si="8101"/>
        <v>0</v>
      </c>
      <c r="FW233" s="675">
        <f t="shared" si="8101"/>
        <v>0</v>
      </c>
      <c r="FX233" s="549">
        <f t="shared" si="8101"/>
        <v>0</v>
      </c>
      <c r="FY233" s="675">
        <f t="shared" si="8101"/>
        <v>0</v>
      </c>
      <c r="FZ233" s="549">
        <f t="shared" ref="FZ233:GI233" si="8102">FZ561</f>
        <v>0</v>
      </c>
      <c r="GA233" s="675">
        <f t="shared" si="8102"/>
        <v>0</v>
      </c>
      <c r="GB233" s="549">
        <f t="shared" si="8102"/>
        <v>0</v>
      </c>
      <c r="GC233" s="675">
        <f t="shared" si="8102"/>
        <v>0</v>
      </c>
      <c r="GD233" s="549">
        <f t="shared" si="8102"/>
        <v>0</v>
      </c>
      <c r="GE233" s="675">
        <f t="shared" si="8102"/>
        <v>0</v>
      </c>
      <c r="GF233" s="549">
        <f t="shared" si="8102"/>
        <v>0</v>
      </c>
      <c r="GG233" s="675">
        <f t="shared" si="8102"/>
        <v>0</v>
      </c>
      <c r="GH233" s="549">
        <f t="shared" si="8102"/>
        <v>0</v>
      </c>
      <c r="GI233" s="675">
        <f t="shared" si="8102"/>
        <v>0</v>
      </c>
      <c r="GJ233" s="549">
        <f t="shared" si="8101"/>
        <v>0</v>
      </c>
      <c r="GK233" s="675">
        <f t="shared" si="8101"/>
        <v>0</v>
      </c>
      <c r="GL233" s="549">
        <f t="shared" ref="GL233:GR233" si="8103">GL561</f>
        <v>0</v>
      </c>
      <c r="GM233" s="675">
        <f t="shared" si="8103"/>
        <v>0</v>
      </c>
      <c r="GN233" s="549">
        <f t="shared" ref="GN233:GO233" si="8104">GN561</f>
        <v>0</v>
      </c>
      <c r="GO233" s="675">
        <f t="shared" si="8104"/>
        <v>0</v>
      </c>
      <c r="GP233" s="74">
        <f t="shared" si="8103"/>
        <v>0</v>
      </c>
      <c r="GQ233" s="675">
        <f t="shared" si="8103"/>
        <v>0</v>
      </c>
      <c r="GR233" s="74">
        <f t="shared" si="8103"/>
        <v>45000</v>
      </c>
      <c r="GS233" s="74">
        <f t="shared" ref="GS233:JD233" si="8105">GS561</f>
        <v>45000</v>
      </c>
      <c r="GT233" s="74">
        <f t="shared" si="8105"/>
        <v>45000</v>
      </c>
      <c r="GU233" s="74">
        <f t="shared" si="8105"/>
        <v>10000</v>
      </c>
      <c r="GV233" s="74">
        <f t="shared" si="8105"/>
        <v>0</v>
      </c>
      <c r="GW233" s="74">
        <f t="shared" si="8105"/>
        <v>15000</v>
      </c>
      <c r="GX233" s="74">
        <f t="shared" si="8105"/>
        <v>0</v>
      </c>
      <c r="GY233" s="74">
        <f t="shared" si="8105"/>
        <v>10000</v>
      </c>
      <c r="GZ233" s="74">
        <f t="shared" si="8105"/>
        <v>0</v>
      </c>
      <c r="HA233" s="74">
        <f t="shared" si="8105"/>
        <v>0</v>
      </c>
      <c r="HB233" s="74">
        <f t="shared" si="8105"/>
        <v>10000</v>
      </c>
      <c r="HC233" s="74">
        <f t="shared" si="8105"/>
        <v>0</v>
      </c>
      <c r="HD233" s="74">
        <f t="shared" si="8105"/>
        <v>0</v>
      </c>
      <c r="HE233" s="74">
        <f t="shared" si="8105"/>
        <v>0</v>
      </c>
      <c r="HF233" s="74">
        <f t="shared" si="8105"/>
        <v>0</v>
      </c>
      <c r="HG233" s="74">
        <f t="shared" si="8105"/>
        <v>45000</v>
      </c>
      <c r="HH233" s="74">
        <f t="shared" si="8105"/>
        <v>10000</v>
      </c>
      <c r="HI233" s="74">
        <f t="shared" si="8105"/>
        <v>0</v>
      </c>
      <c r="HJ233" s="74">
        <f t="shared" si="8105"/>
        <v>0</v>
      </c>
      <c r="HK233" s="74">
        <f t="shared" si="8105"/>
        <v>0</v>
      </c>
      <c r="HL233" s="74">
        <f t="shared" si="8105"/>
        <v>0</v>
      </c>
      <c r="HM233" s="74">
        <f t="shared" si="8105"/>
        <v>0</v>
      </c>
      <c r="HN233" s="74">
        <f t="shared" si="8105"/>
        <v>0</v>
      </c>
      <c r="HO233" s="74">
        <f t="shared" si="8105"/>
        <v>0</v>
      </c>
      <c r="HP233" s="74">
        <f t="shared" si="8105"/>
        <v>0</v>
      </c>
      <c r="HQ233" s="74">
        <f t="shared" si="8105"/>
        <v>0</v>
      </c>
      <c r="HR233" s="74">
        <f t="shared" si="8105"/>
        <v>0</v>
      </c>
      <c r="HS233" s="74">
        <f t="shared" si="8105"/>
        <v>0</v>
      </c>
      <c r="HT233" s="74">
        <f t="shared" si="8105"/>
        <v>0</v>
      </c>
      <c r="HU233" s="74">
        <f t="shared" si="8105"/>
        <v>0</v>
      </c>
      <c r="HV233" s="74">
        <f t="shared" si="8105"/>
        <v>28200</v>
      </c>
      <c r="HW233" s="74">
        <f t="shared" si="8105"/>
        <v>0</v>
      </c>
      <c r="HX233" s="74">
        <f t="shared" si="8105"/>
        <v>6800</v>
      </c>
      <c r="HY233" s="74">
        <f t="shared" si="8105"/>
        <v>0</v>
      </c>
      <c r="HZ233" s="74">
        <f t="shared" si="8105"/>
        <v>0</v>
      </c>
      <c r="IA233" s="74">
        <f t="shared" si="8105"/>
        <v>0</v>
      </c>
      <c r="IB233" s="74">
        <f t="shared" si="8105"/>
        <v>0</v>
      </c>
      <c r="IC233" s="74">
        <f t="shared" si="8105"/>
        <v>0</v>
      </c>
      <c r="ID233" s="74">
        <f t="shared" si="8105"/>
        <v>0</v>
      </c>
      <c r="IE233" s="74">
        <f t="shared" si="8105"/>
        <v>0</v>
      </c>
      <c r="IF233" s="841">
        <f t="shared" si="8105"/>
        <v>45000</v>
      </c>
      <c r="IG233" s="263">
        <f t="shared" si="8105"/>
        <v>45000</v>
      </c>
      <c r="IH233" s="842">
        <f t="shared" si="8105"/>
        <v>45000</v>
      </c>
      <c r="II233" s="74">
        <f t="shared" si="8105"/>
        <v>0</v>
      </c>
      <c r="IJ233" s="74">
        <f t="shared" si="8105"/>
        <v>0</v>
      </c>
      <c r="IK233" s="74">
        <f t="shared" si="8105"/>
        <v>0</v>
      </c>
      <c r="IL233" s="74">
        <f t="shared" si="8105"/>
        <v>0</v>
      </c>
      <c r="IM233" s="74">
        <f t="shared" si="8105"/>
        <v>0</v>
      </c>
      <c r="IN233" s="74">
        <f t="shared" si="8105"/>
        <v>0</v>
      </c>
      <c r="IO233" s="74">
        <f t="shared" si="8105"/>
        <v>500</v>
      </c>
      <c r="IP233" s="74">
        <f t="shared" si="8105"/>
        <v>500</v>
      </c>
      <c r="IQ233" s="74">
        <f t="shared" si="8105"/>
        <v>500</v>
      </c>
      <c r="IR233" s="74">
        <f t="shared" si="8105"/>
        <v>0</v>
      </c>
      <c r="IS233" s="74">
        <f t="shared" si="8105"/>
        <v>0</v>
      </c>
      <c r="IT233" s="74">
        <f t="shared" si="8105"/>
        <v>0</v>
      </c>
      <c r="IU233" s="74">
        <f t="shared" si="8105"/>
        <v>2000</v>
      </c>
      <c r="IV233" s="74">
        <f t="shared" si="8105"/>
        <v>2000</v>
      </c>
      <c r="IW233" s="74">
        <f t="shared" si="8105"/>
        <v>2000</v>
      </c>
      <c r="IX233" s="74">
        <f t="shared" si="8105"/>
        <v>750</v>
      </c>
      <c r="IY233" s="74">
        <f t="shared" si="8105"/>
        <v>750</v>
      </c>
      <c r="IZ233" s="74">
        <f t="shared" si="8105"/>
        <v>750</v>
      </c>
      <c r="JA233" s="74">
        <f t="shared" si="8105"/>
        <v>1650</v>
      </c>
      <c r="JB233" s="74">
        <f t="shared" si="8105"/>
        <v>1650</v>
      </c>
      <c r="JC233" s="74">
        <f t="shared" si="8105"/>
        <v>1650</v>
      </c>
      <c r="JD233" s="74">
        <f t="shared" si="8105"/>
        <v>28200</v>
      </c>
      <c r="JE233" s="74">
        <f t="shared" ref="JE233:JT233" si="8106">JE561</f>
        <v>28200</v>
      </c>
      <c r="JF233" s="74">
        <f t="shared" si="8106"/>
        <v>28200</v>
      </c>
      <c r="JG233" s="74">
        <f t="shared" si="8106"/>
        <v>11150</v>
      </c>
      <c r="JH233" s="74">
        <f t="shared" si="8106"/>
        <v>11150</v>
      </c>
      <c r="JI233" s="74">
        <f t="shared" si="8106"/>
        <v>11150</v>
      </c>
      <c r="JJ233" s="74">
        <f t="shared" si="8106"/>
        <v>750</v>
      </c>
      <c r="JK233" s="74">
        <f t="shared" si="8106"/>
        <v>750</v>
      </c>
      <c r="JL233" s="74">
        <f t="shared" si="8106"/>
        <v>750</v>
      </c>
      <c r="JM233" s="74">
        <f t="shared" si="8106"/>
        <v>0</v>
      </c>
      <c r="JN233" s="74">
        <f t="shared" si="8106"/>
        <v>0</v>
      </c>
      <c r="JO233" s="74">
        <f t="shared" si="8106"/>
        <v>0</v>
      </c>
      <c r="JP233" s="74">
        <f t="shared" si="8106"/>
        <v>0</v>
      </c>
      <c r="JQ233" s="74">
        <f t="shared" si="8106"/>
        <v>0</v>
      </c>
      <c r="JR233" s="74">
        <f t="shared" si="8106"/>
        <v>0</v>
      </c>
      <c r="JS233" s="74">
        <f t="shared" si="8106"/>
        <v>0</v>
      </c>
      <c r="JT233" s="74">
        <f t="shared" si="8106"/>
        <v>0</v>
      </c>
      <c r="JU233" s="671"/>
      <c r="JV233" s="492"/>
      <c r="JW233" s="490"/>
      <c r="JX233" s="549">
        <f>JX561</f>
        <v>45000</v>
      </c>
      <c r="JY233" s="549">
        <f>JY561</f>
        <v>0</v>
      </c>
      <c r="JZ233" s="581">
        <f t="shared" si="7470"/>
        <v>0</v>
      </c>
      <c r="KA233" s="581">
        <f t="shared" si="7471"/>
        <v>0</v>
      </c>
      <c r="KB233" s="549">
        <f>KB561</f>
        <v>45000</v>
      </c>
      <c r="KC233" s="709">
        <f t="shared" si="7396"/>
        <v>0</v>
      </c>
      <c r="KD233" s="36"/>
      <c r="KE233" s="36"/>
      <c r="KF233" s="36"/>
      <c r="KG233" s="36"/>
      <c r="KH233" s="36"/>
      <c r="KI233" s="36"/>
      <c r="KJ233" s="36"/>
      <c r="KK233" s="36"/>
    </row>
    <row r="234" spans="1:297" s="8" customFormat="1">
      <c r="A234" s="262" t="s">
        <v>1221</v>
      </c>
      <c r="B234" s="72"/>
      <c r="C234" s="74">
        <v>0</v>
      </c>
      <c r="D234" s="549">
        <f t="shared" ref="D234:E234" si="8107">D362</f>
        <v>0</v>
      </c>
      <c r="E234" s="675">
        <f t="shared" si="8107"/>
        <v>0</v>
      </c>
      <c r="F234" s="549">
        <f t="shared" ref="F234:G234" si="8108">F362</f>
        <v>0</v>
      </c>
      <c r="G234" s="675">
        <f t="shared" si="8108"/>
        <v>0</v>
      </c>
      <c r="H234" s="549">
        <f t="shared" ref="H234:I234" si="8109">H362</f>
        <v>0</v>
      </c>
      <c r="I234" s="675">
        <f t="shared" si="8109"/>
        <v>0</v>
      </c>
      <c r="J234" s="549">
        <f t="shared" ref="J234:K234" si="8110">J362</f>
        <v>0</v>
      </c>
      <c r="K234" s="675">
        <f t="shared" si="8110"/>
        <v>0</v>
      </c>
      <c r="L234" s="549">
        <f t="shared" ref="L234:M234" si="8111">L362</f>
        <v>0</v>
      </c>
      <c r="M234" s="675">
        <f t="shared" si="8111"/>
        <v>0</v>
      </c>
      <c r="N234" s="549">
        <f t="shared" ref="N234:O234" si="8112">N362</f>
        <v>0</v>
      </c>
      <c r="O234" s="675">
        <f t="shared" si="8112"/>
        <v>0</v>
      </c>
      <c r="P234" s="549">
        <f t="shared" ref="P234:Q234" si="8113">P362</f>
        <v>0</v>
      </c>
      <c r="Q234" s="675">
        <f t="shared" si="8113"/>
        <v>0</v>
      </c>
      <c r="R234" s="549">
        <f t="shared" ref="R234:S234" si="8114">R362</f>
        <v>0</v>
      </c>
      <c r="S234" s="675">
        <f t="shared" si="8114"/>
        <v>0</v>
      </c>
      <c r="T234" s="549">
        <f t="shared" ref="T234:U234" si="8115">T362</f>
        <v>0</v>
      </c>
      <c r="U234" s="675">
        <f t="shared" si="8115"/>
        <v>0</v>
      </c>
      <c r="V234" s="549">
        <f t="shared" ref="V234:W234" si="8116">V362</f>
        <v>0</v>
      </c>
      <c r="W234" s="675">
        <f t="shared" si="8116"/>
        <v>0</v>
      </c>
      <c r="X234" s="549">
        <f t="shared" ref="X234:Y234" si="8117">X362</f>
        <v>0</v>
      </c>
      <c r="Y234" s="675">
        <f t="shared" si="8117"/>
        <v>0</v>
      </c>
      <c r="Z234" s="549">
        <f t="shared" ref="Z234:AA234" si="8118">Z362</f>
        <v>0</v>
      </c>
      <c r="AA234" s="675">
        <f t="shared" si="8118"/>
        <v>0</v>
      </c>
      <c r="AB234" s="549">
        <f t="shared" ref="AB234:AC234" si="8119">AB362</f>
        <v>0</v>
      </c>
      <c r="AC234" s="675">
        <f t="shared" si="8119"/>
        <v>0</v>
      </c>
      <c r="AD234" s="549">
        <f t="shared" ref="AD234:AE234" si="8120">AD362</f>
        <v>0</v>
      </c>
      <c r="AE234" s="675">
        <f t="shared" si="8120"/>
        <v>0</v>
      </c>
      <c r="AF234" s="549">
        <f t="shared" ref="AF234:AG234" si="8121">AF362</f>
        <v>0</v>
      </c>
      <c r="AG234" s="675">
        <f t="shared" si="8121"/>
        <v>0</v>
      </c>
      <c r="AH234" s="549">
        <f t="shared" ref="AH234:AI234" si="8122">AH362</f>
        <v>0</v>
      </c>
      <c r="AI234" s="675">
        <f t="shared" si="8122"/>
        <v>0</v>
      </c>
      <c r="AJ234" s="549">
        <f t="shared" ref="AJ234:AK234" si="8123">AJ362</f>
        <v>0</v>
      </c>
      <c r="AK234" s="675">
        <f t="shared" si="8123"/>
        <v>0</v>
      </c>
      <c r="AL234" s="549">
        <f t="shared" ref="AL234:AM234" si="8124">AL362</f>
        <v>0</v>
      </c>
      <c r="AM234" s="675">
        <f t="shared" si="8124"/>
        <v>0</v>
      </c>
      <c r="AN234" s="549">
        <f t="shared" ref="AN234:AO234" si="8125">AN362</f>
        <v>0</v>
      </c>
      <c r="AO234" s="675">
        <f t="shared" si="8125"/>
        <v>0</v>
      </c>
      <c r="AP234" s="549">
        <f t="shared" ref="AP234:AQ234" si="8126">AP362</f>
        <v>0</v>
      </c>
      <c r="AQ234" s="675">
        <f t="shared" si="8126"/>
        <v>0</v>
      </c>
      <c r="AR234" s="549">
        <f t="shared" ref="AR234:AS234" si="8127">AR362</f>
        <v>0</v>
      </c>
      <c r="AS234" s="675">
        <f t="shared" si="8127"/>
        <v>0</v>
      </c>
      <c r="AT234" s="549">
        <f t="shared" ref="AT234:AU234" si="8128">AT362</f>
        <v>0</v>
      </c>
      <c r="AU234" s="675">
        <f t="shared" si="8128"/>
        <v>0</v>
      </c>
      <c r="AV234" s="549">
        <f t="shared" ref="AV234:AW234" si="8129">AV362</f>
        <v>0</v>
      </c>
      <c r="AW234" s="675">
        <f t="shared" si="8129"/>
        <v>0</v>
      </c>
      <c r="AX234" s="549">
        <f t="shared" ref="AX234:AY234" si="8130">AX362</f>
        <v>0</v>
      </c>
      <c r="AY234" s="675">
        <f t="shared" si="8130"/>
        <v>0</v>
      </c>
      <c r="AZ234" s="549">
        <f t="shared" ref="AZ234:BA234" si="8131">AZ362</f>
        <v>0</v>
      </c>
      <c r="BA234" s="675">
        <f t="shared" si="8131"/>
        <v>0</v>
      </c>
      <c r="BB234" s="549">
        <f t="shared" ref="BB234:BC234" si="8132">BB362</f>
        <v>0</v>
      </c>
      <c r="BC234" s="675">
        <f t="shared" si="8132"/>
        <v>0</v>
      </c>
      <c r="BD234" s="549">
        <f t="shared" ref="BD234:BE234" si="8133">BD362</f>
        <v>0</v>
      </c>
      <c r="BE234" s="675">
        <f t="shared" si="8133"/>
        <v>0</v>
      </c>
      <c r="BF234" s="549">
        <f t="shared" ref="BF234:BG234" si="8134">BF362</f>
        <v>0</v>
      </c>
      <c r="BG234" s="675">
        <f t="shared" si="8134"/>
        <v>0</v>
      </c>
      <c r="BH234" s="549">
        <f t="shared" ref="BH234:BI234" si="8135">BH362</f>
        <v>0</v>
      </c>
      <c r="BI234" s="675">
        <f t="shared" si="8135"/>
        <v>0</v>
      </c>
      <c r="BJ234" s="549">
        <f t="shared" ref="BJ234:BK234" si="8136">BJ362</f>
        <v>0</v>
      </c>
      <c r="BK234" s="675">
        <f t="shared" si="8136"/>
        <v>0</v>
      </c>
      <c r="BL234" s="549">
        <f t="shared" ref="BL234:BM234" si="8137">BL362</f>
        <v>0</v>
      </c>
      <c r="BM234" s="675">
        <f t="shared" si="8137"/>
        <v>0</v>
      </c>
      <c r="BN234" s="549">
        <f t="shared" ref="BN234:BO234" si="8138">BN362</f>
        <v>0</v>
      </c>
      <c r="BO234" s="675">
        <f t="shared" si="8138"/>
        <v>0</v>
      </c>
      <c r="BP234" s="549">
        <f t="shared" ref="BP234:BQ234" si="8139">BP362</f>
        <v>0</v>
      </c>
      <c r="BQ234" s="675">
        <f t="shared" si="8139"/>
        <v>0</v>
      </c>
      <c r="BR234" s="549">
        <f t="shared" ref="BR234:BS234" si="8140">BR362</f>
        <v>0</v>
      </c>
      <c r="BS234" s="675">
        <f t="shared" si="8140"/>
        <v>0</v>
      </c>
      <c r="BT234" s="549">
        <f t="shared" ref="BT234:BU234" si="8141">BT362</f>
        <v>0</v>
      </c>
      <c r="BU234" s="675">
        <f t="shared" si="8141"/>
        <v>0</v>
      </c>
      <c r="BV234" s="549">
        <f t="shared" ref="BV234:BW234" si="8142">BV362</f>
        <v>0</v>
      </c>
      <c r="BW234" s="675">
        <f t="shared" si="8142"/>
        <v>0</v>
      </c>
      <c r="BX234" s="549">
        <f t="shared" ref="BX234:BY234" si="8143">BX362</f>
        <v>0</v>
      </c>
      <c r="BY234" s="675">
        <f t="shared" si="8143"/>
        <v>0</v>
      </c>
      <c r="BZ234" s="549">
        <f t="shared" ref="BZ234:CA234" si="8144">BZ362</f>
        <v>0</v>
      </c>
      <c r="CA234" s="675">
        <f t="shared" si="8144"/>
        <v>0</v>
      </c>
      <c r="CB234" s="549">
        <f t="shared" ref="CB234:DG234" si="8145">CB362</f>
        <v>0</v>
      </c>
      <c r="CC234" s="675">
        <f t="shared" si="8145"/>
        <v>0</v>
      </c>
      <c r="CD234" s="549">
        <f t="shared" si="8145"/>
        <v>0</v>
      </c>
      <c r="CE234" s="675">
        <f t="shared" si="8145"/>
        <v>0</v>
      </c>
      <c r="CF234" s="549">
        <f t="shared" si="8145"/>
        <v>0</v>
      </c>
      <c r="CG234" s="675">
        <f t="shared" si="8145"/>
        <v>0</v>
      </c>
      <c r="CH234" s="549">
        <f t="shared" si="8145"/>
        <v>0</v>
      </c>
      <c r="CI234" s="675">
        <f t="shared" si="8145"/>
        <v>0</v>
      </c>
      <c r="CJ234" s="549">
        <f t="shared" si="8145"/>
        <v>0</v>
      </c>
      <c r="CK234" s="675">
        <f t="shared" si="8145"/>
        <v>0</v>
      </c>
      <c r="CL234" s="549">
        <f t="shared" si="8145"/>
        <v>0</v>
      </c>
      <c r="CM234" s="675">
        <f t="shared" si="8145"/>
        <v>0</v>
      </c>
      <c r="CN234" s="549">
        <f t="shared" si="8145"/>
        <v>0</v>
      </c>
      <c r="CO234" s="675">
        <f t="shared" si="8145"/>
        <v>0</v>
      </c>
      <c r="CP234" s="549">
        <f t="shared" si="8145"/>
        <v>0</v>
      </c>
      <c r="CQ234" s="675">
        <f t="shared" si="8145"/>
        <v>0</v>
      </c>
      <c r="CR234" s="549">
        <f t="shared" si="8145"/>
        <v>0</v>
      </c>
      <c r="CS234" s="675">
        <f t="shared" si="8145"/>
        <v>0</v>
      </c>
      <c r="CT234" s="549">
        <f t="shared" si="8145"/>
        <v>0</v>
      </c>
      <c r="CU234" s="675">
        <f t="shared" si="8145"/>
        <v>0</v>
      </c>
      <c r="CV234" s="549">
        <f t="shared" si="8145"/>
        <v>0</v>
      </c>
      <c r="CW234" s="675">
        <f t="shared" si="8145"/>
        <v>0</v>
      </c>
      <c r="CX234" s="549">
        <f t="shared" si="8145"/>
        <v>0</v>
      </c>
      <c r="CY234" s="675">
        <f t="shared" si="8145"/>
        <v>0</v>
      </c>
      <c r="CZ234" s="549">
        <f t="shared" si="8145"/>
        <v>0</v>
      </c>
      <c r="DA234" s="675">
        <f t="shared" si="8145"/>
        <v>0</v>
      </c>
      <c r="DB234" s="549">
        <f t="shared" si="8145"/>
        <v>0</v>
      </c>
      <c r="DC234" s="675">
        <f t="shared" si="8145"/>
        <v>0</v>
      </c>
      <c r="DD234" s="549">
        <f t="shared" si="8145"/>
        <v>0</v>
      </c>
      <c r="DE234" s="675">
        <f t="shared" si="8145"/>
        <v>0</v>
      </c>
      <c r="DF234" s="549">
        <f t="shared" si="8145"/>
        <v>0</v>
      </c>
      <c r="DG234" s="675">
        <f t="shared" si="8145"/>
        <v>0</v>
      </c>
      <c r="DH234" s="549">
        <f t="shared" ref="DH234:EM234" si="8146">DH362</f>
        <v>0</v>
      </c>
      <c r="DI234" s="675">
        <f t="shared" si="8146"/>
        <v>0</v>
      </c>
      <c r="DJ234" s="549">
        <f t="shared" si="8146"/>
        <v>0</v>
      </c>
      <c r="DK234" s="675">
        <f t="shared" si="8146"/>
        <v>0</v>
      </c>
      <c r="DL234" s="549">
        <f t="shared" si="8146"/>
        <v>0</v>
      </c>
      <c r="DM234" s="675">
        <f t="shared" si="8146"/>
        <v>0</v>
      </c>
      <c r="DN234" s="549">
        <f t="shared" si="8146"/>
        <v>0</v>
      </c>
      <c r="DO234" s="675">
        <f t="shared" si="8146"/>
        <v>0</v>
      </c>
      <c r="DP234" s="549">
        <f t="shared" si="8146"/>
        <v>0</v>
      </c>
      <c r="DQ234" s="675">
        <f t="shared" si="8146"/>
        <v>0</v>
      </c>
      <c r="DR234" s="549">
        <f t="shared" si="8146"/>
        <v>0</v>
      </c>
      <c r="DS234" s="675">
        <f t="shared" si="8146"/>
        <v>0</v>
      </c>
      <c r="DT234" s="549">
        <f t="shared" si="8146"/>
        <v>0</v>
      </c>
      <c r="DU234" s="675">
        <f t="shared" si="8146"/>
        <v>0</v>
      </c>
      <c r="DV234" s="549">
        <f t="shared" si="8146"/>
        <v>0</v>
      </c>
      <c r="DW234" s="675">
        <f t="shared" si="8146"/>
        <v>0</v>
      </c>
      <c r="DX234" s="549">
        <f t="shared" si="8146"/>
        <v>0</v>
      </c>
      <c r="DY234" s="675">
        <f t="shared" si="8146"/>
        <v>0</v>
      </c>
      <c r="DZ234" s="549">
        <f t="shared" si="8146"/>
        <v>0</v>
      </c>
      <c r="EA234" s="675">
        <f t="shared" si="8146"/>
        <v>0</v>
      </c>
      <c r="EB234" s="549">
        <f t="shared" si="8146"/>
        <v>0</v>
      </c>
      <c r="EC234" s="675">
        <f t="shared" si="8146"/>
        <v>0</v>
      </c>
      <c r="ED234" s="549">
        <f t="shared" si="8146"/>
        <v>0</v>
      </c>
      <c r="EE234" s="675">
        <f t="shared" si="8146"/>
        <v>0</v>
      </c>
      <c r="EF234" s="549">
        <f t="shared" si="8146"/>
        <v>0</v>
      </c>
      <c r="EG234" s="675">
        <f t="shared" si="8146"/>
        <v>0</v>
      </c>
      <c r="EH234" s="549">
        <f t="shared" si="8146"/>
        <v>0</v>
      </c>
      <c r="EI234" s="675">
        <f t="shared" si="8146"/>
        <v>0</v>
      </c>
      <c r="EJ234" s="549">
        <f t="shared" si="8146"/>
        <v>0</v>
      </c>
      <c r="EK234" s="675">
        <f t="shared" si="8146"/>
        <v>0</v>
      </c>
      <c r="EL234" s="549">
        <f t="shared" si="8146"/>
        <v>0</v>
      </c>
      <c r="EM234" s="675">
        <f t="shared" si="8146"/>
        <v>0</v>
      </c>
      <c r="EN234" s="549">
        <f t="shared" ref="EN234:FS234" si="8147">EN362</f>
        <v>0</v>
      </c>
      <c r="EO234" s="675">
        <f t="shared" si="8147"/>
        <v>0</v>
      </c>
      <c r="EP234" s="549">
        <f t="shared" si="8147"/>
        <v>0</v>
      </c>
      <c r="EQ234" s="675">
        <f t="shared" si="8147"/>
        <v>0</v>
      </c>
      <c r="ER234" s="549">
        <f t="shared" si="8147"/>
        <v>0</v>
      </c>
      <c r="ES234" s="675">
        <f t="shared" si="8147"/>
        <v>0</v>
      </c>
      <c r="ET234" s="549">
        <f t="shared" si="8147"/>
        <v>0</v>
      </c>
      <c r="EU234" s="675">
        <f t="shared" si="8147"/>
        <v>0</v>
      </c>
      <c r="EV234" s="549">
        <f t="shared" si="8147"/>
        <v>0</v>
      </c>
      <c r="EW234" s="675">
        <f t="shared" si="8147"/>
        <v>0</v>
      </c>
      <c r="EX234" s="549">
        <f t="shared" si="8147"/>
        <v>0</v>
      </c>
      <c r="EY234" s="675">
        <f t="shared" si="8147"/>
        <v>0</v>
      </c>
      <c r="EZ234" s="549">
        <f t="shared" si="8147"/>
        <v>0</v>
      </c>
      <c r="FA234" s="675">
        <f t="shared" si="8147"/>
        <v>0</v>
      </c>
      <c r="FB234" s="549">
        <f t="shared" si="8147"/>
        <v>0</v>
      </c>
      <c r="FC234" s="675">
        <f t="shared" si="8147"/>
        <v>0</v>
      </c>
      <c r="FD234" s="549">
        <f t="shared" si="8147"/>
        <v>0</v>
      </c>
      <c r="FE234" s="675">
        <f t="shared" si="8147"/>
        <v>0</v>
      </c>
      <c r="FF234" s="549">
        <f t="shared" si="8147"/>
        <v>0</v>
      </c>
      <c r="FG234" s="675">
        <f t="shared" si="8147"/>
        <v>0</v>
      </c>
      <c r="FH234" s="549">
        <f t="shared" si="8147"/>
        <v>0</v>
      </c>
      <c r="FI234" s="675">
        <f t="shared" si="8147"/>
        <v>0</v>
      </c>
      <c r="FJ234" s="549">
        <f t="shared" si="8147"/>
        <v>0</v>
      </c>
      <c r="FK234" s="675">
        <f t="shared" si="8147"/>
        <v>0</v>
      </c>
      <c r="FL234" s="549">
        <f t="shared" si="8147"/>
        <v>0</v>
      </c>
      <c r="FM234" s="675">
        <f t="shared" si="8147"/>
        <v>0</v>
      </c>
      <c r="FN234" s="549">
        <f t="shared" si="8147"/>
        <v>0</v>
      </c>
      <c r="FO234" s="675">
        <f t="shared" si="8147"/>
        <v>0</v>
      </c>
      <c r="FP234" s="549">
        <f t="shared" si="8147"/>
        <v>0</v>
      </c>
      <c r="FQ234" s="675">
        <f t="shared" si="8147"/>
        <v>0</v>
      </c>
      <c r="FR234" s="549">
        <f t="shared" si="8147"/>
        <v>0</v>
      </c>
      <c r="FS234" s="675">
        <f t="shared" si="8147"/>
        <v>0</v>
      </c>
      <c r="FT234" s="549">
        <f t="shared" ref="FT234:GR234" si="8148">FT362</f>
        <v>0</v>
      </c>
      <c r="FU234" s="675">
        <f t="shared" si="8148"/>
        <v>0</v>
      </c>
      <c r="FV234" s="549">
        <f t="shared" si="8148"/>
        <v>0</v>
      </c>
      <c r="FW234" s="675">
        <f t="shared" si="8148"/>
        <v>0</v>
      </c>
      <c r="FX234" s="549">
        <f t="shared" ref="FX234:GK234" si="8149">FX362</f>
        <v>0</v>
      </c>
      <c r="FY234" s="675">
        <f t="shared" si="8149"/>
        <v>0</v>
      </c>
      <c r="FZ234" s="549">
        <f t="shared" ref="FZ234:GI234" si="8150">FZ362</f>
        <v>0</v>
      </c>
      <c r="GA234" s="675">
        <f t="shared" si="8150"/>
        <v>0</v>
      </c>
      <c r="GB234" s="549">
        <f t="shared" si="8150"/>
        <v>0</v>
      </c>
      <c r="GC234" s="675">
        <f t="shared" si="8150"/>
        <v>0</v>
      </c>
      <c r="GD234" s="549">
        <f t="shared" si="8150"/>
        <v>0</v>
      </c>
      <c r="GE234" s="675">
        <f t="shared" si="8150"/>
        <v>0</v>
      </c>
      <c r="GF234" s="549">
        <f t="shared" si="8150"/>
        <v>0</v>
      </c>
      <c r="GG234" s="675">
        <f t="shared" si="8150"/>
        <v>0</v>
      </c>
      <c r="GH234" s="549">
        <f t="shared" si="8150"/>
        <v>0</v>
      </c>
      <c r="GI234" s="675">
        <f t="shared" si="8150"/>
        <v>0</v>
      </c>
      <c r="GJ234" s="549">
        <f t="shared" si="8149"/>
        <v>0</v>
      </c>
      <c r="GK234" s="675">
        <f t="shared" si="8149"/>
        <v>0</v>
      </c>
      <c r="GL234" s="549">
        <f t="shared" si="8148"/>
        <v>0</v>
      </c>
      <c r="GM234" s="675">
        <f t="shared" si="8148"/>
        <v>0</v>
      </c>
      <c r="GN234" s="549">
        <f t="shared" ref="GN234:GO234" si="8151">GN362</f>
        <v>0</v>
      </c>
      <c r="GO234" s="675">
        <f t="shared" si="8151"/>
        <v>0</v>
      </c>
      <c r="GP234" s="74">
        <f t="shared" si="8148"/>
        <v>0</v>
      </c>
      <c r="GQ234" s="675">
        <f t="shared" si="8148"/>
        <v>0</v>
      </c>
      <c r="GR234" s="74">
        <f t="shared" si="8148"/>
        <v>0</v>
      </c>
      <c r="GS234" s="74">
        <f t="shared" ref="GS234:JD234" si="8152">GS362</f>
        <v>0</v>
      </c>
      <c r="GT234" s="74">
        <f t="shared" si="8152"/>
        <v>0</v>
      </c>
      <c r="GU234" s="74">
        <f t="shared" si="8152"/>
        <v>0</v>
      </c>
      <c r="GV234" s="74">
        <f t="shared" si="8152"/>
        <v>0</v>
      </c>
      <c r="GW234" s="74">
        <f t="shared" si="8152"/>
        <v>0</v>
      </c>
      <c r="GX234" s="74">
        <f t="shared" si="8152"/>
        <v>0</v>
      </c>
      <c r="GY234" s="74">
        <f t="shared" si="8152"/>
        <v>0</v>
      </c>
      <c r="GZ234" s="74">
        <f t="shared" si="8152"/>
        <v>0</v>
      </c>
      <c r="HA234" s="74">
        <f t="shared" si="8152"/>
        <v>0</v>
      </c>
      <c r="HB234" s="74">
        <f t="shared" si="8152"/>
        <v>0</v>
      </c>
      <c r="HC234" s="74">
        <f t="shared" si="8152"/>
        <v>0</v>
      </c>
      <c r="HD234" s="74">
        <f t="shared" si="8152"/>
        <v>0</v>
      </c>
      <c r="HE234" s="74">
        <f t="shared" si="8152"/>
        <v>0</v>
      </c>
      <c r="HF234" s="74">
        <f t="shared" si="8152"/>
        <v>0</v>
      </c>
      <c r="HG234" s="74">
        <f t="shared" si="8152"/>
        <v>0</v>
      </c>
      <c r="HH234" s="74">
        <f t="shared" si="8152"/>
        <v>0</v>
      </c>
      <c r="HI234" s="74">
        <f t="shared" si="8152"/>
        <v>0</v>
      </c>
      <c r="HJ234" s="74">
        <f t="shared" si="8152"/>
        <v>0</v>
      </c>
      <c r="HK234" s="74">
        <f t="shared" si="8152"/>
        <v>0</v>
      </c>
      <c r="HL234" s="74">
        <f t="shared" si="8152"/>
        <v>0</v>
      </c>
      <c r="HM234" s="74">
        <f t="shared" si="8152"/>
        <v>0</v>
      </c>
      <c r="HN234" s="74">
        <f t="shared" si="8152"/>
        <v>0</v>
      </c>
      <c r="HO234" s="74">
        <f t="shared" si="8152"/>
        <v>0</v>
      </c>
      <c r="HP234" s="74">
        <f t="shared" si="8152"/>
        <v>0</v>
      </c>
      <c r="HQ234" s="74">
        <f t="shared" si="8152"/>
        <v>0</v>
      </c>
      <c r="HR234" s="74">
        <f t="shared" si="8152"/>
        <v>0</v>
      </c>
      <c r="HS234" s="74">
        <f t="shared" si="8152"/>
        <v>0</v>
      </c>
      <c r="HT234" s="74">
        <f t="shared" si="8152"/>
        <v>0</v>
      </c>
      <c r="HU234" s="74">
        <f t="shared" si="8152"/>
        <v>0</v>
      </c>
      <c r="HV234" s="74">
        <f t="shared" si="8152"/>
        <v>0</v>
      </c>
      <c r="HW234" s="74">
        <f t="shared" si="8152"/>
        <v>0</v>
      </c>
      <c r="HX234" s="74">
        <f t="shared" si="8152"/>
        <v>0</v>
      </c>
      <c r="HY234" s="74">
        <f t="shared" si="8152"/>
        <v>0</v>
      </c>
      <c r="HZ234" s="74">
        <f t="shared" si="8152"/>
        <v>0</v>
      </c>
      <c r="IA234" s="74">
        <f t="shared" si="8152"/>
        <v>0</v>
      </c>
      <c r="IB234" s="74">
        <f t="shared" si="8152"/>
        <v>0</v>
      </c>
      <c r="IC234" s="74">
        <f t="shared" si="8152"/>
        <v>0</v>
      </c>
      <c r="ID234" s="74">
        <f t="shared" si="8152"/>
        <v>0</v>
      </c>
      <c r="IE234" s="74">
        <f t="shared" si="8152"/>
        <v>0</v>
      </c>
      <c r="IF234" s="841">
        <f t="shared" si="8152"/>
        <v>0</v>
      </c>
      <c r="IG234" s="263">
        <f t="shared" si="8152"/>
        <v>0</v>
      </c>
      <c r="IH234" s="842">
        <f t="shared" si="8152"/>
        <v>0</v>
      </c>
      <c r="II234" s="74">
        <f t="shared" si="8152"/>
        <v>0</v>
      </c>
      <c r="IJ234" s="74">
        <f t="shared" si="8152"/>
        <v>0</v>
      </c>
      <c r="IK234" s="74">
        <f t="shared" si="8152"/>
        <v>0</v>
      </c>
      <c r="IL234" s="74">
        <f t="shared" si="8152"/>
        <v>0</v>
      </c>
      <c r="IM234" s="74">
        <f t="shared" si="8152"/>
        <v>0</v>
      </c>
      <c r="IN234" s="74">
        <f t="shared" si="8152"/>
        <v>0</v>
      </c>
      <c r="IO234" s="74">
        <f t="shared" si="8152"/>
        <v>0</v>
      </c>
      <c r="IP234" s="74">
        <f t="shared" si="8152"/>
        <v>0</v>
      </c>
      <c r="IQ234" s="74">
        <f t="shared" si="8152"/>
        <v>0</v>
      </c>
      <c r="IR234" s="74">
        <f t="shared" si="8152"/>
        <v>0</v>
      </c>
      <c r="IS234" s="74">
        <f t="shared" si="8152"/>
        <v>0</v>
      </c>
      <c r="IT234" s="74">
        <f t="shared" si="8152"/>
        <v>0</v>
      </c>
      <c r="IU234" s="74">
        <f t="shared" si="8152"/>
        <v>0</v>
      </c>
      <c r="IV234" s="74">
        <f t="shared" si="8152"/>
        <v>0</v>
      </c>
      <c r="IW234" s="74">
        <f t="shared" si="8152"/>
        <v>0</v>
      </c>
      <c r="IX234" s="74">
        <f t="shared" si="8152"/>
        <v>0</v>
      </c>
      <c r="IY234" s="74">
        <f t="shared" si="8152"/>
        <v>0</v>
      </c>
      <c r="IZ234" s="74">
        <f t="shared" si="8152"/>
        <v>0</v>
      </c>
      <c r="JA234" s="74">
        <f t="shared" si="8152"/>
        <v>0</v>
      </c>
      <c r="JB234" s="74">
        <f t="shared" si="8152"/>
        <v>0</v>
      </c>
      <c r="JC234" s="74">
        <f t="shared" si="8152"/>
        <v>0</v>
      </c>
      <c r="JD234" s="74">
        <f t="shared" si="8152"/>
        <v>0</v>
      </c>
      <c r="JE234" s="74">
        <f t="shared" ref="JE234:JT234" si="8153">JE362</f>
        <v>0</v>
      </c>
      <c r="JF234" s="74">
        <f t="shared" si="8153"/>
        <v>0</v>
      </c>
      <c r="JG234" s="74">
        <f t="shared" si="8153"/>
        <v>0</v>
      </c>
      <c r="JH234" s="74">
        <f t="shared" si="8153"/>
        <v>0</v>
      </c>
      <c r="JI234" s="74">
        <f t="shared" si="8153"/>
        <v>0</v>
      </c>
      <c r="JJ234" s="74">
        <f t="shared" si="8153"/>
        <v>0</v>
      </c>
      <c r="JK234" s="74">
        <f t="shared" si="8153"/>
        <v>0</v>
      </c>
      <c r="JL234" s="74">
        <f t="shared" si="8153"/>
        <v>0</v>
      </c>
      <c r="JM234" s="74">
        <f t="shared" si="8153"/>
        <v>0</v>
      </c>
      <c r="JN234" s="74">
        <f t="shared" si="8153"/>
        <v>0</v>
      </c>
      <c r="JO234" s="74">
        <f t="shared" si="8153"/>
        <v>0</v>
      </c>
      <c r="JP234" s="74">
        <f t="shared" si="8153"/>
        <v>0</v>
      </c>
      <c r="JQ234" s="74">
        <f t="shared" si="8153"/>
        <v>0</v>
      </c>
      <c r="JR234" s="74">
        <f t="shared" si="8153"/>
        <v>0</v>
      </c>
      <c r="JS234" s="74">
        <f t="shared" si="8153"/>
        <v>0</v>
      </c>
      <c r="JT234" s="74">
        <f t="shared" si="8153"/>
        <v>0</v>
      </c>
      <c r="JU234" s="671"/>
      <c r="JV234" s="492"/>
      <c r="JW234" s="490"/>
      <c r="JX234" s="549">
        <f>JX362</f>
        <v>0</v>
      </c>
      <c r="JY234" s="549">
        <f>JY362</f>
        <v>0</v>
      </c>
      <c r="JZ234" s="581">
        <f t="shared" si="7470"/>
        <v>0</v>
      </c>
      <c r="KA234" s="581">
        <f>GQ234</f>
        <v>0</v>
      </c>
      <c r="KB234" s="549">
        <f>KB362</f>
        <v>0</v>
      </c>
      <c r="KC234" s="709">
        <f t="shared" si="7396"/>
        <v>0</v>
      </c>
      <c r="KD234" s="36"/>
      <c r="KE234" s="36"/>
      <c r="KF234" s="36"/>
      <c r="KG234" s="36"/>
      <c r="KH234" s="36"/>
      <c r="KI234" s="36"/>
      <c r="KJ234" s="36"/>
      <c r="KK234" s="36"/>
    </row>
    <row r="235" spans="1:297" s="8" customFormat="1">
      <c r="A235" s="75"/>
      <c r="B235" s="72"/>
      <c r="C235" s="74"/>
      <c r="D235" s="549"/>
      <c r="E235" s="675"/>
      <c r="F235" s="549"/>
      <c r="G235" s="675"/>
      <c r="H235" s="549"/>
      <c r="I235" s="675"/>
      <c r="J235" s="549"/>
      <c r="K235" s="675"/>
      <c r="L235" s="549"/>
      <c r="M235" s="675"/>
      <c r="N235" s="549"/>
      <c r="O235" s="675"/>
      <c r="P235" s="549"/>
      <c r="Q235" s="675"/>
      <c r="R235" s="549"/>
      <c r="S235" s="675"/>
      <c r="T235" s="549"/>
      <c r="U235" s="675"/>
      <c r="V235" s="549"/>
      <c r="W235" s="675"/>
      <c r="X235" s="549"/>
      <c r="Y235" s="675"/>
      <c r="Z235" s="549"/>
      <c r="AA235" s="675"/>
      <c r="AB235" s="549"/>
      <c r="AC235" s="675"/>
      <c r="AD235" s="549"/>
      <c r="AE235" s="675"/>
      <c r="AF235" s="549"/>
      <c r="AG235" s="675"/>
      <c r="AH235" s="549"/>
      <c r="AI235" s="675"/>
      <c r="AJ235" s="549"/>
      <c r="AK235" s="675"/>
      <c r="AL235" s="549"/>
      <c r="AM235" s="675"/>
      <c r="AN235" s="549"/>
      <c r="AO235" s="675"/>
      <c r="AP235" s="549"/>
      <c r="AQ235" s="675"/>
      <c r="AR235" s="549"/>
      <c r="AS235" s="675"/>
      <c r="AT235" s="549"/>
      <c r="AU235" s="675"/>
      <c r="AV235" s="549"/>
      <c r="AW235" s="675"/>
      <c r="AX235" s="549"/>
      <c r="AY235" s="675"/>
      <c r="AZ235" s="549"/>
      <c r="BA235" s="675"/>
      <c r="BB235" s="549"/>
      <c r="BC235" s="675"/>
      <c r="BD235" s="549"/>
      <c r="BE235" s="675"/>
      <c r="BF235" s="549"/>
      <c r="BG235" s="675"/>
      <c r="BH235" s="549"/>
      <c r="BI235" s="675"/>
      <c r="BJ235" s="549"/>
      <c r="BK235" s="675"/>
      <c r="BL235" s="549"/>
      <c r="BM235" s="675"/>
      <c r="BN235" s="549"/>
      <c r="BO235" s="675"/>
      <c r="BP235" s="549"/>
      <c r="BQ235" s="675"/>
      <c r="BR235" s="549"/>
      <c r="BS235" s="675"/>
      <c r="BT235" s="549"/>
      <c r="BU235" s="675"/>
      <c r="BV235" s="549"/>
      <c r="BW235" s="675"/>
      <c r="BX235" s="549"/>
      <c r="BY235" s="675"/>
      <c r="BZ235" s="549"/>
      <c r="CA235" s="675"/>
      <c r="CB235" s="549"/>
      <c r="CC235" s="675"/>
      <c r="CD235" s="549"/>
      <c r="CE235" s="675"/>
      <c r="CF235" s="549"/>
      <c r="CG235" s="675"/>
      <c r="CH235" s="549"/>
      <c r="CI235" s="675"/>
      <c r="CJ235" s="549"/>
      <c r="CK235" s="675"/>
      <c r="CL235" s="549"/>
      <c r="CM235" s="675"/>
      <c r="CN235" s="549"/>
      <c r="CO235" s="675"/>
      <c r="CP235" s="549"/>
      <c r="CQ235" s="675"/>
      <c r="CR235" s="549"/>
      <c r="CS235" s="675"/>
      <c r="CT235" s="549"/>
      <c r="CU235" s="675"/>
      <c r="CV235" s="549"/>
      <c r="CW235" s="675"/>
      <c r="CX235" s="549"/>
      <c r="CY235" s="675"/>
      <c r="CZ235" s="549"/>
      <c r="DA235" s="675"/>
      <c r="DB235" s="549"/>
      <c r="DC235" s="675"/>
      <c r="DD235" s="549"/>
      <c r="DE235" s="675"/>
      <c r="DF235" s="549"/>
      <c r="DG235" s="675"/>
      <c r="DH235" s="549"/>
      <c r="DI235" s="675"/>
      <c r="DJ235" s="549"/>
      <c r="DK235" s="675"/>
      <c r="DL235" s="549"/>
      <c r="DM235" s="675"/>
      <c r="DN235" s="549"/>
      <c r="DO235" s="675"/>
      <c r="DP235" s="549"/>
      <c r="DQ235" s="675"/>
      <c r="DR235" s="549"/>
      <c r="DS235" s="675"/>
      <c r="DT235" s="549"/>
      <c r="DU235" s="675"/>
      <c r="DV235" s="549"/>
      <c r="DW235" s="675"/>
      <c r="DX235" s="549"/>
      <c r="DY235" s="675"/>
      <c r="DZ235" s="549"/>
      <c r="EA235" s="675"/>
      <c r="EB235" s="549"/>
      <c r="EC235" s="675"/>
      <c r="ED235" s="549"/>
      <c r="EE235" s="675"/>
      <c r="EF235" s="549"/>
      <c r="EG235" s="675"/>
      <c r="EH235" s="549"/>
      <c r="EI235" s="675"/>
      <c r="EJ235" s="549"/>
      <c r="EK235" s="675"/>
      <c r="EL235" s="549"/>
      <c r="EM235" s="675"/>
      <c r="EN235" s="549"/>
      <c r="EO235" s="675"/>
      <c r="EP235" s="549"/>
      <c r="EQ235" s="675"/>
      <c r="ER235" s="549"/>
      <c r="ES235" s="675"/>
      <c r="ET235" s="549"/>
      <c r="EU235" s="675"/>
      <c r="EV235" s="549"/>
      <c r="EW235" s="675"/>
      <c r="EX235" s="549"/>
      <c r="EY235" s="675"/>
      <c r="EZ235" s="549"/>
      <c r="FA235" s="675"/>
      <c r="FB235" s="549"/>
      <c r="FC235" s="675"/>
      <c r="FD235" s="549"/>
      <c r="FE235" s="675"/>
      <c r="FF235" s="549"/>
      <c r="FG235" s="675"/>
      <c r="FH235" s="549"/>
      <c r="FI235" s="675"/>
      <c r="FJ235" s="549"/>
      <c r="FK235" s="675"/>
      <c r="FL235" s="549"/>
      <c r="FM235" s="675"/>
      <c r="FN235" s="549"/>
      <c r="FO235" s="675"/>
      <c r="FP235" s="549"/>
      <c r="FQ235" s="675"/>
      <c r="FR235" s="549"/>
      <c r="FS235" s="675"/>
      <c r="FT235" s="549"/>
      <c r="FU235" s="675"/>
      <c r="FV235" s="549"/>
      <c r="FW235" s="675"/>
      <c r="FX235" s="549"/>
      <c r="FY235" s="675"/>
      <c r="FZ235" s="549"/>
      <c r="GA235" s="675"/>
      <c r="GB235" s="549"/>
      <c r="GC235" s="675"/>
      <c r="GD235" s="549"/>
      <c r="GE235" s="675"/>
      <c r="GF235" s="549"/>
      <c r="GG235" s="675"/>
      <c r="GH235" s="549"/>
      <c r="GI235" s="675"/>
      <c r="GJ235" s="549"/>
      <c r="GK235" s="675"/>
      <c r="GL235" s="549"/>
      <c r="GM235" s="675"/>
      <c r="GN235" s="549"/>
      <c r="GO235" s="675"/>
      <c r="GP235" s="74"/>
      <c r="GQ235" s="675"/>
      <c r="GR235" s="74"/>
      <c r="GS235" s="74"/>
      <c r="GT235" s="549"/>
      <c r="GU235" s="74"/>
      <c r="GV235" s="74"/>
      <c r="GW235" s="549"/>
      <c r="GX235" s="549"/>
      <c r="GY235" s="74"/>
      <c r="GZ235" s="74"/>
      <c r="HA235" s="74"/>
      <c r="HB235" s="74"/>
      <c r="HC235" s="74"/>
      <c r="HD235" s="74"/>
      <c r="HE235" s="74"/>
      <c r="HF235" s="74"/>
      <c r="HG235" s="74"/>
      <c r="HH235" s="74"/>
      <c r="HI235" s="74"/>
      <c r="HJ235" s="74"/>
      <c r="HK235" s="74"/>
      <c r="HL235" s="74"/>
      <c r="HM235" s="74"/>
      <c r="HN235" s="74"/>
      <c r="HO235" s="74"/>
      <c r="HP235" s="74"/>
      <c r="HQ235" s="74"/>
      <c r="HR235" s="74"/>
      <c r="HS235" s="74"/>
      <c r="HT235" s="74"/>
      <c r="HU235" s="74"/>
      <c r="HV235" s="74"/>
      <c r="HW235" s="74"/>
      <c r="HX235" s="74"/>
      <c r="HY235" s="74"/>
      <c r="HZ235" s="74"/>
      <c r="IA235" s="74"/>
      <c r="IB235" s="74"/>
      <c r="IC235" s="74"/>
      <c r="ID235" s="74"/>
      <c r="IE235" s="792"/>
      <c r="IF235" s="841"/>
      <c r="IG235" s="263"/>
      <c r="IH235" s="842"/>
      <c r="II235" s="155"/>
      <c r="IJ235" s="74"/>
      <c r="IK235" s="74"/>
      <c r="IL235" s="74"/>
      <c r="IM235" s="74"/>
      <c r="IN235" s="74"/>
      <c r="IO235" s="74"/>
      <c r="IP235" s="74"/>
      <c r="IQ235" s="74"/>
      <c r="IR235" s="74"/>
      <c r="IS235" s="74"/>
      <c r="IT235" s="74"/>
      <c r="IU235" s="74"/>
      <c r="IV235" s="74"/>
      <c r="IW235" s="74"/>
      <c r="IX235" s="74"/>
      <c r="IY235" s="74"/>
      <c r="IZ235" s="74"/>
      <c r="JA235" s="74"/>
      <c r="JB235" s="74"/>
      <c r="JC235" s="74"/>
      <c r="JD235" s="74"/>
      <c r="JE235" s="74"/>
      <c r="JF235" s="74"/>
      <c r="JG235" s="74"/>
      <c r="JH235" s="74"/>
      <c r="JI235" s="74"/>
      <c r="JJ235" s="74"/>
      <c r="JK235" s="74"/>
      <c r="JL235" s="74"/>
      <c r="JM235" s="74"/>
      <c r="JN235" s="74"/>
      <c r="JO235" s="74"/>
      <c r="JP235" s="74"/>
      <c r="JQ235" s="74"/>
      <c r="JR235" s="74"/>
      <c r="JS235" s="74"/>
      <c r="JT235" s="382"/>
      <c r="JU235" s="670"/>
      <c r="JV235" s="489"/>
      <c r="JW235" s="490"/>
      <c r="JX235" s="549"/>
      <c r="JY235" s="549"/>
      <c r="JZ235" s="581"/>
      <c r="KA235" s="581"/>
      <c r="KB235" s="549"/>
      <c r="KC235" s="709">
        <f t="shared" si="7396"/>
        <v>0</v>
      </c>
      <c r="KD235" s="36"/>
      <c r="KE235" s="36"/>
      <c r="KF235" s="36"/>
      <c r="KG235" s="36"/>
      <c r="KH235" s="36"/>
      <c r="KI235" s="36"/>
      <c r="KJ235" s="36"/>
      <c r="KK235" s="36"/>
    </row>
    <row r="236" spans="1:297" s="8" customFormat="1" ht="12.75" customHeight="1">
      <c r="A236" s="262" t="s">
        <v>716</v>
      </c>
      <c r="B236" s="72"/>
      <c r="C236" s="74">
        <f>C237</f>
        <v>0</v>
      </c>
      <c r="D236" s="549">
        <f t="shared" ref="D236:E236" si="8154">D237+D238</f>
        <v>0</v>
      </c>
      <c r="E236" s="675">
        <f t="shared" si="8154"/>
        <v>0</v>
      </c>
      <c r="F236" s="549">
        <f t="shared" ref="F236:G236" si="8155">F237+F238</f>
        <v>0</v>
      </c>
      <c r="G236" s="675">
        <f t="shared" si="8155"/>
        <v>0</v>
      </c>
      <c r="H236" s="549">
        <f t="shared" ref="H236:AM236" si="8156">H237+H238</f>
        <v>0</v>
      </c>
      <c r="I236" s="675">
        <f t="shared" si="8156"/>
        <v>0</v>
      </c>
      <c r="J236" s="549">
        <f t="shared" si="8156"/>
        <v>0</v>
      </c>
      <c r="K236" s="675">
        <f t="shared" si="8156"/>
        <v>0</v>
      </c>
      <c r="L236" s="549">
        <f t="shared" si="8156"/>
        <v>0</v>
      </c>
      <c r="M236" s="675">
        <f t="shared" si="8156"/>
        <v>0</v>
      </c>
      <c r="N236" s="549">
        <f t="shared" si="8156"/>
        <v>0</v>
      </c>
      <c r="O236" s="675">
        <f t="shared" si="8156"/>
        <v>0</v>
      </c>
      <c r="P236" s="549">
        <f t="shared" si="8156"/>
        <v>0</v>
      </c>
      <c r="Q236" s="675">
        <f t="shared" si="8156"/>
        <v>0</v>
      </c>
      <c r="R236" s="549">
        <f t="shared" si="8156"/>
        <v>0</v>
      </c>
      <c r="S236" s="675">
        <f t="shared" si="8156"/>
        <v>0</v>
      </c>
      <c r="T236" s="549">
        <f t="shared" si="8156"/>
        <v>0</v>
      </c>
      <c r="U236" s="675">
        <f t="shared" si="8156"/>
        <v>0</v>
      </c>
      <c r="V236" s="549">
        <f t="shared" si="8156"/>
        <v>0</v>
      </c>
      <c r="W236" s="675">
        <f t="shared" si="8156"/>
        <v>0</v>
      </c>
      <c r="X236" s="549">
        <f t="shared" si="8156"/>
        <v>0</v>
      </c>
      <c r="Y236" s="675">
        <f t="shared" si="8156"/>
        <v>0</v>
      </c>
      <c r="Z236" s="549">
        <f t="shared" si="8156"/>
        <v>0</v>
      </c>
      <c r="AA236" s="675">
        <f t="shared" si="8156"/>
        <v>0</v>
      </c>
      <c r="AB236" s="549">
        <f t="shared" si="8156"/>
        <v>0</v>
      </c>
      <c r="AC236" s="675">
        <f t="shared" si="8156"/>
        <v>0</v>
      </c>
      <c r="AD236" s="549">
        <f t="shared" ref="AD236:AK236" si="8157">AD237+AD238</f>
        <v>0</v>
      </c>
      <c r="AE236" s="675">
        <f t="shared" si="8157"/>
        <v>0</v>
      </c>
      <c r="AF236" s="549">
        <f t="shared" si="8157"/>
        <v>0</v>
      </c>
      <c r="AG236" s="675">
        <f t="shared" si="8157"/>
        <v>0</v>
      </c>
      <c r="AH236" s="549">
        <f t="shared" si="8157"/>
        <v>0</v>
      </c>
      <c r="AI236" s="675">
        <f t="shared" si="8157"/>
        <v>0</v>
      </c>
      <c r="AJ236" s="549">
        <f t="shared" si="8157"/>
        <v>0</v>
      </c>
      <c r="AK236" s="675">
        <f t="shared" si="8157"/>
        <v>0</v>
      </c>
      <c r="AL236" s="549">
        <f t="shared" si="8156"/>
        <v>0</v>
      </c>
      <c r="AM236" s="675">
        <f t="shared" si="8156"/>
        <v>0</v>
      </c>
      <c r="AN236" s="549">
        <f t="shared" ref="AN236:AS236" si="8158">AN237+AN238</f>
        <v>0</v>
      </c>
      <c r="AO236" s="675">
        <f t="shared" si="8158"/>
        <v>0</v>
      </c>
      <c r="AP236" s="549">
        <f t="shared" si="8158"/>
        <v>0</v>
      </c>
      <c r="AQ236" s="675">
        <f t="shared" si="8158"/>
        <v>0</v>
      </c>
      <c r="AR236" s="549">
        <f t="shared" si="8158"/>
        <v>0</v>
      </c>
      <c r="AS236" s="675">
        <f t="shared" si="8158"/>
        <v>0</v>
      </c>
      <c r="AT236" s="549">
        <f t="shared" ref="AT236:AU236" si="8159">AT237+AT238</f>
        <v>0</v>
      </c>
      <c r="AU236" s="675">
        <f t="shared" si="8159"/>
        <v>0</v>
      </c>
      <c r="AV236" s="549">
        <f t="shared" ref="AV236:AW236" si="8160">AV237+AV238</f>
        <v>0</v>
      </c>
      <c r="AW236" s="675">
        <f t="shared" si="8160"/>
        <v>0</v>
      </c>
      <c r="AX236" s="549">
        <f t="shared" ref="AX236:AY236" si="8161">AX237+AX238</f>
        <v>0</v>
      </c>
      <c r="AY236" s="675">
        <f t="shared" si="8161"/>
        <v>0</v>
      </c>
      <c r="AZ236" s="549">
        <f t="shared" ref="AZ236:BA236" si="8162">AZ237+AZ238</f>
        <v>0</v>
      </c>
      <c r="BA236" s="675">
        <f t="shared" si="8162"/>
        <v>0</v>
      </c>
      <c r="BB236" s="549">
        <f t="shared" ref="BB236:BC236" si="8163">BB237+BB238</f>
        <v>0</v>
      </c>
      <c r="BC236" s="675">
        <f t="shared" si="8163"/>
        <v>0</v>
      </c>
      <c r="BD236" s="549">
        <f t="shared" ref="BD236:BE236" si="8164">BD237+BD238</f>
        <v>0</v>
      </c>
      <c r="BE236" s="675">
        <f t="shared" si="8164"/>
        <v>0</v>
      </c>
      <c r="BF236" s="549">
        <f t="shared" ref="BF236:BG236" si="8165">BF237+BF238</f>
        <v>0</v>
      </c>
      <c r="BG236" s="675">
        <f t="shared" si="8165"/>
        <v>0</v>
      </c>
      <c r="BH236" s="549">
        <f t="shared" ref="BH236:BI236" si="8166">BH237+BH238</f>
        <v>0</v>
      </c>
      <c r="BI236" s="675">
        <f t="shared" si="8166"/>
        <v>0</v>
      </c>
      <c r="BJ236" s="549">
        <f t="shared" ref="BJ236:BK236" si="8167">BJ237+BJ238</f>
        <v>0</v>
      </c>
      <c r="BK236" s="675">
        <f t="shared" si="8167"/>
        <v>0</v>
      </c>
      <c r="BL236" s="549">
        <f t="shared" ref="BL236:BS236" si="8168">BL237+BL238</f>
        <v>0</v>
      </c>
      <c r="BM236" s="675">
        <f t="shared" si="8168"/>
        <v>0</v>
      </c>
      <c r="BN236" s="549">
        <f t="shared" si="8168"/>
        <v>0</v>
      </c>
      <c r="BO236" s="675">
        <f t="shared" si="8168"/>
        <v>0</v>
      </c>
      <c r="BP236" s="549">
        <f t="shared" si="8168"/>
        <v>0</v>
      </c>
      <c r="BQ236" s="675">
        <f t="shared" si="8168"/>
        <v>0</v>
      </c>
      <c r="BR236" s="549">
        <f t="shared" si="8168"/>
        <v>0</v>
      </c>
      <c r="BS236" s="675">
        <f t="shared" si="8168"/>
        <v>0</v>
      </c>
      <c r="BT236" s="549">
        <f t="shared" ref="BT236:BU236" si="8169">BT237+BT238</f>
        <v>0</v>
      </c>
      <c r="BU236" s="675">
        <f t="shared" si="8169"/>
        <v>0</v>
      </c>
      <c r="BV236" s="549">
        <f t="shared" ref="BV236:BW236" si="8170">BV237+BV238</f>
        <v>0</v>
      </c>
      <c r="BW236" s="675">
        <f t="shared" si="8170"/>
        <v>0</v>
      </c>
      <c r="BX236" s="549">
        <f t="shared" ref="BX236:BY236" si="8171">BX237+BX238</f>
        <v>0</v>
      </c>
      <c r="BY236" s="675">
        <f t="shared" si="8171"/>
        <v>0</v>
      </c>
      <c r="BZ236" s="549">
        <f t="shared" ref="BZ236:CA236" si="8172">BZ237+BZ238</f>
        <v>0</v>
      </c>
      <c r="CA236" s="675">
        <f t="shared" si="8172"/>
        <v>0</v>
      </c>
      <c r="CB236" s="549">
        <f t="shared" ref="CB236:CE236" si="8173">CB237+CB238</f>
        <v>0</v>
      </c>
      <c r="CC236" s="675">
        <f t="shared" si="8173"/>
        <v>0</v>
      </c>
      <c r="CD236" s="549">
        <f t="shared" si="8173"/>
        <v>0</v>
      </c>
      <c r="CE236" s="675">
        <f t="shared" si="8173"/>
        <v>0</v>
      </c>
      <c r="CF236" s="549">
        <f t="shared" ref="CF236:CQ236" si="8174">CF237+CF238</f>
        <v>0</v>
      </c>
      <c r="CG236" s="675">
        <f t="shared" si="8174"/>
        <v>0</v>
      </c>
      <c r="CH236" s="549">
        <f t="shared" si="8174"/>
        <v>0</v>
      </c>
      <c r="CI236" s="675">
        <f t="shared" si="8174"/>
        <v>0</v>
      </c>
      <c r="CJ236" s="549">
        <f t="shared" si="8174"/>
        <v>0</v>
      </c>
      <c r="CK236" s="675">
        <f t="shared" si="8174"/>
        <v>0</v>
      </c>
      <c r="CL236" s="549">
        <f t="shared" si="8174"/>
        <v>0</v>
      </c>
      <c r="CM236" s="675">
        <f t="shared" si="8174"/>
        <v>0</v>
      </c>
      <c r="CN236" s="549">
        <f t="shared" si="8174"/>
        <v>0</v>
      </c>
      <c r="CO236" s="675">
        <f t="shared" si="8174"/>
        <v>0</v>
      </c>
      <c r="CP236" s="549">
        <f t="shared" si="8174"/>
        <v>0</v>
      </c>
      <c r="CQ236" s="675">
        <f t="shared" si="8174"/>
        <v>0</v>
      </c>
      <c r="CR236" s="549">
        <f t="shared" ref="CR236:CY236" si="8175">CR237+CR238</f>
        <v>0</v>
      </c>
      <c r="CS236" s="675">
        <f t="shared" si="8175"/>
        <v>0</v>
      </c>
      <c r="CT236" s="549">
        <f t="shared" si="8175"/>
        <v>0</v>
      </c>
      <c r="CU236" s="675">
        <f t="shared" si="8175"/>
        <v>0</v>
      </c>
      <c r="CV236" s="549">
        <f t="shared" si="8175"/>
        <v>0</v>
      </c>
      <c r="CW236" s="675">
        <f t="shared" si="8175"/>
        <v>0</v>
      </c>
      <c r="CX236" s="549">
        <f t="shared" si="8175"/>
        <v>0</v>
      </c>
      <c r="CY236" s="675">
        <f t="shared" si="8175"/>
        <v>0</v>
      </c>
      <c r="CZ236" s="549">
        <f t="shared" ref="CZ236:DG236" si="8176">CZ237+CZ238</f>
        <v>0</v>
      </c>
      <c r="DA236" s="675">
        <f t="shared" si="8176"/>
        <v>0</v>
      </c>
      <c r="DB236" s="549">
        <f t="shared" si="8176"/>
        <v>0</v>
      </c>
      <c r="DC236" s="675">
        <f t="shared" si="8176"/>
        <v>0</v>
      </c>
      <c r="DD236" s="549">
        <f t="shared" si="8176"/>
        <v>0</v>
      </c>
      <c r="DE236" s="675">
        <f t="shared" si="8176"/>
        <v>0</v>
      </c>
      <c r="DF236" s="549">
        <f t="shared" si="8176"/>
        <v>0</v>
      </c>
      <c r="DG236" s="675">
        <f t="shared" si="8176"/>
        <v>0</v>
      </c>
      <c r="DH236" s="549">
        <f t="shared" ref="DH236:DM236" si="8177">DH237+DH238</f>
        <v>0</v>
      </c>
      <c r="DI236" s="675">
        <f t="shared" si="8177"/>
        <v>0</v>
      </c>
      <c r="DJ236" s="549">
        <f t="shared" si="8177"/>
        <v>0</v>
      </c>
      <c r="DK236" s="675">
        <f t="shared" si="8177"/>
        <v>0</v>
      </c>
      <c r="DL236" s="549">
        <f t="shared" si="8177"/>
        <v>0</v>
      </c>
      <c r="DM236" s="675">
        <f t="shared" si="8177"/>
        <v>0</v>
      </c>
      <c r="DN236" s="549">
        <f t="shared" ref="DN236:DW236" si="8178">DN237+DN238</f>
        <v>0</v>
      </c>
      <c r="DO236" s="675">
        <f t="shared" si="8178"/>
        <v>0</v>
      </c>
      <c r="DP236" s="549">
        <f t="shared" si="8178"/>
        <v>0</v>
      </c>
      <c r="DQ236" s="675">
        <f t="shared" si="8178"/>
        <v>0</v>
      </c>
      <c r="DR236" s="549">
        <f t="shared" si="8178"/>
        <v>0</v>
      </c>
      <c r="DS236" s="675">
        <f t="shared" si="8178"/>
        <v>0</v>
      </c>
      <c r="DT236" s="549">
        <f t="shared" si="8178"/>
        <v>0</v>
      </c>
      <c r="DU236" s="675">
        <f t="shared" si="8178"/>
        <v>0</v>
      </c>
      <c r="DV236" s="549">
        <f t="shared" si="8178"/>
        <v>0</v>
      </c>
      <c r="DW236" s="675">
        <f t="shared" si="8178"/>
        <v>0</v>
      </c>
      <c r="DX236" s="549">
        <f t="shared" ref="DX236:EG236" si="8179">DX237+DX238</f>
        <v>0</v>
      </c>
      <c r="DY236" s="675">
        <f t="shared" si="8179"/>
        <v>0</v>
      </c>
      <c r="DZ236" s="549">
        <f t="shared" si="8179"/>
        <v>0</v>
      </c>
      <c r="EA236" s="675">
        <f t="shared" si="8179"/>
        <v>0</v>
      </c>
      <c r="EB236" s="549">
        <f t="shared" si="8179"/>
        <v>0</v>
      </c>
      <c r="EC236" s="675">
        <f t="shared" si="8179"/>
        <v>0</v>
      </c>
      <c r="ED236" s="549">
        <f t="shared" si="8179"/>
        <v>0</v>
      </c>
      <c r="EE236" s="675">
        <f t="shared" si="8179"/>
        <v>0</v>
      </c>
      <c r="EF236" s="549">
        <f t="shared" si="8179"/>
        <v>0</v>
      </c>
      <c r="EG236" s="675">
        <f t="shared" si="8179"/>
        <v>0</v>
      </c>
      <c r="EH236" s="549">
        <f t="shared" ref="EH236:EM236" si="8180">EH237+EH238</f>
        <v>0</v>
      </c>
      <c r="EI236" s="675">
        <f t="shared" si="8180"/>
        <v>0</v>
      </c>
      <c r="EJ236" s="549">
        <f t="shared" si="8180"/>
        <v>0</v>
      </c>
      <c r="EK236" s="675">
        <f t="shared" si="8180"/>
        <v>0</v>
      </c>
      <c r="EL236" s="549">
        <f t="shared" si="8180"/>
        <v>0</v>
      </c>
      <c r="EM236" s="675">
        <f t="shared" si="8180"/>
        <v>0</v>
      </c>
      <c r="EN236" s="549">
        <f t="shared" ref="EN236:EO236" si="8181">EN237+EN238</f>
        <v>0</v>
      </c>
      <c r="EO236" s="675">
        <f t="shared" si="8181"/>
        <v>0</v>
      </c>
      <c r="EP236" s="549">
        <f t="shared" ref="EP236:FA236" si="8182">EP237+EP238</f>
        <v>0</v>
      </c>
      <c r="EQ236" s="675">
        <f t="shared" si="8182"/>
        <v>0</v>
      </c>
      <c r="ER236" s="549">
        <f t="shared" si="8182"/>
        <v>0</v>
      </c>
      <c r="ES236" s="675">
        <f t="shared" si="8182"/>
        <v>0</v>
      </c>
      <c r="ET236" s="549">
        <f t="shared" si="8182"/>
        <v>0</v>
      </c>
      <c r="EU236" s="675">
        <f t="shared" si="8182"/>
        <v>0</v>
      </c>
      <c r="EV236" s="549">
        <f t="shared" ref="EV236:EW236" si="8183">EV237+EV238</f>
        <v>0</v>
      </c>
      <c r="EW236" s="675">
        <f t="shared" si="8183"/>
        <v>0</v>
      </c>
      <c r="EX236" s="549">
        <f t="shared" si="8182"/>
        <v>0</v>
      </c>
      <c r="EY236" s="675">
        <f t="shared" si="8182"/>
        <v>0</v>
      </c>
      <c r="EZ236" s="549">
        <f t="shared" si="8182"/>
        <v>0</v>
      </c>
      <c r="FA236" s="675">
        <f t="shared" si="8182"/>
        <v>0</v>
      </c>
      <c r="FB236" s="549">
        <f t="shared" ref="FB236:FC236" si="8184">FB237+FB238</f>
        <v>0</v>
      </c>
      <c r="FC236" s="675">
        <f t="shared" si="8184"/>
        <v>0</v>
      </c>
      <c r="FD236" s="549">
        <f t="shared" ref="FD236:FE236" si="8185">FD237+FD238</f>
        <v>0</v>
      </c>
      <c r="FE236" s="675">
        <f t="shared" si="8185"/>
        <v>0</v>
      </c>
      <c r="FF236" s="549">
        <f t="shared" ref="FF236:FG236" si="8186">FF237+FF238</f>
        <v>0</v>
      </c>
      <c r="FG236" s="675">
        <f t="shared" si="8186"/>
        <v>0</v>
      </c>
      <c r="FH236" s="549">
        <f t="shared" ref="FH236:FI236" si="8187">FH237+FH238</f>
        <v>0</v>
      </c>
      <c r="FI236" s="675">
        <f t="shared" si="8187"/>
        <v>0</v>
      </c>
      <c r="FJ236" s="549">
        <f t="shared" ref="FJ236:FK236" si="8188">FJ237+FJ238</f>
        <v>0</v>
      </c>
      <c r="FK236" s="675">
        <f t="shared" si="8188"/>
        <v>0</v>
      </c>
      <c r="FL236" s="549">
        <f t="shared" ref="FL236:FM236" si="8189">FL237+FL238</f>
        <v>0</v>
      </c>
      <c r="FM236" s="675">
        <f t="shared" si="8189"/>
        <v>0</v>
      </c>
      <c r="FN236" s="549">
        <f t="shared" ref="FN236:FO236" si="8190">FN237+FN238</f>
        <v>0</v>
      </c>
      <c r="FO236" s="675">
        <f t="shared" si="8190"/>
        <v>0</v>
      </c>
      <c r="FP236" s="549">
        <f t="shared" ref="FP236:FQ236" si="8191">FP237+FP238</f>
        <v>0</v>
      </c>
      <c r="FQ236" s="675">
        <f t="shared" si="8191"/>
        <v>0</v>
      </c>
      <c r="FR236" s="549">
        <f t="shared" ref="FR236:FS236" si="8192">FR237+FR238</f>
        <v>0</v>
      </c>
      <c r="FS236" s="675">
        <f t="shared" si="8192"/>
        <v>0</v>
      </c>
      <c r="FT236" s="549">
        <f t="shared" ref="FT236:FU236" si="8193">FT237+FT238</f>
        <v>0</v>
      </c>
      <c r="FU236" s="675">
        <f t="shared" si="8193"/>
        <v>0</v>
      </c>
      <c r="FV236" s="549">
        <f t="shared" ref="FV236:GK236" si="8194">FV237+FV238</f>
        <v>0</v>
      </c>
      <c r="FW236" s="675">
        <f t="shared" si="8194"/>
        <v>0</v>
      </c>
      <c r="FX236" s="549">
        <f t="shared" si="8194"/>
        <v>0</v>
      </c>
      <c r="FY236" s="675">
        <f t="shared" si="8194"/>
        <v>0</v>
      </c>
      <c r="FZ236" s="549">
        <f t="shared" ref="FZ236:GI236" si="8195">FZ237+FZ238</f>
        <v>0</v>
      </c>
      <c r="GA236" s="675">
        <f t="shared" si="8195"/>
        <v>0</v>
      </c>
      <c r="GB236" s="549">
        <f t="shared" si="8195"/>
        <v>0</v>
      </c>
      <c r="GC236" s="675">
        <f t="shared" si="8195"/>
        <v>0</v>
      </c>
      <c r="GD236" s="549">
        <f t="shared" si="8195"/>
        <v>0</v>
      </c>
      <c r="GE236" s="675">
        <f t="shared" si="8195"/>
        <v>0</v>
      </c>
      <c r="GF236" s="549">
        <f t="shared" si="8195"/>
        <v>0</v>
      </c>
      <c r="GG236" s="675">
        <f t="shared" si="8195"/>
        <v>0</v>
      </c>
      <c r="GH236" s="549">
        <f t="shared" si="8195"/>
        <v>0</v>
      </c>
      <c r="GI236" s="675">
        <f t="shared" si="8195"/>
        <v>0</v>
      </c>
      <c r="GJ236" s="549">
        <f t="shared" si="8194"/>
        <v>0</v>
      </c>
      <c r="GK236" s="675">
        <f t="shared" si="8194"/>
        <v>0</v>
      </c>
      <c r="GL236" s="549">
        <f t="shared" ref="GL236:GQ236" si="8196">GL237+GL238</f>
        <v>0</v>
      </c>
      <c r="GM236" s="675">
        <f t="shared" si="8196"/>
        <v>0</v>
      </c>
      <c r="GN236" s="549">
        <f t="shared" ref="GN236:GO236" si="8197">GN237+GN238</f>
        <v>0</v>
      </c>
      <c r="GO236" s="675">
        <f t="shared" si="8197"/>
        <v>0</v>
      </c>
      <c r="GP236" s="263">
        <f t="shared" si="8196"/>
        <v>0</v>
      </c>
      <c r="GQ236" s="675">
        <f t="shared" si="8196"/>
        <v>0</v>
      </c>
      <c r="GR236" s="263">
        <f t="shared" ref="GR236:IJ236" si="8198">GR237+GR238</f>
        <v>0</v>
      </c>
      <c r="GS236" s="263">
        <f t="shared" si="8198"/>
        <v>0</v>
      </c>
      <c r="GT236" s="549">
        <f t="shared" si="8198"/>
        <v>0</v>
      </c>
      <c r="GU236" s="263">
        <f t="shared" si="8198"/>
        <v>0</v>
      </c>
      <c r="GV236" s="263">
        <f t="shared" si="8198"/>
        <v>0</v>
      </c>
      <c r="GW236" s="549">
        <f t="shared" si="8198"/>
        <v>0</v>
      </c>
      <c r="GX236" s="549">
        <f t="shared" si="8198"/>
        <v>0</v>
      </c>
      <c r="GY236" s="263">
        <f t="shared" si="8198"/>
        <v>0</v>
      </c>
      <c r="GZ236" s="263">
        <f t="shared" si="8198"/>
        <v>0</v>
      </c>
      <c r="HA236" s="263">
        <f t="shared" si="8198"/>
        <v>0</v>
      </c>
      <c r="HB236" s="263">
        <f t="shared" si="8198"/>
        <v>0</v>
      </c>
      <c r="HC236" s="263">
        <f t="shared" si="8198"/>
        <v>0</v>
      </c>
      <c r="HD236" s="263">
        <f t="shared" si="8198"/>
        <v>0</v>
      </c>
      <c r="HE236" s="263">
        <f t="shared" si="8198"/>
        <v>0</v>
      </c>
      <c r="HF236" s="263">
        <f t="shared" si="8198"/>
        <v>0</v>
      </c>
      <c r="HG236" s="263">
        <f t="shared" si="8198"/>
        <v>0</v>
      </c>
      <c r="HH236" s="263">
        <f t="shared" ref="HH236:HU236" si="8199">HH237+HH238</f>
        <v>0</v>
      </c>
      <c r="HI236" s="263">
        <f t="shared" si="8199"/>
        <v>0</v>
      </c>
      <c r="HJ236" s="263">
        <f t="shared" si="8199"/>
        <v>0</v>
      </c>
      <c r="HK236" s="263">
        <f t="shared" si="8199"/>
        <v>0</v>
      </c>
      <c r="HL236" s="263">
        <f t="shared" si="8199"/>
        <v>0</v>
      </c>
      <c r="HM236" s="263">
        <f t="shared" si="8199"/>
        <v>0</v>
      </c>
      <c r="HN236" s="263">
        <f t="shared" si="8199"/>
        <v>0</v>
      </c>
      <c r="HO236" s="263">
        <f t="shared" si="8199"/>
        <v>0</v>
      </c>
      <c r="HP236" s="263">
        <f t="shared" si="8199"/>
        <v>0</v>
      </c>
      <c r="HQ236" s="263">
        <f t="shared" si="8199"/>
        <v>0</v>
      </c>
      <c r="HR236" s="263">
        <f t="shared" si="8199"/>
        <v>0</v>
      </c>
      <c r="HS236" s="263">
        <f t="shared" si="8199"/>
        <v>0</v>
      </c>
      <c r="HT236" s="263">
        <f t="shared" si="8199"/>
        <v>0</v>
      </c>
      <c r="HU236" s="263">
        <f t="shared" si="8199"/>
        <v>0</v>
      </c>
      <c r="HV236" s="263">
        <f t="shared" si="8198"/>
        <v>0</v>
      </c>
      <c r="HW236" s="263">
        <f t="shared" si="8198"/>
        <v>0</v>
      </c>
      <c r="HX236" s="263">
        <f t="shared" si="8198"/>
        <v>0</v>
      </c>
      <c r="HY236" s="263">
        <f t="shared" si="8198"/>
        <v>0</v>
      </c>
      <c r="HZ236" s="263">
        <f t="shared" si="8198"/>
        <v>0</v>
      </c>
      <c r="IA236" s="263">
        <f t="shared" si="8198"/>
        <v>0</v>
      </c>
      <c r="IB236" s="263">
        <f t="shared" si="8198"/>
        <v>0</v>
      </c>
      <c r="IC236" s="263">
        <f t="shared" si="8198"/>
        <v>0</v>
      </c>
      <c r="ID236" s="263">
        <f t="shared" si="8198"/>
        <v>0</v>
      </c>
      <c r="IE236" s="812">
        <f t="shared" si="8198"/>
        <v>0</v>
      </c>
      <c r="IF236" s="841">
        <f t="shared" si="8198"/>
        <v>0</v>
      </c>
      <c r="IG236" s="263">
        <f t="shared" si="8198"/>
        <v>0</v>
      </c>
      <c r="IH236" s="842">
        <f t="shared" si="8198"/>
        <v>0</v>
      </c>
      <c r="II236" s="383">
        <f t="shared" si="8198"/>
        <v>0</v>
      </c>
      <c r="IJ236" s="263">
        <f t="shared" si="8198"/>
        <v>0</v>
      </c>
      <c r="IK236" s="263">
        <f t="shared" ref="IK236:JT236" si="8200">IK237+IK238</f>
        <v>0</v>
      </c>
      <c r="IL236" s="263">
        <f t="shared" si="8200"/>
        <v>0</v>
      </c>
      <c r="IM236" s="263">
        <f t="shared" si="8200"/>
        <v>0</v>
      </c>
      <c r="IN236" s="263">
        <f t="shared" si="8200"/>
        <v>0</v>
      </c>
      <c r="IO236" s="263">
        <f t="shared" si="8200"/>
        <v>0</v>
      </c>
      <c r="IP236" s="263">
        <f t="shared" si="8200"/>
        <v>0</v>
      </c>
      <c r="IQ236" s="263">
        <f t="shared" si="8200"/>
        <v>0</v>
      </c>
      <c r="IR236" s="263">
        <f t="shared" si="8200"/>
        <v>0</v>
      </c>
      <c r="IS236" s="263">
        <f t="shared" si="8200"/>
        <v>0</v>
      </c>
      <c r="IT236" s="263">
        <f t="shared" si="8200"/>
        <v>0</v>
      </c>
      <c r="IU236" s="263">
        <f t="shared" si="8200"/>
        <v>0</v>
      </c>
      <c r="IV236" s="263">
        <f t="shared" si="8200"/>
        <v>0</v>
      </c>
      <c r="IW236" s="263">
        <f t="shared" si="8200"/>
        <v>0</v>
      </c>
      <c r="IX236" s="263">
        <f t="shared" si="8200"/>
        <v>0</v>
      </c>
      <c r="IY236" s="263">
        <f t="shared" si="8200"/>
        <v>0</v>
      </c>
      <c r="IZ236" s="263">
        <f t="shared" si="8200"/>
        <v>0</v>
      </c>
      <c r="JA236" s="263">
        <f t="shared" si="8200"/>
        <v>0</v>
      </c>
      <c r="JB236" s="263">
        <f t="shared" si="8200"/>
        <v>0</v>
      </c>
      <c r="JC236" s="263">
        <f t="shared" si="8200"/>
        <v>0</v>
      </c>
      <c r="JD236" s="263">
        <f t="shared" si="8200"/>
        <v>0</v>
      </c>
      <c r="JE236" s="263">
        <f t="shared" si="8200"/>
        <v>0</v>
      </c>
      <c r="JF236" s="263">
        <f t="shared" si="8200"/>
        <v>0</v>
      </c>
      <c r="JG236" s="263">
        <f t="shared" si="8200"/>
        <v>0</v>
      </c>
      <c r="JH236" s="263">
        <f t="shared" si="8200"/>
        <v>0</v>
      </c>
      <c r="JI236" s="263">
        <f t="shared" si="8200"/>
        <v>0</v>
      </c>
      <c r="JJ236" s="263">
        <f t="shared" si="8200"/>
        <v>0</v>
      </c>
      <c r="JK236" s="263">
        <f t="shared" si="8200"/>
        <v>0</v>
      </c>
      <c r="JL236" s="263">
        <f t="shared" si="8200"/>
        <v>0</v>
      </c>
      <c r="JM236" s="263">
        <f t="shared" si="8200"/>
        <v>0</v>
      </c>
      <c r="JN236" s="263">
        <f t="shared" si="8200"/>
        <v>0</v>
      </c>
      <c r="JO236" s="263">
        <f t="shared" si="8200"/>
        <v>0</v>
      </c>
      <c r="JP236" s="263">
        <f t="shared" si="8200"/>
        <v>0</v>
      </c>
      <c r="JQ236" s="263">
        <f t="shared" si="8200"/>
        <v>0</v>
      </c>
      <c r="JR236" s="263">
        <f t="shared" si="8200"/>
        <v>0</v>
      </c>
      <c r="JS236" s="263">
        <f t="shared" si="8200"/>
        <v>0</v>
      </c>
      <c r="JT236" s="382">
        <f t="shared" si="8200"/>
        <v>0</v>
      </c>
      <c r="JU236" s="670"/>
      <c r="JV236" s="489"/>
      <c r="JW236" s="490"/>
      <c r="JX236" s="549">
        <f>JX237+JX238</f>
        <v>0</v>
      </c>
      <c r="JY236" s="549">
        <f>JY237+JY238</f>
        <v>0</v>
      </c>
      <c r="JZ236" s="581">
        <f t="shared" si="7470"/>
        <v>0</v>
      </c>
      <c r="KA236" s="581">
        <f t="shared" si="7471"/>
        <v>0</v>
      </c>
      <c r="KB236" s="549">
        <f>KB237+KB238</f>
        <v>0</v>
      </c>
      <c r="KC236" s="709">
        <f t="shared" si="7396"/>
        <v>0</v>
      </c>
      <c r="KD236" s="36"/>
      <c r="KE236" s="36"/>
      <c r="KF236" s="36"/>
      <c r="KG236" s="36"/>
      <c r="KH236" s="36"/>
      <c r="KI236" s="36"/>
      <c r="KJ236" s="36"/>
      <c r="KK236" s="36"/>
    </row>
    <row r="237" spans="1:297" s="8" customFormat="1" ht="12.75" hidden="1" customHeight="1">
      <c r="A237" s="262" t="s">
        <v>1093</v>
      </c>
      <c r="B237" s="72"/>
      <c r="C237" s="74">
        <f t="shared" ref="C237:M237" si="8201">C564</f>
        <v>0</v>
      </c>
      <c r="D237" s="549">
        <f t="shared" si="8201"/>
        <v>0</v>
      </c>
      <c r="E237" s="675">
        <f t="shared" si="8201"/>
        <v>0</v>
      </c>
      <c r="F237" s="549">
        <f t="shared" si="8201"/>
        <v>0</v>
      </c>
      <c r="G237" s="675">
        <f t="shared" si="8201"/>
        <v>0</v>
      </c>
      <c r="H237" s="549">
        <f t="shared" si="8201"/>
        <v>0</v>
      </c>
      <c r="I237" s="675">
        <f t="shared" si="8201"/>
        <v>0</v>
      </c>
      <c r="J237" s="549">
        <f t="shared" si="8201"/>
        <v>0</v>
      </c>
      <c r="K237" s="675">
        <f t="shared" si="8201"/>
        <v>0</v>
      </c>
      <c r="L237" s="549">
        <f t="shared" si="8201"/>
        <v>0</v>
      </c>
      <c r="M237" s="675">
        <f t="shared" si="8201"/>
        <v>0</v>
      </c>
      <c r="N237" s="549">
        <f t="shared" ref="N237:Q238" si="8202">N564</f>
        <v>0</v>
      </c>
      <c r="O237" s="675">
        <f t="shared" si="8202"/>
        <v>0</v>
      </c>
      <c r="P237" s="549">
        <f t="shared" si="8202"/>
        <v>0</v>
      </c>
      <c r="Q237" s="675">
        <f t="shared" si="8202"/>
        <v>0</v>
      </c>
      <c r="R237" s="549">
        <f t="shared" ref="R237:Y238" si="8203">R564</f>
        <v>0</v>
      </c>
      <c r="S237" s="675">
        <f t="shared" si="8203"/>
        <v>0</v>
      </c>
      <c r="T237" s="549">
        <f t="shared" si="8203"/>
        <v>0</v>
      </c>
      <c r="U237" s="675">
        <f t="shared" si="8203"/>
        <v>0</v>
      </c>
      <c r="V237" s="549">
        <f t="shared" si="8203"/>
        <v>0</v>
      </c>
      <c r="W237" s="675">
        <f t="shared" si="8203"/>
        <v>0</v>
      </c>
      <c r="X237" s="549">
        <f t="shared" si="8203"/>
        <v>0</v>
      </c>
      <c r="Y237" s="675">
        <f t="shared" si="8203"/>
        <v>0</v>
      </c>
      <c r="Z237" s="549">
        <f t="shared" ref="Z237:AC238" si="8204">Z564</f>
        <v>0</v>
      </c>
      <c r="AA237" s="675">
        <f t="shared" si="8204"/>
        <v>0</v>
      </c>
      <c r="AB237" s="549">
        <f t="shared" si="8204"/>
        <v>0</v>
      </c>
      <c r="AC237" s="675">
        <f t="shared" si="8204"/>
        <v>0</v>
      </c>
      <c r="AD237" s="549">
        <f t="shared" ref="AD237:AK237" si="8205">AD564</f>
        <v>0</v>
      </c>
      <c r="AE237" s="675">
        <f t="shared" si="8205"/>
        <v>0</v>
      </c>
      <c r="AF237" s="549">
        <f t="shared" si="8205"/>
        <v>0</v>
      </c>
      <c r="AG237" s="675">
        <f t="shared" si="8205"/>
        <v>0</v>
      </c>
      <c r="AH237" s="549">
        <f t="shared" si="8205"/>
        <v>0</v>
      </c>
      <c r="AI237" s="675">
        <f t="shared" si="8205"/>
        <v>0</v>
      </c>
      <c r="AJ237" s="549">
        <f t="shared" si="8205"/>
        <v>0</v>
      </c>
      <c r="AK237" s="675">
        <f t="shared" si="8205"/>
        <v>0</v>
      </c>
      <c r="AL237" s="549">
        <f t="shared" ref="AL237:AO238" si="8206">AL564</f>
        <v>0</v>
      </c>
      <c r="AM237" s="675">
        <f t="shared" si="8206"/>
        <v>0</v>
      </c>
      <c r="AN237" s="549">
        <f t="shared" si="8206"/>
        <v>0</v>
      </c>
      <c r="AO237" s="675">
        <f t="shared" si="8206"/>
        <v>0</v>
      </c>
      <c r="AP237" s="549">
        <f t="shared" ref="AP237:AQ237" si="8207">AP564</f>
        <v>0</v>
      </c>
      <c r="AQ237" s="675">
        <f t="shared" si="8207"/>
        <v>0</v>
      </c>
      <c r="AR237" s="549">
        <f t="shared" ref="AR237:AS238" si="8208">AR564</f>
        <v>0</v>
      </c>
      <c r="AS237" s="675">
        <f t="shared" si="8208"/>
        <v>0</v>
      </c>
      <c r="AT237" s="549">
        <f t="shared" ref="AT237:AU237" si="8209">AT564</f>
        <v>0</v>
      </c>
      <c r="AU237" s="675">
        <f t="shared" si="8209"/>
        <v>0</v>
      </c>
      <c r="AV237" s="549">
        <f t="shared" ref="AV237:AW237" si="8210">AV564</f>
        <v>0</v>
      </c>
      <c r="AW237" s="675">
        <f t="shared" si="8210"/>
        <v>0</v>
      </c>
      <c r="AX237" s="549">
        <f t="shared" ref="AX237:AY237" si="8211">AX564</f>
        <v>0</v>
      </c>
      <c r="AY237" s="675">
        <f t="shared" si="8211"/>
        <v>0</v>
      </c>
      <c r="AZ237" s="549">
        <f t="shared" ref="AZ237:BA237" si="8212">AZ564</f>
        <v>0</v>
      </c>
      <c r="BA237" s="675">
        <f t="shared" si="8212"/>
        <v>0</v>
      </c>
      <c r="BB237" s="549">
        <f t="shared" ref="BB237:BC237" si="8213">BB564</f>
        <v>0</v>
      </c>
      <c r="BC237" s="675">
        <f t="shared" si="8213"/>
        <v>0</v>
      </c>
      <c r="BD237" s="549">
        <f t="shared" ref="BD237:BE237" si="8214">BD564</f>
        <v>0</v>
      </c>
      <c r="BE237" s="675">
        <f t="shared" si="8214"/>
        <v>0</v>
      </c>
      <c r="BF237" s="549">
        <f t="shared" ref="BF237:BG237" si="8215">BF564</f>
        <v>0</v>
      </c>
      <c r="BG237" s="675">
        <f t="shared" si="8215"/>
        <v>0</v>
      </c>
      <c r="BH237" s="549">
        <f t="shared" ref="BH237:BI237" si="8216">BH564</f>
        <v>0</v>
      </c>
      <c r="BI237" s="675">
        <f t="shared" si="8216"/>
        <v>0</v>
      </c>
      <c r="BJ237" s="549">
        <f t="shared" ref="BJ237:BK237" si="8217">BJ564</f>
        <v>0</v>
      </c>
      <c r="BK237" s="675">
        <f t="shared" si="8217"/>
        <v>0</v>
      </c>
      <c r="BL237" s="549">
        <f t="shared" ref="BL237:BS237" si="8218">BL564</f>
        <v>0</v>
      </c>
      <c r="BM237" s="675">
        <f t="shared" si="8218"/>
        <v>0</v>
      </c>
      <c r="BN237" s="549">
        <f t="shared" si="8218"/>
        <v>0</v>
      </c>
      <c r="BO237" s="675">
        <f t="shared" si="8218"/>
        <v>0</v>
      </c>
      <c r="BP237" s="549">
        <f t="shared" si="8218"/>
        <v>0</v>
      </c>
      <c r="BQ237" s="675">
        <f t="shared" si="8218"/>
        <v>0</v>
      </c>
      <c r="BR237" s="549">
        <f t="shared" si="8218"/>
        <v>0</v>
      </c>
      <c r="BS237" s="675">
        <f t="shared" si="8218"/>
        <v>0</v>
      </c>
      <c r="BT237" s="549">
        <f t="shared" ref="BT237:BW238" si="8219">BT564</f>
        <v>0</v>
      </c>
      <c r="BU237" s="675">
        <f t="shared" si="8219"/>
        <v>0</v>
      </c>
      <c r="BV237" s="549">
        <f t="shared" si="8219"/>
        <v>0</v>
      </c>
      <c r="BW237" s="675">
        <f t="shared" si="8219"/>
        <v>0</v>
      </c>
      <c r="BX237" s="549">
        <f t="shared" ref="BX237:BY237" si="8220">BX564</f>
        <v>0</v>
      </c>
      <c r="BY237" s="675">
        <f t="shared" si="8220"/>
        <v>0</v>
      </c>
      <c r="BZ237" s="549">
        <f t="shared" ref="BZ237:CA237" si="8221">BZ564</f>
        <v>0</v>
      </c>
      <c r="CA237" s="675">
        <f t="shared" si="8221"/>
        <v>0</v>
      </c>
      <c r="CB237" s="549">
        <f t="shared" ref="CB237:CE237" si="8222">CB564</f>
        <v>0</v>
      </c>
      <c r="CC237" s="675">
        <f t="shared" si="8222"/>
        <v>0</v>
      </c>
      <c r="CD237" s="549">
        <f t="shared" si="8222"/>
        <v>0</v>
      </c>
      <c r="CE237" s="675">
        <f t="shared" si="8222"/>
        <v>0</v>
      </c>
      <c r="CF237" s="549">
        <f t="shared" ref="CF237:CQ237" si="8223">CF564</f>
        <v>0</v>
      </c>
      <c r="CG237" s="675">
        <f t="shared" si="8223"/>
        <v>0</v>
      </c>
      <c r="CH237" s="549">
        <f t="shared" si="8223"/>
        <v>0</v>
      </c>
      <c r="CI237" s="675">
        <f t="shared" si="8223"/>
        <v>0</v>
      </c>
      <c r="CJ237" s="549">
        <f t="shared" si="8223"/>
        <v>0</v>
      </c>
      <c r="CK237" s="675">
        <f t="shared" si="8223"/>
        <v>0</v>
      </c>
      <c r="CL237" s="549">
        <f t="shared" si="8223"/>
        <v>0</v>
      </c>
      <c r="CM237" s="675">
        <f t="shared" si="8223"/>
        <v>0</v>
      </c>
      <c r="CN237" s="549">
        <f t="shared" si="8223"/>
        <v>0</v>
      </c>
      <c r="CO237" s="675">
        <f t="shared" si="8223"/>
        <v>0</v>
      </c>
      <c r="CP237" s="549">
        <f t="shared" si="8223"/>
        <v>0</v>
      </c>
      <c r="CQ237" s="675">
        <f t="shared" si="8223"/>
        <v>0</v>
      </c>
      <c r="CR237" s="549">
        <f t="shared" ref="CR237:CY238" si="8224">CR564</f>
        <v>0</v>
      </c>
      <c r="CS237" s="675">
        <f t="shared" si="8224"/>
        <v>0</v>
      </c>
      <c r="CT237" s="549">
        <f t="shared" si="8224"/>
        <v>0</v>
      </c>
      <c r="CU237" s="675">
        <f t="shared" si="8224"/>
        <v>0</v>
      </c>
      <c r="CV237" s="549">
        <f t="shared" si="8224"/>
        <v>0</v>
      </c>
      <c r="CW237" s="675">
        <f t="shared" si="8224"/>
        <v>0</v>
      </c>
      <c r="CX237" s="549">
        <f t="shared" si="8224"/>
        <v>0</v>
      </c>
      <c r="CY237" s="675">
        <f t="shared" si="8224"/>
        <v>0</v>
      </c>
      <c r="CZ237" s="549">
        <f t="shared" ref="CZ237:DG238" si="8225">CZ564</f>
        <v>0</v>
      </c>
      <c r="DA237" s="675">
        <f t="shared" si="8225"/>
        <v>0</v>
      </c>
      <c r="DB237" s="549">
        <f t="shared" si="8225"/>
        <v>0</v>
      </c>
      <c r="DC237" s="675">
        <f t="shared" si="8225"/>
        <v>0</v>
      </c>
      <c r="DD237" s="549">
        <f t="shared" ref="DD237:DE237" si="8226">DD564</f>
        <v>0</v>
      </c>
      <c r="DE237" s="675">
        <f t="shared" si="8226"/>
        <v>0</v>
      </c>
      <c r="DF237" s="549">
        <f t="shared" si="8225"/>
        <v>0</v>
      </c>
      <c r="DG237" s="675">
        <f t="shared" si="8225"/>
        <v>0</v>
      </c>
      <c r="DH237" s="549">
        <f t="shared" ref="DH237:DO238" si="8227">DH564</f>
        <v>0</v>
      </c>
      <c r="DI237" s="675">
        <f t="shared" si="8227"/>
        <v>0</v>
      </c>
      <c r="DJ237" s="549">
        <f t="shared" si="8227"/>
        <v>0</v>
      </c>
      <c r="DK237" s="675">
        <f t="shared" si="8227"/>
        <v>0</v>
      </c>
      <c r="DL237" s="549">
        <f t="shared" si="8227"/>
        <v>0</v>
      </c>
      <c r="DM237" s="675">
        <f t="shared" si="8227"/>
        <v>0</v>
      </c>
      <c r="DN237" s="549">
        <f t="shared" si="8227"/>
        <v>0</v>
      </c>
      <c r="DO237" s="675">
        <f t="shared" si="8227"/>
        <v>0</v>
      </c>
      <c r="DP237" s="549">
        <f t="shared" ref="DP237:DU237" si="8228">DP564</f>
        <v>0</v>
      </c>
      <c r="DQ237" s="675">
        <f t="shared" si="8228"/>
        <v>0</v>
      </c>
      <c r="DR237" s="549">
        <f t="shared" si="8228"/>
        <v>0</v>
      </c>
      <c r="DS237" s="675">
        <f t="shared" si="8228"/>
        <v>0</v>
      </c>
      <c r="DT237" s="549">
        <f t="shared" si="8228"/>
        <v>0</v>
      </c>
      <c r="DU237" s="675">
        <f t="shared" si="8228"/>
        <v>0</v>
      </c>
      <c r="DV237" s="549">
        <f t="shared" ref="DV237:EG237" si="8229">DV564</f>
        <v>0</v>
      </c>
      <c r="DW237" s="675">
        <f t="shared" si="8229"/>
        <v>0</v>
      </c>
      <c r="DX237" s="549">
        <f t="shared" si="8229"/>
        <v>0</v>
      </c>
      <c r="DY237" s="675">
        <f t="shared" si="8229"/>
        <v>0</v>
      </c>
      <c r="DZ237" s="549">
        <f t="shared" si="8229"/>
        <v>0</v>
      </c>
      <c r="EA237" s="675">
        <f t="shared" si="8229"/>
        <v>0</v>
      </c>
      <c r="EB237" s="549">
        <f t="shared" si="8229"/>
        <v>0</v>
      </c>
      <c r="EC237" s="675">
        <f t="shared" si="8229"/>
        <v>0</v>
      </c>
      <c r="ED237" s="549">
        <f t="shared" si="8229"/>
        <v>0</v>
      </c>
      <c r="EE237" s="675">
        <f t="shared" si="8229"/>
        <v>0</v>
      </c>
      <c r="EF237" s="549">
        <f t="shared" si="8229"/>
        <v>0</v>
      </c>
      <c r="EG237" s="675">
        <f t="shared" si="8229"/>
        <v>0</v>
      </c>
      <c r="EH237" s="549">
        <f t="shared" ref="EH237:EM237" si="8230">EH564</f>
        <v>0</v>
      </c>
      <c r="EI237" s="675">
        <f t="shared" si="8230"/>
        <v>0</v>
      </c>
      <c r="EJ237" s="549">
        <f t="shared" si="8230"/>
        <v>0</v>
      </c>
      <c r="EK237" s="675">
        <f t="shared" si="8230"/>
        <v>0</v>
      </c>
      <c r="EL237" s="549">
        <f t="shared" si="8230"/>
        <v>0</v>
      </c>
      <c r="EM237" s="675">
        <f t="shared" si="8230"/>
        <v>0</v>
      </c>
      <c r="EN237" s="549">
        <f t="shared" ref="EN237:EO237" si="8231">EN564</f>
        <v>0</v>
      </c>
      <c r="EO237" s="675">
        <f t="shared" si="8231"/>
        <v>0</v>
      </c>
      <c r="EP237" s="549">
        <f t="shared" ref="EP237:FA237" si="8232">EP564</f>
        <v>0</v>
      </c>
      <c r="EQ237" s="675">
        <f t="shared" si="8232"/>
        <v>0</v>
      </c>
      <c r="ER237" s="549">
        <f t="shared" si="8232"/>
        <v>0</v>
      </c>
      <c r="ES237" s="675">
        <f t="shared" si="8232"/>
        <v>0</v>
      </c>
      <c r="ET237" s="549">
        <f t="shared" si="8232"/>
        <v>0</v>
      </c>
      <c r="EU237" s="675">
        <f t="shared" si="8232"/>
        <v>0</v>
      </c>
      <c r="EV237" s="549">
        <f t="shared" ref="EV237:EW237" si="8233">EV564</f>
        <v>0</v>
      </c>
      <c r="EW237" s="675">
        <f t="shared" si="8233"/>
        <v>0</v>
      </c>
      <c r="EX237" s="549">
        <f t="shared" si="8232"/>
        <v>0</v>
      </c>
      <c r="EY237" s="675">
        <f t="shared" si="8232"/>
        <v>0</v>
      </c>
      <c r="EZ237" s="549">
        <f t="shared" si="8232"/>
        <v>0</v>
      </c>
      <c r="FA237" s="675">
        <f t="shared" si="8232"/>
        <v>0</v>
      </c>
      <c r="FB237" s="549">
        <f t="shared" ref="FB237:GQ238" si="8234">FB564</f>
        <v>0</v>
      </c>
      <c r="FC237" s="675">
        <f t="shared" si="8234"/>
        <v>0</v>
      </c>
      <c r="FD237" s="549">
        <f t="shared" si="8234"/>
        <v>0</v>
      </c>
      <c r="FE237" s="675">
        <f t="shared" si="8234"/>
        <v>0</v>
      </c>
      <c r="FF237" s="549">
        <f t="shared" ref="FF237:FG237" si="8235">FF564</f>
        <v>0</v>
      </c>
      <c r="FG237" s="675">
        <f t="shared" si="8235"/>
        <v>0</v>
      </c>
      <c r="FH237" s="549">
        <f t="shared" ref="FH237:FI237" si="8236">FH564</f>
        <v>0</v>
      </c>
      <c r="FI237" s="675">
        <f t="shared" si="8236"/>
        <v>0</v>
      </c>
      <c r="FJ237" s="549">
        <f t="shared" ref="FJ237:FK237" si="8237">FJ564</f>
        <v>0</v>
      </c>
      <c r="FK237" s="675">
        <f t="shared" si="8237"/>
        <v>0</v>
      </c>
      <c r="FL237" s="549">
        <f t="shared" ref="FL237:FM237" si="8238">FL564</f>
        <v>0</v>
      </c>
      <c r="FM237" s="675">
        <f t="shared" si="8238"/>
        <v>0</v>
      </c>
      <c r="FN237" s="549">
        <f t="shared" ref="FN237:FO237" si="8239">FN564</f>
        <v>0</v>
      </c>
      <c r="FO237" s="675">
        <f t="shared" si="8239"/>
        <v>0</v>
      </c>
      <c r="FP237" s="549">
        <f t="shared" ref="FP237:FQ237" si="8240">FP564</f>
        <v>0</v>
      </c>
      <c r="FQ237" s="675">
        <f t="shared" si="8240"/>
        <v>0</v>
      </c>
      <c r="FR237" s="549">
        <f t="shared" ref="FR237:FS237" si="8241">FR564</f>
        <v>0</v>
      </c>
      <c r="FS237" s="675">
        <f t="shared" si="8241"/>
        <v>0</v>
      </c>
      <c r="FT237" s="549">
        <f t="shared" ref="FT237:FU237" si="8242">FT564</f>
        <v>0</v>
      </c>
      <c r="FU237" s="675">
        <f t="shared" si="8242"/>
        <v>0</v>
      </c>
      <c r="FV237" s="549">
        <f t="shared" ref="FV237:GK237" si="8243">FV564</f>
        <v>0</v>
      </c>
      <c r="FW237" s="675">
        <f t="shared" si="8243"/>
        <v>0</v>
      </c>
      <c r="FX237" s="549">
        <f t="shared" si="8243"/>
        <v>0</v>
      </c>
      <c r="FY237" s="675">
        <f t="shared" si="8243"/>
        <v>0</v>
      </c>
      <c r="FZ237" s="549">
        <f t="shared" ref="FZ237:GI237" si="8244">FZ564</f>
        <v>0</v>
      </c>
      <c r="GA237" s="675">
        <f t="shared" si="8244"/>
        <v>0</v>
      </c>
      <c r="GB237" s="549">
        <f t="shared" si="8244"/>
        <v>0</v>
      </c>
      <c r="GC237" s="675">
        <f t="shared" si="8244"/>
        <v>0</v>
      </c>
      <c r="GD237" s="549">
        <f t="shared" si="8244"/>
        <v>0</v>
      </c>
      <c r="GE237" s="675">
        <f t="shared" si="8244"/>
        <v>0</v>
      </c>
      <c r="GF237" s="549">
        <f t="shared" si="8244"/>
        <v>0</v>
      </c>
      <c r="GG237" s="675">
        <f t="shared" si="8244"/>
        <v>0</v>
      </c>
      <c r="GH237" s="549">
        <f t="shared" si="8244"/>
        <v>0</v>
      </c>
      <c r="GI237" s="675">
        <f t="shared" si="8244"/>
        <v>0</v>
      </c>
      <c r="GJ237" s="549">
        <f t="shared" si="8243"/>
        <v>0</v>
      </c>
      <c r="GK237" s="675">
        <f t="shared" si="8243"/>
        <v>0</v>
      </c>
      <c r="GL237" s="549">
        <f t="shared" ref="GL237:GM237" si="8245">GL564</f>
        <v>0</v>
      </c>
      <c r="GM237" s="675">
        <f t="shared" si="8245"/>
        <v>0</v>
      </c>
      <c r="GN237" s="549">
        <f t="shared" ref="GN237:GO237" si="8246">GN564</f>
        <v>0</v>
      </c>
      <c r="GO237" s="675">
        <f t="shared" si="8246"/>
        <v>0</v>
      </c>
      <c r="GP237" s="74">
        <f t="shared" si="8234"/>
        <v>0</v>
      </c>
      <c r="GQ237" s="675">
        <f t="shared" si="8234"/>
        <v>0</v>
      </c>
      <c r="GR237" s="74">
        <f t="shared" ref="GR237:II237" si="8247">GR564</f>
        <v>0</v>
      </c>
      <c r="GS237" s="74">
        <f t="shared" si="8247"/>
        <v>0</v>
      </c>
      <c r="GT237" s="549">
        <f t="shared" si="8247"/>
        <v>0</v>
      </c>
      <c r="GU237" s="74">
        <f t="shared" si="8247"/>
        <v>0</v>
      </c>
      <c r="GV237" s="74">
        <f t="shared" si="8247"/>
        <v>0</v>
      </c>
      <c r="GW237" s="549">
        <f t="shared" si="8247"/>
        <v>0</v>
      </c>
      <c r="GX237" s="549">
        <f t="shared" si="8247"/>
        <v>0</v>
      </c>
      <c r="GY237" s="74">
        <f t="shared" si="8247"/>
        <v>0</v>
      </c>
      <c r="GZ237" s="74">
        <f t="shared" si="8247"/>
        <v>0</v>
      </c>
      <c r="HA237" s="74">
        <f t="shared" si="8247"/>
        <v>0</v>
      </c>
      <c r="HB237" s="74">
        <f t="shared" si="8247"/>
        <v>0</v>
      </c>
      <c r="HC237" s="74">
        <f t="shared" si="8247"/>
        <v>0</v>
      </c>
      <c r="HD237" s="74">
        <f t="shared" si="8247"/>
        <v>0</v>
      </c>
      <c r="HE237" s="74">
        <f t="shared" si="8247"/>
        <v>0</v>
      </c>
      <c r="HF237" s="74">
        <f t="shared" si="8247"/>
        <v>0</v>
      </c>
      <c r="HG237" s="74">
        <f>HG564</f>
        <v>0</v>
      </c>
      <c r="HH237" s="74">
        <f t="shared" ref="HH237:HU237" si="8248">HH564</f>
        <v>0</v>
      </c>
      <c r="HI237" s="74">
        <f t="shared" si="8248"/>
        <v>0</v>
      </c>
      <c r="HJ237" s="74">
        <f t="shared" si="8248"/>
        <v>0</v>
      </c>
      <c r="HK237" s="74">
        <f t="shared" si="8248"/>
        <v>0</v>
      </c>
      <c r="HL237" s="74">
        <f t="shared" si="8248"/>
        <v>0</v>
      </c>
      <c r="HM237" s="74">
        <f t="shared" si="8248"/>
        <v>0</v>
      </c>
      <c r="HN237" s="74">
        <f t="shared" si="8248"/>
        <v>0</v>
      </c>
      <c r="HO237" s="74">
        <f t="shared" si="8248"/>
        <v>0</v>
      </c>
      <c r="HP237" s="74">
        <f t="shared" si="8248"/>
        <v>0</v>
      </c>
      <c r="HQ237" s="74">
        <f t="shared" si="8248"/>
        <v>0</v>
      </c>
      <c r="HR237" s="74">
        <f t="shared" si="8248"/>
        <v>0</v>
      </c>
      <c r="HS237" s="74">
        <f t="shared" si="8248"/>
        <v>0</v>
      </c>
      <c r="HT237" s="74">
        <f t="shared" si="8248"/>
        <v>0</v>
      </c>
      <c r="HU237" s="74">
        <f t="shared" si="8248"/>
        <v>0</v>
      </c>
      <c r="HV237" s="74">
        <f t="shared" si="8247"/>
        <v>0</v>
      </c>
      <c r="HW237" s="74">
        <f t="shared" si="8247"/>
        <v>0</v>
      </c>
      <c r="HX237" s="74">
        <f t="shared" si="8247"/>
        <v>0</v>
      </c>
      <c r="HY237" s="74">
        <f t="shared" si="8247"/>
        <v>0</v>
      </c>
      <c r="HZ237" s="74">
        <f t="shared" si="8247"/>
        <v>0</v>
      </c>
      <c r="IA237" s="74">
        <f t="shared" si="8247"/>
        <v>0</v>
      </c>
      <c r="IB237" s="74">
        <f t="shared" si="8247"/>
        <v>0</v>
      </c>
      <c r="IC237" s="74">
        <f t="shared" si="8247"/>
        <v>0</v>
      </c>
      <c r="ID237" s="74">
        <f t="shared" si="8247"/>
        <v>0</v>
      </c>
      <c r="IE237" s="792">
        <f t="shared" si="8247"/>
        <v>0</v>
      </c>
      <c r="IF237" s="841">
        <f t="shared" si="8247"/>
        <v>0</v>
      </c>
      <c r="IG237" s="263">
        <f t="shared" si="8247"/>
        <v>0</v>
      </c>
      <c r="IH237" s="842">
        <f t="shared" si="8247"/>
        <v>0</v>
      </c>
      <c r="II237" s="155">
        <f t="shared" si="8247"/>
        <v>0</v>
      </c>
      <c r="IJ237" s="74">
        <f t="shared" ref="IJ237:JT237" si="8249">IJ564</f>
        <v>0</v>
      </c>
      <c r="IK237" s="74">
        <f t="shared" si="8249"/>
        <v>0</v>
      </c>
      <c r="IL237" s="74">
        <f t="shared" si="8249"/>
        <v>0</v>
      </c>
      <c r="IM237" s="74">
        <f t="shared" si="8249"/>
        <v>0</v>
      </c>
      <c r="IN237" s="74">
        <f t="shared" si="8249"/>
        <v>0</v>
      </c>
      <c r="IO237" s="74">
        <f t="shared" si="8249"/>
        <v>0</v>
      </c>
      <c r="IP237" s="74">
        <f t="shared" si="8249"/>
        <v>0</v>
      </c>
      <c r="IQ237" s="74">
        <f t="shared" si="8249"/>
        <v>0</v>
      </c>
      <c r="IR237" s="74">
        <f t="shared" si="8249"/>
        <v>0</v>
      </c>
      <c r="IS237" s="74">
        <f t="shared" si="8249"/>
        <v>0</v>
      </c>
      <c r="IT237" s="74">
        <f t="shared" si="8249"/>
        <v>0</v>
      </c>
      <c r="IU237" s="74">
        <f t="shared" si="8249"/>
        <v>0</v>
      </c>
      <c r="IV237" s="74">
        <f t="shared" si="8249"/>
        <v>0</v>
      </c>
      <c r="IW237" s="74">
        <f t="shared" si="8249"/>
        <v>0</v>
      </c>
      <c r="IX237" s="74">
        <f t="shared" si="8249"/>
        <v>0</v>
      </c>
      <c r="IY237" s="74">
        <f t="shared" si="8249"/>
        <v>0</v>
      </c>
      <c r="IZ237" s="74">
        <f t="shared" si="8249"/>
        <v>0</v>
      </c>
      <c r="JA237" s="74">
        <f t="shared" si="8249"/>
        <v>0</v>
      </c>
      <c r="JB237" s="74">
        <f t="shared" si="8249"/>
        <v>0</v>
      </c>
      <c r="JC237" s="74">
        <f t="shared" si="8249"/>
        <v>0</v>
      </c>
      <c r="JD237" s="74">
        <f t="shared" si="8249"/>
        <v>0</v>
      </c>
      <c r="JE237" s="74">
        <f t="shared" si="8249"/>
        <v>0</v>
      </c>
      <c r="JF237" s="74">
        <f t="shared" si="8249"/>
        <v>0</v>
      </c>
      <c r="JG237" s="74">
        <f t="shared" si="8249"/>
        <v>0</v>
      </c>
      <c r="JH237" s="74">
        <f t="shared" si="8249"/>
        <v>0</v>
      </c>
      <c r="JI237" s="74">
        <f t="shared" si="8249"/>
        <v>0</v>
      </c>
      <c r="JJ237" s="74">
        <f t="shared" si="8249"/>
        <v>0</v>
      </c>
      <c r="JK237" s="74">
        <f t="shared" si="8249"/>
        <v>0</v>
      </c>
      <c r="JL237" s="74">
        <f t="shared" si="8249"/>
        <v>0</v>
      </c>
      <c r="JM237" s="74">
        <f t="shared" si="8249"/>
        <v>0</v>
      </c>
      <c r="JN237" s="74">
        <f t="shared" si="8249"/>
        <v>0</v>
      </c>
      <c r="JO237" s="74">
        <f t="shared" si="8249"/>
        <v>0</v>
      </c>
      <c r="JP237" s="74">
        <f t="shared" si="8249"/>
        <v>0</v>
      </c>
      <c r="JQ237" s="74">
        <f t="shared" si="8249"/>
        <v>0</v>
      </c>
      <c r="JR237" s="74">
        <f t="shared" si="8249"/>
        <v>0</v>
      </c>
      <c r="JS237" s="74">
        <f t="shared" si="8249"/>
        <v>0</v>
      </c>
      <c r="JT237" s="382">
        <f t="shared" si="8249"/>
        <v>0</v>
      </c>
      <c r="JU237" s="670"/>
      <c r="JV237" s="489"/>
      <c r="JW237" s="490"/>
      <c r="JX237" s="549">
        <f t="shared" ref="JX237:KB238" si="8250">JX564</f>
        <v>0</v>
      </c>
      <c r="JY237" s="549">
        <f t="shared" si="8250"/>
        <v>0</v>
      </c>
      <c r="JZ237" s="581">
        <f t="shared" si="7470"/>
        <v>0</v>
      </c>
      <c r="KA237" s="581">
        <f t="shared" si="7471"/>
        <v>0</v>
      </c>
      <c r="KB237" s="549">
        <f t="shared" si="8250"/>
        <v>0</v>
      </c>
      <c r="KC237" s="709">
        <f t="shared" si="7396"/>
        <v>0</v>
      </c>
      <c r="KD237" s="36"/>
      <c r="KE237" s="36"/>
      <c r="KF237" s="36"/>
      <c r="KG237" s="36"/>
      <c r="KH237" s="36"/>
      <c r="KI237" s="36"/>
      <c r="KJ237" s="36"/>
      <c r="KK237" s="36"/>
    </row>
    <row r="238" spans="1:297" s="8" customFormat="1" ht="12.75" customHeight="1">
      <c r="A238" s="262" t="s">
        <v>1228</v>
      </c>
      <c r="B238" s="72"/>
      <c r="C238" s="74">
        <v>0</v>
      </c>
      <c r="D238" s="549">
        <f t="shared" ref="D238:E238" si="8251">D565</f>
        <v>0</v>
      </c>
      <c r="E238" s="675">
        <f t="shared" si="8251"/>
        <v>0</v>
      </c>
      <c r="F238" s="549">
        <f t="shared" ref="F238:G238" si="8252">F565</f>
        <v>0</v>
      </c>
      <c r="G238" s="675">
        <f t="shared" si="8252"/>
        <v>0</v>
      </c>
      <c r="H238" s="549">
        <f t="shared" ref="H238:M238" si="8253">H565</f>
        <v>0</v>
      </c>
      <c r="I238" s="675">
        <f t="shared" si="8253"/>
        <v>0</v>
      </c>
      <c r="J238" s="549">
        <f t="shared" si="8253"/>
        <v>0</v>
      </c>
      <c r="K238" s="675">
        <f t="shared" si="8253"/>
        <v>0</v>
      </c>
      <c r="L238" s="549">
        <f t="shared" si="8253"/>
        <v>0</v>
      </c>
      <c r="M238" s="675">
        <f t="shared" si="8253"/>
        <v>0</v>
      </c>
      <c r="N238" s="549">
        <f t="shared" si="8202"/>
        <v>0</v>
      </c>
      <c r="O238" s="675">
        <f t="shared" si="8202"/>
        <v>0</v>
      </c>
      <c r="P238" s="549">
        <f t="shared" si="8202"/>
        <v>0</v>
      </c>
      <c r="Q238" s="675">
        <f t="shared" si="8202"/>
        <v>0</v>
      </c>
      <c r="R238" s="549">
        <f t="shared" si="8203"/>
        <v>0</v>
      </c>
      <c r="S238" s="675">
        <f t="shared" si="8203"/>
        <v>0</v>
      </c>
      <c r="T238" s="549">
        <f t="shared" si="8203"/>
        <v>0</v>
      </c>
      <c r="U238" s="675">
        <f t="shared" si="8203"/>
        <v>0</v>
      </c>
      <c r="V238" s="549">
        <f t="shared" si="8203"/>
        <v>0</v>
      </c>
      <c r="W238" s="675">
        <f t="shared" si="8203"/>
        <v>0</v>
      </c>
      <c r="X238" s="549">
        <f t="shared" si="8203"/>
        <v>0</v>
      </c>
      <c r="Y238" s="675">
        <f t="shared" si="8203"/>
        <v>0</v>
      </c>
      <c r="Z238" s="549">
        <f t="shared" si="8204"/>
        <v>0</v>
      </c>
      <c r="AA238" s="675">
        <f t="shared" si="8204"/>
        <v>0</v>
      </c>
      <c r="AB238" s="549">
        <f t="shared" si="8204"/>
        <v>0</v>
      </c>
      <c r="AC238" s="675">
        <f t="shared" si="8204"/>
        <v>0</v>
      </c>
      <c r="AD238" s="549">
        <f t="shared" ref="AD238:AK238" si="8254">AD565</f>
        <v>0</v>
      </c>
      <c r="AE238" s="675">
        <f t="shared" si="8254"/>
        <v>0</v>
      </c>
      <c r="AF238" s="549">
        <f t="shared" si="8254"/>
        <v>0</v>
      </c>
      <c r="AG238" s="675">
        <f t="shared" si="8254"/>
        <v>0</v>
      </c>
      <c r="AH238" s="549">
        <f t="shared" si="8254"/>
        <v>0</v>
      </c>
      <c r="AI238" s="675">
        <f t="shared" si="8254"/>
        <v>0</v>
      </c>
      <c r="AJ238" s="549">
        <f t="shared" si="8254"/>
        <v>0</v>
      </c>
      <c r="AK238" s="675">
        <f t="shared" si="8254"/>
        <v>0</v>
      </c>
      <c r="AL238" s="549">
        <f t="shared" si="8206"/>
        <v>0</v>
      </c>
      <c r="AM238" s="675">
        <f t="shared" si="8206"/>
        <v>0</v>
      </c>
      <c r="AN238" s="549">
        <f t="shared" si="8206"/>
        <v>0</v>
      </c>
      <c r="AO238" s="675">
        <f t="shared" si="8206"/>
        <v>0</v>
      </c>
      <c r="AP238" s="549">
        <f t="shared" ref="AP238:AQ238" si="8255">AP565</f>
        <v>0</v>
      </c>
      <c r="AQ238" s="675">
        <f t="shared" si="8255"/>
        <v>0</v>
      </c>
      <c r="AR238" s="549">
        <f t="shared" si="8208"/>
        <v>0</v>
      </c>
      <c r="AS238" s="675">
        <f t="shared" si="8208"/>
        <v>0</v>
      </c>
      <c r="AT238" s="549">
        <f t="shared" ref="AT238:AU238" si="8256">AT565</f>
        <v>0</v>
      </c>
      <c r="AU238" s="675">
        <f t="shared" si="8256"/>
        <v>0</v>
      </c>
      <c r="AV238" s="549">
        <f t="shared" ref="AV238:AW238" si="8257">AV565</f>
        <v>0</v>
      </c>
      <c r="AW238" s="675">
        <f t="shared" si="8257"/>
        <v>0</v>
      </c>
      <c r="AX238" s="549">
        <f t="shared" ref="AX238:AY238" si="8258">AX565</f>
        <v>0</v>
      </c>
      <c r="AY238" s="675">
        <f t="shared" si="8258"/>
        <v>0</v>
      </c>
      <c r="AZ238" s="549">
        <f t="shared" ref="AZ238:BA238" si="8259">AZ565</f>
        <v>0</v>
      </c>
      <c r="BA238" s="675">
        <f t="shared" si="8259"/>
        <v>0</v>
      </c>
      <c r="BB238" s="549">
        <f t="shared" ref="BB238:BC238" si="8260">BB565</f>
        <v>0</v>
      </c>
      <c r="BC238" s="675">
        <f t="shared" si="8260"/>
        <v>0</v>
      </c>
      <c r="BD238" s="549">
        <f t="shared" ref="BD238:BE238" si="8261">BD565</f>
        <v>0</v>
      </c>
      <c r="BE238" s="675">
        <f t="shared" si="8261"/>
        <v>0</v>
      </c>
      <c r="BF238" s="549">
        <f t="shared" ref="BF238:BG238" si="8262">BF565</f>
        <v>0</v>
      </c>
      <c r="BG238" s="675">
        <f t="shared" si="8262"/>
        <v>0</v>
      </c>
      <c r="BH238" s="549">
        <f t="shared" ref="BH238:BI238" si="8263">BH565</f>
        <v>0</v>
      </c>
      <c r="BI238" s="675">
        <f t="shared" si="8263"/>
        <v>0</v>
      </c>
      <c r="BJ238" s="549">
        <f t="shared" ref="BJ238:BK238" si="8264">BJ565</f>
        <v>0</v>
      </c>
      <c r="BK238" s="675">
        <f t="shared" si="8264"/>
        <v>0</v>
      </c>
      <c r="BL238" s="549">
        <f t="shared" ref="BL238:BS238" si="8265">BL565</f>
        <v>0</v>
      </c>
      <c r="BM238" s="675">
        <f t="shared" si="8265"/>
        <v>0</v>
      </c>
      <c r="BN238" s="549">
        <f t="shared" si="8265"/>
        <v>0</v>
      </c>
      <c r="BO238" s="675">
        <f t="shared" si="8265"/>
        <v>0</v>
      </c>
      <c r="BP238" s="549">
        <f t="shared" si="8265"/>
        <v>0</v>
      </c>
      <c r="BQ238" s="675">
        <f t="shared" si="8265"/>
        <v>0</v>
      </c>
      <c r="BR238" s="549">
        <f t="shared" si="8265"/>
        <v>0</v>
      </c>
      <c r="BS238" s="675">
        <f t="shared" si="8265"/>
        <v>0</v>
      </c>
      <c r="BT238" s="549">
        <f t="shared" si="8219"/>
        <v>0</v>
      </c>
      <c r="BU238" s="675">
        <f t="shared" si="8219"/>
        <v>0</v>
      </c>
      <c r="BV238" s="549">
        <f t="shared" si="8219"/>
        <v>0</v>
      </c>
      <c r="BW238" s="675">
        <f t="shared" si="8219"/>
        <v>0</v>
      </c>
      <c r="BX238" s="549">
        <f t="shared" ref="BX238:BY238" si="8266">BX565</f>
        <v>0</v>
      </c>
      <c r="BY238" s="675">
        <f t="shared" si="8266"/>
        <v>0</v>
      </c>
      <c r="BZ238" s="549">
        <f t="shared" ref="BZ238:CA238" si="8267">BZ565</f>
        <v>0</v>
      </c>
      <c r="CA238" s="675">
        <f t="shared" si="8267"/>
        <v>0</v>
      </c>
      <c r="CB238" s="549">
        <f t="shared" ref="CB238:CE238" si="8268">CB565</f>
        <v>0</v>
      </c>
      <c r="CC238" s="675">
        <f t="shared" si="8268"/>
        <v>0</v>
      </c>
      <c r="CD238" s="549">
        <f t="shared" si="8268"/>
        <v>0</v>
      </c>
      <c r="CE238" s="675">
        <f t="shared" si="8268"/>
        <v>0</v>
      </c>
      <c r="CF238" s="549">
        <f t="shared" ref="CF238:CQ238" si="8269">CF565</f>
        <v>0</v>
      </c>
      <c r="CG238" s="675">
        <f t="shared" si="8269"/>
        <v>0</v>
      </c>
      <c r="CH238" s="549">
        <f t="shared" si="8269"/>
        <v>0</v>
      </c>
      <c r="CI238" s="675">
        <f t="shared" si="8269"/>
        <v>0</v>
      </c>
      <c r="CJ238" s="549">
        <f t="shared" si="8269"/>
        <v>0</v>
      </c>
      <c r="CK238" s="675">
        <f t="shared" si="8269"/>
        <v>0</v>
      </c>
      <c r="CL238" s="549">
        <f t="shared" si="8269"/>
        <v>0</v>
      </c>
      <c r="CM238" s="675">
        <f t="shared" si="8269"/>
        <v>0</v>
      </c>
      <c r="CN238" s="549">
        <f t="shared" si="8269"/>
        <v>0</v>
      </c>
      <c r="CO238" s="675">
        <f t="shared" si="8269"/>
        <v>0</v>
      </c>
      <c r="CP238" s="549">
        <f t="shared" si="8269"/>
        <v>0</v>
      </c>
      <c r="CQ238" s="675">
        <f t="shared" si="8269"/>
        <v>0</v>
      </c>
      <c r="CR238" s="549">
        <f t="shared" si="8224"/>
        <v>0</v>
      </c>
      <c r="CS238" s="675">
        <f t="shared" si="8224"/>
        <v>0</v>
      </c>
      <c r="CT238" s="549">
        <f t="shared" si="8224"/>
        <v>0</v>
      </c>
      <c r="CU238" s="675">
        <f t="shared" si="8224"/>
        <v>0</v>
      </c>
      <c r="CV238" s="549">
        <f t="shared" si="8224"/>
        <v>0</v>
      </c>
      <c r="CW238" s="675">
        <f t="shared" si="8224"/>
        <v>0</v>
      </c>
      <c r="CX238" s="549">
        <f t="shared" si="8224"/>
        <v>0</v>
      </c>
      <c r="CY238" s="675">
        <f t="shared" si="8224"/>
        <v>0</v>
      </c>
      <c r="CZ238" s="549">
        <f t="shared" si="8225"/>
        <v>0</v>
      </c>
      <c r="DA238" s="675">
        <f t="shared" si="8225"/>
        <v>0</v>
      </c>
      <c r="DB238" s="549">
        <f t="shared" si="8225"/>
        <v>0</v>
      </c>
      <c r="DC238" s="675">
        <f t="shared" si="8225"/>
        <v>0</v>
      </c>
      <c r="DD238" s="549">
        <f t="shared" ref="DD238:DE238" si="8270">DD565</f>
        <v>0</v>
      </c>
      <c r="DE238" s="675">
        <f t="shared" si="8270"/>
        <v>0</v>
      </c>
      <c r="DF238" s="549">
        <f t="shared" si="8225"/>
        <v>0</v>
      </c>
      <c r="DG238" s="675">
        <f t="shared" si="8225"/>
        <v>0</v>
      </c>
      <c r="DH238" s="549">
        <f t="shared" si="8227"/>
        <v>0</v>
      </c>
      <c r="DI238" s="675">
        <f t="shared" si="8227"/>
        <v>0</v>
      </c>
      <c r="DJ238" s="549">
        <f t="shared" si="8227"/>
        <v>0</v>
      </c>
      <c r="DK238" s="675">
        <f t="shared" si="8227"/>
        <v>0</v>
      </c>
      <c r="DL238" s="549">
        <f t="shared" si="8227"/>
        <v>0</v>
      </c>
      <c r="DM238" s="675">
        <f t="shared" si="8227"/>
        <v>0</v>
      </c>
      <c r="DN238" s="549">
        <f t="shared" si="8227"/>
        <v>0</v>
      </c>
      <c r="DO238" s="675">
        <f t="shared" si="8227"/>
        <v>0</v>
      </c>
      <c r="DP238" s="549">
        <f t="shared" ref="DP238:DU238" si="8271">DP565</f>
        <v>0</v>
      </c>
      <c r="DQ238" s="675">
        <f t="shared" si="8271"/>
        <v>0</v>
      </c>
      <c r="DR238" s="549">
        <f t="shared" si="8271"/>
        <v>0</v>
      </c>
      <c r="DS238" s="675">
        <f t="shared" si="8271"/>
        <v>0</v>
      </c>
      <c r="DT238" s="549">
        <f t="shared" si="8271"/>
        <v>0</v>
      </c>
      <c r="DU238" s="675">
        <f t="shared" si="8271"/>
        <v>0</v>
      </c>
      <c r="DV238" s="549">
        <f t="shared" ref="DV238:EA238" si="8272">DV565</f>
        <v>0</v>
      </c>
      <c r="DW238" s="675">
        <f t="shared" si="8272"/>
        <v>0</v>
      </c>
      <c r="DX238" s="549">
        <f t="shared" si="8272"/>
        <v>0</v>
      </c>
      <c r="DY238" s="675">
        <f t="shared" si="8272"/>
        <v>0</v>
      </c>
      <c r="DZ238" s="549">
        <f t="shared" si="8272"/>
        <v>0</v>
      </c>
      <c r="EA238" s="675">
        <f t="shared" si="8272"/>
        <v>0</v>
      </c>
      <c r="EB238" s="549">
        <f t="shared" ref="EB238:EM238" si="8273">EB565</f>
        <v>0</v>
      </c>
      <c r="EC238" s="675">
        <f t="shared" si="8273"/>
        <v>0</v>
      </c>
      <c r="ED238" s="549">
        <f t="shared" si="8273"/>
        <v>0</v>
      </c>
      <c r="EE238" s="675">
        <f t="shared" si="8273"/>
        <v>0</v>
      </c>
      <c r="EF238" s="549">
        <f t="shared" si="8273"/>
        <v>0</v>
      </c>
      <c r="EG238" s="675">
        <f t="shared" si="8273"/>
        <v>0</v>
      </c>
      <c r="EH238" s="549">
        <f t="shared" si="8273"/>
        <v>0</v>
      </c>
      <c r="EI238" s="675">
        <f t="shared" si="8273"/>
        <v>0</v>
      </c>
      <c r="EJ238" s="549">
        <f t="shared" si="8273"/>
        <v>0</v>
      </c>
      <c r="EK238" s="675">
        <f t="shared" si="8273"/>
        <v>0</v>
      </c>
      <c r="EL238" s="549">
        <f t="shared" si="8273"/>
        <v>0</v>
      </c>
      <c r="EM238" s="675">
        <f t="shared" si="8273"/>
        <v>0</v>
      </c>
      <c r="EN238" s="549">
        <f t="shared" ref="EN238:EO238" si="8274">EN565</f>
        <v>0</v>
      </c>
      <c r="EO238" s="675">
        <f t="shared" si="8274"/>
        <v>0</v>
      </c>
      <c r="EP238" s="549">
        <f t="shared" ref="EP238:EU238" si="8275">EP565</f>
        <v>0</v>
      </c>
      <c r="EQ238" s="675">
        <f t="shared" si="8275"/>
        <v>0</v>
      </c>
      <c r="ER238" s="549">
        <f t="shared" si="8275"/>
        <v>0</v>
      </c>
      <c r="ES238" s="675">
        <f t="shared" si="8275"/>
        <v>0</v>
      </c>
      <c r="ET238" s="549">
        <f t="shared" si="8275"/>
        <v>0</v>
      </c>
      <c r="EU238" s="675">
        <f t="shared" si="8275"/>
        <v>0</v>
      </c>
      <c r="EV238" s="549">
        <f t="shared" ref="EV238:EW238" si="8276">EV565</f>
        <v>0</v>
      </c>
      <c r="EW238" s="675">
        <f t="shared" si="8276"/>
        <v>0</v>
      </c>
      <c r="EX238" s="549">
        <f t="shared" ref="EX238:EY238" si="8277">EX565</f>
        <v>0</v>
      </c>
      <c r="EY238" s="675">
        <f t="shared" si="8277"/>
        <v>0</v>
      </c>
      <c r="EZ238" s="549">
        <f t="shared" ref="EZ238:FA238" si="8278">EZ565</f>
        <v>0</v>
      </c>
      <c r="FA238" s="675">
        <f t="shared" si="8278"/>
        <v>0</v>
      </c>
      <c r="FB238" s="549">
        <f t="shared" si="8234"/>
        <v>0</v>
      </c>
      <c r="FC238" s="675">
        <f t="shared" si="8234"/>
        <v>0</v>
      </c>
      <c r="FD238" s="549">
        <f t="shared" si="8234"/>
        <v>0</v>
      </c>
      <c r="FE238" s="675">
        <f t="shared" si="8234"/>
        <v>0</v>
      </c>
      <c r="FF238" s="549">
        <f t="shared" ref="FF238:FG238" si="8279">FF565</f>
        <v>0</v>
      </c>
      <c r="FG238" s="675">
        <f t="shared" si="8279"/>
        <v>0</v>
      </c>
      <c r="FH238" s="549">
        <f t="shared" ref="FH238:FI238" si="8280">FH565</f>
        <v>0</v>
      </c>
      <c r="FI238" s="675">
        <f t="shared" si="8280"/>
        <v>0</v>
      </c>
      <c r="FJ238" s="549">
        <f t="shared" ref="FJ238:FK238" si="8281">FJ565</f>
        <v>0</v>
      </c>
      <c r="FK238" s="675">
        <f t="shared" si="8281"/>
        <v>0</v>
      </c>
      <c r="FL238" s="549">
        <f t="shared" ref="FL238:FM238" si="8282">FL565</f>
        <v>0</v>
      </c>
      <c r="FM238" s="675">
        <f t="shared" si="8282"/>
        <v>0</v>
      </c>
      <c r="FN238" s="549">
        <f t="shared" ref="FN238:FO238" si="8283">FN565</f>
        <v>0</v>
      </c>
      <c r="FO238" s="675">
        <f t="shared" si="8283"/>
        <v>0</v>
      </c>
      <c r="FP238" s="549">
        <f t="shared" ref="FP238:FQ238" si="8284">FP565</f>
        <v>0</v>
      </c>
      <c r="FQ238" s="675">
        <f t="shared" si="8284"/>
        <v>0</v>
      </c>
      <c r="FR238" s="549">
        <f t="shared" ref="FR238:FS238" si="8285">FR565</f>
        <v>0</v>
      </c>
      <c r="FS238" s="675">
        <f t="shared" si="8285"/>
        <v>0</v>
      </c>
      <c r="FT238" s="549">
        <f t="shared" ref="FT238:FU238" si="8286">FT565</f>
        <v>0</v>
      </c>
      <c r="FU238" s="675">
        <f t="shared" si="8286"/>
        <v>0</v>
      </c>
      <c r="FV238" s="549">
        <f t="shared" ref="FV238:GK238" si="8287">FV565</f>
        <v>0</v>
      </c>
      <c r="FW238" s="675">
        <f t="shared" si="8287"/>
        <v>0</v>
      </c>
      <c r="FX238" s="549">
        <f t="shared" si="8287"/>
        <v>0</v>
      </c>
      <c r="FY238" s="675">
        <f t="shared" si="8287"/>
        <v>0</v>
      </c>
      <c r="FZ238" s="549">
        <f t="shared" ref="FZ238:GI238" si="8288">FZ565</f>
        <v>0</v>
      </c>
      <c r="GA238" s="675">
        <f t="shared" si="8288"/>
        <v>0</v>
      </c>
      <c r="GB238" s="549">
        <f t="shared" si="8288"/>
        <v>0</v>
      </c>
      <c r="GC238" s="675">
        <f t="shared" si="8288"/>
        <v>0</v>
      </c>
      <c r="GD238" s="549">
        <f t="shared" si="8288"/>
        <v>0</v>
      </c>
      <c r="GE238" s="675">
        <f t="shared" si="8288"/>
        <v>0</v>
      </c>
      <c r="GF238" s="549">
        <f t="shared" si="8288"/>
        <v>0</v>
      </c>
      <c r="GG238" s="675">
        <f t="shared" si="8288"/>
        <v>0</v>
      </c>
      <c r="GH238" s="549">
        <f t="shared" si="8288"/>
        <v>0</v>
      </c>
      <c r="GI238" s="675">
        <f t="shared" si="8288"/>
        <v>0</v>
      </c>
      <c r="GJ238" s="549">
        <f t="shared" si="8287"/>
        <v>0</v>
      </c>
      <c r="GK238" s="675">
        <f t="shared" si="8287"/>
        <v>0</v>
      </c>
      <c r="GL238" s="549">
        <f t="shared" ref="GL238:GM238" si="8289">GL565</f>
        <v>0</v>
      </c>
      <c r="GM238" s="675">
        <f t="shared" si="8289"/>
        <v>0</v>
      </c>
      <c r="GN238" s="549">
        <f t="shared" ref="GN238:GO238" si="8290">GN565</f>
        <v>0</v>
      </c>
      <c r="GO238" s="675">
        <f t="shared" si="8290"/>
        <v>0</v>
      </c>
      <c r="GP238" s="263">
        <f t="shared" si="8234"/>
        <v>0</v>
      </c>
      <c r="GQ238" s="675">
        <f t="shared" si="8234"/>
        <v>0</v>
      </c>
      <c r="GR238" s="263">
        <f t="shared" ref="GR238:IJ238" si="8291">GR565</f>
        <v>0</v>
      </c>
      <c r="GS238" s="263">
        <f t="shared" si="8291"/>
        <v>0</v>
      </c>
      <c r="GT238" s="549">
        <f t="shared" si="8291"/>
        <v>0</v>
      </c>
      <c r="GU238" s="263">
        <f t="shared" si="8291"/>
        <v>0</v>
      </c>
      <c r="GV238" s="263">
        <f t="shared" si="8291"/>
        <v>0</v>
      </c>
      <c r="GW238" s="549">
        <f t="shared" si="8291"/>
        <v>0</v>
      </c>
      <c r="GX238" s="549">
        <f t="shared" si="8291"/>
        <v>0</v>
      </c>
      <c r="GY238" s="263">
        <f t="shared" si="8291"/>
        <v>0</v>
      </c>
      <c r="GZ238" s="263">
        <f t="shared" si="8291"/>
        <v>0</v>
      </c>
      <c r="HA238" s="263">
        <f t="shared" si="8291"/>
        <v>0</v>
      </c>
      <c r="HB238" s="263">
        <f t="shared" si="8291"/>
        <v>0</v>
      </c>
      <c r="HC238" s="263">
        <f t="shared" si="8291"/>
        <v>0</v>
      </c>
      <c r="HD238" s="263">
        <f t="shared" si="8291"/>
        <v>0</v>
      </c>
      <c r="HE238" s="263">
        <f t="shared" si="8291"/>
        <v>0</v>
      </c>
      <c r="HF238" s="263">
        <f t="shared" si="8291"/>
        <v>0</v>
      </c>
      <c r="HG238" s="263">
        <f t="shared" si="8291"/>
        <v>0</v>
      </c>
      <c r="HH238" s="263">
        <f t="shared" ref="HH238:HU238" si="8292">HH565</f>
        <v>0</v>
      </c>
      <c r="HI238" s="263">
        <f t="shared" si="8292"/>
        <v>0</v>
      </c>
      <c r="HJ238" s="263">
        <f t="shared" si="8292"/>
        <v>0</v>
      </c>
      <c r="HK238" s="263">
        <f t="shared" si="8292"/>
        <v>0</v>
      </c>
      <c r="HL238" s="263">
        <f t="shared" si="8292"/>
        <v>0</v>
      </c>
      <c r="HM238" s="263">
        <f t="shared" si="8292"/>
        <v>0</v>
      </c>
      <c r="HN238" s="263">
        <f t="shared" si="8292"/>
        <v>0</v>
      </c>
      <c r="HO238" s="263">
        <f t="shared" si="8292"/>
        <v>0</v>
      </c>
      <c r="HP238" s="263">
        <f t="shared" si="8292"/>
        <v>0</v>
      </c>
      <c r="HQ238" s="263">
        <f t="shared" si="8292"/>
        <v>0</v>
      </c>
      <c r="HR238" s="263">
        <f t="shared" si="8292"/>
        <v>0</v>
      </c>
      <c r="HS238" s="263">
        <f t="shared" si="8292"/>
        <v>0</v>
      </c>
      <c r="HT238" s="263">
        <f t="shared" si="8292"/>
        <v>0</v>
      </c>
      <c r="HU238" s="263">
        <f t="shared" si="8292"/>
        <v>0</v>
      </c>
      <c r="HV238" s="263">
        <f t="shared" si="8291"/>
        <v>0</v>
      </c>
      <c r="HW238" s="263">
        <f t="shared" si="8291"/>
        <v>0</v>
      </c>
      <c r="HX238" s="263">
        <f t="shared" si="8291"/>
        <v>0</v>
      </c>
      <c r="HY238" s="263">
        <f t="shared" si="8291"/>
        <v>0</v>
      </c>
      <c r="HZ238" s="263">
        <f t="shared" si="8291"/>
        <v>0</v>
      </c>
      <c r="IA238" s="263">
        <f t="shared" si="8291"/>
        <v>0</v>
      </c>
      <c r="IB238" s="263">
        <f t="shared" si="8291"/>
        <v>0</v>
      </c>
      <c r="IC238" s="263">
        <f t="shared" si="8291"/>
        <v>0</v>
      </c>
      <c r="ID238" s="263">
        <f t="shared" si="8291"/>
        <v>0</v>
      </c>
      <c r="IE238" s="812">
        <f t="shared" si="8291"/>
        <v>0</v>
      </c>
      <c r="IF238" s="841">
        <f t="shared" si="8291"/>
        <v>0</v>
      </c>
      <c r="IG238" s="263">
        <f t="shared" si="8291"/>
        <v>0</v>
      </c>
      <c r="IH238" s="842">
        <f t="shared" si="8291"/>
        <v>0</v>
      </c>
      <c r="II238" s="383">
        <f t="shared" si="8291"/>
        <v>0</v>
      </c>
      <c r="IJ238" s="263">
        <f t="shared" si="8291"/>
        <v>0</v>
      </c>
      <c r="IK238" s="263">
        <f t="shared" ref="IK238:JT238" si="8293">IK565</f>
        <v>0</v>
      </c>
      <c r="IL238" s="263">
        <f t="shared" si="8293"/>
        <v>0</v>
      </c>
      <c r="IM238" s="263">
        <f t="shared" si="8293"/>
        <v>0</v>
      </c>
      <c r="IN238" s="263">
        <f t="shared" si="8293"/>
        <v>0</v>
      </c>
      <c r="IO238" s="263">
        <f t="shared" si="8293"/>
        <v>0</v>
      </c>
      <c r="IP238" s="263">
        <f t="shared" si="8293"/>
        <v>0</v>
      </c>
      <c r="IQ238" s="263">
        <f t="shared" si="8293"/>
        <v>0</v>
      </c>
      <c r="IR238" s="263">
        <f t="shared" si="8293"/>
        <v>0</v>
      </c>
      <c r="IS238" s="263">
        <f t="shared" si="8293"/>
        <v>0</v>
      </c>
      <c r="IT238" s="263">
        <f t="shared" si="8293"/>
        <v>0</v>
      </c>
      <c r="IU238" s="263">
        <f t="shared" si="8293"/>
        <v>0</v>
      </c>
      <c r="IV238" s="263">
        <f t="shared" si="8293"/>
        <v>0</v>
      </c>
      <c r="IW238" s="263">
        <f t="shared" si="8293"/>
        <v>0</v>
      </c>
      <c r="IX238" s="263">
        <f t="shared" si="8293"/>
        <v>0</v>
      </c>
      <c r="IY238" s="263">
        <f t="shared" si="8293"/>
        <v>0</v>
      </c>
      <c r="IZ238" s="263">
        <f t="shared" si="8293"/>
        <v>0</v>
      </c>
      <c r="JA238" s="263">
        <f t="shared" si="8293"/>
        <v>0</v>
      </c>
      <c r="JB238" s="263">
        <f t="shared" si="8293"/>
        <v>0</v>
      </c>
      <c r="JC238" s="263">
        <f t="shared" si="8293"/>
        <v>0</v>
      </c>
      <c r="JD238" s="263">
        <f t="shared" si="8293"/>
        <v>0</v>
      </c>
      <c r="JE238" s="263">
        <f t="shared" si="8293"/>
        <v>0</v>
      </c>
      <c r="JF238" s="263">
        <f t="shared" si="8293"/>
        <v>0</v>
      </c>
      <c r="JG238" s="263">
        <f t="shared" si="8293"/>
        <v>0</v>
      </c>
      <c r="JH238" s="263">
        <f t="shared" si="8293"/>
        <v>0</v>
      </c>
      <c r="JI238" s="263">
        <f t="shared" si="8293"/>
        <v>0</v>
      </c>
      <c r="JJ238" s="263">
        <f t="shared" si="8293"/>
        <v>0</v>
      </c>
      <c r="JK238" s="263">
        <f t="shared" si="8293"/>
        <v>0</v>
      </c>
      <c r="JL238" s="263">
        <f t="shared" si="8293"/>
        <v>0</v>
      </c>
      <c r="JM238" s="263">
        <f t="shared" si="8293"/>
        <v>0</v>
      </c>
      <c r="JN238" s="263">
        <f t="shared" si="8293"/>
        <v>0</v>
      </c>
      <c r="JO238" s="263">
        <f t="shared" si="8293"/>
        <v>0</v>
      </c>
      <c r="JP238" s="263">
        <f t="shared" si="8293"/>
        <v>0</v>
      </c>
      <c r="JQ238" s="263">
        <f t="shared" si="8293"/>
        <v>0</v>
      </c>
      <c r="JR238" s="263">
        <f t="shared" si="8293"/>
        <v>0</v>
      </c>
      <c r="JS238" s="263">
        <f t="shared" si="8293"/>
        <v>0</v>
      </c>
      <c r="JT238" s="382">
        <f t="shared" si="8293"/>
        <v>0</v>
      </c>
      <c r="JU238" s="670"/>
      <c r="JV238" s="489"/>
      <c r="JW238" s="490"/>
      <c r="JX238" s="549">
        <f t="shared" si="8250"/>
        <v>0</v>
      </c>
      <c r="JY238" s="549">
        <f t="shared" si="8250"/>
        <v>0</v>
      </c>
      <c r="JZ238" s="581">
        <f t="shared" si="7470"/>
        <v>0</v>
      </c>
      <c r="KA238" s="581">
        <f t="shared" si="7471"/>
        <v>0</v>
      </c>
      <c r="KB238" s="549">
        <f t="shared" si="8250"/>
        <v>0</v>
      </c>
      <c r="KC238" s="709">
        <f t="shared" si="7396"/>
        <v>0</v>
      </c>
      <c r="KD238" s="36"/>
      <c r="KE238" s="36"/>
      <c r="KF238" s="36"/>
      <c r="KG238" s="36"/>
      <c r="KH238" s="36"/>
      <c r="KI238" s="36"/>
      <c r="KJ238" s="36"/>
      <c r="KK238" s="36"/>
    </row>
    <row r="239" spans="1:297" s="8" customFormat="1" ht="12.75" customHeight="1">
      <c r="A239" s="75"/>
      <c r="B239" s="72"/>
      <c r="C239" s="74"/>
      <c r="D239" s="549"/>
      <c r="E239" s="675"/>
      <c r="F239" s="549"/>
      <c r="G239" s="675"/>
      <c r="H239" s="549"/>
      <c r="I239" s="675"/>
      <c r="J239" s="549"/>
      <c r="K239" s="675"/>
      <c r="L239" s="549"/>
      <c r="M239" s="675"/>
      <c r="N239" s="549"/>
      <c r="O239" s="675"/>
      <c r="P239" s="549"/>
      <c r="Q239" s="675"/>
      <c r="R239" s="549"/>
      <c r="S239" s="675"/>
      <c r="T239" s="549"/>
      <c r="U239" s="675"/>
      <c r="V239" s="549"/>
      <c r="W239" s="675"/>
      <c r="X239" s="549"/>
      <c r="Y239" s="675"/>
      <c r="Z239" s="549"/>
      <c r="AA239" s="675"/>
      <c r="AB239" s="549"/>
      <c r="AC239" s="675"/>
      <c r="AD239" s="549"/>
      <c r="AE239" s="675"/>
      <c r="AF239" s="549"/>
      <c r="AG239" s="675"/>
      <c r="AH239" s="549"/>
      <c r="AI239" s="675"/>
      <c r="AJ239" s="549"/>
      <c r="AK239" s="675"/>
      <c r="AL239" s="549"/>
      <c r="AM239" s="675"/>
      <c r="AN239" s="549"/>
      <c r="AO239" s="675"/>
      <c r="AP239" s="549"/>
      <c r="AQ239" s="675"/>
      <c r="AR239" s="549"/>
      <c r="AS239" s="675"/>
      <c r="AT239" s="549"/>
      <c r="AU239" s="675"/>
      <c r="AV239" s="549"/>
      <c r="AW239" s="675"/>
      <c r="AX239" s="549"/>
      <c r="AY239" s="675"/>
      <c r="AZ239" s="549"/>
      <c r="BA239" s="675"/>
      <c r="BB239" s="549"/>
      <c r="BC239" s="675"/>
      <c r="BD239" s="549"/>
      <c r="BE239" s="675"/>
      <c r="BF239" s="549"/>
      <c r="BG239" s="675"/>
      <c r="BH239" s="549"/>
      <c r="BI239" s="675"/>
      <c r="BJ239" s="549"/>
      <c r="BK239" s="675"/>
      <c r="BL239" s="549"/>
      <c r="BM239" s="675"/>
      <c r="BN239" s="549"/>
      <c r="BO239" s="675"/>
      <c r="BP239" s="549"/>
      <c r="BQ239" s="675"/>
      <c r="BR239" s="549"/>
      <c r="BS239" s="675"/>
      <c r="BT239" s="549"/>
      <c r="BU239" s="675"/>
      <c r="BV239" s="549"/>
      <c r="BW239" s="675"/>
      <c r="BX239" s="549"/>
      <c r="BY239" s="675"/>
      <c r="BZ239" s="549"/>
      <c r="CA239" s="675"/>
      <c r="CB239" s="549"/>
      <c r="CC239" s="675"/>
      <c r="CD239" s="549"/>
      <c r="CE239" s="675"/>
      <c r="CF239" s="549"/>
      <c r="CG239" s="675"/>
      <c r="CH239" s="549"/>
      <c r="CI239" s="675"/>
      <c r="CJ239" s="549"/>
      <c r="CK239" s="675"/>
      <c r="CL239" s="549"/>
      <c r="CM239" s="675"/>
      <c r="CN239" s="549"/>
      <c r="CO239" s="675"/>
      <c r="CP239" s="549"/>
      <c r="CQ239" s="675"/>
      <c r="CR239" s="549"/>
      <c r="CS239" s="675"/>
      <c r="CT239" s="549"/>
      <c r="CU239" s="675"/>
      <c r="CV239" s="549"/>
      <c r="CW239" s="675"/>
      <c r="CX239" s="549"/>
      <c r="CY239" s="675"/>
      <c r="CZ239" s="549"/>
      <c r="DA239" s="675"/>
      <c r="DB239" s="549"/>
      <c r="DC239" s="675"/>
      <c r="DD239" s="549"/>
      <c r="DE239" s="675"/>
      <c r="DF239" s="549"/>
      <c r="DG239" s="675"/>
      <c r="DH239" s="549"/>
      <c r="DI239" s="675"/>
      <c r="DJ239" s="549"/>
      <c r="DK239" s="675"/>
      <c r="DL239" s="549"/>
      <c r="DM239" s="675"/>
      <c r="DN239" s="549"/>
      <c r="DO239" s="675"/>
      <c r="DP239" s="549"/>
      <c r="DQ239" s="675"/>
      <c r="DR239" s="549"/>
      <c r="DS239" s="675"/>
      <c r="DT239" s="549"/>
      <c r="DU239" s="675"/>
      <c r="DV239" s="549"/>
      <c r="DW239" s="675"/>
      <c r="DX239" s="549"/>
      <c r="DY239" s="675"/>
      <c r="DZ239" s="549"/>
      <c r="EA239" s="675"/>
      <c r="EB239" s="549"/>
      <c r="EC239" s="675"/>
      <c r="ED239" s="549"/>
      <c r="EE239" s="675"/>
      <c r="EF239" s="549"/>
      <c r="EG239" s="675"/>
      <c r="EH239" s="549"/>
      <c r="EI239" s="675"/>
      <c r="EJ239" s="549"/>
      <c r="EK239" s="675"/>
      <c r="EL239" s="549"/>
      <c r="EM239" s="675"/>
      <c r="EN239" s="549"/>
      <c r="EO239" s="675"/>
      <c r="EP239" s="549"/>
      <c r="EQ239" s="675"/>
      <c r="ER239" s="549"/>
      <c r="ES239" s="675"/>
      <c r="ET239" s="549"/>
      <c r="EU239" s="675"/>
      <c r="EV239" s="549"/>
      <c r="EW239" s="675"/>
      <c r="EX239" s="549"/>
      <c r="EY239" s="675"/>
      <c r="EZ239" s="549"/>
      <c r="FA239" s="675"/>
      <c r="FB239" s="549"/>
      <c r="FC239" s="675"/>
      <c r="FD239" s="549"/>
      <c r="FE239" s="675"/>
      <c r="FF239" s="549"/>
      <c r="FG239" s="675"/>
      <c r="FH239" s="549"/>
      <c r="FI239" s="675"/>
      <c r="FJ239" s="549"/>
      <c r="FK239" s="675"/>
      <c r="FL239" s="549"/>
      <c r="FM239" s="675"/>
      <c r="FN239" s="549"/>
      <c r="FO239" s="675"/>
      <c r="FP239" s="549"/>
      <c r="FQ239" s="675"/>
      <c r="FR239" s="549"/>
      <c r="FS239" s="675"/>
      <c r="FT239" s="549"/>
      <c r="FU239" s="675"/>
      <c r="FV239" s="549"/>
      <c r="FW239" s="675"/>
      <c r="FX239" s="549"/>
      <c r="FY239" s="675"/>
      <c r="FZ239" s="549"/>
      <c r="GA239" s="675"/>
      <c r="GB239" s="549"/>
      <c r="GC239" s="675"/>
      <c r="GD239" s="549"/>
      <c r="GE239" s="675"/>
      <c r="GF239" s="549"/>
      <c r="GG239" s="675"/>
      <c r="GH239" s="549"/>
      <c r="GI239" s="675"/>
      <c r="GJ239" s="549"/>
      <c r="GK239" s="675"/>
      <c r="GL239" s="549"/>
      <c r="GM239" s="675"/>
      <c r="GN239" s="549"/>
      <c r="GO239" s="675"/>
      <c r="GP239" s="549"/>
      <c r="GQ239" s="675"/>
      <c r="GR239" s="74"/>
      <c r="GS239" s="74"/>
      <c r="GT239" s="549"/>
      <c r="GU239" s="74"/>
      <c r="GV239" s="74"/>
      <c r="GW239" s="549"/>
      <c r="GX239" s="549"/>
      <c r="GY239" s="74"/>
      <c r="GZ239" s="74"/>
      <c r="HA239" s="74"/>
      <c r="HB239" s="74"/>
      <c r="HC239" s="74"/>
      <c r="HD239" s="74"/>
      <c r="HE239" s="74"/>
      <c r="HF239" s="74"/>
      <c r="HG239" s="74"/>
      <c r="HH239" s="74"/>
      <c r="HI239" s="74"/>
      <c r="HJ239" s="74"/>
      <c r="HK239" s="74"/>
      <c r="HL239" s="74"/>
      <c r="HM239" s="74"/>
      <c r="HN239" s="74"/>
      <c r="HO239" s="74"/>
      <c r="HP239" s="74"/>
      <c r="HQ239" s="74"/>
      <c r="HR239" s="74"/>
      <c r="HS239" s="74"/>
      <c r="HT239" s="74"/>
      <c r="HU239" s="74"/>
      <c r="HV239" s="74"/>
      <c r="HW239" s="74"/>
      <c r="HX239" s="74"/>
      <c r="HY239" s="74"/>
      <c r="HZ239" s="74"/>
      <c r="IA239" s="74"/>
      <c r="IB239" s="74"/>
      <c r="IC239" s="74"/>
      <c r="ID239" s="74"/>
      <c r="IE239" s="792"/>
      <c r="IF239" s="841"/>
      <c r="IG239" s="263"/>
      <c r="IH239" s="842"/>
      <c r="II239" s="155"/>
      <c r="IJ239" s="74"/>
      <c r="IK239" s="74"/>
      <c r="IL239" s="74"/>
      <c r="IM239" s="74"/>
      <c r="IN239" s="74"/>
      <c r="IO239" s="74"/>
      <c r="IP239" s="74"/>
      <c r="IQ239" s="74"/>
      <c r="IR239" s="74"/>
      <c r="IS239" s="74"/>
      <c r="IT239" s="74"/>
      <c r="IU239" s="74"/>
      <c r="IV239" s="74"/>
      <c r="IW239" s="74"/>
      <c r="IX239" s="74"/>
      <c r="IY239" s="74"/>
      <c r="IZ239" s="74"/>
      <c r="JA239" s="74"/>
      <c r="JB239" s="74"/>
      <c r="JC239" s="74"/>
      <c r="JD239" s="74"/>
      <c r="JE239" s="74"/>
      <c r="JF239" s="74"/>
      <c r="JG239" s="74"/>
      <c r="JH239" s="74"/>
      <c r="JI239" s="74"/>
      <c r="JJ239" s="74"/>
      <c r="JK239" s="74"/>
      <c r="JL239" s="74"/>
      <c r="JM239" s="74"/>
      <c r="JN239" s="74"/>
      <c r="JO239" s="74"/>
      <c r="JP239" s="74"/>
      <c r="JQ239" s="74"/>
      <c r="JR239" s="74"/>
      <c r="JS239" s="74"/>
      <c r="JT239" s="382"/>
      <c r="JU239" s="670"/>
      <c r="JV239" s="489"/>
      <c r="JW239" s="490"/>
      <c r="JX239" s="548"/>
      <c r="JY239" s="548"/>
      <c r="JZ239" s="581">
        <f t="shared" si="7470"/>
        <v>0</v>
      </c>
      <c r="KA239" s="581">
        <f t="shared" si="7471"/>
        <v>0</v>
      </c>
      <c r="KB239" s="548"/>
      <c r="KC239" s="709">
        <f t="shared" si="7396"/>
        <v>0</v>
      </c>
      <c r="KD239" s="36"/>
      <c r="KE239" s="36"/>
      <c r="KF239" s="36"/>
      <c r="KG239" s="36"/>
      <c r="KH239" s="36"/>
      <c r="KI239" s="36"/>
      <c r="KJ239" s="36"/>
      <c r="KK239" s="36"/>
    </row>
    <row r="240" spans="1:297" s="55" customFormat="1">
      <c r="A240" s="81" t="s">
        <v>219</v>
      </c>
      <c r="B240" s="82" t="s">
        <v>220</v>
      </c>
      <c r="C240" s="83">
        <f t="shared" ref="C240:BP240" si="8294">SUM(C242,C364)+C567</f>
        <v>18859900</v>
      </c>
      <c r="D240" s="550">
        <f t="shared" si="8294"/>
        <v>6453</v>
      </c>
      <c r="E240" s="678">
        <f t="shared" si="8294"/>
        <v>-6453</v>
      </c>
      <c r="F240" s="550">
        <f t="shared" si="8294"/>
        <v>13000</v>
      </c>
      <c r="G240" s="678">
        <f t="shared" si="8294"/>
        <v>-13000</v>
      </c>
      <c r="H240" s="550">
        <f t="shared" si="8294"/>
        <v>0</v>
      </c>
      <c r="I240" s="678">
        <f t="shared" si="8294"/>
        <v>0</v>
      </c>
      <c r="J240" s="550">
        <f t="shared" si="8294"/>
        <v>0</v>
      </c>
      <c r="K240" s="678">
        <f t="shared" si="8294"/>
        <v>0</v>
      </c>
      <c r="L240" s="550">
        <f t="shared" si="8294"/>
        <v>30000</v>
      </c>
      <c r="M240" s="678">
        <f t="shared" si="8294"/>
        <v>-30000</v>
      </c>
      <c r="N240" s="550">
        <f t="shared" si="8294"/>
        <v>0</v>
      </c>
      <c r="O240" s="678">
        <f t="shared" si="8294"/>
        <v>0</v>
      </c>
      <c r="P240" s="550">
        <f t="shared" si="8294"/>
        <v>3724</v>
      </c>
      <c r="Q240" s="678">
        <f t="shared" si="8294"/>
        <v>-3724</v>
      </c>
      <c r="R240" s="550">
        <f t="shared" si="8294"/>
        <v>1212</v>
      </c>
      <c r="S240" s="678">
        <f t="shared" si="8294"/>
        <v>-1212</v>
      </c>
      <c r="T240" s="550">
        <f t="shared" si="8294"/>
        <v>0</v>
      </c>
      <c r="U240" s="678">
        <f t="shared" si="8294"/>
        <v>0</v>
      </c>
      <c r="V240" s="550">
        <f t="shared" si="8294"/>
        <v>48700</v>
      </c>
      <c r="W240" s="678">
        <f t="shared" si="8294"/>
        <v>-48700</v>
      </c>
      <c r="X240" s="550">
        <f t="shared" si="8294"/>
        <v>10000</v>
      </c>
      <c r="Y240" s="678">
        <f t="shared" si="8294"/>
        <v>-10000</v>
      </c>
      <c r="Z240" s="550">
        <f t="shared" si="8294"/>
        <v>0</v>
      </c>
      <c r="AA240" s="678">
        <f t="shared" si="8294"/>
        <v>0</v>
      </c>
      <c r="AB240" s="550">
        <f t="shared" si="8294"/>
        <v>0</v>
      </c>
      <c r="AC240" s="678">
        <f t="shared" si="8294"/>
        <v>0</v>
      </c>
      <c r="AD240" s="550">
        <f t="shared" si="8294"/>
        <v>7000</v>
      </c>
      <c r="AE240" s="678">
        <f t="shared" si="8294"/>
        <v>-7000</v>
      </c>
      <c r="AF240" s="550">
        <f t="shared" si="8294"/>
        <v>20000</v>
      </c>
      <c r="AG240" s="678">
        <f t="shared" si="8294"/>
        <v>-20000</v>
      </c>
      <c r="AH240" s="550">
        <f t="shared" si="8294"/>
        <v>123000</v>
      </c>
      <c r="AI240" s="678">
        <f t="shared" si="8294"/>
        <v>-123000</v>
      </c>
      <c r="AJ240" s="550">
        <f t="shared" si="8294"/>
        <v>82844</v>
      </c>
      <c r="AK240" s="678">
        <f t="shared" si="8294"/>
        <v>-82844</v>
      </c>
      <c r="AL240" s="550">
        <f t="shared" si="8294"/>
        <v>0</v>
      </c>
      <c r="AM240" s="678">
        <f t="shared" si="8294"/>
        <v>0</v>
      </c>
      <c r="AN240" s="550">
        <f t="shared" si="8294"/>
        <v>125000</v>
      </c>
      <c r="AO240" s="678">
        <f t="shared" si="8294"/>
        <v>-63815</v>
      </c>
      <c r="AP240" s="550">
        <f t="shared" si="8294"/>
        <v>0</v>
      </c>
      <c r="AQ240" s="678">
        <f t="shared" si="8294"/>
        <v>0</v>
      </c>
      <c r="AR240" s="550">
        <f t="shared" si="8294"/>
        <v>8480</v>
      </c>
      <c r="AS240" s="678">
        <f t="shared" si="8294"/>
        <v>-8480</v>
      </c>
      <c r="AT240" s="550">
        <f t="shared" ref="AT240:AU240" si="8295">SUM(AT242,AT364)+AT567</f>
        <v>99000</v>
      </c>
      <c r="AU240" s="678">
        <f t="shared" si="8295"/>
        <v>-177320</v>
      </c>
      <c r="AV240" s="550">
        <f t="shared" ref="AV240:AW240" si="8296">SUM(AV242,AV364)+AV567</f>
        <v>40000</v>
      </c>
      <c r="AW240" s="678">
        <f t="shared" si="8296"/>
        <v>-26552</v>
      </c>
      <c r="AX240" s="550">
        <f t="shared" ref="AX240:AY240" si="8297">SUM(AX242,AX364)+AX567</f>
        <v>0</v>
      </c>
      <c r="AY240" s="678">
        <f t="shared" si="8297"/>
        <v>0</v>
      </c>
      <c r="AZ240" s="550">
        <f t="shared" ref="AZ240:BA240" si="8298">SUM(AZ242,AZ364)+AZ567</f>
        <v>35000</v>
      </c>
      <c r="BA240" s="678">
        <f t="shared" si="8298"/>
        <v>-35000</v>
      </c>
      <c r="BB240" s="550">
        <f t="shared" ref="BB240:BC240" si="8299">SUM(BB242,BB364)+BB567</f>
        <v>0</v>
      </c>
      <c r="BC240" s="678">
        <f t="shared" si="8299"/>
        <v>0</v>
      </c>
      <c r="BD240" s="550">
        <f t="shared" ref="BD240:BE240" si="8300">SUM(BD242,BD364)+BD567</f>
        <v>32000</v>
      </c>
      <c r="BE240" s="678">
        <f t="shared" si="8300"/>
        <v>-32000</v>
      </c>
      <c r="BF240" s="550">
        <f t="shared" ref="BF240:BG240" si="8301">SUM(BF242,BF364)+BF567</f>
        <v>39000</v>
      </c>
      <c r="BG240" s="678">
        <f t="shared" si="8301"/>
        <v>-39000</v>
      </c>
      <c r="BH240" s="550">
        <f t="shared" ref="BH240:BI240" si="8302">SUM(BH242,BH364)+BH567</f>
        <v>27000</v>
      </c>
      <c r="BI240" s="678">
        <f t="shared" si="8302"/>
        <v>-27000</v>
      </c>
      <c r="BJ240" s="550">
        <f t="shared" ref="BJ240:BK240" si="8303">SUM(BJ242,BJ364)+BJ567</f>
        <v>3000</v>
      </c>
      <c r="BK240" s="678">
        <f t="shared" si="8303"/>
        <v>-3000</v>
      </c>
      <c r="BL240" s="550">
        <f t="shared" si="8294"/>
        <v>6599</v>
      </c>
      <c r="BM240" s="678">
        <f t="shared" si="8294"/>
        <v>-6599</v>
      </c>
      <c r="BN240" s="550">
        <f t="shared" si="8294"/>
        <v>5000</v>
      </c>
      <c r="BO240" s="678">
        <f t="shared" si="8294"/>
        <v>-5000</v>
      </c>
      <c r="BP240" s="550">
        <f t="shared" si="8294"/>
        <v>20000</v>
      </c>
      <c r="BQ240" s="678">
        <f t="shared" ref="BQ240" si="8304">SUM(BQ242,BQ364)+BQ567</f>
        <v>-20000</v>
      </c>
      <c r="BR240" s="550">
        <f t="shared" ref="BR240:BS240" si="8305">SUM(BR242,BR364)+BR567</f>
        <v>0</v>
      </c>
      <c r="BS240" s="678">
        <f t="shared" si="8305"/>
        <v>0</v>
      </c>
      <c r="BT240" s="550">
        <f t="shared" ref="BT240:BU240" si="8306">SUM(BT242,BT364)+BT567</f>
        <v>0</v>
      </c>
      <c r="BU240" s="678">
        <f t="shared" si="8306"/>
        <v>0</v>
      </c>
      <c r="BV240" s="550">
        <f t="shared" ref="BV240:BW240" si="8307">SUM(BV242,BV364)+BV567</f>
        <v>7480</v>
      </c>
      <c r="BW240" s="678">
        <f t="shared" si="8307"/>
        <v>-7480</v>
      </c>
      <c r="BX240" s="550">
        <f t="shared" ref="BX240:BY240" si="8308">SUM(BX242,BX364)+BX567</f>
        <v>0</v>
      </c>
      <c r="BY240" s="678">
        <f t="shared" si="8308"/>
        <v>0</v>
      </c>
      <c r="BZ240" s="550">
        <f t="shared" ref="BZ240:CA240" si="8309">SUM(BZ242,BZ364)+BZ567</f>
        <v>0</v>
      </c>
      <c r="CA240" s="678">
        <f t="shared" si="8309"/>
        <v>-1775</v>
      </c>
      <c r="CB240" s="550">
        <f t="shared" ref="CB240:EC240" si="8310">SUM(CB242,CB364)+CB567</f>
        <v>15000</v>
      </c>
      <c r="CC240" s="678">
        <f t="shared" si="8310"/>
        <v>-15000</v>
      </c>
      <c r="CD240" s="550">
        <f t="shared" si="8310"/>
        <v>0</v>
      </c>
      <c r="CE240" s="678">
        <f t="shared" si="8310"/>
        <v>0</v>
      </c>
      <c r="CF240" s="550">
        <f t="shared" si="8310"/>
        <v>0</v>
      </c>
      <c r="CG240" s="678">
        <f t="shared" si="8310"/>
        <v>0</v>
      </c>
      <c r="CH240" s="550">
        <f t="shared" si="8310"/>
        <v>13000</v>
      </c>
      <c r="CI240" s="678">
        <f t="shared" si="8310"/>
        <v>-13000</v>
      </c>
      <c r="CJ240" s="550">
        <f t="shared" si="8310"/>
        <v>0</v>
      </c>
      <c r="CK240" s="678">
        <f t="shared" si="8310"/>
        <v>-299968</v>
      </c>
      <c r="CL240" s="550">
        <f t="shared" si="8310"/>
        <v>18000</v>
      </c>
      <c r="CM240" s="678">
        <f t="shared" si="8310"/>
        <v>-18000</v>
      </c>
      <c r="CN240" s="550">
        <f t="shared" si="8310"/>
        <v>6366</v>
      </c>
      <c r="CO240" s="678">
        <f t="shared" si="8310"/>
        <v>0</v>
      </c>
      <c r="CP240" s="550">
        <f t="shared" si="8310"/>
        <v>20655</v>
      </c>
      <c r="CQ240" s="678">
        <f t="shared" si="8310"/>
        <v>-20655</v>
      </c>
      <c r="CR240" s="550">
        <f t="shared" si="8310"/>
        <v>0</v>
      </c>
      <c r="CS240" s="678">
        <f t="shared" si="8310"/>
        <v>0</v>
      </c>
      <c r="CT240" s="550">
        <f t="shared" si="8310"/>
        <v>0</v>
      </c>
      <c r="CU240" s="678">
        <f t="shared" si="8310"/>
        <v>0</v>
      </c>
      <c r="CV240" s="550">
        <f t="shared" si="8310"/>
        <v>4500</v>
      </c>
      <c r="CW240" s="678">
        <f t="shared" si="8310"/>
        <v>-4500</v>
      </c>
      <c r="CX240" s="550">
        <f t="shared" si="8310"/>
        <v>0</v>
      </c>
      <c r="CY240" s="678">
        <f t="shared" si="8310"/>
        <v>0</v>
      </c>
      <c r="CZ240" s="550">
        <f t="shared" si="8310"/>
        <v>39000</v>
      </c>
      <c r="DA240" s="678">
        <f t="shared" si="8310"/>
        <v>-39000</v>
      </c>
      <c r="DB240" s="550">
        <f t="shared" si="8310"/>
        <v>0</v>
      </c>
      <c r="DC240" s="678">
        <f t="shared" si="8310"/>
        <v>0</v>
      </c>
      <c r="DD240" s="550">
        <f t="shared" si="8310"/>
        <v>0</v>
      </c>
      <c r="DE240" s="678">
        <f t="shared" si="8310"/>
        <v>0</v>
      </c>
      <c r="DF240" s="550">
        <f t="shared" si="8310"/>
        <v>100000</v>
      </c>
      <c r="DG240" s="678">
        <f t="shared" si="8310"/>
        <v>-100000</v>
      </c>
      <c r="DH240" s="550">
        <f t="shared" si="8310"/>
        <v>21000</v>
      </c>
      <c r="DI240" s="678">
        <f t="shared" si="8310"/>
        <v>-21000</v>
      </c>
      <c r="DJ240" s="550">
        <f t="shared" si="8310"/>
        <v>12000</v>
      </c>
      <c r="DK240" s="678">
        <f t="shared" si="8310"/>
        <v>-12000</v>
      </c>
      <c r="DL240" s="550">
        <f t="shared" si="8310"/>
        <v>0</v>
      </c>
      <c r="DM240" s="678">
        <f t="shared" si="8310"/>
        <v>0</v>
      </c>
      <c r="DN240" s="550">
        <f t="shared" si="8310"/>
        <v>0</v>
      </c>
      <c r="DO240" s="678">
        <f t="shared" si="8310"/>
        <v>0</v>
      </c>
      <c r="DP240" s="550">
        <f t="shared" si="8310"/>
        <v>0</v>
      </c>
      <c r="DQ240" s="678">
        <f t="shared" si="8310"/>
        <v>-54600</v>
      </c>
      <c r="DR240" s="550">
        <f t="shared" si="8310"/>
        <v>0</v>
      </c>
      <c r="DS240" s="678">
        <f t="shared" si="8310"/>
        <v>0</v>
      </c>
      <c r="DT240" s="550">
        <f t="shared" si="8310"/>
        <v>9485</v>
      </c>
      <c r="DU240" s="678">
        <f t="shared" si="8310"/>
        <v>-9485</v>
      </c>
      <c r="DV240" s="550">
        <f t="shared" si="8310"/>
        <v>0</v>
      </c>
      <c r="DW240" s="678">
        <f t="shared" si="8310"/>
        <v>0</v>
      </c>
      <c r="DX240" s="550">
        <f t="shared" si="8310"/>
        <v>0</v>
      </c>
      <c r="DY240" s="678">
        <f t="shared" si="8310"/>
        <v>0</v>
      </c>
      <c r="DZ240" s="550">
        <f t="shared" si="8310"/>
        <v>0</v>
      </c>
      <c r="EA240" s="678">
        <f t="shared" si="8310"/>
        <v>0</v>
      </c>
      <c r="EB240" s="550">
        <f t="shared" si="8310"/>
        <v>3660</v>
      </c>
      <c r="EC240" s="678">
        <f t="shared" si="8310"/>
        <v>-3660</v>
      </c>
      <c r="ED240" s="550">
        <f t="shared" ref="ED240:EE240" si="8311">SUM(ED242,ED364)+ED567</f>
        <v>48000</v>
      </c>
      <c r="EE240" s="678">
        <f t="shared" si="8311"/>
        <v>-21000</v>
      </c>
      <c r="EF240" s="550">
        <f t="shared" ref="EF240:HV240" si="8312">SUM(EF242,EF364)+EF567</f>
        <v>86277</v>
      </c>
      <c r="EG240" s="678">
        <f t="shared" si="8312"/>
        <v>-102272</v>
      </c>
      <c r="EH240" s="550">
        <f t="shared" si="8312"/>
        <v>0</v>
      </c>
      <c r="EI240" s="678">
        <f t="shared" si="8312"/>
        <v>0</v>
      </c>
      <c r="EJ240" s="550">
        <f t="shared" si="8312"/>
        <v>52500</v>
      </c>
      <c r="EK240" s="678">
        <f t="shared" si="8312"/>
        <v>-52500</v>
      </c>
      <c r="EL240" s="550">
        <f t="shared" si="8312"/>
        <v>19500</v>
      </c>
      <c r="EM240" s="678">
        <f t="shared" si="8312"/>
        <v>-19500</v>
      </c>
      <c r="EN240" s="550">
        <f t="shared" si="8312"/>
        <v>0</v>
      </c>
      <c r="EO240" s="678">
        <f t="shared" si="8312"/>
        <v>0</v>
      </c>
      <c r="EP240" s="550">
        <f t="shared" si="8312"/>
        <v>100000</v>
      </c>
      <c r="EQ240" s="678">
        <f t="shared" si="8312"/>
        <v>-137374</v>
      </c>
      <c r="ER240" s="550">
        <f t="shared" si="8312"/>
        <v>0</v>
      </c>
      <c r="ES240" s="678">
        <f t="shared" si="8312"/>
        <v>0</v>
      </c>
      <c r="ET240" s="550">
        <f t="shared" si="8312"/>
        <v>11000</v>
      </c>
      <c r="EU240" s="678">
        <f t="shared" si="8312"/>
        <v>-11000</v>
      </c>
      <c r="EV240" s="550">
        <f t="shared" si="8312"/>
        <v>1803</v>
      </c>
      <c r="EW240" s="678">
        <f t="shared" si="8312"/>
        <v>-1803</v>
      </c>
      <c r="EX240" s="550">
        <f t="shared" si="8312"/>
        <v>25600</v>
      </c>
      <c r="EY240" s="678">
        <f t="shared" si="8312"/>
        <v>0</v>
      </c>
      <c r="EZ240" s="550">
        <f t="shared" si="8312"/>
        <v>15400</v>
      </c>
      <c r="FA240" s="678">
        <f t="shared" si="8312"/>
        <v>-15400</v>
      </c>
      <c r="FB240" s="550">
        <f t="shared" si="8312"/>
        <v>0</v>
      </c>
      <c r="FC240" s="678">
        <f t="shared" si="8312"/>
        <v>0</v>
      </c>
      <c r="FD240" s="550">
        <f t="shared" si="8312"/>
        <v>10600</v>
      </c>
      <c r="FE240" s="678">
        <f t="shared" si="8312"/>
        <v>-10600</v>
      </c>
      <c r="FF240" s="550">
        <f t="shared" si="8312"/>
        <v>1800</v>
      </c>
      <c r="FG240" s="678">
        <f t="shared" si="8312"/>
        <v>-2940</v>
      </c>
      <c r="FH240" s="550">
        <f t="shared" si="8312"/>
        <v>4200</v>
      </c>
      <c r="FI240" s="678">
        <f t="shared" si="8312"/>
        <v>0</v>
      </c>
      <c r="FJ240" s="550">
        <f t="shared" si="8312"/>
        <v>5000</v>
      </c>
      <c r="FK240" s="678">
        <f t="shared" si="8312"/>
        <v>-5000</v>
      </c>
      <c r="FL240" s="550">
        <f t="shared" ref="FL240:FM240" si="8313">SUM(FL242,FL364)+FL567</f>
        <v>41500</v>
      </c>
      <c r="FM240" s="678">
        <f t="shared" si="8313"/>
        <v>-41500</v>
      </c>
      <c r="FN240" s="550">
        <f t="shared" ref="FN240:FO240" si="8314">SUM(FN242,FN364)+FN567</f>
        <v>0</v>
      </c>
      <c r="FO240" s="678">
        <f t="shared" si="8314"/>
        <v>0</v>
      </c>
      <c r="FP240" s="550">
        <f t="shared" ref="FP240:FQ240" si="8315">SUM(FP242,FP364)+FP567</f>
        <v>0</v>
      </c>
      <c r="FQ240" s="678">
        <f t="shared" si="8315"/>
        <v>0</v>
      </c>
      <c r="FR240" s="550">
        <f t="shared" ref="FR240:FS240" si="8316">SUM(FR242,FR364)+FR567</f>
        <v>68715</v>
      </c>
      <c r="FS240" s="678">
        <f t="shared" si="8316"/>
        <v>-68715</v>
      </c>
      <c r="FT240" s="550">
        <f t="shared" ref="FT240:FU240" si="8317">SUM(FT242,FT364)+FT567</f>
        <v>10857</v>
      </c>
      <c r="FU240" s="678">
        <f t="shared" si="8317"/>
        <v>-10857</v>
      </c>
      <c r="FV240" s="550">
        <f t="shared" ref="FV240:GK240" si="8318">SUM(FV242,FV364)+FV567</f>
        <v>6976</v>
      </c>
      <c r="FW240" s="678">
        <f t="shared" si="8318"/>
        <v>-6976</v>
      </c>
      <c r="FX240" s="550">
        <f t="shared" si="8318"/>
        <v>6703</v>
      </c>
      <c r="FY240" s="678">
        <f t="shared" si="8318"/>
        <v>-6703</v>
      </c>
      <c r="FZ240" s="550">
        <f t="shared" ref="FZ240:GI240" si="8319">SUM(FZ242,FZ364)+FZ567</f>
        <v>0</v>
      </c>
      <c r="GA240" s="678">
        <f t="shared" si="8319"/>
        <v>0</v>
      </c>
      <c r="GB240" s="550">
        <f t="shared" si="8319"/>
        <v>0</v>
      </c>
      <c r="GC240" s="678">
        <f t="shared" si="8319"/>
        <v>0</v>
      </c>
      <c r="GD240" s="550">
        <f t="shared" si="8319"/>
        <v>0</v>
      </c>
      <c r="GE240" s="678">
        <f t="shared" si="8319"/>
        <v>0</v>
      </c>
      <c r="GF240" s="550">
        <f t="shared" si="8319"/>
        <v>0</v>
      </c>
      <c r="GG240" s="678">
        <f t="shared" si="8319"/>
        <v>0</v>
      </c>
      <c r="GH240" s="550">
        <f t="shared" si="8319"/>
        <v>0</v>
      </c>
      <c r="GI240" s="678">
        <f t="shared" si="8319"/>
        <v>0</v>
      </c>
      <c r="GJ240" s="550">
        <f t="shared" si="8318"/>
        <v>0</v>
      </c>
      <c r="GK240" s="678">
        <f t="shared" si="8318"/>
        <v>0</v>
      </c>
      <c r="GL240" s="550">
        <f t="shared" ref="GL240:GM240" si="8320">SUM(GL242,GL364)+GL567</f>
        <v>0</v>
      </c>
      <c r="GM240" s="678">
        <f t="shared" si="8320"/>
        <v>0</v>
      </c>
      <c r="GN240" s="550">
        <f t="shared" ref="GN240:GO240" si="8321">SUM(GN242,GN364)+GN567</f>
        <v>0</v>
      </c>
      <c r="GO240" s="678">
        <f t="shared" si="8321"/>
        <v>0</v>
      </c>
      <c r="GP240" s="550">
        <f t="shared" si="8312"/>
        <v>1572589</v>
      </c>
      <c r="GQ240" s="678">
        <f t="shared" si="8312"/>
        <v>-1923962</v>
      </c>
      <c r="GR240" s="83">
        <f t="shared" si="8312"/>
        <v>18508527</v>
      </c>
      <c r="GS240" s="83">
        <f t="shared" si="8312"/>
        <v>16884327</v>
      </c>
      <c r="GT240" s="550">
        <f t="shared" si="8312"/>
        <v>18478727</v>
      </c>
      <c r="GU240" s="83">
        <f t="shared" si="8312"/>
        <v>1868129</v>
      </c>
      <c r="GV240" s="83">
        <f t="shared" si="8312"/>
        <v>1925811</v>
      </c>
      <c r="GW240" s="550">
        <f t="shared" si="8312"/>
        <v>1797309</v>
      </c>
      <c r="GX240" s="550">
        <f t="shared" si="8312"/>
        <v>1772108</v>
      </c>
      <c r="GY240" s="83">
        <f t="shared" si="8312"/>
        <v>1650709</v>
      </c>
      <c r="GZ240" s="83">
        <f t="shared" si="8312"/>
        <v>1641709</v>
      </c>
      <c r="HA240" s="83">
        <f t="shared" si="8312"/>
        <v>1649808</v>
      </c>
      <c r="HB240" s="83">
        <f t="shared" si="8312"/>
        <v>1795585</v>
      </c>
      <c r="HC240" s="83">
        <f t="shared" si="8312"/>
        <v>1595003</v>
      </c>
      <c r="HD240" s="83">
        <f t="shared" si="8312"/>
        <v>1539529</v>
      </c>
      <c r="HE240" s="83">
        <f t="shared" si="8312"/>
        <v>1624200</v>
      </c>
      <c r="HF240" s="83">
        <f t="shared" si="8312"/>
        <v>0</v>
      </c>
      <c r="HG240" s="83">
        <f t="shared" si="8312"/>
        <v>17032138.699999999</v>
      </c>
      <c r="HH240" s="83">
        <f t="shared" si="8312"/>
        <v>504319</v>
      </c>
      <c r="HI240" s="813">
        <f t="shared" si="8312"/>
        <v>0</v>
      </c>
      <c r="HJ240" s="83">
        <f t="shared" si="8312"/>
        <v>241285.56000000003</v>
      </c>
      <c r="HK240" s="813">
        <f t="shared" si="8312"/>
        <v>2897459</v>
      </c>
      <c r="HL240" s="83">
        <f t="shared" si="8312"/>
        <v>407222.70999999996</v>
      </c>
      <c r="HM240" s="813">
        <f t="shared" si="8312"/>
        <v>1359968</v>
      </c>
      <c r="HN240" s="83">
        <f t="shared" si="8312"/>
        <v>337644.68</v>
      </c>
      <c r="HO240" s="813">
        <f t="shared" si="8312"/>
        <v>1366530</v>
      </c>
      <c r="HP240" s="83">
        <f t="shared" si="8312"/>
        <v>309197.21000000002</v>
      </c>
      <c r="HQ240" s="813">
        <f t="shared" si="8312"/>
        <v>1361249</v>
      </c>
      <c r="HR240" s="83">
        <f t="shared" si="8312"/>
        <v>207062.11</v>
      </c>
      <c r="HS240" s="813">
        <f t="shared" si="8312"/>
        <v>1365249</v>
      </c>
      <c r="HT240" s="83">
        <f t="shared" si="8312"/>
        <v>163836.46</v>
      </c>
      <c r="HU240" s="813">
        <f t="shared" si="8312"/>
        <v>1363249</v>
      </c>
      <c r="HV240" s="83">
        <f t="shared" si="8312"/>
        <v>323491.06</v>
      </c>
      <c r="HW240" s="813">
        <f t="shared" ref="HW240" si="8322">SUM(HW242,HW364)+HW567</f>
        <v>1533379</v>
      </c>
      <c r="HX240" s="83">
        <f t="shared" ref="HX240:HY240" si="8323">SUM(HX242,HX364)+HX567</f>
        <v>364730.17</v>
      </c>
      <c r="HY240" s="813">
        <f t="shared" si="8323"/>
        <v>1363519</v>
      </c>
      <c r="HZ240" s="83">
        <f t="shared" ref="HZ240:IA240" si="8324">SUM(HZ242,HZ364)+HZ567</f>
        <v>190107.74</v>
      </c>
      <c r="IA240" s="813">
        <f t="shared" si="8324"/>
        <v>1366530</v>
      </c>
      <c r="IB240" s="83">
        <f t="shared" ref="IB240:IC240" si="8325">SUM(IB242,IB364)+IB567</f>
        <v>0</v>
      </c>
      <c r="IC240" s="813">
        <f t="shared" si="8325"/>
        <v>0</v>
      </c>
      <c r="ID240" s="83">
        <f t="shared" ref="ID240:JT240" si="8326">SUM(ID242,ID364)+ID567</f>
        <v>0</v>
      </c>
      <c r="IE240" s="813">
        <f t="shared" si="8326"/>
        <v>0</v>
      </c>
      <c r="IF240" s="854">
        <f t="shared" si="8326"/>
        <v>14854078.789999999</v>
      </c>
      <c r="IG240" s="701">
        <f t="shared" si="8326"/>
        <v>14854078.789999999</v>
      </c>
      <c r="IH240" s="855">
        <f t="shared" si="8326"/>
        <v>14854078.789999999</v>
      </c>
      <c r="II240" s="83">
        <f t="shared" ref="II240:IK240" si="8327">SUM(II242,II364)+II567</f>
        <v>1025170.56</v>
      </c>
      <c r="IJ240" s="83">
        <f t="shared" si="8327"/>
        <v>1025170.56</v>
      </c>
      <c r="IK240" s="83">
        <f t="shared" si="8327"/>
        <v>1025170.56</v>
      </c>
      <c r="IL240" s="83">
        <f t="shared" ref="IL240:IN240" si="8328">SUM(IL242,IL364)+IL567</f>
        <v>1502849.06</v>
      </c>
      <c r="IM240" s="83">
        <f t="shared" si="8328"/>
        <v>1502849.06</v>
      </c>
      <c r="IN240" s="83">
        <f t="shared" si="8328"/>
        <v>1502849.06</v>
      </c>
      <c r="IO240" s="83">
        <f t="shared" ref="IO240:IQ240" si="8329">SUM(IO242,IO364)+IO567</f>
        <v>805862.96</v>
      </c>
      <c r="IP240" s="83">
        <f t="shared" si="8329"/>
        <v>805862.96</v>
      </c>
      <c r="IQ240" s="83">
        <f t="shared" si="8329"/>
        <v>805862.96</v>
      </c>
      <c r="IR240" s="83">
        <f t="shared" ref="IR240:IT240" si="8330">SUM(IR242,IR364)+IR567</f>
        <v>1848232.0700000003</v>
      </c>
      <c r="IS240" s="83">
        <f t="shared" si="8330"/>
        <v>1848232.0700000003</v>
      </c>
      <c r="IT240" s="83">
        <f t="shared" si="8330"/>
        <v>1848232.0700000003</v>
      </c>
      <c r="IU240" s="83">
        <f t="shared" ref="IU240:IW240" si="8331">SUM(IU242,IU364)+IU567</f>
        <v>1682032.45</v>
      </c>
      <c r="IV240" s="83">
        <f t="shared" si="8331"/>
        <v>1682032.45</v>
      </c>
      <c r="IW240" s="83">
        <f t="shared" si="8331"/>
        <v>1682032.45</v>
      </c>
      <c r="IX240" s="83">
        <f t="shared" ref="IX240:IZ240" si="8332">SUM(IX242,IX364)+IX567</f>
        <v>1481691.5899999992</v>
      </c>
      <c r="IY240" s="83">
        <f t="shared" si="8332"/>
        <v>1481691.5899999992</v>
      </c>
      <c r="IZ240" s="83">
        <f t="shared" si="8332"/>
        <v>1481691.5899999992</v>
      </c>
      <c r="JA240" s="83">
        <f t="shared" ref="JA240:JC240" si="8333">SUM(JA242,JA364)+JA567</f>
        <v>1432096.8399999999</v>
      </c>
      <c r="JB240" s="83">
        <f t="shared" si="8333"/>
        <v>1432096.8399999999</v>
      </c>
      <c r="JC240" s="83">
        <f t="shared" si="8333"/>
        <v>1432096.8399999999</v>
      </c>
      <c r="JD240" s="83">
        <f t="shared" ref="JD240:JF240" si="8334">SUM(JD242,JD364)+JD567</f>
        <v>1885947.5700000008</v>
      </c>
      <c r="JE240" s="83">
        <f t="shared" si="8334"/>
        <v>1885947.5700000008</v>
      </c>
      <c r="JF240" s="83">
        <f t="shared" si="8334"/>
        <v>1885947.5700000008</v>
      </c>
      <c r="JG240" s="83">
        <f t="shared" ref="JG240:JI240" si="8335">SUM(JG242,JG364)+JG567</f>
        <v>1573537.8299999994</v>
      </c>
      <c r="JH240" s="83">
        <f t="shared" si="8335"/>
        <v>1573292.8299999994</v>
      </c>
      <c r="JI240" s="83">
        <f t="shared" si="8335"/>
        <v>1573292.8299999994</v>
      </c>
      <c r="JJ240" s="83">
        <f t="shared" ref="JJ240:JL240" si="8336">SUM(JJ242,JJ364)+JJ567</f>
        <v>1616657.8600000003</v>
      </c>
      <c r="JK240" s="83">
        <f t="shared" si="8336"/>
        <v>1616902.8600000003</v>
      </c>
      <c r="JL240" s="83">
        <f t="shared" si="8336"/>
        <v>1616902.8600000003</v>
      </c>
      <c r="JM240" s="83">
        <f t="shared" ref="JM240:JO240" si="8337">SUM(JM242,JM364)+JM567</f>
        <v>0</v>
      </c>
      <c r="JN240" s="83">
        <f t="shared" si="8337"/>
        <v>0</v>
      </c>
      <c r="JO240" s="83">
        <f t="shared" si="8337"/>
        <v>0</v>
      </c>
      <c r="JP240" s="83">
        <f t="shared" si="8326"/>
        <v>0</v>
      </c>
      <c r="JQ240" s="83">
        <f t="shared" si="8326"/>
        <v>0</v>
      </c>
      <c r="JR240" s="83">
        <f t="shared" si="8326"/>
        <v>0</v>
      </c>
      <c r="JS240" s="83">
        <f t="shared" si="8326"/>
        <v>2178059.91</v>
      </c>
      <c r="JT240" s="105">
        <f t="shared" si="8326"/>
        <v>2030248.2100000004</v>
      </c>
      <c r="JU240" s="671"/>
      <c r="JV240" s="492"/>
      <c r="JW240" s="490"/>
      <c r="JX240" s="550">
        <f>SUM(JX242,JX364)+JX567</f>
        <v>3048896.7</v>
      </c>
      <c r="JY240" s="550">
        <f>SUM(JY242,JY364)+JY567</f>
        <v>13977132</v>
      </c>
      <c r="JZ240" s="581">
        <f t="shared" si="7470"/>
        <v>1572589</v>
      </c>
      <c r="KA240" s="581">
        <f t="shared" si="7471"/>
        <v>-1923962</v>
      </c>
      <c r="KB240" s="550">
        <f>SUM(KB242,KB364)+KB567</f>
        <v>17032138.699999999</v>
      </c>
      <c r="KC240" s="709">
        <f t="shared" si="7396"/>
        <v>0</v>
      </c>
      <c r="KD240" s="36"/>
      <c r="KE240" s="36"/>
      <c r="KF240" s="36"/>
      <c r="KG240" s="36"/>
      <c r="KH240" s="36"/>
      <c r="KI240" s="36"/>
      <c r="KJ240" s="36"/>
      <c r="KK240" s="36"/>
    </row>
    <row r="241" spans="1:297" s="8" customFormat="1">
      <c r="A241" s="80"/>
      <c r="B241" s="72"/>
      <c r="C241" s="74"/>
      <c r="D241" s="549"/>
      <c r="E241" s="675"/>
      <c r="F241" s="549"/>
      <c r="G241" s="675"/>
      <c r="H241" s="549"/>
      <c r="I241" s="675"/>
      <c r="J241" s="549"/>
      <c r="K241" s="675"/>
      <c r="L241" s="549"/>
      <c r="M241" s="675"/>
      <c r="N241" s="549"/>
      <c r="O241" s="675"/>
      <c r="P241" s="549"/>
      <c r="Q241" s="675"/>
      <c r="R241" s="549"/>
      <c r="S241" s="675"/>
      <c r="T241" s="549"/>
      <c r="U241" s="675"/>
      <c r="V241" s="549"/>
      <c r="W241" s="675"/>
      <c r="X241" s="549"/>
      <c r="Y241" s="675"/>
      <c r="Z241" s="549"/>
      <c r="AA241" s="675"/>
      <c r="AB241" s="549"/>
      <c r="AC241" s="675"/>
      <c r="AD241" s="549"/>
      <c r="AE241" s="675"/>
      <c r="AF241" s="549"/>
      <c r="AG241" s="675"/>
      <c r="AH241" s="549"/>
      <c r="AI241" s="675"/>
      <c r="AJ241" s="549"/>
      <c r="AK241" s="675"/>
      <c r="AL241" s="549"/>
      <c r="AM241" s="675"/>
      <c r="AN241" s="549"/>
      <c r="AO241" s="675"/>
      <c r="AP241" s="549"/>
      <c r="AQ241" s="675"/>
      <c r="AR241" s="549"/>
      <c r="AS241" s="675"/>
      <c r="AT241" s="549"/>
      <c r="AU241" s="675"/>
      <c r="AV241" s="549"/>
      <c r="AW241" s="675"/>
      <c r="AX241" s="549"/>
      <c r="AY241" s="675"/>
      <c r="AZ241" s="549"/>
      <c r="BA241" s="675"/>
      <c r="BB241" s="549"/>
      <c r="BC241" s="675"/>
      <c r="BD241" s="549"/>
      <c r="BE241" s="675"/>
      <c r="BF241" s="549"/>
      <c r="BG241" s="675"/>
      <c r="BH241" s="549"/>
      <c r="BI241" s="675"/>
      <c r="BJ241" s="549"/>
      <c r="BK241" s="675"/>
      <c r="BL241" s="549"/>
      <c r="BM241" s="675"/>
      <c r="BN241" s="549"/>
      <c r="BO241" s="675"/>
      <c r="BP241" s="549"/>
      <c r="BQ241" s="675"/>
      <c r="BR241" s="549"/>
      <c r="BS241" s="675"/>
      <c r="BT241" s="549"/>
      <c r="BU241" s="675"/>
      <c r="BV241" s="549"/>
      <c r="BW241" s="675"/>
      <c r="BX241" s="549"/>
      <c r="BY241" s="675"/>
      <c r="BZ241" s="549"/>
      <c r="CA241" s="675"/>
      <c r="CB241" s="549"/>
      <c r="CC241" s="675"/>
      <c r="CD241" s="549"/>
      <c r="CE241" s="675"/>
      <c r="CF241" s="549"/>
      <c r="CG241" s="675"/>
      <c r="CH241" s="549"/>
      <c r="CI241" s="675"/>
      <c r="CJ241" s="549"/>
      <c r="CK241" s="675"/>
      <c r="CL241" s="549"/>
      <c r="CM241" s="675"/>
      <c r="CN241" s="549"/>
      <c r="CO241" s="675"/>
      <c r="CP241" s="549"/>
      <c r="CQ241" s="675"/>
      <c r="CR241" s="549"/>
      <c r="CS241" s="675"/>
      <c r="CT241" s="549"/>
      <c r="CU241" s="675"/>
      <c r="CV241" s="549"/>
      <c r="CW241" s="675"/>
      <c r="CX241" s="549"/>
      <c r="CY241" s="675"/>
      <c r="CZ241" s="549"/>
      <c r="DA241" s="675"/>
      <c r="DB241" s="549"/>
      <c r="DC241" s="675"/>
      <c r="DD241" s="549"/>
      <c r="DE241" s="675"/>
      <c r="DF241" s="549"/>
      <c r="DG241" s="675"/>
      <c r="DH241" s="549"/>
      <c r="DI241" s="675"/>
      <c r="DJ241" s="549"/>
      <c r="DK241" s="675"/>
      <c r="DL241" s="549"/>
      <c r="DM241" s="675"/>
      <c r="DN241" s="549"/>
      <c r="DO241" s="675"/>
      <c r="DP241" s="549"/>
      <c r="DQ241" s="675"/>
      <c r="DR241" s="549"/>
      <c r="DS241" s="675"/>
      <c r="DT241" s="549"/>
      <c r="DU241" s="675"/>
      <c r="DV241" s="549"/>
      <c r="DW241" s="675"/>
      <c r="DX241" s="549"/>
      <c r="DY241" s="675"/>
      <c r="DZ241" s="549"/>
      <c r="EA241" s="675"/>
      <c r="EB241" s="549"/>
      <c r="EC241" s="675"/>
      <c r="ED241" s="549"/>
      <c r="EE241" s="675"/>
      <c r="EF241" s="549"/>
      <c r="EG241" s="675"/>
      <c r="EH241" s="549"/>
      <c r="EI241" s="675"/>
      <c r="EJ241" s="549"/>
      <c r="EK241" s="675"/>
      <c r="EL241" s="549"/>
      <c r="EM241" s="675"/>
      <c r="EN241" s="549"/>
      <c r="EO241" s="675"/>
      <c r="EP241" s="549"/>
      <c r="EQ241" s="675"/>
      <c r="ER241" s="549"/>
      <c r="ES241" s="675"/>
      <c r="ET241" s="549"/>
      <c r="EU241" s="675"/>
      <c r="EV241" s="549"/>
      <c r="EW241" s="675"/>
      <c r="EX241" s="549"/>
      <c r="EY241" s="675"/>
      <c r="EZ241" s="549"/>
      <c r="FA241" s="675"/>
      <c r="FB241" s="549"/>
      <c r="FC241" s="675"/>
      <c r="FD241" s="549"/>
      <c r="FE241" s="675"/>
      <c r="FF241" s="549"/>
      <c r="FG241" s="675"/>
      <c r="FH241" s="549"/>
      <c r="FI241" s="675"/>
      <c r="FJ241" s="549"/>
      <c r="FK241" s="675"/>
      <c r="FL241" s="549"/>
      <c r="FM241" s="675"/>
      <c r="FN241" s="549"/>
      <c r="FO241" s="675"/>
      <c r="FP241" s="549"/>
      <c r="FQ241" s="675"/>
      <c r="FR241" s="549"/>
      <c r="FS241" s="675"/>
      <c r="FT241" s="549"/>
      <c r="FU241" s="675"/>
      <c r="FV241" s="549"/>
      <c r="FW241" s="675"/>
      <c r="FX241" s="549"/>
      <c r="FY241" s="675"/>
      <c r="FZ241" s="549"/>
      <c r="GA241" s="675"/>
      <c r="GB241" s="549"/>
      <c r="GC241" s="675"/>
      <c r="GD241" s="549"/>
      <c r="GE241" s="675"/>
      <c r="GF241" s="549"/>
      <c r="GG241" s="675"/>
      <c r="GH241" s="549"/>
      <c r="GI241" s="675"/>
      <c r="GJ241" s="549"/>
      <c r="GK241" s="675"/>
      <c r="GL241" s="549"/>
      <c r="GM241" s="675"/>
      <c r="GN241" s="549"/>
      <c r="GO241" s="675"/>
      <c r="GP241" s="549"/>
      <c r="GQ241" s="675"/>
      <c r="GR241" s="74"/>
      <c r="GS241" s="74"/>
      <c r="GT241" s="549"/>
      <c r="GU241" s="74"/>
      <c r="GV241" s="74"/>
      <c r="GW241" s="549"/>
      <c r="GX241" s="549"/>
      <c r="GY241" s="74"/>
      <c r="GZ241" s="74"/>
      <c r="HA241" s="74"/>
      <c r="HB241" s="74"/>
      <c r="HC241" s="74"/>
      <c r="HD241" s="74"/>
      <c r="HE241" s="74"/>
      <c r="HF241" s="74"/>
      <c r="HG241" s="74"/>
      <c r="HH241" s="74"/>
      <c r="HI241" s="792"/>
      <c r="HJ241" s="74"/>
      <c r="HK241" s="792"/>
      <c r="HL241" s="74"/>
      <c r="HM241" s="792"/>
      <c r="HN241" s="74"/>
      <c r="HO241" s="792"/>
      <c r="HP241" s="74"/>
      <c r="HQ241" s="792"/>
      <c r="HR241" s="74"/>
      <c r="HS241" s="792"/>
      <c r="HT241" s="74"/>
      <c r="HU241" s="792"/>
      <c r="HV241" s="74"/>
      <c r="HW241" s="792"/>
      <c r="HX241" s="74"/>
      <c r="HY241" s="792"/>
      <c r="HZ241" s="74"/>
      <c r="IA241" s="792"/>
      <c r="IB241" s="74"/>
      <c r="IC241" s="792"/>
      <c r="ID241" s="74"/>
      <c r="IE241" s="792"/>
      <c r="IF241" s="841"/>
      <c r="IG241" s="263"/>
      <c r="IH241" s="842"/>
      <c r="II241" s="74"/>
      <c r="IJ241" s="74"/>
      <c r="IK241" s="74"/>
      <c r="IL241" s="74"/>
      <c r="IM241" s="74"/>
      <c r="IN241" s="74"/>
      <c r="IO241" s="74"/>
      <c r="IP241" s="74"/>
      <c r="IQ241" s="74"/>
      <c r="IR241" s="74"/>
      <c r="IS241" s="74"/>
      <c r="IT241" s="74"/>
      <c r="IU241" s="74"/>
      <c r="IV241" s="74"/>
      <c r="IW241" s="74"/>
      <c r="IX241" s="74"/>
      <c r="IY241" s="74"/>
      <c r="IZ241" s="74"/>
      <c r="JA241" s="74"/>
      <c r="JB241" s="74"/>
      <c r="JC241" s="74"/>
      <c r="JD241" s="74"/>
      <c r="JE241" s="74"/>
      <c r="JF241" s="74"/>
      <c r="JG241" s="74"/>
      <c r="JH241" s="74"/>
      <c r="JI241" s="74"/>
      <c r="JJ241" s="74"/>
      <c r="JK241" s="74"/>
      <c r="JL241" s="74"/>
      <c r="JM241" s="74"/>
      <c r="JN241" s="74"/>
      <c r="JO241" s="74"/>
      <c r="JP241" s="74"/>
      <c r="JQ241" s="74"/>
      <c r="JR241" s="74"/>
      <c r="JS241" s="74"/>
      <c r="JT241" s="382"/>
      <c r="JU241" s="670"/>
      <c r="JV241" s="489"/>
      <c r="JW241" s="529"/>
      <c r="JX241" s="548"/>
      <c r="JY241" s="548"/>
      <c r="JZ241" s="581">
        <f t="shared" si="7470"/>
        <v>0</v>
      </c>
      <c r="KA241" s="581">
        <f t="shared" si="7471"/>
        <v>0</v>
      </c>
      <c r="KB241" s="548"/>
      <c r="KC241" s="709">
        <f t="shared" si="7396"/>
        <v>0</v>
      </c>
      <c r="KD241" s="36"/>
      <c r="KE241" s="36"/>
      <c r="KF241" s="36"/>
      <c r="KG241" s="36"/>
      <c r="KH241" s="36"/>
      <c r="KI241" s="36"/>
      <c r="KJ241" s="36"/>
      <c r="KK241" s="36"/>
    </row>
    <row r="242" spans="1:297" s="7" customFormat="1" ht="13.5" customHeight="1">
      <c r="A242" s="84" t="s">
        <v>221</v>
      </c>
      <c r="B242" s="85"/>
      <c r="C242" s="85">
        <f t="shared" ref="C242" si="8338">SUM(C244)+C347+C273+C329+C308</f>
        <v>15507500</v>
      </c>
      <c r="D242" s="551">
        <f t="shared" ref="D242:E242" si="8339">SUM(D244)+D347+D273+D329+D308</f>
        <v>6453</v>
      </c>
      <c r="E242" s="679">
        <f t="shared" si="8339"/>
        <v>-6453</v>
      </c>
      <c r="F242" s="551">
        <f t="shared" ref="F242:G242" si="8340">SUM(F244)+F347+F273+F329+F308</f>
        <v>0</v>
      </c>
      <c r="G242" s="679">
        <f t="shared" si="8340"/>
        <v>0</v>
      </c>
      <c r="H242" s="551">
        <f t="shared" ref="H242:I242" si="8341">SUM(H244)+H347+H273+H329+H308</f>
        <v>0</v>
      </c>
      <c r="I242" s="679">
        <f t="shared" si="8341"/>
        <v>0</v>
      </c>
      <c r="J242" s="551">
        <f t="shared" ref="J242:K242" si="8342">SUM(J244)+J347+J273+J329+J308</f>
        <v>0</v>
      </c>
      <c r="K242" s="679">
        <f t="shared" si="8342"/>
        <v>0</v>
      </c>
      <c r="L242" s="551">
        <f t="shared" ref="L242:M242" si="8343">SUM(L244)+L347+L273+L329+L308</f>
        <v>30000</v>
      </c>
      <c r="M242" s="679">
        <f t="shared" si="8343"/>
        <v>-30000</v>
      </c>
      <c r="N242" s="551">
        <f t="shared" ref="N242:O242" si="8344">SUM(N244)+N347+N273+N329+N308</f>
        <v>0</v>
      </c>
      <c r="O242" s="679">
        <f t="shared" si="8344"/>
        <v>0</v>
      </c>
      <c r="P242" s="551">
        <f t="shared" ref="P242:Q242" si="8345">SUM(P244)+P347+P273+P329+P308</f>
        <v>0</v>
      </c>
      <c r="Q242" s="679">
        <f t="shared" si="8345"/>
        <v>0</v>
      </c>
      <c r="R242" s="551">
        <f t="shared" ref="R242:S242" si="8346">SUM(R244)+R347+R273+R329+R308</f>
        <v>1212</v>
      </c>
      <c r="S242" s="679">
        <f t="shared" si="8346"/>
        <v>-1212</v>
      </c>
      <c r="T242" s="551">
        <f t="shared" ref="T242:U242" si="8347">SUM(T244)+T347+T273+T329+T308</f>
        <v>0</v>
      </c>
      <c r="U242" s="679">
        <f t="shared" si="8347"/>
        <v>0</v>
      </c>
      <c r="V242" s="551">
        <f t="shared" ref="V242:W242" si="8348">SUM(V244)+V347+V273+V329+V308</f>
        <v>0</v>
      </c>
      <c r="W242" s="679">
        <f t="shared" si="8348"/>
        <v>0</v>
      </c>
      <c r="X242" s="551">
        <f t="shared" ref="X242:Y242" si="8349">SUM(X244)+X347+X273+X329+X308</f>
        <v>0</v>
      </c>
      <c r="Y242" s="679">
        <f t="shared" si="8349"/>
        <v>0</v>
      </c>
      <c r="Z242" s="551">
        <f t="shared" ref="Z242:AA242" si="8350">SUM(Z244)+Z347+Z273+Z329+Z308</f>
        <v>0</v>
      </c>
      <c r="AA242" s="679">
        <f t="shared" si="8350"/>
        <v>0</v>
      </c>
      <c r="AB242" s="551">
        <f t="shared" ref="AB242:AC242" si="8351">SUM(AB244)+AB347+AB273+AB329+AB308</f>
        <v>0</v>
      </c>
      <c r="AC242" s="679">
        <f t="shared" si="8351"/>
        <v>0</v>
      </c>
      <c r="AD242" s="551">
        <f t="shared" ref="AD242:AE242" si="8352">SUM(AD244)+AD347+AD273+AD329+AD308</f>
        <v>0</v>
      </c>
      <c r="AE242" s="679">
        <f t="shared" si="8352"/>
        <v>0</v>
      </c>
      <c r="AF242" s="551">
        <f t="shared" ref="AF242:AI242" si="8353">SUM(AF244)+AF347+AF273+AF329+AF308</f>
        <v>0</v>
      </c>
      <c r="AG242" s="679">
        <f t="shared" si="8353"/>
        <v>0</v>
      </c>
      <c r="AH242" s="551">
        <f t="shared" si="8353"/>
        <v>0</v>
      </c>
      <c r="AI242" s="679">
        <f t="shared" si="8353"/>
        <v>0</v>
      </c>
      <c r="AJ242" s="551">
        <f t="shared" ref="AJ242:AK242" si="8354">SUM(AJ244)+AJ347+AJ273+AJ329+AJ308</f>
        <v>82844</v>
      </c>
      <c r="AK242" s="679">
        <f t="shared" si="8354"/>
        <v>-82844</v>
      </c>
      <c r="AL242" s="551">
        <f t="shared" ref="AL242:AM242" si="8355">SUM(AL244)+AL347+AL273+AL329+AL308</f>
        <v>0</v>
      </c>
      <c r="AM242" s="679">
        <f t="shared" si="8355"/>
        <v>0</v>
      </c>
      <c r="AN242" s="551">
        <f t="shared" ref="AN242:AO242" si="8356">SUM(AN244)+AN347+AN273+AN329+AN308</f>
        <v>125000</v>
      </c>
      <c r="AO242" s="679">
        <f t="shared" si="8356"/>
        <v>-63815</v>
      </c>
      <c r="AP242" s="551">
        <f t="shared" ref="AP242:AQ242" si="8357">SUM(AP244)+AP347+AP273+AP329+AP308</f>
        <v>0</v>
      </c>
      <c r="AQ242" s="679">
        <f t="shared" si="8357"/>
        <v>0</v>
      </c>
      <c r="AR242" s="551">
        <f t="shared" ref="AR242:AS242" si="8358">SUM(AR244)+AR347+AR273+AR329+AR308</f>
        <v>8480</v>
      </c>
      <c r="AS242" s="679">
        <f t="shared" si="8358"/>
        <v>-8480</v>
      </c>
      <c r="AT242" s="551">
        <f t="shared" ref="AT242:AU242" si="8359">SUM(AT244)+AT347+AT273+AT329+AT308</f>
        <v>99000</v>
      </c>
      <c r="AU242" s="679">
        <f t="shared" si="8359"/>
        <v>-177320</v>
      </c>
      <c r="AV242" s="551">
        <f t="shared" ref="AV242:AW242" si="8360">SUM(AV244)+AV347+AV273+AV329+AV308</f>
        <v>40000</v>
      </c>
      <c r="AW242" s="679">
        <f t="shared" si="8360"/>
        <v>-26552</v>
      </c>
      <c r="AX242" s="551">
        <f t="shared" ref="AX242:AY242" si="8361">SUM(AX244)+AX347+AX273+AX329+AX308</f>
        <v>0</v>
      </c>
      <c r="AY242" s="679">
        <f t="shared" si="8361"/>
        <v>0</v>
      </c>
      <c r="AZ242" s="551">
        <f t="shared" ref="AZ242:BA242" si="8362">SUM(AZ244)+AZ347+AZ273+AZ329+AZ308</f>
        <v>0</v>
      </c>
      <c r="BA242" s="679">
        <f t="shared" si="8362"/>
        <v>0</v>
      </c>
      <c r="BB242" s="551">
        <f t="shared" ref="BB242:BC242" si="8363">SUM(BB244)+BB347+BB273+BB329+BB308</f>
        <v>0</v>
      </c>
      <c r="BC242" s="679">
        <f t="shared" si="8363"/>
        <v>0</v>
      </c>
      <c r="BD242" s="551">
        <f t="shared" ref="BD242:BE242" si="8364">SUM(BD244)+BD347+BD273+BD329+BD308</f>
        <v>0</v>
      </c>
      <c r="BE242" s="679">
        <f t="shared" si="8364"/>
        <v>0</v>
      </c>
      <c r="BF242" s="551">
        <f t="shared" ref="BF242:BG242" si="8365">SUM(BF244)+BF347+BF273+BF329+BF308</f>
        <v>0</v>
      </c>
      <c r="BG242" s="679">
        <f t="shared" si="8365"/>
        <v>0</v>
      </c>
      <c r="BH242" s="551">
        <f t="shared" ref="BH242:BI242" si="8366">SUM(BH244)+BH347+BH273+BH329+BH308</f>
        <v>0</v>
      </c>
      <c r="BI242" s="679">
        <f t="shared" si="8366"/>
        <v>0</v>
      </c>
      <c r="BJ242" s="551">
        <f t="shared" ref="BJ242:BK242" si="8367">SUM(BJ244)+BJ347+BJ273+BJ329+BJ308</f>
        <v>3000</v>
      </c>
      <c r="BK242" s="679">
        <f t="shared" si="8367"/>
        <v>-3000</v>
      </c>
      <c r="BL242" s="551">
        <f t="shared" ref="BL242:BM242" si="8368">SUM(BL244)+BL347+BL273+BL329+BL308</f>
        <v>0</v>
      </c>
      <c r="BM242" s="679">
        <f t="shared" si="8368"/>
        <v>0</v>
      </c>
      <c r="BN242" s="551">
        <f t="shared" ref="BN242:BO242" si="8369">SUM(BN244)+BN347+BN273+BN329+BN308</f>
        <v>0</v>
      </c>
      <c r="BO242" s="679">
        <f t="shared" si="8369"/>
        <v>0</v>
      </c>
      <c r="BP242" s="551">
        <f t="shared" ref="BP242:BQ242" si="8370">SUM(BP244)+BP347+BP273+BP329+BP308</f>
        <v>0</v>
      </c>
      <c r="BQ242" s="679">
        <f t="shared" si="8370"/>
        <v>0</v>
      </c>
      <c r="BR242" s="551">
        <f t="shared" ref="BR242:BS242" si="8371">SUM(BR244)+BR347+BR273+BR329+BR308</f>
        <v>0</v>
      </c>
      <c r="BS242" s="679">
        <f t="shared" si="8371"/>
        <v>0</v>
      </c>
      <c r="BT242" s="551">
        <f t="shared" ref="BT242:BU242" si="8372">SUM(BT244)+BT347+BT273+BT329+BT308</f>
        <v>0</v>
      </c>
      <c r="BU242" s="679">
        <f t="shared" si="8372"/>
        <v>0</v>
      </c>
      <c r="BV242" s="551">
        <f t="shared" ref="BV242:BW242" si="8373">SUM(BV244)+BV347+BV273+BV329+BV308</f>
        <v>7480</v>
      </c>
      <c r="BW242" s="679">
        <f t="shared" si="8373"/>
        <v>-7480</v>
      </c>
      <c r="BX242" s="551">
        <f t="shared" ref="BX242:BY242" si="8374">SUM(BX244)+BX347+BX273+BX329+BX308</f>
        <v>0</v>
      </c>
      <c r="BY242" s="679">
        <f t="shared" si="8374"/>
        <v>0</v>
      </c>
      <c r="BZ242" s="551">
        <f t="shared" ref="BZ242:CA242" si="8375">SUM(BZ244)+BZ347+BZ273+BZ329+BZ308</f>
        <v>0</v>
      </c>
      <c r="CA242" s="679">
        <f t="shared" si="8375"/>
        <v>0</v>
      </c>
      <c r="CB242" s="551">
        <f t="shared" ref="CB242:EC242" si="8376">SUM(CB244)+CB347+CB273+CB329+CB308</f>
        <v>0</v>
      </c>
      <c r="CC242" s="679">
        <f t="shared" si="8376"/>
        <v>0</v>
      </c>
      <c r="CD242" s="551">
        <f t="shared" si="8376"/>
        <v>0</v>
      </c>
      <c r="CE242" s="679">
        <f t="shared" si="8376"/>
        <v>0</v>
      </c>
      <c r="CF242" s="551">
        <f t="shared" si="8376"/>
        <v>0</v>
      </c>
      <c r="CG242" s="679">
        <f t="shared" si="8376"/>
        <v>0</v>
      </c>
      <c r="CH242" s="551">
        <f t="shared" si="8376"/>
        <v>0</v>
      </c>
      <c r="CI242" s="679">
        <f t="shared" si="8376"/>
        <v>0</v>
      </c>
      <c r="CJ242" s="551">
        <f t="shared" si="8376"/>
        <v>0</v>
      </c>
      <c r="CK242" s="679">
        <f t="shared" si="8376"/>
        <v>0</v>
      </c>
      <c r="CL242" s="551">
        <f t="shared" si="8376"/>
        <v>0</v>
      </c>
      <c r="CM242" s="679">
        <f t="shared" si="8376"/>
        <v>0</v>
      </c>
      <c r="CN242" s="551">
        <f t="shared" si="8376"/>
        <v>6366</v>
      </c>
      <c r="CO242" s="679">
        <f t="shared" si="8376"/>
        <v>0</v>
      </c>
      <c r="CP242" s="551">
        <f t="shared" si="8376"/>
        <v>0</v>
      </c>
      <c r="CQ242" s="679">
        <f t="shared" si="8376"/>
        <v>0</v>
      </c>
      <c r="CR242" s="551">
        <f t="shared" si="8376"/>
        <v>0</v>
      </c>
      <c r="CS242" s="679">
        <f t="shared" si="8376"/>
        <v>0</v>
      </c>
      <c r="CT242" s="551">
        <f t="shared" si="8376"/>
        <v>0</v>
      </c>
      <c r="CU242" s="679">
        <f t="shared" si="8376"/>
        <v>0</v>
      </c>
      <c r="CV242" s="551">
        <f t="shared" si="8376"/>
        <v>4500</v>
      </c>
      <c r="CW242" s="679">
        <f t="shared" si="8376"/>
        <v>-4500</v>
      </c>
      <c r="CX242" s="551">
        <f t="shared" si="8376"/>
        <v>0</v>
      </c>
      <c r="CY242" s="679">
        <f t="shared" si="8376"/>
        <v>0</v>
      </c>
      <c r="CZ242" s="551">
        <f t="shared" si="8376"/>
        <v>0</v>
      </c>
      <c r="DA242" s="679">
        <f t="shared" si="8376"/>
        <v>0</v>
      </c>
      <c r="DB242" s="551">
        <f t="shared" si="8376"/>
        <v>0</v>
      </c>
      <c r="DC242" s="679">
        <f t="shared" si="8376"/>
        <v>0</v>
      </c>
      <c r="DD242" s="551">
        <f t="shared" si="8376"/>
        <v>0</v>
      </c>
      <c r="DE242" s="679">
        <f t="shared" si="8376"/>
        <v>0</v>
      </c>
      <c r="DF242" s="551">
        <f t="shared" si="8376"/>
        <v>100000</v>
      </c>
      <c r="DG242" s="679">
        <f t="shared" si="8376"/>
        <v>-100000</v>
      </c>
      <c r="DH242" s="551">
        <f t="shared" si="8376"/>
        <v>0</v>
      </c>
      <c r="DI242" s="679">
        <f t="shared" si="8376"/>
        <v>0</v>
      </c>
      <c r="DJ242" s="551">
        <f t="shared" si="8376"/>
        <v>0</v>
      </c>
      <c r="DK242" s="679">
        <f t="shared" si="8376"/>
        <v>0</v>
      </c>
      <c r="DL242" s="551">
        <f t="shared" si="8376"/>
        <v>0</v>
      </c>
      <c r="DM242" s="679">
        <f t="shared" si="8376"/>
        <v>0</v>
      </c>
      <c r="DN242" s="551">
        <f t="shared" si="8376"/>
        <v>0</v>
      </c>
      <c r="DO242" s="679">
        <f t="shared" si="8376"/>
        <v>0</v>
      </c>
      <c r="DP242" s="551">
        <f t="shared" si="8376"/>
        <v>0</v>
      </c>
      <c r="DQ242" s="679">
        <f t="shared" si="8376"/>
        <v>0</v>
      </c>
      <c r="DR242" s="551">
        <f t="shared" si="8376"/>
        <v>0</v>
      </c>
      <c r="DS242" s="679">
        <f t="shared" si="8376"/>
        <v>0</v>
      </c>
      <c r="DT242" s="551">
        <f t="shared" si="8376"/>
        <v>9485</v>
      </c>
      <c r="DU242" s="679">
        <f t="shared" si="8376"/>
        <v>-9485</v>
      </c>
      <c r="DV242" s="551">
        <f t="shared" si="8376"/>
        <v>0</v>
      </c>
      <c r="DW242" s="679">
        <f t="shared" si="8376"/>
        <v>0</v>
      </c>
      <c r="DX242" s="551">
        <f t="shared" si="8376"/>
        <v>0</v>
      </c>
      <c r="DY242" s="679">
        <f t="shared" si="8376"/>
        <v>0</v>
      </c>
      <c r="DZ242" s="551">
        <f t="shared" si="8376"/>
        <v>0</v>
      </c>
      <c r="EA242" s="679">
        <f t="shared" si="8376"/>
        <v>0</v>
      </c>
      <c r="EB242" s="551">
        <f t="shared" si="8376"/>
        <v>0</v>
      </c>
      <c r="EC242" s="679">
        <f t="shared" si="8376"/>
        <v>0</v>
      </c>
      <c r="ED242" s="551">
        <f t="shared" ref="ED242:EE242" si="8377">SUM(ED244)+ED347+ED273+ED329+ED308</f>
        <v>48000</v>
      </c>
      <c r="EE242" s="679">
        <f t="shared" si="8377"/>
        <v>-21000</v>
      </c>
      <c r="EF242" s="551">
        <f t="shared" ref="EF242:HG242" si="8378">SUM(EF244)+EF347+EF273+EF329+EF308</f>
        <v>86277</v>
      </c>
      <c r="EG242" s="679">
        <f t="shared" si="8378"/>
        <v>-102272</v>
      </c>
      <c r="EH242" s="551">
        <f t="shared" si="8378"/>
        <v>0</v>
      </c>
      <c r="EI242" s="679">
        <f t="shared" si="8378"/>
        <v>0</v>
      </c>
      <c r="EJ242" s="551">
        <f t="shared" si="8378"/>
        <v>0</v>
      </c>
      <c r="EK242" s="679">
        <f t="shared" si="8378"/>
        <v>0</v>
      </c>
      <c r="EL242" s="551">
        <f t="shared" si="8378"/>
        <v>0</v>
      </c>
      <c r="EM242" s="679">
        <f t="shared" si="8378"/>
        <v>0</v>
      </c>
      <c r="EN242" s="551">
        <f t="shared" si="8378"/>
        <v>0</v>
      </c>
      <c r="EO242" s="679">
        <f t="shared" si="8378"/>
        <v>0</v>
      </c>
      <c r="EP242" s="551">
        <f t="shared" si="8378"/>
        <v>100000</v>
      </c>
      <c r="EQ242" s="679">
        <f t="shared" si="8378"/>
        <v>-137374</v>
      </c>
      <c r="ER242" s="551">
        <f t="shared" si="8378"/>
        <v>0</v>
      </c>
      <c r="ES242" s="679">
        <f t="shared" si="8378"/>
        <v>0</v>
      </c>
      <c r="ET242" s="551">
        <f t="shared" si="8378"/>
        <v>0</v>
      </c>
      <c r="EU242" s="679">
        <f t="shared" si="8378"/>
        <v>0</v>
      </c>
      <c r="EV242" s="551">
        <f t="shared" si="8378"/>
        <v>0</v>
      </c>
      <c r="EW242" s="679">
        <f t="shared" si="8378"/>
        <v>0</v>
      </c>
      <c r="EX242" s="551">
        <f t="shared" si="8378"/>
        <v>25600</v>
      </c>
      <c r="EY242" s="679">
        <f t="shared" si="8378"/>
        <v>0</v>
      </c>
      <c r="EZ242" s="551">
        <f t="shared" si="8378"/>
        <v>0</v>
      </c>
      <c r="FA242" s="679">
        <f t="shared" si="8378"/>
        <v>0</v>
      </c>
      <c r="FB242" s="551">
        <f t="shared" si="8378"/>
        <v>0</v>
      </c>
      <c r="FC242" s="679">
        <f t="shared" si="8378"/>
        <v>0</v>
      </c>
      <c r="FD242" s="551">
        <f t="shared" si="8378"/>
        <v>0</v>
      </c>
      <c r="FE242" s="679">
        <f t="shared" si="8378"/>
        <v>0</v>
      </c>
      <c r="FF242" s="551">
        <f t="shared" si="8378"/>
        <v>0</v>
      </c>
      <c r="FG242" s="679">
        <f t="shared" si="8378"/>
        <v>0</v>
      </c>
      <c r="FH242" s="551">
        <f t="shared" si="8378"/>
        <v>4200</v>
      </c>
      <c r="FI242" s="679">
        <f t="shared" si="8378"/>
        <v>0</v>
      </c>
      <c r="FJ242" s="551">
        <f t="shared" si="8378"/>
        <v>0</v>
      </c>
      <c r="FK242" s="679">
        <f t="shared" si="8378"/>
        <v>0</v>
      </c>
      <c r="FL242" s="551">
        <f t="shared" ref="FL242:FM242" si="8379">SUM(FL244)+FL347+FL273+FL329+FL308</f>
        <v>0</v>
      </c>
      <c r="FM242" s="679">
        <f t="shared" si="8379"/>
        <v>0</v>
      </c>
      <c r="FN242" s="551">
        <f t="shared" ref="FN242:FO242" si="8380">SUM(FN244)+FN347+FN273+FN329+FN308</f>
        <v>0</v>
      </c>
      <c r="FO242" s="679">
        <f t="shared" si="8380"/>
        <v>0</v>
      </c>
      <c r="FP242" s="551">
        <f t="shared" ref="FP242:FQ242" si="8381">SUM(FP244)+FP347+FP273+FP329+FP308</f>
        <v>0</v>
      </c>
      <c r="FQ242" s="679">
        <f t="shared" si="8381"/>
        <v>0</v>
      </c>
      <c r="FR242" s="551">
        <f t="shared" ref="FR242:FS242" si="8382">SUM(FR244)+FR347+FR273+FR329+FR308</f>
        <v>0</v>
      </c>
      <c r="FS242" s="679">
        <f t="shared" si="8382"/>
        <v>0</v>
      </c>
      <c r="FT242" s="551">
        <f t="shared" ref="FT242:FU242" si="8383">SUM(FT244)+FT347+FT273+FT329+FT308</f>
        <v>0</v>
      </c>
      <c r="FU242" s="679">
        <f t="shared" si="8383"/>
        <v>0</v>
      </c>
      <c r="FV242" s="551">
        <f t="shared" ref="FV242:GK242" si="8384">SUM(FV244)+FV347+FV273+FV329+FV308</f>
        <v>6976</v>
      </c>
      <c r="FW242" s="679">
        <f t="shared" si="8384"/>
        <v>-6976</v>
      </c>
      <c r="FX242" s="551">
        <f t="shared" si="8384"/>
        <v>0</v>
      </c>
      <c r="FY242" s="679">
        <f t="shared" si="8384"/>
        <v>0</v>
      </c>
      <c r="FZ242" s="551">
        <f t="shared" ref="FZ242:GI242" si="8385">SUM(FZ244)+FZ347+FZ273+FZ329+FZ308</f>
        <v>0</v>
      </c>
      <c r="GA242" s="679">
        <f t="shared" si="8385"/>
        <v>0</v>
      </c>
      <c r="GB242" s="551">
        <f t="shared" si="8385"/>
        <v>0</v>
      </c>
      <c r="GC242" s="679">
        <f t="shared" si="8385"/>
        <v>0</v>
      </c>
      <c r="GD242" s="551">
        <f t="shared" si="8385"/>
        <v>0</v>
      </c>
      <c r="GE242" s="679">
        <f t="shared" si="8385"/>
        <v>0</v>
      </c>
      <c r="GF242" s="551">
        <f t="shared" si="8385"/>
        <v>0</v>
      </c>
      <c r="GG242" s="679">
        <f t="shared" si="8385"/>
        <v>0</v>
      </c>
      <c r="GH242" s="551">
        <f t="shared" si="8385"/>
        <v>0</v>
      </c>
      <c r="GI242" s="679">
        <f t="shared" si="8385"/>
        <v>0</v>
      </c>
      <c r="GJ242" s="551">
        <f t="shared" si="8384"/>
        <v>0</v>
      </c>
      <c r="GK242" s="679">
        <f t="shared" si="8384"/>
        <v>0</v>
      </c>
      <c r="GL242" s="551">
        <f t="shared" ref="GL242:GM242" si="8386">SUM(GL244)+GL347+GL273+GL329+GL308</f>
        <v>0</v>
      </c>
      <c r="GM242" s="679">
        <f t="shared" si="8386"/>
        <v>0</v>
      </c>
      <c r="GN242" s="551">
        <f t="shared" ref="GN242:GO242" si="8387">SUM(GN244)+GN347+GN273+GN329+GN308</f>
        <v>0</v>
      </c>
      <c r="GO242" s="679">
        <f t="shared" si="8387"/>
        <v>0</v>
      </c>
      <c r="GP242" s="551">
        <f>SUM(GP244)+GP347+GP273+GP329+GP308</f>
        <v>794873</v>
      </c>
      <c r="GQ242" s="679">
        <f t="shared" si="8378"/>
        <v>-788763</v>
      </c>
      <c r="GR242" s="85">
        <f t="shared" si="8378"/>
        <v>15513610</v>
      </c>
      <c r="GS242" s="85">
        <f t="shared" si="8378"/>
        <v>13983242</v>
      </c>
      <c r="GT242" s="85">
        <f>SUM(GT244)+GT347+GT273+GT329+GT308</f>
        <v>15483810</v>
      </c>
      <c r="GU242" s="85">
        <f t="shared" si="8378"/>
        <v>1363810</v>
      </c>
      <c r="GV242" s="85">
        <f t="shared" si="8378"/>
        <v>1533649</v>
      </c>
      <c r="GW242" s="85">
        <f t="shared" si="8378"/>
        <v>1363249</v>
      </c>
      <c r="GX242" s="85">
        <f t="shared" si="8378"/>
        <v>1363249</v>
      </c>
      <c r="GY242" s="85">
        <f t="shared" si="8378"/>
        <v>1363249</v>
      </c>
      <c r="GZ242" s="85">
        <f t="shared" si="8378"/>
        <v>1363249</v>
      </c>
      <c r="HA242" s="85">
        <f t="shared" si="8378"/>
        <v>1363249</v>
      </c>
      <c r="HB242" s="85">
        <f t="shared" si="8378"/>
        <v>1533649</v>
      </c>
      <c r="HC242" s="85">
        <f t="shared" si="8378"/>
        <v>1363249</v>
      </c>
      <c r="HD242" s="85">
        <f t="shared" si="8378"/>
        <v>1366530</v>
      </c>
      <c r="HE242" s="85">
        <f t="shared" si="8378"/>
        <v>1530368</v>
      </c>
      <c r="HF242" s="85">
        <f t="shared" si="8378"/>
        <v>0</v>
      </c>
      <c r="HG242" s="85">
        <f t="shared" si="8378"/>
        <v>13983242</v>
      </c>
      <c r="HH242" s="85">
        <f t="shared" ref="HH242:HI242" si="8388">SUM(HH244)+HH347+HH273+HH329+HH308</f>
        <v>0</v>
      </c>
      <c r="HI242" s="814">
        <f t="shared" si="8388"/>
        <v>0</v>
      </c>
      <c r="HJ242" s="85">
        <f t="shared" ref="HJ242:HK242" si="8389">SUM(HJ244)+HJ347+HJ273+HJ329+HJ308</f>
        <v>0</v>
      </c>
      <c r="HK242" s="814">
        <f t="shared" si="8389"/>
        <v>2897459</v>
      </c>
      <c r="HL242" s="85">
        <f t="shared" ref="HL242:HM242" si="8390">SUM(HL244)+HL347+HL273+HL329+HL308</f>
        <v>0</v>
      </c>
      <c r="HM242" s="814">
        <f t="shared" si="8390"/>
        <v>1359968</v>
      </c>
      <c r="HN242" s="85">
        <f t="shared" ref="HN242:HO242" si="8391">SUM(HN244)+HN347+HN273+HN329+HN308</f>
        <v>0</v>
      </c>
      <c r="HO242" s="814">
        <f t="shared" si="8391"/>
        <v>1366530</v>
      </c>
      <c r="HP242" s="85">
        <f t="shared" ref="HP242:HQ242" si="8392">SUM(HP244)+HP347+HP273+HP329+HP308</f>
        <v>0</v>
      </c>
      <c r="HQ242" s="814">
        <f t="shared" si="8392"/>
        <v>1361249</v>
      </c>
      <c r="HR242" s="85">
        <f t="shared" ref="HR242:HS242" si="8393">SUM(HR244)+HR347+HR273+HR329+HR308</f>
        <v>0</v>
      </c>
      <c r="HS242" s="814">
        <f t="shared" si="8393"/>
        <v>1365249</v>
      </c>
      <c r="HT242" s="85">
        <f t="shared" ref="HT242:HU242" si="8394">SUM(HT244)+HT347+HT273+HT329+HT308</f>
        <v>0</v>
      </c>
      <c r="HU242" s="814">
        <f t="shared" si="8394"/>
        <v>1363249</v>
      </c>
      <c r="HV242" s="85">
        <f t="shared" ref="HV242:HW242" si="8395">SUM(HV244)+HV347+HV273+HV329+HV308</f>
        <v>0</v>
      </c>
      <c r="HW242" s="814">
        <f t="shared" si="8395"/>
        <v>1533379</v>
      </c>
      <c r="HX242" s="85">
        <f t="shared" ref="HX242:HY242" si="8396">SUM(HX244)+HX347+HX273+HX329+HX308</f>
        <v>0</v>
      </c>
      <c r="HY242" s="814">
        <f t="shared" si="8396"/>
        <v>1363519</v>
      </c>
      <c r="HZ242" s="85">
        <f t="shared" ref="HZ242:IA242" si="8397">SUM(HZ244)+HZ347+HZ273+HZ329+HZ308</f>
        <v>0</v>
      </c>
      <c r="IA242" s="814">
        <f t="shared" si="8397"/>
        <v>1366530</v>
      </c>
      <c r="IB242" s="85">
        <f t="shared" ref="IB242:IC242" si="8398">SUM(IB244)+IB347+IB273+IB329+IB308</f>
        <v>0</v>
      </c>
      <c r="IC242" s="814">
        <f t="shared" si="8398"/>
        <v>0</v>
      </c>
      <c r="ID242" s="85">
        <f t="shared" ref="ID242:JT242" si="8399">SUM(ID244)+ID347+ID273+ID329+ID308</f>
        <v>0</v>
      </c>
      <c r="IE242" s="814">
        <f t="shared" si="8399"/>
        <v>0</v>
      </c>
      <c r="IF242" s="856">
        <f t="shared" si="8399"/>
        <v>12278493.469999999</v>
      </c>
      <c r="IG242" s="281">
        <f t="shared" si="8399"/>
        <v>12278493.469999999</v>
      </c>
      <c r="IH242" s="857">
        <f t="shared" si="8399"/>
        <v>12278493.469999999</v>
      </c>
      <c r="II242" s="85">
        <f t="shared" ref="II242:IK242" si="8400">SUM(II244)+II347+II273+II329+II308</f>
        <v>941974.69000000006</v>
      </c>
      <c r="IJ242" s="85">
        <f t="shared" si="8400"/>
        <v>941974.69000000006</v>
      </c>
      <c r="IK242" s="85">
        <f t="shared" si="8400"/>
        <v>941974.69000000006</v>
      </c>
      <c r="IL242" s="85">
        <f t="shared" ref="IL242:IN242" si="8401">SUM(IL244)+IL347+IL273+IL329+IL308</f>
        <v>1284216.1000000001</v>
      </c>
      <c r="IM242" s="85">
        <f t="shared" si="8401"/>
        <v>1284216.1000000001</v>
      </c>
      <c r="IN242" s="85">
        <f t="shared" si="8401"/>
        <v>1284216.1000000001</v>
      </c>
      <c r="IO242" s="85">
        <f t="shared" ref="IO242:IQ242" si="8402">SUM(IO244)+IO347+IO273+IO329+IO308</f>
        <v>637762.12</v>
      </c>
      <c r="IP242" s="85">
        <f t="shared" si="8402"/>
        <v>637762.12</v>
      </c>
      <c r="IQ242" s="85">
        <f t="shared" si="8402"/>
        <v>637762.12</v>
      </c>
      <c r="IR242" s="85">
        <f t="shared" ref="IR242:IT242" si="8403">SUM(IR244)+IR347+IR273+IR329+IR308</f>
        <v>1667659.0500000003</v>
      </c>
      <c r="IS242" s="85">
        <f t="shared" si="8403"/>
        <v>1667659.0500000003</v>
      </c>
      <c r="IT242" s="85">
        <f t="shared" si="8403"/>
        <v>1667659.0500000003</v>
      </c>
      <c r="IU242" s="85">
        <f t="shared" ref="IU242:IW242" si="8404">SUM(IU244)+IU347+IU273+IU329+IU308</f>
        <v>1328960.02</v>
      </c>
      <c r="IV242" s="85">
        <f t="shared" si="8404"/>
        <v>1328960.02</v>
      </c>
      <c r="IW242" s="85">
        <f t="shared" si="8404"/>
        <v>1328960.02</v>
      </c>
      <c r="IX242" s="85">
        <f t="shared" ref="IX242:IZ242" si="8405">SUM(IX244)+IX347+IX273+IX329+IX308</f>
        <v>1233201.2899999991</v>
      </c>
      <c r="IY242" s="85">
        <f t="shared" si="8405"/>
        <v>1233201.2899999991</v>
      </c>
      <c r="IZ242" s="85">
        <f t="shared" si="8405"/>
        <v>1233201.2899999991</v>
      </c>
      <c r="JA242" s="85">
        <f t="shared" ref="JA242:JC242" si="8406">SUM(JA244)+JA347+JA273+JA329+JA308</f>
        <v>1231580.8899999999</v>
      </c>
      <c r="JB242" s="85">
        <f t="shared" si="8406"/>
        <v>1231580.8899999999</v>
      </c>
      <c r="JC242" s="85">
        <f t="shared" si="8406"/>
        <v>1231580.8899999999</v>
      </c>
      <c r="JD242" s="85">
        <f t="shared" ref="JD242:JF242" si="8407">SUM(JD244)+JD347+JD273+JD329+JD308</f>
        <v>1319266.9400000006</v>
      </c>
      <c r="JE242" s="85">
        <f t="shared" si="8407"/>
        <v>1319266.9400000006</v>
      </c>
      <c r="JF242" s="85">
        <f t="shared" si="8407"/>
        <v>1319266.9400000006</v>
      </c>
      <c r="JG242" s="85">
        <f t="shared" ref="JG242:JI242" si="8408">SUM(JG244)+JG347+JG273+JG329+JG308</f>
        <v>1275726.0399999993</v>
      </c>
      <c r="JH242" s="85">
        <f t="shared" si="8408"/>
        <v>1275481.0399999993</v>
      </c>
      <c r="JI242" s="85">
        <f t="shared" si="8408"/>
        <v>1275481.0399999993</v>
      </c>
      <c r="JJ242" s="85">
        <f t="shared" ref="JJ242:JL242" si="8409">SUM(JJ244)+JJ347+JJ273+JJ329+JJ308</f>
        <v>1358146.3300000003</v>
      </c>
      <c r="JK242" s="85">
        <f t="shared" si="8409"/>
        <v>1358391.3300000003</v>
      </c>
      <c r="JL242" s="85">
        <f t="shared" si="8409"/>
        <v>1358391.3300000003</v>
      </c>
      <c r="JM242" s="85">
        <f t="shared" ref="JM242:JO242" si="8410">SUM(JM244)+JM347+JM273+JM329+JM308</f>
        <v>0</v>
      </c>
      <c r="JN242" s="85">
        <f t="shared" si="8410"/>
        <v>0</v>
      </c>
      <c r="JO242" s="85">
        <f t="shared" si="8410"/>
        <v>0</v>
      </c>
      <c r="JP242" s="85">
        <f t="shared" si="8399"/>
        <v>0</v>
      </c>
      <c r="JQ242" s="85">
        <f t="shared" si="8399"/>
        <v>0</v>
      </c>
      <c r="JR242" s="85">
        <f t="shared" si="8399"/>
        <v>0</v>
      </c>
      <c r="JS242" s="85">
        <f t="shared" si="8399"/>
        <v>1704748.5300000003</v>
      </c>
      <c r="JT242" s="85">
        <f t="shared" si="8399"/>
        <v>1704748.5300000003</v>
      </c>
      <c r="JU242" s="670"/>
      <c r="JV242" s="489"/>
      <c r="JW242" s="490"/>
      <c r="JX242" s="85">
        <f>SUM(JX244)+JX347+JX273+JX329+JX308</f>
        <v>0</v>
      </c>
      <c r="JY242" s="85">
        <f>SUM(JY244)+JY347+JY273+JY329+JY308</f>
        <v>13977132</v>
      </c>
      <c r="JZ242" s="581">
        <f t="shared" si="7470"/>
        <v>794873</v>
      </c>
      <c r="KA242" s="581">
        <f t="shared" si="7471"/>
        <v>-788763</v>
      </c>
      <c r="KB242" s="85">
        <f>SUM(KB244)+KB347+KB273+KB329+KB308</f>
        <v>13983242</v>
      </c>
      <c r="KC242" s="709">
        <f>HG242-KB242</f>
        <v>0</v>
      </c>
      <c r="KD242" s="36"/>
      <c r="KE242" s="36"/>
      <c r="KF242" s="36"/>
      <c r="KG242" s="36"/>
      <c r="KH242" s="36"/>
      <c r="KI242" s="36"/>
      <c r="KJ242" s="36"/>
      <c r="KK242" s="36"/>
    </row>
    <row r="243" spans="1:297" s="10" customFormat="1">
      <c r="A243" s="86"/>
      <c r="B243" s="77"/>
      <c r="C243" s="74"/>
      <c r="D243" s="549"/>
      <c r="E243" s="675"/>
      <c r="F243" s="549"/>
      <c r="G243" s="675"/>
      <c r="H243" s="549"/>
      <c r="I243" s="675"/>
      <c r="J243" s="549"/>
      <c r="K243" s="675"/>
      <c r="L243" s="549"/>
      <c r="M243" s="675"/>
      <c r="N243" s="549"/>
      <c r="O243" s="675"/>
      <c r="P243" s="549"/>
      <c r="Q243" s="675"/>
      <c r="R243" s="549"/>
      <c r="S243" s="675"/>
      <c r="T243" s="549"/>
      <c r="U243" s="675"/>
      <c r="V243" s="549"/>
      <c r="W243" s="675"/>
      <c r="X243" s="549"/>
      <c r="Y243" s="675"/>
      <c r="Z243" s="549"/>
      <c r="AA243" s="675"/>
      <c r="AB243" s="549"/>
      <c r="AC243" s="675"/>
      <c r="AD243" s="549"/>
      <c r="AE243" s="675"/>
      <c r="AF243" s="549"/>
      <c r="AG243" s="675"/>
      <c r="AH243" s="549"/>
      <c r="AI243" s="675"/>
      <c r="AJ243" s="549"/>
      <c r="AK243" s="675"/>
      <c r="AL243" s="549"/>
      <c r="AM243" s="675"/>
      <c r="AN243" s="549"/>
      <c r="AO243" s="675"/>
      <c r="AP243" s="549"/>
      <c r="AQ243" s="675"/>
      <c r="AR243" s="549"/>
      <c r="AS243" s="675"/>
      <c r="AT243" s="549"/>
      <c r="AU243" s="675"/>
      <c r="AV243" s="549"/>
      <c r="AW243" s="675"/>
      <c r="AX243" s="549"/>
      <c r="AY243" s="675"/>
      <c r="AZ243" s="549"/>
      <c r="BA243" s="675"/>
      <c r="BB243" s="549"/>
      <c r="BC243" s="675"/>
      <c r="BD243" s="549"/>
      <c r="BE243" s="675"/>
      <c r="BF243" s="549"/>
      <c r="BG243" s="675"/>
      <c r="BH243" s="549"/>
      <c r="BI243" s="675"/>
      <c r="BJ243" s="549"/>
      <c r="BK243" s="675"/>
      <c r="BL243" s="549"/>
      <c r="BM243" s="675"/>
      <c r="BN243" s="549"/>
      <c r="BO243" s="675"/>
      <c r="BP243" s="549"/>
      <c r="BQ243" s="675"/>
      <c r="BR243" s="549"/>
      <c r="BS243" s="675"/>
      <c r="BT243" s="549"/>
      <c r="BU243" s="675"/>
      <c r="BV243" s="549"/>
      <c r="BW243" s="675"/>
      <c r="BX243" s="549"/>
      <c r="BY243" s="675"/>
      <c r="BZ243" s="549"/>
      <c r="CA243" s="675"/>
      <c r="CB243" s="549"/>
      <c r="CC243" s="675"/>
      <c r="CD243" s="549"/>
      <c r="CE243" s="675"/>
      <c r="CF243" s="549"/>
      <c r="CG243" s="675"/>
      <c r="CH243" s="549"/>
      <c r="CI243" s="675"/>
      <c r="CJ243" s="549"/>
      <c r="CK243" s="675"/>
      <c r="CL243" s="549"/>
      <c r="CM243" s="675"/>
      <c r="CN243" s="549"/>
      <c r="CO243" s="675"/>
      <c r="CP243" s="549"/>
      <c r="CQ243" s="675"/>
      <c r="CR243" s="549"/>
      <c r="CS243" s="675"/>
      <c r="CT243" s="549"/>
      <c r="CU243" s="675"/>
      <c r="CV243" s="549"/>
      <c r="CW243" s="675"/>
      <c r="CX243" s="549"/>
      <c r="CY243" s="675"/>
      <c r="CZ243" s="549"/>
      <c r="DA243" s="675"/>
      <c r="DB243" s="549"/>
      <c r="DC243" s="675"/>
      <c r="DD243" s="549"/>
      <c r="DE243" s="675"/>
      <c r="DF243" s="549"/>
      <c r="DG243" s="675"/>
      <c r="DH243" s="549"/>
      <c r="DI243" s="675"/>
      <c r="DJ243" s="549"/>
      <c r="DK243" s="675"/>
      <c r="DL243" s="549"/>
      <c r="DM243" s="675"/>
      <c r="DN243" s="549"/>
      <c r="DO243" s="675"/>
      <c r="DP243" s="549"/>
      <c r="DQ243" s="675"/>
      <c r="DR243" s="549"/>
      <c r="DS243" s="675"/>
      <c r="DT243" s="549"/>
      <c r="DU243" s="675"/>
      <c r="DV243" s="549"/>
      <c r="DW243" s="675"/>
      <c r="DX243" s="549"/>
      <c r="DY243" s="675"/>
      <c r="DZ243" s="549"/>
      <c r="EA243" s="675"/>
      <c r="EB243" s="549"/>
      <c r="EC243" s="675"/>
      <c r="ED243" s="549"/>
      <c r="EE243" s="675"/>
      <c r="EF243" s="549"/>
      <c r="EG243" s="675"/>
      <c r="EH243" s="549"/>
      <c r="EI243" s="675"/>
      <c r="EJ243" s="549"/>
      <c r="EK243" s="675"/>
      <c r="EL243" s="549"/>
      <c r="EM243" s="675"/>
      <c r="EN243" s="549"/>
      <c r="EO243" s="675"/>
      <c r="EP243" s="549"/>
      <c r="EQ243" s="675"/>
      <c r="ER243" s="549"/>
      <c r="ES243" s="675"/>
      <c r="ET243" s="549"/>
      <c r="EU243" s="675"/>
      <c r="EV243" s="549"/>
      <c r="EW243" s="675"/>
      <c r="EX243" s="549"/>
      <c r="EY243" s="675"/>
      <c r="EZ243" s="549"/>
      <c r="FA243" s="675"/>
      <c r="FB243" s="549"/>
      <c r="FC243" s="675"/>
      <c r="FD243" s="549"/>
      <c r="FE243" s="675"/>
      <c r="FF243" s="549"/>
      <c r="FG243" s="675"/>
      <c r="FH243" s="549"/>
      <c r="FI243" s="675"/>
      <c r="FJ243" s="549"/>
      <c r="FK243" s="675"/>
      <c r="FL243" s="549"/>
      <c r="FM243" s="675"/>
      <c r="FN243" s="549"/>
      <c r="FO243" s="675"/>
      <c r="FP243" s="549"/>
      <c r="FQ243" s="675"/>
      <c r="FR243" s="549"/>
      <c r="FS243" s="675"/>
      <c r="FT243" s="549"/>
      <c r="FU243" s="675"/>
      <c r="FV243" s="549"/>
      <c r="FW243" s="675"/>
      <c r="FX243" s="549"/>
      <c r="FY243" s="675"/>
      <c r="FZ243" s="549"/>
      <c r="GA243" s="675"/>
      <c r="GB243" s="549"/>
      <c r="GC243" s="675"/>
      <c r="GD243" s="549"/>
      <c r="GE243" s="675"/>
      <c r="GF243" s="549"/>
      <c r="GG243" s="675"/>
      <c r="GH243" s="549"/>
      <c r="GI243" s="675"/>
      <c r="GJ243" s="549"/>
      <c r="GK243" s="675"/>
      <c r="GL243" s="549"/>
      <c r="GM243" s="675"/>
      <c r="GN243" s="549"/>
      <c r="GO243" s="675"/>
      <c r="GP243" s="549"/>
      <c r="GQ243" s="675"/>
      <c r="GR243" s="74"/>
      <c r="GS243" s="74"/>
      <c r="GT243" s="549"/>
      <c r="GU243" s="73"/>
      <c r="GV243" s="73"/>
      <c r="GW243" s="549"/>
      <c r="GX243" s="549"/>
      <c r="GY243" s="73"/>
      <c r="GZ243" s="73"/>
      <c r="HA243" s="73"/>
      <c r="HB243" s="73"/>
      <c r="HC243" s="73"/>
      <c r="HD243" s="73"/>
      <c r="HE243" s="73"/>
      <c r="HF243" s="73"/>
      <c r="HG243" s="74"/>
      <c r="HH243" s="73"/>
      <c r="HI243" s="815"/>
      <c r="HJ243" s="73"/>
      <c r="HK243" s="815"/>
      <c r="HL243" s="73"/>
      <c r="HM243" s="815"/>
      <c r="HN243" s="73"/>
      <c r="HO243" s="815"/>
      <c r="HP243" s="73"/>
      <c r="HQ243" s="815"/>
      <c r="HR243" s="73"/>
      <c r="HS243" s="815"/>
      <c r="HT243" s="73"/>
      <c r="HU243" s="815"/>
      <c r="HV243" s="73"/>
      <c r="HW243" s="815"/>
      <c r="HX243" s="73"/>
      <c r="HY243" s="815"/>
      <c r="HZ243" s="73"/>
      <c r="IA243" s="815"/>
      <c r="IB243" s="73"/>
      <c r="IC243" s="815"/>
      <c r="ID243" s="73"/>
      <c r="IE243" s="815"/>
      <c r="IF243" s="841"/>
      <c r="IG243" s="263"/>
      <c r="IH243" s="842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  <c r="JD243" s="73"/>
      <c r="JE243" s="73"/>
      <c r="JF243" s="73"/>
      <c r="JG243" s="73"/>
      <c r="JH243" s="73"/>
      <c r="JI243" s="73"/>
      <c r="JJ243" s="73"/>
      <c r="JK243" s="73"/>
      <c r="JL243" s="73"/>
      <c r="JM243" s="73"/>
      <c r="JN243" s="73"/>
      <c r="JO243" s="73"/>
      <c r="JP243" s="73"/>
      <c r="JQ243" s="73"/>
      <c r="JR243" s="73"/>
      <c r="JS243" s="74"/>
      <c r="JT243" s="382"/>
      <c r="JU243" s="670"/>
      <c r="JV243" s="489"/>
      <c r="JW243" s="490"/>
      <c r="JX243" s="548"/>
      <c r="JY243" s="548"/>
      <c r="JZ243" s="581">
        <f t="shared" si="7470"/>
        <v>0</v>
      </c>
      <c r="KA243" s="581">
        <f t="shared" si="7471"/>
        <v>0</v>
      </c>
      <c r="KB243" s="548"/>
      <c r="KC243" s="709">
        <f t="shared" si="7396"/>
        <v>0</v>
      </c>
      <c r="KD243" s="36"/>
      <c r="KE243" s="36"/>
      <c r="KF243" s="36"/>
      <c r="KG243" s="36"/>
      <c r="KH243" s="36"/>
      <c r="KI243" s="36"/>
      <c r="KJ243" s="36"/>
      <c r="KK243" s="36"/>
    </row>
    <row r="244" spans="1:297" s="7" customFormat="1" ht="15" customHeight="1">
      <c r="A244" s="71" t="s">
        <v>222</v>
      </c>
      <c r="B244" s="74" t="s">
        <v>50</v>
      </c>
      <c r="C244" s="74">
        <f t="shared" ref="C244:AM244" si="8411">SUM(C246,C251,C255,C257,C259)+C267+C265</f>
        <v>14452800</v>
      </c>
      <c r="D244" s="549">
        <f t="shared" si="8411"/>
        <v>6453</v>
      </c>
      <c r="E244" s="675">
        <f t="shared" si="8411"/>
        <v>-6453</v>
      </c>
      <c r="F244" s="549">
        <f t="shared" si="8411"/>
        <v>0</v>
      </c>
      <c r="G244" s="675">
        <f t="shared" si="8411"/>
        <v>0</v>
      </c>
      <c r="H244" s="549">
        <f t="shared" si="8411"/>
        <v>0</v>
      </c>
      <c r="I244" s="675">
        <f t="shared" si="8411"/>
        <v>0</v>
      </c>
      <c r="J244" s="549">
        <f t="shared" si="8411"/>
        <v>0</v>
      </c>
      <c r="K244" s="675">
        <f t="shared" si="8411"/>
        <v>0</v>
      </c>
      <c r="L244" s="549">
        <f t="shared" si="8411"/>
        <v>30000</v>
      </c>
      <c r="M244" s="675">
        <f t="shared" si="8411"/>
        <v>-30000</v>
      </c>
      <c r="N244" s="549">
        <f t="shared" si="8411"/>
        <v>0</v>
      </c>
      <c r="O244" s="675">
        <f t="shared" si="8411"/>
        <v>0</v>
      </c>
      <c r="P244" s="549">
        <f t="shared" si="8411"/>
        <v>0</v>
      </c>
      <c r="Q244" s="675">
        <f t="shared" si="8411"/>
        <v>0</v>
      </c>
      <c r="R244" s="549">
        <f t="shared" si="8411"/>
        <v>1212</v>
      </c>
      <c r="S244" s="675">
        <f t="shared" si="8411"/>
        <v>-1212</v>
      </c>
      <c r="T244" s="549">
        <f t="shared" si="8411"/>
        <v>0</v>
      </c>
      <c r="U244" s="675">
        <f t="shared" si="8411"/>
        <v>0</v>
      </c>
      <c r="V244" s="549">
        <f t="shared" si="8411"/>
        <v>0</v>
      </c>
      <c r="W244" s="675">
        <f t="shared" si="8411"/>
        <v>0</v>
      </c>
      <c r="X244" s="549">
        <f t="shared" si="8411"/>
        <v>0</v>
      </c>
      <c r="Y244" s="675">
        <f t="shared" si="8411"/>
        <v>0</v>
      </c>
      <c r="Z244" s="549">
        <f t="shared" si="8411"/>
        <v>0</v>
      </c>
      <c r="AA244" s="675">
        <f t="shared" si="8411"/>
        <v>0</v>
      </c>
      <c r="AB244" s="549">
        <f t="shared" si="8411"/>
        <v>0</v>
      </c>
      <c r="AC244" s="675">
        <f t="shared" si="8411"/>
        <v>0</v>
      </c>
      <c r="AD244" s="549">
        <f t="shared" ref="AD244:AK244" si="8412">SUM(AD246,AD251,AD255,AD257,AD259)+AD267+AD265</f>
        <v>0</v>
      </c>
      <c r="AE244" s="675">
        <f t="shared" si="8412"/>
        <v>0</v>
      </c>
      <c r="AF244" s="549">
        <f t="shared" si="8412"/>
        <v>0</v>
      </c>
      <c r="AG244" s="675">
        <f t="shared" si="8412"/>
        <v>0</v>
      </c>
      <c r="AH244" s="549">
        <f t="shared" si="8412"/>
        <v>0</v>
      </c>
      <c r="AI244" s="675">
        <f t="shared" si="8412"/>
        <v>0</v>
      </c>
      <c r="AJ244" s="549">
        <f t="shared" si="8412"/>
        <v>82844</v>
      </c>
      <c r="AK244" s="675">
        <f t="shared" si="8412"/>
        <v>-82844</v>
      </c>
      <c r="AL244" s="549">
        <f t="shared" si="8411"/>
        <v>0</v>
      </c>
      <c r="AM244" s="675">
        <f t="shared" si="8411"/>
        <v>0</v>
      </c>
      <c r="AN244" s="549">
        <f t="shared" ref="AN244:AS244" si="8413">SUM(AN246,AN251,AN255,AN257,AN259)+AN267+AN265</f>
        <v>0</v>
      </c>
      <c r="AO244" s="675">
        <f t="shared" si="8413"/>
        <v>-63815</v>
      </c>
      <c r="AP244" s="549">
        <f t="shared" si="8413"/>
        <v>0</v>
      </c>
      <c r="AQ244" s="675">
        <f t="shared" si="8413"/>
        <v>0</v>
      </c>
      <c r="AR244" s="549">
        <f t="shared" si="8413"/>
        <v>0</v>
      </c>
      <c r="AS244" s="675">
        <f t="shared" si="8413"/>
        <v>-8480</v>
      </c>
      <c r="AT244" s="549">
        <f t="shared" ref="AT244:AU244" si="8414">SUM(AT246,AT251,AT255,AT257,AT259)+AT267+AT265</f>
        <v>99000</v>
      </c>
      <c r="AU244" s="675">
        <f t="shared" si="8414"/>
        <v>-177320</v>
      </c>
      <c r="AV244" s="549">
        <f t="shared" ref="AV244:AW244" si="8415">SUM(AV246,AV251,AV255,AV257,AV259)+AV267+AV265</f>
        <v>40000</v>
      </c>
      <c r="AW244" s="675">
        <f t="shared" si="8415"/>
        <v>-26552</v>
      </c>
      <c r="AX244" s="549">
        <f t="shared" ref="AX244:AY244" si="8416">SUM(AX246,AX251,AX255,AX257,AX259)+AX267+AX265</f>
        <v>0</v>
      </c>
      <c r="AY244" s="675">
        <f t="shared" si="8416"/>
        <v>0</v>
      </c>
      <c r="AZ244" s="549">
        <f t="shared" ref="AZ244:BA244" si="8417">SUM(AZ246,AZ251,AZ255,AZ257,AZ259)+AZ267+AZ265</f>
        <v>0</v>
      </c>
      <c r="BA244" s="675">
        <f t="shared" si="8417"/>
        <v>0</v>
      </c>
      <c r="BB244" s="549">
        <f t="shared" ref="BB244:BC244" si="8418">SUM(BB246,BB251,BB255,BB257,BB259)+BB267+BB265</f>
        <v>0</v>
      </c>
      <c r="BC244" s="675">
        <f t="shared" si="8418"/>
        <v>0</v>
      </c>
      <c r="BD244" s="549">
        <f t="shared" ref="BD244:BE244" si="8419">SUM(BD246,BD251,BD255,BD257,BD259)+BD267+BD265</f>
        <v>0</v>
      </c>
      <c r="BE244" s="675">
        <f t="shared" si="8419"/>
        <v>0</v>
      </c>
      <c r="BF244" s="549">
        <f t="shared" ref="BF244:BG244" si="8420">SUM(BF246,BF251,BF255,BF257,BF259)+BF267+BF265</f>
        <v>0</v>
      </c>
      <c r="BG244" s="675">
        <f t="shared" si="8420"/>
        <v>0</v>
      </c>
      <c r="BH244" s="549">
        <f t="shared" ref="BH244:BI244" si="8421">SUM(BH246,BH251,BH255,BH257,BH259)+BH267+BH265</f>
        <v>0</v>
      </c>
      <c r="BI244" s="675">
        <f t="shared" si="8421"/>
        <v>0</v>
      </c>
      <c r="BJ244" s="549">
        <f t="shared" ref="BJ244:BK244" si="8422">SUM(BJ246,BJ251,BJ255,BJ257,BJ259)+BJ267+BJ265</f>
        <v>3000</v>
      </c>
      <c r="BK244" s="675">
        <f t="shared" si="8422"/>
        <v>-3000</v>
      </c>
      <c r="BL244" s="549">
        <f t="shared" ref="BL244:BS244" si="8423">SUM(BL246,BL251,BL255,BL257,BL259)+BL267+BL265</f>
        <v>0</v>
      </c>
      <c r="BM244" s="675">
        <f t="shared" si="8423"/>
        <v>0</v>
      </c>
      <c r="BN244" s="549">
        <f t="shared" si="8423"/>
        <v>0</v>
      </c>
      <c r="BO244" s="675">
        <f t="shared" si="8423"/>
        <v>0</v>
      </c>
      <c r="BP244" s="549">
        <f t="shared" si="8423"/>
        <v>0</v>
      </c>
      <c r="BQ244" s="675">
        <f t="shared" si="8423"/>
        <v>0</v>
      </c>
      <c r="BR244" s="549">
        <f t="shared" si="8423"/>
        <v>0</v>
      </c>
      <c r="BS244" s="675">
        <f t="shared" si="8423"/>
        <v>0</v>
      </c>
      <c r="BT244" s="549">
        <f t="shared" ref="BT244:BU244" si="8424">SUM(BT246,BT251,BT255,BT257,BT259)+BT267+BT265</f>
        <v>0</v>
      </c>
      <c r="BU244" s="675">
        <f t="shared" si="8424"/>
        <v>0</v>
      </c>
      <c r="BV244" s="549">
        <f t="shared" ref="BV244:BW244" si="8425">SUM(BV246,BV251,BV255,BV257,BV259)+BV267+BV265</f>
        <v>0</v>
      </c>
      <c r="BW244" s="675">
        <f t="shared" si="8425"/>
        <v>-7480</v>
      </c>
      <c r="BX244" s="549">
        <f t="shared" ref="BX244:BY244" si="8426">SUM(BX246,BX251,BX255,BX257,BX259)+BX267+BX265</f>
        <v>0</v>
      </c>
      <c r="BY244" s="675">
        <f t="shared" si="8426"/>
        <v>0</v>
      </c>
      <c r="BZ244" s="549">
        <f t="shared" ref="BZ244:CA244" si="8427">SUM(BZ246,BZ251,BZ255,BZ257,BZ259)+BZ267+BZ265</f>
        <v>0</v>
      </c>
      <c r="CA244" s="675">
        <f t="shared" si="8427"/>
        <v>0</v>
      </c>
      <c r="CB244" s="549">
        <f t="shared" ref="CB244:CE244" si="8428">SUM(CB246,CB251,CB255,CB257,CB259)+CB267+CB265</f>
        <v>0</v>
      </c>
      <c r="CC244" s="675">
        <f t="shared" si="8428"/>
        <v>0</v>
      </c>
      <c r="CD244" s="549">
        <f t="shared" si="8428"/>
        <v>0</v>
      </c>
      <c r="CE244" s="675">
        <f t="shared" si="8428"/>
        <v>0</v>
      </c>
      <c r="CF244" s="549">
        <f t="shared" ref="CF244:CQ244" si="8429">SUM(CF246,CF251,CF255,CF257,CF259)+CF267+CF265</f>
        <v>0</v>
      </c>
      <c r="CG244" s="675">
        <f t="shared" si="8429"/>
        <v>0</v>
      </c>
      <c r="CH244" s="549">
        <f t="shared" si="8429"/>
        <v>0</v>
      </c>
      <c r="CI244" s="675">
        <f t="shared" si="8429"/>
        <v>0</v>
      </c>
      <c r="CJ244" s="549">
        <f t="shared" si="8429"/>
        <v>0</v>
      </c>
      <c r="CK244" s="675">
        <f t="shared" si="8429"/>
        <v>0</v>
      </c>
      <c r="CL244" s="549">
        <f t="shared" si="8429"/>
        <v>0</v>
      </c>
      <c r="CM244" s="675">
        <f t="shared" si="8429"/>
        <v>0</v>
      </c>
      <c r="CN244" s="549">
        <f t="shared" si="8429"/>
        <v>6366</v>
      </c>
      <c r="CO244" s="675">
        <f t="shared" si="8429"/>
        <v>0</v>
      </c>
      <c r="CP244" s="549">
        <f t="shared" si="8429"/>
        <v>0</v>
      </c>
      <c r="CQ244" s="675">
        <f t="shared" si="8429"/>
        <v>0</v>
      </c>
      <c r="CR244" s="549">
        <f t="shared" ref="CR244:CY244" si="8430">SUM(CR246,CR251,CR255,CR257,CR259)+CR267+CR265</f>
        <v>0</v>
      </c>
      <c r="CS244" s="675">
        <f t="shared" si="8430"/>
        <v>0</v>
      </c>
      <c r="CT244" s="549">
        <f t="shared" si="8430"/>
        <v>0</v>
      </c>
      <c r="CU244" s="675">
        <f t="shared" si="8430"/>
        <v>0</v>
      </c>
      <c r="CV244" s="549">
        <f t="shared" si="8430"/>
        <v>4500</v>
      </c>
      <c r="CW244" s="675">
        <f t="shared" si="8430"/>
        <v>-4500</v>
      </c>
      <c r="CX244" s="549">
        <f t="shared" si="8430"/>
        <v>0</v>
      </c>
      <c r="CY244" s="675">
        <f t="shared" si="8430"/>
        <v>0</v>
      </c>
      <c r="CZ244" s="549">
        <f t="shared" ref="CZ244:GT244" si="8431">SUM(CZ246,CZ251,CZ255,CZ257,CZ259)+CZ267+CZ265</f>
        <v>0</v>
      </c>
      <c r="DA244" s="675">
        <f t="shared" si="8431"/>
        <v>0</v>
      </c>
      <c r="DB244" s="549">
        <f t="shared" si="8431"/>
        <v>0</v>
      </c>
      <c r="DC244" s="675">
        <f t="shared" si="8431"/>
        <v>0</v>
      </c>
      <c r="DD244" s="549">
        <f t="shared" si="8431"/>
        <v>0</v>
      </c>
      <c r="DE244" s="675">
        <f t="shared" si="8431"/>
        <v>0</v>
      </c>
      <c r="DF244" s="549">
        <f t="shared" si="8431"/>
        <v>0</v>
      </c>
      <c r="DG244" s="675">
        <f t="shared" si="8431"/>
        <v>0</v>
      </c>
      <c r="DH244" s="549">
        <f t="shared" si="8431"/>
        <v>0</v>
      </c>
      <c r="DI244" s="675">
        <f t="shared" si="8431"/>
        <v>0</v>
      </c>
      <c r="DJ244" s="549">
        <f t="shared" si="8431"/>
        <v>0</v>
      </c>
      <c r="DK244" s="675">
        <f t="shared" si="8431"/>
        <v>0</v>
      </c>
      <c r="DL244" s="549">
        <f t="shared" si="8431"/>
        <v>0</v>
      </c>
      <c r="DM244" s="675">
        <f t="shared" si="8431"/>
        <v>0</v>
      </c>
      <c r="DN244" s="549">
        <f t="shared" si="8431"/>
        <v>0</v>
      </c>
      <c r="DO244" s="675">
        <f t="shared" si="8431"/>
        <v>0</v>
      </c>
      <c r="DP244" s="549">
        <f t="shared" si="8431"/>
        <v>0</v>
      </c>
      <c r="DQ244" s="675">
        <f t="shared" si="8431"/>
        <v>0</v>
      </c>
      <c r="DR244" s="549">
        <f t="shared" si="8431"/>
        <v>0</v>
      </c>
      <c r="DS244" s="675">
        <f t="shared" si="8431"/>
        <v>0</v>
      </c>
      <c r="DT244" s="549">
        <f t="shared" si="8431"/>
        <v>9485</v>
      </c>
      <c r="DU244" s="675">
        <f t="shared" si="8431"/>
        <v>-9485</v>
      </c>
      <c r="DV244" s="549">
        <f t="shared" si="8431"/>
        <v>0</v>
      </c>
      <c r="DW244" s="675">
        <f t="shared" si="8431"/>
        <v>0</v>
      </c>
      <c r="DX244" s="549">
        <f t="shared" si="8431"/>
        <v>0</v>
      </c>
      <c r="DY244" s="675">
        <f t="shared" si="8431"/>
        <v>0</v>
      </c>
      <c r="DZ244" s="549">
        <f t="shared" ref="DZ244:FA244" si="8432">SUM(DZ246,DZ251,DZ255,DZ257,DZ259)+DZ267+DZ265</f>
        <v>0</v>
      </c>
      <c r="EA244" s="675">
        <f t="shared" si="8432"/>
        <v>0</v>
      </c>
      <c r="EB244" s="549">
        <f t="shared" si="8432"/>
        <v>0</v>
      </c>
      <c r="EC244" s="675">
        <f t="shared" si="8432"/>
        <v>0</v>
      </c>
      <c r="ED244" s="549">
        <f t="shared" si="8432"/>
        <v>0</v>
      </c>
      <c r="EE244" s="675">
        <f t="shared" si="8432"/>
        <v>-21000</v>
      </c>
      <c r="EF244" s="549">
        <f t="shared" si="8432"/>
        <v>50000</v>
      </c>
      <c r="EG244" s="675">
        <f t="shared" si="8432"/>
        <v>-102272</v>
      </c>
      <c r="EH244" s="549">
        <f t="shared" ref="EH244:EM244" si="8433">SUM(EH246,EH251,EH255,EH257,EH259)+EH267+EH265</f>
        <v>0</v>
      </c>
      <c r="EI244" s="675">
        <f t="shared" si="8433"/>
        <v>0</v>
      </c>
      <c r="EJ244" s="549">
        <f t="shared" si="8433"/>
        <v>0</v>
      </c>
      <c r="EK244" s="675">
        <f t="shared" si="8433"/>
        <v>0</v>
      </c>
      <c r="EL244" s="549">
        <f t="shared" si="8433"/>
        <v>0</v>
      </c>
      <c r="EM244" s="675">
        <f t="shared" si="8433"/>
        <v>0</v>
      </c>
      <c r="EN244" s="549">
        <f t="shared" si="8432"/>
        <v>0</v>
      </c>
      <c r="EO244" s="675">
        <f t="shared" si="8432"/>
        <v>0</v>
      </c>
      <c r="EP244" s="549">
        <f t="shared" si="8432"/>
        <v>100000</v>
      </c>
      <c r="EQ244" s="675">
        <f t="shared" si="8432"/>
        <v>-137374</v>
      </c>
      <c r="ER244" s="549">
        <f t="shared" si="8432"/>
        <v>0</v>
      </c>
      <c r="ES244" s="675">
        <f t="shared" si="8432"/>
        <v>0</v>
      </c>
      <c r="ET244" s="549">
        <f t="shared" si="8432"/>
        <v>0</v>
      </c>
      <c r="EU244" s="675">
        <f t="shared" si="8432"/>
        <v>0</v>
      </c>
      <c r="EV244" s="549">
        <f t="shared" ref="EV244:EW244" si="8434">SUM(EV246,EV251,EV255,EV257,EV259)+EV267+EV265</f>
        <v>0</v>
      </c>
      <c r="EW244" s="675">
        <f t="shared" si="8434"/>
        <v>0</v>
      </c>
      <c r="EX244" s="549">
        <f t="shared" si="8432"/>
        <v>0</v>
      </c>
      <c r="EY244" s="675">
        <f t="shared" si="8432"/>
        <v>0</v>
      </c>
      <c r="EZ244" s="549">
        <f t="shared" si="8432"/>
        <v>0</v>
      </c>
      <c r="FA244" s="675">
        <f t="shared" si="8432"/>
        <v>0</v>
      </c>
      <c r="FB244" s="549">
        <f t="shared" si="8431"/>
        <v>0</v>
      </c>
      <c r="FC244" s="675">
        <f t="shared" si="8431"/>
        <v>0</v>
      </c>
      <c r="FD244" s="549">
        <f t="shared" si="8431"/>
        <v>0</v>
      </c>
      <c r="FE244" s="675">
        <f t="shared" si="8431"/>
        <v>0</v>
      </c>
      <c r="FF244" s="549">
        <f t="shared" ref="FF244:FG244" si="8435">SUM(FF246,FF251,FF255,FF257,FF259)+FF267+FF265</f>
        <v>0</v>
      </c>
      <c r="FG244" s="675">
        <f t="shared" si="8435"/>
        <v>0</v>
      </c>
      <c r="FH244" s="549">
        <f t="shared" ref="FH244:FI244" si="8436">SUM(FH246,FH251,FH255,FH257,FH259)+FH267+FH265</f>
        <v>0</v>
      </c>
      <c r="FI244" s="675">
        <f t="shared" si="8436"/>
        <v>0</v>
      </c>
      <c r="FJ244" s="549">
        <f t="shared" ref="FJ244:FK244" si="8437">SUM(FJ246,FJ251,FJ255,FJ257,FJ259)+FJ267+FJ265</f>
        <v>0</v>
      </c>
      <c r="FK244" s="675">
        <f t="shared" si="8437"/>
        <v>0</v>
      </c>
      <c r="FL244" s="549">
        <f t="shared" ref="FL244:FM244" si="8438">SUM(FL246,FL251,FL255,FL257,FL259)+FL267+FL265</f>
        <v>0</v>
      </c>
      <c r="FM244" s="675">
        <f t="shared" si="8438"/>
        <v>0</v>
      </c>
      <c r="FN244" s="549">
        <f t="shared" ref="FN244:FO244" si="8439">SUM(FN246,FN251,FN255,FN257,FN259)+FN267+FN265</f>
        <v>0</v>
      </c>
      <c r="FO244" s="675">
        <f t="shared" si="8439"/>
        <v>0</v>
      </c>
      <c r="FP244" s="549">
        <f t="shared" ref="FP244:FQ244" si="8440">SUM(FP246,FP251,FP255,FP257,FP259)+FP267+FP265</f>
        <v>0</v>
      </c>
      <c r="FQ244" s="675">
        <f t="shared" si="8440"/>
        <v>0</v>
      </c>
      <c r="FR244" s="549">
        <f t="shared" ref="FR244:FS244" si="8441">SUM(FR246,FR251,FR255,FR257,FR259)+FR267+FR265</f>
        <v>0</v>
      </c>
      <c r="FS244" s="675">
        <f t="shared" si="8441"/>
        <v>0</v>
      </c>
      <c r="FT244" s="549">
        <f t="shared" ref="FT244:FU244" si="8442">SUM(FT246,FT251,FT255,FT257,FT259)+FT267+FT265</f>
        <v>0</v>
      </c>
      <c r="FU244" s="675">
        <f t="shared" si="8442"/>
        <v>0</v>
      </c>
      <c r="FV244" s="549">
        <f t="shared" ref="FV244:GK244" si="8443">SUM(FV246,FV251,FV255,FV257,FV259)+FV267+FV265</f>
        <v>6976</v>
      </c>
      <c r="FW244" s="675">
        <f t="shared" si="8443"/>
        <v>-6976</v>
      </c>
      <c r="FX244" s="549">
        <f t="shared" si="8443"/>
        <v>0</v>
      </c>
      <c r="FY244" s="675">
        <f t="shared" si="8443"/>
        <v>0</v>
      </c>
      <c r="FZ244" s="549">
        <f t="shared" ref="FZ244:GI244" si="8444">SUM(FZ246,FZ251,FZ255,FZ257,FZ259)+FZ267+FZ265</f>
        <v>0</v>
      </c>
      <c r="GA244" s="675">
        <f t="shared" si="8444"/>
        <v>0</v>
      </c>
      <c r="GB244" s="549">
        <f t="shared" si="8444"/>
        <v>0</v>
      </c>
      <c r="GC244" s="675">
        <f t="shared" si="8444"/>
        <v>0</v>
      </c>
      <c r="GD244" s="549">
        <f t="shared" si="8444"/>
        <v>0</v>
      </c>
      <c r="GE244" s="675">
        <f t="shared" si="8444"/>
        <v>0</v>
      </c>
      <c r="GF244" s="549">
        <f t="shared" si="8444"/>
        <v>0</v>
      </c>
      <c r="GG244" s="675">
        <f t="shared" si="8444"/>
        <v>0</v>
      </c>
      <c r="GH244" s="549">
        <f t="shared" si="8444"/>
        <v>0</v>
      </c>
      <c r="GI244" s="675">
        <f t="shared" si="8444"/>
        <v>0</v>
      </c>
      <c r="GJ244" s="549">
        <f t="shared" si="8443"/>
        <v>0</v>
      </c>
      <c r="GK244" s="675">
        <f t="shared" si="8443"/>
        <v>0</v>
      </c>
      <c r="GL244" s="549">
        <f t="shared" ref="GL244:GM244" si="8445">SUM(GL246,GL251,GL255,GL257,GL259)+GL267+GL265</f>
        <v>0</v>
      </c>
      <c r="GM244" s="675">
        <f t="shared" si="8445"/>
        <v>0</v>
      </c>
      <c r="GN244" s="549">
        <f t="shared" ref="GN244:GO244" si="8446">SUM(GN246,GN251,GN255,GN257,GN259)+GN267+GN265</f>
        <v>0</v>
      </c>
      <c r="GO244" s="675">
        <f t="shared" si="8446"/>
        <v>0</v>
      </c>
      <c r="GP244" s="549">
        <f>SUM(GP246,GP251,GP255,GP257,GP259)+GP267+GP265</f>
        <v>439836</v>
      </c>
      <c r="GQ244" s="675">
        <f>SUM(GQ246,GQ251,GQ255,GQ257,GQ259)+GQ267+GQ265</f>
        <v>-688763</v>
      </c>
      <c r="GR244" s="74">
        <f>SUM(GR246,GR251,GR255,GR257,GR259)+GR267+GR265</f>
        <v>14203873</v>
      </c>
      <c r="GS244" s="74">
        <f t="shared" si="8431"/>
        <v>12769339</v>
      </c>
      <c r="GT244" s="549">
        <f t="shared" si="8431"/>
        <v>14203873</v>
      </c>
      <c r="GU244" s="74">
        <f t="shared" ref="GU244:JC244" si="8447">SUM(GU246,GU251,GU255,GU257,GU259)+GU267+GU265</f>
        <v>1267450</v>
      </c>
      <c r="GV244" s="74">
        <f t="shared" si="8447"/>
        <v>1437815</v>
      </c>
      <c r="GW244" s="549">
        <f t="shared" si="8447"/>
        <v>1267415</v>
      </c>
      <c r="GX244" s="549">
        <f t="shared" si="8447"/>
        <v>1267415</v>
      </c>
      <c r="GY244" s="74">
        <f t="shared" si="8447"/>
        <v>1267415</v>
      </c>
      <c r="GZ244" s="74">
        <f t="shared" si="8447"/>
        <v>1267415</v>
      </c>
      <c r="HA244" s="74">
        <f t="shared" si="8447"/>
        <v>1267415</v>
      </c>
      <c r="HB244" s="74">
        <f t="shared" si="8447"/>
        <v>1437815</v>
      </c>
      <c r="HC244" s="74">
        <f t="shared" si="8447"/>
        <v>1267415</v>
      </c>
      <c r="HD244" s="74">
        <f t="shared" si="8447"/>
        <v>1270696</v>
      </c>
      <c r="HE244" s="74">
        <f t="shared" si="8447"/>
        <v>1434534</v>
      </c>
      <c r="HF244" s="74">
        <f t="shared" si="8447"/>
        <v>0</v>
      </c>
      <c r="HG244" s="74">
        <f>SUM(HG246,HG251,HG255,HG257,HG259)+HG267+HG265</f>
        <v>12769339</v>
      </c>
      <c r="HH244" s="74">
        <f t="shared" ref="HH244:HI244" si="8448">SUM(HH246,HH251,HH255,HH257,HH259)+HH267+HH265</f>
        <v>0</v>
      </c>
      <c r="HI244" s="792">
        <f t="shared" si="8448"/>
        <v>0</v>
      </c>
      <c r="HJ244" s="74">
        <f t="shared" ref="HJ244:HK244" si="8449">SUM(HJ246,HJ251,HJ255,HJ257,HJ259)+HJ267+HJ265</f>
        <v>0</v>
      </c>
      <c r="HK244" s="792">
        <f t="shared" si="8449"/>
        <v>2705265</v>
      </c>
      <c r="HL244" s="74">
        <f t="shared" ref="HL244:HM244" si="8450">SUM(HL246,HL251,HL255,HL257,HL259)+HL267+HL265</f>
        <v>0</v>
      </c>
      <c r="HM244" s="792">
        <f t="shared" si="8450"/>
        <v>1264134</v>
      </c>
      <c r="HN244" s="74">
        <f t="shared" ref="HN244:HO244" si="8451">SUM(HN246,HN251,HN255,HN257,HN259)+HN267+HN265</f>
        <v>0</v>
      </c>
      <c r="HO244" s="792">
        <f t="shared" si="8451"/>
        <v>1270696</v>
      </c>
      <c r="HP244" s="74">
        <f t="shared" ref="HP244:HQ244" si="8452">SUM(HP246,HP251,HP255,HP257,HP259)+HP267+HP265</f>
        <v>0</v>
      </c>
      <c r="HQ244" s="792">
        <f t="shared" si="8452"/>
        <v>1267415</v>
      </c>
      <c r="HR244" s="74">
        <f t="shared" ref="HR244:HS244" si="8453">SUM(HR246,HR251,HR255,HR257,HR259)+HR267+HR265</f>
        <v>0</v>
      </c>
      <c r="HS244" s="792">
        <f t="shared" si="8453"/>
        <v>1267415</v>
      </c>
      <c r="HT244" s="74">
        <f t="shared" ref="HT244:HU244" si="8454">SUM(HT246,HT251,HT255,HT257,HT259)+HT267+HT265</f>
        <v>0</v>
      </c>
      <c r="HU244" s="792">
        <f t="shared" si="8454"/>
        <v>1267415</v>
      </c>
      <c r="HV244" s="74">
        <f t="shared" ref="HV244:HW244" si="8455">SUM(HV246,HV251,HV255,HV257,HV259)+HV267+HV265</f>
        <v>0</v>
      </c>
      <c r="HW244" s="792">
        <f t="shared" si="8455"/>
        <v>1437815</v>
      </c>
      <c r="HX244" s="74">
        <f t="shared" ref="HX244:HY244" si="8456">SUM(HX246,HX251,HX255,HX257,HX259)+HX267+HX265</f>
        <v>0</v>
      </c>
      <c r="HY244" s="792">
        <f t="shared" si="8456"/>
        <v>1267415</v>
      </c>
      <c r="HZ244" s="74">
        <f t="shared" ref="HZ244:IA244" si="8457">SUM(HZ246,HZ251,HZ255,HZ257,HZ259)+HZ267+HZ265</f>
        <v>0</v>
      </c>
      <c r="IA244" s="792">
        <f t="shared" si="8457"/>
        <v>1270696</v>
      </c>
      <c r="IB244" s="74">
        <f t="shared" ref="IB244:IC244" si="8458">SUM(IB246,IB251,IB255,IB257,IB259)+IB267+IB265</f>
        <v>0</v>
      </c>
      <c r="IC244" s="792">
        <f t="shared" si="8458"/>
        <v>0</v>
      </c>
      <c r="ID244" s="74">
        <f t="shared" si="8447"/>
        <v>0</v>
      </c>
      <c r="IE244" s="792">
        <f t="shared" si="8447"/>
        <v>0</v>
      </c>
      <c r="IF244" s="841">
        <f>SUM(IF246,IF251,IF255,IF257,IF259)+IF267+IF265</f>
        <v>11505654.77</v>
      </c>
      <c r="IG244" s="263">
        <f t="shared" si="8447"/>
        <v>11505654.77</v>
      </c>
      <c r="IH244" s="842">
        <f>SUM(IH246,IH251,IH255,IH257,IH259)+IH267+IH265</f>
        <v>11505654.77</v>
      </c>
      <c r="II244" s="74">
        <f t="shared" ref="II244:IK244" si="8459">SUM(II246,II251,II255,II257,II259)+II267+II265</f>
        <v>941794.31</v>
      </c>
      <c r="IJ244" s="74">
        <f t="shared" si="8459"/>
        <v>941794.31</v>
      </c>
      <c r="IK244" s="74">
        <f t="shared" si="8459"/>
        <v>941794.31</v>
      </c>
      <c r="IL244" s="74">
        <f t="shared" si="8447"/>
        <v>1271631.82</v>
      </c>
      <c r="IM244" s="74">
        <f t="shared" si="8447"/>
        <v>1271631.82</v>
      </c>
      <c r="IN244" s="74">
        <f t="shared" si="8447"/>
        <v>1271631.82</v>
      </c>
      <c r="IO244" s="74">
        <f t="shared" si="8447"/>
        <v>627179.99</v>
      </c>
      <c r="IP244" s="74">
        <f t="shared" si="8447"/>
        <v>627179.99</v>
      </c>
      <c r="IQ244" s="74">
        <f t="shared" si="8447"/>
        <v>627179.99</v>
      </c>
      <c r="IR244" s="74">
        <f t="shared" si="8447"/>
        <v>1650634.6300000004</v>
      </c>
      <c r="IS244" s="74">
        <f t="shared" si="8447"/>
        <v>1650634.6300000004</v>
      </c>
      <c r="IT244" s="74">
        <f t="shared" si="8447"/>
        <v>1650634.6300000004</v>
      </c>
      <c r="IU244" s="74">
        <f t="shared" si="8447"/>
        <v>1174731.22</v>
      </c>
      <c r="IV244" s="74">
        <f t="shared" si="8447"/>
        <v>1174731.22</v>
      </c>
      <c r="IW244" s="74">
        <f t="shared" si="8447"/>
        <v>1174731.22</v>
      </c>
      <c r="IX244" s="74">
        <f t="shared" si="8447"/>
        <v>1138238.6399999992</v>
      </c>
      <c r="IY244" s="74">
        <f t="shared" si="8447"/>
        <v>1138238.6399999992</v>
      </c>
      <c r="IZ244" s="74">
        <f t="shared" si="8447"/>
        <v>1138238.6399999992</v>
      </c>
      <c r="JA244" s="74">
        <f t="shared" si="8447"/>
        <v>1135212.8699999999</v>
      </c>
      <c r="JB244" s="74">
        <f t="shared" si="8447"/>
        <v>1135212.8699999999</v>
      </c>
      <c r="JC244" s="74">
        <f t="shared" si="8447"/>
        <v>1135212.8699999999</v>
      </c>
      <c r="JD244" s="74">
        <f t="shared" ref="JD244:JF244" si="8460">SUM(JD246,JD251,JD255,JD257,JD259)+JD267+JD265</f>
        <v>1235786.3800000006</v>
      </c>
      <c r="JE244" s="74">
        <f t="shared" si="8460"/>
        <v>1235786.3800000006</v>
      </c>
      <c r="JF244" s="74">
        <f t="shared" si="8460"/>
        <v>1235786.3800000006</v>
      </c>
      <c r="JG244" s="74">
        <f t="shared" ref="JG244:JI244" si="8461">SUM(JG246,JG251,JG255,JG257,JG259)+JG267+JG265</f>
        <v>1200257.1599999992</v>
      </c>
      <c r="JH244" s="74">
        <f t="shared" si="8461"/>
        <v>1200257.1599999992</v>
      </c>
      <c r="JI244" s="74">
        <f t="shared" si="8461"/>
        <v>1200257.1599999992</v>
      </c>
      <c r="JJ244" s="74">
        <f t="shared" ref="JJ244:JL244" si="8462">SUM(JJ246,JJ251,JJ255,JJ257,JJ259)+JJ267+JJ265</f>
        <v>1130187.7500000005</v>
      </c>
      <c r="JK244" s="74">
        <f t="shared" si="8462"/>
        <v>1130187.7500000005</v>
      </c>
      <c r="JL244" s="74">
        <f t="shared" si="8462"/>
        <v>1130187.7500000005</v>
      </c>
      <c r="JM244" s="74">
        <f t="shared" ref="JM244:JO244" si="8463">SUM(JM246,JM251,JM255,JM257,JM259)+JM267+JM265</f>
        <v>0</v>
      </c>
      <c r="JN244" s="74">
        <f t="shared" si="8463"/>
        <v>0</v>
      </c>
      <c r="JO244" s="74">
        <f t="shared" si="8463"/>
        <v>0</v>
      </c>
      <c r="JP244" s="74">
        <f t="shared" ref="JP244:KB244" si="8464">SUM(JP246,JP251,JP255,JP257,JP259)+JP267+JP265</f>
        <v>0</v>
      </c>
      <c r="JQ244" s="74">
        <f t="shared" si="8464"/>
        <v>0</v>
      </c>
      <c r="JR244" s="74">
        <f t="shared" si="8464"/>
        <v>0</v>
      </c>
      <c r="JS244" s="74">
        <f t="shared" si="8464"/>
        <v>1263684.2300000002</v>
      </c>
      <c r="JT244" s="102">
        <f>SUM(JT246,JT251,JT255,JT257,JT259)+JT267+JT265</f>
        <v>1263684.2300000002</v>
      </c>
      <c r="JU244" s="671"/>
      <c r="JV244" s="492"/>
      <c r="JW244" s="490"/>
      <c r="JX244" s="548">
        <f t="shared" si="8464"/>
        <v>0</v>
      </c>
      <c r="JY244" s="548">
        <f t="shared" si="8464"/>
        <v>13018266</v>
      </c>
      <c r="JZ244" s="581">
        <f t="shared" si="7470"/>
        <v>439836</v>
      </c>
      <c r="KA244" s="581">
        <f t="shared" si="7471"/>
        <v>-688763</v>
      </c>
      <c r="KB244" s="548">
        <f t="shared" si="8464"/>
        <v>12769339</v>
      </c>
      <c r="KC244" s="709">
        <f t="shared" si="7396"/>
        <v>0</v>
      </c>
      <c r="KD244" s="36"/>
      <c r="KE244" s="36"/>
      <c r="KF244" s="36"/>
      <c r="KG244" s="36"/>
      <c r="KH244" s="36"/>
      <c r="KI244" s="36"/>
      <c r="KJ244" s="36"/>
      <c r="KK244" s="36"/>
    </row>
    <row r="245" spans="1:297" ht="13.5" customHeight="1">
      <c r="A245" s="86"/>
      <c r="B245" s="77"/>
      <c r="C245" s="78"/>
      <c r="D245" s="564"/>
      <c r="E245" s="677"/>
      <c r="F245" s="564"/>
      <c r="G245" s="677"/>
      <c r="H245" s="564"/>
      <c r="I245" s="677"/>
      <c r="J245" s="564"/>
      <c r="K245" s="677"/>
      <c r="L245" s="564"/>
      <c r="M245" s="677"/>
      <c r="N245" s="564"/>
      <c r="O245" s="677"/>
      <c r="P245" s="564"/>
      <c r="Q245" s="677"/>
      <c r="R245" s="564"/>
      <c r="S245" s="677"/>
      <c r="T245" s="564"/>
      <c r="U245" s="677"/>
      <c r="V245" s="564"/>
      <c r="W245" s="677"/>
      <c r="X245" s="564"/>
      <c r="Y245" s="677"/>
      <c r="Z245" s="564"/>
      <c r="AA245" s="677"/>
      <c r="AB245" s="564"/>
      <c r="AC245" s="677"/>
      <c r="AD245" s="564"/>
      <c r="AE245" s="677"/>
      <c r="AF245" s="564"/>
      <c r="AG245" s="677"/>
      <c r="AH245" s="564"/>
      <c r="AI245" s="677"/>
      <c r="AJ245" s="564"/>
      <c r="AK245" s="677"/>
      <c r="AL245" s="564"/>
      <c r="AM245" s="677"/>
      <c r="AN245" s="564"/>
      <c r="AO245" s="677"/>
      <c r="AP245" s="564"/>
      <c r="AQ245" s="677"/>
      <c r="AR245" s="564"/>
      <c r="AS245" s="677"/>
      <c r="AT245" s="564"/>
      <c r="AU245" s="677"/>
      <c r="AV245" s="564"/>
      <c r="AW245" s="677"/>
      <c r="AX245" s="564"/>
      <c r="AY245" s="677"/>
      <c r="AZ245" s="564"/>
      <c r="BA245" s="677"/>
      <c r="BB245" s="564"/>
      <c r="BC245" s="677"/>
      <c r="BD245" s="564"/>
      <c r="BE245" s="677"/>
      <c r="BF245" s="564"/>
      <c r="BG245" s="677"/>
      <c r="BH245" s="564"/>
      <c r="BI245" s="677"/>
      <c r="BJ245" s="564"/>
      <c r="BK245" s="677"/>
      <c r="BL245" s="564"/>
      <c r="BM245" s="677"/>
      <c r="BN245" s="564"/>
      <c r="BO245" s="677"/>
      <c r="BP245" s="564"/>
      <c r="BQ245" s="677"/>
      <c r="BR245" s="564"/>
      <c r="BS245" s="677"/>
      <c r="BT245" s="564"/>
      <c r="BU245" s="677"/>
      <c r="BV245" s="564"/>
      <c r="BW245" s="677"/>
      <c r="BX245" s="564"/>
      <c r="BY245" s="677"/>
      <c r="BZ245" s="564"/>
      <c r="CA245" s="677"/>
      <c r="CB245" s="564"/>
      <c r="CC245" s="677"/>
      <c r="CD245" s="564"/>
      <c r="CE245" s="677"/>
      <c r="CF245" s="564"/>
      <c r="CG245" s="677"/>
      <c r="CH245" s="564"/>
      <c r="CI245" s="677"/>
      <c r="CJ245" s="564"/>
      <c r="CK245" s="677"/>
      <c r="CL245" s="564"/>
      <c r="CM245" s="677"/>
      <c r="CN245" s="564"/>
      <c r="CO245" s="677"/>
      <c r="CP245" s="564"/>
      <c r="CQ245" s="677"/>
      <c r="CR245" s="564"/>
      <c r="CS245" s="677"/>
      <c r="CT245" s="564"/>
      <c r="CU245" s="677"/>
      <c r="CV245" s="564"/>
      <c r="CW245" s="677"/>
      <c r="CX245" s="564"/>
      <c r="CY245" s="677"/>
      <c r="CZ245" s="564"/>
      <c r="DA245" s="677"/>
      <c r="DB245" s="564"/>
      <c r="DC245" s="677"/>
      <c r="DD245" s="564"/>
      <c r="DE245" s="677"/>
      <c r="DF245" s="564"/>
      <c r="DG245" s="677"/>
      <c r="DH245" s="564"/>
      <c r="DI245" s="677"/>
      <c r="DJ245" s="564"/>
      <c r="DK245" s="677"/>
      <c r="DL245" s="564"/>
      <c r="DM245" s="677"/>
      <c r="DN245" s="564"/>
      <c r="DO245" s="677"/>
      <c r="DP245" s="564"/>
      <c r="DQ245" s="677"/>
      <c r="DR245" s="564"/>
      <c r="DS245" s="677"/>
      <c r="DT245" s="564"/>
      <c r="DU245" s="677"/>
      <c r="DV245" s="564"/>
      <c r="DW245" s="677"/>
      <c r="DX245" s="564"/>
      <c r="DY245" s="677"/>
      <c r="DZ245" s="564"/>
      <c r="EA245" s="677"/>
      <c r="EB245" s="564"/>
      <c r="EC245" s="677"/>
      <c r="ED245" s="564"/>
      <c r="EE245" s="677"/>
      <c r="EF245" s="564"/>
      <c r="EG245" s="677"/>
      <c r="EH245" s="564"/>
      <c r="EI245" s="677"/>
      <c r="EJ245" s="564"/>
      <c r="EK245" s="677"/>
      <c r="EL245" s="564"/>
      <c r="EM245" s="677"/>
      <c r="EN245" s="564"/>
      <c r="EO245" s="677"/>
      <c r="EP245" s="564"/>
      <c r="EQ245" s="677"/>
      <c r="ER245" s="564"/>
      <c r="ES245" s="677"/>
      <c r="ET245" s="564"/>
      <c r="EU245" s="677"/>
      <c r="EV245" s="564"/>
      <c r="EW245" s="677"/>
      <c r="EX245" s="564"/>
      <c r="EY245" s="677"/>
      <c r="EZ245" s="564"/>
      <c r="FA245" s="677"/>
      <c r="FB245" s="564"/>
      <c r="FC245" s="677"/>
      <c r="FD245" s="564"/>
      <c r="FE245" s="677"/>
      <c r="FF245" s="564"/>
      <c r="FG245" s="677"/>
      <c r="FH245" s="564"/>
      <c r="FI245" s="677"/>
      <c r="FJ245" s="564"/>
      <c r="FK245" s="677"/>
      <c r="FL245" s="564"/>
      <c r="FM245" s="677"/>
      <c r="FN245" s="564"/>
      <c r="FO245" s="677"/>
      <c r="FP245" s="564"/>
      <c r="FQ245" s="677"/>
      <c r="FR245" s="564"/>
      <c r="FS245" s="677"/>
      <c r="FT245" s="564"/>
      <c r="FU245" s="677"/>
      <c r="FV245" s="564"/>
      <c r="FW245" s="677"/>
      <c r="FX245" s="564"/>
      <c r="FY245" s="677"/>
      <c r="FZ245" s="564"/>
      <c r="GA245" s="677"/>
      <c r="GB245" s="564"/>
      <c r="GC245" s="677"/>
      <c r="GD245" s="564"/>
      <c r="GE245" s="677"/>
      <c r="GF245" s="564"/>
      <c r="GG245" s="677"/>
      <c r="GH245" s="564"/>
      <c r="GI245" s="677"/>
      <c r="GJ245" s="564"/>
      <c r="GK245" s="677"/>
      <c r="GL245" s="564"/>
      <c r="GM245" s="677"/>
      <c r="GN245" s="564"/>
      <c r="GO245" s="677"/>
      <c r="GP245" s="564"/>
      <c r="GQ245" s="677"/>
      <c r="GR245" s="78"/>
      <c r="GS245" s="78"/>
      <c r="GT245" s="564"/>
      <c r="GU245" s="87"/>
      <c r="GV245" s="87"/>
      <c r="GW245" s="564"/>
      <c r="GX245" s="564"/>
      <c r="GY245" s="87"/>
      <c r="GZ245" s="87"/>
      <c r="HA245" s="87"/>
      <c r="HB245" s="87"/>
      <c r="HC245" s="87"/>
      <c r="HD245" s="87"/>
      <c r="HE245" s="87"/>
      <c r="HF245" s="87"/>
      <c r="HG245" s="78"/>
      <c r="HH245" s="87"/>
      <c r="HI245" s="816"/>
      <c r="HJ245" s="87"/>
      <c r="HK245" s="816"/>
      <c r="HL245" s="87"/>
      <c r="HM245" s="816"/>
      <c r="HN245" s="87"/>
      <c r="HO245" s="816"/>
      <c r="HP245" s="87"/>
      <c r="HQ245" s="816"/>
      <c r="HR245" s="87"/>
      <c r="HS245" s="816"/>
      <c r="HT245" s="87"/>
      <c r="HU245" s="816"/>
      <c r="HV245" s="87"/>
      <c r="HW245" s="816"/>
      <c r="HX245" s="87"/>
      <c r="HY245" s="816"/>
      <c r="HZ245" s="87"/>
      <c r="IA245" s="816"/>
      <c r="IB245" s="87"/>
      <c r="IC245" s="816"/>
      <c r="ID245" s="87"/>
      <c r="IE245" s="816"/>
      <c r="IF245" s="851"/>
      <c r="IG245" s="280"/>
      <c r="IH245" s="852"/>
      <c r="II245" s="87"/>
      <c r="IJ245" s="87"/>
      <c r="IK245" s="87"/>
      <c r="IL245" s="87"/>
      <c r="IM245" s="87"/>
      <c r="IN245" s="87"/>
      <c r="IO245" s="87"/>
      <c r="IP245" s="87"/>
      <c r="IQ245" s="87"/>
      <c r="IR245" s="87"/>
      <c r="IS245" s="87"/>
      <c r="IT245" s="87"/>
      <c r="IU245" s="87"/>
      <c r="IV245" s="87"/>
      <c r="IW245" s="87"/>
      <c r="IX245" s="87"/>
      <c r="IY245" s="87"/>
      <c r="IZ245" s="87"/>
      <c r="JA245" s="87"/>
      <c r="JB245" s="87"/>
      <c r="JC245" s="87"/>
      <c r="JD245" s="87"/>
      <c r="JE245" s="87"/>
      <c r="JF245" s="87"/>
      <c r="JG245" s="87"/>
      <c r="JH245" s="87"/>
      <c r="JI245" s="87"/>
      <c r="JJ245" s="87"/>
      <c r="JK245" s="87"/>
      <c r="JL245" s="87"/>
      <c r="JM245" s="87"/>
      <c r="JN245" s="87"/>
      <c r="JO245" s="87"/>
      <c r="JP245" s="87"/>
      <c r="JQ245" s="87"/>
      <c r="JR245" s="87"/>
      <c r="JS245" s="78"/>
      <c r="JT245" s="658"/>
      <c r="JU245" s="670"/>
      <c r="JV245" s="489"/>
      <c r="JX245" s="548"/>
      <c r="JY245" s="548"/>
      <c r="JZ245" s="581">
        <f t="shared" si="7470"/>
        <v>0</v>
      </c>
      <c r="KA245" s="581">
        <f t="shared" si="7471"/>
        <v>0</v>
      </c>
      <c r="KB245" s="548"/>
      <c r="KC245" s="709">
        <f t="shared" si="7396"/>
        <v>0</v>
      </c>
      <c r="KD245" s="36"/>
      <c r="KE245" s="36"/>
      <c r="KF245" s="36"/>
      <c r="KG245" s="36"/>
      <c r="KH245" s="36"/>
      <c r="KI245" s="36"/>
      <c r="KJ245" s="36"/>
      <c r="KK245" s="36"/>
    </row>
    <row r="246" spans="1:297" s="8" customFormat="1">
      <c r="A246" s="80" t="s">
        <v>223</v>
      </c>
      <c r="B246" s="79" t="s">
        <v>52</v>
      </c>
      <c r="C246" s="78">
        <f t="shared" ref="C246:AM246" si="8465">SUM(C247:C249)</f>
        <v>11175200</v>
      </c>
      <c r="D246" s="564">
        <f t="shared" si="8465"/>
        <v>0</v>
      </c>
      <c r="E246" s="677">
        <f t="shared" si="8465"/>
        <v>-6453</v>
      </c>
      <c r="F246" s="564">
        <f t="shared" si="8465"/>
        <v>0</v>
      </c>
      <c r="G246" s="677">
        <f t="shared" si="8465"/>
        <v>0</v>
      </c>
      <c r="H246" s="564">
        <f t="shared" si="8465"/>
        <v>0</v>
      </c>
      <c r="I246" s="677">
        <f t="shared" si="8465"/>
        <v>0</v>
      </c>
      <c r="J246" s="564">
        <f t="shared" si="8465"/>
        <v>0</v>
      </c>
      <c r="K246" s="677">
        <f t="shared" si="8465"/>
        <v>0</v>
      </c>
      <c r="L246" s="564">
        <f t="shared" si="8465"/>
        <v>0</v>
      </c>
      <c r="M246" s="677">
        <f t="shared" si="8465"/>
        <v>-30000</v>
      </c>
      <c r="N246" s="564">
        <f t="shared" si="8465"/>
        <v>0</v>
      </c>
      <c r="O246" s="677">
        <f t="shared" si="8465"/>
        <v>0</v>
      </c>
      <c r="P246" s="564">
        <f t="shared" si="8465"/>
        <v>0</v>
      </c>
      <c r="Q246" s="677">
        <f t="shared" si="8465"/>
        <v>0</v>
      </c>
      <c r="R246" s="564">
        <f t="shared" si="8465"/>
        <v>0</v>
      </c>
      <c r="S246" s="677">
        <f t="shared" si="8465"/>
        <v>-1212</v>
      </c>
      <c r="T246" s="564">
        <f t="shared" si="8465"/>
        <v>0</v>
      </c>
      <c r="U246" s="677">
        <f t="shared" si="8465"/>
        <v>0</v>
      </c>
      <c r="V246" s="564">
        <f t="shared" si="8465"/>
        <v>0</v>
      </c>
      <c r="W246" s="677">
        <f t="shared" si="8465"/>
        <v>0</v>
      </c>
      <c r="X246" s="564">
        <f t="shared" si="8465"/>
        <v>0</v>
      </c>
      <c r="Y246" s="677">
        <f t="shared" si="8465"/>
        <v>0</v>
      </c>
      <c r="Z246" s="564">
        <f t="shared" si="8465"/>
        <v>0</v>
      </c>
      <c r="AA246" s="677">
        <f t="shared" si="8465"/>
        <v>0</v>
      </c>
      <c r="AB246" s="564">
        <f t="shared" si="8465"/>
        <v>0</v>
      </c>
      <c r="AC246" s="677">
        <f t="shared" si="8465"/>
        <v>0</v>
      </c>
      <c r="AD246" s="564">
        <f t="shared" ref="AD246:AK246" si="8466">SUM(AD247:AD249)</f>
        <v>0</v>
      </c>
      <c r="AE246" s="677">
        <f t="shared" si="8466"/>
        <v>0</v>
      </c>
      <c r="AF246" s="564">
        <f t="shared" si="8466"/>
        <v>0</v>
      </c>
      <c r="AG246" s="677">
        <f t="shared" si="8466"/>
        <v>0</v>
      </c>
      <c r="AH246" s="564">
        <f t="shared" si="8466"/>
        <v>0</v>
      </c>
      <c r="AI246" s="677">
        <f t="shared" si="8466"/>
        <v>0</v>
      </c>
      <c r="AJ246" s="564">
        <f t="shared" si="8466"/>
        <v>0</v>
      </c>
      <c r="AK246" s="677">
        <f t="shared" si="8466"/>
        <v>-82844</v>
      </c>
      <c r="AL246" s="564">
        <f t="shared" si="8465"/>
        <v>0</v>
      </c>
      <c r="AM246" s="677">
        <f t="shared" si="8465"/>
        <v>0</v>
      </c>
      <c r="AN246" s="564">
        <f t="shared" ref="AN246:AS246" si="8467">SUM(AN247:AN249)</f>
        <v>0</v>
      </c>
      <c r="AO246" s="677">
        <f t="shared" si="8467"/>
        <v>0</v>
      </c>
      <c r="AP246" s="564">
        <f t="shared" si="8467"/>
        <v>0</v>
      </c>
      <c r="AQ246" s="677">
        <f t="shared" si="8467"/>
        <v>0</v>
      </c>
      <c r="AR246" s="564">
        <f t="shared" si="8467"/>
        <v>0</v>
      </c>
      <c r="AS246" s="677">
        <f t="shared" si="8467"/>
        <v>0</v>
      </c>
      <c r="AT246" s="564">
        <f t="shared" ref="AT246:AU246" si="8468">SUM(AT247:AT249)</f>
        <v>0</v>
      </c>
      <c r="AU246" s="677">
        <f t="shared" si="8468"/>
        <v>-177320</v>
      </c>
      <c r="AV246" s="564">
        <f t="shared" ref="AV246:AW246" si="8469">SUM(AV247:AV249)</f>
        <v>0</v>
      </c>
      <c r="AW246" s="677">
        <f t="shared" si="8469"/>
        <v>-12703</v>
      </c>
      <c r="AX246" s="564">
        <f t="shared" ref="AX246:AY246" si="8470">SUM(AX247:AX249)</f>
        <v>0</v>
      </c>
      <c r="AY246" s="677">
        <f t="shared" si="8470"/>
        <v>0</v>
      </c>
      <c r="AZ246" s="564">
        <f t="shared" ref="AZ246:BA246" si="8471">SUM(AZ247:AZ249)</f>
        <v>0</v>
      </c>
      <c r="BA246" s="677">
        <f t="shared" si="8471"/>
        <v>0</v>
      </c>
      <c r="BB246" s="564">
        <f t="shared" ref="BB246:BC246" si="8472">SUM(BB247:BB249)</f>
        <v>0</v>
      </c>
      <c r="BC246" s="677">
        <f t="shared" si="8472"/>
        <v>0</v>
      </c>
      <c r="BD246" s="564">
        <f t="shared" ref="BD246:BE246" si="8473">SUM(BD247:BD249)</f>
        <v>0</v>
      </c>
      <c r="BE246" s="677">
        <f t="shared" si="8473"/>
        <v>0</v>
      </c>
      <c r="BF246" s="564">
        <f t="shared" ref="BF246:BG246" si="8474">SUM(BF247:BF249)</f>
        <v>0</v>
      </c>
      <c r="BG246" s="677">
        <f t="shared" si="8474"/>
        <v>0</v>
      </c>
      <c r="BH246" s="564">
        <f t="shared" ref="BH246:BI246" si="8475">SUM(BH247:BH249)</f>
        <v>0</v>
      </c>
      <c r="BI246" s="677">
        <f t="shared" si="8475"/>
        <v>0</v>
      </c>
      <c r="BJ246" s="564">
        <f t="shared" ref="BJ246:BK246" si="8476">SUM(BJ247:BJ249)</f>
        <v>0</v>
      </c>
      <c r="BK246" s="677">
        <f t="shared" si="8476"/>
        <v>-3000</v>
      </c>
      <c r="BL246" s="564">
        <f t="shared" ref="BL246:BS246" si="8477">SUM(BL247:BL249)</f>
        <v>0</v>
      </c>
      <c r="BM246" s="677">
        <f t="shared" si="8477"/>
        <v>0</v>
      </c>
      <c r="BN246" s="564">
        <f t="shared" si="8477"/>
        <v>0</v>
      </c>
      <c r="BO246" s="677">
        <f t="shared" si="8477"/>
        <v>0</v>
      </c>
      <c r="BP246" s="564">
        <f t="shared" si="8477"/>
        <v>0</v>
      </c>
      <c r="BQ246" s="677">
        <f t="shared" si="8477"/>
        <v>0</v>
      </c>
      <c r="BR246" s="564">
        <f t="shared" si="8477"/>
        <v>0</v>
      </c>
      <c r="BS246" s="677">
        <f t="shared" si="8477"/>
        <v>0</v>
      </c>
      <c r="BT246" s="564">
        <f t="shared" ref="BT246:BU246" si="8478">SUM(BT247:BT249)</f>
        <v>0</v>
      </c>
      <c r="BU246" s="677">
        <f t="shared" si="8478"/>
        <v>0</v>
      </c>
      <c r="BV246" s="564">
        <f t="shared" ref="BV246:BW246" si="8479">SUM(BV247:BV249)</f>
        <v>0</v>
      </c>
      <c r="BW246" s="677">
        <f t="shared" si="8479"/>
        <v>0</v>
      </c>
      <c r="BX246" s="564">
        <f t="shared" ref="BX246:BY246" si="8480">SUM(BX247:BX249)</f>
        <v>0</v>
      </c>
      <c r="BY246" s="677">
        <f t="shared" si="8480"/>
        <v>0</v>
      </c>
      <c r="BZ246" s="564">
        <f t="shared" ref="BZ246:CA246" si="8481">SUM(BZ247:BZ249)</f>
        <v>0</v>
      </c>
      <c r="CA246" s="677">
        <f t="shared" si="8481"/>
        <v>0</v>
      </c>
      <c r="CB246" s="564">
        <f t="shared" ref="CB246:CE246" si="8482">SUM(CB247:CB249)</f>
        <v>0</v>
      </c>
      <c r="CC246" s="677">
        <f t="shared" si="8482"/>
        <v>0</v>
      </c>
      <c r="CD246" s="564">
        <f t="shared" si="8482"/>
        <v>0</v>
      </c>
      <c r="CE246" s="677">
        <f t="shared" si="8482"/>
        <v>0</v>
      </c>
      <c r="CF246" s="564">
        <f t="shared" ref="CF246:CQ246" si="8483">SUM(CF247:CF249)</f>
        <v>0</v>
      </c>
      <c r="CG246" s="677">
        <f t="shared" si="8483"/>
        <v>0</v>
      </c>
      <c r="CH246" s="564">
        <f t="shared" si="8483"/>
        <v>0</v>
      </c>
      <c r="CI246" s="677">
        <f t="shared" si="8483"/>
        <v>0</v>
      </c>
      <c r="CJ246" s="564">
        <f t="shared" si="8483"/>
        <v>0</v>
      </c>
      <c r="CK246" s="677">
        <f t="shared" si="8483"/>
        <v>0</v>
      </c>
      <c r="CL246" s="564">
        <f t="shared" si="8483"/>
        <v>0</v>
      </c>
      <c r="CM246" s="677">
        <f t="shared" si="8483"/>
        <v>0</v>
      </c>
      <c r="CN246" s="564">
        <f t="shared" si="8483"/>
        <v>0</v>
      </c>
      <c r="CO246" s="677">
        <f t="shared" si="8483"/>
        <v>0</v>
      </c>
      <c r="CP246" s="564">
        <f t="shared" si="8483"/>
        <v>0</v>
      </c>
      <c r="CQ246" s="677">
        <f t="shared" si="8483"/>
        <v>0</v>
      </c>
      <c r="CR246" s="564">
        <f t="shared" ref="CR246:CY246" si="8484">SUM(CR247:CR249)</f>
        <v>0</v>
      </c>
      <c r="CS246" s="677">
        <f t="shared" si="8484"/>
        <v>0</v>
      </c>
      <c r="CT246" s="564">
        <f t="shared" si="8484"/>
        <v>0</v>
      </c>
      <c r="CU246" s="677">
        <f t="shared" si="8484"/>
        <v>0</v>
      </c>
      <c r="CV246" s="564">
        <f t="shared" si="8484"/>
        <v>0</v>
      </c>
      <c r="CW246" s="677">
        <f t="shared" si="8484"/>
        <v>-4500</v>
      </c>
      <c r="CX246" s="564">
        <f t="shared" si="8484"/>
        <v>0</v>
      </c>
      <c r="CY246" s="677">
        <f t="shared" si="8484"/>
        <v>0</v>
      </c>
      <c r="CZ246" s="564">
        <f t="shared" ref="CZ246:DG246" si="8485">SUM(CZ247:CZ249)</f>
        <v>0</v>
      </c>
      <c r="DA246" s="677">
        <f t="shared" si="8485"/>
        <v>0</v>
      </c>
      <c r="DB246" s="564">
        <f t="shared" si="8485"/>
        <v>0</v>
      </c>
      <c r="DC246" s="677">
        <f t="shared" si="8485"/>
        <v>0</v>
      </c>
      <c r="DD246" s="564">
        <f t="shared" si="8485"/>
        <v>0</v>
      </c>
      <c r="DE246" s="677">
        <f t="shared" si="8485"/>
        <v>0</v>
      </c>
      <c r="DF246" s="564">
        <f t="shared" si="8485"/>
        <v>0</v>
      </c>
      <c r="DG246" s="677">
        <f t="shared" si="8485"/>
        <v>0</v>
      </c>
      <c r="DH246" s="564">
        <f t="shared" ref="DH246:DY246" si="8486">SUM(DH247:DH249)</f>
        <v>0</v>
      </c>
      <c r="DI246" s="677">
        <f t="shared" si="8486"/>
        <v>0</v>
      </c>
      <c r="DJ246" s="564">
        <f t="shared" si="8486"/>
        <v>0</v>
      </c>
      <c r="DK246" s="677">
        <f t="shared" si="8486"/>
        <v>0</v>
      </c>
      <c r="DL246" s="564">
        <f t="shared" si="8486"/>
        <v>0</v>
      </c>
      <c r="DM246" s="677">
        <f t="shared" si="8486"/>
        <v>0</v>
      </c>
      <c r="DN246" s="564">
        <f t="shared" si="8486"/>
        <v>0</v>
      </c>
      <c r="DO246" s="677">
        <f t="shared" si="8486"/>
        <v>0</v>
      </c>
      <c r="DP246" s="564">
        <f t="shared" si="8486"/>
        <v>0</v>
      </c>
      <c r="DQ246" s="677">
        <f t="shared" si="8486"/>
        <v>0</v>
      </c>
      <c r="DR246" s="564">
        <f t="shared" si="8486"/>
        <v>0</v>
      </c>
      <c r="DS246" s="677">
        <f t="shared" si="8486"/>
        <v>0</v>
      </c>
      <c r="DT246" s="564">
        <f t="shared" si="8486"/>
        <v>9485</v>
      </c>
      <c r="DU246" s="677">
        <f t="shared" si="8486"/>
        <v>-9485</v>
      </c>
      <c r="DV246" s="564">
        <f t="shared" si="8486"/>
        <v>0</v>
      </c>
      <c r="DW246" s="677">
        <f t="shared" si="8486"/>
        <v>0</v>
      </c>
      <c r="DX246" s="564">
        <f t="shared" si="8486"/>
        <v>0</v>
      </c>
      <c r="DY246" s="677">
        <f t="shared" si="8486"/>
        <v>0</v>
      </c>
      <c r="DZ246" s="564">
        <f t="shared" ref="DZ246:FA246" si="8487">SUM(DZ247:DZ249)</f>
        <v>0</v>
      </c>
      <c r="EA246" s="677">
        <f t="shared" si="8487"/>
        <v>0</v>
      </c>
      <c r="EB246" s="564">
        <f t="shared" si="8487"/>
        <v>0</v>
      </c>
      <c r="EC246" s="677">
        <f t="shared" si="8487"/>
        <v>0</v>
      </c>
      <c r="ED246" s="564">
        <f t="shared" si="8487"/>
        <v>0</v>
      </c>
      <c r="EE246" s="677">
        <f t="shared" si="8487"/>
        <v>0</v>
      </c>
      <c r="EF246" s="564">
        <f t="shared" si="8487"/>
        <v>0</v>
      </c>
      <c r="EG246" s="677">
        <f t="shared" si="8487"/>
        <v>-65995</v>
      </c>
      <c r="EH246" s="564">
        <f t="shared" ref="EH246:EM246" si="8488">SUM(EH247:EH249)</f>
        <v>0</v>
      </c>
      <c r="EI246" s="677">
        <f t="shared" si="8488"/>
        <v>0</v>
      </c>
      <c r="EJ246" s="564">
        <f t="shared" si="8488"/>
        <v>0</v>
      </c>
      <c r="EK246" s="677">
        <f t="shared" si="8488"/>
        <v>0</v>
      </c>
      <c r="EL246" s="564">
        <f t="shared" si="8488"/>
        <v>0</v>
      </c>
      <c r="EM246" s="677">
        <f t="shared" si="8488"/>
        <v>0</v>
      </c>
      <c r="EN246" s="564">
        <f t="shared" si="8487"/>
        <v>0</v>
      </c>
      <c r="EO246" s="677">
        <f t="shared" si="8487"/>
        <v>0</v>
      </c>
      <c r="EP246" s="564">
        <f t="shared" si="8487"/>
        <v>0</v>
      </c>
      <c r="EQ246" s="677">
        <f t="shared" si="8487"/>
        <v>-137374</v>
      </c>
      <c r="ER246" s="564">
        <f t="shared" si="8487"/>
        <v>0</v>
      </c>
      <c r="ES246" s="677">
        <f t="shared" si="8487"/>
        <v>0</v>
      </c>
      <c r="ET246" s="564">
        <f t="shared" si="8487"/>
        <v>0</v>
      </c>
      <c r="EU246" s="677">
        <f t="shared" si="8487"/>
        <v>0</v>
      </c>
      <c r="EV246" s="564">
        <f t="shared" ref="EV246:EW246" si="8489">SUM(EV247:EV249)</f>
        <v>0</v>
      </c>
      <c r="EW246" s="677">
        <f t="shared" si="8489"/>
        <v>0</v>
      </c>
      <c r="EX246" s="564">
        <f t="shared" si="8487"/>
        <v>0</v>
      </c>
      <c r="EY246" s="677">
        <f t="shared" si="8487"/>
        <v>0</v>
      </c>
      <c r="EZ246" s="564">
        <f t="shared" si="8487"/>
        <v>0</v>
      </c>
      <c r="FA246" s="677">
        <f t="shared" si="8487"/>
        <v>0</v>
      </c>
      <c r="FB246" s="564">
        <f t="shared" ref="FB246:FC246" si="8490">SUM(FB247:FB249)</f>
        <v>0</v>
      </c>
      <c r="FC246" s="677">
        <f t="shared" si="8490"/>
        <v>0</v>
      </c>
      <c r="FD246" s="564">
        <f t="shared" ref="FD246:FE246" si="8491">SUM(FD247:FD249)</f>
        <v>0</v>
      </c>
      <c r="FE246" s="677">
        <f t="shared" si="8491"/>
        <v>0</v>
      </c>
      <c r="FF246" s="564">
        <f t="shared" ref="FF246:FG246" si="8492">SUM(FF247:FF249)</f>
        <v>0</v>
      </c>
      <c r="FG246" s="677">
        <f t="shared" si="8492"/>
        <v>0</v>
      </c>
      <c r="FH246" s="564">
        <f t="shared" ref="FH246:FI246" si="8493">SUM(FH247:FH249)</f>
        <v>0</v>
      </c>
      <c r="FI246" s="677">
        <f t="shared" si="8493"/>
        <v>0</v>
      </c>
      <c r="FJ246" s="564">
        <f t="shared" ref="FJ246:FK246" si="8494">SUM(FJ247:FJ249)</f>
        <v>0</v>
      </c>
      <c r="FK246" s="677">
        <f t="shared" si="8494"/>
        <v>0</v>
      </c>
      <c r="FL246" s="564">
        <f t="shared" ref="FL246:FM246" si="8495">SUM(FL247:FL249)</f>
        <v>0</v>
      </c>
      <c r="FM246" s="677">
        <f t="shared" si="8495"/>
        <v>0</v>
      </c>
      <c r="FN246" s="564">
        <f t="shared" ref="FN246:FO246" si="8496">SUM(FN247:FN249)</f>
        <v>0</v>
      </c>
      <c r="FO246" s="677">
        <f t="shared" si="8496"/>
        <v>0</v>
      </c>
      <c r="FP246" s="564">
        <f t="shared" ref="FP246:FQ246" si="8497">SUM(FP247:FP249)</f>
        <v>0</v>
      </c>
      <c r="FQ246" s="677">
        <f t="shared" si="8497"/>
        <v>0</v>
      </c>
      <c r="FR246" s="564">
        <f t="shared" ref="FR246:FS246" si="8498">SUM(FR247:FR249)</f>
        <v>0</v>
      </c>
      <c r="FS246" s="677">
        <f t="shared" si="8498"/>
        <v>0</v>
      </c>
      <c r="FT246" s="564">
        <f t="shared" ref="FT246:FU246" si="8499">SUM(FT247:FT249)</f>
        <v>0</v>
      </c>
      <c r="FU246" s="677">
        <f t="shared" si="8499"/>
        <v>0</v>
      </c>
      <c r="FV246" s="564">
        <f t="shared" ref="FV246:GK246" si="8500">SUM(FV247:FV249)</f>
        <v>0</v>
      </c>
      <c r="FW246" s="677">
        <f t="shared" si="8500"/>
        <v>-6976</v>
      </c>
      <c r="FX246" s="564">
        <f t="shared" si="8500"/>
        <v>0</v>
      </c>
      <c r="FY246" s="677">
        <f t="shared" si="8500"/>
        <v>0</v>
      </c>
      <c r="FZ246" s="564">
        <f t="shared" ref="FZ246:GI246" si="8501">SUM(FZ247:FZ249)</f>
        <v>0</v>
      </c>
      <c r="GA246" s="677">
        <f t="shared" si="8501"/>
        <v>0</v>
      </c>
      <c r="GB246" s="564">
        <f t="shared" si="8501"/>
        <v>0</v>
      </c>
      <c r="GC246" s="677">
        <f t="shared" si="8501"/>
        <v>0</v>
      </c>
      <c r="GD246" s="564">
        <f t="shared" si="8501"/>
        <v>0</v>
      </c>
      <c r="GE246" s="677">
        <f t="shared" si="8501"/>
        <v>0</v>
      </c>
      <c r="GF246" s="564">
        <f t="shared" si="8501"/>
        <v>0</v>
      </c>
      <c r="GG246" s="677">
        <f t="shared" si="8501"/>
        <v>0</v>
      </c>
      <c r="GH246" s="564">
        <f t="shared" si="8501"/>
        <v>0</v>
      </c>
      <c r="GI246" s="677">
        <f t="shared" si="8501"/>
        <v>0</v>
      </c>
      <c r="GJ246" s="564">
        <f t="shared" si="8500"/>
        <v>0</v>
      </c>
      <c r="GK246" s="677">
        <f t="shared" si="8500"/>
        <v>0</v>
      </c>
      <c r="GL246" s="564">
        <f t="shared" ref="GL246:GM246" si="8502">SUM(GL247:GL249)</f>
        <v>0</v>
      </c>
      <c r="GM246" s="677">
        <f t="shared" si="8502"/>
        <v>0</v>
      </c>
      <c r="GN246" s="564">
        <f t="shared" ref="GN246:GO246" si="8503">SUM(GN247:GN249)</f>
        <v>0</v>
      </c>
      <c r="GO246" s="677">
        <f t="shared" si="8503"/>
        <v>0</v>
      </c>
      <c r="GP246" s="564">
        <f>SUM(GP247:GP249)</f>
        <v>9485</v>
      </c>
      <c r="GQ246" s="677">
        <f t="shared" ref="GQ246:JB246" si="8504">SUM(GQ247:GQ249)</f>
        <v>-537862</v>
      </c>
      <c r="GR246" s="78">
        <f>SUM(GR247:GR249)</f>
        <v>10646823</v>
      </c>
      <c r="GS246" s="78">
        <f>SUM(GS247:GS249)</f>
        <v>9630896</v>
      </c>
      <c r="GT246" s="564">
        <f>SUM(GT247:GT249)</f>
        <v>10646823</v>
      </c>
      <c r="GU246" s="78">
        <f t="shared" si="8504"/>
        <v>1015930</v>
      </c>
      <c r="GV246" s="78">
        <f t="shared" si="8504"/>
        <v>1015927</v>
      </c>
      <c r="GW246" s="564">
        <f t="shared" si="8504"/>
        <v>1015927</v>
      </c>
      <c r="GX246" s="564">
        <f t="shared" si="8504"/>
        <v>1015927</v>
      </c>
      <c r="GY246" s="78">
        <f t="shared" si="8504"/>
        <v>1015927</v>
      </c>
      <c r="GZ246" s="78">
        <f t="shared" si="8504"/>
        <v>1015927</v>
      </c>
      <c r="HA246" s="78">
        <f t="shared" si="8504"/>
        <v>1015927</v>
      </c>
      <c r="HB246" s="78">
        <f t="shared" si="8504"/>
        <v>1015927</v>
      </c>
      <c r="HC246" s="78">
        <f t="shared" si="8504"/>
        <v>1015927</v>
      </c>
      <c r="HD246" s="78">
        <f t="shared" si="8504"/>
        <v>1015927</v>
      </c>
      <c r="HE246" s="78">
        <f t="shared" si="8504"/>
        <v>1015927</v>
      </c>
      <c r="HF246" s="78">
        <f t="shared" si="8504"/>
        <v>0</v>
      </c>
      <c r="HG246" s="78">
        <f>SUM(HG247:HG249)</f>
        <v>9630896</v>
      </c>
      <c r="HH246" s="78">
        <f t="shared" ref="HH246:HI246" si="8505">SUM(HH247:HH249)</f>
        <v>0</v>
      </c>
      <c r="HI246" s="811">
        <f t="shared" si="8505"/>
        <v>0</v>
      </c>
      <c r="HJ246" s="78">
        <f t="shared" ref="HJ246:HK246" si="8506">SUM(HJ247:HJ249)</f>
        <v>0</v>
      </c>
      <c r="HK246" s="811">
        <f t="shared" si="8506"/>
        <v>2031857</v>
      </c>
      <c r="HL246" s="78">
        <f t="shared" ref="HL246:HM246" si="8507">SUM(HL247:HL249)</f>
        <v>0</v>
      </c>
      <c r="HM246" s="811">
        <f t="shared" si="8507"/>
        <v>1015927</v>
      </c>
      <c r="HN246" s="78">
        <f t="shared" ref="HN246:HO246" si="8508">SUM(HN247:HN249)</f>
        <v>0</v>
      </c>
      <c r="HO246" s="811">
        <f t="shared" si="8508"/>
        <v>1015927</v>
      </c>
      <c r="HP246" s="78">
        <f t="shared" ref="HP246:HQ246" si="8509">SUM(HP247:HP249)</f>
        <v>0</v>
      </c>
      <c r="HQ246" s="811">
        <f t="shared" si="8509"/>
        <v>1015927</v>
      </c>
      <c r="HR246" s="78">
        <f t="shared" ref="HR246:HS246" si="8510">SUM(HR247:HR249)</f>
        <v>0</v>
      </c>
      <c r="HS246" s="811">
        <f t="shared" si="8510"/>
        <v>1015927</v>
      </c>
      <c r="HT246" s="78">
        <f t="shared" ref="HT246:HU246" si="8511">SUM(HT247:HT249)</f>
        <v>0</v>
      </c>
      <c r="HU246" s="811">
        <f t="shared" si="8511"/>
        <v>1015927</v>
      </c>
      <c r="HV246" s="78">
        <f t="shared" ref="HV246:HW246" si="8512">SUM(HV247:HV249)</f>
        <v>0</v>
      </c>
      <c r="HW246" s="811">
        <f t="shared" si="8512"/>
        <v>1015927</v>
      </c>
      <c r="HX246" s="78">
        <f t="shared" ref="HX246:HY246" si="8513">SUM(HX247:HX249)</f>
        <v>0</v>
      </c>
      <c r="HY246" s="811">
        <f t="shared" si="8513"/>
        <v>1015927</v>
      </c>
      <c r="HZ246" s="78">
        <f t="shared" ref="HZ246:IA246" si="8514">SUM(HZ247:HZ249)</f>
        <v>0</v>
      </c>
      <c r="IA246" s="811">
        <f t="shared" si="8514"/>
        <v>1015927</v>
      </c>
      <c r="IB246" s="78">
        <f t="shared" ref="IB246:IC246" si="8515">SUM(IB247:IB249)</f>
        <v>0</v>
      </c>
      <c r="IC246" s="811">
        <f t="shared" si="8515"/>
        <v>0</v>
      </c>
      <c r="ID246" s="78">
        <f t="shared" si="8504"/>
        <v>0</v>
      </c>
      <c r="IE246" s="811">
        <f t="shared" si="8504"/>
        <v>0</v>
      </c>
      <c r="IF246" s="851">
        <f>SUM(IF247:IF249)</f>
        <v>8739415</v>
      </c>
      <c r="IG246" s="280">
        <f>SUM(IG247:IG249)</f>
        <v>8739415</v>
      </c>
      <c r="IH246" s="852">
        <f t="shared" si="8504"/>
        <v>8739415</v>
      </c>
      <c r="II246" s="78">
        <f t="shared" si="8504"/>
        <v>796604.02</v>
      </c>
      <c r="IJ246" s="78">
        <f t="shared" si="8504"/>
        <v>796604.02</v>
      </c>
      <c r="IK246" s="78">
        <f t="shared" si="8504"/>
        <v>796604.02</v>
      </c>
      <c r="IL246" s="78">
        <f t="shared" si="8504"/>
        <v>832939.47</v>
      </c>
      <c r="IM246" s="78">
        <f t="shared" si="8504"/>
        <v>832939.47</v>
      </c>
      <c r="IN246" s="78">
        <f t="shared" si="8504"/>
        <v>832939.47</v>
      </c>
      <c r="IO246" s="78">
        <f t="shared" si="8504"/>
        <v>458652.15999999992</v>
      </c>
      <c r="IP246" s="78">
        <f t="shared" si="8504"/>
        <v>458652.15999999992</v>
      </c>
      <c r="IQ246" s="78">
        <f t="shared" si="8504"/>
        <v>458652.15999999992</v>
      </c>
      <c r="IR246" s="78">
        <f t="shared" si="8504"/>
        <v>1326338.0700000003</v>
      </c>
      <c r="IS246" s="78">
        <f t="shared" si="8504"/>
        <v>1326338.0700000003</v>
      </c>
      <c r="IT246" s="78">
        <f t="shared" si="8504"/>
        <v>1326338.0700000003</v>
      </c>
      <c r="IU246" s="78">
        <f t="shared" si="8504"/>
        <v>885259.76000000024</v>
      </c>
      <c r="IV246" s="78">
        <f t="shared" si="8504"/>
        <v>885259.76000000024</v>
      </c>
      <c r="IW246" s="78">
        <f t="shared" si="8504"/>
        <v>885259.76000000024</v>
      </c>
      <c r="IX246" s="78">
        <f t="shared" si="8504"/>
        <v>879635.1099999994</v>
      </c>
      <c r="IY246" s="78">
        <f t="shared" si="8504"/>
        <v>879635.1099999994</v>
      </c>
      <c r="IZ246" s="78">
        <f t="shared" si="8504"/>
        <v>879635.1099999994</v>
      </c>
      <c r="JA246" s="78">
        <f t="shared" si="8504"/>
        <v>887077.79999999981</v>
      </c>
      <c r="JB246" s="78">
        <f t="shared" si="8504"/>
        <v>887077.79999999981</v>
      </c>
      <c r="JC246" s="78">
        <f t="shared" ref="JC246" si="8516">SUM(JC247:JC249)</f>
        <v>887077.79999999981</v>
      </c>
      <c r="JD246" s="78">
        <f t="shared" ref="JD246:JF246" si="8517">SUM(JD247:JD249)</f>
        <v>852740.10000000056</v>
      </c>
      <c r="JE246" s="78">
        <f t="shared" si="8517"/>
        <v>852740.10000000056</v>
      </c>
      <c r="JF246" s="78">
        <f t="shared" si="8517"/>
        <v>852740.10000000056</v>
      </c>
      <c r="JG246" s="78">
        <f t="shared" ref="JG246:JI246" si="8518">SUM(JG247:JG249)</f>
        <v>926524.06999999937</v>
      </c>
      <c r="JH246" s="78">
        <f t="shared" si="8518"/>
        <v>926524.06999999937</v>
      </c>
      <c r="JI246" s="78">
        <f t="shared" si="8518"/>
        <v>926524.06999999937</v>
      </c>
      <c r="JJ246" s="78">
        <f t="shared" ref="JJ246:JL246" si="8519">SUM(JJ247:JJ249)</f>
        <v>893644.44000000041</v>
      </c>
      <c r="JK246" s="78">
        <f t="shared" si="8519"/>
        <v>893644.44000000041</v>
      </c>
      <c r="JL246" s="78">
        <f t="shared" si="8519"/>
        <v>893644.44000000041</v>
      </c>
      <c r="JM246" s="78">
        <f t="shared" ref="JM246:JO246" si="8520">SUM(JM247:JM249)</f>
        <v>0</v>
      </c>
      <c r="JN246" s="78">
        <f t="shared" si="8520"/>
        <v>0</v>
      </c>
      <c r="JO246" s="78">
        <f t="shared" si="8520"/>
        <v>0</v>
      </c>
      <c r="JP246" s="78">
        <f t="shared" ref="JP246:KB246" si="8521">SUM(JP247:JP249)</f>
        <v>0</v>
      </c>
      <c r="JQ246" s="78">
        <f t="shared" si="8521"/>
        <v>0</v>
      </c>
      <c r="JR246" s="78">
        <f t="shared" si="8521"/>
        <v>0</v>
      </c>
      <c r="JS246" s="78">
        <f>SUM(JS247:JS249)</f>
        <v>891481</v>
      </c>
      <c r="JT246" s="382">
        <f>SUM(JT247:JT249)</f>
        <v>891481</v>
      </c>
      <c r="JU246" s="670"/>
      <c r="JV246" s="489"/>
      <c r="JW246" s="490"/>
      <c r="JX246" s="548">
        <f t="shared" si="8521"/>
        <v>0</v>
      </c>
      <c r="JY246" s="548">
        <f t="shared" si="8521"/>
        <v>10159273</v>
      </c>
      <c r="JZ246" s="581">
        <f t="shared" si="7470"/>
        <v>9485</v>
      </c>
      <c r="KA246" s="581">
        <f t="shared" si="7471"/>
        <v>-537862</v>
      </c>
      <c r="KB246" s="548">
        <f t="shared" si="8521"/>
        <v>9630896</v>
      </c>
      <c r="KC246" s="709">
        <f t="shared" si="7396"/>
        <v>0</v>
      </c>
      <c r="KD246" s="36"/>
      <c r="KE246" s="36"/>
      <c r="KF246" s="36"/>
      <c r="KG246" s="36"/>
      <c r="KH246" s="36"/>
      <c r="KI246" s="36"/>
      <c r="KJ246" s="36"/>
      <c r="KK246" s="36"/>
    </row>
    <row r="247" spans="1:297" s="33" customFormat="1">
      <c r="A247" s="86" t="s">
        <v>224</v>
      </c>
      <c r="B247" s="88" t="s">
        <v>54</v>
      </c>
      <c r="C247" s="74">
        <v>11175200</v>
      </c>
      <c r="D247" s="549">
        <v>0</v>
      </c>
      <c r="E247" s="675">
        <v>-6453</v>
      </c>
      <c r="F247" s="549">
        <v>0</v>
      </c>
      <c r="G247" s="675">
        <v>0</v>
      </c>
      <c r="H247" s="549">
        <v>0</v>
      </c>
      <c r="I247" s="675">
        <v>0</v>
      </c>
      <c r="J247" s="549">
        <v>0</v>
      </c>
      <c r="K247" s="675">
        <v>0</v>
      </c>
      <c r="L247" s="549">
        <v>0</v>
      </c>
      <c r="M247" s="675">
        <v>-30000</v>
      </c>
      <c r="N247" s="549">
        <v>0</v>
      </c>
      <c r="O247" s="675">
        <v>0</v>
      </c>
      <c r="P247" s="549">
        <v>0</v>
      </c>
      <c r="Q247" s="675">
        <v>0</v>
      </c>
      <c r="R247" s="549">
        <v>0</v>
      </c>
      <c r="S247" s="675">
        <v>-1212</v>
      </c>
      <c r="T247" s="549">
        <v>0</v>
      </c>
      <c r="U247" s="675">
        <v>0</v>
      </c>
      <c r="V247" s="549">
        <v>0</v>
      </c>
      <c r="W247" s="675">
        <v>0</v>
      </c>
      <c r="X247" s="549">
        <v>0</v>
      </c>
      <c r="Y247" s="675">
        <v>0</v>
      </c>
      <c r="Z247" s="549">
        <v>0</v>
      </c>
      <c r="AA247" s="675">
        <v>0</v>
      </c>
      <c r="AB247" s="549">
        <v>0</v>
      </c>
      <c r="AC247" s="675">
        <v>0</v>
      </c>
      <c r="AD247" s="549">
        <v>0</v>
      </c>
      <c r="AE247" s="675">
        <v>0</v>
      </c>
      <c r="AF247" s="549">
        <v>0</v>
      </c>
      <c r="AG247" s="675">
        <v>0</v>
      </c>
      <c r="AH247" s="549">
        <v>0</v>
      </c>
      <c r="AI247" s="675">
        <v>0</v>
      </c>
      <c r="AJ247" s="549">
        <v>0</v>
      </c>
      <c r="AK247" s="675">
        <v>-82844</v>
      </c>
      <c r="AL247" s="549">
        <v>0</v>
      </c>
      <c r="AM247" s="675">
        <v>0</v>
      </c>
      <c r="AN247" s="549">
        <v>0</v>
      </c>
      <c r="AO247" s="675">
        <v>0</v>
      </c>
      <c r="AP247" s="549">
        <v>0</v>
      </c>
      <c r="AQ247" s="675">
        <v>0</v>
      </c>
      <c r="AR247" s="549">
        <v>0</v>
      </c>
      <c r="AS247" s="675">
        <v>0</v>
      </c>
      <c r="AT247" s="549">
        <v>0</v>
      </c>
      <c r="AU247" s="675">
        <v>-177320</v>
      </c>
      <c r="AV247" s="549">
        <v>0</v>
      </c>
      <c r="AW247" s="675">
        <v>-12703</v>
      </c>
      <c r="AX247" s="549">
        <v>0</v>
      </c>
      <c r="AY247" s="675">
        <v>0</v>
      </c>
      <c r="AZ247" s="549">
        <v>0</v>
      </c>
      <c r="BA247" s="675">
        <v>0</v>
      </c>
      <c r="BB247" s="549">
        <v>0</v>
      </c>
      <c r="BC247" s="675">
        <v>0</v>
      </c>
      <c r="BD247" s="549">
        <v>0</v>
      </c>
      <c r="BE247" s="675">
        <v>0</v>
      </c>
      <c r="BF247" s="549">
        <v>0</v>
      </c>
      <c r="BG247" s="675">
        <v>0</v>
      </c>
      <c r="BH247" s="549">
        <v>0</v>
      </c>
      <c r="BI247" s="675">
        <v>0</v>
      </c>
      <c r="BJ247" s="549">
        <v>0</v>
      </c>
      <c r="BK247" s="675">
        <v>-3000</v>
      </c>
      <c r="BL247" s="549">
        <v>0</v>
      </c>
      <c r="BM247" s="675">
        <v>0</v>
      </c>
      <c r="BN247" s="549">
        <v>0</v>
      </c>
      <c r="BO247" s="675">
        <v>0</v>
      </c>
      <c r="BP247" s="549">
        <v>0</v>
      </c>
      <c r="BQ247" s="675">
        <v>0</v>
      </c>
      <c r="BR247" s="549">
        <v>0</v>
      </c>
      <c r="BS247" s="675">
        <v>0</v>
      </c>
      <c r="BT247" s="549">
        <v>0</v>
      </c>
      <c r="BU247" s="675">
        <v>0</v>
      </c>
      <c r="BV247" s="549">
        <v>0</v>
      </c>
      <c r="BW247" s="675">
        <v>0</v>
      </c>
      <c r="BX247" s="549">
        <v>0</v>
      </c>
      <c r="BY247" s="675">
        <v>0</v>
      </c>
      <c r="BZ247" s="549">
        <v>0</v>
      </c>
      <c r="CA247" s="675">
        <v>0</v>
      </c>
      <c r="CB247" s="549">
        <v>0</v>
      </c>
      <c r="CC247" s="675">
        <v>0</v>
      </c>
      <c r="CD247" s="549">
        <v>0</v>
      </c>
      <c r="CE247" s="675">
        <v>0</v>
      </c>
      <c r="CF247" s="549">
        <v>0</v>
      </c>
      <c r="CG247" s="675">
        <v>0</v>
      </c>
      <c r="CH247" s="549">
        <v>0</v>
      </c>
      <c r="CI247" s="675">
        <v>0</v>
      </c>
      <c r="CJ247" s="549">
        <v>0</v>
      </c>
      <c r="CK247" s="675">
        <v>0</v>
      </c>
      <c r="CL247" s="549">
        <v>0</v>
      </c>
      <c r="CM247" s="675">
        <v>0</v>
      </c>
      <c r="CN247" s="549">
        <v>0</v>
      </c>
      <c r="CO247" s="675">
        <v>0</v>
      </c>
      <c r="CP247" s="549">
        <v>0</v>
      </c>
      <c r="CQ247" s="675">
        <v>0</v>
      </c>
      <c r="CR247" s="549">
        <v>0</v>
      </c>
      <c r="CS247" s="675">
        <v>0</v>
      </c>
      <c r="CT247" s="549">
        <v>0</v>
      </c>
      <c r="CU247" s="675">
        <v>0</v>
      </c>
      <c r="CV247" s="549">
        <v>0</v>
      </c>
      <c r="CW247" s="675">
        <v>-4500</v>
      </c>
      <c r="CX247" s="549">
        <v>0</v>
      </c>
      <c r="CY247" s="675">
        <v>0</v>
      </c>
      <c r="CZ247" s="549">
        <v>0</v>
      </c>
      <c r="DA247" s="675">
        <v>0</v>
      </c>
      <c r="DB247" s="549">
        <v>0</v>
      </c>
      <c r="DC247" s="675">
        <v>0</v>
      </c>
      <c r="DD247" s="549">
        <v>0</v>
      </c>
      <c r="DE247" s="675">
        <v>0</v>
      </c>
      <c r="DF247" s="549">
        <v>0</v>
      </c>
      <c r="DG247" s="675">
        <v>0</v>
      </c>
      <c r="DH247" s="549">
        <v>0</v>
      </c>
      <c r="DI247" s="675">
        <v>0</v>
      </c>
      <c r="DJ247" s="549">
        <v>0</v>
      </c>
      <c r="DK247" s="675">
        <v>0</v>
      </c>
      <c r="DL247" s="549">
        <v>0</v>
      </c>
      <c r="DM247" s="675">
        <v>0</v>
      </c>
      <c r="DN247" s="549">
        <v>0</v>
      </c>
      <c r="DO247" s="675">
        <v>0</v>
      </c>
      <c r="DP247" s="549">
        <v>0</v>
      </c>
      <c r="DQ247" s="675">
        <v>0</v>
      </c>
      <c r="DR247" s="549">
        <v>0</v>
      </c>
      <c r="DS247" s="675">
        <v>0</v>
      </c>
      <c r="DT247" s="549">
        <v>0</v>
      </c>
      <c r="DU247" s="675">
        <v>-9485</v>
      </c>
      <c r="DV247" s="549">
        <v>0</v>
      </c>
      <c r="DW247" s="675">
        <v>0</v>
      </c>
      <c r="DX247" s="549">
        <v>0</v>
      </c>
      <c r="DY247" s="675">
        <v>0</v>
      </c>
      <c r="DZ247" s="549">
        <v>0</v>
      </c>
      <c r="EA247" s="675">
        <v>0</v>
      </c>
      <c r="EB247" s="549">
        <v>0</v>
      </c>
      <c r="EC247" s="675">
        <v>0</v>
      </c>
      <c r="ED247" s="549">
        <v>0</v>
      </c>
      <c r="EE247" s="675">
        <v>0</v>
      </c>
      <c r="EF247" s="549">
        <v>0</v>
      </c>
      <c r="EG247" s="675">
        <v>-65995</v>
      </c>
      <c r="EH247" s="549">
        <v>0</v>
      </c>
      <c r="EI247" s="675">
        <v>0</v>
      </c>
      <c r="EJ247" s="549">
        <v>0</v>
      </c>
      <c r="EK247" s="675">
        <v>0</v>
      </c>
      <c r="EL247" s="549">
        <v>0</v>
      </c>
      <c r="EM247" s="675">
        <v>0</v>
      </c>
      <c r="EN247" s="549">
        <v>0</v>
      </c>
      <c r="EO247" s="675">
        <v>0</v>
      </c>
      <c r="EP247" s="549">
        <v>0</v>
      </c>
      <c r="EQ247" s="675">
        <v>-137374</v>
      </c>
      <c r="ER247" s="549">
        <v>0</v>
      </c>
      <c r="ES247" s="675">
        <v>0</v>
      </c>
      <c r="ET247" s="549">
        <v>0</v>
      </c>
      <c r="EU247" s="675">
        <v>0</v>
      </c>
      <c r="EV247" s="549">
        <v>0</v>
      </c>
      <c r="EW247" s="675">
        <v>0</v>
      </c>
      <c r="EX247" s="549">
        <v>0</v>
      </c>
      <c r="EY247" s="675">
        <v>0</v>
      </c>
      <c r="EZ247" s="549">
        <v>0</v>
      </c>
      <c r="FA247" s="675">
        <v>0</v>
      </c>
      <c r="FB247" s="549">
        <v>0</v>
      </c>
      <c r="FC247" s="675">
        <v>0</v>
      </c>
      <c r="FD247" s="549">
        <v>0</v>
      </c>
      <c r="FE247" s="675">
        <v>0</v>
      </c>
      <c r="FF247" s="549">
        <v>0</v>
      </c>
      <c r="FG247" s="675">
        <v>0</v>
      </c>
      <c r="FH247" s="549">
        <v>0</v>
      </c>
      <c r="FI247" s="675">
        <v>0</v>
      </c>
      <c r="FJ247" s="549">
        <v>0</v>
      </c>
      <c r="FK247" s="675">
        <v>0</v>
      </c>
      <c r="FL247" s="549">
        <v>0</v>
      </c>
      <c r="FM247" s="675">
        <v>0</v>
      </c>
      <c r="FN247" s="549">
        <v>0</v>
      </c>
      <c r="FO247" s="675">
        <v>0</v>
      </c>
      <c r="FP247" s="549">
        <v>0</v>
      </c>
      <c r="FQ247" s="675">
        <v>0</v>
      </c>
      <c r="FR247" s="549">
        <v>0</v>
      </c>
      <c r="FS247" s="675">
        <v>0</v>
      </c>
      <c r="FT247" s="549">
        <v>0</v>
      </c>
      <c r="FU247" s="675">
        <v>0</v>
      </c>
      <c r="FV247" s="549">
        <v>0</v>
      </c>
      <c r="FW247" s="675">
        <v>-6976</v>
      </c>
      <c r="FX247" s="549">
        <v>0</v>
      </c>
      <c r="FY247" s="675">
        <v>0</v>
      </c>
      <c r="FZ247" s="549">
        <v>0</v>
      </c>
      <c r="GA247" s="675">
        <v>0</v>
      </c>
      <c r="GB247" s="549">
        <v>0</v>
      </c>
      <c r="GC247" s="675">
        <v>0</v>
      </c>
      <c r="GD247" s="549">
        <v>0</v>
      </c>
      <c r="GE247" s="675">
        <v>0</v>
      </c>
      <c r="GF247" s="549">
        <v>0</v>
      </c>
      <c r="GG247" s="675">
        <v>0</v>
      </c>
      <c r="GH247" s="549">
        <v>0</v>
      </c>
      <c r="GI247" s="675">
        <v>0</v>
      </c>
      <c r="GJ247" s="549">
        <v>0</v>
      </c>
      <c r="GK247" s="675">
        <v>0</v>
      </c>
      <c r="GL247" s="549">
        <v>0</v>
      </c>
      <c r="GM247" s="675">
        <v>0</v>
      </c>
      <c r="GN247" s="549">
        <v>0</v>
      </c>
      <c r="GO247" s="675">
        <v>0</v>
      </c>
      <c r="GP247" s="549">
        <f>+D247+F247+H247+J247+L247+N247+P247+R247+T247+V247+X247+Z247+AB247+AF247+AD247+AH247+AJ247+AL247+AN247+AP247+AR247+AT247+AV247+AX247+AZ247+BB247+BD247+BF247+BH247+BJ247+BL247+BN247+BP247+BR247+BT247+BV247+BX247+BZ247+CB247+CD247+CF247+CH247+CJ247+CL247+CN247+CP247+CR247+CT247+CV247+CX247+CZ247+DB247+DD247+DF247+DH247+DT247+EX247+DJ247+DL247+DN247+DP247+DR247+EJ247+EB247+DZ247+DX247+DV247+ED247+EF247+EH247+EL247+EN247+EP247+EV247+ET247+ER247+EZ247+FB247+FD247+GL247+FF247+FJ247+FL247+GJ247+FT247+FR247+FP247+FN247+FH247+GH247+GF247+GD247+GB247+FZ247+FX247+FV247+GN247</f>
        <v>0</v>
      </c>
      <c r="GQ247" s="675">
        <f>+E247+G247+I247+K247+M247+O247+Q247+S247+U247+W247+Y247+AA247+AC247+AE247+AG247+AI247+AK247+AM247+AO247+AQ247+AS247+AU247+AW247+AY247+BA247+BC247+BE247+BG247+BI247+BK247+BM247+BO247+BQ247+BS247+BU247+BW247+BY247+CA247+CC247+CE247+CG247+CI247+CK247+CM247+CO247+CQ247+CS247+CU247+CW247+CY247+DA247+DC247+DE247+DG247+DI247+DU247+EY247+DK247+DM247+DO247+DQ247+DS247+EK247+EC247+EA247+DY247+DW247+EI247+EG247+EE247+EM247+EO247+EQ247+EW247+EU247+ES247+FA247+FC247+FE247+GM247+FG247+FK247+FM247+FO247+FQ247+FS247+FU247+GK247+FI247+GI247+GG247+GE247+GC247+GA247+FY247+FW247+GO247</f>
        <v>-537862</v>
      </c>
      <c r="GR247" s="74">
        <f>C247+GP247+GQ247</f>
        <v>10637338</v>
      </c>
      <c r="GS247" s="74">
        <f>SUM(GU247:HD247)+GP247+GQ247</f>
        <v>9621411</v>
      </c>
      <c r="GT247" s="568">
        <f>SUM(GU247:HF247)+GQ247+GP247</f>
        <v>10637338</v>
      </c>
      <c r="GU247" s="275">
        <v>1015930</v>
      </c>
      <c r="GV247" s="275">
        <v>1015927</v>
      </c>
      <c r="GW247" s="275">
        <v>1015927</v>
      </c>
      <c r="GX247" s="275">
        <v>1015927</v>
      </c>
      <c r="GY247" s="275">
        <v>1015927</v>
      </c>
      <c r="GZ247" s="275">
        <v>1015927</v>
      </c>
      <c r="HA247" s="275">
        <v>1015927</v>
      </c>
      <c r="HB247" s="275">
        <v>1015927</v>
      </c>
      <c r="HC247" s="275">
        <v>1015927</v>
      </c>
      <c r="HD247" s="275">
        <v>1015927</v>
      </c>
      <c r="HE247" s="275">
        <v>1015927</v>
      </c>
      <c r="HF247" s="275">
        <v>0</v>
      </c>
      <c r="HG247" s="74">
        <f>SUM(HH247:IE247)+GP247+GQ247</f>
        <v>9621411</v>
      </c>
      <c r="HH247" s="89">
        <v>0</v>
      </c>
      <c r="HI247" s="817">
        <v>0</v>
      </c>
      <c r="HJ247" s="89">
        <v>0</v>
      </c>
      <c r="HK247" s="817">
        <f>1667208.49+364648.51</f>
        <v>2031857</v>
      </c>
      <c r="HL247" s="89">
        <v>0</v>
      </c>
      <c r="HM247" s="817">
        <f>176847.65+839079.35</f>
        <v>1015927</v>
      </c>
      <c r="HN247" s="89">
        <v>0</v>
      </c>
      <c r="HO247" s="817">
        <f>528668.28+487258.72</f>
        <v>1015927</v>
      </c>
      <c r="HP247" s="89">
        <v>0</v>
      </c>
      <c r="HQ247" s="817">
        <f>549614.48+466312.52</f>
        <v>1015927</v>
      </c>
      <c r="HR247" s="89">
        <v>0</v>
      </c>
      <c r="HS247" s="817">
        <f>413322.59+602604.41</f>
        <v>1015927</v>
      </c>
      <c r="HT247" s="89">
        <v>0</v>
      </c>
      <c r="HU247" s="817">
        <f>284473.39+731453.61</f>
        <v>1015927</v>
      </c>
      <c r="HV247" s="89">
        <v>0</v>
      </c>
      <c r="HW247" s="817">
        <f>890140.51+125786.49</f>
        <v>1015927</v>
      </c>
      <c r="HX247" s="89">
        <v>0</v>
      </c>
      <c r="HY247" s="817">
        <f>111863.56+904063.44</f>
        <v>1015927</v>
      </c>
      <c r="HZ247" s="89">
        <v>0</v>
      </c>
      <c r="IA247" s="817">
        <f>881996+133931</f>
        <v>1015927</v>
      </c>
      <c r="IB247" s="89">
        <v>0</v>
      </c>
      <c r="IC247" s="817">
        <v>0</v>
      </c>
      <c r="ID247" s="89">
        <v>0</v>
      </c>
      <c r="IE247" s="817">
        <v>0</v>
      </c>
      <c r="IF247" s="841">
        <f t="shared" ref="IF247:IH247" si="8522">SUM(II247,IL247,IO247,IR247,IU247,IX247,JA247,JD247,JG247,JJ247,JM247,JP247)</f>
        <v>8739415</v>
      </c>
      <c r="IG247" s="263">
        <f t="shared" si="8522"/>
        <v>8739415</v>
      </c>
      <c r="IH247" s="842">
        <f t="shared" si="8522"/>
        <v>8739415</v>
      </c>
      <c r="II247" s="89">
        <v>796604.02</v>
      </c>
      <c r="IJ247" s="89">
        <f>II247</f>
        <v>796604.02</v>
      </c>
      <c r="IK247" s="89">
        <f>IJ247</f>
        <v>796604.02</v>
      </c>
      <c r="IL247" s="89">
        <f>1629543.49-796604.02</f>
        <v>832939.47</v>
      </c>
      <c r="IM247" s="89">
        <f>IL247</f>
        <v>832939.47</v>
      </c>
      <c r="IN247" s="89">
        <f>IM247</f>
        <v>832939.47</v>
      </c>
      <c r="IO247" s="89">
        <f>2088195.65-1629543.49</f>
        <v>458652.15999999992</v>
      </c>
      <c r="IP247" s="89">
        <f>IO247</f>
        <v>458652.15999999992</v>
      </c>
      <c r="IQ247" s="89">
        <f>IP247</f>
        <v>458652.15999999992</v>
      </c>
      <c r="IR247" s="89">
        <f>3414533.72-2088195.65</f>
        <v>1326338.0700000003</v>
      </c>
      <c r="IS247" s="89">
        <f>IR247</f>
        <v>1326338.0700000003</v>
      </c>
      <c r="IT247" s="89">
        <f>IS247</f>
        <v>1326338.0700000003</v>
      </c>
      <c r="IU247" s="89">
        <f>4299793.48-3414533.72</f>
        <v>885259.76000000024</v>
      </c>
      <c r="IV247" s="89">
        <f>IU247</f>
        <v>885259.76000000024</v>
      </c>
      <c r="IW247" s="89">
        <f>IV247</f>
        <v>885259.76000000024</v>
      </c>
      <c r="IX247" s="89">
        <f>5179428.59-4299793.48</f>
        <v>879635.1099999994</v>
      </c>
      <c r="IY247" s="89">
        <f>IX247</f>
        <v>879635.1099999994</v>
      </c>
      <c r="IZ247" s="89">
        <f>IY247</f>
        <v>879635.1099999994</v>
      </c>
      <c r="JA247" s="89">
        <f>6066506.39-5179428.59</f>
        <v>887077.79999999981</v>
      </c>
      <c r="JB247" s="89">
        <f>JA247</f>
        <v>887077.79999999981</v>
      </c>
      <c r="JC247" s="89">
        <f>JB247</f>
        <v>887077.79999999981</v>
      </c>
      <c r="JD247" s="89">
        <f>6919246.49-6066506.39</f>
        <v>852740.10000000056</v>
      </c>
      <c r="JE247" s="89">
        <f>JD247</f>
        <v>852740.10000000056</v>
      </c>
      <c r="JF247" s="89">
        <f>JE247</f>
        <v>852740.10000000056</v>
      </c>
      <c r="JG247" s="89">
        <f>7845770.56-6919246.49</f>
        <v>926524.06999999937</v>
      </c>
      <c r="JH247" s="89">
        <f>JG247</f>
        <v>926524.06999999937</v>
      </c>
      <c r="JI247" s="89">
        <f>JH247</f>
        <v>926524.06999999937</v>
      </c>
      <c r="JJ247" s="89">
        <f>8739415-7845770.56</f>
        <v>893644.44000000041</v>
      </c>
      <c r="JK247" s="89">
        <f>JJ247</f>
        <v>893644.44000000041</v>
      </c>
      <c r="JL247" s="89">
        <f>JK247</f>
        <v>893644.44000000041</v>
      </c>
      <c r="JM247" s="89">
        <v>0</v>
      </c>
      <c r="JN247" s="89">
        <f>JM247</f>
        <v>0</v>
      </c>
      <c r="JO247" s="89">
        <f>JN247</f>
        <v>0</v>
      </c>
      <c r="JP247" s="89">
        <v>0</v>
      </c>
      <c r="JQ247" s="89">
        <f>JP247</f>
        <v>0</v>
      </c>
      <c r="JR247" s="89">
        <f>JQ247</f>
        <v>0</v>
      </c>
      <c r="JS247" s="74">
        <f>HG247-IF247</f>
        <v>881996</v>
      </c>
      <c r="JT247" s="382">
        <f>GS247-IF247</f>
        <v>881996</v>
      </c>
      <c r="JU247" s="670"/>
      <c r="JV247" s="489"/>
      <c r="JW247" s="490"/>
      <c r="JX247" s="548">
        <f>SUM(HH247,HJ247,HL247,HN247,HP247,HR247,HT247,HV247,HX247,HZ247,IB247,ID247)</f>
        <v>0</v>
      </c>
      <c r="JY247" s="548">
        <f>SUM(HI247,HK247,HM247,HO247,HQ247,HS247,HU247,HW247,HY247,IA247,IC247,IE247)</f>
        <v>10159273</v>
      </c>
      <c r="JZ247" s="581">
        <f t="shared" si="7470"/>
        <v>0</v>
      </c>
      <c r="KA247" s="581">
        <f t="shared" si="7471"/>
        <v>-537862</v>
      </c>
      <c r="KB247" s="548">
        <f t="shared" ref="KB247:KB252" si="8523">JX247+JY247+JZ247+KA247</f>
        <v>9621411</v>
      </c>
      <c r="KC247" s="709">
        <f t="shared" si="7396"/>
        <v>0</v>
      </c>
      <c r="KD247" s="36"/>
      <c r="KE247" s="36"/>
      <c r="KF247" s="36"/>
      <c r="KG247" s="36"/>
      <c r="KH247" s="36"/>
      <c r="KI247" s="36"/>
      <c r="KJ247" s="36"/>
      <c r="KK247" s="36"/>
    </row>
    <row r="248" spans="1:297" s="33" customFormat="1" ht="12.75" customHeight="1">
      <c r="A248" s="86" t="s">
        <v>1097</v>
      </c>
      <c r="B248" s="88"/>
      <c r="C248" s="74">
        <v>0</v>
      </c>
      <c r="D248" s="549">
        <v>0</v>
      </c>
      <c r="E248" s="675">
        <v>0</v>
      </c>
      <c r="F248" s="549">
        <v>0</v>
      </c>
      <c r="G248" s="675">
        <v>0</v>
      </c>
      <c r="H248" s="549">
        <v>0</v>
      </c>
      <c r="I248" s="675">
        <v>0</v>
      </c>
      <c r="J248" s="549">
        <v>0</v>
      </c>
      <c r="K248" s="675">
        <v>0</v>
      </c>
      <c r="L248" s="549">
        <v>0</v>
      </c>
      <c r="M248" s="675">
        <v>0</v>
      </c>
      <c r="N248" s="549">
        <v>0</v>
      </c>
      <c r="O248" s="675">
        <v>0</v>
      </c>
      <c r="P248" s="549">
        <v>0</v>
      </c>
      <c r="Q248" s="675">
        <v>0</v>
      </c>
      <c r="R248" s="549">
        <v>0</v>
      </c>
      <c r="S248" s="675">
        <v>0</v>
      </c>
      <c r="T248" s="549">
        <v>0</v>
      </c>
      <c r="U248" s="675">
        <v>0</v>
      </c>
      <c r="V248" s="549">
        <v>0</v>
      </c>
      <c r="W248" s="675">
        <v>0</v>
      </c>
      <c r="X248" s="549">
        <v>0</v>
      </c>
      <c r="Y248" s="675">
        <v>0</v>
      </c>
      <c r="Z248" s="549">
        <v>0</v>
      </c>
      <c r="AA248" s="675">
        <v>0</v>
      </c>
      <c r="AB248" s="549">
        <v>0</v>
      </c>
      <c r="AC248" s="675">
        <v>0</v>
      </c>
      <c r="AD248" s="549">
        <v>0</v>
      </c>
      <c r="AE248" s="675">
        <v>0</v>
      </c>
      <c r="AF248" s="549">
        <v>0</v>
      </c>
      <c r="AG248" s="675">
        <v>0</v>
      </c>
      <c r="AH248" s="549">
        <v>0</v>
      </c>
      <c r="AI248" s="675">
        <v>0</v>
      </c>
      <c r="AJ248" s="549">
        <v>0</v>
      </c>
      <c r="AK248" s="675">
        <v>0</v>
      </c>
      <c r="AL248" s="549">
        <v>0</v>
      </c>
      <c r="AM248" s="675">
        <v>0</v>
      </c>
      <c r="AN248" s="549">
        <v>0</v>
      </c>
      <c r="AO248" s="675">
        <v>0</v>
      </c>
      <c r="AP248" s="549">
        <v>0</v>
      </c>
      <c r="AQ248" s="675">
        <v>0</v>
      </c>
      <c r="AR248" s="549">
        <v>0</v>
      </c>
      <c r="AS248" s="675">
        <v>0</v>
      </c>
      <c r="AT248" s="549">
        <v>0</v>
      </c>
      <c r="AU248" s="675">
        <v>0</v>
      </c>
      <c r="AV248" s="549">
        <v>0</v>
      </c>
      <c r="AW248" s="675">
        <v>0</v>
      </c>
      <c r="AX248" s="549">
        <v>0</v>
      </c>
      <c r="AY248" s="675">
        <v>0</v>
      </c>
      <c r="AZ248" s="549">
        <v>0</v>
      </c>
      <c r="BA248" s="675">
        <v>0</v>
      </c>
      <c r="BB248" s="549">
        <v>0</v>
      </c>
      <c r="BC248" s="675">
        <v>0</v>
      </c>
      <c r="BD248" s="549">
        <v>0</v>
      </c>
      <c r="BE248" s="675">
        <v>0</v>
      </c>
      <c r="BF248" s="549">
        <v>0</v>
      </c>
      <c r="BG248" s="675">
        <v>0</v>
      </c>
      <c r="BH248" s="549">
        <v>0</v>
      </c>
      <c r="BI248" s="675">
        <v>0</v>
      </c>
      <c r="BJ248" s="549">
        <v>0</v>
      </c>
      <c r="BK248" s="675">
        <v>0</v>
      </c>
      <c r="BL248" s="549">
        <v>0</v>
      </c>
      <c r="BM248" s="675">
        <v>0</v>
      </c>
      <c r="BN248" s="549">
        <v>0</v>
      </c>
      <c r="BO248" s="675">
        <v>0</v>
      </c>
      <c r="BP248" s="549">
        <v>0</v>
      </c>
      <c r="BQ248" s="675">
        <v>0</v>
      </c>
      <c r="BR248" s="549">
        <v>0</v>
      </c>
      <c r="BS248" s="675">
        <v>0</v>
      </c>
      <c r="BT248" s="549">
        <v>0</v>
      </c>
      <c r="BU248" s="675">
        <v>0</v>
      </c>
      <c r="BV248" s="549">
        <v>0</v>
      </c>
      <c r="BW248" s="675">
        <v>0</v>
      </c>
      <c r="BX248" s="549">
        <v>0</v>
      </c>
      <c r="BY248" s="675">
        <v>0</v>
      </c>
      <c r="BZ248" s="549">
        <v>0</v>
      </c>
      <c r="CA248" s="675">
        <v>0</v>
      </c>
      <c r="CB248" s="549">
        <v>0</v>
      </c>
      <c r="CC248" s="675">
        <v>0</v>
      </c>
      <c r="CD248" s="549">
        <v>0</v>
      </c>
      <c r="CE248" s="675">
        <v>0</v>
      </c>
      <c r="CF248" s="549">
        <v>0</v>
      </c>
      <c r="CG248" s="675">
        <v>0</v>
      </c>
      <c r="CH248" s="549">
        <v>0</v>
      </c>
      <c r="CI248" s="675">
        <v>0</v>
      </c>
      <c r="CJ248" s="549">
        <v>0</v>
      </c>
      <c r="CK248" s="675">
        <v>0</v>
      </c>
      <c r="CL248" s="549">
        <v>0</v>
      </c>
      <c r="CM248" s="675">
        <v>0</v>
      </c>
      <c r="CN248" s="549">
        <v>0</v>
      </c>
      <c r="CO248" s="675">
        <v>0</v>
      </c>
      <c r="CP248" s="549">
        <v>0</v>
      </c>
      <c r="CQ248" s="675">
        <v>0</v>
      </c>
      <c r="CR248" s="549">
        <v>0</v>
      </c>
      <c r="CS248" s="675">
        <v>0</v>
      </c>
      <c r="CT248" s="549">
        <v>0</v>
      </c>
      <c r="CU248" s="675">
        <v>0</v>
      </c>
      <c r="CV248" s="549">
        <v>0</v>
      </c>
      <c r="CW248" s="675">
        <v>0</v>
      </c>
      <c r="CX248" s="549">
        <v>0</v>
      </c>
      <c r="CY248" s="675">
        <v>0</v>
      </c>
      <c r="CZ248" s="549">
        <v>0</v>
      </c>
      <c r="DA248" s="675">
        <v>0</v>
      </c>
      <c r="DB248" s="549">
        <v>0</v>
      </c>
      <c r="DC248" s="675">
        <v>0</v>
      </c>
      <c r="DD248" s="549">
        <v>0</v>
      </c>
      <c r="DE248" s="675">
        <v>0</v>
      </c>
      <c r="DF248" s="549">
        <v>0</v>
      </c>
      <c r="DG248" s="675">
        <v>0</v>
      </c>
      <c r="DH248" s="549">
        <v>0</v>
      </c>
      <c r="DI248" s="675">
        <v>0</v>
      </c>
      <c r="DJ248" s="549">
        <v>0</v>
      </c>
      <c r="DK248" s="675">
        <v>0</v>
      </c>
      <c r="DL248" s="549">
        <v>0</v>
      </c>
      <c r="DM248" s="675">
        <v>0</v>
      </c>
      <c r="DN248" s="549">
        <v>0</v>
      </c>
      <c r="DO248" s="675">
        <v>0</v>
      </c>
      <c r="DP248" s="549">
        <v>0</v>
      </c>
      <c r="DQ248" s="675">
        <v>0</v>
      </c>
      <c r="DR248" s="549">
        <v>0</v>
      </c>
      <c r="DS248" s="675">
        <v>0</v>
      </c>
      <c r="DT248" s="549">
        <v>9485</v>
      </c>
      <c r="DU248" s="675">
        <v>0</v>
      </c>
      <c r="DV248" s="549">
        <v>0</v>
      </c>
      <c r="DW248" s="675">
        <v>0</v>
      </c>
      <c r="DX248" s="549">
        <v>0</v>
      </c>
      <c r="DY248" s="675">
        <v>0</v>
      </c>
      <c r="DZ248" s="549">
        <v>0</v>
      </c>
      <c r="EA248" s="675">
        <v>0</v>
      </c>
      <c r="EB248" s="549">
        <v>0</v>
      </c>
      <c r="EC248" s="675">
        <v>0</v>
      </c>
      <c r="ED248" s="549">
        <v>0</v>
      </c>
      <c r="EE248" s="675">
        <v>0</v>
      </c>
      <c r="EF248" s="549">
        <v>0</v>
      </c>
      <c r="EG248" s="675">
        <v>0</v>
      </c>
      <c r="EH248" s="549">
        <v>0</v>
      </c>
      <c r="EI248" s="675">
        <v>0</v>
      </c>
      <c r="EJ248" s="549">
        <v>0</v>
      </c>
      <c r="EK248" s="675">
        <v>0</v>
      </c>
      <c r="EL248" s="549">
        <v>0</v>
      </c>
      <c r="EM248" s="675">
        <v>0</v>
      </c>
      <c r="EN248" s="549">
        <v>0</v>
      </c>
      <c r="EO248" s="675">
        <v>0</v>
      </c>
      <c r="EP248" s="549">
        <v>0</v>
      </c>
      <c r="EQ248" s="675">
        <v>0</v>
      </c>
      <c r="ER248" s="549">
        <v>0</v>
      </c>
      <c r="ES248" s="675">
        <v>0</v>
      </c>
      <c r="ET248" s="549">
        <v>0</v>
      </c>
      <c r="EU248" s="675">
        <v>0</v>
      </c>
      <c r="EV248" s="549">
        <v>0</v>
      </c>
      <c r="EW248" s="675">
        <v>0</v>
      </c>
      <c r="EX248" s="549">
        <v>0</v>
      </c>
      <c r="EY248" s="675">
        <v>0</v>
      </c>
      <c r="EZ248" s="549">
        <v>0</v>
      </c>
      <c r="FA248" s="675">
        <v>0</v>
      </c>
      <c r="FB248" s="549">
        <v>0</v>
      </c>
      <c r="FC248" s="675">
        <v>0</v>
      </c>
      <c r="FD248" s="549">
        <v>0</v>
      </c>
      <c r="FE248" s="675">
        <v>0</v>
      </c>
      <c r="FF248" s="549">
        <v>0</v>
      </c>
      <c r="FG248" s="675">
        <v>0</v>
      </c>
      <c r="FH248" s="549">
        <v>0</v>
      </c>
      <c r="FI248" s="675">
        <v>0</v>
      </c>
      <c r="FJ248" s="549">
        <v>0</v>
      </c>
      <c r="FK248" s="675">
        <v>0</v>
      </c>
      <c r="FL248" s="549">
        <v>0</v>
      </c>
      <c r="FM248" s="675">
        <v>0</v>
      </c>
      <c r="FN248" s="549">
        <v>0</v>
      </c>
      <c r="FO248" s="675">
        <v>0</v>
      </c>
      <c r="FP248" s="549">
        <v>0</v>
      </c>
      <c r="FQ248" s="675">
        <v>0</v>
      </c>
      <c r="FR248" s="549">
        <v>0</v>
      </c>
      <c r="FS248" s="675">
        <v>0</v>
      </c>
      <c r="FT248" s="549">
        <v>0</v>
      </c>
      <c r="FU248" s="675">
        <v>0</v>
      </c>
      <c r="FV248" s="549">
        <v>0</v>
      </c>
      <c r="FW248" s="675">
        <v>0</v>
      </c>
      <c r="FX248" s="549">
        <v>0</v>
      </c>
      <c r="FY248" s="675">
        <v>0</v>
      </c>
      <c r="FZ248" s="549">
        <v>0</v>
      </c>
      <c r="GA248" s="675">
        <v>0</v>
      </c>
      <c r="GB248" s="549">
        <v>0</v>
      </c>
      <c r="GC248" s="675">
        <v>0</v>
      </c>
      <c r="GD248" s="549">
        <v>0</v>
      </c>
      <c r="GE248" s="675">
        <v>0</v>
      </c>
      <c r="GF248" s="549">
        <v>0</v>
      </c>
      <c r="GG248" s="675">
        <v>0</v>
      </c>
      <c r="GH248" s="549">
        <v>0</v>
      </c>
      <c r="GI248" s="675">
        <v>0</v>
      </c>
      <c r="GJ248" s="549">
        <v>0</v>
      </c>
      <c r="GK248" s="675">
        <v>0</v>
      </c>
      <c r="GL248" s="549">
        <v>0</v>
      </c>
      <c r="GM248" s="675">
        <v>0</v>
      </c>
      <c r="GN248" s="549">
        <v>0</v>
      </c>
      <c r="GO248" s="675">
        <v>0</v>
      </c>
      <c r="GP248" s="549">
        <f>+D248+F248+H248+J248+L248+N248+P248+R248+T248+V248+X248+Z248+AB248+AD248+AH248+AJ248+AL248+AN248+AP248+AR248+AT248+AV248+AX248+AZ248+BB248+BD248+BF248+BH248+BJ248+BL248+BN248+BP248+BR248+BT248+BV248+BX248+BZ248+CB248+CD248+CF248+CH248+CJ248+CL248+CN248+CP248+CR248+CT248+CV248+CX248+CZ248+DB248+DD248+DF248+DH248+DT248+EX248+DJ248+DL248+DN248+DP248+DR248+EJ248+EB248+DZ248+DX248+DV248+ED248+EF248+EH248+EL248+EN248+EP248+EV248+ET248+ER248+EZ248+FB248+FD248+GL248</f>
        <v>9485</v>
      </c>
      <c r="GQ248" s="675">
        <f>+E248+G248+I248+K248+M248+O248+Q248+S248+U248+W248+Y248+AA248+AC248+AE248+AI248+AK248+AM248+AO248+AQ248+AS248+AU248+AW248+AY248+BA248+BC248+BE248+BG248+BI248+BK248+BM248+BO248+BQ248+BS248+BU248+BW248+BY248+CA248+CC248+CE248+CG248+CI248+CK248+CM248+CO248+CQ248+CS248+CU248+CW248+CY248+DA248+DC248+DE248+DG248+DI248+DU248+EY248+DK248+DM248+DO248+DQ248+DS248+EK248+EC248+EA248+DY248+DW248+EI248+EG248+EE248+EM248+EO248+EQ248+EW248+EU248+ES248+FA248+FC248+FE248+GM248</f>
        <v>0</v>
      </c>
      <c r="GR248" s="74">
        <f>C248+GP248+GQ248</f>
        <v>9485</v>
      </c>
      <c r="GS248" s="74">
        <f>SUM(GU248:HD248)+GP248+GQ248</f>
        <v>9485</v>
      </c>
      <c r="GT248" s="568">
        <f>SUM(GU248:HF248)+GQ248+GP248</f>
        <v>9485</v>
      </c>
      <c r="GU248" s="275"/>
      <c r="GV248" s="275"/>
      <c r="GW248" s="588"/>
      <c r="GX248" s="588"/>
      <c r="GY248" s="275"/>
      <c r="GZ248" s="275"/>
      <c r="HA248" s="275"/>
      <c r="HB248" s="275"/>
      <c r="HC248" s="275"/>
      <c r="HD248" s="275"/>
      <c r="HE248" s="275"/>
      <c r="HF248" s="275"/>
      <c r="HG248" s="74">
        <f>SUM(HH248:IE248)+GP248+GQ248</f>
        <v>9485</v>
      </c>
      <c r="HH248" s="89">
        <v>0</v>
      </c>
      <c r="HI248" s="817">
        <v>0</v>
      </c>
      <c r="HJ248" s="89">
        <v>0</v>
      </c>
      <c r="HK248" s="817">
        <v>0</v>
      </c>
      <c r="HL248" s="89">
        <v>0</v>
      </c>
      <c r="HM248" s="817">
        <v>0</v>
      </c>
      <c r="HN248" s="89">
        <v>0</v>
      </c>
      <c r="HO248" s="817">
        <v>0</v>
      </c>
      <c r="HP248" s="89">
        <v>0</v>
      </c>
      <c r="HQ248" s="817">
        <v>0</v>
      </c>
      <c r="HR248" s="89">
        <v>0</v>
      </c>
      <c r="HS248" s="817">
        <v>0</v>
      </c>
      <c r="HT248" s="89">
        <v>0</v>
      </c>
      <c r="HU248" s="817">
        <v>0</v>
      </c>
      <c r="HV248" s="89">
        <v>0</v>
      </c>
      <c r="HW248" s="817">
        <v>0</v>
      </c>
      <c r="HX248" s="89">
        <v>0</v>
      </c>
      <c r="HY248" s="817">
        <v>0</v>
      </c>
      <c r="HZ248" s="89">
        <v>0</v>
      </c>
      <c r="IA248" s="817">
        <v>0</v>
      </c>
      <c r="IB248" s="89">
        <v>0</v>
      </c>
      <c r="IC248" s="817">
        <v>0</v>
      </c>
      <c r="ID248" s="89">
        <v>0</v>
      </c>
      <c r="IE248" s="817">
        <v>0</v>
      </c>
      <c r="IF248" s="841">
        <f t="shared" ref="IF248:IF249" si="8524">SUM(II248,IL248,IO248,IR248,IU248,IX248,JA248,JD248,JG248,JJ248,JM248,JP248)</f>
        <v>0</v>
      </c>
      <c r="IG248" s="263">
        <f t="shared" ref="IG248:IG249" si="8525">SUM(IJ248,IM248,IP248,IS248,IV248,IY248,JB248,JE248,JH248,JK248,JN248,JQ248)</f>
        <v>0</v>
      </c>
      <c r="IH248" s="842">
        <f t="shared" ref="IH248:IH249" si="8526">SUM(IK248,IN248,IQ248,IT248,IW248,IZ248,JC248,JF248,JI248,JL248,JO248,JR248)</f>
        <v>0</v>
      </c>
      <c r="II248" s="89">
        <v>0</v>
      </c>
      <c r="IJ248" s="89">
        <v>0</v>
      </c>
      <c r="IK248" s="89">
        <v>0</v>
      </c>
      <c r="IL248" s="89">
        <v>0</v>
      </c>
      <c r="IM248" s="89">
        <v>0</v>
      </c>
      <c r="IN248" s="89">
        <v>0</v>
      </c>
      <c r="IO248" s="89">
        <v>0</v>
      </c>
      <c r="IP248" s="89">
        <v>0</v>
      </c>
      <c r="IQ248" s="89">
        <v>0</v>
      </c>
      <c r="IR248" s="89">
        <v>0</v>
      </c>
      <c r="IS248" s="89">
        <v>0</v>
      </c>
      <c r="IT248" s="89">
        <v>0</v>
      </c>
      <c r="IU248" s="89">
        <v>0</v>
      </c>
      <c r="IV248" s="89">
        <v>0</v>
      </c>
      <c r="IW248" s="89">
        <v>0</v>
      </c>
      <c r="IX248" s="89">
        <v>0</v>
      </c>
      <c r="IY248" s="89">
        <v>0</v>
      </c>
      <c r="IZ248" s="89">
        <v>0</v>
      </c>
      <c r="JA248" s="89">
        <v>0</v>
      </c>
      <c r="JB248" s="89">
        <v>0</v>
      </c>
      <c r="JC248" s="89">
        <v>0</v>
      </c>
      <c r="JD248" s="89">
        <v>0</v>
      </c>
      <c r="JE248" s="89">
        <v>0</v>
      </c>
      <c r="JF248" s="89">
        <v>0</v>
      </c>
      <c r="JG248" s="89">
        <v>0</v>
      </c>
      <c r="JH248" s="89">
        <v>0</v>
      </c>
      <c r="JI248" s="89">
        <v>0</v>
      </c>
      <c r="JJ248" s="89">
        <v>0</v>
      </c>
      <c r="JK248" s="89">
        <v>0</v>
      </c>
      <c r="JL248" s="89">
        <v>0</v>
      </c>
      <c r="JM248" s="89">
        <v>0</v>
      </c>
      <c r="JN248" s="89">
        <v>0</v>
      </c>
      <c r="JO248" s="89">
        <v>0</v>
      </c>
      <c r="JP248" s="89">
        <v>0</v>
      </c>
      <c r="JQ248" s="89">
        <v>0</v>
      </c>
      <c r="JR248" s="89">
        <v>0</v>
      </c>
      <c r="JS248" s="74">
        <f>HG248-IF248</f>
        <v>9485</v>
      </c>
      <c r="JT248" s="382">
        <f>GS248-IF248</f>
        <v>9485</v>
      </c>
      <c r="JU248" s="670"/>
      <c r="JV248" s="489"/>
      <c r="JW248" s="490"/>
      <c r="JX248" s="548"/>
      <c r="JY248" s="548"/>
      <c r="JZ248" s="581">
        <f t="shared" si="7470"/>
        <v>9485</v>
      </c>
      <c r="KA248" s="581">
        <f t="shared" si="7471"/>
        <v>0</v>
      </c>
      <c r="KB248" s="548">
        <f t="shared" si="8523"/>
        <v>9485</v>
      </c>
      <c r="KC248" s="710">
        <f t="shared" si="7396"/>
        <v>0</v>
      </c>
      <c r="KD248" s="36"/>
      <c r="KE248" s="36"/>
      <c r="KF248" s="36"/>
      <c r="KG248" s="36"/>
      <c r="KH248" s="36"/>
      <c r="KI248" s="36"/>
      <c r="KJ248" s="36"/>
      <c r="KK248" s="36"/>
    </row>
    <row r="249" spans="1:297" s="33" customFormat="1" ht="12.75" hidden="1" customHeight="1">
      <c r="A249" s="86" t="s">
        <v>768</v>
      </c>
      <c r="B249" s="88"/>
      <c r="C249" s="74">
        <v>0</v>
      </c>
      <c r="D249" s="549">
        <v>0</v>
      </c>
      <c r="E249" s="675">
        <v>0</v>
      </c>
      <c r="F249" s="549">
        <v>0</v>
      </c>
      <c r="G249" s="675">
        <v>0</v>
      </c>
      <c r="H249" s="549">
        <v>0</v>
      </c>
      <c r="I249" s="675">
        <v>0</v>
      </c>
      <c r="J249" s="549">
        <v>0</v>
      </c>
      <c r="K249" s="675">
        <v>0</v>
      </c>
      <c r="L249" s="549">
        <v>0</v>
      </c>
      <c r="M249" s="675">
        <v>0</v>
      </c>
      <c r="N249" s="549">
        <v>0</v>
      </c>
      <c r="O249" s="675">
        <v>0</v>
      </c>
      <c r="P249" s="549">
        <v>0</v>
      </c>
      <c r="Q249" s="675">
        <v>0</v>
      </c>
      <c r="R249" s="549">
        <v>0</v>
      </c>
      <c r="S249" s="675">
        <v>0</v>
      </c>
      <c r="T249" s="549">
        <v>0</v>
      </c>
      <c r="U249" s="675">
        <v>0</v>
      </c>
      <c r="V249" s="549">
        <v>0</v>
      </c>
      <c r="W249" s="675">
        <v>0</v>
      </c>
      <c r="X249" s="549">
        <v>0</v>
      </c>
      <c r="Y249" s="675">
        <v>0</v>
      </c>
      <c r="Z249" s="549">
        <v>0</v>
      </c>
      <c r="AA249" s="675">
        <v>0</v>
      </c>
      <c r="AB249" s="549">
        <v>0</v>
      </c>
      <c r="AC249" s="675">
        <v>0</v>
      </c>
      <c r="AD249" s="549">
        <v>0</v>
      </c>
      <c r="AE249" s="675">
        <v>0</v>
      </c>
      <c r="AF249" s="549">
        <v>0</v>
      </c>
      <c r="AG249" s="675">
        <v>0</v>
      </c>
      <c r="AH249" s="549">
        <v>0</v>
      </c>
      <c r="AI249" s="675">
        <v>0</v>
      </c>
      <c r="AJ249" s="549">
        <v>0</v>
      </c>
      <c r="AK249" s="675">
        <v>0</v>
      </c>
      <c r="AL249" s="549">
        <v>0</v>
      </c>
      <c r="AM249" s="675">
        <v>0</v>
      </c>
      <c r="AN249" s="549">
        <v>0</v>
      </c>
      <c r="AO249" s="675">
        <v>0</v>
      </c>
      <c r="AP249" s="549">
        <v>0</v>
      </c>
      <c r="AQ249" s="675">
        <v>0</v>
      </c>
      <c r="AR249" s="549">
        <v>0</v>
      </c>
      <c r="AS249" s="675">
        <v>0</v>
      </c>
      <c r="AT249" s="549">
        <v>0</v>
      </c>
      <c r="AU249" s="675">
        <v>0</v>
      </c>
      <c r="AV249" s="549">
        <v>0</v>
      </c>
      <c r="AW249" s="675">
        <v>0</v>
      </c>
      <c r="AX249" s="549">
        <v>0</v>
      </c>
      <c r="AY249" s="675">
        <v>0</v>
      </c>
      <c r="AZ249" s="549">
        <v>0</v>
      </c>
      <c r="BA249" s="675">
        <v>0</v>
      </c>
      <c r="BB249" s="549">
        <v>0</v>
      </c>
      <c r="BC249" s="675">
        <v>0</v>
      </c>
      <c r="BD249" s="549">
        <v>0</v>
      </c>
      <c r="BE249" s="675">
        <v>0</v>
      </c>
      <c r="BF249" s="549">
        <v>0</v>
      </c>
      <c r="BG249" s="675">
        <v>0</v>
      </c>
      <c r="BH249" s="549">
        <v>0</v>
      </c>
      <c r="BI249" s="675">
        <v>0</v>
      </c>
      <c r="BJ249" s="549">
        <v>0</v>
      </c>
      <c r="BK249" s="675">
        <v>0</v>
      </c>
      <c r="BL249" s="549">
        <v>0</v>
      </c>
      <c r="BM249" s="675">
        <v>0</v>
      </c>
      <c r="BN249" s="549">
        <v>0</v>
      </c>
      <c r="BO249" s="675">
        <v>0</v>
      </c>
      <c r="BP249" s="549">
        <v>0</v>
      </c>
      <c r="BQ249" s="675">
        <v>0</v>
      </c>
      <c r="BR249" s="549">
        <v>0</v>
      </c>
      <c r="BS249" s="675">
        <v>0</v>
      </c>
      <c r="BT249" s="549">
        <v>0</v>
      </c>
      <c r="BU249" s="675">
        <v>0</v>
      </c>
      <c r="BV249" s="549">
        <v>0</v>
      </c>
      <c r="BW249" s="675">
        <v>0</v>
      </c>
      <c r="BX249" s="549">
        <v>0</v>
      </c>
      <c r="BY249" s="675">
        <v>0</v>
      </c>
      <c r="BZ249" s="549">
        <v>0</v>
      </c>
      <c r="CA249" s="675">
        <v>0</v>
      </c>
      <c r="CB249" s="549">
        <v>0</v>
      </c>
      <c r="CC249" s="675">
        <v>0</v>
      </c>
      <c r="CD249" s="549">
        <v>0</v>
      </c>
      <c r="CE249" s="675">
        <v>0</v>
      </c>
      <c r="CF249" s="549">
        <v>0</v>
      </c>
      <c r="CG249" s="675">
        <v>0</v>
      </c>
      <c r="CH249" s="549">
        <v>0</v>
      </c>
      <c r="CI249" s="675">
        <v>0</v>
      </c>
      <c r="CJ249" s="549">
        <v>0</v>
      </c>
      <c r="CK249" s="675">
        <v>0</v>
      </c>
      <c r="CL249" s="549">
        <v>0</v>
      </c>
      <c r="CM249" s="675">
        <v>0</v>
      </c>
      <c r="CN249" s="549">
        <v>0</v>
      </c>
      <c r="CO249" s="675">
        <v>0</v>
      </c>
      <c r="CP249" s="549">
        <v>0</v>
      </c>
      <c r="CQ249" s="675">
        <v>0</v>
      </c>
      <c r="CR249" s="549">
        <v>0</v>
      </c>
      <c r="CS249" s="675">
        <v>0</v>
      </c>
      <c r="CT249" s="549">
        <v>0</v>
      </c>
      <c r="CU249" s="675">
        <v>0</v>
      </c>
      <c r="CV249" s="549">
        <v>0</v>
      </c>
      <c r="CW249" s="675">
        <v>0</v>
      </c>
      <c r="CX249" s="549">
        <v>0</v>
      </c>
      <c r="CY249" s="675">
        <v>0</v>
      </c>
      <c r="CZ249" s="549">
        <v>0</v>
      </c>
      <c r="DA249" s="675">
        <v>0</v>
      </c>
      <c r="DB249" s="549">
        <v>0</v>
      </c>
      <c r="DC249" s="675">
        <v>0</v>
      </c>
      <c r="DD249" s="549">
        <v>0</v>
      </c>
      <c r="DE249" s="675">
        <v>0</v>
      </c>
      <c r="DF249" s="549">
        <v>0</v>
      </c>
      <c r="DG249" s="675">
        <v>0</v>
      </c>
      <c r="DH249" s="549">
        <v>0</v>
      </c>
      <c r="DI249" s="675">
        <v>0</v>
      </c>
      <c r="DJ249" s="549">
        <v>0</v>
      </c>
      <c r="DK249" s="675">
        <v>0</v>
      </c>
      <c r="DL249" s="549">
        <v>0</v>
      </c>
      <c r="DM249" s="675">
        <v>0</v>
      </c>
      <c r="DN249" s="549">
        <v>0</v>
      </c>
      <c r="DO249" s="675">
        <v>0</v>
      </c>
      <c r="DP249" s="549">
        <v>0</v>
      </c>
      <c r="DQ249" s="675">
        <v>0</v>
      </c>
      <c r="DR249" s="549">
        <v>0</v>
      </c>
      <c r="DS249" s="675">
        <v>0</v>
      </c>
      <c r="DT249" s="549">
        <v>0</v>
      </c>
      <c r="DU249" s="675">
        <v>0</v>
      </c>
      <c r="DV249" s="549">
        <v>0</v>
      </c>
      <c r="DW249" s="675">
        <v>0</v>
      </c>
      <c r="DX249" s="549">
        <v>0</v>
      </c>
      <c r="DY249" s="675">
        <v>0</v>
      </c>
      <c r="DZ249" s="549">
        <v>0</v>
      </c>
      <c r="EA249" s="675">
        <v>0</v>
      </c>
      <c r="EB249" s="549">
        <v>0</v>
      </c>
      <c r="EC249" s="675">
        <v>0</v>
      </c>
      <c r="ED249" s="549">
        <v>0</v>
      </c>
      <c r="EE249" s="675">
        <v>0</v>
      </c>
      <c r="EF249" s="549">
        <v>0</v>
      </c>
      <c r="EG249" s="675">
        <v>0</v>
      </c>
      <c r="EH249" s="549">
        <v>0</v>
      </c>
      <c r="EI249" s="675">
        <v>0</v>
      </c>
      <c r="EJ249" s="549">
        <v>0</v>
      </c>
      <c r="EK249" s="675">
        <v>0</v>
      </c>
      <c r="EL249" s="549">
        <v>0</v>
      </c>
      <c r="EM249" s="675">
        <v>0</v>
      </c>
      <c r="EN249" s="549">
        <v>0</v>
      </c>
      <c r="EO249" s="675">
        <v>0</v>
      </c>
      <c r="EP249" s="549">
        <v>0</v>
      </c>
      <c r="EQ249" s="675">
        <v>0</v>
      </c>
      <c r="ER249" s="549">
        <v>0</v>
      </c>
      <c r="ES249" s="675">
        <v>0</v>
      </c>
      <c r="ET249" s="549">
        <v>0</v>
      </c>
      <c r="EU249" s="675">
        <v>0</v>
      </c>
      <c r="EV249" s="549">
        <v>0</v>
      </c>
      <c r="EW249" s="675">
        <v>0</v>
      </c>
      <c r="EX249" s="549">
        <v>0</v>
      </c>
      <c r="EY249" s="675">
        <v>0</v>
      </c>
      <c r="EZ249" s="549">
        <v>0</v>
      </c>
      <c r="FA249" s="675">
        <v>0</v>
      </c>
      <c r="FB249" s="549">
        <v>0</v>
      </c>
      <c r="FC249" s="675">
        <v>0</v>
      </c>
      <c r="FD249" s="549">
        <v>0</v>
      </c>
      <c r="FE249" s="675">
        <v>0</v>
      </c>
      <c r="FF249" s="549">
        <v>0</v>
      </c>
      <c r="FG249" s="675">
        <v>0</v>
      </c>
      <c r="FH249" s="549">
        <v>0</v>
      </c>
      <c r="FI249" s="675">
        <v>0</v>
      </c>
      <c r="FJ249" s="549">
        <v>0</v>
      </c>
      <c r="FK249" s="675">
        <v>0</v>
      </c>
      <c r="FL249" s="549">
        <v>0</v>
      </c>
      <c r="FM249" s="675">
        <v>0</v>
      </c>
      <c r="FN249" s="549">
        <v>0</v>
      </c>
      <c r="FO249" s="675">
        <v>0</v>
      </c>
      <c r="FP249" s="549">
        <v>0</v>
      </c>
      <c r="FQ249" s="675">
        <v>0</v>
      </c>
      <c r="FR249" s="549">
        <v>0</v>
      </c>
      <c r="FS249" s="675">
        <v>0</v>
      </c>
      <c r="FT249" s="549">
        <v>0</v>
      </c>
      <c r="FU249" s="675">
        <v>0</v>
      </c>
      <c r="FV249" s="549">
        <v>0</v>
      </c>
      <c r="FW249" s="675">
        <v>0</v>
      </c>
      <c r="FX249" s="549">
        <v>0</v>
      </c>
      <c r="FY249" s="675">
        <v>0</v>
      </c>
      <c r="FZ249" s="549">
        <v>0</v>
      </c>
      <c r="GA249" s="675">
        <v>0</v>
      </c>
      <c r="GB249" s="549">
        <v>0</v>
      </c>
      <c r="GC249" s="675">
        <v>0</v>
      </c>
      <c r="GD249" s="549">
        <v>0</v>
      </c>
      <c r="GE249" s="675">
        <v>0</v>
      </c>
      <c r="GF249" s="549">
        <v>0</v>
      </c>
      <c r="GG249" s="675">
        <v>0</v>
      </c>
      <c r="GH249" s="549">
        <v>0</v>
      </c>
      <c r="GI249" s="675">
        <v>0</v>
      </c>
      <c r="GJ249" s="549">
        <v>0</v>
      </c>
      <c r="GK249" s="675">
        <v>0</v>
      </c>
      <c r="GL249" s="549">
        <v>0</v>
      </c>
      <c r="GM249" s="675">
        <v>0</v>
      </c>
      <c r="GN249" s="549">
        <v>0</v>
      </c>
      <c r="GO249" s="675">
        <v>0</v>
      </c>
      <c r="GP249" s="549">
        <f>+D249+F249+H249+J249+L249+N249+P249+R249+T249+V249+X249+Z249+AB249+AD249+AH249+AJ249+AL249+AN249+AP249+AR249+AT249+AV249+AX249+AZ249+BB249+BD249+BF249+BH249+BJ249+BL249+BN249+BP249+BR249+BT249+BV249+BX249+BZ249+CB249+CD249+CF249+CH249+CJ249+CL249+CN249+CP249+CR249+CT249+CV249+CX249+CZ249+DB249+DD249+DF249+DH249+DT249+EX249+DJ249+DL249+DN249+DP249+DR249+EJ249+EB249+DZ249+DX249+DV249+ED249+EF249+EH249+EL249+EN249+EP249+EV249+ET249+ER249+EZ249+FB249+FD249+GL249</f>
        <v>0</v>
      </c>
      <c r="GQ249" s="675">
        <f>+E249+G249+I249+K249+M249+O249+Q249+S249+U249+W249+Y249+AA249+AC249+AE249+AI249+AK249+AM249+AO249+AQ249+AS249+AU249+AW249+AY249+BA249+BC249+BE249+BG249+BI249+BK249+BM249+BO249+BQ249+BS249+BU249+BW249+BY249+CA249+CC249+CE249+CG249+CI249+CK249+CM249+CO249+CQ249+CS249+CU249+CW249+CY249+DA249+DC249+DE249+DG249+DI249+DU249+EY249+DK249+DM249+DO249+DQ249+DS249+EK249+EC249+EA249+DY249+DW249+EI249+EG249+EE249+EM249+EO249+EQ249+EW249+EU249+ES249+FA249+FC249+FE249+GM249</f>
        <v>0</v>
      </c>
      <c r="GR249" s="74">
        <f>C249+GQ249</f>
        <v>0</v>
      </c>
      <c r="GS249" s="74">
        <f t="shared" ref="GS249" si="8527">GU249</f>
        <v>0</v>
      </c>
      <c r="GT249" s="568">
        <f>SUM(GU249:HF249)+GQ249+GP249</f>
        <v>0</v>
      </c>
      <c r="GU249" s="275">
        <v>0</v>
      </c>
      <c r="GV249" s="275">
        <v>0</v>
      </c>
      <c r="GW249" s="588">
        <v>0</v>
      </c>
      <c r="GX249" s="588">
        <v>0</v>
      </c>
      <c r="GY249" s="275">
        <v>0</v>
      </c>
      <c r="GZ249" s="275">
        <v>0</v>
      </c>
      <c r="HA249" s="275">
        <v>0</v>
      </c>
      <c r="HB249" s="275">
        <v>0</v>
      </c>
      <c r="HC249" s="275">
        <v>0</v>
      </c>
      <c r="HD249" s="275">
        <v>0</v>
      </c>
      <c r="HE249" s="275">
        <v>0</v>
      </c>
      <c r="HF249" s="275">
        <v>0</v>
      </c>
      <c r="HG249" s="74">
        <f>SUM(HH249:IE249)+GP249+GQ249</f>
        <v>0</v>
      </c>
      <c r="HH249" s="89">
        <v>0</v>
      </c>
      <c r="HI249" s="817">
        <v>0</v>
      </c>
      <c r="HJ249" s="89">
        <v>0</v>
      </c>
      <c r="HK249" s="817">
        <v>0</v>
      </c>
      <c r="HL249" s="89">
        <v>0</v>
      </c>
      <c r="HM249" s="817">
        <v>0</v>
      </c>
      <c r="HN249" s="89">
        <v>0</v>
      </c>
      <c r="HO249" s="817">
        <v>0</v>
      </c>
      <c r="HP249" s="89">
        <v>0</v>
      </c>
      <c r="HQ249" s="817">
        <v>0</v>
      </c>
      <c r="HR249" s="89">
        <v>0</v>
      </c>
      <c r="HS249" s="817">
        <v>0</v>
      </c>
      <c r="HT249" s="89">
        <v>0</v>
      </c>
      <c r="HU249" s="817">
        <v>0</v>
      </c>
      <c r="HV249" s="89">
        <v>0</v>
      </c>
      <c r="HW249" s="817">
        <v>0</v>
      </c>
      <c r="HX249" s="89">
        <v>0</v>
      </c>
      <c r="HY249" s="817">
        <v>0</v>
      </c>
      <c r="HZ249" s="89">
        <v>0</v>
      </c>
      <c r="IA249" s="817">
        <v>0</v>
      </c>
      <c r="IB249" s="89">
        <v>0</v>
      </c>
      <c r="IC249" s="817">
        <v>0</v>
      </c>
      <c r="ID249" s="89">
        <v>0</v>
      </c>
      <c r="IE249" s="817">
        <v>0</v>
      </c>
      <c r="IF249" s="841">
        <f t="shared" si="8524"/>
        <v>0</v>
      </c>
      <c r="IG249" s="263">
        <f t="shared" si="8525"/>
        <v>0</v>
      </c>
      <c r="IH249" s="842">
        <f t="shared" si="8526"/>
        <v>0</v>
      </c>
      <c r="II249" s="89">
        <v>0</v>
      </c>
      <c r="IJ249" s="89">
        <v>0</v>
      </c>
      <c r="IK249" s="89">
        <v>0</v>
      </c>
      <c r="IL249" s="89">
        <v>0</v>
      </c>
      <c r="IM249" s="89">
        <v>0</v>
      </c>
      <c r="IN249" s="89">
        <v>0</v>
      </c>
      <c r="IO249" s="89">
        <v>0</v>
      </c>
      <c r="IP249" s="89">
        <v>0</v>
      </c>
      <c r="IQ249" s="89">
        <v>0</v>
      </c>
      <c r="IR249" s="89">
        <v>0</v>
      </c>
      <c r="IS249" s="89">
        <v>0</v>
      </c>
      <c r="IT249" s="89">
        <v>0</v>
      </c>
      <c r="IU249" s="89">
        <v>0</v>
      </c>
      <c r="IV249" s="89">
        <v>0</v>
      </c>
      <c r="IW249" s="89">
        <v>0</v>
      </c>
      <c r="IX249" s="89">
        <v>0</v>
      </c>
      <c r="IY249" s="89">
        <v>0</v>
      </c>
      <c r="IZ249" s="89">
        <v>0</v>
      </c>
      <c r="JA249" s="89">
        <v>0</v>
      </c>
      <c r="JB249" s="89">
        <v>0</v>
      </c>
      <c r="JC249" s="89">
        <v>0</v>
      </c>
      <c r="JD249" s="89">
        <v>0</v>
      </c>
      <c r="JE249" s="89">
        <v>0</v>
      </c>
      <c r="JF249" s="89">
        <v>0</v>
      </c>
      <c r="JG249" s="89">
        <v>0</v>
      </c>
      <c r="JH249" s="89">
        <v>0</v>
      </c>
      <c r="JI249" s="89">
        <v>0</v>
      </c>
      <c r="JJ249" s="89">
        <v>0</v>
      </c>
      <c r="JK249" s="89">
        <v>0</v>
      </c>
      <c r="JL249" s="89">
        <v>0</v>
      </c>
      <c r="JM249" s="89">
        <v>0</v>
      </c>
      <c r="JN249" s="89">
        <v>0</v>
      </c>
      <c r="JO249" s="89">
        <v>0</v>
      </c>
      <c r="JP249" s="89">
        <v>0</v>
      </c>
      <c r="JQ249" s="89">
        <v>0</v>
      </c>
      <c r="JR249" s="89">
        <v>0</v>
      </c>
      <c r="JS249" s="74">
        <f>HG249-IF249</f>
        <v>0</v>
      </c>
      <c r="JT249" s="382">
        <f>GS249-IF249</f>
        <v>0</v>
      </c>
      <c r="JU249" s="670"/>
      <c r="JV249" s="489"/>
      <c r="JW249" s="490"/>
      <c r="JX249" s="548">
        <f>SUM(HH249,HJ249,HL249,HN249,HP249,HR249,HT249,HV249,HX249,HZ249,IB249,ID249)</f>
        <v>0</v>
      </c>
      <c r="JY249" s="548">
        <f>SUM(HI249,HK249,HM249,HO249,HQ249,HS249,HU249,HW249,HY249,IA249,IC249,IE249)</f>
        <v>0</v>
      </c>
      <c r="JZ249" s="581">
        <f t="shared" si="7470"/>
        <v>0</v>
      </c>
      <c r="KA249" s="581">
        <f t="shared" si="7471"/>
        <v>0</v>
      </c>
      <c r="KB249" s="548">
        <f t="shared" si="8523"/>
        <v>0</v>
      </c>
      <c r="KC249" s="709">
        <f t="shared" si="7396"/>
        <v>0</v>
      </c>
      <c r="KD249" s="37"/>
      <c r="KE249" s="37"/>
      <c r="KF249" s="37"/>
      <c r="KG249" s="37"/>
      <c r="KH249" s="37"/>
      <c r="KI249" s="37"/>
      <c r="KJ249" s="37"/>
      <c r="KK249" s="37"/>
    </row>
    <row r="250" spans="1:297" s="10" customFormat="1">
      <c r="A250" s="86"/>
      <c r="B250" s="77"/>
      <c r="C250" s="74"/>
      <c r="D250" s="549"/>
      <c r="E250" s="675"/>
      <c r="F250" s="549"/>
      <c r="G250" s="675"/>
      <c r="H250" s="549"/>
      <c r="I250" s="675"/>
      <c r="J250" s="549"/>
      <c r="K250" s="675"/>
      <c r="L250" s="549"/>
      <c r="M250" s="675"/>
      <c r="N250" s="549"/>
      <c r="O250" s="675"/>
      <c r="P250" s="549"/>
      <c r="Q250" s="675"/>
      <c r="R250" s="549"/>
      <c r="S250" s="675"/>
      <c r="T250" s="549"/>
      <c r="U250" s="675"/>
      <c r="V250" s="549"/>
      <c r="W250" s="675"/>
      <c r="X250" s="549"/>
      <c r="Y250" s="675"/>
      <c r="Z250" s="549"/>
      <c r="AA250" s="675"/>
      <c r="AB250" s="549"/>
      <c r="AC250" s="675"/>
      <c r="AD250" s="549"/>
      <c r="AE250" s="675"/>
      <c r="AF250" s="549"/>
      <c r="AG250" s="675"/>
      <c r="AH250" s="549"/>
      <c r="AI250" s="675"/>
      <c r="AJ250" s="549"/>
      <c r="AK250" s="675"/>
      <c r="AL250" s="549"/>
      <c r="AM250" s="675"/>
      <c r="AN250" s="549"/>
      <c r="AO250" s="675"/>
      <c r="AP250" s="549"/>
      <c r="AQ250" s="675"/>
      <c r="AR250" s="549"/>
      <c r="AS250" s="675"/>
      <c r="AT250" s="549"/>
      <c r="AU250" s="675"/>
      <c r="AV250" s="549"/>
      <c r="AW250" s="675"/>
      <c r="AX250" s="549"/>
      <c r="AY250" s="675"/>
      <c r="AZ250" s="549"/>
      <c r="BA250" s="675"/>
      <c r="BB250" s="549"/>
      <c r="BC250" s="675"/>
      <c r="BD250" s="549"/>
      <c r="BE250" s="675"/>
      <c r="BF250" s="549"/>
      <c r="BG250" s="675"/>
      <c r="BH250" s="549"/>
      <c r="BI250" s="675"/>
      <c r="BJ250" s="549"/>
      <c r="BK250" s="675"/>
      <c r="BL250" s="549"/>
      <c r="BM250" s="675"/>
      <c r="BN250" s="549"/>
      <c r="BO250" s="675"/>
      <c r="BP250" s="549"/>
      <c r="BQ250" s="675"/>
      <c r="BR250" s="549"/>
      <c r="BS250" s="675"/>
      <c r="BT250" s="549"/>
      <c r="BU250" s="675"/>
      <c r="BV250" s="549"/>
      <c r="BW250" s="675"/>
      <c r="BX250" s="549"/>
      <c r="BY250" s="675"/>
      <c r="BZ250" s="549"/>
      <c r="CA250" s="675"/>
      <c r="CB250" s="549"/>
      <c r="CC250" s="675"/>
      <c r="CD250" s="549"/>
      <c r="CE250" s="675"/>
      <c r="CF250" s="549"/>
      <c r="CG250" s="675"/>
      <c r="CH250" s="549"/>
      <c r="CI250" s="675"/>
      <c r="CJ250" s="549"/>
      <c r="CK250" s="675"/>
      <c r="CL250" s="549"/>
      <c r="CM250" s="675"/>
      <c r="CN250" s="549"/>
      <c r="CO250" s="675"/>
      <c r="CP250" s="549"/>
      <c r="CQ250" s="675"/>
      <c r="CR250" s="549"/>
      <c r="CS250" s="675"/>
      <c r="CT250" s="549"/>
      <c r="CU250" s="675"/>
      <c r="CV250" s="549"/>
      <c r="CW250" s="675"/>
      <c r="CX250" s="549"/>
      <c r="CY250" s="675"/>
      <c r="CZ250" s="549"/>
      <c r="DA250" s="675"/>
      <c r="DB250" s="549"/>
      <c r="DC250" s="675"/>
      <c r="DD250" s="549"/>
      <c r="DE250" s="675"/>
      <c r="DF250" s="549"/>
      <c r="DG250" s="675"/>
      <c r="DH250" s="549"/>
      <c r="DI250" s="675"/>
      <c r="DJ250" s="549"/>
      <c r="DK250" s="675"/>
      <c r="DL250" s="549"/>
      <c r="DM250" s="675"/>
      <c r="DN250" s="549"/>
      <c r="DO250" s="675"/>
      <c r="DP250" s="549"/>
      <c r="DQ250" s="675"/>
      <c r="DR250" s="549"/>
      <c r="DS250" s="675"/>
      <c r="DT250" s="549"/>
      <c r="DU250" s="675"/>
      <c r="DV250" s="549"/>
      <c r="DW250" s="675"/>
      <c r="DX250" s="549"/>
      <c r="DY250" s="675"/>
      <c r="DZ250" s="549"/>
      <c r="EA250" s="675"/>
      <c r="EB250" s="549"/>
      <c r="EC250" s="675"/>
      <c r="ED250" s="549"/>
      <c r="EE250" s="675"/>
      <c r="EF250" s="549"/>
      <c r="EG250" s="675"/>
      <c r="EH250" s="549"/>
      <c r="EI250" s="675"/>
      <c r="EJ250" s="549"/>
      <c r="EK250" s="675"/>
      <c r="EL250" s="549"/>
      <c r="EM250" s="675"/>
      <c r="EN250" s="549"/>
      <c r="EO250" s="675"/>
      <c r="EP250" s="549"/>
      <c r="EQ250" s="675"/>
      <c r="ER250" s="549"/>
      <c r="ES250" s="675"/>
      <c r="ET250" s="549"/>
      <c r="EU250" s="675"/>
      <c r="EV250" s="549"/>
      <c r="EW250" s="675"/>
      <c r="EX250" s="549"/>
      <c r="EY250" s="675"/>
      <c r="EZ250" s="549"/>
      <c r="FA250" s="675"/>
      <c r="FB250" s="549"/>
      <c r="FC250" s="675"/>
      <c r="FD250" s="549"/>
      <c r="FE250" s="675"/>
      <c r="FF250" s="549"/>
      <c r="FG250" s="675"/>
      <c r="FH250" s="549"/>
      <c r="FI250" s="675"/>
      <c r="FJ250" s="549"/>
      <c r="FK250" s="675"/>
      <c r="FL250" s="549"/>
      <c r="FM250" s="675"/>
      <c r="FN250" s="549"/>
      <c r="FO250" s="675"/>
      <c r="FP250" s="549"/>
      <c r="FQ250" s="675"/>
      <c r="FR250" s="549"/>
      <c r="FS250" s="675"/>
      <c r="FT250" s="549"/>
      <c r="FU250" s="675"/>
      <c r="FV250" s="549"/>
      <c r="FW250" s="675"/>
      <c r="FX250" s="549"/>
      <c r="FY250" s="675"/>
      <c r="FZ250" s="549"/>
      <c r="GA250" s="675"/>
      <c r="GB250" s="549"/>
      <c r="GC250" s="675"/>
      <c r="GD250" s="549"/>
      <c r="GE250" s="675"/>
      <c r="GF250" s="549"/>
      <c r="GG250" s="675"/>
      <c r="GH250" s="549"/>
      <c r="GI250" s="675"/>
      <c r="GJ250" s="549"/>
      <c r="GK250" s="675"/>
      <c r="GL250" s="549"/>
      <c r="GM250" s="675"/>
      <c r="GN250" s="549"/>
      <c r="GO250" s="675"/>
      <c r="GP250" s="549"/>
      <c r="GQ250" s="675"/>
      <c r="GR250" s="74"/>
      <c r="GS250" s="74"/>
      <c r="GT250" s="568"/>
      <c r="GU250" s="89"/>
      <c r="GV250" s="89"/>
      <c r="GW250" s="568"/>
      <c r="GX250" s="568"/>
      <c r="GY250" s="89"/>
      <c r="GZ250" s="89"/>
      <c r="HA250" s="89"/>
      <c r="HB250" s="89"/>
      <c r="HC250" s="89"/>
      <c r="HD250" s="89"/>
      <c r="HE250" s="89"/>
      <c r="HF250" s="89"/>
      <c r="HG250" s="74"/>
      <c r="HH250" s="89"/>
      <c r="HI250" s="817"/>
      <c r="HJ250" s="89"/>
      <c r="HK250" s="817"/>
      <c r="HL250" s="89"/>
      <c r="HM250" s="817"/>
      <c r="HN250" s="89"/>
      <c r="HO250" s="817"/>
      <c r="HP250" s="89"/>
      <c r="HQ250" s="817"/>
      <c r="HR250" s="89"/>
      <c r="HS250" s="817"/>
      <c r="HT250" s="89"/>
      <c r="HU250" s="817"/>
      <c r="HV250" s="89"/>
      <c r="HW250" s="817"/>
      <c r="HX250" s="89"/>
      <c r="HY250" s="817"/>
      <c r="HZ250" s="89"/>
      <c r="IA250" s="817"/>
      <c r="IB250" s="89"/>
      <c r="IC250" s="817"/>
      <c r="ID250" s="89"/>
      <c r="IE250" s="817"/>
      <c r="IF250" s="703"/>
      <c r="IG250" s="282"/>
      <c r="IH250" s="858"/>
      <c r="II250" s="89"/>
      <c r="IJ250" s="89"/>
      <c r="IK250" s="89"/>
      <c r="IL250" s="89"/>
      <c r="IM250" s="89"/>
      <c r="IN250" s="89"/>
      <c r="IO250" s="89"/>
      <c r="IP250" s="89"/>
      <c r="IQ250" s="89"/>
      <c r="IR250" s="89"/>
      <c r="IS250" s="89"/>
      <c r="IT250" s="89"/>
      <c r="IU250" s="89"/>
      <c r="IV250" s="89"/>
      <c r="IW250" s="89"/>
      <c r="IX250" s="89"/>
      <c r="IY250" s="89"/>
      <c r="IZ250" s="89"/>
      <c r="JA250" s="89"/>
      <c r="JB250" s="89"/>
      <c r="JC250" s="89"/>
      <c r="JD250" s="89"/>
      <c r="JE250" s="89"/>
      <c r="JF250" s="89"/>
      <c r="JG250" s="89"/>
      <c r="JH250" s="89"/>
      <c r="JI250" s="89"/>
      <c r="JJ250" s="89"/>
      <c r="JK250" s="89"/>
      <c r="JL250" s="89"/>
      <c r="JM250" s="89"/>
      <c r="JN250" s="89"/>
      <c r="JO250" s="89"/>
      <c r="JP250" s="89"/>
      <c r="JQ250" s="89"/>
      <c r="JR250" s="89"/>
      <c r="JS250" s="74"/>
      <c r="JT250" s="382"/>
      <c r="JU250" s="670"/>
      <c r="JV250" s="489"/>
      <c r="JW250" s="504"/>
      <c r="JX250" s="548"/>
      <c r="JY250" s="548"/>
      <c r="JZ250" s="581">
        <f t="shared" si="7470"/>
        <v>0</v>
      </c>
      <c r="KA250" s="581">
        <f t="shared" si="7471"/>
        <v>0</v>
      </c>
      <c r="KB250" s="548">
        <f t="shared" si="8523"/>
        <v>0</v>
      </c>
      <c r="KC250" s="709">
        <f t="shared" si="7396"/>
        <v>0</v>
      </c>
      <c r="KD250" s="37"/>
      <c r="KE250" s="37"/>
      <c r="KF250" s="37"/>
      <c r="KG250" s="37"/>
      <c r="KH250" s="37"/>
      <c r="KI250" s="37"/>
      <c r="KJ250" s="37"/>
      <c r="KK250" s="37"/>
    </row>
    <row r="251" spans="1:297" s="8" customFormat="1">
      <c r="A251" s="80" t="s">
        <v>225</v>
      </c>
      <c r="B251" s="72" t="s">
        <v>58</v>
      </c>
      <c r="C251" s="74">
        <f t="shared" ref="C251:S251" si="8528">SUM(C252:C253)</f>
        <v>1706900</v>
      </c>
      <c r="D251" s="549">
        <f t="shared" si="8528"/>
        <v>0</v>
      </c>
      <c r="E251" s="675">
        <f t="shared" si="8528"/>
        <v>0</v>
      </c>
      <c r="F251" s="549">
        <f t="shared" si="8528"/>
        <v>0</v>
      </c>
      <c r="G251" s="675">
        <f t="shared" si="8528"/>
        <v>0</v>
      </c>
      <c r="H251" s="549">
        <f t="shared" si="8528"/>
        <v>0</v>
      </c>
      <c r="I251" s="675">
        <f t="shared" si="8528"/>
        <v>0</v>
      </c>
      <c r="J251" s="549">
        <f t="shared" si="8528"/>
        <v>0</v>
      </c>
      <c r="K251" s="675">
        <f t="shared" si="8528"/>
        <v>0</v>
      </c>
      <c r="L251" s="549">
        <f t="shared" si="8528"/>
        <v>0</v>
      </c>
      <c r="M251" s="675">
        <f t="shared" si="8528"/>
        <v>0</v>
      </c>
      <c r="N251" s="549">
        <f t="shared" si="8528"/>
        <v>0</v>
      </c>
      <c r="O251" s="675">
        <f t="shared" si="8528"/>
        <v>0</v>
      </c>
      <c r="P251" s="549">
        <f t="shared" si="8528"/>
        <v>0</v>
      </c>
      <c r="Q251" s="675">
        <f t="shared" si="8528"/>
        <v>0</v>
      </c>
      <c r="R251" s="549">
        <f t="shared" si="8528"/>
        <v>1212</v>
      </c>
      <c r="S251" s="675">
        <f t="shared" si="8528"/>
        <v>0</v>
      </c>
      <c r="T251" s="549">
        <f t="shared" ref="T251:AM251" si="8529">SUM(T252:T253)</f>
        <v>0</v>
      </c>
      <c r="U251" s="675">
        <f t="shared" si="8529"/>
        <v>0</v>
      </c>
      <c r="V251" s="549">
        <f t="shared" si="8529"/>
        <v>0</v>
      </c>
      <c r="W251" s="675">
        <f t="shared" si="8529"/>
        <v>0</v>
      </c>
      <c r="X251" s="549">
        <f t="shared" si="8529"/>
        <v>0</v>
      </c>
      <c r="Y251" s="675">
        <f t="shared" si="8529"/>
        <v>0</v>
      </c>
      <c r="Z251" s="549">
        <f t="shared" si="8529"/>
        <v>0</v>
      </c>
      <c r="AA251" s="675">
        <f t="shared" si="8529"/>
        <v>0</v>
      </c>
      <c r="AB251" s="549">
        <f t="shared" si="8529"/>
        <v>0</v>
      </c>
      <c r="AC251" s="675">
        <f t="shared" si="8529"/>
        <v>0</v>
      </c>
      <c r="AD251" s="549">
        <f t="shared" ref="AD251:AK251" si="8530">SUM(AD252:AD253)</f>
        <v>0</v>
      </c>
      <c r="AE251" s="675">
        <f t="shared" si="8530"/>
        <v>0</v>
      </c>
      <c r="AF251" s="549">
        <f t="shared" si="8530"/>
        <v>0</v>
      </c>
      <c r="AG251" s="675">
        <f t="shared" si="8530"/>
        <v>0</v>
      </c>
      <c r="AH251" s="549">
        <f t="shared" si="8530"/>
        <v>0</v>
      </c>
      <c r="AI251" s="675">
        <f t="shared" si="8530"/>
        <v>0</v>
      </c>
      <c r="AJ251" s="549">
        <f t="shared" si="8530"/>
        <v>0</v>
      </c>
      <c r="AK251" s="675">
        <f t="shared" si="8530"/>
        <v>0</v>
      </c>
      <c r="AL251" s="549">
        <f t="shared" si="8529"/>
        <v>0</v>
      </c>
      <c r="AM251" s="675">
        <f t="shared" si="8529"/>
        <v>0</v>
      </c>
      <c r="AN251" s="549">
        <f t="shared" ref="AN251:AS251" si="8531">SUM(AN252:AN253)</f>
        <v>0</v>
      </c>
      <c r="AO251" s="675">
        <f t="shared" si="8531"/>
        <v>-28926</v>
      </c>
      <c r="AP251" s="549">
        <f t="shared" si="8531"/>
        <v>0</v>
      </c>
      <c r="AQ251" s="675">
        <f t="shared" si="8531"/>
        <v>0</v>
      </c>
      <c r="AR251" s="549">
        <f t="shared" si="8531"/>
        <v>0</v>
      </c>
      <c r="AS251" s="675">
        <f t="shared" si="8531"/>
        <v>-8480</v>
      </c>
      <c r="AT251" s="549">
        <f t="shared" ref="AT251:AU251" si="8532">SUM(AT252:AT253)</f>
        <v>0</v>
      </c>
      <c r="AU251" s="675">
        <f t="shared" si="8532"/>
        <v>0</v>
      </c>
      <c r="AV251" s="549">
        <f t="shared" ref="AV251:AW251" si="8533">SUM(AV252:AV253)</f>
        <v>0</v>
      </c>
      <c r="AW251" s="675">
        <f t="shared" si="8533"/>
        <v>-11886</v>
      </c>
      <c r="AX251" s="549">
        <f t="shared" ref="AX251:AY251" si="8534">SUM(AX252:AX253)</f>
        <v>0</v>
      </c>
      <c r="AY251" s="675">
        <f t="shared" si="8534"/>
        <v>0</v>
      </c>
      <c r="AZ251" s="549">
        <f t="shared" ref="AZ251:BA251" si="8535">SUM(AZ252:AZ253)</f>
        <v>0</v>
      </c>
      <c r="BA251" s="675">
        <f t="shared" si="8535"/>
        <v>0</v>
      </c>
      <c r="BB251" s="549">
        <f t="shared" ref="BB251:BC251" si="8536">SUM(BB252:BB253)</f>
        <v>0</v>
      </c>
      <c r="BC251" s="675">
        <f t="shared" si="8536"/>
        <v>0</v>
      </c>
      <c r="BD251" s="549">
        <f t="shared" ref="BD251:BE251" si="8537">SUM(BD252:BD253)</f>
        <v>0</v>
      </c>
      <c r="BE251" s="675">
        <f t="shared" si="8537"/>
        <v>0</v>
      </c>
      <c r="BF251" s="549">
        <f t="shared" ref="BF251:BG251" si="8538">SUM(BF252:BF253)</f>
        <v>0</v>
      </c>
      <c r="BG251" s="675">
        <f t="shared" si="8538"/>
        <v>0</v>
      </c>
      <c r="BH251" s="549">
        <f t="shared" ref="BH251:BI251" si="8539">SUM(BH252:BH253)</f>
        <v>0</v>
      </c>
      <c r="BI251" s="675">
        <f t="shared" si="8539"/>
        <v>0</v>
      </c>
      <c r="BJ251" s="549">
        <f t="shared" ref="BJ251:BK251" si="8540">SUM(BJ252:BJ253)</f>
        <v>0</v>
      </c>
      <c r="BK251" s="675">
        <f t="shared" si="8540"/>
        <v>0</v>
      </c>
      <c r="BL251" s="549">
        <f t="shared" ref="BL251:BS251" si="8541">SUM(BL252:BL253)</f>
        <v>0</v>
      </c>
      <c r="BM251" s="675">
        <f t="shared" si="8541"/>
        <v>0</v>
      </c>
      <c r="BN251" s="549">
        <f t="shared" si="8541"/>
        <v>0</v>
      </c>
      <c r="BO251" s="675">
        <f t="shared" si="8541"/>
        <v>0</v>
      </c>
      <c r="BP251" s="549">
        <f t="shared" si="8541"/>
        <v>0</v>
      </c>
      <c r="BQ251" s="675">
        <f t="shared" si="8541"/>
        <v>0</v>
      </c>
      <c r="BR251" s="549">
        <f t="shared" si="8541"/>
        <v>0</v>
      </c>
      <c r="BS251" s="675">
        <f t="shared" si="8541"/>
        <v>0</v>
      </c>
      <c r="BT251" s="549">
        <f t="shared" ref="BT251:BU251" si="8542">SUM(BT252:BT253)</f>
        <v>0</v>
      </c>
      <c r="BU251" s="675">
        <f t="shared" si="8542"/>
        <v>0</v>
      </c>
      <c r="BV251" s="549">
        <f t="shared" ref="BV251:BW251" si="8543">SUM(BV252:BV253)</f>
        <v>0</v>
      </c>
      <c r="BW251" s="675">
        <f t="shared" si="8543"/>
        <v>-7480</v>
      </c>
      <c r="BX251" s="549">
        <f t="shared" ref="BX251:BY251" si="8544">SUM(BX252:BX253)</f>
        <v>0</v>
      </c>
      <c r="BY251" s="675">
        <f t="shared" si="8544"/>
        <v>0</v>
      </c>
      <c r="BZ251" s="549">
        <f t="shared" ref="BZ251:CA251" si="8545">SUM(BZ252:BZ253)</f>
        <v>0</v>
      </c>
      <c r="CA251" s="675">
        <f t="shared" si="8545"/>
        <v>0</v>
      </c>
      <c r="CB251" s="549">
        <f t="shared" ref="CB251:CE251" si="8546">SUM(CB252:CB253)</f>
        <v>0</v>
      </c>
      <c r="CC251" s="675">
        <f t="shared" si="8546"/>
        <v>0</v>
      </c>
      <c r="CD251" s="549">
        <f t="shared" si="8546"/>
        <v>0</v>
      </c>
      <c r="CE251" s="675">
        <f t="shared" si="8546"/>
        <v>0</v>
      </c>
      <c r="CF251" s="549">
        <f t="shared" ref="CF251:CQ251" si="8547">SUM(CF252:CF253)</f>
        <v>0</v>
      </c>
      <c r="CG251" s="675">
        <f t="shared" si="8547"/>
        <v>0</v>
      </c>
      <c r="CH251" s="549">
        <f t="shared" si="8547"/>
        <v>0</v>
      </c>
      <c r="CI251" s="675">
        <f t="shared" si="8547"/>
        <v>0</v>
      </c>
      <c r="CJ251" s="549">
        <f t="shared" si="8547"/>
        <v>0</v>
      </c>
      <c r="CK251" s="675">
        <f t="shared" si="8547"/>
        <v>0</v>
      </c>
      <c r="CL251" s="549">
        <f t="shared" si="8547"/>
        <v>0</v>
      </c>
      <c r="CM251" s="675">
        <f t="shared" si="8547"/>
        <v>0</v>
      </c>
      <c r="CN251" s="549">
        <f t="shared" si="8547"/>
        <v>6366</v>
      </c>
      <c r="CO251" s="675">
        <f t="shared" si="8547"/>
        <v>0</v>
      </c>
      <c r="CP251" s="549">
        <f t="shared" si="8547"/>
        <v>0</v>
      </c>
      <c r="CQ251" s="675">
        <f t="shared" si="8547"/>
        <v>0</v>
      </c>
      <c r="CR251" s="549">
        <f t="shared" ref="CR251:CY251" si="8548">SUM(CR252:CR253)</f>
        <v>0</v>
      </c>
      <c r="CS251" s="675">
        <f t="shared" si="8548"/>
        <v>0</v>
      </c>
      <c r="CT251" s="549">
        <f t="shared" si="8548"/>
        <v>0</v>
      </c>
      <c r="CU251" s="675">
        <f t="shared" si="8548"/>
        <v>0</v>
      </c>
      <c r="CV251" s="549">
        <f t="shared" si="8548"/>
        <v>4500</v>
      </c>
      <c r="CW251" s="675">
        <f t="shared" si="8548"/>
        <v>0</v>
      </c>
      <c r="CX251" s="549">
        <f t="shared" si="8548"/>
        <v>0</v>
      </c>
      <c r="CY251" s="675">
        <f t="shared" si="8548"/>
        <v>0</v>
      </c>
      <c r="CZ251" s="549">
        <f t="shared" ref="CZ251:GT251" si="8549">SUM(CZ252:CZ253)</f>
        <v>0</v>
      </c>
      <c r="DA251" s="675">
        <f t="shared" si="8549"/>
        <v>0</v>
      </c>
      <c r="DB251" s="549">
        <f t="shared" si="8549"/>
        <v>0</v>
      </c>
      <c r="DC251" s="675">
        <f t="shared" si="8549"/>
        <v>0</v>
      </c>
      <c r="DD251" s="549">
        <f t="shared" si="8549"/>
        <v>0</v>
      </c>
      <c r="DE251" s="675">
        <f t="shared" si="8549"/>
        <v>0</v>
      </c>
      <c r="DF251" s="549">
        <f t="shared" si="8549"/>
        <v>0</v>
      </c>
      <c r="DG251" s="675">
        <f t="shared" si="8549"/>
        <v>0</v>
      </c>
      <c r="DH251" s="549">
        <f t="shared" si="8549"/>
        <v>0</v>
      </c>
      <c r="DI251" s="675">
        <f t="shared" si="8549"/>
        <v>0</v>
      </c>
      <c r="DJ251" s="549">
        <f t="shared" si="8549"/>
        <v>0</v>
      </c>
      <c r="DK251" s="675">
        <f t="shared" si="8549"/>
        <v>0</v>
      </c>
      <c r="DL251" s="549">
        <f t="shared" si="8549"/>
        <v>0</v>
      </c>
      <c r="DM251" s="675">
        <f t="shared" si="8549"/>
        <v>0</v>
      </c>
      <c r="DN251" s="549">
        <f t="shared" si="8549"/>
        <v>0</v>
      </c>
      <c r="DO251" s="675">
        <f t="shared" si="8549"/>
        <v>0</v>
      </c>
      <c r="DP251" s="549">
        <f t="shared" si="8549"/>
        <v>0</v>
      </c>
      <c r="DQ251" s="675">
        <f t="shared" si="8549"/>
        <v>0</v>
      </c>
      <c r="DR251" s="549">
        <f t="shared" si="8549"/>
        <v>0</v>
      </c>
      <c r="DS251" s="675">
        <f t="shared" si="8549"/>
        <v>0</v>
      </c>
      <c r="DT251" s="549">
        <f t="shared" si="8549"/>
        <v>0</v>
      </c>
      <c r="DU251" s="675">
        <f t="shared" si="8549"/>
        <v>0</v>
      </c>
      <c r="DV251" s="549">
        <f t="shared" si="8549"/>
        <v>0</v>
      </c>
      <c r="DW251" s="675">
        <f t="shared" si="8549"/>
        <v>0</v>
      </c>
      <c r="DX251" s="549">
        <f t="shared" si="8549"/>
        <v>0</v>
      </c>
      <c r="DY251" s="675">
        <f t="shared" si="8549"/>
        <v>0</v>
      </c>
      <c r="DZ251" s="549">
        <f t="shared" ref="DZ251:FA251" si="8550">SUM(DZ252:DZ253)</f>
        <v>0</v>
      </c>
      <c r="EA251" s="675">
        <f t="shared" si="8550"/>
        <v>0</v>
      </c>
      <c r="EB251" s="549">
        <f t="shared" si="8550"/>
        <v>0</v>
      </c>
      <c r="EC251" s="675">
        <f t="shared" si="8550"/>
        <v>0</v>
      </c>
      <c r="ED251" s="549">
        <f t="shared" si="8550"/>
        <v>0</v>
      </c>
      <c r="EE251" s="675">
        <f t="shared" si="8550"/>
        <v>0</v>
      </c>
      <c r="EF251" s="549">
        <f t="shared" si="8550"/>
        <v>0</v>
      </c>
      <c r="EG251" s="675">
        <f t="shared" si="8550"/>
        <v>-36277</v>
      </c>
      <c r="EH251" s="549">
        <f t="shared" ref="EH251:EM251" si="8551">SUM(EH252:EH253)</f>
        <v>0</v>
      </c>
      <c r="EI251" s="675">
        <f t="shared" si="8551"/>
        <v>0</v>
      </c>
      <c r="EJ251" s="549">
        <f t="shared" si="8551"/>
        <v>0</v>
      </c>
      <c r="EK251" s="675">
        <f t="shared" si="8551"/>
        <v>0</v>
      </c>
      <c r="EL251" s="549">
        <f t="shared" si="8551"/>
        <v>0</v>
      </c>
      <c r="EM251" s="675">
        <f t="shared" si="8551"/>
        <v>0</v>
      </c>
      <c r="EN251" s="549">
        <f t="shared" si="8550"/>
        <v>0</v>
      </c>
      <c r="EO251" s="675">
        <f t="shared" si="8550"/>
        <v>0</v>
      </c>
      <c r="EP251" s="549">
        <f t="shared" si="8550"/>
        <v>0</v>
      </c>
      <c r="EQ251" s="675">
        <f t="shared" si="8550"/>
        <v>0</v>
      </c>
      <c r="ER251" s="549">
        <f t="shared" si="8550"/>
        <v>0</v>
      </c>
      <c r="ES251" s="675">
        <f t="shared" si="8550"/>
        <v>0</v>
      </c>
      <c r="ET251" s="549">
        <f t="shared" si="8550"/>
        <v>0</v>
      </c>
      <c r="EU251" s="675">
        <f t="shared" si="8550"/>
        <v>0</v>
      </c>
      <c r="EV251" s="549">
        <f t="shared" ref="EV251:EW251" si="8552">SUM(EV252:EV253)</f>
        <v>0</v>
      </c>
      <c r="EW251" s="675">
        <f t="shared" si="8552"/>
        <v>0</v>
      </c>
      <c r="EX251" s="549">
        <f t="shared" si="8550"/>
        <v>0</v>
      </c>
      <c r="EY251" s="675">
        <f t="shared" si="8550"/>
        <v>0</v>
      </c>
      <c r="EZ251" s="549">
        <f t="shared" si="8550"/>
        <v>0</v>
      </c>
      <c r="FA251" s="675">
        <f t="shared" si="8550"/>
        <v>0</v>
      </c>
      <c r="FB251" s="549">
        <f t="shared" si="8549"/>
        <v>0</v>
      </c>
      <c r="FC251" s="675">
        <f t="shared" si="8549"/>
        <v>0</v>
      </c>
      <c r="FD251" s="549">
        <f t="shared" si="8549"/>
        <v>0</v>
      </c>
      <c r="FE251" s="675">
        <f t="shared" si="8549"/>
        <v>0</v>
      </c>
      <c r="FF251" s="549">
        <f t="shared" ref="FF251:FG251" si="8553">SUM(FF252:FF253)</f>
        <v>0</v>
      </c>
      <c r="FG251" s="675">
        <f t="shared" si="8553"/>
        <v>0</v>
      </c>
      <c r="FH251" s="549">
        <f t="shared" ref="FH251:FI251" si="8554">SUM(FH252:FH253)</f>
        <v>0</v>
      </c>
      <c r="FI251" s="675">
        <f t="shared" si="8554"/>
        <v>0</v>
      </c>
      <c r="FJ251" s="549">
        <f t="shared" ref="FJ251:FK251" si="8555">SUM(FJ252:FJ253)</f>
        <v>0</v>
      </c>
      <c r="FK251" s="675">
        <f t="shared" si="8555"/>
        <v>0</v>
      </c>
      <c r="FL251" s="549">
        <f t="shared" ref="FL251:FM251" si="8556">SUM(FL252:FL253)</f>
        <v>0</v>
      </c>
      <c r="FM251" s="675">
        <f t="shared" si="8556"/>
        <v>0</v>
      </c>
      <c r="FN251" s="549">
        <f t="shared" ref="FN251:FO251" si="8557">SUM(FN252:FN253)</f>
        <v>0</v>
      </c>
      <c r="FO251" s="675">
        <f t="shared" si="8557"/>
        <v>0</v>
      </c>
      <c r="FP251" s="549">
        <f t="shared" ref="FP251:FQ251" si="8558">SUM(FP252:FP253)</f>
        <v>0</v>
      </c>
      <c r="FQ251" s="675">
        <f t="shared" si="8558"/>
        <v>0</v>
      </c>
      <c r="FR251" s="549">
        <f t="shared" ref="FR251:FS251" si="8559">SUM(FR252:FR253)</f>
        <v>0</v>
      </c>
      <c r="FS251" s="675">
        <f t="shared" si="8559"/>
        <v>0</v>
      </c>
      <c r="FT251" s="549">
        <f t="shared" ref="FT251:FU251" si="8560">SUM(FT252:FT253)</f>
        <v>0</v>
      </c>
      <c r="FU251" s="675">
        <f t="shared" si="8560"/>
        <v>0</v>
      </c>
      <c r="FV251" s="549">
        <f t="shared" ref="FV251:GK251" si="8561">SUM(FV252:FV253)</f>
        <v>0</v>
      </c>
      <c r="FW251" s="675">
        <f t="shared" si="8561"/>
        <v>0</v>
      </c>
      <c r="FX251" s="549">
        <f t="shared" si="8561"/>
        <v>0</v>
      </c>
      <c r="FY251" s="675">
        <f t="shared" si="8561"/>
        <v>0</v>
      </c>
      <c r="FZ251" s="549">
        <f t="shared" ref="FZ251:GI251" si="8562">SUM(FZ252:FZ253)</f>
        <v>0</v>
      </c>
      <c r="GA251" s="675">
        <f t="shared" si="8562"/>
        <v>0</v>
      </c>
      <c r="GB251" s="549">
        <f t="shared" si="8562"/>
        <v>0</v>
      </c>
      <c r="GC251" s="675">
        <f t="shared" si="8562"/>
        <v>0</v>
      </c>
      <c r="GD251" s="549">
        <f t="shared" si="8562"/>
        <v>0</v>
      </c>
      <c r="GE251" s="675">
        <f t="shared" si="8562"/>
        <v>0</v>
      </c>
      <c r="GF251" s="549">
        <f t="shared" si="8562"/>
        <v>0</v>
      </c>
      <c r="GG251" s="675">
        <f t="shared" si="8562"/>
        <v>0</v>
      </c>
      <c r="GH251" s="549">
        <f t="shared" si="8562"/>
        <v>0</v>
      </c>
      <c r="GI251" s="675">
        <f t="shared" si="8562"/>
        <v>0</v>
      </c>
      <c r="GJ251" s="549">
        <f t="shared" si="8561"/>
        <v>0</v>
      </c>
      <c r="GK251" s="675">
        <f t="shared" si="8561"/>
        <v>0</v>
      </c>
      <c r="GL251" s="549">
        <f t="shared" ref="GL251:GM251" si="8563">SUM(GL252:GL253)</f>
        <v>0</v>
      </c>
      <c r="GM251" s="675">
        <f t="shared" si="8563"/>
        <v>0</v>
      </c>
      <c r="GN251" s="549">
        <f t="shared" ref="GN251:GO251" si="8564">SUM(GN252:GN253)</f>
        <v>0</v>
      </c>
      <c r="GO251" s="675">
        <f t="shared" si="8564"/>
        <v>0</v>
      </c>
      <c r="GP251" s="549">
        <f>SUM(GP252:GP253)</f>
        <v>12078</v>
      </c>
      <c r="GQ251" s="675">
        <f>SUM(GQ252:GQ253)</f>
        <v>-93049</v>
      </c>
      <c r="GR251" s="74">
        <f t="shared" si="8549"/>
        <v>1625929</v>
      </c>
      <c r="GS251" s="74">
        <f t="shared" si="8549"/>
        <v>1470757</v>
      </c>
      <c r="GT251" s="549">
        <f t="shared" si="8549"/>
        <v>1625929</v>
      </c>
      <c r="GU251" s="74">
        <f>SUM(GU252:GU253)</f>
        <v>155180</v>
      </c>
      <c r="GV251" s="74">
        <f t="shared" ref="GV251:HA251" si="8565">SUM(GV252:GV253)</f>
        <v>155172</v>
      </c>
      <c r="GW251" s="74">
        <f t="shared" si="8565"/>
        <v>155172</v>
      </c>
      <c r="GX251" s="74">
        <f t="shared" si="8565"/>
        <v>155172</v>
      </c>
      <c r="GY251" s="74">
        <f t="shared" si="8565"/>
        <v>155172</v>
      </c>
      <c r="GZ251" s="74">
        <f t="shared" si="8565"/>
        <v>155172</v>
      </c>
      <c r="HA251" s="74">
        <f t="shared" si="8565"/>
        <v>155172</v>
      </c>
      <c r="HB251" s="74">
        <f t="shared" ref="HB251:HF251" si="8566">SUM(HB252:HB253)</f>
        <v>155172</v>
      </c>
      <c r="HC251" s="74">
        <f t="shared" si="8566"/>
        <v>155172</v>
      </c>
      <c r="HD251" s="74">
        <f t="shared" si="8566"/>
        <v>155172</v>
      </c>
      <c r="HE251" s="74">
        <f t="shared" si="8566"/>
        <v>155172</v>
      </c>
      <c r="HF251" s="74">
        <f t="shared" si="8566"/>
        <v>0</v>
      </c>
      <c r="HG251" s="74">
        <f>SUM(HG252:HG253)</f>
        <v>1470757</v>
      </c>
      <c r="HH251" s="74">
        <f t="shared" ref="HH251:HI251" si="8567">SUM(HH252:HH253)</f>
        <v>0</v>
      </c>
      <c r="HI251" s="792">
        <f t="shared" si="8567"/>
        <v>0</v>
      </c>
      <c r="HJ251" s="74">
        <f t="shared" ref="HJ251:HK251" si="8568">SUM(HJ252:HJ253)</f>
        <v>0</v>
      </c>
      <c r="HK251" s="792">
        <f t="shared" si="8568"/>
        <v>310352</v>
      </c>
      <c r="HL251" s="74">
        <f t="shared" ref="HL251:HM251" si="8569">SUM(HL252:HL253)</f>
        <v>0</v>
      </c>
      <c r="HM251" s="792">
        <f t="shared" si="8569"/>
        <v>155172</v>
      </c>
      <c r="HN251" s="74">
        <f t="shared" ref="HN251:HO251" si="8570">SUM(HN252:HN253)</f>
        <v>0</v>
      </c>
      <c r="HO251" s="792">
        <f t="shared" si="8570"/>
        <v>155172</v>
      </c>
      <c r="HP251" s="74">
        <f t="shared" ref="HP251:HQ251" si="8571">SUM(HP252:HP253)</f>
        <v>0</v>
      </c>
      <c r="HQ251" s="792">
        <f t="shared" si="8571"/>
        <v>155172</v>
      </c>
      <c r="HR251" s="74">
        <f t="shared" ref="HR251:HS251" si="8572">SUM(HR252:HR253)</f>
        <v>0</v>
      </c>
      <c r="HS251" s="792">
        <f t="shared" si="8572"/>
        <v>155172</v>
      </c>
      <c r="HT251" s="74">
        <f t="shared" ref="HT251:HU251" si="8573">SUM(HT252:HT253)</f>
        <v>0</v>
      </c>
      <c r="HU251" s="792">
        <f t="shared" si="8573"/>
        <v>155172</v>
      </c>
      <c r="HV251" s="74">
        <f t="shared" ref="HV251:HW251" si="8574">SUM(HV252:HV253)</f>
        <v>0</v>
      </c>
      <c r="HW251" s="792">
        <f t="shared" si="8574"/>
        <v>155172</v>
      </c>
      <c r="HX251" s="74">
        <f t="shared" ref="HX251:HY251" si="8575">SUM(HX252:HX253)</f>
        <v>0</v>
      </c>
      <c r="HY251" s="792">
        <f t="shared" si="8575"/>
        <v>155172</v>
      </c>
      <c r="HZ251" s="74">
        <f t="shared" ref="HZ251:IA251" si="8576">SUM(HZ252:HZ253)</f>
        <v>0</v>
      </c>
      <c r="IA251" s="792">
        <f t="shared" si="8576"/>
        <v>155172</v>
      </c>
      <c r="IB251" s="74">
        <f t="shared" ref="IB251:IC251" si="8577">SUM(IB252:IB253)</f>
        <v>0</v>
      </c>
      <c r="IC251" s="792">
        <f t="shared" si="8577"/>
        <v>0</v>
      </c>
      <c r="ID251" s="74">
        <f t="shared" ref="ID251:IE251" si="8578">SUM(ID252:ID253)</f>
        <v>0</v>
      </c>
      <c r="IE251" s="792">
        <f t="shared" si="8578"/>
        <v>0</v>
      </c>
      <c r="IF251" s="841">
        <f>SUM(IF252:IF253)</f>
        <v>1328220.99</v>
      </c>
      <c r="IG251" s="263">
        <f t="shared" ref="IG251:JY251" si="8579">SUM(IG252:IG253)</f>
        <v>1328220.99</v>
      </c>
      <c r="IH251" s="842">
        <f t="shared" si="8579"/>
        <v>1328220.99</v>
      </c>
      <c r="II251" s="74">
        <f t="shared" ref="II251:IK251" si="8580">SUM(II252:II253)</f>
        <v>128626.11</v>
      </c>
      <c r="IJ251" s="74">
        <f t="shared" si="8580"/>
        <v>128626.11</v>
      </c>
      <c r="IK251" s="74">
        <f t="shared" si="8580"/>
        <v>128626.11</v>
      </c>
      <c r="IL251" s="74">
        <f t="shared" ref="IL251:IN251" si="8581">SUM(IL252:IL253)</f>
        <v>128141.90999999999</v>
      </c>
      <c r="IM251" s="74">
        <f t="shared" si="8581"/>
        <v>128141.90999999999</v>
      </c>
      <c r="IN251" s="74">
        <f t="shared" si="8581"/>
        <v>128141.90999999999</v>
      </c>
      <c r="IO251" s="74">
        <f t="shared" ref="IO251:IQ251" si="8582">SUM(IO252:IO253)</f>
        <v>65526.050000000032</v>
      </c>
      <c r="IP251" s="74">
        <f t="shared" si="8582"/>
        <v>65526.050000000032</v>
      </c>
      <c r="IQ251" s="74">
        <f t="shared" si="8582"/>
        <v>65526.050000000032</v>
      </c>
      <c r="IR251" s="74">
        <f t="shared" ref="IR251:IT251" si="8583">SUM(IR252:IR253)</f>
        <v>198590.97999999998</v>
      </c>
      <c r="IS251" s="74">
        <f t="shared" si="8583"/>
        <v>198590.97999999998</v>
      </c>
      <c r="IT251" s="74">
        <f t="shared" si="8583"/>
        <v>198590.97999999998</v>
      </c>
      <c r="IU251" s="74">
        <f t="shared" ref="IU251:IW251" si="8584">SUM(IU252:IU253)</f>
        <v>130789.90000000002</v>
      </c>
      <c r="IV251" s="74">
        <f t="shared" si="8584"/>
        <v>130789.90000000002</v>
      </c>
      <c r="IW251" s="74">
        <f t="shared" si="8584"/>
        <v>130789.90000000002</v>
      </c>
      <c r="IX251" s="74">
        <f t="shared" ref="IX251:IZ251" si="8585">SUM(IX252:IX253)</f>
        <v>134276.92999999993</v>
      </c>
      <c r="IY251" s="74">
        <f t="shared" si="8585"/>
        <v>134276.92999999993</v>
      </c>
      <c r="IZ251" s="74">
        <f t="shared" si="8585"/>
        <v>134276.92999999993</v>
      </c>
      <c r="JA251" s="74">
        <f t="shared" ref="JA251:JC251" si="8586">SUM(JA252:JA253)</f>
        <v>134359.87</v>
      </c>
      <c r="JB251" s="74">
        <f t="shared" si="8586"/>
        <v>134359.87</v>
      </c>
      <c r="JC251" s="74">
        <f t="shared" si="8586"/>
        <v>134359.87</v>
      </c>
      <c r="JD251" s="74">
        <f t="shared" ref="JD251:JF251" si="8587">SUM(JD252:JD253)</f>
        <v>135035.67000000004</v>
      </c>
      <c r="JE251" s="74">
        <f t="shared" si="8587"/>
        <v>135035.67000000004</v>
      </c>
      <c r="JF251" s="74">
        <f t="shared" si="8587"/>
        <v>135035.67000000004</v>
      </c>
      <c r="JG251" s="74">
        <f t="shared" ref="JG251:JI251" si="8588">SUM(JG252:JG253)</f>
        <v>137015.2999999999</v>
      </c>
      <c r="JH251" s="74">
        <f t="shared" si="8588"/>
        <v>137015.2999999999</v>
      </c>
      <c r="JI251" s="74">
        <f t="shared" si="8588"/>
        <v>137015.2999999999</v>
      </c>
      <c r="JJ251" s="74">
        <f t="shared" ref="JJ251:JL251" si="8589">SUM(JJ252:JJ253)</f>
        <v>135858.27000000002</v>
      </c>
      <c r="JK251" s="74">
        <f t="shared" si="8589"/>
        <v>135858.27000000002</v>
      </c>
      <c r="JL251" s="74">
        <f t="shared" si="8589"/>
        <v>135858.27000000002</v>
      </c>
      <c r="JM251" s="74">
        <f t="shared" ref="JM251:JO251" si="8590">SUM(JM252:JM253)</f>
        <v>0</v>
      </c>
      <c r="JN251" s="74">
        <f t="shared" si="8590"/>
        <v>0</v>
      </c>
      <c r="JO251" s="74">
        <f t="shared" si="8590"/>
        <v>0</v>
      </c>
      <c r="JP251" s="74">
        <f t="shared" si="8579"/>
        <v>0</v>
      </c>
      <c r="JQ251" s="74">
        <f t="shared" si="8579"/>
        <v>0</v>
      </c>
      <c r="JR251" s="74">
        <f t="shared" si="8579"/>
        <v>0</v>
      </c>
      <c r="JS251" s="74">
        <f>SUM(JS252:JS253)</f>
        <v>142536.01000000007</v>
      </c>
      <c r="JT251" s="382">
        <f>SUM(JT252:JT253)</f>
        <v>142536.01000000007</v>
      </c>
      <c r="JU251" s="670"/>
      <c r="JV251" s="489"/>
      <c r="JW251" s="530"/>
      <c r="JX251" s="548">
        <f t="shared" si="8579"/>
        <v>0</v>
      </c>
      <c r="JY251" s="548">
        <f t="shared" si="8579"/>
        <v>1551728</v>
      </c>
      <c r="JZ251" s="581">
        <f t="shared" si="7470"/>
        <v>12078</v>
      </c>
      <c r="KA251" s="581">
        <f t="shared" si="7471"/>
        <v>-93049</v>
      </c>
      <c r="KB251" s="548">
        <f t="shared" si="8523"/>
        <v>1470757</v>
      </c>
      <c r="KC251" s="709">
        <f t="shared" si="7396"/>
        <v>0</v>
      </c>
      <c r="KD251" s="37"/>
      <c r="KE251" s="37"/>
      <c r="KF251" s="37"/>
      <c r="KG251" s="37"/>
      <c r="KH251" s="37"/>
      <c r="KI251" s="37"/>
      <c r="KJ251" s="37"/>
      <c r="KK251" s="37"/>
    </row>
    <row r="252" spans="1:297" s="33" customFormat="1">
      <c r="A252" s="86" t="s">
        <v>226</v>
      </c>
      <c r="B252" s="77" t="s">
        <v>60</v>
      </c>
      <c r="C252" s="74">
        <v>1535200</v>
      </c>
      <c r="D252" s="549">
        <v>0</v>
      </c>
      <c r="E252" s="675">
        <v>0</v>
      </c>
      <c r="F252" s="549">
        <v>0</v>
      </c>
      <c r="G252" s="675">
        <v>0</v>
      </c>
      <c r="H252" s="549">
        <v>0</v>
      </c>
      <c r="I252" s="675">
        <v>0</v>
      </c>
      <c r="J252" s="549">
        <v>0</v>
      </c>
      <c r="K252" s="675">
        <v>0</v>
      </c>
      <c r="L252" s="549">
        <v>0</v>
      </c>
      <c r="M252" s="675">
        <v>0</v>
      </c>
      <c r="N252" s="549">
        <v>0</v>
      </c>
      <c r="O252" s="675">
        <v>0</v>
      </c>
      <c r="P252" s="549">
        <v>0</v>
      </c>
      <c r="Q252" s="675">
        <v>0</v>
      </c>
      <c r="R252" s="549">
        <v>0</v>
      </c>
      <c r="S252" s="675">
        <v>0</v>
      </c>
      <c r="T252" s="549">
        <v>0</v>
      </c>
      <c r="U252" s="675">
        <v>0</v>
      </c>
      <c r="V252" s="549">
        <v>0</v>
      </c>
      <c r="W252" s="675">
        <v>0</v>
      </c>
      <c r="X252" s="549">
        <v>0</v>
      </c>
      <c r="Y252" s="675">
        <v>0</v>
      </c>
      <c r="Z252" s="549">
        <v>0</v>
      </c>
      <c r="AA252" s="675">
        <v>0</v>
      </c>
      <c r="AB252" s="549">
        <v>0</v>
      </c>
      <c r="AC252" s="675">
        <v>0</v>
      </c>
      <c r="AD252" s="549">
        <v>0</v>
      </c>
      <c r="AE252" s="675">
        <v>0</v>
      </c>
      <c r="AF252" s="549">
        <v>0</v>
      </c>
      <c r="AG252" s="675">
        <v>0</v>
      </c>
      <c r="AH252" s="549">
        <v>0</v>
      </c>
      <c r="AI252" s="675">
        <v>0</v>
      </c>
      <c r="AJ252" s="549">
        <v>0</v>
      </c>
      <c r="AK252" s="675">
        <v>0</v>
      </c>
      <c r="AL252" s="549">
        <v>0</v>
      </c>
      <c r="AM252" s="675">
        <v>0</v>
      </c>
      <c r="AN252" s="549">
        <v>0</v>
      </c>
      <c r="AO252" s="675">
        <v>-26890</v>
      </c>
      <c r="AP252" s="549">
        <v>0</v>
      </c>
      <c r="AQ252" s="675">
        <v>0</v>
      </c>
      <c r="AR252" s="549">
        <v>0</v>
      </c>
      <c r="AS252" s="675">
        <v>-8480</v>
      </c>
      <c r="AT252" s="549">
        <v>0</v>
      </c>
      <c r="AU252" s="675">
        <v>0</v>
      </c>
      <c r="AV252" s="549">
        <v>0</v>
      </c>
      <c r="AW252" s="675">
        <v>-11643</v>
      </c>
      <c r="AX252" s="549">
        <v>0</v>
      </c>
      <c r="AY252" s="675">
        <v>0</v>
      </c>
      <c r="AZ252" s="549">
        <v>0</v>
      </c>
      <c r="BA252" s="675">
        <v>0</v>
      </c>
      <c r="BB252" s="549">
        <v>0</v>
      </c>
      <c r="BC252" s="675">
        <v>0</v>
      </c>
      <c r="BD252" s="549">
        <v>0</v>
      </c>
      <c r="BE252" s="675">
        <v>0</v>
      </c>
      <c r="BF252" s="549">
        <v>0</v>
      </c>
      <c r="BG252" s="675">
        <v>0</v>
      </c>
      <c r="BH252" s="549">
        <v>0</v>
      </c>
      <c r="BI252" s="675">
        <v>0</v>
      </c>
      <c r="BJ252" s="549">
        <v>0</v>
      </c>
      <c r="BK252" s="675">
        <v>0</v>
      </c>
      <c r="BL252" s="549">
        <v>0</v>
      </c>
      <c r="BM252" s="675">
        <v>0</v>
      </c>
      <c r="BN252" s="549">
        <v>0</v>
      </c>
      <c r="BO252" s="675">
        <v>0</v>
      </c>
      <c r="BP252" s="549">
        <v>0</v>
      </c>
      <c r="BQ252" s="675">
        <v>0</v>
      </c>
      <c r="BR252" s="549">
        <v>0</v>
      </c>
      <c r="BS252" s="675">
        <v>0</v>
      </c>
      <c r="BT252" s="549">
        <v>0</v>
      </c>
      <c r="BU252" s="675">
        <v>0</v>
      </c>
      <c r="BV252" s="549">
        <v>0</v>
      </c>
      <c r="BW252" s="675">
        <v>-7480</v>
      </c>
      <c r="BX252" s="549">
        <v>0</v>
      </c>
      <c r="BY252" s="675">
        <v>0</v>
      </c>
      <c r="BZ252" s="549">
        <v>0</v>
      </c>
      <c r="CA252" s="675">
        <v>0</v>
      </c>
      <c r="CB252" s="549">
        <v>0</v>
      </c>
      <c r="CC252" s="675">
        <v>0</v>
      </c>
      <c r="CD252" s="549">
        <v>0</v>
      </c>
      <c r="CE252" s="675">
        <v>0</v>
      </c>
      <c r="CF252" s="549">
        <v>0</v>
      </c>
      <c r="CG252" s="675">
        <v>0</v>
      </c>
      <c r="CH252" s="549">
        <v>0</v>
      </c>
      <c r="CI252" s="675">
        <v>0</v>
      </c>
      <c r="CJ252" s="549">
        <v>0</v>
      </c>
      <c r="CK252" s="675">
        <v>0</v>
      </c>
      <c r="CL252" s="549">
        <v>0</v>
      </c>
      <c r="CM252" s="675">
        <v>0</v>
      </c>
      <c r="CN252" s="549">
        <v>0</v>
      </c>
      <c r="CO252" s="675">
        <v>0</v>
      </c>
      <c r="CP252" s="549">
        <v>0</v>
      </c>
      <c r="CQ252" s="675">
        <v>0</v>
      </c>
      <c r="CR252" s="549">
        <v>0</v>
      </c>
      <c r="CS252" s="675">
        <v>0</v>
      </c>
      <c r="CT252" s="549">
        <v>0</v>
      </c>
      <c r="CU252" s="675">
        <v>0</v>
      </c>
      <c r="CV252" s="549">
        <v>0</v>
      </c>
      <c r="CW252" s="675">
        <v>0</v>
      </c>
      <c r="CX252" s="549">
        <v>0</v>
      </c>
      <c r="CY252" s="675">
        <v>0</v>
      </c>
      <c r="CZ252" s="549">
        <v>0</v>
      </c>
      <c r="DA252" s="675">
        <v>0</v>
      </c>
      <c r="DB252" s="549">
        <v>0</v>
      </c>
      <c r="DC252" s="675">
        <v>0</v>
      </c>
      <c r="DD252" s="549">
        <v>0</v>
      </c>
      <c r="DE252" s="675">
        <v>0</v>
      </c>
      <c r="DF252" s="549">
        <v>0</v>
      </c>
      <c r="DG252" s="675">
        <v>0</v>
      </c>
      <c r="DH252" s="549">
        <v>0</v>
      </c>
      <c r="DI252" s="675">
        <v>0</v>
      </c>
      <c r="DJ252" s="549">
        <v>0</v>
      </c>
      <c r="DK252" s="675">
        <v>0</v>
      </c>
      <c r="DL252" s="549">
        <v>0</v>
      </c>
      <c r="DM252" s="675">
        <v>0</v>
      </c>
      <c r="DN252" s="549">
        <v>0</v>
      </c>
      <c r="DO252" s="675">
        <v>0</v>
      </c>
      <c r="DP252" s="549">
        <v>0</v>
      </c>
      <c r="DQ252" s="675">
        <v>0</v>
      </c>
      <c r="DR252" s="549">
        <v>0</v>
      </c>
      <c r="DS252" s="675">
        <v>0</v>
      </c>
      <c r="DT252" s="549">
        <v>0</v>
      </c>
      <c r="DU252" s="675">
        <v>0</v>
      </c>
      <c r="DV252" s="549">
        <v>0</v>
      </c>
      <c r="DW252" s="675">
        <v>0</v>
      </c>
      <c r="DX252" s="549">
        <v>0</v>
      </c>
      <c r="DY252" s="675">
        <v>0</v>
      </c>
      <c r="DZ252" s="549">
        <v>0</v>
      </c>
      <c r="EA252" s="675">
        <v>0</v>
      </c>
      <c r="EB252" s="549">
        <v>0</v>
      </c>
      <c r="EC252" s="675">
        <v>0</v>
      </c>
      <c r="ED252" s="549">
        <v>0</v>
      </c>
      <c r="EE252" s="675">
        <v>0</v>
      </c>
      <c r="EF252" s="549">
        <v>0</v>
      </c>
      <c r="EG252" s="675">
        <v>-29858</v>
      </c>
      <c r="EH252" s="549">
        <v>0</v>
      </c>
      <c r="EI252" s="675">
        <v>0</v>
      </c>
      <c r="EJ252" s="549">
        <v>0</v>
      </c>
      <c r="EK252" s="675">
        <v>0</v>
      </c>
      <c r="EL252" s="549">
        <v>0</v>
      </c>
      <c r="EM252" s="675">
        <v>0</v>
      </c>
      <c r="EN252" s="549">
        <v>0</v>
      </c>
      <c r="EO252" s="675">
        <v>0</v>
      </c>
      <c r="EP252" s="549">
        <v>0</v>
      </c>
      <c r="EQ252" s="675">
        <v>0</v>
      </c>
      <c r="ER252" s="549">
        <v>0</v>
      </c>
      <c r="ES252" s="675">
        <v>0</v>
      </c>
      <c r="ET252" s="549">
        <v>0</v>
      </c>
      <c r="EU252" s="675">
        <v>0</v>
      </c>
      <c r="EV252" s="549">
        <v>0</v>
      </c>
      <c r="EW252" s="675">
        <v>0</v>
      </c>
      <c r="EX252" s="549">
        <v>0</v>
      </c>
      <c r="EY252" s="675">
        <v>0</v>
      </c>
      <c r="EZ252" s="549">
        <v>0</v>
      </c>
      <c r="FA252" s="675">
        <v>0</v>
      </c>
      <c r="FB252" s="549">
        <v>0</v>
      </c>
      <c r="FC252" s="675">
        <v>0</v>
      </c>
      <c r="FD252" s="549">
        <v>0</v>
      </c>
      <c r="FE252" s="675">
        <v>0</v>
      </c>
      <c r="FF252" s="549">
        <v>0</v>
      </c>
      <c r="FG252" s="675">
        <v>0</v>
      </c>
      <c r="FH252" s="549">
        <v>0</v>
      </c>
      <c r="FI252" s="675">
        <v>0</v>
      </c>
      <c r="FJ252" s="549">
        <v>0</v>
      </c>
      <c r="FK252" s="675">
        <v>0</v>
      </c>
      <c r="FL252" s="549">
        <v>0</v>
      </c>
      <c r="FM252" s="675">
        <v>0</v>
      </c>
      <c r="FN252" s="549">
        <v>0</v>
      </c>
      <c r="FO252" s="675">
        <v>0</v>
      </c>
      <c r="FP252" s="549">
        <v>0</v>
      </c>
      <c r="FQ252" s="675">
        <v>0</v>
      </c>
      <c r="FR252" s="549">
        <v>0</v>
      </c>
      <c r="FS252" s="675">
        <v>0</v>
      </c>
      <c r="FT252" s="549">
        <v>0</v>
      </c>
      <c r="FU252" s="675">
        <v>0</v>
      </c>
      <c r="FV252" s="549">
        <v>0</v>
      </c>
      <c r="FW252" s="675">
        <v>0</v>
      </c>
      <c r="FX252" s="549">
        <v>0</v>
      </c>
      <c r="FY252" s="675">
        <v>0</v>
      </c>
      <c r="FZ252" s="549">
        <v>0</v>
      </c>
      <c r="GA252" s="675">
        <v>0</v>
      </c>
      <c r="GB252" s="549">
        <v>0</v>
      </c>
      <c r="GC252" s="675">
        <v>0</v>
      </c>
      <c r="GD252" s="549">
        <v>0</v>
      </c>
      <c r="GE252" s="675">
        <v>0</v>
      </c>
      <c r="GF252" s="549">
        <v>0</v>
      </c>
      <c r="GG252" s="675">
        <v>0</v>
      </c>
      <c r="GH252" s="549">
        <v>0</v>
      </c>
      <c r="GI252" s="675">
        <v>0</v>
      </c>
      <c r="GJ252" s="549">
        <v>0</v>
      </c>
      <c r="GK252" s="675">
        <v>0</v>
      </c>
      <c r="GL252" s="549">
        <v>0</v>
      </c>
      <c r="GM252" s="675">
        <v>0</v>
      </c>
      <c r="GN252" s="549">
        <v>0</v>
      </c>
      <c r="GO252" s="675">
        <v>0</v>
      </c>
      <c r="GP252" s="549">
        <f t="shared" ref="GP252:GP253" si="8591">+D252+F252+H252+J252+L252+N252+P252+R252+T252+V252+X252+Z252+AB252+AF252+AD252+AH252+AJ252+AL252+AN252+AP252+AR252+AT252+AV252+AX252+AZ252+BB252+BD252+BF252+BH252+BJ252+BL252+BN252+BP252+BR252+BT252+BV252+BX252+BZ252+CB252+CD252+CF252+CH252+CJ252+CL252+CN252+CP252+CR252+CT252+CV252+CX252+CZ252+DB252+DD252+DF252+DH252+DT252+EX252+DJ252+DL252+DN252+DP252+DR252+EJ252+EB252+DZ252+DX252+DV252+ED252+EF252+EH252+EL252+EN252+EP252+EV252+ET252+ER252+EZ252+FB252+FD252+GL252+FF252+FJ252+FL252+GJ252+FT252+FR252+FP252+FN252+FH252+GH252+GF252+GD252+GB252+FZ252+FX252+FV252+GN252</f>
        <v>0</v>
      </c>
      <c r="GQ252" s="675">
        <f t="shared" ref="GQ252:GQ253" si="8592">+E252+G252+I252+K252+M252+O252+Q252+S252+U252+W252+Y252+AA252+AC252+AE252+AG252+AI252+AK252+AM252+AO252+AQ252+AS252+AU252+AW252+AY252+BA252+BC252+BE252+BG252+BI252+BK252+BM252+BO252+BQ252+BS252+BU252+BW252+BY252+CA252+CC252+CE252+CG252+CI252+CK252+CM252+CO252+CQ252+CS252+CU252+CW252+CY252+DA252+DC252+DE252+DG252+DI252+DU252+EY252+DK252+DM252+DO252+DQ252+DS252+EK252+EC252+EA252+DY252+DW252+EI252+EG252+EE252+EM252+EO252+EQ252+EW252+EU252+ES252+FA252+FC252+FE252+GM252+FG252+FK252+FM252+FO252+FQ252+FS252+FU252+GK252+FI252+GI252+GG252+GE252+GC252+GA252+FY252+FW252+GO252</f>
        <v>-84351</v>
      </c>
      <c r="GR252" s="74">
        <f>C252+GP252+GQ252</f>
        <v>1450849</v>
      </c>
      <c r="GS252" s="74">
        <f t="shared" ref="GS252:GS253" si="8593">SUM(GU252:HD252)+GP252+GQ252</f>
        <v>1311286</v>
      </c>
      <c r="GT252" s="568">
        <f t="shared" ref="GT252:GT253" si="8594">SUM(GU252:HF252)+GQ252+GP252</f>
        <v>1450849</v>
      </c>
      <c r="GU252" s="275">
        <v>139570</v>
      </c>
      <c r="GV252" s="275">
        <v>139563</v>
      </c>
      <c r="GW252" s="275">
        <v>139563</v>
      </c>
      <c r="GX252" s="275">
        <v>139563</v>
      </c>
      <c r="GY252" s="275">
        <v>139563</v>
      </c>
      <c r="GZ252" s="275">
        <v>139563</v>
      </c>
      <c r="HA252" s="275">
        <v>139563</v>
      </c>
      <c r="HB252" s="275">
        <v>139563</v>
      </c>
      <c r="HC252" s="275">
        <v>139563</v>
      </c>
      <c r="HD252" s="275">
        <v>139563</v>
      </c>
      <c r="HE252" s="275">
        <v>139563</v>
      </c>
      <c r="HF252" s="275">
        <v>0</v>
      </c>
      <c r="HG252" s="74">
        <f>SUM(HH252:IE252)+GP252+GQ252</f>
        <v>1311286</v>
      </c>
      <c r="HH252" s="89">
        <v>0</v>
      </c>
      <c r="HI252" s="817">
        <v>0</v>
      </c>
      <c r="HJ252" s="89">
        <v>0</v>
      </c>
      <c r="HK252" s="817">
        <f>228976.24+50156.76</f>
        <v>279133</v>
      </c>
      <c r="HL252" s="89">
        <v>0</v>
      </c>
      <c r="HM252" s="817">
        <f>8350.52+131212.48</f>
        <v>139563</v>
      </c>
      <c r="HN252" s="89">
        <v>0</v>
      </c>
      <c r="HO252" s="817">
        <f>66649.48+72913.52</f>
        <v>139563</v>
      </c>
      <c r="HP252" s="89">
        <v>0</v>
      </c>
      <c r="HQ252" s="817">
        <f>70833.42+68729.58</f>
        <v>139563</v>
      </c>
      <c r="HR252" s="89">
        <v>0</v>
      </c>
      <c r="HS252" s="817">
        <f>58957.35+80605.65</f>
        <v>139563</v>
      </c>
      <c r="HT252" s="89">
        <v>0</v>
      </c>
      <c r="HU252" s="817">
        <f>37604.22+101958.78</f>
        <v>139563</v>
      </c>
      <c r="HV252" s="89">
        <v>0</v>
      </c>
      <c r="HW252" s="817">
        <f>122903.11+16659.89</f>
        <v>139563</v>
      </c>
      <c r="HX252" s="89">
        <v>0</v>
      </c>
      <c r="HY252" s="817">
        <f>26950.92+112612.08</f>
        <v>139563</v>
      </c>
      <c r="HZ252" s="89">
        <v>0</v>
      </c>
      <c r="IA252" s="817">
        <f>132058.81+7504.19</f>
        <v>139563</v>
      </c>
      <c r="IB252" s="89">
        <v>0</v>
      </c>
      <c r="IC252" s="817">
        <v>0</v>
      </c>
      <c r="ID252" s="89">
        <v>0</v>
      </c>
      <c r="IE252" s="817">
        <v>0</v>
      </c>
      <c r="IF252" s="841">
        <f t="shared" ref="IF252:IF253" si="8595">SUM(II252,IL252,IO252,IR252,IU252,IX252,JA252,JD252,JG252,JJ252,JM252,JP252)</f>
        <v>1179227.19</v>
      </c>
      <c r="IG252" s="263">
        <f t="shared" ref="IG252:IG253" si="8596">SUM(IJ252,IM252,IP252,IS252,IV252,IY252,JB252,JE252,JH252,JK252,JN252,JQ252)</f>
        <v>1179227.19</v>
      </c>
      <c r="IH252" s="842">
        <f t="shared" ref="IH252:IH253" si="8597">SUM(IK252,IN252,IQ252,IT252,IW252,IZ252,JC252,JF252,JI252,JL252,JO252,JR252)</f>
        <v>1179227.19</v>
      </c>
      <c r="II252" s="89">
        <v>113971.33</v>
      </c>
      <c r="IJ252" s="89">
        <f t="shared" ref="IJ252:IJ253" si="8598">II252</f>
        <v>113971.33</v>
      </c>
      <c r="IK252" s="89">
        <f t="shared" ref="IK252:IK253" si="8599">IJ252</f>
        <v>113971.33</v>
      </c>
      <c r="IL252" s="89">
        <f>228976.24-113971.33</f>
        <v>115004.90999999999</v>
      </c>
      <c r="IM252" s="89">
        <f t="shared" ref="IM252:IM253" si="8600">IL252</f>
        <v>115004.90999999999</v>
      </c>
      <c r="IN252" s="89">
        <f t="shared" ref="IN252:IN253" si="8601">IM252</f>
        <v>115004.90999999999</v>
      </c>
      <c r="IO252" s="89">
        <f>287483.52-228976.24</f>
        <v>58507.280000000028</v>
      </c>
      <c r="IP252" s="89">
        <f t="shared" ref="IP252:IP253" si="8602">IO252</f>
        <v>58507.280000000028</v>
      </c>
      <c r="IQ252" s="89">
        <f t="shared" ref="IQ252:IQ253" si="8603">IP252</f>
        <v>58507.280000000028</v>
      </c>
      <c r="IR252" s="89">
        <f>464719.52-287483.52</f>
        <v>177236</v>
      </c>
      <c r="IS252" s="89">
        <f t="shared" ref="IS252:IS253" si="8604">IR252</f>
        <v>177236</v>
      </c>
      <c r="IT252" s="89">
        <f t="shared" ref="IT252:IT253" si="8605">IS252</f>
        <v>177236</v>
      </c>
      <c r="IU252" s="89">
        <f>582079.42-464719.52</f>
        <v>117359.90000000002</v>
      </c>
      <c r="IV252" s="89">
        <f t="shared" ref="IV252:IV253" si="8606">IU252</f>
        <v>117359.90000000002</v>
      </c>
      <c r="IW252" s="89">
        <f t="shared" ref="IW252:IW253" si="8607">IV252</f>
        <v>117359.90000000002</v>
      </c>
      <c r="IX252" s="89">
        <f>702286.35-582079.42</f>
        <v>120206.92999999993</v>
      </c>
      <c r="IY252" s="89">
        <f t="shared" ref="IY252:IY253" si="8608">IX252</f>
        <v>120206.92999999993</v>
      </c>
      <c r="IZ252" s="89">
        <f t="shared" ref="IZ252:IZ253" si="8609">IY252</f>
        <v>120206.92999999993</v>
      </c>
      <c r="JA252" s="89">
        <f>820496.22-702286.35</f>
        <v>118209.87</v>
      </c>
      <c r="JB252" s="89">
        <f t="shared" ref="JB252:JB253" si="8610">JA252</f>
        <v>118209.87</v>
      </c>
      <c r="JC252" s="89">
        <f t="shared" ref="JC252:JC253" si="8611">JB252</f>
        <v>118209.87</v>
      </c>
      <c r="JD252" s="89">
        <f>939114.89-820496.22</f>
        <v>118618.67000000004</v>
      </c>
      <c r="JE252" s="89">
        <f t="shared" ref="JE252:JE253" si="8612">JD252</f>
        <v>118618.67000000004</v>
      </c>
      <c r="JF252" s="89">
        <f t="shared" ref="JF252:JF253" si="8613">JE252</f>
        <v>118618.67000000004</v>
      </c>
      <c r="JG252" s="837">
        <f>1059110.92-939114.89</f>
        <v>119996.02999999991</v>
      </c>
      <c r="JH252" s="89">
        <f t="shared" ref="JH252:JH253" si="8614">JG252</f>
        <v>119996.02999999991</v>
      </c>
      <c r="JI252" s="89">
        <f t="shared" ref="JI252:JI253" si="8615">JH252</f>
        <v>119996.02999999991</v>
      </c>
      <c r="JJ252" s="89">
        <f>1179227.19-1059110.92</f>
        <v>120116.27000000002</v>
      </c>
      <c r="JK252" s="89">
        <f t="shared" ref="JK252:JK253" si="8616">JJ252</f>
        <v>120116.27000000002</v>
      </c>
      <c r="JL252" s="89">
        <f t="shared" ref="JL252:JL253" si="8617">JK252</f>
        <v>120116.27000000002</v>
      </c>
      <c r="JM252" s="89">
        <v>0</v>
      </c>
      <c r="JN252" s="89">
        <f t="shared" ref="JN252:JN253" si="8618">JM252</f>
        <v>0</v>
      </c>
      <c r="JO252" s="89">
        <f t="shared" ref="JO252:JO253" si="8619">JN252</f>
        <v>0</v>
      </c>
      <c r="JP252" s="89">
        <v>0</v>
      </c>
      <c r="JQ252" s="89">
        <f t="shared" ref="JQ252:JR252" si="8620">JP252</f>
        <v>0</v>
      </c>
      <c r="JR252" s="89">
        <f t="shared" si="8620"/>
        <v>0</v>
      </c>
      <c r="JS252" s="74">
        <f>HG252-IF252</f>
        <v>132058.81000000006</v>
      </c>
      <c r="JT252" s="382">
        <f>GS252-IF252</f>
        <v>132058.81000000006</v>
      </c>
      <c r="JU252" s="670"/>
      <c r="JV252" s="489"/>
      <c r="JW252" s="490"/>
      <c r="JX252" s="548">
        <f>SUM(HH252,HJ252,HL252,HN252,HP252,HR252,HT252,HV252,HX252,HZ252,IB252,ID252)</f>
        <v>0</v>
      </c>
      <c r="JY252" s="548">
        <f>SUM(HI252,HK252,HM252,HO252,HQ252,HS252,HU252,HW252,HY252,IA252,IC252,IE252)</f>
        <v>1395637</v>
      </c>
      <c r="JZ252" s="581">
        <f t="shared" si="7470"/>
        <v>0</v>
      </c>
      <c r="KA252" s="581">
        <f t="shared" si="7471"/>
        <v>-84351</v>
      </c>
      <c r="KB252" s="548">
        <f t="shared" si="8523"/>
        <v>1311286</v>
      </c>
      <c r="KC252" s="709">
        <f t="shared" si="7396"/>
        <v>0</v>
      </c>
      <c r="KD252" s="36"/>
      <c r="KE252" s="36"/>
      <c r="KF252" s="36"/>
      <c r="KG252" s="36"/>
      <c r="KH252" s="36"/>
      <c r="KI252" s="36"/>
      <c r="KJ252" s="36"/>
      <c r="KK252" s="36"/>
    </row>
    <row r="253" spans="1:297" s="33" customFormat="1">
      <c r="A253" s="86" t="s">
        <v>227</v>
      </c>
      <c r="B253" s="77" t="s">
        <v>62</v>
      </c>
      <c r="C253" s="74">
        <v>171700</v>
      </c>
      <c r="D253" s="549">
        <v>0</v>
      </c>
      <c r="E253" s="675">
        <v>0</v>
      </c>
      <c r="F253" s="549">
        <v>0</v>
      </c>
      <c r="G253" s="675">
        <v>0</v>
      </c>
      <c r="H253" s="549">
        <v>0</v>
      </c>
      <c r="I253" s="675">
        <v>0</v>
      </c>
      <c r="J253" s="549">
        <v>0</v>
      </c>
      <c r="K253" s="675">
        <v>0</v>
      </c>
      <c r="L253" s="549">
        <v>0</v>
      </c>
      <c r="M253" s="675">
        <v>0</v>
      </c>
      <c r="N253" s="549">
        <v>0</v>
      </c>
      <c r="O253" s="675">
        <v>0</v>
      </c>
      <c r="P253" s="549">
        <v>0</v>
      </c>
      <c r="Q253" s="675">
        <v>0</v>
      </c>
      <c r="R253" s="549">
        <v>1212</v>
      </c>
      <c r="S253" s="675">
        <v>0</v>
      </c>
      <c r="T253" s="549">
        <v>0</v>
      </c>
      <c r="U253" s="675">
        <v>0</v>
      </c>
      <c r="V253" s="549">
        <v>0</v>
      </c>
      <c r="W253" s="675">
        <v>0</v>
      </c>
      <c r="X253" s="549">
        <v>0</v>
      </c>
      <c r="Y253" s="675">
        <v>0</v>
      </c>
      <c r="Z253" s="549">
        <v>0</v>
      </c>
      <c r="AA253" s="675">
        <v>0</v>
      </c>
      <c r="AB253" s="549">
        <v>0</v>
      </c>
      <c r="AC253" s="675">
        <v>0</v>
      </c>
      <c r="AD253" s="549">
        <v>0</v>
      </c>
      <c r="AE253" s="675">
        <v>0</v>
      </c>
      <c r="AF253" s="549">
        <v>0</v>
      </c>
      <c r="AG253" s="675">
        <v>0</v>
      </c>
      <c r="AH253" s="549">
        <v>0</v>
      </c>
      <c r="AI253" s="675">
        <v>0</v>
      </c>
      <c r="AJ253" s="549">
        <v>0</v>
      </c>
      <c r="AK253" s="675">
        <v>0</v>
      </c>
      <c r="AL253" s="549">
        <v>0</v>
      </c>
      <c r="AM253" s="675">
        <v>0</v>
      </c>
      <c r="AN253" s="549">
        <v>0</v>
      </c>
      <c r="AO253" s="675">
        <v>-2036</v>
      </c>
      <c r="AP253" s="549">
        <v>0</v>
      </c>
      <c r="AQ253" s="675">
        <v>0</v>
      </c>
      <c r="AR253" s="549">
        <v>0</v>
      </c>
      <c r="AS253" s="675">
        <v>0</v>
      </c>
      <c r="AT253" s="549">
        <v>0</v>
      </c>
      <c r="AU253" s="675">
        <v>0</v>
      </c>
      <c r="AV253" s="549">
        <v>0</v>
      </c>
      <c r="AW253" s="675">
        <v>-243</v>
      </c>
      <c r="AX253" s="549">
        <v>0</v>
      </c>
      <c r="AY253" s="675">
        <v>0</v>
      </c>
      <c r="AZ253" s="549">
        <v>0</v>
      </c>
      <c r="BA253" s="675">
        <v>0</v>
      </c>
      <c r="BB253" s="549">
        <v>0</v>
      </c>
      <c r="BC253" s="675">
        <v>0</v>
      </c>
      <c r="BD253" s="549">
        <v>0</v>
      </c>
      <c r="BE253" s="675">
        <v>0</v>
      </c>
      <c r="BF253" s="549">
        <v>0</v>
      </c>
      <c r="BG253" s="675">
        <v>0</v>
      </c>
      <c r="BH253" s="549">
        <v>0</v>
      </c>
      <c r="BI253" s="675">
        <v>0</v>
      </c>
      <c r="BJ253" s="549">
        <v>0</v>
      </c>
      <c r="BK253" s="675">
        <v>0</v>
      </c>
      <c r="BL253" s="549">
        <v>0</v>
      </c>
      <c r="BM253" s="675">
        <v>0</v>
      </c>
      <c r="BN253" s="549">
        <v>0</v>
      </c>
      <c r="BO253" s="675">
        <v>0</v>
      </c>
      <c r="BP253" s="549">
        <v>0</v>
      </c>
      <c r="BQ253" s="675">
        <v>0</v>
      </c>
      <c r="BR253" s="549">
        <v>0</v>
      </c>
      <c r="BS253" s="675">
        <v>0</v>
      </c>
      <c r="BT253" s="549">
        <v>0</v>
      </c>
      <c r="BU253" s="675">
        <v>0</v>
      </c>
      <c r="BV253" s="549">
        <v>0</v>
      </c>
      <c r="BW253" s="675">
        <v>0</v>
      </c>
      <c r="BX253" s="549">
        <v>0</v>
      </c>
      <c r="BY253" s="675">
        <v>0</v>
      </c>
      <c r="BZ253" s="549">
        <v>0</v>
      </c>
      <c r="CA253" s="675">
        <v>0</v>
      </c>
      <c r="CB253" s="549">
        <v>0</v>
      </c>
      <c r="CC253" s="675">
        <v>0</v>
      </c>
      <c r="CD253" s="549">
        <v>0</v>
      </c>
      <c r="CE253" s="675">
        <v>0</v>
      </c>
      <c r="CF253" s="549">
        <v>0</v>
      </c>
      <c r="CG253" s="675">
        <v>0</v>
      </c>
      <c r="CH253" s="549">
        <v>0</v>
      </c>
      <c r="CI253" s="675">
        <v>0</v>
      </c>
      <c r="CJ253" s="549">
        <v>0</v>
      </c>
      <c r="CK253" s="675">
        <v>0</v>
      </c>
      <c r="CL253" s="549">
        <v>0</v>
      </c>
      <c r="CM253" s="675">
        <v>0</v>
      </c>
      <c r="CN253" s="549">
        <v>6366</v>
      </c>
      <c r="CO253" s="675">
        <v>0</v>
      </c>
      <c r="CP253" s="549">
        <v>0</v>
      </c>
      <c r="CQ253" s="675">
        <v>0</v>
      </c>
      <c r="CR253" s="549">
        <v>0</v>
      </c>
      <c r="CS253" s="675">
        <v>0</v>
      </c>
      <c r="CT253" s="549">
        <v>0</v>
      </c>
      <c r="CU253" s="675">
        <v>0</v>
      </c>
      <c r="CV253" s="549">
        <v>4500</v>
      </c>
      <c r="CW253" s="675">
        <v>0</v>
      </c>
      <c r="CX253" s="549">
        <v>0</v>
      </c>
      <c r="CY253" s="675">
        <v>0</v>
      </c>
      <c r="CZ253" s="549">
        <v>0</v>
      </c>
      <c r="DA253" s="675">
        <v>0</v>
      </c>
      <c r="DB253" s="549">
        <v>0</v>
      </c>
      <c r="DC253" s="675">
        <v>0</v>
      </c>
      <c r="DD253" s="549">
        <v>0</v>
      </c>
      <c r="DE253" s="675">
        <v>0</v>
      </c>
      <c r="DF253" s="549">
        <v>0</v>
      </c>
      <c r="DG253" s="675">
        <v>0</v>
      </c>
      <c r="DH253" s="549">
        <v>0</v>
      </c>
      <c r="DI253" s="675">
        <v>0</v>
      </c>
      <c r="DJ253" s="549">
        <v>0</v>
      </c>
      <c r="DK253" s="675">
        <v>0</v>
      </c>
      <c r="DL253" s="549">
        <v>0</v>
      </c>
      <c r="DM253" s="675">
        <v>0</v>
      </c>
      <c r="DN253" s="549">
        <v>0</v>
      </c>
      <c r="DO253" s="675">
        <v>0</v>
      </c>
      <c r="DP253" s="549">
        <v>0</v>
      </c>
      <c r="DQ253" s="675">
        <v>0</v>
      </c>
      <c r="DR253" s="549">
        <v>0</v>
      </c>
      <c r="DS253" s="675">
        <v>0</v>
      </c>
      <c r="DT253" s="549">
        <v>0</v>
      </c>
      <c r="DU253" s="675">
        <v>0</v>
      </c>
      <c r="DV253" s="549">
        <v>0</v>
      </c>
      <c r="DW253" s="675">
        <v>0</v>
      </c>
      <c r="DX253" s="549">
        <v>0</v>
      </c>
      <c r="DY253" s="675">
        <v>0</v>
      </c>
      <c r="DZ253" s="549">
        <v>0</v>
      </c>
      <c r="EA253" s="675">
        <v>0</v>
      </c>
      <c r="EB253" s="549">
        <v>0</v>
      </c>
      <c r="EC253" s="675">
        <v>0</v>
      </c>
      <c r="ED253" s="549">
        <v>0</v>
      </c>
      <c r="EE253" s="675">
        <v>0</v>
      </c>
      <c r="EF253" s="549">
        <v>0</v>
      </c>
      <c r="EG253" s="675">
        <v>-6419</v>
      </c>
      <c r="EH253" s="549">
        <v>0</v>
      </c>
      <c r="EI253" s="675">
        <v>0</v>
      </c>
      <c r="EJ253" s="549">
        <v>0</v>
      </c>
      <c r="EK253" s="675">
        <v>0</v>
      </c>
      <c r="EL253" s="549">
        <v>0</v>
      </c>
      <c r="EM253" s="675">
        <v>0</v>
      </c>
      <c r="EN253" s="549">
        <v>0</v>
      </c>
      <c r="EO253" s="675">
        <v>0</v>
      </c>
      <c r="EP253" s="549">
        <v>0</v>
      </c>
      <c r="EQ253" s="675">
        <v>0</v>
      </c>
      <c r="ER253" s="549">
        <v>0</v>
      </c>
      <c r="ES253" s="675">
        <v>0</v>
      </c>
      <c r="ET253" s="549">
        <v>0</v>
      </c>
      <c r="EU253" s="675">
        <v>0</v>
      </c>
      <c r="EV253" s="549">
        <v>0</v>
      </c>
      <c r="EW253" s="675">
        <v>0</v>
      </c>
      <c r="EX253" s="549">
        <v>0</v>
      </c>
      <c r="EY253" s="675">
        <v>0</v>
      </c>
      <c r="EZ253" s="549">
        <v>0</v>
      </c>
      <c r="FA253" s="675">
        <v>0</v>
      </c>
      <c r="FB253" s="549">
        <v>0</v>
      </c>
      <c r="FC253" s="675">
        <v>0</v>
      </c>
      <c r="FD253" s="549">
        <v>0</v>
      </c>
      <c r="FE253" s="675">
        <v>0</v>
      </c>
      <c r="FF253" s="549">
        <v>0</v>
      </c>
      <c r="FG253" s="675">
        <v>0</v>
      </c>
      <c r="FH253" s="549">
        <v>0</v>
      </c>
      <c r="FI253" s="675">
        <v>0</v>
      </c>
      <c r="FJ253" s="549">
        <v>0</v>
      </c>
      <c r="FK253" s="675">
        <v>0</v>
      </c>
      <c r="FL253" s="549">
        <v>0</v>
      </c>
      <c r="FM253" s="675">
        <v>0</v>
      </c>
      <c r="FN253" s="549">
        <v>0</v>
      </c>
      <c r="FO253" s="675">
        <v>0</v>
      </c>
      <c r="FP253" s="549">
        <v>0</v>
      </c>
      <c r="FQ253" s="675">
        <v>0</v>
      </c>
      <c r="FR253" s="549">
        <v>0</v>
      </c>
      <c r="FS253" s="675">
        <v>0</v>
      </c>
      <c r="FT253" s="549">
        <v>0</v>
      </c>
      <c r="FU253" s="675">
        <v>0</v>
      </c>
      <c r="FV253" s="549">
        <v>0</v>
      </c>
      <c r="FW253" s="675">
        <v>0</v>
      </c>
      <c r="FX253" s="549">
        <v>0</v>
      </c>
      <c r="FY253" s="675">
        <v>0</v>
      </c>
      <c r="FZ253" s="549">
        <v>0</v>
      </c>
      <c r="GA253" s="675">
        <v>0</v>
      </c>
      <c r="GB253" s="549">
        <v>0</v>
      </c>
      <c r="GC253" s="675">
        <v>0</v>
      </c>
      <c r="GD253" s="549">
        <v>0</v>
      </c>
      <c r="GE253" s="675">
        <v>0</v>
      </c>
      <c r="GF253" s="549">
        <v>0</v>
      </c>
      <c r="GG253" s="675">
        <v>0</v>
      </c>
      <c r="GH253" s="549">
        <v>0</v>
      </c>
      <c r="GI253" s="675">
        <v>0</v>
      </c>
      <c r="GJ253" s="549">
        <v>0</v>
      </c>
      <c r="GK253" s="675">
        <v>0</v>
      </c>
      <c r="GL253" s="549">
        <v>0</v>
      </c>
      <c r="GM253" s="675">
        <v>0</v>
      </c>
      <c r="GN253" s="549">
        <v>0</v>
      </c>
      <c r="GO253" s="675">
        <v>0</v>
      </c>
      <c r="GP253" s="549">
        <f t="shared" si="8591"/>
        <v>12078</v>
      </c>
      <c r="GQ253" s="675">
        <f t="shared" si="8592"/>
        <v>-8698</v>
      </c>
      <c r="GR253" s="74">
        <f>C253+GP253+GQ253</f>
        <v>175080</v>
      </c>
      <c r="GS253" s="74">
        <f t="shared" si="8593"/>
        <v>159471</v>
      </c>
      <c r="GT253" s="568">
        <f t="shared" si="8594"/>
        <v>175080</v>
      </c>
      <c r="GU253" s="275">
        <v>15610</v>
      </c>
      <c r="GV253" s="275">
        <v>15609</v>
      </c>
      <c r="GW253" s="275">
        <v>15609</v>
      </c>
      <c r="GX253" s="275">
        <v>15609</v>
      </c>
      <c r="GY253" s="275">
        <v>15609</v>
      </c>
      <c r="GZ253" s="275">
        <v>15609</v>
      </c>
      <c r="HA253" s="275">
        <v>15609</v>
      </c>
      <c r="HB253" s="275">
        <v>15609</v>
      </c>
      <c r="HC253" s="275">
        <v>15609</v>
      </c>
      <c r="HD253" s="275">
        <v>15609</v>
      </c>
      <c r="HE253" s="275">
        <v>15609</v>
      </c>
      <c r="HF253" s="275">
        <v>0</v>
      </c>
      <c r="HG253" s="74">
        <f>SUM(HH253:IE253)+GP253+GQ253</f>
        <v>159471</v>
      </c>
      <c r="HH253" s="89">
        <v>0</v>
      </c>
      <c r="HI253" s="817">
        <v>0</v>
      </c>
      <c r="HJ253" s="89">
        <v>0</v>
      </c>
      <c r="HK253" s="817">
        <f>26579.78+4639.22</f>
        <v>31219</v>
      </c>
      <c r="HL253" s="89">
        <v>0</v>
      </c>
      <c r="HM253" s="817">
        <f>2379.55+13229.45</f>
        <v>15609</v>
      </c>
      <c r="HN253" s="89">
        <v>0</v>
      </c>
      <c r="HO253" s="817">
        <f>5447.47+10161.53</f>
        <v>15609</v>
      </c>
      <c r="HP253" s="89">
        <v>0</v>
      </c>
      <c r="HQ253" s="817">
        <f>8225.53+7383.47</f>
        <v>15609</v>
      </c>
      <c r="HR253" s="89">
        <v>0</v>
      </c>
      <c r="HS253" s="817">
        <f>6686.53+8922.47</f>
        <v>15609</v>
      </c>
      <c r="HT253" s="89">
        <v>0</v>
      </c>
      <c r="HU253" s="817">
        <f>861.53+14747.47</f>
        <v>15609</v>
      </c>
      <c r="HV253" s="89">
        <v>0</v>
      </c>
      <c r="HW253" s="817">
        <f>18439.47-2830.47</f>
        <v>15609.000000000002</v>
      </c>
      <c r="HX253" s="89">
        <v>0</v>
      </c>
      <c r="HY253" s="817">
        <f>4998.8+10610.2</f>
        <v>15609</v>
      </c>
      <c r="HZ253" s="89">
        <v>0</v>
      </c>
      <c r="IA253" s="817">
        <f>10477.2+5131.8</f>
        <v>15609</v>
      </c>
      <c r="IB253" s="89">
        <v>0</v>
      </c>
      <c r="IC253" s="817">
        <v>0</v>
      </c>
      <c r="ID253" s="89">
        <v>0</v>
      </c>
      <c r="IE253" s="817">
        <v>0</v>
      </c>
      <c r="IF253" s="841">
        <f t="shared" si="8595"/>
        <v>148993.79999999999</v>
      </c>
      <c r="IG253" s="263">
        <f t="shared" si="8596"/>
        <v>148993.79999999999</v>
      </c>
      <c r="IH253" s="842">
        <f t="shared" si="8597"/>
        <v>148993.79999999999</v>
      </c>
      <c r="II253" s="89">
        <v>14654.78</v>
      </c>
      <c r="IJ253" s="89">
        <f t="shared" si="8598"/>
        <v>14654.78</v>
      </c>
      <c r="IK253" s="89">
        <f t="shared" si="8599"/>
        <v>14654.78</v>
      </c>
      <c r="IL253" s="89">
        <f>27791.78-14654.78</f>
        <v>13136.999999999998</v>
      </c>
      <c r="IM253" s="89">
        <f t="shared" si="8600"/>
        <v>13136.999999999998</v>
      </c>
      <c r="IN253" s="89">
        <f t="shared" si="8601"/>
        <v>13136.999999999998</v>
      </c>
      <c r="IO253" s="89">
        <f>34810.55-27791.78</f>
        <v>7018.7700000000041</v>
      </c>
      <c r="IP253" s="89">
        <f t="shared" si="8602"/>
        <v>7018.7700000000041</v>
      </c>
      <c r="IQ253" s="89">
        <f t="shared" si="8603"/>
        <v>7018.7700000000041</v>
      </c>
      <c r="IR253" s="89">
        <f>56165.53-34810.55</f>
        <v>21354.979999999996</v>
      </c>
      <c r="IS253" s="89">
        <f t="shared" si="8604"/>
        <v>21354.979999999996</v>
      </c>
      <c r="IT253" s="89">
        <f t="shared" si="8605"/>
        <v>21354.979999999996</v>
      </c>
      <c r="IU253" s="89">
        <f>69595.53-56165.53</f>
        <v>13430</v>
      </c>
      <c r="IV253" s="89">
        <f t="shared" si="8606"/>
        <v>13430</v>
      </c>
      <c r="IW253" s="89">
        <f t="shared" si="8607"/>
        <v>13430</v>
      </c>
      <c r="IX253" s="89">
        <f>83665.53-69595.53</f>
        <v>14070</v>
      </c>
      <c r="IY253" s="89">
        <f t="shared" si="8608"/>
        <v>14070</v>
      </c>
      <c r="IZ253" s="89">
        <f t="shared" si="8609"/>
        <v>14070</v>
      </c>
      <c r="JA253" s="89">
        <f>99815.53-83665.53</f>
        <v>16150</v>
      </c>
      <c r="JB253" s="89">
        <f t="shared" si="8610"/>
        <v>16150</v>
      </c>
      <c r="JC253" s="89">
        <f t="shared" si="8611"/>
        <v>16150</v>
      </c>
      <c r="JD253" s="89">
        <f>116232.53-99815.53</f>
        <v>16417</v>
      </c>
      <c r="JE253" s="89">
        <f t="shared" si="8612"/>
        <v>16417</v>
      </c>
      <c r="JF253" s="89">
        <f t="shared" si="8613"/>
        <v>16417</v>
      </c>
      <c r="JG253" s="89">
        <f>133251.8-116232.53</f>
        <v>17019.26999999999</v>
      </c>
      <c r="JH253" s="89">
        <f t="shared" si="8614"/>
        <v>17019.26999999999</v>
      </c>
      <c r="JI253" s="89">
        <f t="shared" si="8615"/>
        <v>17019.26999999999</v>
      </c>
      <c r="JJ253" s="89">
        <f>148993.8-133251.8</f>
        <v>15742</v>
      </c>
      <c r="JK253" s="89">
        <f t="shared" si="8616"/>
        <v>15742</v>
      </c>
      <c r="JL253" s="89">
        <f t="shared" si="8617"/>
        <v>15742</v>
      </c>
      <c r="JM253" s="89">
        <v>0</v>
      </c>
      <c r="JN253" s="89">
        <f t="shared" si="8618"/>
        <v>0</v>
      </c>
      <c r="JO253" s="89">
        <f t="shared" si="8619"/>
        <v>0</v>
      </c>
      <c r="JP253" s="89">
        <v>0</v>
      </c>
      <c r="JQ253" s="89">
        <f t="shared" ref="JQ253:JR253" si="8621">JP253</f>
        <v>0</v>
      </c>
      <c r="JR253" s="89">
        <f t="shared" si="8621"/>
        <v>0</v>
      </c>
      <c r="JS253" s="74">
        <f>HG253-IF253</f>
        <v>10477.200000000012</v>
      </c>
      <c r="JT253" s="382">
        <f>GS253-IF253</f>
        <v>10477.200000000012</v>
      </c>
      <c r="JU253" s="670"/>
      <c r="JV253" s="489"/>
      <c r="JW253" s="490"/>
      <c r="JX253" s="548">
        <f>SUM(HH253,HJ253,HL253,HN253,HP253,HR253,HT253,HV253,HX253,HZ253,IB253,ID253)</f>
        <v>0</v>
      </c>
      <c r="JY253" s="548">
        <f>SUM(HI253,HK253,HM253,HO253,HQ253,HS253,HU253,HW253,HY253,IA253,IC253,IE253)</f>
        <v>156091</v>
      </c>
      <c r="JZ253" s="581">
        <f t="shared" si="7470"/>
        <v>12078</v>
      </c>
      <c r="KA253" s="581">
        <f t="shared" si="7471"/>
        <v>-8698</v>
      </c>
      <c r="KB253" s="548">
        <f t="shared" ref="KB253:KB355" si="8622">JX253+JY253+JZ253+KA253</f>
        <v>159471</v>
      </c>
      <c r="KC253" s="709">
        <f t="shared" si="7396"/>
        <v>0</v>
      </c>
      <c r="KD253" s="36"/>
      <c r="KE253" s="36"/>
      <c r="KF253" s="36"/>
      <c r="KG253" s="36"/>
      <c r="KH253" s="36"/>
      <c r="KI253" s="36"/>
      <c r="KJ253" s="36"/>
      <c r="KK253" s="36"/>
    </row>
    <row r="254" spans="1:297" s="10" customFormat="1">
      <c r="A254" s="91"/>
      <c r="B254" s="77"/>
      <c r="C254" s="74"/>
      <c r="D254" s="549"/>
      <c r="E254" s="675"/>
      <c r="F254" s="549"/>
      <c r="G254" s="675"/>
      <c r="H254" s="549"/>
      <c r="I254" s="675"/>
      <c r="J254" s="549"/>
      <c r="K254" s="675"/>
      <c r="L254" s="549"/>
      <c r="M254" s="675"/>
      <c r="N254" s="549"/>
      <c r="O254" s="675"/>
      <c r="P254" s="549"/>
      <c r="Q254" s="675"/>
      <c r="R254" s="549"/>
      <c r="S254" s="675"/>
      <c r="T254" s="549"/>
      <c r="U254" s="675"/>
      <c r="V254" s="549"/>
      <c r="W254" s="675"/>
      <c r="X254" s="549"/>
      <c r="Y254" s="675"/>
      <c r="Z254" s="549"/>
      <c r="AA254" s="675"/>
      <c r="AB254" s="549"/>
      <c r="AC254" s="675"/>
      <c r="AD254" s="549"/>
      <c r="AE254" s="675"/>
      <c r="AF254" s="549"/>
      <c r="AG254" s="675"/>
      <c r="AH254" s="549"/>
      <c r="AI254" s="675"/>
      <c r="AJ254" s="549"/>
      <c r="AK254" s="675"/>
      <c r="AL254" s="549"/>
      <c r="AM254" s="675"/>
      <c r="AN254" s="549"/>
      <c r="AO254" s="675"/>
      <c r="AP254" s="549"/>
      <c r="AQ254" s="675"/>
      <c r="AR254" s="549"/>
      <c r="AS254" s="675"/>
      <c r="AT254" s="549"/>
      <c r="AU254" s="675"/>
      <c r="AV254" s="549"/>
      <c r="AW254" s="675"/>
      <c r="AX254" s="549"/>
      <c r="AY254" s="675"/>
      <c r="AZ254" s="549"/>
      <c r="BA254" s="675"/>
      <c r="BB254" s="549"/>
      <c r="BC254" s="675"/>
      <c r="BD254" s="549"/>
      <c r="BE254" s="675"/>
      <c r="BF254" s="549"/>
      <c r="BG254" s="675"/>
      <c r="BH254" s="549"/>
      <c r="BI254" s="675"/>
      <c r="BJ254" s="549"/>
      <c r="BK254" s="675"/>
      <c r="BL254" s="549"/>
      <c r="BM254" s="675"/>
      <c r="BN254" s="549"/>
      <c r="BO254" s="675"/>
      <c r="BP254" s="549"/>
      <c r="BQ254" s="675"/>
      <c r="BR254" s="549"/>
      <c r="BS254" s="675"/>
      <c r="BT254" s="549"/>
      <c r="BU254" s="675"/>
      <c r="BV254" s="549"/>
      <c r="BW254" s="675"/>
      <c r="BX254" s="549"/>
      <c r="BY254" s="675"/>
      <c r="BZ254" s="549"/>
      <c r="CA254" s="675"/>
      <c r="CB254" s="549"/>
      <c r="CC254" s="675"/>
      <c r="CD254" s="549"/>
      <c r="CE254" s="675"/>
      <c r="CF254" s="549"/>
      <c r="CG254" s="675"/>
      <c r="CH254" s="549"/>
      <c r="CI254" s="675"/>
      <c r="CJ254" s="549"/>
      <c r="CK254" s="675"/>
      <c r="CL254" s="549"/>
      <c r="CM254" s="675"/>
      <c r="CN254" s="549"/>
      <c r="CO254" s="675"/>
      <c r="CP254" s="549"/>
      <c r="CQ254" s="675"/>
      <c r="CR254" s="549"/>
      <c r="CS254" s="675"/>
      <c r="CT254" s="549"/>
      <c r="CU254" s="675"/>
      <c r="CV254" s="549"/>
      <c r="CW254" s="675"/>
      <c r="CX254" s="549"/>
      <c r="CY254" s="675"/>
      <c r="CZ254" s="549"/>
      <c r="DA254" s="675"/>
      <c r="DB254" s="549"/>
      <c r="DC254" s="675"/>
      <c r="DD254" s="549"/>
      <c r="DE254" s="675"/>
      <c r="DF254" s="549"/>
      <c r="DG254" s="675"/>
      <c r="DH254" s="549"/>
      <c r="DI254" s="675"/>
      <c r="DJ254" s="549"/>
      <c r="DK254" s="675"/>
      <c r="DL254" s="549"/>
      <c r="DM254" s="675"/>
      <c r="DN254" s="549"/>
      <c r="DO254" s="675"/>
      <c r="DP254" s="549"/>
      <c r="DQ254" s="675"/>
      <c r="DR254" s="549"/>
      <c r="DS254" s="675"/>
      <c r="DT254" s="549"/>
      <c r="DU254" s="675"/>
      <c r="DV254" s="549"/>
      <c r="DW254" s="675"/>
      <c r="DX254" s="549"/>
      <c r="DY254" s="675"/>
      <c r="DZ254" s="549"/>
      <c r="EA254" s="675"/>
      <c r="EB254" s="549"/>
      <c r="EC254" s="675"/>
      <c r="ED254" s="549"/>
      <c r="EE254" s="675"/>
      <c r="EF254" s="549"/>
      <c r="EG254" s="675"/>
      <c r="EH254" s="549"/>
      <c r="EI254" s="675"/>
      <c r="EJ254" s="549"/>
      <c r="EK254" s="675"/>
      <c r="EL254" s="549"/>
      <c r="EM254" s="675"/>
      <c r="EN254" s="549"/>
      <c r="EO254" s="675"/>
      <c r="EP254" s="549"/>
      <c r="EQ254" s="675"/>
      <c r="ER254" s="549"/>
      <c r="ES254" s="675"/>
      <c r="ET254" s="549"/>
      <c r="EU254" s="675"/>
      <c r="EV254" s="549"/>
      <c r="EW254" s="675"/>
      <c r="EX254" s="549"/>
      <c r="EY254" s="675"/>
      <c r="EZ254" s="549"/>
      <c r="FA254" s="675"/>
      <c r="FB254" s="549"/>
      <c r="FC254" s="675"/>
      <c r="FD254" s="549"/>
      <c r="FE254" s="675"/>
      <c r="FF254" s="549"/>
      <c r="FG254" s="675"/>
      <c r="FH254" s="549"/>
      <c r="FI254" s="675"/>
      <c r="FJ254" s="549"/>
      <c r="FK254" s="675"/>
      <c r="FL254" s="549"/>
      <c r="FM254" s="675"/>
      <c r="FN254" s="549"/>
      <c r="FO254" s="675"/>
      <c r="FP254" s="549"/>
      <c r="FQ254" s="675"/>
      <c r="FR254" s="549"/>
      <c r="FS254" s="675"/>
      <c r="FT254" s="549"/>
      <c r="FU254" s="675"/>
      <c r="FV254" s="549"/>
      <c r="FW254" s="675"/>
      <c r="FX254" s="549"/>
      <c r="FY254" s="675"/>
      <c r="FZ254" s="549"/>
      <c r="GA254" s="675"/>
      <c r="GB254" s="549"/>
      <c r="GC254" s="675"/>
      <c r="GD254" s="549"/>
      <c r="GE254" s="675"/>
      <c r="GF254" s="549"/>
      <c r="GG254" s="675"/>
      <c r="GH254" s="549"/>
      <c r="GI254" s="675"/>
      <c r="GJ254" s="549"/>
      <c r="GK254" s="675"/>
      <c r="GL254" s="549"/>
      <c r="GM254" s="675"/>
      <c r="GN254" s="549"/>
      <c r="GO254" s="675"/>
      <c r="GP254" s="549"/>
      <c r="GQ254" s="675"/>
      <c r="GR254" s="74"/>
      <c r="GS254" s="74"/>
      <c r="GT254" s="549"/>
      <c r="GU254" s="73"/>
      <c r="GV254" s="73"/>
      <c r="GW254" s="549"/>
      <c r="GX254" s="549"/>
      <c r="GY254" s="73"/>
      <c r="GZ254" s="73"/>
      <c r="HA254" s="73"/>
      <c r="HB254" s="73"/>
      <c r="HC254" s="73"/>
      <c r="HD254" s="73"/>
      <c r="HE254" s="73"/>
      <c r="HF254" s="73"/>
      <c r="HG254" s="74"/>
      <c r="HH254" s="73"/>
      <c r="HI254" s="815"/>
      <c r="HJ254" s="73"/>
      <c r="HK254" s="815"/>
      <c r="HL254" s="73"/>
      <c r="HM254" s="815"/>
      <c r="HN254" s="73"/>
      <c r="HO254" s="815"/>
      <c r="HP254" s="73"/>
      <c r="HQ254" s="815"/>
      <c r="HR254" s="73"/>
      <c r="HS254" s="815"/>
      <c r="HT254" s="73"/>
      <c r="HU254" s="815"/>
      <c r="HV254" s="73"/>
      <c r="HW254" s="815"/>
      <c r="HX254" s="73"/>
      <c r="HY254" s="815"/>
      <c r="HZ254" s="73"/>
      <c r="IA254" s="815"/>
      <c r="IB254" s="73"/>
      <c r="IC254" s="815"/>
      <c r="ID254" s="73"/>
      <c r="IE254" s="815"/>
      <c r="IF254" s="841"/>
      <c r="IG254" s="263"/>
      <c r="IH254" s="842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  <c r="JD254" s="73"/>
      <c r="JE254" s="73"/>
      <c r="JF254" s="73"/>
      <c r="JG254" s="73"/>
      <c r="JH254" s="73"/>
      <c r="JI254" s="73"/>
      <c r="JJ254" s="73"/>
      <c r="JK254" s="73"/>
      <c r="JL254" s="73"/>
      <c r="JM254" s="73"/>
      <c r="JN254" s="73"/>
      <c r="JO254" s="73"/>
      <c r="JP254" s="73"/>
      <c r="JQ254" s="73"/>
      <c r="JR254" s="73"/>
      <c r="JS254" s="74"/>
      <c r="JT254" s="382"/>
      <c r="JU254" s="670"/>
      <c r="JV254" s="489"/>
      <c r="JW254" s="504"/>
      <c r="JX254" s="548"/>
      <c r="JY254" s="548"/>
      <c r="JZ254" s="581">
        <f t="shared" si="7470"/>
        <v>0</v>
      </c>
      <c r="KA254" s="581">
        <f t="shared" si="7471"/>
        <v>0</v>
      </c>
      <c r="KB254" s="548"/>
      <c r="KC254" s="709">
        <f t="shared" si="7396"/>
        <v>0</v>
      </c>
      <c r="KD254" s="36"/>
      <c r="KE254" s="36"/>
      <c r="KF254" s="36"/>
      <c r="KG254" s="36"/>
      <c r="KH254" s="36"/>
      <c r="KI254" s="36"/>
      <c r="KJ254" s="36"/>
      <c r="KK254" s="36"/>
    </row>
    <row r="255" spans="1:297" s="10" customFormat="1">
      <c r="A255" s="80" t="s">
        <v>228</v>
      </c>
      <c r="B255" s="77" t="s">
        <v>64</v>
      </c>
      <c r="C255" s="74">
        <v>200400</v>
      </c>
      <c r="D255" s="549">
        <v>0</v>
      </c>
      <c r="E255" s="675">
        <v>0</v>
      </c>
      <c r="F255" s="549">
        <v>0</v>
      </c>
      <c r="G255" s="675">
        <v>0</v>
      </c>
      <c r="H255" s="549">
        <v>0</v>
      </c>
      <c r="I255" s="675">
        <v>0</v>
      </c>
      <c r="J255" s="549">
        <v>0</v>
      </c>
      <c r="K255" s="675">
        <v>0</v>
      </c>
      <c r="L255" s="549">
        <v>0</v>
      </c>
      <c r="M255" s="675">
        <v>0</v>
      </c>
      <c r="N255" s="549">
        <v>0</v>
      </c>
      <c r="O255" s="675">
        <v>0</v>
      </c>
      <c r="P255" s="549">
        <v>0</v>
      </c>
      <c r="Q255" s="675">
        <v>0</v>
      </c>
      <c r="R255" s="549">
        <v>0</v>
      </c>
      <c r="S255" s="675">
        <v>0</v>
      </c>
      <c r="T255" s="549">
        <v>0</v>
      </c>
      <c r="U255" s="675">
        <v>0</v>
      </c>
      <c r="V255" s="549">
        <v>0</v>
      </c>
      <c r="W255" s="675">
        <v>0</v>
      </c>
      <c r="X255" s="549">
        <v>0</v>
      </c>
      <c r="Y255" s="675">
        <v>0</v>
      </c>
      <c r="Z255" s="549">
        <v>0</v>
      </c>
      <c r="AA255" s="675">
        <v>0</v>
      </c>
      <c r="AB255" s="549">
        <v>0</v>
      </c>
      <c r="AC255" s="675">
        <v>0</v>
      </c>
      <c r="AD255" s="549">
        <v>0</v>
      </c>
      <c r="AE255" s="675">
        <v>0</v>
      </c>
      <c r="AF255" s="549">
        <v>0</v>
      </c>
      <c r="AG255" s="675">
        <v>0</v>
      </c>
      <c r="AH255" s="549">
        <v>0</v>
      </c>
      <c r="AI255" s="675">
        <v>0</v>
      </c>
      <c r="AJ255" s="549">
        <v>0</v>
      </c>
      <c r="AK255" s="675">
        <v>0</v>
      </c>
      <c r="AL255" s="549">
        <v>0</v>
      </c>
      <c r="AM255" s="675">
        <v>0</v>
      </c>
      <c r="AN255" s="549">
        <v>0</v>
      </c>
      <c r="AO255" s="675">
        <v>-2450</v>
      </c>
      <c r="AP255" s="549">
        <v>0</v>
      </c>
      <c r="AQ255" s="675">
        <v>0</v>
      </c>
      <c r="AR255" s="549">
        <v>0</v>
      </c>
      <c r="AS255" s="675">
        <v>0</v>
      </c>
      <c r="AT255" s="549">
        <v>0</v>
      </c>
      <c r="AU255" s="675">
        <v>0</v>
      </c>
      <c r="AV255" s="549">
        <v>0</v>
      </c>
      <c r="AW255" s="675">
        <v>-1963</v>
      </c>
      <c r="AX255" s="549">
        <v>0</v>
      </c>
      <c r="AY255" s="675">
        <v>0</v>
      </c>
      <c r="AZ255" s="549">
        <v>0</v>
      </c>
      <c r="BA255" s="675">
        <v>0</v>
      </c>
      <c r="BB255" s="549">
        <v>0</v>
      </c>
      <c r="BC255" s="675">
        <v>0</v>
      </c>
      <c r="BD255" s="549">
        <v>0</v>
      </c>
      <c r="BE255" s="675">
        <v>0</v>
      </c>
      <c r="BF255" s="549">
        <v>0</v>
      </c>
      <c r="BG255" s="675">
        <v>0</v>
      </c>
      <c r="BH255" s="549">
        <v>0</v>
      </c>
      <c r="BI255" s="675">
        <v>0</v>
      </c>
      <c r="BJ255" s="549">
        <v>0</v>
      </c>
      <c r="BK255" s="675">
        <v>0</v>
      </c>
      <c r="BL255" s="549">
        <v>0</v>
      </c>
      <c r="BM255" s="675">
        <v>0</v>
      </c>
      <c r="BN255" s="549">
        <v>0</v>
      </c>
      <c r="BO255" s="675">
        <v>0</v>
      </c>
      <c r="BP255" s="549">
        <v>0</v>
      </c>
      <c r="BQ255" s="675">
        <v>0</v>
      </c>
      <c r="BR255" s="549">
        <v>0</v>
      </c>
      <c r="BS255" s="675">
        <v>0</v>
      </c>
      <c r="BT255" s="549">
        <v>0</v>
      </c>
      <c r="BU255" s="675">
        <v>0</v>
      </c>
      <c r="BV255" s="549">
        <v>0</v>
      </c>
      <c r="BW255" s="675">
        <v>0</v>
      </c>
      <c r="BX255" s="549">
        <v>0</v>
      </c>
      <c r="BY255" s="675">
        <v>0</v>
      </c>
      <c r="BZ255" s="549">
        <v>0</v>
      </c>
      <c r="CA255" s="675">
        <v>0</v>
      </c>
      <c r="CB255" s="549">
        <v>0</v>
      </c>
      <c r="CC255" s="675">
        <v>0</v>
      </c>
      <c r="CD255" s="549">
        <v>0</v>
      </c>
      <c r="CE255" s="675">
        <v>0</v>
      </c>
      <c r="CF255" s="549">
        <v>0</v>
      </c>
      <c r="CG255" s="675">
        <v>0</v>
      </c>
      <c r="CH255" s="549">
        <v>0</v>
      </c>
      <c r="CI255" s="675">
        <v>0</v>
      </c>
      <c r="CJ255" s="549">
        <v>0</v>
      </c>
      <c r="CK255" s="675">
        <v>0</v>
      </c>
      <c r="CL255" s="549">
        <v>0</v>
      </c>
      <c r="CM255" s="675">
        <v>0</v>
      </c>
      <c r="CN255" s="549">
        <v>0</v>
      </c>
      <c r="CO255" s="675">
        <v>0</v>
      </c>
      <c r="CP255" s="549">
        <v>0</v>
      </c>
      <c r="CQ255" s="675">
        <v>0</v>
      </c>
      <c r="CR255" s="549">
        <v>0</v>
      </c>
      <c r="CS255" s="675">
        <v>0</v>
      </c>
      <c r="CT255" s="549">
        <v>0</v>
      </c>
      <c r="CU255" s="675">
        <v>0</v>
      </c>
      <c r="CV255" s="549">
        <v>0</v>
      </c>
      <c r="CW255" s="675">
        <v>0</v>
      </c>
      <c r="CX255" s="549">
        <v>0</v>
      </c>
      <c r="CY255" s="675">
        <v>0</v>
      </c>
      <c r="CZ255" s="549">
        <v>0</v>
      </c>
      <c r="DA255" s="675">
        <v>0</v>
      </c>
      <c r="DB255" s="549">
        <v>0</v>
      </c>
      <c r="DC255" s="675">
        <v>0</v>
      </c>
      <c r="DD255" s="549">
        <v>0</v>
      </c>
      <c r="DE255" s="675">
        <v>0</v>
      </c>
      <c r="DF255" s="549">
        <v>0</v>
      </c>
      <c r="DG255" s="675">
        <v>0</v>
      </c>
      <c r="DH255" s="549">
        <v>0</v>
      </c>
      <c r="DI255" s="675">
        <v>0</v>
      </c>
      <c r="DJ255" s="549">
        <v>0</v>
      </c>
      <c r="DK255" s="675">
        <v>0</v>
      </c>
      <c r="DL255" s="549">
        <v>0</v>
      </c>
      <c r="DM255" s="675">
        <v>0</v>
      </c>
      <c r="DN255" s="549">
        <v>0</v>
      </c>
      <c r="DO255" s="675">
        <v>0</v>
      </c>
      <c r="DP255" s="549">
        <v>0</v>
      </c>
      <c r="DQ255" s="675">
        <v>0</v>
      </c>
      <c r="DR255" s="549">
        <v>0</v>
      </c>
      <c r="DS255" s="675">
        <v>0</v>
      </c>
      <c r="DT255" s="549">
        <v>0</v>
      </c>
      <c r="DU255" s="675">
        <v>0</v>
      </c>
      <c r="DV255" s="549">
        <v>0</v>
      </c>
      <c r="DW255" s="675">
        <v>0</v>
      </c>
      <c r="DX255" s="549">
        <v>0</v>
      </c>
      <c r="DY255" s="675">
        <v>0</v>
      </c>
      <c r="DZ255" s="549">
        <v>0</v>
      </c>
      <c r="EA255" s="675">
        <v>0</v>
      </c>
      <c r="EB255" s="549">
        <v>0</v>
      </c>
      <c r="EC255" s="675">
        <v>0</v>
      </c>
      <c r="ED255" s="549">
        <v>0</v>
      </c>
      <c r="EE255" s="675">
        <v>0</v>
      </c>
      <c r="EF255" s="549">
        <v>0</v>
      </c>
      <c r="EG255" s="675">
        <v>0</v>
      </c>
      <c r="EH255" s="549">
        <v>0</v>
      </c>
      <c r="EI255" s="675">
        <v>0</v>
      </c>
      <c r="EJ255" s="549">
        <v>0</v>
      </c>
      <c r="EK255" s="675">
        <v>0</v>
      </c>
      <c r="EL255" s="549">
        <v>0</v>
      </c>
      <c r="EM255" s="675">
        <v>0</v>
      </c>
      <c r="EN255" s="549">
        <v>0</v>
      </c>
      <c r="EO255" s="675">
        <v>0</v>
      </c>
      <c r="EP255" s="549">
        <v>0</v>
      </c>
      <c r="EQ255" s="675">
        <v>0</v>
      </c>
      <c r="ER255" s="549">
        <v>0</v>
      </c>
      <c r="ES255" s="675">
        <v>0</v>
      </c>
      <c r="ET255" s="549">
        <v>0</v>
      </c>
      <c r="EU255" s="675">
        <v>0</v>
      </c>
      <c r="EV255" s="549">
        <v>0</v>
      </c>
      <c r="EW255" s="675">
        <v>0</v>
      </c>
      <c r="EX255" s="549">
        <v>0</v>
      </c>
      <c r="EY255" s="675">
        <v>0</v>
      </c>
      <c r="EZ255" s="549">
        <v>0</v>
      </c>
      <c r="FA255" s="675">
        <v>0</v>
      </c>
      <c r="FB255" s="549">
        <v>0</v>
      </c>
      <c r="FC255" s="675">
        <v>0</v>
      </c>
      <c r="FD255" s="549">
        <v>0</v>
      </c>
      <c r="FE255" s="675">
        <v>0</v>
      </c>
      <c r="FF255" s="549">
        <v>0</v>
      </c>
      <c r="FG255" s="675">
        <v>0</v>
      </c>
      <c r="FH255" s="549">
        <v>0</v>
      </c>
      <c r="FI255" s="675">
        <v>0</v>
      </c>
      <c r="FJ255" s="549">
        <v>0</v>
      </c>
      <c r="FK255" s="675">
        <v>0</v>
      </c>
      <c r="FL255" s="549">
        <v>0</v>
      </c>
      <c r="FM255" s="675">
        <v>0</v>
      </c>
      <c r="FN255" s="549">
        <v>0</v>
      </c>
      <c r="FO255" s="675">
        <v>0</v>
      </c>
      <c r="FP255" s="549">
        <v>0</v>
      </c>
      <c r="FQ255" s="675">
        <v>0</v>
      </c>
      <c r="FR255" s="549">
        <v>0</v>
      </c>
      <c r="FS255" s="675">
        <v>0</v>
      </c>
      <c r="FT255" s="549">
        <v>0</v>
      </c>
      <c r="FU255" s="675">
        <v>0</v>
      </c>
      <c r="FV255" s="549">
        <v>0</v>
      </c>
      <c r="FW255" s="675">
        <v>0</v>
      </c>
      <c r="FX255" s="549">
        <v>0</v>
      </c>
      <c r="FY255" s="675">
        <v>0</v>
      </c>
      <c r="FZ255" s="549">
        <v>0</v>
      </c>
      <c r="GA255" s="675">
        <v>0</v>
      </c>
      <c r="GB255" s="549">
        <v>0</v>
      </c>
      <c r="GC255" s="675">
        <v>0</v>
      </c>
      <c r="GD255" s="549">
        <v>0</v>
      </c>
      <c r="GE255" s="675">
        <v>0</v>
      </c>
      <c r="GF255" s="549">
        <v>0</v>
      </c>
      <c r="GG255" s="675">
        <v>0</v>
      </c>
      <c r="GH255" s="549">
        <v>0</v>
      </c>
      <c r="GI255" s="675">
        <v>0</v>
      </c>
      <c r="GJ255" s="549">
        <v>0</v>
      </c>
      <c r="GK255" s="675">
        <v>0</v>
      </c>
      <c r="GL255" s="549">
        <v>0</v>
      </c>
      <c r="GM255" s="675">
        <v>0</v>
      </c>
      <c r="GN255" s="549">
        <v>0</v>
      </c>
      <c r="GO255" s="675">
        <v>0</v>
      </c>
      <c r="GP255" s="549">
        <f>+D255+F255+H255+J255+L255+N255+P255+R255+T255+V255+X255+Z255+AB255+AF255+AD255+AH255+AJ255+AL255+AN255+AP255+AR255+AT255+AV255+AX255+AZ255+BB255+BD255+BF255+BH255+BJ255+BL255+BN255+BP255+BR255+BT255+BV255+BX255+BZ255+CB255+CD255+CF255+CH255+CJ255+CL255+CN255+CP255+CR255+CT255+CV255+CX255+CZ255+DB255+DD255+DF255+DH255+DT255+EX255+DJ255+DL255+DN255+DP255+DR255+EJ255+EB255+DZ255+DX255+DV255+ED255+EF255+EH255+EL255+EN255+EP255+EV255+ET255+ER255+EZ255+FB255+FD255+GL255+FF255+FJ255+FL255+GJ255+FT255+FR255+FP255+FN255+FH255+GH255+GF255+GD255+GB255+FZ255+FX255+FV255+GN255</f>
        <v>0</v>
      </c>
      <c r="GQ255" s="675">
        <f>+E255+G255+I255+K255+M255+O255+Q255+S255+U255+W255+Y255+AA255+AC255+AE255+AG255+AI255+AK255+AM255+AO255+AQ255+AS255+AU255+AW255+AY255+BA255+BC255+BE255+BG255+BI255+BK255+BM255+BO255+BQ255+BS255+BU255+BW255+BY255+CA255+CC255+CE255+CG255+CI255+CK255+CM255+CO255+CQ255+CS255+CU255+CW255+CY255+DA255+DC255+DE255+DG255+DI255+DU255+EY255+DK255+DM255+DO255+DQ255+DS255+EK255+EC255+EA255+DY255+DW255+EI255+EG255+EE255+EM255+EO255+EQ255+EW255+EU255+ES255+FA255+FC255+FE255+GM255+FG255+FK255+FM255+FO255+FQ255+FS255+FU255+GK255+FI255+GI255+GG255+GE255+GC255+GA255+FY255+FW255+GO255</f>
        <v>-4413</v>
      </c>
      <c r="GR255" s="74">
        <f>C255+GP255+GQ255</f>
        <v>195987</v>
      </c>
      <c r="GS255" s="74">
        <f>SUM(GU255:HD255)+GP255+GQ255</f>
        <v>177769</v>
      </c>
      <c r="GT255" s="568">
        <f>SUM(GU255:HF255)+GQ255+GP255</f>
        <v>195987</v>
      </c>
      <c r="GU255" s="275">
        <v>18220</v>
      </c>
      <c r="GV255" s="275">
        <v>18218</v>
      </c>
      <c r="GW255" s="275">
        <v>18218</v>
      </c>
      <c r="GX255" s="275">
        <v>18218</v>
      </c>
      <c r="GY255" s="275">
        <v>18218</v>
      </c>
      <c r="GZ255" s="275">
        <v>18218</v>
      </c>
      <c r="HA255" s="275">
        <v>18218</v>
      </c>
      <c r="HB255" s="275">
        <v>18218</v>
      </c>
      <c r="HC255" s="275">
        <v>18218</v>
      </c>
      <c r="HD255" s="275">
        <v>18218</v>
      </c>
      <c r="HE255" s="275">
        <v>18218</v>
      </c>
      <c r="HF255" s="275">
        <v>0</v>
      </c>
      <c r="HG255" s="74">
        <f>SUM(HH255:IE255)+GP255+GQ255</f>
        <v>177769</v>
      </c>
      <c r="HH255" s="89">
        <v>0</v>
      </c>
      <c r="HI255" s="817">
        <v>0</v>
      </c>
      <c r="HJ255" s="89">
        <v>0</v>
      </c>
      <c r="HK255" s="817">
        <f>30950+5488</f>
        <v>36438</v>
      </c>
      <c r="HL255" s="89">
        <v>0</v>
      </c>
      <c r="HM255" s="817">
        <f>2362+15856</f>
        <v>18218</v>
      </c>
      <c r="HN255" s="89">
        <v>0</v>
      </c>
      <c r="HO255" s="817">
        <f>8037.33+10180.67</f>
        <v>18218</v>
      </c>
      <c r="HP255" s="89">
        <v>0</v>
      </c>
      <c r="HQ255" s="817">
        <f>9625.67+8592.33</f>
        <v>18218</v>
      </c>
      <c r="HR255" s="89">
        <v>0</v>
      </c>
      <c r="HS255" s="817">
        <f>7107.67+11110.33</f>
        <v>18218</v>
      </c>
      <c r="HT255" s="89">
        <v>0</v>
      </c>
      <c r="HU255" s="817">
        <f>4589.67+13628.33</f>
        <v>18218</v>
      </c>
      <c r="HV255" s="89">
        <v>0</v>
      </c>
      <c r="HW255" s="817">
        <f>16146.33+2071.67</f>
        <v>18218</v>
      </c>
      <c r="HX255" s="89">
        <v>0</v>
      </c>
      <c r="HY255" s="817">
        <f>18664.33-446.33</f>
        <v>18218</v>
      </c>
      <c r="HZ255" s="89">
        <v>0</v>
      </c>
      <c r="IA255" s="817">
        <f>21182.3-2964.3</f>
        <v>18218</v>
      </c>
      <c r="IB255" s="89">
        <v>0</v>
      </c>
      <c r="IC255" s="817">
        <v>0</v>
      </c>
      <c r="ID255" s="89">
        <v>0</v>
      </c>
      <c r="IE255" s="817">
        <v>0</v>
      </c>
      <c r="IF255" s="841">
        <f t="shared" ref="IF255" si="8623">SUM(II255,IL255,IO255,IR255,IU255,IX255,JA255,JD255,JG255,JJ255,JM255,JP255)</f>
        <v>156586.70000000001</v>
      </c>
      <c r="IG255" s="263">
        <f t="shared" ref="IG255" si="8624">SUM(IJ255,IM255,IP255,IS255,IV255,IY255,JB255,JE255,JH255,JK255,JN255,JQ255)</f>
        <v>156586.70000000001</v>
      </c>
      <c r="IH255" s="842">
        <f t="shared" ref="IH255" si="8625">SUM(IK255,IN255,IQ255,IT255,IW255,IZ255,JC255,JF255,JI255,JL255,JO255,JR255)</f>
        <v>156586.70000000001</v>
      </c>
      <c r="II255" s="89">
        <v>15250</v>
      </c>
      <c r="IJ255" s="89">
        <f>II255</f>
        <v>15250</v>
      </c>
      <c r="IK255" s="89">
        <f>IJ255</f>
        <v>15250</v>
      </c>
      <c r="IL255" s="89">
        <f>30950-15250</f>
        <v>15700</v>
      </c>
      <c r="IM255" s="89">
        <f>IL255</f>
        <v>15700</v>
      </c>
      <c r="IN255" s="89">
        <f>IM255</f>
        <v>15700</v>
      </c>
      <c r="IO255" s="89">
        <f>38800-30950</f>
        <v>7850</v>
      </c>
      <c r="IP255" s="89">
        <f>IO255</f>
        <v>7850</v>
      </c>
      <c r="IQ255" s="89">
        <f>IP255</f>
        <v>7850</v>
      </c>
      <c r="IR255" s="89">
        <f>62386.67-38800</f>
        <v>23586.67</v>
      </c>
      <c r="IS255" s="89">
        <f>IR255</f>
        <v>23586.67</v>
      </c>
      <c r="IT255" s="89">
        <f>IS255</f>
        <v>23586.67</v>
      </c>
      <c r="IU255" s="89">
        <f>78086.67-62386.67</f>
        <v>15700</v>
      </c>
      <c r="IV255" s="89">
        <f>IU255</f>
        <v>15700</v>
      </c>
      <c r="IW255" s="89">
        <f>IV255</f>
        <v>15700</v>
      </c>
      <c r="IX255" s="89">
        <f>93786.67-78086.67</f>
        <v>15700</v>
      </c>
      <c r="IY255" s="89">
        <f>IX255</f>
        <v>15700</v>
      </c>
      <c r="IZ255" s="89">
        <f>IY255</f>
        <v>15700</v>
      </c>
      <c r="JA255" s="89">
        <f>109486.67-93786.67</f>
        <v>15700</v>
      </c>
      <c r="JB255" s="89">
        <f>JA255</f>
        <v>15700</v>
      </c>
      <c r="JC255" s="89">
        <f>JB255</f>
        <v>15700</v>
      </c>
      <c r="JD255" s="89">
        <f>125186.67-109486.67</f>
        <v>15700</v>
      </c>
      <c r="JE255" s="89">
        <f>JD255</f>
        <v>15700</v>
      </c>
      <c r="JF255" s="89">
        <f>JE255</f>
        <v>15700</v>
      </c>
      <c r="JG255" s="89">
        <f>140886.67-125186.67</f>
        <v>15700.000000000015</v>
      </c>
      <c r="JH255" s="89">
        <f>JG255</f>
        <v>15700.000000000015</v>
      </c>
      <c r="JI255" s="89">
        <f>JH255</f>
        <v>15700.000000000015</v>
      </c>
      <c r="JJ255" s="89">
        <f>156586.7-140886.67</f>
        <v>15700.029999999999</v>
      </c>
      <c r="JK255" s="89">
        <f>JJ255</f>
        <v>15700.029999999999</v>
      </c>
      <c r="JL255" s="89">
        <f>JK255</f>
        <v>15700.029999999999</v>
      </c>
      <c r="JM255" s="89">
        <v>0</v>
      </c>
      <c r="JN255" s="89">
        <f>JM255</f>
        <v>0</v>
      </c>
      <c r="JO255" s="89">
        <f>JN255</f>
        <v>0</v>
      </c>
      <c r="JP255" s="89">
        <v>0</v>
      </c>
      <c r="JQ255" s="89">
        <f>JP255</f>
        <v>0</v>
      </c>
      <c r="JR255" s="89">
        <f>JQ255</f>
        <v>0</v>
      </c>
      <c r="JS255" s="74">
        <f>HG255-IF255</f>
        <v>21182.299999999988</v>
      </c>
      <c r="JT255" s="382">
        <f>GS255-IF255</f>
        <v>21182.299999999988</v>
      </c>
      <c r="JU255" s="670"/>
      <c r="JV255" s="489"/>
      <c r="JW255" s="490"/>
      <c r="JX255" s="548">
        <f>SUM(HH255,HJ255,HL255,HN255,HP255,HR255,HT255,HV255,HX255,HZ255,IB255,ID255)</f>
        <v>0</v>
      </c>
      <c r="JY255" s="548">
        <f>SUM(HI255,HK255,HM255,HO255,HQ255,HS255,HU255,HW255,HY255,IA255,IC255,IE255)</f>
        <v>182182</v>
      </c>
      <c r="JZ255" s="581">
        <f t="shared" si="7470"/>
        <v>0</v>
      </c>
      <c r="KA255" s="581">
        <f t="shared" si="7471"/>
        <v>-4413</v>
      </c>
      <c r="KB255" s="548">
        <f t="shared" si="8622"/>
        <v>177769</v>
      </c>
      <c r="KC255" s="709">
        <f t="shared" si="7396"/>
        <v>0</v>
      </c>
      <c r="KD255" s="36"/>
      <c r="KE255" s="36"/>
      <c r="KF255" s="36"/>
      <c r="KG255" s="36"/>
      <c r="KH255" s="36"/>
      <c r="KI255" s="36"/>
      <c r="KJ255" s="36"/>
      <c r="KK255" s="36"/>
    </row>
    <row r="256" spans="1:297" s="10" customFormat="1">
      <c r="A256" s="91"/>
      <c r="B256" s="77"/>
      <c r="C256" s="74"/>
      <c r="D256" s="549"/>
      <c r="E256" s="675"/>
      <c r="F256" s="549"/>
      <c r="G256" s="675"/>
      <c r="H256" s="549"/>
      <c r="I256" s="675"/>
      <c r="J256" s="549"/>
      <c r="K256" s="675"/>
      <c r="L256" s="549"/>
      <c r="M256" s="675"/>
      <c r="N256" s="549"/>
      <c r="O256" s="675"/>
      <c r="P256" s="549"/>
      <c r="Q256" s="675"/>
      <c r="R256" s="549"/>
      <c r="S256" s="675"/>
      <c r="T256" s="549"/>
      <c r="U256" s="675"/>
      <c r="V256" s="549"/>
      <c r="W256" s="675"/>
      <c r="X256" s="549"/>
      <c r="Y256" s="675"/>
      <c r="Z256" s="549"/>
      <c r="AA256" s="675"/>
      <c r="AB256" s="549"/>
      <c r="AC256" s="675"/>
      <c r="AD256" s="549"/>
      <c r="AE256" s="675"/>
      <c r="AF256" s="549"/>
      <c r="AG256" s="675"/>
      <c r="AH256" s="549"/>
      <c r="AI256" s="675"/>
      <c r="AJ256" s="549"/>
      <c r="AK256" s="675"/>
      <c r="AL256" s="549"/>
      <c r="AM256" s="675"/>
      <c r="AN256" s="549"/>
      <c r="AO256" s="675"/>
      <c r="AP256" s="549"/>
      <c r="AQ256" s="675"/>
      <c r="AR256" s="549"/>
      <c r="AS256" s="675"/>
      <c r="AT256" s="549"/>
      <c r="AU256" s="675"/>
      <c r="AV256" s="549"/>
      <c r="AW256" s="675"/>
      <c r="AX256" s="549"/>
      <c r="AY256" s="675"/>
      <c r="AZ256" s="549"/>
      <c r="BA256" s="675"/>
      <c r="BB256" s="549"/>
      <c r="BC256" s="675"/>
      <c r="BD256" s="549"/>
      <c r="BE256" s="675"/>
      <c r="BF256" s="549"/>
      <c r="BG256" s="675"/>
      <c r="BH256" s="549"/>
      <c r="BI256" s="675"/>
      <c r="BJ256" s="549"/>
      <c r="BK256" s="675"/>
      <c r="BL256" s="549"/>
      <c r="BM256" s="675"/>
      <c r="BN256" s="549"/>
      <c r="BO256" s="675"/>
      <c r="BP256" s="549"/>
      <c r="BQ256" s="675"/>
      <c r="BR256" s="549"/>
      <c r="BS256" s="675"/>
      <c r="BT256" s="549"/>
      <c r="BU256" s="675"/>
      <c r="BV256" s="549"/>
      <c r="BW256" s="675"/>
      <c r="BX256" s="549"/>
      <c r="BY256" s="675"/>
      <c r="BZ256" s="549"/>
      <c r="CA256" s="675"/>
      <c r="CB256" s="549"/>
      <c r="CC256" s="675"/>
      <c r="CD256" s="549"/>
      <c r="CE256" s="675"/>
      <c r="CF256" s="549"/>
      <c r="CG256" s="675"/>
      <c r="CH256" s="549"/>
      <c r="CI256" s="675"/>
      <c r="CJ256" s="549"/>
      <c r="CK256" s="675"/>
      <c r="CL256" s="549"/>
      <c r="CM256" s="675"/>
      <c r="CN256" s="549"/>
      <c r="CO256" s="675"/>
      <c r="CP256" s="549"/>
      <c r="CQ256" s="675"/>
      <c r="CR256" s="549"/>
      <c r="CS256" s="675"/>
      <c r="CT256" s="549"/>
      <c r="CU256" s="675"/>
      <c r="CV256" s="549"/>
      <c r="CW256" s="675"/>
      <c r="CX256" s="549"/>
      <c r="CY256" s="675"/>
      <c r="CZ256" s="549"/>
      <c r="DA256" s="675"/>
      <c r="DB256" s="549"/>
      <c r="DC256" s="675"/>
      <c r="DD256" s="549"/>
      <c r="DE256" s="675"/>
      <c r="DF256" s="549"/>
      <c r="DG256" s="675"/>
      <c r="DH256" s="549"/>
      <c r="DI256" s="675"/>
      <c r="DJ256" s="549"/>
      <c r="DK256" s="675"/>
      <c r="DL256" s="549"/>
      <c r="DM256" s="675"/>
      <c r="DN256" s="549"/>
      <c r="DO256" s="675"/>
      <c r="DP256" s="549"/>
      <c r="DQ256" s="675"/>
      <c r="DR256" s="549"/>
      <c r="DS256" s="675"/>
      <c r="DT256" s="549"/>
      <c r="DU256" s="675"/>
      <c r="DV256" s="549"/>
      <c r="DW256" s="675"/>
      <c r="DX256" s="549"/>
      <c r="DY256" s="675"/>
      <c r="DZ256" s="549"/>
      <c r="EA256" s="675"/>
      <c r="EB256" s="549"/>
      <c r="EC256" s="675"/>
      <c r="ED256" s="549"/>
      <c r="EE256" s="675"/>
      <c r="EF256" s="549"/>
      <c r="EG256" s="675"/>
      <c r="EH256" s="549"/>
      <c r="EI256" s="675"/>
      <c r="EJ256" s="549"/>
      <c r="EK256" s="675"/>
      <c r="EL256" s="549"/>
      <c r="EM256" s="675"/>
      <c r="EN256" s="549"/>
      <c r="EO256" s="675"/>
      <c r="EP256" s="549"/>
      <c r="EQ256" s="675"/>
      <c r="ER256" s="549"/>
      <c r="ES256" s="675"/>
      <c r="ET256" s="549"/>
      <c r="EU256" s="675"/>
      <c r="EV256" s="549"/>
      <c r="EW256" s="675"/>
      <c r="EX256" s="549"/>
      <c r="EY256" s="675"/>
      <c r="EZ256" s="549"/>
      <c r="FA256" s="675"/>
      <c r="FB256" s="549"/>
      <c r="FC256" s="675"/>
      <c r="FD256" s="549"/>
      <c r="FE256" s="675"/>
      <c r="FF256" s="549"/>
      <c r="FG256" s="675"/>
      <c r="FH256" s="549"/>
      <c r="FI256" s="675"/>
      <c r="FJ256" s="549"/>
      <c r="FK256" s="675"/>
      <c r="FL256" s="549"/>
      <c r="FM256" s="675"/>
      <c r="FN256" s="549"/>
      <c r="FO256" s="675"/>
      <c r="FP256" s="549"/>
      <c r="FQ256" s="675"/>
      <c r="FR256" s="549"/>
      <c r="FS256" s="675"/>
      <c r="FT256" s="549"/>
      <c r="FU256" s="675"/>
      <c r="FV256" s="549"/>
      <c r="FW256" s="675"/>
      <c r="FX256" s="549"/>
      <c r="FY256" s="675"/>
      <c r="FZ256" s="549"/>
      <c r="GA256" s="675"/>
      <c r="GB256" s="549"/>
      <c r="GC256" s="675"/>
      <c r="GD256" s="549"/>
      <c r="GE256" s="675"/>
      <c r="GF256" s="549"/>
      <c r="GG256" s="675"/>
      <c r="GH256" s="549"/>
      <c r="GI256" s="675"/>
      <c r="GJ256" s="549"/>
      <c r="GK256" s="675"/>
      <c r="GL256" s="549"/>
      <c r="GM256" s="675"/>
      <c r="GN256" s="549"/>
      <c r="GO256" s="675"/>
      <c r="GP256" s="549"/>
      <c r="GQ256" s="675"/>
      <c r="GR256" s="74"/>
      <c r="GS256" s="74"/>
      <c r="GT256" s="549"/>
      <c r="GU256" s="73"/>
      <c r="GV256" s="73"/>
      <c r="GW256" s="549"/>
      <c r="GX256" s="549"/>
      <c r="GY256" s="73"/>
      <c r="GZ256" s="73"/>
      <c r="HA256" s="73"/>
      <c r="HB256" s="73"/>
      <c r="HC256" s="73"/>
      <c r="HD256" s="73"/>
      <c r="HE256" s="73"/>
      <c r="HF256" s="73"/>
      <c r="HG256" s="74"/>
      <c r="HH256" s="73"/>
      <c r="HI256" s="815"/>
      <c r="HJ256" s="73"/>
      <c r="HK256" s="815"/>
      <c r="HL256" s="73"/>
      <c r="HM256" s="815"/>
      <c r="HN256" s="73"/>
      <c r="HO256" s="815"/>
      <c r="HP256" s="73"/>
      <c r="HQ256" s="815"/>
      <c r="HR256" s="73"/>
      <c r="HS256" s="815"/>
      <c r="HT256" s="73"/>
      <c r="HU256" s="815"/>
      <c r="HV256" s="73"/>
      <c r="HW256" s="815"/>
      <c r="HX256" s="73"/>
      <c r="HY256" s="815"/>
      <c r="HZ256" s="73"/>
      <c r="IA256" s="815"/>
      <c r="IB256" s="73"/>
      <c r="IC256" s="815"/>
      <c r="ID256" s="73"/>
      <c r="IE256" s="815"/>
      <c r="IF256" s="841"/>
      <c r="IG256" s="263"/>
      <c r="IH256" s="842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  <c r="JD256" s="73"/>
      <c r="JE256" s="73"/>
      <c r="JF256" s="73"/>
      <c r="JG256" s="73"/>
      <c r="JH256" s="73"/>
      <c r="JI256" s="73"/>
      <c r="JJ256" s="73"/>
      <c r="JK256" s="73"/>
      <c r="JL256" s="73"/>
      <c r="JM256" s="73"/>
      <c r="JN256" s="73"/>
      <c r="JO256" s="73"/>
      <c r="JP256" s="73"/>
      <c r="JQ256" s="73"/>
      <c r="JR256" s="73"/>
      <c r="JS256" s="74"/>
      <c r="JT256" s="382"/>
      <c r="JU256" s="670"/>
      <c r="JV256" s="489"/>
      <c r="JW256" s="504"/>
      <c r="JX256" s="548"/>
      <c r="JY256" s="548"/>
      <c r="JZ256" s="581">
        <f t="shared" si="7470"/>
        <v>0</v>
      </c>
      <c r="KA256" s="581">
        <f t="shared" si="7471"/>
        <v>0</v>
      </c>
      <c r="KB256" s="548">
        <f t="shared" si="8622"/>
        <v>0</v>
      </c>
      <c r="KC256" s="709">
        <f t="shared" si="7396"/>
        <v>0</v>
      </c>
      <c r="KD256" s="36"/>
      <c r="KE256" s="36"/>
      <c r="KF256" s="36"/>
      <c r="KG256" s="36"/>
      <c r="KH256" s="36"/>
      <c r="KI256" s="36"/>
      <c r="KJ256" s="36"/>
      <c r="KK256" s="36"/>
    </row>
    <row r="257" spans="1:297" s="10" customFormat="1">
      <c r="A257" s="80" t="s">
        <v>229</v>
      </c>
      <c r="B257" s="77" t="s">
        <v>66</v>
      </c>
      <c r="C257" s="74">
        <v>511200</v>
      </c>
      <c r="D257" s="549">
        <v>0</v>
      </c>
      <c r="E257" s="675">
        <v>0</v>
      </c>
      <c r="F257" s="549">
        <v>0</v>
      </c>
      <c r="G257" s="675">
        <v>0</v>
      </c>
      <c r="H257" s="549">
        <v>0</v>
      </c>
      <c r="I257" s="675">
        <v>0</v>
      </c>
      <c r="J257" s="549">
        <v>0</v>
      </c>
      <c r="K257" s="675">
        <v>0</v>
      </c>
      <c r="L257" s="549">
        <v>0</v>
      </c>
      <c r="M257" s="675">
        <v>0</v>
      </c>
      <c r="N257" s="549">
        <v>0</v>
      </c>
      <c r="O257" s="675">
        <v>0</v>
      </c>
      <c r="P257" s="549">
        <v>0</v>
      </c>
      <c r="Q257" s="675">
        <v>0</v>
      </c>
      <c r="R257" s="549">
        <v>0</v>
      </c>
      <c r="S257" s="675">
        <v>0</v>
      </c>
      <c r="T257" s="549">
        <v>0</v>
      </c>
      <c r="U257" s="675">
        <v>0</v>
      </c>
      <c r="V257" s="549">
        <v>0</v>
      </c>
      <c r="W257" s="675">
        <v>0</v>
      </c>
      <c r="X257" s="549">
        <v>0</v>
      </c>
      <c r="Y257" s="675">
        <v>0</v>
      </c>
      <c r="Z257" s="549">
        <v>0</v>
      </c>
      <c r="AA257" s="675">
        <v>0</v>
      </c>
      <c r="AB257" s="549">
        <v>0</v>
      </c>
      <c r="AC257" s="675">
        <v>0</v>
      </c>
      <c r="AD257" s="549">
        <v>0</v>
      </c>
      <c r="AE257" s="675">
        <v>0</v>
      </c>
      <c r="AF257" s="549">
        <v>0</v>
      </c>
      <c r="AG257" s="675">
        <v>0</v>
      </c>
      <c r="AH257" s="549">
        <v>0</v>
      </c>
      <c r="AI257" s="675">
        <v>0</v>
      </c>
      <c r="AJ257" s="549">
        <v>0</v>
      </c>
      <c r="AK257" s="675">
        <v>0</v>
      </c>
      <c r="AL257" s="549">
        <v>0</v>
      </c>
      <c r="AM257" s="675">
        <v>0</v>
      </c>
      <c r="AN257" s="549">
        <v>0</v>
      </c>
      <c r="AO257" s="675">
        <v>-32439</v>
      </c>
      <c r="AP257" s="549">
        <v>0</v>
      </c>
      <c r="AQ257" s="675">
        <v>0</v>
      </c>
      <c r="AR257" s="549">
        <v>0</v>
      </c>
      <c r="AS257" s="675">
        <v>0</v>
      </c>
      <c r="AT257" s="549">
        <v>0</v>
      </c>
      <c r="AU257" s="675">
        <v>0</v>
      </c>
      <c r="AV257" s="549">
        <v>0</v>
      </c>
      <c r="AW257" s="675">
        <v>0</v>
      </c>
      <c r="AX257" s="549">
        <v>0</v>
      </c>
      <c r="AY257" s="675">
        <v>0</v>
      </c>
      <c r="AZ257" s="549">
        <v>0</v>
      </c>
      <c r="BA257" s="675">
        <v>0</v>
      </c>
      <c r="BB257" s="549">
        <v>0</v>
      </c>
      <c r="BC257" s="675">
        <v>0</v>
      </c>
      <c r="BD257" s="549">
        <v>0</v>
      </c>
      <c r="BE257" s="675">
        <v>0</v>
      </c>
      <c r="BF257" s="549">
        <v>0</v>
      </c>
      <c r="BG257" s="675">
        <v>0</v>
      </c>
      <c r="BH257" s="549">
        <v>0</v>
      </c>
      <c r="BI257" s="675">
        <v>0</v>
      </c>
      <c r="BJ257" s="549">
        <v>0</v>
      </c>
      <c r="BK257" s="675">
        <v>0</v>
      </c>
      <c r="BL257" s="549">
        <v>0</v>
      </c>
      <c r="BM257" s="675">
        <v>0</v>
      </c>
      <c r="BN257" s="549">
        <v>0</v>
      </c>
      <c r="BO257" s="675">
        <v>0</v>
      </c>
      <c r="BP257" s="549">
        <v>0</v>
      </c>
      <c r="BQ257" s="675">
        <v>0</v>
      </c>
      <c r="BR257" s="549">
        <v>0</v>
      </c>
      <c r="BS257" s="675">
        <v>0</v>
      </c>
      <c r="BT257" s="549">
        <v>0</v>
      </c>
      <c r="BU257" s="675">
        <v>0</v>
      </c>
      <c r="BV257" s="549">
        <v>0</v>
      </c>
      <c r="BW257" s="675">
        <v>0</v>
      </c>
      <c r="BX257" s="549">
        <v>0</v>
      </c>
      <c r="BY257" s="675">
        <v>0</v>
      </c>
      <c r="BZ257" s="549">
        <v>0</v>
      </c>
      <c r="CA257" s="675">
        <v>0</v>
      </c>
      <c r="CB257" s="549">
        <v>0</v>
      </c>
      <c r="CC257" s="675">
        <v>0</v>
      </c>
      <c r="CD257" s="549">
        <v>0</v>
      </c>
      <c r="CE257" s="675">
        <v>0</v>
      </c>
      <c r="CF257" s="549">
        <v>0</v>
      </c>
      <c r="CG257" s="675">
        <v>0</v>
      </c>
      <c r="CH257" s="549">
        <v>0</v>
      </c>
      <c r="CI257" s="675">
        <v>0</v>
      </c>
      <c r="CJ257" s="549">
        <v>0</v>
      </c>
      <c r="CK257" s="675">
        <v>0</v>
      </c>
      <c r="CL257" s="549">
        <v>0</v>
      </c>
      <c r="CM257" s="675">
        <v>0</v>
      </c>
      <c r="CN257" s="549">
        <v>0</v>
      </c>
      <c r="CO257" s="675">
        <v>0</v>
      </c>
      <c r="CP257" s="549">
        <v>0</v>
      </c>
      <c r="CQ257" s="675">
        <v>0</v>
      </c>
      <c r="CR257" s="549">
        <v>0</v>
      </c>
      <c r="CS257" s="675">
        <v>0</v>
      </c>
      <c r="CT257" s="549">
        <v>0</v>
      </c>
      <c r="CU257" s="675">
        <v>0</v>
      </c>
      <c r="CV257" s="549">
        <v>0</v>
      </c>
      <c r="CW257" s="675">
        <v>0</v>
      </c>
      <c r="CX257" s="549">
        <v>0</v>
      </c>
      <c r="CY257" s="675">
        <v>0</v>
      </c>
      <c r="CZ257" s="549">
        <v>0</v>
      </c>
      <c r="DA257" s="675">
        <v>0</v>
      </c>
      <c r="DB257" s="549">
        <v>0</v>
      </c>
      <c r="DC257" s="675">
        <v>0</v>
      </c>
      <c r="DD257" s="549">
        <v>0</v>
      </c>
      <c r="DE257" s="675">
        <v>0</v>
      </c>
      <c r="DF257" s="549">
        <v>0</v>
      </c>
      <c r="DG257" s="675">
        <v>0</v>
      </c>
      <c r="DH257" s="549">
        <v>0</v>
      </c>
      <c r="DI257" s="675">
        <v>0</v>
      </c>
      <c r="DJ257" s="549">
        <v>0</v>
      </c>
      <c r="DK257" s="675">
        <v>0</v>
      </c>
      <c r="DL257" s="549">
        <v>0</v>
      </c>
      <c r="DM257" s="675">
        <v>0</v>
      </c>
      <c r="DN257" s="549">
        <v>0</v>
      </c>
      <c r="DO257" s="675">
        <v>0</v>
      </c>
      <c r="DP257" s="549">
        <v>0</v>
      </c>
      <c r="DQ257" s="675">
        <v>0</v>
      </c>
      <c r="DR257" s="549">
        <v>0</v>
      </c>
      <c r="DS257" s="675">
        <v>0</v>
      </c>
      <c r="DT257" s="549">
        <v>0</v>
      </c>
      <c r="DU257" s="675">
        <v>0</v>
      </c>
      <c r="DV257" s="549">
        <v>0</v>
      </c>
      <c r="DW257" s="675">
        <v>0</v>
      </c>
      <c r="DX257" s="549">
        <v>0</v>
      </c>
      <c r="DY257" s="675">
        <v>0</v>
      </c>
      <c r="DZ257" s="549">
        <v>0</v>
      </c>
      <c r="EA257" s="675">
        <v>0</v>
      </c>
      <c r="EB257" s="549">
        <v>0</v>
      </c>
      <c r="EC257" s="675">
        <v>0</v>
      </c>
      <c r="ED257" s="549">
        <v>0</v>
      </c>
      <c r="EE257" s="675">
        <v>-21000</v>
      </c>
      <c r="EF257" s="549">
        <v>0</v>
      </c>
      <c r="EG257" s="675">
        <v>0</v>
      </c>
      <c r="EH257" s="549">
        <v>0</v>
      </c>
      <c r="EI257" s="675">
        <v>0</v>
      </c>
      <c r="EJ257" s="549">
        <v>0</v>
      </c>
      <c r="EK257" s="675">
        <v>0</v>
      </c>
      <c r="EL257" s="549">
        <v>0</v>
      </c>
      <c r="EM257" s="675">
        <v>0</v>
      </c>
      <c r="EN257" s="549">
        <v>0</v>
      </c>
      <c r="EO257" s="675">
        <v>0</v>
      </c>
      <c r="EP257" s="549">
        <v>0</v>
      </c>
      <c r="EQ257" s="675">
        <v>0</v>
      </c>
      <c r="ER257" s="549">
        <v>0</v>
      </c>
      <c r="ES257" s="675">
        <v>0</v>
      </c>
      <c r="ET257" s="549">
        <v>0</v>
      </c>
      <c r="EU257" s="675">
        <v>0</v>
      </c>
      <c r="EV257" s="549">
        <v>0</v>
      </c>
      <c r="EW257" s="675">
        <v>0</v>
      </c>
      <c r="EX257" s="549">
        <v>0</v>
      </c>
      <c r="EY257" s="675">
        <v>0</v>
      </c>
      <c r="EZ257" s="549">
        <v>0</v>
      </c>
      <c r="FA257" s="675">
        <v>0</v>
      </c>
      <c r="FB257" s="549">
        <v>0</v>
      </c>
      <c r="FC257" s="675">
        <v>0</v>
      </c>
      <c r="FD257" s="549">
        <v>0</v>
      </c>
      <c r="FE257" s="675">
        <v>0</v>
      </c>
      <c r="FF257" s="549">
        <v>0</v>
      </c>
      <c r="FG257" s="675">
        <v>0</v>
      </c>
      <c r="FH257" s="549">
        <v>0</v>
      </c>
      <c r="FI257" s="675">
        <v>0</v>
      </c>
      <c r="FJ257" s="549">
        <v>0</v>
      </c>
      <c r="FK257" s="675">
        <v>0</v>
      </c>
      <c r="FL257" s="549">
        <v>0</v>
      </c>
      <c r="FM257" s="675">
        <v>0</v>
      </c>
      <c r="FN257" s="549">
        <v>0</v>
      </c>
      <c r="FO257" s="675">
        <v>0</v>
      </c>
      <c r="FP257" s="549">
        <v>0</v>
      </c>
      <c r="FQ257" s="675">
        <v>0</v>
      </c>
      <c r="FR257" s="549">
        <v>0</v>
      </c>
      <c r="FS257" s="675">
        <v>0</v>
      </c>
      <c r="FT257" s="549">
        <v>0</v>
      </c>
      <c r="FU257" s="675">
        <v>0</v>
      </c>
      <c r="FV257" s="549">
        <v>0</v>
      </c>
      <c r="FW257" s="675">
        <v>0</v>
      </c>
      <c r="FX257" s="549">
        <v>0</v>
      </c>
      <c r="FY257" s="675">
        <v>0</v>
      </c>
      <c r="FZ257" s="549">
        <v>0</v>
      </c>
      <c r="GA257" s="675">
        <v>0</v>
      </c>
      <c r="GB257" s="549">
        <v>0</v>
      </c>
      <c r="GC257" s="675">
        <v>0</v>
      </c>
      <c r="GD257" s="549">
        <v>0</v>
      </c>
      <c r="GE257" s="675">
        <v>0</v>
      </c>
      <c r="GF257" s="549">
        <v>0</v>
      </c>
      <c r="GG257" s="675">
        <v>0</v>
      </c>
      <c r="GH257" s="549">
        <v>0</v>
      </c>
      <c r="GI257" s="675">
        <v>0</v>
      </c>
      <c r="GJ257" s="549">
        <v>0</v>
      </c>
      <c r="GK257" s="675">
        <v>0</v>
      </c>
      <c r="GL257" s="549">
        <v>0</v>
      </c>
      <c r="GM257" s="675">
        <v>0</v>
      </c>
      <c r="GN257" s="549">
        <v>0</v>
      </c>
      <c r="GO257" s="675">
        <v>0</v>
      </c>
      <c r="GP257" s="549">
        <f>+D257+F257+H257+J257+L257+N257+P257+R257+T257+V257+X257+Z257+AB257+AF257+AD257+AH257+AJ257+AL257+AN257+AP257+AR257+AT257+AV257+AX257+AZ257+BB257+BD257+BF257+BH257+BJ257+BL257+BN257+BP257+BR257+BT257+BV257+BX257+BZ257+CB257+CD257+CF257+CH257+CJ257+CL257+CN257+CP257+CR257+CT257+CV257+CX257+CZ257+DB257+DD257+DF257+DH257+DT257+EX257+DJ257+DL257+DN257+DP257+DR257+EJ257+EB257+DZ257+DX257+DV257+ED257+EF257+EH257+EL257+EN257+EP257+EV257+ET257+ER257+EZ257+FB257+FD257+GL257+FF257+FJ257+FL257+GJ257+FT257+FR257+FP257+FN257+FH257+GH257+GF257+GD257+GB257+FZ257+FX257+FV257+GN257</f>
        <v>0</v>
      </c>
      <c r="GQ257" s="675">
        <f>+E257+G257+I257+K257+M257+O257+Q257+S257+U257+W257+Y257+AA257+AC257+AE257+AG257+AI257+AK257+AM257+AO257+AQ257+AS257+AU257+AW257+AY257+BA257+BC257+BE257+BG257+BI257+BK257+BM257+BO257+BQ257+BS257+BU257+BW257+BY257+CA257+CC257+CE257+CG257+CI257+CK257+CM257+CO257+CQ257+CS257+CU257+CW257+CY257+DA257+DC257+DE257+DG257+DI257+DU257+EY257+DK257+DM257+DO257+DQ257+DS257+EK257+EC257+EA257+DY257+DW257+EI257+EG257+EE257+EM257+EO257+EQ257+EW257+EU257+ES257+FA257+FC257+FE257+GM257+FG257+FK257+FM257+FO257+FQ257+FS257+FU257+GK257+FI257+GI257+GG257+GE257+GC257+GA257+FY257+FW257+GO257</f>
        <v>-53439</v>
      </c>
      <c r="GR257" s="74">
        <f>C257+GP257+GQ257</f>
        <v>457761</v>
      </c>
      <c r="GS257" s="74">
        <f>SUM(GU257:HD257)+GP257+GQ257</f>
        <v>287361</v>
      </c>
      <c r="GT257" s="568">
        <f>SUM(GU257:HF257)+GQ257+GP257</f>
        <v>457761</v>
      </c>
      <c r="GU257" s="275"/>
      <c r="GV257" s="831">
        <v>170400</v>
      </c>
      <c r="GW257" s="588"/>
      <c r="GX257" s="588"/>
      <c r="GY257" s="275"/>
      <c r="GZ257" s="275"/>
      <c r="HA257" s="275"/>
      <c r="HB257" s="831">
        <v>170400</v>
      </c>
      <c r="HC257" s="275"/>
      <c r="HD257" s="275"/>
      <c r="HE257" s="275">
        <v>170400</v>
      </c>
      <c r="HF257" s="275">
        <v>0</v>
      </c>
      <c r="HG257" s="74">
        <f>SUM(HH257:IE257)+GP257+GQ257</f>
        <v>287361</v>
      </c>
      <c r="HH257" s="89">
        <v>0</v>
      </c>
      <c r="HI257" s="817">
        <v>0</v>
      </c>
      <c r="HJ257" s="89">
        <v>0</v>
      </c>
      <c r="HK257" s="817">
        <f>137960.74+32439.26</f>
        <v>170400</v>
      </c>
      <c r="HL257" s="89">
        <v>0</v>
      </c>
      <c r="HM257" s="817">
        <v>0</v>
      </c>
      <c r="HN257" s="89">
        <v>0</v>
      </c>
      <c r="HO257" s="817">
        <v>0</v>
      </c>
      <c r="HP257" s="89">
        <v>0</v>
      </c>
      <c r="HQ257" s="817">
        <v>0</v>
      </c>
      <c r="HR257" s="89">
        <v>0</v>
      </c>
      <c r="HS257" s="817">
        <v>0</v>
      </c>
      <c r="HT257" s="89">
        <v>0</v>
      </c>
      <c r="HU257" s="817">
        <v>0</v>
      </c>
      <c r="HV257" s="89">
        <v>0</v>
      </c>
      <c r="HW257" s="817">
        <f>23809.85+146590.15</f>
        <v>170400</v>
      </c>
      <c r="HX257" s="89">
        <v>0</v>
      </c>
      <c r="HY257" s="817">
        <v>0</v>
      </c>
      <c r="HZ257" s="89">
        <v>0</v>
      </c>
      <c r="IA257" s="817">
        <v>0</v>
      </c>
      <c r="IB257" s="89">
        <v>0</v>
      </c>
      <c r="IC257" s="817">
        <v>0</v>
      </c>
      <c r="ID257" s="89">
        <v>0</v>
      </c>
      <c r="IE257" s="817">
        <v>0</v>
      </c>
      <c r="IF257" s="841">
        <f t="shared" ref="IF257" si="8626">SUM(II257,IL257,IO257,IR257,IU257,IX257,JA257,JD257,JG257,JJ257,JM257,JP257)</f>
        <v>284551.15000000002</v>
      </c>
      <c r="IG257" s="263">
        <f t="shared" ref="IG257" si="8627">SUM(IJ257,IM257,IP257,IS257,IV257,IY257,JB257,JE257,JH257,JK257,JN257,JQ257)</f>
        <v>284551.15000000002</v>
      </c>
      <c r="IH257" s="842">
        <f t="shared" ref="IH257" si="8628">SUM(IK257,IN257,IQ257,IT257,IW257,IZ257,JC257,JF257,JI257,JL257,JO257,JR257)</f>
        <v>284551.15000000002</v>
      </c>
      <c r="II257" s="89">
        <v>0</v>
      </c>
      <c r="IJ257" s="89">
        <f>II257</f>
        <v>0</v>
      </c>
      <c r="IK257" s="89">
        <f>IJ257</f>
        <v>0</v>
      </c>
      <c r="IL257" s="89">
        <v>137960.74</v>
      </c>
      <c r="IM257" s="89">
        <f>IL257</f>
        <v>137960.74</v>
      </c>
      <c r="IN257" s="89">
        <f>IM257</f>
        <v>137960.74</v>
      </c>
      <c r="IO257" s="89">
        <v>0</v>
      </c>
      <c r="IP257" s="89">
        <f>IO257</f>
        <v>0</v>
      </c>
      <c r="IQ257" s="89">
        <f>IP257</f>
        <v>0</v>
      </c>
      <c r="IR257" s="89">
        <v>0</v>
      </c>
      <c r="IS257" s="89">
        <f>IR257</f>
        <v>0</v>
      </c>
      <c r="IT257" s="89">
        <f>IS257</f>
        <v>0</v>
      </c>
      <c r="IU257" s="89">
        <v>0</v>
      </c>
      <c r="IV257" s="89">
        <f>IU257</f>
        <v>0</v>
      </c>
      <c r="IW257" s="89">
        <f>IV257</f>
        <v>0</v>
      </c>
      <c r="IX257" s="89">
        <v>0</v>
      </c>
      <c r="IY257" s="89">
        <f>IX257</f>
        <v>0</v>
      </c>
      <c r="IZ257" s="89">
        <f>IY257</f>
        <v>0</v>
      </c>
      <c r="JA257" s="89">
        <f>137960.74-137960.74</f>
        <v>0</v>
      </c>
      <c r="JB257" s="89">
        <f>JA257</f>
        <v>0</v>
      </c>
      <c r="JC257" s="89">
        <f>JB257</f>
        <v>0</v>
      </c>
      <c r="JD257" s="89">
        <f>284551.15-137960.74</f>
        <v>146590.41000000003</v>
      </c>
      <c r="JE257" s="89">
        <f>JD257</f>
        <v>146590.41000000003</v>
      </c>
      <c r="JF257" s="89">
        <f>JE257</f>
        <v>146590.41000000003</v>
      </c>
      <c r="JG257" s="89">
        <v>0</v>
      </c>
      <c r="JH257" s="89">
        <f>JG257</f>
        <v>0</v>
      </c>
      <c r="JI257" s="89">
        <f>JH257</f>
        <v>0</v>
      </c>
      <c r="JJ257" s="89">
        <v>0</v>
      </c>
      <c r="JK257" s="89">
        <f>JJ257</f>
        <v>0</v>
      </c>
      <c r="JL257" s="89">
        <f>JK257</f>
        <v>0</v>
      </c>
      <c r="JM257" s="89">
        <v>0</v>
      </c>
      <c r="JN257" s="89">
        <f>JM257</f>
        <v>0</v>
      </c>
      <c r="JO257" s="89">
        <f>JN257</f>
        <v>0</v>
      </c>
      <c r="JP257" s="89">
        <v>0</v>
      </c>
      <c r="JQ257" s="89">
        <f>JP257</f>
        <v>0</v>
      </c>
      <c r="JR257" s="89">
        <f>JQ257</f>
        <v>0</v>
      </c>
      <c r="JS257" s="74">
        <f>HG257-IF257</f>
        <v>2809.8499999999767</v>
      </c>
      <c r="JT257" s="382">
        <f>GS257-IF257</f>
        <v>2809.8499999999767</v>
      </c>
      <c r="JU257" s="670"/>
      <c r="JV257" s="489"/>
      <c r="JW257" s="490"/>
      <c r="JX257" s="548">
        <f>SUM(HH257,HJ257,HL257,HN257,HP257,HR257,HT257,HV257,HX257,HZ257,IB257,ID257)</f>
        <v>0</v>
      </c>
      <c r="JY257" s="548">
        <f>SUM(HI257,HK257,HM257,HO257,HQ257,HS257,HU257,HW257,HY257,IA257,IC257,IE257)</f>
        <v>340800</v>
      </c>
      <c r="JZ257" s="581">
        <f t="shared" si="7470"/>
        <v>0</v>
      </c>
      <c r="KA257" s="581">
        <f t="shared" si="7471"/>
        <v>-53439</v>
      </c>
      <c r="KB257" s="548">
        <f t="shared" si="8622"/>
        <v>287361</v>
      </c>
      <c r="KC257" s="709">
        <f t="shared" si="7396"/>
        <v>0</v>
      </c>
      <c r="KD257" s="36"/>
      <c r="KE257" s="36"/>
      <c r="KF257" s="36"/>
      <c r="KG257" s="36"/>
      <c r="KH257" s="36"/>
      <c r="KI257" s="36"/>
      <c r="KJ257" s="36"/>
      <c r="KK257" s="36"/>
    </row>
    <row r="258" spans="1:297" s="10" customFormat="1">
      <c r="A258" s="91"/>
      <c r="B258" s="77"/>
      <c r="C258" s="74"/>
      <c r="D258" s="549"/>
      <c r="E258" s="675"/>
      <c r="F258" s="549"/>
      <c r="G258" s="675"/>
      <c r="H258" s="549"/>
      <c r="I258" s="675"/>
      <c r="J258" s="549"/>
      <c r="K258" s="675"/>
      <c r="L258" s="549"/>
      <c r="M258" s="675"/>
      <c r="N258" s="549"/>
      <c r="O258" s="675"/>
      <c r="P258" s="549"/>
      <c r="Q258" s="675"/>
      <c r="R258" s="549"/>
      <c r="S258" s="675"/>
      <c r="T258" s="549"/>
      <c r="U258" s="675"/>
      <c r="V258" s="549"/>
      <c r="W258" s="675"/>
      <c r="X258" s="549"/>
      <c r="Y258" s="675"/>
      <c r="Z258" s="549"/>
      <c r="AA258" s="675"/>
      <c r="AB258" s="549"/>
      <c r="AC258" s="675"/>
      <c r="AD258" s="549"/>
      <c r="AE258" s="675"/>
      <c r="AF258" s="549"/>
      <c r="AG258" s="675"/>
      <c r="AH258" s="549"/>
      <c r="AI258" s="675"/>
      <c r="AJ258" s="549"/>
      <c r="AK258" s="675"/>
      <c r="AL258" s="549"/>
      <c r="AM258" s="675"/>
      <c r="AN258" s="549"/>
      <c r="AO258" s="675"/>
      <c r="AP258" s="549"/>
      <c r="AQ258" s="675"/>
      <c r="AR258" s="549"/>
      <c r="AS258" s="675"/>
      <c r="AT258" s="549"/>
      <c r="AU258" s="675"/>
      <c r="AV258" s="549"/>
      <c r="AW258" s="675"/>
      <c r="AX258" s="549"/>
      <c r="AY258" s="675"/>
      <c r="AZ258" s="549"/>
      <c r="BA258" s="675"/>
      <c r="BB258" s="549"/>
      <c r="BC258" s="675"/>
      <c r="BD258" s="549"/>
      <c r="BE258" s="675"/>
      <c r="BF258" s="549"/>
      <c r="BG258" s="675"/>
      <c r="BH258" s="549"/>
      <c r="BI258" s="675"/>
      <c r="BJ258" s="549"/>
      <c r="BK258" s="675"/>
      <c r="BL258" s="549"/>
      <c r="BM258" s="675"/>
      <c r="BN258" s="549"/>
      <c r="BO258" s="675"/>
      <c r="BP258" s="549"/>
      <c r="BQ258" s="675"/>
      <c r="BR258" s="549"/>
      <c r="BS258" s="675"/>
      <c r="BT258" s="549"/>
      <c r="BU258" s="675"/>
      <c r="BV258" s="549"/>
      <c r="BW258" s="675"/>
      <c r="BX258" s="549"/>
      <c r="BY258" s="675"/>
      <c r="BZ258" s="549"/>
      <c r="CA258" s="675"/>
      <c r="CB258" s="549"/>
      <c r="CC258" s="675"/>
      <c r="CD258" s="549"/>
      <c r="CE258" s="675"/>
      <c r="CF258" s="549"/>
      <c r="CG258" s="675"/>
      <c r="CH258" s="549"/>
      <c r="CI258" s="675"/>
      <c r="CJ258" s="549"/>
      <c r="CK258" s="675"/>
      <c r="CL258" s="549"/>
      <c r="CM258" s="675"/>
      <c r="CN258" s="549"/>
      <c r="CO258" s="675"/>
      <c r="CP258" s="549"/>
      <c r="CQ258" s="675"/>
      <c r="CR258" s="549"/>
      <c r="CS258" s="675"/>
      <c r="CT258" s="549"/>
      <c r="CU258" s="675"/>
      <c r="CV258" s="549"/>
      <c r="CW258" s="675"/>
      <c r="CX258" s="549"/>
      <c r="CY258" s="675"/>
      <c r="CZ258" s="549"/>
      <c r="DA258" s="675"/>
      <c r="DB258" s="549"/>
      <c r="DC258" s="675"/>
      <c r="DD258" s="549"/>
      <c r="DE258" s="675"/>
      <c r="DF258" s="549"/>
      <c r="DG258" s="675"/>
      <c r="DH258" s="549"/>
      <c r="DI258" s="675"/>
      <c r="DJ258" s="549"/>
      <c r="DK258" s="675"/>
      <c r="DL258" s="549"/>
      <c r="DM258" s="675"/>
      <c r="DN258" s="549"/>
      <c r="DO258" s="675"/>
      <c r="DP258" s="549"/>
      <c r="DQ258" s="675"/>
      <c r="DR258" s="549"/>
      <c r="DS258" s="675"/>
      <c r="DT258" s="549"/>
      <c r="DU258" s="675"/>
      <c r="DV258" s="549"/>
      <c r="DW258" s="675"/>
      <c r="DX258" s="549"/>
      <c r="DY258" s="675"/>
      <c r="DZ258" s="549"/>
      <c r="EA258" s="675"/>
      <c r="EB258" s="549"/>
      <c r="EC258" s="675"/>
      <c r="ED258" s="549"/>
      <c r="EE258" s="675"/>
      <c r="EF258" s="549"/>
      <c r="EG258" s="675"/>
      <c r="EH258" s="549"/>
      <c r="EI258" s="675"/>
      <c r="EJ258" s="549"/>
      <c r="EK258" s="675"/>
      <c r="EL258" s="549"/>
      <c r="EM258" s="675"/>
      <c r="EN258" s="549"/>
      <c r="EO258" s="675"/>
      <c r="EP258" s="549"/>
      <c r="EQ258" s="675"/>
      <c r="ER258" s="549"/>
      <c r="ES258" s="675"/>
      <c r="ET258" s="549"/>
      <c r="EU258" s="675"/>
      <c r="EV258" s="549"/>
      <c r="EW258" s="675"/>
      <c r="EX258" s="549"/>
      <c r="EY258" s="675"/>
      <c r="EZ258" s="549"/>
      <c r="FA258" s="675"/>
      <c r="FB258" s="549"/>
      <c r="FC258" s="675"/>
      <c r="FD258" s="549"/>
      <c r="FE258" s="675"/>
      <c r="FF258" s="549"/>
      <c r="FG258" s="675"/>
      <c r="FH258" s="549"/>
      <c r="FI258" s="675"/>
      <c r="FJ258" s="549"/>
      <c r="FK258" s="675"/>
      <c r="FL258" s="549"/>
      <c r="FM258" s="675"/>
      <c r="FN258" s="549"/>
      <c r="FO258" s="675"/>
      <c r="FP258" s="549"/>
      <c r="FQ258" s="675"/>
      <c r="FR258" s="549"/>
      <c r="FS258" s="675"/>
      <c r="FT258" s="549"/>
      <c r="FU258" s="675"/>
      <c r="FV258" s="549"/>
      <c r="FW258" s="675"/>
      <c r="FX258" s="549"/>
      <c r="FY258" s="675"/>
      <c r="FZ258" s="549"/>
      <c r="GA258" s="675"/>
      <c r="GB258" s="549"/>
      <c r="GC258" s="675"/>
      <c r="GD258" s="549"/>
      <c r="GE258" s="675"/>
      <c r="GF258" s="549"/>
      <c r="GG258" s="675"/>
      <c r="GH258" s="549"/>
      <c r="GI258" s="675"/>
      <c r="GJ258" s="549"/>
      <c r="GK258" s="675"/>
      <c r="GL258" s="549"/>
      <c r="GM258" s="675"/>
      <c r="GN258" s="549"/>
      <c r="GO258" s="675"/>
      <c r="GP258" s="549"/>
      <c r="GQ258" s="675"/>
      <c r="GR258" s="74"/>
      <c r="GS258" s="74"/>
      <c r="GT258" s="549"/>
      <c r="GU258" s="73"/>
      <c r="GV258" s="73"/>
      <c r="GW258" s="549"/>
      <c r="GX258" s="549"/>
      <c r="GY258" s="73"/>
      <c r="GZ258" s="73"/>
      <c r="HA258" s="73"/>
      <c r="HB258" s="73"/>
      <c r="HC258" s="73"/>
      <c r="HD258" s="73"/>
      <c r="HE258" s="73"/>
      <c r="HF258" s="73"/>
      <c r="HG258" s="74"/>
      <c r="HH258" s="73"/>
      <c r="HI258" s="815"/>
      <c r="HJ258" s="73"/>
      <c r="HK258" s="815"/>
      <c r="HL258" s="73"/>
      <c r="HM258" s="815"/>
      <c r="HN258" s="73"/>
      <c r="HO258" s="815"/>
      <c r="HP258" s="73"/>
      <c r="HQ258" s="815"/>
      <c r="HR258" s="73"/>
      <c r="HS258" s="815"/>
      <c r="HT258" s="73"/>
      <c r="HU258" s="815"/>
      <c r="HV258" s="73"/>
      <c r="HW258" s="815"/>
      <c r="HX258" s="73"/>
      <c r="HY258" s="815"/>
      <c r="HZ258" s="73"/>
      <c r="IA258" s="815"/>
      <c r="IB258" s="73"/>
      <c r="IC258" s="815"/>
      <c r="ID258" s="73"/>
      <c r="IE258" s="815"/>
      <c r="IF258" s="841"/>
      <c r="IG258" s="263"/>
      <c r="IH258" s="842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  <c r="JD258" s="73"/>
      <c r="JE258" s="73"/>
      <c r="JF258" s="73"/>
      <c r="JG258" s="73"/>
      <c r="JH258" s="73"/>
      <c r="JI258" s="73"/>
      <c r="JJ258" s="73"/>
      <c r="JK258" s="73"/>
      <c r="JL258" s="73"/>
      <c r="JM258" s="73"/>
      <c r="JN258" s="73"/>
      <c r="JO258" s="73"/>
      <c r="JP258" s="73"/>
      <c r="JQ258" s="73"/>
      <c r="JR258" s="73"/>
      <c r="JS258" s="74"/>
      <c r="JT258" s="382"/>
      <c r="JU258" s="670"/>
      <c r="JV258" s="489"/>
      <c r="JW258" s="504"/>
      <c r="JX258" s="548"/>
      <c r="JY258" s="548"/>
      <c r="JZ258" s="581">
        <f t="shared" si="7470"/>
        <v>0</v>
      </c>
      <c r="KA258" s="581">
        <f t="shared" si="7471"/>
        <v>0</v>
      </c>
      <c r="KB258" s="548">
        <f t="shared" si="8622"/>
        <v>0</v>
      </c>
      <c r="KC258" s="709">
        <f t="shared" si="7396"/>
        <v>0</v>
      </c>
      <c r="KD258" s="36"/>
      <c r="KE258" s="36"/>
      <c r="KF258" s="36"/>
      <c r="KG258" s="36"/>
      <c r="KH258" s="36"/>
      <c r="KI258" s="36"/>
      <c r="KJ258" s="36"/>
      <c r="KK258" s="36"/>
    </row>
    <row r="259" spans="1:297" s="8" customFormat="1">
      <c r="A259" s="80" t="s">
        <v>230</v>
      </c>
      <c r="B259" s="72" t="s">
        <v>68</v>
      </c>
      <c r="C259" s="74">
        <f t="shared" ref="C259:S259" si="8629">SUM(C260:C263)</f>
        <v>859100</v>
      </c>
      <c r="D259" s="549">
        <f t="shared" si="8629"/>
        <v>0</v>
      </c>
      <c r="E259" s="675">
        <f t="shared" si="8629"/>
        <v>0</v>
      </c>
      <c r="F259" s="549">
        <f t="shared" si="8629"/>
        <v>0</v>
      </c>
      <c r="G259" s="675">
        <f t="shared" si="8629"/>
        <v>0</v>
      </c>
      <c r="H259" s="549">
        <f t="shared" si="8629"/>
        <v>0</v>
      </c>
      <c r="I259" s="675">
        <f t="shared" si="8629"/>
        <v>0</v>
      </c>
      <c r="J259" s="549">
        <f t="shared" si="8629"/>
        <v>0</v>
      </c>
      <c r="K259" s="675">
        <f t="shared" si="8629"/>
        <v>0</v>
      </c>
      <c r="L259" s="549">
        <f t="shared" si="8629"/>
        <v>0</v>
      </c>
      <c r="M259" s="675">
        <f t="shared" si="8629"/>
        <v>0</v>
      </c>
      <c r="N259" s="549">
        <f t="shared" si="8629"/>
        <v>0</v>
      </c>
      <c r="O259" s="675">
        <f t="shared" si="8629"/>
        <v>0</v>
      </c>
      <c r="P259" s="549">
        <f t="shared" si="8629"/>
        <v>0</v>
      </c>
      <c r="Q259" s="675">
        <f t="shared" si="8629"/>
        <v>0</v>
      </c>
      <c r="R259" s="549">
        <f t="shared" si="8629"/>
        <v>0</v>
      </c>
      <c r="S259" s="675">
        <f t="shared" si="8629"/>
        <v>0</v>
      </c>
      <c r="T259" s="549">
        <f t="shared" ref="T259:AM259" si="8630">SUM(T260:T263)</f>
        <v>0</v>
      </c>
      <c r="U259" s="675">
        <f t="shared" si="8630"/>
        <v>0</v>
      </c>
      <c r="V259" s="549">
        <f t="shared" si="8630"/>
        <v>0</v>
      </c>
      <c r="W259" s="675">
        <f t="shared" si="8630"/>
        <v>0</v>
      </c>
      <c r="X259" s="549">
        <f t="shared" si="8630"/>
        <v>0</v>
      </c>
      <c r="Y259" s="675">
        <f t="shared" si="8630"/>
        <v>0</v>
      </c>
      <c r="Z259" s="549">
        <f t="shared" si="8630"/>
        <v>0</v>
      </c>
      <c r="AA259" s="675">
        <f t="shared" si="8630"/>
        <v>0</v>
      </c>
      <c r="AB259" s="549">
        <f t="shared" si="8630"/>
        <v>0</v>
      </c>
      <c r="AC259" s="675">
        <f t="shared" si="8630"/>
        <v>0</v>
      </c>
      <c r="AD259" s="549">
        <f t="shared" ref="AD259:AK259" si="8631">SUM(AD260:AD263)</f>
        <v>0</v>
      </c>
      <c r="AE259" s="675">
        <f t="shared" si="8631"/>
        <v>0</v>
      </c>
      <c r="AF259" s="549">
        <f t="shared" si="8631"/>
        <v>0</v>
      </c>
      <c r="AG259" s="675">
        <f t="shared" si="8631"/>
        <v>0</v>
      </c>
      <c r="AH259" s="549">
        <f t="shared" si="8631"/>
        <v>0</v>
      </c>
      <c r="AI259" s="675">
        <f t="shared" si="8631"/>
        <v>0</v>
      </c>
      <c r="AJ259" s="549">
        <f t="shared" si="8631"/>
        <v>0</v>
      </c>
      <c r="AK259" s="675">
        <f t="shared" si="8631"/>
        <v>0</v>
      </c>
      <c r="AL259" s="549">
        <f t="shared" si="8630"/>
        <v>0</v>
      </c>
      <c r="AM259" s="675">
        <f t="shared" si="8630"/>
        <v>0</v>
      </c>
      <c r="AN259" s="549">
        <f t="shared" ref="AN259:AS259" si="8632">SUM(AN260:AN263)</f>
        <v>0</v>
      </c>
      <c r="AO259" s="675">
        <f t="shared" si="8632"/>
        <v>0</v>
      </c>
      <c r="AP259" s="549">
        <f t="shared" si="8632"/>
        <v>0</v>
      </c>
      <c r="AQ259" s="675">
        <f t="shared" si="8632"/>
        <v>0</v>
      </c>
      <c r="AR259" s="549">
        <f t="shared" si="8632"/>
        <v>0</v>
      </c>
      <c r="AS259" s="675">
        <f t="shared" si="8632"/>
        <v>0</v>
      </c>
      <c r="AT259" s="549">
        <f t="shared" ref="AT259:AU259" si="8633">SUM(AT260:AT263)</f>
        <v>0</v>
      </c>
      <c r="AU259" s="675">
        <f t="shared" si="8633"/>
        <v>0</v>
      </c>
      <c r="AV259" s="549">
        <f t="shared" ref="AV259:AW259" si="8634">SUM(AV260:AV263)</f>
        <v>0</v>
      </c>
      <c r="AW259" s="675">
        <f t="shared" si="8634"/>
        <v>0</v>
      </c>
      <c r="AX259" s="549">
        <f t="shared" ref="AX259:AY259" si="8635">SUM(AX260:AX263)</f>
        <v>0</v>
      </c>
      <c r="AY259" s="675">
        <f t="shared" si="8635"/>
        <v>0</v>
      </c>
      <c r="AZ259" s="549">
        <f t="shared" ref="AZ259:BA259" si="8636">SUM(AZ260:AZ263)</f>
        <v>0</v>
      </c>
      <c r="BA259" s="675">
        <f t="shared" si="8636"/>
        <v>0</v>
      </c>
      <c r="BB259" s="549">
        <f t="shared" ref="BB259:BC259" si="8637">SUM(BB260:BB263)</f>
        <v>0</v>
      </c>
      <c r="BC259" s="675">
        <f t="shared" si="8637"/>
        <v>0</v>
      </c>
      <c r="BD259" s="549">
        <f t="shared" ref="BD259:BE259" si="8638">SUM(BD260:BD263)</f>
        <v>0</v>
      </c>
      <c r="BE259" s="675">
        <f t="shared" si="8638"/>
        <v>0</v>
      </c>
      <c r="BF259" s="549">
        <f t="shared" ref="BF259:BG259" si="8639">SUM(BF260:BF263)</f>
        <v>0</v>
      </c>
      <c r="BG259" s="675">
        <f t="shared" si="8639"/>
        <v>0</v>
      </c>
      <c r="BH259" s="549">
        <f t="shared" ref="BH259:BI259" si="8640">SUM(BH260:BH263)</f>
        <v>0</v>
      </c>
      <c r="BI259" s="675">
        <f t="shared" si="8640"/>
        <v>0</v>
      </c>
      <c r="BJ259" s="549">
        <f t="shared" ref="BJ259:BK259" si="8641">SUM(BJ260:BJ263)</f>
        <v>0</v>
      </c>
      <c r="BK259" s="675">
        <f t="shared" si="8641"/>
        <v>0</v>
      </c>
      <c r="BL259" s="549">
        <f t="shared" ref="BL259:BS259" si="8642">SUM(BL260:BL263)</f>
        <v>0</v>
      </c>
      <c r="BM259" s="675">
        <f t="shared" si="8642"/>
        <v>0</v>
      </c>
      <c r="BN259" s="549">
        <f t="shared" si="8642"/>
        <v>0</v>
      </c>
      <c r="BO259" s="675">
        <f t="shared" si="8642"/>
        <v>0</v>
      </c>
      <c r="BP259" s="549">
        <f t="shared" si="8642"/>
        <v>0</v>
      </c>
      <c r="BQ259" s="675">
        <f t="shared" si="8642"/>
        <v>0</v>
      </c>
      <c r="BR259" s="549">
        <f t="shared" si="8642"/>
        <v>0</v>
      </c>
      <c r="BS259" s="675">
        <f t="shared" si="8642"/>
        <v>0</v>
      </c>
      <c r="BT259" s="549">
        <f t="shared" ref="BT259:BU259" si="8643">SUM(BT260:BT263)</f>
        <v>0</v>
      </c>
      <c r="BU259" s="675">
        <f t="shared" si="8643"/>
        <v>0</v>
      </c>
      <c r="BV259" s="549">
        <f t="shared" ref="BV259:BW259" si="8644">SUM(BV260:BV263)</f>
        <v>0</v>
      </c>
      <c r="BW259" s="675">
        <f t="shared" si="8644"/>
        <v>0</v>
      </c>
      <c r="BX259" s="549">
        <f t="shared" ref="BX259:BY259" si="8645">SUM(BX260:BX263)</f>
        <v>0</v>
      </c>
      <c r="BY259" s="675">
        <f t="shared" si="8645"/>
        <v>0</v>
      </c>
      <c r="BZ259" s="549">
        <f t="shared" ref="BZ259:CA259" si="8646">SUM(BZ260:BZ263)</f>
        <v>0</v>
      </c>
      <c r="CA259" s="675">
        <f t="shared" si="8646"/>
        <v>0</v>
      </c>
      <c r="CB259" s="549">
        <f t="shared" ref="CB259:CE259" si="8647">SUM(CB260:CB263)</f>
        <v>0</v>
      </c>
      <c r="CC259" s="675">
        <f t="shared" si="8647"/>
        <v>0</v>
      </c>
      <c r="CD259" s="549">
        <f t="shared" si="8647"/>
        <v>0</v>
      </c>
      <c r="CE259" s="675">
        <f t="shared" si="8647"/>
        <v>0</v>
      </c>
      <c r="CF259" s="549">
        <f t="shared" ref="CF259:CQ259" si="8648">SUM(CF260:CF263)</f>
        <v>0</v>
      </c>
      <c r="CG259" s="675">
        <f t="shared" si="8648"/>
        <v>0</v>
      </c>
      <c r="CH259" s="549">
        <f t="shared" si="8648"/>
        <v>0</v>
      </c>
      <c r="CI259" s="675">
        <f t="shared" si="8648"/>
        <v>0</v>
      </c>
      <c r="CJ259" s="549">
        <f t="shared" si="8648"/>
        <v>0</v>
      </c>
      <c r="CK259" s="675">
        <f t="shared" si="8648"/>
        <v>0</v>
      </c>
      <c r="CL259" s="549">
        <f t="shared" si="8648"/>
        <v>0</v>
      </c>
      <c r="CM259" s="675">
        <f t="shared" si="8648"/>
        <v>0</v>
      </c>
      <c r="CN259" s="549">
        <f t="shared" si="8648"/>
        <v>0</v>
      </c>
      <c r="CO259" s="675">
        <f t="shared" si="8648"/>
        <v>0</v>
      </c>
      <c r="CP259" s="549">
        <f t="shared" si="8648"/>
        <v>0</v>
      </c>
      <c r="CQ259" s="675">
        <f t="shared" si="8648"/>
        <v>0</v>
      </c>
      <c r="CR259" s="549">
        <f t="shared" ref="CR259:CY259" si="8649">SUM(CR260:CR263)</f>
        <v>0</v>
      </c>
      <c r="CS259" s="675">
        <f t="shared" si="8649"/>
        <v>0</v>
      </c>
      <c r="CT259" s="549">
        <f t="shared" si="8649"/>
        <v>0</v>
      </c>
      <c r="CU259" s="675">
        <f t="shared" si="8649"/>
        <v>0</v>
      </c>
      <c r="CV259" s="549">
        <f t="shared" si="8649"/>
        <v>0</v>
      </c>
      <c r="CW259" s="675">
        <f t="shared" si="8649"/>
        <v>0</v>
      </c>
      <c r="CX259" s="549">
        <f t="shared" si="8649"/>
        <v>0</v>
      </c>
      <c r="CY259" s="675">
        <f t="shared" si="8649"/>
        <v>0</v>
      </c>
      <c r="CZ259" s="549">
        <f t="shared" ref="CZ259:DI259" si="8650">SUM(CZ260:CZ263)</f>
        <v>0</v>
      </c>
      <c r="DA259" s="675">
        <f t="shared" si="8650"/>
        <v>0</v>
      </c>
      <c r="DB259" s="549">
        <f t="shared" si="8650"/>
        <v>0</v>
      </c>
      <c r="DC259" s="675">
        <f t="shared" si="8650"/>
        <v>0</v>
      </c>
      <c r="DD259" s="549">
        <f t="shared" si="8650"/>
        <v>0</v>
      </c>
      <c r="DE259" s="675">
        <f t="shared" si="8650"/>
        <v>0</v>
      </c>
      <c r="DF259" s="549">
        <f t="shared" si="8650"/>
        <v>0</v>
      </c>
      <c r="DG259" s="675">
        <f t="shared" si="8650"/>
        <v>0</v>
      </c>
      <c r="DH259" s="549">
        <f t="shared" si="8650"/>
        <v>0</v>
      </c>
      <c r="DI259" s="675">
        <f t="shared" si="8650"/>
        <v>0</v>
      </c>
      <c r="DJ259" s="549">
        <f t="shared" ref="DJ259:DY259" si="8651">SUM(DJ260:DJ263)</f>
        <v>0</v>
      </c>
      <c r="DK259" s="675">
        <f t="shared" si="8651"/>
        <v>0</v>
      </c>
      <c r="DL259" s="549">
        <f t="shared" si="8651"/>
        <v>0</v>
      </c>
      <c r="DM259" s="675">
        <f t="shared" si="8651"/>
        <v>0</v>
      </c>
      <c r="DN259" s="549">
        <f t="shared" si="8651"/>
        <v>0</v>
      </c>
      <c r="DO259" s="675">
        <f t="shared" si="8651"/>
        <v>0</v>
      </c>
      <c r="DP259" s="549">
        <f t="shared" si="8651"/>
        <v>0</v>
      </c>
      <c r="DQ259" s="675">
        <f t="shared" si="8651"/>
        <v>0</v>
      </c>
      <c r="DR259" s="549">
        <f t="shared" si="8651"/>
        <v>0</v>
      </c>
      <c r="DS259" s="675">
        <f t="shared" si="8651"/>
        <v>0</v>
      </c>
      <c r="DT259" s="549">
        <f t="shared" si="8651"/>
        <v>0</v>
      </c>
      <c r="DU259" s="675">
        <f t="shared" si="8651"/>
        <v>0</v>
      </c>
      <c r="DV259" s="549">
        <f t="shared" si="8651"/>
        <v>0</v>
      </c>
      <c r="DW259" s="675">
        <f t="shared" si="8651"/>
        <v>0</v>
      </c>
      <c r="DX259" s="549">
        <f t="shared" si="8651"/>
        <v>0</v>
      </c>
      <c r="DY259" s="675">
        <f t="shared" si="8651"/>
        <v>0</v>
      </c>
      <c r="DZ259" s="549">
        <f t="shared" ref="DZ259:EU259" si="8652">SUM(DZ260:DZ263)</f>
        <v>0</v>
      </c>
      <c r="EA259" s="675">
        <f t="shared" si="8652"/>
        <v>0</v>
      </c>
      <c r="EB259" s="549">
        <f t="shared" si="8652"/>
        <v>0</v>
      </c>
      <c r="EC259" s="675">
        <f t="shared" si="8652"/>
        <v>0</v>
      </c>
      <c r="ED259" s="549">
        <f t="shared" si="8652"/>
        <v>0</v>
      </c>
      <c r="EE259" s="675">
        <f t="shared" si="8652"/>
        <v>0</v>
      </c>
      <c r="EF259" s="549">
        <f t="shared" si="8652"/>
        <v>0</v>
      </c>
      <c r="EG259" s="675">
        <f t="shared" si="8652"/>
        <v>0</v>
      </c>
      <c r="EH259" s="549">
        <f t="shared" ref="EH259:EM259" si="8653">SUM(EH260:EH263)</f>
        <v>0</v>
      </c>
      <c r="EI259" s="675">
        <f t="shared" si="8653"/>
        <v>0</v>
      </c>
      <c r="EJ259" s="549">
        <f t="shared" si="8653"/>
        <v>0</v>
      </c>
      <c r="EK259" s="675">
        <f t="shared" si="8653"/>
        <v>0</v>
      </c>
      <c r="EL259" s="549">
        <f t="shared" si="8653"/>
        <v>0</v>
      </c>
      <c r="EM259" s="675">
        <f t="shared" si="8653"/>
        <v>0</v>
      </c>
      <c r="EN259" s="549">
        <f t="shared" si="8652"/>
        <v>0</v>
      </c>
      <c r="EO259" s="675">
        <f t="shared" si="8652"/>
        <v>0</v>
      </c>
      <c r="EP259" s="549">
        <f t="shared" si="8652"/>
        <v>0</v>
      </c>
      <c r="EQ259" s="675">
        <f t="shared" si="8652"/>
        <v>0</v>
      </c>
      <c r="ER259" s="549">
        <f t="shared" si="8652"/>
        <v>0</v>
      </c>
      <c r="ES259" s="675">
        <f t="shared" si="8652"/>
        <v>0</v>
      </c>
      <c r="ET259" s="549">
        <f t="shared" si="8652"/>
        <v>0</v>
      </c>
      <c r="EU259" s="675">
        <f t="shared" si="8652"/>
        <v>0</v>
      </c>
      <c r="EV259" s="549">
        <f t="shared" ref="EV259:FE259" si="8654">SUM(EV260:EV263)</f>
        <v>0</v>
      </c>
      <c r="EW259" s="675">
        <f t="shared" si="8654"/>
        <v>0</v>
      </c>
      <c r="EX259" s="549">
        <f t="shared" si="8654"/>
        <v>0</v>
      </c>
      <c r="EY259" s="675">
        <f t="shared" si="8654"/>
        <v>0</v>
      </c>
      <c r="EZ259" s="549">
        <f t="shared" si="8654"/>
        <v>0</v>
      </c>
      <c r="FA259" s="675">
        <f t="shared" si="8654"/>
        <v>0</v>
      </c>
      <c r="FB259" s="549">
        <f t="shared" si="8654"/>
        <v>0</v>
      </c>
      <c r="FC259" s="675">
        <f t="shared" si="8654"/>
        <v>0</v>
      </c>
      <c r="FD259" s="549">
        <f t="shared" si="8654"/>
        <v>0</v>
      </c>
      <c r="FE259" s="675">
        <f t="shared" si="8654"/>
        <v>0</v>
      </c>
      <c r="FF259" s="549">
        <f t="shared" ref="FF259:FG259" si="8655">SUM(FF260:FF263)</f>
        <v>0</v>
      </c>
      <c r="FG259" s="675">
        <f t="shared" si="8655"/>
        <v>0</v>
      </c>
      <c r="FH259" s="549">
        <f t="shared" ref="FH259:FI259" si="8656">SUM(FH260:FH263)</f>
        <v>0</v>
      </c>
      <c r="FI259" s="675">
        <f t="shared" si="8656"/>
        <v>0</v>
      </c>
      <c r="FJ259" s="549">
        <f t="shared" ref="FJ259:FK259" si="8657">SUM(FJ260:FJ263)</f>
        <v>0</v>
      </c>
      <c r="FK259" s="675">
        <f t="shared" si="8657"/>
        <v>0</v>
      </c>
      <c r="FL259" s="549">
        <f t="shared" ref="FL259:FM259" si="8658">SUM(FL260:FL263)</f>
        <v>0</v>
      </c>
      <c r="FM259" s="675">
        <f t="shared" si="8658"/>
        <v>0</v>
      </c>
      <c r="FN259" s="549">
        <f t="shared" ref="FN259:FO259" si="8659">SUM(FN260:FN263)</f>
        <v>0</v>
      </c>
      <c r="FO259" s="675">
        <f t="shared" si="8659"/>
        <v>0</v>
      </c>
      <c r="FP259" s="549">
        <f t="shared" ref="FP259:FQ259" si="8660">SUM(FP260:FP263)</f>
        <v>0</v>
      </c>
      <c r="FQ259" s="675">
        <f t="shared" si="8660"/>
        <v>0</v>
      </c>
      <c r="FR259" s="549">
        <f t="shared" ref="FR259:FS259" si="8661">SUM(FR260:FR263)</f>
        <v>0</v>
      </c>
      <c r="FS259" s="675">
        <f t="shared" si="8661"/>
        <v>0</v>
      </c>
      <c r="FT259" s="549">
        <f t="shared" ref="FT259:FU259" si="8662">SUM(FT260:FT263)</f>
        <v>0</v>
      </c>
      <c r="FU259" s="675">
        <f t="shared" si="8662"/>
        <v>0</v>
      </c>
      <c r="FV259" s="549">
        <f t="shared" ref="FV259:GK259" si="8663">SUM(FV260:FV263)</f>
        <v>0</v>
      </c>
      <c r="FW259" s="675">
        <f t="shared" si="8663"/>
        <v>0</v>
      </c>
      <c r="FX259" s="549">
        <f t="shared" si="8663"/>
        <v>0</v>
      </c>
      <c r="FY259" s="675">
        <f t="shared" si="8663"/>
        <v>0</v>
      </c>
      <c r="FZ259" s="549">
        <f t="shared" ref="FZ259:GI259" si="8664">SUM(FZ260:FZ263)</f>
        <v>0</v>
      </c>
      <c r="GA259" s="675">
        <f t="shared" si="8664"/>
        <v>0</v>
      </c>
      <c r="GB259" s="549">
        <f t="shared" si="8664"/>
        <v>0</v>
      </c>
      <c r="GC259" s="675">
        <f t="shared" si="8664"/>
        <v>0</v>
      </c>
      <c r="GD259" s="549">
        <f t="shared" si="8664"/>
        <v>0</v>
      </c>
      <c r="GE259" s="675">
        <f t="shared" si="8664"/>
        <v>0</v>
      </c>
      <c r="GF259" s="549">
        <f t="shared" si="8664"/>
        <v>0</v>
      </c>
      <c r="GG259" s="675">
        <f t="shared" si="8664"/>
        <v>0</v>
      </c>
      <c r="GH259" s="549">
        <f t="shared" si="8664"/>
        <v>0</v>
      </c>
      <c r="GI259" s="675">
        <f t="shared" si="8664"/>
        <v>0</v>
      </c>
      <c r="GJ259" s="549">
        <f t="shared" si="8663"/>
        <v>0</v>
      </c>
      <c r="GK259" s="675">
        <f t="shared" si="8663"/>
        <v>0</v>
      </c>
      <c r="GL259" s="549">
        <f t="shared" ref="GL259:GM259" si="8665">SUM(GL260:GL263)</f>
        <v>0</v>
      </c>
      <c r="GM259" s="675">
        <f t="shared" si="8665"/>
        <v>0</v>
      </c>
      <c r="GN259" s="549">
        <f t="shared" ref="GN259:GO259" si="8666">SUM(GN260:GN263)</f>
        <v>0</v>
      </c>
      <c r="GO259" s="675">
        <f t="shared" si="8666"/>
        <v>0</v>
      </c>
      <c r="GP259" s="549">
        <f t="shared" ref="GP259:HS259" si="8667">SUM(GP260:GP263)</f>
        <v>0</v>
      </c>
      <c r="GQ259" s="675">
        <f t="shared" si="8667"/>
        <v>0</v>
      </c>
      <c r="GR259" s="74">
        <f>SUM(GR260:GR263)</f>
        <v>859100</v>
      </c>
      <c r="GS259" s="74">
        <f>SUM(GS260:GS263)</f>
        <v>784283</v>
      </c>
      <c r="GT259" s="549">
        <f t="shared" si="8667"/>
        <v>859100</v>
      </c>
      <c r="GU259" s="74">
        <f>SUM(GU260:GU263)</f>
        <v>78120</v>
      </c>
      <c r="GV259" s="74">
        <f t="shared" ref="GV259:HA259" si="8668">SUM(GV260:GV263)</f>
        <v>78098</v>
      </c>
      <c r="GW259" s="74">
        <f t="shared" si="8668"/>
        <v>78098</v>
      </c>
      <c r="GX259" s="74">
        <f t="shared" si="8668"/>
        <v>78098</v>
      </c>
      <c r="GY259" s="74">
        <f t="shared" si="8668"/>
        <v>78098</v>
      </c>
      <c r="GZ259" s="74">
        <f t="shared" si="8668"/>
        <v>78098</v>
      </c>
      <c r="HA259" s="74">
        <f t="shared" si="8668"/>
        <v>78098</v>
      </c>
      <c r="HB259" s="74">
        <f t="shared" si="8667"/>
        <v>78098</v>
      </c>
      <c r="HC259" s="74">
        <f t="shared" si="8667"/>
        <v>78098</v>
      </c>
      <c r="HD259" s="74">
        <f t="shared" si="8667"/>
        <v>81379</v>
      </c>
      <c r="HE259" s="74">
        <f t="shared" si="8667"/>
        <v>74817</v>
      </c>
      <c r="HF259" s="74">
        <f t="shared" si="8667"/>
        <v>0</v>
      </c>
      <c r="HG259" s="74">
        <f>SUM(HG260:HG263)</f>
        <v>784283</v>
      </c>
      <c r="HH259" s="74">
        <f t="shared" ref="HH259:HI259" si="8669">SUM(HH260:HH263)</f>
        <v>0</v>
      </c>
      <c r="HI259" s="792">
        <f t="shared" si="8669"/>
        <v>0</v>
      </c>
      <c r="HJ259" s="74">
        <f t="shared" si="8667"/>
        <v>0</v>
      </c>
      <c r="HK259" s="792">
        <f t="shared" si="8667"/>
        <v>156218</v>
      </c>
      <c r="HL259" s="74">
        <f t="shared" si="8667"/>
        <v>0</v>
      </c>
      <c r="HM259" s="792">
        <f t="shared" si="8667"/>
        <v>74817</v>
      </c>
      <c r="HN259" s="74">
        <f t="shared" si="8667"/>
        <v>0</v>
      </c>
      <c r="HO259" s="792">
        <f t="shared" si="8667"/>
        <v>81379</v>
      </c>
      <c r="HP259" s="74">
        <f t="shared" si="8667"/>
        <v>0</v>
      </c>
      <c r="HQ259" s="792">
        <f t="shared" si="8667"/>
        <v>78098</v>
      </c>
      <c r="HR259" s="74">
        <f t="shared" si="8667"/>
        <v>0</v>
      </c>
      <c r="HS259" s="792">
        <f t="shared" si="8667"/>
        <v>78098</v>
      </c>
      <c r="HT259" s="74">
        <f t="shared" ref="HT259:HU259" si="8670">SUM(HT260:HT263)</f>
        <v>0</v>
      </c>
      <c r="HU259" s="792">
        <f t="shared" si="8670"/>
        <v>78098</v>
      </c>
      <c r="HV259" s="74">
        <f t="shared" ref="HV259:HW259" si="8671">SUM(HV260:HV263)</f>
        <v>0</v>
      </c>
      <c r="HW259" s="792">
        <f t="shared" si="8671"/>
        <v>78098</v>
      </c>
      <c r="HX259" s="74">
        <f t="shared" ref="HX259:HY259" si="8672">SUM(HX260:HX263)</f>
        <v>0</v>
      </c>
      <c r="HY259" s="792">
        <f t="shared" si="8672"/>
        <v>78098</v>
      </c>
      <c r="HZ259" s="74">
        <f t="shared" ref="HZ259:IA259" si="8673">SUM(HZ260:HZ263)</f>
        <v>0</v>
      </c>
      <c r="IA259" s="792">
        <f t="shared" si="8673"/>
        <v>81379</v>
      </c>
      <c r="IB259" s="74">
        <f t="shared" ref="IB259:IC259" si="8674">SUM(IB260:IB263)</f>
        <v>0</v>
      </c>
      <c r="IC259" s="792">
        <f t="shared" si="8674"/>
        <v>0</v>
      </c>
      <c r="ID259" s="74">
        <f t="shared" ref="ID259:JC259" si="8675">SUM(ID260:ID263)</f>
        <v>0</v>
      </c>
      <c r="IE259" s="792">
        <f t="shared" si="8675"/>
        <v>0</v>
      </c>
      <c r="IF259" s="841">
        <f>SUM(IF260:IF263)</f>
        <v>761796.79</v>
      </c>
      <c r="IG259" s="263">
        <f t="shared" si="8675"/>
        <v>761796.79</v>
      </c>
      <c r="IH259" s="842">
        <f t="shared" si="8675"/>
        <v>761796.79</v>
      </c>
      <c r="II259" s="74">
        <f t="shared" si="8675"/>
        <v>1314.18</v>
      </c>
      <c r="IJ259" s="74">
        <f t="shared" si="8675"/>
        <v>1314.18</v>
      </c>
      <c r="IK259" s="74">
        <f t="shared" si="8675"/>
        <v>1314.18</v>
      </c>
      <c r="IL259" s="74">
        <f t="shared" si="8675"/>
        <v>150436.70000000001</v>
      </c>
      <c r="IM259" s="74">
        <f t="shared" si="8675"/>
        <v>150436.70000000001</v>
      </c>
      <c r="IN259" s="74">
        <f t="shared" si="8675"/>
        <v>150436.70000000001</v>
      </c>
      <c r="IO259" s="74">
        <f t="shared" si="8675"/>
        <v>74817</v>
      </c>
      <c r="IP259" s="74">
        <f t="shared" si="8675"/>
        <v>74817</v>
      </c>
      <c r="IQ259" s="74">
        <f t="shared" si="8675"/>
        <v>74817</v>
      </c>
      <c r="IR259" s="74">
        <f t="shared" si="8675"/>
        <v>75910.03</v>
      </c>
      <c r="IS259" s="74">
        <f t="shared" si="8675"/>
        <v>75910.03</v>
      </c>
      <c r="IT259" s="74">
        <f t="shared" si="8675"/>
        <v>75910.03</v>
      </c>
      <c r="IU259" s="74">
        <f t="shared" si="8675"/>
        <v>76367</v>
      </c>
      <c r="IV259" s="74">
        <f t="shared" si="8675"/>
        <v>76367</v>
      </c>
      <c r="IW259" s="74">
        <f t="shared" si="8675"/>
        <v>76367</v>
      </c>
      <c r="IX259" s="74">
        <f t="shared" si="8675"/>
        <v>76707</v>
      </c>
      <c r="IY259" s="74">
        <f t="shared" si="8675"/>
        <v>76707</v>
      </c>
      <c r="IZ259" s="74">
        <f t="shared" si="8675"/>
        <v>76707</v>
      </c>
      <c r="JA259" s="74">
        <f t="shared" si="8675"/>
        <v>76812</v>
      </c>
      <c r="JB259" s="74">
        <f t="shared" si="8675"/>
        <v>76812</v>
      </c>
      <c r="JC259" s="74">
        <f t="shared" si="8675"/>
        <v>76812</v>
      </c>
      <c r="JD259" s="74">
        <f t="shared" ref="JD259:JF259" si="8676">SUM(JD260:JD263)</f>
        <v>76526</v>
      </c>
      <c r="JE259" s="74">
        <f t="shared" si="8676"/>
        <v>76526</v>
      </c>
      <c r="JF259" s="74">
        <f t="shared" si="8676"/>
        <v>76526</v>
      </c>
      <c r="JG259" s="74">
        <f t="shared" ref="JG259:JI259" si="8677">SUM(JG260:JG263)</f>
        <v>76379.34</v>
      </c>
      <c r="JH259" s="74">
        <f t="shared" si="8677"/>
        <v>76379.34</v>
      </c>
      <c r="JI259" s="74">
        <f t="shared" si="8677"/>
        <v>76379.34</v>
      </c>
      <c r="JJ259" s="74">
        <f t="shared" ref="JJ259:JL259" si="8678">SUM(JJ260:JJ263)</f>
        <v>76527.540000000008</v>
      </c>
      <c r="JK259" s="74">
        <f t="shared" si="8678"/>
        <v>76527.540000000008</v>
      </c>
      <c r="JL259" s="74">
        <f t="shared" si="8678"/>
        <v>76527.540000000008</v>
      </c>
      <c r="JM259" s="74">
        <f t="shared" ref="JM259:JO259" si="8679">SUM(JM260:JM263)</f>
        <v>0</v>
      </c>
      <c r="JN259" s="74">
        <f t="shared" si="8679"/>
        <v>0</v>
      </c>
      <c r="JO259" s="74">
        <f t="shared" si="8679"/>
        <v>0</v>
      </c>
      <c r="JP259" s="74">
        <f t="shared" ref="JP259:JR259" si="8680">SUM(JP260:JP263)</f>
        <v>0</v>
      </c>
      <c r="JQ259" s="74">
        <f t="shared" si="8680"/>
        <v>0</v>
      </c>
      <c r="JR259" s="74">
        <f t="shared" si="8680"/>
        <v>0</v>
      </c>
      <c r="JS259" s="74">
        <f>SUM(JS260:JS263)</f>
        <v>22486.21</v>
      </c>
      <c r="JT259" s="382">
        <f>SUM(JT260:JT263)</f>
        <v>22486.21</v>
      </c>
      <c r="JU259" s="670"/>
      <c r="JV259" s="489"/>
      <c r="JW259" s="528"/>
      <c r="JX259" s="548">
        <f>SUM(JX260:JX263)</f>
        <v>0</v>
      </c>
      <c r="JY259" s="548">
        <f>SUM(JY260:JY263)</f>
        <v>784283</v>
      </c>
      <c r="JZ259" s="581">
        <f t="shared" si="7470"/>
        <v>0</v>
      </c>
      <c r="KA259" s="581">
        <f t="shared" si="7471"/>
        <v>0</v>
      </c>
      <c r="KB259" s="548">
        <f t="shared" si="8622"/>
        <v>784283</v>
      </c>
      <c r="KC259" s="709">
        <f t="shared" si="7396"/>
        <v>0</v>
      </c>
      <c r="KD259" s="36"/>
      <c r="KE259" s="36"/>
      <c r="KF259" s="36"/>
      <c r="KG259" s="36"/>
      <c r="KH259" s="36"/>
      <c r="KI259" s="36"/>
      <c r="KJ259" s="36"/>
      <c r="KK259" s="36"/>
    </row>
    <row r="260" spans="1:297" s="10" customFormat="1">
      <c r="A260" s="86" t="s">
        <v>231</v>
      </c>
      <c r="B260" s="77" t="s">
        <v>70</v>
      </c>
      <c r="C260" s="74">
        <v>660200</v>
      </c>
      <c r="D260" s="549">
        <v>0</v>
      </c>
      <c r="E260" s="675">
        <v>0</v>
      </c>
      <c r="F260" s="549">
        <v>0</v>
      </c>
      <c r="G260" s="675">
        <v>0</v>
      </c>
      <c r="H260" s="549">
        <v>0</v>
      </c>
      <c r="I260" s="675">
        <v>0</v>
      </c>
      <c r="J260" s="549">
        <v>0</v>
      </c>
      <c r="K260" s="675">
        <v>0</v>
      </c>
      <c r="L260" s="549">
        <v>0</v>
      </c>
      <c r="M260" s="675">
        <v>0</v>
      </c>
      <c r="N260" s="549">
        <v>0</v>
      </c>
      <c r="O260" s="675">
        <v>0</v>
      </c>
      <c r="P260" s="549">
        <v>0</v>
      </c>
      <c r="Q260" s="675">
        <v>0</v>
      </c>
      <c r="R260" s="549">
        <v>0</v>
      </c>
      <c r="S260" s="675">
        <v>0</v>
      </c>
      <c r="T260" s="549">
        <v>0</v>
      </c>
      <c r="U260" s="675">
        <v>0</v>
      </c>
      <c r="V260" s="549">
        <v>0</v>
      </c>
      <c r="W260" s="675">
        <v>0</v>
      </c>
      <c r="X260" s="549">
        <v>0</v>
      </c>
      <c r="Y260" s="675">
        <v>0</v>
      </c>
      <c r="Z260" s="549">
        <v>0</v>
      </c>
      <c r="AA260" s="675">
        <v>0</v>
      </c>
      <c r="AB260" s="549">
        <v>0</v>
      </c>
      <c r="AC260" s="675">
        <v>0</v>
      </c>
      <c r="AD260" s="549">
        <v>0</v>
      </c>
      <c r="AE260" s="675">
        <v>0</v>
      </c>
      <c r="AF260" s="549">
        <v>0</v>
      </c>
      <c r="AG260" s="675">
        <v>0</v>
      </c>
      <c r="AH260" s="549">
        <v>0</v>
      </c>
      <c r="AI260" s="675">
        <v>0</v>
      </c>
      <c r="AJ260" s="549">
        <v>0</v>
      </c>
      <c r="AK260" s="675">
        <v>0</v>
      </c>
      <c r="AL260" s="549">
        <v>0</v>
      </c>
      <c r="AM260" s="675">
        <v>0</v>
      </c>
      <c r="AN260" s="549">
        <v>0</v>
      </c>
      <c r="AO260" s="675">
        <v>0</v>
      </c>
      <c r="AP260" s="549">
        <v>0</v>
      </c>
      <c r="AQ260" s="675">
        <v>0</v>
      </c>
      <c r="AR260" s="549">
        <v>0</v>
      </c>
      <c r="AS260" s="675">
        <v>0</v>
      </c>
      <c r="AT260" s="549">
        <v>0</v>
      </c>
      <c r="AU260" s="675">
        <v>0</v>
      </c>
      <c r="AV260" s="549">
        <v>0</v>
      </c>
      <c r="AW260" s="675">
        <v>0</v>
      </c>
      <c r="AX260" s="549">
        <v>0</v>
      </c>
      <c r="AY260" s="675">
        <v>0</v>
      </c>
      <c r="AZ260" s="549">
        <v>0</v>
      </c>
      <c r="BA260" s="675">
        <v>0</v>
      </c>
      <c r="BB260" s="549">
        <v>0</v>
      </c>
      <c r="BC260" s="675">
        <v>0</v>
      </c>
      <c r="BD260" s="549">
        <v>0</v>
      </c>
      <c r="BE260" s="675">
        <v>0</v>
      </c>
      <c r="BF260" s="549">
        <v>0</v>
      </c>
      <c r="BG260" s="675">
        <v>0</v>
      </c>
      <c r="BH260" s="549">
        <v>0</v>
      </c>
      <c r="BI260" s="675">
        <v>0</v>
      </c>
      <c r="BJ260" s="549">
        <v>0</v>
      </c>
      <c r="BK260" s="675">
        <v>0</v>
      </c>
      <c r="BL260" s="549">
        <v>0</v>
      </c>
      <c r="BM260" s="675">
        <v>0</v>
      </c>
      <c r="BN260" s="549">
        <v>0</v>
      </c>
      <c r="BO260" s="675">
        <v>0</v>
      </c>
      <c r="BP260" s="549">
        <v>0</v>
      </c>
      <c r="BQ260" s="675">
        <v>0</v>
      </c>
      <c r="BR260" s="549">
        <v>0</v>
      </c>
      <c r="BS260" s="675">
        <v>0</v>
      </c>
      <c r="BT260" s="549">
        <v>0</v>
      </c>
      <c r="BU260" s="675">
        <v>0</v>
      </c>
      <c r="BV260" s="549">
        <v>0</v>
      </c>
      <c r="BW260" s="675">
        <v>0</v>
      </c>
      <c r="BX260" s="549">
        <v>0</v>
      </c>
      <c r="BY260" s="675">
        <v>0</v>
      </c>
      <c r="BZ260" s="549">
        <v>0</v>
      </c>
      <c r="CA260" s="675">
        <v>0</v>
      </c>
      <c r="CB260" s="549">
        <v>0</v>
      </c>
      <c r="CC260" s="675">
        <v>0</v>
      </c>
      <c r="CD260" s="549">
        <v>0</v>
      </c>
      <c r="CE260" s="675">
        <v>0</v>
      </c>
      <c r="CF260" s="549">
        <v>0</v>
      </c>
      <c r="CG260" s="675">
        <v>0</v>
      </c>
      <c r="CH260" s="549">
        <v>0</v>
      </c>
      <c r="CI260" s="675">
        <v>0</v>
      </c>
      <c r="CJ260" s="549">
        <v>0</v>
      </c>
      <c r="CK260" s="675">
        <v>0</v>
      </c>
      <c r="CL260" s="549">
        <v>0</v>
      </c>
      <c r="CM260" s="675">
        <v>0</v>
      </c>
      <c r="CN260" s="549">
        <v>0</v>
      </c>
      <c r="CO260" s="675">
        <v>0</v>
      </c>
      <c r="CP260" s="549">
        <v>0</v>
      </c>
      <c r="CQ260" s="675">
        <v>0</v>
      </c>
      <c r="CR260" s="549">
        <v>0</v>
      </c>
      <c r="CS260" s="675">
        <v>0</v>
      </c>
      <c r="CT260" s="549">
        <v>0</v>
      </c>
      <c r="CU260" s="675">
        <v>0</v>
      </c>
      <c r="CV260" s="549">
        <v>0</v>
      </c>
      <c r="CW260" s="675">
        <v>0</v>
      </c>
      <c r="CX260" s="549">
        <v>0</v>
      </c>
      <c r="CY260" s="675">
        <v>0</v>
      </c>
      <c r="CZ260" s="549">
        <v>0</v>
      </c>
      <c r="DA260" s="675">
        <v>0</v>
      </c>
      <c r="DB260" s="549">
        <v>0</v>
      </c>
      <c r="DC260" s="675">
        <v>0</v>
      </c>
      <c r="DD260" s="549">
        <v>0</v>
      </c>
      <c r="DE260" s="675">
        <v>0</v>
      </c>
      <c r="DF260" s="549">
        <v>0</v>
      </c>
      <c r="DG260" s="675">
        <v>0</v>
      </c>
      <c r="DH260" s="549">
        <v>0</v>
      </c>
      <c r="DI260" s="675">
        <v>0</v>
      </c>
      <c r="DJ260" s="549">
        <v>0</v>
      </c>
      <c r="DK260" s="675">
        <v>0</v>
      </c>
      <c r="DL260" s="549">
        <v>0</v>
      </c>
      <c r="DM260" s="675">
        <v>0</v>
      </c>
      <c r="DN260" s="549">
        <v>0</v>
      </c>
      <c r="DO260" s="675">
        <v>0</v>
      </c>
      <c r="DP260" s="549">
        <v>0</v>
      </c>
      <c r="DQ260" s="675">
        <v>0</v>
      </c>
      <c r="DR260" s="549">
        <v>0</v>
      </c>
      <c r="DS260" s="675">
        <v>0</v>
      </c>
      <c r="DT260" s="549">
        <v>0</v>
      </c>
      <c r="DU260" s="675">
        <v>0</v>
      </c>
      <c r="DV260" s="549">
        <v>0</v>
      </c>
      <c r="DW260" s="675">
        <v>0</v>
      </c>
      <c r="DX260" s="549">
        <v>0</v>
      </c>
      <c r="DY260" s="675">
        <v>0</v>
      </c>
      <c r="DZ260" s="549">
        <v>0</v>
      </c>
      <c r="EA260" s="675">
        <v>0</v>
      </c>
      <c r="EB260" s="549">
        <v>0</v>
      </c>
      <c r="EC260" s="675">
        <v>0</v>
      </c>
      <c r="ED260" s="549">
        <v>0</v>
      </c>
      <c r="EE260" s="675">
        <v>0</v>
      </c>
      <c r="EF260" s="549">
        <v>0</v>
      </c>
      <c r="EG260" s="675">
        <v>0</v>
      </c>
      <c r="EH260" s="549">
        <v>0</v>
      </c>
      <c r="EI260" s="675">
        <v>0</v>
      </c>
      <c r="EJ260" s="549">
        <v>0</v>
      </c>
      <c r="EK260" s="675">
        <v>0</v>
      </c>
      <c r="EL260" s="549">
        <v>0</v>
      </c>
      <c r="EM260" s="675">
        <v>0</v>
      </c>
      <c r="EN260" s="549">
        <v>0</v>
      </c>
      <c r="EO260" s="675">
        <v>0</v>
      </c>
      <c r="EP260" s="549">
        <v>0</v>
      </c>
      <c r="EQ260" s="675">
        <v>0</v>
      </c>
      <c r="ER260" s="549">
        <v>0</v>
      </c>
      <c r="ES260" s="675">
        <v>0</v>
      </c>
      <c r="ET260" s="549">
        <v>0</v>
      </c>
      <c r="EU260" s="675">
        <v>0</v>
      </c>
      <c r="EV260" s="549">
        <v>0</v>
      </c>
      <c r="EW260" s="675">
        <v>0</v>
      </c>
      <c r="EX260" s="549">
        <v>0</v>
      </c>
      <c r="EY260" s="675">
        <v>0</v>
      </c>
      <c r="EZ260" s="549">
        <v>0</v>
      </c>
      <c r="FA260" s="675">
        <v>0</v>
      </c>
      <c r="FB260" s="549">
        <v>0</v>
      </c>
      <c r="FC260" s="675">
        <v>0</v>
      </c>
      <c r="FD260" s="549">
        <v>0</v>
      </c>
      <c r="FE260" s="675">
        <v>0</v>
      </c>
      <c r="FF260" s="549">
        <v>0</v>
      </c>
      <c r="FG260" s="675">
        <v>0</v>
      </c>
      <c r="FH260" s="549">
        <v>0</v>
      </c>
      <c r="FI260" s="675">
        <v>0</v>
      </c>
      <c r="FJ260" s="549">
        <v>0</v>
      </c>
      <c r="FK260" s="675">
        <v>0</v>
      </c>
      <c r="FL260" s="549">
        <v>0</v>
      </c>
      <c r="FM260" s="675">
        <v>0</v>
      </c>
      <c r="FN260" s="549">
        <v>0</v>
      </c>
      <c r="FO260" s="675">
        <v>0</v>
      </c>
      <c r="FP260" s="549">
        <v>0</v>
      </c>
      <c r="FQ260" s="675">
        <v>0</v>
      </c>
      <c r="FR260" s="549">
        <v>0</v>
      </c>
      <c r="FS260" s="675">
        <v>0</v>
      </c>
      <c r="FT260" s="549">
        <v>0</v>
      </c>
      <c r="FU260" s="675">
        <v>0</v>
      </c>
      <c r="FV260" s="549">
        <v>0</v>
      </c>
      <c r="FW260" s="675">
        <v>0</v>
      </c>
      <c r="FX260" s="549">
        <v>0</v>
      </c>
      <c r="FY260" s="675">
        <v>0</v>
      </c>
      <c r="FZ260" s="549">
        <v>0</v>
      </c>
      <c r="GA260" s="675">
        <v>0</v>
      </c>
      <c r="GB260" s="549">
        <v>0</v>
      </c>
      <c r="GC260" s="675">
        <v>0</v>
      </c>
      <c r="GD260" s="549">
        <v>0</v>
      </c>
      <c r="GE260" s="675">
        <v>0</v>
      </c>
      <c r="GF260" s="549">
        <v>0</v>
      </c>
      <c r="GG260" s="675">
        <v>0</v>
      </c>
      <c r="GH260" s="549">
        <v>0</v>
      </c>
      <c r="GI260" s="675">
        <v>0</v>
      </c>
      <c r="GJ260" s="549">
        <v>0</v>
      </c>
      <c r="GK260" s="675">
        <v>0</v>
      </c>
      <c r="GL260" s="549">
        <v>0</v>
      </c>
      <c r="GM260" s="675">
        <v>0</v>
      </c>
      <c r="GN260" s="549">
        <v>0</v>
      </c>
      <c r="GO260" s="675">
        <v>0</v>
      </c>
      <c r="GP260" s="549">
        <f t="shared" ref="GP260:GP263" si="8681">+D260+F260+H260+J260+L260+N260+P260+R260+T260+V260+X260+Z260+AB260+AF260+AD260+AH260+AJ260+AL260+AN260+AP260+AR260+AT260+AV260+AX260+AZ260+BB260+BD260+BF260+BH260+BJ260+BL260+BN260+BP260+BR260+BT260+BV260+BX260+BZ260+CB260+CD260+CF260+CH260+CJ260+CL260+CN260+CP260+CR260+CT260+CV260+CX260+CZ260+DB260+DD260+DF260+DH260+DT260+EX260+DJ260+DL260+DN260+DP260+DR260+EJ260+EB260+DZ260+DX260+DV260+ED260+EF260+EH260+EL260+EN260+EP260+EV260+ET260+ER260+EZ260+FB260+FD260+GL260+FF260+FJ260+FL260+GJ260+FT260+FR260+FP260+FN260+FH260+GH260+GF260+GD260+GB260+FZ260+FX260+FV260+GN260</f>
        <v>0</v>
      </c>
      <c r="GQ260" s="675">
        <f t="shared" ref="GQ260:GQ263" si="8682">+E260+G260+I260+K260+M260+O260+Q260+S260+U260+W260+Y260+AA260+AC260+AE260+AG260+AI260+AK260+AM260+AO260+AQ260+AS260+AU260+AW260+AY260+BA260+BC260+BE260+BG260+BI260+BK260+BM260+BO260+BQ260+BS260+BU260+BW260+BY260+CA260+CC260+CE260+CG260+CI260+CK260+CM260+CO260+CQ260+CS260+CU260+CW260+CY260+DA260+DC260+DE260+DG260+DI260+DU260+EY260+DK260+DM260+DO260+DQ260+DS260+EK260+EC260+EA260+DY260+DW260+EI260+EG260+EE260+EM260+EO260+EQ260+EW260+EU260+ES260+FA260+FC260+FE260+GM260+FG260+FK260+FM260+FO260+FQ260+FS260+FU260+GK260+FI260+GI260+GG260+GE260+GC260+GA260+FY260+FW260+GO260</f>
        <v>0</v>
      </c>
      <c r="GR260" s="74">
        <f>C260+GP260+GQ260</f>
        <v>660200</v>
      </c>
      <c r="GS260" s="74">
        <f t="shared" ref="GS260:GS263" si="8683">SUM(GU260:HD260)+GP260+GQ260</f>
        <v>600182</v>
      </c>
      <c r="GT260" s="568">
        <f t="shared" ref="GT260:GT263" si="8684">SUM(GU260:HF260)+GQ260+GP260</f>
        <v>660200</v>
      </c>
      <c r="GU260" s="275">
        <v>60020</v>
      </c>
      <c r="GV260" s="275">
        <v>60018</v>
      </c>
      <c r="GW260" s="275">
        <v>60018</v>
      </c>
      <c r="GX260" s="275">
        <v>60018</v>
      </c>
      <c r="GY260" s="275">
        <v>60018</v>
      </c>
      <c r="GZ260" s="275">
        <v>60018</v>
      </c>
      <c r="HA260" s="275">
        <v>60018</v>
      </c>
      <c r="HB260" s="275">
        <v>60018</v>
      </c>
      <c r="HC260" s="275">
        <v>60018</v>
      </c>
      <c r="HD260" s="275">
        <v>60018</v>
      </c>
      <c r="HE260" s="275">
        <v>60018</v>
      </c>
      <c r="HF260" s="275">
        <v>0</v>
      </c>
      <c r="HG260" s="74">
        <f>SUM(HH260:IE260)+GP260+GQ260</f>
        <v>600182</v>
      </c>
      <c r="HH260" s="89">
        <v>0</v>
      </c>
      <c r="HI260" s="817">
        <v>0</v>
      </c>
      <c r="HJ260" s="89">
        <v>0</v>
      </c>
      <c r="HK260" s="817">
        <v>120038</v>
      </c>
      <c r="HL260" s="89">
        <v>0</v>
      </c>
      <c r="HM260" s="817">
        <v>60018</v>
      </c>
      <c r="HN260" s="89">
        <v>0</v>
      </c>
      <c r="HO260" s="817">
        <v>60018</v>
      </c>
      <c r="HP260" s="89">
        <v>0</v>
      </c>
      <c r="HQ260" s="817">
        <v>60018</v>
      </c>
      <c r="HR260" s="89">
        <v>0</v>
      </c>
      <c r="HS260" s="817">
        <v>60018</v>
      </c>
      <c r="HT260" s="89">
        <v>0</v>
      </c>
      <c r="HU260" s="817">
        <v>60018</v>
      </c>
      <c r="HV260" s="89">
        <v>0</v>
      </c>
      <c r="HW260" s="817">
        <v>60018</v>
      </c>
      <c r="HX260" s="89">
        <v>0</v>
      </c>
      <c r="HY260" s="817">
        <v>60018</v>
      </c>
      <c r="HZ260" s="89">
        <v>0</v>
      </c>
      <c r="IA260" s="817">
        <v>60018</v>
      </c>
      <c r="IB260" s="89">
        <v>0</v>
      </c>
      <c r="IC260" s="817">
        <v>0</v>
      </c>
      <c r="ID260" s="89">
        <v>0</v>
      </c>
      <c r="IE260" s="817">
        <v>0</v>
      </c>
      <c r="IF260" s="841">
        <f t="shared" ref="IF260:IF263" si="8685">SUM(II260,IL260,IO260,IR260,IU260,IX260,JA260,JD260,JG260,JJ260,JM260,JP260)</f>
        <v>600182</v>
      </c>
      <c r="IG260" s="263">
        <f t="shared" ref="IG260:IG263" si="8686">SUM(IJ260,IM260,IP260,IS260,IV260,IY260,JB260,JE260,JH260,JK260,JN260,JQ260)</f>
        <v>600182</v>
      </c>
      <c r="IH260" s="842">
        <f t="shared" ref="IH260:IH263" si="8687">SUM(IK260,IN260,IQ260,IT260,IW260,IZ260,JC260,JF260,JI260,JL260,JO260,JR260)</f>
        <v>600182</v>
      </c>
      <c r="II260" s="89">
        <v>0</v>
      </c>
      <c r="IJ260" s="89">
        <f t="shared" ref="IJ260:IJ263" si="8688">II260</f>
        <v>0</v>
      </c>
      <c r="IK260" s="89">
        <f t="shared" ref="IK260:IK263" si="8689">IJ260</f>
        <v>0</v>
      </c>
      <c r="IL260" s="89">
        <v>120038</v>
      </c>
      <c r="IM260" s="89">
        <f t="shared" ref="IM260:IM263" si="8690">IL260</f>
        <v>120038</v>
      </c>
      <c r="IN260" s="89">
        <f t="shared" ref="IN260:IN263" si="8691">IM260</f>
        <v>120038</v>
      </c>
      <c r="IO260" s="89">
        <f>180056-120038</f>
        <v>60018</v>
      </c>
      <c r="IP260" s="89">
        <f t="shared" ref="IP260:IP263" si="8692">IO260</f>
        <v>60018</v>
      </c>
      <c r="IQ260" s="89">
        <f t="shared" ref="IQ260:IQ263" si="8693">IP260</f>
        <v>60018</v>
      </c>
      <c r="IR260" s="89">
        <f>240074-180056</f>
        <v>60018</v>
      </c>
      <c r="IS260" s="89">
        <f t="shared" ref="IS260:IS263" si="8694">IR260</f>
        <v>60018</v>
      </c>
      <c r="IT260" s="89">
        <f t="shared" ref="IT260:IT263" si="8695">IS260</f>
        <v>60018</v>
      </c>
      <c r="IU260" s="89">
        <f>300092-240074</f>
        <v>60018</v>
      </c>
      <c r="IV260" s="89">
        <f t="shared" ref="IV260:IV263" si="8696">IU260</f>
        <v>60018</v>
      </c>
      <c r="IW260" s="89">
        <f t="shared" ref="IW260:IW263" si="8697">IV260</f>
        <v>60018</v>
      </c>
      <c r="IX260" s="89">
        <f>360110-300092</f>
        <v>60018</v>
      </c>
      <c r="IY260" s="89">
        <f t="shared" ref="IY260:IY263" si="8698">IX260</f>
        <v>60018</v>
      </c>
      <c r="IZ260" s="89">
        <f t="shared" ref="IZ260:IZ263" si="8699">IY260</f>
        <v>60018</v>
      </c>
      <c r="JA260" s="89">
        <f>420128-360110</f>
        <v>60018</v>
      </c>
      <c r="JB260" s="89">
        <f t="shared" ref="JB260:JB263" si="8700">JA260</f>
        <v>60018</v>
      </c>
      <c r="JC260" s="89">
        <f t="shared" ref="JC260:JC263" si="8701">JB260</f>
        <v>60018</v>
      </c>
      <c r="JD260" s="89">
        <f>480146-420128</f>
        <v>60018</v>
      </c>
      <c r="JE260" s="89">
        <f t="shared" ref="JE260:JE263" si="8702">JD260</f>
        <v>60018</v>
      </c>
      <c r="JF260" s="89">
        <f t="shared" ref="JF260:JF263" si="8703">JE260</f>
        <v>60018</v>
      </c>
      <c r="JG260" s="89">
        <f>540164-480146</f>
        <v>60018</v>
      </c>
      <c r="JH260" s="89">
        <f t="shared" ref="JH260:JH263" si="8704">JG260</f>
        <v>60018</v>
      </c>
      <c r="JI260" s="89">
        <f t="shared" ref="JI260:JI263" si="8705">JH260</f>
        <v>60018</v>
      </c>
      <c r="JJ260" s="89">
        <f>600182-540164</f>
        <v>60018</v>
      </c>
      <c r="JK260" s="89">
        <f t="shared" ref="JK260:JK263" si="8706">JJ260</f>
        <v>60018</v>
      </c>
      <c r="JL260" s="89">
        <f t="shared" ref="JL260:JL263" si="8707">JK260</f>
        <v>60018</v>
      </c>
      <c r="JM260" s="89">
        <v>0</v>
      </c>
      <c r="JN260" s="89">
        <f t="shared" ref="JN260:JN263" si="8708">JM260</f>
        <v>0</v>
      </c>
      <c r="JO260" s="89">
        <f t="shared" ref="JO260:JO263" si="8709">JN260</f>
        <v>0</v>
      </c>
      <c r="JP260" s="89">
        <v>0</v>
      </c>
      <c r="JQ260" s="89">
        <f t="shared" ref="JQ260:JR260" si="8710">JP260</f>
        <v>0</v>
      </c>
      <c r="JR260" s="89">
        <f t="shared" si="8710"/>
        <v>0</v>
      </c>
      <c r="JS260" s="74">
        <f>HG260-IF260</f>
        <v>0</v>
      </c>
      <c r="JT260" s="382">
        <f>GS260-IF260</f>
        <v>0</v>
      </c>
      <c r="JU260" s="670"/>
      <c r="JV260" s="489"/>
      <c r="JW260" s="490"/>
      <c r="JX260" s="548">
        <f t="shared" ref="JX260:JY263" si="8711">SUM(HH260,HJ260,HL260,HN260,HP260,HR260,HT260,HV260,HX260,HZ260,IB260,ID260)</f>
        <v>0</v>
      </c>
      <c r="JY260" s="548">
        <f t="shared" si="8711"/>
        <v>600182</v>
      </c>
      <c r="JZ260" s="581">
        <f t="shared" si="7470"/>
        <v>0</v>
      </c>
      <c r="KA260" s="581">
        <f t="shared" si="7471"/>
        <v>0</v>
      </c>
      <c r="KB260" s="548">
        <f t="shared" si="8622"/>
        <v>600182</v>
      </c>
      <c r="KC260" s="709">
        <f t="shared" si="7396"/>
        <v>0</v>
      </c>
      <c r="KD260" s="36"/>
      <c r="KE260" s="36"/>
      <c r="KF260" s="36"/>
      <c r="KG260" s="36"/>
      <c r="KH260" s="36"/>
      <c r="KI260" s="36"/>
      <c r="KJ260" s="36"/>
      <c r="KK260" s="36"/>
    </row>
    <row r="261" spans="1:297" s="10" customFormat="1">
      <c r="A261" s="86" t="s">
        <v>232</v>
      </c>
      <c r="B261" s="77" t="s">
        <v>72</v>
      </c>
      <c r="C261" s="74">
        <v>119700</v>
      </c>
      <c r="D261" s="549">
        <v>0</v>
      </c>
      <c r="E261" s="675">
        <v>0</v>
      </c>
      <c r="F261" s="549">
        <v>0</v>
      </c>
      <c r="G261" s="675">
        <v>0</v>
      </c>
      <c r="H261" s="549">
        <v>0</v>
      </c>
      <c r="I261" s="675">
        <v>0</v>
      </c>
      <c r="J261" s="549">
        <v>0</v>
      </c>
      <c r="K261" s="675">
        <v>0</v>
      </c>
      <c r="L261" s="549">
        <v>0</v>
      </c>
      <c r="M261" s="675">
        <v>0</v>
      </c>
      <c r="N261" s="549">
        <v>0</v>
      </c>
      <c r="O261" s="675">
        <v>0</v>
      </c>
      <c r="P261" s="549">
        <v>0</v>
      </c>
      <c r="Q261" s="675">
        <v>0</v>
      </c>
      <c r="R261" s="549">
        <v>0</v>
      </c>
      <c r="S261" s="675">
        <v>0</v>
      </c>
      <c r="T261" s="549">
        <v>0</v>
      </c>
      <c r="U261" s="675">
        <v>0</v>
      </c>
      <c r="V261" s="549">
        <v>0</v>
      </c>
      <c r="W261" s="675">
        <v>0</v>
      </c>
      <c r="X261" s="549">
        <v>0</v>
      </c>
      <c r="Y261" s="675">
        <v>0</v>
      </c>
      <c r="Z261" s="549">
        <v>0</v>
      </c>
      <c r="AA261" s="675">
        <v>0</v>
      </c>
      <c r="AB261" s="549">
        <v>0</v>
      </c>
      <c r="AC261" s="675">
        <v>0</v>
      </c>
      <c r="AD261" s="549">
        <v>0</v>
      </c>
      <c r="AE261" s="675">
        <v>0</v>
      </c>
      <c r="AF261" s="549">
        <v>0</v>
      </c>
      <c r="AG261" s="675">
        <v>0</v>
      </c>
      <c r="AH261" s="549">
        <v>0</v>
      </c>
      <c r="AI261" s="675">
        <v>0</v>
      </c>
      <c r="AJ261" s="549">
        <v>0</v>
      </c>
      <c r="AK261" s="675">
        <v>0</v>
      </c>
      <c r="AL261" s="549">
        <v>0</v>
      </c>
      <c r="AM261" s="675">
        <v>0</v>
      </c>
      <c r="AN261" s="549">
        <v>0</v>
      </c>
      <c r="AO261" s="675">
        <v>0</v>
      </c>
      <c r="AP261" s="549">
        <v>0</v>
      </c>
      <c r="AQ261" s="675">
        <v>0</v>
      </c>
      <c r="AR261" s="549">
        <v>0</v>
      </c>
      <c r="AS261" s="675">
        <v>0</v>
      </c>
      <c r="AT261" s="549">
        <v>0</v>
      </c>
      <c r="AU261" s="675">
        <v>0</v>
      </c>
      <c r="AV261" s="549">
        <v>0</v>
      </c>
      <c r="AW261" s="675">
        <v>0</v>
      </c>
      <c r="AX261" s="549">
        <v>0</v>
      </c>
      <c r="AY261" s="675">
        <v>0</v>
      </c>
      <c r="AZ261" s="549">
        <v>0</v>
      </c>
      <c r="BA261" s="675">
        <v>0</v>
      </c>
      <c r="BB261" s="549">
        <v>0</v>
      </c>
      <c r="BC261" s="675">
        <v>0</v>
      </c>
      <c r="BD261" s="549">
        <v>0</v>
      </c>
      <c r="BE261" s="675">
        <v>0</v>
      </c>
      <c r="BF261" s="549">
        <v>0</v>
      </c>
      <c r="BG261" s="675">
        <v>0</v>
      </c>
      <c r="BH261" s="549">
        <v>0</v>
      </c>
      <c r="BI261" s="675">
        <v>0</v>
      </c>
      <c r="BJ261" s="549">
        <v>0</v>
      </c>
      <c r="BK261" s="675">
        <v>0</v>
      </c>
      <c r="BL261" s="549">
        <v>0</v>
      </c>
      <c r="BM261" s="675">
        <v>0</v>
      </c>
      <c r="BN261" s="549">
        <v>0</v>
      </c>
      <c r="BO261" s="675">
        <v>0</v>
      </c>
      <c r="BP261" s="549">
        <v>0</v>
      </c>
      <c r="BQ261" s="675">
        <v>0</v>
      </c>
      <c r="BR261" s="549">
        <v>0</v>
      </c>
      <c r="BS261" s="675">
        <v>0</v>
      </c>
      <c r="BT261" s="549">
        <v>0</v>
      </c>
      <c r="BU261" s="675">
        <v>0</v>
      </c>
      <c r="BV261" s="549">
        <v>0</v>
      </c>
      <c r="BW261" s="675">
        <v>0</v>
      </c>
      <c r="BX261" s="549">
        <v>0</v>
      </c>
      <c r="BY261" s="675">
        <v>0</v>
      </c>
      <c r="BZ261" s="549">
        <v>0</v>
      </c>
      <c r="CA261" s="675">
        <v>0</v>
      </c>
      <c r="CB261" s="549">
        <v>0</v>
      </c>
      <c r="CC261" s="675">
        <v>0</v>
      </c>
      <c r="CD261" s="549">
        <v>0</v>
      </c>
      <c r="CE261" s="675">
        <v>0</v>
      </c>
      <c r="CF261" s="549">
        <v>0</v>
      </c>
      <c r="CG261" s="675">
        <v>0</v>
      </c>
      <c r="CH261" s="549">
        <v>0</v>
      </c>
      <c r="CI261" s="675">
        <v>0</v>
      </c>
      <c r="CJ261" s="549">
        <v>0</v>
      </c>
      <c r="CK261" s="675">
        <v>0</v>
      </c>
      <c r="CL261" s="549">
        <v>0</v>
      </c>
      <c r="CM261" s="675">
        <v>0</v>
      </c>
      <c r="CN261" s="549">
        <v>0</v>
      </c>
      <c r="CO261" s="675">
        <v>0</v>
      </c>
      <c r="CP261" s="549">
        <v>0</v>
      </c>
      <c r="CQ261" s="675">
        <v>0</v>
      </c>
      <c r="CR261" s="549">
        <v>0</v>
      </c>
      <c r="CS261" s="675">
        <v>0</v>
      </c>
      <c r="CT261" s="549">
        <v>0</v>
      </c>
      <c r="CU261" s="675">
        <v>0</v>
      </c>
      <c r="CV261" s="549">
        <v>0</v>
      </c>
      <c r="CW261" s="675">
        <v>0</v>
      </c>
      <c r="CX261" s="549">
        <v>0</v>
      </c>
      <c r="CY261" s="675">
        <v>0</v>
      </c>
      <c r="CZ261" s="549">
        <v>0</v>
      </c>
      <c r="DA261" s="675">
        <v>0</v>
      </c>
      <c r="DB261" s="549">
        <v>0</v>
      </c>
      <c r="DC261" s="675">
        <v>0</v>
      </c>
      <c r="DD261" s="549">
        <v>0</v>
      </c>
      <c r="DE261" s="675">
        <v>0</v>
      </c>
      <c r="DF261" s="549">
        <v>0</v>
      </c>
      <c r="DG261" s="675">
        <v>0</v>
      </c>
      <c r="DH261" s="549">
        <v>0</v>
      </c>
      <c r="DI261" s="675">
        <v>0</v>
      </c>
      <c r="DJ261" s="549">
        <v>0</v>
      </c>
      <c r="DK261" s="675">
        <v>0</v>
      </c>
      <c r="DL261" s="549">
        <v>0</v>
      </c>
      <c r="DM261" s="675">
        <v>0</v>
      </c>
      <c r="DN261" s="549">
        <v>0</v>
      </c>
      <c r="DO261" s="675">
        <v>0</v>
      </c>
      <c r="DP261" s="549">
        <v>0</v>
      </c>
      <c r="DQ261" s="675">
        <v>0</v>
      </c>
      <c r="DR261" s="549">
        <v>0</v>
      </c>
      <c r="DS261" s="675">
        <v>0</v>
      </c>
      <c r="DT261" s="549">
        <v>0</v>
      </c>
      <c r="DU261" s="675">
        <v>0</v>
      </c>
      <c r="DV261" s="549">
        <v>0</v>
      </c>
      <c r="DW261" s="675">
        <v>0</v>
      </c>
      <c r="DX261" s="549">
        <v>0</v>
      </c>
      <c r="DY261" s="675">
        <v>0</v>
      </c>
      <c r="DZ261" s="549">
        <v>0</v>
      </c>
      <c r="EA261" s="675">
        <v>0</v>
      </c>
      <c r="EB261" s="549">
        <v>0</v>
      </c>
      <c r="EC261" s="675">
        <v>0</v>
      </c>
      <c r="ED261" s="549">
        <v>0</v>
      </c>
      <c r="EE261" s="675">
        <v>0</v>
      </c>
      <c r="EF261" s="549">
        <v>0</v>
      </c>
      <c r="EG261" s="675">
        <v>0</v>
      </c>
      <c r="EH261" s="549">
        <v>0</v>
      </c>
      <c r="EI261" s="675">
        <v>0</v>
      </c>
      <c r="EJ261" s="549">
        <v>0</v>
      </c>
      <c r="EK261" s="675">
        <v>0</v>
      </c>
      <c r="EL261" s="549">
        <v>0</v>
      </c>
      <c r="EM261" s="675">
        <v>0</v>
      </c>
      <c r="EN261" s="549">
        <v>0</v>
      </c>
      <c r="EO261" s="675">
        <v>0</v>
      </c>
      <c r="EP261" s="549">
        <v>0</v>
      </c>
      <c r="EQ261" s="675">
        <v>0</v>
      </c>
      <c r="ER261" s="549">
        <v>0</v>
      </c>
      <c r="ES261" s="675">
        <v>0</v>
      </c>
      <c r="ET261" s="549">
        <v>0</v>
      </c>
      <c r="EU261" s="675">
        <v>0</v>
      </c>
      <c r="EV261" s="549">
        <v>0</v>
      </c>
      <c r="EW261" s="675">
        <v>0</v>
      </c>
      <c r="EX261" s="549">
        <v>0</v>
      </c>
      <c r="EY261" s="675">
        <v>0</v>
      </c>
      <c r="EZ261" s="549">
        <v>0</v>
      </c>
      <c r="FA261" s="675">
        <v>0</v>
      </c>
      <c r="FB261" s="549">
        <v>0</v>
      </c>
      <c r="FC261" s="675">
        <v>0</v>
      </c>
      <c r="FD261" s="549">
        <v>0</v>
      </c>
      <c r="FE261" s="675">
        <v>0</v>
      </c>
      <c r="FF261" s="549">
        <v>0</v>
      </c>
      <c r="FG261" s="675">
        <v>0</v>
      </c>
      <c r="FH261" s="549">
        <v>0</v>
      </c>
      <c r="FI261" s="675">
        <v>0</v>
      </c>
      <c r="FJ261" s="549">
        <v>0</v>
      </c>
      <c r="FK261" s="675">
        <v>0</v>
      </c>
      <c r="FL261" s="549">
        <v>0</v>
      </c>
      <c r="FM261" s="675">
        <v>0</v>
      </c>
      <c r="FN261" s="549">
        <v>0</v>
      </c>
      <c r="FO261" s="675">
        <v>0</v>
      </c>
      <c r="FP261" s="549">
        <v>0</v>
      </c>
      <c r="FQ261" s="675">
        <v>0</v>
      </c>
      <c r="FR261" s="549">
        <v>0</v>
      </c>
      <c r="FS261" s="675">
        <v>0</v>
      </c>
      <c r="FT261" s="549">
        <v>0</v>
      </c>
      <c r="FU261" s="675">
        <v>0</v>
      </c>
      <c r="FV261" s="549">
        <v>0</v>
      </c>
      <c r="FW261" s="675">
        <v>0</v>
      </c>
      <c r="FX261" s="549">
        <v>0</v>
      </c>
      <c r="FY261" s="675">
        <v>0</v>
      </c>
      <c r="FZ261" s="549">
        <v>0</v>
      </c>
      <c r="GA261" s="675">
        <v>0</v>
      </c>
      <c r="GB261" s="549">
        <v>0</v>
      </c>
      <c r="GC261" s="675">
        <v>0</v>
      </c>
      <c r="GD261" s="549">
        <v>0</v>
      </c>
      <c r="GE261" s="675">
        <v>0</v>
      </c>
      <c r="GF261" s="549">
        <v>0</v>
      </c>
      <c r="GG261" s="675">
        <v>0</v>
      </c>
      <c r="GH261" s="549">
        <v>0</v>
      </c>
      <c r="GI261" s="675">
        <v>0</v>
      </c>
      <c r="GJ261" s="549">
        <v>0</v>
      </c>
      <c r="GK261" s="675">
        <v>0</v>
      </c>
      <c r="GL261" s="549">
        <v>0</v>
      </c>
      <c r="GM261" s="675">
        <v>0</v>
      </c>
      <c r="GN261" s="549">
        <v>0</v>
      </c>
      <c r="GO261" s="675">
        <v>0</v>
      </c>
      <c r="GP261" s="549">
        <f t="shared" si="8681"/>
        <v>0</v>
      </c>
      <c r="GQ261" s="675">
        <f t="shared" si="8682"/>
        <v>0</v>
      </c>
      <c r="GR261" s="74">
        <f>C261+GP261+GQ261</f>
        <v>119700</v>
      </c>
      <c r="GS261" s="74">
        <f t="shared" si="8683"/>
        <v>108819</v>
      </c>
      <c r="GT261" s="568">
        <f t="shared" si="8684"/>
        <v>119700</v>
      </c>
      <c r="GU261" s="275">
        <v>10890</v>
      </c>
      <c r="GV261" s="275">
        <v>10881</v>
      </c>
      <c r="GW261" s="275">
        <v>10881</v>
      </c>
      <c r="GX261" s="275">
        <v>10881</v>
      </c>
      <c r="GY261" s="275">
        <v>10881</v>
      </c>
      <c r="GZ261" s="275">
        <v>10881</v>
      </c>
      <c r="HA261" s="275">
        <v>10881</v>
      </c>
      <c r="HB261" s="275">
        <v>10881</v>
      </c>
      <c r="HC261" s="275">
        <v>10881</v>
      </c>
      <c r="HD261" s="275">
        <v>10881</v>
      </c>
      <c r="HE261" s="275">
        <v>10881</v>
      </c>
      <c r="HF261" s="275">
        <v>0</v>
      </c>
      <c r="HG261" s="74">
        <f>SUM(HH261:IE261)+GP261+GQ261</f>
        <v>108819</v>
      </c>
      <c r="HH261" s="89">
        <v>0</v>
      </c>
      <c r="HI261" s="817">
        <v>0</v>
      </c>
      <c r="HJ261" s="89">
        <v>0</v>
      </c>
      <c r="HK261" s="817">
        <v>21771</v>
      </c>
      <c r="HL261" s="89">
        <v>0</v>
      </c>
      <c r="HM261" s="817">
        <v>10881</v>
      </c>
      <c r="HN261" s="89">
        <v>0</v>
      </c>
      <c r="HO261" s="817">
        <v>10881</v>
      </c>
      <c r="HP261" s="89">
        <v>0</v>
      </c>
      <c r="HQ261" s="817">
        <v>10881</v>
      </c>
      <c r="HR261" s="89">
        <v>0</v>
      </c>
      <c r="HS261" s="817">
        <v>10881</v>
      </c>
      <c r="HT261" s="89">
        <v>0</v>
      </c>
      <c r="HU261" s="817">
        <v>10881</v>
      </c>
      <c r="HV261" s="89">
        <v>0</v>
      </c>
      <c r="HW261" s="817">
        <v>10881</v>
      </c>
      <c r="HX261" s="89">
        <v>0</v>
      </c>
      <c r="HY261" s="817">
        <v>10881</v>
      </c>
      <c r="HZ261" s="89">
        <v>0</v>
      </c>
      <c r="IA261" s="817">
        <v>10881</v>
      </c>
      <c r="IB261" s="89">
        <v>0</v>
      </c>
      <c r="IC261" s="817">
        <v>0</v>
      </c>
      <c r="ID261" s="89">
        <v>0</v>
      </c>
      <c r="IE261" s="817">
        <v>0</v>
      </c>
      <c r="IF261" s="841">
        <f t="shared" si="8685"/>
        <v>108819</v>
      </c>
      <c r="IG261" s="263">
        <f t="shared" si="8686"/>
        <v>108819</v>
      </c>
      <c r="IH261" s="842">
        <f t="shared" si="8687"/>
        <v>108819</v>
      </c>
      <c r="II261" s="89">
        <v>0</v>
      </c>
      <c r="IJ261" s="89">
        <f t="shared" si="8688"/>
        <v>0</v>
      </c>
      <c r="IK261" s="89">
        <f t="shared" si="8689"/>
        <v>0</v>
      </c>
      <c r="IL261" s="89">
        <v>21771</v>
      </c>
      <c r="IM261" s="89">
        <f t="shared" si="8690"/>
        <v>21771</v>
      </c>
      <c r="IN261" s="89">
        <f t="shared" si="8691"/>
        <v>21771</v>
      </c>
      <c r="IO261" s="89">
        <f>32652-21771</f>
        <v>10881</v>
      </c>
      <c r="IP261" s="89">
        <f t="shared" si="8692"/>
        <v>10881</v>
      </c>
      <c r="IQ261" s="89">
        <f t="shared" si="8693"/>
        <v>10881</v>
      </c>
      <c r="IR261" s="89">
        <f>43533-32652</f>
        <v>10881</v>
      </c>
      <c r="IS261" s="89">
        <f t="shared" si="8694"/>
        <v>10881</v>
      </c>
      <c r="IT261" s="89">
        <f t="shared" si="8695"/>
        <v>10881</v>
      </c>
      <c r="IU261" s="89">
        <f>54414-43533</f>
        <v>10881</v>
      </c>
      <c r="IV261" s="89">
        <f t="shared" si="8696"/>
        <v>10881</v>
      </c>
      <c r="IW261" s="89">
        <f t="shared" si="8697"/>
        <v>10881</v>
      </c>
      <c r="IX261" s="89">
        <f>65295-54414</f>
        <v>10881</v>
      </c>
      <c r="IY261" s="89">
        <f t="shared" si="8698"/>
        <v>10881</v>
      </c>
      <c r="IZ261" s="89">
        <f t="shared" si="8699"/>
        <v>10881</v>
      </c>
      <c r="JA261" s="89">
        <f>76176-65295</f>
        <v>10881</v>
      </c>
      <c r="JB261" s="89">
        <f t="shared" si="8700"/>
        <v>10881</v>
      </c>
      <c r="JC261" s="89">
        <f t="shared" si="8701"/>
        <v>10881</v>
      </c>
      <c r="JD261" s="89">
        <f>87057-76176</f>
        <v>10881</v>
      </c>
      <c r="JE261" s="89">
        <f t="shared" si="8702"/>
        <v>10881</v>
      </c>
      <c r="JF261" s="89">
        <f t="shared" si="8703"/>
        <v>10881</v>
      </c>
      <c r="JG261" s="89">
        <f>97938-87057</f>
        <v>10881</v>
      </c>
      <c r="JH261" s="89">
        <f t="shared" si="8704"/>
        <v>10881</v>
      </c>
      <c r="JI261" s="89">
        <f t="shared" si="8705"/>
        <v>10881</v>
      </c>
      <c r="JJ261" s="89">
        <f>108819-97938</f>
        <v>10881</v>
      </c>
      <c r="JK261" s="89">
        <f t="shared" si="8706"/>
        <v>10881</v>
      </c>
      <c r="JL261" s="89">
        <f t="shared" si="8707"/>
        <v>10881</v>
      </c>
      <c r="JM261" s="89">
        <v>0</v>
      </c>
      <c r="JN261" s="89">
        <f t="shared" si="8708"/>
        <v>0</v>
      </c>
      <c r="JO261" s="89">
        <f t="shared" si="8709"/>
        <v>0</v>
      </c>
      <c r="JP261" s="89">
        <v>0</v>
      </c>
      <c r="JQ261" s="89">
        <f t="shared" ref="JQ261:JR261" si="8712">JP261</f>
        <v>0</v>
      </c>
      <c r="JR261" s="89">
        <f t="shared" si="8712"/>
        <v>0</v>
      </c>
      <c r="JS261" s="74">
        <f>HG261-IF261</f>
        <v>0</v>
      </c>
      <c r="JT261" s="382">
        <f>GS261-IF261</f>
        <v>0</v>
      </c>
      <c r="JU261" s="670"/>
      <c r="JV261" s="489"/>
      <c r="JW261" s="490"/>
      <c r="JX261" s="548">
        <f t="shared" si="8711"/>
        <v>0</v>
      </c>
      <c r="JY261" s="548">
        <f t="shared" si="8711"/>
        <v>108819</v>
      </c>
      <c r="JZ261" s="581">
        <f t="shared" si="7470"/>
        <v>0</v>
      </c>
      <c r="KA261" s="581">
        <f t="shared" si="7471"/>
        <v>0</v>
      </c>
      <c r="KB261" s="548">
        <f t="shared" si="8622"/>
        <v>108819</v>
      </c>
      <c r="KC261" s="709">
        <f t="shared" si="7396"/>
        <v>0</v>
      </c>
      <c r="KD261" s="36"/>
      <c r="KE261" s="36"/>
      <c r="KF261" s="36"/>
      <c r="KG261" s="36"/>
      <c r="KH261" s="36"/>
      <c r="KI261" s="36"/>
      <c r="KJ261" s="36"/>
      <c r="KK261" s="36"/>
    </row>
    <row r="262" spans="1:297" s="10" customFormat="1">
      <c r="A262" s="86" t="s">
        <v>233</v>
      </c>
      <c r="B262" s="77" t="s">
        <v>74</v>
      </c>
      <c r="C262" s="74">
        <v>43100</v>
      </c>
      <c r="D262" s="549">
        <v>0</v>
      </c>
      <c r="E262" s="675">
        <v>0</v>
      </c>
      <c r="F262" s="549">
        <v>0</v>
      </c>
      <c r="G262" s="675">
        <v>0</v>
      </c>
      <c r="H262" s="549">
        <v>0</v>
      </c>
      <c r="I262" s="675">
        <v>0</v>
      </c>
      <c r="J262" s="549">
        <v>0</v>
      </c>
      <c r="K262" s="675">
        <v>0</v>
      </c>
      <c r="L262" s="549">
        <v>0</v>
      </c>
      <c r="M262" s="675">
        <v>0</v>
      </c>
      <c r="N262" s="549">
        <v>0</v>
      </c>
      <c r="O262" s="675">
        <v>0</v>
      </c>
      <c r="P262" s="549">
        <v>0</v>
      </c>
      <c r="Q262" s="675">
        <v>0</v>
      </c>
      <c r="R262" s="549">
        <v>0</v>
      </c>
      <c r="S262" s="675">
        <v>0</v>
      </c>
      <c r="T262" s="549">
        <v>0</v>
      </c>
      <c r="U262" s="675">
        <v>0</v>
      </c>
      <c r="V262" s="549">
        <v>0</v>
      </c>
      <c r="W262" s="675">
        <v>0</v>
      </c>
      <c r="X262" s="549">
        <v>0</v>
      </c>
      <c r="Y262" s="675">
        <v>0</v>
      </c>
      <c r="Z262" s="549">
        <v>0</v>
      </c>
      <c r="AA262" s="675">
        <v>0</v>
      </c>
      <c r="AB262" s="549">
        <v>0</v>
      </c>
      <c r="AC262" s="675">
        <v>0</v>
      </c>
      <c r="AD262" s="549">
        <v>0</v>
      </c>
      <c r="AE262" s="675">
        <v>0</v>
      </c>
      <c r="AF262" s="549">
        <v>0</v>
      </c>
      <c r="AG262" s="675">
        <v>0</v>
      </c>
      <c r="AH262" s="549">
        <v>0</v>
      </c>
      <c r="AI262" s="675">
        <v>0</v>
      </c>
      <c r="AJ262" s="549">
        <v>0</v>
      </c>
      <c r="AK262" s="675">
        <v>0</v>
      </c>
      <c r="AL262" s="549">
        <v>0</v>
      </c>
      <c r="AM262" s="675">
        <v>0</v>
      </c>
      <c r="AN262" s="549">
        <v>0</v>
      </c>
      <c r="AO262" s="675">
        <v>0</v>
      </c>
      <c r="AP262" s="549">
        <v>0</v>
      </c>
      <c r="AQ262" s="675">
        <v>0</v>
      </c>
      <c r="AR262" s="549">
        <v>0</v>
      </c>
      <c r="AS262" s="675">
        <v>0</v>
      </c>
      <c r="AT262" s="549">
        <v>0</v>
      </c>
      <c r="AU262" s="675">
        <v>0</v>
      </c>
      <c r="AV262" s="549">
        <v>0</v>
      </c>
      <c r="AW262" s="675">
        <v>0</v>
      </c>
      <c r="AX262" s="549">
        <v>0</v>
      </c>
      <c r="AY262" s="675">
        <v>0</v>
      </c>
      <c r="AZ262" s="549">
        <v>0</v>
      </c>
      <c r="BA262" s="675">
        <v>0</v>
      </c>
      <c r="BB262" s="549">
        <v>0</v>
      </c>
      <c r="BC262" s="675">
        <v>0</v>
      </c>
      <c r="BD262" s="549">
        <v>0</v>
      </c>
      <c r="BE262" s="675">
        <v>0</v>
      </c>
      <c r="BF262" s="549">
        <v>0</v>
      </c>
      <c r="BG262" s="675">
        <v>0</v>
      </c>
      <c r="BH262" s="549">
        <v>0</v>
      </c>
      <c r="BI262" s="675">
        <v>0</v>
      </c>
      <c r="BJ262" s="549">
        <v>0</v>
      </c>
      <c r="BK262" s="675">
        <v>0</v>
      </c>
      <c r="BL262" s="549">
        <v>0</v>
      </c>
      <c r="BM262" s="675">
        <v>0</v>
      </c>
      <c r="BN262" s="549">
        <v>0</v>
      </c>
      <c r="BO262" s="675">
        <v>0</v>
      </c>
      <c r="BP262" s="549">
        <v>0</v>
      </c>
      <c r="BQ262" s="675">
        <v>0</v>
      </c>
      <c r="BR262" s="549">
        <v>0</v>
      </c>
      <c r="BS262" s="675">
        <v>0</v>
      </c>
      <c r="BT262" s="549">
        <v>0</v>
      </c>
      <c r="BU262" s="675">
        <v>0</v>
      </c>
      <c r="BV262" s="549">
        <v>0</v>
      </c>
      <c r="BW262" s="675">
        <v>0</v>
      </c>
      <c r="BX262" s="549">
        <v>0</v>
      </c>
      <c r="BY262" s="675">
        <v>0</v>
      </c>
      <c r="BZ262" s="549">
        <v>0</v>
      </c>
      <c r="CA262" s="675">
        <v>0</v>
      </c>
      <c r="CB262" s="549">
        <v>0</v>
      </c>
      <c r="CC262" s="675">
        <v>0</v>
      </c>
      <c r="CD262" s="549">
        <v>0</v>
      </c>
      <c r="CE262" s="675">
        <v>0</v>
      </c>
      <c r="CF262" s="549">
        <v>0</v>
      </c>
      <c r="CG262" s="675">
        <v>0</v>
      </c>
      <c r="CH262" s="549">
        <v>0</v>
      </c>
      <c r="CI262" s="675">
        <v>0</v>
      </c>
      <c r="CJ262" s="549">
        <v>0</v>
      </c>
      <c r="CK262" s="675">
        <v>0</v>
      </c>
      <c r="CL262" s="549">
        <v>0</v>
      </c>
      <c r="CM262" s="675">
        <v>0</v>
      </c>
      <c r="CN262" s="549">
        <v>0</v>
      </c>
      <c r="CO262" s="675">
        <v>0</v>
      </c>
      <c r="CP262" s="549">
        <v>0</v>
      </c>
      <c r="CQ262" s="675">
        <v>0</v>
      </c>
      <c r="CR262" s="549">
        <v>0</v>
      </c>
      <c r="CS262" s="675">
        <v>0</v>
      </c>
      <c r="CT262" s="549">
        <v>0</v>
      </c>
      <c r="CU262" s="675">
        <v>0</v>
      </c>
      <c r="CV262" s="549">
        <v>0</v>
      </c>
      <c r="CW262" s="675">
        <v>0</v>
      </c>
      <c r="CX262" s="549">
        <v>0</v>
      </c>
      <c r="CY262" s="675">
        <v>0</v>
      </c>
      <c r="CZ262" s="549">
        <v>0</v>
      </c>
      <c r="DA262" s="675">
        <v>0</v>
      </c>
      <c r="DB262" s="549">
        <v>0</v>
      </c>
      <c r="DC262" s="675">
        <v>0</v>
      </c>
      <c r="DD262" s="549">
        <v>0</v>
      </c>
      <c r="DE262" s="675">
        <v>0</v>
      </c>
      <c r="DF262" s="549">
        <v>0</v>
      </c>
      <c r="DG262" s="675">
        <v>0</v>
      </c>
      <c r="DH262" s="549">
        <v>0</v>
      </c>
      <c r="DI262" s="675">
        <v>0</v>
      </c>
      <c r="DJ262" s="549">
        <v>0</v>
      </c>
      <c r="DK262" s="675">
        <v>0</v>
      </c>
      <c r="DL262" s="549">
        <v>0</v>
      </c>
      <c r="DM262" s="675">
        <v>0</v>
      </c>
      <c r="DN262" s="549">
        <v>0</v>
      </c>
      <c r="DO262" s="675">
        <v>0</v>
      </c>
      <c r="DP262" s="549">
        <v>0</v>
      </c>
      <c r="DQ262" s="675">
        <v>0</v>
      </c>
      <c r="DR262" s="549">
        <v>0</v>
      </c>
      <c r="DS262" s="675">
        <v>0</v>
      </c>
      <c r="DT262" s="549">
        <v>0</v>
      </c>
      <c r="DU262" s="675">
        <v>0</v>
      </c>
      <c r="DV262" s="549">
        <v>0</v>
      </c>
      <c r="DW262" s="675">
        <v>0</v>
      </c>
      <c r="DX262" s="549">
        <v>0</v>
      </c>
      <c r="DY262" s="675">
        <v>0</v>
      </c>
      <c r="DZ262" s="549">
        <v>0</v>
      </c>
      <c r="EA262" s="675">
        <v>0</v>
      </c>
      <c r="EB262" s="549">
        <v>0</v>
      </c>
      <c r="EC262" s="675">
        <v>0</v>
      </c>
      <c r="ED262" s="549">
        <v>0</v>
      </c>
      <c r="EE262" s="675">
        <v>0</v>
      </c>
      <c r="EF262" s="549">
        <v>0</v>
      </c>
      <c r="EG262" s="675">
        <v>0</v>
      </c>
      <c r="EH262" s="549">
        <v>0</v>
      </c>
      <c r="EI262" s="675">
        <v>0</v>
      </c>
      <c r="EJ262" s="549">
        <v>0</v>
      </c>
      <c r="EK262" s="675">
        <v>0</v>
      </c>
      <c r="EL262" s="549">
        <v>0</v>
      </c>
      <c r="EM262" s="675">
        <v>0</v>
      </c>
      <c r="EN262" s="549">
        <v>0</v>
      </c>
      <c r="EO262" s="675">
        <v>0</v>
      </c>
      <c r="EP262" s="549">
        <v>0</v>
      </c>
      <c r="EQ262" s="675">
        <v>0</v>
      </c>
      <c r="ER262" s="549">
        <v>0</v>
      </c>
      <c r="ES262" s="675">
        <v>0</v>
      </c>
      <c r="ET262" s="549">
        <v>0</v>
      </c>
      <c r="EU262" s="675">
        <v>0</v>
      </c>
      <c r="EV262" s="549">
        <v>0</v>
      </c>
      <c r="EW262" s="675">
        <v>0</v>
      </c>
      <c r="EX262" s="549">
        <v>0</v>
      </c>
      <c r="EY262" s="675">
        <v>0</v>
      </c>
      <c r="EZ262" s="549">
        <v>0</v>
      </c>
      <c r="FA262" s="675">
        <v>0</v>
      </c>
      <c r="FB262" s="549">
        <v>0</v>
      </c>
      <c r="FC262" s="675">
        <v>0</v>
      </c>
      <c r="FD262" s="549">
        <v>0</v>
      </c>
      <c r="FE262" s="675">
        <v>0</v>
      </c>
      <c r="FF262" s="549">
        <v>0</v>
      </c>
      <c r="FG262" s="675">
        <v>0</v>
      </c>
      <c r="FH262" s="549">
        <v>0</v>
      </c>
      <c r="FI262" s="675">
        <v>0</v>
      </c>
      <c r="FJ262" s="549">
        <v>0</v>
      </c>
      <c r="FK262" s="675">
        <v>0</v>
      </c>
      <c r="FL262" s="549">
        <v>0</v>
      </c>
      <c r="FM262" s="675">
        <v>0</v>
      </c>
      <c r="FN262" s="549">
        <v>0</v>
      </c>
      <c r="FO262" s="675">
        <v>0</v>
      </c>
      <c r="FP262" s="549">
        <v>0</v>
      </c>
      <c r="FQ262" s="675">
        <v>0</v>
      </c>
      <c r="FR262" s="549">
        <v>0</v>
      </c>
      <c r="FS262" s="675">
        <v>0</v>
      </c>
      <c r="FT262" s="549">
        <v>0</v>
      </c>
      <c r="FU262" s="675">
        <v>0</v>
      </c>
      <c r="FV262" s="549">
        <v>0</v>
      </c>
      <c r="FW262" s="675">
        <v>0</v>
      </c>
      <c r="FX262" s="549">
        <v>0</v>
      </c>
      <c r="FY262" s="675">
        <v>0</v>
      </c>
      <c r="FZ262" s="549">
        <v>0</v>
      </c>
      <c r="GA262" s="675">
        <v>0</v>
      </c>
      <c r="GB262" s="549">
        <v>0</v>
      </c>
      <c r="GC262" s="675">
        <v>0</v>
      </c>
      <c r="GD262" s="549">
        <v>0</v>
      </c>
      <c r="GE262" s="675">
        <v>0</v>
      </c>
      <c r="GF262" s="549">
        <v>0</v>
      </c>
      <c r="GG262" s="675">
        <v>0</v>
      </c>
      <c r="GH262" s="549">
        <v>0</v>
      </c>
      <c r="GI262" s="675">
        <v>0</v>
      </c>
      <c r="GJ262" s="549">
        <v>0</v>
      </c>
      <c r="GK262" s="675">
        <v>0</v>
      </c>
      <c r="GL262" s="549">
        <v>0</v>
      </c>
      <c r="GM262" s="675">
        <v>0</v>
      </c>
      <c r="GN262" s="549">
        <v>0</v>
      </c>
      <c r="GO262" s="675">
        <v>0</v>
      </c>
      <c r="GP262" s="549">
        <f t="shared" si="8681"/>
        <v>0</v>
      </c>
      <c r="GQ262" s="675">
        <f t="shared" si="8682"/>
        <v>0</v>
      </c>
      <c r="GR262" s="74">
        <f>C262+GP262+GQ262</f>
        <v>43100</v>
      </c>
      <c r="GS262" s="74">
        <f t="shared" si="8683"/>
        <v>39182</v>
      </c>
      <c r="GT262" s="568">
        <f t="shared" si="8684"/>
        <v>43100</v>
      </c>
      <c r="GU262" s="275">
        <v>3920</v>
      </c>
      <c r="GV262" s="275">
        <v>3918</v>
      </c>
      <c r="GW262" s="275">
        <v>3918</v>
      </c>
      <c r="GX262" s="275">
        <v>3918</v>
      </c>
      <c r="GY262" s="275">
        <v>3918</v>
      </c>
      <c r="GZ262" s="275">
        <v>3918</v>
      </c>
      <c r="HA262" s="275">
        <v>3918</v>
      </c>
      <c r="HB262" s="275">
        <v>3918</v>
      </c>
      <c r="HC262" s="275">
        <v>3918</v>
      </c>
      <c r="HD262" s="275">
        <v>3918</v>
      </c>
      <c r="HE262" s="275">
        <v>3918</v>
      </c>
      <c r="HF262" s="275">
        <v>0</v>
      </c>
      <c r="HG262" s="74">
        <f>SUM(HH262:IE262)+GP262+GQ262</f>
        <v>39182</v>
      </c>
      <c r="HH262" s="89">
        <v>0</v>
      </c>
      <c r="HI262" s="817">
        <v>0</v>
      </c>
      <c r="HJ262" s="89">
        <v>0</v>
      </c>
      <c r="HK262" s="817">
        <v>7838</v>
      </c>
      <c r="HL262" s="89">
        <v>0</v>
      </c>
      <c r="HM262" s="817">
        <v>3918</v>
      </c>
      <c r="HN262" s="89">
        <v>0</v>
      </c>
      <c r="HO262" s="817">
        <v>3918</v>
      </c>
      <c r="HP262" s="89">
        <v>0</v>
      </c>
      <c r="HQ262" s="817">
        <v>3918</v>
      </c>
      <c r="HR262" s="89">
        <v>0</v>
      </c>
      <c r="HS262" s="817">
        <v>3918</v>
      </c>
      <c r="HT262" s="89">
        <v>0</v>
      </c>
      <c r="HU262" s="817">
        <v>3918</v>
      </c>
      <c r="HV262" s="89">
        <v>0</v>
      </c>
      <c r="HW262" s="817">
        <v>3918</v>
      </c>
      <c r="HX262" s="89">
        <v>0</v>
      </c>
      <c r="HY262" s="817">
        <v>3918</v>
      </c>
      <c r="HZ262" s="89">
        <v>0</v>
      </c>
      <c r="IA262" s="817">
        <v>3918</v>
      </c>
      <c r="IB262" s="89">
        <v>0</v>
      </c>
      <c r="IC262" s="817">
        <v>0</v>
      </c>
      <c r="ID262" s="89">
        <v>0</v>
      </c>
      <c r="IE262" s="817">
        <v>0</v>
      </c>
      <c r="IF262" s="841">
        <f t="shared" si="8685"/>
        <v>39182</v>
      </c>
      <c r="IG262" s="263">
        <f t="shared" si="8686"/>
        <v>39182</v>
      </c>
      <c r="IH262" s="842">
        <f t="shared" si="8687"/>
        <v>39182</v>
      </c>
      <c r="II262" s="89">
        <v>0</v>
      </c>
      <c r="IJ262" s="89">
        <f t="shared" si="8688"/>
        <v>0</v>
      </c>
      <c r="IK262" s="89">
        <f t="shared" si="8689"/>
        <v>0</v>
      </c>
      <c r="IL262" s="89">
        <v>7838</v>
      </c>
      <c r="IM262" s="89">
        <f t="shared" si="8690"/>
        <v>7838</v>
      </c>
      <c r="IN262" s="89">
        <f t="shared" si="8691"/>
        <v>7838</v>
      </c>
      <c r="IO262" s="89">
        <f>11756-7838</f>
        <v>3918</v>
      </c>
      <c r="IP262" s="89">
        <f t="shared" si="8692"/>
        <v>3918</v>
      </c>
      <c r="IQ262" s="89">
        <f t="shared" si="8693"/>
        <v>3918</v>
      </c>
      <c r="IR262" s="89">
        <f>15674-11756</f>
        <v>3918</v>
      </c>
      <c r="IS262" s="89">
        <f t="shared" si="8694"/>
        <v>3918</v>
      </c>
      <c r="IT262" s="89">
        <f t="shared" si="8695"/>
        <v>3918</v>
      </c>
      <c r="IU262" s="89">
        <f>19592-15674</f>
        <v>3918</v>
      </c>
      <c r="IV262" s="89">
        <f t="shared" si="8696"/>
        <v>3918</v>
      </c>
      <c r="IW262" s="89">
        <f t="shared" si="8697"/>
        <v>3918</v>
      </c>
      <c r="IX262" s="89">
        <f>23510-19592</f>
        <v>3918</v>
      </c>
      <c r="IY262" s="89">
        <f t="shared" si="8698"/>
        <v>3918</v>
      </c>
      <c r="IZ262" s="89">
        <f t="shared" si="8699"/>
        <v>3918</v>
      </c>
      <c r="JA262" s="89">
        <f>27428-23510</f>
        <v>3918</v>
      </c>
      <c r="JB262" s="89">
        <f t="shared" si="8700"/>
        <v>3918</v>
      </c>
      <c r="JC262" s="89">
        <f t="shared" si="8701"/>
        <v>3918</v>
      </c>
      <c r="JD262" s="89">
        <f>31346-27428</f>
        <v>3918</v>
      </c>
      <c r="JE262" s="89">
        <f t="shared" si="8702"/>
        <v>3918</v>
      </c>
      <c r="JF262" s="89">
        <f t="shared" si="8703"/>
        <v>3918</v>
      </c>
      <c r="JG262" s="89">
        <f>35264-31346</f>
        <v>3918</v>
      </c>
      <c r="JH262" s="89">
        <f t="shared" si="8704"/>
        <v>3918</v>
      </c>
      <c r="JI262" s="89">
        <f t="shared" si="8705"/>
        <v>3918</v>
      </c>
      <c r="JJ262" s="89">
        <f>39182-35264</f>
        <v>3918</v>
      </c>
      <c r="JK262" s="89">
        <f t="shared" si="8706"/>
        <v>3918</v>
      </c>
      <c r="JL262" s="89">
        <f t="shared" si="8707"/>
        <v>3918</v>
      </c>
      <c r="JM262" s="89">
        <v>0</v>
      </c>
      <c r="JN262" s="89">
        <f t="shared" si="8708"/>
        <v>0</v>
      </c>
      <c r="JO262" s="89">
        <f t="shared" si="8709"/>
        <v>0</v>
      </c>
      <c r="JP262" s="89">
        <v>0</v>
      </c>
      <c r="JQ262" s="89">
        <f t="shared" ref="JQ262:JR262" si="8713">JP262</f>
        <v>0</v>
      </c>
      <c r="JR262" s="89">
        <f t="shared" si="8713"/>
        <v>0</v>
      </c>
      <c r="JS262" s="74">
        <f>HG262-IF262</f>
        <v>0</v>
      </c>
      <c r="JT262" s="382">
        <f>GS262-IF262</f>
        <v>0</v>
      </c>
      <c r="JU262" s="670"/>
      <c r="JV262" s="489"/>
      <c r="JW262" s="490"/>
      <c r="JX262" s="548">
        <f t="shared" si="8711"/>
        <v>0</v>
      </c>
      <c r="JY262" s="548">
        <f t="shared" si="8711"/>
        <v>39182</v>
      </c>
      <c r="JZ262" s="581">
        <f t="shared" si="7470"/>
        <v>0</v>
      </c>
      <c r="KA262" s="581">
        <f t="shared" si="7471"/>
        <v>0</v>
      </c>
      <c r="KB262" s="548">
        <f t="shared" si="8622"/>
        <v>39182</v>
      </c>
      <c r="KC262" s="709">
        <f t="shared" si="7396"/>
        <v>0</v>
      </c>
      <c r="KD262" s="36"/>
      <c r="KE262" s="36"/>
      <c r="KF262" s="36"/>
      <c r="KG262" s="36"/>
      <c r="KH262" s="36"/>
      <c r="KI262" s="36"/>
      <c r="KJ262" s="36"/>
      <c r="KK262" s="36"/>
    </row>
    <row r="263" spans="1:297" s="10" customFormat="1">
      <c r="A263" s="86" t="s">
        <v>234</v>
      </c>
      <c r="B263" s="77" t="s">
        <v>76</v>
      </c>
      <c r="C263" s="74">
        <v>36100</v>
      </c>
      <c r="D263" s="549">
        <v>0</v>
      </c>
      <c r="E263" s="675">
        <v>0</v>
      </c>
      <c r="F263" s="549">
        <v>0</v>
      </c>
      <c r="G263" s="675">
        <v>0</v>
      </c>
      <c r="H263" s="549">
        <v>0</v>
      </c>
      <c r="I263" s="675">
        <v>0</v>
      </c>
      <c r="J263" s="549">
        <v>0</v>
      </c>
      <c r="K263" s="675">
        <v>0</v>
      </c>
      <c r="L263" s="549">
        <v>0</v>
      </c>
      <c r="M263" s="675">
        <v>0</v>
      </c>
      <c r="N263" s="549">
        <v>0</v>
      </c>
      <c r="O263" s="675">
        <v>0</v>
      </c>
      <c r="P263" s="549">
        <v>0</v>
      </c>
      <c r="Q263" s="675">
        <v>0</v>
      </c>
      <c r="R263" s="549">
        <v>0</v>
      </c>
      <c r="S263" s="675">
        <v>0</v>
      </c>
      <c r="T263" s="549">
        <v>0</v>
      </c>
      <c r="U263" s="675">
        <v>0</v>
      </c>
      <c r="V263" s="549">
        <v>0</v>
      </c>
      <c r="W263" s="675">
        <v>0</v>
      </c>
      <c r="X263" s="549">
        <v>0</v>
      </c>
      <c r="Y263" s="675">
        <v>0</v>
      </c>
      <c r="Z263" s="549">
        <v>0</v>
      </c>
      <c r="AA263" s="675">
        <v>0</v>
      </c>
      <c r="AB263" s="549">
        <v>0</v>
      </c>
      <c r="AC263" s="675">
        <v>0</v>
      </c>
      <c r="AD263" s="549">
        <v>0</v>
      </c>
      <c r="AE263" s="675">
        <v>0</v>
      </c>
      <c r="AF263" s="549">
        <v>0</v>
      </c>
      <c r="AG263" s="675">
        <v>0</v>
      </c>
      <c r="AH263" s="549">
        <v>0</v>
      </c>
      <c r="AI263" s="675">
        <v>0</v>
      </c>
      <c r="AJ263" s="549">
        <v>0</v>
      </c>
      <c r="AK263" s="675">
        <v>0</v>
      </c>
      <c r="AL263" s="549">
        <v>0</v>
      </c>
      <c r="AM263" s="675">
        <v>0</v>
      </c>
      <c r="AN263" s="549">
        <v>0</v>
      </c>
      <c r="AO263" s="675">
        <v>0</v>
      </c>
      <c r="AP263" s="549">
        <v>0</v>
      </c>
      <c r="AQ263" s="675">
        <v>0</v>
      </c>
      <c r="AR263" s="549">
        <v>0</v>
      </c>
      <c r="AS263" s="675">
        <v>0</v>
      </c>
      <c r="AT263" s="549">
        <v>0</v>
      </c>
      <c r="AU263" s="675">
        <v>0</v>
      </c>
      <c r="AV263" s="549">
        <v>0</v>
      </c>
      <c r="AW263" s="675">
        <v>0</v>
      </c>
      <c r="AX263" s="549">
        <v>0</v>
      </c>
      <c r="AY263" s="675">
        <v>0</v>
      </c>
      <c r="AZ263" s="549">
        <v>0</v>
      </c>
      <c r="BA263" s="675">
        <v>0</v>
      </c>
      <c r="BB263" s="549">
        <v>0</v>
      </c>
      <c r="BC263" s="675">
        <v>0</v>
      </c>
      <c r="BD263" s="549">
        <v>0</v>
      </c>
      <c r="BE263" s="675">
        <v>0</v>
      </c>
      <c r="BF263" s="549">
        <v>0</v>
      </c>
      <c r="BG263" s="675">
        <v>0</v>
      </c>
      <c r="BH263" s="549">
        <v>0</v>
      </c>
      <c r="BI263" s="675">
        <v>0</v>
      </c>
      <c r="BJ263" s="549">
        <v>0</v>
      </c>
      <c r="BK263" s="675">
        <v>0</v>
      </c>
      <c r="BL263" s="549">
        <v>0</v>
      </c>
      <c r="BM263" s="675">
        <v>0</v>
      </c>
      <c r="BN263" s="549">
        <v>0</v>
      </c>
      <c r="BO263" s="675">
        <v>0</v>
      </c>
      <c r="BP263" s="549">
        <v>0</v>
      </c>
      <c r="BQ263" s="675">
        <v>0</v>
      </c>
      <c r="BR263" s="549">
        <v>0</v>
      </c>
      <c r="BS263" s="675">
        <v>0</v>
      </c>
      <c r="BT263" s="549">
        <v>0</v>
      </c>
      <c r="BU263" s="675">
        <v>0</v>
      </c>
      <c r="BV263" s="549">
        <v>0</v>
      </c>
      <c r="BW263" s="675">
        <v>0</v>
      </c>
      <c r="BX263" s="549">
        <v>0</v>
      </c>
      <c r="BY263" s="675">
        <v>0</v>
      </c>
      <c r="BZ263" s="549">
        <v>0</v>
      </c>
      <c r="CA263" s="675">
        <v>0</v>
      </c>
      <c r="CB263" s="549">
        <v>0</v>
      </c>
      <c r="CC263" s="675">
        <v>0</v>
      </c>
      <c r="CD263" s="549">
        <v>0</v>
      </c>
      <c r="CE263" s="675">
        <v>0</v>
      </c>
      <c r="CF263" s="549">
        <v>0</v>
      </c>
      <c r="CG263" s="675">
        <v>0</v>
      </c>
      <c r="CH263" s="549">
        <v>0</v>
      </c>
      <c r="CI263" s="675">
        <v>0</v>
      </c>
      <c r="CJ263" s="549">
        <v>0</v>
      </c>
      <c r="CK263" s="675">
        <v>0</v>
      </c>
      <c r="CL263" s="549">
        <v>0</v>
      </c>
      <c r="CM263" s="675">
        <v>0</v>
      </c>
      <c r="CN263" s="549">
        <v>0</v>
      </c>
      <c r="CO263" s="675">
        <v>0</v>
      </c>
      <c r="CP263" s="549">
        <v>0</v>
      </c>
      <c r="CQ263" s="675">
        <v>0</v>
      </c>
      <c r="CR263" s="549">
        <v>0</v>
      </c>
      <c r="CS263" s="675">
        <v>0</v>
      </c>
      <c r="CT263" s="549">
        <v>0</v>
      </c>
      <c r="CU263" s="675">
        <v>0</v>
      </c>
      <c r="CV263" s="549">
        <v>0</v>
      </c>
      <c r="CW263" s="675">
        <v>0</v>
      </c>
      <c r="CX263" s="549">
        <v>0</v>
      </c>
      <c r="CY263" s="675">
        <v>0</v>
      </c>
      <c r="CZ263" s="549">
        <v>0</v>
      </c>
      <c r="DA263" s="675">
        <v>0</v>
      </c>
      <c r="DB263" s="549">
        <v>0</v>
      </c>
      <c r="DC263" s="675">
        <v>0</v>
      </c>
      <c r="DD263" s="549">
        <v>0</v>
      </c>
      <c r="DE263" s="675">
        <v>0</v>
      </c>
      <c r="DF263" s="549">
        <v>0</v>
      </c>
      <c r="DG263" s="675">
        <v>0</v>
      </c>
      <c r="DH263" s="549">
        <v>0</v>
      </c>
      <c r="DI263" s="675">
        <v>0</v>
      </c>
      <c r="DJ263" s="549">
        <v>0</v>
      </c>
      <c r="DK263" s="675">
        <v>0</v>
      </c>
      <c r="DL263" s="549">
        <v>0</v>
      </c>
      <c r="DM263" s="675">
        <v>0</v>
      </c>
      <c r="DN263" s="549">
        <v>0</v>
      </c>
      <c r="DO263" s="675">
        <v>0</v>
      </c>
      <c r="DP263" s="549">
        <v>0</v>
      </c>
      <c r="DQ263" s="675">
        <v>0</v>
      </c>
      <c r="DR263" s="549">
        <v>0</v>
      </c>
      <c r="DS263" s="675">
        <v>0</v>
      </c>
      <c r="DT263" s="549">
        <v>0</v>
      </c>
      <c r="DU263" s="675">
        <v>0</v>
      </c>
      <c r="DV263" s="549">
        <v>0</v>
      </c>
      <c r="DW263" s="675">
        <v>0</v>
      </c>
      <c r="DX263" s="549">
        <v>0</v>
      </c>
      <c r="DY263" s="675">
        <v>0</v>
      </c>
      <c r="DZ263" s="549">
        <v>0</v>
      </c>
      <c r="EA263" s="675">
        <v>0</v>
      </c>
      <c r="EB263" s="549">
        <v>0</v>
      </c>
      <c r="EC263" s="675">
        <v>0</v>
      </c>
      <c r="ED263" s="549">
        <v>0</v>
      </c>
      <c r="EE263" s="675">
        <v>0</v>
      </c>
      <c r="EF263" s="549">
        <v>0</v>
      </c>
      <c r="EG263" s="675">
        <v>0</v>
      </c>
      <c r="EH263" s="549">
        <v>0</v>
      </c>
      <c r="EI263" s="675">
        <v>0</v>
      </c>
      <c r="EJ263" s="549">
        <v>0</v>
      </c>
      <c r="EK263" s="675">
        <v>0</v>
      </c>
      <c r="EL263" s="549">
        <v>0</v>
      </c>
      <c r="EM263" s="675">
        <v>0</v>
      </c>
      <c r="EN263" s="549">
        <v>0</v>
      </c>
      <c r="EO263" s="675">
        <v>0</v>
      </c>
      <c r="EP263" s="549">
        <v>0</v>
      </c>
      <c r="EQ263" s="675">
        <v>0</v>
      </c>
      <c r="ER263" s="549">
        <v>0</v>
      </c>
      <c r="ES263" s="675">
        <v>0</v>
      </c>
      <c r="ET263" s="549">
        <v>0</v>
      </c>
      <c r="EU263" s="675">
        <v>0</v>
      </c>
      <c r="EV263" s="549">
        <v>0</v>
      </c>
      <c r="EW263" s="675">
        <v>0</v>
      </c>
      <c r="EX263" s="549">
        <v>0</v>
      </c>
      <c r="EY263" s="675">
        <v>0</v>
      </c>
      <c r="EZ263" s="549">
        <v>0</v>
      </c>
      <c r="FA263" s="675">
        <v>0</v>
      </c>
      <c r="FB263" s="549">
        <v>0</v>
      </c>
      <c r="FC263" s="675">
        <v>0</v>
      </c>
      <c r="FD263" s="549">
        <v>0</v>
      </c>
      <c r="FE263" s="675">
        <v>0</v>
      </c>
      <c r="FF263" s="549">
        <v>0</v>
      </c>
      <c r="FG263" s="675">
        <v>0</v>
      </c>
      <c r="FH263" s="549">
        <v>0</v>
      </c>
      <c r="FI263" s="675">
        <v>0</v>
      </c>
      <c r="FJ263" s="549">
        <v>0</v>
      </c>
      <c r="FK263" s="675">
        <v>0</v>
      </c>
      <c r="FL263" s="549">
        <v>0</v>
      </c>
      <c r="FM263" s="675">
        <v>0</v>
      </c>
      <c r="FN263" s="549">
        <v>0</v>
      </c>
      <c r="FO263" s="675">
        <v>0</v>
      </c>
      <c r="FP263" s="549">
        <v>0</v>
      </c>
      <c r="FQ263" s="675">
        <v>0</v>
      </c>
      <c r="FR263" s="549">
        <v>0</v>
      </c>
      <c r="FS263" s="675">
        <v>0</v>
      </c>
      <c r="FT263" s="549">
        <v>0</v>
      </c>
      <c r="FU263" s="675">
        <v>0</v>
      </c>
      <c r="FV263" s="549">
        <v>0</v>
      </c>
      <c r="FW263" s="675">
        <v>0</v>
      </c>
      <c r="FX263" s="549">
        <v>0</v>
      </c>
      <c r="FY263" s="675">
        <v>0</v>
      </c>
      <c r="FZ263" s="549">
        <v>0</v>
      </c>
      <c r="GA263" s="675">
        <v>0</v>
      </c>
      <c r="GB263" s="549">
        <v>0</v>
      </c>
      <c r="GC263" s="675">
        <v>0</v>
      </c>
      <c r="GD263" s="549">
        <v>0</v>
      </c>
      <c r="GE263" s="675">
        <v>0</v>
      </c>
      <c r="GF263" s="549">
        <v>0</v>
      </c>
      <c r="GG263" s="675">
        <v>0</v>
      </c>
      <c r="GH263" s="549">
        <v>0</v>
      </c>
      <c r="GI263" s="675">
        <v>0</v>
      </c>
      <c r="GJ263" s="549">
        <v>0</v>
      </c>
      <c r="GK263" s="675">
        <v>0</v>
      </c>
      <c r="GL263" s="549">
        <v>0</v>
      </c>
      <c r="GM263" s="675">
        <v>0</v>
      </c>
      <c r="GN263" s="549">
        <v>0</v>
      </c>
      <c r="GO263" s="675">
        <v>0</v>
      </c>
      <c r="GP263" s="549">
        <f t="shared" si="8681"/>
        <v>0</v>
      </c>
      <c r="GQ263" s="675">
        <f t="shared" si="8682"/>
        <v>0</v>
      </c>
      <c r="GR263" s="74">
        <f>C263+GP263+GQ263</f>
        <v>36100</v>
      </c>
      <c r="GS263" s="74">
        <f t="shared" si="8683"/>
        <v>36100</v>
      </c>
      <c r="GT263" s="568">
        <f t="shared" si="8684"/>
        <v>36100</v>
      </c>
      <c r="GU263" s="275">
        <v>3290</v>
      </c>
      <c r="GV263" s="275">
        <v>3281</v>
      </c>
      <c r="GW263" s="275">
        <v>3281</v>
      </c>
      <c r="GX263" s="275">
        <v>3281</v>
      </c>
      <c r="GY263" s="275">
        <v>3281</v>
      </c>
      <c r="GZ263" s="275">
        <v>3281</v>
      </c>
      <c r="HA263" s="275">
        <v>3281</v>
      </c>
      <c r="HB263" s="275">
        <v>3281</v>
      </c>
      <c r="HC263" s="275">
        <v>3281</v>
      </c>
      <c r="HD263" s="275">
        <f>3281+3281</f>
        <v>6562</v>
      </c>
      <c r="HE263" s="275">
        <f>3281-3281</f>
        <v>0</v>
      </c>
      <c r="HF263" s="275">
        <v>0</v>
      </c>
      <c r="HG263" s="74">
        <f>SUM(HH263:IE263)+GP263+GQ263</f>
        <v>36100</v>
      </c>
      <c r="HH263" s="89">
        <v>0</v>
      </c>
      <c r="HI263" s="817">
        <v>0</v>
      </c>
      <c r="HJ263" s="89">
        <v>0</v>
      </c>
      <c r="HK263" s="817">
        <f>2103.88+4467.12</f>
        <v>6571</v>
      </c>
      <c r="HL263" s="89">
        <v>0</v>
      </c>
      <c r="HM263" s="817">
        <v>0</v>
      </c>
      <c r="HN263" s="89">
        <v>0</v>
      </c>
      <c r="HO263" s="817">
        <f>9936.09-3374.09</f>
        <v>6562</v>
      </c>
      <c r="HP263" s="89">
        <v>0</v>
      </c>
      <c r="HQ263" s="817">
        <f>11667.09-8386.09</f>
        <v>3281</v>
      </c>
      <c r="HR263" s="89">
        <v>0</v>
      </c>
      <c r="HS263" s="817">
        <f>13058.09-9777.09</f>
        <v>3281</v>
      </c>
      <c r="HT263" s="89">
        <v>0</v>
      </c>
      <c r="HU263" s="817">
        <f>14344.09-11063.09</f>
        <v>3281</v>
      </c>
      <c r="HV263" s="89">
        <v>0</v>
      </c>
      <c r="HW263" s="817">
        <f>15916.09-12635.09</f>
        <v>3281</v>
      </c>
      <c r="HX263" s="89">
        <v>0</v>
      </c>
      <c r="HY263" s="817">
        <f>17634.75-14353.75</f>
        <v>3281</v>
      </c>
      <c r="HZ263" s="89">
        <v>0</v>
      </c>
      <c r="IA263" s="817">
        <f>22486.21-15924.21</f>
        <v>6562</v>
      </c>
      <c r="IB263" s="89">
        <v>0</v>
      </c>
      <c r="IC263" s="817">
        <v>0</v>
      </c>
      <c r="ID263" s="89">
        <v>0</v>
      </c>
      <c r="IE263" s="817">
        <v>0</v>
      </c>
      <c r="IF263" s="841">
        <f t="shared" si="8685"/>
        <v>13613.79</v>
      </c>
      <c r="IG263" s="263">
        <f t="shared" si="8686"/>
        <v>13613.79</v>
      </c>
      <c r="IH263" s="842">
        <f t="shared" si="8687"/>
        <v>13613.79</v>
      </c>
      <c r="II263" s="89">
        <v>1314.18</v>
      </c>
      <c r="IJ263" s="89">
        <f t="shared" si="8688"/>
        <v>1314.18</v>
      </c>
      <c r="IK263" s="89">
        <f t="shared" si="8689"/>
        <v>1314.18</v>
      </c>
      <c r="IL263" s="89">
        <f>2103.88-1314.18</f>
        <v>789.7</v>
      </c>
      <c r="IM263" s="89">
        <f t="shared" si="8690"/>
        <v>789.7</v>
      </c>
      <c r="IN263" s="89">
        <f t="shared" si="8691"/>
        <v>789.7</v>
      </c>
      <c r="IO263" s="89">
        <v>0</v>
      </c>
      <c r="IP263" s="89">
        <f t="shared" si="8692"/>
        <v>0</v>
      </c>
      <c r="IQ263" s="89">
        <f t="shared" si="8693"/>
        <v>0</v>
      </c>
      <c r="IR263" s="89">
        <f>3196.91-2103.88</f>
        <v>1093.0299999999997</v>
      </c>
      <c r="IS263" s="89">
        <f t="shared" si="8694"/>
        <v>1093.0299999999997</v>
      </c>
      <c r="IT263" s="89">
        <f t="shared" si="8695"/>
        <v>1093.0299999999997</v>
      </c>
      <c r="IU263" s="89">
        <f>4746.91-3196.91</f>
        <v>1550</v>
      </c>
      <c r="IV263" s="89">
        <f t="shared" si="8696"/>
        <v>1550</v>
      </c>
      <c r="IW263" s="89">
        <f t="shared" si="8697"/>
        <v>1550</v>
      </c>
      <c r="IX263" s="89">
        <f>6636.91-4746.91</f>
        <v>1890</v>
      </c>
      <c r="IY263" s="89">
        <f t="shared" si="8698"/>
        <v>1890</v>
      </c>
      <c r="IZ263" s="89">
        <f t="shared" si="8699"/>
        <v>1890</v>
      </c>
      <c r="JA263" s="89">
        <f>8631.91-6636.91</f>
        <v>1995</v>
      </c>
      <c r="JB263" s="89">
        <f t="shared" si="8700"/>
        <v>1995</v>
      </c>
      <c r="JC263" s="89">
        <f t="shared" si="8701"/>
        <v>1995</v>
      </c>
      <c r="JD263" s="89">
        <f>10340.91-8631.91</f>
        <v>1709</v>
      </c>
      <c r="JE263" s="89">
        <f t="shared" si="8702"/>
        <v>1709</v>
      </c>
      <c r="JF263" s="89">
        <f t="shared" si="8703"/>
        <v>1709</v>
      </c>
      <c r="JG263" s="89">
        <f>11903.25-10340.91</f>
        <v>1562.3400000000001</v>
      </c>
      <c r="JH263" s="89">
        <f t="shared" si="8704"/>
        <v>1562.3400000000001</v>
      </c>
      <c r="JI263" s="89">
        <f t="shared" si="8705"/>
        <v>1562.3400000000001</v>
      </c>
      <c r="JJ263" s="89">
        <f>13613.79-11903.25</f>
        <v>1710.5400000000009</v>
      </c>
      <c r="JK263" s="89">
        <f t="shared" si="8706"/>
        <v>1710.5400000000009</v>
      </c>
      <c r="JL263" s="89">
        <f t="shared" si="8707"/>
        <v>1710.5400000000009</v>
      </c>
      <c r="JM263" s="89">
        <v>0</v>
      </c>
      <c r="JN263" s="89">
        <f t="shared" si="8708"/>
        <v>0</v>
      </c>
      <c r="JO263" s="89">
        <f t="shared" si="8709"/>
        <v>0</v>
      </c>
      <c r="JP263" s="89">
        <v>0</v>
      </c>
      <c r="JQ263" s="89">
        <f t="shared" ref="JQ263:JR263" si="8714">JP263</f>
        <v>0</v>
      </c>
      <c r="JR263" s="89">
        <f t="shared" si="8714"/>
        <v>0</v>
      </c>
      <c r="JS263" s="74">
        <f>HG263-IF263</f>
        <v>22486.21</v>
      </c>
      <c r="JT263" s="382">
        <f>GS263-IF263</f>
        <v>22486.21</v>
      </c>
      <c r="JU263" s="670"/>
      <c r="JV263" s="489"/>
      <c r="JW263" s="490"/>
      <c r="JX263" s="548">
        <f t="shared" si="8711"/>
        <v>0</v>
      </c>
      <c r="JY263" s="548">
        <f t="shared" si="8711"/>
        <v>36100</v>
      </c>
      <c r="JZ263" s="581">
        <f t="shared" si="7470"/>
        <v>0</v>
      </c>
      <c r="KA263" s="581">
        <f t="shared" si="7471"/>
        <v>0</v>
      </c>
      <c r="KB263" s="548">
        <f t="shared" si="8622"/>
        <v>36100</v>
      </c>
      <c r="KC263" s="709">
        <f t="shared" si="7396"/>
        <v>0</v>
      </c>
      <c r="KD263" s="36"/>
      <c r="KE263" s="36"/>
      <c r="KF263" s="36"/>
      <c r="KG263" s="36"/>
      <c r="KH263" s="36"/>
      <c r="KI263" s="36"/>
      <c r="KJ263" s="36"/>
      <c r="KK263" s="36"/>
    </row>
    <row r="264" spans="1:297" s="10" customFormat="1">
      <c r="A264" s="86"/>
      <c r="B264" s="77"/>
      <c r="C264" s="74"/>
      <c r="D264" s="549"/>
      <c r="E264" s="675"/>
      <c r="F264" s="549"/>
      <c r="G264" s="675"/>
      <c r="H264" s="549"/>
      <c r="I264" s="675"/>
      <c r="J264" s="549"/>
      <c r="K264" s="675"/>
      <c r="L264" s="549"/>
      <c r="M264" s="675"/>
      <c r="N264" s="549"/>
      <c r="O264" s="675"/>
      <c r="P264" s="549"/>
      <c r="Q264" s="675"/>
      <c r="R264" s="549"/>
      <c r="S264" s="675"/>
      <c r="T264" s="549"/>
      <c r="U264" s="675"/>
      <c r="V264" s="549"/>
      <c r="W264" s="675"/>
      <c r="X264" s="549"/>
      <c r="Y264" s="675"/>
      <c r="Z264" s="549"/>
      <c r="AA264" s="675"/>
      <c r="AB264" s="549"/>
      <c r="AC264" s="675"/>
      <c r="AD264" s="549"/>
      <c r="AE264" s="675"/>
      <c r="AF264" s="549"/>
      <c r="AG264" s="675"/>
      <c r="AH264" s="549"/>
      <c r="AI264" s="675"/>
      <c r="AJ264" s="549"/>
      <c r="AK264" s="675"/>
      <c r="AL264" s="549"/>
      <c r="AM264" s="675"/>
      <c r="AN264" s="549"/>
      <c r="AO264" s="675"/>
      <c r="AP264" s="549"/>
      <c r="AQ264" s="675"/>
      <c r="AR264" s="549"/>
      <c r="AS264" s="675"/>
      <c r="AT264" s="549"/>
      <c r="AU264" s="675"/>
      <c r="AV264" s="549"/>
      <c r="AW264" s="675"/>
      <c r="AX264" s="549"/>
      <c r="AY264" s="675"/>
      <c r="AZ264" s="549"/>
      <c r="BA264" s="675"/>
      <c r="BB264" s="549"/>
      <c r="BC264" s="675"/>
      <c r="BD264" s="549"/>
      <c r="BE264" s="675"/>
      <c r="BF264" s="549"/>
      <c r="BG264" s="675"/>
      <c r="BH264" s="549"/>
      <c r="BI264" s="675"/>
      <c r="BJ264" s="549"/>
      <c r="BK264" s="675"/>
      <c r="BL264" s="549"/>
      <c r="BM264" s="675"/>
      <c r="BN264" s="549"/>
      <c r="BO264" s="675"/>
      <c r="BP264" s="549"/>
      <c r="BQ264" s="675"/>
      <c r="BR264" s="549"/>
      <c r="BS264" s="675"/>
      <c r="BT264" s="549"/>
      <c r="BU264" s="675"/>
      <c r="BV264" s="549"/>
      <c r="BW264" s="675"/>
      <c r="BX264" s="549"/>
      <c r="BY264" s="675"/>
      <c r="BZ264" s="549"/>
      <c r="CA264" s="675"/>
      <c r="CB264" s="549"/>
      <c r="CC264" s="675"/>
      <c r="CD264" s="549"/>
      <c r="CE264" s="675"/>
      <c r="CF264" s="549"/>
      <c r="CG264" s="675"/>
      <c r="CH264" s="549"/>
      <c r="CI264" s="675"/>
      <c r="CJ264" s="549"/>
      <c r="CK264" s="675"/>
      <c r="CL264" s="549"/>
      <c r="CM264" s="675"/>
      <c r="CN264" s="549"/>
      <c r="CO264" s="675"/>
      <c r="CP264" s="549"/>
      <c r="CQ264" s="675"/>
      <c r="CR264" s="549"/>
      <c r="CS264" s="675"/>
      <c r="CT264" s="549"/>
      <c r="CU264" s="675"/>
      <c r="CV264" s="549"/>
      <c r="CW264" s="675"/>
      <c r="CX264" s="549"/>
      <c r="CY264" s="675"/>
      <c r="CZ264" s="549"/>
      <c r="DA264" s="675"/>
      <c r="DB264" s="549"/>
      <c r="DC264" s="675"/>
      <c r="DD264" s="549"/>
      <c r="DE264" s="675"/>
      <c r="DF264" s="549"/>
      <c r="DG264" s="675"/>
      <c r="DH264" s="549"/>
      <c r="DI264" s="675"/>
      <c r="DJ264" s="549"/>
      <c r="DK264" s="675"/>
      <c r="DL264" s="549"/>
      <c r="DM264" s="675"/>
      <c r="DN264" s="549"/>
      <c r="DO264" s="675"/>
      <c r="DP264" s="549"/>
      <c r="DQ264" s="675"/>
      <c r="DR264" s="549"/>
      <c r="DS264" s="675"/>
      <c r="DT264" s="549"/>
      <c r="DU264" s="675"/>
      <c r="DV264" s="549"/>
      <c r="DW264" s="675"/>
      <c r="DX264" s="549"/>
      <c r="DY264" s="675"/>
      <c r="DZ264" s="549"/>
      <c r="EA264" s="675"/>
      <c r="EB264" s="549"/>
      <c r="EC264" s="675"/>
      <c r="ED264" s="549"/>
      <c r="EE264" s="675"/>
      <c r="EF264" s="549"/>
      <c r="EG264" s="675"/>
      <c r="EH264" s="549"/>
      <c r="EI264" s="675"/>
      <c r="EJ264" s="549"/>
      <c r="EK264" s="675"/>
      <c r="EL264" s="549"/>
      <c r="EM264" s="675"/>
      <c r="EN264" s="549"/>
      <c r="EO264" s="675"/>
      <c r="EP264" s="549"/>
      <c r="EQ264" s="675"/>
      <c r="ER264" s="549"/>
      <c r="ES264" s="675"/>
      <c r="ET264" s="549"/>
      <c r="EU264" s="675"/>
      <c r="EV264" s="549"/>
      <c r="EW264" s="675"/>
      <c r="EX264" s="549"/>
      <c r="EY264" s="675"/>
      <c r="EZ264" s="549"/>
      <c r="FA264" s="675"/>
      <c r="FB264" s="549"/>
      <c r="FC264" s="675"/>
      <c r="FD264" s="549"/>
      <c r="FE264" s="675"/>
      <c r="FF264" s="549"/>
      <c r="FG264" s="675"/>
      <c r="FH264" s="549"/>
      <c r="FI264" s="675"/>
      <c r="FJ264" s="549"/>
      <c r="FK264" s="675"/>
      <c r="FL264" s="549"/>
      <c r="FM264" s="675"/>
      <c r="FN264" s="549"/>
      <c r="FO264" s="675"/>
      <c r="FP264" s="549"/>
      <c r="FQ264" s="675"/>
      <c r="FR264" s="549"/>
      <c r="FS264" s="675"/>
      <c r="FT264" s="549"/>
      <c r="FU264" s="675"/>
      <c r="FV264" s="549"/>
      <c r="FW264" s="675"/>
      <c r="FX264" s="549"/>
      <c r="FY264" s="675"/>
      <c r="FZ264" s="549"/>
      <c r="GA264" s="675"/>
      <c r="GB264" s="549"/>
      <c r="GC264" s="675"/>
      <c r="GD264" s="549"/>
      <c r="GE264" s="675"/>
      <c r="GF264" s="549"/>
      <c r="GG264" s="675"/>
      <c r="GH264" s="549"/>
      <c r="GI264" s="675"/>
      <c r="GJ264" s="549"/>
      <c r="GK264" s="675"/>
      <c r="GL264" s="549"/>
      <c r="GM264" s="675"/>
      <c r="GN264" s="549"/>
      <c r="GO264" s="675"/>
      <c r="GP264" s="549"/>
      <c r="GQ264" s="675"/>
      <c r="GR264" s="74"/>
      <c r="GS264" s="74"/>
      <c r="GT264" s="568"/>
      <c r="GU264" s="89"/>
      <c r="GV264" s="89"/>
      <c r="GW264" s="568"/>
      <c r="GX264" s="568"/>
      <c r="GY264" s="89"/>
      <c r="GZ264" s="89"/>
      <c r="HA264" s="89"/>
      <c r="HB264" s="89"/>
      <c r="HC264" s="89"/>
      <c r="HD264" s="89"/>
      <c r="HE264" s="89"/>
      <c r="HF264" s="89"/>
      <c r="HG264" s="74"/>
      <c r="HH264" s="89"/>
      <c r="HI264" s="817"/>
      <c r="HJ264" s="89"/>
      <c r="HK264" s="817"/>
      <c r="HL264" s="89"/>
      <c r="HM264" s="817"/>
      <c r="HN264" s="89"/>
      <c r="HO264" s="817"/>
      <c r="HP264" s="89"/>
      <c r="HQ264" s="817"/>
      <c r="HR264" s="89"/>
      <c r="HS264" s="817"/>
      <c r="HT264" s="89"/>
      <c r="HU264" s="817"/>
      <c r="HV264" s="89"/>
      <c r="HW264" s="817"/>
      <c r="HX264" s="89"/>
      <c r="HY264" s="817"/>
      <c r="HZ264" s="89"/>
      <c r="IA264" s="817"/>
      <c r="IB264" s="89"/>
      <c r="IC264" s="817"/>
      <c r="ID264" s="89"/>
      <c r="IE264" s="817"/>
      <c r="IF264" s="841"/>
      <c r="IG264" s="263"/>
      <c r="IH264" s="842"/>
      <c r="II264" s="89"/>
      <c r="IJ264" s="89"/>
      <c r="IK264" s="89"/>
      <c r="IL264" s="89"/>
      <c r="IM264" s="89"/>
      <c r="IN264" s="89"/>
      <c r="IO264" s="89"/>
      <c r="IP264" s="89"/>
      <c r="IQ264" s="89"/>
      <c r="IR264" s="89"/>
      <c r="IS264" s="89"/>
      <c r="IT264" s="89"/>
      <c r="IU264" s="89"/>
      <c r="IV264" s="89"/>
      <c r="IW264" s="89"/>
      <c r="IX264" s="89"/>
      <c r="IY264" s="89"/>
      <c r="IZ264" s="89"/>
      <c r="JA264" s="89"/>
      <c r="JB264" s="89"/>
      <c r="JC264" s="89"/>
      <c r="JD264" s="89"/>
      <c r="JE264" s="89"/>
      <c r="JF264" s="89"/>
      <c r="JG264" s="89"/>
      <c r="JH264" s="89"/>
      <c r="JI264" s="89"/>
      <c r="JJ264" s="89"/>
      <c r="JK264" s="89"/>
      <c r="JL264" s="89"/>
      <c r="JM264" s="89"/>
      <c r="JN264" s="89"/>
      <c r="JO264" s="89"/>
      <c r="JP264" s="89"/>
      <c r="JQ264" s="89"/>
      <c r="JR264" s="89"/>
      <c r="JS264" s="74"/>
      <c r="JT264" s="382"/>
      <c r="JU264" s="670"/>
      <c r="JV264" s="489"/>
      <c r="JW264" s="531"/>
      <c r="JX264" s="548"/>
      <c r="JY264" s="548"/>
      <c r="JZ264" s="581">
        <f t="shared" si="7470"/>
        <v>0</v>
      </c>
      <c r="KA264" s="581">
        <f t="shared" si="7471"/>
        <v>0</v>
      </c>
      <c r="KB264" s="548"/>
      <c r="KC264" s="709">
        <f t="shared" si="7396"/>
        <v>0</v>
      </c>
      <c r="KD264" s="36"/>
      <c r="KE264" s="36"/>
      <c r="KF264" s="36"/>
      <c r="KG264" s="36"/>
      <c r="KH264" s="36"/>
      <c r="KI264" s="36"/>
      <c r="KJ264" s="36"/>
      <c r="KK264" s="36"/>
    </row>
    <row r="265" spans="1:297" s="8" customFormat="1">
      <c r="A265" s="80" t="s">
        <v>804</v>
      </c>
      <c r="B265" s="72"/>
      <c r="C265" s="74">
        <v>0</v>
      </c>
      <c r="D265" s="549">
        <v>0</v>
      </c>
      <c r="E265" s="675">
        <v>0</v>
      </c>
      <c r="F265" s="549">
        <v>0</v>
      </c>
      <c r="G265" s="675">
        <v>0</v>
      </c>
      <c r="H265" s="549">
        <v>0</v>
      </c>
      <c r="I265" s="675">
        <v>0</v>
      </c>
      <c r="J265" s="549">
        <v>0</v>
      </c>
      <c r="K265" s="675">
        <v>0</v>
      </c>
      <c r="L265" s="549">
        <v>0</v>
      </c>
      <c r="M265" s="675">
        <v>0</v>
      </c>
      <c r="N265" s="549">
        <v>0</v>
      </c>
      <c r="O265" s="675">
        <v>0</v>
      </c>
      <c r="P265" s="549">
        <v>0</v>
      </c>
      <c r="Q265" s="675">
        <v>0</v>
      </c>
      <c r="R265" s="549">
        <v>0</v>
      </c>
      <c r="S265" s="675">
        <v>0</v>
      </c>
      <c r="T265" s="549">
        <v>0</v>
      </c>
      <c r="U265" s="675">
        <v>0</v>
      </c>
      <c r="V265" s="549">
        <v>0</v>
      </c>
      <c r="W265" s="675">
        <v>0</v>
      </c>
      <c r="X265" s="549">
        <v>0</v>
      </c>
      <c r="Y265" s="675">
        <v>0</v>
      </c>
      <c r="Z265" s="549">
        <v>0</v>
      </c>
      <c r="AA265" s="675">
        <v>0</v>
      </c>
      <c r="AB265" s="549">
        <v>0</v>
      </c>
      <c r="AC265" s="675">
        <v>0</v>
      </c>
      <c r="AD265" s="549">
        <v>0</v>
      </c>
      <c r="AE265" s="675">
        <v>0</v>
      </c>
      <c r="AF265" s="549">
        <v>0</v>
      </c>
      <c r="AG265" s="675">
        <v>0</v>
      </c>
      <c r="AH265" s="549">
        <v>0</v>
      </c>
      <c r="AI265" s="675">
        <v>0</v>
      </c>
      <c r="AJ265" s="549">
        <v>72544</v>
      </c>
      <c r="AK265" s="675">
        <v>0</v>
      </c>
      <c r="AL265" s="549">
        <v>0</v>
      </c>
      <c r="AM265" s="675">
        <v>0</v>
      </c>
      <c r="AN265" s="549">
        <v>0</v>
      </c>
      <c r="AO265" s="675">
        <v>0</v>
      </c>
      <c r="AP265" s="549">
        <v>0</v>
      </c>
      <c r="AQ265" s="675">
        <v>0</v>
      </c>
      <c r="AR265" s="549">
        <v>0</v>
      </c>
      <c r="AS265" s="675">
        <v>0</v>
      </c>
      <c r="AT265" s="549">
        <v>99000</v>
      </c>
      <c r="AU265" s="675">
        <v>0</v>
      </c>
      <c r="AV265" s="549">
        <v>0</v>
      </c>
      <c r="AW265" s="675">
        <v>0</v>
      </c>
      <c r="AX265" s="549">
        <v>0</v>
      </c>
      <c r="AY265" s="675">
        <v>0</v>
      </c>
      <c r="AZ265" s="549">
        <v>0</v>
      </c>
      <c r="BA265" s="675">
        <v>0</v>
      </c>
      <c r="BB265" s="549">
        <v>0</v>
      </c>
      <c r="BC265" s="675">
        <v>0</v>
      </c>
      <c r="BD265" s="549">
        <v>0</v>
      </c>
      <c r="BE265" s="675">
        <v>0</v>
      </c>
      <c r="BF265" s="549">
        <v>0</v>
      </c>
      <c r="BG265" s="675">
        <v>0</v>
      </c>
      <c r="BH265" s="549">
        <v>0</v>
      </c>
      <c r="BI265" s="675">
        <v>0</v>
      </c>
      <c r="BJ265" s="549">
        <v>0</v>
      </c>
      <c r="BK265" s="675">
        <v>0</v>
      </c>
      <c r="BL265" s="549">
        <v>0</v>
      </c>
      <c r="BM265" s="675">
        <v>0</v>
      </c>
      <c r="BN265" s="549">
        <v>0</v>
      </c>
      <c r="BO265" s="675">
        <v>0</v>
      </c>
      <c r="BP265" s="549">
        <v>0</v>
      </c>
      <c r="BQ265" s="675">
        <v>0</v>
      </c>
      <c r="BR265" s="549">
        <v>0</v>
      </c>
      <c r="BS265" s="675">
        <v>0</v>
      </c>
      <c r="BT265" s="549">
        <v>0</v>
      </c>
      <c r="BU265" s="675">
        <v>0</v>
      </c>
      <c r="BV265" s="549">
        <v>0</v>
      </c>
      <c r="BW265" s="675">
        <v>0</v>
      </c>
      <c r="BX265" s="549">
        <v>0</v>
      </c>
      <c r="BY265" s="675">
        <v>0</v>
      </c>
      <c r="BZ265" s="549">
        <v>0</v>
      </c>
      <c r="CA265" s="675">
        <v>0</v>
      </c>
      <c r="CB265" s="549">
        <v>0</v>
      </c>
      <c r="CC265" s="675">
        <v>0</v>
      </c>
      <c r="CD265" s="549">
        <v>0</v>
      </c>
      <c r="CE265" s="675">
        <v>0</v>
      </c>
      <c r="CF265" s="549">
        <v>0</v>
      </c>
      <c r="CG265" s="675">
        <v>0</v>
      </c>
      <c r="CH265" s="549">
        <v>0</v>
      </c>
      <c r="CI265" s="675">
        <v>0</v>
      </c>
      <c r="CJ265" s="549">
        <v>0</v>
      </c>
      <c r="CK265" s="675">
        <v>0</v>
      </c>
      <c r="CL265" s="549">
        <v>0</v>
      </c>
      <c r="CM265" s="675">
        <v>0</v>
      </c>
      <c r="CN265" s="549">
        <v>0</v>
      </c>
      <c r="CO265" s="675">
        <v>0</v>
      </c>
      <c r="CP265" s="549">
        <v>0</v>
      </c>
      <c r="CQ265" s="675">
        <v>0</v>
      </c>
      <c r="CR265" s="549">
        <v>0</v>
      </c>
      <c r="CS265" s="675">
        <v>0</v>
      </c>
      <c r="CT265" s="549">
        <v>0</v>
      </c>
      <c r="CU265" s="675">
        <v>0</v>
      </c>
      <c r="CV265" s="549">
        <v>0</v>
      </c>
      <c r="CW265" s="675">
        <v>0</v>
      </c>
      <c r="CX265" s="549">
        <v>0</v>
      </c>
      <c r="CY265" s="675">
        <v>0</v>
      </c>
      <c r="CZ265" s="549">
        <v>0</v>
      </c>
      <c r="DA265" s="675">
        <v>0</v>
      </c>
      <c r="DB265" s="549">
        <v>0</v>
      </c>
      <c r="DC265" s="675">
        <v>0</v>
      </c>
      <c r="DD265" s="549">
        <v>0</v>
      </c>
      <c r="DE265" s="675">
        <v>0</v>
      </c>
      <c r="DF265" s="549">
        <v>0</v>
      </c>
      <c r="DG265" s="675">
        <v>0</v>
      </c>
      <c r="DH265" s="549">
        <v>0</v>
      </c>
      <c r="DI265" s="675">
        <v>0</v>
      </c>
      <c r="DJ265" s="549">
        <v>0</v>
      </c>
      <c r="DK265" s="675">
        <v>0</v>
      </c>
      <c r="DL265" s="549">
        <v>0</v>
      </c>
      <c r="DM265" s="675">
        <v>0</v>
      </c>
      <c r="DN265" s="549">
        <v>0</v>
      </c>
      <c r="DO265" s="675">
        <v>0</v>
      </c>
      <c r="DP265" s="549">
        <v>0</v>
      </c>
      <c r="DQ265" s="675">
        <v>0</v>
      </c>
      <c r="DR265" s="549">
        <v>0</v>
      </c>
      <c r="DS265" s="675">
        <v>0</v>
      </c>
      <c r="DT265" s="549">
        <v>0</v>
      </c>
      <c r="DU265" s="675">
        <v>0</v>
      </c>
      <c r="DV265" s="549">
        <v>0</v>
      </c>
      <c r="DW265" s="675">
        <v>0</v>
      </c>
      <c r="DX265" s="549">
        <v>0</v>
      </c>
      <c r="DY265" s="675">
        <v>0</v>
      </c>
      <c r="DZ265" s="549">
        <v>0</v>
      </c>
      <c r="EA265" s="675">
        <v>0</v>
      </c>
      <c r="EB265" s="549">
        <v>0</v>
      </c>
      <c r="EC265" s="675">
        <v>0</v>
      </c>
      <c r="ED265" s="549">
        <v>0</v>
      </c>
      <c r="EE265" s="675">
        <v>0</v>
      </c>
      <c r="EF265" s="549">
        <v>0</v>
      </c>
      <c r="EG265" s="675">
        <v>0</v>
      </c>
      <c r="EH265" s="549">
        <v>0</v>
      </c>
      <c r="EI265" s="675">
        <v>0</v>
      </c>
      <c r="EJ265" s="549">
        <v>0</v>
      </c>
      <c r="EK265" s="675">
        <v>0</v>
      </c>
      <c r="EL265" s="549">
        <v>0</v>
      </c>
      <c r="EM265" s="675">
        <v>0</v>
      </c>
      <c r="EN265" s="549">
        <v>0</v>
      </c>
      <c r="EO265" s="675">
        <v>0</v>
      </c>
      <c r="EP265" s="549">
        <v>100000</v>
      </c>
      <c r="EQ265" s="675">
        <v>0</v>
      </c>
      <c r="ER265" s="549">
        <v>0</v>
      </c>
      <c r="ES265" s="675">
        <v>0</v>
      </c>
      <c r="ET265" s="549">
        <v>0</v>
      </c>
      <c r="EU265" s="675">
        <v>0</v>
      </c>
      <c r="EV265" s="549">
        <v>0</v>
      </c>
      <c r="EW265" s="675">
        <v>0</v>
      </c>
      <c r="EX265" s="549">
        <v>0</v>
      </c>
      <c r="EY265" s="675">
        <v>0</v>
      </c>
      <c r="EZ265" s="549">
        <v>0</v>
      </c>
      <c r="FA265" s="675">
        <v>0</v>
      </c>
      <c r="FB265" s="549">
        <v>0</v>
      </c>
      <c r="FC265" s="675">
        <v>0</v>
      </c>
      <c r="FD265" s="549">
        <v>0</v>
      </c>
      <c r="FE265" s="675">
        <v>0</v>
      </c>
      <c r="FF265" s="549">
        <v>0</v>
      </c>
      <c r="FG265" s="675">
        <v>0</v>
      </c>
      <c r="FH265" s="549">
        <v>0</v>
      </c>
      <c r="FI265" s="675">
        <v>0</v>
      </c>
      <c r="FJ265" s="549">
        <v>0</v>
      </c>
      <c r="FK265" s="675">
        <v>0</v>
      </c>
      <c r="FL265" s="549">
        <v>0</v>
      </c>
      <c r="FM265" s="675">
        <v>0</v>
      </c>
      <c r="FN265" s="549">
        <v>0</v>
      </c>
      <c r="FO265" s="675">
        <v>0</v>
      </c>
      <c r="FP265" s="549">
        <v>0</v>
      </c>
      <c r="FQ265" s="675">
        <v>0</v>
      </c>
      <c r="FR265" s="549">
        <v>0</v>
      </c>
      <c r="FS265" s="675">
        <v>0</v>
      </c>
      <c r="FT265" s="549">
        <v>0</v>
      </c>
      <c r="FU265" s="675">
        <v>0</v>
      </c>
      <c r="FV265" s="549">
        <v>0</v>
      </c>
      <c r="FW265" s="675">
        <v>0</v>
      </c>
      <c r="FX265" s="549">
        <v>0</v>
      </c>
      <c r="FY265" s="675">
        <v>0</v>
      </c>
      <c r="FZ265" s="549">
        <v>0</v>
      </c>
      <c r="GA265" s="675">
        <v>0</v>
      </c>
      <c r="GB265" s="549">
        <v>0</v>
      </c>
      <c r="GC265" s="675">
        <v>0</v>
      </c>
      <c r="GD265" s="549">
        <v>0</v>
      </c>
      <c r="GE265" s="675">
        <v>0</v>
      </c>
      <c r="GF265" s="549">
        <v>0</v>
      </c>
      <c r="GG265" s="675">
        <v>0</v>
      </c>
      <c r="GH265" s="549">
        <v>0</v>
      </c>
      <c r="GI265" s="675">
        <v>0</v>
      </c>
      <c r="GJ265" s="549">
        <v>0</v>
      </c>
      <c r="GK265" s="675">
        <v>0</v>
      </c>
      <c r="GL265" s="549">
        <v>0</v>
      </c>
      <c r="GM265" s="675">
        <v>0</v>
      </c>
      <c r="GN265" s="549">
        <v>0</v>
      </c>
      <c r="GO265" s="675">
        <v>0</v>
      </c>
      <c r="GP265" s="549">
        <f>+D265+F265+H265+J265+L265+N265+P265+R265+T265+V265+X265+Z265+AB265+AF265+AD265+AH265+AJ265+AL265+AN265+AP265+AR265+AT265+AV265+AX265+AZ265+BB265+BD265+BF265+BH265+BJ265+BL265+BN265+BP265+BR265+BT265+BV265+BX265+BZ265+CB265+CD265+CF265+CH265+CJ265+CL265+CN265+CP265+CR265+CT265+CV265+CX265+CZ265+DB265+DD265+DF265+DH265+DT265+EX265+DJ265+DL265+DN265+DP265+DR265+EJ265+EB265+DZ265+DX265+DV265+ED265+EF265+EH265+EL265+EN265+EP265+EV265+ET265+ER265+EZ265+FB265+FD265+GL265+FF265+FJ265+FL265+GJ265+FT265+FR265+FP265+FN265+FH265+GH265+GF265+GD265+GB265+FZ265+FX265+FV265+GN265</f>
        <v>271544</v>
      </c>
      <c r="GQ265" s="675">
        <f>+E265+G265+I265+K265+M265+O265+Q265+S265+U265+W265+Y265+AA265+AC265+AE265+AG265+AI265+AK265+AM265+AO265+AQ265+AS265+AU265+AW265+AY265+BA265+BC265+BE265+BG265+BI265+BK265+BM265+BO265+BQ265+BS265+BU265+BW265+BY265+CA265+CC265+CE265+CG265+CI265+CK265+CM265+CO265+CQ265+CS265+CU265+CW265+CY265+DA265+DC265+DE265+DG265+DI265+DU265+EY265+DK265+DM265+DO265+DQ265+DS265+EK265+EC265+EA265+DY265+DW265+EI265+EG265+EE265+EM265+EO265+EQ265+EW265+EU265+ES265+FA265+FC265+FE265+GM265+FG265+FK265+FM265+FO265+FQ265+FS265+FU265+GK265+FI265+GI265+GG265+GE265+GC265+GA265+FY265+FW265+GO265</f>
        <v>0</v>
      </c>
      <c r="GR265" s="74">
        <f>C265+GP265+GQ265</f>
        <v>271544</v>
      </c>
      <c r="GS265" s="74">
        <f>SUM(GU265:HD265)+GP265+GQ265</f>
        <v>271544</v>
      </c>
      <c r="GT265" s="568">
        <f>SUM(GU265:HF265)+GQ265+GP265</f>
        <v>271544</v>
      </c>
      <c r="GU265" s="275">
        <v>0</v>
      </c>
      <c r="GV265" s="275">
        <v>0</v>
      </c>
      <c r="GW265" s="275">
        <v>0</v>
      </c>
      <c r="GX265" s="275">
        <v>0</v>
      </c>
      <c r="GY265" s="275">
        <v>0</v>
      </c>
      <c r="GZ265" s="275">
        <v>0</v>
      </c>
      <c r="HA265" s="275">
        <v>0</v>
      </c>
      <c r="HB265" s="275">
        <v>0</v>
      </c>
      <c r="HC265" s="275">
        <v>0</v>
      </c>
      <c r="HD265" s="275">
        <v>0</v>
      </c>
      <c r="HE265" s="275">
        <v>0</v>
      </c>
      <c r="HF265" s="275">
        <v>0</v>
      </c>
      <c r="HG265" s="74">
        <f>SUM(HH265:IE265)+GP265+GQ265</f>
        <v>271544</v>
      </c>
      <c r="HH265" s="89">
        <v>0</v>
      </c>
      <c r="HI265" s="817">
        <v>0</v>
      </c>
      <c r="HJ265" s="89">
        <v>0</v>
      </c>
      <c r="HK265" s="817">
        <v>0</v>
      </c>
      <c r="HL265" s="89">
        <v>0</v>
      </c>
      <c r="HM265" s="817">
        <v>0</v>
      </c>
      <c r="HN265" s="89">
        <v>0</v>
      </c>
      <c r="HO265" s="817">
        <v>0</v>
      </c>
      <c r="HP265" s="89">
        <v>0</v>
      </c>
      <c r="HQ265" s="817">
        <v>0</v>
      </c>
      <c r="HR265" s="89">
        <v>0</v>
      </c>
      <c r="HS265" s="817">
        <v>0</v>
      </c>
      <c r="HT265" s="89">
        <v>0</v>
      </c>
      <c r="HU265" s="817">
        <v>0</v>
      </c>
      <c r="HV265" s="89">
        <v>0</v>
      </c>
      <c r="HW265" s="817">
        <v>0</v>
      </c>
      <c r="HX265" s="89">
        <v>0</v>
      </c>
      <c r="HY265" s="817">
        <v>0</v>
      </c>
      <c r="HZ265" s="89">
        <v>0</v>
      </c>
      <c r="IA265" s="817">
        <v>0</v>
      </c>
      <c r="IB265" s="89">
        <v>0</v>
      </c>
      <c r="IC265" s="817">
        <v>0</v>
      </c>
      <c r="ID265" s="89">
        <v>0</v>
      </c>
      <c r="IE265" s="817">
        <v>0</v>
      </c>
      <c r="IF265" s="841">
        <f t="shared" ref="IF265" si="8715">SUM(II265,IL265,IO265,IR265,IU265,IX265,JA265,JD265,JG265,JJ265,JM265,JP265)</f>
        <v>96491.71</v>
      </c>
      <c r="IG265" s="263">
        <f t="shared" ref="IG265" si="8716">SUM(IJ265,IM265,IP265,IS265,IV265,IY265,JB265,JE265,JH265,JK265,JN265,JQ265)</f>
        <v>96491.71</v>
      </c>
      <c r="IH265" s="842">
        <f t="shared" ref="IH265" si="8717">SUM(IK265,IN265,IQ265,IT265,IW265,IZ265,JC265,JF265,JI265,JL265,JO265,JR265)</f>
        <v>96491.71</v>
      </c>
      <c r="II265" s="89">
        <v>0</v>
      </c>
      <c r="IJ265" s="89">
        <f>II265</f>
        <v>0</v>
      </c>
      <c r="IK265" s="89">
        <f>IJ265</f>
        <v>0</v>
      </c>
      <c r="IL265" s="89">
        <v>0</v>
      </c>
      <c r="IM265" s="89">
        <f>IL265</f>
        <v>0</v>
      </c>
      <c r="IN265" s="89">
        <f>IM265</f>
        <v>0</v>
      </c>
      <c r="IO265" s="89">
        <v>0</v>
      </c>
      <c r="IP265" s="89">
        <f>IO265</f>
        <v>0</v>
      </c>
      <c r="IQ265" s="89">
        <f>IP265</f>
        <v>0</v>
      </c>
      <c r="IR265" s="89">
        <v>25036.03</v>
      </c>
      <c r="IS265" s="89">
        <f>IR265</f>
        <v>25036.03</v>
      </c>
      <c r="IT265" s="89">
        <f>IS265</f>
        <v>25036.03</v>
      </c>
      <c r="IU265" s="89">
        <f>55379.2-25036.03</f>
        <v>30343.17</v>
      </c>
      <c r="IV265" s="89">
        <f>IU265</f>
        <v>30343.17</v>
      </c>
      <c r="IW265" s="89">
        <f>IV265</f>
        <v>30343.17</v>
      </c>
      <c r="IX265" s="89">
        <f>74534.58-55379.2</f>
        <v>19155.380000000005</v>
      </c>
      <c r="IY265" s="89">
        <f>IX265</f>
        <v>19155.380000000005</v>
      </c>
      <c r="IZ265" s="89">
        <f>IY265</f>
        <v>19155.380000000005</v>
      </c>
      <c r="JA265" s="89">
        <f>87297.51-74534.58</f>
        <v>12762.929999999993</v>
      </c>
      <c r="JB265" s="89">
        <f>JA265</f>
        <v>12762.929999999993</v>
      </c>
      <c r="JC265" s="89">
        <f>JB265</f>
        <v>12762.929999999993</v>
      </c>
      <c r="JD265" s="89">
        <f>96491.71-87297.51</f>
        <v>9194.2000000000116</v>
      </c>
      <c r="JE265" s="89">
        <f>JD265</f>
        <v>9194.2000000000116</v>
      </c>
      <c r="JF265" s="89">
        <f>JE265</f>
        <v>9194.2000000000116</v>
      </c>
      <c r="JG265" s="89">
        <v>0</v>
      </c>
      <c r="JH265" s="89">
        <f>JG265</f>
        <v>0</v>
      </c>
      <c r="JI265" s="89">
        <f>JH265</f>
        <v>0</v>
      </c>
      <c r="JJ265" s="89">
        <v>0</v>
      </c>
      <c r="JK265" s="89">
        <f>JJ265</f>
        <v>0</v>
      </c>
      <c r="JL265" s="89">
        <f>JK265</f>
        <v>0</v>
      </c>
      <c r="JM265" s="89">
        <v>0</v>
      </c>
      <c r="JN265" s="89">
        <f>JM265</f>
        <v>0</v>
      </c>
      <c r="JO265" s="89">
        <f>JN265</f>
        <v>0</v>
      </c>
      <c r="JP265" s="89">
        <v>0</v>
      </c>
      <c r="JQ265" s="89">
        <f>JP265</f>
        <v>0</v>
      </c>
      <c r="JR265" s="89">
        <f>JQ265</f>
        <v>0</v>
      </c>
      <c r="JS265" s="74">
        <f>HG265-IF265</f>
        <v>175052.28999999998</v>
      </c>
      <c r="JT265" s="382">
        <f>GS265-IF265</f>
        <v>175052.28999999998</v>
      </c>
      <c r="JU265" s="670"/>
      <c r="JV265" s="489"/>
      <c r="JW265" s="490"/>
      <c r="JX265" s="548">
        <f>SUM(HH265,HJ265,HL265,HN265,HP265,HR265,HT265,HV265,HX265,HZ265,IB265,ID265)</f>
        <v>0</v>
      </c>
      <c r="JY265" s="548">
        <f>SUM(HI265,HK265,HM265,HO265,HQ265,HS265,HU265,HW265,HY265,IA265,IC265,IE265)</f>
        <v>0</v>
      </c>
      <c r="JZ265" s="581">
        <f t="shared" si="7470"/>
        <v>271544</v>
      </c>
      <c r="KA265" s="581">
        <f t="shared" si="7471"/>
        <v>0</v>
      </c>
      <c r="KB265" s="548">
        <f>JX265+JY265+JZ265+KA265</f>
        <v>271544</v>
      </c>
      <c r="KC265" s="709">
        <f>HG265-KB265</f>
        <v>0</v>
      </c>
      <c r="KD265" s="36"/>
      <c r="KE265" s="36"/>
      <c r="KF265" s="36"/>
      <c r="KG265" s="36"/>
      <c r="KH265" s="36"/>
      <c r="KI265" s="36"/>
      <c r="KJ265" s="36"/>
      <c r="KK265" s="36"/>
    </row>
    <row r="266" spans="1:297" s="10" customFormat="1">
      <c r="A266" s="86"/>
      <c r="B266" s="77"/>
      <c r="C266" s="74"/>
      <c r="D266" s="549"/>
      <c r="E266" s="675"/>
      <c r="F266" s="549"/>
      <c r="G266" s="675"/>
      <c r="H266" s="549"/>
      <c r="I266" s="675"/>
      <c r="J266" s="549"/>
      <c r="K266" s="675"/>
      <c r="L266" s="549"/>
      <c r="M266" s="675"/>
      <c r="N266" s="549"/>
      <c r="O266" s="675"/>
      <c r="P266" s="549"/>
      <c r="Q266" s="675"/>
      <c r="R266" s="549"/>
      <c r="S266" s="675"/>
      <c r="T266" s="549"/>
      <c r="U266" s="675"/>
      <c r="V266" s="549"/>
      <c r="W266" s="675"/>
      <c r="X266" s="549"/>
      <c r="Y266" s="675"/>
      <c r="Z266" s="549"/>
      <c r="AA266" s="675"/>
      <c r="AB266" s="549"/>
      <c r="AC266" s="675"/>
      <c r="AD266" s="549"/>
      <c r="AE266" s="675"/>
      <c r="AF266" s="549"/>
      <c r="AG266" s="675"/>
      <c r="AH266" s="549"/>
      <c r="AI266" s="675"/>
      <c r="AJ266" s="549"/>
      <c r="AK266" s="675"/>
      <c r="AL266" s="549"/>
      <c r="AM266" s="675"/>
      <c r="AN266" s="549"/>
      <c r="AO266" s="675"/>
      <c r="AP266" s="549"/>
      <c r="AQ266" s="675"/>
      <c r="AR266" s="549"/>
      <c r="AS266" s="675"/>
      <c r="AT266" s="549"/>
      <c r="AU266" s="675"/>
      <c r="AV266" s="549"/>
      <c r="AW266" s="675"/>
      <c r="AX266" s="549"/>
      <c r="AY266" s="675"/>
      <c r="AZ266" s="549"/>
      <c r="BA266" s="675"/>
      <c r="BB266" s="549"/>
      <c r="BC266" s="675"/>
      <c r="BD266" s="549"/>
      <c r="BE266" s="675"/>
      <c r="BF266" s="549"/>
      <c r="BG266" s="675"/>
      <c r="BH266" s="549"/>
      <c r="BI266" s="675"/>
      <c r="BJ266" s="549"/>
      <c r="BK266" s="675"/>
      <c r="BL266" s="549"/>
      <c r="BM266" s="675"/>
      <c r="BN266" s="549"/>
      <c r="BO266" s="675"/>
      <c r="BP266" s="549"/>
      <c r="BQ266" s="675"/>
      <c r="BR266" s="549"/>
      <c r="BS266" s="675"/>
      <c r="BT266" s="549"/>
      <c r="BU266" s="675"/>
      <c r="BV266" s="549"/>
      <c r="BW266" s="675"/>
      <c r="BX266" s="549"/>
      <c r="BY266" s="675"/>
      <c r="BZ266" s="549"/>
      <c r="CA266" s="675"/>
      <c r="CB266" s="549"/>
      <c r="CC266" s="675"/>
      <c r="CD266" s="549"/>
      <c r="CE266" s="675"/>
      <c r="CF266" s="549"/>
      <c r="CG266" s="675"/>
      <c r="CH266" s="549"/>
      <c r="CI266" s="675"/>
      <c r="CJ266" s="549"/>
      <c r="CK266" s="675"/>
      <c r="CL266" s="549"/>
      <c r="CM266" s="675"/>
      <c r="CN266" s="549"/>
      <c r="CO266" s="675"/>
      <c r="CP266" s="549"/>
      <c r="CQ266" s="675"/>
      <c r="CR266" s="549"/>
      <c r="CS266" s="675"/>
      <c r="CT266" s="549"/>
      <c r="CU266" s="675"/>
      <c r="CV266" s="549"/>
      <c r="CW266" s="675"/>
      <c r="CX266" s="549"/>
      <c r="CY266" s="675"/>
      <c r="CZ266" s="549"/>
      <c r="DA266" s="675"/>
      <c r="DB266" s="549"/>
      <c r="DC266" s="675"/>
      <c r="DD266" s="549"/>
      <c r="DE266" s="675"/>
      <c r="DF266" s="549"/>
      <c r="DG266" s="675"/>
      <c r="DH266" s="549"/>
      <c r="DI266" s="675"/>
      <c r="DJ266" s="549"/>
      <c r="DK266" s="675"/>
      <c r="DL266" s="549"/>
      <c r="DM266" s="675"/>
      <c r="DN266" s="549"/>
      <c r="DO266" s="675"/>
      <c r="DP266" s="549"/>
      <c r="DQ266" s="675"/>
      <c r="DR266" s="549"/>
      <c r="DS266" s="675"/>
      <c r="DT266" s="549"/>
      <c r="DU266" s="675"/>
      <c r="DV266" s="549"/>
      <c r="DW266" s="675"/>
      <c r="DX266" s="549"/>
      <c r="DY266" s="675"/>
      <c r="DZ266" s="549"/>
      <c r="EA266" s="675"/>
      <c r="EB266" s="549"/>
      <c r="EC266" s="675"/>
      <c r="ED266" s="549"/>
      <c r="EE266" s="675"/>
      <c r="EF266" s="549"/>
      <c r="EG266" s="675"/>
      <c r="EH266" s="549"/>
      <c r="EI266" s="675"/>
      <c r="EJ266" s="549"/>
      <c r="EK266" s="675"/>
      <c r="EL266" s="549"/>
      <c r="EM266" s="675"/>
      <c r="EN266" s="549"/>
      <c r="EO266" s="675"/>
      <c r="EP266" s="549"/>
      <c r="EQ266" s="675"/>
      <c r="ER266" s="549"/>
      <c r="ES266" s="675"/>
      <c r="ET266" s="549"/>
      <c r="EU266" s="675"/>
      <c r="EV266" s="549"/>
      <c r="EW266" s="675"/>
      <c r="EX266" s="549"/>
      <c r="EY266" s="675"/>
      <c r="EZ266" s="549"/>
      <c r="FA266" s="675"/>
      <c r="FB266" s="549"/>
      <c r="FC266" s="675"/>
      <c r="FD266" s="549"/>
      <c r="FE266" s="675"/>
      <c r="FF266" s="549"/>
      <c r="FG266" s="675"/>
      <c r="FH266" s="549"/>
      <c r="FI266" s="675"/>
      <c r="FJ266" s="549"/>
      <c r="FK266" s="675"/>
      <c r="FL266" s="549"/>
      <c r="FM266" s="675"/>
      <c r="FN266" s="549"/>
      <c r="FO266" s="675"/>
      <c r="FP266" s="549"/>
      <c r="FQ266" s="675"/>
      <c r="FR266" s="549"/>
      <c r="FS266" s="675"/>
      <c r="FT266" s="549"/>
      <c r="FU266" s="675"/>
      <c r="FV266" s="549"/>
      <c r="FW266" s="675"/>
      <c r="FX266" s="549"/>
      <c r="FY266" s="675"/>
      <c r="FZ266" s="549"/>
      <c r="GA266" s="675"/>
      <c r="GB266" s="549"/>
      <c r="GC266" s="675"/>
      <c r="GD266" s="549"/>
      <c r="GE266" s="675"/>
      <c r="GF266" s="549"/>
      <c r="GG266" s="675"/>
      <c r="GH266" s="549"/>
      <c r="GI266" s="675"/>
      <c r="GJ266" s="549"/>
      <c r="GK266" s="675"/>
      <c r="GL266" s="549"/>
      <c r="GM266" s="675"/>
      <c r="GN266" s="549"/>
      <c r="GO266" s="675"/>
      <c r="GP266" s="549"/>
      <c r="GQ266" s="675"/>
      <c r="GR266" s="74"/>
      <c r="GS266" s="74"/>
      <c r="GT266" s="568"/>
      <c r="GU266" s="89"/>
      <c r="GV266" s="89"/>
      <c r="GW266" s="568"/>
      <c r="GX266" s="568"/>
      <c r="GY266" s="89"/>
      <c r="GZ266" s="89"/>
      <c r="HA266" s="89"/>
      <c r="HB266" s="89"/>
      <c r="HC266" s="89"/>
      <c r="HD266" s="89"/>
      <c r="HE266" s="89"/>
      <c r="HF266" s="89"/>
      <c r="HG266" s="74"/>
      <c r="HH266" s="89"/>
      <c r="HI266" s="817"/>
      <c r="HJ266" s="89"/>
      <c r="HK266" s="817"/>
      <c r="HL266" s="89"/>
      <c r="HM266" s="817"/>
      <c r="HN266" s="89"/>
      <c r="HO266" s="817"/>
      <c r="HP266" s="89"/>
      <c r="HQ266" s="817"/>
      <c r="HR266" s="89"/>
      <c r="HS266" s="817"/>
      <c r="HT266" s="89"/>
      <c r="HU266" s="817"/>
      <c r="HV266" s="89"/>
      <c r="HW266" s="817"/>
      <c r="HX266" s="89"/>
      <c r="HY266" s="817"/>
      <c r="HZ266" s="89"/>
      <c r="IA266" s="817"/>
      <c r="IB266" s="89"/>
      <c r="IC266" s="817"/>
      <c r="ID266" s="89"/>
      <c r="IE266" s="817"/>
      <c r="IF266" s="841"/>
      <c r="IG266" s="263"/>
      <c r="IH266" s="842"/>
      <c r="II266" s="89"/>
      <c r="IJ266" s="89"/>
      <c r="IK266" s="89"/>
      <c r="IL266" s="89"/>
      <c r="IM266" s="89"/>
      <c r="IN266" s="89"/>
      <c r="IO266" s="89"/>
      <c r="IP266" s="89"/>
      <c r="IQ266" s="89"/>
      <c r="IR266" s="89"/>
      <c r="IS266" s="89"/>
      <c r="IT266" s="89"/>
      <c r="IU266" s="89"/>
      <c r="IV266" s="89"/>
      <c r="IW266" s="89"/>
      <c r="IX266" s="89"/>
      <c r="IY266" s="89"/>
      <c r="IZ266" s="89"/>
      <c r="JA266" s="89"/>
      <c r="JB266" s="89"/>
      <c r="JC266" s="89"/>
      <c r="JD266" s="89"/>
      <c r="JE266" s="89"/>
      <c r="JF266" s="89"/>
      <c r="JG266" s="89"/>
      <c r="JH266" s="89"/>
      <c r="JI266" s="89"/>
      <c r="JJ266" s="89"/>
      <c r="JK266" s="89"/>
      <c r="JL266" s="89"/>
      <c r="JM266" s="89"/>
      <c r="JN266" s="89"/>
      <c r="JO266" s="89"/>
      <c r="JP266" s="89"/>
      <c r="JQ266" s="89"/>
      <c r="JR266" s="89"/>
      <c r="JS266" s="74"/>
      <c r="JT266" s="382"/>
      <c r="JU266" s="670"/>
      <c r="JV266" s="489"/>
      <c r="JW266" s="531"/>
      <c r="JX266" s="548"/>
      <c r="JY266" s="548"/>
      <c r="JZ266" s="581">
        <f t="shared" si="7470"/>
        <v>0</v>
      </c>
      <c r="KA266" s="581">
        <f t="shared" si="7471"/>
        <v>0</v>
      </c>
      <c r="KB266" s="548"/>
      <c r="KC266" s="709">
        <f t="shared" si="7396"/>
        <v>0</v>
      </c>
      <c r="KD266" s="36"/>
      <c r="KE266" s="36"/>
      <c r="KF266" s="36"/>
      <c r="KG266" s="36"/>
      <c r="KH266" s="36"/>
      <c r="KI266" s="36"/>
      <c r="KJ266" s="36"/>
      <c r="KK266" s="36"/>
    </row>
    <row r="267" spans="1:297" s="10" customFormat="1">
      <c r="A267" s="80" t="s">
        <v>552</v>
      </c>
      <c r="B267" s="77"/>
      <c r="C267" s="74">
        <f t="shared" ref="C267" si="8718">SUM(C268:C271)</f>
        <v>0</v>
      </c>
      <c r="D267" s="549">
        <f t="shared" ref="D267:E267" si="8719">SUM(D268:D271)</f>
        <v>6453</v>
      </c>
      <c r="E267" s="675">
        <f t="shared" si="8719"/>
        <v>0</v>
      </c>
      <c r="F267" s="549">
        <f t="shared" ref="F267:G267" si="8720">SUM(F268:F271)</f>
        <v>0</v>
      </c>
      <c r="G267" s="675">
        <f t="shared" si="8720"/>
        <v>0</v>
      </c>
      <c r="H267" s="549">
        <f t="shared" ref="H267:I267" si="8721">SUM(H268:H271)</f>
        <v>0</v>
      </c>
      <c r="I267" s="675">
        <f t="shared" si="8721"/>
        <v>0</v>
      </c>
      <c r="J267" s="549">
        <f t="shared" ref="J267:K267" si="8722">SUM(J268:J271)</f>
        <v>0</v>
      </c>
      <c r="K267" s="675">
        <f t="shared" si="8722"/>
        <v>0</v>
      </c>
      <c r="L267" s="549">
        <f t="shared" ref="L267:M267" si="8723">SUM(L268:L271)</f>
        <v>30000</v>
      </c>
      <c r="M267" s="675">
        <f t="shared" si="8723"/>
        <v>0</v>
      </c>
      <c r="N267" s="549">
        <f t="shared" ref="N267:O267" si="8724">SUM(N268:N271)</f>
        <v>0</v>
      </c>
      <c r="O267" s="675">
        <f t="shared" si="8724"/>
        <v>0</v>
      </c>
      <c r="P267" s="549">
        <f t="shared" ref="P267:Q267" si="8725">SUM(P268:P271)</f>
        <v>0</v>
      </c>
      <c r="Q267" s="675">
        <f t="shared" si="8725"/>
        <v>0</v>
      </c>
      <c r="R267" s="549">
        <f t="shared" ref="R267:S267" si="8726">SUM(R268:R271)</f>
        <v>0</v>
      </c>
      <c r="S267" s="675">
        <f t="shared" si="8726"/>
        <v>0</v>
      </c>
      <c r="T267" s="549">
        <f t="shared" ref="T267:AM267" si="8727">SUM(T268:T271)</f>
        <v>0</v>
      </c>
      <c r="U267" s="675">
        <f t="shared" si="8727"/>
        <v>0</v>
      </c>
      <c r="V267" s="549">
        <f t="shared" si="8727"/>
        <v>0</v>
      </c>
      <c r="W267" s="675">
        <f t="shared" si="8727"/>
        <v>0</v>
      </c>
      <c r="X267" s="549">
        <f t="shared" si="8727"/>
        <v>0</v>
      </c>
      <c r="Y267" s="675">
        <f t="shared" si="8727"/>
        <v>0</v>
      </c>
      <c r="Z267" s="549">
        <f t="shared" si="8727"/>
        <v>0</v>
      </c>
      <c r="AA267" s="675">
        <f t="shared" si="8727"/>
        <v>0</v>
      </c>
      <c r="AB267" s="549">
        <f t="shared" si="8727"/>
        <v>0</v>
      </c>
      <c r="AC267" s="675">
        <f t="shared" si="8727"/>
        <v>0</v>
      </c>
      <c r="AD267" s="549">
        <f t="shared" ref="AD267:AK267" si="8728">SUM(AD268:AD271)</f>
        <v>0</v>
      </c>
      <c r="AE267" s="675">
        <f t="shared" si="8728"/>
        <v>0</v>
      </c>
      <c r="AF267" s="549">
        <f t="shared" si="8728"/>
        <v>0</v>
      </c>
      <c r="AG267" s="675">
        <f t="shared" si="8728"/>
        <v>0</v>
      </c>
      <c r="AH267" s="549">
        <f t="shared" si="8728"/>
        <v>0</v>
      </c>
      <c r="AI267" s="675">
        <f t="shared" si="8728"/>
        <v>0</v>
      </c>
      <c r="AJ267" s="549">
        <f t="shared" si="8728"/>
        <v>10300</v>
      </c>
      <c r="AK267" s="675">
        <f t="shared" si="8728"/>
        <v>0</v>
      </c>
      <c r="AL267" s="549">
        <f t="shared" si="8727"/>
        <v>0</v>
      </c>
      <c r="AM267" s="675">
        <f t="shared" si="8727"/>
        <v>0</v>
      </c>
      <c r="AN267" s="549">
        <f t="shared" ref="AN267:AS267" si="8729">SUM(AN268:AN271)</f>
        <v>0</v>
      </c>
      <c r="AO267" s="675">
        <f t="shared" si="8729"/>
        <v>0</v>
      </c>
      <c r="AP267" s="549">
        <f t="shared" si="8729"/>
        <v>0</v>
      </c>
      <c r="AQ267" s="675">
        <f t="shared" si="8729"/>
        <v>0</v>
      </c>
      <c r="AR267" s="549">
        <f t="shared" si="8729"/>
        <v>0</v>
      </c>
      <c r="AS267" s="675">
        <f t="shared" si="8729"/>
        <v>0</v>
      </c>
      <c r="AT267" s="549">
        <f t="shared" ref="AT267:AU267" si="8730">SUM(AT268:AT271)</f>
        <v>0</v>
      </c>
      <c r="AU267" s="675">
        <f t="shared" si="8730"/>
        <v>0</v>
      </c>
      <c r="AV267" s="549">
        <f t="shared" ref="AV267:AW267" si="8731">SUM(AV268:AV271)</f>
        <v>40000</v>
      </c>
      <c r="AW267" s="675">
        <f t="shared" si="8731"/>
        <v>0</v>
      </c>
      <c r="AX267" s="549">
        <f t="shared" ref="AX267:AY267" si="8732">SUM(AX268:AX271)</f>
        <v>0</v>
      </c>
      <c r="AY267" s="675">
        <f t="shared" si="8732"/>
        <v>0</v>
      </c>
      <c r="AZ267" s="549">
        <f t="shared" ref="AZ267:BA267" si="8733">SUM(AZ268:AZ271)</f>
        <v>0</v>
      </c>
      <c r="BA267" s="675">
        <f t="shared" si="8733"/>
        <v>0</v>
      </c>
      <c r="BB267" s="549">
        <f t="shared" ref="BB267:BC267" si="8734">SUM(BB268:BB271)</f>
        <v>0</v>
      </c>
      <c r="BC267" s="675">
        <f t="shared" si="8734"/>
        <v>0</v>
      </c>
      <c r="BD267" s="549">
        <f t="shared" ref="BD267:BE267" si="8735">SUM(BD268:BD271)</f>
        <v>0</v>
      </c>
      <c r="BE267" s="675">
        <f t="shared" si="8735"/>
        <v>0</v>
      </c>
      <c r="BF267" s="549">
        <f t="shared" ref="BF267:BG267" si="8736">SUM(BF268:BF271)</f>
        <v>0</v>
      </c>
      <c r="BG267" s="675">
        <f t="shared" si="8736"/>
        <v>0</v>
      </c>
      <c r="BH267" s="549">
        <f t="shared" ref="BH267:BI267" si="8737">SUM(BH268:BH271)</f>
        <v>0</v>
      </c>
      <c r="BI267" s="675">
        <f t="shared" si="8737"/>
        <v>0</v>
      </c>
      <c r="BJ267" s="549">
        <f t="shared" ref="BJ267:BK267" si="8738">SUM(BJ268:BJ271)</f>
        <v>3000</v>
      </c>
      <c r="BK267" s="675">
        <f t="shared" si="8738"/>
        <v>0</v>
      </c>
      <c r="BL267" s="549">
        <f t="shared" ref="BL267:BS267" si="8739">SUM(BL268:BL271)</f>
        <v>0</v>
      </c>
      <c r="BM267" s="675">
        <f t="shared" si="8739"/>
        <v>0</v>
      </c>
      <c r="BN267" s="549">
        <f t="shared" si="8739"/>
        <v>0</v>
      </c>
      <c r="BO267" s="675">
        <f t="shared" si="8739"/>
        <v>0</v>
      </c>
      <c r="BP267" s="549">
        <f t="shared" si="8739"/>
        <v>0</v>
      </c>
      <c r="BQ267" s="675">
        <f t="shared" si="8739"/>
        <v>0</v>
      </c>
      <c r="BR267" s="549">
        <f t="shared" si="8739"/>
        <v>0</v>
      </c>
      <c r="BS267" s="675">
        <f t="shared" si="8739"/>
        <v>0</v>
      </c>
      <c r="BT267" s="549">
        <f t="shared" ref="BT267:BU267" si="8740">SUM(BT268:BT271)</f>
        <v>0</v>
      </c>
      <c r="BU267" s="675">
        <f t="shared" si="8740"/>
        <v>0</v>
      </c>
      <c r="BV267" s="549">
        <f t="shared" ref="BV267:BW267" si="8741">SUM(BV268:BV271)</f>
        <v>0</v>
      </c>
      <c r="BW267" s="675">
        <f t="shared" si="8741"/>
        <v>0</v>
      </c>
      <c r="BX267" s="549">
        <f t="shared" ref="BX267:BY267" si="8742">SUM(BX268:BX271)</f>
        <v>0</v>
      </c>
      <c r="BY267" s="675">
        <f t="shared" si="8742"/>
        <v>0</v>
      </c>
      <c r="BZ267" s="549">
        <f t="shared" ref="BZ267:CA267" si="8743">SUM(BZ268:BZ271)</f>
        <v>0</v>
      </c>
      <c r="CA267" s="675">
        <f t="shared" si="8743"/>
        <v>0</v>
      </c>
      <c r="CB267" s="549">
        <f t="shared" ref="CB267:CE267" si="8744">SUM(CB268:CB271)</f>
        <v>0</v>
      </c>
      <c r="CC267" s="675">
        <f t="shared" si="8744"/>
        <v>0</v>
      </c>
      <c r="CD267" s="549">
        <f t="shared" si="8744"/>
        <v>0</v>
      </c>
      <c r="CE267" s="675">
        <f t="shared" si="8744"/>
        <v>0</v>
      </c>
      <c r="CF267" s="549">
        <f t="shared" ref="CF267:CQ267" si="8745">SUM(CF268:CF271)</f>
        <v>0</v>
      </c>
      <c r="CG267" s="675">
        <f t="shared" si="8745"/>
        <v>0</v>
      </c>
      <c r="CH267" s="549">
        <f t="shared" si="8745"/>
        <v>0</v>
      </c>
      <c r="CI267" s="675">
        <f t="shared" si="8745"/>
        <v>0</v>
      </c>
      <c r="CJ267" s="549">
        <f t="shared" si="8745"/>
        <v>0</v>
      </c>
      <c r="CK267" s="675">
        <f t="shared" si="8745"/>
        <v>0</v>
      </c>
      <c r="CL267" s="549">
        <f t="shared" si="8745"/>
        <v>0</v>
      </c>
      <c r="CM267" s="675">
        <f t="shared" si="8745"/>
        <v>0</v>
      </c>
      <c r="CN267" s="549">
        <f t="shared" si="8745"/>
        <v>0</v>
      </c>
      <c r="CO267" s="675">
        <f t="shared" si="8745"/>
        <v>0</v>
      </c>
      <c r="CP267" s="549">
        <f t="shared" si="8745"/>
        <v>0</v>
      </c>
      <c r="CQ267" s="675">
        <f t="shared" si="8745"/>
        <v>0</v>
      </c>
      <c r="CR267" s="549">
        <f t="shared" ref="CR267:CY267" si="8746">SUM(CR268:CR271)</f>
        <v>0</v>
      </c>
      <c r="CS267" s="675">
        <f t="shared" si="8746"/>
        <v>0</v>
      </c>
      <c r="CT267" s="549">
        <f t="shared" si="8746"/>
        <v>0</v>
      </c>
      <c r="CU267" s="675">
        <f t="shared" si="8746"/>
        <v>0</v>
      </c>
      <c r="CV267" s="549">
        <f t="shared" si="8746"/>
        <v>0</v>
      </c>
      <c r="CW267" s="675">
        <f t="shared" si="8746"/>
        <v>0</v>
      </c>
      <c r="CX267" s="549">
        <f t="shared" si="8746"/>
        <v>0</v>
      </c>
      <c r="CY267" s="675">
        <f t="shared" si="8746"/>
        <v>0</v>
      </c>
      <c r="CZ267" s="549">
        <f t="shared" ref="CZ267:GT267" si="8747">SUM(CZ268:CZ271)</f>
        <v>0</v>
      </c>
      <c r="DA267" s="675">
        <f t="shared" si="8747"/>
        <v>0</v>
      </c>
      <c r="DB267" s="549">
        <f t="shared" si="8747"/>
        <v>0</v>
      </c>
      <c r="DC267" s="675">
        <f t="shared" si="8747"/>
        <v>0</v>
      </c>
      <c r="DD267" s="549">
        <f t="shared" si="8747"/>
        <v>0</v>
      </c>
      <c r="DE267" s="675">
        <f t="shared" si="8747"/>
        <v>0</v>
      </c>
      <c r="DF267" s="549">
        <f t="shared" si="8747"/>
        <v>0</v>
      </c>
      <c r="DG267" s="675">
        <f t="shared" si="8747"/>
        <v>0</v>
      </c>
      <c r="DH267" s="549">
        <f t="shared" si="8747"/>
        <v>0</v>
      </c>
      <c r="DI267" s="675">
        <f t="shared" si="8747"/>
        <v>0</v>
      </c>
      <c r="DJ267" s="549">
        <f t="shared" si="8747"/>
        <v>0</v>
      </c>
      <c r="DK267" s="675">
        <f t="shared" si="8747"/>
        <v>0</v>
      </c>
      <c r="DL267" s="549">
        <f t="shared" si="8747"/>
        <v>0</v>
      </c>
      <c r="DM267" s="675">
        <f t="shared" si="8747"/>
        <v>0</v>
      </c>
      <c r="DN267" s="549">
        <f t="shared" si="8747"/>
        <v>0</v>
      </c>
      <c r="DO267" s="675">
        <f t="shared" si="8747"/>
        <v>0</v>
      </c>
      <c r="DP267" s="549">
        <f t="shared" si="8747"/>
        <v>0</v>
      </c>
      <c r="DQ267" s="675">
        <f t="shared" si="8747"/>
        <v>0</v>
      </c>
      <c r="DR267" s="549">
        <f t="shared" si="8747"/>
        <v>0</v>
      </c>
      <c r="DS267" s="675">
        <f t="shared" si="8747"/>
        <v>0</v>
      </c>
      <c r="DT267" s="549">
        <f t="shared" si="8747"/>
        <v>0</v>
      </c>
      <c r="DU267" s="675">
        <f t="shared" si="8747"/>
        <v>0</v>
      </c>
      <c r="DV267" s="549">
        <f t="shared" si="8747"/>
        <v>0</v>
      </c>
      <c r="DW267" s="675">
        <f t="shared" si="8747"/>
        <v>0</v>
      </c>
      <c r="DX267" s="549">
        <f t="shared" si="8747"/>
        <v>0</v>
      </c>
      <c r="DY267" s="675">
        <f t="shared" si="8747"/>
        <v>0</v>
      </c>
      <c r="DZ267" s="549">
        <f t="shared" ref="DZ267:FA267" si="8748">SUM(DZ268:DZ271)</f>
        <v>0</v>
      </c>
      <c r="EA267" s="675">
        <f t="shared" si="8748"/>
        <v>0</v>
      </c>
      <c r="EB267" s="549">
        <f t="shared" si="8748"/>
        <v>0</v>
      </c>
      <c r="EC267" s="675">
        <f t="shared" si="8748"/>
        <v>0</v>
      </c>
      <c r="ED267" s="549">
        <f t="shared" si="8748"/>
        <v>0</v>
      </c>
      <c r="EE267" s="675">
        <f t="shared" si="8748"/>
        <v>0</v>
      </c>
      <c r="EF267" s="549">
        <f t="shared" si="8748"/>
        <v>50000</v>
      </c>
      <c r="EG267" s="675">
        <f t="shared" si="8748"/>
        <v>0</v>
      </c>
      <c r="EH267" s="549">
        <f t="shared" ref="EH267:EM267" si="8749">SUM(EH268:EH271)</f>
        <v>0</v>
      </c>
      <c r="EI267" s="675">
        <f t="shared" si="8749"/>
        <v>0</v>
      </c>
      <c r="EJ267" s="549">
        <f t="shared" si="8749"/>
        <v>0</v>
      </c>
      <c r="EK267" s="675">
        <f t="shared" si="8749"/>
        <v>0</v>
      </c>
      <c r="EL267" s="549">
        <f t="shared" si="8749"/>
        <v>0</v>
      </c>
      <c r="EM267" s="675">
        <f t="shared" si="8749"/>
        <v>0</v>
      </c>
      <c r="EN267" s="549">
        <f t="shared" si="8748"/>
        <v>0</v>
      </c>
      <c r="EO267" s="675">
        <f t="shared" si="8748"/>
        <v>0</v>
      </c>
      <c r="EP267" s="549">
        <f t="shared" si="8748"/>
        <v>0</v>
      </c>
      <c r="EQ267" s="675">
        <f t="shared" si="8748"/>
        <v>0</v>
      </c>
      <c r="ER267" s="549">
        <f t="shared" si="8748"/>
        <v>0</v>
      </c>
      <c r="ES267" s="675">
        <f t="shared" si="8748"/>
        <v>0</v>
      </c>
      <c r="ET267" s="549">
        <f t="shared" si="8748"/>
        <v>0</v>
      </c>
      <c r="EU267" s="675">
        <f t="shared" si="8748"/>
        <v>0</v>
      </c>
      <c r="EV267" s="549">
        <f t="shared" ref="EV267:EW267" si="8750">SUM(EV268:EV271)</f>
        <v>0</v>
      </c>
      <c r="EW267" s="675">
        <f t="shared" si="8750"/>
        <v>0</v>
      </c>
      <c r="EX267" s="549">
        <f t="shared" si="8748"/>
        <v>0</v>
      </c>
      <c r="EY267" s="675">
        <f t="shared" si="8748"/>
        <v>0</v>
      </c>
      <c r="EZ267" s="549">
        <f t="shared" si="8748"/>
        <v>0</v>
      </c>
      <c r="FA267" s="675">
        <f t="shared" si="8748"/>
        <v>0</v>
      </c>
      <c r="FB267" s="549">
        <f t="shared" si="8747"/>
        <v>0</v>
      </c>
      <c r="FC267" s="675">
        <f t="shared" si="8747"/>
        <v>0</v>
      </c>
      <c r="FD267" s="549">
        <f t="shared" si="8747"/>
        <v>0</v>
      </c>
      <c r="FE267" s="675">
        <f t="shared" si="8747"/>
        <v>0</v>
      </c>
      <c r="FF267" s="549">
        <f t="shared" ref="FF267:FG267" si="8751">SUM(FF268:FF271)</f>
        <v>0</v>
      </c>
      <c r="FG267" s="675">
        <f t="shared" si="8751"/>
        <v>0</v>
      </c>
      <c r="FH267" s="549">
        <f t="shared" ref="FH267:FI267" si="8752">SUM(FH268:FH271)</f>
        <v>0</v>
      </c>
      <c r="FI267" s="675">
        <f t="shared" si="8752"/>
        <v>0</v>
      </c>
      <c r="FJ267" s="549">
        <f t="shared" ref="FJ267:FK267" si="8753">SUM(FJ268:FJ271)</f>
        <v>0</v>
      </c>
      <c r="FK267" s="675">
        <f t="shared" si="8753"/>
        <v>0</v>
      </c>
      <c r="FL267" s="549">
        <f t="shared" ref="FL267:FM267" si="8754">SUM(FL268:FL271)</f>
        <v>0</v>
      </c>
      <c r="FM267" s="675">
        <f t="shared" si="8754"/>
        <v>0</v>
      </c>
      <c r="FN267" s="549">
        <f t="shared" ref="FN267:FO267" si="8755">SUM(FN268:FN271)</f>
        <v>0</v>
      </c>
      <c r="FO267" s="675">
        <f t="shared" si="8755"/>
        <v>0</v>
      </c>
      <c r="FP267" s="549">
        <f t="shared" ref="FP267:FQ267" si="8756">SUM(FP268:FP271)</f>
        <v>0</v>
      </c>
      <c r="FQ267" s="675">
        <f t="shared" si="8756"/>
        <v>0</v>
      </c>
      <c r="FR267" s="549">
        <f t="shared" ref="FR267:FS267" si="8757">SUM(FR268:FR271)</f>
        <v>0</v>
      </c>
      <c r="FS267" s="675">
        <f t="shared" si="8757"/>
        <v>0</v>
      </c>
      <c r="FT267" s="549">
        <f t="shared" ref="FT267:FU267" si="8758">SUM(FT268:FT271)</f>
        <v>0</v>
      </c>
      <c r="FU267" s="675">
        <f t="shared" si="8758"/>
        <v>0</v>
      </c>
      <c r="FV267" s="549">
        <f t="shared" ref="FV267:GK267" si="8759">SUM(FV268:FV271)</f>
        <v>6976</v>
      </c>
      <c r="FW267" s="675">
        <f t="shared" si="8759"/>
        <v>0</v>
      </c>
      <c r="FX267" s="549">
        <f t="shared" si="8759"/>
        <v>0</v>
      </c>
      <c r="FY267" s="675">
        <f t="shared" si="8759"/>
        <v>0</v>
      </c>
      <c r="FZ267" s="549">
        <f t="shared" ref="FZ267:GI267" si="8760">SUM(FZ268:FZ271)</f>
        <v>0</v>
      </c>
      <c r="GA267" s="675">
        <f t="shared" si="8760"/>
        <v>0</v>
      </c>
      <c r="GB267" s="549">
        <f t="shared" si="8760"/>
        <v>0</v>
      </c>
      <c r="GC267" s="675">
        <f t="shared" si="8760"/>
        <v>0</v>
      </c>
      <c r="GD267" s="549">
        <f t="shared" si="8760"/>
        <v>0</v>
      </c>
      <c r="GE267" s="675">
        <f t="shared" si="8760"/>
        <v>0</v>
      </c>
      <c r="GF267" s="549">
        <f t="shared" si="8760"/>
        <v>0</v>
      </c>
      <c r="GG267" s="675">
        <f t="shared" si="8760"/>
        <v>0</v>
      </c>
      <c r="GH267" s="549">
        <f t="shared" si="8760"/>
        <v>0</v>
      </c>
      <c r="GI267" s="675">
        <f t="shared" si="8760"/>
        <v>0</v>
      </c>
      <c r="GJ267" s="549">
        <f t="shared" si="8759"/>
        <v>0</v>
      </c>
      <c r="GK267" s="675">
        <f t="shared" si="8759"/>
        <v>0</v>
      </c>
      <c r="GL267" s="549">
        <f t="shared" ref="GL267:GM267" si="8761">SUM(GL268:GL271)</f>
        <v>0</v>
      </c>
      <c r="GM267" s="675">
        <f t="shared" si="8761"/>
        <v>0</v>
      </c>
      <c r="GN267" s="549">
        <f t="shared" ref="GN267:GO267" si="8762">SUM(GN268:GN271)</f>
        <v>0</v>
      </c>
      <c r="GO267" s="675">
        <f t="shared" si="8762"/>
        <v>0</v>
      </c>
      <c r="GP267" s="549">
        <f>SUM(GP268:GP271)</f>
        <v>146729</v>
      </c>
      <c r="GQ267" s="675">
        <f t="shared" si="8747"/>
        <v>0</v>
      </c>
      <c r="GR267" s="74">
        <f t="shared" si="8747"/>
        <v>146729</v>
      </c>
      <c r="GS267" s="74">
        <f t="shared" si="8747"/>
        <v>146729</v>
      </c>
      <c r="GT267" s="549">
        <f t="shared" si="8747"/>
        <v>146729</v>
      </c>
      <c r="GU267" s="74">
        <f t="shared" ref="GU267:HF267" si="8763">SUM(GU268:GU271)</f>
        <v>0</v>
      </c>
      <c r="GV267" s="74">
        <f t="shared" si="8763"/>
        <v>0</v>
      </c>
      <c r="GW267" s="549">
        <f t="shared" si="8763"/>
        <v>0</v>
      </c>
      <c r="GX267" s="549">
        <f t="shared" si="8763"/>
        <v>0</v>
      </c>
      <c r="GY267" s="74">
        <f t="shared" si="8763"/>
        <v>0</v>
      </c>
      <c r="GZ267" s="74">
        <f t="shared" si="8763"/>
        <v>0</v>
      </c>
      <c r="HA267" s="74">
        <f t="shared" si="8763"/>
        <v>0</v>
      </c>
      <c r="HB267" s="74">
        <f t="shared" si="8763"/>
        <v>0</v>
      </c>
      <c r="HC267" s="74">
        <f t="shared" si="8763"/>
        <v>0</v>
      </c>
      <c r="HD267" s="74">
        <f t="shared" si="8763"/>
        <v>0</v>
      </c>
      <c r="HE267" s="74">
        <f t="shared" si="8763"/>
        <v>0</v>
      </c>
      <c r="HF267" s="74">
        <f t="shared" si="8763"/>
        <v>0</v>
      </c>
      <c r="HG267" s="74">
        <f>SUM(HG268:HG271)</f>
        <v>146729</v>
      </c>
      <c r="HH267" s="74">
        <f t="shared" ref="HH267:HI267" si="8764">SUM(HH268:HH271)</f>
        <v>0</v>
      </c>
      <c r="HI267" s="792">
        <f t="shared" si="8764"/>
        <v>0</v>
      </c>
      <c r="HJ267" s="74">
        <f t="shared" ref="HJ267:HK267" si="8765">SUM(HJ268:HJ271)</f>
        <v>0</v>
      </c>
      <c r="HK267" s="792">
        <f t="shared" si="8765"/>
        <v>0</v>
      </c>
      <c r="HL267" s="74">
        <f t="shared" ref="HL267:HM267" si="8766">SUM(HL268:HL271)</f>
        <v>0</v>
      </c>
      <c r="HM267" s="792">
        <f t="shared" si="8766"/>
        <v>0</v>
      </c>
      <c r="HN267" s="74">
        <f t="shared" ref="HN267:HO267" si="8767">SUM(HN268:HN271)</f>
        <v>0</v>
      </c>
      <c r="HO267" s="792">
        <f t="shared" si="8767"/>
        <v>0</v>
      </c>
      <c r="HP267" s="74">
        <f t="shared" ref="HP267:HQ267" si="8768">SUM(HP268:HP271)</f>
        <v>0</v>
      </c>
      <c r="HQ267" s="792">
        <f t="shared" si="8768"/>
        <v>0</v>
      </c>
      <c r="HR267" s="74">
        <f t="shared" ref="HR267:HS267" si="8769">SUM(HR268:HR271)</f>
        <v>0</v>
      </c>
      <c r="HS267" s="792">
        <f t="shared" si="8769"/>
        <v>0</v>
      </c>
      <c r="HT267" s="74">
        <f t="shared" ref="HT267:HU267" si="8770">SUM(HT268:HT271)</f>
        <v>0</v>
      </c>
      <c r="HU267" s="792">
        <f t="shared" si="8770"/>
        <v>0</v>
      </c>
      <c r="HV267" s="74">
        <f t="shared" ref="HV267:HW267" si="8771">SUM(HV268:HV271)</f>
        <v>0</v>
      </c>
      <c r="HW267" s="792">
        <f t="shared" si="8771"/>
        <v>0</v>
      </c>
      <c r="HX267" s="74">
        <f t="shared" ref="HX267:HY267" si="8772">SUM(HX268:HX271)</f>
        <v>0</v>
      </c>
      <c r="HY267" s="792">
        <f t="shared" si="8772"/>
        <v>0</v>
      </c>
      <c r="HZ267" s="74">
        <f t="shared" ref="HZ267:IA267" si="8773">SUM(HZ268:HZ271)</f>
        <v>0</v>
      </c>
      <c r="IA267" s="792">
        <f t="shared" si="8773"/>
        <v>0</v>
      </c>
      <c r="IB267" s="74">
        <f t="shared" ref="IB267:IC267" si="8774">SUM(IB268:IB271)</f>
        <v>0</v>
      </c>
      <c r="IC267" s="792">
        <f t="shared" si="8774"/>
        <v>0</v>
      </c>
      <c r="ID267" s="74">
        <f t="shared" ref="ID267:IN267" si="8775">SUM(ID268:ID271)</f>
        <v>0</v>
      </c>
      <c r="IE267" s="792">
        <f t="shared" si="8775"/>
        <v>0</v>
      </c>
      <c r="IF267" s="841">
        <f>SUM(IF268:IF271)</f>
        <v>138592.43</v>
      </c>
      <c r="IG267" s="263">
        <f t="shared" si="8775"/>
        <v>138592.43</v>
      </c>
      <c r="IH267" s="842">
        <f t="shared" si="8775"/>
        <v>138592.43</v>
      </c>
      <c r="II267" s="74">
        <f t="shared" si="8775"/>
        <v>0</v>
      </c>
      <c r="IJ267" s="74">
        <f t="shared" si="8775"/>
        <v>0</v>
      </c>
      <c r="IK267" s="74">
        <f t="shared" si="8775"/>
        <v>0</v>
      </c>
      <c r="IL267" s="74">
        <f t="shared" si="8775"/>
        <v>6453</v>
      </c>
      <c r="IM267" s="74">
        <f t="shared" si="8775"/>
        <v>6453</v>
      </c>
      <c r="IN267" s="74">
        <f t="shared" si="8775"/>
        <v>6453</v>
      </c>
      <c r="IO267" s="74">
        <f t="shared" ref="IO267:JO267" si="8776">SUM(IO268:IO271)</f>
        <v>20334.78</v>
      </c>
      <c r="IP267" s="74">
        <f t="shared" si="8776"/>
        <v>20334.78</v>
      </c>
      <c r="IQ267" s="74">
        <f t="shared" si="8776"/>
        <v>20334.78</v>
      </c>
      <c r="IR267" s="74">
        <f t="shared" si="8776"/>
        <v>1172.8500000000022</v>
      </c>
      <c r="IS267" s="74">
        <f t="shared" si="8776"/>
        <v>1172.8500000000022</v>
      </c>
      <c r="IT267" s="74">
        <f t="shared" si="8776"/>
        <v>1172.8500000000022</v>
      </c>
      <c r="IU267" s="74">
        <f t="shared" si="8776"/>
        <v>36271.39</v>
      </c>
      <c r="IV267" s="74">
        <f t="shared" si="8776"/>
        <v>36271.39</v>
      </c>
      <c r="IW267" s="74">
        <f t="shared" si="8776"/>
        <v>36271.39</v>
      </c>
      <c r="IX267" s="74">
        <f t="shared" si="8776"/>
        <v>12764.22</v>
      </c>
      <c r="IY267" s="74">
        <f t="shared" si="8776"/>
        <v>12764.22</v>
      </c>
      <c r="IZ267" s="74">
        <f t="shared" si="8776"/>
        <v>12764.22</v>
      </c>
      <c r="JA267" s="74">
        <f t="shared" si="8776"/>
        <v>8500.2700000000041</v>
      </c>
      <c r="JB267" s="74">
        <f t="shared" si="8776"/>
        <v>8500.2700000000041</v>
      </c>
      <c r="JC267" s="74">
        <f t="shared" si="8776"/>
        <v>8500.2700000000041</v>
      </c>
      <c r="JD267" s="74">
        <f t="shared" si="8776"/>
        <v>0</v>
      </c>
      <c r="JE267" s="74">
        <f t="shared" si="8776"/>
        <v>0</v>
      </c>
      <c r="JF267" s="74">
        <f t="shared" si="8776"/>
        <v>0</v>
      </c>
      <c r="JG267" s="74">
        <f t="shared" si="8776"/>
        <v>44638.45</v>
      </c>
      <c r="JH267" s="74">
        <f t="shared" si="8776"/>
        <v>44638.45</v>
      </c>
      <c r="JI267" s="74">
        <f t="shared" si="8776"/>
        <v>44638.45</v>
      </c>
      <c r="JJ267" s="74">
        <f t="shared" si="8776"/>
        <v>8457.4700000000012</v>
      </c>
      <c r="JK267" s="74">
        <f t="shared" si="8776"/>
        <v>8457.4700000000012</v>
      </c>
      <c r="JL267" s="74">
        <f t="shared" si="8776"/>
        <v>8457.4700000000012</v>
      </c>
      <c r="JM267" s="74">
        <f t="shared" si="8776"/>
        <v>0</v>
      </c>
      <c r="JN267" s="74">
        <f t="shared" si="8776"/>
        <v>0</v>
      </c>
      <c r="JO267" s="74">
        <f t="shared" si="8776"/>
        <v>0</v>
      </c>
      <c r="JP267" s="74">
        <f t="shared" ref="JP267:JY267" si="8777">SUM(JP268:JP271)</f>
        <v>0</v>
      </c>
      <c r="JQ267" s="74">
        <f t="shared" si="8777"/>
        <v>0</v>
      </c>
      <c r="JR267" s="74">
        <f t="shared" si="8777"/>
        <v>0</v>
      </c>
      <c r="JS267" s="74">
        <f>SUM(JS268:JS271)</f>
        <v>8136.57</v>
      </c>
      <c r="JT267" s="382">
        <f>SUM(JT268:JT271)</f>
        <v>8136.57</v>
      </c>
      <c r="JU267" s="670"/>
      <c r="JV267" s="489"/>
      <c r="JW267" s="490"/>
      <c r="JX267" s="548">
        <f t="shared" si="8777"/>
        <v>0</v>
      </c>
      <c r="JY267" s="548">
        <f t="shared" si="8777"/>
        <v>0</v>
      </c>
      <c r="JZ267" s="581">
        <f t="shared" si="7470"/>
        <v>146729</v>
      </c>
      <c r="KA267" s="581">
        <f t="shared" si="7471"/>
        <v>0</v>
      </c>
      <c r="KB267" s="548">
        <f t="shared" si="8622"/>
        <v>146729</v>
      </c>
      <c r="KC267" s="709">
        <f t="shared" si="7396"/>
        <v>0</v>
      </c>
      <c r="KD267" s="36"/>
      <c r="KE267" s="36"/>
      <c r="KF267" s="36"/>
      <c r="KG267" s="36"/>
      <c r="KH267" s="36"/>
      <c r="KI267" s="36"/>
      <c r="KJ267" s="36"/>
      <c r="KK267" s="36"/>
    </row>
    <row r="268" spans="1:297" s="10" customFormat="1">
      <c r="A268" s="86" t="s">
        <v>553</v>
      </c>
      <c r="B268" s="77"/>
      <c r="C268" s="74">
        <v>0</v>
      </c>
      <c r="D268" s="549">
        <v>6453</v>
      </c>
      <c r="E268" s="675">
        <v>0</v>
      </c>
      <c r="F268" s="549">
        <v>0</v>
      </c>
      <c r="G268" s="675">
        <v>0</v>
      </c>
      <c r="H268" s="549">
        <v>0</v>
      </c>
      <c r="I268" s="675">
        <v>0</v>
      </c>
      <c r="J268" s="549">
        <v>0</v>
      </c>
      <c r="K268" s="675">
        <v>0</v>
      </c>
      <c r="L268" s="549">
        <v>30000</v>
      </c>
      <c r="M268" s="675">
        <v>0</v>
      </c>
      <c r="N268" s="549">
        <v>0</v>
      </c>
      <c r="O268" s="675">
        <v>0</v>
      </c>
      <c r="P268" s="549">
        <v>0</v>
      </c>
      <c r="Q268" s="675">
        <v>0</v>
      </c>
      <c r="R268" s="549">
        <v>0</v>
      </c>
      <c r="S268" s="675">
        <v>0</v>
      </c>
      <c r="T268" s="549">
        <v>0</v>
      </c>
      <c r="U268" s="675">
        <v>0</v>
      </c>
      <c r="V268" s="549">
        <v>0</v>
      </c>
      <c r="W268" s="675">
        <v>0</v>
      </c>
      <c r="X268" s="549">
        <v>0</v>
      </c>
      <c r="Y268" s="675">
        <v>0</v>
      </c>
      <c r="Z268" s="549">
        <v>0</v>
      </c>
      <c r="AA268" s="675">
        <v>0</v>
      </c>
      <c r="AB268" s="549">
        <v>0</v>
      </c>
      <c r="AC268" s="675">
        <v>0</v>
      </c>
      <c r="AD268" s="549">
        <v>0</v>
      </c>
      <c r="AE268" s="675">
        <v>0</v>
      </c>
      <c r="AF268" s="549">
        <v>0</v>
      </c>
      <c r="AG268" s="675">
        <v>0</v>
      </c>
      <c r="AH268" s="549">
        <v>0</v>
      </c>
      <c r="AI268" s="675">
        <v>0</v>
      </c>
      <c r="AJ268" s="549">
        <v>0</v>
      </c>
      <c r="AK268" s="675">
        <v>0</v>
      </c>
      <c r="AL268" s="549">
        <v>0</v>
      </c>
      <c r="AM268" s="675">
        <v>0</v>
      </c>
      <c r="AN268" s="549">
        <v>0</v>
      </c>
      <c r="AO268" s="675">
        <v>0</v>
      </c>
      <c r="AP268" s="549">
        <v>0</v>
      </c>
      <c r="AQ268" s="675">
        <v>0</v>
      </c>
      <c r="AR268" s="549">
        <v>0</v>
      </c>
      <c r="AS268" s="675">
        <v>0</v>
      </c>
      <c r="AT268" s="549">
        <v>0</v>
      </c>
      <c r="AU268" s="675">
        <v>0</v>
      </c>
      <c r="AV268" s="549">
        <v>40000</v>
      </c>
      <c r="AW268" s="675">
        <v>0</v>
      </c>
      <c r="AX268" s="549">
        <v>0</v>
      </c>
      <c r="AY268" s="675">
        <v>0</v>
      </c>
      <c r="AZ268" s="549">
        <v>0</v>
      </c>
      <c r="BA268" s="675">
        <v>0</v>
      </c>
      <c r="BB268" s="549">
        <v>0</v>
      </c>
      <c r="BC268" s="675">
        <v>0</v>
      </c>
      <c r="BD268" s="549">
        <v>0</v>
      </c>
      <c r="BE268" s="675">
        <v>0</v>
      </c>
      <c r="BF268" s="549">
        <v>0</v>
      </c>
      <c r="BG268" s="675">
        <v>0</v>
      </c>
      <c r="BH268" s="549">
        <v>0</v>
      </c>
      <c r="BI268" s="675">
        <v>0</v>
      </c>
      <c r="BJ268" s="549">
        <v>0</v>
      </c>
      <c r="BK268" s="675">
        <v>0</v>
      </c>
      <c r="BL268" s="549">
        <v>0</v>
      </c>
      <c r="BM268" s="675">
        <v>0</v>
      </c>
      <c r="BN268" s="549">
        <v>0</v>
      </c>
      <c r="BO268" s="675">
        <v>0</v>
      </c>
      <c r="BP268" s="549">
        <v>0</v>
      </c>
      <c r="BQ268" s="675">
        <v>0</v>
      </c>
      <c r="BR268" s="549">
        <v>0</v>
      </c>
      <c r="BS268" s="675">
        <v>0</v>
      </c>
      <c r="BT268" s="549">
        <v>0</v>
      </c>
      <c r="BU268" s="675">
        <v>0</v>
      </c>
      <c r="BV268" s="549">
        <v>0</v>
      </c>
      <c r="BW268" s="675">
        <v>0</v>
      </c>
      <c r="BX268" s="549">
        <v>0</v>
      </c>
      <c r="BY268" s="675">
        <v>0</v>
      </c>
      <c r="BZ268" s="549">
        <v>0</v>
      </c>
      <c r="CA268" s="675">
        <v>0</v>
      </c>
      <c r="CB268" s="549">
        <v>0</v>
      </c>
      <c r="CC268" s="675">
        <v>0</v>
      </c>
      <c r="CD268" s="549">
        <v>0</v>
      </c>
      <c r="CE268" s="675">
        <v>0</v>
      </c>
      <c r="CF268" s="549">
        <v>0</v>
      </c>
      <c r="CG268" s="675">
        <v>0</v>
      </c>
      <c r="CH268" s="549">
        <v>0</v>
      </c>
      <c r="CI268" s="675">
        <v>0</v>
      </c>
      <c r="CJ268" s="549">
        <v>0</v>
      </c>
      <c r="CK268" s="675">
        <v>0</v>
      </c>
      <c r="CL268" s="549">
        <v>0</v>
      </c>
      <c r="CM268" s="675">
        <v>0</v>
      </c>
      <c r="CN268" s="549">
        <v>0</v>
      </c>
      <c r="CO268" s="675">
        <v>0</v>
      </c>
      <c r="CP268" s="549">
        <v>0</v>
      </c>
      <c r="CQ268" s="675">
        <v>0</v>
      </c>
      <c r="CR268" s="549">
        <v>0</v>
      </c>
      <c r="CS268" s="675">
        <v>0</v>
      </c>
      <c r="CT268" s="549">
        <v>0</v>
      </c>
      <c r="CU268" s="675">
        <v>0</v>
      </c>
      <c r="CV268" s="549">
        <v>0</v>
      </c>
      <c r="CW268" s="675">
        <v>0</v>
      </c>
      <c r="CX268" s="549">
        <v>0</v>
      </c>
      <c r="CY268" s="675">
        <v>0</v>
      </c>
      <c r="CZ268" s="549">
        <v>0</v>
      </c>
      <c r="DA268" s="675">
        <v>0</v>
      </c>
      <c r="DB268" s="549">
        <v>0</v>
      </c>
      <c r="DC268" s="675">
        <v>0</v>
      </c>
      <c r="DD268" s="549">
        <v>0</v>
      </c>
      <c r="DE268" s="675">
        <v>0</v>
      </c>
      <c r="DF268" s="549">
        <v>0</v>
      </c>
      <c r="DG268" s="675">
        <v>0</v>
      </c>
      <c r="DH268" s="549">
        <v>0</v>
      </c>
      <c r="DI268" s="675">
        <v>0</v>
      </c>
      <c r="DJ268" s="549">
        <v>0</v>
      </c>
      <c r="DK268" s="675">
        <v>0</v>
      </c>
      <c r="DL268" s="549">
        <v>0</v>
      </c>
      <c r="DM268" s="675">
        <v>0</v>
      </c>
      <c r="DN268" s="549">
        <v>0</v>
      </c>
      <c r="DO268" s="675">
        <v>0</v>
      </c>
      <c r="DP268" s="549">
        <v>0</v>
      </c>
      <c r="DQ268" s="675">
        <v>0</v>
      </c>
      <c r="DR268" s="549">
        <v>0</v>
      </c>
      <c r="DS268" s="675">
        <v>0</v>
      </c>
      <c r="DT268" s="549">
        <v>0</v>
      </c>
      <c r="DU268" s="675">
        <v>0</v>
      </c>
      <c r="DV268" s="549">
        <v>0</v>
      </c>
      <c r="DW268" s="675">
        <v>0</v>
      </c>
      <c r="DX268" s="549">
        <v>0</v>
      </c>
      <c r="DY268" s="675">
        <v>0</v>
      </c>
      <c r="DZ268" s="549">
        <v>0</v>
      </c>
      <c r="EA268" s="675">
        <v>0</v>
      </c>
      <c r="EB268" s="549">
        <v>0</v>
      </c>
      <c r="EC268" s="675">
        <v>0</v>
      </c>
      <c r="ED268" s="549">
        <v>0</v>
      </c>
      <c r="EE268" s="675">
        <v>0</v>
      </c>
      <c r="EF268" s="549">
        <v>50000</v>
      </c>
      <c r="EG268" s="675">
        <v>0</v>
      </c>
      <c r="EH268" s="549">
        <v>0</v>
      </c>
      <c r="EI268" s="675">
        <v>0</v>
      </c>
      <c r="EJ268" s="549">
        <v>0</v>
      </c>
      <c r="EK268" s="675">
        <v>0</v>
      </c>
      <c r="EL268" s="549">
        <v>0</v>
      </c>
      <c r="EM268" s="675">
        <v>0</v>
      </c>
      <c r="EN268" s="549">
        <v>0</v>
      </c>
      <c r="EO268" s="675">
        <v>0</v>
      </c>
      <c r="EP268" s="549">
        <v>0</v>
      </c>
      <c r="EQ268" s="675">
        <v>0</v>
      </c>
      <c r="ER268" s="549">
        <v>0</v>
      </c>
      <c r="ES268" s="675">
        <v>0</v>
      </c>
      <c r="ET268" s="549">
        <v>0</v>
      </c>
      <c r="EU268" s="675">
        <v>0</v>
      </c>
      <c r="EV268" s="549">
        <v>0</v>
      </c>
      <c r="EW268" s="675">
        <v>0</v>
      </c>
      <c r="EX268" s="549">
        <v>0</v>
      </c>
      <c r="EY268" s="675">
        <v>0</v>
      </c>
      <c r="EZ268" s="549">
        <v>0</v>
      </c>
      <c r="FA268" s="675">
        <v>0</v>
      </c>
      <c r="FB268" s="549">
        <v>0</v>
      </c>
      <c r="FC268" s="675">
        <v>0</v>
      </c>
      <c r="FD268" s="549">
        <v>0</v>
      </c>
      <c r="FE268" s="675">
        <v>0</v>
      </c>
      <c r="FF268" s="549">
        <v>0</v>
      </c>
      <c r="FG268" s="675">
        <v>0</v>
      </c>
      <c r="FH268" s="549">
        <v>0</v>
      </c>
      <c r="FI268" s="675">
        <v>0</v>
      </c>
      <c r="FJ268" s="549">
        <v>0</v>
      </c>
      <c r="FK268" s="675">
        <v>0</v>
      </c>
      <c r="FL268" s="549">
        <v>0</v>
      </c>
      <c r="FM268" s="675">
        <v>0</v>
      </c>
      <c r="FN268" s="549">
        <v>0</v>
      </c>
      <c r="FO268" s="675">
        <v>0</v>
      </c>
      <c r="FP268" s="549">
        <v>0</v>
      </c>
      <c r="FQ268" s="675">
        <v>0</v>
      </c>
      <c r="FR268" s="549">
        <v>0</v>
      </c>
      <c r="FS268" s="675">
        <v>0</v>
      </c>
      <c r="FT268" s="549">
        <v>0</v>
      </c>
      <c r="FU268" s="675">
        <v>0</v>
      </c>
      <c r="FV268" s="549">
        <v>6976</v>
      </c>
      <c r="FW268" s="675">
        <v>0</v>
      </c>
      <c r="FX268" s="549">
        <v>0</v>
      </c>
      <c r="FY268" s="675">
        <v>0</v>
      </c>
      <c r="FZ268" s="549">
        <v>0</v>
      </c>
      <c r="GA268" s="675">
        <v>0</v>
      </c>
      <c r="GB268" s="549">
        <v>0</v>
      </c>
      <c r="GC268" s="675">
        <v>0</v>
      </c>
      <c r="GD268" s="549">
        <v>0</v>
      </c>
      <c r="GE268" s="675">
        <v>0</v>
      </c>
      <c r="GF268" s="549">
        <v>0</v>
      </c>
      <c r="GG268" s="675">
        <v>0</v>
      </c>
      <c r="GH268" s="549">
        <v>0</v>
      </c>
      <c r="GI268" s="675">
        <v>0</v>
      </c>
      <c r="GJ268" s="549">
        <v>0</v>
      </c>
      <c r="GK268" s="675">
        <v>0</v>
      </c>
      <c r="GL268" s="549">
        <v>0</v>
      </c>
      <c r="GM268" s="675">
        <v>0</v>
      </c>
      <c r="GN268" s="549">
        <v>0</v>
      </c>
      <c r="GO268" s="675">
        <v>0</v>
      </c>
      <c r="GP268" s="549">
        <f>+D268+F268+H268+J268+L268+N268+P268+R268+T268+V268+X268+Z268+AB268+AF268+AD268+AH268+AJ268+AL268+AN268+AP268+AR268+AT268+AV268+AX268+AZ268+BB268+BD268+BF268+BH268+BJ268+BL268+BN268+BP268+BR268+BT268+BV268+BX268+BZ268+CB268+CD268+CF268+CH268+CJ268+CL268+CN268+CP268+CR268+CT268+CV268+CX268+CZ268+DB268+DD268+DF268+DH268+DT268+EX268+DJ268+DL268+DN268+DP268+DR268+EJ268+EB268+DZ268+DX268+DV268+ED268+EF268+EH268+EL268+EN268+EP268+EV268+ET268+ER268+EZ268+FB268+FD268+GL268+FF268+FJ268+FL268+GJ268+FT268+FR268+FP268+FN268+FH268+GH268+GF268+GD268+GB268+FZ268+FX268+FV268+GN268</f>
        <v>133429</v>
      </c>
      <c r="GQ268" s="675">
        <f>+E268+G268+I268+K268+M268+O268+Q268+S268+U268+W268+Y268+AA268+AC268+AE268+AG268+AI268+AK268+AM268+AO268+AQ268+AS268+AU268+AW268+AY268+BA268+BC268+BE268+BG268+BI268+BK268+BM268+BO268+BQ268+BS268+BU268+BW268+BY268+CA268+CC268+CE268+CG268+CI268+CK268+CM268+CO268+CQ268+CS268+CU268+CW268+CY268+DA268+DC268+DE268+DG268+DI268+DU268+EY268+DK268+DM268+DO268+DQ268+DS268+EK268+EC268+EA268+DY268+DW268+EI268+EG268+EE268+EM268+EO268+EQ268+EW268+EU268+ES268+FA268+FC268+FE268+GM268+FG268+FK268+FM268+FO268+FQ268+FS268+FU268+GK268+FI268+GI268+GG268+GE268+GC268+GA268+FY268+FW268+GO268</f>
        <v>0</v>
      </c>
      <c r="GR268" s="74">
        <f>C268+GP268+GQ268</f>
        <v>133429</v>
      </c>
      <c r="GS268" s="74">
        <f t="shared" ref="GS268:GS269" si="8778">SUM(GU268:HD268)+GP268+GQ268</f>
        <v>133429</v>
      </c>
      <c r="GT268" s="568">
        <f t="shared" ref="GT268:GT269" si="8779">SUM(GU268:HF268)+GQ268+GP268</f>
        <v>133429</v>
      </c>
      <c r="GU268" s="275">
        <v>0</v>
      </c>
      <c r="GV268" s="275">
        <v>0</v>
      </c>
      <c r="GW268" s="588">
        <v>0</v>
      </c>
      <c r="GX268" s="588">
        <v>0</v>
      </c>
      <c r="GY268" s="275">
        <v>0</v>
      </c>
      <c r="GZ268" s="275">
        <v>0</v>
      </c>
      <c r="HA268" s="275">
        <v>0</v>
      </c>
      <c r="HB268" s="275">
        <v>0</v>
      </c>
      <c r="HC268" s="275">
        <v>0</v>
      </c>
      <c r="HD268" s="275">
        <v>0</v>
      </c>
      <c r="HE268" s="275">
        <v>0</v>
      </c>
      <c r="HF268" s="275">
        <v>0</v>
      </c>
      <c r="HG268" s="74">
        <f>SUM(HH268:IE268)+GP268+GQ268</f>
        <v>133429</v>
      </c>
      <c r="HH268" s="89">
        <v>0</v>
      </c>
      <c r="HI268" s="817">
        <v>0</v>
      </c>
      <c r="HJ268" s="89">
        <v>0</v>
      </c>
      <c r="HK268" s="817">
        <v>0</v>
      </c>
      <c r="HL268" s="89">
        <v>0</v>
      </c>
      <c r="HM268" s="817">
        <v>0</v>
      </c>
      <c r="HN268" s="89">
        <v>0</v>
      </c>
      <c r="HO268" s="817">
        <v>0</v>
      </c>
      <c r="HP268" s="89">
        <v>0</v>
      </c>
      <c r="HQ268" s="817">
        <v>0</v>
      </c>
      <c r="HR268" s="89">
        <v>0</v>
      </c>
      <c r="HS268" s="817">
        <v>0</v>
      </c>
      <c r="HT268" s="89">
        <v>0</v>
      </c>
      <c r="HU268" s="817">
        <v>0</v>
      </c>
      <c r="HV268" s="89">
        <v>0</v>
      </c>
      <c r="HW268" s="817">
        <v>0</v>
      </c>
      <c r="HX268" s="89">
        <v>0</v>
      </c>
      <c r="HY268" s="817">
        <v>0</v>
      </c>
      <c r="HZ268" s="89">
        <v>0</v>
      </c>
      <c r="IA268" s="817">
        <v>0</v>
      </c>
      <c r="IB268" s="89">
        <v>0</v>
      </c>
      <c r="IC268" s="817">
        <v>0</v>
      </c>
      <c r="ID268" s="89">
        <v>0</v>
      </c>
      <c r="IE268" s="817">
        <v>0</v>
      </c>
      <c r="IF268" s="841">
        <f t="shared" ref="IF268:IF271" si="8780">SUM(II268,IL268,IO268,IR268,IU268,IX268,JA268,JD268,JG268,JJ268,JM268,JP268)</f>
        <v>126453</v>
      </c>
      <c r="IG268" s="263">
        <f t="shared" ref="IG268:IG271" si="8781">SUM(IJ268,IM268,IP268,IS268,IV268,IY268,JB268,JE268,JH268,JK268,JN268,JQ268)</f>
        <v>126453</v>
      </c>
      <c r="IH268" s="842">
        <f t="shared" ref="IH268:IH271" si="8782">SUM(IK268,IN268,IQ268,IT268,IW268,IZ268,JC268,JF268,JI268,JL268,JO268,JR268)</f>
        <v>126453</v>
      </c>
      <c r="II268" s="89">
        <v>0</v>
      </c>
      <c r="IJ268" s="89">
        <f t="shared" ref="IJ268:IJ270" si="8783">II268</f>
        <v>0</v>
      </c>
      <c r="IK268" s="89">
        <f t="shared" ref="IK268:IK270" si="8784">IJ268</f>
        <v>0</v>
      </c>
      <c r="IL268" s="89">
        <v>6453</v>
      </c>
      <c r="IM268" s="89">
        <f t="shared" ref="IM268:IM270" si="8785">IL268</f>
        <v>6453</v>
      </c>
      <c r="IN268" s="89">
        <f t="shared" ref="IN268:IN270" si="8786">IM268</f>
        <v>6453</v>
      </c>
      <c r="IO268" s="89">
        <f>26787.78-6453</f>
        <v>20334.78</v>
      </c>
      <c r="IP268" s="89">
        <f t="shared" ref="IP268:IP270" si="8787">IO268</f>
        <v>20334.78</v>
      </c>
      <c r="IQ268" s="89">
        <f t="shared" ref="IQ268:IQ270" si="8788">IP268</f>
        <v>20334.78</v>
      </c>
      <c r="IR268" s="89">
        <f>27960.63-26787.78</f>
        <v>1172.8500000000022</v>
      </c>
      <c r="IS268" s="89">
        <f t="shared" ref="IS268:IS270" si="8789">IR268</f>
        <v>1172.8500000000022</v>
      </c>
      <c r="IT268" s="89">
        <f t="shared" ref="IT268:IT270" si="8790">IS268</f>
        <v>1172.8500000000022</v>
      </c>
      <c r="IU268" s="89">
        <f>54659.71-27960.63</f>
        <v>26699.079999999998</v>
      </c>
      <c r="IV268" s="89">
        <f t="shared" ref="IV268:IV270" si="8791">IU268</f>
        <v>26699.079999999998</v>
      </c>
      <c r="IW268" s="89">
        <f t="shared" ref="IW268:IW270" si="8792">IV268</f>
        <v>26699.079999999998</v>
      </c>
      <c r="IX268" s="89">
        <f>64856.81-54659.71</f>
        <v>10197.099999999999</v>
      </c>
      <c r="IY268" s="89">
        <f t="shared" ref="IY268:IY270" si="8793">IX268</f>
        <v>10197.099999999999</v>
      </c>
      <c r="IZ268" s="89">
        <f t="shared" ref="IZ268:IZ270" si="8794">IY268</f>
        <v>10197.099999999999</v>
      </c>
      <c r="JA268" s="89">
        <f>73357.08-64856.81</f>
        <v>8500.2700000000041</v>
      </c>
      <c r="JB268" s="89">
        <f t="shared" ref="JB268:JB270" si="8795">JA268</f>
        <v>8500.2700000000041</v>
      </c>
      <c r="JC268" s="89">
        <f t="shared" ref="JC268:JC270" si="8796">JB268</f>
        <v>8500.2700000000041</v>
      </c>
      <c r="JD268" s="89">
        <v>0</v>
      </c>
      <c r="JE268" s="89">
        <f t="shared" ref="JE268:JE270" si="8797">JD268</f>
        <v>0</v>
      </c>
      <c r="JF268" s="89">
        <f t="shared" ref="JF268:JF270" si="8798">JE268</f>
        <v>0</v>
      </c>
      <c r="JG268" s="89">
        <f>117995.53-73357.08</f>
        <v>44638.45</v>
      </c>
      <c r="JH268" s="89">
        <f t="shared" ref="JH268:JH270" si="8799">JG268</f>
        <v>44638.45</v>
      </c>
      <c r="JI268" s="89">
        <f t="shared" ref="JI268:JI270" si="8800">JH268</f>
        <v>44638.45</v>
      </c>
      <c r="JJ268" s="89">
        <f>126453-117995.53</f>
        <v>8457.4700000000012</v>
      </c>
      <c r="JK268" s="89">
        <f t="shared" ref="JK268:JK270" si="8801">JJ268</f>
        <v>8457.4700000000012</v>
      </c>
      <c r="JL268" s="89">
        <f t="shared" ref="JL268:JL270" si="8802">JK268</f>
        <v>8457.4700000000012</v>
      </c>
      <c r="JM268" s="89">
        <v>0</v>
      </c>
      <c r="JN268" s="89">
        <f t="shared" ref="JN268:JN270" si="8803">JM268</f>
        <v>0</v>
      </c>
      <c r="JO268" s="89">
        <f t="shared" ref="JO268:JO270" si="8804">JN268</f>
        <v>0</v>
      </c>
      <c r="JP268" s="89">
        <v>0</v>
      </c>
      <c r="JQ268" s="89">
        <f t="shared" ref="JQ268:JR268" si="8805">JP268</f>
        <v>0</v>
      </c>
      <c r="JR268" s="89">
        <f t="shared" si="8805"/>
        <v>0</v>
      </c>
      <c r="JS268" s="74">
        <f>HG268-IF268</f>
        <v>6976</v>
      </c>
      <c r="JT268" s="382">
        <f>GS268-IF268</f>
        <v>6976</v>
      </c>
      <c r="JU268" s="670"/>
      <c r="JV268" s="489"/>
      <c r="JW268" s="490"/>
      <c r="JX268" s="548">
        <f t="shared" ref="JX268:JY271" si="8806">SUM(HH268,HJ268,HL268,HN268,HP268,HR268,HT268,HV268,HX268,HZ268,IB268,ID268)</f>
        <v>0</v>
      </c>
      <c r="JY268" s="548">
        <f t="shared" si="8806"/>
        <v>0</v>
      </c>
      <c r="JZ268" s="581">
        <f t="shared" si="7470"/>
        <v>133429</v>
      </c>
      <c r="KA268" s="581">
        <f t="shared" si="7471"/>
        <v>0</v>
      </c>
      <c r="KB268" s="548">
        <f t="shared" si="8622"/>
        <v>133429</v>
      </c>
      <c r="KC268" s="709">
        <f t="shared" si="7396"/>
        <v>0</v>
      </c>
      <c r="KD268" s="36"/>
      <c r="KE268" s="36"/>
      <c r="KF268" s="36"/>
      <c r="KG268" s="36"/>
      <c r="KH268" s="36"/>
      <c r="KI268" s="36"/>
      <c r="KJ268" s="36"/>
      <c r="KK268" s="36"/>
    </row>
    <row r="269" spans="1:297" s="10" customFormat="1" ht="12.75" customHeight="1">
      <c r="A269" s="86" t="s">
        <v>561</v>
      </c>
      <c r="B269" s="77"/>
      <c r="C269" s="74">
        <v>0</v>
      </c>
      <c r="D269" s="549">
        <v>0</v>
      </c>
      <c r="E269" s="675">
        <v>0</v>
      </c>
      <c r="F269" s="549">
        <v>0</v>
      </c>
      <c r="G269" s="675">
        <v>0</v>
      </c>
      <c r="H269" s="549">
        <v>0</v>
      </c>
      <c r="I269" s="675">
        <v>0</v>
      </c>
      <c r="J269" s="549">
        <v>0</v>
      </c>
      <c r="K269" s="675">
        <v>0</v>
      </c>
      <c r="L269" s="549">
        <v>0</v>
      </c>
      <c r="M269" s="675">
        <v>0</v>
      </c>
      <c r="N269" s="549">
        <v>0</v>
      </c>
      <c r="O269" s="675">
        <v>0</v>
      </c>
      <c r="P269" s="549">
        <v>0</v>
      </c>
      <c r="Q269" s="675">
        <v>0</v>
      </c>
      <c r="R269" s="549">
        <v>0</v>
      </c>
      <c r="S269" s="675">
        <v>0</v>
      </c>
      <c r="T269" s="549">
        <v>0</v>
      </c>
      <c r="U269" s="675">
        <v>0</v>
      </c>
      <c r="V269" s="549">
        <v>0</v>
      </c>
      <c r="W269" s="675">
        <v>0</v>
      </c>
      <c r="X269" s="549">
        <v>0</v>
      </c>
      <c r="Y269" s="675">
        <v>0</v>
      </c>
      <c r="Z269" s="549">
        <v>0</v>
      </c>
      <c r="AA269" s="675">
        <v>0</v>
      </c>
      <c r="AB269" s="549">
        <v>0</v>
      </c>
      <c r="AC269" s="675">
        <v>0</v>
      </c>
      <c r="AD269" s="549">
        <v>0</v>
      </c>
      <c r="AE269" s="675">
        <v>0</v>
      </c>
      <c r="AF269" s="549">
        <v>0</v>
      </c>
      <c r="AG269" s="675">
        <v>0</v>
      </c>
      <c r="AH269" s="549">
        <v>0</v>
      </c>
      <c r="AI269" s="675">
        <v>0</v>
      </c>
      <c r="AJ269" s="549">
        <v>10300</v>
      </c>
      <c r="AK269" s="675">
        <v>0</v>
      </c>
      <c r="AL269" s="549">
        <v>0</v>
      </c>
      <c r="AM269" s="675">
        <v>0</v>
      </c>
      <c r="AN269" s="549">
        <v>0</v>
      </c>
      <c r="AO269" s="675">
        <v>0</v>
      </c>
      <c r="AP269" s="549">
        <v>0</v>
      </c>
      <c r="AQ269" s="675">
        <v>0</v>
      </c>
      <c r="AR269" s="549">
        <v>0</v>
      </c>
      <c r="AS269" s="675">
        <v>0</v>
      </c>
      <c r="AT269" s="549">
        <v>0</v>
      </c>
      <c r="AU269" s="675">
        <v>0</v>
      </c>
      <c r="AV269" s="549">
        <v>0</v>
      </c>
      <c r="AW269" s="675">
        <v>0</v>
      </c>
      <c r="AX269" s="549">
        <v>0</v>
      </c>
      <c r="AY269" s="675">
        <v>0</v>
      </c>
      <c r="AZ269" s="549">
        <v>0</v>
      </c>
      <c r="BA269" s="675">
        <v>0</v>
      </c>
      <c r="BB269" s="549">
        <v>0</v>
      </c>
      <c r="BC269" s="675">
        <v>0</v>
      </c>
      <c r="BD269" s="549">
        <v>0</v>
      </c>
      <c r="BE269" s="675">
        <v>0</v>
      </c>
      <c r="BF269" s="549">
        <v>0</v>
      </c>
      <c r="BG269" s="675">
        <v>0</v>
      </c>
      <c r="BH269" s="549">
        <v>0</v>
      </c>
      <c r="BI269" s="675">
        <v>0</v>
      </c>
      <c r="BJ269" s="549">
        <v>3000</v>
      </c>
      <c r="BK269" s="675">
        <v>0</v>
      </c>
      <c r="BL269" s="549">
        <v>0</v>
      </c>
      <c r="BM269" s="675">
        <v>0</v>
      </c>
      <c r="BN269" s="549">
        <v>0</v>
      </c>
      <c r="BO269" s="675">
        <v>0</v>
      </c>
      <c r="BP269" s="549">
        <v>0</v>
      </c>
      <c r="BQ269" s="675">
        <v>0</v>
      </c>
      <c r="BR269" s="549">
        <v>0</v>
      </c>
      <c r="BS269" s="675">
        <v>0</v>
      </c>
      <c r="BT269" s="549">
        <v>0</v>
      </c>
      <c r="BU269" s="675">
        <v>0</v>
      </c>
      <c r="BV269" s="549">
        <v>0</v>
      </c>
      <c r="BW269" s="675">
        <v>0</v>
      </c>
      <c r="BX269" s="549">
        <v>0</v>
      </c>
      <c r="BY269" s="675">
        <v>0</v>
      </c>
      <c r="BZ269" s="549">
        <v>0</v>
      </c>
      <c r="CA269" s="675">
        <v>0</v>
      </c>
      <c r="CB269" s="549">
        <v>0</v>
      </c>
      <c r="CC269" s="675">
        <v>0</v>
      </c>
      <c r="CD269" s="549">
        <v>0</v>
      </c>
      <c r="CE269" s="675">
        <v>0</v>
      </c>
      <c r="CF269" s="549">
        <v>0</v>
      </c>
      <c r="CG269" s="675">
        <v>0</v>
      </c>
      <c r="CH269" s="549">
        <v>0</v>
      </c>
      <c r="CI269" s="675">
        <v>0</v>
      </c>
      <c r="CJ269" s="549">
        <v>0</v>
      </c>
      <c r="CK269" s="675">
        <v>0</v>
      </c>
      <c r="CL269" s="549">
        <v>0</v>
      </c>
      <c r="CM269" s="675">
        <v>0</v>
      </c>
      <c r="CN269" s="549">
        <v>0</v>
      </c>
      <c r="CO269" s="675">
        <v>0</v>
      </c>
      <c r="CP269" s="549">
        <v>0</v>
      </c>
      <c r="CQ269" s="675">
        <v>0</v>
      </c>
      <c r="CR269" s="549">
        <v>0</v>
      </c>
      <c r="CS269" s="675">
        <v>0</v>
      </c>
      <c r="CT269" s="549">
        <v>0</v>
      </c>
      <c r="CU269" s="675">
        <v>0</v>
      </c>
      <c r="CV269" s="549">
        <v>0</v>
      </c>
      <c r="CW269" s="675">
        <v>0</v>
      </c>
      <c r="CX269" s="549">
        <v>0</v>
      </c>
      <c r="CY269" s="675">
        <v>0</v>
      </c>
      <c r="CZ269" s="549">
        <v>0</v>
      </c>
      <c r="DA269" s="675">
        <v>0</v>
      </c>
      <c r="DB269" s="549">
        <v>0</v>
      </c>
      <c r="DC269" s="675">
        <v>0</v>
      </c>
      <c r="DD269" s="549">
        <v>0</v>
      </c>
      <c r="DE269" s="675">
        <v>0</v>
      </c>
      <c r="DF269" s="549">
        <v>0</v>
      </c>
      <c r="DG269" s="675">
        <v>0</v>
      </c>
      <c r="DH269" s="549">
        <v>0</v>
      </c>
      <c r="DI269" s="675">
        <v>0</v>
      </c>
      <c r="DJ269" s="549">
        <v>0</v>
      </c>
      <c r="DK269" s="675">
        <v>0</v>
      </c>
      <c r="DL269" s="549">
        <v>0</v>
      </c>
      <c r="DM269" s="675">
        <v>0</v>
      </c>
      <c r="DN269" s="549">
        <v>0</v>
      </c>
      <c r="DO269" s="675">
        <v>0</v>
      </c>
      <c r="DP269" s="549">
        <v>0</v>
      </c>
      <c r="DQ269" s="675">
        <v>0</v>
      </c>
      <c r="DR269" s="549">
        <v>0</v>
      </c>
      <c r="DS269" s="675">
        <v>0</v>
      </c>
      <c r="DT269" s="549">
        <v>0</v>
      </c>
      <c r="DU269" s="675">
        <v>0</v>
      </c>
      <c r="DV269" s="549">
        <v>0</v>
      </c>
      <c r="DW269" s="675">
        <v>0</v>
      </c>
      <c r="DX269" s="549">
        <v>0</v>
      </c>
      <c r="DY269" s="675">
        <v>0</v>
      </c>
      <c r="DZ269" s="549">
        <v>0</v>
      </c>
      <c r="EA269" s="675">
        <v>0</v>
      </c>
      <c r="EB269" s="549">
        <v>0</v>
      </c>
      <c r="EC269" s="675">
        <v>0</v>
      </c>
      <c r="ED269" s="549">
        <v>0</v>
      </c>
      <c r="EE269" s="675">
        <v>0</v>
      </c>
      <c r="EF269" s="549">
        <v>0</v>
      </c>
      <c r="EG269" s="675">
        <v>0</v>
      </c>
      <c r="EH269" s="549">
        <v>0</v>
      </c>
      <c r="EI269" s="675">
        <v>0</v>
      </c>
      <c r="EJ269" s="549">
        <v>0</v>
      </c>
      <c r="EK269" s="675">
        <v>0</v>
      </c>
      <c r="EL269" s="549">
        <v>0</v>
      </c>
      <c r="EM269" s="675">
        <v>0</v>
      </c>
      <c r="EN269" s="549">
        <v>0</v>
      </c>
      <c r="EO269" s="675">
        <v>0</v>
      </c>
      <c r="EP269" s="549">
        <v>0</v>
      </c>
      <c r="EQ269" s="675">
        <v>0</v>
      </c>
      <c r="ER269" s="549">
        <v>0</v>
      </c>
      <c r="ES269" s="675">
        <v>0</v>
      </c>
      <c r="ET269" s="549">
        <v>0</v>
      </c>
      <c r="EU269" s="675">
        <v>0</v>
      </c>
      <c r="EV269" s="549">
        <v>0</v>
      </c>
      <c r="EW269" s="675">
        <v>0</v>
      </c>
      <c r="EX269" s="549">
        <v>0</v>
      </c>
      <c r="EY269" s="675">
        <v>0</v>
      </c>
      <c r="EZ269" s="549">
        <v>0</v>
      </c>
      <c r="FA269" s="675">
        <v>0</v>
      </c>
      <c r="FB269" s="549">
        <v>0</v>
      </c>
      <c r="FC269" s="675">
        <v>0</v>
      </c>
      <c r="FD269" s="549">
        <v>0</v>
      </c>
      <c r="FE269" s="675">
        <v>0</v>
      </c>
      <c r="FF269" s="549">
        <v>0</v>
      </c>
      <c r="FG269" s="675">
        <v>0</v>
      </c>
      <c r="FH269" s="549">
        <v>0</v>
      </c>
      <c r="FI269" s="675">
        <v>0</v>
      </c>
      <c r="FJ269" s="549">
        <v>0</v>
      </c>
      <c r="FK269" s="675">
        <v>0</v>
      </c>
      <c r="FL269" s="549">
        <v>0</v>
      </c>
      <c r="FM269" s="675">
        <v>0</v>
      </c>
      <c r="FN269" s="549">
        <v>0</v>
      </c>
      <c r="FO269" s="675">
        <v>0</v>
      </c>
      <c r="FP269" s="549">
        <v>0</v>
      </c>
      <c r="FQ269" s="675">
        <v>0</v>
      </c>
      <c r="FR269" s="549">
        <v>0</v>
      </c>
      <c r="FS269" s="675">
        <v>0</v>
      </c>
      <c r="FT269" s="549">
        <v>0</v>
      </c>
      <c r="FU269" s="675">
        <v>0</v>
      </c>
      <c r="FV269" s="549">
        <v>0</v>
      </c>
      <c r="FW269" s="675">
        <v>0</v>
      </c>
      <c r="FX269" s="549">
        <v>0</v>
      </c>
      <c r="FY269" s="675">
        <v>0</v>
      </c>
      <c r="FZ269" s="549">
        <v>0</v>
      </c>
      <c r="GA269" s="675">
        <v>0</v>
      </c>
      <c r="GB269" s="549">
        <v>0</v>
      </c>
      <c r="GC269" s="675">
        <v>0</v>
      </c>
      <c r="GD269" s="549">
        <v>0</v>
      </c>
      <c r="GE269" s="675">
        <v>0</v>
      </c>
      <c r="GF269" s="549">
        <v>0</v>
      </c>
      <c r="GG269" s="675">
        <v>0</v>
      </c>
      <c r="GH269" s="549">
        <v>0</v>
      </c>
      <c r="GI269" s="675">
        <v>0</v>
      </c>
      <c r="GJ269" s="549">
        <v>0</v>
      </c>
      <c r="GK269" s="675">
        <v>0</v>
      </c>
      <c r="GL269" s="549">
        <v>0</v>
      </c>
      <c r="GM269" s="675">
        <v>0</v>
      </c>
      <c r="GN269" s="549">
        <v>0</v>
      </c>
      <c r="GO269" s="675">
        <v>0</v>
      </c>
      <c r="GP269" s="549">
        <f>+D269+F269+H269+J269+L269+N269+P269+R269+T269+V269+X269+Z269+AB269+AD269+AH269+AJ269+AL269+AN269+AP269+AR269+AT269+AV269+AX269+AZ269+BB269+BD269+BF269+BH269+BJ269+BL269+BN269+BP269+BR269+BT269+BV269+BX269+BZ269+CB269+CD269+CF269+CH269+CJ269+CL269+CN269+CP269+CR269+CT269+CV269+CX269+CZ269+DB269+DD269+DF269+DH269+DT269+EX269+DJ269+DL269+DN269+DP269+DR269+EJ269+EB269+DZ269+DX269+DV269+ED269+EF269+EH269+EL269+EN269+EP269+EV269+ET269+ER269+EZ269+FB269+FD269+GL269+FF269+FJ269+FL269+GJ269+FT269+FR269+FP269+FN269+FH269</f>
        <v>13300</v>
      </c>
      <c r="GQ269" s="675">
        <f>+E269+G269+I269+K269+M269+O269+Q269+S269+U269+W269+Y269+AA269+AC269+AE269+AI269+AK269+AM269+AO269+AQ269+AS269+AU269+AW269+AY269+BA269+BC269+BE269+BG269+BI269+BK269+BM269+BO269+BQ269+BS269+BU269+BW269+BY269+CA269+CC269+CE269+CG269+CI269+CK269+CM269+CO269+CQ269+CS269+CU269+CW269+CY269+DA269+DC269+DE269+DG269+DI269+DU269+EY269+DK269+DM269+DO269+DQ269+DS269+EK269+EC269+EA269+DY269+DW269+EI269+EG269+EE269+EM269+EO269+EQ269+EW269+EU269+ES269+FA269+FC269+FE269+GM269+FG269+FK269+FM269+FO269+FQ269+FS269+FU269+GK269+FI269</f>
        <v>0</v>
      </c>
      <c r="GR269" s="74">
        <f>C269+GP269+GQ269</f>
        <v>13300</v>
      </c>
      <c r="GS269" s="74">
        <f t="shared" si="8778"/>
        <v>13300</v>
      </c>
      <c r="GT269" s="568">
        <f t="shared" si="8779"/>
        <v>13300</v>
      </c>
      <c r="GU269" s="275">
        <v>0</v>
      </c>
      <c r="GV269" s="275">
        <v>0</v>
      </c>
      <c r="GW269" s="588">
        <v>0</v>
      </c>
      <c r="GX269" s="588">
        <v>0</v>
      </c>
      <c r="GY269" s="275">
        <v>0</v>
      </c>
      <c r="GZ269" s="275">
        <v>0</v>
      </c>
      <c r="HA269" s="275">
        <v>0</v>
      </c>
      <c r="HB269" s="275">
        <v>0</v>
      </c>
      <c r="HC269" s="275">
        <v>0</v>
      </c>
      <c r="HD269" s="275">
        <v>0</v>
      </c>
      <c r="HE269" s="275">
        <v>0</v>
      </c>
      <c r="HF269" s="275">
        <v>0</v>
      </c>
      <c r="HG269" s="74">
        <f>SUM(HH269:IE269)+GP269+GQ269</f>
        <v>13300</v>
      </c>
      <c r="HH269" s="89">
        <v>0</v>
      </c>
      <c r="HI269" s="817">
        <v>0</v>
      </c>
      <c r="HJ269" s="89">
        <v>0</v>
      </c>
      <c r="HK269" s="817">
        <v>0</v>
      </c>
      <c r="HL269" s="89">
        <v>0</v>
      </c>
      <c r="HM269" s="817">
        <v>0</v>
      </c>
      <c r="HN269" s="89">
        <v>0</v>
      </c>
      <c r="HO269" s="817">
        <v>0</v>
      </c>
      <c r="HP269" s="89">
        <v>0</v>
      </c>
      <c r="HQ269" s="817">
        <v>0</v>
      </c>
      <c r="HR269" s="89">
        <v>0</v>
      </c>
      <c r="HS269" s="817">
        <v>0</v>
      </c>
      <c r="HT269" s="89">
        <v>0</v>
      </c>
      <c r="HU269" s="817">
        <v>0</v>
      </c>
      <c r="HV269" s="89">
        <v>0</v>
      </c>
      <c r="HW269" s="817">
        <v>0</v>
      </c>
      <c r="HX269" s="89">
        <v>0</v>
      </c>
      <c r="HY269" s="817">
        <v>0</v>
      </c>
      <c r="HZ269" s="89">
        <v>0</v>
      </c>
      <c r="IA269" s="817">
        <v>0</v>
      </c>
      <c r="IB269" s="89">
        <v>0</v>
      </c>
      <c r="IC269" s="817">
        <v>0</v>
      </c>
      <c r="ID269" s="89">
        <v>0</v>
      </c>
      <c r="IE269" s="817">
        <v>0</v>
      </c>
      <c r="IF269" s="841">
        <f t="shared" si="8780"/>
        <v>12139.43</v>
      </c>
      <c r="IG269" s="263">
        <f t="shared" si="8781"/>
        <v>12139.43</v>
      </c>
      <c r="IH269" s="842">
        <f t="shared" si="8782"/>
        <v>12139.43</v>
      </c>
      <c r="II269" s="89">
        <v>0</v>
      </c>
      <c r="IJ269" s="89">
        <f t="shared" si="8783"/>
        <v>0</v>
      </c>
      <c r="IK269" s="89">
        <f t="shared" si="8784"/>
        <v>0</v>
      </c>
      <c r="IL269" s="89">
        <v>0</v>
      </c>
      <c r="IM269" s="89">
        <f t="shared" si="8785"/>
        <v>0</v>
      </c>
      <c r="IN269" s="89">
        <f t="shared" si="8786"/>
        <v>0</v>
      </c>
      <c r="IO269" s="89">
        <v>0</v>
      </c>
      <c r="IP269" s="89">
        <f t="shared" si="8787"/>
        <v>0</v>
      </c>
      <c r="IQ269" s="89">
        <f t="shared" si="8788"/>
        <v>0</v>
      </c>
      <c r="IR269" s="89">
        <v>0</v>
      </c>
      <c r="IS269" s="89">
        <f t="shared" si="8789"/>
        <v>0</v>
      </c>
      <c r="IT269" s="89">
        <f t="shared" si="8790"/>
        <v>0</v>
      </c>
      <c r="IU269" s="89">
        <v>9572.31</v>
      </c>
      <c r="IV269" s="89">
        <f t="shared" si="8791"/>
        <v>9572.31</v>
      </c>
      <c r="IW269" s="89">
        <f t="shared" si="8792"/>
        <v>9572.31</v>
      </c>
      <c r="IX269" s="89">
        <f>12139.43-9572.31</f>
        <v>2567.1200000000008</v>
      </c>
      <c r="IY269" s="89">
        <f t="shared" si="8793"/>
        <v>2567.1200000000008</v>
      </c>
      <c r="IZ269" s="89">
        <f t="shared" si="8794"/>
        <v>2567.1200000000008</v>
      </c>
      <c r="JA269" s="89">
        <f>12139.43-12139.43</f>
        <v>0</v>
      </c>
      <c r="JB269" s="89">
        <f t="shared" si="8795"/>
        <v>0</v>
      </c>
      <c r="JC269" s="89">
        <f t="shared" si="8796"/>
        <v>0</v>
      </c>
      <c r="JD269" s="89">
        <v>0</v>
      </c>
      <c r="JE269" s="89">
        <f t="shared" si="8797"/>
        <v>0</v>
      </c>
      <c r="JF269" s="89">
        <f t="shared" si="8798"/>
        <v>0</v>
      </c>
      <c r="JG269" s="89">
        <v>0</v>
      </c>
      <c r="JH269" s="89">
        <f t="shared" si="8799"/>
        <v>0</v>
      </c>
      <c r="JI269" s="89">
        <f t="shared" si="8800"/>
        <v>0</v>
      </c>
      <c r="JJ269" s="89">
        <v>0</v>
      </c>
      <c r="JK269" s="89">
        <f t="shared" si="8801"/>
        <v>0</v>
      </c>
      <c r="JL269" s="89">
        <f t="shared" si="8802"/>
        <v>0</v>
      </c>
      <c r="JM269" s="89">
        <v>0</v>
      </c>
      <c r="JN269" s="89">
        <f t="shared" si="8803"/>
        <v>0</v>
      </c>
      <c r="JO269" s="89">
        <f t="shared" si="8804"/>
        <v>0</v>
      </c>
      <c r="JP269" s="89">
        <v>0</v>
      </c>
      <c r="JQ269" s="89">
        <f t="shared" ref="JQ269:JR269" si="8807">JP269</f>
        <v>0</v>
      </c>
      <c r="JR269" s="89">
        <f t="shared" si="8807"/>
        <v>0</v>
      </c>
      <c r="JS269" s="74">
        <f>HG269-IF269</f>
        <v>1160.5699999999997</v>
      </c>
      <c r="JT269" s="382">
        <f>GS269-IF269</f>
        <v>1160.5699999999997</v>
      </c>
      <c r="JU269" s="670"/>
      <c r="JV269" s="489"/>
      <c r="JW269" s="490"/>
      <c r="JX269" s="548">
        <f t="shared" si="8806"/>
        <v>0</v>
      </c>
      <c r="JY269" s="548">
        <f t="shared" si="8806"/>
        <v>0</v>
      </c>
      <c r="JZ269" s="581">
        <f t="shared" si="7470"/>
        <v>13300</v>
      </c>
      <c r="KA269" s="581">
        <f t="shared" si="7471"/>
        <v>0</v>
      </c>
      <c r="KB269" s="548">
        <f t="shared" si="8622"/>
        <v>13300</v>
      </c>
      <c r="KC269" s="709">
        <f t="shared" si="7396"/>
        <v>0</v>
      </c>
      <c r="KD269" s="36"/>
      <c r="KE269" s="36"/>
      <c r="KF269" s="36"/>
      <c r="KG269" s="36"/>
      <c r="KH269" s="36"/>
      <c r="KI269" s="36"/>
      <c r="KJ269" s="36"/>
      <c r="KK269" s="36"/>
    </row>
    <row r="270" spans="1:297" s="10" customFormat="1" ht="12.75" hidden="1" customHeight="1">
      <c r="A270" s="86" t="s">
        <v>706</v>
      </c>
      <c r="B270" s="77"/>
      <c r="C270" s="74">
        <v>0</v>
      </c>
      <c r="D270" s="549">
        <v>0</v>
      </c>
      <c r="E270" s="675">
        <v>0</v>
      </c>
      <c r="F270" s="549">
        <v>0</v>
      </c>
      <c r="G270" s="675">
        <v>0</v>
      </c>
      <c r="H270" s="549">
        <v>0</v>
      </c>
      <c r="I270" s="675">
        <v>0</v>
      </c>
      <c r="J270" s="549">
        <v>0</v>
      </c>
      <c r="K270" s="675">
        <v>0</v>
      </c>
      <c r="L270" s="549">
        <v>0</v>
      </c>
      <c r="M270" s="675">
        <v>0</v>
      </c>
      <c r="N270" s="549">
        <v>0</v>
      </c>
      <c r="O270" s="675">
        <v>0</v>
      </c>
      <c r="P270" s="549">
        <v>0</v>
      </c>
      <c r="Q270" s="675">
        <v>0</v>
      </c>
      <c r="R270" s="549">
        <v>0</v>
      </c>
      <c r="S270" s="675">
        <v>0</v>
      </c>
      <c r="T270" s="549">
        <v>0</v>
      </c>
      <c r="U270" s="675">
        <v>0</v>
      </c>
      <c r="V270" s="549">
        <v>0</v>
      </c>
      <c r="W270" s="675">
        <v>0</v>
      </c>
      <c r="X270" s="549">
        <v>0</v>
      </c>
      <c r="Y270" s="675">
        <v>0</v>
      </c>
      <c r="Z270" s="549">
        <v>0</v>
      </c>
      <c r="AA270" s="675">
        <v>0</v>
      </c>
      <c r="AB270" s="549">
        <v>0</v>
      </c>
      <c r="AC270" s="675">
        <v>0</v>
      </c>
      <c r="AD270" s="549">
        <v>0</v>
      </c>
      <c r="AE270" s="675">
        <v>0</v>
      </c>
      <c r="AF270" s="549">
        <v>0</v>
      </c>
      <c r="AG270" s="675">
        <v>0</v>
      </c>
      <c r="AH270" s="549">
        <v>0</v>
      </c>
      <c r="AI270" s="675">
        <v>0</v>
      </c>
      <c r="AJ270" s="549">
        <v>0</v>
      </c>
      <c r="AK270" s="675">
        <v>0</v>
      </c>
      <c r="AL270" s="549">
        <v>0</v>
      </c>
      <c r="AM270" s="675">
        <v>0</v>
      </c>
      <c r="AN270" s="549">
        <v>0</v>
      </c>
      <c r="AO270" s="675">
        <v>0</v>
      </c>
      <c r="AP270" s="549">
        <v>0</v>
      </c>
      <c r="AQ270" s="675">
        <v>0</v>
      </c>
      <c r="AR270" s="549">
        <v>0</v>
      </c>
      <c r="AS270" s="675">
        <v>0</v>
      </c>
      <c r="AT270" s="549">
        <v>0</v>
      </c>
      <c r="AU270" s="675">
        <v>0</v>
      </c>
      <c r="AV270" s="549">
        <v>0</v>
      </c>
      <c r="AW270" s="675">
        <v>0</v>
      </c>
      <c r="AX270" s="549">
        <v>0</v>
      </c>
      <c r="AY270" s="675">
        <v>0</v>
      </c>
      <c r="AZ270" s="549">
        <v>0</v>
      </c>
      <c r="BA270" s="675">
        <v>0</v>
      </c>
      <c r="BB270" s="549">
        <v>0</v>
      </c>
      <c r="BC270" s="675">
        <v>0</v>
      </c>
      <c r="BD270" s="549">
        <v>0</v>
      </c>
      <c r="BE270" s="675">
        <v>0</v>
      </c>
      <c r="BF270" s="549">
        <v>0</v>
      </c>
      <c r="BG270" s="675">
        <v>0</v>
      </c>
      <c r="BH270" s="549">
        <v>0</v>
      </c>
      <c r="BI270" s="675">
        <v>0</v>
      </c>
      <c r="BJ270" s="549">
        <v>0</v>
      </c>
      <c r="BK270" s="675">
        <v>0</v>
      </c>
      <c r="BL270" s="549">
        <v>0</v>
      </c>
      <c r="BM270" s="675">
        <v>0</v>
      </c>
      <c r="BN270" s="549">
        <v>0</v>
      </c>
      <c r="BO270" s="675">
        <v>0</v>
      </c>
      <c r="BP270" s="549">
        <v>0</v>
      </c>
      <c r="BQ270" s="675">
        <v>0</v>
      </c>
      <c r="BR270" s="549">
        <v>0</v>
      </c>
      <c r="BS270" s="675">
        <v>0</v>
      </c>
      <c r="BT270" s="549">
        <v>0</v>
      </c>
      <c r="BU270" s="675">
        <v>0</v>
      </c>
      <c r="BV270" s="549">
        <v>0</v>
      </c>
      <c r="BW270" s="675">
        <v>0</v>
      </c>
      <c r="BX270" s="549">
        <v>0</v>
      </c>
      <c r="BY270" s="675">
        <v>0</v>
      </c>
      <c r="BZ270" s="549">
        <v>0</v>
      </c>
      <c r="CA270" s="675">
        <v>0</v>
      </c>
      <c r="CB270" s="549">
        <v>0</v>
      </c>
      <c r="CC270" s="675">
        <v>0</v>
      </c>
      <c r="CD270" s="549">
        <v>0</v>
      </c>
      <c r="CE270" s="675">
        <v>0</v>
      </c>
      <c r="CF270" s="549">
        <v>0</v>
      </c>
      <c r="CG270" s="675">
        <v>0</v>
      </c>
      <c r="CH270" s="549">
        <v>0</v>
      </c>
      <c r="CI270" s="675">
        <v>0</v>
      </c>
      <c r="CJ270" s="549">
        <v>0</v>
      </c>
      <c r="CK270" s="675">
        <v>0</v>
      </c>
      <c r="CL270" s="549">
        <v>0</v>
      </c>
      <c r="CM270" s="675">
        <v>0</v>
      </c>
      <c r="CN270" s="549">
        <v>0</v>
      </c>
      <c r="CO270" s="675">
        <v>0</v>
      </c>
      <c r="CP270" s="549">
        <v>0</v>
      </c>
      <c r="CQ270" s="675">
        <v>0</v>
      </c>
      <c r="CR270" s="549">
        <v>0</v>
      </c>
      <c r="CS270" s="675">
        <v>0</v>
      </c>
      <c r="CT270" s="549">
        <v>0</v>
      </c>
      <c r="CU270" s="675">
        <v>0</v>
      </c>
      <c r="CV270" s="549">
        <v>0</v>
      </c>
      <c r="CW270" s="675">
        <v>0</v>
      </c>
      <c r="CX270" s="549">
        <v>0</v>
      </c>
      <c r="CY270" s="675">
        <v>0</v>
      </c>
      <c r="CZ270" s="549">
        <v>0</v>
      </c>
      <c r="DA270" s="675">
        <v>0</v>
      </c>
      <c r="DB270" s="549">
        <v>0</v>
      </c>
      <c r="DC270" s="675">
        <v>0</v>
      </c>
      <c r="DD270" s="549">
        <v>0</v>
      </c>
      <c r="DE270" s="675">
        <v>0</v>
      </c>
      <c r="DF270" s="549">
        <v>0</v>
      </c>
      <c r="DG270" s="675">
        <v>0</v>
      </c>
      <c r="DH270" s="549">
        <v>0</v>
      </c>
      <c r="DI270" s="675">
        <v>0</v>
      </c>
      <c r="DJ270" s="549">
        <v>0</v>
      </c>
      <c r="DK270" s="675">
        <v>0</v>
      </c>
      <c r="DL270" s="549">
        <v>0</v>
      </c>
      <c r="DM270" s="675">
        <v>0</v>
      </c>
      <c r="DN270" s="549">
        <v>0</v>
      </c>
      <c r="DO270" s="675">
        <v>0</v>
      </c>
      <c r="DP270" s="549">
        <v>0</v>
      </c>
      <c r="DQ270" s="675">
        <v>0</v>
      </c>
      <c r="DR270" s="549">
        <v>0</v>
      </c>
      <c r="DS270" s="675">
        <v>0</v>
      </c>
      <c r="DT270" s="549">
        <v>0</v>
      </c>
      <c r="DU270" s="675">
        <v>0</v>
      </c>
      <c r="DV270" s="549">
        <v>0</v>
      </c>
      <c r="DW270" s="675">
        <v>0</v>
      </c>
      <c r="DX270" s="549">
        <v>0</v>
      </c>
      <c r="DY270" s="675">
        <v>0</v>
      </c>
      <c r="DZ270" s="549">
        <v>0</v>
      </c>
      <c r="EA270" s="675">
        <v>0</v>
      </c>
      <c r="EB270" s="549">
        <v>0</v>
      </c>
      <c r="EC270" s="675">
        <v>0</v>
      </c>
      <c r="ED270" s="549">
        <v>0</v>
      </c>
      <c r="EE270" s="675">
        <v>0</v>
      </c>
      <c r="EF270" s="549">
        <v>0</v>
      </c>
      <c r="EG270" s="675">
        <v>0</v>
      </c>
      <c r="EH270" s="549">
        <v>0</v>
      </c>
      <c r="EI270" s="675">
        <v>0</v>
      </c>
      <c r="EJ270" s="549">
        <v>0</v>
      </c>
      <c r="EK270" s="675">
        <v>0</v>
      </c>
      <c r="EL270" s="549">
        <v>0</v>
      </c>
      <c r="EM270" s="675">
        <v>0</v>
      </c>
      <c r="EN270" s="549">
        <v>0</v>
      </c>
      <c r="EO270" s="675">
        <v>0</v>
      </c>
      <c r="EP270" s="549">
        <v>0</v>
      </c>
      <c r="EQ270" s="675">
        <v>0</v>
      </c>
      <c r="ER270" s="549">
        <v>0</v>
      </c>
      <c r="ES270" s="675">
        <v>0</v>
      </c>
      <c r="ET270" s="549">
        <v>0</v>
      </c>
      <c r="EU270" s="675">
        <v>0</v>
      </c>
      <c r="EV270" s="549">
        <v>0</v>
      </c>
      <c r="EW270" s="675">
        <v>0</v>
      </c>
      <c r="EX270" s="549">
        <v>0</v>
      </c>
      <c r="EY270" s="675">
        <v>0</v>
      </c>
      <c r="EZ270" s="549">
        <v>0</v>
      </c>
      <c r="FA270" s="675">
        <v>0</v>
      </c>
      <c r="FB270" s="549">
        <v>0</v>
      </c>
      <c r="FC270" s="675">
        <v>0</v>
      </c>
      <c r="FD270" s="549">
        <v>0</v>
      </c>
      <c r="FE270" s="675">
        <v>0</v>
      </c>
      <c r="FF270" s="549">
        <v>0</v>
      </c>
      <c r="FG270" s="675">
        <v>0</v>
      </c>
      <c r="FH270" s="549">
        <v>0</v>
      </c>
      <c r="FI270" s="675">
        <v>0</v>
      </c>
      <c r="FJ270" s="549">
        <v>0</v>
      </c>
      <c r="FK270" s="675">
        <v>0</v>
      </c>
      <c r="FL270" s="549">
        <v>0</v>
      </c>
      <c r="FM270" s="675">
        <v>0</v>
      </c>
      <c r="FN270" s="549">
        <v>0</v>
      </c>
      <c r="FO270" s="675">
        <v>0</v>
      </c>
      <c r="FP270" s="549">
        <v>0</v>
      </c>
      <c r="FQ270" s="675">
        <v>0</v>
      </c>
      <c r="FR270" s="549">
        <v>0</v>
      </c>
      <c r="FS270" s="675">
        <v>0</v>
      </c>
      <c r="FT270" s="549">
        <v>0</v>
      </c>
      <c r="FU270" s="675">
        <v>0</v>
      </c>
      <c r="FV270" s="549">
        <v>0</v>
      </c>
      <c r="FW270" s="675">
        <v>0</v>
      </c>
      <c r="FX270" s="549">
        <v>0</v>
      </c>
      <c r="FY270" s="675">
        <v>0</v>
      </c>
      <c r="FZ270" s="549">
        <v>0</v>
      </c>
      <c r="GA270" s="675">
        <v>0</v>
      </c>
      <c r="GB270" s="549">
        <v>0</v>
      </c>
      <c r="GC270" s="675">
        <v>0</v>
      </c>
      <c r="GD270" s="549">
        <v>0</v>
      </c>
      <c r="GE270" s="675">
        <v>0</v>
      </c>
      <c r="GF270" s="549">
        <v>0</v>
      </c>
      <c r="GG270" s="675">
        <v>0</v>
      </c>
      <c r="GH270" s="549">
        <v>0</v>
      </c>
      <c r="GI270" s="675">
        <v>0</v>
      </c>
      <c r="GJ270" s="549">
        <v>0</v>
      </c>
      <c r="GK270" s="675">
        <v>0</v>
      </c>
      <c r="GL270" s="549">
        <v>0</v>
      </c>
      <c r="GM270" s="675">
        <v>0</v>
      </c>
      <c r="GN270" s="549">
        <v>0</v>
      </c>
      <c r="GO270" s="675">
        <v>0</v>
      </c>
      <c r="GP270" s="549">
        <f>+D270+F270+H270+J270+L270+N270+P270+R270+T270+V270+X270+Z270+AB270+AD270+AH270+AJ270+AL270+AN270+AP270+AR270+AT270+AV270+AX270+AZ270+BB270+BD270+BF270+BH270+BJ270+BL270+BN270+BP270+BR270+BT270+BV270+BX270+BZ270+CB270+CD270+CF270+CH270+CJ270+CL270+CN270+CP270+CR270+CT270+CV270+CX270+CZ270+DB270+DD270+DF270+DH270+DT270+EX270+DJ270+DL270+DN270+DP270+DR270+EJ270+EB270+DZ270+DX270+DV270+ED270+EF270+EH270+EL270+EN270+EP270+EV270+ET270+ER270+EZ270+FB270+FD270+GL270+FF270+FJ270+FL270+GJ270+FT270+FR270+FP270+FN270+FH270</f>
        <v>0</v>
      </c>
      <c r="GQ270" s="675">
        <f>+E270+G270+I270+K270+M270+O270+Q270+S270+U270+W270+Y270+AA270+AC270+AE270+AI270+AK270+AM270+AO270+AQ270+AS270+AU270+AW270+AY270+BA270+BC270+BE270+BG270+BI270+BK270+BM270+BO270+BQ270+BS270+BU270+BW270+BY270+CA270+CC270+CE270+CG270+CI270+CK270+CM270+CO270+CQ270+CS270+CU270+CW270+CY270+DA270+DC270+DE270+DG270+DI270+DU270+EY270+DK270+DM270+DO270+DQ270+DS270+EK270+EC270+EA270+DY270+DW270+EI270+EG270+EE270+EM270+EO270+EQ270+EW270+EU270+ES270+FA270+FC270+FE270+GM270+FG270+FK270+FM270+FO270+FQ270+FS270+FU270+GK270+FI270</f>
        <v>0</v>
      </c>
      <c r="GR270" s="74">
        <f>C270+GP270+GQ270</f>
        <v>0</v>
      </c>
      <c r="GS270" s="74">
        <f t="shared" ref="GS270" si="8808">SUM(GU270:HE270)+GP270+GQ270</f>
        <v>0</v>
      </c>
      <c r="GT270" s="568">
        <f>SUM(GU270:HF270)+GQ270+GP270</f>
        <v>0</v>
      </c>
      <c r="GU270" s="275">
        <v>0</v>
      </c>
      <c r="GV270" s="275">
        <v>0</v>
      </c>
      <c r="GW270" s="588">
        <v>0</v>
      </c>
      <c r="GX270" s="588">
        <v>0</v>
      </c>
      <c r="GY270" s="275">
        <v>0</v>
      </c>
      <c r="GZ270" s="275">
        <v>0</v>
      </c>
      <c r="HA270" s="275">
        <v>0</v>
      </c>
      <c r="HB270" s="275">
        <v>0</v>
      </c>
      <c r="HC270" s="275">
        <v>0</v>
      </c>
      <c r="HD270" s="275">
        <v>0</v>
      </c>
      <c r="HE270" s="275">
        <v>0</v>
      </c>
      <c r="HF270" s="275">
        <v>0</v>
      </c>
      <c r="HG270" s="74">
        <f>SUM(HH270:IE270)+GP270+GQ270</f>
        <v>0</v>
      </c>
      <c r="HH270" s="89">
        <v>0</v>
      </c>
      <c r="HI270" s="817">
        <v>0</v>
      </c>
      <c r="HJ270" s="89">
        <v>0</v>
      </c>
      <c r="HK270" s="817">
        <v>0</v>
      </c>
      <c r="HL270" s="89">
        <v>0</v>
      </c>
      <c r="HM270" s="817">
        <v>0</v>
      </c>
      <c r="HN270" s="89">
        <v>0</v>
      </c>
      <c r="HO270" s="817">
        <v>0</v>
      </c>
      <c r="HP270" s="89">
        <v>0</v>
      </c>
      <c r="HQ270" s="817">
        <v>0</v>
      </c>
      <c r="HR270" s="89">
        <v>0</v>
      </c>
      <c r="HS270" s="817">
        <v>0</v>
      </c>
      <c r="HT270" s="89">
        <v>0</v>
      </c>
      <c r="HU270" s="817">
        <v>0</v>
      </c>
      <c r="HV270" s="89">
        <v>0</v>
      </c>
      <c r="HW270" s="817">
        <v>0</v>
      </c>
      <c r="HX270" s="89">
        <v>0</v>
      </c>
      <c r="HY270" s="817">
        <v>0</v>
      </c>
      <c r="HZ270" s="89">
        <v>0</v>
      </c>
      <c r="IA270" s="817">
        <v>0</v>
      </c>
      <c r="IB270" s="89">
        <v>0</v>
      </c>
      <c r="IC270" s="817">
        <v>0</v>
      </c>
      <c r="ID270" s="89">
        <v>0</v>
      </c>
      <c r="IE270" s="817">
        <v>0</v>
      </c>
      <c r="IF270" s="841">
        <f t="shared" si="8780"/>
        <v>0</v>
      </c>
      <c r="IG270" s="263">
        <f t="shared" si="8781"/>
        <v>0</v>
      </c>
      <c r="IH270" s="842">
        <f t="shared" si="8782"/>
        <v>0</v>
      </c>
      <c r="II270" s="89">
        <v>0</v>
      </c>
      <c r="IJ270" s="89">
        <f t="shared" si="8783"/>
        <v>0</v>
      </c>
      <c r="IK270" s="89">
        <f t="shared" si="8784"/>
        <v>0</v>
      </c>
      <c r="IL270" s="89">
        <v>0</v>
      </c>
      <c r="IM270" s="89">
        <f t="shared" si="8785"/>
        <v>0</v>
      </c>
      <c r="IN270" s="89">
        <f t="shared" si="8786"/>
        <v>0</v>
      </c>
      <c r="IO270" s="89">
        <v>0</v>
      </c>
      <c r="IP270" s="89">
        <f t="shared" si="8787"/>
        <v>0</v>
      </c>
      <c r="IQ270" s="89">
        <f t="shared" si="8788"/>
        <v>0</v>
      </c>
      <c r="IR270" s="89">
        <v>0</v>
      </c>
      <c r="IS270" s="89">
        <f t="shared" si="8789"/>
        <v>0</v>
      </c>
      <c r="IT270" s="89">
        <f t="shared" si="8790"/>
        <v>0</v>
      </c>
      <c r="IU270" s="89">
        <v>0</v>
      </c>
      <c r="IV270" s="89">
        <f t="shared" si="8791"/>
        <v>0</v>
      </c>
      <c r="IW270" s="89">
        <f t="shared" si="8792"/>
        <v>0</v>
      </c>
      <c r="IX270" s="89">
        <v>0</v>
      </c>
      <c r="IY270" s="89">
        <f t="shared" si="8793"/>
        <v>0</v>
      </c>
      <c r="IZ270" s="89">
        <f t="shared" si="8794"/>
        <v>0</v>
      </c>
      <c r="JA270" s="89">
        <v>0</v>
      </c>
      <c r="JB270" s="89">
        <f t="shared" si="8795"/>
        <v>0</v>
      </c>
      <c r="JC270" s="89">
        <f t="shared" si="8796"/>
        <v>0</v>
      </c>
      <c r="JD270" s="89">
        <v>0</v>
      </c>
      <c r="JE270" s="89">
        <f t="shared" si="8797"/>
        <v>0</v>
      </c>
      <c r="JF270" s="89">
        <f t="shared" si="8798"/>
        <v>0</v>
      </c>
      <c r="JG270" s="89">
        <v>0</v>
      </c>
      <c r="JH270" s="89">
        <f t="shared" si="8799"/>
        <v>0</v>
      </c>
      <c r="JI270" s="89">
        <f t="shared" si="8800"/>
        <v>0</v>
      </c>
      <c r="JJ270" s="89">
        <v>0</v>
      </c>
      <c r="JK270" s="89">
        <f t="shared" si="8801"/>
        <v>0</v>
      </c>
      <c r="JL270" s="89">
        <f t="shared" si="8802"/>
        <v>0</v>
      </c>
      <c r="JM270" s="89">
        <v>0</v>
      </c>
      <c r="JN270" s="89">
        <f t="shared" si="8803"/>
        <v>0</v>
      </c>
      <c r="JO270" s="89">
        <f t="shared" si="8804"/>
        <v>0</v>
      </c>
      <c r="JP270" s="89">
        <v>0</v>
      </c>
      <c r="JQ270" s="89">
        <f t="shared" ref="JQ270:JR270" si="8809">JP270</f>
        <v>0</v>
      </c>
      <c r="JR270" s="89">
        <f t="shared" si="8809"/>
        <v>0</v>
      </c>
      <c r="JS270" s="74">
        <f>HG270-IF270</f>
        <v>0</v>
      </c>
      <c r="JT270" s="382">
        <f>GS270-IF270</f>
        <v>0</v>
      </c>
      <c r="JU270" s="670"/>
      <c r="JV270" s="489"/>
      <c r="JW270" s="490"/>
      <c r="JX270" s="548">
        <f t="shared" si="8806"/>
        <v>0</v>
      </c>
      <c r="JY270" s="548">
        <f t="shared" si="8806"/>
        <v>0</v>
      </c>
      <c r="JZ270" s="581">
        <f t="shared" si="7470"/>
        <v>0</v>
      </c>
      <c r="KA270" s="581">
        <f t="shared" si="7471"/>
        <v>0</v>
      </c>
      <c r="KB270" s="548">
        <f t="shared" si="8622"/>
        <v>0</v>
      </c>
      <c r="KC270" s="709">
        <f t="shared" si="7396"/>
        <v>0</v>
      </c>
      <c r="KD270" s="36"/>
      <c r="KE270" s="36"/>
      <c r="KF270" s="36"/>
      <c r="KG270" s="36"/>
      <c r="KH270" s="36"/>
      <c r="KI270" s="36"/>
      <c r="KJ270" s="36"/>
      <c r="KK270" s="36"/>
    </row>
    <row r="271" spans="1:297" s="10" customFormat="1" ht="12.75" hidden="1" customHeight="1">
      <c r="A271" s="86" t="s">
        <v>562</v>
      </c>
      <c r="B271" s="77"/>
      <c r="C271" s="74">
        <v>0</v>
      </c>
      <c r="D271" s="549">
        <v>0</v>
      </c>
      <c r="E271" s="675">
        <v>0</v>
      </c>
      <c r="F271" s="549">
        <v>0</v>
      </c>
      <c r="G271" s="675">
        <v>0</v>
      </c>
      <c r="H271" s="549">
        <v>0</v>
      </c>
      <c r="I271" s="675">
        <v>0</v>
      </c>
      <c r="J271" s="549">
        <v>0</v>
      </c>
      <c r="K271" s="675">
        <v>0</v>
      </c>
      <c r="L271" s="549">
        <v>0</v>
      </c>
      <c r="M271" s="675">
        <v>0</v>
      </c>
      <c r="N271" s="549">
        <v>0</v>
      </c>
      <c r="O271" s="675">
        <v>0</v>
      </c>
      <c r="P271" s="549">
        <v>0</v>
      </c>
      <c r="Q271" s="675">
        <v>0</v>
      </c>
      <c r="R271" s="549">
        <v>0</v>
      </c>
      <c r="S271" s="675">
        <v>0</v>
      </c>
      <c r="T271" s="549">
        <v>0</v>
      </c>
      <c r="U271" s="675">
        <v>0</v>
      </c>
      <c r="V271" s="549">
        <v>0</v>
      </c>
      <c r="W271" s="675">
        <v>0</v>
      </c>
      <c r="X271" s="549">
        <v>0</v>
      </c>
      <c r="Y271" s="675">
        <v>0</v>
      </c>
      <c r="Z271" s="549">
        <v>0</v>
      </c>
      <c r="AA271" s="675">
        <v>0</v>
      </c>
      <c r="AB271" s="549">
        <v>0</v>
      </c>
      <c r="AC271" s="675">
        <v>0</v>
      </c>
      <c r="AD271" s="549">
        <v>0</v>
      </c>
      <c r="AE271" s="675">
        <v>0</v>
      </c>
      <c r="AF271" s="549">
        <v>0</v>
      </c>
      <c r="AG271" s="675">
        <v>0</v>
      </c>
      <c r="AH271" s="549">
        <v>0</v>
      </c>
      <c r="AI271" s="675">
        <v>0</v>
      </c>
      <c r="AJ271" s="549">
        <v>0</v>
      </c>
      <c r="AK271" s="675">
        <v>0</v>
      </c>
      <c r="AL271" s="549">
        <v>0</v>
      </c>
      <c r="AM271" s="675">
        <v>0</v>
      </c>
      <c r="AN271" s="549">
        <v>0</v>
      </c>
      <c r="AO271" s="675">
        <v>0</v>
      </c>
      <c r="AP271" s="549">
        <v>0</v>
      </c>
      <c r="AQ271" s="675">
        <v>0</v>
      </c>
      <c r="AR271" s="549">
        <v>0</v>
      </c>
      <c r="AS271" s="675">
        <v>0</v>
      </c>
      <c r="AT271" s="549">
        <v>0</v>
      </c>
      <c r="AU271" s="675">
        <v>0</v>
      </c>
      <c r="AV271" s="549">
        <v>0</v>
      </c>
      <c r="AW271" s="675">
        <v>0</v>
      </c>
      <c r="AX271" s="549">
        <v>0</v>
      </c>
      <c r="AY271" s="675">
        <v>0</v>
      </c>
      <c r="AZ271" s="549">
        <v>0</v>
      </c>
      <c r="BA271" s="675">
        <v>0</v>
      </c>
      <c r="BB271" s="549">
        <v>0</v>
      </c>
      <c r="BC271" s="675">
        <v>0</v>
      </c>
      <c r="BD271" s="549">
        <v>0</v>
      </c>
      <c r="BE271" s="675">
        <v>0</v>
      </c>
      <c r="BF271" s="549">
        <v>0</v>
      </c>
      <c r="BG271" s="675">
        <v>0</v>
      </c>
      <c r="BH271" s="549">
        <v>0</v>
      </c>
      <c r="BI271" s="675">
        <v>0</v>
      </c>
      <c r="BJ271" s="549">
        <v>0</v>
      </c>
      <c r="BK271" s="675">
        <v>0</v>
      </c>
      <c r="BL271" s="549">
        <v>0</v>
      </c>
      <c r="BM271" s="675">
        <v>0</v>
      </c>
      <c r="BN271" s="549">
        <v>0</v>
      </c>
      <c r="BO271" s="675">
        <v>0</v>
      </c>
      <c r="BP271" s="549">
        <v>0</v>
      </c>
      <c r="BQ271" s="675">
        <v>0</v>
      </c>
      <c r="BR271" s="549">
        <v>0</v>
      </c>
      <c r="BS271" s="675">
        <v>0</v>
      </c>
      <c r="BT271" s="549">
        <v>0</v>
      </c>
      <c r="BU271" s="675">
        <v>0</v>
      </c>
      <c r="BV271" s="549">
        <v>0</v>
      </c>
      <c r="BW271" s="675">
        <v>0</v>
      </c>
      <c r="BX271" s="549">
        <v>0</v>
      </c>
      <c r="BY271" s="675">
        <v>0</v>
      </c>
      <c r="BZ271" s="549">
        <v>0</v>
      </c>
      <c r="CA271" s="675">
        <v>0</v>
      </c>
      <c r="CB271" s="549">
        <v>0</v>
      </c>
      <c r="CC271" s="675">
        <v>0</v>
      </c>
      <c r="CD271" s="549">
        <v>0</v>
      </c>
      <c r="CE271" s="675">
        <v>0</v>
      </c>
      <c r="CF271" s="549">
        <v>0</v>
      </c>
      <c r="CG271" s="675">
        <v>0</v>
      </c>
      <c r="CH271" s="549">
        <v>0</v>
      </c>
      <c r="CI271" s="675">
        <v>0</v>
      </c>
      <c r="CJ271" s="549">
        <v>0</v>
      </c>
      <c r="CK271" s="675">
        <v>0</v>
      </c>
      <c r="CL271" s="549">
        <v>0</v>
      </c>
      <c r="CM271" s="675">
        <v>0</v>
      </c>
      <c r="CN271" s="549">
        <v>0</v>
      </c>
      <c r="CO271" s="675">
        <v>0</v>
      </c>
      <c r="CP271" s="549">
        <v>0</v>
      </c>
      <c r="CQ271" s="675">
        <v>0</v>
      </c>
      <c r="CR271" s="549">
        <v>0</v>
      </c>
      <c r="CS271" s="675">
        <v>0</v>
      </c>
      <c r="CT271" s="549">
        <v>0</v>
      </c>
      <c r="CU271" s="675">
        <v>0</v>
      </c>
      <c r="CV271" s="549">
        <v>0</v>
      </c>
      <c r="CW271" s="675">
        <v>0</v>
      </c>
      <c r="CX271" s="549">
        <v>0</v>
      </c>
      <c r="CY271" s="675">
        <v>0</v>
      </c>
      <c r="CZ271" s="549">
        <v>0</v>
      </c>
      <c r="DA271" s="675">
        <v>0</v>
      </c>
      <c r="DB271" s="549">
        <v>0</v>
      </c>
      <c r="DC271" s="675">
        <v>0</v>
      </c>
      <c r="DD271" s="549">
        <v>0</v>
      </c>
      <c r="DE271" s="675">
        <v>0</v>
      </c>
      <c r="DF271" s="549">
        <v>0</v>
      </c>
      <c r="DG271" s="675">
        <v>0</v>
      </c>
      <c r="DH271" s="549">
        <v>0</v>
      </c>
      <c r="DI271" s="675">
        <v>0</v>
      </c>
      <c r="DJ271" s="549">
        <v>0</v>
      </c>
      <c r="DK271" s="675">
        <v>0</v>
      </c>
      <c r="DL271" s="549">
        <v>0</v>
      </c>
      <c r="DM271" s="675">
        <v>0</v>
      </c>
      <c r="DN271" s="549">
        <v>0</v>
      </c>
      <c r="DO271" s="675">
        <v>0</v>
      </c>
      <c r="DP271" s="549">
        <v>0</v>
      </c>
      <c r="DQ271" s="675">
        <v>0</v>
      </c>
      <c r="DR271" s="549">
        <v>0</v>
      </c>
      <c r="DS271" s="675">
        <v>0</v>
      </c>
      <c r="DT271" s="549">
        <v>0</v>
      </c>
      <c r="DU271" s="675">
        <v>0</v>
      </c>
      <c r="DV271" s="549">
        <v>0</v>
      </c>
      <c r="DW271" s="675">
        <v>0</v>
      </c>
      <c r="DX271" s="549">
        <v>0</v>
      </c>
      <c r="DY271" s="675">
        <v>0</v>
      </c>
      <c r="DZ271" s="549">
        <v>0</v>
      </c>
      <c r="EA271" s="675">
        <v>0</v>
      </c>
      <c r="EB271" s="549">
        <v>0</v>
      </c>
      <c r="EC271" s="675">
        <v>0</v>
      </c>
      <c r="ED271" s="549">
        <v>0</v>
      </c>
      <c r="EE271" s="675">
        <v>0</v>
      </c>
      <c r="EF271" s="549">
        <v>0</v>
      </c>
      <c r="EG271" s="675">
        <v>0</v>
      </c>
      <c r="EH271" s="549">
        <v>0</v>
      </c>
      <c r="EI271" s="675">
        <v>0</v>
      </c>
      <c r="EJ271" s="549">
        <v>0</v>
      </c>
      <c r="EK271" s="675">
        <v>0</v>
      </c>
      <c r="EL271" s="549">
        <v>0</v>
      </c>
      <c r="EM271" s="675">
        <v>0</v>
      </c>
      <c r="EN271" s="549">
        <v>0</v>
      </c>
      <c r="EO271" s="675">
        <v>0</v>
      </c>
      <c r="EP271" s="549">
        <v>0</v>
      </c>
      <c r="EQ271" s="675">
        <v>0</v>
      </c>
      <c r="ER271" s="549">
        <v>0</v>
      </c>
      <c r="ES271" s="675">
        <v>0</v>
      </c>
      <c r="ET271" s="549">
        <v>0</v>
      </c>
      <c r="EU271" s="675">
        <v>0</v>
      </c>
      <c r="EV271" s="549">
        <v>0</v>
      </c>
      <c r="EW271" s="675">
        <v>0</v>
      </c>
      <c r="EX271" s="549">
        <v>0</v>
      </c>
      <c r="EY271" s="675">
        <v>0</v>
      </c>
      <c r="EZ271" s="549">
        <v>0</v>
      </c>
      <c r="FA271" s="675">
        <v>0</v>
      </c>
      <c r="FB271" s="549">
        <v>0</v>
      </c>
      <c r="FC271" s="675">
        <v>0</v>
      </c>
      <c r="FD271" s="549">
        <v>0</v>
      </c>
      <c r="FE271" s="675">
        <v>0</v>
      </c>
      <c r="FF271" s="549">
        <v>0</v>
      </c>
      <c r="FG271" s="675">
        <v>0</v>
      </c>
      <c r="FH271" s="549">
        <v>0</v>
      </c>
      <c r="FI271" s="675">
        <v>0</v>
      </c>
      <c r="FJ271" s="549">
        <v>0</v>
      </c>
      <c r="FK271" s="675">
        <v>0</v>
      </c>
      <c r="FL271" s="549">
        <v>0</v>
      </c>
      <c r="FM271" s="675">
        <v>0</v>
      </c>
      <c r="FN271" s="549">
        <v>0</v>
      </c>
      <c r="FO271" s="675">
        <v>0</v>
      </c>
      <c r="FP271" s="549">
        <v>0</v>
      </c>
      <c r="FQ271" s="675">
        <v>0</v>
      </c>
      <c r="FR271" s="549">
        <v>0</v>
      </c>
      <c r="FS271" s="675">
        <v>0</v>
      </c>
      <c r="FT271" s="549">
        <v>0</v>
      </c>
      <c r="FU271" s="675">
        <v>0</v>
      </c>
      <c r="FV271" s="549">
        <v>0</v>
      </c>
      <c r="FW271" s="675">
        <v>0</v>
      </c>
      <c r="FX271" s="549">
        <v>0</v>
      </c>
      <c r="FY271" s="675">
        <v>0</v>
      </c>
      <c r="FZ271" s="549">
        <v>0</v>
      </c>
      <c r="GA271" s="675">
        <v>0</v>
      </c>
      <c r="GB271" s="549">
        <v>0</v>
      </c>
      <c r="GC271" s="675">
        <v>0</v>
      </c>
      <c r="GD271" s="549">
        <v>0</v>
      </c>
      <c r="GE271" s="675">
        <v>0</v>
      </c>
      <c r="GF271" s="549">
        <v>0</v>
      </c>
      <c r="GG271" s="675">
        <v>0</v>
      </c>
      <c r="GH271" s="549">
        <v>0</v>
      </c>
      <c r="GI271" s="675">
        <v>0</v>
      </c>
      <c r="GJ271" s="549">
        <v>0</v>
      </c>
      <c r="GK271" s="675">
        <v>0</v>
      </c>
      <c r="GL271" s="549">
        <v>0</v>
      </c>
      <c r="GM271" s="675">
        <v>0</v>
      </c>
      <c r="GN271" s="549">
        <v>0</v>
      </c>
      <c r="GO271" s="675">
        <v>0</v>
      </c>
      <c r="GP271" s="549">
        <f>+D271+F271+H271+J271+L271+N271+P271+R271+T271+V271+X271+Z271+AB271+AD271+AH271+AJ271+AL271+AN271+AP271+AR271+AT271+AV271+AX271+AZ271+BB271+BD271+BF271+BH271+BJ271+BL271+BN271+BP271+BR271+BT271+BV271+BX271+BZ271+CB271+CD271+CF271+CH271+CJ271+CL271+CN271+CP271+CR271+CT271+CV271+CX271+CZ271+DB271+DD271+DF271+DH271+DT271+EX271+DJ271+DL271+DN271+DP271+DR271+EJ271+EB271+DZ271+DX271+DV271+ED271+EF271+EH271+EL271+EN271+EP271+EV271+ET271+ER271+EZ271+FB271+FD271+GL271</f>
        <v>0</v>
      </c>
      <c r="GQ271" s="675">
        <f>+E271+G271+I271+K271+M271+O271+Q271+S271+U271+W271+Y271+AA271+AC271+AE271+AI271+AK271+AM271+AO271+AQ271+AS271+AU271+AW271+AY271+BA271+BC271+BE271+BG271+BI271+BK271+BM271+BO271+BQ271+BS271+BU271+BW271+BY271+CA271+CC271+CE271+CG271+CI271+CK271+CM271+CO271+CQ271+CS271+CU271+CW271+CY271+DA271+DC271+DE271+DG271+DI271+DU271+EY271+DK271+DM271+DO271+DQ271+DS271+EK271+EC271+EA271+DY271+DW271+EI271+EG271+EE271+EM271+EO271+EQ271+EW271+EU271+ES271+FA271+FC271+FE271+GM271</f>
        <v>0</v>
      </c>
      <c r="GR271" s="74">
        <f>C271+GP271+GQ271</f>
        <v>0</v>
      </c>
      <c r="GS271" s="74">
        <f t="shared" ref="GS271" si="8810">GU271</f>
        <v>0</v>
      </c>
      <c r="GT271" s="568">
        <f>SUM(GU271:HF271)+GQ271+GP271</f>
        <v>0</v>
      </c>
      <c r="GU271" s="275">
        <v>0</v>
      </c>
      <c r="GV271" s="275">
        <v>0</v>
      </c>
      <c r="GW271" s="588">
        <v>0</v>
      </c>
      <c r="GX271" s="588">
        <v>0</v>
      </c>
      <c r="GY271" s="275">
        <v>0</v>
      </c>
      <c r="GZ271" s="275">
        <v>0</v>
      </c>
      <c r="HA271" s="275">
        <v>0</v>
      </c>
      <c r="HB271" s="275">
        <v>0</v>
      </c>
      <c r="HC271" s="275">
        <v>0</v>
      </c>
      <c r="HD271" s="275">
        <v>0</v>
      </c>
      <c r="HE271" s="275">
        <v>0</v>
      </c>
      <c r="HF271" s="275">
        <v>0</v>
      </c>
      <c r="HG271" s="74">
        <f>SUM(HH271:IE271)+GP271+GQ271</f>
        <v>0</v>
      </c>
      <c r="HH271" s="89">
        <v>0</v>
      </c>
      <c r="HI271" s="817">
        <v>0</v>
      </c>
      <c r="HJ271" s="89">
        <v>0</v>
      </c>
      <c r="HK271" s="817">
        <v>0</v>
      </c>
      <c r="HL271" s="89">
        <v>0</v>
      </c>
      <c r="HM271" s="817">
        <v>0</v>
      </c>
      <c r="HN271" s="89">
        <v>0</v>
      </c>
      <c r="HO271" s="817">
        <v>0</v>
      </c>
      <c r="HP271" s="89">
        <v>0</v>
      </c>
      <c r="HQ271" s="817">
        <v>0</v>
      </c>
      <c r="HR271" s="89">
        <v>0</v>
      </c>
      <c r="HS271" s="817">
        <v>0</v>
      </c>
      <c r="HT271" s="89">
        <v>0</v>
      </c>
      <c r="HU271" s="817">
        <v>0</v>
      </c>
      <c r="HV271" s="89">
        <v>0</v>
      </c>
      <c r="HW271" s="817">
        <v>0</v>
      </c>
      <c r="HX271" s="89">
        <v>0</v>
      </c>
      <c r="HY271" s="817">
        <v>0</v>
      </c>
      <c r="HZ271" s="89">
        <v>0</v>
      </c>
      <c r="IA271" s="817">
        <v>0</v>
      </c>
      <c r="IB271" s="89">
        <v>0</v>
      </c>
      <c r="IC271" s="817">
        <v>0</v>
      </c>
      <c r="ID271" s="89">
        <v>0</v>
      </c>
      <c r="IE271" s="817">
        <v>0</v>
      </c>
      <c r="IF271" s="841">
        <f t="shared" si="8780"/>
        <v>0</v>
      </c>
      <c r="IG271" s="263">
        <f t="shared" si="8781"/>
        <v>0</v>
      </c>
      <c r="IH271" s="842">
        <f t="shared" si="8782"/>
        <v>0</v>
      </c>
      <c r="II271" s="89">
        <v>0</v>
      </c>
      <c r="IJ271" s="89">
        <v>0</v>
      </c>
      <c r="IK271" s="89">
        <v>0</v>
      </c>
      <c r="IL271" s="89">
        <v>0</v>
      </c>
      <c r="IM271" s="89">
        <v>0</v>
      </c>
      <c r="IN271" s="89">
        <v>0</v>
      </c>
      <c r="IO271" s="89">
        <v>0</v>
      </c>
      <c r="IP271" s="89">
        <v>0</v>
      </c>
      <c r="IQ271" s="89">
        <v>0</v>
      </c>
      <c r="IR271" s="89">
        <v>0</v>
      </c>
      <c r="IS271" s="89">
        <v>0</v>
      </c>
      <c r="IT271" s="89">
        <v>0</v>
      </c>
      <c r="IU271" s="89">
        <v>0</v>
      </c>
      <c r="IV271" s="89">
        <v>0</v>
      </c>
      <c r="IW271" s="89">
        <v>0</v>
      </c>
      <c r="IX271" s="89">
        <v>0</v>
      </c>
      <c r="IY271" s="89">
        <v>0</v>
      </c>
      <c r="IZ271" s="89">
        <v>0</v>
      </c>
      <c r="JA271" s="89">
        <v>0</v>
      </c>
      <c r="JB271" s="89">
        <v>0</v>
      </c>
      <c r="JC271" s="89">
        <v>0</v>
      </c>
      <c r="JD271" s="89">
        <v>0</v>
      </c>
      <c r="JE271" s="89">
        <v>0</v>
      </c>
      <c r="JF271" s="89">
        <v>0</v>
      </c>
      <c r="JG271" s="89">
        <v>0</v>
      </c>
      <c r="JH271" s="89">
        <v>0</v>
      </c>
      <c r="JI271" s="89">
        <v>0</v>
      </c>
      <c r="JJ271" s="89">
        <v>0</v>
      </c>
      <c r="JK271" s="89">
        <v>0</v>
      </c>
      <c r="JL271" s="89">
        <v>0</v>
      </c>
      <c r="JM271" s="89">
        <v>0</v>
      </c>
      <c r="JN271" s="89">
        <v>0</v>
      </c>
      <c r="JO271" s="89">
        <v>0</v>
      </c>
      <c r="JP271" s="89">
        <v>0</v>
      </c>
      <c r="JQ271" s="89">
        <v>0</v>
      </c>
      <c r="JR271" s="89">
        <v>0</v>
      </c>
      <c r="JS271" s="74">
        <f>HG271-IF271</f>
        <v>0</v>
      </c>
      <c r="JT271" s="382">
        <f>GS271-IF271</f>
        <v>0</v>
      </c>
      <c r="JU271" s="670"/>
      <c r="JV271" s="489"/>
      <c r="JW271" s="490"/>
      <c r="JX271" s="548">
        <f t="shared" si="8806"/>
        <v>0</v>
      </c>
      <c r="JY271" s="548">
        <f t="shared" si="8806"/>
        <v>0</v>
      </c>
      <c r="JZ271" s="581">
        <f t="shared" si="7470"/>
        <v>0</v>
      </c>
      <c r="KA271" s="581">
        <f t="shared" si="7471"/>
        <v>0</v>
      </c>
      <c r="KB271" s="548">
        <f t="shared" si="8622"/>
        <v>0</v>
      </c>
      <c r="KC271" s="709">
        <f t="shared" si="7396"/>
        <v>0</v>
      </c>
      <c r="KD271" s="36"/>
      <c r="KE271" s="36"/>
      <c r="KF271" s="36"/>
      <c r="KG271" s="36"/>
      <c r="KH271" s="36"/>
      <c r="KI271" s="36"/>
      <c r="KJ271" s="36"/>
      <c r="KK271" s="36"/>
    </row>
    <row r="272" spans="1:297" s="10" customFormat="1" ht="12.75" customHeight="1">
      <c r="A272" s="86"/>
      <c r="B272" s="77"/>
      <c r="C272" s="74"/>
      <c r="D272" s="549"/>
      <c r="E272" s="675"/>
      <c r="F272" s="549"/>
      <c r="G272" s="675"/>
      <c r="H272" s="549"/>
      <c r="I272" s="675"/>
      <c r="J272" s="549"/>
      <c r="K272" s="675"/>
      <c r="L272" s="549"/>
      <c r="M272" s="675"/>
      <c r="N272" s="549"/>
      <c r="O272" s="675"/>
      <c r="P272" s="549"/>
      <c r="Q272" s="675"/>
      <c r="R272" s="549"/>
      <c r="S272" s="675"/>
      <c r="T272" s="549"/>
      <c r="U272" s="675"/>
      <c r="V272" s="549"/>
      <c r="W272" s="675"/>
      <c r="X272" s="549"/>
      <c r="Y272" s="675"/>
      <c r="Z272" s="549"/>
      <c r="AA272" s="675"/>
      <c r="AB272" s="549"/>
      <c r="AC272" s="675"/>
      <c r="AD272" s="549"/>
      <c r="AE272" s="675"/>
      <c r="AF272" s="549"/>
      <c r="AG272" s="675"/>
      <c r="AH272" s="549"/>
      <c r="AI272" s="675"/>
      <c r="AJ272" s="549"/>
      <c r="AK272" s="675"/>
      <c r="AL272" s="549"/>
      <c r="AM272" s="675"/>
      <c r="AN272" s="549"/>
      <c r="AO272" s="675"/>
      <c r="AP272" s="549"/>
      <c r="AQ272" s="675"/>
      <c r="AR272" s="549"/>
      <c r="AS272" s="675"/>
      <c r="AT272" s="549"/>
      <c r="AU272" s="675"/>
      <c r="AV272" s="549"/>
      <c r="AW272" s="675"/>
      <c r="AX272" s="549"/>
      <c r="AY272" s="675"/>
      <c r="AZ272" s="549"/>
      <c r="BA272" s="675"/>
      <c r="BB272" s="549"/>
      <c r="BC272" s="675"/>
      <c r="BD272" s="549"/>
      <c r="BE272" s="675"/>
      <c r="BF272" s="549"/>
      <c r="BG272" s="675"/>
      <c r="BH272" s="549"/>
      <c r="BI272" s="675"/>
      <c r="BJ272" s="549"/>
      <c r="BK272" s="675"/>
      <c r="BL272" s="549"/>
      <c r="BM272" s="675"/>
      <c r="BN272" s="549"/>
      <c r="BO272" s="675"/>
      <c r="BP272" s="549"/>
      <c r="BQ272" s="675"/>
      <c r="BR272" s="549"/>
      <c r="BS272" s="675"/>
      <c r="BT272" s="549"/>
      <c r="BU272" s="675"/>
      <c r="BV272" s="549"/>
      <c r="BW272" s="675"/>
      <c r="BX272" s="549"/>
      <c r="BY272" s="675"/>
      <c r="BZ272" s="549"/>
      <c r="CA272" s="675"/>
      <c r="CB272" s="549"/>
      <c r="CC272" s="675"/>
      <c r="CD272" s="549"/>
      <c r="CE272" s="675"/>
      <c r="CF272" s="549"/>
      <c r="CG272" s="675"/>
      <c r="CH272" s="549"/>
      <c r="CI272" s="675"/>
      <c r="CJ272" s="549"/>
      <c r="CK272" s="675"/>
      <c r="CL272" s="549"/>
      <c r="CM272" s="675"/>
      <c r="CN272" s="549"/>
      <c r="CO272" s="675"/>
      <c r="CP272" s="549"/>
      <c r="CQ272" s="675"/>
      <c r="CR272" s="549"/>
      <c r="CS272" s="675"/>
      <c r="CT272" s="549"/>
      <c r="CU272" s="675"/>
      <c r="CV272" s="549"/>
      <c r="CW272" s="675"/>
      <c r="CX272" s="549"/>
      <c r="CY272" s="675"/>
      <c r="CZ272" s="549"/>
      <c r="DA272" s="675"/>
      <c r="DB272" s="549"/>
      <c r="DC272" s="675"/>
      <c r="DD272" s="549"/>
      <c r="DE272" s="675"/>
      <c r="DF272" s="549"/>
      <c r="DG272" s="675"/>
      <c r="DH272" s="549"/>
      <c r="DI272" s="675"/>
      <c r="DJ272" s="549"/>
      <c r="DK272" s="675"/>
      <c r="DL272" s="549"/>
      <c r="DM272" s="675"/>
      <c r="DN272" s="549"/>
      <c r="DO272" s="675"/>
      <c r="DP272" s="549"/>
      <c r="DQ272" s="675"/>
      <c r="DR272" s="549"/>
      <c r="DS272" s="675"/>
      <c r="DT272" s="549"/>
      <c r="DU272" s="675"/>
      <c r="DV272" s="549"/>
      <c r="DW272" s="675"/>
      <c r="DX272" s="549"/>
      <c r="DY272" s="675"/>
      <c r="DZ272" s="549"/>
      <c r="EA272" s="675"/>
      <c r="EB272" s="549"/>
      <c r="EC272" s="675"/>
      <c r="ED272" s="549"/>
      <c r="EE272" s="675"/>
      <c r="EF272" s="549"/>
      <c r="EG272" s="675"/>
      <c r="EH272" s="549"/>
      <c r="EI272" s="675"/>
      <c r="EJ272" s="549"/>
      <c r="EK272" s="675"/>
      <c r="EL272" s="549"/>
      <c r="EM272" s="675"/>
      <c r="EN272" s="549"/>
      <c r="EO272" s="675"/>
      <c r="EP272" s="549"/>
      <c r="EQ272" s="675"/>
      <c r="ER272" s="549"/>
      <c r="ES272" s="675"/>
      <c r="ET272" s="549"/>
      <c r="EU272" s="675"/>
      <c r="EV272" s="549"/>
      <c r="EW272" s="675"/>
      <c r="EX272" s="549"/>
      <c r="EY272" s="675"/>
      <c r="EZ272" s="549"/>
      <c r="FA272" s="675"/>
      <c r="FB272" s="549"/>
      <c r="FC272" s="675"/>
      <c r="FD272" s="549"/>
      <c r="FE272" s="675"/>
      <c r="FF272" s="549"/>
      <c r="FG272" s="675"/>
      <c r="FH272" s="549"/>
      <c r="FI272" s="675"/>
      <c r="FJ272" s="549"/>
      <c r="FK272" s="675"/>
      <c r="FL272" s="549"/>
      <c r="FM272" s="675"/>
      <c r="FN272" s="549"/>
      <c r="FO272" s="675"/>
      <c r="FP272" s="549"/>
      <c r="FQ272" s="675"/>
      <c r="FR272" s="549"/>
      <c r="FS272" s="675"/>
      <c r="FT272" s="549"/>
      <c r="FU272" s="675"/>
      <c r="FV272" s="549"/>
      <c r="FW272" s="675"/>
      <c r="FX272" s="549"/>
      <c r="FY272" s="675"/>
      <c r="FZ272" s="549"/>
      <c r="GA272" s="675"/>
      <c r="GB272" s="549"/>
      <c r="GC272" s="675"/>
      <c r="GD272" s="549"/>
      <c r="GE272" s="675"/>
      <c r="GF272" s="549"/>
      <c r="GG272" s="675"/>
      <c r="GH272" s="549"/>
      <c r="GI272" s="675"/>
      <c r="GJ272" s="549"/>
      <c r="GK272" s="675"/>
      <c r="GL272" s="549"/>
      <c r="GM272" s="675"/>
      <c r="GN272" s="549"/>
      <c r="GO272" s="675"/>
      <c r="GP272" s="549"/>
      <c r="GQ272" s="675"/>
      <c r="GR272" s="74"/>
      <c r="GS272" s="74"/>
      <c r="GT272" s="549"/>
      <c r="GU272" s="73"/>
      <c r="GV272" s="73"/>
      <c r="GW272" s="549"/>
      <c r="GX272" s="549"/>
      <c r="GY272" s="73"/>
      <c r="GZ272" s="73"/>
      <c r="HA272" s="73"/>
      <c r="HB272" s="73"/>
      <c r="HC272" s="73"/>
      <c r="HD272" s="73"/>
      <c r="HE272" s="73"/>
      <c r="HF272" s="73"/>
      <c r="HG272" s="74"/>
      <c r="HH272" s="73"/>
      <c r="HI272" s="815"/>
      <c r="HJ272" s="73"/>
      <c r="HK272" s="815"/>
      <c r="HL272" s="73"/>
      <c r="HM272" s="815"/>
      <c r="HN272" s="73"/>
      <c r="HO272" s="815"/>
      <c r="HP272" s="73"/>
      <c r="HQ272" s="815"/>
      <c r="HR272" s="73"/>
      <c r="HS272" s="815"/>
      <c r="HT272" s="73"/>
      <c r="HU272" s="815"/>
      <c r="HV272" s="73"/>
      <c r="HW272" s="815"/>
      <c r="HX272" s="73"/>
      <c r="HY272" s="815"/>
      <c r="HZ272" s="73"/>
      <c r="IA272" s="815"/>
      <c r="IB272" s="73"/>
      <c r="IC272" s="815"/>
      <c r="ID272" s="73"/>
      <c r="IE272" s="815"/>
      <c r="IF272" s="841"/>
      <c r="IG272" s="263"/>
      <c r="IH272" s="842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  <c r="JD272" s="73"/>
      <c r="JE272" s="73"/>
      <c r="JF272" s="73"/>
      <c r="JG272" s="73"/>
      <c r="JH272" s="73"/>
      <c r="JI272" s="73"/>
      <c r="JJ272" s="73"/>
      <c r="JK272" s="73"/>
      <c r="JL272" s="73"/>
      <c r="JM272" s="73"/>
      <c r="JN272" s="73"/>
      <c r="JO272" s="73"/>
      <c r="JP272" s="73"/>
      <c r="JQ272" s="73"/>
      <c r="JR272" s="73"/>
      <c r="JS272" s="74"/>
      <c r="JT272" s="382"/>
      <c r="JU272" s="670"/>
      <c r="JV272" s="492"/>
      <c r="JW272" s="490"/>
      <c r="JX272" s="548"/>
      <c r="JY272" s="548"/>
      <c r="JZ272" s="581">
        <f t="shared" si="7470"/>
        <v>0</v>
      </c>
      <c r="KA272" s="581">
        <f t="shared" si="7471"/>
        <v>0</v>
      </c>
      <c r="KB272" s="548">
        <f t="shared" si="8622"/>
        <v>0</v>
      </c>
      <c r="KC272" s="709">
        <f t="shared" si="7396"/>
        <v>0</v>
      </c>
      <c r="KD272" s="36"/>
      <c r="KE272" s="36"/>
      <c r="KF272" s="36"/>
      <c r="KG272" s="36"/>
      <c r="KH272" s="36"/>
      <c r="KI272" s="36"/>
      <c r="KJ272" s="36"/>
      <c r="KK272" s="36"/>
    </row>
    <row r="273" spans="1:297" s="10" customFormat="1" ht="12.75" customHeight="1">
      <c r="A273" s="80" t="s">
        <v>558</v>
      </c>
      <c r="B273" s="77"/>
      <c r="C273" s="74">
        <f>SUM(+C279)+C275+C305+C288+C293</f>
        <v>1013700</v>
      </c>
      <c r="D273" s="549">
        <f t="shared" ref="D273:E273" si="8811">SUM(+D279)+D275+D305+D288+D293+D302+D298</f>
        <v>0</v>
      </c>
      <c r="E273" s="675">
        <f t="shared" si="8811"/>
        <v>0</v>
      </c>
      <c r="F273" s="549">
        <f t="shared" ref="F273:G273" si="8812">SUM(+F279)+F275+F305+F288+F293+F302+F298</f>
        <v>0</v>
      </c>
      <c r="G273" s="675">
        <f t="shared" si="8812"/>
        <v>0</v>
      </c>
      <c r="H273" s="549">
        <f t="shared" ref="H273:I273" si="8813">SUM(+H279)+H275+H305+H288+H293+H302+H298</f>
        <v>0</v>
      </c>
      <c r="I273" s="675">
        <f t="shared" si="8813"/>
        <v>0</v>
      </c>
      <c r="J273" s="549">
        <f t="shared" ref="J273:K273" si="8814">SUM(+J279)+J275+J305+J288+J293+J302+J298</f>
        <v>0</v>
      </c>
      <c r="K273" s="675">
        <f t="shared" si="8814"/>
        <v>0</v>
      </c>
      <c r="L273" s="549">
        <f t="shared" ref="L273:M273" si="8815">SUM(+L279)+L275+L305+L288+L293+L302+L298</f>
        <v>0</v>
      </c>
      <c r="M273" s="675">
        <f t="shared" si="8815"/>
        <v>0</v>
      </c>
      <c r="N273" s="549">
        <f t="shared" ref="N273:O273" si="8816">SUM(+N279)+N275+N305+N288+N293+N302+N298</f>
        <v>0</v>
      </c>
      <c r="O273" s="675">
        <f t="shared" si="8816"/>
        <v>0</v>
      </c>
      <c r="P273" s="549">
        <f t="shared" ref="P273:Q273" si="8817">SUM(+P279)+P275+P305+P288+P293+P302+P298</f>
        <v>0</v>
      </c>
      <c r="Q273" s="675">
        <f t="shared" si="8817"/>
        <v>0</v>
      </c>
      <c r="R273" s="549">
        <f t="shared" ref="R273:S273" si="8818">SUM(+R279)+R275+R305+R288+R293+R302+R298</f>
        <v>0</v>
      </c>
      <c r="S273" s="675">
        <f t="shared" si="8818"/>
        <v>0</v>
      </c>
      <c r="T273" s="549">
        <f t="shared" ref="T273:U273" si="8819">SUM(+T279)+T275+T305+T288+T293+T302+T298</f>
        <v>0</v>
      </c>
      <c r="U273" s="675">
        <f t="shared" si="8819"/>
        <v>0</v>
      </c>
      <c r="V273" s="549">
        <f t="shared" ref="V273:W273" si="8820">SUM(+V279)+V275+V305+V288+V293+V302+V298</f>
        <v>0</v>
      </c>
      <c r="W273" s="675">
        <f t="shared" si="8820"/>
        <v>0</v>
      </c>
      <c r="X273" s="549">
        <f t="shared" ref="X273:Y273" si="8821">SUM(+X279)+X275+X305+X288+X293+X302+X298</f>
        <v>0</v>
      </c>
      <c r="Y273" s="675">
        <f t="shared" si="8821"/>
        <v>0</v>
      </c>
      <c r="Z273" s="549">
        <f t="shared" ref="Z273:AA273" si="8822">SUM(+Z279)+Z275+Z305+Z288+Z293+Z302+Z298</f>
        <v>0</v>
      </c>
      <c r="AA273" s="675">
        <f t="shared" si="8822"/>
        <v>0</v>
      </c>
      <c r="AB273" s="549">
        <f t="shared" ref="AB273:AC273" si="8823">SUM(+AB279)+AB275+AB305+AB288+AB293+AB302+AB298</f>
        <v>0</v>
      </c>
      <c r="AC273" s="675">
        <f t="shared" si="8823"/>
        <v>0</v>
      </c>
      <c r="AD273" s="549">
        <f t="shared" ref="AD273:AE273" si="8824">SUM(+AD279)+AD275+AD305+AD288+AD293+AD302+AD298</f>
        <v>0</v>
      </c>
      <c r="AE273" s="675">
        <f t="shared" si="8824"/>
        <v>0</v>
      </c>
      <c r="AF273" s="549">
        <f t="shared" ref="AF273:AI273" si="8825">SUM(+AF279)+AF275+AF305+AF288+AF293+AF302+AF298</f>
        <v>0</v>
      </c>
      <c r="AG273" s="675">
        <f t="shared" si="8825"/>
        <v>0</v>
      </c>
      <c r="AH273" s="549">
        <f t="shared" si="8825"/>
        <v>0</v>
      </c>
      <c r="AI273" s="675">
        <f t="shared" si="8825"/>
        <v>0</v>
      </c>
      <c r="AJ273" s="549">
        <f t="shared" ref="AJ273:AK273" si="8826">SUM(+AJ279)+AJ275+AJ305+AJ288+AJ293+AJ302+AJ298</f>
        <v>0</v>
      </c>
      <c r="AK273" s="675">
        <f t="shared" si="8826"/>
        <v>0</v>
      </c>
      <c r="AL273" s="549">
        <f t="shared" ref="AL273:AM273" si="8827">SUM(+AL279)+AL275+AL305+AL288+AL293+AL302+AL298</f>
        <v>0</v>
      </c>
      <c r="AM273" s="675">
        <f t="shared" si="8827"/>
        <v>0</v>
      </c>
      <c r="AN273" s="549">
        <f t="shared" ref="AN273:AO273" si="8828">SUM(+AN279)+AN275+AN305+AN288+AN293+AN302+AN298</f>
        <v>0</v>
      </c>
      <c r="AO273" s="675">
        <f t="shared" si="8828"/>
        <v>0</v>
      </c>
      <c r="AP273" s="549">
        <f t="shared" ref="AP273:AQ273" si="8829">SUM(+AP279)+AP275+AP305+AP288+AP293+AP302+AP298</f>
        <v>0</v>
      </c>
      <c r="AQ273" s="675">
        <f t="shared" si="8829"/>
        <v>0</v>
      </c>
      <c r="AR273" s="549">
        <f t="shared" ref="AR273:AS273" si="8830">SUM(+AR279)+AR275+AR305+AR288+AR293+AR302+AR298</f>
        <v>0</v>
      </c>
      <c r="AS273" s="675">
        <f t="shared" si="8830"/>
        <v>0</v>
      </c>
      <c r="AT273" s="549">
        <f t="shared" ref="AT273:AU273" si="8831">SUM(+AT279)+AT275+AT305+AT288+AT293+AT302+AT298</f>
        <v>0</v>
      </c>
      <c r="AU273" s="675">
        <f t="shared" si="8831"/>
        <v>0</v>
      </c>
      <c r="AV273" s="549">
        <f t="shared" ref="AV273:AW273" si="8832">SUM(+AV279)+AV275+AV305+AV288+AV293+AV302+AV298</f>
        <v>0</v>
      </c>
      <c r="AW273" s="675">
        <f t="shared" si="8832"/>
        <v>0</v>
      </c>
      <c r="AX273" s="549">
        <f t="shared" ref="AX273:AY273" si="8833">SUM(+AX279)+AX275+AX305+AX288+AX293+AX302+AX298</f>
        <v>0</v>
      </c>
      <c r="AY273" s="675">
        <f t="shared" si="8833"/>
        <v>0</v>
      </c>
      <c r="AZ273" s="549">
        <f t="shared" ref="AZ273:BA273" si="8834">SUM(+AZ279)+AZ275+AZ305+AZ288+AZ293+AZ302+AZ298</f>
        <v>0</v>
      </c>
      <c r="BA273" s="675">
        <f t="shared" si="8834"/>
        <v>0</v>
      </c>
      <c r="BB273" s="549">
        <f t="shared" ref="BB273:BC273" si="8835">SUM(+BB279)+BB275+BB305+BB288+BB293+BB302+BB298</f>
        <v>0</v>
      </c>
      <c r="BC273" s="675">
        <f t="shared" si="8835"/>
        <v>0</v>
      </c>
      <c r="BD273" s="549">
        <f t="shared" ref="BD273:BE273" si="8836">SUM(+BD279)+BD275+BD305+BD288+BD293+BD302+BD298</f>
        <v>0</v>
      </c>
      <c r="BE273" s="675">
        <f t="shared" si="8836"/>
        <v>0</v>
      </c>
      <c r="BF273" s="549">
        <f t="shared" ref="BF273:BG273" si="8837">SUM(+BF279)+BF275+BF305+BF288+BF293+BF302+BF298</f>
        <v>0</v>
      </c>
      <c r="BG273" s="675">
        <f t="shared" si="8837"/>
        <v>0</v>
      </c>
      <c r="BH273" s="549">
        <f t="shared" ref="BH273:BI273" si="8838">SUM(+BH279)+BH275+BH305+BH288+BH293+BH302+BH298</f>
        <v>0</v>
      </c>
      <c r="BI273" s="675">
        <f t="shared" si="8838"/>
        <v>0</v>
      </c>
      <c r="BJ273" s="549">
        <f t="shared" ref="BJ273:BK273" si="8839">SUM(+BJ279)+BJ275+BJ305+BJ288+BJ293+BJ302+BJ298</f>
        <v>0</v>
      </c>
      <c r="BK273" s="675">
        <f t="shared" si="8839"/>
        <v>0</v>
      </c>
      <c r="BL273" s="549">
        <f t="shared" ref="BL273:BM273" si="8840">SUM(+BL279)+BL275+BL305+BL288+BL293+BL302+BL298</f>
        <v>0</v>
      </c>
      <c r="BM273" s="675">
        <f t="shared" si="8840"/>
        <v>0</v>
      </c>
      <c r="BN273" s="549">
        <f t="shared" ref="BN273:BO273" si="8841">SUM(+BN279)+BN275+BN305+BN288+BN293+BN302+BN298</f>
        <v>0</v>
      </c>
      <c r="BO273" s="675">
        <f t="shared" si="8841"/>
        <v>0</v>
      </c>
      <c r="BP273" s="549">
        <f t="shared" ref="BP273:BQ273" si="8842">SUM(+BP279)+BP275+BP305+BP288+BP293+BP302+BP298</f>
        <v>0</v>
      </c>
      <c r="BQ273" s="675">
        <f t="shared" si="8842"/>
        <v>0</v>
      </c>
      <c r="BR273" s="549">
        <f t="shared" ref="BR273:BS273" si="8843">SUM(+BR279)+BR275+BR305+BR288+BR293+BR302+BR298</f>
        <v>0</v>
      </c>
      <c r="BS273" s="675">
        <f t="shared" si="8843"/>
        <v>0</v>
      </c>
      <c r="BT273" s="549">
        <f t="shared" ref="BT273:BU273" si="8844">SUM(+BT279)+BT275+BT305+BT288+BT293+BT302+BT298</f>
        <v>0</v>
      </c>
      <c r="BU273" s="675">
        <f t="shared" si="8844"/>
        <v>0</v>
      </c>
      <c r="BV273" s="549">
        <f t="shared" ref="BV273:BW273" si="8845">SUM(+BV279)+BV275+BV305+BV288+BV293+BV302+BV298</f>
        <v>0</v>
      </c>
      <c r="BW273" s="675">
        <f t="shared" si="8845"/>
        <v>0</v>
      </c>
      <c r="BX273" s="549">
        <f t="shared" ref="BX273:BY273" si="8846">SUM(+BX279)+BX275+BX305+BX288+BX293+BX302+BX298</f>
        <v>0</v>
      </c>
      <c r="BY273" s="675">
        <f t="shared" si="8846"/>
        <v>0</v>
      </c>
      <c r="BZ273" s="549">
        <f t="shared" ref="BZ273:CA273" si="8847">SUM(+BZ279)+BZ275+BZ305+BZ288+BZ293+BZ302+BZ298</f>
        <v>0</v>
      </c>
      <c r="CA273" s="675">
        <f t="shared" si="8847"/>
        <v>0</v>
      </c>
      <c r="CB273" s="549">
        <f t="shared" ref="CB273:CC273" si="8848">SUM(+CB279)+CB275+CB305+CB288+CB293+CB302+CB298</f>
        <v>0</v>
      </c>
      <c r="CC273" s="675">
        <f t="shared" si="8848"/>
        <v>0</v>
      </c>
      <c r="CD273" s="549">
        <f t="shared" ref="CD273:CE273" si="8849">SUM(+CD279)+CD275+CD305+CD288+CD293+CD302+CD298</f>
        <v>0</v>
      </c>
      <c r="CE273" s="675">
        <f t="shared" si="8849"/>
        <v>0</v>
      </c>
      <c r="CF273" s="549">
        <f t="shared" ref="CF273:CG273" si="8850">SUM(+CF279)+CF275+CF305+CF288+CF293+CF302+CF298</f>
        <v>0</v>
      </c>
      <c r="CG273" s="675">
        <f t="shared" si="8850"/>
        <v>0</v>
      </c>
      <c r="CH273" s="549">
        <f t="shared" ref="CH273:CI273" si="8851">SUM(+CH279)+CH275+CH305+CH288+CH293+CH302+CH298</f>
        <v>0</v>
      </c>
      <c r="CI273" s="675">
        <f t="shared" si="8851"/>
        <v>0</v>
      </c>
      <c r="CJ273" s="549">
        <f t="shared" ref="CJ273:CK273" si="8852">SUM(+CJ279)+CJ275+CJ305+CJ288+CJ293+CJ302+CJ298</f>
        <v>0</v>
      </c>
      <c r="CK273" s="675">
        <f t="shared" si="8852"/>
        <v>0</v>
      </c>
      <c r="CL273" s="549">
        <f t="shared" ref="CL273:CM273" si="8853">SUM(+CL279)+CL275+CL305+CL288+CL293+CL302+CL298</f>
        <v>0</v>
      </c>
      <c r="CM273" s="675">
        <f t="shared" si="8853"/>
        <v>0</v>
      </c>
      <c r="CN273" s="549">
        <f t="shared" ref="CN273:CO273" si="8854">SUM(+CN279)+CN275+CN305+CN288+CN293+CN302+CN298</f>
        <v>0</v>
      </c>
      <c r="CO273" s="675">
        <f t="shared" si="8854"/>
        <v>0</v>
      </c>
      <c r="CP273" s="549">
        <f t="shared" ref="CP273:CQ273" si="8855">SUM(+CP279)+CP275+CP305+CP288+CP293+CP302+CP298</f>
        <v>0</v>
      </c>
      <c r="CQ273" s="675">
        <f t="shared" si="8855"/>
        <v>0</v>
      </c>
      <c r="CR273" s="549">
        <f t="shared" ref="CR273:CS273" si="8856">SUM(+CR279)+CR275+CR305+CR288+CR293+CR302+CR298</f>
        <v>0</v>
      </c>
      <c r="CS273" s="675">
        <f t="shared" si="8856"/>
        <v>0</v>
      </c>
      <c r="CT273" s="549">
        <f t="shared" ref="CT273:CU273" si="8857">SUM(+CT279)+CT275+CT305+CT288+CT293+CT302+CT298</f>
        <v>0</v>
      </c>
      <c r="CU273" s="675">
        <f t="shared" si="8857"/>
        <v>0</v>
      </c>
      <c r="CV273" s="549">
        <f t="shared" ref="CV273:CW273" si="8858">SUM(+CV279)+CV275+CV305+CV288+CV293+CV302+CV298</f>
        <v>0</v>
      </c>
      <c r="CW273" s="675">
        <f t="shared" si="8858"/>
        <v>0</v>
      </c>
      <c r="CX273" s="549">
        <f t="shared" ref="CX273:CY273" si="8859">SUM(+CX279)+CX275+CX305+CX288+CX293+CX302+CX298</f>
        <v>0</v>
      </c>
      <c r="CY273" s="675">
        <f t="shared" si="8859"/>
        <v>0</v>
      </c>
      <c r="CZ273" s="549">
        <f t="shared" ref="CZ273:DA273" si="8860">SUM(+CZ279)+CZ275+CZ305+CZ288+CZ293+CZ302+CZ298</f>
        <v>0</v>
      </c>
      <c r="DA273" s="675">
        <f t="shared" si="8860"/>
        <v>0</v>
      </c>
      <c r="DB273" s="549">
        <f t="shared" ref="DB273:DC273" si="8861">SUM(+DB279)+DB275+DB305+DB288+DB293+DB302+DB298</f>
        <v>0</v>
      </c>
      <c r="DC273" s="675">
        <f t="shared" si="8861"/>
        <v>0</v>
      </c>
      <c r="DD273" s="549">
        <f t="shared" ref="DD273:DE273" si="8862">SUM(+DD279)+DD275+DD305+DD288+DD293+DD302+DD298</f>
        <v>0</v>
      </c>
      <c r="DE273" s="675">
        <f t="shared" si="8862"/>
        <v>0</v>
      </c>
      <c r="DF273" s="549">
        <f t="shared" ref="DF273:DG273" si="8863">SUM(+DF279)+DF275+DF305+DF288+DF293+DF302+DF298</f>
        <v>100000</v>
      </c>
      <c r="DG273" s="675">
        <f t="shared" si="8863"/>
        <v>-100000</v>
      </c>
      <c r="DH273" s="549">
        <f t="shared" ref="DH273:DI273" si="8864">SUM(+DH279)+DH275+DH305+DH288+DH293+DH302+DH298</f>
        <v>0</v>
      </c>
      <c r="DI273" s="675">
        <f t="shared" si="8864"/>
        <v>0</v>
      </c>
      <c r="DJ273" s="549">
        <f t="shared" ref="DJ273:DK273" si="8865">SUM(+DJ279)+DJ275+DJ305+DJ288+DJ293+DJ302+DJ298</f>
        <v>0</v>
      </c>
      <c r="DK273" s="675">
        <f t="shared" si="8865"/>
        <v>0</v>
      </c>
      <c r="DL273" s="549">
        <f t="shared" ref="DL273:DM273" si="8866">SUM(+DL279)+DL275+DL305+DL288+DL293+DL302+DL298</f>
        <v>0</v>
      </c>
      <c r="DM273" s="675">
        <f t="shared" si="8866"/>
        <v>0</v>
      </c>
      <c r="DN273" s="549">
        <f t="shared" ref="DN273:DO273" si="8867">SUM(+DN279)+DN275+DN305+DN288+DN293+DN302+DN298</f>
        <v>0</v>
      </c>
      <c r="DO273" s="675">
        <f t="shared" si="8867"/>
        <v>0</v>
      </c>
      <c r="DP273" s="549">
        <f t="shared" ref="DP273:DQ273" si="8868">SUM(+DP279)+DP275+DP305+DP288+DP293+DP302+DP298</f>
        <v>0</v>
      </c>
      <c r="DQ273" s="675">
        <f t="shared" si="8868"/>
        <v>0</v>
      </c>
      <c r="DR273" s="549">
        <f t="shared" ref="DR273:DS273" si="8869">SUM(+DR279)+DR275+DR305+DR288+DR293+DR302+DR298</f>
        <v>0</v>
      </c>
      <c r="DS273" s="675">
        <f t="shared" si="8869"/>
        <v>0</v>
      </c>
      <c r="DT273" s="549">
        <f t="shared" ref="DT273:DU273" si="8870">SUM(+DT279)+DT275+DT305+DT288+DT293+DT302+DT298</f>
        <v>0</v>
      </c>
      <c r="DU273" s="675">
        <f t="shared" si="8870"/>
        <v>0</v>
      </c>
      <c r="DV273" s="549">
        <f t="shared" ref="DV273:DW273" si="8871">SUM(+DV279)+DV275+DV305+DV288+DV293+DV302+DV298</f>
        <v>0</v>
      </c>
      <c r="DW273" s="675">
        <f t="shared" si="8871"/>
        <v>0</v>
      </c>
      <c r="DX273" s="549">
        <f t="shared" ref="DX273:DY273" si="8872">SUM(+DX279)+DX275+DX305+DX288+DX293+DX302+DX298</f>
        <v>0</v>
      </c>
      <c r="DY273" s="675">
        <f t="shared" si="8872"/>
        <v>0</v>
      </c>
      <c r="DZ273" s="549">
        <f t="shared" ref="DZ273:EA273" si="8873">SUM(+DZ279)+DZ275+DZ305+DZ288+DZ293+DZ302+DZ298</f>
        <v>0</v>
      </c>
      <c r="EA273" s="675">
        <f t="shared" si="8873"/>
        <v>0</v>
      </c>
      <c r="EB273" s="549">
        <f t="shared" ref="EB273:EC273" si="8874">SUM(+EB279)+EB275+EB305+EB288+EB293+EB302+EB298</f>
        <v>0</v>
      </c>
      <c r="EC273" s="675">
        <f t="shared" si="8874"/>
        <v>0</v>
      </c>
      <c r="ED273" s="549">
        <f t="shared" ref="ED273:EE273" si="8875">SUM(+ED279)+ED275+ED305+ED288+ED293+ED302+ED298</f>
        <v>48000</v>
      </c>
      <c r="EE273" s="675">
        <f t="shared" si="8875"/>
        <v>0</v>
      </c>
      <c r="EF273" s="549">
        <f t="shared" ref="EF273:EG273" si="8876">SUM(+EF279)+EF275+EF305+EF288+EF293+EF302+EF298</f>
        <v>0</v>
      </c>
      <c r="EG273" s="675">
        <f t="shared" si="8876"/>
        <v>0</v>
      </c>
      <c r="EH273" s="549">
        <f t="shared" ref="EH273:EI273" si="8877">SUM(+EH279)+EH275+EH305+EH288+EH293+EH302+EH298</f>
        <v>0</v>
      </c>
      <c r="EI273" s="675">
        <f t="shared" si="8877"/>
        <v>0</v>
      </c>
      <c r="EJ273" s="549">
        <f t="shared" ref="EJ273:EK273" si="8878">SUM(+EJ279)+EJ275+EJ305+EJ288+EJ293+EJ302+EJ298</f>
        <v>0</v>
      </c>
      <c r="EK273" s="675">
        <f t="shared" si="8878"/>
        <v>0</v>
      </c>
      <c r="EL273" s="549">
        <f t="shared" ref="EL273:EM273" si="8879">SUM(+EL279)+EL275+EL305+EL288+EL293+EL302+EL298</f>
        <v>0</v>
      </c>
      <c r="EM273" s="675">
        <f t="shared" si="8879"/>
        <v>0</v>
      </c>
      <c r="EN273" s="549">
        <f t="shared" ref="EN273:EO273" si="8880">SUM(+EN279)+EN275+EN305+EN288+EN293+EN302+EN298</f>
        <v>0</v>
      </c>
      <c r="EO273" s="675">
        <f t="shared" si="8880"/>
        <v>0</v>
      </c>
      <c r="EP273" s="549">
        <f t="shared" ref="EP273:EQ273" si="8881">SUM(+EP279)+EP275+EP305+EP288+EP293+EP302+EP298</f>
        <v>0</v>
      </c>
      <c r="EQ273" s="675">
        <f t="shared" si="8881"/>
        <v>0</v>
      </c>
      <c r="ER273" s="549">
        <f t="shared" ref="ER273:ES273" si="8882">SUM(+ER279)+ER275+ER305+ER288+ER293+ER302+ER298</f>
        <v>0</v>
      </c>
      <c r="ES273" s="675">
        <f t="shared" si="8882"/>
        <v>0</v>
      </c>
      <c r="ET273" s="549">
        <f t="shared" ref="ET273:EU273" si="8883">SUM(+ET279)+ET275+ET305+ET288+ET293+ET302+ET298</f>
        <v>0</v>
      </c>
      <c r="EU273" s="675">
        <f t="shared" si="8883"/>
        <v>0</v>
      </c>
      <c r="EV273" s="549">
        <f t="shared" ref="EV273:EW273" si="8884">SUM(+EV279)+EV275+EV305+EV288+EV293+EV302+EV298</f>
        <v>0</v>
      </c>
      <c r="EW273" s="675">
        <f t="shared" si="8884"/>
        <v>0</v>
      </c>
      <c r="EX273" s="549">
        <f t="shared" ref="EX273:EY273" si="8885">SUM(+EX279)+EX275+EX305+EX288+EX293+EX302+EX298</f>
        <v>0</v>
      </c>
      <c r="EY273" s="675">
        <f t="shared" si="8885"/>
        <v>0</v>
      </c>
      <c r="EZ273" s="549">
        <f t="shared" ref="EZ273:FA273" si="8886">SUM(+EZ279)+EZ275+EZ305+EZ288+EZ293+EZ302+EZ298</f>
        <v>0</v>
      </c>
      <c r="FA273" s="675">
        <f t="shared" si="8886"/>
        <v>0</v>
      </c>
      <c r="FB273" s="549">
        <f t="shared" ref="FB273:FC273" si="8887">SUM(+FB279)+FB275+FB305+FB288+FB293+FB302+FB298</f>
        <v>0</v>
      </c>
      <c r="FC273" s="675">
        <f t="shared" si="8887"/>
        <v>0</v>
      </c>
      <c r="FD273" s="549">
        <f t="shared" ref="FD273:FE273" si="8888">SUM(+FD279)+FD275+FD305+FD288+FD293+FD302+FD298</f>
        <v>0</v>
      </c>
      <c r="FE273" s="675">
        <f t="shared" si="8888"/>
        <v>0</v>
      </c>
      <c r="FF273" s="549">
        <f t="shared" ref="FF273:FG273" si="8889">SUM(+FF279)+FF275+FF305+FF288+FF293+FF302+FF298</f>
        <v>0</v>
      </c>
      <c r="FG273" s="675">
        <f t="shared" si="8889"/>
        <v>0</v>
      </c>
      <c r="FH273" s="549">
        <f t="shared" ref="FH273:FI273" si="8890">SUM(+FH279)+FH275+FH305+FH288+FH293+FH302+FH298</f>
        <v>0</v>
      </c>
      <c r="FI273" s="675">
        <f t="shared" si="8890"/>
        <v>0</v>
      </c>
      <c r="FJ273" s="549">
        <f t="shared" ref="FJ273:FK273" si="8891">SUM(+FJ279)+FJ275+FJ305+FJ288+FJ293+FJ302+FJ298</f>
        <v>0</v>
      </c>
      <c r="FK273" s="675">
        <f t="shared" si="8891"/>
        <v>0</v>
      </c>
      <c r="FL273" s="549">
        <f t="shared" ref="FL273:FM273" si="8892">SUM(+FL279)+FL275+FL305+FL288+FL293+FL302+FL298</f>
        <v>0</v>
      </c>
      <c r="FM273" s="675">
        <f t="shared" si="8892"/>
        <v>0</v>
      </c>
      <c r="FN273" s="549">
        <f t="shared" ref="FN273:FO273" si="8893">SUM(+FN279)+FN275+FN305+FN288+FN293+FN302+FN298</f>
        <v>0</v>
      </c>
      <c r="FO273" s="675">
        <f t="shared" si="8893"/>
        <v>0</v>
      </c>
      <c r="FP273" s="549">
        <f t="shared" ref="FP273:FQ273" si="8894">SUM(+FP279)+FP275+FP305+FP288+FP293+FP302+FP298</f>
        <v>0</v>
      </c>
      <c r="FQ273" s="675">
        <f t="shared" si="8894"/>
        <v>0</v>
      </c>
      <c r="FR273" s="549">
        <f t="shared" ref="FR273:FS273" si="8895">SUM(+FR279)+FR275+FR305+FR288+FR293+FR302+FR298</f>
        <v>0</v>
      </c>
      <c r="FS273" s="675">
        <f t="shared" si="8895"/>
        <v>0</v>
      </c>
      <c r="FT273" s="549">
        <f t="shared" ref="FT273:FU273" si="8896">SUM(+FT279)+FT275+FT305+FT288+FT293+FT302+FT298</f>
        <v>0</v>
      </c>
      <c r="FU273" s="675">
        <f t="shared" si="8896"/>
        <v>0</v>
      </c>
      <c r="FV273" s="549">
        <f t="shared" ref="FV273:GK273" si="8897">SUM(+FV279)+FV275+FV305+FV288+FV293+FV302+FV298</f>
        <v>0</v>
      </c>
      <c r="FW273" s="675">
        <f t="shared" si="8897"/>
        <v>0</v>
      </c>
      <c r="FX273" s="549">
        <f t="shared" si="8897"/>
        <v>0</v>
      </c>
      <c r="FY273" s="675">
        <f t="shared" si="8897"/>
        <v>0</v>
      </c>
      <c r="FZ273" s="549">
        <f t="shared" ref="FZ273:GI273" si="8898">SUM(+FZ279)+FZ275+FZ305+FZ288+FZ293+FZ302+FZ298</f>
        <v>0</v>
      </c>
      <c r="GA273" s="675">
        <f t="shared" si="8898"/>
        <v>0</v>
      </c>
      <c r="GB273" s="549">
        <f t="shared" si="8898"/>
        <v>0</v>
      </c>
      <c r="GC273" s="675">
        <f t="shared" si="8898"/>
        <v>0</v>
      </c>
      <c r="GD273" s="549">
        <f t="shared" si="8898"/>
        <v>0</v>
      </c>
      <c r="GE273" s="675">
        <f t="shared" si="8898"/>
        <v>0</v>
      </c>
      <c r="GF273" s="549">
        <f t="shared" si="8898"/>
        <v>0</v>
      </c>
      <c r="GG273" s="675">
        <f t="shared" si="8898"/>
        <v>0</v>
      </c>
      <c r="GH273" s="549">
        <f t="shared" si="8898"/>
        <v>0</v>
      </c>
      <c r="GI273" s="675">
        <f t="shared" si="8898"/>
        <v>0</v>
      </c>
      <c r="GJ273" s="549">
        <f t="shared" si="8897"/>
        <v>0</v>
      </c>
      <c r="GK273" s="675">
        <f t="shared" si="8897"/>
        <v>0</v>
      </c>
      <c r="GL273" s="549">
        <f t="shared" ref="GL273:GS273" si="8899">SUM(+GL279)+GL275+GL305+GL288+GL293+GL302+GL298</f>
        <v>0</v>
      </c>
      <c r="GM273" s="675">
        <f t="shared" si="8899"/>
        <v>0</v>
      </c>
      <c r="GN273" s="549">
        <f t="shared" ref="GN273:GO273" si="8900">SUM(+GN279)+GN275+GN305+GN288+GN293+GN302+GN298</f>
        <v>0</v>
      </c>
      <c r="GO273" s="675">
        <f t="shared" si="8900"/>
        <v>0</v>
      </c>
      <c r="GP273" s="549">
        <f>SUM(+GP279)+GP275+GP305+GP288+GP293+GP302+GP298</f>
        <v>148000</v>
      </c>
      <c r="GQ273" s="675">
        <f t="shared" si="8899"/>
        <v>-100000</v>
      </c>
      <c r="GR273" s="74">
        <f>SUM(+GR279)+GR275+GR305+GR288+GR293+GR302+GR298</f>
        <v>1061700</v>
      </c>
      <c r="GS273" s="74">
        <f t="shared" si="8899"/>
        <v>969593</v>
      </c>
      <c r="GT273" s="74">
        <f t="shared" ref="GT273:HF273" si="8901">SUM(+GT279)+GT275+GT305+GT288+GT293</f>
        <v>1061700</v>
      </c>
      <c r="GU273" s="74">
        <f t="shared" si="8901"/>
        <v>92630</v>
      </c>
      <c r="GV273" s="74">
        <f t="shared" si="8901"/>
        <v>92107</v>
      </c>
      <c r="GW273" s="549">
        <f t="shared" si="8901"/>
        <v>92107</v>
      </c>
      <c r="GX273" s="549">
        <f t="shared" si="8901"/>
        <v>92107</v>
      </c>
      <c r="GY273" s="74">
        <f t="shared" si="8901"/>
        <v>92107</v>
      </c>
      <c r="GZ273" s="74">
        <f t="shared" si="8901"/>
        <v>92107</v>
      </c>
      <c r="HA273" s="74">
        <f t="shared" si="8901"/>
        <v>92107</v>
      </c>
      <c r="HB273" s="74">
        <f t="shared" si="8901"/>
        <v>92107</v>
      </c>
      <c r="HC273" s="74">
        <f t="shared" si="8901"/>
        <v>92107</v>
      </c>
      <c r="HD273" s="74">
        <f t="shared" si="8901"/>
        <v>92107</v>
      </c>
      <c r="HE273" s="74">
        <f t="shared" si="8901"/>
        <v>92107</v>
      </c>
      <c r="HF273" s="74">
        <f t="shared" si="8901"/>
        <v>0</v>
      </c>
      <c r="HG273" s="74">
        <f>SUM(+HG279)+HG275+HG305+HG288+HG293+HG302+HG298</f>
        <v>969593</v>
      </c>
      <c r="HH273" s="74">
        <f t="shared" ref="HH273:IE273" si="8902">SUM(+HH279)+HH275+HH305+HH288+HH293</f>
        <v>0</v>
      </c>
      <c r="HI273" s="792">
        <f t="shared" si="8902"/>
        <v>0</v>
      </c>
      <c r="HJ273" s="74">
        <f t="shared" si="8902"/>
        <v>0</v>
      </c>
      <c r="HK273" s="792">
        <f t="shared" si="8902"/>
        <v>184737</v>
      </c>
      <c r="HL273" s="74">
        <f t="shared" si="8902"/>
        <v>0</v>
      </c>
      <c r="HM273" s="792">
        <f t="shared" si="8902"/>
        <v>92107</v>
      </c>
      <c r="HN273" s="74">
        <f t="shared" si="8902"/>
        <v>0</v>
      </c>
      <c r="HO273" s="792">
        <f t="shared" si="8902"/>
        <v>92107</v>
      </c>
      <c r="HP273" s="74">
        <f t="shared" si="8902"/>
        <v>0</v>
      </c>
      <c r="HQ273" s="792">
        <f t="shared" si="8902"/>
        <v>90107</v>
      </c>
      <c r="HR273" s="74">
        <f t="shared" si="8902"/>
        <v>0</v>
      </c>
      <c r="HS273" s="792">
        <f t="shared" si="8902"/>
        <v>94107</v>
      </c>
      <c r="HT273" s="74">
        <f t="shared" si="8902"/>
        <v>0</v>
      </c>
      <c r="HU273" s="792">
        <f t="shared" si="8902"/>
        <v>92107.000000000029</v>
      </c>
      <c r="HV273" s="74">
        <f t="shared" si="8902"/>
        <v>0</v>
      </c>
      <c r="HW273" s="792">
        <f t="shared" si="8902"/>
        <v>91837</v>
      </c>
      <c r="HX273" s="74">
        <f t="shared" si="8902"/>
        <v>0</v>
      </c>
      <c r="HY273" s="792">
        <f t="shared" si="8902"/>
        <v>92377</v>
      </c>
      <c r="HZ273" s="74">
        <f t="shared" si="8902"/>
        <v>0</v>
      </c>
      <c r="IA273" s="792">
        <f t="shared" si="8902"/>
        <v>92107</v>
      </c>
      <c r="IB273" s="74">
        <f t="shared" si="8902"/>
        <v>0</v>
      </c>
      <c r="IC273" s="792">
        <f t="shared" si="8902"/>
        <v>0</v>
      </c>
      <c r="ID273" s="74">
        <f t="shared" si="8902"/>
        <v>0</v>
      </c>
      <c r="IE273" s="792">
        <f t="shared" si="8902"/>
        <v>0</v>
      </c>
      <c r="IF273" s="841">
        <f>SUM(+IF279)+IF275+IF305+IF288+IF293+IF302+IF298</f>
        <v>661928.97</v>
      </c>
      <c r="IG273" s="263">
        <f>SUM(+IG279)+IG275+IG305+IG288+IG293+IG302+IG298</f>
        <v>661928.97</v>
      </c>
      <c r="IH273" s="842">
        <f>SUM(+IH279)+IH275+IH305+IH288+IH293+IH302+IH298</f>
        <v>661928.97</v>
      </c>
      <c r="II273" s="74">
        <f t="shared" ref="II273:JR273" si="8903">SUM(+II279)+II275+II305+II288+II293</f>
        <v>180.38</v>
      </c>
      <c r="IJ273" s="74">
        <f t="shared" si="8903"/>
        <v>180.38</v>
      </c>
      <c r="IK273" s="74">
        <f t="shared" si="8903"/>
        <v>180.38</v>
      </c>
      <c r="IL273" s="74">
        <f t="shared" si="8903"/>
        <v>12584.28</v>
      </c>
      <c r="IM273" s="74">
        <f t="shared" si="8903"/>
        <v>12584.28</v>
      </c>
      <c r="IN273" s="74">
        <f t="shared" si="8903"/>
        <v>12584.28</v>
      </c>
      <c r="IO273" s="74">
        <f t="shared" si="8903"/>
        <v>10582.130000000001</v>
      </c>
      <c r="IP273" s="74">
        <f t="shared" si="8903"/>
        <v>10582.130000000001</v>
      </c>
      <c r="IQ273" s="74">
        <f t="shared" si="8903"/>
        <v>10582.130000000001</v>
      </c>
      <c r="IR273" s="74">
        <f t="shared" si="8903"/>
        <v>2113.4199999999992</v>
      </c>
      <c r="IS273" s="74">
        <f t="shared" si="8903"/>
        <v>2113.4199999999992</v>
      </c>
      <c r="IT273" s="74">
        <f t="shared" si="8903"/>
        <v>2113.4199999999992</v>
      </c>
      <c r="IU273" s="74">
        <f t="shared" si="8903"/>
        <v>145748.80000000002</v>
      </c>
      <c r="IV273" s="74">
        <f t="shared" si="8903"/>
        <v>145748.80000000002</v>
      </c>
      <c r="IW273" s="74">
        <f t="shared" si="8903"/>
        <v>145748.80000000002</v>
      </c>
      <c r="IX273" s="74">
        <f t="shared" si="8903"/>
        <v>87482.65</v>
      </c>
      <c r="IY273" s="74">
        <f t="shared" si="8903"/>
        <v>87482.65</v>
      </c>
      <c r="IZ273" s="74">
        <f t="shared" si="8903"/>
        <v>87482.65</v>
      </c>
      <c r="JA273" s="74">
        <f t="shared" si="8903"/>
        <v>85187.019999999975</v>
      </c>
      <c r="JB273" s="74">
        <f t="shared" si="8903"/>
        <v>85187.019999999975</v>
      </c>
      <c r="JC273" s="74">
        <f t="shared" si="8903"/>
        <v>85187.019999999975</v>
      </c>
      <c r="JD273" s="74">
        <f t="shared" si="8903"/>
        <v>83480.560000000027</v>
      </c>
      <c r="JE273" s="74">
        <f t="shared" si="8903"/>
        <v>83480.560000000027</v>
      </c>
      <c r="JF273" s="74">
        <f t="shared" si="8903"/>
        <v>83480.560000000027</v>
      </c>
      <c r="JG273" s="74">
        <f t="shared" si="8903"/>
        <v>68014.880000000034</v>
      </c>
      <c r="JH273" s="74">
        <f t="shared" si="8903"/>
        <v>67769.880000000034</v>
      </c>
      <c r="JI273" s="74">
        <f t="shared" si="8903"/>
        <v>67769.880000000034</v>
      </c>
      <c r="JJ273" s="74">
        <f t="shared" si="8903"/>
        <v>166554.84999999998</v>
      </c>
      <c r="JK273" s="74">
        <f t="shared" si="8903"/>
        <v>166799.84999999998</v>
      </c>
      <c r="JL273" s="74">
        <f t="shared" si="8903"/>
        <v>166799.84999999998</v>
      </c>
      <c r="JM273" s="74">
        <f t="shared" si="8903"/>
        <v>0</v>
      </c>
      <c r="JN273" s="74">
        <f t="shared" si="8903"/>
        <v>0</v>
      </c>
      <c r="JO273" s="74">
        <f t="shared" si="8903"/>
        <v>0</v>
      </c>
      <c r="JP273" s="74">
        <f t="shared" si="8903"/>
        <v>0</v>
      </c>
      <c r="JQ273" s="74">
        <f t="shared" si="8903"/>
        <v>0</v>
      </c>
      <c r="JR273" s="74">
        <f t="shared" si="8903"/>
        <v>0</v>
      </c>
      <c r="JS273" s="74">
        <f>SUM(+JS279)+JS275+JS305+JS288+JS293+JS302+JS298</f>
        <v>307664.03000000003</v>
      </c>
      <c r="JT273" s="102">
        <f>SUM(+JT279)+JT275+JT305+JT288+JT293+JT302+JT298</f>
        <v>307664.03000000003</v>
      </c>
      <c r="JU273" s="670">
        <f>SUM(+JU279)+JU275+JU305+JU288+JU293</f>
        <v>0</v>
      </c>
      <c r="JV273" s="492">
        <f>SUM(+JV279)+JV275+JV305+JV288+JV293</f>
        <v>0</v>
      </c>
      <c r="JW273" s="490">
        <f>SUM(+JW279)+JW275+JW305+JW288+JW293</f>
        <v>0</v>
      </c>
      <c r="JX273" s="548">
        <f>SUM(+JX279)+JX275+JX305+JX288+JX293+JX302+JX298</f>
        <v>0</v>
      </c>
      <c r="JY273" s="548">
        <f>SUM(+JY279)+JY275+JY305+JY288+JY293+JY302+JY298</f>
        <v>921593</v>
      </c>
      <c r="JZ273" s="581">
        <f>SUM(+JZ279)+JZ275+JZ305+JZ288+JZ293+JZ302+JZ298</f>
        <v>148000</v>
      </c>
      <c r="KA273" s="581">
        <f>SUM(+KA279)+KA275+KA305+KA288+KA293+KA302+KA298</f>
        <v>-100000</v>
      </c>
      <c r="KB273" s="548">
        <f>SUM(+KB279)+KB275+KB305+KB288+KB293+KB302+KB298</f>
        <v>969593</v>
      </c>
      <c r="KC273" s="709">
        <f t="shared" si="7396"/>
        <v>0</v>
      </c>
      <c r="KD273" s="36"/>
      <c r="KE273" s="36"/>
      <c r="KF273" s="36"/>
      <c r="KG273" s="36"/>
      <c r="KH273" s="36"/>
      <c r="KI273" s="36"/>
      <c r="KJ273" s="36"/>
      <c r="KK273" s="36"/>
    </row>
    <row r="274" spans="1:297" s="10" customFormat="1" ht="12.75" customHeight="1">
      <c r="A274" s="80"/>
      <c r="B274" s="77"/>
      <c r="C274" s="74"/>
      <c r="D274" s="549"/>
      <c r="E274" s="675"/>
      <c r="F274" s="549"/>
      <c r="G274" s="675"/>
      <c r="H274" s="549"/>
      <c r="I274" s="675"/>
      <c r="J274" s="549"/>
      <c r="K274" s="675"/>
      <c r="L274" s="549"/>
      <c r="M274" s="675"/>
      <c r="N274" s="549"/>
      <c r="O274" s="675"/>
      <c r="P274" s="549"/>
      <c r="Q274" s="675"/>
      <c r="R274" s="549"/>
      <c r="S274" s="675"/>
      <c r="T274" s="549"/>
      <c r="U274" s="675"/>
      <c r="V274" s="549"/>
      <c r="W274" s="675"/>
      <c r="X274" s="549"/>
      <c r="Y274" s="675"/>
      <c r="Z274" s="549"/>
      <c r="AA274" s="675"/>
      <c r="AB274" s="549"/>
      <c r="AC274" s="675"/>
      <c r="AD274" s="549"/>
      <c r="AE274" s="675"/>
      <c r="AF274" s="549"/>
      <c r="AG274" s="675"/>
      <c r="AH274" s="549"/>
      <c r="AI274" s="675"/>
      <c r="AJ274" s="549"/>
      <c r="AK274" s="675"/>
      <c r="AL274" s="549"/>
      <c r="AM274" s="675"/>
      <c r="AN274" s="549"/>
      <c r="AO274" s="675"/>
      <c r="AP274" s="549"/>
      <c r="AQ274" s="675"/>
      <c r="AR274" s="549"/>
      <c r="AS274" s="675"/>
      <c r="AT274" s="549"/>
      <c r="AU274" s="675"/>
      <c r="AV274" s="549"/>
      <c r="AW274" s="675"/>
      <c r="AX274" s="549"/>
      <c r="AY274" s="675"/>
      <c r="AZ274" s="549"/>
      <c r="BA274" s="675"/>
      <c r="BB274" s="549"/>
      <c r="BC274" s="675"/>
      <c r="BD274" s="549"/>
      <c r="BE274" s="675"/>
      <c r="BF274" s="549"/>
      <c r="BG274" s="675"/>
      <c r="BH274" s="549"/>
      <c r="BI274" s="675"/>
      <c r="BJ274" s="549"/>
      <c r="BK274" s="675"/>
      <c r="BL274" s="549"/>
      <c r="BM274" s="675"/>
      <c r="BN274" s="549"/>
      <c r="BO274" s="675"/>
      <c r="BP274" s="549"/>
      <c r="BQ274" s="675"/>
      <c r="BR274" s="549"/>
      <c r="BS274" s="675"/>
      <c r="BT274" s="549"/>
      <c r="BU274" s="675"/>
      <c r="BV274" s="549"/>
      <c r="BW274" s="675"/>
      <c r="BX274" s="549"/>
      <c r="BY274" s="675"/>
      <c r="BZ274" s="549"/>
      <c r="CA274" s="675"/>
      <c r="CB274" s="549"/>
      <c r="CC274" s="675"/>
      <c r="CD274" s="549"/>
      <c r="CE274" s="675"/>
      <c r="CF274" s="549"/>
      <c r="CG274" s="675"/>
      <c r="CH274" s="549"/>
      <c r="CI274" s="675"/>
      <c r="CJ274" s="549"/>
      <c r="CK274" s="675"/>
      <c r="CL274" s="549"/>
      <c r="CM274" s="675"/>
      <c r="CN274" s="549"/>
      <c r="CO274" s="675"/>
      <c r="CP274" s="549"/>
      <c r="CQ274" s="675"/>
      <c r="CR274" s="549"/>
      <c r="CS274" s="675"/>
      <c r="CT274" s="549"/>
      <c r="CU274" s="675"/>
      <c r="CV274" s="549"/>
      <c r="CW274" s="675"/>
      <c r="CX274" s="549"/>
      <c r="CY274" s="675"/>
      <c r="CZ274" s="549"/>
      <c r="DA274" s="675"/>
      <c r="DB274" s="549"/>
      <c r="DC274" s="675"/>
      <c r="DD274" s="549"/>
      <c r="DE274" s="675"/>
      <c r="DF274" s="549"/>
      <c r="DG274" s="675"/>
      <c r="DH274" s="549"/>
      <c r="DI274" s="675"/>
      <c r="DJ274" s="549"/>
      <c r="DK274" s="675"/>
      <c r="DL274" s="549"/>
      <c r="DM274" s="675"/>
      <c r="DN274" s="549"/>
      <c r="DO274" s="675"/>
      <c r="DP274" s="549"/>
      <c r="DQ274" s="675"/>
      <c r="DR274" s="549"/>
      <c r="DS274" s="675"/>
      <c r="DT274" s="549"/>
      <c r="DU274" s="675"/>
      <c r="DV274" s="549"/>
      <c r="DW274" s="675"/>
      <c r="DX274" s="549"/>
      <c r="DY274" s="675"/>
      <c r="DZ274" s="549"/>
      <c r="EA274" s="675"/>
      <c r="EB274" s="549"/>
      <c r="EC274" s="675"/>
      <c r="ED274" s="549"/>
      <c r="EE274" s="675"/>
      <c r="EF274" s="549"/>
      <c r="EG274" s="675"/>
      <c r="EH274" s="549"/>
      <c r="EI274" s="675"/>
      <c r="EJ274" s="549"/>
      <c r="EK274" s="675"/>
      <c r="EL274" s="549"/>
      <c r="EM274" s="675"/>
      <c r="EN274" s="549"/>
      <c r="EO274" s="675"/>
      <c r="EP274" s="549"/>
      <c r="EQ274" s="675"/>
      <c r="ER274" s="549"/>
      <c r="ES274" s="675"/>
      <c r="ET274" s="549"/>
      <c r="EU274" s="675"/>
      <c r="EV274" s="549"/>
      <c r="EW274" s="675"/>
      <c r="EX274" s="549"/>
      <c r="EY274" s="675"/>
      <c r="EZ274" s="549"/>
      <c r="FA274" s="675"/>
      <c r="FB274" s="549"/>
      <c r="FC274" s="675"/>
      <c r="FD274" s="549"/>
      <c r="FE274" s="675"/>
      <c r="FF274" s="549"/>
      <c r="FG274" s="675"/>
      <c r="FH274" s="549"/>
      <c r="FI274" s="675"/>
      <c r="FJ274" s="549"/>
      <c r="FK274" s="675"/>
      <c r="FL274" s="549"/>
      <c r="FM274" s="675"/>
      <c r="FN274" s="549"/>
      <c r="FO274" s="675"/>
      <c r="FP274" s="549"/>
      <c r="FQ274" s="675"/>
      <c r="FR274" s="549"/>
      <c r="FS274" s="675"/>
      <c r="FT274" s="549"/>
      <c r="FU274" s="675"/>
      <c r="FV274" s="549"/>
      <c r="FW274" s="675"/>
      <c r="FX274" s="549"/>
      <c r="FY274" s="675"/>
      <c r="FZ274" s="549"/>
      <c r="GA274" s="675"/>
      <c r="GB274" s="549"/>
      <c r="GC274" s="675"/>
      <c r="GD274" s="549"/>
      <c r="GE274" s="675"/>
      <c r="GF274" s="549"/>
      <c r="GG274" s="675"/>
      <c r="GH274" s="549"/>
      <c r="GI274" s="675"/>
      <c r="GJ274" s="549"/>
      <c r="GK274" s="675"/>
      <c r="GL274" s="549"/>
      <c r="GM274" s="675"/>
      <c r="GN274" s="549"/>
      <c r="GO274" s="675"/>
      <c r="GP274" s="549"/>
      <c r="GQ274" s="675"/>
      <c r="GR274" s="74"/>
      <c r="GS274" s="74"/>
      <c r="GT274" s="74"/>
      <c r="GU274" s="74"/>
      <c r="GV274" s="74"/>
      <c r="GW274" s="549"/>
      <c r="GX274" s="549"/>
      <c r="GY274" s="74"/>
      <c r="GZ274" s="74"/>
      <c r="HA274" s="74"/>
      <c r="HB274" s="74"/>
      <c r="HC274" s="74"/>
      <c r="HD274" s="74"/>
      <c r="HE274" s="74"/>
      <c r="HF274" s="74"/>
      <c r="HG274" s="74"/>
      <c r="HH274" s="74"/>
      <c r="HI274" s="792"/>
      <c r="HJ274" s="74"/>
      <c r="HK274" s="792"/>
      <c r="HL274" s="74"/>
      <c r="HM274" s="792"/>
      <c r="HN274" s="74"/>
      <c r="HO274" s="792"/>
      <c r="HP274" s="74"/>
      <c r="HQ274" s="792"/>
      <c r="HR274" s="74"/>
      <c r="HS274" s="792"/>
      <c r="HT274" s="74"/>
      <c r="HU274" s="792"/>
      <c r="HV274" s="74"/>
      <c r="HW274" s="792"/>
      <c r="HX274" s="74"/>
      <c r="HY274" s="792"/>
      <c r="HZ274" s="74"/>
      <c r="IA274" s="792"/>
      <c r="IB274" s="74"/>
      <c r="IC274" s="792"/>
      <c r="ID274" s="74"/>
      <c r="IE274" s="792"/>
      <c r="IF274" s="841"/>
      <c r="IG274" s="263"/>
      <c r="IH274" s="842"/>
      <c r="II274" s="74"/>
      <c r="IJ274" s="74"/>
      <c r="IK274" s="74"/>
      <c r="IL274" s="74"/>
      <c r="IM274" s="74"/>
      <c r="IN274" s="74"/>
      <c r="IO274" s="74"/>
      <c r="IP274" s="74"/>
      <c r="IQ274" s="74"/>
      <c r="IR274" s="74"/>
      <c r="IS274" s="74"/>
      <c r="IT274" s="74"/>
      <c r="IU274" s="74"/>
      <c r="IV274" s="74"/>
      <c r="IW274" s="74"/>
      <c r="IX274" s="74"/>
      <c r="IY274" s="74"/>
      <c r="IZ274" s="74"/>
      <c r="JA274" s="74"/>
      <c r="JB274" s="74"/>
      <c r="JC274" s="74"/>
      <c r="JD274" s="74"/>
      <c r="JE274" s="74"/>
      <c r="JF274" s="74"/>
      <c r="JG274" s="74"/>
      <c r="JH274" s="74"/>
      <c r="JI274" s="74"/>
      <c r="JJ274" s="74"/>
      <c r="JK274" s="74"/>
      <c r="JL274" s="74"/>
      <c r="JM274" s="74"/>
      <c r="JN274" s="74"/>
      <c r="JO274" s="74"/>
      <c r="JP274" s="74"/>
      <c r="JQ274" s="74"/>
      <c r="JR274" s="74"/>
      <c r="JS274" s="74"/>
      <c r="JT274" s="382"/>
      <c r="JU274" s="670"/>
      <c r="JV274" s="492"/>
      <c r="JW274" s="490"/>
      <c r="JX274" s="548"/>
      <c r="JY274" s="548"/>
      <c r="JZ274" s="581">
        <f t="shared" si="7470"/>
        <v>0</v>
      </c>
      <c r="KA274" s="581">
        <f t="shared" si="7471"/>
        <v>0</v>
      </c>
      <c r="KB274" s="548">
        <f t="shared" si="8622"/>
        <v>0</v>
      </c>
      <c r="KC274" s="709">
        <f t="shared" si="7396"/>
        <v>0</v>
      </c>
      <c r="KD274" s="36"/>
      <c r="KE274" s="36"/>
      <c r="KF274" s="36"/>
      <c r="KG274" s="36"/>
      <c r="KH274" s="36"/>
      <c r="KI274" s="36"/>
      <c r="KJ274" s="36"/>
      <c r="KK274" s="36"/>
    </row>
    <row r="275" spans="1:297" s="10" customFormat="1" ht="12.75" hidden="1" customHeight="1">
      <c r="A275" s="80" t="s">
        <v>875</v>
      </c>
      <c r="B275" s="77"/>
      <c r="C275" s="74">
        <f>C276+C277</f>
        <v>0</v>
      </c>
      <c r="D275" s="549">
        <f t="shared" ref="D275:E275" si="8904">D276+D277</f>
        <v>0</v>
      </c>
      <c r="E275" s="675">
        <f t="shared" si="8904"/>
        <v>0</v>
      </c>
      <c r="F275" s="549">
        <f t="shared" ref="F275:G275" si="8905">F276+F277</f>
        <v>0</v>
      </c>
      <c r="G275" s="675">
        <f t="shared" si="8905"/>
        <v>0</v>
      </c>
      <c r="H275" s="549">
        <f t="shared" ref="H275:I275" si="8906">H276+H277</f>
        <v>0</v>
      </c>
      <c r="I275" s="675">
        <f t="shared" si="8906"/>
        <v>0</v>
      </c>
      <c r="J275" s="549">
        <f t="shared" ref="J275:K275" si="8907">J276+J277</f>
        <v>0</v>
      </c>
      <c r="K275" s="675">
        <f t="shared" si="8907"/>
        <v>0</v>
      </c>
      <c r="L275" s="549">
        <f t="shared" ref="L275:M275" si="8908">L276+L277</f>
        <v>0</v>
      </c>
      <c r="M275" s="675">
        <f t="shared" si="8908"/>
        <v>0</v>
      </c>
      <c r="N275" s="549">
        <f t="shared" ref="N275:O275" si="8909">N276+N277</f>
        <v>0</v>
      </c>
      <c r="O275" s="675">
        <f t="shared" si="8909"/>
        <v>0</v>
      </c>
      <c r="P275" s="549">
        <f t="shared" ref="P275:Q275" si="8910">P276+P277</f>
        <v>0</v>
      </c>
      <c r="Q275" s="675">
        <f t="shared" si="8910"/>
        <v>0</v>
      </c>
      <c r="R275" s="549">
        <f t="shared" ref="R275:S275" si="8911">R276+R277</f>
        <v>0</v>
      </c>
      <c r="S275" s="675">
        <f t="shared" si="8911"/>
        <v>0</v>
      </c>
      <c r="T275" s="549">
        <f t="shared" ref="T275:U275" si="8912">T276+T277</f>
        <v>0</v>
      </c>
      <c r="U275" s="675">
        <f t="shared" si="8912"/>
        <v>0</v>
      </c>
      <c r="V275" s="549">
        <f t="shared" ref="V275:W275" si="8913">V276+V277</f>
        <v>0</v>
      </c>
      <c r="W275" s="675">
        <f t="shared" si="8913"/>
        <v>0</v>
      </c>
      <c r="X275" s="549">
        <f t="shared" ref="X275:Y275" si="8914">X276+X277</f>
        <v>0</v>
      </c>
      <c r="Y275" s="675">
        <f t="shared" si="8914"/>
        <v>0</v>
      </c>
      <c r="Z275" s="549">
        <f t="shared" ref="Z275:AA275" si="8915">Z276+Z277</f>
        <v>0</v>
      </c>
      <c r="AA275" s="675">
        <f t="shared" si="8915"/>
        <v>0</v>
      </c>
      <c r="AB275" s="549">
        <f t="shared" ref="AB275:AC275" si="8916">AB276+AB277</f>
        <v>0</v>
      </c>
      <c r="AC275" s="675">
        <f t="shared" si="8916"/>
        <v>0</v>
      </c>
      <c r="AD275" s="549">
        <f t="shared" ref="AD275:AE275" si="8917">AD276+AD277</f>
        <v>0</v>
      </c>
      <c r="AE275" s="675">
        <f t="shared" si="8917"/>
        <v>0</v>
      </c>
      <c r="AF275" s="549">
        <f t="shared" ref="AF275:AI275" si="8918">AF276+AF277</f>
        <v>0</v>
      </c>
      <c r="AG275" s="675">
        <f t="shared" si="8918"/>
        <v>0</v>
      </c>
      <c r="AH275" s="549">
        <f t="shared" si="8918"/>
        <v>0</v>
      </c>
      <c r="AI275" s="675">
        <f t="shared" si="8918"/>
        <v>0</v>
      </c>
      <c r="AJ275" s="549">
        <f t="shared" ref="AJ275:AK275" si="8919">AJ276+AJ277</f>
        <v>0</v>
      </c>
      <c r="AK275" s="675">
        <f t="shared" si="8919"/>
        <v>0</v>
      </c>
      <c r="AL275" s="549">
        <f t="shared" ref="AL275:AM275" si="8920">AL276+AL277</f>
        <v>0</v>
      </c>
      <c r="AM275" s="675">
        <f t="shared" si="8920"/>
        <v>0</v>
      </c>
      <c r="AN275" s="549">
        <f t="shared" ref="AN275:AO275" si="8921">AN276+AN277</f>
        <v>0</v>
      </c>
      <c r="AO275" s="675">
        <f t="shared" si="8921"/>
        <v>0</v>
      </c>
      <c r="AP275" s="549">
        <f t="shared" ref="AP275:AQ275" si="8922">AP276+AP277</f>
        <v>0</v>
      </c>
      <c r="AQ275" s="675">
        <f t="shared" si="8922"/>
        <v>0</v>
      </c>
      <c r="AR275" s="549">
        <f t="shared" ref="AR275:AS275" si="8923">AR276+AR277</f>
        <v>0</v>
      </c>
      <c r="AS275" s="675">
        <f t="shared" si="8923"/>
        <v>0</v>
      </c>
      <c r="AT275" s="549">
        <f t="shared" ref="AT275:AU275" si="8924">AT276+AT277</f>
        <v>0</v>
      </c>
      <c r="AU275" s="675">
        <f t="shared" si="8924"/>
        <v>0</v>
      </c>
      <c r="AV275" s="549">
        <f t="shared" ref="AV275:AW275" si="8925">AV276+AV277</f>
        <v>0</v>
      </c>
      <c r="AW275" s="675">
        <f t="shared" si="8925"/>
        <v>0</v>
      </c>
      <c r="AX275" s="549">
        <f t="shared" ref="AX275:AY275" si="8926">AX276+AX277</f>
        <v>0</v>
      </c>
      <c r="AY275" s="675">
        <f t="shared" si="8926"/>
        <v>0</v>
      </c>
      <c r="AZ275" s="549">
        <f t="shared" ref="AZ275:BA275" si="8927">AZ276+AZ277</f>
        <v>0</v>
      </c>
      <c r="BA275" s="675">
        <f t="shared" si="8927"/>
        <v>0</v>
      </c>
      <c r="BB275" s="549">
        <f t="shared" ref="BB275:BC275" si="8928">BB276+BB277</f>
        <v>0</v>
      </c>
      <c r="BC275" s="675">
        <f t="shared" si="8928"/>
        <v>0</v>
      </c>
      <c r="BD275" s="549">
        <f t="shared" ref="BD275:BE275" si="8929">BD276+BD277</f>
        <v>0</v>
      </c>
      <c r="BE275" s="675">
        <f t="shared" si="8929"/>
        <v>0</v>
      </c>
      <c r="BF275" s="549">
        <f t="shared" ref="BF275:BG275" si="8930">BF276+BF277</f>
        <v>0</v>
      </c>
      <c r="BG275" s="675">
        <f t="shared" si="8930"/>
        <v>0</v>
      </c>
      <c r="BH275" s="549">
        <f t="shared" ref="BH275:BI275" si="8931">BH276+BH277</f>
        <v>0</v>
      </c>
      <c r="BI275" s="675">
        <f t="shared" si="8931"/>
        <v>0</v>
      </c>
      <c r="BJ275" s="549">
        <f t="shared" ref="BJ275:BK275" si="8932">BJ276+BJ277</f>
        <v>0</v>
      </c>
      <c r="BK275" s="675">
        <f t="shared" si="8932"/>
        <v>0</v>
      </c>
      <c r="BL275" s="549">
        <f t="shared" ref="BL275:BM275" si="8933">BL276+BL277</f>
        <v>0</v>
      </c>
      <c r="BM275" s="675">
        <f t="shared" si="8933"/>
        <v>0</v>
      </c>
      <c r="BN275" s="549">
        <f t="shared" ref="BN275:BO275" si="8934">BN276+BN277</f>
        <v>0</v>
      </c>
      <c r="BO275" s="675">
        <f t="shared" si="8934"/>
        <v>0</v>
      </c>
      <c r="BP275" s="549">
        <f t="shared" ref="BP275:BQ275" si="8935">BP276+BP277</f>
        <v>0</v>
      </c>
      <c r="BQ275" s="675">
        <f t="shared" si="8935"/>
        <v>0</v>
      </c>
      <c r="BR275" s="549">
        <f t="shared" ref="BR275:BS275" si="8936">BR276+BR277</f>
        <v>0</v>
      </c>
      <c r="BS275" s="675">
        <f t="shared" si="8936"/>
        <v>0</v>
      </c>
      <c r="BT275" s="549">
        <f t="shared" ref="BT275:BU275" si="8937">BT276+BT277</f>
        <v>0</v>
      </c>
      <c r="BU275" s="675">
        <f t="shared" si="8937"/>
        <v>0</v>
      </c>
      <c r="BV275" s="549">
        <f t="shared" ref="BV275:BW275" si="8938">BV276+BV277</f>
        <v>0</v>
      </c>
      <c r="BW275" s="675">
        <f t="shared" si="8938"/>
        <v>0</v>
      </c>
      <c r="BX275" s="549">
        <f t="shared" ref="BX275:BY275" si="8939">BX276+BX277</f>
        <v>0</v>
      </c>
      <c r="BY275" s="675">
        <f t="shared" si="8939"/>
        <v>0</v>
      </c>
      <c r="BZ275" s="549">
        <f t="shared" ref="BZ275:CA275" si="8940">BZ276+BZ277</f>
        <v>0</v>
      </c>
      <c r="CA275" s="675">
        <f t="shared" si="8940"/>
        <v>0</v>
      </c>
      <c r="CB275" s="549">
        <f t="shared" ref="CB275:CC275" si="8941">CB276+CB277</f>
        <v>0</v>
      </c>
      <c r="CC275" s="675">
        <f t="shared" si="8941"/>
        <v>0</v>
      </c>
      <c r="CD275" s="549">
        <f t="shared" ref="CD275:CE275" si="8942">CD276+CD277</f>
        <v>0</v>
      </c>
      <c r="CE275" s="675">
        <f t="shared" si="8942"/>
        <v>0</v>
      </c>
      <c r="CF275" s="549">
        <f t="shared" ref="CF275:CG275" si="8943">CF276+CF277</f>
        <v>0</v>
      </c>
      <c r="CG275" s="675">
        <f t="shared" si="8943"/>
        <v>0</v>
      </c>
      <c r="CH275" s="549">
        <f t="shared" ref="CH275:CI275" si="8944">CH276+CH277</f>
        <v>0</v>
      </c>
      <c r="CI275" s="675">
        <f t="shared" si="8944"/>
        <v>0</v>
      </c>
      <c r="CJ275" s="549">
        <f t="shared" ref="CJ275:CK275" si="8945">CJ276+CJ277</f>
        <v>0</v>
      </c>
      <c r="CK275" s="675">
        <f t="shared" si="8945"/>
        <v>0</v>
      </c>
      <c r="CL275" s="549">
        <f t="shared" ref="CL275:CM275" si="8946">CL276+CL277</f>
        <v>0</v>
      </c>
      <c r="CM275" s="675">
        <f t="shared" si="8946"/>
        <v>0</v>
      </c>
      <c r="CN275" s="549">
        <f t="shared" ref="CN275:CO275" si="8947">CN276+CN277</f>
        <v>0</v>
      </c>
      <c r="CO275" s="675">
        <f t="shared" si="8947"/>
        <v>0</v>
      </c>
      <c r="CP275" s="549">
        <f t="shared" ref="CP275:CQ275" si="8948">CP276+CP277</f>
        <v>0</v>
      </c>
      <c r="CQ275" s="675">
        <f t="shared" si="8948"/>
        <v>0</v>
      </c>
      <c r="CR275" s="549">
        <f t="shared" ref="CR275:CS275" si="8949">CR276+CR277</f>
        <v>0</v>
      </c>
      <c r="CS275" s="675">
        <f t="shared" si="8949"/>
        <v>0</v>
      </c>
      <c r="CT275" s="549">
        <f t="shared" ref="CT275:CU275" si="8950">CT276+CT277</f>
        <v>0</v>
      </c>
      <c r="CU275" s="675">
        <f t="shared" si="8950"/>
        <v>0</v>
      </c>
      <c r="CV275" s="549">
        <f t="shared" ref="CV275:CW275" si="8951">CV276+CV277</f>
        <v>0</v>
      </c>
      <c r="CW275" s="675">
        <f t="shared" si="8951"/>
        <v>0</v>
      </c>
      <c r="CX275" s="549">
        <f t="shared" ref="CX275:CY275" si="8952">CX276+CX277</f>
        <v>0</v>
      </c>
      <c r="CY275" s="675">
        <f t="shared" si="8952"/>
        <v>0</v>
      </c>
      <c r="CZ275" s="549">
        <f t="shared" ref="CZ275:DA275" si="8953">CZ276+CZ277</f>
        <v>0</v>
      </c>
      <c r="DA275" s="675">
        <f t="shared" si="8953"/>
        <v>0</v>
      </c>
      <c r="DB275" s="549">
        <f t="shared" ref="DB275:DC275" si="8954">DB276+DB277</f>
        <v>0</v>
      </c>
      <c r="DC275" s="675">
        <f t="shared" si="8954"/>
        <v>0</v>
      </c>
      <c r="DD275" s="549">
        <f t="shared" ref="DD275:DE275" si="8955">DD276+DD277</f>
        <v>0</v>
      </c>
      <c r="DE275" s="675">
        <f t="shared" si="8955"/>
        <v>0</v>
      </c>
      <c r="DF275" s="549">
        <f t="shared" ref="DF275:DG275" si="8956">DF276+DF277</f>
        <v>0</v>
      </c>
      <c r="DG275" s="675">
        <f t="shared" si="8956"/>
        <v>0</v>
      </c>
      <c r="DH275" s="549">
        <f t="shared" ref="DH275:DI275" si="8957">DH276+DH277</f>
        <v>0</v>
      </c>
      <c r="DI275" s="675">
        <f t="shared" si="8957"/>
        <v>0</v>
      </c>
      <c r="DJ275" s="549">
        <f t="shared" ref="DJ275:DK275" si="8958">DJ276+DJ277</f>
        <v>0</v>
      </c>
      <c r="DK275" s="675">
        <f t="shared" si="8958"/>
        <v>0</v>
      </c>
      <c r="DL275" s="549">
        <f t="shared" ref="DL275:DM275" si="8959">DL276+DL277</f>
        <v>0</v>
      </c>
      <c r="DM275" s="675">
        <f t="shared" si="8959"/>
        <v>0</v>
      </c>
      <c r="DN275" s="549">
        <f t="shared" ref="DN275:DO275" si="8960">DN276+DN277</f>
        <v>0</v>
      </c>
      <c r="DO275" s="675">
        <f t="shared" si="8960"/>
        <v>0</v>
      </c>
      <c r="DP275" s="549">
        <f t="shared" ref="DP275:DQ275" si="8961">DP276+DP277</f>
        <v>0</v>
      </c>
      <c r="DQ275" s="675">
        <f t="shared" si="8961"/>
        <v>0</v>
      </c>
      <c r="DR275" s="549">
        <f t="shared" ref="DR275:DS275" si="8962">DR276+DR277</f>
        <v>0</v>
      </c>
      <c r="DS275" s="675">
        <f t="shared" si="8962"/>
        <v>0</v>
      </c>
      <c r="DT275" s="549">
        <f t="shared" ref="DT275:DU275" si="8963">DT276+DT277</f>
        <v>0</v>
      </c>
      <c r="DU275" s="675">
        <f t="shared" si="8963"/>
        <v>0</v>
      </c>
      <c r="DV275" s="549">
        <f t="shared" ref="DV275:DW275" si="8964">DV276+DV277</f>
        <v>0</v>
      </c>
      <c r="DW275" s="675">
        <f t="shared" si="8964"/>
        <v>0</v>
      </c>
      <c r="DX275" s="549">
        <f t="shared" ref="DX275:DY275" si="8965">DX276+DX277</f>
        <v>0</v>
      </c>
      <c r="DY275" s="675">
        <f t="shared" si="8965"/>
        <v>0</v>
      </c>
      <c r="DZ275" s="549">
        <f t="shared" ref="DZ275:EA275" si="8966">DZ276+DZ277</f>
        <v>0</v>
      </c>
      <c r="EA275" s="675">
        <f t="shared" si="8966"/>
        <v>0</v>
      </c>
      <c r="EB275" s="549">
        <f t="shared" ref="EB275:EC275" si="8967">EB276+EB277</f>
        <v>0</v>
      </c>
      <c r="EC275" s="675">
        <f t="shared" si="8967"/>
        <v>0</v>
      </c>
      <c r="ED275" s="549">
        <f t="shared" ref="ED275:EE275" si="8968">ED276+ED277</f>
        <v>0</v>
      </c>
      <c r="EE275" s="675">
        <f t="shared" si="8968"/>
        <v>0</v>
      </c>
      <c r="EF275" s="549">
        <f t="shared" ref="EF275:EG275" si="8969">EF276+EF277</f>
        <v>0</v>
      </c>
      <c r="EG275" s="675">
        <f t="shared" si="8969"/>
        <v>0</v>
      </c>
      <c r="EH275" s="549">
        <f t="shared" ref="EH275:EI275" si="8970">EH276+EH277</f>
        <v>0</v>
      </c>
      <c r="EI275" s="675">
        <f t="shared" si="8970"/>
        <v>0</v>
      </c>
      <c r="EJ275" s="549">
        <f t="shared" ref="EJ275:EK275" si="8971">EJ276+EJ277</f>
        <v>0</v>
      </c>
      <c r="EK275" s="675">
        <f t="shared" si="8971"/>
        <v>0</v>
      </c>
      <c r="EL275" s="549">
        <f t="shared" ref="EL275:EM275" si="8972">EL276+EL277</f>
        <v>0</v>
      </c>
      <c r="EM275" s="675">
        <f t="shared" si="8972"/>
        <v>0</v>
      </c>
      <c r="EN275" s="549">
        <f t="shared" ref="EN275:EO275" si="8973">EN276+EN277</f>
        <v>0</v>
      </c>
      <c r="EO275" s="675">
        <f t="shared" si="8973"/>
        <v>0</v>
      </c>
      <c r="EP275" s="549">
        <f t="shared" ref="EP275:EQ275" si="8974">EP276+EP277</f>
        <v>0</v>
      </c>
      <c r="EQ275" s="675">
        <f t="shared" si="8974"/>
        <v>0</v>
      </c>
      <c r="ER275" s="549">
        <f t="shared" ref="ER275:ES275" si="8975">ER276+ER277</f>
        <v>0</v>
      </c>
      <c r="ES275" s="675">
        <f t="shared" si="8975"/>
        <v>0</v>
      </c>
      <c r="ET275" s="549">
        <f t="shared" ref="ET275:EU275" si="8976">ET276+ET277</f>
        <v>0</v>
      </c>
      <c r="EU275" s="675">
        <f t="shared" si="8976"/>
        <v>0</v>
      </c>
      <c r="EV275" s="549">
        <f t="shared" ref="EV275:EW275" si="8977">EV276+EV277</f>
        <v>0</v>
      </c>
      <c r="EW275" s="675">
        <f t="shared" si="8977"/>
        <v>0</v>
      </c>
      <c r="EX275" s="549">
        <f t="shared" ref="EX275:EY275" si="8978">EX276+EX277</f>
        <v>0</v>
      </c>
      <c r="EY275" s="675">
        <f t="shared" si="8978"/>
        <v>0</v>
      </c>
      <c r="EZ275" s="549">
        <f t="shared" ref="EZ275:FA275" si="8979">EZ276+EZ277</f>
        <v>0</v>
      </c>
      <c r="FA275" s="675">
        <f t="shared" si="8979"/>
        <v>0</v>
      </c>
      <c r="FB275" s="549">
        <f t="shared" ref="FB275:FC275" si="8980">FB276+FB277</f>
        <v>0</v>
      </c>
      <c r="FC275" s="675">
        <f t="shared" si="8980"/>
        <v>0</v>
      </c>
      <c r="FD275" s="549">
        <f t="shared" ref="FD275:FE275" si="8981">FD276+FD277</f>
        <v>0</v>
      </c>
      <c r="FE275" s="675">
        <f t="shared" si="8981"/>
        <v>0</v>
      </c>
      <c r="FF275" s="549">
        <f t="shared" ref="FF275:FG275" si="8982">FF276+FF277</f>
        <v>0</v>
      </c>
      <c r="FG275" s="675">
        <f t="shared" si="8982"/>
        <v>0</v>
      </c>
      <c r="FH275" s="549">
        <f t="shared" ref="FH275:FI275" si="8983">FH276+FH277</f>
        <v>0</v>
      </c>
      <c r="FI275" s="675">
        <f t="shared" si="8983"/>
        <v>0</v>
      </c>
      <c r="FJ275" s="549">
        <f t="shared" ref="FJ275:FK275" si="8984">FJ276+FJ277</f>
        <v>0</v>
      </c>
      <c r="FK275" s="675">
        <f t="shared" si="8984"/>
        <v>0</v>
      </c>
      <c r="FL275" s="549">
        <f t="shared" ref="FL275:FM275" si="8985">FL276+FL277</f>
        <v>0</v>
      </c>
      <c r="FM275" s="675">
        <f t="shared" si="8985"/>
        <v>0</v>
      </c>
      <c r="FN275" s="549">
        <f t="shared" ref="FN275:FO275" si="8986">FN276+FN277</f>
        <v>0</v>
      </c>
      <c r="FO275" s="675">
        <f t="shared" si="8986"/>
        <v>0</v>
      </c>
      <c r="FP275" s="549">
        <f t="shared" ref="FP275:FQ275" si="8987">FP276+FP277</f>
        <v>0</v>
      </c>
      <c r="FQ275" s="675">
        <f t="shared" si="8987"/>
        <v>0</v>
      </c>
      <c r="FR275" s="549">
        <f t="shared" ref="FR275:FS275" si="8988">FR276+FR277</f>
        <v>0</v>
      </c>
      <c r="FS275" s="675">
        <f t="shared" si="8988"/>
        <v>0</v>
      </c>
      <c r="FT275" s="549">
        <f t="shared" ref="FT275:FU275" si="8989">FT276+FT277</f>
        <v>0</v>
      </c>
      <c r="FU275" s="675">
        <f t="shared" si="8989"/>
        <v>0</v>
      </c>
      <c r="FV275" s="549">
        <f t="shared" ref="FV275:GK275" si="8990">FV276+FV277</f>
        <v>0</v>
      </c>
      <c r="FW275" s="675">
        <f t="shared" si="8990"/>
        <v>0</v>
      </c>
      <c r="FX275" s="549">
        <f t="shared" si="8990"/>
        <v>0</v>
      </c>
      <c r="FY275" s="675">
        <f t="shared" si="8990"/>
        <v>0</v>
      </c>
      <c r="FZ275" s="549">
        <f t="shared" ref="FZ275:GI275" si="8991">FZ276+FZ277</f>
        <v>0</v>
      </c>
      <c r="GA275" s="675">
        <f t="shared" si="8991"/>
        <v>0</v>
      </c>
      <c r="GB275" s="549">
        <f t="shared" si="8991"/>
        <v>0</v>
      </c>
      <c r="GC275" s="675">
        <f t="shared" si="8991"/>
        <v>0</v>
      </c>
      <c r="GD275" s="549">
        <f t="shared" si="8991"/>
        <v>0</v>
      </c>
      <c r="GE275" s="675">
        <f t="shared" si="8991"/>
        <v>0</v>
      </c>
      <c r="GF275" s="549">
        <f t="shared" si="8991"/>
        <v>0</v>
      </c>
      <c r="GG275" s="675">
        <f t="shared" si="8991"/>
        <v>0</v>
      </c>
      <c r="GH275" s="549">
        <f t="shared" si="8991"/>
        <v>0</v>
      </c>
      <c r="GI275" s="675">
        <f t="shared" si="8991"/>
        <v>0</v>
      </c>
      <c r="GJ275" s="549">
        <f t="shared" si="8990"/>
        <v>0</v>
      </c>
      <c r="GK275" s="675">
        <f t="shared" si="8990"/>
        <v>0</v>
      </c>
      <c r="GL275" s="549">
        <f t="shared" ref="GL275:GS275" si="8992">GL276+GL277</f>
        <v>0</v>
      </c>
      <c r="GM275" s="675">
        <f t="shared" si="8992"/>
        <v>0</v>
      </c>
      <c r="GN275" s="549">
        <f t="shared" ref="GN275:GO275" si="8993">GN276+GN277</f>
        <v>0</v>
      </c>
      <c r="GO275" s="675">
        <f t="shared" si="8993"/>
        <v>0</v>
      </c>
      <c r="GP275" s="549">
        <f t="shared" si="8992"/>
        <v>0</v>
      </c>
      <c r="GQ275" s="675">
        <f t="shared" si="8992"/>
        <v>0</v>
      </c>
      <c r="GR275" s="74">
        <f t="shared" si="8992"/>
        <v>0</v>
      </c>
      <c r="GS275" s="74">
        <f t="shared" si="8992"/>
        <v>0</v>
      </c>
      <c r="GT275" s="74">
        <f t="shared" ref="GT275:IE275" si="8994">GT276</f>
        <v>0</v>
      </c>
      <c r="GU275" s="74">
        <f t="shared" si="8994"/>
        <v>0</v>
      </c>
      <c r="GV275" s="74">
        <f t="shared" si="8994"/>
        <v>0</v>
      </c>
      <c r="GW275" s="549">
        <f t="shared" si="8994"/>
        <v>0</v>
      </c>
      <c r="GX275" s="549">
        <f t="shared" si="8994"/>
        <v>0</v>
      </c>
      <c r="GY275" s="74">
        <f t="shared" si="8994"/>
        <v>0</v>
      </c>
      <c r="GZ275" s="74">
        <f t="shared" si="8994"/>
        <v>0</v>
      </c>
      <c r="HA275" s="74">
        <f t="shared" si="8994"/>
        <v>0</v>
      </c>
      <c r="HB275" s="74">
        <f t="shared" si="8994"/>
        <v>0</v>
      </c>
      <c r="HC275" s="74">
        <f t="shared" si="8994"/>
        <v>0</v>
      </c>
      <c r="HD275" s="74">
        <f t="shared" si="8994"/>
        <v>0</v>
      </c>
      <c r="HE275" s="74">
        <f t="shared" si="8994"/>
        <v>0</v>
      </c>
      <c r="HF275" s="74">
        <f t="shared" si="8994"/>
        <v>0</v>
      </c>
      <c r="HG275" s="74">
        <f>HG276+HG277</f>
        <v>0</v>
      </c>
      <c r="HH275" s="74">
        <f t="shared" si="8994"/>
        <v>0</v>
      </c>
      <c r="HI275" s="792">
        <f t="shared" si="8994"/>
        <v>0</v>
      </c>
      <c r="HJ275" s="74">
        <f t="shared" si="8994"/>
        <v>0</v>
      </c>
      <c r="HK275" s="792">
        <f t="shared" si="8994"/>
        <v>0</v>
      </c>
      <c r="HL275" s="74">
        <f t="shared" si="8994"/>
        <v>0</v>
      </c>
      <c r="HM275" s="792">
        <f t="shared" si="8994"/>
        <v>0</v>
      </c>
      <c r="HN275" s="74">
        <f t="shared" si="8994"/>
        <v>0</v>
      </c>
      <c r="HO275" s="792">
        <f t="shared" si="8994"/>
        <v>0</v>
      </c>
      <c r="HP275" s="74">
        <f t="shared" si="8994"/>
        <v>0</v>
      </c>
      <c r="HQ275" s="792">
        <f t="shared" si="8994"/>
        <v>0</v>
      </c>
      <c r="HR275" s="74">
        <f t="shared" si="8994"/>
        <v>0</v>
      </c>
      <c r="HS275" s="792">
        <f t="shared" si="8994"/>
        <v>0</v>
      </c>
      <c r="HT275" s="74">
        <f t="shared" si="8994"/>
        <v>0</v>
      </c>
      <c r="HU275" s="792">
        <f t="shared" si="8994"/>
        <v>0</v>
      </c>
      <c r="HV275" s="74">
        <f t="shared" si="8994"/>
        <v>0</v>
      </c>
      <c r="HW275" s="792">
        <f t="shared" si="8994"/>
        <v>0</v>
      </c>
      <c r="HX275" s="74">
        <f t="shared" si="8994"/>
        <v>0</v>
      </c>
      <c r="HY275" s="792">
        <f t="shared" si="8994"/>
        <v>0</v>
      </c>
      <c r="HZ275" s="74">
        <f t="shared" si="8994"/>
        <v>0</v>
      </c>
      <c r="IA275" s="792">
        <f t="shared" si="8994"/>
        <v>0</v>
      </c>
      <c r="IB275" s="74">
        <f t="shared" si="8994"/>
        <v>0</v>
      </c>
      <c r="IC275" s="792">
        <f t="shared" si="8994"/>
        <v>0</v>
      </c>
      <c r="ID275" s="74">
        <f t="shared" si="8994"/>
        <v>0</v>
      </c>
      <c r="IE275" s="792">
        <f t="shared" si="8994"/>
        <v>0</v>
      </c>
      <c r="IF275" s="841">
        <f>IF276+IF277</f>
        <v>0</v>
      </c>
      <c r="IG275" s="263">
        <f>IG276+IG277</f>
        <v>0</v>
      </c>
      <c r="IH275" s="842">
        <f>IH276+IH277</f>
        <v>0</v>
      </c>
      <c r="II275" s="74">
        <f t="shared" ref="II275:JR275" si="8995">II276</f>
        <v>0</v>
      </c>
      <c r="IJ275" s="74">
        <f t="shared" si="8995"/>
        <v>0</v>
      </c>
      <c r="IK275" s="74">
        <f t="shared" si="8995"/>
        <v>0</v>
      </c>
      <c r="IL275" s="74">
        <f t="shared" si="8995"/>
        <v>0</v>
      </c>
      <c r="IM275" s="74">
        <f t="shared" si="8995"/>
        <v>0</v>
      </c>
      <c r="IN275" s="74">
        <f t="shared" si="8995"/>
        <v>0</v>
      </c>
      <c r="IO275" s="74">
        <f t="shared" si="8995"/>
        <v>0</v>
      </c>
      <c r="IP275" s="74">
        <f t="shared" si="8995"/>
        <v>0</v>
      </c>
      <c r="IQ275" s="74">
        <f t="shared" si="8995"/>
        <v>0</v>
      </c>
      <c r="IR275" s="74">
        <f t="shared" si="8995"/>
        <v>0</v>
      </c>
      <c r="IS275" s="74">
        <f t="shared" si="8995"/>
        <v>0</v>
      </c>
      <c r="IT275" s="74">
        <f t="shared" si="8995"/>
        <v>0</v>
      </c>
      <c r="IU275" s="74">
        <f t="shared" si="8995"/>
        <v>0</v>
      </c>
      <c r="IV275" s="74">
        <f t="shared" si="8995"/>
        <v>0</v>
      </c>
      <c r="IW275" s="74">
        <f t="shared" si="8995"/>
        <v>0</v>
      </c>
      <c r="IX275" s="74">
        <f t="shared" si="8995"/>
        <v>0</v>
      </c>
      <c r="IY275" s="74">
        <f t="shared" si="8995"/>
        <v>0</v>
      </c>
      <c r="IZ275" s="74">
        <f t="shared" si="8995"/>
        <v>0</v>
      </c>
      <c r="JA275" s="74">
        <f t="shared" si="8995"/>
        <v>0</v>
      </c>
      <c r="JB275" s="74">
        <f t="shared" si="8995"/>
        <v>0</v>
      </c>
      <c r="JC275" s="74">
        <f t="shared" si="8995"/>
        <v>0</v>
      </c>
      <c r="JD275" s="74">
        <f t="shared" si="8995"/>
        <v>0</v>
      </c>
      <c r="JE275" s="74">
        <f t="shared" si="8995"/>
        <v>0</v>
      </c>
      <c r="JF275" s="74">
        <f t="shared" si="8995"/>
        <v>0</v>
      </c>
      <c r="JG275" s="74">
        <f t="shared" si="8995"/>
        <v>0</v>
      </c>
      <c r="JH275" s="74">
        <f t="shared" si="8995"/>
        <v>0</v>
      </c>
      <c r="JI275" s="74">
        <f t="shared" si="8995"/>
        <v>0</v>
      </c>
      <c r="JJ275" s="74">
        <f t="shared" si="8995"/>
        <v>0</v>
      </c>
      <c r="JK275" s="74">
        <f t="shared" si="8995"/>
        <v>0</v>
      </c>
      <c r="JL275" s="74">
        <f t="shared" si="8995"/>
        <v>0</v>
      </c>
      <c r="JM275" s="74">
        <f t="shared" si="8995"/>
        <v>0</v>
      </c>
      <c r="JN275" s="74">
        <f t="shared" si="8995"/>
        <v>0</v>
      </c>
      <c r="JO275" s="74">
        <f t="shared" si="8995"/>
        <v>0</v>
      </c>
      <c r="JP275" s="74">
        <f t="shared" si="8995"/>
        <v>0</v>
      </c>
      <c r="JQ275" s="74">
        <f t="shared" si="8995"/>
        <v>0</v>
      </c>
      <c r="JR275" s="74">
        <f t="shared" si="8995"/>
        <v>0</v>
      </c>
      <c r="JS275" s="74">
        <f>SUM(JS276:JS277)</f>
        <v>0</v>
      </c>
      <c r="JT275" s="74">
        <f>SUM(JT276:JT277)</f>
        <v>0</v>
      </c>
      <c r="JU275" s="670"/>
      <c r="JV275" s="492"/>
      <c r="JW275" s="490"/>
      <c r="JX275" s="548">
        <f>JX276+JX277</f>
        <v>0</v>
      </c>
      <c r="JY275" s="548">
        <f>JY276+JY277</f>
        <v>0</v>
      </c>
      <c r="JZ275" s="581">
        <f>GP275</f>
        <v>0</v>
      </c>
      <c r="KA275" s="581">
        <f t="shared" si="7471"/>
        <v>0</v>
      </c>
      <c r="KB275" s="548">
        <f t="shared" si="8622"/>
        <v>0</v>
      </c>
      <c r="KC275" s="709">
        <f t="shared" si="7396"/>
        <v>0</v>
      </c>
      <c r="KD275" s="36"/>
      <c r="KE275" s="36"/>
      <c r="KF275" s="36"/>
      <c r="KG275" s="36"/>
      <c r="KH275" s="36"/>
      <c r="KI275" s="36"/>
      <c r="KJ275" s="36"/>
      <c r="KK275" s="36"/>
    </row>
    <row r="276" spans="1:297" s="10" customFormat="1" ht="12.75" hidden="1" customHeight="1">
      <c r="A276" s="86" t="s">
        <v>876</v>
      </c>
      <c r="B276" s="77"/>
      <c r="C276" s="74">
        <v>0</v>
      </c>
      <c r="D276" s="549">
        <v>0</v>
      </c>
      <c r="E276" s="675">
        <v>0</v>
      </c>
      <c r="F276" s="549">
        <v>0</v>
      </c>
      <c r="G276" s="675">
        <v>0</v>
      </c>
      <c r="H276" s="549">
        <v>0</v>
      </c>
      <c r="I276" s="675">
        <v>0</v>
      </c>
      <c r="J276" s="549">
        <v>0</v>
      </c>
      <c r="K276" s="675">
        <v>0</v>
      </c>
      <c r="L276" s="549">
        <v>0</v>
      </c>
      <c r="M276" s="675">
        <v>0</v>
      </c>
      <c r="N276" s="549">
        <v>0</v>
      </c>
      <c r="O276" s="675">
        <v>0</v>
      </c>
      <c r="P276" s="549">
        <v>0</v>
      </c>
      <c r="Q276" s="675">
        <v>0</v>
      </c>
      <c r="R276" s="549">
        <v>0</v>
      </c>
      <c r="S276" s="675">
        <v>0</v>
      </c>
      <c r="T276" s="549">
        <v>0</v>
      </c>
      <c r="U276" s="675">
        <v>0</v>
      </c>
      <c r="V276" s="549">
        <v>0</v>
      </c>
      <c r="W276" s="675">
        <v>0</v>
      </c>
      <c r="X276" s="549">
        <v>0</v>
      </c>
      <c r="Y276" s="675">
        <v>0</v>
      </c>
      <c r="Z276" s="549">
        <v>0</v>
      </c>
      <c r="AA276" s="675">
        <v>0</v>
      </c>
      <c r="AB276" s="549">
        <v>0</v>
      </c>
      <c r="AC276" s="675">
        <v>0</v>
      </c>
      <c r="AD276" s="549">
        <v>0</v>
      </c>
      <c r="AE276" s="675">
        <v>0</v>
      </c>
      <c r="AF276" s="549">
        <v>0</v>
      </c>
      <c r="AG276" s="675">
        <v>0</v>
      </c>
      <c r="AH276" s="549">
        <v>0</v>
      </c>
      <c r="AI276" s="675">
        <v>0</v>
      </c>
      <c r="AJ276" s="549">
        <v>0</v>
      </c>
      <c r="AK276" s="675">
        <v>0</v>
      </c>
      <c r="AL276" s="549">
        <v>0</v>
      </c>
      <c r="AM276" s="675">
        <v>0</v>
      </c>
      <c r="AN276" s="549">
        <v>0</v>
      </c>
      <c r="AO276" s="675">
        <v>0</v>
      </c>
      <c r="AP276" s="549">
        <v>0</v>
      </c>
      <c r="AQ276" s="675">
        <v>0</v>
      </c>
      <c r="AR276" s="549">
        <v>0</v>
      </c>
      <c r="AS276" s="675">
        <v>0</v>
      </c>
      <c r="AT276" s="549">
        <v>0</v>
      </c>
      <c r="AU276" s="675">
        <v>0</v>
      </c>
      <c r="AV276" s="549">
        <v>0</v>
      </c>
      <c r="AW276" s="675">
        <v>0</v>
      </c>
      <c r="AX276" s="549">
        <v>0</v>
      </c>
      <c r="AY276" s="675">
        <v>0</v>
      </c>
      <c r="AZ276" s="549">
        <v>0</v>
      </c>
      <c r="BA276" s="675">
        <v>0</v>
      </c>
      <c r="BB276" s="549">
        <v>0</v>
      </c>
      <c r="BC276" s="675">
        <v>0</v>
      </c>
      <c r="BD276" s="549">
        <v>0</v>
      </c>
      <c r="BE276" s="675">
        <v>0</v>
      </c>
      <c r="BF276" s="549">
        <v>0</v>
      </c>
      <c r="BG276" s="675">
        <v>0</v>
      </c>
      <c r="BH276" s="549">
        <v>0</v>
      </c>
      <c r="BI276" s="675">
        <v>0</v>
      </c>
      <c r="BJ276" s="549">
        <v>0</v>
      </c>
      <c r="BK276" s="675">
        <v>0</v>
      </c>
      <c r="BL276" s="549">
        <v>0</v>
      </c>
      <c r="BM276" s="675">
        <v>0</v>
      </c>
      <c r="BN276" s="549">
        <v>0</v>
      </c>
      <c r="BO276" s="675">
        <v>0</v>
      </c>
      <c r="BP276" s="549">
        <v>0</v>
      </c>
      <c r="BQ276" s="675">
        <v>0</v>
      </c>
      <c r="BR276" s="549">
        <v>0</v>
      </c>
      <c r="BS276" s="675">
        <v>0</v>
      </c>
      <c r="BT276" s="549">
        <v>0</v>
      </c>
      <c r="BU276" s="675">
        <v>0</v>
      </c>
      <c r="BV276" s="549">
        <v>0</v>
      </c>
      <c r="BW276" s="675">
        <v>0</v>
      </c>
      <c r="BX276" s="549">
        <v>0</v>
      </c>
      <c r="BY276" s="675">
        <v>0</v>
      </c>
      <c r="BZ276" s="549">
        <v>0</v>
      </c>
      <c r="CA276" s="675">
        <v>0</v>
      </c>
      <c r="CB276" s="549">
        <v>0</v>
      </c>
      <c r="CC276" s="675">
        <v>0</v>
      </c>
      <c r="CD276" s="549">
        <v>0</v>
      </c>
      <c r="CE276" s="675">
        <v>0</v>
      </c>
      <c r="CF276" s="549">
        <v>0</v>
      </c>
      <c r="CG276" s="675">
        <v>0</v>
      </c>
      <c r="CH276" s="549">
        <v>0</v>
      </c>
      <c r="CI276" s="675">
        <v>0</v>
      </c>
      <c r="CJ276" s="549">
        <v>0</v>
      </c>
      <c r="CK276" s="675">
        <v>0</v>
      </c>
      <c r="CL276" s="549">
        <v>0</v>
      </c>
      <c r="CM276" s="675">
        <v>0</v>
      </c>
      <c r="CN276" s="549">
        <v>0</v>
      </c>
      <c r="CO276" s="675">
        <v>0</v>
      </c>
      <c r="CP276" s="549">
        <v>0</v>
      </c>
      <c r="CQ276" s="675">
        <v>0</v>
      </c>
      <c r="CR276" s="549">
        <v>0</v>
      </c>
      <c r="CS276" s="675">
        <v>0</v>
      </c>
      <c r="CT276" s="549">
        <v>0</v>
      </c>
      <c r="CU276" s="675">
        <v>0</v>
      </c>
      <c r="CV276" s="549">
        <v>0</v>
      </c>
      <c r="CW276" s="675">
        <v>0</v>
      </c>
      <c r="CX276" s="549">
        <v>0</v>
      </c>
      <c r="CY276" s="675">
        <v>0</v>
      </c>
      <c r="CZ276" s="549">
        <v>0</v>
      </c>
      <c r="DA276" s="675">
        <v>0</v>
      </c>
      <c r="DB276" s="549">
        <v>0</v>
      </c>
      <c r="DC276" s="675">
        <v>0</v>
      </c>
      <c r="DD276" s="549">
        <v>0</v>
      </c>
      <c r="DE276" s="675">
        <v>0</v>
      </c>
      <c r="DF276" s="549">
        <v>0</v>
      </c>
      <c r="DG276" s="675">
        <v>0</v>
      </c>
      <c r="DH276" s="549">
        <v>0</v>
      </c>
      <c r="DI276" s="675">
        <v>0</v>
      </c>
      <c r="DJ276" s="549">
        <v>0</v>
      </c>
      <c r="DK276" s="675">
        <v>0</v>
      </c>
      <c r="DL276" s="549">
        <v>0</v>
      </c>
      <c r="DM276" s="675">
        <v>0</v>
      </c>
      <c r="DN276" s="549">
        <v>0</v>
      </c>
      <c r="DO276" s="675">
        <v>0</v>
      </c>
      <c r="DP276" s="549">
        <v>0</v>
      </c>
      <c r="DQ276" s="675">
        <v>0</v>
      </c>
      <c r="DR276" s="549">
        <v>0</v>
      </c>
      <c r="DS276" s="675">
        <v>0</v>
      </c>
      <c r="DT276" s="549">
        <v>0</v>
      </c>
      <c r="DU276" s="675">
        <v>0</v>
      </c>
      <c r="DV276" s="549">
        <v>0</v>
      </c>
      <c r="DW276" s="675">
        <v>0</v>
      </c>
      <c r="DX276" s="549">
        <v>0</v>
      </c>
      <c r="DY276" s="675">
        <v>0</v>
      </c>
      <c r="DZ276" s="549">
        <v>0</v>
      </c>
      <c r="EA276" s="675">
        <v>0</v>
      </c>
      <c r="EB276" s="549">
        <v>0</v>
      </c>
      <c r="EC276" s="675">
        <v>0</v>
      </c>
      <c r="ED276" s="549">
        <v>0</v>
      </c>
      <c r="EE276" s="675">
        <v>0</v>
      </c>
      <c r="EF276" s="549">
        <v>0</v>
      </c>
      <c r="EG276" s="675">
        <v>0</v>
      </c>
      <c r="EH276" s="549">
        <v>0</v>
      </c>
      <c r="EI276" s="675">
        <v>0</v>
      </c>
      <c r="EJ276" s="549">
        <v>0</v>
      </c>
      <c r="EK276" s="675">
        <v>0</v>
      </c>
      <c r="EL276" s="549">
        <v>0</v>
      </c>
      <c r="EM276" s="675">
        <v>0</v>
      </c>
      <c r="EN276" s="549">
        <v>0</v>
      </c>
      <c r="EO276" s="675">
        <v>0</v>
      </c>
      <c r="EP276" s="549">
        <v>0</v>
      </c>
      <c r="EQ276" s="675">
        <v>0</v>
      </c>
      <c r="ER276" s="549">
        <v>0</v>
      </c>
      <c r="ES276" s="675">
        <v>0</v>
      </c>
      <c r="ET276" s="549">
        <v>0</v>
      </c>
      <c r="EU276" s="675">
        <v>0</v>
      </c>
      <c r="EV276" s="549">
        <v>0</v>
      </c>
      <c r="EW276" s="675">
        <v>0</v>
      </c>
      <c r="EX276" s="549">
        <v>0</v>
      </c>
      <c r="EY276" s="675">
        <v>0</v>
      </c>
      <c r="EZ276" s="549">
        <v>0</v>
      </c>
      <c r="FA276" s="675">
        <v>0</v>
      </c>
      <c r="FB276" s="549">
        <v>0</v>
      </c>
      <c r="FC276" s="675">
        <v>0</v>
      </c>
      <c r="FD276" s="549">
        <v>0</v>
      </c>
      <c r="FE276" s="675">
        <v>0</v>
      </c>
      <c r="FF276" s="549">
        <v>0</v>
      </c>
      <c r="FG276" s="675">
        <v>0</v>
      </c>
      <c r="FH276" s="549">
        <v>0</v>
      </c>
      <c r="FI276" s="675">
        <v>0</v>
      </c>
      <c r="FJ276" s="549">
        <v>0</v>
      </c>
      <c r="FK276" s="675">
        <v>0</v>
      </c>
      <c r="FL276" s="549">
        <v>0</v>
      </c>
      <c r="FM276" s="675">
        <v>0</v>
      </c>
      <c r="FN276" s="549">
        <v>0</v>
      </c>
      <c r="FO276" s="675">
        <v>0</v>
      </c>
      <c r="FP276" s="549">
        <v>0</v>
      </c>
      <c r="FQ276" s="675">
        <v>0</v>
      </c>
      <c r="FR276" s="549">
        <v>0</v>
      </c>
      <c r="FS276" s="675">
        <v>0</v>
      </c>
      <c r="FT276" s="549">
        <v>0</v>
      </c>
      <c r="FU276" s="675">
        <v>0</v>
      </c>
      <c r="FV276" s="549">
        <v>0</v>
      </c>
      <c r="FW276" s="675">
        <v>0</v>
      </c>
      <c r="FX276" s="549">
        <v>0</v>
      </c>
      <c r="FY276" s="675">
        <v>0</v>
      </c>
      <c r="FZ276" s="549">
        <v>0</v>
      </c>
      <c r="GA276" s="675">
        <v>0</v>
      </c>
      <c r="GB276" s="549">
        <v>0</v>
      </c>
      <c r="GC276" s="675">
        <v>0</v>
      </c>
      <c r="GD276" s="549">
        <v>0</v>
      </c>
      <c r="GE276" s="675">
        <v>0</v>
      </c>
      <c r="GF276" s="549">
        <v>0</v>
      </c>
      <c r="GG276" s="675">
        <v>0</v>
      </c>
      <c r="GH276" s="549">
        <v>0</v>
      </c>
      <c r="GI276" s="675">
        <v>0</v>
      </c>
      <c r="GJ276" s="549">
        <v>0</v>
      </c>
      <c r="GK276" s="675">
        <v>0</v>
      </c>
      <c r="GL276" s="549">
        <v>0</v>
      </c>
      <c r="GM276" s="675">
        <v>0</v>
      </c>
      <c r="GN276" s="549">
        <v>0</v>
      </c>
      <c r="GO276" s="675">
        <v>0</v>
      </c>
      <c r="GP276" s="549">
        <f>+D276+F276+H276+J276+L276+N276+P276+R276+T276+V276+X276+Z276+AB276+AD276+AH276+AJ276+AL276+AN276+AP276+AR276+AT276+AV276+AX276+AZ276+BB276+BD276+BF276+BH276+BJ276+BL276+BN276+BP276+BR276+BT276+BV276+BX276+BZ276+CB276+CD276+CF276+CH276+CJ276+CL276+CN276+CP276+CR276+CT276+CV276+CX276+CZ276+DB276+DD276+DF276+DH276+DT276+EX276+DJ276+DL276+DN276+DP276+DR276+EJ276+EB276+DZ276+DX276+DV276+ED276+EF276+EH276+EL276+EN276+EP276+EV276+ET276+ER276+EZ276+FB276+FD276+GL276</f>
        <v>0</v>
      </c>
      <c r="GQ276" s="675">
        <f>+E276+G276+I276+K276+M276+O276+Q276+S276+U276+W276+Y276+AA276+AC276+AE276+AI276+AK276+AM276+AO276+AQ276+AS276+AU276+AW276+AY276+BA276+BC276+BE276+BG276+BI276+BK276+BM276+BO276+BQ276+BS276+BU276+BW276+BY276+CA276+CC276+CE276+CG276+CI276+CK276+CM276+CO276+CQ276+CS276+CU276+CW276+CY276+DA276+DC276+DE276+DG276+DI276+DU276+EY276+DK276+DM276+DO276+DQ276+DS276+EK276+EC276+EA276+DY276+DW276+EI276+EG276+EE276+EM276+EO276+EQ276+EW276+EU276+ES276+FA276+FC276+FE276+GM276</f>
        <v>0</v>
      </c>
      <c r="GR276" s="74">
        <f>C276+GP276+GQ276</f>
        <v>0</v>
      </c>
      <c r="GS276" s="74">
        <f t="shared" ref="GS276:GS277" si="8996">SUM(GU276:GV276)+GP276+GQ276</f>
        <v>0</v>
      </c>
      <c r="GT276" s="568">
        <f>SUM(GU276:HF276)+GQ276+GP276</f>
        <v>0</v>
      </c>
      <c r="GU276" s="275">
        <v>0</v>
      </c>
      <c r="GV276" s="275">
        <v>0</v>
      </c>
      <c r="GW276" s="588">
        <v>0</v>
      </c>
      <c r="GX276" s="588">
        <v>0</v>
      </c>
      <c r="GY276" s="275">
        <v>0</v>
      </c>
      <c r="GZ276" s="275">
        <v>0</v>
      </c>
      <c r="HA276" s="275">
        <v>0</v>
      </c>
      <c r="HB276" s="275">
        <v>0</v>
      </c>
      <c r="HC276" s="275">
        <v>0</v>
      </c>
      <c r="HD276" s="275">
        <v>0</v>
      </c>
      <c r="HE276" s="275">
        <v>0</v>
      </c>
      <c r="HF276" s="275">
        <v>0</v>
      </c>
      <c r="HG276" s="74">
        <f>SUM(HH276:IE276)+GP276+GQ276</f>
        <v>0</v>
      </c>
      <c r="HH276" s="89">
        <v>0</v>
      </c>
      <c r="HI276" s="817">
        <v>0</v>
      </c>
      <c r="HJ276" s="89">
        <v>0</v>
      </c>
      <c r="HK276" s="817">
        <v>0</v>
      </c>
      <c r="HL276" s="89">
        <v>0</v>
      </c>
      <c r="HM276" s="817">
        <v>0</v>
      </c>
      <c r="HN276" s="89">
        <v>0</v>
      </c>
      <c r="HO276" s="817">
        <v>0</v>
      </c>
      <c r="HP276" s="89">
        <v>0</v>
      </c>
      <c r="HQ276" s="817">
        <v>0</v>
      </c>
      <c r="HR276" s="89">
        <v>0</v>
      </c>
      <c r="HS276" s="817">
        <v>0</v>
      </c>
      <c r="HT276" s="89">
        <v>0</v>
      </c>
      <c r="HU276" s="817">
        <v>0</v>
      </c>
      <c r="HV276" s="89">
        <v>0</v>
      </c>
      <c r="HW276" s="817">
        <v>0</v>
      </c>
      <c r="HX276" s="89">
        <v>0</v>
      </c>
      <c r="HY276" s="817">
        <v>0</v>
      </c>
      <c r="HZ276" s="89">
        <v>0</v>
      </c>
      <c r="IA276" s="817">
        <v>0</v>
      </c>
      <c r="IB276" s="89">
        <v>0</v>
      </c>
      <c r="IC276" s="817">
        <v>0</v>
      </c>
      <c r="ID276" s="89">
        <v>0</v>
      </c>
      <c r="IE276" s="817">
        <v>0</v>
      </c>
      <c r="IF276" s="841">
        <f t="shared" ref="IF276:IF277" si="8997">SUM(II276,IL276,IO276,IR276,IU276,IX276,JA276,JD276,JG276,JJ276,JM276,JP276)</f>
        <v>0</v>
      </c>
      <c r="IG276" s="263">
        <f t="shared" ref="IG276:IG277" si="8998">SUM(IJ276,IM276,IP276,IS276,IV276,IY276,JB276,JE276,JH276,JK276,JN276,JQ276)</f>
        <v>0</v>
      </c>
      <c r="IH276" s="842">
        <f t="shared" ref="IH276:IH277" si="8999">SUM(IK276,IN276,IQ276,IT276,IW276,IZ276,JC276,JF276,JI276,JL276,JO276,JR276)</f>
        <v>0</v>
      </c>
      <c r="II276" s="89">
        <v>0</v>
      </c>
      <c r="IJ276" s="89">
        <v>0</v>
      </c>
      <c r="IK276" s="89">
        <v>0</v>
      </c>
      <c r="IL276" s="89">
        <v>0</v>
      </c>
      <c r="IM276" s="89">
        <v>0</v>
      </c>
      <c r="IN276" s="89">
        <v>0</v>
      </c>
      <c r="IO276" s="89">
        <v>0</v>
      </c>
      <c r="IP276" s="89">
        <v>0</v>
      </c>
      <c r="IQ276" s="89">
        <v>0</v>
      </c>
      <c r="IR276" s="89">
        <v>0</v>
      </c>
      <c r="IS276" s="89">
        <v>0</v>
      </c>
      <c r="IT276" s="89">
        <v>0</v>
      </c>
      <c r="IU276" s="89">
        <v>0</v>
      </c>
      <c r="IV276" s="89">
        <v>0</v>
      </c>
      <c r="IW276" s="89">
        <v>0</v>
      </c>
      <c r="IX276" s="89">
        <v>0</v>
      </c>
      <c r="IY276" s="89">
        <v>0</v>
      </c>
      <c r="IZ276" s="89">
        <v>0</v>
      </c>
      <c r="JA276" s="89">
        <v>0</v>
      </c>
      <c r="JB276" s="89">
        <v>0</v>
      </c>
      <c r="JC276" s="89">
        <v>0</v>
      </c>
      <c r="JD276" s="89">
        <v>0</v>
      </c>
      <c r="JE276" s="89">
        <v>0</v>
      </c>
      <c r="JF276" s="89">
        <v>0</v>
      </c>
      <c r="JG276" s="89">
        <v>0</v>
      </c>
      <c r="JH276" s="89">
        <v>0</v>
      </c>
      <c r="JI276" s="89">
        <v>0</v>
      </c>
      <c r="JJ276" s="89">
        <v>0</v>
      </c>
      <c r="JK276" s="89">
        <v>0</v>
      </c>
      <c r="JL276" s="89">
        <v>0</v>
      </c>
      <c r="JM276" s="89">
        <v>0</v>
      </c>
      <c r="JN276" s="89">
        <v>0</v>
      </c>
      <c r="JO276" s="89">
        <v>0</v>
      </c>
      <c r="JP276" s="89">
        <v>0</v>
      </c>
      <c r="JQ276" s="89">
        <v>0</v>
      </c>
      <c r="JR276" s="89">
        <v>0</v>
      </c>
      <c r="JS276" s="74">
        <f>HG276-IF276</f>
        <v>0</v>
      </c>
      <c r="JT276" s="382">
        <f>GS276-IF276</f>
        <v>0</v>
      </c>
      <c r="JU276" s="670"/>
      <c r="JV276" s="492"/>
      <c r="JW276" s="490"/>
      <c r="JX276" s="548">
        <f>SUM(HH276,HJ276,HL276,HN276,HP276,HR276,HT276,HV276,HX276,HZ276,IB276,ID276)</f>
        <v>0</v>
      </c>
      <c r="JY276" s="548">
        <f>SUM(HI276,HK276,HM276,HO276,HQ276,HS276,HU276,HW276,HY276,IA276,IC276,IE276)</f>
        <v>0</v>
      </c>
      <c r="JZ276" s="581">
        <f t="shared" si="7470"/>
        <v>0</v>
      </c>
      <c r="KA276" s="581">
        <f t="shared" si="7471"/>
        <v>0</v>
      </c>
      <c r="KB276" s="548">
        <f t="shared" si="8622"/>
        <v>0</v>
      </c>
      <c r="KC276" s="709">
        <f t="shared" si="7396"/>
        <v>0</v>
      </c>
      <c r="KD276" s="36"/>
      <c r="KE276" s="36"/>
      <c r="KF276" s="36"/>
      <c r="KG276" s="36"/>
      <c r="KH276" s="36"/>
      <c r="KI276" s="36"/>
      <c r="KJ276" s="36"/>
      <c r="KK276" s="36"/>
    </row>
    <row r="277" spans="1:297" s="10" customFormat="1" ht="12.75" hidden="1" customHeight="1">
      <c r="A277" s="86" t="s">
        <v>1118</v>
      </c>
      <c r="B277" s="77"/>
      <c r="C277" s="74">
        <v>0</v>
      </c>
      <c r="D277" s="549">
        <v>0</v>
      </c>
      <c r="E277" s="675">
        <v>0</v>
      </c>
      <c r="F277" s="549">
        <v>0</v>
      </c>
      <c r="G277" s="675">
        <v>0</v>
      </c>
      <c r="H277" s="549">
        <v>0</v>
      </c>
      <c r="I277" s="675">
        <v>0</v>
      </c>
      <c r="J277" s="549">
        <v>0</v>
      </c>
      <c r="K277" s="675">
        <v>0</v>
      </c>
      <c r="L277" s="549">
        <v>0</v>
      </c>
      <c r="M277" s="675">
        <v>0</v>
      </c>
      <c r="N277" s="549">
        <v>0</v>
      </c>
      <c r="O277" s="675">
        <v>0</v>
      </c>
      <c r="P277" s="549">
        <v>0</v>
      </c>
      <c r="Q277" s="675">
        <v>0</v>
      </c>
      <c r="R277" s="549">
        <v>0</v>
      </c>
      <c r="S277" s="675">
        <v>0</v>
      </c>
      <c r="T277" s="549">
        <v>0</v>
      </c>
      <c r="U277" s="675">
        <v>0</v>
      </c>
      <c r="V277" s="549">
        <v>0</v>
      </c>
      <c r="W277" s="675">
        <v>0</v>
      </c>
      <c r="X277" s="549">
        <v>0</v>
      </c>
      <c r="Y277" s="675">
        <v>0</v>
      </c>
      <c r="Z277" s="549">
        <v>0</v>
      </c>
      <c r="AA277" s="675">
        <v>0</v>
      </c>
      <c r="AB277" s="549">
        <v>0</v>
      </c>
      <c r="AC277" s="675">
        <v>0</v>
      </c>
      <c r="AD277" s="549">
        <v>0</v>
      </c>
      <c r="AE277" s="675">
        <v>0</v>
      </c>
      <c r="AF277" s="549">
        <v>0</v>
      </c>
      <c r="AG277" s="675">
        <v>0</v>
      </c>
      <c r="AH277" s="549">
        <v>0</v>
      </c>
      <c r="AI277" s="675">
        <v>0</v>
      </c>
      <c r="AJ277" s="549">
        <v>0</v>
      </c>
      <c r="AK277" s="675">
        <v>0</v>
      </c>
      <c r="AL277" s="549">
        <v>0</v>
      </c>
      <c r="AM277" s="675">
        <v>0</v>
      </c>
      <c r="AN277" s="549">
        <v>0</v>
      </c>
      <c r="AO277" s="675">
        <v>0</v>
      </c>
      <c r="AP277" s="549">
        <v>0</v>
      </c>
      <c r="AQ277" s="675">
        <v>0</v>
      </c>
      <c r="AR277" s="549">
        <v>0</v>
      </c>
      <c r="AS277" s="675">
        <v>0</v>
      </c>
      <c r="AT277" s="549">
        <v>0</v>
      </c>
      <c r="AU277" s="675">
        <v>0</v>
      </c>
      <c r="AV277" s="549">
        <v>0</v>
      </c>
      <c r="AW277" s="675">
        <v>0</v>
      </c>
      <c r="AX277" s="549">
        <v>0</v>
      </c>
      <c r="AY277" s="675">
        <v>0</v>
      </c>
      <c r="AZ277" s="549">
        <v>0</v>
      </c>
      <c r="BA277" s="675">
        <v>0</v>
      </c>
      <c r="BB277" s="549">
        <v>0</v>
      </c>
      <c r="BC277" s="675">
        <v>0</v>
      </c>
      <c r="BD277" s="549">
        <v>0</v>
      </c>
      <c r="BE277" s="675">
        <v>0</v>
      </c>
      <c r="BF277" s="549">
        <v>0</v>
      </c>
      <c r="BG277" s="675">
        <v>0</v>
      </c>
      <c r="BH277" s="549">
        <v>0</v>
      </c>
      <c r="BI277" s="675">
        <v>0</v>
      </c>
      <c r="BJ277" s="549">
        <v>0</v>
      </c>
      <c r="BK277" s="675">
        <v>0</v>
      </c>
      <c r="BL277" s="549">
        <v>0</v>
      </c>
      <c r="BM277" s="675">
        <v>0</v>
      </c>
      <c r="BN277" s="549">
        <v>0</v>
      </c>
      <c r="BO277" s="675">
        <v>0</v>
      </c>
      <c r="BP277" s="549">
        <v>0</v>
      </c>
      <c r="BQ277" s="675">
        <v>0</v>
      </c>
      <c r="BR277" s="549">
        <v>0</v>
      </c>
      <c r="BS277" s="675">
        <v>0</v>
      </c>
      <c r="BT277" s="549">
        <v>0</v>
      </c>
      <c r="BU277" s="675">
        <v>0</v>
      </c>
      <c r="BV277" s="549">
        <v>0</v>
      </c>
      <c r="BW277" s="675">
        <v>0</v>
      </c>
      <c r="BX277" s="549">
        <v>0</v>
      </c>
      <c r="BY277" s="675">
        <v>0</v>
      </c>
      <c r="BZ277" s="549">
        <v>0</v>
      </c>
      <c r="CA277" s="675">
        <v>0</v>
      </c>
      <c r="CB277" s="549">
        <v>0</v>
      </c>
      <c r="CC277" s="675">
        <v>0</v>
      </c>
      <c r="CD277" s="549">
        <v>0</v>
      </c>
      <c r="CE277" s="675">
        <v>0</v>
      </c>
      <c r="CF277" s="549">
        <v>0</v>
      </c>
      <c r="CG277" s="675">
        <v>0</v>
      </c>
      <c r="CH277" s="549">
        <v>0</v>
      </c>
      <c r="CI277" s="675">
        <v>0</v>
      </c>
      <c r="CJ277" s="549">
        <v>0</v>
      </c>
      <c r="CK277" s="675">
        <v>0</v>
      </c>
      <c r="CL277" s="549">
        <v>0</v>
      </c>
      <c r="CM277" s="675">
        <v>0</v>
      </c>
      <c r="CN277" s="549">
        <v>0</v>
      </c>
      <c r="CO277" s="675">
        <v>0</v>
      </c>
      <c r="CP277" s="549">
        <v>0</v>
      </c>
      <c r="CQ277" s="675">
        <v>0</v>
      </c>
      <c r="CR277" s="549">
        <v>0</v>
      </c>
      <c r="CS277" s="675">
        <v>0</v>
      </c>
      <c r="CT277" s="549">
        <v>0</v>
      </c>
      <c r="CU277" s="675">
        <v>0</v>
      </c>
      <c r="CV277" s="549">
        <v>0</v>
      </c>
      <c r="CW277" s="675">
        <v>0</v>
      </c>
      <c r="CX277" s="549">
        <v>0</v>
      </c>
      <c r="CY277" s="675">
        <v>0</v>
      </c>
      <c r="CZ277" s="549">
        <v>0</v>
      </c>
      <c r="DA277" s="675">
        <v>0</v>
      </c>
      <c r="DB277" s="549">
        <v>0</v>
      </c>
      <c r="DC277" s="675">
        <v>0</v>
      </c>
      <c r="DD277" s="549">
        <v>0</v>
      </c>
      <c r="DE277" s="675">
        <v>0</v>
      </c>
      <c r="DF277" s="549">
        <v>0</v>
      </c>
      <c r="DG277" s="675">
        <v>0</v>
      </c>
      <c r="DH277" s="549">
        <v>0</v>
      </c>
      <c r="DI277" s="675">
        <v>0</v>
      </c>
      <c r="DJ277" s="549">
        <v>0</v>
      </c>
      <c r="DK277" s="675">
        <v>0</v>
      </c>
      <c r="DL277" s="549">
        <v>0</v>
      </c>
      <c r="DM277" s="675">
        <v>0</v>
      </c>
      <c r="DN277" s="549">
        <v>0</v>
      </c>
      <c r="DO277" s="675">
        <v>0</v>
      </c>
      <c r="DP277" s="549">
        <v>0</v>
      </c>
      <c r="DQ277" s="675">
        <v>0</v>
      </c>
      <c r="DR277" s="549">
        <v>0</v>
      </c>
      <c r="DS277" s="675">
        <v>0</v>
      </c>
      <c r="DT277" s="549">
        <v>0</v>
      </c>
      <c r="DU277" s="675">
        <v>0</v>
      </c>
      <c r="DV277" s="549">
        <v>0</v>
      </c>
      <c r="DW277" s="675">
        <v>0</v>
      </c>
      <c r="DX277" s="549">
        <v>0</v>
      </c>
      <c r="DY277" s="675">
        <v>0</v>
      </c>
      <c r="DZ277" s="549">
        <v>0</v>
      </c>
      <c r="EA277" s="675">
        <v>0</v>
      </c>
      <c r="EB277" s="549">
        <v>0</v>
      </c>
      <c r="EC277" s="675">
        <v>0</v>
      </c>
      <c r="ED277" s="549">
        <v>0</v>
      </c>
      <c r="EE277" s="675">
        <v>0</v>
      </c>
      <c r="EF277" s="549">
        <v>0</v>
      </c>
      <c r="EG277" s="675">
        <v>0</v>
      </c>
      <c r="EH277" s="549">
        <v>0</v>
      </c>
      <c r="EI277" s="675">
        <v>0</v>
      </c>
      <c r="EJ277" s="549">
        <v>0</v>
      </c>
      <c r="EK277" s="675">
        <v>0</v>
      </c>
      <c r="EL277" s="549">
        <v>0</v>
      </c>
      <c r="EM277" s="675">
        <v>0</v>
      </c>
      <c r="EN277" s="549">
        <v>0</v>
      </c>
      <c r="EO277" s="675">
        <v>0</v>
      </c>
      <c r="EP277" s="549">
        <v>0</v>
      </c>
      <c r="EQ277" s="675">
        <v>0</v>
      </c>
      <c r="ER277" s="549">
        <v>0</v>
      </c>
      <c r="ES277" s="675">
        <v>0</v>
      </c>
      <c r="ET277" s="549">
        <v>0</v>
      </c>
      <c r="EU277" s="675">
        <v>0</v>
      </c>
      <c r="EV277" s="549">
        <v>0</v>
      </c>
      <c r="EW277" s="675">
        <v>0</v>
      </c>
      <c r="EX277" s="549">
        <v>0</v>
      </c>
      <c r="EY277" s="675">
        <v>0</v>
      </c>
      <c r="EZ277" s="549">
        <v>0</v>
      </c>
      <c r="FA277" s="675">
        <v>0</v>
      </c>
      <c r="FB277" s="549">
        <v>0</v>
      </c>
      <c r="FC277" s="675">
        <v>0</v>
      </c>
      <c r="FD277" s="549">
        <v>0</v>
      </c>
      <c r="FE277" s="675">
        <v>0</v>
      </c>
      <c r="FF277" s="549">
        <v>0</v>
      </c>
      <c r="FG277" s="675">
        <v>0</v>
      </c>
      <c r="FH277" s="549">
        <v>0</v>
      </c>
      <c r="FI277" s="675">
        <v>0</v>
      </c>
      <c r="FJ277" s="549">
        <v>0</v>
      </c>
      <c r="FK277" s="675">
        <v>0</v>
      </c>
      <c r="FL277" s="549">
        <v>0</v>
      </c>
      <c r="FM277" s="675">
        <v>0</v>
      </c>
      <c r="FN277" s="549">
        <v>0</v>
      </c>
      <c r="FO277" s="675">
        <v>0</v>
      </c>
      <c r="FP277" s="549">
        <v>0</v>
      </c>
      <c r="FQ277" s="675">
        <v>0</v>
      </c>
      <c r="FR277" s="549">
        <v>0</v>
      </c>
      <c r="FS277" s="675">
        <v>0</v>
      </c>
      <c r="FT277" s="549">
        <v>0</v>
      </c>
      <c r="FU277" s="675">
        <v>0</v>
      </c>
      <c r="FV277" s="549">
        <v>0</v>
      </c>
      <c r="FW277" s="675">
        <v>0</v>
      </c>
      <c r="FX277" s="549">
        <v>0</v>
      </c>
      <c r="FY277" s="675">
        <v>0</v>
      </c>
      <c r="FZ277" s="549">
        <v>0</v>
      </c>
      <c r="GA277" s="675">
        <v>0</v>
      </c>
      <c r="GB277" s="549">
        <v>0</v>
      </c>
      <c r="GC277" s="675">
        <v>0</v>
      </c>
      <c r="GD277" s="549">
        <v>0</v>
      </c>
      <c r="GE277" s="675">
        <v>0</v>
      </c>
      <c r="GF277" s="549">
        <v>0</v>
      </c>
      <c r="GG277" s="675">
        <v>0</v>
      </c>
      <c r="GH277" s="549">
        <v>0</v>
      </c>
      <c r="GI277" s="675">
        <v>0</v>
      </c>
      <c r="GJ277" s="549">
        <v>0</v>
      </c>
      <c r="GK277" s="675">
        <v>0</v>
      </c>
      <c r="GL277" s="549">
        <v>0</v>
      </c>
      <c r="GM277" s="675">
        <v>0</v>
      </c>
      <c r="GN277" s="549">
        <v>0</v>
      </c>
      <c r="GO277" s="675">
        <v>0</v>
      </c>
      <c r="GP277" s="549">
        <f>+D277+F277+H277+J277+L277+N277+P277+R277+T277+V277+X277+Z277+AB277+AD277+AH277+AJ277+AL277+AN277+AP277+AR277+AT277+AV277+AX277+AZ277+BB277+BD277+BF277+BH277+BJ277+BL277+BN277+BP277+BR277+BT277+BV277+BX277+BZ277+CB277+CD277+CF277+CH277+CJ277+CL277+CN277+CP277+CR277+CT277+CV277+CX277+CZ277+DB277+DD277+DF277+DH277+DT277+EX277+DJ277+DL277+DN277+DP277+DR277+EJ277+EB277+DZ277+DX277+DV277+ED277+EF277+EH277+EL277+EN277+EP277+EV277+ET277+ER277+EZ277+FB277+FD277+GL277</f>
        <v>0</v>
      </c>
      <c r="GQ277" s="675">
        <f>+E277+G277+I277+K277+M277+O277+Q277+S277+U277+W277+Y277+AA277+AC277+AE277+AI277+AK277+AM277+AO277+AQ277+AS277+AU277+AW277+AY277+BA277+BC277+BE277+BG277+BI277+BK277+BM277+BO277+BQ277+BS277+BU277+BW277+BY277+CA277+CC277+CE277+CG277+CI277+CK277+CM277+CO277+CQ277+CS277+CU277+CW277+CY277+DA277+DC277+DE277+DG277+DI277+DU277+EY277+DK277+DM277+DO277+DQ277+DS277+EK277+EC277+EA277+DY277+DW277+EI277+EG277+EE277+EM277+EO277+EQ277+EW277+EU277+ES277+FA277+FC277+FE277+GM277</f>
        <v>0</v>
      </c>
      <c r="GR277" s="74">
        <f>C277+GP277+GQ277</f>
        <v>0</v>
      </c>
      <c r="GS277" s="74">
        <f t="shared" si="8996"/>
        <v>0</v>
      </c>
      <c r="GT277" s="568">
        <f>SUM(GU277:HF277)+GQ277+GP277</f>
        <v>0</v>
      </c>
      <c r="GU277" s="275">
        <v>0</v>
      </c>
      <c r="GV277" s="275">
        <v>0</v>
      </c>
      <c r="GW277" s="588">
        <v>0</v>
      </c>
      <c r="GX277" s="588">
        <v>0</v>
      </c>
      <c r="GY277" s="275">
        <v>0</v>
      </c>
      <c r="GZ277" s="275">
        <v>0</v>
      </c>
      <c r="HA277" s="275">
        <v>0</v>
      </c>
      <c r="HB277" s="275">
        <v>0</v>
      </c>
      <c r="HC277" s="275">
        <v>0</v>
      </c>
      <c r="HD277" s="275">
        <v>0</v>
      </c>
      <c r="HE277" s="275">
        <v>0</v>
      </c>
      <c r="HF277" s="275">
        <v>0</v>
      </c>
      <c r="HG277" s="74">
        <f>SUM(HH277:IE277)+GP277+GQ277</f>
        <v>0</v>
      </c>
      <c r="HH277" s="89">
        <v>0</v>
      </c>
      <c r="HI277" s="817">
        <v>0</v>
      </c>
      <c r="HJ277" s="89">
        <v>0</v>
      </c>
      <c r="HK277" s="817">
        <v>0</v>
      </c>
      <c r="HL277" s="89">
        <v>0</v>
      </c>
      <c r="HM277" s="817">
        <v>0</v>
      </c>
      <c r="HN277" s="89">
        <v>0</v>
      </c>
      <c r="HO277" s="817">
        <v>0</v>
      </c>
      <c r="HP277" s="89">
        <v>0</v>
      </c>
      <c r="HQ277" s="817">
        <v>0</v>
      </c>
      <c r="HR277" s="89">
        <v>0</v>
      </c>
      <c r="HS277" s="817">
        <v>0</v>
      </c>
      <c r="HT277" s="89">
        <v>0</v>
      </c>
      <c r="HU277" s="817">
        <v>0</v>
      </c>
      <c r="HV277" s="89">
        <v>0</v>
      </c>
      <c r="HW277" s="817">
        <v>0</v>
      </c>
      <c r="HX277" s="89">
        <v>0</v>
      </c>
      <c r="HY277" s="817">
        <v>0</v>
      </c>
      <c r="HZ277" s="89">
        <v>0</v>
      </c>
      <c r="IA277" s="817">
        <v>0</v>
      </c>
      <c r="IB277" s="89">
        <v>0</v>
      </c>
      <c r="IC277" s="817">
        <v>0</v>
      </c>
      <c r="ID277" s="89">
        <v>0</v>
      </c>
      <c r="IE277" s="817">
        <v>0</v>
      </c>
      <c r="IF277" s="841">
        <f t="shared" si="8997"/>
        <v>0</v>
      </c>
      <c r="IG277" s="263">
        <f t="shared" si="8998"/>
        <v>0</v>
      </c>
      <c r="IH277" s="842">
        <f t="shared" si="8999"/>
        <v>0</v>
      </c>
      <c r="II277" s="89">
        <v>0</v>
      </c>
      <c r="IJ277" s="89">
        <v>0</v>
      </c>
      <c r="IK277" s="89">
        <v>0</v>
      </c>
      <c r="IL277" s="89">
        <v>0</v>
      </c>
      <c r="IM277" s="89">
        <v>0</v>
      </c>
      <c r="IN277" s="89">
        <v>0</v>
      </c>
      <c r="IO277" s="89">
        <v>0</v>
      </c>
      <c r="IP277" s="89">
        <v>0</v>
      </c>
      <c r="IQ277" s="89">
        <v>0</v>
      </c>
      <c r="IR277" s="89">
        <v>0</v>
      </c>
      <c r="IS277" s="89">
        <v>0</v>
      </c>
      <c r="IT277" s="89">
        <v>0</v>
      </c>
      <c r="IU277" s="89">
        <v>0</v>
      </c>
      <c r="IV277" s="89">
        <v>0</v>
      </c>
      <c r="IW277" s="89">
        <v>0</v>
      </c>
      <c r="IX277" s="89">
        <v>0</v>
      </c>
      <c r="IY277" s="89">
        <v>0</v>
      </c>
      <c r="IZ277" s="89">
        <v>0</v>
      </c>
      <c r="JA277" s="89">
        <v>0</v>
      </c>
      <c r="JB277" s="89">
        <v>0</v>
      </c>
      <c r="JC277" s="89">
        <v>0</v>
      </c>
      <c r="JD277" s="89">
        <v>0</v>
      </c>
      <c r="JE277" s="89">
        <v>0</v>
      </c>
      <c r="JF277" s="89">
        <v>0</v>
      </c>
      <c r="JG277" s="89">
        <v>0</v>
      </c>
      <c r="JH277" s="89">
        <v>0</v>
      </c>
      <c r="JI277" s="89">
        <v>0</v>
      </c>
      <c r="JJ277" s="89">
        <v>0</v>
      </c>
      <c r="JK277" s="89">
        <v>0</v>
      </c>
      <c r="JL277" s="89">
        <v>0</v>
      </c>
      <c r="JM277" s="89">
        <v>0</v>
      </c>
      <c r="JN277" s="89">
        <v>0</v>
      </c>
      <c r="JO277" s="89">
        <v>0</v>
      </c>
      <c r="JP277" s="89">
        <v>0</v>
      </c>
      <c r="JQ277" s="89">
        <v>0</v>
      </c>
      <c r="JR277" s="89">
        <v>0</v>
      </c>
      <c r="JS277" s="74">
        <f>HG277-IF277</f>
        <v>0</v>
      </c>
      <c r="JT277" s="382">
        <f>GS277-IF277</f>
        <v>0</v>
      </c>
      <c r="JU277" s="670"/>
      <c r="JV277" s="492"/>
      <c r="JW277" s="490"/>
      <c r="JX277" s="548">
        <f>SUM(HH277,HJ277,HL277,HN277,HP277,HR277,HT277,HV277,HX277,HZ277,IB277,ID277)</f>
        <v>0</v>
      </c>
      <c r="JY277" s="548">
        <f>SUM(HI277,HK277,HM277,HO277,HQ277,HS277,HU277,HW277,HY277,IA277,IC277,IE277)</f>
        <v>0</v>
      </c>
      <c r="JZ277" s="581">
        <f t="shared" ref="JZ277" si="9000">GP277</f>
        <v>0</v>
      </c>
      <c r="KA277" s="581">
        <f t="shared" ref="KA277" si="9001">GQ277</f>
        <v>0</v>
      </c>
      <c r="KB277" s="548">
        <f t="shared" si="8622"/>
        <v>0</v>
      </c>
      <c r="KC277" s="709">
        <f t="shared" si="7396"/>
        <v>0</v>
      </c>
      <c r="KD277" s="36"/>
      <c r="KE277" s="36"/>
      <c r="KF277" s="36"/>
      <c r="KG277" s="36"/>
      <c r="KH277" s="36"/>
      <c r="KI277" s="36"/>
      <c r="KJ277" s="36"/>
      <c r="KK277" s="36"/>
    </row>
    <row r="278" spans="1:297" s="10" customFormat="1" ht="12.75" hidden="1" customHeight="1">
      <c r="A278" s="80"/>
      <c r="B278" s="77"/>
      <c r="C278" s="74"/>
      <c r="D278" s="549"/>
      <c r="E278" s="675"/>
      <c r="F278" s="549"/>
      <c r="G278" s="675"/>
      <c r="H278" s="549"/>
      <c r="I278" s="675"/>
      <c r="J278" s="549"/>
      <c r="K278" s="675"/>
      <c r="L278" s="549"/>
      <c r="M278" s="675"/>
      <c r="N278" s="549"/>
      <c r="O278" s="675"/>
      <c r="P278" s="549"/>
      <c r="Q278" s="675"/>
      <c r="R278" s="549"/>
      <c r="S278" s="675"/>
      <c r="T278" s="549"/>
      <c r="U278" s="675"/>
      <c r="V278" s="549"/>
      <c r="W278" s="675"/>
      <c r="X278" s="549"/>
      <c r="Y278" s="675"/>
      <c r="Z278" s="549"/>
      <c r="AA278" s="675"/>
      <c r="AB278" s="549"/>
      <c r="AC278" s="675"/>
      <c r="AD278" s="549"/>
      <c r="AE278" s="675"/>
      <c r="AF278" s="549"/>
      <c r="AG278" s="675"/>
      <c r="AH278" s="549"/>
      <c r="AI278" s="675"/>
      <c r="AJ278" s="549"/>
      <c r="AK278" s="675"/>
      <c r="AL278" s="549"/>
      <c r="AM278" s="675"/>
      <c r="AN278" s="549"/>
      <c r="AO278" s="675"/>
      <c r="AP278" s="549"/>
      <c r="AQ278" s="675"/>
      <c r="AR278" s="549"/>
      <c r="AS278" s="675"/>
      <c r="AT278" s="549"/>
      <c r="AU278" s="675"/>
      <c r="AV278" s="549"/>
      <c r="AW278" s="675"/>
      <c r="AX278" s="549"/>
      <c r="AY278" s="675"/>
      <c r="AZ278" s="549"/>
      <c r="BA278" s="675"/>
      <c r="BB278" s="549"/>
      <c r="BC278" s="675"/>
      <c r="BD278" s="549"/>
      <c r="BE278" s="675"/>
      <c r="BF278" s="549"/>
      <c r="BG278" s="675"/>
      <c r="BH278" s="549"/>
      <c r="BI278" s="675"/>
      <c r="BJ278" s="549"/>
      <c r="BK278" s="675"/>
      <c r="BL278" s="549"/>
      <c r="BM278" s="675"/>
      <c r="BN278" s="549"/>
      <c r="BO278" s="675"/>
      <c r="BP278" s="549"/>
      <c r="BQ278" s="675"/>
      <c r="BR278" s="549"/>
      <c r="BS278" s="675"/>
      <c r="BT278" s="549"/>
      <c r="BU278" s="675"/>
      <c r="BV278" s="549"/>
      <c r="BW278" s="675"/>
      <c r="BX278" s="549"/>
      <c r="BY278" s="675"/>
      <c r="BZ278" s="549"/>
      <c r="CA278" s="675"/>
      <c r="CB278" s="549"/>
      <c r="CC278" s="675"/>
      <c r="CD278" s="549"/>
      <c r="CE278" s="675"/>
      <c r="CF278" s="549"/>
      <c r="CG278" s="675"/>
      <c r="CH278" s="549"/>
      <c r="CI278" s="675"/>
      <c r="CJ278" s="549"/>
      <c r="CK278" s="675"/>
      <c r="CL278" s="549"/>
      <c r="CM278" s="675"/>
      <c r="CN278" s="549"/>
      <c r="CO278" s="675"/>
      <c r="CP278" s="549"/>
      <c r="CQ278" s="675"/>
      <c r="CR278" s="549"/>
      <c r="CS278" s="675"/>
      <c r="CT278" s="549"/>
      <c r="CU278" s="675"/>
      <c r="CV278" s="549"/>
      <c r="CW278" s="675"/>
      <c r="CX278" s="549"/>
      <c r="CY278" s="675"/>
      <c r="CZ278" s="549"/>
      <c r="DA278" s="675"/>
      <c r="DB278" s="549"/>
      <c r="DC278" s="675"/>
      <c r="DD278" s="549"/>
      <c r="DE278" s="675"/>
      <c r="DF278" s="549"/>
      <c r="DG278" s="675"/>
      <c r="DH278" s="549"/>
      <c r="DI278" s="675"/>
      <c r="DJ278" s="549"/>
      <c r="DK278" s="675"/>
      <c r="DL278" s="549"/>
      <c r="DM278" s="675"/>
      <c r="DN278" s="549"/>
      <c r="DO278" s="675"/>
      <c r="DP278" s="549"/>
      <c r="DQ278" s="675"/>
      <c r="DR278" s="549"/>
      <c r="DS278" s="675"/>
      <c r="DT278" s="549"/>
      <c r="DU278" s="675"/>
      <c r="DV278" s="549"/>
      <c r="DW278" s="675"/>
      <c r="DX278" s="549"/>
      <c r="DY278" s="675"/>
      <c r="DZ278" s="549"/>
      <c r="EA278" s="675"/>
      <c r="EB278" s="549"/>
      <c r="EC278" s="675"/>
      <c r="ED278" s="549"/>
      <c r="EE278" s="675"/>
      <c r="EF278" s="549"/>
      <c r="EG278" s="675"/>
      <c r="EH278" s="549"/>
      <c r="EI278" s="675"/>
      <c r="EJ278" s="549"/>
      <c r="EK278" s="675"/>
      <c r="EL278" s="549"/>
      <c r="EM278" s="675"/>
      <c r="EN278" s="549"/>
      <c r="EO278" s="675"/>
      <c r="EP278" s="549"/>
      <c r="EQ278" s="675"/>
      <c r="ER278" s="549"/>
      <c r="ES278" s="675"/>
      <c r="ET278" s="549"/>
      <c r="EU278" s="675"/>
      <c r="EV278" s="549"/>
      <c r="EW278" s="675"/>
      <c r="EX278" s="549"/>
      <c r="EY278" s="675"/>
      <c r="EZ278" s="549"/>
      <c r="FA278" s="675"/>
      <c r="FB278" s="549"/>
      <c r="FC278" s="675"/>
      <c r="FD278" s="549"/>
      <c r="FE278" s="675"/>
      <c r="FF278" s="549"/>
      <c r="FG278" s="675"/>
      <c r="FH278" s="549"/>
      <c r="FI278" s="675"/>
      <c r="FJ278" s="549"/>
      <c r="FK278" s="675"/>
      <c r="FL278" s="549"/>
      <c r="FM278" s="675"/>
      <c r="FN278" s="549"/>
      <c r="FO278" s="675"/>
      <c r="FP278" s="549"/>
      <c r="FQ278" s="675"/>
      <c r="FR278" s="549"/>
      <c r="FS278" s="675"/>
      <c r="FT278" s="549"/>
      <c r="FU278" s="675"/>
      <c r="FV278" s="549"/>
      <c r="FW278" s="675"/>
      <c r="FX278" s="549"/>
      <c r="FY278" s="675"/>
      <c r="FZ278" s="549"/>
      <c r="GA278" s="675"/>
      <c r="GB278" s="549"/>
      <c r="GC278" s="675"/>
      <c r="GD278" s="549"/>
      <c r="GE278" s="675"/>
      <c r="GF278" s="549"/>
      <c r="GG278" s="675"/>
      <c r="GH278" s="549"/>
      <c r="GI278" s="675"/>
      <c r="GJ278" s="549"/>
      <c r="GK278" s="675"/>
      <c r="GL278" s="549"/>
      <c r="GM278" s="675"/>
      <c r="GN278" s="549"/>
      <c r="GO278" s="675"/>
      <c r="GP278" s="549"/>
      <c r="GQ278" s="675"/>
      <c r="GR278" s="74"/>
      <c r="GS278" s="74"/>
      <c r="GT278" s="74"/>
      <c r="GU278" s="74"/>
      <c r="GV278" s="74"/>
      <c r="GW278" s="549"/>
      <c r="GX278" s="549"/>
      <c r="GY278" s="74"/>
      <c r="GZ278" s="74"/>
      <c r="HA278" s="74"/>
      <c r="HB278" s="74"/>
      <c r="HC278" s="74"/>
      <c r="HD278" s="74"/>
      <c r="HE278" s="74"/>
      <c r="HF278" s="74"/>
      <c r="HG278" s="74"/>
      <c r="HH278" s="74"/>
      <c r="HI278" s="792"/>
      <c r="HJ278" s="74"/>
      <c r="HK278" s="792"/>
      <c r="HL278" s="74"/>
      <c r="HM278" s="792"/>
      <c r="HN278" s="74"/>
      <c r="HO278" s="792"/>
      <c r="HP278" s="74"/>
      <c r="HQ278" s="792"/>
      <c r="HR278" s="74"/>
      <c r="HS278" s="792"/>
      <c r="HT278" s="74"/>
      <c r="HU278" s="792"/>
      <c r="HV278" s="74"/>
      <c r="HW278" s="792"/>
      <c r="HX278" s="74"/>
      <c r="HY278" s="792"/>
      <c r="HZ278" s="74"/>
      <c r="IA278" s="792"/>
      <c r="IB278" s="74"/>
      <c r="IC278" s="792"/>
      <c r="ID278" s="74"/>
      <c r="IE278" s="792"/>
      <c r="IF278" s="841"/>
      <c r="IG278" s="263"/>
      <c r="IH278" s="842"/>
      <c r="II278" s="74"/>
      <c r="IJ278" s="74"/>
      <c r="IK278" s="74"/>
      <c r="IL278" s="74"/>
      <c r="IM278" s="74"/>
      <c r="IN278" s="74"/>
      <c r="IO278" s="74"/>
      <c r="IP278" s="74"/>
      <c r="IQ278" s="74"/>
      <c r="IR278" s="74"/>
      <c r="IS278" s="74"/>
      <c r="IT278" s="74"/>
      <c r="IU278" s="74"/>
      <c r="IV278" s="74"/>
      <c r="IW278" s="74"/>
      <c r="IX278" s="74"/>
      <c r="IY278" s="74"/>
      <c r="IZ278" s="74"/>
      <c r="JA278" s="74"/>
      <c r="JB278" s="74"/>
      <c r="JC278" s="74"/>
      <c r="JD278" s="74"/>
      <c r="JE278" s="74"/>
      <c r="JF278" s="74"/>
      <c r="JG278" s="74"/>
      <c r="JH278" s="74"/>
      <c r="JI278" s="74"/>
      <c r="JJ278" s="74"/>
      <c r="JK278" s="74"/>
      <c r="JL278" s="74"/>
      <c r="JM278" s="74"/>
      <c r="JN278" s="74"/>
      <c r="JO278" s="74"/>
      <c r="JP278" s="74"/>
      <c r="JQ278" s="74"/>
      <c r="JR278" s="74"/>
      <c r="JS278" s="74"/>
      <c r="JT278" s="382"/>
      <c r="JU278" s="670"/>
      <c r="JV278" s="492"/>
      <c r="JW278" s="490"/>
      <c r="JX278" s="548"/>
      <c r="JY278" s="548"/>
      <c r="JZ278" s="581">
        <f t="shared" si="7470"/>
        <v>0</v>
      </c>
      <c r="KA278" s="581">
        <f t="shared" si="7471"/>
        <v>0</v>
      </c>
      <c r="KB278" s="548">
        <f t="shared" si="8622"/>
        <v>0</v>
      </c>
      <c r="KC278" s="709">
        <f t="shared" si="7396"/>
        <v>0</v>
      </c>
      <c r="KD278" s="36"/>
      <c r="KE278" s="36"/>
      <c r="KF278" s="36"/>
      <c r="KG278" s="36"/>
      <c r="KH278" s="36"/>
      <c r="KI278" s="36"/>
      <c r="KJ278" s="36"/>
      <c r="KK278" s="36"/>
    </row>
    <row r="279" spans="1:297" s="10" customFormat="1">
      <c r="A279" s="80" t="s">
        <v>559</v>
      </c>
      <c r="B279" s="77"/>
      <c r="C279" s="74">
        <f t="shared" ref="C279" si="9002">SUM(C280:C286)</f>
        <v>1013700</v>
      </c>
      <c r="D279" s="549">
        <f t="shared" ref="D279:E279" si="9003">SUM(D280:D286)</f>
        <v>0</v>
      </c>
      <c r="E279" s="675">
        <f t="shared" si="9003"/>
        <v>0</v>
      </c>
      <c r="F279" s="549">
        <f t="shared" ref="F279:G279" si="9004">SUM(F280:F286)</f>
        <v>0</v>
      </c>
      <c r="G279" s="675">
        <f t="shared" si="9004"/>
        <v>0</v>
      </c>
      <c r="H279" s="549">
        <f t="shared" ref="H279:I279" si="9005">SUM(H280:H286)</f>
        <v>0</v>
      </c>
      <c r="I279" s="675">
        <f t="shared" si="9005"/>
        <v>0</v>
      </c>
      <c r="J279" s="549">
        <f t="shared" ref="J279:K279" si="9006">SUM(J280:J286)</f>
        <v>0</v>
      </c>
      <c r="K279" s="675">
        <f t="shared" si="9006"/>
        <v>0</v>
      </c>
      <c r="L279" s="549">
        <f t="shared" ref="L279:M279" si="9007">SUM(L280:L286)</f>
        <v>0</v>
      </c>
      <c r="M279" s="675">
        <f t="shared" si="9007"/>
        <v>0</v>
      </c>
      <c r="N279" s="549">
        <f t="shared" ref="N279:O279" si="9008">SUM(N280:N286)</f>
        <v>0</v>
      </c>
      <c r="O279" s="675">
        <f t="shared" si="9008"/>
        <v>0</v>
      </c>
      <c r="P279" s="549">
        <f t="shared" ref="P279:Q279" si="9009">SUM(P280:P286)</f>
        <v>0</v>
      </c>
      <c r="Q279" s="675">
        <f t="shared" si="9009"/>
        <v>0</v>
      </c>
      <c r="R279" s="549">
        <f t="shared" ref="R279:S279" si="9010">SUM(R280:R286)</f>
        <v>0</v>
      </c>
      <c r="S279" s="675">
        <f t="shared" si="9010"/>
        <v>0</v>
      </c>
      <c r="T279" s="549">
        <f t="shared" ref="T279:AM279" si="9011">SUM(T280:T286)</f>
        <v>0</v>
      </c>
      <c r="U279" s="675">
        <f t="shared" si="9011"/>
        <v>0</v>
      </c>
      <c r="V279" s="549">
        <f t="shared" si="9011"/>
        <v>0</v>
      </c>
      <c r="W279" s="675">
        <f t="shared" si="9011"/>
        <v>0</v>
      </c>
      <c r="X279" s="549">
        <f t="shared" si="9011"/>
        <v>0</v>
      </c>
      <c r="Y279" s="675">
        <f t="shared" si="9011"/>
        <v>0</v>
      </c>
      <c r="Z279" s="549">
        <f t="shared" si="9011"/>
        <v>0</v>
      </c>
      <c r="AA279" s="675">
        <f t="shared" si="9011"/>
        <v>0</v>
      </c>
      <c r="AB279" s="549">
        <f t="shared" si="9011"/>
        <v>0</v>
      </c>
      <c r="AC279" s="675">
        <f t="shared" si="9011"/>
        <v>0</v>
      </c>
      <c r="AD279" s="549">
        <f t="shared" ref="AD279:AK279" si="9012">SUM(AD280:AD286)</f>
        <v>0</v>
      </c>
      <c r="AE279" s="675">
        <f t="shared" si="9012"/>
        <v>0</v>
      </c>
      <c r="AF279" s="549">
        <f t="shared" si="9012"/>
        <v>0</v>
      </c>
      <c r="AG279" s="675">
        <f t="shared" si="9012"/>
        <v>0</v>
      </c>
      <c r="AH279" s="549">
        <f t="shared" si="9012"/>
        <v>0</v>
      </c>
      <c r="AI279" s="675">
        <f t="shared" si="9012"/>
        <v>0</v>
      </c>
      <c r="AJ279" s="549">
        <f t="shared" si="9012"/>
        <v>0</v>
      </c>
      <c r="AK279" s="675">
        <f t="shared" si="9012"/>
        <v>0</v>
      </c>
      <c r="AL279" s="549">
        <f t="shared" si="9011"/>
        <v>0</v>
      </c>
      <c r="AM279" s="675">
        <f t="shared" si="9011"/>
        <v>0</v>
      </c>
      <c r="AN279" s="549">
        <f t="shared" ref="AN279:AS279" si="9013">SUM(AN280:AN286)</f>
        <v>0</v>
      </c>
      <c r="AO279" s="675">
        <f t="shared" si="9013"/>
        <v>0</v>
      </c>
      <c r="AP279" s="549">
        <f t="shared" si="9013"/>
        <v>0</v>
      </c>
      <c r="AQ279" s="675">
        <f t="shared" si="9013"/>
        <v>0</v>
      </c>
      <c r="AR279" s="549">
        <f t="shared" si="9013"/>
        <v>0</v>
      </c>
      <c r="AS279" s="675">
        <f t="shared" si="9013"/>
        <v>0</v>
      </c>
      <c r="AT279" s="549">
        <f t="shared" ref="AT279:AU279" si="9014">SUM(AT280:AT286)</f>
        <v>0</v>
      </c>
      <c r="AU279" s="675">
        <f t="shared" si="9014"/>
        <v>0</v>
      </c>
      <c r="AV279" s="549">
        <f t="shared" ref="AV279:AW279" si="9015">SUM(AV280:AV286)</f>
        <v>0</v>
      </c>
      <c r="AW279" s="675">
        <f t="shared" si="9015"/>
        <v>0</v>
      </c>
      <c r="AX279" s="549">
        <f t="shared" ref="AX279:AY279" si="9016">SUM(AX280:AX286)</f>
        <v>0</v>
      </c>
      <c r="AY279" s="675">
        <f t="shared" si="9016"/>
        <v>0</v>
      </c>
      <c r="AZ279" s="549">
        <f t="shared" ref="AZ279:BA279" si="9017">SUM(AZ280:AZ286)</f>
        <v>0</v>
      </c>
      <c r="BA279" s="675">
        <f t="shared" si="9017"/>
        <v>0</v>
      </c>
      <c r="BB279" s="549">
        <f t="shared" ref="BB279:BC279" si="9018">SUM(BB280:BB286)</f>
        <v>0</v>
      </c>
      <c r="BC279" s="675">
        <f t="shared" si="9018"/>
        <v>0</v>
      </c>
      <c r="BD279" s="549">
        <f t="shared" ref="BD279:BE279" si="9019">SUM(BD280:BD286)</f>
        <v>0</v>
      </c>
      <c r="BE279" s="675">
        <f t="shared" si="9019"/>
        <v>0</v>
      </c>
      <c r="BF279" s="549">
        <f t="shared" ref="BF279:BG279" si="9020">SUM(BF280:BF286)</f>
        <v>0</v>
      </c>
      <c r="BG279" s="675">
        <f t="shared" si="9020"/>
        <v>0</v>
      </c>
      <c r="BH279" s="549">
        <f t="shared" ref="BH279:BI279" si="9021">SUM(BH280:BH286)</f>
        <v>0</v>
      </c>
      <c r="BI279" s="675">
        <f t="shared" si="9021"/>
        <v>0</v>
      </c>
      <c r="BJ279" s="549">
        <f t="shared" ref="BJ279:BK279" si="9022">SUM(BJ280:BJ286)</f>
        <v>0</v>
      </c>
      <c r="BK279" s="675">
        <f t="shared" si="9022"/>
        <v>0</v>
      </c>
      <c r="BL279" s="549">
        <f t="shared" ref="BL279:BS279" si="9023">SUM(BL280:BL286)</f>
        <v>0</v>
      </c>
      <c r="BM279" s="675">
        <f t="shared" si="9023"/>
        <v>0</v>
      </c>
      <c r="BN279" s="549">
        <f t="shared" si="9023"/>
        <v>0</v>
      </c>
      <c r="BO279" s="675">
        <f t="shared" si="9023"/>
        <v>0</v>
      </c>
      <c r="BP279" s="549">
        <f t="shared" si="9023"/>
        <v>0</v>
      </c>
      <c r="BQ279" s="675">
        <f t="shared" si="9023"/>
        <v>0</v>
      </c>
      <c r="BR279" s="549">
        <f t="shared" si="9023"/>
        <v>0</v>
      </c>
      <c r="BS279" s="675">
        <f t="shared" si="9023"/>
        <v>0</v>
      </c>
      <c r="BT279" s="549">
        <f t="shared" ref="BT279:BU279" si="9024">SUM(BT280:BT286)</f>
        <v>0</v>
      </c>
      <c r="BU279" s="675">
        <f t="shared" si="9024"/>
        <v>0</v>
      </c>
      <c r="BV279" s="549">
        <f t="shared" ref="BV279:BW279" si="9025">SUM(BV280:BV286)</f>
        <v>0</v>
      </c>
      <c r="BW279" s="675">
        <f t="shared" si="9025"/>
        <v>0</v>
      </c>
      <c r="BX279" s="549">
        <f t="shared" ref="BX279:BY279" si="9026">SUM(BX280:BX286)</f>
        <v>0</v>
      </c>
      <c r="BY279" s="675">
        <f t="shared" si="9026"/>
        <v>0</v>
      </c>
      <c r="BZ279" s="549">
        <f t="shared" ref="BZ279:CA279" si="9027">SUM(BZ280:BZ286)</f>
        <v>0</v>
      </c>
      <c r="CA279" s="675">
        <f t="shared" si="9027"/>
        <v>0</v>
      </c>
      <c r="CB279" s="549">
        <f t="shared" ref="CB279:CE279" si="9028">SUM(CB280:CB286)</f>
        <v>0</v>
      </c>
      <c r="CC279" s="675">
        <f t="shared" si="9028"/>
        <v>0</v>
      </c>
      <c r="CD279" s="549">
        <f t="shared" si="9028"/>
        <v>0</v>
      </c>
      <c r="CE279" s="675">
        <f t="shared" si="9028"/>
        <v>0</v>
      </c>
      <c r="CF279" s="549">
        <f t="shared" ref="CF279:CQ279" si="9029">SUM(CF280:CF286)</f>
        <v>0</v>
      </c>
      <c r="CG279" s="675">
        <f t="shared" si="9029"/>
        <v>0</v>
      </c>
      <c r="CH279" s="549">
        <f t="shared" si="9029"/>
        <v>0</v>
      </c>
      <c r="CI279" s="675">
        <f t="shared" si="9029"/>
        <v>0</v>
      </c>
      <c r="CJ279" s="549">
        <f t="shared" si="9029"/>
        <v>0</v>
      </c>
      <c r="CK279" s="675">
        <f t="shared" si="9029"/>
        <v>0</v>
      </c>
      <c r="CL279" s="549">
        <f t="shared" si="9029"/>
        <v>0</v>
      </c>
      <c r="CM279" s="675">
        <f t="shared" si="9029"/>
        <v>0</v>
      </c>
      <c r="CN279" s="549">
        <f t="shared" si="9029"/>
        <v>0</v>
      </c>
      <c r="CO279" s="675">
        <f t="shared" si="9029"/>
        <v>0</v>
      </c>
      <c r="CP279" s="549">
        <f t="shared" si="9029"/>
        <v>0</v>
      </c>
      <c r="CQ279" s="675">
        <f t="shared" si="9029"/>
        <v>0</v>
      </c>
      <c r="CR279" s="549">
        <f t="shared" ref="CR279:CY279" si="9030">SUM(CR280:CR286)</f>
        <v>0</v>
      </c>
      <c r="CS279" s="675">
        <f t="shared" si="9030"/>
        <v>0</v>
      </c>
      <c r="CT279" s="549">
        <f t="shared" si="9030"/>
        <v>0</v>
      </c>
      <c r="CU279" s="675">
        <f t="shared" si="9030"/>
        <v>0</v>
      </c>
      <c r="CV279" s="549">
        <f t="shared" si="9030"/>
        <v>0</v>
      </c>
      <c r="CW279" s="675">
        <f t="shared" si="9030"/>
        <v>0</v>
      </c>
      <c r="CX279" s="549">
        <f t="shared" si="9030"/>
        <v>0</v>
      </c>
      <c r="CY279" s="675">
        <f t="shared" si="9030"/>
        <v>0</v>
      </c>
      <c r="CZ279" s="549">
        <f t="shared" ref="CZ279:DI279" si="9031">SUM(CZ280:CZ286)</f>
        <v>0</v>
      </c>
      <c r="DA279" s="675">
        <f t="shared" si="9031"/>
        <v>0</v>
      </c>
      <c r="DB279" s="549">
        <f t="shared" si="9031"/>
        <v>0</v>
      </c>
      <c r="DC279" s="675">
        <f t="shared" si="9031"/>
        <v>0</v>
      </c>
      <c r="DD279" s="549">
        <f t="shared" si="9031"/>
        <v>0</v>
      </c>
      <c r="DE279" s="675">
        <f t="shared" si="9031"/>
        <v>0</v>
      </c>
      <c r="DF279" s="549">
        <f t="shared" si="9031"/>
        <v>100000</v>
      </c>
      <c r="DG279" s="675">
        <f t="shared" si="9031"/>
        <v>-100000</v>
      </c>
      <c r="DH279" s="549">
        <f t="shared" si="9031"/>
        <v>0</v>
      </c>
      <c r="DI279" s="675">
        <f t="shared" si="9031"/>
        <v>0</v>
      </c>
      <c r="DJ279" s="549">
        <f t="shared" ref="DJ279:DY279" si="9032">SUM(DJ280:DJ286)</f>
        <v>0</v>
      </c>
      <c r="DK279" s="675">
        <f t="shared" si="9032"/>
        <v>0</v>
      </c>
      <c r="DL279" s="549">
        <f t="shared" si="9032"/>
        <v>0</v>
      </c>
      <c r="DM279" s="675">
        <f t="shared" si="9032"/>
        <v>0</v>
      </c>
      <c r="DN279" s="549">
        <f t="shared" si="9032"/>
        <v>0</v>
      </c>
      <c r="DO279" s="675">
        <f t="shared" si="9032"/>
        <v>0</v>
      </c>
      <c r="DP279" s="549">
        <f t="shared" si="9032"/>
        <v>0</v>
      </c>
      <c r="DQ279" s="675">
        <f t="shared" si="9032"/>
        <v>0</v>
      </c>
      <c r="DR279" s="549">
        <f t="shared" si="9032"/>
        <v>0</v>
      </c>
      <c r="DS279" s="675">
        <f t="shared" si="9032"/>
        <v>0</v>
      </c>
      <c r="DT279" s="549">
        <f t="shared" si="9032"/>
        <v>0</v>
      </c>
      <c r="DU279" s="675">
        <f t="shared" si="9032"/>
        <v>0</v>
      </c>
      <c r="DV279" s="549">
        <f t="shared" si="9032"/>
        <v>0</v>
      </c>
      <c r="DW279" s="675">
        <f t="shared" si="9032"/>
        <v>0</v>
      </c>
      <c r="DX279" s="549">
        <f t="shared" si="9032"/>
        <v>0</v>
      </c>
      <c r="DY279" s="675">
        <f t="shared" si="9032"/>
        <v>0</v>
      </c>
      <c r="DZ279" s="549">
        <f t="shared" ref="DZ279:EU279" si="9033">SUM(DZ280:DZ286)</f>
        <v>0</v>
      </c>
      <c r="EA279" s="675">
        <f t="shared" si="9033"/>
        <v>0</v>
      </c>
      <c r="EB279" s="549">
        <f t="shared" si="9033"/>
        <v>0</v>
      </c>
      <c r="EC279" s="675">
        <f t="shared" si="9033"/>
        <v>0</v>
      </c>
      <c r="ED279" s="549">
        <f t="shared" si="9033"/>
        <v>0</v>
      </c>
      <c r="EE279" s="675">
        <f t="shared" si="9033"/>
        <v>0</v>
      </c>
      <c r="EF279" s="549">
        <f t="shared" si="9033"/>
        <v>0</v>
      </c>
      <c r="EG279" s="675">
        <f t="shared" si="9033"/>
        <v>0</v>
      </c>
      <c r="EH279" s="549">
        <f t="shared" ref="EH279:EM279" si="9034">SUM(EH280:EH286)</f>
        <v>0</v>
      </c>
      <c r="EI279" s="675">
        <f t="shared" si="9034"/>
        <v>0</v>
      </c>
      <c r="EJ279" s="549">
        <f t="shared" si="9034"/>
        <v>0</v>
      </c>
      <c r="EK279" s="675">
        <f t="shared" si="9034"/>
        <v>0</v>
      </c>
      <c r="EL279" s="549">
        <f t="shared" si="9034"/>
        <v>0</v>
      </c>
      <c r="EM279" s="675">
        <f t="shared" si="9034"/>
        <v>0</v>
      </c>
      <c r="EN279" s="549">
        <f t="shared" si="9033"/>
        <v>0</v>
      </c>
      <c r="EO279" s="675">
        <f t="shared" si="9033"/>
        <v>0</v>
      </c>
      <c r="EP279" s="549">
        <f t="shared" si="9033"/>
        <v>0</v>
      </c>
      <c r="EQ279" s="675">
        <f t="shared" si="9033"/>
        <v>0</v>
      </c>
      <c r="ER279" s="549">
        <f t="shared" si="9033"/>
        <v>0</v>
      </c>
      <c r="ES279" s="675">
        <f t="shared" si="9033"/>
        <v>0</v>
      </c>
      <c r="ET279" s="549">
        <f t="shared" si="9033"/>
        <v>0</v>
      </c>
      <c r="EU279" s="675">
        <f t="shared" si="9033"/>
        <v>0</v>
      </c>
      <c r="EV279" s="549">
        <f t="shared" ref="EV279:HS279" si="9035">SUM(EV280:EV286)</f>
        <v>0</v>
      </c>
      <c r="EW279" s="675">
        <f t="shared" si="9035"/>
        <v>0</v>
      </c>
      <c r="EX279" s="549">
        <f t="shared" si="9035"/>
        <v>0</v>
      </c>
      <c r="EY279" s="675">
        <f t="shared" si="9035"/>
        <v>0</v>
      </c>
      <c r="EZ279" s="549">
        <f t="shared" si="9035"/>
        <v>0</v>
      </c>
      <c r="FA279" s="675">
        <f t="shared" si="9035"/>
        <v>0</v>
      </c>
      <c r="FB279" s="549">
        <f t="shared" si="9035"/>
        <v>0</v>
      </c>
      <c r="FC279" s="675">
        <f t="shared" si="9035"/>
        <v>0</v>
      </c>
      <c r="FD279" s="549">
        <f t="shared" si="9035"/>
        <v>0</v>
      </c>
      <c r="FE279" s="675">
        <f t="shared" si="9035"/>
        <v>0</v>
      </c>
      <c r="FF279" s="549">
        <f t="shared" ref="FF279:FG279" si="9036">SUM(FF280:FF286)</f>
        <v>0</v>
      </c>
      <c r="FG279" s="675">
        <f t="shared" si="9036"/>
        <v>0</v>
      </c>
      <c r="FH279" s="549">
        <f t="shared" ref="FH279:FI279" si="9037">SUM(FH280:FH286)</f>
        <v>0</v>
      </c>
      <c r="FI279" s="675">
        <f t="shared" si="9037"/>
        <v>0</v>
      </c>
      <c r="FJ279" s="549">
        <f t="shared" ref="FJ279:FK279" si="9038">SUM(FJ280:FJ286)</f>
        <v>0</v>
      </c>
      <c r="FK279" s="675">
        <f t="shared" si="9038"/>
        <v>0</v>
      </c>
      <c r="FL279" s="549">
        <f t="shared" ref="FL279:FM279" si="9039">SUM(FL280:FL286)</f>
        <v>0</v>
      </c>
      <c r="FM279" s="675">
        <f t="shared" si="9039"/>
        <v>0</v>
      </c>
      <c r="FN279" s="549">
        <f t="shared" ref="FN279:FO279" si="9040">SUM(FN280:FN286)</f>
        <v>0</v>
      </c>
      <c r="FO279" s="675">
        <f t="shared" si="9040"/>
        <v>0</v>
      </c>
      <c r="FP279" s="549">
        <f t="shared" ref="FP279:FQ279" si="9041">SUM(FP280:FP286)</f>
        <v>0</v>
      </c>
      <c r="FQ279" s="675">
        <f t="shared" si="9041"/>
        <v>0</v>
      </c>
      <c r="FR279" s="549">
        <f t="shared" ref="FR279:FS279" si="9042">SUM(FR280:FR286)</f>
        <v>0</v>
      </c>
      <c r="FS279" s="675">
        <f t="shared" si="9042"/>
        <v>0</v>
      </c>
      <c r="FT279" s="549">
        <f t="shared" ref="FT279:FU279" si="9043">SUM(FT280:FT286)</f>
        <v>0</v>
      </c>
      <c r="FU279" s="675">
        <f t="shared" si="9043"/>
        <v>0</v>
      </c>
      <c r="FV279" s="549">
        <f t="shared" ref="FV279:GK279" si="9044">SUM(FV280:FV286)</f>
        <v>0</v>
      </c>
      <c r="FW279" s="675">
        <f t="shared" si="9044"/>
        <v>0</v>
      </c>
      <c r="FX279" s="549">
        <f t="shared" si="9044"/>
        <v>0</v>
      </c>
      <c r="FY279" s="675">
        <f t="shared" si="9044"/>
        <v>0</v>
      </c>
      <c r="FZ279" s="549">
        <f t="shared" ref="FZ279:GI279" si="9045">SUM(FZ280:FZ286)</f>
        <v>0</v>
      </c>
      <c r="GA279" s="675">
        <f t="shared" si="9045"/>
        <v>0</v>
      </c>
      <c r="GB279" s="549">
        <f t="shared" si="9045"/>
        <v>0</v>
      </c>
      <c r="GC279" s="675">
        <f t="shared" si="9045"/>
        <v>0</v>
      </c>
      <c r="GD279" s="549">
        <f t="shared" si="9045"/>
        <v>0</v>
      </c>
      <c r="GE279" s="675">
        <f t="shared" si="9045"/>
        <v>0</v>
      </c>
      <c r="GF279" s="549">
        <f t="shared" si="9045"/>
        <v>0</v>
      </c>
      <c r="GG279" s="675">
        <f t="shared" si="9045"/>
        <v>0</v>
      </c>
      <c r="GH279" s="549">
        <f t="shared" si="9045"/>
        <v>0</v>
      </c>
      <c r="GI279" s="675">
        <f t="shared" si="9045"/>
        <v>0</v>
      </c>
      <c r="GJ279" s="549">
        <f t="shared" si="9044"/>
        <v>0</v>
      </c>
      <c r="GK279" s="675">
        <f t="shared" si="9044"/>
        <v>0</v>
      </c>
      <c r="GL279" s="549">
        <f t="shared" ref="GL279:GM279" si="9046">SUM(GL280:GL286)</f>
        <v>0</v>
      </c>
      <c r="GM279" s="675">
        <f t="shared" si="9046"/>
        <v>0</v>
      </c>
      <c r="GN279" s="549">
        <f t="shared" ref="GN279:GO279" si="9047">SUM(GN280:GN286)</f>
        <v>0</v>
      </c>
      <c r="GO279" s="675">
        <f t="shared" si="9047"/>
        <v>0</v>
      </c>
      <c r="GP279" s="549">
        <f>SUM(GP280:GP286)</f>
        <v>100000</v>
      </c>
      <c r="GQ279" s="675">
        <f t="shared" si="9035"/>
        <v>-100000</v>
      </c>
      <c r="GR279" s="74">
        <f t="shared" si="9035"/>
        <v>1013700</v>
      </c>
      <c r="GS279" s="74">
        <f t="shared" si="9035"/>
        <v>921593</v>
      </c>
      <c r="GT279" s="74">
        <f t="shared" si="9035"/>
        <v>1013700</v>
      </c>
      <c r="GU279" s="74">
        <f>SUM(GU280:GU286)</f>
        <v>92630</v>
      </c>
      <c r="GV279" s="74">
        <f t="shared" ref="GV279:HA279" si="9048">SUM(GV280:GV286)</f>
        <v>92107</v>
      </c>
      <c r="GW279" s="74">
        <f t="shared" si="9048"/>
        <v>92107</v>
      </c>
      <c r="GX279" s="74">
        <f t="shared" si="9048"/>
        <v>92107</v>
      </c>
      <c r="GY279" s="74">
        <f t="shared" si="9048"/>
        <v>92107</v>
      </c>
      <c r="GZ279" s="74">
        <f t="shared" si="9048"/>
        <v>92107</v>
      </c>
      <c r="HA279" s="74">
        <f t="shared" si="9048"/>
        <v>92107</v>
      </c>
      <c r="HB279" s="74">
        <f t="shared" si="9035"/>
        <v>92107</v>
      </c>
      <c r="HC279" s="74">
        <f t="shared" si="9035"/>
        <v>92107</v>
      </c>
      <c r="HD279" s="74">
        <f t="shared" si="9035"/>
        <v>92107</v>
      </c>
      <c r="HE279" s="74">
        <f t="shared" si="9035"/>
        <v>92107</v>
      </c>
      <c r="HF279" s="74">
        <f t="shared" si="9035"/>
        <v>0</v>
      </c>
      <c r="HG279" s="74">
        <f t="shared" si="9035"/>
        <v>921593</v>
      </c>
      <c r="HH279" s="74">
        <f t="shared" si="9035"/>
        <v>0</v>
      </c>
      <c r="HI279" s="792">
        <f t="shared" si="9035"/>
        <v>0</v>
      </c>
      <c r="HJ279" s="74">
        <f t="shared" si="9035"/>
        <v>0</v>
      </c>
      <c r="HK279" s="792">
        <f t="shared" si="9035"/>
        <v>184737</v>
      </c>
      <c r="HL279" s="74">
        <f t="shared" si="9035"/>
        <v>0</v>
      </c>
      <c r="HM279" s="792">
        <f t="shared" si="9035"/>
        <v>92107</v>
      </c>
      <c r="HN279" s="74">
        <f t="shared" si="9035"/>
        <v>0</v>
      </c>
      <c r="HO279" s="792">
        <f t="shared" si="9035"/>
        <v>92107</v>
      </c>
      <c r="HP279" s="74">
        <f t="shared" si="9035"/>
        <v>0</v>
      </c>
      <c r="HQ279" s="792">
        <f t="shared" si="9035"/>
        <v>90107</v>
      </c>
      <c r="HR279" s="74">
        <f t="shared" si="9035"/>
        <v>0</v>
      </c>
      <c r="HS279" s="792">
        <f t="shared" si="9035"/>
        <v>94107</v>
      </c>
      <c r="HT279" s="74">
        <f t="shared" ref="HT279:HU279" si="9049">SUM(HT280:HT286)</f>
        <v>0</v>
      </c>
      <c r="HU279" s="792">
        <f t="shared" si="9049"/>
        <v>92107.000000000029</v>
      </c>
      <c r="HV279" s="74">
        <f t="shared" ref="HV279:HW279" si="9050">SUM(HV280:HV286)</f>
        <v>0</v>
      </c>
      <c r="HW279" s="792">
        <f t="shared" si="9050"/>
        <v>91837</v>
      </c>
      <c r="HX279" s="74">
        <f t="shared" ref="HX279:HY279" si="9051">SUM(HX280:HX286)</f>
        <v>0</v>
      </c>
      <c r="HY279" s="792">
        <f t="shared" si="9051"/>
        <v>92377</v>
      </c>
      <c r="HZ279" s="74">
        <f t="shared" ref="HZ279:IA279" si="9052">SUM(HZ280:HZ286)</f>
        <v>0</v>
      </c>
      <c r="IA279" s="792">
        <f t="shared" si="9052"/>
        <v>92107</v>
      </c>
      <c r="IB279" s="74">
        <f t="shared" ref="IB279:IC279" si="9053">SUM(IB280:IB286)</f>
        <v>0</v>
      </c>
      <c r="IC279" s="792">
        <f t="shared" si="9053"/>
        <v>0</v>
      </c>
      <c r="ID279" s="74">
        <f t="shared" ref="ID279:IZ279" si="9054">SUM(ID280:ID286)</f>
        <v>0</v>
      </c>
      <c r="IE279" s="792">
        <f t="shared" si="9054"/>
        <v>0</v>
      </c>
      <c r="IF279" s="841">
        <f>SUM(IF280:IF286)</f>
        <v>621834.12</v>
      </c>
      <c r="IG279" s="263">
        <f>SUM(IG280:IG286)</f>
        <v>621834.12</v>
      </c>
      <c r="IH279" s="842">
        <f>SUM(IH280:IH286)</f>
        <v>621834.12</v>
      </c>
      <c r="II279" s="74">
        <f t="shared" ref="II279:IK279" si="9055">SUM(II280:II286)</f>
        <v>180.38</v>
      </c>
      <c r="IJ279" s="74">
        <f t="shared" si="9055"/>
        <v>180.38</v>
      </c>
      <c r="IK279" s="74">
        <f t="shared" si="9055"/>
        <v>180.38</v>
      </c>
      <c r="IL279" s="74">
        <f t="shared" si="9054"/>
        <v>12584.28</v>
      </c>
      <c r="IM279" s="74">
        <f t="shared" si="9054"/>
        <v>12584.28</v>
      </c>
      <c r="IN279" s="74">
        <f t="shared" si="9054"/>
        <v>12584.28</v>
      </c>
      <c r="IO279" s="74">
        <f t="shared" si="9054"/>
        <v>10582.130000000001</v>
      </c>
      <c r="IP279" s="74">
        <f t="shared" si="9054"/>
        <v>10582.130000000001</v>
      </c>
      <c r="IQ279" s="74">
        <f t="shared" si="9054"/>
        <v>10582.130000000001</v>
      </c>
      <c r="IR279" s="74">
        <f t="shared" si="9054"/>
        <v>2113.4199999999992</v>
      </c>
      <c r="IS279" s="74">
        <f t="shared" si="9054"/>
        <v>2113.4199999999992</v>
      </c>
      <c r="IT279" s="74">
        <f t="shared" si="9054"/>
        <v>2113.4199999999992</v>
      </c>
      <c r="IU279" s="74">
        <f t="shared" si="9054"/>
        <v>145748.80000000002</v>
      </c>
      <c r="IV279" s="74">
        <f t="shared" si="9054"/>
        <v>145748.80000000002</v>
      </c>
      <c r="IW279" s="74">
        <f t="shared" si="9054"/>
        <v>145748.80000000002</v>
      </c>
      <c r="IX279" s="74">
        <f t="shared" si="9054"/>
        <v>87482.65</v>
      </c>
      <c r="IY279" s="74">
        <f t="shared" si="9054"/>
        <v>87482.65</v>
      </c>
      <c r="IZ279" s="74">
        <f t="shared" si="9054"/>
        <v>87482.65</v>
      </c>
      <c r="JA279" s="74">
        <f t="shared" ref="JA279:JC279" si="9056">SUM(JA280:JA286)</f>
        <v>85187.019999999975</v>
      </c>
      <c r="JB279" s="74">
        <f t="shared" si="9056"/>
        <v>85187.019999999975</v>
      </c>
      <c r="JC279" s="74">
        <f t="shared" si="9056"/>
        <v>85187.019999999975</v>
      </c>
      <c r="JD279" s="74">
        <f t="shared" ref="JD279:JF279" si="9057">SUM(JD280:JD286)</f>
        <v>83480.560000000027</v>
      </c>
      <c r="JE279" s="74">
        <f t="shared" si="9057"/>
        <v>83480.560000000027</v>
      </c>
      <c r="JF279" s="74">
        <f t="shared" si="9057"/>
        <v>83480.560000000027</v>
      </c>
      <c r="JG279" s="74">
        <f t="shared" ref="JG279:JI279" si="9058">SUM(JG280:JG286)</f>
        <v>67769.880000000034</v>
      </c>
      <c r="JH279" s="74">
        <f t="shared" si="9058"/>
        <v>67769.880000000034</v>
      </c>
      <c r="JI279" s="74">
        <f t="shared" si="9058"/>
        <v>67769.880000000034</v>
      </c>
      <c r="JJ279" s="74">
        <f t="shared" ref="JJ279:JL279" si="9059">SUM(JJ280:JJ286)</f>
        <v>126704.99999999997</v>
      </c>
      <c r="JK279" s="74">
        <f t="shared" si="9059"/>
        <v>126704.99999999997</v>
      </c>
      <c r="JL279" s="74">
        <f t="shared" si="9059"/>
        <v>126704.99999999997</v>
      </c>
      <c r="JM279" s="74">
        <f t="shared" ref="JM279:JO279" si="9060">SUM(JM280:JM286)</f>
        <v>0</v>
      </c>
      <c r="JN279" s="74">
        <f t="shared" si="9060"/>
        <v>0</v>
      </c>
      <c r="JO279" s="74">
        <f t="shared" si="9060"/>
        <v>0</v>
      </c>
      <c r="JP279" s="74">
        <f t="shared" ref="JP279:JY279" si="9061">SUM(JP280:JP286)</f>
        <v>0</v>
      </c>
      <c r="JQ279" s="74">
        <f t="shared" si="9061"/>
        <v>0</v>
      </c>
      <c r="JR279" s="74">
        <f t="shared" si="9061"/>
        <v>0</v>
      </c>
      <c r="JS279" s="74">
        <f>SUM(JS280:JS286)</f>
        <v>299758.88</v>
      </c>
      <c r="JT279" s="382">
        <f>SUM(JT280:JT286)</f>
        <v>299758.88</v>
      </c>
      <c r="JU279" s="670"/>
      <c r="JV279" s="492"/>
      <c r="JW279" s="490"/>
      <c r="JX279" s="548">
        <f t="shared" si="9061"/>
        <v>0</v>
      </c>
      <c r="JY279" s="548">
        <f t="shared" si="9061"/>
        <v>921593</v>
      </c>
      <c r="JZ279" s="581">
        <f t="shared" si="7470"/>
        <v>100000</v>
      </c>
      <c r="KA279" s="581">
        <f t="shared" si="7471"/>
        <v>-100000</v>
      </c>
      <c r="KB279" s="548">
        <f t="shared" si="8622"/>
        <v>921593</v>
      </c>
      <c r="KC279" s="709">
        <f t="shared" si="7396"/>
        <v>0</v>
      </c>
      <c r="KD279" s="36"/>
      <c r="KE279" s="36"/>
      <c r="KF279" s="36"/>
      <c r="KG279" s="36"/>
      <c r="KH279" s="36"/>
      <c r="KI279" s="36"/>
      <c r="KJ279" s="36"/>
      <c r="KK279" s="36"/>
    </row>
    <row r="280" spans="1:297" s="10" customFormat="1" ht="12.75" customHeight="1">
      <c r="A280" s="86" t="s">
        <v>657</v>
      </c>
      <c r="B280" s="77"/>
      <c r="C280" s="74">
        <v>30000</v>
      </c>
      <c r="D280" s="549">
        <v>0</v>
      </c>
      <c r="E280" s="675">
        <v>0</v>
      </c>
      <c r="F280" s="549">
        <v>0</v>
      </c>
      <c r="G280" s="675">
        <v>0</v>
      </c>
      <c r="H280" s="549">
        <v>0</v>
      </c>
      <c r="I280" s="675">
        <v>0</v>
      </c>
      <c r="J280" s="549">
        <v>0</v>
      </c>
      <c r="K280" s="675">
        <v>0</v>
      </c>
      <c r="L280" s="549">
        <v>0</v>
      </c>
      <c r="M280" s="675">
        <v>0</v>
      </c>
      <c r="N280" s="549">
        <v>0</v>
      </c>
      <c r="O280" s="675">
        <v>0</v>
      </c>
      <c r="P280" s="549">
        <v>0</v>
      </c>
      <c r="Q280" s="675">
        <v>0</v>
      </c>
      <c r="R280" s="549">
        <v>0</v>
      </c>
      <c r="S280" s="675">
        <v>0</v>
      </c>
      <c r="T280" s="549">
        <v>0</v>
      </c>
      <c r="U280" s="675">
        <v>0</v>
      </c>
      <c r="V280" s="549">
        <v>0</v>
      </c>
      <c r="W280" s="675">
        <v>0</v>
      </c>
      <c r="X280" s="549">
        <v>0</v>
      </c>
      <c r="Y280" s="675">
        <v>0</v>
      </c>
      <c r="Z280" s="549">
        <v>0</v>
      </c>
      <c r="AA280" s="675">
        <v>0</v>
      </c>
      <c r="AB280" s="549">
        <v>0</v>
      </c>
      <c r="AC280" s="675">
        <v>0</v>
      </c>
      <c r="AD280" s="549">
        <v>0</v>
      </c>
      <c r="AE280" s="675">
        <v>0</v>
      </c>
      <c r="AF280" s="549">
        <v>0</v>
      </c>
      <c r="AG280" s="675">
        <v>0</v>
      </c>
      <c r="AH280" s="549">
        <v>0</v>
      </c>
      <c r="AI280" s="675">
        <v>0</v>
      </c>
      <c r="AJ280" s="549">
        <v>0</v>
      </c>
      <c r="AK280" s="675">
        <v>0</v>
      </c>
      <c r="AL280" s="549">
        <v>0</v>
      </c>
      <c r="AM280" s="675">
        <v>0</v>
      </c>
      <c r="AN280" s="549">
        <v>0</v>
      </c>
      <c r="AO280" s="675">
        <v>0</v>
      </c>
      <c r="AP280" s="549">
        <v>0</v>
      </c>
      <c r="AQ280" s="675">
        <v>0</v>
      </c>
      <c r="AR280" s="549">
        <v>0</v>
      </c>
      <c r="AS280" s="675">
        <v>0</v>
      </c>
      <c r="AT280" s="549">
        <v>0</v>
      </c>
      <c r="AU280" s="675">
        <v>0</v>
      </c>
      <c r="AV280" s="549">
        <v>0</v>
      </c>
      <c r="AW280" s="675">
        <v>0</v>
      </c>
      <c r="AX280" s="549">
        <v>0</v>
      </c>
      <c r="AY280" s="675">
        <v>0</v>
      </c>
      <c r="AZ280" s="549">
        <v>0</v>
      </c>
      <c r="BA280" s="675">
        <v>0</v>
      </c>
      <c r="BB280" s="549">
        <v>0</v>
      </c>
      <c r="BC280" s="675">
        <v>0</v>
      </c>
      <c r="BD280" s="549">
        <v>0</v>
      </c>
      <c r="BE280" s="675">
        <v>0</v>
      </c>
      <c r="BF280" s="549">
        <v>0</v>
      </c>
      <c r="BG280" s="675">
        <v>0</v>
      </c>
      <c r="BH280" s="549">
        <v>0</v>
      </c>
      <c r="BI280" s="675">
        <v>0</v>
      </c>
      <c r="BJ280" s="549">
        <v>0</v>
      </c>
      <c r="BK280" s="675">
        <v>0</v>
      </c>
      <c r="BL280" s="549">
        <v>0</v>
      </c>
      <c r="BM280" s="675">
        <v>0</v>
      </c>
      <c r="BN280" s="549">
        <v>0</v>
      </c>
      <c r="BO280" s="675">
        <v>0</v>
      </c>
      <c r="BP280" s="549">
        <v>0</v>
      </c>
      <c r="BQ280" s="675">
        <v>0</v>
      </c>
      <c r="BR280" s="549">
        <v>0</v>
      </c>
      <c r="BS280" s="675">
        <v>0</v>
      </c>
      <c r="BT280" s="549">
        <v>0</v>
      </c>
      <c r="BU280" s="675">
        <v>0</v>
      </c>
      <c r="BV280" s="549">
        <v>0</v>
      </c>
      <c r="BW280" s="675">
        <v>0</v>
      </c>
      <c r="BX280" s="549">
        <v>0</v>
      </c>
      <c r="BY280" s="675">
        <v>0</v>
      </c>
      <c r="BZ280" s="549">
        <v>0</v>
      </c>
      <c r="CA280" s="675">
        <v>0</v>
      </c>
      <c r="CB280" s="549">
        <v>0</v>
      </c>
      <c r="CC280" s="675">
        <v>0</v>
      </c>
      <c r="CD280" s="549">
        <v>0</v>
      </c>
      <c r="CE280" s="675">
        <v>0</v>
      </c>
      <c r="CF280" s="549">
        <v>0</v>
      </c>
      <c r="CG280" s="675">
        <v>0</v>
      </c>
      <c r="CH280" s="549">
        <v>0</v>
      </c>
      <c r="CI280" s="675">
        <v>0</v>
      </c>
      <c r="CJ280" s="549">
        <v>0</v>
      </c>
      <c r="CK280" s="675">
        <v>0</v>
      </c>
      <c r="CL280" s="549">
        <v>0</v>
      </c>
      <c r="CM280" s="675">
        <v>0</v>
      </c>
      <c r="CN280" s="549">
        <v>0</v>
      </c>
      <c r="CO280" s="675">
        <v>0</v>
      </c>
      <c r="CP280" s="549">
        <v>0</v>
      </c>
      <c r="CQ280" s="675">
        <v>0</v>
      </c>
      <c r="CR280" s="549">
        <v>0</v>
      </c>
      <c r="CS280" s="675">
        <v>0</v>
      </c>
      <c r="CT280" s="549">
        <v>0</v>
      </c>
      <c r="CU280" s="675">
        <v>0</v>
      </c>
      <c r="CV280" s="549">
        <v>0</v>
      </c>
      <c r="CW280" s="675">
        <v>0</v>
      </c>
      <c r="CX280" s="549">
        <v>0</v>
      </c>
      <c r="CY280" s="675">
        <v>0</v>
      </c>
      <c r="CZ280" s="549">
        <v>0</v>
      </c>
      <c r="DA280" s="675">
        <v>0</v>
      </c>
      <c r="DB280" s="549">
        <v>0</v>
      </c>
      <c r="DC280" s="675">
        <v>0</v>
      </c>
      <c r="DD280" s="549">
        <v>0</v>
      </c>
      <c r="DE280" s="675">
        <v>0</v>
      </c>
      <c r="DF280" s="549">
        <v>0</v>
      </c>
      <c r="DG280" s="675">
        <v>0</v>
      </c>
      <c r="DH280" s="549">
        <v>0</v>
      </c>
      <c r="DI280" s="675">
        <v>0</v>
      </c>
      <c r="DJ280" s="549">
        <v>0</v>
      </c>
      <c r="DK280" s="675">
        <v>0</v>
      </c>
      <c r="DL280" s="549">
        <v>0</v>
      </c>
      <c r="DM280" s="675">
        <v>0</v>
      </c>
      <c r="DN280" s="549">
        <v>0</v>
      </c>
      <c r="DO280" s="675">
        <v>0</v>
      </c>
      <c r="DP280" s="549">
        <v>0</v>
      </c>
      <c r="DQ280" s="675">
        <v>0</v>
      </c>
      <c r="DR280" s="549">
        <v>0</v>
      </c>
      <c r="DS280" s="675">
        <v>0</v>
      </c>
      <c r="DT280" s="549">
        <v>0</v>
      </c>
      <c r="DU280" s="675">
        <v>0</v>
      </c>
      <c r="DV280" s="549">
        <v>0</v>
      </c>
      <c r="DW280" s="675">
        <v>0</v>
      </c>
      <c r="DX280" s="549">
        <v>0</v>
      </c>
      <c r="DY280" s="675">
        <v>0</v>
      </c>
      <c r="DZ280" s="549">
        <v>0</v>
      </c>
      <c r="EA280" s="675">
        <v>0</v>
      </c>
      <c r="EB280" s="549">
        <v>0</v>
      </c>
      <c r="EC280" s="675">
        <v>0</v>
      </c>
      <c r="ED280" s="549">
        <v>0</v>
      </c>
      <c r="EE280" s="675">
        <v>0</v>
      </c>
      <c r="EF280" s="549">
        <v>0</v>
      </c>
      <c r="EG280" s="675">
        <v>0</v>
      </c>
      <c r="EH280" s="549">
        <v>0</v>
      </c>
      <c r="EI280" s="675">
        <v>0</v>
      </c>
      <c r="EJ280" s="549">
        <v>0</v>
      </c>
      <c r="EK280" s="675">
        <v>0</v>
      </c>
      <c r="EL280" s="549">
        <v>0</v>
      </c>
      <c r="EM280" s="675">
        <v>0</v>
      </c>
      <c r="EN280" s="549">
        <v>0</v>
      </c>
      <c r="EO280" s="675">
        <v>0</v>
      </c>
      <c r="EP280" s="549">
        <v>0</v>
      </c>
      <c r="EQ280" s="675">
        <v>0</v>
      </c>
      <c r="ER280" s="549">
        <v>0</v>
      </c>
      <c r="ES280" s="675">
        <v>0</v>
      </c>
      <c r="ET280" s="549">
        <v>0</v>
      </c>
      <c r="EU280" s="675">
        <v>0</v>
      </c>
      <c r="EV280" s="549">
        <v>0</v>
      </c>
      <c r="EW280" s="675">
        <v>0</v>
      </c>
      <c r="EX280" s="549">
        <v>0</v>
      </c>
      <c r="EY280" s="675">
        <v>0</v>
      </c>
      <c r="EZ280" s="549">
        <v>0</v>
      </c>
      <c r="FA280" s="675">
        <v>0</v>
      </c>
      <c r="FB280" s="549">
        <v>0</v>
      </c>
      <c r="FC280" s="675">
        <v>0</v>
      </c>
      <c r="FD280" s="549">
        <v>0</v>
      </c>
      <c r="FE280" s="675">
        <v>0</v>
      </c>
      <c r="FF280" s="549">
        <v>0</v>
      </c>
      <c r="FG280" s="675">
        <v>0</v>
      </c>
      <c r="FH280" s="549">
        <v>0</v>
      </c>
      <c r="FI280" s="675">
        <v>0</v>
      </c>
      <c r="FJ280" s="549">
        <v>0</v>
      </c>
      <c r="FK280" s="675">
        <v>0</v>
      </c>
      <c r="FL280" s="549">
        <v>0</v>
      </c>
      <c r="FM280" s="675">
        <v>0</v>
      </c>
      <c r="FN280" s="549">
        <v>0</v>
      </c>
      <c r="FO280" s="675">
        <v>0</v>
      </c>
      <c r="FP280" s="549">
        <v>0</v>
      </c>
      <c r="FQ280" s="675">
        <v>0</v>
      </c>
      <c r="FR280" s="549">
        <v>0</v>
      </c>
      <c r="FS280" s="675">
        <v>0</v>
      </c>
      <c r="FT280" s="549">
        <v>0</v>
      </c>
      <c r="FU280" s="675">
        <v>0</v>
      </c>
      <c r="FV280" s="549">
        <v>0</v>
      </c>
      <c r="FW280" s="675">
        <v>0</v>
      </c>
      <c r="FX280" s="549">
        <v>0</v>
      </c>
      <c r="FY280" s="675">
        <v>0</v>
      </c>
      <c r="FZ280" s="549">
        <v>0</v>
      </c>
      <c r="GA280" s="675">
        <v>0</v>
      </c>
      <c r="GB280" s="549">
        <v>0</v>
      </c>
      <c r="GC280" s="675">
        <v>0</v>
      </c>
      <c r="GD280" s="549">
        <v>0</v>
      </c>
      <c r="GE280" s="675">
        <v>0</v>
      </c>
      <c r="GF280" s="549">
        <v>0</v>
      </c>
      <c r="GG280" s="675">
        <v>0</v>
      </c>
      <c r="GH280" s="549">
        <v>0</v>
      </c>
      <c r="GI280" s="675">
        <v>0</v>
      </c>
      <c r="GJ280" s="549">
        <v>0</v>
      </c>
      <c r="GK280" s="675">
        <v>0</v>
      </c>
      <c r="GL280" s="549">
        <v>0</v>
      </c>
      <c r="GM280" s="675">
        <v>0</v>
      </c>
      <c r="GN280" s="549">
        <v>0</v>
      </c>
      <c r="GO280" s="675">
        <v>0</v>
      </c>
      <c r="GP280" s="549">
        <f t="shared" ref="GP280:GP285" si="9062">+D280+F280+H280+J280+L280+N280+P280+R280+T280+V280+X280+Z280+AB280+AD280+AH280+AJ280+AL280+AN280+AP280+AR280+AT280+AV280+AX280+AZ280+BB280+BD280+BF280+BH280+BJ280+BL280+BN280+BP280+BR280+BT280+BV280+BX280+BZ280+CB280+CD280+CF280+CH280+CJ280+CL280+CN280+CP280+CR280+CT280+CV280+CX280+CZ280+DB280+DD280+DF280+DH280+DT280+EX280+DJ280+DL280+DN280+DP280+DR280+EJ280+EB280+DZ280+DX280+DV280+ED280+EF280+EH280+EL280+EN280+EP280+EV280+ET280+ER280+EZ280+FB280+FD280+GL280+FF280+FJ280+FL280+GJ280+FT280+FR280+FP280+FN280+FH280</f>
        <v>0</v>
      </c>
      <c r="GQ280" s="675">
        <f t="shared" ref="GQ280:GQ285" si="9063">+E280+G280+I280+K280+M280+O280+Q280+S280+U280+W280+Y280+AA280+AC280+AE280+AI280+AK280+AM280+AO280+AQ280+AS280+AU280+AW280+AY280+BA280+BC280+BE280+BG280+BI280+BK280+BM280+BO280+BQ280+BS280+BU280+BW280+BY280+CA280+CC280+CE280+CG280+CI280+CK280+CM280+CO280+CQ280+CS280+CU280+CW280+CY280+DA280+DC280+DE280+DG280+DI280+DU280+EY280+DK280+DM280+DO280+DQ280+DS280+EK280+EC280+EA280+DY280+DW280+EI280+EG280+EE280+EM280+EO280+EQ280+EW280+EU280+ES280+FA280+FC280+FE280+GM280+FG280+FK280+FM280+FO280+FQ280+FS280+FU280+GK280+FI280</f>
        <v>0</v>
      </c>
      <c r="GR280" s="74">
        <f t="shared" ref="GR280:GR286" si="9064">C280+GP280+GQ280</f>
        <v>30000</v>
      </c>
      <c r="GS280" s="74">
        <f t="shared" ref="GS280:GS286" si="9065">SUM(GU280:HD280)+GP280+GQ280</f>
        <v>27273</v>
      </c>
      <c r="GT280" s="568">
        <f t="shared" ref="GT280:GT286" si="9066">SUM(GU280:HF280)+GQ280+GP280</f>
        <v>30000</v>
      </c>
      <c r="GU280" s="275">
        <v>2730</v>
      </c>
      <c r="GV280" s="275">
        <v>2727</v>
      </c>
      <c r="GW280" s="275">
        <v>2727</v>
      </c>
      <c r="GX280" s="275">
        <v>2727</v>
      </c>
      <c r="GY280" s="275">
        <v>2727</v>
      </c>
      <c r="GZ280" s="275">
        <v>2727</v>
      </c>
      <c r="HA280" s="275">
        <v>2727</v>
      </c>
      <c r="HB280" s="275">
        <v>2727</v>
      </c>
      <c r="HC280" s="275">
        <v>2727</v>
      </c>
      <c r="HD280" s="275">
        <v>2727</v>
      </c>
      <c r="HE280" s="275">
        <v>2727</v>
      </c>
      <c r="HF280" s="275">
        <v>0</v>
      </c>
      <c r="HG280" s="74">
        <f t="shared" ref="HG280:HG286" si="9067">SUM(HH280:IE280)+GP280+GQ280</f>
        <v>27273</v>
      </c>
      <c r="HH280" s="89">
        <v>0</v>
      </c>
      <c r="HI280" s="817">
        <v>0</v>
      </c>
      <c r="HJ280" s="89">
        <v>0</v>
      </c>
      <c r="HK280" s="817">
        <f>3415.25+2041.75</f>
        <v>5457</v>
      </c>
      <c r="HL280" s="89">
        <v>0</v>
      </c>
      <c r="HM280" s="817">
        <f>2828.07-101.07</f>
        <v>2727</v>
      </c>
      <c r="HN280" s="89">
        <v>0</v>
      </c>
      <c r="HO280" s="817">
        <f>5098.6-2371.6</f>
        <v>2727.0000000000005</v>
      </c>
      <c r="HP280" s="89">
        <v>0</v>
      </c>
      <c r="HQ280" s="817">
        <f>3842.64-3115.64</f>
        <v>727</v>
      </c>
      <c r="HR280" s="89">
        <v>0</v>
      </c>
      <c r="HS280" s="817">
        <f>6482.69-1755.69</f>
        <v>4727</v>
      </c>
      <c r="HT280" s="89">
        <v>0</v>
      </c>
      <c r="HU280" s="817">
        <f>7135.21-4408.21</f>
        <v>2727</v>
      </c>
      <c r="HV280" s="89">
        <v>0</v>
      </c>
      <c r="HW280" s="817">
        <f>7369.91-4912.91</f>
        <v>2457</v>
      </c>
      <c r="HX280" s="89">
        <v>0</v>
      </c>
      <c r="HY280" s="817">
        <f>8144.61-5147.61</f>
        <v>2997</v>
      </c>
      <c r="HZ280" s="89">
        <v>0</v>
      </c>
      <c r="IA280" s="817">
        <f>8843.03-6116.03</f>
        <v>2727.0000000000009</v>
      </c>
      <c r="IB280" s="89">
        <v>0</v>
      </c>
      <c r="IC280" s="817">
        <v>0</v>
      </c>
      <c r="ID280" s="89">
        <v>0</v>
      </c>
      <c r="IE280" s="817">
        <v>0</v>
      </c>
      <c r="IF280" s="841">
        <f t="shared" ref="IF280:IF286" si="9068">SUM(II280,IL280,IO280,IR280,IU280,IX280,JA280,JD280,JG280,JJ280,JM280,JP280)</f>
        <v>18429.97</v>
      </c>
      <c r="IG280" s="263">
        <f t="shared" ref="IG280:IG286" si="9069">SUM(IJ280,IM280,IP280,IS280,IV280,IY280,JB280,JE280,JH280,JK280,JN280,JQ280)</f>
        <v>18429.97</v>
      </c>
      <c r="IH280" s="842">
        <f t="shared" ref="IH280:IH286" si="9070">SUM(IK280,IN280,IQ280,IT280,IW280,IZ280,JC280,JF280,JI280,JL280,JO280,JR280)</f>
        <v>18429.97</v>
      </c>
      <c r="II280" s="89">
        <v>0</v>
      </c>
      <c r="IJ280" s="89">
        <f t="shared" ref="IJ280:IJ286" si="9071">II280</f>
        <v>0</v>
      </c>
      <c r="IK280" s="89">
        <f t="shared" ref="IK280:IK286" si="9072">IJ280</f>
        <v>0</v>
      </c>
      <c r="IL280" s="89">
        <v>3415.25</v>
      </c>
      <c r="IM280" s="89">
        <f t="shared" ref="IM280:IM286" si="9073">IL280</f>
        <v>3415.25</v>
      </c>
      <c r="IN280" s="89">
        <f t="shared" ref="IN280:IN286" si="9074">IM280</f>
        <v>3415.25</v>
      </c>
      <c r="IO280" s="89">
        <f>5355.93-3415.25</f>
        <v>1940.6800000000003</v>
      </c>
      <c r="IP280" s="89">
        <f t="shared" ref="IP280:IP286" si="9075">IO280</f>
        <v>1940.6800000000003</v>
      </c>
      <c r="IQ280" s="89">
        <f t="shared" ref="IQ280:IQ286" si="9076">IP280</f>
        <v>1940.6800000000003</v>
      </c>
      <c r="IR280" s="89">
        <f>5812.4-5355.93</f>
        <v>456.46999999999935</v>
      </c>
      <c r="IS280" s="89">
        <f t="shared" ref="IS280:IS286" si="9077">IR280</f>
        <v>456.46999999999935</v>
      </c>
      <c r="IT280" s="89">
        <f t="shared" ref="IT280:IT286" si="9078">IS280</f>
        <v>456.46999999999935</v>
      </c>
      <c r="IU280" s="89">
        <f>7795.36-5812.4</f>
        <v>1982.96</v>
      </c>
      <c r="IV280" s="89">
        <f t="shared" ref="IV280:IV286" si="9079">IU280</f>
        <v>1982.96</v>
      </c>
      <c r="IW280" s="89">
        <f t="shared" ref="IW280:IW286" si="9080">IV280</f>
        <v>1982.96</v>
      </c>
      <c r="IX280" s="89">
        <f>9882.31-7795.36</f>
        <v>2086.9499999999998</v>
      </c>
      <c r="IY280" s="89">
        <f t="shared" ref="IY280:IY286" si="9081">IX280</f>
        <v>2086.9499999999998</v>
      </c>
      <c r="IZ280" s="89">
        <f t="shared" ref="IZ280:IZ286" si="9082">IY280</f>
        <v>2086.9499999999998</v>
      </c>
      <c r="JA280" s="89">
        <f>11956.79-9882.31</f>
        <v>2074.4800000000014</v>
      </c>
      <c r="JB280" s="89">
        <f t="shared" ref="JB280:JB286" si="9083">JA280</f>
        <v>2074.4800000000014</v>
      </c>
      <c r="JC280" s="89">
        <f t="shared" ref="JC280:JC286" si="9084">JB280</f>
        <v>2074.4800000000014</v>
      </c>
      <c r="JD280" s="89">
        <f>14179.09-11956.79</f>
        <v>2222.2999999999993</v>
      </c>
      <c r="JE280" s="89">
        <f t="shared" ref="JE280:JE286" si="9085">JD280</f>
        <v>2222.2999999999993</v>
      </c>
      <c r="JF280" s="89">
        <f t="shared" ref="JF280:JF286" si="9086">JE280</f>
        <v>2222.2999999999993</v>
      </c>
      <c r="JG280" s="89">
        <f>16401.39-14179.09</f>
        <v>2222.2999999999993</v>
      </c>
      <c r="JH280" s="89">
        <f t="shared" ref="JH280:JH286" si="9087">JG280</f>
        <v>2222.2999999999993</v>
      </c>
      <c r="JI280" s="89">
        <f t="shared" ref="JI280:JI286" si="9088">JH280</f>
        <v>2222.2999999999993</v>
      </c>
      <c r="JJ280" s="89">
        <f>18429.97-16401.39</f>
        <v>2028.5800000000017</v>
      </c>
      <c r="JK280" s="89">
        <f t="shared" ref="JK280:JK286" si="9089">JJ280</f>
        <v>2028.5800000000017</v>
      </c>
      <c r="JL280" s="89">
        <f t="shared" ref="JL280:JL286" si="9090">JK280</f>
        <v>2028.5800000000017</v>
      </c>
      <c r="JM280" s="89">
        <v>0</v>
      </c>
      <c r="JN280" s="89">
        <f t="shared" ref="JN280:JN286" si="9091">JM280</f>
        <v>0</v>
      </c>
      <c r="JO280" s="89">
        <f t="shared" ref="JO280:JO286" si="9092">JN280</f>
        <v>0</v>
      </c>
      <c r="JP280" s="89">
        <v>0</v>
      </c>
      <c r="JQ280" s="89">
        <f t="shared" ref="JQ280:JR280" si="9093">JP280</f>
        <v>0</v>
      </c>
      <c r="JR280" s="89">
        <f t="shared" si="9093"/>
        <v>0</v>
      </c>
      <c r="JS280" s="74">
        <f t="shared" ref="JS280:JS286" si="9094">HG280-IF280</f>
        <v>8843.0299999999988</v>
      </c>
      <c r="JT280" s="382">
        <f t="shared" ref="JT280:JT286" si="9095">GS280-IF280</f>
        <v>8843.0299999999988</v>
      </c>
      <c r="JU280" s="670"/>
      <c r="JV280" s="489"/>
      <c r="JW280" s="490"/>
      <c r="JX280" s="548">
        <f t="shared" ref="JX280:JX286" si="9096">SUM(HH280,HJ280,HL280,HN280,HP280,HR280,HT280,HV280,HX280,HZ280,IB280,ID280)</f>
        <v>0</v>
      </c>
      <c r="JY280" s="548">
        <f t="shared" ref="JY280:JY286" si="9097">SUM(HI280,HK280,HM280,HO280,HQ280,HS280,HU280,HW280,HY280,IA280,IC280,IE280)</f>
        <v>27273</v>
      </c>
      <c r="JZ280" s="581">
        <f t="shared" si="7470"/>
        <v>0</v>
      </c>
      <c r="KA280" s="581">
        <f t="shared" si="7471"/>
        <v>0</v>
      </c>
      <c r="KB280" s="548">
        <f t="shared" si="8622"/>
        <v>27273</v>
      </c>
      <c r="KC280" s="709">
        <f t="shared" si="7396"/>
        <v>0</v>
      </c>
      <c r="KD280" s="36"/>
      <c r="KE280" s="36"/>
      <c r="KF280" s="36"/>
      <c r="KG280" s="36"/>
      <c r="KH280" s="36"/>
      <c r="KI280" s="36"/>
      <c r="KJ280" s="36"/>
      <c r="KK280" s="36"/>
    </row>
    <row r="281" spans="1:297" s="10" customFormat="1" ht="12.75" customHeight="1">
      <c r="A281" s="86" t="s">
        <v>658</v>
      </c>
      <c r="B281" s="77"/>
      <c r="C281" s="74">
        <v>18200</v>
      </c>
      <c r="D281" s="549">
        <v>0</v>
      </c>
      <c r="E281" s="675">
        <v>0</v>
      </c>
      <c r="F281" s="549">
        <v>0</v>
      </c>
      <c r="G281" s="675">
        <v>0</v>
      </c>
      <c r="H281" s="549">
        <v>0</v>
      </c>
      <c r="I281" s="675">
        <v>0</v>
      </c>
      <c r="J281" s="549">
        <v>0</v>
      </c>
      <c r="K281" s="675">
        <v>0</v>
      </c>
      <c r="L281" s="549">
        <v>0</v>
      </c>
      <c r="M281" s="675">
        <v>0</v>
      </c>
      <c r="N281" s="549">
        <v>0</v>
      </c>
      <c r="O281" s="675">
        <v>0</v>
      </c>
      <c r="P281" s="549">
        <v>0</v>
      </c>
      <c r="Q281" s="675">
        <v>0</v>
      </c>
      <c r="R281" s="549">
        <v>0</v>
      </c>
      <c r="S281" s="675">
        <v>0</v>
      </c>
      <c r="T281" s="549">
        <v>0</v>
      </c>
      <c r="U281" s="675">
        <v>0</v>
      </c>
      <c r="V281" s="549">
        <v>0</v>
      </c>
      <c r="W281" s="675">
        <v>0</v>
      </c>
      <c r="X281" s="549">
        <v>0</v>
      </c>
      <c r="Y281" s="675">
        <v>0</v>
      </c>
      <c r="Z281" s="549">
        <v>0</v>
      </c>
      <c r="AA281" s="675">
        <v>0</v>
      </c>
      <c r="AB281" s="549">
        <v>0</v>
      </c>
      <c r="AC281" s="675">
        <v>0</v>
      </c>
      <c r="AD281" s="549">
        <v>0</v>
      </c>
      <c r="AE281" s="675">
        <v>0</v>
      </c>
      <c r="AF281" s="549">
        <v>0</v>
      </c>
      <c r="AG281" s="675">
        <v>0</v>
      </c>
      <c r="AH281" s="549">
        <v>0</v>
      </c>
      <c r="AI281" s="675">
        <v>0</v>
      </c>
      <c r="AJ281" s="549">
        <v>0</v>
      </c>
      <c r="AK281" s="675">
        <v>0</v>
      </c>
      <c r="AL281" s="549">
        <v>0</v>
      </c>
      <c r="AM281" s="675">
        <v>0</v>
      </c>
      <c r="AN281" s="549">
        <v>0</v>
      </c>
      <c r="AO281" s="675">
        <v>0</v>
      </c>
      <c r="AP281" s="549">
        <v>0</v>
      </c>
      <c r="AQ281" s="675">
        <v>0</v>
      </c>
      <c r="AR281" s="549">
        <v>0</v>
      </c>
      <c r="AS281" s="675">
        <v>0</v>
      </c>
      <c r="AT281" s="549">
        <v>0</v>
      </c>
      <c r="AU281" s="675">
        <v>0</v>
      </c>
      <c r="AV281" s="549">
        <v>0</v>
      </c>
      <c r="AW281" s="675">
        <v>0</v>
      </c>
      <c r="AX281" s="549">
        <v>0</v>
      </c>
      <c r="AY281" s="675">
        <v>0</v>
      </c>
      <c r="AZ281" s="549">
        <v>0</v>
      </c>
      <c r="BA281" s="675">
        <v>0</v>
      </c>
      <c r="BB281" s="549">
        <v>0</v>
      </c>
      <c r="BC281" s="675">
        <v>0</v>
      </c>
      <c r="BD281" s="549">
        <v>0</v>
      </c>
      <c r="BE281" s="675">
        <v>0</v>
      </c>
      <c r="BF281" s="549">
        <v>0</v>
      </c>
      <c r="BG281" s="675">
        <v>0</v>
      </c>
      <c r="BH281" s="549">
        <v>0</v>
      </c>
      <c r="BI281" s="675">
        <v>0</v>
      </c>
      <c r="BJ281" s="549">
        <v>0</v>
      </c>
      <c r="BK281" s="675">
        <v>0</v>
      </c>
      <c r="BL281" s="549">
        <v>0</v>
      </c>
      <c r="BM281" s="675">
        <v>0</v>
      </c>
      <c r="BN281" s="549">
        <v>0</v>
      </c>
      <c r="BO281" s="675">
        <v>0</v>
      </c>
      <c r="BP281" s="549">
        <v>0</v>
      </c>
      <c r="BQ281" s="675">
        <v>0</v>
      </c>
      <c r="BR281" s="549">
        <v>0</v>
      </c>
      <c r="BS281" s="675">
        <v>0</v>
      </c>
      <c r="BT281" s="549">
        <v>0</v>
      </c>
      <c r="BU281" s="675">
        <v>0</v>
      </c>
      <c r="BV281" s="549">
        <v>0</v>
      </c>
      <c r="BW281" s="675">
        <v>0</v>
      </c>
      <c r="BX281" s="549">
        <v>0</v>
      </c>
      <c r="BY281" s="675">
        <v>0</v>
      </c>
      <c r="BZ281" s="549">
        <v>0</v>
      </c>
      <c r="CA281" s="675">
        <v>0</v>
      </c>
      <c r="CB281" s="549">
        <v>0</v>
      </c>
      <c r="CC281" s="675">
        <v>0</v>
      </c>
      <c r="CD281" s="549">
        <v>0</v>
      </c>
      <c r="CE281" s="675">
        <v>0</v>
      </c>
      <c r="CF281" s="549">
        <v>0</v>
      </c>
      <c r="CG281" s="675">
        <v>0</v>
      </c>
      <c r="CH281" s="549">
        <v>0</v>
      </c>
      <c r="CI281" s="675">
        <v>0</v>
      </c>
      <c r="CJ281" s="549">
        <v>0</v>
      </c>
      <c r="CK281" s="675">
        <v>0</v>
      </c>
      <c r="CL281" s="549">
        <v>0</v>
      </c>
      <c r="CM281" s="675">
        <v>0</v>
      </c>
      <c r="CN281" s="549">
        <v>0</v>
      </c>
      <c r="CO281" s="675">
        <v>0</v>
      </c>
      <c r="CP281" s="549">
        <v>0</v>
      </c>
      <c r="CQ281" s="675">
        <v>0</v>
      </c>
      <c r="CR281" s="549">
        <v>0</v>
      </c>
      <c r="CS281" s="675">
        <v>0</v>
      </c>
      <c r="CT281" s="549">
        <v>0</v>
      </c>
      <c r="CU281" s="675">
        <v>0</v>
      </c>
      <c r="CV281" s="549">
        <v>0</v>
      </c>
      <c r="CW281" s="675">
        <v>0</v>
      </c>
      <c r="CX281" s="549">
        <v>0</v>
      </c>
      <c r="CY281" s="675">
        <v>0</v>
      </c>
      <c r="CZ281" s="549">
        <v>0</v>
      </c>
      <c r="DA281" s="675">
        <v>0</v>
      </c>
      <c r="DB281" s="549">
        <v>0</v>
      </c>
      <c r="DC281" s="675">
        <v>0</v>
      </c>
      <c r="DD281" s="549">
        <v>0</v>
      </c>
      <c r="DE281" s="675">
        <v>0</v>
      </c>
      <c r="DF281" s="549">
        <v>0</v>
      </c>
      <c r="DG281" s="675">
        <v>0</v>
      </c>
      <c r="DH281" s="549">
        <v>0</v>
      </c>
      <c r="DI281" s="675">
        <v>0</v>
      </c>
      <c r="DJ281" s="549">
        <v>0</v>
      </c>
      <c r="DK281" s="675">
        <v>0</v>
      </c>
      <c r="DL281" s="549">
        <v>0</v>
      </c>
      <c r="DM281" s="675">
        <v>0</v>
      </c>
      <c r="DN281" s="549">
        <v>0</v>
      </c>
      <c r="DO281" s="675">
        <v>0</v>
      </c>
      <c r="DP281" s="549">
        <v>0</v>
      </c>
      <c r="DQ281" s="675">
        <v>0</v>
      </c>
      <c r="DR281" s="549">
        <v>0</v>
      </c>
      <c r="DS281" s="675">
        <v>0</v>
      </c>
      <c r="DT281" s="549">
        <v>0</v>
      </c>
      <c r="DU281" s="675">
        <v>0</v>
      </c>
      <c r="DV281" s="549">
        <v>0</v>
      </c>
      <c r="DW281" s="675">
        <v>0</v>
      </c>
      <c r="DX281" s="549">
        <v>0</v>
      </c>
      <c r="DY281" s="675">
        <v>0</v>
      </c>
      <c r="DZ281" s="549">
        <v>0</v>
      </c>
      <c r="EA281" s="675">
        <v>0</v>
      </c>
      <c r="EB281" s="549">
        <v>0</v>
      </c>
      <c r="EC281" s="675">
        <v>0</v>
      </c>
      <c r="ED281" s="549">
        <v>0</v>
      </c>
      <c r="EE281" s="675">
        <v>0</v>
      </c>
      <c r="EF281" s="549">
        <v>0</v>
      </c>
      <c r="EG281" s="675">
        <v>0</v>
      </c>
      <c r="EH281" s="549">
        <v>0</v>
      </c>
      <c r="EI281" s="675">
        <v>0</v>
      </c>
      <c r="EJ281" s="549">
        <v>0</v>
      </c>
      <c r="EK281" s="675">
        <v>0</v>
      </c>
      <c r="EL281" s="549">
        <v>0</v>
      </c>
      <c r="EM281" s="675">
        <v>0</v>
      </c>
      <c r="EN281" s="549">
        <v>0</v>
      </c>
      <c r="EO281" s="675">
        <v>0</v>
      </c>
      <c r="EP281" s="549">
        <v>0</v>
      </c>
      <c r="EQ281" s="675">
        <v>0</v>
      </c>
      <c r="ER281" s="549">
        <v>0</v>
      </c>
      <c r="ES281" s="675">
        <v>0</v>
      </c>
      <c r="ET281" s="549">
        <v>0</v>
      </c>
      <c r="EU281" s="675">
        <v>0</v>
      </c>
      <c r="EV281" s="549">
        <v>0</v>
      </c>
      <c r="EW281" s="675">
        <v>0</v>
      </c>
      <c r="EX281" s="549">
        <v>0</v>
      </c>
      <c r="EY281" s="675">
        <v>0</v>
      </c>
      <c r="EZ281" s="549">
        <v>0</v>
      </c>
      <c r="FA281" s="675">
        <v>0</v>
      </c>
      <c r="FB281" s="549">
        <v>0</v>
      </c>
      <c r="FC281" s="675">
        <v>0</v>
      </c>
      <c r="FD281" s="549">
        <v>0</v>
      </c>
      <c r="FE281" s="675">
        <v>0</v>
      </c>
      <c r="FF281" s="549">
        <v>0</v>
      </c>
      <c r="FG281" s="675">
        <v>0</v>
      </c>
      <c r="FH281" s="549">
        <v>0</v>
      </c>
      <c r="FI281" s="675">
        <v>0</v>
      </c>
      <c r="FJ281" s="549">
        <v>0</v>
      </c>
      <c r="FK281" s="675">
        <v>0</v>
      </c>
      <c r="FL281" s="549">
        <v>0</v>
      </c>
      <c r="FM281" s="675">
        <v>0</v>
      </c>
      <c r="FN281" s="549">
        <v>0</v>
      </c>
      <c r="FO281" s="675">
        <v>0</v>
      </c>
      <c r="FP281" s="549">
        <v>0</v>
      </c>
      <c r="FQ281" s="675">
        <v>0</v>
      </c>
      <c r="FR281" s="549">
        <v>0</v>
      </c>
      <c r="FS281" s="675">
        <v>0</v>
      </c>
      <c r="FT281" s="549">
        <v>0</v>
      </c>
      <c r="FU281" s="675">
        <v>0</v>
      </c>
      <c r="FV281" s="549">
        <v>0</v>
      </c>
      <c r="FW281" s="675">
        <v>0</v>
      </c>
      <c r="FX281" s="549">
        <v>0</v>
      </c>
      <c r="FY281" s="675">
        <v>0</v>
      </c>
      <c r="FZ281" s="549">
        <v>0</v>
      </c>
      <c r="GA281" s="675">
        <v>0</v>
      </c>
      <c r="GB281" s="549">
        <v>0</v>
      </c>
      <c r="GC281" s="675">
        <v>0</v>
      </c>
      <c r="GD281" s="549">
        <v>0</v>
      </c>
      <c r="GE281" s="675">
        <v>0</v>
      </c>
      <c r="GF281" s="549">
        <v>0</v>
      </c>
      <c r="GG281" s="675">
        <v>0</v>
      </c>
      <c r="GH281" s="549">
        <v>0</v>
      </c>
      <c r="GI281" s="675">
        <v>0</v>
      </c>
      <c r="GJ281" s="549">
        <v>0</v>
      </c>
      <c r="GK281" s="675">
        <v>0</v>
      </c>
      <c r="GL281" s="549">
        <v>0</v>
      </c>
      <c r="GM281" s="675">
        <v>0</v>
      </c>
      <c r="GN281" s="549">
        <v>0</v>
      </c>
      <c r="GO281" s="675">
        <v>0</v>
      </c>
      <c r="GP281" s="549">
        <f t="shared" si="9062"/>
        <v>0</v>
      </c>
      <c r="GQ281" s="675">
        <f t="shared" si="9063"/>
        <v>0</v>
      </c>
      <c r="GR281" s="74">
        <f t="shared" si="9064"/>
        <v>18200</v>
      </c>
      <c r="GS281" s="74">
        <f t="shared" si="9065"/>
        <v>16546</v>
      </c>
      <c r="GT281" s="568">
        <f t="shared" si="9066"/>
        <v>18200</v>
      </c>
      <c r="GU281" s="275">
        <v>1660</v>
      </c>
      <c r="GV281" s="275">
        <v>1654</v>
      </c>
      <c r="GW281" s="275">
        <v>1654</v>
      </c>
      <c r="GX281" s="275">
        <v>1654</v>
      </c>
      <c r="GY281" s="275">
        <v>1654</v>
      </c>
      <c r="GZ281" s="275">
        <v>1654</v>
      </c>
      <c r="HA281" s="275">
        <v>1654</v>
      </c>
      <c r="HB281" s="275">
        <v>1654</v>
      </c>
      <c r="HC281" s="275">
        <v>1654</v>
      </c>
      <c r="HD281" s="275">
        <v>1654</v>
      </c>
      <c r="HE281" s="275">
        <v>1654</v>
      </c>
      <c r="HF281" s="275">
        <v>0</v>
      </c>
      <c r="HG281" s="74">
        <f t="shared" si="9067"/>
        <v>16546</v>
      </c>
      <c r="HH281" s="89">
        <v>0</v>
      </c>
      <c r="HI281" s="817">
        <v>0</v>
      </c>
      <c r="HJ281" s="89">
        <v>0</v>
      </c>
      <c r="HK281" s="817">
        <v>3314</v>
      </c>
      <c r="HL281" s="89">
        <v>0</v>
      </c>
      <c r="HM281" s="817">
        <f>1968-314</f>
        <v>1654</v>
      </c>
      <c r="HN281" s="89">
        <v>0</v>
      </c>
      <c r="HO281" s="817">
        <f>2122-468</f>
        <v>1654</v>
      </c>
      <c r="HP281" s="89">
        <v>0</v>
      </c>
      <c r="HQ281" s="817">
        <f>2126-472</f>
        <v>1654</v>
      </c>
      <c r="HR281" s="89">
        <v>0</v>
      </c>
      <c r="HS281" s="817">
        <f>2280-626</f>
        <v>1654</v>
      </c>
      <c r="HT281" s="89">
        <v>0</v>
      </c>
      <c r="HU281" s="817">
        <f>2434-780</f>
        <v>1654</v>
      </c>
      <c r="HV281" s="89">
        <v>0</v>
      </c>
      <c r="HW281" s="817">
        <f>1088+566</f>
        <v>1654</v>
      </c>
      <c r="HX281" s="89">
        <v>0</v>
      </c>
      <c r="HY281" s="817">
        <f>412+1242</f>
        <v>1654</v>
      </c>
      <c r="HZ281" s="89">
        <v>0</v>
      </c>
      <c r="IA281" s="817">
        <f>1321+333</f>
        <v>1654</v>
      </c>
      <c r="IB281" s="89">
        <v>0</v>
      </c>
      <c r="IC281" s="817">
        <v>0</v>
      </c>
      <c r="ID281" s="89">
        <v>0</v>
      </c>
      <c r="IE281" s="817">
        <v>0</v>
      </c>
      <c r="IF281" s="841">
        <f t="shared" si="9068"/>
        <v>15225</v>
      </c>
      <c r="IG281" s="263">
        <f t="shared" si="9069"/>
        <v>15225</v>
      </c>
      <c r="IH281" s="842">
        <f t="shared" si="9070"/>
        <v>15225</v>
      </c>
      <c r="II281" s="89">
        <v>0</v>
      </c>
      <c r="IJ281" s="89">
        <f t="shared" si="9071"/>
        <v>0</v>
      </c>
      <c r="IK281" s="89">
        <f t="shared" si="9072"/>
        <v>0</v>
      </c>
      <c r="IL281" s="89">
        <v>0</v>
      </c>
      <c r="IM281" s="89">
        <f t="shared" si="9073"/>
        <v>0</v>
      </c>
      <c r="IN281" s="89">
        <f t="shared" si="9074"/>
        <v>0</v>
      </c>
      <c r="IO281" s="89">
        <v>3000</v>
      </c>
      <c r="IP281" s="89">
        <f t="shared" si="9075"/>
        <v>3000</v>
      </c>
      <c r="IQ281" s="89">
        <f t="shared" si="9076"/>
        <v>3000</v>
      </c>
      <c r="IR281" s="89">
        <v>1500</v>
      </c>
      <c r="IS281" s="89">
        <f t="shared" si="9077"/>
        <v>1500</v>
      </c>
      <c r="IT281" s="89">
        <f t="shared" si="9078"/>
        <v>1500</v>
      </c>
      <c r="IU281" s="89">
        <f>6150-4500</f>
        <v>1650</v>
      </c>
      <c r="IV281" s="89">
        <f t="shared" si="9079"/>
        <v>1650</v>
      </c>
      <c r="IW281" s="89">
        <f t="shared" si="9080"/>
        <v>1650</v>
      </c>
      <c r="IX281" s="89">
        <f>7650-6150</f>
        <v>1500</v>
      </c>
      <c r="IY281" s="89">
        <f t="shared" si="9081"/>
        <v>1500</v>
      </c>
      <c r="IZ281" s="89">
        <f t="shared" si="9082"/>
        <v>1500</v>
      </c>
      <c r="JA281" s="89">
        <f>9150-7650</f>
        <v>1500</v>
      </c>
      <c r="JB281" s="89">
        <f t="shared" si="9083"/>
        <v>1500</v>
      </c>
      <c r="JC281" s="89">
        <f t="shared" si="9084"/>
        <v>1500</v>
      </c>
      <c r="JD281" s="89">
        <f>12150-9150</f>
        <v>3000</v>
      </c>
      <c r="JE281" s="89">
        <f t="shared" si="9085"/>
        <v>3000</v>
      </c>
      <c r="JF281" s="89">
        <f t="shared" si="9086"/>
        <v>3000</v>
      </c>
      <c r="JG281" s="89">
        <f>13650-12150</f>
        <v>1500</v>
      </c>
      <c r="JH281" s="89">
        <f t="shared" si="9087"/>
        <v>1500</v>
      </c>
      <c r="JI281" s="89">
        <f t="shared" si="9088"/>
        <v>1500</v>
      </c>
      <c r="JJ281" s="89">
        <f>15225-13650</f>
        <v>1575</v>
      </c>
      <c r="JK281" s="89">
        <f t="shared" si="9089"/>
        <v>1575</v>
      </c>
      <c r="JL281" s="89">
        <f t="shared" si="9090"/>
        <v>1575</v>
      </c>
      <c r="JM281" s="89">
        <v>0</v>
      </c>
      <c r="JN281" s="89">
        <f t="shared" si="9091"/>
        <v>0</v>
      </c>
      <c r="JO281" s="89">
        <f t="shared" si="9092"/>
        <v>0</v>
      </c>
      <c r="JP281" s="89">
        <v>0</v>
      </c>
      <c r="JQ281" s="89">
        <f t="shared" ref="JQ281:JR281" si="9098">JP281</f>
        <v>0</v>
      </c>
      <c r="JR281" s="89">
        <f t="shared" si="9098"/>
        <v>0</v>
      </c>
      <c r="JS281" s="74">
        <f t="shared" si="9094"/>
        <v>1321</v>
      </c>
      <c r="JT281" s="382">
        <f t="shared" si="9095"/>
        <v>1321</v>
      </c>
      <c r="JU281" s="670"/>
      <c r="JV281" s="489"/>
      <c r="JW281" s="490"/>
      <c r="JX281" s="548">
        <f t="shared" si="9096"/>
        <v>0</v>
      </c>
      <c r="JY281" s="548">
        <f t="shared" si="9097"/>
        <v>16546</v>
      </c>
      <c r="JZ281" s="581">
        <f t="shared" si="7470"/>
        <v>0</v>
      </c>
      <c r="KA281" s="581">
        <f t="shared" si="7471"/>
        <v>0</v>
      </c>
      <c r="KB281" s="548">
        <f t="shared" si="8622"/>
        <v>16546</v>
      </c>
      <c r="KC281" s="709">
        <f t="shared" si="7396"/>
        <v>0</v>
      </c>
      <c r="KD281" s="36"/>
      <c r="KE281" s="36"/>
      <c r="KF281" s="36"/>
      <c r="KG281" s="36"/>
      <c r="KH281" s="36"/>
      <c r="KI281" s="36"/>
      <c r="KJ281" s="36"/>
      <c r="KK281" s="36"/>
    </row>
    <row r="282" spans="1:297" s="10" customFormat="1" ht="12.75" customHeight="1">
      <c r="A282" s="86" t="s">
        <v>659</v>
      </c>
      <c r="B282" s="77"/>
      <c r="C282" s="74">
        <v>500</v>
      </c>
      <c r="D282" s="549">
        <v>0</v>
      </c>
      <c r="E282" s="675">
        <v>0</v>
      </c>
      <c r="F282" s="549">
        <v>0</v>
      </c>
      <c r="G282" s="675">
        <v>0</v>
      </c>
      <c r="H282" s="549">
        <v>0</v>
      </c>
      <c r="I282" s="675">
        <v>0</v>
      </c>
      <c r="J282" s="549">
        <v>0</v>
      </c>
      <c r="K282" s="675">
        <v>0</v>
      </c>
      <c r="L282" s="549">
        <v>0</v>
      </c>
      <c r="M282" s="675">
        <v>0</v>
      </c>
      <c r="N282" s="549">
        <v>0</v>
      </c>
      <c r="O282" s="675">
        <v>0</v>
      </c>
      <c r="P282" s="549">
        <v>0</v>
      </c>
      <c r="Q282" s="675">
        <v>0</v>
      </c>
      <c r="R282" s="549">
        <v>0</v>
      </c>
      <c r="S282" s="675">
        <v>0</v>
      </c>
      <c r="T282" s="549">
        <v>0</v>
      </c>
      <c r="U282" s="675">
        <v>0</v>
      </c>
      <c r="V282" s="549">
        <v>0</v>
      </c>
      <c r="W282" s="675">
        <v>0</v>
      </c>
      <c r="X282" s="549">
        <v>0</v>
      </c>
      <c r="Y282" s="675">
        <v>0</v>
      </c>
      <c r="Z282" s="549">
        <v>0</v>
      </c>
      <c r="AA282" s="675">
        <v>0</v>
      </c>
      <c r="AB282" s="549">
        <v>0</v>
      </c>
      <c r="AC282" s="675">
        <v>0</v>
      </c>
      <c r="AD282" s="549">
        <v>0</v>
      </c>
      <c r="AE282" s="675">
        <v>0</v>
      </c>
      <c r="AF282" s="549">
        <v>0</v>
      </c>
      <c r="AG282" s="675">
        <v>0</v>
      </c>
      <c r="AH282" s="549">
        <v>0</v>
      </c>
      <c r="AI282" s="675">
        <v>0</v>
      </c>
      <c r="AJ282" s="549">
        <v>0</v>
      </c>
      <c r="AK282" s="675">
        <v>0</v>
      </c>
      <c r="AL282" s="549">
        <v>0</v>
      </c>
      <c r="AM282" s="675">
        <v>0</v>
      </c>
      <c r="AN282" s="549">
        <v>0</v>
      </c>
      <c r="AO282" s="675">
        <v>0</v>
      </c>
      <c r="AP282" s="549">
        <v>0</v>
      </c>
      <c r="AQ282" s="675">
        <v>0</v>
      </c>
      <c r="AR282" s="549">
        <v>0</v>
      </c>
      <c r="AS282" s="675">
        <v>0</v>
      </c>
      <c r="AT282" s="549">
        <v>0</v>
      </c>
      <c r="AU282" s="675">
        <v>0</v>
      </c>
      <c r="AV282" s="549">
        <v>0</v>
      </c>
      <c r="AW282" s="675">
        <v>0</v>
      </c>
      <c r="AX282" s="549">
        <v>0</v>
      </c>
      <c r="AY282" s="675">
        <v>0</v>
      </c>
      <c r="AZ282" s="549">
        <v>0</v>
      </c>
      <c r="BA282" s="675">
        <v>0</v>
      </c>
      <c r="BB282" s="549">
        <v>0</v>
      </c>
      <c r="BC282" s="675">
        <v>0</v>
      </c>
      <c r="BD282" s="549">
        <v>0</v>
      </c>
      <c r="BE282" s="675">
        <v>0</v>
      </c>
      <c r="BF282" s="549">
        <v>0</v>
      </c>
      <c r="BG282" s="675">
        <v>0</v>
      </c>
      <c r="BH282" s="549">
        <v>0</v>
      </c>
      <c r="BI282" s="675">
        <v>0</v>
      </c>
      <c r="BJ282" s="549">
        <v>0</v>
      </c>
      <c r="BK282" s="675">
        <v>0</v>
      </c>
      <c r="BL282" s="549">
        <v>0</v>
      </c>
      <c r="BM282" s="675">
        <v>0</v>
      </c>
      <c r="BN282" s="549">
        <v>0</v>
      </c>
      <c r="BO282" s="675">
        <v>0</v>
      </c>
      <c r="BP282" s="549">
        <v>0</v>
      </c>
      <c r="BQ282" s="675">
        <v>0</v>
      </c>
      <c r="BR282" s="549">
        <v>0</v>
      </c>
      <c r="BS282" s="675">
        <v>0</v>
      </c>
      <c r="BT282" s="549">
        <v>0</v>
      </c>
      <c r="BU282" s="675">
        <v>0</v>
      </c>
      <c r="BV282" s="549">
        <v>0</v>
      </c>
      <c r="BW282" s="675">
        <v>0</v>
      </c>
      <c r="BX282" s="549">
        <v>0</v>
      </c>
      <c r="BY282" s="675">
        <v>0</v>
      </c>
      <c r="BZ282" s="549">
        <v>0</v>
      </c>
      <c r="CA282" s="675">
        <v>0</v>
      </c>
      <c r="CB282" s="549">
        <v>0</v>
      </c>
      <c r="CC282" s="675">
        <v>0</v>
      </c>
      <c r="CD282" s="549">
        <v>0</v>
      </c>
      <c r="CE282" s="675">
        <v>0</v>
      </c>
      <c r="CF282" s="549">
        <v>0</v>
      </c>
      <c r="CG282" s="675">
        <v>0</v>
      </c>
      <c r="CH282" s="549">
        <v>0</v>
      </c>
      <c r="CI282" s="675">
        <v>0</v>
      </c>
      <c r="CJ282" s="549">
        <v>0</v>
      </c>
      <c r="CK282" s="675">
        <v>0</v>
      </c>
      <c r="CL282" s="549">
        <v>0</v>
      </c>
      <c r="CM282" s="675">
        <v>0</v>
      </c>
      <c r="CN282" s="549">
        <v>0</v>
      </c>
      <c r="CO282" s="675">
        <v>0</v>
      </c>
      <c r="CP282" s="549">
        <v>0</v>
      </c>
      <c r="CQ282" s="675">
        <v>0</v>
      </c>
      <c r="CR282" s="549">
        <v>0</v>
      </c>
      <c r="CS282" s="675">
        <v>0</v>
      </c>
      <c r="CT282" s="549">
        <v>0</v>
      </c>
      <c r="CU282" s="675">
        <v>0</v>
      </c>
      <c r="CV282" s="549">
        <v>0</v>
      </c>
      <c r="CW282" s="675">
        <v>0</v>
      </c>
      <c r="CX282" s="549">
        <v>0</v>
      </c>
      <c r="CY282" s="675">
        <v>0</v>
      </c>
      <c r="CZ282" s="549">
        <v>0</v>
      </c>
      <c r="DA282" s="675">
        <v>0</v>
      </c>
      <c r="DB282" s="549">
        <v>0</v>
      </c>
      <c r="DC282" s="675">
        <v>0</v>
      </c>
      <c r="DD282" s="549">
        <v>0</v>
      </c>
      <c r="DE282" s="675">
        <v>0</v>
      </c>
      <c r="DF282" s="549">
        <v>0</v>
      </c>
      <c r="DG282" s="675">
        <v>0</v>
      </c>
      <c r="DH282" s="549">
        <v>0</v>
      </c>
      <c r="DI282" s="675">
        <v>0</v>
      </c>
      <c r="DJ282" s="549">
        <v>0</v>
      </c>
      <c r="DK282" s="675">
        <v>0</v>
      </c>
      <c r="DL282" s="549">
        <v>0</v>
      </c>
      <c r="DM282" s="675">
        <v>0</v>
      </c>
      <c r="DN282" s="549">
        <v>0</v>
      </c>
      <c r="DO282" s="675">
        <v>0</v>
      </c>
      <c r="DP282" s="549">
        <v>0</v>
      </c>
      <c r="DQ282" s="675">
        <v>0</v>
      </c>
      <c r="DR282" s="549">
        <v>0</v>
      </c>
      <c r="DS282" s="675">
        <v>0</v>
      </c>
      <c r="DT282" s="549">
        <v>0</v>
      </c>
      <c r="DU282" s="675">
        <v>0</v>
      </c>
      <c r="DV282" s="549">
        <v>0</v>
      </c>
      <c r="DW282" s="675">
        <v>0</v>
      </c>
      <c r="DX282" s="549">
        <v>0</v>
      </c>
      <c r="DY282" s="675">
        <v>0</v>
      </c>
      <c r="DZ282" s="549">
        <v>0</v>
      </c>
      <c r="EA282" s="675">
        <v>0</v>
      </c>
      <c r="EB282" s="549">
        <v>0</v>
      </c>
      <c r="EC282" s="675">
        <v>0</v>
      </c>
      <c r="ED282" s="549">
        <v>0</v>
      </c>
      <c r="EE282" s="675">
        <v>0</v>
      </c>
      <c r="EF282" s="549">
        <v>0</v>
      </c>
      <c r="EG282" s="675">
        <v>0</v>
      </c>
      <c r="EH282" s="549">
        <v>0</v>
      </c>
      <c r="EI282" s="675">
        <v>0</v>
      </c>
      <c r="EJ282" s="549">
        <v>0</v>
      </c>
      <c r="EK282" s="675">
        <v>0</v>
      </c>
      <c r="EL282" s="549">
        <v>0</v>
      </c>
      <c r="EM282" s="675">
        <v>0</v>
      </c>
      <c r="EN282" s="549">
        <v>0</v>
      </c>
      <c r="EO282" s="675">
        <v>0</v>
      </c>
      <c r="EP282" s="549">
        <v>0</v>
      </c>
      <c r="EQ282" s="675">
        <v>0</v>
      </c>
      <c r="ER282" s="549">
        <v>0</v>
      </c>
      <c r="ES282" s="675">
        <v>0</v>
      </c>
      <c r="ET282" s="549">
        <v>0</v>
      </c>
      <c r="EU282" s="675">
        <v>0</v>
      </c>
      <c r="EV282" s="549">
        <v>0</v>
      </c>
      <c r="EW282" s="675">
        <v>0</v>
      </c>
      <c r="EX282" s="549">
        <v>0</v>
      </c>
      <c r="EY282" s="675">
        <v>0</v>
      </c>
      <c r="EZ282" s="549">
        <v>0</v>
      </c>
      <c r="FA282" s="675">
        <v>0</v>
      </c>
      <c r="FB282" s="549">
        <v>0</v>
      </c>
      <c r="FC282" s="675">
        <v>0</v>
      </c>
      <c r="FD282" s="549">
        <v>0</v>
      </c>
      <c r="FE282" s="675">
        <v>0</v>
      </c>
      <c r="FF282" s="549">
        <v>0</v>
      </c>
      <c r="FG282" s="675">
        <v>0</v>
      </c>
      <c r="FH282" s="549">
        <v>0</v>
      </c>
      <c r="FI282" s="675">
        <v>0</v>
      </c>
      <c r="FJ282" s="549">
        <v>0</v>
      </c>
      <c r="FK282" s="675">
        <v>0</v>
      </c>
      <c r="FL282" s="549">
        <v>0</v>
      </c>
      <c r="FM282" s="675">
        <v>0</v>
      </c>
      <c r="FN282" s="549">
        <v>0</v>
      </c>
      <c r="FO282" s="675">
        <v>0</v>
      </c>
      <c r="FP282" s="549">
        <v>0</v>
      </c>
      <c r="FQ282" s="675">
        <v>0</v>
      </c>
      <c r="FR282" s="549">
        <v>0</v>
      </c>
      <c r="FS282" s="675">
        <v>0</v>
      </c>
      <c r="FT282" s="549">
        <v>0</v>
      </c>
      <c r="FU282" s="675">
        <v>0</v>
      </c>
      <c r="FV282" s="549">
        <v>0</v>
      </c>
      <c r="FW282" s="675">
        <v>0</v>
      </c>
      <c r="FX282" s="549">
        <v>0</v>
      </c>
      <c r="FY282" s="675">
        <v>0</v>
      </c>
      <c r="FZ282" s="549">
        <v>0</v>
      </c>
      <c r="GA282" s="675">
        <v>0</v>
      </c>
      <c r="GB282" s="549">
        <v>0</v>
      </c>
      <c r="GC282" s="675">
        <v>0</v>
      </c>
      <c r="GD282" s="549">
        <v>0</v>
      </c>
      <c r="GE282" s="675">
        <v>0</v>
      </c>
      <c r="GF282" s="549">
        <v>0</v>
      </c>
      <c r="GG282" s="675">
        <v>0</v>
      </c>
      <c r="GH282" s="549">
        <v>0</v>
      </c>
      <c r="GI282" s="675">
        <v>0</v>
      </c>
      <c r="GJ282" s="549">
        <v>0</v>
      </c>
      <c r="GK282" s="675">
        <v>0</v>
      </c>
      <c r="GL282" s="549">
        <v>0</v>
      </c>
      <c r="GM282" s="675">
        <v>0</v>
      </c>
      <c r="GN282" s="549">
        <v>0</v>
      </c>
      <c r="GO282" s="675">
        <v>0</v>
      </c>
      <c r="GP282" s="549">
        <f t="shared" si="9062"/>
        <v>0</v>
      </c>
      <c r="GQ282" s="675">
        <f t="shared" si="9063"/>
        <v>0</v>
      </c>
      <c r="GR282" s="74">
        <f t="shared" si="9064"/>
        <v>500</v>
      </c>
      <c r="GS282" s="74">
        <f t="shared" si="9065"/>
        <v>500</v>
      </c>
      <c r="GT282" s="568">
        <f t="shared" si="9066"/>
        <v>500</v>
      </c>
      <c r="GU282" s="275">
        <v>500</v>
      </c>
      <c r="GV282" s="275">
        <v>0</v>
      </c>
      <c r="GW282" s="275">
        <v>0</v>
      </c>
      <c r="GX282" s="275">
        <v>0</v>
      </c>
      <c r="GY282" s="275">
        <v>0</v>
      </c>
      <c r="GZ282" s="275">
        <v>0</v>
      </c>
      <c r="HA282" s="275">
        <v>0</v>
      </c>
      <c r="HB282" s="275">
        <v>0</v>
      </c>
      <c r="HC282" s="275">
        <v>0</v>
      </c>
      <c r="HD282" s="275">
        <v>0</v>
      </c>
      <c r="HE282" s="275">
        <v>0</v>
      </c>
      <c r="HF282" s="275">
        <v>0</v>
      </c>
      <c r="HG282" s="74">
        <f t="shared" si="9067"/>
        <v>500</v>
      </c>
      <c r="HH282" s="89">
        <v>0</v>
      </c>
      <c r="HI282" s="817">
        <v>0</v>
      </c>
      <c r="HJ282" s="89">
        <v>0</v>
      </c>
      <c r="HK282" s="817">
        <v>500</v>
      </c>
      <c r="HL282" s="89">
        <v>0</v>
      </c>
      <c r="HM282" s="817">
        <v>0</v>
      </c>
      <c r="HN282" s="89">
        <v>0</v>
      </c>
      <c r="HO282" s="817">
        <v>0</v>
      </c>
      <c r="HP282" s="89">
        <v>0</v>
      </c>
      <c r="HQ282" s="817">
        <v>0</v>
      </c>
      <c r="HR282" s="89">
        <v>0</v>
      </c>
      <c r="HS282" s="817">
        <v>0</v>
      </c>
      <c r="HT282" s="89">
        <v>0</v>
      </c>
      <c r="HU282" s="817">
        <v>0</v>
      </c>
      <c r="HV282" s="89">
        <v>0</v>
      </c>
      <c r="HW282" s="817">
        <v>0</v>
      </c>
      <c r="HX282" s="89">
        <v>0</v>
      </c>
      <c r="HY282" s="817">
        <v>0</v>
      </c>
      <c r="HZ282" s="89">
        <v>0</v>
      </c>
      <c r="IA282" s="817">
        <v>0</v>
      </c>
      <c r="IB282" s="89">
        <v>0</v>
      </c>
      <c r="IC282" s="817">
        <v>0</v>
      </c>
      <c r="ID282" s="89">
        <v>0</v>
      </c>
      <c r="IE282" s="817">
        <v>0</v>
      </c>
      <c r="IF282" s="841">
        <f t="shared" si="9068"/>
        <v>0</v>
      </c>
      <c r="IG282" s="263">
        <f t="shared" si="9069"/>
        <v>0</v>
      </c>
      <c r="IH282" s="842">
        <f t="shared" si="9070"/>
        <v>0</v>
      </c>
      <c r="II282" s="89">
        <v>0</v>
      </c>
      <c r="IJ282" s="89">
        <f t="shared" si="9071"/>
        <v>0</v>
      </c>
      <c r="IK282" s="89">
        <f t="shared" si="9072"/>
        <v>0</v>
      </c>
      <c r="IL282" s="89">
        <v>0</v>
      </c>
      <c r="IM282" s="89">
        <f t="shared" si="9073"/>
        <v>0</v>
      </c>
      <c r="IN282" s="89">
        <f t="shared" si="9074"/>
        <v>0</v>
      </c>
      <c r="IO282" s="89">
        <v>0</v>
      </c>
      <c r="IP282" s="89">
        <f t="shared" si="9075"/>
        <v>0</v>
      </c>
      <c r="IQ282" s="89">
        <f t="shared" si="9076"/>
        <v>0</v>
      </c>
      <c r="IR282" s="89">
        <v>0</v>
      </c>
      <c r="IS282" s="89">
        <f t="shared" si="9077"/>
        <v>0</v>
      </c>
      <c r="IT282" s="89">
        <f t="shared" si="9078"/>
        <v>0</v>
      </c>
      <c r="IU282" s="89">
        <v>0</v>
      </c>
      <c r="IV282" s="89">
        <f t="shared" si="9079"/>
        <v>0</v>
      </c>
      <c r="IW282" s="89">
        <f t="shared" si="9080"/>
        <v>0</v>
      </c>
      <c r="IX282" s="89">
        <v>0</v>
      </c>
      <c r="IY282" s="89">
        <f t="shared" si="9081"/>
        <v>0</v>
      </c>
      <c r="IZ282" s="89">
        <f t="shared" si="9082"/>
        <v>0</v>
      </c>
      <c r="JA282" s="89">
        <v>0</v>
      </c>
      <c r="JB282" s="89">
        <f t="shared" si="9083"/>
        <v>0</v>
      </c>
      <c r="JC282" s="89">
        <f t="shared" si="9084"/>
        <v>0</v>
      </c>
      <c r="JD282" s="89">
        <v>0</v>
      </c>
      <c r="JE282" s="89">
        <f t="shared" si="9085"/>
        <v>0</v>
      </c>
      <c r="JF282" s="89">
        <f t="shared" si="9086"/>
        <v>0</v>
      </c>
      <c r="JG282" s="89">
        <v>0</v>
      </c>
      <c r="JH282" s="89">
        <f t="shared" si="9087"/>
        <v>0</v>
      </c>
      <c r="JI282" s="89">
        <f t="shared" si="9088"/>
        <v>0</v>
      </c>
      <c r="JJ282" s="89">
        <v>0</v>
      </c>
      <c r="JK282" s="89">
        <f t="shared" si="9089"/>
        <v>0</v>
      </c>
      <c r="JL282" s="89">
        <f t="shared" si="9090"/>
        <v>0</v>
      </c>
      <c r="JM282" s="89">
        <v>0</v>
      </c>
      <c r="JN282" s="89">
        <f t="shared" si="9091"/>
        <v>0</v>
      </c>
      <c r="JO282" s="89">
        <f t="shared" si="9092"/>
        <v>0</v>
      </c>
      <c r="JP282" s="89">
        <v>0</v>
      </c>
      <c r="JQ282" s="89">
        <f t="shared" ref="JQ282:JR282" si="9099">JP282</f>
        <v>0</v>
      </c>
      <c r="JR282" s="89">
        <f t="shared" si="9099"/>
        <v>0</v>
      </c>
      <c r="JS282" s="74">
        <f t="shared" si="9094"/>
        <v>500</v>
      </c>
      <c r="JT282" s="382">
        <f t="shared" si="9095"/>
        <v>500</v>
      </c>
      <c r="JU282" s="670"/>
      <c r="JV282" s="489"/>
      <c r="JW282" s="490"/>
      <c r="JX282" s="548">
        <f t="shared" si="9096"/>
        <v>0</v>
      </c>
      <c r="JY282" s="548">
        <f t="shared" si="9097"/>
        <v>500</v>
      </c>
      <c r="JZ282" s="581">
        <f t="shared" si="7470"/>
        <v>0</v>
      </c>
      <c r="KA282" s="581">
        <f t="shared" si="7471"/>
        <v>0</v>
      </c>
      <c r="KB282" s="548">
        <f t="shared" si="8622"/>
        <v>500</v>
      </c>
      <c r="KC282" s="709">
        <f t="shared" si="7396"/>
        <v>0</v>
      </c>
      <c r="KD282" s="36"/>
      <c r="KE282" s="36"/>
      <c r="KF282" s="36"/>
      <c r="KG282" s="36"/>
      <c r="KH282" s="36"/>
      <c r="KI282" s="36"/>
      <c r="KJ282" s="36"/>
      <c r="KK282" s="36"/>
    </row>
    <row r="283" spans="1:297" s="10" customFormat="1" ht="12.75" customHeight="1">
      <c r="A283" s="86" t="s">
        <v>560</v>
      </c>
      <c r="B283" s="77"/>
      <c r="C283" s="74">
        <v>900000</v>
      </c>
      <c r="D283" s="549">
        <v>0</v>
      </c>
      <c r="E283" s="675">
        <v>0</v>
      </c>
      <c r="F283" s="549">
        <v>0</v>
      </c>
      <c r="G283" s="675">
        <v>0</v>
      </c>
      <c r="H283" s="549">
        <v>0</v>
      </c>
      <c r="I283" s="675">
        <v>0</v>
      </c>
      <c r="J283" s="549">
        <v>0</v>
      </c>
      <c r="K283" s="675">
        <v>0</v>
      </c>
      <c r="L283" s="549">
        <v>0</v>
      </c>
      <c r="M283" s="675">
        <v>0</v>
      </c>
      <c r="N283" s="549">
        <v>0</v>
      </c>
      <c r="O283" s="675">
        <v>0</v>
      </c>
      <c r="P283" s="549">
        <v>0</v>
      </c>
      <c r="Q283" s="675">
        <v>0</v>
      </c>
      <c r="R283" s="549">
        <v>0</v>
      </c>
      <c r="S283" s="675">
        <v>0</v>
      </c>
      <c r="T283" s="549">
        <v>0</v>
      </c>
      <c r="U283" s="675">
        <v>0</v>
      </c>
      <c r="V283" s="549">
        <v>0</v>
      </c>
      <c r="W283" s="675">
        <v>0</v>
      </c>
      <c r="X283" s="549">
        <v>0</v>
      </c>
      <c r="Y283" s="675">
        <v>0</v>
      </c>
      <c r="Z283" s="549">
        <v>0</v>
      </c>
      <c r="AA283" s="675">
        <v>0</v>
      </c>
      <c r="AB283" s="549">
        <v>0</v>
      </c>
      <c r="AC283" s="675">
        <v>0</v>
      </c>
      <c r="AD283" s="549">
        <v>0</v>
      </c>
      <c r="AE283" s="675">
        <v>0</v>
      </c>
      <c r="AF283" s="549">
        <v>0</v>
      </c>
      <c r="AG283" s="675">
        <v>0</v>
      </c>
      <c r="AH283" s="549">
        <v>0</v>
      </c>
      <c r="AI283" s="675">
        <v>0</v>
      </c>
      <c r="AJ283" s="549">
        <v>0</v>
      </c>
      <c r="AK283" s="675">
        <v>0</v>
      </c>
      <c r="AL283" s="549">
        <v>0</v>
      </c>
      <c r="AM283" s="675">
        <v>0</v>
      </c>
      <c r="AN283" s="549">
        <v>0</v>
      </c>
      <c r="AO283" s="675">
        <v>0</v>
      </c>
      <c r="AP283" s="549">
        <v>0</v>
      </c>
      <c r="AQ283" s="675">
        <v>0</v>
      </c>
      <c r="AR283" s="549">
        <v>0</v>
      </c>
      <c r="AS283" s="675">
        <v>0</v>
      </c>
      <c r="AT283" s="549">
        <v>0</v>
      </c>
      <c r="AU283" s="675">
        <v>0</v>
      </c>
      <c r="AV283" s="549">
        <v>0</v>
      </c>
      <c r="AW283" s="675">
        <v>0</v>
      </c>
      <c r="AX283" s="549">
        <v>0</v>
      </c>
      <c r="AY283" s="675">
        <v>0</v>
      </c>
      <c r="AZ283" s="549">
        <v>0</v>
      </c>
      <c r="BA283" s="675">
        <v>0</v>
      </c>
      <c r="BB283" s="549">
        <v>0</v>
      </c>
      <c r="BC283" s="675">
        <v>0</v>
      </c>
      <c r="BD283" s="549">
        <v>0</v>
      </c>
      <c r="BE283" s="675">
        <v>0</v>
      </c>
      <c r="BF283" s="549">
        <v>0</v>
      </c>
      <c r="BG283" s="675">
        <v>0</v>
      </c>
      <c r="BH283" s="549">
        <v>0</v>
      </c>
      <c r="BI283" s="675">
        <v>0</v>
      </c>
      <c r="BJ283" s="549">
        <v>0</v>
      </c>
      <c r="BK283" s="675">
        <v>0</v>
      </c>
      <c r="BL283" s="549">
        <v>0</v>
      </c>
      <c r="BM283" s="675">
        <v>0</v>
      </c>
      <c r="BN283" s="549">
        <v>0</v>
      </c>
      <c r="BO283" s="675">
        <v>0</v>
      </c>
      <c r="BP283" s="549">
        <v>0</v>
      </c>
      <c r="BQ283" s="675">
        <v>0</v>
      </c>
      <c r="BR283" s="549">
        <v>0</v>
      </c>
      <c r="BS283" s="675">
        <v>0</v>
      </c>
      <c r="BT283" s="549">
        <v>0</v>
      </c>
      <c r="BU283" s="675">
        <v>0</v>
      </c>
      <c r="BV283" s="549">
        <v>0</v>
      </c>
      <c r="BW283" s="675">
        <v>0</v>
      </c>
      <c r="BX283" s="549">
        <v>0</v>
      </c>
      <c r="BY283" s="675">
        <v>0</v>
      </c>
      <c r="BZ283" s="549">
        <v>0</v>
      </c>
      <c r="CA283" s="675">
        <v>0</v>
      </c>
      <c r="CB283" s="549">
        <v>0</v>
      </c>
      <c r="CC283" s="675">
        <v>0</v>
      </c>
      <c r="CD283" s="549">
        <v>0</v>
      </c>
      <c r="CE283" s="675">
        <v>0</v>
      </c>
      <c r="CF283" s="549">
        <v>0</v>
      </c>
      <c r="CG283" s="675">
        <v>0</v>
      </c>
      <c r="CH283" s="549">
        <v>0</v>
      </c>
      <c r="CI283" s="675">
        <v>0</v>
      </c>
      <c r="CJ283" s="549">
        <v>0</v>
      </c>
      <c r="CK283" s="675">
        <v>0</v>
      </c>
      <c r="CL283" s="549">
        <v>0</v>
      </c>
      <c r="CM283" s="675">
        <v>0</v>
      </c>
      <c r="CN283" s="549">
        <v>0</v>
      </c>
      <c r="CO283" s="675">
        <v>0</v>
      </c>
      <c r="CP283" s="549">
        <v>0</v>
      </c>
      <c r="CQ283" s="675">
        <v>0</v>
      </c>
      <c r="CR283" s="549">
        <v>0</v>
      </c>
      <c r="CS283" s="675">
        <v>0</v>
      </c>
      <c r="CT283" s="549">
        <v>0</v>
      </c>
      <c r="CU283" s="675">
        <v>0</v>
      </c>
      <c r="CV283" s="549">
        <v>0</v>
      </c>
      <c r="CW283" s="675">
        <v>0</v>
      </c>
      <c r="CX283" s="549">
        <v>0</v>
      </c>
      <c r="CY283" s="675">
        <v>0</v>
      </c>
      <c r="CZ283" s="549">
        <v>0</v>
      </c>
      <c r="DA283" s="675">
        <v>0</v>
      </c>
      <c r="DB283" s="549">
        <v>0</v>
      </c>
      <c r="DC283" s="675">
        <v>0</v>
      </c>
      <c r="DD283" s="549">
        <v>0</v>
      </c>
      <c r="DE283" s="675">
        <v>0</v>
      </c>
      <c r="DF283" s="549">
        <v>0</v>
      </c>
      <c r="DG283" s="675">
        <v>-100000</v>
      </c>
      <c r="DH283" s="549">
        <v>0</v>
      </c>
      <c r="DI283" s="675">
        <v>0</v>
      </c>
      <c r="DJ283" s="549">
        <v>0</v>
      </c>
      <c r="DK283" s="675">
        <v>0</v>
      </c>
      <c r="DL283" s="549">
        <v>0</v>
      </c>
      <c r="DM283" s="675">
        <v>0</v>
      </c>
      <c r="DN283" s="549">
        <v>0</v>
      </c>
      <c r="DO283" s="675">
        <v>0</v>
      </c>
      <c r="DP283" s="549">
        <v>0</v>
      </c>
      <c r="DQ283" s="675">
        <v>0</v>
      </c>
      <c r="DR283" s="549">
        <v>0</v>
      </c>
      <c r="DS283" s="675">
        <v>0</v>
      </c>
      <c r="DT283" s="549">
        <v>0</v>
      </c>
      <c r="DU283" s="675">
        <v>0</v>
      </c>
      <c r="DV283" s="549">
        <v>0</v>
      </c>
      <c r="DW283" s="675">
        <v>0</v>
      </c>
      <c r="DX283" s="549">
        <v>0</v>
      </c>
      <c r="DY283" s="675">
        <v>0</v>
      </c>
      <c r="DZ283" s="549">
        <v>0</v>
      </c>
      <c r="EA283" s="675">
        <v>0</v>
      </c>
      <c r="EB283" s="549">
        <v>0</v>
      </c>
      <c r="EC283" s="675">
        <v>0</v>
      </c>
      <c r="ED283" s="549">
        <v>0</v>
      </c>
      <c r="EE283" s="675">
        <v>0</v>
      </c>
      <c r="EF283" s="549">
        <v>0</v>
      </c>
      <c r="EG283" s="675">
        <v>0</v>
      </c>
      <c r="EH283" s="549">
        <v>0</v>
      </c>
      <c r="EI283" s="675">
        <v>0</v>
      </c>
      <c r="EJ283" s="549">
        <v>0</v>
      </c>
      <c r="EK283" s="675">
        <v>0</v>
      </c>
      <c r="EL283" s="549">
        <v>0</v>
      </c>
      <c r="EM283" s="675">
        <v>0</v>
      </c>
      <c r="EN283" s="549">
        <v>0</v>
      </c>
      <c r="EO283" s="675">
        <v>0</v>
      </c>
      <c r="EP283" s="549">
        <v>0</v>
      </c>
      <c r="EQ283" s="675">
        <v>0</v>
      </c>
      <c r="ER283" s="549">
        <v>0</v>
      </c>
      <c r="ES283" s="675">
        <v>0</v>
      </c>
      <c r="ET283" s="549">
        <v>0</v>
      </c>
      <c r="EU283" s="675">
        <v>0</v>
      </c>
      <c r="EV283" s="549">
        <v>0</v>
      </c>
      <c r="EW283" s="675">
        <v>0</v>
      </c>
      <c r="EX283" s="549">
        <v>0</v>
      </c>
      <c r="EY283" s="675">
        <v>0</v>
      </c>
      <c r="EZ283" s="549">
        <v>0</v>
      </c>
      <c r="FA283" s="675">
        <v>0</v>
      </c>
      <c r="FB283" s="549">
        <v>0</v>
      </c>
      <c r="FC283" s="675">
        <v>0</v>
      </c>
      <c r="FD283" s="549">
        <v>0</v>
      </c>
      <c r="FE283" s="675">
        <v>0</v>
      </c>
      <c r="FF283" s="549">
        <v>0</v>
      </c>
      <c r="FG283" s="675">
        <v>0</v>
      </c>
      <c r="FH283" s="549">
        <v>0</v>
      </c>
      <c r="FI283" s="675">
        <v>0</v>
      </c>
      <c r="FJ283" s="549">
        <v>0</v>
      </c>
      <c r="FK283" s="675">
        <v>0</v>
      </c>
      <c r="FL283" s="549">
        <v>0</v>
      </c>
      <c r="FM283" s="675">
        <v>0</v>
      </c>
      <c r="FN283" s="549">
        <v>0</v>
      </c>
      <c r="FO283" s="675">
        <v>0</v>
      </c>
      <c r="FP283" s="549">
        <v>0</v>
      </c>
      <c r="FQ283" s="675">
        <v>0</v>
      </c>
      <c r="FR283" s="549">
        <v>0</v>
      </c>
      <c r="FS283" s="675">
        <v>0</v>
      </c>
      <c r="FT283" s="549">
        <v>0</v>
      </c>
      <c r="FU283" s="675">
        <v>0</v>
      </c>
      <c r="FV283" s="549">
        <v>0</v>
      </c>
      <c r="FW283" s="675">
        <v>0</v>
      </c>
      <c r="FX283" s="549">
        <v>0</v>
      </c>
      <c r="FY283" s="675">
        <v>0</v>
      </c>
      <c r="FZ283" s="549">
        <v>0</v>
      </c>
      <c r="GA283" s="675">
        <v>0</v>
      </c>
      <c r="GB283" s="549">
        <v>0</v>
      </c>
      <c r="GC283" s="675">
        <v>0</v>
      </c>
      <c r="GD283" s="549">
        <v>0</v>
      </c>
      <c r="GE283" s="675">
        <v>0</v>
      </c>
      <c r="GF283" s="549">
        <v>0</v>
      </c>
      <c r="GG283" s="675">
        <v>0</v>
      </c>
      <c r="GH283" s="549">
        <v>0</v>
      </c>
      <c r="GI283" s="675">
        <v>0</v>
      </c>
      <c r="GJ283" s="549">
        <v>0</v>
      </c>
      <c r="GK283" s="675">
        <v>0</v>
      </c>
      <c r="GL283" s="549">
        <v>0</v>
      </c>
      <c r="GM283" s="675">
        <v>0</v>
      </c>
      <c r="GN283" s="549">
        <v>0</v>
      </c>
      <c r="GO283" s="675">
        <v>0</v>
      </c>
      <c r="GP283" s="549">
        <f t="shared" si="9062"/>
        <v>0</v>
      </c>
      <c r="GQ283" s="675">
        <f t="shared" si="9063"/>
        <v>-100000</v>
      </c>
      <c r="GR283" s="74">
        <f t="shared" si="9064"/>
        <v>800000</v>
      </c>
      <c r="GS283" s="74">
        <f t="shared" si="9065"/>
        <v>718182</v>
      </c>
      <c r="GT283" s="568">
        <f t="shared" si="9066"/>
        <v>800000</v>
      </c>
      <c r="GU283" s="275">
        <v>81820</v>
      </c>
      <c r="GV283" s="275">
        <v>81818</v>
      </c>
      <c r="GW283" s="275">
        <v>81818</v>
      </c>
      <c r="GX283" s="275">
        <v>81818</v>
      </c>
      <c r="GY283" s="275">
        <v>81818</v>
      </c>
      <c r="GZ283" s="275">
        <v>81818</v>
      </c>
      <c r="HA283" s="275">
        <v>81818</v>
      </c>
      <c r="HB283" s="275">
        <v>81818</v>
      </c>
      <c r="HC283" s="275">
        <v>81818</v>
      </c>
      <c r="HD283" s="275">
        <v>81818</v>
      </c>
      <c r="HE283" s="275">
        <v>81818</v>
      </c>
      <c r="HF283" s="275">
        <v>0</v>
      </c>
      <c r="HG283" s="74">
        <f t="shared" si="9067"/>
        <v>718182</v>
      </c>
      <c r="HH283" s="89">
        <v>0</v>
      </c>
      <c r="HI283" s="817">
        <v>0</v>
      </c>
      <c r="HJ283" s="89">
        <v>0</v>
      </c>
      <c r="HK283" s="817">
        <f>8344.68+155293.32</f>
        <v>163638</v>
      </c>
      <c r="HL283" s="89">
        <v>0</v>
      </c>
      <c r="HM283" s="817">
        <f>237111.32-155293.32</f>
        <v>81818</v>
      </c>
      <c r="HN283" s="89">
        <v>0</v>
      </c>
      <c r="HO283" s="817">
        <f>318929.32-237111.32</f>
        <v>81818</v>
      </c>
      <c r="HP283" s="89">
        <v>0</v>
      </c>
      <c r="HQ283" s="817">
        <f>269222.68-187404.68</f>
        <v>81818</v>
      </c>
      <c r="HR283" s="89">
        <v>0</v>
      </c>
      <c r="HS283" s="817">
        <f>271105.87-189287.87</f>
        <v>81818</v>
      </c>
      <c r="HT283" s="89">
        <v>0</v>
      </c>
      <c r="HU283" s="817">
        <f>274277.71-192459.71</f>
        <v>81818.000000000029</v>
      </c>
      <c r="HV283" s="89">
        <v>0</v>
      </c>
      <c r="HW283" s="817">
        <f>186426.19-104608.19</f>
        <v>81818</v>
      </c>
      <c r="HX283" s="89">
        <v>0</v>
      </c>
      <c r="HY283" s="817">
        <f>207308.66-125490.66</f>
        <v>81818</v>
      </c>
      <c r="HZ283" s="89">
        <v>0</v>
      </c>
      <c r="IA283" s="817">
        <f>215593.44-133775.44</f>
        <v>81818</v>
      </c>
      <c r="IB283" s="89">
        <v>0</v>
      </c>
      <c r="IC283" s="817">
        <v>0</v>
      </c>
      <c r="ID283" s="89">
        <v>0</v>
      </c>
      <c r="IE283" s="817">
        <v>0</v>
      </c>
      <c r="IF283" s="841">
        <f t="shared" si="9068"/>
        <v>502588.56</v>
      </c>
      <c r="IG283" s="263">
        <f t="shared" si="9069"/>
        <v>502588.56</v>
      </c>
      <c r="IH283" s="842">
        <f t="shared" si="9070"/>
        <v>502588.56</v>
      </c>
      <c r="II283" s="89">
        <v>0</v>
      </c>
      <c r="IJ283" s="89">
        <f t="shared" si="9071"/>
        <v>0</v>
      </c>
      <c r="IK283" s="89">
        <f t="shared" si="9072"/>
        <v>0</v>
      </c>
      <c r="IL283" s="89">
        <v>8344.68</v>
      </c>
      <c r="IM283" s="89">
        <f t="shared" si="9073"/>
        <v>8344.68</v>
      </c>
      <c r="IN283" s="89">
        <f t="shared" si="9074"/>
        <v>8344.68</v>
      </c>
      <c r="IO283" s="89">
        <v>0</v>
      </c>
      <c r="IP283" s="89">
        <f t="shared" si="9075"/>
        <v>0</v>
      </c>
      <c r="IQ283" s="89">
        <f t="shared" si="9076"/>
        <v>0</v>
      </c>
      <c r="IR283" s="89">
        <v>0</v>
      </c>
      <c r="IS283" s="89">
        <f t="shared" si="9077"/>
        <v>0</v>
      </c>
      <c r="IT283" s="89">
        <f t="shared" si="9078"/>
        <v>0</v>
      </c>
      <c r="IU283" s="89">
        <f>139869.32-8344.68</f>
        <v>131524.64000000001</v>
      </c>
      <c r="IV283" s="89">
        <f t="shared" si="9079"/>
        <v>131524.64000000001</v>
      </c>
      <c r="IW283" s="89">
        <f t="shared" si="9080"/>
        <v>131524.64000000001</v>
      </c>
      <c r="IX283" s="89">
        <f>219804.13-139869.32</f>
        <v>79934.81</v>
      </c>
      <c r="IY283" s="89">
        <f t="shared" si="9081"/>
        <v>79934.81</v>
      </c>
      <c r="IZ283" s="89">
        <f t="shared" si="9082"/>
        <v>79934.81</v>
      </c>
      <c r="JA283" s="89">
        <f>298450.29-219804.13</f>
        <v>78646.159999999974</v>
      </c>
      <c r="JB283" s="89">
        <f t="shared" si="9083"/>
        <v>78646.159999999974</v>
      </c>
      <c r="JC283" s="89">
        <f t="shared" si="9084"/>
        <v>78646.159999999974</v>
      </c>
      <c r="JD283" s="89">
        <f>368119.81-298450.29</f>
        <v>69669.520000000019</v>
      </c>
      <c r="JE283" s="89">
        <f t="shared" si="9085"/>
        <v>69669.520000000019</v>
      </c>
      <c r="JF283" s="89">
        <f t="shared" si="9086"/>
        <v>69669.520000000019</v>
      </c>
      <c r="JG283" s="89">
        <f>429055.34-368119.81</f>
        <v>60935.530000000028</v>
      </c>
      <c r="JH283" s="89">
        <f t="shared" si="9087"/>
        <v>60935.530000000028</v>
      </c>
      <c r="JI283" s="89">
        <f t="shared" si="9088"/>
        <v>60935.530000000028</v>
      </c>
      <c r="JJ283" s="89">
        <f>502588.56-429055.34</f>
        <v>73533.219999999972</v>
      </c>
      <c r="JK283" s="89">
        <f t="shared" si="9089"/>
        <v>73533.219999999972</v>
      </c>
      <c r="JL283" s="89">
        <f t="shared" si="9090"/>
        <v>73533.219999999972</v>
      </c>
      <c r="JM283" s="89">
        <v>0</v>
      </c>
      <c r="JN283" s="89">
        <f t="shared" si="9091"/>
        <v>0</v>
      </c>
      <c r="JO283" s="89">
        <f t="shared" si="9092"/>
        <v>0</v>
      </c>
      <c r="JP283" s="89">
        <v>0</v>
      </c>
      <c r="JQ283" s="89">
        <f t="shared" ref="JQ283:JR283" si="9100">JP283</f>
        <v>0</v>
      </c>
      <c r="JR283" s="89">
        <f t="shared" si="9100"/>
        <v>0</v>
      </c>
      <c r="JS283" s="74">
        <f t="shared" si="9094"/>
        <v>215593.44</v>
      </c>
      <c r="JT283" s="382">
        <f t="shared" si="9095"/>
        <v>215593.44</v>
      </c>
      <c r="JU283" s="670"/>
      <c r="JV283" s="489"/>
      <c r="JW283" s="490"/>
      <c r="JX283" s="548">
        <f t="shared" si="9096"/>
        <v>0</v>
      </c>
      <c r="JY283" s="548">
        <f t="shared" si="9097"/>
        <v>818182</v>
      </c>
      <c r="JZ283" s="581">
        <f t="shared" si="7470"/>
        <v>0</v>
      </c>
      <c r="KA283" s="581">
        <f t="shared" si="7471"/>
        <v>-100000</v>
      </c>
      <c r="KB283" s="548">
        <f t="shared" si="8622"/>
        <v>718182</v>
      </c>
      <c r="KC283" s="709">
        <f t="shared" ref="KC283:KC367" si="9101">HG283-KB283</f>
        <v>0</v>
      </c>
      <c r="KD283" s="36"/>
      <c r="KE283" s="36"/>
      <c r="KF283" s="36"/>
      <c r="KG283" s="36"/>
      <c r="KH283" s="36"/>
      <c r="KI283" s="36"/>
      <c r="KJ283" s="36"/>
      <c r="KK283" s="36"/>
    </row>
    <row r="284" spans="1:297" s="10" customFormat="1" ht="12.75" customHeight="1">
      <c r="A284" s="86" t="s">
        <v>660</v>
      </c>
      <c r="B284" s="77"/>
      <c r="C284" s="74">
        <v>50000</v>
      </c>
      <c r="D284" s="549">
        <v>0</v>
      </c>
      <c r="E284" s="675">
        <v>0</v>
      </c>
      <c r="F284" s="549">
        <v>0</v>
      </c>
      <c r="G284" s="675">
        <v>0</v>
      </c>
      <c r="H284" s="549">
        <v>0</v>
      </c>
      <c r="I284" s="675">
        <v>0</v>
      </c>
      <c r="J284" s="549">
        <v>0</v>
      </c>
      <c r="K284" s="675">
        <v>0</v>
      </c>
      <c r="L284" s="549">
        <v>0</v>
      </c>
      <c r="M284" s="675">
        <v>0</v>
      </c>
      <c r="N284" s="549">
        <v>0</v>
      </c>
      <c r="O284" s="675">
        <v>0</v>
      </c>
      <c r="P284" s="549">
        <v>0</v>
      </c>
      <c r="Q284" s="675">
        <v>0</v>
      </c>
      <c r="R284" s="549">
        <v>0</v>
      </c>
      <c r="S284" s="675">
        <v>0</v>
      </c>
      <c r="T284" s="549">
        <v>0</v>
      </c>
      <c r="U284" s="675">
        <v>0</v>
      </c>
      <c r="V284" s="549">
        <v>0</v>
      </c>
      <c r="W284" s="675">
        <v>0</v>
      </c>
      <c r="X284" s="549">
        <v>0</v>
      </c>
      <c r="Y284" s="675">
        <v>0</v>
      </c>
      <c r="Z284" s="549">
        <v>0</v>
      </c>
      <c r="AA284" s="675">
        <v>0</v>
      </c>
      <c r="AB284" s="549">
        <v>0</v>
      </c>
      <c r="AC284" s="675">
        <v>0</v>
      </c>
      <c r="AD284" s="549">
        <v>0</v>
      </c>
      <c r="AE284" s="675">
        <v>0</v>
      </c>
      <c r="AF284" s="549">
        <v>0</v>
      </c>
      <c r="AG284" s="675">
        <v>0</v>
      </c>
      <c r="AH284" s="549">
        <v>0</v>
      </c>
      <c r="AI284" s="675">
        <v>0</v>
      </c>
      <c r="AJ284" s="549">
        <v>0</v>
      </c>
      <c r="AK284" s="675">
        <v>0</v>
      </c>
      <c r="AL284" s="549">
        <v>0</v>
      </c>
      <c r="AM284" s="675">
        <v>0</v>
      </c>
      <c r="AN284" s="549">
        <v>0</v>
      </c>
      <c r="AO284" s="675">
        <v>0</v>
      </c>
      <c r="AP284" s="549">
        <v>0</v>
      </c>
      <c r="AQ284" s="675">
        <v>0</v>
      </c>
      <c r="AR284" s="549">
        <v>0</v>
      </c>
      <c r="AS284" s="675">
        <v>0</v>
      </c>
      <c r="AT284" s="549">
        <v>0</v>
      </c>
      <c r="AU284" s="675">
        <v>0</v>
      </c>
      <c r="AV284" s="549">
        <v>0</v>
      </c>
      <c r="AW284" s="675">
        <v>0</v>
      </c>
      <c r="AX284" s="549">
        <v>0</v>
      </c>
      <c r="AY284" s="675">
        <v>0</v>
      </c>
      <c r="AZ284" s="549">
        <v>0</v>
      </c>
      <c r="BA284" s="675">
        <v>0</v>
      </c>
      <c r="BB284" s="549">
        <v>0</v>
      </c>
      <c r="BC284" s="675">
        <v>0</v>
      </c>
      <c r="BD284" s="549">
        <v>0</v>
      </c>
      <c r="BE284" s="675">
        <v>0</v>
      </c>
      <c r="BF284" s="549">
        <v>0</v>
      </c>
      <c r="BG284" s="675">
        <v>0</v>
      </c>
      <c r="BH284" s="549">
        <v>0</v>
      </c>
      <c r="BI284" s="675">
        <v>0</v>
      </c>
      <c r="BJ284" s="549">
        <v>0</v>
      </c>
      <c r="BK284" s="675">
        <v>0</v>
      </c>
      <c r="BL284" s="549">
        <v>0</v>
      </c>
      <c r="BM284" s="675">
        <v>0</v>
      </c>
      <c r="BN284" s="549">
        <v>0</v>
      </c>
      <c r="BO284" s="675">
        <v>0</v>
      </c>
      <c r="BP284" s="549">
        <v>0</v>
      </c>
      <c r="BQ284" s="675">
        <v>0</v>
      </c>
      <c r="BR284" s="549">
        <v>0</v>
      </c>
      <c r="BS284" s="675">
        <v>0</v>
      </c>
      <c r="BT284" s="549">
        <v>0</v>
      </c>
      <c r="BU284" s="675">
        <v>0</v>
      </c>
      <c r="BV284" s="549">
        <v>0</v>
      </c>
      <c r="BW284" s="675">
        <v>0</v>
      </c>
      <c r="BX284" s="549">
        <v>0</v>
      </c>
      <c r="BY284" s="675">
        <v>0</v>
      </c>
      <c r="BZ284" s="549">
        <v>0</v>
      </c>
      <c r="CA284" s="675">
        <v>0</v>
      </c>
      <c r="CB284" s="549">
        <v>0</v>
      </c>
      <c r="CC284" s="675">
        <v>0</v>
      </c>
      <c r="CD284" s="549">
        <v>0</v>
      </c>
      <c r="CE284" s="675">
        <v>0</v>
      </c>
      <c r="CF284" s="549">
        <v>0</v>
      </c>
      <c r="CG284" s="675">
        <v>0</v>
      </c>
      <c r="CH284" s="549">
        <v>0</v>
      </c>
      <c r="CI284" s="675">
        <v>0</v>
      </c>
      <c r="CJ284" s="549">
        <v>0</v>
      </c>
      <c r="CK284" s="675">
        <v>0</v>
      </c>
      <c r="CL284" s="549">
        <v>0</v>
      </c>
      <c r="CM284" s="675">
        <v>0</v>
      </c>
      <c r="CN284" s="549">
        <v>0</v>
      </c>
      <c r="CO284" s="675">
        <v>0</v>
      </c>
      <c r="CP284" s="549">
        <v>0</v>
      </c>
      <c r="CQ284" s="675">
        <v>0</v>
      </c>
      <c r="CR284" s="549">
        <v>0</v>
      </c>
      <c r="CS284" s="675">
        <v>0</v>
      </c>
      <c r="CT284" s="549">
        <v>0</v>
      </c>
      <c r="CU284" s="675">
        <v>0</v>
      </c>
      <c r="CV284" s="549">
        <v>0</v>
      </c>
      <c r="CW284" s="675">
        <v>0</v>
      </c>
      <c r="CX284" s="549">
        <v>0</v>
      </c>
      <c r="CY284" s="675">
        <v>0</v>
      </c>
      <c r="CZ284" s="549">
        <v>0</v>
      </c>
      <c r="DA284" s="675">
        <v>0</v>
      </c>
      <c r="DB284" s="549">
        <v>0</v>
      </c>
      <c r="DC284" s="675">
        <v>0</v>
      </c>
      <c r="DD284" s="549">
        <v>0</v>
      </c>
      <c r="DE284" s="675">
        <v>0</v>
      </c>
      <c r="DF284" s="549">
        <v>0</v>
      </c>
      <c r="DG284" s="675">
        <v>0</v>
      </c>
      <c r="DH284" s="549">
        <v>0</v>
      </c>
      <c r="DI284" s="675">
        <v>0</v>
      </c>
      <c r="DJ284" s="549">
        <v>0</v>
      </c>
      <c r="DK284" s="675">
        <v>0</v>
      </c>
      <c r="DL284" s="549">
        <v>0</v>
      </c>
      <c r="DM284" s="675">
        <v>0</v>
      </c>
      <c r="DN284" s="549">
        <v>0</v>
      </c>
      <c r="DO284" s="675">
        <v>0</v>
      </c>
      <c r="DP284" s="549">
        <v>0</v>
      </c>
      <c r="DQ284" s="675">
        <v>0</v>
      </c>
      <c r="DR284" s="549">
        <v>0</v>
      </c>
      <c r="DS284" s="675">
        <v>0</v>
      </c>
      <c r="DT284" s="549">
        <v>0</v>
      </c>
      <c r="DU284" s="675">
        <v>0</v>
      </c>
      <c r="DV284" s="549">
        <v>0</v>
      </c>
      <c r="DW284" s="675">
        <v>0</v>
      </c>
      <c r="DX284" s="549">
        <v>0</v>
      </c>
      <c r="DY284" s="675">
        <v>0</v>
      </c>
      <c r="DZ284" s="549">
        <v>0</v>
      </c>
      <c r="EA284" s="675">
        <v>0</v>
      </c>
      <c r="EB284" s="549">
        <v>0</v>
      </c>
      <c r="EC284" s="675">
        <v>0</v>
      </c>
      <c r="ED284" s="549">
        <v>0</v>
      </c>
      <c r="EE284" s="675">
        <v>0</v>
      </c>
      <c r="EF284" s="549">
        <v>0</v>
      </c>
      <c r="EG284" s="675">
        <v>0</v>
      </c>
      <c r="EH284" s="549">
        <v>0</v>
      </c>
      <c r="EI284" s="675">
        <v>0</v>
      </c>
      <c r="EJ284" s="549">
        <v>0</v>
      </c>
      <c r="EK284" s="675">
        <v>0</v>
      </c>
      <c r="EL284" s="549">
        <v>0</v>
      </c>
      <c r="EM284" s="675">
        <v>0</v>
      </c>
      <c r="EN284" s="549">
        <v>0</v>
      </c>
      <c r="EO284" s="675">
        <v>0</v>
      </c>
      <c r="EP284" s="549">
        <v>0</v>
      </c>
      <c r="EQ284" s="675">
        <v>0</v>
      </c>
      <c r="ER284" s="549">
        <v>0</v>
      </c>
      <c r="ES284" s="675">
        <v>0</v>
      </c>
      <c r="ET284" s="549">
        <v>0</v>
      </c>
      <c r="EU284" s="675">
        <v>0</v>
      </c>
      <c r="EV284" s="549">
        <v>0</v>
      </c>
      <c r="EW284" s="675">
        <v>0</v>
      </c>
      <c r="EX284" s="549">
        <v>0</v>
      </c>
      <c r="EY284" s="675">
        <v>0</v>
      </c>
      <c r="EZ284" s="549">
        <v>0</v>
      </c>
      <c r="FA284" s="675">
        <v>0</v>
      </c>
      <c r="FB284" s="549">
        <v>0</v>
      </c>
      <c r="FC284" s="675">
        <v>0</v>
      </c>
      <c r="FD284" s="549">
        <v>0</v>
      </c>
      <c r="FE284" s="675">
        <v>0</v>
      </c>
      <c r="FF284" s="549">
        <v>0</v>
      </c>
      <c r="FG284" s="675">
        <v>0</v>
      </c>
      <c r="FH284" s="549">
        <v>0</v>
      </c>
      <c r="FI284" s="675">
        <v>0</v>
      </c>
      <c r="FJ284" s="549">
        <v>0</v>
      </c>
      <c r="FK284" s="675">
        <v>0</v>
      </c>
      <c r="FL284" s="549">
        <v>0</v>
      </c>
      <c r="FM284" s="675">
        <v>0</v>
      </c>
      <c r="FN284" s="549">
        <v>0</v>
      </c>
      <c r="FO284" s="675">
        <v>0</v>
      </c>
      <c r="FP284" s="549">
        <v>0</v>
      </c>
      <c r="FQ284" s="675">
        <v>0</v>
      </c>
      <c r="FR284" s="549">
        <v>0</v>
      </c>
      <c r="FS284" s="675">
        <v>0</v>
      </c>
      <c r="FT284" s="549">
        <v>0</v>
      </c>
      <c r="FU284" s="675">
        <v>0</v>
      </c>
      <c r="FV284" s="549">
        <v>0</v>
      </c>
      <c r="FW284" s="675">
        <v>0</v>
      </c>
      <c r="FX284" s="549">
        <v>0</v>
      </c>
      <c r="FY284" s="675">
        <v>0</v>
      </c>
      <c r="FZ284" s="549">
        <v>0</v>
      </c>
      <c r="GA284" s="675">
        <v>0</v>
      </c>
      <c r="GB284" s="549">
        <v>0</v>
      </c>
      <c r="GC284" s="675">
        <v>0</v>
      </c>
      <c r="GD284" s="549">
        <v>0</v>
      </c>
      <c r="GE284" s="675">
        <v>0</v>
      </c>
      <c r="GF284" s="549">
        <v>0</v>
      </c>
      <c r="GG284" s="675">
        <v>0</v>
      </c>
      <c r="GH284" s="549">
        <v>0</v>
      </c>
      <c r="GI284" s="675">
        <v>0</v>
      </c>
      <c r="GJ284" s="549">
        <v>0</v>
      </c>
      <c r="GK284" s="675">
        <v>0</v>
      </c>
      <c r="GL284" s="549">
        <v>0</v>
      </c>
      <c r="GM284" s="675">
        <v>0</v>
      </c>
      <c r="GN284" s="549">
        <v>0</v>
      </c>
      <c r="GO284" s="675">
        <v>0</v>
      </c>
      <c r="GP284" s="549">
        <f t="shared" si="9062"/>
        <v>0</v>
      </c>
      <c r="GQ284" s="675">
        <f t="shared" si="9063"/>
        <v>0</v>
      </c>
      <c r="GR284" s="74">
        <f t="shared" si="9064"/>
        <v>50000</v>
      </c>
      <c r="GS284" s="74">
        <f t="shared" si="9065"/>
        <v>45455</v>
      </c>
      <c r="GT284" s="568">
        <f t="shared" si="9066"/>
        <v>50000</v>
      </c>
      <c r="GU284" s="275">
        <v>4550</v>
      </c>
      <c r="GV284" s="275">
        <v>4545</v>
      </c>
      <c r="GW284" s="275">
        <v>4545</v>
      </c>
      <c r="GX284" s="275">
        <v>4545</v>
      </c>
      <c r="GY284" s="275">
        <v>4545</v>
      </c>
      <c r="GZ284" s="275">
        <v>4545</v>
      </c>
      <c r="HA284" s="275">
        <v>4545</v>
      </c>
      <c r="HB284" s="275">
        <v>4545</v>
      </c>
      <c r="HC284" s="275">
        <v>4545</v>
      </c>
      <c r="HD284" s="275">
        <v>4545</v>
      </c>
      <c r="HE284" s="275">
        <v>4545</v>
      </c>
      <c r="HF284" s="275">
        <v>0</v>
      </c>
      <c r="HG284" s="74">
        <f t="shared" si="9067"/>
        <v>45455</v>
      </c>
      <c r="HH284" s="89">
        <v>0</v>
      </c>
      <c r="HI284" s="817">
        <v>0</v>
      </c>
      <c r="HJ284" s="89">
        <v>0</v>
      </c>
      <c r="HK284" s="817">
        <f>1004.73+8090.27</f>
        <v>9095</v>
      </c>
      <c r="HL284" s="89">
        <v>0</v>
      </c>
      <c r="HM284" s="817">
        <f>6993.82-2448.82</f>
        <v>4545</v>
      </c>
      <c r="HN284" s="89">
        <v>0</v>
      </c>
      <c r="HO284" s="817">
        <f>11381.87-6836.87</f>
        <v>4545.0000000000009</v>
      </c>
      <c r="HP284" s="89">
        <v>0</v>
      </c>
      <c r="HQ284" s="817">
        <f>10794.67-6249.67</f>
        <v>4545</v>
      </c>
      <c r="HR284" s="89">
        <v>0</v>
      </c>
      <c r="HS284" s="817">
        <f>11378.78-6833.78</f>
        <v>4545.0000000000009</v>
      </c>
      <c r="HT284" s="89">
        <v>0</v>
      </c>
      <c r="HU284" s="817">
        <f>12957.4-8412.4</f>
        <v>4545</v>
      </c>
      <c r="HV284" s="89">
        <v>0</v>
      </c>
      <c r="HW284" s="817">
        <f>12568.66-8023.66</f>
        <v>4545</v>
      </c>
      <c r="HX284" s="89">
        <v>0</v>
      </c>
      <c r="HY284" s="817">
        <f>14001.61-9456.61</f>
        <v>4545</v>
      </c>
      <c r="HZ284" s="89">
        <v>0</v>
      </c>
      <c r="IA284" s="817">
        <f>6520.79-1975.79</f>
        <v>4545</v>
      </c>
      <c r="IB284" s="89">
        <v>0</v>
      </c>
      <c r="IC284" s="817">
        <v>0</v>
      </c>
      <c r="ID284" s="89">
        <v>0</v>
      </c>
      <c r="IE284" s="817">
        <v>0</v>
      </c>
      <c r="IF284" s="841">
        <f t="shared" si="9068"/>
        <v>38934.21</v>
      </c>
      <c r="IG284" s="263">
        <f t="shared" si="9069"/>
        <v>38934.21</v>
      </c>
      <c r="IH284" s="842">
        <f t="shared" si="9070"/>
        <v>38934.21</v>
      </c>
      <c r="II284" s="89">
        <v>180.38</v>
      </c>
      <c r="IJ284" s="89">
        <f t="shared" si="9071"/>
        <v>180.38</v>
      </c>
      <c r="IK284" s="89">
        <f t="shared" si="9072"/>
        <v>180.38</v>
      </c>
      <c r="IL284" s="89">
        <f>1004.73-180.38</f>
        <v>824.35</v>
      </c>
      <c r="IM284" s="89">
        <f t="shared" si="9073"/>
        <v>824.35</v>
      </c>
      <c r="IN284" s="89">
        <f t="shared" si="9074"/>
        <v>824.35</v>
      </c>
      <c r="IO284" s="89">
        <f>6646.18-1004.73</f>
        <v>5641.4500000000007</v>
      </c>
      <c r="IP284" s="89">
        <f t="shared" si="9075"/>
        <v>5641.4500000000007</v>
      </c>
      <c r="IQ284" s="89">
        <f t="shared" si="9076"/>
        <v>5641.4500000000007</v>
      </c>
      <c r="IR284" s="89">
        <f>6803.13-6646.18</f>
        <v>156.94999999999982</v>
      </c>
      <c r="IS284" s="89">
        <f t="shared" si="9077"/>
        <v>156.94999999999982</v>
      </c>
      <c r="IT284" s="89">
        <f t="shared" si="9078"/>
        <v>156.94999999999982</v>
      </c>
      <c r="IU284" s="89">
        <f>11935.33-6803.13</f>
        <v>5132.2</v>
      </c>
      <c r="IV284" s="89">
        <f t="shared" si="9079"/>
        <v>5132.2</v>
      </c>
      <c r="IW284" s="89">
        <f t="shared" si="9080"/>
        <v>5132.2</v>
      </c>
      <c r="IX284" s="89">
        <f>15896.22-11935.33</f>
        <v>3960.8899999999994</v>
      </c>
      <c r="IY284" s="89">
        <f t="shared" si="9081"/>
        <v>3960.8899999999994</v>
      </c>
      <c r="IZ284" s="89">
        <f t="shared" si="9082"/>
        <v>3960.8899999999994</v>
      </c>
      <c r="JA284" s="89">
        <f>18862.6-15896.22</f>
        <v>2966.3799999999992</v>
      </c>
      <c r="JB284" s="89">
        <f t="shared" si="9083"/>
        <v>2966.3799999999992</v>
      </c>
      <c r="JC284" s="89">
        <f t="shared" si="9084"/>
        <v>2966.3799999999992</v>
      </c>
      <c r="JD284" s="89">
        <f>23796.34-18862.6</f>
        <v>4933.7400000000016</v>
      </c>
      <c r="JE284" s="89">
        <f t="shared" si="9085"/>
        <v>4933.7400000000016</v>
      </c>
      <c r="JF284" s="89">
        <f t="shared" si="9086"/>
        <v>4933.7400000000016</v>
      </c>
      <c r="JG284" s="89">
        <f>26908.39-23796.34</f>
        <v>3112.0499999999993</v>
      </c>
      <c r="JH284" s="89">
        <f t="shared" si="9087"/>
        <v>3112.0499999999993</v>
      </c>
      <c r="JI284" s="89">
        <f t="shared" si="9088"/>
        <v>3112.0499999999993</v>
      </c>
      <c r="JJ284" s="89">
        <f>38934.21-26908.39</f>
        <v>12025.82</v>
      </c>
      <c r="JK284" s="89">
        <f t="shared" si="9089"/>
        <v>12025.82</v>
      </c>
      <c r="JL284" s="89">
        <f t="shared" si="9090"/>
        <v>12025.82</v>
      </c>
      <c r="JM284" s="89">
        <v>0</v>
      </c>
      <c r="JN284" s="89">
        <f t="shared" si="9091"/>
        <v>0</v>
      </c>
      <c r="JO284" s="89">
        <f t="shared" si="9092"/>
        <v>0</v>
      </c>
      <c r="JP284" s="89">
        <v>0</v>
      </c>
      <c r="JQ284" s="89">
        <f t="shared" ref="JQ284:JR284" si="9102">JP284</f>
        <v>0</v>
      </c>
      <c r="JR284" s="89">
        <f t="shared" si="9102"/>
        <v>0</v>
      </c>
      <c r="JS284" s="74">
        <f t="shared" si="9094"/>
        <v>6520.7900000000009</v>
      </c>
      <c r="JT284" s="382">
        <f t="shared" si="9095"/>
        <v>6520.7900000000009</v>
      </c>
      <c r="JU284" s="670"/>
      <c r="JV284" s="489"/>
      <c r="JW284" s="490"/>
      <c r="JX284" s="548">
        <f t="shared" si="9096"/>
        <v>0</v>
      </c>
      <c r="JY284" s="548">
        <f t="shared" si="9097"/>
        <v>45455</v>
      </c>
      <c r="JZ284" s="581">
        <f t="shared" ref="JZ284:JZ368" si="9103">GP284</f>
        <v>0</v>
      </c>
      <c r="KA284" s="581">
        <f t="shared" ref="KA284:KA368" si="9104">GQ284</f>
        <v>0</v>
      </c>
      <c r="KB284" s="548">
        <f t="shared" si="8622"/>
        <v>45455</v>
      </c>
      <c r="KC284" s="709">
        <f t="shared" si="9101"/>
        <v>0</v>
      </c>
      <c r="KD284" s="36"/>
      <c r="KE284" s="36"/>
      <c r="KF284" s="36"/>
      <c r="KG284" s="36"/>
      <c r="KH284" s="36"/>
      <c r="KI284" s="36"/>
      <c r="KJ284" s="36"/>
      <c r="KK284" s="36"/>
    </row>
    <row r="285" spans="1:297" s="10" customFormat="1" ht="12.75" customHeight="1">
      <c r="A285" s="86" t="s">
        <v>811</v>
      </c>
      <c r="B285" s="77"/>
      <c r="C285" s="74">
        <v>15000</v>
      </c>
      <c r="D285" s="549">
        <v>0</v>
      </c>
      <c r="E285" s="675">
        <v>0</v>
      </c>
      <c r="F285" s="549">
        <v>0</v>
      </c>
      <c r="G285" s="675">
        <v>0</v>
      </c>
      <c r="H285" s="549">
        <v>0</v>
      </c>
      <c r="I285" s="675">
        <v>0</v>
      </c>
      <c r="J285" s="549">
        <v>0</v>
      </c>
      <c r="K285" s="675">
        <v>0</v>
      </c>
      <c r="L285" s="549">
        <v>0</v>
      </c>
      <c r="M285" s="675">
        <v>0</v>
      </c>
      <c r="N285" s="549">
        <v>0</v>
      </c>
      <c r="O285" s="675">
        <v>0</v>
      </c>
      <c r="P285" s="549">
        <v>0</v>
      </c>
      <c r="Q285" s="675">
        <v>0</v>
      </c>
      <c r="R285" s="549">
        <v>0</v>
      </c>
      <c r="S285" s="675">
        <v>0</v>
      </c>
      <c r="T285" s="549">
        <v>0</v>
      </c>
      <c r="U285" s="675">
        <v>0</v>
      </c>
      <c r="V285" s="549">
        <v>0</v>
      </c>
      <c r="W285" s="675">
        <v>0</v>
      </c>
      <c r="X285" s="549">
        <v>0</v>
      </c>
      <c r="Y285" s="675">
        <v>0</v>
      </c>
      <c r="Z285" s="549">
        <v>0</v>
      </c>
      <c r="AA285" s="675">
        <v>0</v>
      </c>
      <c r="AB285" s="549">
        <v>0</v>
      </c>
      <c r="AC285" s="675">
        <v>0</v>
      </c>
      <c r="AD285" s="549">
        <v>0</v>
      </c>
      <c r="AE285" s="675">
        <v>0</v>
      </c>
      <c r="AF285" s="549">
        <v>0</v>
      </c>
      <c r="AG285" s="675">
        <v>0</v>
      </c>
      <c r="AH285" s="549">
        <v>0</v>
      </c>
      <c r="AI285" s="675">
        <v>0</v>
      </c>
      <c r="AJ285" s="549">
        <v>0</v>
      </c>
      <c r="AK285" s="675">
        <v>0</v>
      </c>
      <c r="AL285" s="549">
        <v>0</v>
      </c>
      <c r="AM285" s="675">
        <v>0</v>
      </c>
      <c r="AN285" s="549">
        <v>0</v>
      </c>
      <c r="AO285" s="675">
        <v>0</v>
      </c>
      <c r="AP285" s="549">
        <v>0</v>
      </c>
      <c r="AQ285" s="675">
        <v>0</v>
      </c>
      <c r="AR285" s="549">
        <v>0</v>
      </c>
      <c r="AS285" s="675">
        <v>0</v>
      </c>
      <c r="AT285" s="549">
        <v>0</v>
      </c>
      <c r="AU285" s="675">
        <v>0</v>
      </c>
      <c r="AV285" s="549">
        <v>0</v>
      </c>
      <c r="AW285" s="675">
        <v>0</v>
      </c>
      <c r="AX285" s="549">
        <v>0</v>
      </c>
      <c r="AY285" s="675">
        <v>0</v>
      </c>
      <c r="AZ285" s="549">
        <v>0</v>
      </c>
      <c r="BA285" s="675">
        <v>0</v>
      </c>
      <c r="BB285" s="549">
        <v>0</v>
      </c>
      <c r="BC285" s="675">
        <v>0</v>
      </c>
      <c r="BD285" s="549">
        <v>0</v>
      </c>
      <c r="BE285" s="675">
        <v>0</v>
      </c>
      <c r="BF285" s="549">
        <v>0</v>
      </c>
      <c r="BG285" s="675">
        <v>0</v>
      </c>
      <c r="BH285" s="549">
        <v>0</v>
      </c>
      <c r="BI285" s="675">
        <v>0</v>
      </c>
      <c r="BJ285" s="549">
        <v>0</v>
      </c>
      <c r="BK285" s="675">
        <v>0</v>
      </c>
      <c r="BL285" s="549">
        <v>0</v>
      </c>
      <c r="BM285" s="675">
        <v>0</v>
      </c>
      <c r="BN285" s="549">
        <v>0</v>
      </c>
      <c r="BO285" s="675">
        <v>0</v>
      </c>
      <c r="BP285" s="549">
        <v>0</v>
      </c>
      <c r="BQ285" s="675">
        <v>0</v>
      </c>
      <c r="BR285" s="549">
        <v>0</v>
      </c>
      <c r="BS285" s="675">
        <v>0</v>
      </c>
      <c r="BT285" s="549">
        <v>0</v>
      </c>
      <c r="BU285" s="675">
        <v>0</v>
      </c>
      <c r="BV285" s="549">
        <v>0</v>
      </c>
      <c r="BW285" s="675">
        <v>0</v>
      </c>
      <c r="BX285" s="549">
        <v>0</v>
      </c>
      <c r="BY285" s="675">
        <v>0</v>
      </c>
      <c r="BZ285" s="549">
        <v>0</v>
      </c>
      <c r="CA285" s="675">
        <v>0</v>
      </c>
      <c r="CB285" s="549">
        <v>0</v>
      </c>
      <c r="CC285" s="675">
        <v>0</v>
      </c>
      <c r="CD285" s="549">
        <v>0</v>
      </c>
      <c r="CE285" s="675">
        <v>0</v>
      </c>
      <c r="CF285" s="549">
        <v>0</v>
      </c>
      <c r="CG285" s="675">
        <v>0</v>
      </c>
      <c r="CH285" s="549">
        <v>0</v>
      </c>
      <c r="CI285" s="675">
        <v>0</v>
      </c>
      <c r="CJ285" s="549">
        <v>0</v>
      </c>
      <c r="CK285" s="675">
        <v>0</v>
      </c>
      <c r="CL285" s="549">
        <v>0</v>
      </c>
      <c r="CM285" s="675">
        <v>0</v>
      </c>
      <c r="CN285" s="549">
        <v>0</v>
      </c>
      <c r="CO285" s="675">
        <v>0</v>
      </c>
      <c r="CP285" s="549">
        <v>0</v>
      </c>
      <c r="CQ285" s="675">
        <v>0</v>
      </c>
      <c r="CR285" s="549">
        <v>0</v>
      </c>
      <c r="CS285" s="675">
        <v>0</v>
      </c>
      <c r="CT285" s="549">
        <v>0</v>
      </c>
      <c r="CU285" s="675">
        <v>0</v>
      </c>
      <c r="CV285" s="549">
        <v>0</v>
      </c>
      <c r="CW285" s="675">
        <v>0</v>
      </c>
      <c r="CX285" s="549">
        <v>0</v>
      </c>
      <c r="CY285" s="675">
        <v>0</v>
      </c>
      <c r="CZ285" s="549">
        <v>0</v>
      </c>
      <c r="DA285" s="675">
        <v>0</v>
      </c>
      <c r="DB285" s="549">
        <v>0</v>
      </c>
      <c r="DC285" s="675">
        <v>0</v>
      </c>
      <c r="DD285" s="549">
        <v>0</v>
      </c>
      <c r="DE285" s="675">
        <v>0</v>
      </c>
      <c r="DF285" s="549">
        <v>0</v>
      </c>
      <c r="DG285" s="675">
        <v>0</v>
      </c>
      <c r="DH285" s="549">
        <v>0</v>
      </c>
      <c r="DI285" s="675">
        <v>0</v>
      </c>
      <c r="DJ285" s="549">
        <v>0</v>
      </c>
      <c r="DK285" s="675">
        <v>0</v>
      </c>
      <c r="DL285" s="549">
        <v>0</v>
      </c>
      <c r="DM285" s="675">
        <v>0</v>
      </c>
      <c r="DN285" s="549">
        <v>0</v>
      </c>
      <c r="DO285" s="675">
        <v>0</v>
      </c>
      <c r="DP285" s="549">
        <v>0</v>
      </c>
      <c r="DQ285" s="675">
        <v>0</v>
      </c>
      <c r="DR285" s="549">
        <v>0</v>
      </c>
      <c r="DS285" s="675">
        <v>0</v>
      </c>
      <c r="DT285" s="549">
        <v>0</v>
      </c>
      <c r="DU285" s="675">
        <v>0</v>
      </c>
      <c r="DV285" s="549">
        <v>0</v>
      </c>
      <c r="DW285" s="675">
        <v>0</v>
      </c>
      <c r="DX285" s="549">
        <v>0</v>
      </c>
      <c r="DY285" s="675">
        <v>0</v>
      </c>
      <c r="DZ285" s="549">
        <v>0</v>
      </c>
      <c r="EA285" s="675">
        <v>0</v>
      </c>
      <c r="EB285" s="549">
        <v>0</v>
      </c>
      <c r="EC285" s="675">
        <v>0</v>
      </c>
      <c r="ED285" s="549">
        <v>0</v>
      </c>
      <c r="EE285" s="675">
        <v>0</v>
      </c>
      <c r="EF285" s="549">
        <v>0</v>
      </c>
      <c r="EG285" s="675">
        <v>0</v>
      </c>
      <c r="EH285" s="549">
        <v>0</v>
      </c>
      <c r="EI285" s="675">
        <v>0</v>
      </c>
      <c r="EJ285" s="549">
        <v>0</v>
      </c>
      <c r="EK285" s="675">
        <v>0</v>
      </c>
      <c r="EL285" s="549">
        <v>0</v>
      </c>
      <c r="EM285" s="675">
        <v>0</v>
      </c>
      <c r="EN285" s="549">
        <v>0</v>
      </c>
      <c r="EO285" s="675">
        <v>0</v>
      </c>
      <c r="EP285" s="549">
        <v>0</v>
      </c>
      <c r="EQ285" s="675">
        <v>0</v>
      </c>
      <c r="ER285" s="549">
        <v>0</v>
      </c>
      <c r="ES285" s="675">
        <v>0</v>
      </c>
      <c r="ET285" s="549">
        <v>0</v>
      </c>
      <c r="EU285" s="675">
        <v>0</v>
      </c>
      <c r="EV285" s="549">
        <v>0</v>
      </c>
      <c r="EW285" s="675">
        <v>0</v>
      </c>
      <c r="EX285" s="549">
        <v>0</v>
      </c>
      <c r="EY285" s="675">
        <v>0</v>
      </c>
      <c r="EZ285" s="549">
        <v>0</v>
      </c>
      <c r="FA285" s="675">
        <v>0</v>
      </c>
      <c r="FB285" s="549">
        <v>0</v>
      </c>
      <c r="FC285" s="675">
        <v>0</v>
      </c>
      <c r="FD285" s="549">
        <v>0</v>
      </c>
      <c r="FE285" s="675">
        <v>0</v>
      </c>
      <c r="FF285" s="549">
        <v>0</v>
      </c>
      <c r="FG285" s="675">
        <v>0</v>
      </c>
      <c r="FH285" s="549">
        <v>0</v>
      </c>
      <c r="FI285" s="675">
        <v>0</v>
      </c>
      <c r="FJ285" s="549">
        <v>0</v>
      </c>
      <c r="FK285" s="675">
        <v>0</v>
      </c>
      <c r="FL285" s="549">
        <v>0</v>
      </c>
      <c r="FM285" s="675">
        <v>0</v>
      </c>
      <c r="FN285" s="549">
        <v>0</v>
      </c>
      <c r="FO285" s="675">
        <v>0</v>
      </c>
      <c r="FP285" s="549">
        <v>0</v>
      </c>
      <c r="FQ285" s="675">
        <v>0</v>
      </c>
      <c r="FR285" s="549">
        <v>0</v>
      </c>
      <c r="FS285" s="675">
        <v>0</v>
      </c>
      <c r="FT285" s="549">
        <v>0</v>
      </c>
      <c r="FU285" s="675">
        <v>0</v>
      </c>
      <c r="FV285" s="549">
        <v>0</v>
      </c>
      <c r="FW285" s="675">
        <v>0</v>
      </c>
      <c r="FX285" s="549">
        <v>0</v>
      </c>
      <c r="FY285" s="675">
        <v>0</v>
      </c>
      <c r="FZ285" s="549">
        <v>0</v>
      </c>
      <c r="GA285" s="675">
        <v>0</v>
      </c>
      <c r="GB285" s="549">
        <v>0</v>
      </c>
      <c r="GC285" s="675">
        <v>0</v>
      </c>
      <c r="GD285" s="549">
        <v>0</v>
      </c>
      <c r="GE285" s="675">
        <v>0</v>
      </c>
      <c r="GF285" s="549">
        <v>0</v>
      </c>
      <c r="GG285" s="675">
        <v>0</v>
      </c>
      <c r="GH285" s="549">
        <v>0</v>
      </c>
      <c r="GI285" s="675">
        <v>0</v>
      </c>
      <c r="GJ285" s="549">
        <v>0</v>
      </c>
      <c r="GK285" s="675">
        <v>0</v>
      </c>
      <c r="GL285" s="549">
        <v>0</v>
      </c>
      <c r="GM285" s="675">
        <v>0</v>
      </c>
      <c r="GN285" s="549">
        <v>0</v>
      </c>
      <c r="GO285" s="675">
        <v>0</v>
      </c>
      <c r="GP285" s="549">
        <f t="shared" si="9062"/>
        <v>0</v>
      </c>
      <c r="GQ285" s="675">
        <f t="shared" si="9063"/>
        <v>0</v>
      </c>
      <c r="GR285" s="74">
        <f t="shared" si="9064"/>
        <v>15000</v>
      </c>
      <c r="GS285" s="74">
        <f t="shared" si="9065"/>
        <v>13637</v>
      </c>
      <c r="GT285" s="568">
        <f t="shared" si="9066"/>
        <v>15000</v>
      </c>
      <c r="GU285" s="275">
        <v>1370</v>
      </c>
      <c r="GV285" s="275">
        <v>1363</v>
      </c>
      <c r="GW285" s="275">
        <v>1363</v>
      </c>
      <c r="GX285" s="275">
        <v>1363</v>
      </c>
      <c r="GY285" s="275">
        <v>1363</v>
      </c>
      <c r="GZ285" s="275">
        <v>1363</v>
      </c>
      <c r="HA285" s="275">
        <v>1363</v>
      </c>
      <c r="HB285" s="275">
        <v>1363</v>
      </c>
      <c r="HC285" s="275">
        <v>1363</v>
      </c>
      <c r="HD285" s="275">
        <v>1363</v>
      </c>
      <c r="HE285" s="275">
        <v>1363</v>
      </c>
      <c r="HF285" s="275">
        <v>0</v>
      </c>
      <c r="HG285" s="74">
        <f t="shared" si="9067"/>
        <v>13637</v>
      </c>
      <c r="HH285" s="89">
        <v>0</v>
      </c>
      <c r="HI285" s="817">
        <v>0</v>
      </c>
      <c r="HJ285" s="89">
        <v>0</v>
      </c>
      <c r="HK285" s="817">
        <v>2733</v>
      </c>
      <c r="HL285" s="89">
        <v>0</v>
      </c>
      <c r="HM285" s="817">
        <f>4096-2733</f>
        <v>1363</v>
      </c>
      <c r="HN285" s="89">
        <v>0</v>
      </c>
      <c r="HO285" s="817">
        <f>5459-4096</f>
        <v>1363</v>
      </c>
      <c r="HP285" s="89">
        <v>0</v>
      </c>
      <c r="HQ285" s="817">
        <v>1363</v>
      </c>
      <c r="HR285" s="89">
        <v>0</v>
      </c>
      <c r="HS285" s="817">
        <f>2726-1363</f>
        <v>1363</v>
      </c>
      <c r="HT285" s="89">
        <v>0</v>
      </c>
      <c r="HU285" s="817">
        <f>4089-2726</f>
        <v>1363</v>
      </c>
      <c r="HV285" s="89">
        <v>0</v>
      </c>
      <c r="HW285" s="817">
        <f>1902-539</f>
        <v>1363</v>
      </c>
      <c r="HX285" s="89">
        <v>0</v>
      </c>
      <c r="HY285" s="817">
        <f>3265-1902</f>
        <v>1363</v>
      </c>
      <c r="HZ285" s="89">
        <v>0</v>
      </c>
      <c r="IA285" s="817">
        <f>4628-3265</f>
        <v>1363</v>
      </c>
      <c r="IB285" s="89">
        <v>0</v>
      </c>
      <c r="IC285" s="817">
        <v>0</v>
      </c>
      <c r="ID285" s="89">
        <v>0</v>
      </c>
      <c r="IE285" s="817">
        <v>0</v>
      </c>
      <c r="IF285" s="841">
        <f t="shared" si="9068"/>
        <v>9009</v>
      </c>
      <c r="IG285" s="263">
        <f t="shared" si="9069"/>
        <v>9009</v>
      </c>
      <c r="IH285" s="842">
        <f t="shared" si="9070"/>
        <v>9009</v>
      </c>
      <c r="II285" s="89">
        <v>0</v>
      </c>
      <c r="IJ285" s="89">
        <f t="shared" si="9071"/>
        <v>0</v>
      </c>
      <c r="IK285" s="89">
        <f t="shared" si="9072"/>
        <v>0</v>
      </c>
      <c r="IL285" s="89">
        <v>0</v>
      </c>
      <c r="IM285" s="89">
        <f t="shared" si="9073"/>
        <v>0</v>
      </c>
      <c r="IN285" s="89">
        <f t="shared" si="9074"/>
        <v>0</v>
      </c>
      <c r="IO285" s="89">
        <v>0</v>
      </c>
      <c r="IP285" s="89">
        <f t="shared" si="9075"/>
        <v>0</v>
      </c>
      <c r="IQ285" s="89">
        <f t="shared" si="9076"/>
        <v>0</v>
      </c>
      <c r="IR285" s="89">
        <v>0</v>
      </c>
      <c r="IS285" s="89">
        <f t="shared" si="9077"/>
        <v>0</v>
      </c>
      <c r="IT285" s="89">
        <f t="shared" si="9078"/>
        <v>0</v>
      </c>
      <c r="IU285" s="89">
        <v>5459</v>
      </c>
      <c r="IV285" s="89">
        <f t="shared" si="9079"/>
        <v>5459</v>
      </c>
      <c r="IW285" s="89">
        <f t="shared" si="9080"/>
        <v>5459</v>
      </c>
      <c r="IX285" s="89">
        <v>0</v>
      </c>
      <c r="IY285" s="89">
        <f t="shared" si="9081"/>
        <v>0</v>
      </c>
      <c r="IZ285" s="89">
        <f t="shared" si="9082"/>
        <v>0</v>
      </c>
      <c r="JA285" s="89">
        <f>5459-5459</f>
        <v>0</v>
      </c>
      <c r="JB285" s="89">
        <f t="shared" si="9083"/>
        <v>0</v>
      </c>
      <c r="JC285" s="89">
        <f t="shared" si="9084"/>
        <v>0</v>
      </c>
      <c r="JD285" s="89">
        <f>9009-5459</f>
        <v>3550</v>
      </c>
      <c r="JE285" s="89">
        <f t="shared" si="9085"/>
        <v>3550</v>
      </c>
      <c r="JF285" s="89">
        <f t="shared" si="9086"/>
        <v>3550</v>
      </c>
      <c r="JG285" s="89">
        <v>0</v>
      </c>
      <c r="JH285" s="89">
        <f t="shared" si="9087"/>
        <v>0</v>
      </c>
      <c r="JI285" s="89">
        <f t="shared" si="9088"/>
        <v>0</v>
      </c>
      <c r="JJ285" s="89">
        <v>0</v>
      </c>
      <c r="JK285" s="89">
        <f t="shared" si="9089"/>
        <v>0</v>
      </c>
      <c r="JL285" s="89">
        <f t="shared" si="9090"/>
        <v>0</v>
      </c>
      <c r="JM285" s="89">
        <v>0</v>
      </c>
      <c r="JN285" s="89">
        <f t="shared" si="9091"/>
        <v>0</v>
      </c>
      <c r="JO285" s="89">
        <f t="shared" si="9092"/>
        <v>0</v>
      </c>
      <c r="JP285" s="89">
        <v>0</v>
      </c>
      <c r="JQ285" s="89">
        <f t="shared" ref="JQ285:JR285" si="9105">JP285</f>
        <v>0</v>
      </c>
      <c r="JR285" s="89">
        <f t="shared" si="9105"/>
        <v>0</v>
      </c>
      <c r="JS285" s="74">
        <f t="shared" si="9094"/>
        <v>4628</v>
      </c>
      <c r="JT285" s="382">
        <f t="shared" si="9095"/>
        <v>4628</v>
      </c>
      <c r="JU285" s="670"/>
      <c r="JV285" s="489"/>
      <c r="JW285" s="490"/>
      <c r="JX285" s="548">
        <f t="shared" si="9096"/>
        <v>0</v>
      </c>
      <c r="JY285" s="548">
        <f t="shared" si="9097"/>
        <v>13637</v>
      </c>
      <c r="JZ285" s="581">
        <f t="shared" si="9103"/>
        <v>0</v>
      </c>
      <c r="KA285" s="581">
        <f t="shared" si="9104"/>
        <v>0</v>
      </c>
      <c r="KB285" s="548">
        <f t="shared" si="8622"/>
        <v>13637</v>
      </c>
      <c r="KC285" s="709">
        <f t="shared" si="9101"/>
        <v>0</v>
      </c>
      <c r="KD285" s="36"/>
      <c r="KE285" s="36"/>
      <c r="KF285" s="36"/>
      <c r="KG285" s="36"/>
      <c r="KH285" s="36"/>
      <c r="KI285" s="36"/>
      <c r="KJ285" s="36"/>
      <c r="KK285" s="36"/>
    </row>
    <row r="286" spans="1:297" s="10" customFormat="1">
      <c r="A286" s="86" t="s">
        <v>661</v>
      </c>
      <c r="B286" s="77"/>
      <c r="C286" s="74">
        <v>0</v>
      </c>
      <c r="D286" s="549">
        <v>0</v>
      </c>
      <c r="E286" s="675">
        <v>0</v>
      </c>
      <c r="F286" s="549">
        <v>0</v>
      </c>
      <c r="G286" s="675">
        <v>0</v>
      </c>
      <c r="H286" s="549">
        <v>0</v>
      </c>
      <c r="I286" s="675">
        <v>0</v>
      </c>
      <c r="J286" s="549">
        <v>0</v>
      </c>
      <c r="K286" s="675">
        <v>0</v>
      </c>
      <c r="L286" s="549">
        <v>0</v>
      </c>
      <c r="M286" s="675">
        <v>0</v>
      </c>
      <c r="N286" s="549">
        <v>0</v>
      </c>
      <c r="O286" s="675">
        <v>0</v>
      </c>
      <c r="P286" s="549">
        <v>0</v>
      </c>
      <c r="Q286" s="675">
        <v>0</v>
      </c>
      <c r="R286" s="549">
        <v>0</v>
      </c>
      <c r="S286" s="675">
        <v>0</v>
      </c>
      <c r="T286" s="549">
        <v>0</v>
      </c>
      <c r="U286" s="675">
        <v>0</v>
      </c>
      <c r="V286" s="549">
        <v>0</v>
      </c>
      <c r="W286" s="675">
        <v>0</v>
      </c>
      <c r="X286" s="549">
        <v>0</v>
      </c>
      <c r="Y286" s="675">
        <v>0</v>
      </c>
      <c r="Z286" s="549">
        <v>0</v>
      </c>
      <c r="AA286" s="675">
        <v>0</v>
      </c>
      <c r="AB286" s="549">
        <v>0</v>
      </c>
      <c r="AC286" s="675">
        <v>0</v>
      </c>
      <c r="AD286" s="549">
        <v>0</v>
      </c>
      <c r="AE286" s="675">
        <v>0</v>
      </c>
      <c r="AF286" s="549">
        <v>0</v>
      </c>
      <c r="AG286" s="675">
        <v>0</v>
      </c>
      <c r="AH286" s="549">
        <v>0</v>
      </c>
      <c r="AI286" s="675">
        <v>0</v>
      </c>
      <c r="AJ286" s="549">
        <v>0</v>
      </c>
      <c r="AK286" s="675">
        <v>0</v>
      </c>
      <c r="AL286" s="549">
        <v>0</v>
      </c>
      <c r="AM286" s="675">
        <v>0</v>
      </c>
      <c r="AN286" s="549">
        <v>0</v>
      </c>
      <c r="AO286" s="675">
        <v>0</v>
      </c>
      <c r="AP286" s="549">
        <v>0</v>
      </c>
      <c r="AQ286" s="675">
        <v>0</v>
      </c>
      <c r="AR286" s="549">
        <v>0</v>
      </c>
      <c r="AS286" s="675">
        <v>0</v>
      </c>
      <c r="AT286" s="549">
        <v>0</v>
      </c>
      <c r="AU286" s="675">
        <v>0</v>
      </c>
      <c r="AV286" s="549">
        <v>0</v>
      </c>
      <c r="AW286" s="675">
        <v>0</v>
      </c>
      <c r="AX286" s="549">
        <v>0</v>
      </c>
      <c r="AY286" s="675">
        <v>0</v>
      </c>
      <c r="AZ286" s="549">
        <v>0</v>
      </c>
      <c r="BA286" s="675">
        <v>0</v>
      </c>
      <c r="BB286" s="549">
        <v>0</v>
      </c>
      <c r="BC286" s="675">
        <v>0</v>
      </c>
      <c r="BD286" s="549">
        <v>0</v>
      </c>
      <c r="BE286" s="675">
        <v>0</v>
      </c>
      <c r="BF286" s="549">
        <v>0</v>
      </c>
      <c r="BG286" s="675">
        <v>0</v>
      </c>
      <c r="BH286" s="549">
        <v>0</v>
      </c>
      <c r="BI286" s="675">
        <v>0</v>
      </c>
      <c r="BJ286" s="549">
        <v>0</v>
      </c>
      <c r="BK286" s="675">
        <v>0</v>
      </c>
      <c r="BL286" s="549">
        <v>0</v>
      </c>
      <c r="BM286" s="675">
        <v>0</v>
      </c>
      <c r="BN286" s="549">
        <v>0</v>
      </c>
      <c r="BO286" s="675">
        <v>0</v>
      </c>
      <c r="BP286" s="549">
        <v>0</v>
      </c>
      <c r="BQ286" s="675">
        <v>0</v>
      </c>
      <c r="BR286" s="549">
        <v>0</v>
      </c>
      <c r="BS286" s="675">
        <v>0</v>
      </c>
      <c r="BT286" s="549">
        <v>0</v>
      </c>
      <c r="BU286" s="675">
        <v>0</v>
      </c>
      <c r="BV286" s="549">
        <v>0</v>
      </c>
      <c r="BW286" s="675">
        <v>0</v>
      </c>
      <c r="BX286" s="549">
        <v>0</v>
      </c>
      <c r="BY286" s="675">
        <v>0</v>
      </c>
      <c r="BZ286" s="549">
        <v>0</v>
      </c>
      <c r="CA286" s="675">
        <v>0</v>
      </c>
      <c r="CB286" s="549">
        <v>0</v>
      </c>
      <c r="CC286" s="675">
        <v>0</v>
      </c>
      <c r="CD286" s="549">
        <v>0</v>
      </c>
      <c r="CE286" s="675">
        <v>0</v>
      </c>
      <c r="CF286" s="549">
        <v>0</v>
      </c>
      <c r="CG286" s="675">
        <v>0</v>
      </c>
      <c r="CH286" s="549">
        <v>0</v>
      </c>
      <c r="CI286" s="675">
        <v>0</v>
      </c>
      <c r="CJ286" s="549">
        <v>0</v>
      </c>
      <c r="CK286" s="675">
        <v>0</v>
      </c>
      <c r="CL286" s="549">
        <v>0</v>
      </c>
      <c r="CM286" s="675">
        <v>0</v>
      </c>
      <c r="CN286" s="549">
        <v>0</v>
      </c>
      <c r="CO286" s="675">
        <v>0</v>
      </c>
      <c r="CP286" s="549">
        <v>0</v>
      </c>
      <c r="CQ286" s="675">
        <v>0</v>
      </c>
      <c r="CR286" s="549">
        <v>0</v>
      </c>
      <c r="CS286" s="675">
        <v>0</v>
      </c>
      <c r="CT286" s="549">
        <v>0</v>
      </c>
      <c r="CU286" s="675">
        <v>0</v>
      </c>
      <c r="CV286" s="549">
        <v>0</v>
      </c>
      <c r="CW286" s="675">
        <v>0</v>
      </c>
      <c r="CX286" s="549">
        <v>0</v>
      </c>
      <c r="CY286" s="675">
        <v>0</v>
      </c>
      <c r="CZ286" s="549">
        <v>0</v>
      </c>
      <c r="DA286" s="675">
        <v>0</v>
      </c>
      <c r="DB286" s="549">
        <v>0</v>
      </c>
      <c r="DC286" s="675">
        <v>0</v>
      </c>
      <c r="DD286" s="549">
        <v>0</v>
      </c>
      <c r="DE286" s="675">
        <v>0</v>
      </c>
      <c r="DF286" s="549">
        <v>100000</v>
      </c>
      <c r="DG286" s="675">
        <v>0</v>
      </c>
      <c r="DH286" s="549">
        <v>0</v>
      </c>
      <c r="DI286" s="675">
        <v>0</v>
      </c>
      <c r="DJ286" s="549">
        <v>0</v>
      </c>
      <c r="DK286" s="675">
        <v>0</v>
      </c>
      <c r="DL286" s="549">
        <v>0</v>
      </c>
      <c r="DM286" s="675">
        <v>0</v>
      </c>
      <c r="DN286" s="549">
        <v>0</v>
      </c>
      <c r="DO286" s="675">
        <v>0</v>
      </c>
      <c r="DP286" s="549">
        <v>0</v>
      </c>
      <c r="DQ286" s="675">
        <v>0</v>
      </c>
      <c r="DR286" s="549">
        <v>0</v>
      </c>
      <c r="DS286" s="675">
        <v>0</v>
      </c>
      <c r="DT286" s="549">
        <v>0</v>
      </c>
      <c r="DU286" s="675">
        <v>0</v>
      </c>
      <c r="DV286" s="549">
        <v>0</v>
      </c>
      <c r="DW286" s="675">
        <v>0</v>
      </c>
      <c r="DX286" s="549">
        <v>0</v>
      </c>
      <c r="DY286" s="675">
        <v>0</v>
      </c>
      <c r="DZ286" s="549">
        <v>0</v>
      </c>
      <c r="EA286" s="675">
        <v>0</v>
      </c>
      <c r="EB286" s="549">
        <v>0</v>
      </c>
      <c r="EC286" s="675">
        <v>0</v>
      </c>
      <c r="ED286" s="549">
        <v>0</v>
      </c>
      <c r="EE286" s="675">
        <v>0</v>
      </c>
      <c r="EF286" s="549">
        <v>0</v>
      </c>
      <c r="EG286" s="675">
        <v>0</v>
      </c>
      <c r="EH286" s="549">
        <v>0</v>
      </c>
      <c r="EI286" s="675">
        <v>0</v>
      </c>
      <c r="EJ286" s="549">
        <v>0</v>
      </c>
      <c r="EK286" s="675">
        <v>0</v>
      </c>
      <c r="EL286" s="549">
        <v>0</v>
      </c>
      <c r="EM286" s="675">
        <v>0</v>
      </c>
      <c r="EN286" s="549">
        <v>0</v>
      </c>
      <c r="EO286" s="675">
        <v>0</v>
      </c>
      <c r="EP286" s="549">
        <v>0</v>
      </c>
      <c r="EQ286" s="675">
        <v>0</v>
      </c>
      <c r="ER286" s="549">
        <v>0</v>
      </c>
      <c r="ES286" s="675">
        <v>0</v>
      </c>
      <c r="ET286" s="549">
        <v>0</v>
      </c>
      <c r="EU286" s="675">
        <v>0</v>
      </c>
      <c r="EV286" s="549">
        <v>0</v>
      </c>
      <c r="EW286" s="675">
        <v>0</v>
      </c>
      <c r="EX286" s="549">
        <v>0</v>
      </c>
      <c r="EY286" s="675">
        <v>0</v>
      </c>
      <c r="EZ286" s="549">
        <v>0</v>
      </c>
      <c r="FA286" s="675">
        <v>0</v>
      </c>
      <c r="FB286" s="549">
        <v>0</v>
      </c>
      <c r="FC286" s="675">
        <v>0</v>
      </c>
      <c r="FD286" s="549">
        <v>0</v>
      </c>
      <c r="FE286" s="675">
        <v>0</v>
      </c>
      <c r="FF286" s="549">
        <v>0</v>
      </c>
      <c r="FG286" s="675">
        <v>0</v>
      </c>
      <c r="FH286" s="549">
        <v>0</v>
      </c>
      <c r="FI286" s="675">
        <v>0</v>
      </c>
      <c r="FJ286" s="549">
        <v>0</v>
      </c>
      <c r="FK286" s="675">
        <v>0</v>
      </c>
      <c r="FL286" s="549">
        <v>0</v>
      </c>
      <c r="FM286" s="675">
        <v>0</v>
      </c>
      <c r="FN286" s="549">
        <v>0</v>
      </c>
      <c r="FO286" s="675">
        <v>0</v>
      </c>
      <c r="FP286" s="549">
        <v>0</v>
      </c>
      <c r="FQ286" s="675">
        <v>0</v>
      </c>
      <c r="FR286" s="549">
        <v>0</v>
      </c>
      <c r="FS286" s="675">
        <v>0</v>
      </c>
      <c r="FT286" s="549">
        <v>0</v>
      </c>
      <c r="FU286" s="675">
        <v>0</v>
      </c>
      <c r="FV286" s="549">
        <v>0</v>
      </c>
      <c r="FW286" s="675">
        <v>0</v>
      </c>
      <c r="FX286" s="549">
        <v>0</v>
      </c>
      <c r="FY286" s="675">
        <v>0</v>
      </c>
      <c r="FZ286" s="549">
        <v>0</v>
      </c>
      <c r="GA286" s="675">
        <v>0</v>
      </c>
      <c r="GB286" s="549">
        <v>0</v>
      </c>
      <c r="GC286" s="675">
        <v>0</v>
      </c>
      <c r="GD286" s="549">
        <v>0</v>
      </c>
      <c r="GE286" s="675">
        <v>0</v>
      </c>
      <c r="GF286" s="549">
        <v>0</v>
      </c>
      <c r="GG286" s="675">
        <v>0</v>
      </c>
      <c r="GH286" s="549">
        <v>0</v>
      </c>
      <c r="GI286" s="675">
        <v>0</v>
      </c>
      <c r="GJ286" s="549">
        <v>0</v>
      </c>
      <c r="GK286" s="675">
        <v>0</v>
      </c>
      <c r="GL286" s="549">
        <v>0</v>
      </c>
      <c r="GM286" s="675">
        <v>0</v>
      </c>
      <c r="GN286" s="549">
        <v>0</v>
      </c>
      <c r="GO286" s="675">
        <v>0</v>
      </c>
      <c r="GP286" s="549">
        <f>+D286+F286+H286+J286+L286+N286+P286+R286+T286+V286+X286+Z286+AB286+AF286+AD286+AH286+AJ286+AL286+AN286+AP286+AR286+AT286+AV286+AX286+AZ286+BB286+BD286+BF286+BH286+BJ286+BL286+BN286+BP286+BR286+BT286+BV286+BX286+BZ286+CB286+CD286+CF286+CH286+CJ286+CL286+CN286+CP286+CR286+CT286+CV286+CX286+CZ286+DB286+DD286+DF286+DH286+DT286+EX286+DJ286+DL286+DN286+DP286+DR286+EJ286+EB286+DZ286+DX286+DV286+ED286+EF286+EH286+EL286+EN286+EP286+EV286+ET286+ER286+EZ286+FB286+FD286+GL286+FF286+FJ286+FL286+GJ286+FT286+FR286+FP286+FN286+FH286+GH286+GF286+GD286+GB286+FZ286+FX286+FV286+GN286</f>
        <v>100000</v>
      </c>
      <c r="GQ286" s="675">
        <f>+E286+G286+I286+K286+M286+O286+Q286+S286+U286+W286+Y286+AA286+AC286+AE286+AG286+AI286+AK286+AM286+AO286+AQ286+AS286+AU286+AW286+AY286+BA286+BC286+BE286+BG286+BI286+BK286+BM286+BO286+BQ286+BS286+BU286+BW286+BY286+CA286+CC286+CE286+CG286+CI286+CK286+CM286+CO286+CQ286+CS286+CU286+CW286+CY286+DA286+DC286+DE286+DG286+DI286+DU286+EY286+DK286+DM286+DO286+DQ286+DS286+EK286+EC286+EA286+DY286+DW286+EI286+EG286+EE286+EM286+EO286+EQ286+EW286+EU286+ES286+FA286+FC286+FE286+GM286+FG286+FK286+FM286+FO286+FQ286+FS286+FU286+GK286+FI286+GI286+GG286+GE286+GC286+GA286+FY286+FW286+GO286</f>
        <v>0</v>
      </c>
      <c r="GR286" s="74">
        <f t="shared" si="9064"/>
        <v>100000</v>
      </c>
      <c r="GS286" s="74">
        <f t="shared" si="9065"/>
        <v>100000</v>
      </c>
      <c r="GT286" s="568">
        <f t="shared" si="9066"/>
        <v>100000</v>
      </c>
      <c r="GU286" s="275">
        <v>0</v>
      </c>
      <c r="GV286" s="275">
        <v>0</v>
      </c>
      <c r="GW286" s="275">
        <v>0</v>
      </c>
      <c r="GX286" s="275">
        <v>0</v>
      </c>
      <c r="GY286" s="275">
        <v>0</v>
      </c>
      <c r="GZ286" s="275">
        <v>0</v>
      </c>
      <c r="HA286" s="275">
        <v>0</v>
      </c>
      <c r="HB286" s="275">
        <v>0</v>
      </c>
      <c r="HC286" s="275">
        <v>0</v>
      </c>
      <c r="HD286" s="275">
        <v>0</v>
      </c>
      <c r="HE286" s="275">
        <v>0</v>
      </c>
      <c r="HF286" s="275">
        <v>0</v>
      </c>
      <c r="HG286" s="74">
        <f t="shared" si="9067"/>
        <v>100000</v>
      </c>
      <c r="HH286" s="89">
        <v>0</v>
      </c>
      <c r="HI286" s="817">
        <v>0</v>
      </c>
      <c r="HJ286" s="89">
        <v>0</v>
      </c>
      <c r="HK286" s="817">
        <v>0</v>
      </c>
      <c r="HL286" s="89">
        <v>0</v>
      </c>
      <c r="HM286" s="817">
        <v>0</v>
      </c>
      <c r="HN286" s="89">
        <v>0</v>
      </c>
      <c r="HO286" s="817">
        <v>0</v>
      </c>
      <c r="HP286" s="89">
        <v>0</v>
      </c>
      <c r="HQ286" s="817">
        <v>0</v>
      </c>
      <c r="HR286" s="89">
        <v>0</v>
      </c>
      <c r="HS286" s="817">
        <v>0</v>
      </c>
      <c r="HT286" s="89">
        <v>0</v>
      </c>
      <c r="HU286" s="817">
        <v>0</v>
      </c>
      <c r="HV286" s="89">
        <v>0</v>
      </c>
      <c r="HW286" s="817">
        <v>0</v>
      </c>
      <c r="HX286" s="89">
        <v>0</v>
      </c>
      <c r="HY286" s="817">
        <v>0</v>
      </c>
      <c r="HZ286" s="89">
        <v>0</v>
      </c>
      <c r="IA286" s="817">
        <v>0</v>
      </c>
      <c r="IB286" s="89">
        <v>0</v>
      </c>
      <c r="IC286" s="817">
        <v>0</v>
      </c>
      <c r="ID286" s="89">
        <v>0</v>
      </c>
      <c r="IE286" s="817">
        <v>0</v>
      </c>
      <c r="IF286" s="841">
        <f t="shared" si="9068"/>
        <v>37647.379999999997</v>
      </c>
      <c r="IG286" s="263">
        <f t="shared" si="9069"/>
        <v>37647.379999999997</v>
      </c>
      <c r="IH286" s="842">
        <f t="shared" si="9070"/>
        <v>37647.379999999997</v>
      </c>
      <c r="II286" s="89">
        <v>0</v>
      </c>
      <c r="IJ286" s="89">
        <f t="shared" si="9071"/>
        <v>0</v>
      </c>
      <c r="IK286" s="89">
        <f t="shared" si="9072"/>
        <v>0</v>
      </c>
      <c r="IL286" s="89">
        <v>0</v>
      </c>
      <c r="IM286" s="89">
        <f t="shared" si="9073"/>
        <v>0</v>
      </c>
      <c r="IN286" s="89">
        <f t="shared" si="9074"/>
        <v>0</v>
      </c>
      <c r="IO286" s="89">
        <v>0</v>
      </c>
      <c r="IP286" s="89">
        <f t="shared" si="9075"/>
        <v>0</v>
      </c>
      <c r="IQ286" s="89">
        <f t="shared" si="9076"/>
        <v>0</v>
      </c>
      <c r="IR286" s="89">
        <v>0</v>
      </c>
      <c r="IS286" s="89">
        <f t="shared" si="9077"/>
        <v>0</v>
      </c>
      <c r="IT286" s="89">
        <f t="shared" si="9078"/>
        <v>0</v>
      </c>
      <c r="IU286" s="89">
        <v>0</v>
      </c>
      <c r="IV286" s="89">
        <f t="shared" si="9079"/>
        <v>0</v>
      </c>
      <c r="IW286" s="89">
        <f t="shared" si="9080"/>
        <v>0</v>
      </c>
      <c r="IX286" s="89">
        <v>0</v>
      </c>
      <c r="IY286" s="89">
        <f t="shared" si="9081"/>
        <v>0</v>
      </c>
      <c r="IZ286" s="89">
        <f t="shared" si="9082"/>
        <v>0</v>
      </c>
      <c r="JA286" s="89">
        <v>0</v>
      </c>
      <c r="JB286" s="89">
        <f t="shared" si="9083"/>
        <v>0</v>
      </c>
      <c r="JC286" s="89">
        <f t="shared" si="9084"/>
        <v>0</v>
      </c>
      <c r="JD286" s="89">
        <v>105</v>
      </c>
      <c r="JE286" s="89">
        <f t="shared" si="9085"/>
        <v>105</v>
      </c>
      <c r="JF286" s="89">
        <f t="shared" si="9086"/>
        <v>105</v>
      </c>
      <c r="JG286" s="89">
        <v>0</v>
      </c>
      <c r="JH286" s="89">
        <f t="shared" si="9087"/>
        <v>0</v>
      </c>
      <c r="JI286" s="89">
        <f t="shared" si="9088"/>
        <v>0</v>
      </c>
      <c r="JJ286" s="89">
        <f>37647.38-105</f>
        <v>37542.379999999997</v>
      </c>
      <c r="JK286" s="89">
        <f t="shared" si="9089"/>
        <v>37542.379999999997</v>
      </c>
      <c r="JL286" s="89">
        <f t="shared" si="9090"/>
        <v>37542.379999999997</v>
      </c>
      <c r="JM286" s="89">
        <v>0</v>
      </c>
      <c r="JN286" s="89">
        <f t="shared" si="9091"/>
        <v>0</v>
      </c>
      <c r="JO286" s="89">
        <f t="shared" si="9092"/>
        <v>0</v>
      </c>
      <c r="JP286" s="89">
        <v>0</v>
      </c>
      <c r="JQ286" s="89">
        <f t="shared" ref="JQ286:JR286" si="9106">JP286</f>
        <v>0</v>
      </c>
      <c r="JR286" s="89">
        <f t="shared" si="9106"/>
        <v>0</v>
      </c>
      <c r="JS286" s="74">
        <f t="shared" si="9094"/>
        <v>62352.62</v>
      </c>
      <c r="JT286" s="382">
        <f t="shared" si="9095"/>
        <v>62352.62</v>
      </c>
      <c r="JU286" s="670"/>
      <c r="JV286" s="489"/>
      <c r="JW286" s="490"/>
      <c r="JX286" s="548">
        <f t="shared" si="9096"/>
        <v>0</v>
      </c>
      <c r="JY286" s="548">
        <f t="shared" si="9097"/>
        <v>0</v>
      </c>
      <c r="JZ286" s="581">
        <f t="shared" si="9103"/>
        <v>100000</v>
      </c>
      <c r="KA286" s="581">
        <f t="shared" si="9104"/>
        <v>0</v>
      </c>
      <c r="KB286" s="548">
        <f t="shared" si="8622"/>
        <v>100000</v>
      </c>
      <c r="KC286" s="709">
        <f t="shared" si="9101"/>
        <v>0</v>
      </c>
      <c r="KD286" s="36"/>
      <c r="KE286" s="36"/>
      <c r="KF286" s="36"/>
      <c r="KG286" s="36"/>
      <c r="KH286" s="36"/>
      <c r="KI286" s="36"/>
      <c r="KJ286" s="36"/>
      <c r="KK286" s="36"/>
    </row>
    <row r="287" spans="1:297" s="10" customFormat="1" ht="12.75" customHeight="1">
      <c r="A287" s="86"/>
      <c r="B287" s="77"/>
      <c r="C287" s="74"/>
      <c r="D287" s="549"/>
      <c r="E287" s="675"/>
      <c r="F287" s="549"/>
      <c r="G287" s="675"/>
      <c r="H287" s="549"/>
      <c r="I287" s="675"/>
      <c r="J287" s="549"/>
      <c r="K287" s="675"/>
      <c r="L287" s="549"/>
      <c r="M287" s="675"/>
      <c r="N287" s="549"/>
      <c r="O287" s="675"/>
      <c r="P287" s="549"/>
      <c r="Q287" s="675"/>
      <c r="R287" s="549"/>
      <c r="S287" s="675"/>
      <c r="T287" s="549"/>
      <c r="U287" s="675"/>
      <c r="V287" s="549"/>
      <c r="W287" s="675"/>
      <c r="X287" s="549"/>
      <c r="Y287" s="675"/>
      <c r="Z287" s="549"/>
      <c r="AA287" s="675"/>
      <c r="AB287" s="549"/>
      <c r="AC287" s="675"/>
      <c r="AD287" s="549"/>
      <c r="AE287" s="675"/>
      <c r="AF287" s="549"/>
      <c r="AG287" s="675"/>
      <c r="AH287" s="549"/>
      <c r="AI287" s="675"/>
      <c r="AJ287" s="549"/>
      <c r="AK287" s="675"/>
      <c r="AL287" s="549"/>
      <c r="AM287" s="675"/>
      <c r="AN287" s="549"/>
      <c r="AO287" s="675"/>
      <c r="AP287" s="549"/>
      <c r="AQ287" s="675"/>
      <c r="AR287" s="549"/>
      <c r="AS287" s="675"/>
      <c r="AT287" s="549"/>
      <c r="AU287" s="675"/>
      <c r="AV287" s="549"/>
      <c r="AW287" s="675"/>
      <c r="AX287" s="549"/>
      <c r="AY287" s="675"/>
      <c r="AZ287" s="549"/>
      <c r="BA287" s="675"/>
      <c r="BB287" s="549"/>
      <c r="BC287" s="675"/>
      <c r="BD287" s="549"/>
      <c r="BE287" s="675"/>
      <c r="BF287" s="549"/>
      <c r="BG287" s="675"/>
      <c r="BH287" s="549"/>
      <c r="BI287" s="675"/>
      <c r="BJ287" s="549"/>
      <c r="BK287" s="675"/>
      <c r="BL287" s="549"/>
      <c r="BM287" s="675"/>
      <c r="BN287" s="549"/>
      <c r="BO287" s="675"/>
      <c r="BP287" s="549"/>
      <c r="BQ287" s="675"/>
      <c r="BR287" s="549"/>
      <c r="BS287" s="675"/>
      <c r="BT287" s="549"/>
      <c r="BU287" s="675"/>
      <c r="BV287" s="549"/>
      <c r="BW287" s="675"/>
      <c r="BX287" s="549"/>
      <c r="BY287" s="675"/>
      <c r="BZ287" s="549"/>
      <c r="CA287" s="675"/>
      <c r="CB287" s="549"/>
      <c r="CC287" s="675"/>
      <c r="CD287" s="549"/>
      <c r="CE287" s="675"/>
      <c r="CF287" s="549"/>
      <c r="CG287" s="675"/>
      <c r="CH287" s="549"/>
      <c r="CI287" s="675"/>
      <c r="CJ287" s="549"/>
      <c r="CK287" s="675"/>
      <c r="CL287" s="549"/>
      <c r="CM287" s="675"/>
      <c r="CN287" s="549"/>
      <c r="CO287" s="675"/>
      <c r="CP287" s="549"/>
      <c r="CQ287" s="675"/>
      <c r="CR287" s="549"/>
      <c r="CS287" s="675"/>
      <c r="CT287" s="549"/>
      <c r="CU287" s="675"/>
      <c r="CV287" s="549"/>
      <c r="CW287" s="675"/>
      <c r="CX287" s="549"/>
      <c r="CY287" s="675"/>
      <c r="CZ287" s="549"/>
      <c r="DA287" s="675"/>
      <c r="DB287" s="549"/>
      <c r="DC287" s="675"/>
      <c r="DD287" s="549"/>
      <c r="DE287" s="675"/>
      <c r="DF287" s="549"/>
      <c r="DG287" s="675"/>
      <c r="DH287" s="549"/>
      <c r="DI287" s="675"/>
      <c r="DJ287" s="549"/>
      <c r="DK287" s="675"/>
      <c r="DL287" s="549"/>
      <c r="DM287" s="675"/>
      <c r="DN287" s="549"/>
      <c r="DO287" s="675"/>
      <c r="DP287" s="549"/>
      <c r="DQ287" s="675"/>
      <c r="DR287" s="549"/>
      <c r="DS287" s="675"/>
      <c r="DT287" s="549"/>
      <c r="DU287" s="675"/>
      <c r="DV287" s="549"/>
      <c r="DW287" s="675"/>
      <c r="DX287" s="549"/>
      <c r="DY287" s="675"/>
      <c r="DZ287" s="549"/>
      <c r="EA287" s="675"/>
      <c r="EB287" s="549"/>
      <c r="EC287" s="675"/>
      <c r="ED287" s="549"/>
      <c r="EE287" s="675"/>
      <c r="EF287" s="549"/>
      <c r="EG287" s="675"/>
      <c r="EH287" s="549"/>
      <c r="EI287" s="675"/>
      <c r="EJ287" s="549"/>
      <c r="EK287" s="675"/>
      <c r="EL287" s="549"/>
      <c r="EM287" s="675"/>
      <c r="EN287" s="549"/>
      <c r="EO287" s="675"/>
      <c r="EP287" s="549"/>
      <c r="EQ287" s="675"/>
      <c r="ER287" s="549"/>
      <c r="ES287" s="675"/>
      <c r="ET287" s="549"/>
      <c r="EU287" s="675"/>
      <c r="EV287" s="549"/>
      <c r="EW287" s="675"/>
      <c r="EX287" s="549"/>
      <c r="EY287" s="675"/>
      <c r="EZ287" s="549"/>
      <c r="FA287" s="675"/>
      <c r="FB287" s="549"/>
      <c r="FC287" s="675"/>
      <c r="FD287" s="549"/>
      <c r="FE287" s="675"/>
      <c r="FF287" s="549"/>
      <c r="FG287" s="675"/>
      <c r="FH287" s="549"/>
      <c r="FI287" s="675"/>
      <c r="FJ287" s="549"/>
      <c r="FK287" s="675"/>
      <c r="FL287" s="549"/>
      <c r="FM287" s="675"/>
      <c r="FN287" s="549"/>
      <c r="FO287" s="675"/>
      <c r="FP287" s="549"/>
      <c r="FQ287" s="675"/>
      <c r="FR287" s="549"/>
      <c r="FS287" s="675"/>
      <c r="FT287" s="549"/>
      <c r="FU287" s="675"/>
      <c r="FV287" s="549"/>
      <c r="FW287" s="675"/>
      <c r="FX287" s="549"/>
      <c r="FY287" s="675"/>
      <c r="FZ287" s="549"/>
      <c r="GA287" s="675"/>
      <c r="GB287" s="549"/>
      <c r="GC287" s="675"/>
      <c r="GD287" s="549"/>
      <c r="GE287" s="675"/>
      <c r="GF287" s="549"/>
      <c r="GG287" s="675"/>
      <c r="GH287" s="549"/>
      <c r="GI287" s="675"/>
      <c r="GJ287" s="549"/>
      <c r="GK287" s="675"/>
      <c r="GL287" s="549"/>
      <c r="GM287" s="675"/>
      <c r="GN287" s="549"/>
      <c r="GO287" s="675"/>
      <c r="GP287" s="549"/>
      <c r="GQ287" s="675"/>
      <c r="GR287" s="74"/>
      <c r="GS287" s="74"/>
      <c r="GT287" s="549"/>
      <c r="GU287" s="73"/>
      <c r="GV287" s="73"/>
      <c r="GW287" s="549"/>
      <c r="GX287" s="549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815"/>
      <c r="HJ287" s="73"/>
      <c r="HK287" s="815"/>
      <c r="HL287" s="73"/>
      <c r="HM287" s="815"/>
      <c r="HN287" s="73"/>
      <c r="HO287" s="815"/>
      <c r="HP287" s="73"/>
      <c r="HQ287" s="815"/>
      <c r="HR287" s="73"/>
      <c r="HS287" s="815"/>
      <c r="HT287" s="73"/>
      <c r="HU287" s="815"/>
      <c r="HV287" s="73"/>
      <c r="HW287" s="815"/>
      <c r="HX287" s="73"/>
      <c r="HY287" s="815"/>
      <c r="HZ287" s="73"/>
      <c r="IA287" s="815"/>
      <c r="IB287" s="73"/>
      <c r="IC287" s="815"/>
      <c r="ID287" s="73"/>
      <c r="IE287" s="815"/>
      <c r="IF287" s="841"/>
      <c r="IG287" s="263"/>
      <c r="IH287" s="842"/>
      <c r="II287" s="74"/>
      <c r="IJ287" s="74"/>
      <c r="IK287" s="74"/>
      <c r="IL287" s="74"/>
      <c r="IM287" s="74"/>
      <c r="IN287" s="74"/>
      <c r="IO287" s="74"/>
      <c r="IP287" s="74"/>
      <c r="IQ287" s="74"/>
      <c r="IR287" s="74"/>
      <c r="IS287" s="74"/>
      <c r="IT287" s="74"/>
      <c r="IU287" s="74"/>
      <c r="IV287" s="74"/>
      <c r="IW287" s="74"/>
      <c r="IX287" s="74"/>
      <c r="IY287" s="74"/>
      <c r="IZ287" s="74"/>
      <c r="JA287" s="74"/>
      <c r="JB287" s="74"/>
      <c r="JC287" s="74"/>
      <c r="JD287" s="74"/>
      <c r="JE287" s="74"/>
      <c r="JF287" s="74"/>
      <c r="JG287" s="74"/>
      <c r="JH287" s="74"/>
      <c r="JI287" s="74"/>
      <c r="JJ287" s="74"/>
      <c r="JK287" s="74"/>
      <c r="JL287" s="74"/>
      <c r="JM287" s="74"/>
      <c r="JN287" s="74"/>
      <c r="JO287" s="74"/>
      <c r="JP287" s="74"/>
      <c r="JQ287" s="74"/>
      <c r="JR287" s="74"/>
      <c r="JS287" s="74"/>
      <c r="JT287" s="382"/>
      <c r="JU287" s="670"/>
      <c r="JV287" s="489"/>
      <c r="JW287" s="531"/>
      <c r="JX287" s="548"/>
      <c r="JY287" s="548"/>
      <c r="JZ287" s="581">
        <f t="shared" si="9103"/>
        <v>0</v>
      </c>
      <c r="KA287" s="581">
        <f t="shared" si="9104"/>
        <v>0</v>
      </c>
      <c r="KB287" s="548"/>
      <c r="KC287" s="709">
        <f t="shared" si="9101"/>
        <v>0</v>
      </c>
      <c r="KD287" s="35"/>
      <c r="KE287" s="35"/>
      <c r="KF287" s="35"/>
      <c r="KG287" s="35"/>
      <c r="KH287" s="35"/>
      <c r="KI287" s="35"/>
      <c r="KJ287" s="35"/>
      <c r="KK287" s="35"/>
    </row>
    <row r="288" spans="1:297" s="10" customFormat="1" ht="12.75" customHeight="1">
      <c r="A288" s="80" t="s">
        <v>1075</v>
      </c>
      <c r="B288" s="77"/>
      <c r="C288" s="74">
        <f t="shared" ref="C288" si="9107">SUM(C289:C290)</f>
        <v>0</v>
      </c>
      <c r="D288" s="549">
        <f t="shared" ref="D288:E288" si="9108">SUM(D289:D291)</f>
        <v>0</v>
      </c>
      <c r="E288" s="675">
        <f t="shared" si="9108"/>
        <v>0</v>
      </c>
      <c r="F288" s="549">
        <f t="shared" ref="F288:G288" si="9109">SUM(F289:F291)</f>
        <v>0</v>
      </c>
      <c r="G288" s="675">
        <f t="shared" si="9109"/>
        <v>0</v>
      </c>
      <c r="H288" s="549">
        <f t="shared" ref="H288:I288" si="9110">SUM(H289:H291)</f>
        <v>0</v>
      </c>
      <c r="I288" s="675">
        <f t="shared" si="9110"/>
        <v>0</v>
      </c>
      <c r="J288" s="549">
        <f t="shared" ref="J288:K288" si="9111">SUM(J289:J291)</f>
        <v>0</v>
      </c>
      <c r="K288" s="675">
        <f t="shared" si="9111"/>
        <v>0</v>
      </c>
      <c r="L288" s="549">
        <f t="shared" ref="L288:M288" si="9112">SUM(L289:L291)</f>
        <v>0</v>
      </c>
      <c r="M288" s="675">
        <f t="shared" si="9112"/>
        <v>0</v>
      </c>
      <c r="N288" s="549">
        <f t="shared" ref="N288:O288" si="9113">SUM(N289:N291)</f>
        <v>0</v>
      </c>
      <c r="O288" s="675">
        <f t="shared" si="9113"/>
        <v>0</v>
      </c>
      <c r="P288" s="549">
        <f t="shared" ref="P288:Q288" si="9114">SUM(P289:P291)</f>
        <v>0</v>
      </c>
      <c r="Q288" s="675">
        <f t="shared" si="9114"/>
        <v>0</v>
      </c>
      <c r="R288" s="549">
        <f t="shared" ref="R288:S288" si="9115">SUM(R289:R291)</f>
        <v>0</v>
      </c>
      <c r="S288" s="675">
        <f t="shared" si="9115"/>
        <v>0</v>
      </c>
      <c r="T288" s="549">
        <f t="shared" ref="T288:U288" si="9116">SUM(T289:T291)</f>
        <v>0</v>
      </c>
      <c r="U288" s="675">
        <f t="shared" si="9116"/>
        <v>0</v>
      </c>
      <c r="V288" s="549">
        <f t="shared" ref="V288:W288" si="9117">SUM(V289:V291)</f>
        <v>0</v>
      </c>
      <c r="W288" s="675">
        <f t="shared" si="9117"/>
        <v>0</v>
      </c>
      <c r="X288" s="549">
        <f t="shared" ref="X288:Y288" si="9118">SUM(X289:X291)</f>
        <v>0</v>
      </c>
      <c r="Y288" s="675">
        <f t="shared" si="9118"/>
        <v>0</v>
      </c>
      <c r="Z288" s="549">
        <f t="shared" ref="Z288:AA288" si="9119">SUM(Z289:Z291)</f>
        <v>0</v>
      </c>
      <c r="AA288" s="675">
        <f t="shared" si="9119"/>
        <v>0</v>
      </c>
      <c r="AB288" s="549">
        <f t="shared" ref="AB288:AC288" si="9120">SUM(AB289:AB291)</f>
        <v>0</v>
      </c>
      <c r="AC288" s="675">
        <f t="shared" si="9120"/>
        <v>0</v>
      </c>
      <c r="AD288" s="549">
        <f t="shared" ref="AD288:AE288" si="9121">SUM(AD289:AD291)</f>
        <v>0</v>
      </c>
      <c r="AE288" s="675">
        <f t="shared" si="9121"/>
        <v>0</v>
      </c>
      <c r="AF288" s="549">
        <f t="shared" ref="AF288:AI288" si="9122">SUM(AF289:AF291)</f>
        <v>0</v>
      </c>
      <c r="AG288" s="675">
        <f t="shared" si="9122"/>
        <v>0</v>
      </c>
      <c r="AH288" s="549">
        <f t="shared" si="9122"/>
        <v>0</v>
      </c>
      <c r="AI288" s="675">
        <f t="shared" si="9122"/>
        <v>0</v>
      </c>
      <c r="AJ288" s="549">
        <f t="shared" ref="AJ288:AK288" si="9123">SUM(AJ289:AJ291)</f>
        <v>0</v>
      </c>
      <c r="AK288" s="675">
        <f t="shared" si="9123"/>
        <v>0</v>
      </c>
      <c r="AL288" s="549">
        <f t="shared" ref="AL288:AM288" si="9124">SUM(AL289:AL291)</f>
        <v>0</v>
      </c>
      <c r="AM288" s="675">
        <f t="shared" si="9124"/>
        <v>0</v>
      </c>
      <c r="AN288" s="549">
        <f t="shared" ref="AN288:AO288" si="9125">SUM(AN289:AN291)</f>
        <v>0</v>
      </c>
      <c r="AO288" s="675">
        <f t="shared" si="9125"/>
        <v>0</v>
      </c>
      <c r="AP288" s="549">
        <f t="shared" ref="AP288:AQ288" si="9126">SUM(AP289:AP291)</f>
        <v>0</v>
      </c>
      <c r="AQ288" s="675">
        <f t="shared" si="9126"/>
        <v>0</v>
      </c>
      <c r="AR288" s="549">
        <f t="shared" ref="AR288:AS288" si="9127">SUM(AR289:AR291)</f>
        <v>0</v>
      </c>
      <c r="AS288" s="675">
        <f t="shared" si="9127"/>
        <v>0</v>
      </c>
      <c r="AT288" s="549">
        <f t="shared" ref="AT288:AU288" si="9128">SUM(AT289:AT291)</f>
        <v>0</v>
      </c>
      <c r="AU288" s="675">
        <f t="shared" si="9128"/>
        <v>0</v>
      </c>
      <c r="AV288" s="549">
        <f t="shared" ref="AV288:AW288" si="9129">SUM(AV289:AV291)</f>
        <v>0</v>
      </c>
      <c r="AW288" s="675">
        <f t="shared" si="9129"/>
        <v>0</v>
      </c>
      <c r="AX288" s="549">
        <f t="shared" ref="AX288:AY288" si="9130">SUM(AX289:AX291)</f>
        <v>0</v>
      </c>
      <c r="AY288" s="675">
        <f t="shared" si="9130"/>
        <v>0</v>
      </c>
      <c r="AZ288" s="549">
        <f t="shared" ref="AZ288:BA288" si="9131">SUM(AZ289:AZ291)</f>
        <v>0</v>
      </c>
      <c r="BA288" s="675">
        <f t="shared" si="9131"/>
        <v>0</v>
      </c>
      <c r="BB288" s="549">
        <f t="shared" ref="BB288:BC288" si="9132">SUM(BB289:BB291)</f>
        <v>0</v>
      </c>
      <c r="BC288" s="675">
        <f t="shared" si="9132"/>
        <v>0</v>
      </c>
      <c r="BD288" s="549">
        <f t="shared" ref="BD288:BE288" si="9133">SUM(BD289:BD291)</f>
        <v>0</v>
      </c>
      <c r="BE288" s="675">
        <f t="shared" si="9133"/>
        <v>0</v>
      </c>
      <c r="BF288" s="549">
        <f t="shared" ref="BF288:BG288" si="9134">SUM(BF289:BF291)</f>
        <v>0</v>
      </c>
      <c r="BG288" s="675">
        <f t="shared" si="9134"/>
        <v>0</v>
      </c>
      <c r="BH288" s="549">
        <f t="shared" ref="BH288:BI288" si="9135">SUM(BH289:BH291)</f>
        <v>0</v>
      </c>
      <c r="BI288" s="675">
        <f t="shared" si="9135"/>
        <v>0</v>
      </c>
      <c r="BJ288" s="549">
        <f t="shared" ref="BJ288:BK288" si="9136">SUM(BJ289:BJ291)</f>
        <v>0</v>
      </c>
      <c r="BK288" s="675">
        <f t="shared" si="9136"/>
        <v>0</v>
      </c>
      <c r="BL288" s="549">
        <f t="shared" ref="BL288:BM288" si="9137">SUM(BL289:BL291)</f>
        <v>0</v>
      </c>
      <c r="BM288" s="675">
        <f t="shared" si="9137"/>
        <v>0</v>
      </c>
      <c r="BN288" s="549">
        <f t="shared" ref="BN288:BO288" si="9138">SUM(BN289:BN291)</f>
        <v>0</v>
      </c>
      <c r="BO288" s="675">
        <f t="shared" si="9138"/>
        <v>0</v>
      </c>
      <c r="BP288" s="549">
        <f t="shared" ref="BP288:BQ288" si="9139">SUM(BP289:BP291)</f>
        <v>0</v>
      </c>
      <c r="BQ288" s="675">
        <f t="shared" si="9139"/>
        <v>0</v>
      </c>
      <c r="BR288" s="549">
        <f t="shared" ref="BR288:BS288" si="9140">SUM(BR289:BR291)</f>
        <v>0</v>
      </c>
      <c r="BS288" s="675">
        <f t="shared" si="9140"/>
        <v>0</v>
      </c>
      <c r="BT288" s="549">
        <f t="shared" ref="BT288:BU288" si="9141">SUM(BT289:BT291)</f>
        <v>0</v>
      </c>
      <c r="BU288" s="675">
        <f t="shared" si="9141"/>
        <v>0</v>
      </c>
      <c r="BV288" s="549">
        <f t="shared" ref="BV288:BW288" si="9142">SUM(BV289:BV291)</f>
        <v>0</v>
      </c>
      <c r="BW288" s="675">
        <f t="shared" si="9142"/>
        <v>0</v>
      </c>
      <c r="BX288" s="549">
        <f t="shared" ref="BX288:BY288" si="9143">SUM(BX289:BX291)</f>
        <v>0</v>
      </c>
      <c r="BY288" s="675">
        <f t="shared" si="9143"/>
        <v>0</v>
      </c>
      <c r="BZ288" s="549">
        <f t="shared" ref="BZ288:CA288" si="9144">SUM(BZ289:BZ291)</f>
        <v>0</v>
      </c>
      <c r="CA288" s="675">
        <f t="shared" si="9144"/>
        <v>0</v>
      </c>
      <c r="CB288" s="549">
        <f t="shared" ref="CB288:CG288" si="9145">SUM(CB289:CB291)</f>
        <v>0</v>
      </c>
      <c r="CC288" s="675">
        <f t="shared" si="9145"/>
        <v>0</v>
      </c>
      <c r="CD288" s="549">
        <f t="shared" si="9145"/>
        <v>0</v>
      </c>
      <c r="CE288" s="675">
        <f t="shared" si="9145"/>
        <v>0</v>
      </c>
      <c r="CF288" s="549">
        <f t="shared" si="9145"/>
        <v>0</v>
      </c>
      <c r="CG288" s="675">
        <f t="shared" si="9145"/>
        <v>0</v>
      </c>
      <c r="CH288" s="549">
        <f t="shared" ref="CH288:CQ288" si="9146">SUM(CH289:CH291)</f>
        <v>0</v>
      </c>
      <c r="CI288" s="675">
        <f t="shared" si="9146"/>
        <v>0</v>
      </c>
      <c r="CJ288" s="549">
        <f t="shared" si="9146"/>
        <v>0</v>
      </c>
      <c r="CK288" s="675">
        <f t="shared" si="9146"/>
        <v>0</v>
      </c>
      <c r="CL288" s="549">
        <f t="shared" si="9146"/>
        <v>0</v>
      </c>
      <c r="CM288" s="675">
        <f t="shared" si="9146"/>
        <v>0</v>
      </c>
      <c r="CN288" s="549">
        <f t="shared" si="9146"/>
        <v>0</v>
      </c>
      <c r="CO288" s="675">
        <f t="shared" si="9146"/>
        <v>0</v>
      </c>
      <c r="CP288" s="549">
        <f t="shared" si="9146"/>
        <v>0</v>
      </c>
      <c r="CQ288" s="675">
        <f t="shared" si="9146"/>
        <v>0</v>
      </c>
      <c r="CR288" s="549">
        <f t="shared" ref="CR288:CY288" si="9147">SUM(CR289:CR291)</f>
        <v>0</v>
      </c>
      <c r="CS288" s="675">
        <f t="shared" si="9147"/>
        <v>0</v>
      </c>
      <c r="CT288" s="549">
        <f t="shared" si="9147"/>
        <v>0</v>
      </c>
      <c r="CU288" s="675">
        <f t="shared" si="9147"/>
        <v>0</v>
      </c>
      <c r="CV288" s="549">
        <f t="shared" si="9147"/>
        <v>0</v>
      </c>
      <c r="CW288" s="675">
        <f t="shared" si="9147"/>
        <v>0</v>
      </c>
      <c r="CX288" s="549">
        <f t="shared" si="9147"/>
        <v>0</v>
      </c>
      <c r="CY288" s="675">
        <f t="shared" si="9147"/>
        <v>0</v>
      </c>
      <c r="CZ288" s="549">
        <f t="shared" ref="CZ288:GT288" si="9148">SUM(CZ289:CZ291)</f>
        <v>0</v>
      </c>
      <c r="DA288" s="675">
        <f t="shared" si="9148"/>
        <v>0</v>
      </c>
      <c r="DB288" s="549">
        <f t="shared" si="9148"/>
        <v>0</v>
      </c>
      <c r="DC288" s="675">
        <f t="shared" si="9148"/>
        <v>0</v>
      </c>
      <c r="DD288" s="549">
        <f t="shared" si="9148"/>
        <v>0</v>
      </c>
      <c r="DE288" s="675">
        <f t="shared" si="9148"/>
        <v>0</v>
      </c>
      <c r="DF288" s="549">
        <f t="shared" si="9148"/>
        <v>0</v>
      </c>
      <c r="DG288" s="675">
        <f t="shared" si="9148"/>
        <v>0</v>
      </c>
      <c r="DH288" s="549">
        <f t="shared" si="9148"/>
        <v>0</v>
      </c>
      <c r="DI288" s="675">
        <f t="shared" si="9148"/>
        <v>0</v>
      </c>
      <c r="DJ288" s="549">
        <f t="shared" si="9148"/>
        <v>0</v>
      </c>
      <c r="DK288" s="675">
        <f t="shared" si="9148"/>
        <v>0</v>
      </c>
      <c r="DL288" s="549">
        <f t="shared" si="9148"/>
        <v>0</v>
      </c>
      <c r="DM288" s="675">
        <f t="shared" si="9148"/>
        <v>0</v>
      </c>
      <c r="DN288" s="549">
        <f t="shared" si="9148"/>
        <v>0</v>
      </c>
      <c r="DO288" s="675">
        <f t="shared" si="9148"/>
        <v>0</v>
      </c>
      <c r="DP288" s="549">
        <f t="shared" si="9148"/>
        <v>0</v>
      </c>
      <c r="DQ288" s="675">
        <f t="shared" si="9148"/>
        <v>0</v>
      </c>
      <c r="DR288" s="549">
        <f t="shared" si="9148"/>
        <v>0</v>
      </c>
      <c r="DS288" s="675">
        <f t="shared" si="9148"/>
        <v>0</v>
      </c>
      <c r="DT288" s="549">
        <f t="shared" si="9148"/>
        <v>0</v>
      </c>
      <c r="DU288" s="675">
        <f t="shared" si="9148"/>
        <v>0</v>
      </c>
      <c r="DV288" s="549">
        <f t="shared" si="9148"/>
        <v>0</v>
      </c>
      <c r="DW288" s="675">
        <f t="shared" si="9148"/>
        <v>0</v>
      </c>
      <c r="DX288" s="549">
        <f t="shared" si="9148"/>
        <v>0</v>
      </c>
      <c r="DY288" s="675">
        <f t="shared" si="9148"/>
        <v>0</v>
      </c>
      <c r="DZ288" s="549">
        <f t="shared" ref="DZ288:FA288" si="9149">SUM(DZ289:DZ291)</f>
        <v>0</v>
      </c>
      <c r="EA288" s="675">
        <f t="shared" si="9149"/>
        <v>0</v>
      </c>
      <c r="EB288" s="549">
        <f t="shared" si="9149"/>
        <v>0</v>
      </c>
      <c r="EC288" s="675">
        <f t="shared" si="9149"/>
        <v>0</v>
      </c>
      <c r="ED288" s="549">
        <f t="shared" si="9149"/>
        <v>31000</v>
      </c>
      <c r="EE288" s="675">
        <f t="shared" si="9149"/>
        <v>0</v>
      </c>
      <c r="EF288" s="549">
        <f t="shared" si="9149"/>
        <v>0</v>
      </c>
      <c r="EG288" s="675">
        <f t="shared" si="9149"/>
        <v>0</v>
      </c>
      <c r="EH288" s="549">
        <f t="shared" ref="EH288:EM288" si="9150">SUM(EH289:EH291)</f>
        <v>0</v>
      </c>
      <c r="EI288" s="675">
        <f t="shared" si="9150"/>
        <v>0</v>
      </c>
      <c r="EJ288" s="549">
        <f t="shared" si="9150"/>
        <v>0</v>
      </c>
      <c r="EK288" s="675">
        <f t="shared" si="9150"/>
        <v>0</v>
      </c>
      <c r="EL288" s="549">
        <f t="shared" si="9150"/>
        <v>0</v>
      </c>
      <c r="EM288" s="675">
        <f t="shared" si="9150"/>
        <v>0</v>
      </c>
      <c r="EN288" s="549">
        <f t="shared" si="9149"/>
        <v>0</v>
      </c>
      <c r="EO288" s="675">
        <f t="shared" si="9149"/>
        <v>0</v>
      </c>
      <c r="EP288" s="549">
        <f t="shared" si="9149"/>
        <v>0</v>
      </c>
      <c r="EQ288" s="675">
        <f t="shared" si="9149"/>
        <v>0</v>
      </c>
      <c r="ER288" s="549">
        <f t="shared" si="9149"/>
        <v>0</v>
      </c>
      <c r="ES288" s="675">
        <f t="shared" si="9149"/>
        <v>0</v>
      </c>
      <c r="ET288" s="549">
        <f t="shared" si="9149"/>
        <v>0</v>
      </c>
      <c r="EU288" s="675">
        <f t="shared" si="9149"/>
        <v>0</v>
      </c>
      <c r="EV288" s="549">
        <f t="shared" ref="EV288:EW288" si="9151">SUM(EV289:EV291)</f>
        <v>0</v>
      </c>
      <c r="EW288" s="675">
        <f t="shared" si="9151"/>
        <v>0</v>
      </c>
      <c r="EX288" s="549">
        <f t="shared" si="9149"/>
        <v>0</v>
      </c>
      <c r="EY288" s="675">
        <f t="shared" si="9149"/>
        <v>0</v>
      </c>
      <c r="EZ288" s="549">
        <f t="shared" si="9149"/>
        <v>0</v>
      </c>
      <c r="FA288" s="675">
        <f t="shared" si="9149"/>
        <v>0</v>
      </c>
      <c r="FB288" s="549">
        <f t="shared" si="9148"/>
        <v>0</v>
      </c>
      <c r="FC288" s="675">
        <f t="shared" si="9148"/>
        <v>0</v>
      </c>
      <c r="FD288" s="549">
        <f t="shared" si="9148"/>
        <v>0</v>
      </c>
      <c r="FE288" s="675">
        <f t="shared" si="9148"/>
        <v>0</v>
      </c>
      <c r="FF288" s="549">
        <f t="shared" ref="FF288:FG288" si="9152">SUM(FF289:FF291)</f>
        <v>0</v>
      </c>
      <c r="FG288" s="675">
        <f t="shared" si="9152"/>
        <v>0</v>
      </c>
      <c r="FH288" s="549">
        <f t="shared" ref="FH288:FI288" si="9153">SUM(FH289:FH291)</f>
        <v>0</v>
      </c>
      <c r="FI288" s="675">
        <f t="shared" si="9153"/>
        <v>0</v>
      </c>
      <c r="FJ288" s="549">
        <f t="shared" ref="FJ288:FK288" si="9154">SUM(FJ289:FJ291)</f>
        <v>0</v>
      </c>
      <c r="FK288" s="675">
        <f t="shared" si="9154"/>
        <v>0</v>
      </c>
      <c r="FL288" s="549">
        <f t="shared" ref="FL288:FM288" si="9155">SUM(FL289:FL291)</f>
        <v>0</v>
      </c>
      <c r="FM288" s="675">
        <f t="shared" si="9155"/>
        <v>0</v>
      </c>
      <c r="FN288" s="549">
        <f t="shared" ref="FN288:FO288" si="9156">SUM(FN289:FN291)</f>
        <v>0</v>
      </c>
      <c r="FO288" s="675">
        <f t="shared" si="9156"/>
        <v>0</v>
      </c>
      <c r="FP288" s="549">
        <f t="shared" ref="FP288:FQ288" si="9157">SUM(FP289:FP291)</f>
        <v>0</v>
      </c>
      <c r="FQ288" s="675">
        <f t="shared" si="9157"/>
        <v>0</v>
      </c>
      <c r="FR288" s="549">
        <f t="shared" ref="FR288:FS288" si="9158">SUM(FR289:FR291)</f>
        <v>0</v>
      </c>
      <c r="FS288" s="675">
        <f t="shared" si="9158"/>
        <v>0</v>
      </c>
      <c r="FT288" s="549">
        <f t="shared" ref="FT288:FU288" si="9159">SUM(FT289:FT291)</f>
        <v>0</v>
      </c>
      <c r="FU288" s="675">
        <f t="shared" si="9159"/>
        <v>0</v>
      </c>
      <c r="FV288" s="549">
        <f t="shared" ref="FV288:GK288" si="9160">SUM(FV289:FV291)</f>
        <v>0</v>
      </c>
      <c r="FW288" s="675">
        <f t="shared" si="9160"/>
        <v>0</v>
      </c>
      <c r="FX288" s="549">
        <f t="shared" si="9160"/>
        <v>0</v>
      </c>
      <c r="FY288" s="675">
        <f t="shared" si="9160"/>
        <v>0</v>
      </c>
      <c r="FZ288" s="549">
        <f t="shared" ref="FZ288:GI288" si="9161">SUM(FZ289:FZ291)</f>
        <v>0</v>
      </c>
      <c r="GA288" s="675">
        <f t="shared" si="9161"/>
        <v>0</v>
      </c>
      <c r="GB288" s="549">
        <f t="shared" si="9161"/>
        <v>0</v>
      </c>
      <c r="GC288" s="675">
        <f t="shared" si="9161"/>
        <v>0</v>
      </c>
      <c r="GD288" s="549">
        <f t="shared" si="9161"/>
        <v>0</v>
      </c>
      <c r="GE288" s="675">
        <f t="shared" si="9161"/>
        <v>0</v>
      </c>
      <c r="GF288" s="549">
        <f t="shared" si="9161"/>
        <v>0</v>
      </c>
      <c r="GG288" s="675">
        <f t="shared" si="9161"/>
        <v>0</v>
      </c>
      <c r="GH288" s="549">
        <f t="shared" si="9161"/>
        <v>0</v>
      </c>
      <c r="GI288" s="675">
        <f t="shared" si="9161"/>
        <v>0</v>
      </c>
      <c r="GJ288" s="549">
        <f t="shared" si="9160"/>
        <v>0</v>
      </c>
      <c r="GK288" s="675">
        <f t="shared" si="9160"/>
        <v>0</v>
      </c>
      <c r="GL288" s="549">
        <f t="shared" ref="GL288:GM288" si="9162">SUM(GL289:GL291)</f>
        <v>0</v>
      </c>
      <c r="GM288" s="675">
        <f t="shared" si="9162"/>
        <v>0</v>
      </c>
      <c r="GN288" s="549">
        <f t="shared" ref="GN288:GO288" si="9163">SUM(GN289:GN291)</f>
        <v>0</v>
      </c>
      <c r="GO288" s="675">
        <f t="shared" si="9163"/>
        <v>0</v>
      </c>
      <c r="GP288" s="549">
        <f>SUM(GP289:GP291)</f>
        <v>31000</v>
      </c>
      <c r="GQ288" s="675">
        <f t="shared" si="9148"/>
        <v>0</v>
      </c>
      <c r="GR288" s="74">
        <f t="shared" si="9148"/>
        <v>31000</v>
      </c>
      <c r="GS288" s="74">
        <f t="shared" si="9148"/>
        <v>31000</v>
      </c>
      <c r="GT288" s="74">
        <f t="shared" si="9148"/>
        <v>31000</v>
      </c>
      <c r="GU288" s="74">
        <f t="shared" ref="GU288:HF288" si="9164">SUM(GU289:GU290)</f>
        <v>0</v>
      </c>
      <c r="GV288" s="74">
        <f t="shared" si="9164"/>
        <v>0</v>
      </c>
      <c r="GW288" s="74">
        <f t="shared" si="9164"/>
        <v>0</v>
      </c>
      <c r="GX288" s="74">
        <f t="shared" si="9164"/>
        <v>0</v>
      </c>
      <c r="GY288" s="74">
        <f t="shared" si="9164"/>
        <v>0</v>
      </c>
      <c r="GZ288" s="74">
        <f t="shared" si="9164"/>
        <v>0</v>
      </c>
      <c r="HA288" s="74">
        <f t="shared" si="9164"/>
        <v>0</v>
      </c>
      <c r="HB288" s="74">
        <f t="shared" si="9164"/>
        <v>0</v>
      </c>
      <c r="HC288" s="74">
        <f t="shared" si="9164"/>
        <v>0</v>
      </c>
      <c r="HD288" s="74">
        <f t="shared" si="9164"/>
        <v>0</v>
      </c>
      <c r="HE288" s="74">
        <f t="shared" si="9164"/>
        <v>0</v>
      </c>
      <c r="HF288" s="74">
        <f t="shared" si="9164"/>
        <v>0</v>
      </c>
      <c r="HG288" s="74">
        <f>SUM(HG289:HG291)</f>
        <v>31000</v>
      </c>
      <c r="HH288" s="74">
        <f t="shared" ref="HH288:HI288" si="9165">SUM(HH289:HH291)</f>
        <v>0</v>
      </c>
      <c r="HI288" s="792">
        <f t="shared" si="9165"/>
        <v>0</v>
      </c>
      <c r="HJ288" s="74">
        <f t="shared" ref="HJ288:HK288" si="9166">SUM(HJ289:HJ291)</f>
        <v>0</v>
      </c>
      <c r="HK288" s="792">
        <f t="shared" si="9166"/>
        <v>0</v>
      </c>
      <c r="HL288" s="74">
        <f t="shared" ref="HL288:HM288" si="9167">SUM(HL289:HL291)</f>
        <v>0</v>
      </c>
      <c r="HM288" s="792">
        <f t="shared" si="9167"/>
        <v>0</v>
      </c>
      <c r="HN288" s="74">
        <f t="shared" ref="HN288:HO288" si="9168">SUM(HN289:HN291)</f>
        <v>0</v>
      </c>
      <c r="HO288" s="792">
        <f t="shared" si="9168"/>
        <v>0</v>
      </c>
      <c r="HP288" s="74">
        <f t="shared" ref="HP288:HQ288" si="9169">SUM(HP289:HP291)</f>
        <v>0</v>
      </c>
      <c r="HQ288" s="792">
        <f t="shared" si="9169"/>
        <v>0</v>
      </c>
      <c r="HR288" s="74">
        <f t="shared" ref="HR288:HS288" si="9170">SUM(HR289:HR291)</f>
        <v>0</v>
      </c>
      <c r="HS288" s="792">
        <f t="shared" si="9170"/>
        <v>0</v>
      </c>
      <c r="HT288" s="74">
        <f t="shared" ref="HT288:HU288" si="9171">SUM(HT289:HT291)</f>
        <v>0</v>
      </c>
      <c r="HU288" s="792">
        <f t="shared" si="9171"/>
        <v>0</v>
      </c>
      <c r="HV288" s="74">
        <f t="shared" ref="HV288:HW288" si="9172">SUM(HV289:HV291)</f>
        <v>0</v>
      </c>
      <c r="HW288" s="792">
        <f t="shared" si="9172"/>
        <v>0</v>
      </c>
      <c r="HX288" s="74">
        <f t="shared" ref="HX288:HY288" si="9173">SUM(HX289:HX291)</f>
        <v>0</v>
      </c>
      <c r="HY288" s="792">
        <f t="shared" si="9173"/>
        <v>0</v>
      </c>
      <c r="HZ288" s="74">
        <f t="shared" ref="HZ288:IA288" si="9174">SUM(HZ289:HZ291)</f>
        <v>0</v>
      </c>
      <c r="IA288" s="792">
        <f t="shared" si="9174"/>
        <v>0</v>
      </c>
      <c r="IB288" s="74">
        <f t="shared" ref="IB288:IC288" si="9175">SUM(IB289:IB291)</f>
        <v>0</v>
      </c>
      <c r="IC288" s="792">
        <f t="shared" si="9175"/>
        <v>0</v>
      </c>
      <c r="ID288" s="74">
        <f t="shared" ref="ID288:IE288" si="9176">SUM(ID289:ID291)</f>
        <v>0</v>
      </c>
      <c r="IE288" s="792">
        <f t="shared" si="9176"/>
        <v>0</v>
      </c>
      <c r="IF288" s="841">
        <f>SUM(IF289:IF291)</f>
        <v>24283</v>
      </c>
      <c r="IG288" s="263">
        <f>SUM(IG289:IG291)</f>
        <v>24283</v>
      </c>
      <c r="IH288" s="842">
        <f>SUM(IH289:IH291)</f>
        <v>24283</v>
      </c>
      <c r="II288" s="74">
        <f t="shared" ref="II288:IK288" si="9177">SUM(II289:II290)</f>
        <v>0</v>
      </c>
      <c r="IJ288" s="74">
        <f t="shared" si="9177"/>
        <v>0</v>
      </c>
      <c r="IK288" s="74">
        <f t="shared" si="9177"/>
        <v>0</v>
      </c>
      <c r="IL288" s="74">
        <f t="shared" ref="IL288:IN288" si="9178">SUM(IL289:IL290)</f>
        <v>0</v>
      </c>
      <c r="IM288" s="74">
        <f t="shared" si="9178"/>
        <v>0</v>
      </c>
      <c r="IN288" s="74">
        <f t="shared" si="9178"/>
        <v>0</v>
      </c>
      <c r="IO288" s="74">
        <f t="shared" ref="IO288:IQ288" si="9179">SUM(IO289:IO290)</f>
        <v>0</v>
      </c>
      <c r="IP288" s="74">
        <f t="shared" si="9179"/>
        <v>0</v>
      </c>
      <c r="IQ288" s="74">
        <f t="shared" si="9179"/>
        <v>0</v>
      </c>
      <c r="IR288" s="74">
        <f t="shared" ref="IR288:IT288" si="9180">SUM(IR289:IR290)</f>
        <v>0</v>
      </c>
      <c r="IS288" s="74">
        <f t="shared" si="9180"/>
        <v>0</v>
      </c>
      <c r="IT288" s="74">
        <f t="shared" si="9180"/>
        <v>0</v>
      </c>
      <c r="IU288" s="74">
        <f t="shared" ref="IU288:IW288" si="9181">SUM(IU289:IU290)</f>
        <v>0</v>
      </c>
      <c r="IV288" s="74">
        <f t="shared" si="9181"/>
        <v>0</v>
      </c>
      <c r="IW288" s="74">
        <f t="shared" si="9181"/>
        <v>0</v>
      </c>
      <c r="IX288" s="74">
        <f t="shared" ref="IX288:IZ288" si="9182">SUM(IX289:IX290)</f>
        <v>0</v>
      </c>
      <c r="IY288" s="74">
        <f t="shared" si="9182"/>
        <v>0</v>
      </c>
      <c r="IZ288" s="74">
        <f t="shared" si="9182"/>
        <v>0</v>
      </c>
      <c r="JA288" s="74">
        <f t="shared" ref="JA288:JC288" si="9183">SUM(JA289:JA290)</f>
        <v>0</v>
      </c>
      <c r="JB288" s="74">
        <f t="shared" si="9183"/>
        <v>0</v>
      </c>
      <c r="JC288" s="74">
        <f t="shared" si="9183"/>
        <v>0</v>
      </c>
      <c r="JD288" s="74">
        <f t="shared" ref="JD288:JF288" si="9184">SUM(JD289:JD290)</f>
        <v>0</v>
      </c>
      <c r="JE288" s="74">
        <f t="shared" si="9184"/>
        <v>0</v>
      </c>
      <c r="JF288" s="74">
        <f t="shared" si="9184"/>
        <v>0</v>
      </c>
      <c r="JG288" s="74">
        <f t="shared" ref="JG288:JI288" si="9185">SUM(JG289:JG290)</f>
        <v>225</v>
      </c>
      <c r="JH288" s="74">
        <f t="shared" si="9185"/>
        <v>0</v>
      </c>
      <c r="JI288" s="74">
        <f t="shared" si="9185"/>
        <v>0</v>
      </c>
      <c r="JJ288" s="74">
        <f t="shared" ref="JJ288:JL288" si="9186">SUM(JJ289:JJ290)</f>
        <v>24058</v>
      </c>
      <c r="JK288" s="74">
        <f t="shared" si="9186"/>
        <v>24283</v>
      </c>
      <c r="JL288" s="74">
        <f t="shared" si="9186"/>
        <v>24283</v>
      </c>
      <c r="JM288" s="74">
        <f t="shared" ref="JM288:JO288" si="9187">SUM(JM289:JM290)</f>
        <v>0</v>
      </c>
      <c r="JN288" s="74">
        <f t="shared" si="9187"/>
        <v>0</v>
      </c>
      <c r="JO288" s="74">
        <f t="shared" si="9187"/>
        <v>0</v>
      </c>
      <c r="JP288" s="74">
        <f t="shared" ref="JP288:JW288" si="9188">SUM(JP289:JP290)</f>
        <v>0</v>
      </c>
      <c r="JQ288" s="74">
        <f t="shared" si="9188"/>
        <v>0</v>
      </c>
      <c r="JR288" s="74">
        <f t="shared" si="9188"/>
        <v>0</v>
      </c>
      <c r="JS288" s="74">
        <f>SUM(JS289:JS291)</f>
        <v>6717</v>
      </c>
      <c r="JT288" s="74">
        <f>SUM(JT289:JT291)</f>
        <v>6717</v>
      </c>
      <c r="JU288" s="74">
        <f t="shared" si="9188"/>
        <v>0</v>
      </c>
      <c r="JV288" s="74">
        <f t="shared" si="9188"/>
        <v>0</v>
      </c>
      <c r="JW288" s="74">
        <f t="shared" si="9188"/>
        <v>0</v>
      </c>
      <c r="JX288" s="74">
        <f>SUM(JX289:JX290)</f>
        <v>0</v>
      </c>
      <c r="JY288" s="74">
        <f>SUM(JY289:JY290)</f>
        <v>0</v>
      </c>
      <c r="JZ288" s="581">
        <f t="shared" si="9103"/>
        <v>31000</v>
      </c>
      <c r="KA288" s="581">
        <f t="shared" si="9104"/>
        <v>0</v>
      </c>
      <c r="KB288" s="74">
        <f>SUM(KB289:KB291)</f>
        <v>31000</v>
      </c>
      <c r="KC288" s="709">
        <f t="shared" si="9101"/>
        <v>0</v>
      </c>
      <c r="KD288" s="35"/>
      <c r="KE288" s="35"/>
      <c r="KF288" s="35"/>
      <c r="KG288" s="35"/>
      <c r="KH288" s="35"/>
      <c r="KI288" s="35"/>
      <c r="KJ288" s="35"/>
      <c r="KK288" s="35"/>
    </row>
    <row r="289" spans="1:297" s="10" customFormat="1" ht="12.75" customHeight="1">
      <c r="A289" s="86" t="s">
        <v>1076</v>
      </c>
      <c r="B289" s="77"/>
      <c r="C289" s="74">
        <v>0</v>
      </c>
      <c r="D289" s="549">
        <v>0</v>
      </c>
      <c r="E289" s="675">
        <v>0</v>
      </c>
      <c r="F289" s="549">
        <v>0</v>
      </c>
      <c r="G289" s="675">
        <v>0</v>
      </c>
      <c r="H289" s="549">
        <v>0</v>
      </c>
      <c r="I289" s="675">
        <v>0</v>
      </c>
      <c r="J289" s="549">
        <v>0</v>
      </c>
      <c r="K289" s="675">
        <v>0</v>
      </c>
      <c r="L289" s="549">
        <v>0</v>
      </c>
      <c r="M289" s="675">
        <v>0</v>
      </c>
      <c r="N289" s="549">
        <v>0</v>
      </c>
      <c r="O289" s="675">
        <v>0</v>
      </c>
      <c r="P289" s="549">
        <v>0</v>
      </c>
      <c r="Q289" s="675">
        <v>0</v>
      </c>
      <c r="R289" s="549">
        <v>0</v>
      </c>
      <c r="S289" s="675">
        <v>0</v>
      </c>
      <c r="T289" s="549">
        <v>0</v>
      </c>
      <c r="U289" s="675">
        <v>0</v>
      </c>
      <c r="V289" s="549">
        <v>0</v>
      </c>
      <c r="W289" s="675">
        <v>0</v>
      </c>
      <c r="X289" s="549">
        <v>0</v>
      </c>
      <c r="Y289" s="675">
        <v>0</v>
      </c>
      <c r="Z289" s="549">
        <v>0</v>
      </c>
      <c r="AA289" s="675">
        <v>0</v>
      </c>
      <c r="AB289" s="549">
        <v>0</v>
      </c>
      <c r="AC289" s="675">
        <v>0</v>
      </c>
      <c r="AD289" s="549">
        <v>0</v>
      </c>
      <c r="AE289" s="675">
        <v>0</v>
      </c>
      <c r="AF289" s="549">
        <v>0</v>
      </c>
      <c r="AG289" s="675">
        <v>0</v>
      </c>
      <c r="AH289" s="549">
        <v>0</v>
      </c>
      <c r="AI289" s="675">
        <v>0</v>
      </c>
      <c r="AJ289" s="549">
        <v>0</v>
      </c>
      <c r="AK289" s="675">
        <v>0</v>
      </c>
      <c r="AL289" s="549">
        <v>0</v>
      </c>
      <c r="AM289" s="675">
        <v>0</v>
      </c>
      <c r="AN289" s="549">
        <v>0</v>
      </c>
      <c r="AO289" s="675">
        <v>0</v>
      </c>
      <c r="AP289" s="549">
        <v>0</v>
      </c>
      <c r="AQ289" s="675">
        <v>0</v>
      </c>
      <c r="AR289" s="549">
        <v>0</v>
      </c>
      <c r="AS289" s="675">
        <v>0</v>
      </c>
      <c r="AT289" s="549">
        <v>0</v>
      </c>
      <c r="AU289" s="675">
        <v>0</v>
      </c>
      <c r="AV289" s="549">
        <v>0</v>
      </c>
      <c r="AW289" s="675">
        <v>0</v>
      </c>
      <c r="AX289" s="549">
        <v>0</v>
      </c>
      <c r="AY289" s="675">
        <v>0</v>
      </c>
      <c r="AZ289" s="549">
        <v>0</v>
      </c>
      <c r="BA289" s="675">
        <v>0</v>
      </c>
      <c r="BB289" s="549">
        <v>0</v>
      </c>
      <c r="BC289" s="675">
        <v>0</v>
      </c>
      <c r="BD289" s="549">
        <v>0</v>
      </c>
      <c r="BE289" s="675">
        <v>0</v>
      </c>
      <c r="BF289" s="549">
        <v>0</v>
      </c>
      <c r="BG289" s="675">
        <v>0</v>
      </c>
      <c r="BH289" s="549">
        <v>0</v>
      </c>
      <c r="BI289" s="675">
        <v>0</v>
      </c>
      <c r="BJ289" s="549">
        <v>0</v>
      </c>
      <c r="BK289" s="675">
        <v>0</v>
      </c>
      <c r="BL289" s="549">
        <v>0</v>
      </c>
      <c r="BM289" s="675">
        <v>0</v>
      </c>
      <c r="BN289" s="549">
        <v>0</v>
      </c>
      <c r="BO289" s="675">
        <v>0</v>
      </c>
      <c r="BP289" s="549">
        <v>0</v>
      </c>
      <c r="BQ289" s="675">
        <v>0</v>
      </c>
      <c r="BR289" s="549">
        <v>0</v>
      </c>
      <c r="BS289" s="675">
        <v>0</v>
      </c>
      <c r="BT289" s="549">
        <v>0</v>
      </c>
      <c r="BU289" s="675">
        <v>0</v>
      </c>
      <c r="BV289" s="549">
        <v>0</v>
      </c>
      <c r="BW289" s="675">
        <v>0</v>
      </c>
      <c r="BX289" s="549">
        <v>0</v>
      </c>
      <c r="BY289" s="675">
        <v>0</v>
      </c>
      <c r="BZ289" s="549">
        <v>0</v>
      </c>
      <c r="CA289" s="675">
        <v>0</v>
      </c>
      <c r="CB289" s="549">
        <v>0</v>
      </c>
      <c r="CC289" s="675">
        <v>0</v>
      </c>
      <c r="CD289" s="549">
        <v>0</v>
      </c>
      <c r="CE289" s="675">
        <v>0</v>
      </c>
      <c r="CF289" s="549">
        <v>0</v>
      </c>
      <c r="CG289" s="675">
        <v>0</v>
      </c>
      <c r="CH289" s="549">
        <v>0</v>
      </c>
      <c r="CI289" s="675">
        <v>0</v>
      </c>
      <c r="CJ289" s="549">
        <v>0</v>
      </c>
      <c r="CK289" s="675">
        <v>0</v>
      </c>
      <c r="CL289" s="549">
        <v>0</v>
      </c>
      <c r="CM289" s="675">
        <v>0</v>
      </c>
      <c r="CN289" s="549">
        <v>0</v>
      </c>
      <c r="CO289" s="675">
        <v>0</v>
      </c>
      <c r="CP289" s="549">
        <v>0</v>
      </c>
      <c r="CQ289" s="675">
        <v>0</v>
      </c>
      <c r="CR289" s="549">
        <v>0</v>
      </c>
      <c r="CS289" s="675">
        <v>0</v>
      </c>
      <c r="CT289" s="549">
        <v>0</v>
      </c>
      <c r="CU289" s="675">
        <v>0</v>
      </c>
      <c r="CV289" s="549">
        <v>0</v>
      </c>
      <c r="CW289" s="675">
        <v>0</v>
      </c>
      <c r="CX289" s="549">
        <v>0</v>
      </c>
      <c r="CY289" s="675">
        <v>0</v>
      </c>
      <c r="CZ289" s="549">
        <v>0</v>
      </c>
      <c r="DA289" s="675">
        <v>0</v>
      </c>
      <c r="DB289" s="549">
        <v>0</v>
      </c>
      <c r="DC289" s="675">
        <v>0</v>
      </c>
      <c r="DD289" s="549">
        <v>0</v>
      </c>
      <c r="DE289" s="675">
        <v>0</v>
      </c>
      <c r="DF289" s="549">
        <v>0</v>
      </c>
      <c r="DG289" s="675">
        <v>0</v>
      </c>
      <c r="DH289" s="549">
        <v>0</v>
      </c>
      <c r="DI289" s="675">
        <v>0</v>
      </c>
      <c r="DJ289" s="549">
        <v>0</v>
      </c>
      <c r="DK289" s="675">
        <v>0</v>
      </c>
      <c r="DL289" s="549">
        <v>0</v>
      </c>
      <c r="DM289" s="675">
        <v>0</v>
      </c>
      <c r="DN289" s="549">
        <v>0</v>
      </c>
      <c r="DO289" s="675">
        <v>0</v>
      </c>
      <c r="DP289" s="549">
        <v>0</v>
      </c>
      <c r="DQ289" s="675">
        <v>0</v>
      </c>
      <c r="DR289" s="549">
        <v>0</v>
      </c>
      <c r="DS289" s="675">
        <v>0</v>
      </c>
      <c r="DT289" s="549">
        <v>0</v>
      </c>
      <c r="DU289" s="675">
        <v>0</v>
      </c>
      <c r="DV289" s="549">
        <v>0</v>
      </c>
      <c r="DW289" s="675">
        <v>0</v>
      </c>
      <c r="DX289" s="549">
        <v>0</v>
      </c>
      <c r="DY289" s="675">
        <v>0</v>
      </c>
      <c r="DZ289" s="549">
        <v>0</v>
      </c>
      <c r="EA289" s="675">
        <v>0</v>
      </c>
      <c r="EB289" s="549">
        <v>0</v>
      </c>
      <c r="EC289" s="675">
        <v>0</v>
      </c>
      <c r="ED289" s="549">
        <v>15000</v>
      </c>
      <c r="EE289" s="675">
        <v>0</v>
      </c>
      <c r="EF289" s="549">
        <v>0</v>
      </c>
      <c r="EG289" s="675">
        <v>0</v>
      </c>
      <c r="EH289" s="549">
        <v>0</v>
      </c>
      <c r="EI289" s="675">
        <v>0</v>
      </c>
      <c r="EJ289" s="549">
        <v>0</v>
      </c>
      <c r="EK289" s="675">
        <v>0</v>
      </c>
      <c r="EL289" s="549">
        <v>0</v>
      </c>
      <c r="EM289" s="675">
        <v>0</v>
      </c>
      <c r="EN289" s="549">
        <v>0</v>
      </c>
      <c r="EO289" s="675">
        <v>0</v>
      </c>
      <c r="EP289" s="549">
        <v>0</v>
      </c>
      <c r="EQ289" s="675">
        <v>0</v>
      </c>
      <c r="ER289" s="549">
        <v>0</v>
      </c>
      <c r="ES289" s="675">
        <v>0</v>
      </c>
      <c r="ET289" s="549">
        <v>0</v>
      </c>
      <c r="EU289" s="675">
        <v>0</v>
      </c>
      <c r="EV289" s="549">
        <v>0</v>
      </c>
      <c r="EW289" s="675">
        <v>0</v>
      </c>
      <c r="EX289" s="549">
        <v>0</v>
      </c>
      <c r="EY289" s="675">
        <v>0</v>
      </c>
      <c r="EZ289" s="549">
        <v>0</v>
      </c>
      <c r="FA289" s="675">
        <v>0</v>
      </c>
      <c r="FB289" s="549">
        <v>0</v>
      </c>
      <c r="FC289" s="675">
        <v>0</v>
      </c>
      <c r="FD289" s="549">
        <v>0</v>
      </c>
      <c r="FE289" s="675">
        <v>0</v>
      </c>
      <c r="FF289" s="549">
        <v>0</v>
      </c>
      <c r="FG289" s="675">
        <v>0</v>
      </c>
      <c r="FH289" s="549">
        <v>0</v>
      </c>
      <c r="FI289" s="675">
        <v>0</v>
      </c>
      <c r="FJ289" s="549">
        <v>0</v>
      </c>
      <c r="FK289" s="675">
        <v>0</v>
      </c>
      <c r="FL289" s="549">
        <v>0</v>
      </c>
      <c r="FM289" s="675">
        <v>0</v>
      </c>
      <c r="FN289" s="549">
        <v>0</v>
      </c>
      <c r="FO289" s="675">
        <v>0</v>
      </c>
      <c r="FP289" s="549">
        <v>0</v>
      </c>
      <c r="FQ289" s="675">
        <v>0</v>
      </c>
      <c r="FR289" s="549">
        <v>0</v>
      </c>
      <c r="FS289" s="675">
        <v>0</v>
      </c>
      <c r="FT289" s="549">
        <v>0</v>
      </c>
      <c r="FU289" s="675">
        <v>0</v>
      </c>
      <c r="FV289" s="549">
        <v>0</v>
      </c>
      <c r="FW289" s="675">
        <v>0</v>
      </c>
      <c r="FX289" s="549">
        <v>0</v>
      </c>
      <c r="FY289" s="675">
        <v>0</v>
      </c>
      <c r="FZ289" s="549">
        <v>0</v>
      </c>
      <c r="GA289" s="675">
        <v>0</v>
      </c>
      <c r="GB289" s="549">
        <v>0</v>
      </c>
      <c r="GC289" s="675">
        <v>0</v>
      </c>
      <c r="GD289" s="549">
        <v>0</v>
      </c>
      <c r="GE289" s="675">
        <v>0</v>
      </c>
      <c r="GF289" s="549">
        <v>0</v>
      </c>
      <c r="GG289" s="675">
        <v>0</v>
      </c>
      <c r="GH289" s="549">
        <v>0</v>
      </c>
      <c r="GI289" s="675">
        <v>0</v>
      </c>
      <c r="GJ289" s="549">
        <v>0</v>
      </c>
      <c r="GK289" s="675">
        <v>0</v>
      </c>
      <c r="GL289" s="549">
        <v>0</v>
      </c>
      <c r="GM289" s="675">
        <v>0</v>
      </c>
      <c r="GN289" s="549">
        <v>0</v>
      </c>
      <c r="GO289" s="675">
        <v>0</v>
      </c>
      <c r="GP289" s="549">
        <f>+D289+F289+H289+J289+L289+N289+P289+R289+T289+V289+X289+Z289+AB289+AD289+AH289+AJ289+AL289+AN289+AP289+AR289+AT289+AV289+AX289+AZ289+BB289+BD289+BF289+BH289+BJ289+BL289+BN289+BP289+BR289+BT289+BV289+BX289+BZ289+CB289+CD289+CF289+CH289+CJ289+CL289+CN289+CP289+CR289+CT289+CV289+CX289+CZ289+DB289+DD289+DF289+DH289+DT289+EX289+DJ289+DL289+DN289+DP289+DR289+EJ289+EB289+DZ289+DX289+DV289+ED289+EF289+EH289+EL289+EN289+EP289+EV289+ET289+ER289+EZ289+FB289+FD289+GL289</f>
        <v>15000</v>
      </c>
      <c r="GQ289" s="675">
        <f>+E289+G289+I289+K289+M289+O289+Q289+S289+U289+W289+Y289+AA289+AC289+AE289+AI289+AK289+AM289+AO289+AQ289+AS289+AU289+AW289+AY289+BA289+BC289+BE289+BG289+BI289+BK289+BM289+BO289+BQ289+BS289+BU289+BW289+BY289+CA289+CC289+CE289+CG289+CI289+CK289+CM289+CO289+CQ289+CS289+CU289+CW289+CY289+DA289+DC289+DE289+DG289+DI289+DU289+EY289+DK289+DM289+DO289+DQ289+DS289+EK289+EC289+EA289+DY289+DW289+EI289+EG289+EE289+EM289+EO289+EQ289+EW289+EU289+ES289+FA289+FC289+FE289+GM289</f>
        <v>0</v>
      </c>
      <c r="GR289" s="74">
        <f>C289+GP289+GQ289</f>
        <v>15000</v>
      </c>
      <c r="GS289" s="74">
        <f t="shared" ref="GS289:GS290" si="9189">SUM(GU289:HD289)+GP289+GQ289</f>
        <v>15000</v>
      </c>
      <c r="GT289" s="568">
        <f>SUM(GU289:HF289)+GQ289+GP289</f>
        <v>15000</v>
      </c>
      <c r="GU289" s="73"/>
      <c r="GV289" s="73"/>
      <c r="GW289" s="549"/>
      <c r="GX289" s="549"/>
      <c r="GY289" s="73"/>
      <c r="GZ289" s="73"/>
      <c r="HA289" s="73"/>
      <c r="HB289" s="73"/>
      <c r="HC289" s="73"/>
      <c r="HD289" s="73"/>
      <c r="HE289" s="73"/>
      <c r="HF289" s="73"/>
      <c r="HG289" s="74">
        <f>SUM(HH289:IE289)+GP289+GQ289</f>
        <v>15000</v>
      </c>
      <c r="HH289" s="89">
        <v>0</v>
      </c>
      <c r="HI289" s="817">
        <v>0</v>
      </c>
      <c r="HJ289" s="89">
        <v>0</v>
      </c>
      <c r="HK289" s="817">
        <v>0</v>
      </c>
      <c r="HL289" s="89">
        <v>0</v>
      </c>
      <c r="HM289" s="817">
        <v>0</v>
      </c>
      <c r="HN289" s="89">
        <v>0</v>
      </c>
      <c r="HO289" s="817">
        <v>0</v>
      </c>
      <c r="HP289" s="89">
        <v>0</v>
      </c>
      <c r="HQ289" s="817">
        <v>0</v>
      </c>
      <c r="HR289" s="89">
        <v>0</v>
      </c>
      <c r="HS289" s="817">
        <v>0</v>
      </c>
      <c r="HT289" s="89">
        <v>0</v>
      </c>
      <c r="HU289" s="817">
        <v>0</v>
      </c>
      <c r="HV289" s="89">
        <v>0</v>
      </c>
      <c r="HW289" s="817">
        <v>0</v>
      </c>
      <c r="HX289" s="89">
        <v>0</v>
      </c>
      <c r="HY289" s="817">
        <v>0</v>
      </c>
      <c r="HZ289" s="89">
        <v>0</v>
      </c>
      <c r="IA289" s="817">
        <v>0</v>
      </c>
      <c r="IB289" s="89">
        <v>0</v>
      </c>
      <c r="IC289" s="817">
        <v>0</v>
      </c>
      <c r="ID289" s="89">
        <v>0</v>
      </c>
      <c r="IE289" s="817">
        <v>0</v>
      </c>
      <c r="IF289" s="841">
        <f t="shared" ref="IF289:IF291" si="9190">SUM(II289,IL289,IO289,IR289,IU289,IX289,JA289,JD289,JG289,JJ289,JM289,JP289)</f>
        <v>10783</v>
      </c>
      <c r="IG289" s="263">
        <f t="shared" ref="IG289:IG291" si="9191">SUM(IJ289,IM289,IP289,IS289,IV289,IY289,JB289,JE289,JH289,JK289,JN289,JQ289)</f>
        <v>10783</v>
      </c>
      <c r="IH289" s="842">
        <f t="shared" ref="IH289:IH291" si="9192">SUM(IK289,IN289,IQ289,IT289,IW289,IZ289,JC289,JF289,JI289,JL289,JO289,JR289)</f>
        <v>10783</v>
      </c>
      <c r="II289" s="89">
        <v>0</v>
      </c>
      <c r="IJ289" s="89">
        <v>0</v>
      </c>
      <c r="IK289" s="89">
        <v>0</v>
      </c>
      <c r="IL289" s="89">
        <v>0</v>
      </c>
      <c r="IM289" s="89">
        <v>0</v>
      </c>
      <c r="IN289" s="89">
        <v>0</v>
      </c>
      <c r="IO289" s="89">
        <v>0</v>
      </c>
      <c r="IP289" s="89">
        <v>0</v>
      </c>
      <c r="IQ289" s="89">
        <v>0</v>
      </c>
      <c r="IR289" s="89">
        <v>0</v>
      </c>
      <c r="IS289" s="89">
        <v>0</v>
      </c>
      <c r="IT289" s="89">
        <v>0</v>
      </c>
      <c r="IU289" s="89">
        <v>0</v>
      </c>
      <c r="IV289" s="89">
        <v>0</v>
      </c>
      <c r="IW289" s="89">
        <v>0</v>
      </c>
      <c r="IX289" s="89">
        <v>0</v>
      </c>
      <c r="IY289" s="89">
        <v>0</v>
      </c>
      <c r="IZ289" s="89">
        <v>0</v>
      </c>
      <c r="JA289" s="89">
        <v>0</v>
      </c>
      <c r="JB289" s="89">
        <v>0</v>
      </c>
      <c r="JC289" s="89">
        <v>0</v>
      </c>
      <c r="JD289" s="89">
        <v>0</v>
      </c>
      <c r="JE289" s="89">
        <v>0</v>
      </c>
      <c r="JF289" s="89">
        <v>0</v>
      </c>
      <c r="JG289" s="89">
        <v>225</v>
      </c>
      <c r="JH289" s="89">
        <v>0</v>
      </c>
      <c r="JI289" s="89">
        <v>0</v>
      </c>
      <c r="JJ289" s="89">
        <f>10783-225</f>
        <v>10558</v>
      </c>
      <c r="JK289" s="89">
        <f>JJ289+225</f>
        <v>10783</v>
      </c>
      <c r="JL289" s="89">
        <f>JK289</f>
        <v>10783</v>
      </c>
      <c r="JM289" s="89">
        <v>0</v>
      </c>
      <c r="JN289" s="89">
        <v>0</v>
      </c>
      <c r="JO289" s="89">
        <v>0</v>
      </c>
      <c r="JP289" s="89">
        <v>0</v>
      </c>
      <c r="JQ289" s="89">
        <v>0</v>
      </c>
      <c r="JR289" s="89">
        <v>0</v>
      </c>
      <c r="JS289" s="74">
        <f>HG289-IF289</f>
        <v>4217</v>
      </c>
      <c r="JT289" s="382">
        <f>GS289-IF289</f>
        <v>4217</v>
      </c>
      <c r="JU289" s="670"/>
      <c r="JV289" s="489"/>
      <c r="JW289" s="531"/>
      <c r="JX289" s="548">
        <f t="shared" ref="JX289:JY291" si="9193">SUM(HH289,HJ289,HL289,HN289,HP289,HR289,HT289,HV289,HX289,HZ289,IB289,ID289)</f>
        <v>0</v>
      </c>
      <c r="JY289" s="548">
        <f t="shared" si="9193"/>
        <v>0</v>
      </c>
      <c r="JZ289" s="581">
        <f t="shared" si="9103"/>
        <v>15000</v>
      </c>
      <c r="KA289" s="581">
        <f t="shared" si="9104"/>
        <v>0</v>
      </c>
      <c r="KB289" s="548">
        <f>JX289+JY289+JZ289+KA289</f>
        <v>15000</v>
      </c>
      <c r="KC289" s="709">
        <f t="shared" si="9101"/>
        <v>0</v>
      </c>
      <c r="KD289" s="35"/>
      <c r="KE289" s="35"/>
      <c r="KF289" s="35"/>
      <c r="KG289" s="35"/>
      <c r="KH289" s="35"/>
      <c r="KI289" s="35"/>
      <c r="KJ289" s="35"/>
      <c r="KK289" s="35"/>
    </row>
    <row r="290" spans="1:297" s="10" customFormat="1" ht="12.75" customHeight="1">
      <c r="A290" s="86" t="s">
        <v>1077</v>
      </c>
      <c r="B290" s="77"/>
      <c r="C290" s="74">
        <v>0</v>
      </c>
      <c r="D290" s="549">
        <v>0</v>
      </c>
      <c r="E290" s="675">
        <v>0</v>
      </c>
      <c r="F290" s="549">
        <v>0</v>
      </c>
      <c r="G290" s="675">
        <v>0</v>
      </c>
      <c r="H290" s="549">
        <v>0</v>
      </c>
      <c r="I290" s="675">
        <v>0</v>
      </c>
      <c r="J290" s="549">
        <v>0</v>
      </c>
      <c r="K290" s="675">
        <v>0</v>
      </c>
      <c r="L290" s="549">
        <v>0</v>
      </c>
      <c r="M290" s="675">
        <v>0</v>
      </c>
      <c r="N290" s="549">
        <v>0</v>
      </c>
      <c r="O290" s="675">
        <v>0</v>
      </c>
      <c r="P290" s="549">
        <v>0</v>
      </c>
      <c r="Q290" s="675">
        <v>0</v>
      </c>
      <c r="R290" s="549">
        <v>0</v>
      </c>
      <c r="S290" s="675">
        <v>0</v>
      </c>
      <c r="T290" s="549">
        <v>0</v>
      </c>
      <c r="U290" s="675">
        <v>0</v>
      </c>
      <c r="V290" s="549">
        <v>0</v>
      </c>
      <c r="W290" s="675">
        <v>0</v>
      </c>
      <c r="X290" s="549">
        <v>0</v>
      </c>
      <c r="Y290" s="675">
        <v>0</v>
      </c>
      <c r="Z290" s="549">
        <v>0</v>
      </c>
      <c r="AA290" s="675">
        <v>0</v>
      </c>
      <c r="AB290" s="549">
        <v>0</v>
      </c>
      <c r="AC290" s="675">
        <v>0</v>
      </c>
      <c r="AD290" s="549">
        <v>0</v>
      </c>
      <c r="AE290" s="675">
        <v>0</v>
      </c>
      <c r="AF290" s="549">
        <v>0</v>
      </c>
      <c r="AG290" s="675">
        <v>0</v>
      </c>
      <c r="AH290" s="549">
        <v>0</v>
      </c>
      <c r="AI290" s="675">
        <v>0</v>
      </c>
      <c r="AJ290" s="549">
        <v>0</v>
      </c>
      <c r="AK290" s="675">
        <v>0</v>
      </c>
      <c r="AL290" s="549">
        <v>0</v>
      </c>
      <c r="AM290" s="675">
        <v>0</v>
      </c>
      <c r="AN290" s="549">
        <v>0</v>
      </c>
      <c r="AO290" s="675">
        <v>0</v>
      </c>
      <c r="AP290" s="549">
        <v>0</v>
      </c>
      <c r="AQ290" s="675">
        <v>0</v>
      </c>
      <c r="AR290" s="549">
        <v>0</v>
      </c>
      <c r="AS290" s="675">
        <v>0</v>
      </c>
      <c r="AT290" s="549">
        <v>0</v>
      </c>
      <c r="AU290" s="675">
        <v>0</v>
      </c>
      <c r="AV290" s="549">
        <v>0</v>
      </c>
      <c r="AW290" s="675">
        <v>0</v>
      </c>
      <c r="AX290" s="549">
        <v>0</v>
      </c>
      <c r="AY290" s="675">
        <v>0</v>
      </c>
      <c r="AZ290" s="549">
        <v>0</v>
      </c>
      <c r="BA290" s="675">
        <v>0</v>
      </c>
      <c r="BB290" s="549">
        <v>0</v>
      </c>
      <c r="BC290" s="675">
        <v>0</v>
      </c>
      <c r="BD290" s="549">
        <v>0</v>
      </c>
      <c r="BE290" s="675">
        <v>0</v>
      </c>
      <c r="BF290" s="549">
        <v>0</v>
      </c>
      <c r="BG290" s="675">
        <v>0</v>
      </c>
      <c r="BH290" s="549">
        <v>0</v>
      </c>
      <c r="BI290" s="675">
        <v>0</v>
      </c>
      <c r="BJ290" s="549">
        <v>0</v>
      </c>
      <c r="BK290" s="675">
        <v>0</v>
      </c>
      <c r="BL290" s="549">
        <v>0</v>
      </c>
      <c r="BM290" s="675">
        <v>0</v>
      </c>
      <c r="BN290" s="549">
        <v>0</v>
      </c>
      <c r="BO290" s="675">
        <v>0</v>
      </c>
      <c r="BP290" s="549">
        <v>0</v>
      </c>
      <c r="BQ290" s="675">
        <v>0</v>
      </c>
      <c r="BR290" s="549">
        <v>0</v>
      </c>
      <c r="BS290" s="675">
        <v>0</v>
      </c>
      <c r="BT290" s="549">
        <v>0</v>
      </c>
      <c r="BU290" s="675">
        <v>0</v>
      </c>
      <c r="BV290" s="549">
        <v>0</v>
      </c>
      <c r="BW290" s="675">
        <v>0</v>
      </c>
      <c r="BX290" s="549">
        <v>0</v>
      </c>
      <c r="BY290" s="675">
        <v>0</v>
      </c>
      <c r="BZ290" s="549">
        <v>0</v>
      </c>
      <c r="CA290" s="675">
        <v>0</v>
      </c>
      <c r="CB290" s="549">
        <v>0</v>
      </c>
      <c r="CC290" s="675">
        <v>0</v>
      </c>
      <c r="CD290" s="549">
        <v>0</v>
      </c>
      <c r="CE290" s="675">
        <v>0</v>
      </c>
      <c r="CF290" s="549">
        <v>0</v>
      </c>
      <c r="CG290" s="675">
        <v>0</v>
      </c>
      <c r="CH290" s="549">
        <v>0</v>
      </c>
      <c r="CI290" s="675">
        <v>0</v>
      </c>
      <c r="CJ290" s="549">
        <v>0</v>
      </c>
      <c r="CK290" s="675">
        <v>0</v>
      </c>
      <c r="CL290" s="549">
        <v>0</v>
      </c>
      <c r="CM290" s="675">
        <v>0</v>
      </c>
      <c r="CN290" s="549">
        <v>0</v>
      </c>
      <c r="CO290" s="675">
        <v>0</v>
      </c>
      <c r="CP290" s="549">
        <v>0</v>
      </c>
      <c r="CQ290" s="675">
        <v>0</v>
      </c>
      <c r="CR290" s="549">
        <v>0</v>
      </c>
      <c r="CS290" s="675">
        <v>0</v>
      </c>
      <c r="CT290" s="549">
        <v>0</v>
      </c>
      <c r="CU290" s="675">
        <v>0</v>
      </c>
      <c r="CV290" s="549">
        <v>0</v>
      </c>
      <c r="CW290" s="675">
        <v>0</v>
      </c>
      <c r="CX290" s="549">
        <v>0</v>
      </c>
      <c r="CY290" s="675">
        <v>0</v>
      </c>
      <c r="CZ290" s="549">
        <v>0</v>
      </c>
      <c r="DA290" s="675">
        <v>0</v>
      </c>
      <c r="DB290" s="549">
        <v>0</v>
      </c>
      <c r="DC290" s="675">
        <v>0</v>
      </c>
      <c r="DD290" s="549">
        <v>0</v>
      </c>
      <c r="DE290" s="675">
        <v>0</v>
      </c>
      <c r="DF290" s="549">
        <v>0</v>
      </c>
      <c r="DG290" s="675">
        <v>0</v>
      </c>
      <c r="DH290" s="549">
        <v>0</v>
      </c>
      <c r="DI290" s="675">
        <v>0</v>
      </c>
      <c r="DJ290" s="549">
        <v>0</v>
      </c>
      <c r="DK290" s="675">
        <v>0</v>
      </c>
      <c r="DL290" s="549">
        <v>0</v>
      </c>
      <c r="DM290" s="675">
        <v>0</v>
      </c>
      <c r="DN290" s="549">
        <v>0</v>
      </c>
      <c r="DO290" s="675">
        <v>0</v>
      </c>
      <c r="DP290" s="549">
        <v>0</v>
      </c>
      <c r="DQ290" s="675">
        <v>0</v>
      </c>
      <c r="DR290" s="549">
        <v>0</v>
      </c>
      <c r="DS290" s="675">
        <v>0</v>
      </c>
      <c r="DT290" s="549">
        <v>0</v>
      </c>
      <c r="DU290" s="675">
        <v>0</v>
      </c>
      <c r="DV290" s="549">
        <v>0</v>
      </c>
      <c r="DW290" s="675">
        <v>0</v>
      </c>
      <c r="DX290" s="549">
        <v>0</v>
      </c>
      <c r="DY290" s="675">
        <v>0</v>
      </c>
      <c r="DZ290" s="549">
        <v>0</v>
      </c>
      <c r="EA290" s="675">
        <v>0</v>
      </c>
      <c r="EB290" s="549">
        <v>0</v>
      </c>
      <c r="EC290" s="675">
        <v>0</v>
      </c>
      <c r="ED290" s="549">
        <v>16000</v>
      </c>
      <c r="EE290" s="675">
        <v>0</v>
      </c>
      <c r="EF290" s="549">
        <v>0</v>
      </c>
      <c r="EG290" s="675">
        <v>0</v>
      </c>
      <c r="EH290" s="549">
        <v>0</v>
      </c>
      <c r="EI290" s="675">
        <v>0</v>
      </c>
      <c r="EJ290" s="549">
        <v>0</v>
      </c>
      <c r="EK290" s="675">
        <v>0</v>
      </c>
      <c r="EL290" s="549">
        <v>0</v>
      </c>
      <c r="EM290" s="675">
        <v>0</v>
      </c>
      <c r="EN290" s="549">
        <v>0</v>
      </c>
      <c r="EO290" s="675">
        <v>0</v>
      </c>
      <c r="EP290" s="549">
        <v>0</v>
      </c>
      <c r="EQ290" s="675">
        <v>0</v>
      </c>
      <c r="ER290" s="549">
        <v>0</v>
      </c>
      <c r="ES290" s="675">
        <v>0</v>
      </c>
      <c r="ET290" s="549">
        <v>0</v>
      </c>
      <c r="EU290" s="675">
        <v>0</v>
      </c>
      <c r="EV290" s="549">
        <v>0</v>
      </c>
      <c r="EW290" s="675">
        <v>0</v>
      </c>
      <c r="EX290" s="549">
        <v>0</v>
      </c>
      <c r="EY290" s="675">
        <v>0</v>
      </c>
      <c r="EZ290" s="549">
        <v>0</v>
      </c>
      <c r="FA290" s="675">
        <v>0</v>
      </c>
      <c r="FB290" s="549">
        <v>0</v>
      </c>
      <c r="FC290" s="675">
        <v>0</v>
      </c>
      <c r="FD290" s="549">
        <v>0</v>
      </c>
      <c r="FE290" s="675">
        <v>0</v>
      </c>
      <c r="FF290" s="549">
        <v>0</v>
      </c>
      <c r="FG290" s="675">
        <v>0</v>
      </c>
      <c r="FH290" s="549">
        <v>0</v>
      </c>
      <c r="FI290" s="675">
        <v>0</v>
      </c>
      <c r="FJ290" s="549">
        <v>0</v>
      </c>
      <c r="FK290" s="675">
        <v>0</v>
      </c>
      <c r="FL290" s="549">
        <v>0</v>
      </c>
      <c r="FM290" s="675">
        <v>0</v>
      </c>
      <c r="FN290" s="549">
        <v>0</v>
      </c>
      <c r="FO290" s="675">
        <v>0</v>
      </c>
      <c r="FP290" s="549">
        <v>0</v>
      </c>
      <c r="FQ290" s="675">
        <v>0</v>
      </c>
      <c r="FR290" s="549">
        <v>0</v>
      </c>
      <c r="FS290" s="675">
        <v>0</v>
      </c>
      <c r="FT290" s="549">
        <v>0</v>
      </c>
      <c r="FU290" s="675">
        <v>0</v>
      </c>
      <c r="FV290" s="549">
        <v>0</v>
      </c>
      <c r="FW290" s="675">
        <v>0</v>
      </c>
      <c r="FX290" s="549">
        <v>0</v>
      </c>
      <c r="FY290" s="675">
        <v>0</v>
      </c>
      <c r="FZ290" s="549">
        <v>0</v>
      </c>
      <c r="GA290" s="675">
        <v>0</v>
      </c>
      <c r="GB290" s="549">
        <v>0</v>
      </c>
      <c r="GC290" s="675">
        <v>0</v>
      </c>
      <c r="GD290" s="549">
        <v>0</v>
      </c>
      <c r="GE290" s="675">
        <v>0</v>
      </c>
      <c r="GF290" s="549">
        <v>0</v>
      </c>
      <c r="GG290" s="675">
        <v>0</v>
      </c>
      <c r="GH290" s="549">
        <v>0</v>
      </c>
      <c r="GI290" s="675">
        <v>0</v>
      </c>
      <c r="GJ290" s="549">
        <v>0</v>
      </c>
      <c r="GK290" s="675">
        <v>0</v>
      </c>
      <c r="GL290" s="549">
        <v>0</v>
      </c>
      <c r="GM290" s="675">
        <v>0</v>
      </c>
      <c r="GN290" s="549">
        <v>0</v>
      </c>
      <c r="GO290" s="675">
        <v>0</v>
      </c>
      <c r="GP290" s="549">
        <f>+D290+F290+H290+J290+L290+N290+P290+R290+T290+V290+X290+Z290+AB290+AD290+AH290+AJ290+AL290+AN290+AP290+AR290+AT290+AV290+AX290+AZ290+BB290+BD290+BF290+BH290+BJ290+BL290+BN290+BP290+BR290+BT290+BV290+BX290+BZ290+CB290+CD290+CF290+CH290+CJ290+CL290+CN290+CP290+CR290+CT290+CV290+CX290+CZ290+DB290+DD290+DF290+DH290+DT290+EX290+DJ290+DL290+DN290+DP290+DR290+EJ290+EB290+DZ290+DX290+DV290+ED290+EF290+EH290+EL290+EN290+EP290+EV290+ET290+ER290+EZ290+FB290+FD290+GL290</f>
        <v>16000</v>
      </c>
      <c r="GQ290" s="675">
        <f>+E290+G290+I290+K290+M290+O290+Q290+S290+U290+W290+Y290+AA290+AC290+AE290+AI290+AK290+AM290+AO290+AQ290+AS290+AU290+AW290+AY290+BA290+BC290+BE290+BG290+BI290+BK290+BM290+BO290+BQ290+BS290+BU290+BW290+BY290+CA290+CC290+CE290+CG290+CI290+CK290+CM290+CO290+CQ290+CS290+CU290+CW290+CY290+DA290+DC290+DE290+DG290+DI290+DU290+EY290+DK290+DM290+DO290+DQ290+DS290+EK290+EC290+EA290+DY290+DW290+EI290+EG290+EE290+EM290+EO290+EQ290+EW290+EU290+ES290+FA290+FC290+FE290+GM290</f>
        <v>0</v>
      </c>
      <c r="GR290" s="74">
        <f>C290+GP290+GQ290</f>
        <v>16000</v>
      </c>
      <c r="GS290" s="74">
        <f t="shared" si="9189"/>
        <v>16000</v>
      </c>
      <c r="GT290" s="568">
        <f>SUM(GU290:HF290)+GQ290+GP290</f>
        <v>16000</v>
      </c>
      <c r="GU290" s="73"/>
      <c r="GV290" s="73"/>
      <c r="GW290" s="549"/>
      <c r="GX290" s="549"/>
      <c r="GY290" s="73"/>
      <c r="GZ290" s="73"/>
      <c r="HA290" s="73"/>
      <c r="HB290" s="73"/>
      <c r="HC290" s="73"/>
      <c r="HD290" s="73"/>
      <c r="HE290" s="73"/>
      <c r="HF290" s="73"/>
      <c r="HG290" s="74">
        <f>SUM(HH290:IE290)+GP290+GQ290</f>
        <v>16000</v>
      </c>
      <c r="HH290" s="89">
        <v>0</v>
      </c>
      <c r="HI290" s="817">
        <v>0</v>
      </c>
      <c r="HJ290" s="89">
        <v>0</v>
      </c>
      <c r="HK290" s="817">
        <v>0</v>
      </c>
      <c r="HL290" s="89">
        <v>0</v>
      </c>
      <c r="HM290" s="817">
        <v>0</v>
      </c>
      <c r="HN290" s="89">
        <v>0</v>
      </c>
      <c r="HO290" s="817">
        <v>0</v>
      </c>
      <c r="HP290" s="89">
        <v>0</v>
      </c>
      <c r="HQ290" s="817">
        <v>0</v>
      </c>
      <c r="HR290" s="89">
        <v>0</v>
      </c>
      <c r="HS290" s="817">
        <v>0</v>
      </c>
      <c r="HT290" s="89">
        <v>0</v>
      </c>
      <c r="HU290" s="817">
        <v>0</v>
      </c>
      <c r="HV290" s="89">
        <v>0</v>
      </c>
      <c r="HW290" s="817">
        <v>0</v>
      </c>
      <c r="HX290" s="89">
        <v>0</v>
      </c>
      <c r="HY290" s="817">
        <v>0</v>
      </c>
      <c r="HZ290" s="89">
        <v>0</v>
      </c>
      <c r="IA290" s="817">
        <v>0</v>
      </c>
      <c r="IB290" s="89">
        <v>0</v>
      </c>
      <c r="IC290" s="817">
        <v>0</v>
      </c>
      <c r="ID290" s="89">
        <v>0</v>
      </c>
      <c r="IE290" s="817">
        <v>0</v>
      </c>
      <c r="IF290" s="841">
        <f t="shared" si="9190"/>
        <v>13500</v>
      </c>
      <c r="IG290" s="263">
        <f t="shared" si="9191"/>
        <v>13500</v>
      </c>
      <c r="IH290" s="842">
        <f t="shared" si="9192"/>
        <v>13500</v>
      </c>
      <c r="II290" s="89">
        <v>0</v>
      </c>
      <c r="IJ290" s="89">
        <v>0</v>
      </c>
      <c r="IK290" s="89">
        <v>0</v>
      </c>
      <c r="IL290" s="89">
        <v>0</v>
      </c>
      <c r="IM290" s="89">
        <v>0</v>
      </c>
      <c r="IN290" s="89">
        <v>0</v>
      </c>
      <c r="IO290" s="89">
        <v>0</v>
      </c>
      <c r="IP290" s="89">
        <v>0</v>
      </c>
      <c r="IQ290" s="89">
        <v>0</v>
      </c>
      <c r="IR290" s="89">
        <v>0</v>
      </c>
      <c r="IS290" s="89">
        <v>0</v>
      </c>
      <c r="IT290" s="89">
        <v>0</v>
      </c>
      <c r="IU290" s="89">
        <v>0</v>
      </c>
      <c r="IV290" s="89">
        <v>0</v>
      </c>
      <c r="IW290" s="89">
        <v>0</v>
      </c>
      <c r="IX290" s="89">
        <v>0</v>
      </c>
      <c r="IY290" s="89">
        <v>0</v>
      </c>
      <c r="IZ290" s="89">
        <v>0</v>
      </c>
      <c r="JA290" s="89">
        <v>0</v>
      </c>
      <c r="JB290" s="89">
        <v>0</v>
      </c>
      <c r="JC290" s="89">
        <v>0</v>
      </c>
      <c r="JD290" s="89">
        <v>0</v>
      </c>
      <c r="JE290" s="89">
        <v>0</v>
      </c>
      <c r="JF290" s="89">
        <v>0</v>
      </c>
      <c r="JG290" s="89">
        <v>0</v>
      </c>
      <c r="JH290" s="89">
        <v>0</v>
      </c>
      <c r="JI290" s="89">
        <v>0</v>
      </c>
      <c r="JJ290" s="89">
        <v>13500</v>
      </c>
      <c r="JK290" s="89">
        <f>JJ290</f>
        <v>13500</v>
      </c>
      <c r="JL290" s="89">
        <f>JK290</f>
        <v>13500</v>
      </c>
      <c r="JM290" s="89">
        <v>0</v>
      </c>
      <c r="JN290" s="89">
        <v>0</v>
      </c>
      <c r="JO290" s="89">
        <v>0</v>
      </c>
      <c r="JP290" s="89">
        <v>0</v>
      </c>
      <c r="JQ290" s="89">
        <v>0</v>
      </c>
      <c r="JR290" s="89">
        <v>0</v>
      </c>
      <c r="JS290" s="74">
        <f>HG290-IF290</f>
        <v>2500</v>
      </c>
      <c r="JT290" s="382">
        <f>GS290-IF290</f>
        <v>2500</v>
      </c>
      <c r="JU290" s="665"/>
      <c r="JV290" s="524"/>
      <c r="JW290" s="525"/>
      <c r="JX290" s="548">
        <f t="shared" si="9193"/>
        <v>0</v>
      </c>
      <c r="JY290" s="548">
        <f t="shared" si="9193"/>
        <v>0</v>
      </c>
      <c r="JZ290" s="581">
        <f t="shared" si="9103"/>
        <v>16000</v>
      </c>
      <c r="KA290" s="581">
        <f t="shared" si="9104"/>
        <v>0</v>
      </c>
      <c r="KB290" s="548">
        <f>JX290+JY290+JZ290+KA290</f>
        <v>16000</v>
      </c>
      <c r="KC290" s="709">
        <f t="shared" si="9101"/>
        <v>0</v>
      </c>
      <c r="KD290" s="35"/>
      <c r="KE290" s="35"/>
      <c r="KF290" s="35"/>
      <c r="KG290" s="35"/>
      <c r="KH290" s="35"/>
      <c r="KI290" s="35"/>
      <c r="KJ290" s="35"/>
      <c r="KK290" s="35"/>
    </row>
    <row r="291" spans="1:297" s="10" customFormat="1" ht="12.75" hidden="1" customHeight="1">
      <c r="A291" s="86" t="s">
        <v>1078</v>
      </c>
      <c r="B291" s="77"/>
      <c r="C291" s="74">
        <v>0</v>
      </c>
      <c r="D291" s="549">
        <v>0</v>
      </c>
      <c r="E291" s="675">
        <v>0</v>
      </c>
      <c r="F291" s="549">
        <v>0</v>
      </c>
      <c r="G291" s="675">
        <v>0</v>
      </c>
      <c r="H291" s="549">
        <v>0</v>
      </c>
      <c r="I291" s="675">
        <v>0</v>
      </c>
      <c r="J291" s="549">
        <v>0</v>
      </c>
      <c r="K291" s="675">
        <v>0</v>
      </c>
      <c r="L291" s="549">
        <v>0</v>
      </c>
      <c r="M291" s="675">
        <v>0</v>
      </c>
      <c r="N291" s="549">
        <v>0</v>
      </c>
      <c r="O291" s="675">
        <v>0</v>
      </c>
      <c r="P291" s="549">
        <v>0</v>
      </c>
      <c r="Q291" s="675">
        <v>0</v>
      </c>
      <c r="R291" s="549">
        <v>0</v>
      </c>
      <c r="S291" s="675">
        <v>0</v>
      </c>
      <c r="T291" s="549">
        <v>0</v>
      </c>
      <c r="U291" s="675">
        <v>0</v>
      </c>
      <c r="V291" s="549">
        <v>0</v>
      </c>
      <c r="W291" s="675">
        <v>0</v>
      </c>
      <c r="X291" s="549">
        <v>0</v>
      </c>
      <c r="Y291" s="675">
        <v>0</v>
      </c>
      <c r="Z291" s="549">
        <v>0</v>
      </c>
      <c r="AA291" s="675">
        <v>0</v>
      </c>
      <c r="AB291" s="549">
        <v>0</v>
      </c>
      <c r="AC291" s="675">
        <v>0</v>
      </c>
      <c r="AD291" s="549">
        <v>0</v>
      </c>
      <c r="AE291" s="675">
        <v>0</v>
      </c>
      <c r="AF291" s="549">
        <v>0</v>
      </c>
      <c r="AG291" s="675">
        <v>0</v>
      </c>
      <c r="AH291" s="549">
        <v>0</v>
      </c>
      <c r="AI291" s="675">
        <v>0</v>
      </c>
      <c r="AJ291" s="549">
        <v>0</v>
      </c>
      <c r="AK291" s="675">
        <v>0</v>
      </c>
      <c r="AL291" s="549">
        <v>0</v>
      </c>
      <c r="AM291" s="675">
        <v>0</v>
      </c>
      <c r="AN291" s="549">
        <v>0</v>
      </c>
      <c r="AO291" s="675">
        <v>0</v>
      </c>
      <c r="AP291" s="549">
        <v>0</v>
      </c>
      <c r="AQ291" s="675">
        <v>0</v>
      </c>
      <c r="AR291" s="549">
        <v>0</v>
      </c>
      <c r="AS291" s="675">
        <v>0</v>
      </c>
      <c r="AT291" s="549">
        <v>0</v>
      </c>
      <c r="AU291" s="675">
        <v>0</v>
      </c>
      <c r="AV291" s="549">
        <v>0</v>
      </c>
      <c r="AW291" s="675">
        <v>0</v>
      </c>
      <c r="AX291" s="549">
        <v>0</v>
      </c>
      <c r="AY291" s="675">
        <v>0</v>
      </c>
      <c r="AZ291" s="549">
        <v>0</v>
      </c>
      <c r="BA291" s="675">
        <v>0</v>
      </c>
      <c r="BB291" s="549">
        <v>0</v>
      </c>
      <c r="BC291" s="675">
        <v>0</v>
      </c>
      <c r="BD291" s="549">
        <v>0</v>
      </c>
      <c r="BE291" s="675">
        <v>0</v>
      </c>
      <c r="BF291" s="549">
        <v>0</v>
      </c>
      <c r="BG291" s="675">
        <v>0</v>
      </c>
      <c r="BH291" s="549">
        <v>0</v>
      </c>
      <c r="BI291" s="675">
        <v>0</v>
      </c>
      <c r="BJ291" s="549">
        <v>0</v>
      </c>
      <c r="BK291" s="675">
        <v>0</v>
      </c>
      <c r="BL291" s="549">
        <v>0</v>
      </c>
      <c r="BM291" s="675">
        <v>0</v>
      </c>
      <c r="BN291" s="549">
        <v>0</v>
      </c>
      <c r="BO291" s="675">
        <v>0</v>
      </c>
      <c r="BP291" s="549">
        <v>0</v>
      </c>
      <c r="BQ291" s="675">
        <v>0</v>
      </c>
      <c r="BR291" s="549">
        <v>0</v>
      </c>
      <c r="BS291" s="675">
        <v>0</v>
      </c>
      <c r="BT291" s="549">
        <v>0</v>
      </c>
      <c r="BU291" s="675">
        <v>0</v>
      </c>
      <c r="BV291" s="549">
        <v>0</v>
      </c>
      <c r="BW291" s="675">
        <v>0</v>
      </c>
      <c r="BX291" s="549">
        <v>0</v>
      </c>
      <c r="BY291" s="675">
        <v>0</v>
      </c>
      <c r="BZ291" s="549">
        <v>0</v>
      </c>
      <c r="CA291" s="675">
        <v>0</v>
      </c>
      <c r="CB291" s="549">
        <v>0</v>
      </c>
      <c r="CC291" s="675">
        <v>0</v>
      </c>
      <c r="CD291" s="549">
        <v>0</v>
      </c>
      <c r="CE291" s="675">
        <v>0</v>
      </c>
      <c r="CF291" s="549">
        <v>0</v>
      </c>
      <c r="CG291" s="675">
        <v>0</v>
      </c>
      <c r="CH291" s="549">
        <v>0</v>
      </c>
      <c r="CI291" s="675">
        <v>0</v>
      </c>
      <c r="CJ291" s="549">
        <v>0</v>
      </c>
      <c r="CK291" s="675">
        <v>0</v>
      </c>
      <c r="CL291" s="549">
        <v>0</v>
      </c>
      <c r="CM291" s="675">
        <v>0</v>
      </c>
      <c r="CN291" s="549">
        <v>0</v>
      </c>
      <c r="CO291" s="675">
        <v>0</v>
      </c>
      <c r="CP291" s="549">
        <v>0</v>
      </c>
      <c r="CQ291" s="675">
        <v>0</v>
      </c>
      <c r="CR291" s="549">
        <v>0</v>
      </c>
      <c r="CS291" s="675">
        <v>0</v>
      </c>
      <c r="CT291" s="549">
        <v>0</v>
      </c>
      <c r="CU291" s="675">
        <v>0</v>
      </c>
      <c r="CV291" s="549">
        <v>0</v>
      </c>
      <c r="CW291" s="675">
        <v>0</v>
      </c>
      <c r="CX291" s="549">
        <v>0</v>
      </c>
      <c r="CY291" s="675">
        <v>0</v>
      </c>
      <c r="CZ291" s="549">
        <v>0</v>
      </c>
      <c r="DA291" s="675">
        <v>0</v>
      </c>
      <c r="DB291" s="549">
        <v>0</v>
      </c>
      <c r="DC291" s="675">
        <v>0</v>
      </c>
      <c r="DD291" s="549">
        <v>0</v>
      </c>
      <c r="DE291" s="675">
        <v>0</v>
      </c>
      <c r="DF291" s="549">
        <v>0</v>
      </c>
      <c r="DG291" s="675">
        <v>0</v>
      </c>
      <c r="DH291" s="549">
        <v>0</v>
      </c>
      <c r="DI291" s="675">
        <v>0</v>
      </c>
      <c r="DJ291" s="549">
        <v>0</v>
      </c>
      <c r="DK291" s="675">
        <v>0</v>
      </c>
      <c r="DL291" s="549">
        <v>0</v>
      </c>
      <c r="DM291" s="675">
        <v>0</v>
      </c>
      <c r="DN291" s="549">
        <v>0</v>
      </c>
      <c r="DO291" s="675">
        <v>0</v>
      </c>
      <c r="DP291" s="549">
        <v>0</v>
      </c>
      <c r="DQ291" s="675">
        <v>0</v>
      </c>
      <c r="DR291" s="549">
        <v>0</v>
      </c>
      <c r="DS291" s="675">
        <v>0</v>
      </c>
      <c r="DT291" s="549">
        <v>0</v>
      </c>
      <c r="DU291" s="675">
        <v>0</v>
      </c>
      <c r="DV291" s="549">
        <v>0</v>
      </c>
      <c r="DW291" s="675">
        <v>0</v>
      </c>
      <c r="DX291" s="549">
        <v>0</v>
      </c>
      <c r="DY291" s="675">
        <v>0</v>
      </c>
      <c r="DZ291" s="549">
        <v>0</v>
      </c>
      <c r="EA291" s="675">
        <v>0</v>
      </c>
      <c r="EB291" s="549">
        <v>0</v>
      </c>
      <c r="EC291" s="675">
        <v>0</v>
      </c>
      <c r="ED291" s="549">
        <v>0</v>
      </c>
      <c r="EE291" s="675">
        <v>0</v>
      </c>
      <c r="EF291" s="549">
        <v>0</v>
      </c>
      <c r="EG291" s="675">
        <v>0</v>
      </c>
      <c r="EH291" s="549">
        <v>0</v>
      </c>
      <c r="EI291" s="675">
        <v>0</v>
      </c>
      <c r="EJ291" s="549">
        <v>0</v>
      </c>
      <c r="EK291" s="675">
        <v>0</v>
      </c>
      <c r="EL291" s="549">
        <v>0</v>
      </c>
      <c r="EM291" s="675">
        <v>0</v>
      </c>
      <c r="EN291" s="549">
        <v>0</v>
      </c>
      <c r="EO291" s="675">
        <v>0</v>
      </c>
      <c r="EP291" s="549">
        <v>0</v>
      </c>
      <c r="EQ291" s="675">
        <v>0</v>
      </c>
      <c r="ER291" s="549">
        <v>0</v>
      </c>
      <c r="ES291" s="675">
        <v>0</v>
      </c>
      <c r="ET291" s="549">
        <v>0</v>
      </c>
      <c r="EU291" s="675">
        <v>0</v>
      </c>
      <c r="EV291" s="549">
        <v>0</v>
      </c>
      <c r="EW291" s="675">
        <v>0</v>
      </c>
      <c r="EX291" s="549">
        <v>0</v>
      </c>
      <c r="EY291" s="675">
        <v>0</v>
      </c>
      <c r="EZ291" s="549">
        <v>0</v>
      </c>
      <c r="FA291" s="675">
        <v>0</v>
      </c>
      <c r="FB291" s="549">
        <v>0</v>
      </c>
      <c r="FC291" s="675">
        <v>0</v>
      </c>
      <c r="FD291" s="549">
        <v>0</v>
      </c>
      <c r="FE291" s="675">
        <v>0</v>
      </c>
      <c r="FF291" s="549">
        <v>0</v>
      </c>
      <c r="FG291" s="675">
        <v>0</v>
      </c>
      <c r="FH291" s="549">
        <v>0</v>
      </c>
      <c r="FI291" s="675">
        <v>0</v>
      </c>
      <c r="FJ291" s="549">
        <v>0</v>
      </c>
      <c r="FK291" s="675">
        <v>0</v>
      </c>
      <c r="FL291" s="549">
        <v>0</v>
      </c>
      <c r="FM291" s="675">
        <v>0</v>
      </c>
      <c r="FN291" s="549">
        <v>0</v>
      </c>
      <c r="FO291" s="675">
        <v>0</v>
      </c>
      <c r="FP291" s="549">
        <v>0</v>
      </c>
      <c r="FQ291" s="675">
        <v>0</v>
      </c>
      <c r="FR291" s="549">
        <v>0</v>
      </c>
      <c r="FS291" s="675">
        <v>0</v>
      </c>
      <c r="FT291" s="549">
        <v>0</v>
      </c>
      <c r="FU291" s="675">
        <v>0</v>
      </c>
      <c r="FV291" s="549">
        <v>0</v>
      </c>
      <c r="FW291" s="675">
        <v>0</v>
      </c>
      <c r="FX291" s="549">
        <v>0</v>
      </c>
      <c r="FY291" s="675">
        <v>0</v>
      </c>
      <c r="FZ291" s="549">
        <v>0</v>
      </c>
      <c r="GA291" s="675">
        <v>0</v>
      </c>
      <c r="GB291" s="549">
        <v>0</v>
      </c>
      <c r="GC291" s="675">
        <v>0</v>
      </c>
      <c r="GD291" s="549">
        <v>0</v>
      </c>
      <c r="GE291" s="675">
        <v>0</v>
      </c>
      <c r="GF291" s="549">
        <v>0</v>
      </c>
      <c r="GG291" s="675">
        <v>0</v>
      </c>
      <c r="GH291" s="549">
        <v>0</v>
      </c>
      <c r="GI291" s="675">
        <v>0</v>
      </c>
      <c r="GJ291" s="549">
        <v>0</v>
      </c>
      <c r="GK291" s="675">
        <v>0</v>
      </c>
      <c r="GL291" s="549">
        <v>0</v>
      </c>
      <c r="GM291" s="675">
        <v>0</v>
      </c>
      <c r="GN291" s="549">
        <v>0</v>
      </c>
      <c r="GO291" s="675">
        <v>0</v>
      </c>
      <c r="GP291" s="549">
        <f>+D291+F291+H291+J291+L291+N291+P291+R291+T291+V291+X291+Z291+AB291+AD291+AH291+AJ291+AL291+AN291+AP291+AR291+AT291+AV291+AX291+AZ291+BB291+BD291+BF291+BH291+BJ291+BL291+BN291+BP291+BR291+BT291+BV291+BX291+BZ291+CB291+CD291+CF291+CH291+CJ291+CL291+CN291+CP291+CR291+CT291+CV291+CX291+CZ291+DB291+DD291+DF291+DH291+DT291+EX291+DJ291+DL291+DN291+DP291+DR291+EJ291+EB291+DZ291+DX291+DV291+ED291+EF291+EH291+EL291+EN291+EP291+EV291+ET291+ER291+EZ291+FB291+FD291+GL291</f>
        <v>0</v>
      </c>
      <c r="GQ291" s="675">
        <f>+E291+G291+I291+K291+M291+O291+Q291+S291+U291+W291+Y291+AA291+AC291+AE291+AI291+AK291+AM291+AO291+AQ291+AS291+AU291+AW291+AY291+BA291+BC291+BE291+BG291+BI291+BK291+BM291+BO291+BQ291+BS291+BU291+BW291+BY291+CA291+CC291+CE291+CG291+CI291+CK291+CM291+CO291+CQ291+CS291+CU291+CW291+CY291+DA291+DC291+DE291+DG291+DI291+DU291+EY291+DK291+DM291+DO291+DQ291+DS291+EK291+EC291+EA291+DY291+DW291+EI291+EG291+EE291+EM291+EO291+EQ291+EW291+EU291+ES291+FA291+FC291+FE291+GM291</f>
        <v>0</v>
      </c>
      <c r="GR291" s="74">
        <f>C291+GP291+GQ291</f>
        <v>0</v>
      </c>
      <c r="GS291" s="74">
        <f t="shared" ref="GS291" si="9194">SUM(GU291:HB291)+GP291+GQ291</f>
        <v>0</v>
      </c>
      <c r="GT291" s="568">
        <f>SUM(GU291:HF291)+GQ291+GP291</f>
        <v>0</v>
      </c>
      <c r="GU291" s="73"/>
      <c r="GV291" s="73"/>
      <c r="GW291" s="549"/>
      <c r="GX291" s="549"/>
      <c r="GY291" s="73"/>
      <c r="GZ291" s="73"/>
      <c r="HA291" s="73"/>
      <c r="HB291" s="73"/>
      <c r="HC291" s="73"/>
      <c r="HD291" s="73"/>
      <c r="HE291" s="73"/>
      <c r="HF291" s="73"/>
      <c r="HG291" s="74">
        <f>SUM(HH291:IE291)+GP291+GQ291</f>
        <v>0</v>
      </c>
      <c r="HH291" s="89">
        <v>0</v>
      </c>
      <c r="HI291" s="817">
        <v>0</v>
      </c>
      <c r="HJ291" s="89">
        <v>0</v>
      </c>
      <c r="HK291" s="817">
        <v>0</v>
      </c>
      <c r="HL291" s="89">
        <v>0</v>
      </c>
      <c r="HM291" s="817">
        <v>0</v>
      </c>
      <c r="HN291" s="89">
        <v>0</v>
      </c>
      <c r="HO291" s="817">
        <v>0</v>
      </c>
      <c r="HP291" s="89">
        <v>0</v>
      </c>
      <c r="HQ291" s="817">
        <v>0</v>
      </c>
      <c r="HR291" s="89">
        <v>0</v>
      </c>
      <c r="HS291" s="817">
        <v>0</v>
      </c>
      <c r="HT291" s="89">
        <v>0</v>
      </c>
      <c r="HU291" s="817">
        <v>0</v>
      </c>
      <c r="HV291" s="89">
        <v>0</v>
      </c>
      <c r="HW291" s="817">
        <v>0</v>
      </c>
      <c r="HX291" s="89">
        <v>0</v>
      </c>
      <c r="HY291" s="817">
        <v>0</v>
      </c>
      <c r="HZ291" s="89">
        <v>0</v>
      </c>
      <c r="IA291" s="817">
        <v>0</v>
      </c>
      <c r="IB291" s="89">
        <v>0</v>
      </c>
      <c r="IC291" s="817">
        <v>0</v>
      </c>
      <c r="ID291" s="89">
        <v>0</v>
      </c>
      <c r="IE291" s="817">
        <v>0</v>
      </c>
      <c r="IF291" s="841">
        <f t="shared" si="9190"/>
        <v>0</v>
      </c>
      <c r="IG291" s="263">
        <f t="shared" si="9191"/>
        <v>0</v>
      </c>
      <c r="IH291" s="842">
        <f t="shared" si="9192"/>
        <v>0</v>
      </c>
      <c r="II291" s="89">
        <v>0</v>
      </c>
      <c r="IJ291" s="89">
        <v>0</v>
      </c>
      <c r="IK291" s="89">
        <v>0</v>
      </c>
      <c r="IL291" s="89">
        <v>0</v>
      </c>
      <c r="IM291" s="89">
        <v>0</v>
      </c>
      <c r="IN291" s="89">
        <v>0</v>
      </c>
      <c r="IO291" s="89">
        <v>0</v>
      </c>
      <c r="IP291" s="89">
        <v>0</v>
      </c>
      <c r="IQ291" s="89">
        <v>0</v>
      </c>
      <c r="IR291" s="89">
        <v>0</v>
      </c>
      <c r="IS291" s="89">
        <v>0</v>
      </c>
      <c r="IT291" s="89">
        <v>0</v>
      </c>
      <c r="IU291" s="89">
        <v>0</v>
      </c>
      <c r="IV291" s="89">
        <v>0</v>
      </c>
      <c r="IW291" s="89">
        <v>0</v>
      </c>
      <c r="IX291" s="89">
        <v>0</v>
      </c>
      <c r="IY291" s="89">
        <v>0</v>
      </c>
      <c r="IZ291" s="89">
        <v>0</v>
      </c>
      <c r="JA291" s="89">
        <v>0</v>
      </c>
      <c r="JB291" s="89">
        <v>0</v>
      </c>
      <c r="JC291" s="89">
        <v>0</v>
      </c>
      <c r="JD291" s="89">
        <v>0</v>
      </c>
      <c r="JE291" s="89">
        <v>0</v>
      </c>
      <c r="JF291" s="89">
        <v>0</v>
      </c>
      <c r="JG291" s="89">
        <v>0</v>
      </c>
      <c r="JH291" s="89">
        <v>0</v>
      </c>
      <c r="JI291" s="89">
        <v>0</v>
      </c>
      <c r="JJ291" s="89">
        <v>0</v>
      </c>
      <c r="JK291" s="89">
        <v>0</v>
      </c>
      <c r="JL291" s="89">
        <v>0</v>
      </c>
      <c r="JM291" s="89">
        <v>0</v>
      </c>
      <c r="JN291" s="89">
        <v>0</v>
      </c>
      <c r="JO291" s="89">
        <v>0</v>
      </c>
      <c r="JP291" s="89">
        <v>0</v>
      </c>
      <c r="JQ291" s="89">
        <v>0</v>
      </c>
      <c r="JR291" s="89">
        <v>0</v>
      </c>
      <c r="JS291" s="74">
        <f>HG291-IF291</f>
        <v>0</v>
      </c>
      <c r="JT291" s="382">
        <f>GS291-IF291</f>
        <v>0</v>
      </c>
      <c r="JU291" s="665"/>
      <c r="JV291" s="524"/>
      <c r="JW291" s="525"/>
      <c r="JX291" s="548">
        <f t="shared" si="9193"/>
        <v>0</v>
      </c>
      <c r="JY291" s="548">
        <f t="shared" si="9193"/>
        <v>0</v>
      </c>
      <c r="JZ291" s="581">
        <f t="shared" si="9103"/>
        <v>0</v>
      </c>
      <c r="KA291" s="581">
        <f t="shared" si="9104"/>
        <v>0</v>
      </c>
      <c r="KB291" s="548">
        <f>JX291+JY291+JZ291+KA291</f>
        <v>0</v>
      </c>
      <c r="KC291" s="709">
        <f t="shared" si="9101"/>
        <v>0</v>
      </c>
      <c r="KD291" s="35"/>
      <c r="KE291" s="35"/>
      <c r="KF291" s="35"/>
      <c r="KG291" s="35"/>
      <c r="KH291" s="35"/>
      <c r="KI291" s="35"/>
      <c r="KJ291" s="35"/>
      <c r="KK291" s="35"/>
    </row>
    <row r="292" spans="1:297" s="10" customFormat="1" ht="12.75" customHeight="1">
      <c r="A292" s="86"/>
      <c r="B292" s="77"/>
      <c r="C292" s="74"/>
      <c r="D292" s="549"/>
      <c r="E292" s="675"/>
      <c r="F292" s="549"/>
      <c r="G292" s="675"/>
      <c r="H292" s="549"/>
      <c r="I292" s="675"/>
      <c r="J292" s="549"/>
      <c r="K292" s="675"/>
      <c r="L292" s="549"/>
      <c r="M292" s="675"/>
      <c r="N292" s="549"/>
      <c r="O292" s="675"/>
      <c r="P292" s="549"/>
      <c r="Q292" s="675"/>
      <c r="R292" s="549"/>
      <c r="S292" s="675"/>
      <c r="T292" s="549"/>
      <c r="U292" s="675"/>
      <c r="V292" s="549"/>
      <c r="W292" s="675"/>
      <c r="X292" s="549"/>
      <c r="Y292" s="675"/>
      <c r="Z292" s="549"/>
      <c r="AA292" s="675"/>
      <c r="AB292" s="549"/>
      <c r="AC292" s="675"/>
      <c r="AD292" s="549"/>
      <c r="AE292" s="675"/>
      <c r="AF292" s="549"/>
      <c r="AG292" s="675"/>
      <c r="AH292" s="549"/>
      <c r="AI292" s="675"/>
      <c r="AJ292" s="549"/>
      <c r="AK292" s="675"/>
      <c r="AL292" s="549"/>
      <c r="AM292" s="675"/>
      <c r="AN292" s="549"/>
      <c r="AO292" s="675"/>
      <c r="AP292" s="549"/>
      <c r="AQ292" s="675"/>
      <c r="AR292" s="549"/>
      <c r="AS292" s="675"/>
      <c r="AT292" s="549"/>
      <c r="AU292" s="675"/>
      <c r="AV292" s="549"/>
      <c r="AW292" s="675"/>
      <c r="AX292" s="549"/>
      <c r="AY292" s="675"/>
      <c r="AZ292" s="549"/>
      <c r="BA292" s="675"/>
      <c r="BB292" s="549"/>
      <c r="BC292" s="675"/>
      <c r="BD292" s="549"/>
      <c r="BE292" s="675"/>
      <c r="BF292" s="549"/>
      <c r="BG292" s="675"/>
      <c r="BH292" s="549"/>
      <c r="BI292" s="675"/>
      <c r="BJ292" s="549"/>
      <c r="BK292" s="675"/>
      <c r="BL292" s="549"/>
      <c r="BM292" s="675"/>
      <c r="BN292" s="549"/>
      <c r="BO292" s="675"/>
      <c r="BP292" s="549"/>
      <c r="BQ292" s="675"/>
      <c r="BR292" s="549"/>
      <c r="BS292" s="675"/>
      <c r="BT292" s="549"/>
      <c r="BU292" s="675"/>
      <c r="BV292" s="549"/>
      <c r="BW292" s="675"/>
      <c r="BX292" s="549"/>
      <c r="BY292" s="675"/>
      <c r="BZ292" s="549"/>
      <c r="CA292" s="675"/>
      <c r="CB292" s="549"/>
      <c r="CC292" s="675"/>
      <c r="CD292" s="549"/>
      <c r="CE292" s="675"/>
      <c r="CF292" s="549"/>
      <c r="CG292" s="675"/>
      <c r="CH292" s="549"/>
      <c r="CI292" s="675"/>
      <c r="CJ292" s="549"/>
      <c r="CK292" s="675"/>
      <c r="CL292" s="549"/>
      <c r="CM292" s="675"/>
      <c r="CN292" s="549"/>
      <c r="CO292" s="675"/>
      <c r="CP292" s="549"/>
      <c r="CQ292" s="675"/>
      <c r="CR292" s="549"/>
      <c r="CS292" s="675"/>
      <c r="CT292" s="549"/>
      <c r="CU292" s="675"/>
      <c r="CV292" s="549"/>
      <c r="CW292" s="675"/>
      <c r="CX292" s="549"/>
      <c r="CY292" s="675"/>
      <c r="CZ292" s="549"/>
      <c r="DA292" s="675"/>
      <c r="DB292" s="549"/>
      <c r="DC292" s="675"/>
      <c r="DD292" s="549"/>
      <c r="DE292" s="675"/>
      <c r="DF292" s="549"/>
      <c r="DG292" s="675"/>
      <c r="DH292" s="549"/>
      <c r="DI292" s="675"/>
      <c r="DJ292" s="549"/>
      <c r="DK292" s="675"/>
      <c r="DL292" s="549"/>
      <c r="DM292" s="675"/>
      <c r="DN292" s="549"/>
      <c r="DO292" s="675"/>
      <c r="DP292" s="549"/>
      <c r="DQ292" s="675"/>
      <c r="DR292" s="549"/>
      <c r="DS292" s="675"/>
      <c r="DT292" s="549"/>
      <c r="DU292" s="675"/>
      <c r="DV292" s="549"/>
      <c r="DW292" s="675"/>
      <c r="DX292" s="549"/>
      <c r="DY292" s="675"/>
      <c r="DZ292" s="549"/>
      <c r="EA292" s="675"/>
      <c r="EB292" s="549"/>
      <c r="EC292" s="675"/>
      <c r="ED292" s="549"/>
      <c r="EE292" s="675"/>
      <c r="EF292" s="549"/>
      <c r="EG292" s="675"/>
      <c r="EH292" s="549"/>
      <c r="EI292" s="675"/>
      <c r="EJ292" s="549"/>
      <c r="EK292" s="675"/>
      <c r="EL292" s="549"/>
      <c r="EM292" s="675"/>
      <c r="EN292" s="549"/>
      <c r="EO292" s="675"/>
      <c r="EP292" s="549"/>
      <c r="EQ292" s="675"/>
      <c r="ER292" s="549"/>
      <c r="ES292" s="675"/>
      <c r="ET292" s="549"/>
      <c r="EU292" s="675"/>
      <c r="EV292" s="549"/>
      <c r="EW292" s="675"/>
      <c r="EX292" s="549"/>
      <c r="EY292" s="675"/>
      <c r="EZ292" s="549"/>
      <c r="FA292" s="675"/>
      <c r="FB292" s="549"/>
      <c r="FC292" s="675"/>
      <c r="FD292" s="549"/>
      <c r="FE292" s="675"/>
      <c r="FF292" s="549"/>
      <c r="FG292" s="675"/>
      <c r="FH292" s="549"/>
      <c r="FI292" s="675"/>
      <c r="FJ292" s="549"/>
      <c r="FK292" s="675"/>
      <c r="FL292" s="549"/>
      <c r="FM292" s="675"/>
      <c r="FN292" s="549"/>
      <c r="FO292" s="675"/>
      <c r="FP292" s="549"/>
      <c r="FQ292" s="675"/>
      <c r="FR292" s="549"/>
      <c r="FS292" s="675"/>
      <c r="FT292" s="549"/>
      <c r="FU292" s="675"/>
      <c r="FV292" s="549"/>
      <c r="FW292" s="675"/>
      <c r="FX292" s="549"/>
      <c r="FY292" s="675"/>
      <c r="FZ292" s="549"/>
      <c r="GA292" s="675"/>
      <c r="GB292" s="549"/>
      <c r="GC292" s="675"/>
      <c r="GD292" s="549"/>
      <c r="GE292" s="675"/>
      <c r="GF292" s="549"/>
      <c r="GG292" s="675"/>
      <c r="GH292" s="549"/>
      <c r="GI292" s="675"/>
      <c r="GJ292" s="549"/>
      <c r="GK292" s="675"/>
      <c r="GL292" s="549"/>
      <c r="GM292" s="675"/>
      <c r="GN292" s="549"/>
      <c r="GO292" s="675"/>
      <c r="GP292" s="549"/>
      <c r="GQ292" s="675"/>
      <c r="GR292" s="74"/>
      <c r="GS292" s="74"/>
      <c r="GT292" s="549"/>
      <c r="GU292" s="73"/>
      <c r="GV292" s="73"/>
      <c r="GW292" s="549"/>
      <c r="GX292" s="549"/>
      <c r="GY292" s="73"/>
      <c r="GZ292" s="73"/>
      <c r="HA292" s="73"/>
      <c r="HB292" s="73"/>
      <c r="HC292" s="73"/>
      <c r="HD292" s="73"/>
      <c r="HE292" s="73"/>
      <c r="HF292" s="73"/>
      <c r="HG292" s="74"/>
      <c r="HH292" s="73"/>
      <c r="HI292" s="815"/>
      <c r="HJ292" s="73"/>
      <c r="HK292" s="815"/>
      <c r="HL292" s="73"/>
      <c r="HM292" s="815"/>
      <c r="HN292" s="73"/>
      <c r="HO292" s="815"/>
      <c r="HP292" s="73"/>
      <c r="HQ292" s="815"/>
      <c r="HR292" s="73"/>
      <c r="HS292" s="815"/>
      <c r="HT292" s="73"/>
      <c r="HU292" s="815"/>
      <c r="HV292" s="73"/>
      <c r="HW292" s="815"/>
      <c r="HX292" s="73"/>
      <c r="HY292" s="815"/>
      <c r="HZ292" s="73"/>
      <c r="IA292" s="815"/>
      <c r="IB292" s="73"/>
      <c r="IC292" s="815"/>
      <c r="ID292" s="73"/>
      <c r="IE292" s="815"/>
      <c r="IF292" s="841"/>
      <c r="IG292" s="263"/>
      <c r="IH292" s="842"/>
      <c r="II292" s="74"/>
      <c r="IJ292" s="74"/>
      <c r="IK292" s="74"/>
      <c r="IL292" s="74"/>
      <c r="IM292" s="74"/>
      <c r="IN292" s="74"/>
      <c r="IO292" s="74"/>
      <c r="IP292" s="74"/>
      <c r="IQ292" s="74"/>
      <c r="IR292" s="74"/>
      <c r="IS292" s="74"/>
      <c r="IT292" s="74"/>
      <c r="IU292" s="74"/>
      <c r="IV292" s="74"/>
      <c r="IW292" s="74"/>
      <c r="IX292" s="74"/>
      <c r="IY292" s="74"/>
      <c r="IZ292" s="74"/>
      <c r="JA292" s="74"/>
      <c r="JB292" s="74"/>
      <c r="JC292" s="74"/>
      <c r="JD292" s="74"/>
      <c r="JE292" s="74"/>
      <c r="JF292" s="74"/>
      <c r="JG292" s="74"/>
      <c r="JH292" s="74"/>
      <c r="JI292" s="74"/>
      <c r="JJ292" s="74"/>
      <c r="JK292" s="74"/>
      <c r="JL292" s="74"/>
      <c r="JM292" s="74"/>
      <c r="JN292" s="74"/>
      <c r="JO292" s="74"/>
      <c r="JP292" s="74"/>
      <c r="JQ292" s="74"/>
      <c r="JR292" s="74"/>
      <c r="JS292" s="74"/>
      <c r="JT292" s="382"/>
      <c r="JU292" s="665"/>
      <c r="JV292" s="524"/>
      <c r="JW292" s="525"/>
      <c r="JX292" s="548"/>
      <c r="JY292" s="548"/>
      <c r="JZ292" s="581">
        <f t="shared" si="9103"/>
        <v>0</v>
      </c>
      <c r="KA292" s="581">
        <f t="shared" si="9104"/>
        <v>0</v>
      </c>
      <c r="KB292" s="548"/>
      <c r="KC292" s="709">
        <f t="shared" si="9101"/>
        <v>0</v>
      </c>
      <c r="KD292" s="35"/>
      <c r="KE292" s="35"/>
      <c r="KF292" s="35"/>
      <c r="KG292" s="35"/>
      <c r="KH292" s="35"/>
      <c r="KI292" s="35"/>
      <c r="KJ292" s="35"/>
      <c r="KK292" s="35"/>
    </row>
    <row r="293" spans="1:297" s="10" customFormat="1" ht="12.75" customHeight="1">
      <c r="A293" s="80" t="s">
        <v>1079</v>
      </c>
      <c r="B293" s="77"/>
      <c r="C293" s="74">
        <f t="shared" ref="C293" si="9195">SUM(C294:C295)</f>
        <v>0</v>
      </c>
      <c r="D293" s="549">
        <f t="shared" ref="D293:E293" si="9196">SUM(D294:D296)</f>
        <v>0</v>
      </c>
      <c r="E293" s="675">
        <f t="shared" si="9196"/>
        <v>0</v>
      </c>
      <c r="F293" s="549">
        <f t="shared" ref="F293:G293" si="9197">SUM(F294:F296)</f>
        <v>0</v>
      </c>
      <c r="G293" s="675">
        <f t="shared" si="9197"/>
        <v>0</v>
      </c>
      <c r="H293" s="549">
        <f t="shared" ref="H293:I293" si="9198">SUM(H294:H296)</f>
        <v>0</v>
      </c>
      <c r="I293" s="675">
        <f t="shared" si="9198"/>
        <v>0</v>
      </c>
      <c r="J293" s="549">
        <f t="shared" ref="J293:K293" si="9199">SUM(J294:J296)</f>
        <v>0</v>
      </c>
      <c r="K293" s="675">
        <f t="shared" si="9199"/>
        <v>0</v>
      </c>
      <c r="L293" s="549">
        <f t="shared" ref="L293:M293" si="9200">SUM(L294:L296)</f>
        <v>0</v>
      </c>
      <c r="M293" s="675">
        <f t="shared" si="9200"/>
        <v>0</v>
      </c>
      <c r="N293" s="549">
        <f t="shared" ref="N293:O293" si="9201">SUM(N294:N296)</f>
        <v>0</v>
      </c>
      <c r="O293" s="675">
        <f t="shared" si="9201"/>
        <v>0</v>
      </c>
      <c r="P293" s="549">
        <f t="shared" ref="P293:Q293" si="9202">SUM(P294:P296)</f>
        <v>0</v>
      </c>
      <c r="Q293" s="675">
        <f t="shared" si="9202"/>
        <v>0</v>
      </c>
      <c r="R293" s="549">
        <f t="shared" ref="R293:S293" si="9203">SUM(R294:R296)</f>
        <v>0</v>
      </c>
      <c r="S293" s="675">
        <f t="shared" si="9203"/>
        <v>0</v>
      </c>
      <c r="T293" s="549">
        <f t="shared" ref="T293:U293" si="9204">SUM(T294:T296)</f>
        <v>0</v>
      </c>
      <c r="U293" s="675">
        <f t="shared" si="9204"/>
        <v>0</v>
      </c>
      <c r="V293" s="549">
        <f t="shared" ref="V293:W293" si="9205">SUM(V294:V296)</f>
        <v>0</v>
      </c>
      <c r="W293" s="675">
        <f t="shared" si="9205"/>
        <v>0</v>
      </c>
      <c r="X293" s="549">
        <f t="shared" ref="X293:Y293" si="9206">SUM(X294:X296)</f>
        <v>0</v>
      </c>
      <c r="Y293" s="675">
        <f t="shared" si="9206"/>
        <v>0</v>
      </c>
      <c r="Z293" s="549">
        <f t="shared" ref="Z293:AA293" si="9207">SUM(Z294:Z296)</f>
        <v>0</v>
      </c>
      <c r="AA293" s="675">
        <f t="shared" si="9207"/>
        <v>0</v>
      </c>
      <c r="AB293" s="549">
        <f t="shared" ref="AB293:AC293" si="9208">SUM(AB294:AB296)</f>
        <v>0</v>
      </c>
      <c r="AC293" s="675">
        <f t="shared" si="9208"/>
        <v>0</v>
      </c>
      <c r="AD293" s="549">
        <f t="shared" ref="AD293:AE293" si="9209">SUM(AD294:AD296)</f>
        <v>0</v>
      </c>
      <c r="AE293" s="675">
        <f t="shared" si="9209"/>
        <v>0</v>
      </c>
      <c r="AF293" s="549">
        <f t="shared" ref="AF293:AI293" si="9210">SUM(AF294:AF296)</f>
        <v>0</v>
      </c>
      <c r="AG293" s="675">
        <f t="shared" si="9210"/>
        <v>0</v>
      </c>
      <c r="AH293" s="549">
        <f t="shared" si="9210"/>
        <v>0</v>
      </c>
      <c r="AI293" s="675">
        <f t="shared" si="9210"/>
        <v>0</v>
      </c>
      <c r="AJ293" s="549">
        <f t="shared" ref="AJ293:AK293" si="9211">SUM(AJ294:AJ296)</f>
        <v>0</v>
      </c>
      <c r="AK293" s="675">
        <f t="shared" si="9211"/>
        <v>0</v>
      </c>
      <c r="AL293" s="549">
        <f t="shared" ref="AL293:AM293" si="9212">SUM(AL294:AL296)</f>
        <v>0</v>
      </c>
      <c r="AM293" s="675">
        <f t="shared" si="9212"/>
        <v>0</v>
      </c>
      <c r="AN293" s="549">
        <f t="shared" ref="AN293:AO293" si="9213">SUM(AN294:AN296)</f>
        <v>0</v>
      </c>
      <c r="AO293" s="675">
        <f t="shared" si="9213"/>
        <v>0</v>
      </c>
      <c r="AP293" s="549">
        <f t="shared" ref="AP293:AQ293" si="9214">SUM(AP294:AP296)</f>
        <v>0</v>
      </c>
      <c r="AQ293" s="675">
        <f t="shared" si="9214"/>
        <v>0</v>
      </c>
      <c r="AR293" s="549">
        <f t="shared" ref="AR293:AS293" si="9215">SUM(AR294:AR296)</f>
        <v>0</v>
      </c>
      <c r="AS293" s="675">
        <f t="shared" si="9215"/>
        <v>0</v>
      </c>
      <c r="AT293" s="549">
        <f t="shared" ref="AT293:AU293" si="9216">SUM(AT294:AT296)</f>
        <v>0</v>
      </c>
      <c r="AU293" s="675">
        <f t="shared" si="9216"/>
        <v>0</v>
      </c>
      <c r="AV293" s="549">
        <f t="shared" ref="AV293:AW293" si="9217">SUM(AV294:AV296)</f>
        <v>0</v>
      </c>
      <c r="AW293" s="675">
        <f t="shared" si="9217"/>
        <v>0</v>
      </c>
      <c r="AX293" s="549">
        <f t="shared" ref="AX293:AY293" si="9218">SUM(AX294:AX296)</f>
        <v>0</v>
      </c>
      <c r="AY293" s="675">
        <f t="shared" si="9218"/>
        <v>0</v>
      </c>
      <c r="AZ293" s="549">
        <f t="shared" ref="AZ293:BA293" si="9219">SUM(AZ294:AZ296)</f>
        <v>0</v>
      </c>
      <c r="BA293" s="675">
        <f t="shared" si="9219"/>
        <v>0</v>
      </c>
      <c r="BB293" s="549">
        <f t="shared" ref="BB293:BC293" si="9220">SUM(BB294:BB296)</f>
        <v>0</v>
      </c>
      <c r="BC293" s="675">
        <f t="shared" si="9220"/>
        <v>0</v>
      </c>
      <c r="BD293" s="549">
        <f t="shared" ref="BD293:BE293" si="9221">SUM(BD294:BD296)</f>
        <v>0</v>
      </c>
      <c r="BE293" s="675">
        <f t="shared" si="9221"/>
        <v>0</v>
      </c>
      <c r="BF293" s="549">
        <f t="shared" ref="BF293:BG293" si="9222">SUM(BF294:BF296)</f>
        <v>0</v>
      </c>
      <c r="BG293" s="675">
        <f t="shared" si="9222"/>
        <v>0</v>
      </c>
      <c r="BH293" s="549">
        <f t="shared" ref="BH293:BI293" si="9223">SUM(BH294:BH296)</f>
        <v>0</v>
      </c>
      <c r="BI293" s="675">
        <f t="shared" si="9223"/>
        <v>0</v>
      </c>
      <c r="BJ293" s="549">
        <f t="shared" ref="BJ293:BK293" si="9224">SUM(BJ294:BJ296)</f>
        <v>0</v>
      </c>
      <c r="BK293" s="675">
        <f t="shared" si="9224"/>
        <v>0</v>
      </c>
      <c r="BL293" s="549">
        <f t="shared" ref="BL293:BM293" si="9225">SUM(BL294:BL296)</f>
        <v>0</v>
      </c>
      <c r="BM293" s="675">
        <f t="shared" si="9225"/>
        <v>0</v>
      </c>
      <c r="BN293" s="549">
        <f t="shared" ref="BN293:BO293" si="9226">SUM(BN294:BN296)</f>
        <v>0</v>
      </c>
      <c r="BO293" s="675">
        <f t="shared" si="9226"/>
        <v>0</v>
      </c>
      <c r="BP293" s="549">
        <f t="shared" ref="BP293:BQ293" si="9227">SUM(BP294:BP296)</f>
        <v>0</v>
      </c>
      <c r="BQ293" s="675">
        <f t="shared" si="9227"/>
        <v>0</v>
      </c>
      <c r="BR293" s="549">
        <f t="shared" ref="BR293:BS293" si="9228">SUM(BR294:BR296)</f>
        <v>0</v>
      </c>
      <c r="BS293" s="675">
        <f t="shared" si="9228"/>
        <v>0</v>
      </c>
      <c r="BT293" s="549">
        <f t="shared" ref="BT293:BU293" si="9229">SUM(BT294:BT296)</f>
        <v>0</v>
      </c>
      <c r="BU293" s="675">
        <f t="shared" si="9229"/>
        <v>0</v>
      </c>
      <c r="BV293" s="549">
        <f t="shared" ref="BV293:BW293" si="9230">SUM(BV294:BV296)</f>
        <v>0</v>
      </c>
      <c r="BW293" s="675">
        <f t="shared" si="9230"/>
        <v>0</v>
      </c>
      <c r="BX293" s="549">
        <f t="shared" ref="BX293:BY293" si="9231">SUM(BX294:BX296)</f>
        <v>0</v>
      </c>
      <c r="BY293" s="675">
        <f t="shared" si="9231"/>
        <v>0</v>
      </c>
      <c r="BZ293" s="549">
        <f t="shared" ref="BZ293:CA293" si="9232">SUM(BZ294:BZ296)</f>
        <v>0</v>
      </c>
      <c r="CA293" s="675">
        <f t="shared" si="9232"/>
        <v>0</v>
      </c>
      <c r="CB293" s="549">
        <f t="shared" ref="CB293:CG293" si="9233">SUM(CB294:CB296)</f>
        <v>0</v>
      </c>
      <c r="CC293" s="675">
        <f t="shared" si="9233"/>
        <v>0</v>
      </c>
      <c r="CD293" s="549">
        <f t="shared" si="9233"/>
        <v>0</v>
      </c>
      <c r="CE293" s="675">
        <f t="shared" si="9233"/>
        <v>0</v>
      </c>
      <c r="CF293" s="549">
        <f t="shared" si="9233"/>
        <v>0</v>
      </c>
      <c r="CG293" s="675">
        <f t="shared" si="9233"/>
        <v>0</v>
      </c>
      <c r="CH293" s="549">
        <f t="shared" ref="CH293:CQ293" si="9234">SUM(CH294:CH296)</f>
        <v>0</v>
      </c>
      <c r="CI293" s="675">
        <f t="shared" si="9234"/>
        <v>0</v>
      </c>
      <c r="CJ293" s="549">
        <f t="shared" si="9234"/>
        <v>0</v>
      </c>
      <c r="CK293" s="675">
        <f t="shared" si="9234"/>
        <v>0</v>
      </c>
      <c r="CL293" s="549">
        <f t="shared" si="9234"/>
        <v>0</v>
      </c>
      <c r="CM293" s="675">
        <f t="shared" si="9234"/>
        <v>0</v>
      </c>
      <c r="CN293" s="549">
        <f t="shared" si="9234"/>
        <v>0</v>
      </c>
      <c r="CO293" s="675">
        <f t="shared" si="9234"/>
        <v>0</v>
      </c>
      <c r="CP293" s="549">
        <f t="shared" si="9234"/>
        <v>0</v>
      </c>
      <c r="CQ293" s="675">
        <f t="shared" si="9234"/>
        <v>0</v>
      </c>
      <c r="CR293" s="549">
        <f t="shared" ref="CR293:CY293" si="9235">SUM(CR294:CR296)</f>
        <v>0</v>
      </c>
      <c r="CS293" s="675">
        <f t="shared" si="9235"/>
        <v>0</v>
      </c>
      <c r="CT293" s="549">
        <f t="shared" si="9235"/>
        <v>0</v>
      </c>
      <c r="CU293" s="675">
        <f t="shared" si="9235"/>
        <v>0</v>
      </c>
      <c r="CV293" s="549">
        <f t="shared" si="9235"/>
        <v>0</v>
      </c>
      <c r="CW293" s="675">
        <f t="shared" si="9235"/>
        <v>0</v>
      </c>
      <c r="CX293" s="549">
        <f t="shared" si="9235"/>
        <v>0</v>
      </c>
      <c r="CY293" s="675">
        <f t="shared" si="9235"/>
        <v>0</v>
      </c>
      <c r="CZ293" s="549">
        <f t="shared" ref="CZ293:GT293" si="9236">SUM(CZ294:CZ296)</f>
        <v>0</v>
      </c>
      <c r="DA293" s="675">
        <f t="shared" si="9236"/>
        <v>0</v>
      </c>
      <c r="DB293" s="549">
        <f t="shared" si="9236"/>
        <v>0</v>
      </c>
      <c r="DC293" s="675">
        <f t="shared" si="9236"/>
        <v>0</v>
      </c>
      <c r="DD293" s="549">
        <f t="shared" si="9236"/>
        <v>0</v>
      </c>
      <c r="DE293" s="675">
        <f t="shared" si="9236"/>
        <v>0</v>
      </c>
      <c r="DF293" s="549">
        <f t="shared" si="9236"/>
        <v>0</v>
      </c>
      <c r="DG293" s="675">
        <f t="shared" si="9236"/>
        <v>0</v>
      </c>
      <c r="DH293" s="549">
        <f t="shared" si="9236"/>
        <v>0</v>
      </c>
      <c r="DI293" s="675">
        <f t="shared" si="9236"/>
        <v>0</v>
      </c>
      <c r="DJ293" s="549">
        <f t="shared" si="9236"/>
        <v>0</v>
      </c>
      <c r="DK293" s="675">
        <f t="shared" si="9236"/>
        <v>0</v>
      </c>
      <c r="DL293" s="549">
        <f t="shared" si="9236"/>
        <v>0</v>
      </c>
      <c r="DM293" s="675">
        <f t="shared" si="9236"/>
        <v>0</v>
      </c>
      <c r="DN293" s="549">
        <f t="shared" si="9236"/>
        <v>0</v>
      </c>
      <c r="DO293" s="675">
        <f t="shared" si="9236"/>
        <v>0</v>
      </c>
      <c r="DP293" s="549">
        <f t="shared" si="9236"/>
        <v>0</v>
      </c>
      <c r="DQ293" s="675">
        <f t="shared" si="9236"/>
        <v>0</v>
      </c>
      <c r="DR293" s="549">
        <f t="shared" si="9236"/>
        <v>0</v>
      </c>
      <c r="DS293" s="675">
        <f t="shared" si="9236"/>
        <v>0</v>
      </c>
      <c r="DT293" s="549">
        <f t="shared" si="9236"/>
        <v>0</v>
      </c>
      <c r="DU293" s="675">
        <f t="shared" si="9236"/>
        <v>0</v>
      </c>
      <c r="DV293" s="549">
        <f t="shared" si="9236"/>
        <v>0</v>
      </c>
      <c r="DW293" s="675">
        <f t="shared" si="9236"/>
        <v>0</v>
      </c>
      <c r="DX293" s="549">
        <f t="shared" si="9236"/>
        <v>0</v>
      </c>
      <c r="DY293" s="675">
        <f t="shared" si="9236"/>
        <v>0</v>
      </c>
      <c r="DZ293" s="549">
        <f t="shared" ref="DZ293:FA293" si="9237">SUM(DZ294:DZ296)</f>
        <v>0</v>
      </c>
      <c r="EA293" s="675">
        <f t="shared" si="9237"/>
        <v>0</v>
      </c>
      <c r="EB293" s="549">
        <f t="shared" si="9237"/>
        <v>0</v>
      </c>
      <c r="EC293" s="675">
        <f t="shared" si="9237"/>
        <v>0</v>
      </c>
      <c r="ED293" s="549">
        <f t="shared" si="9237"/>
        <v>17000</v>
      </c>
      <c r="EE293" s="675">
        <f t="shared" si="9237"/>
        <v>0</v>
      </c>
      <c r="EF293" s="549">
        <f t="shared" si="9237"/>
        <v>0</v>
      </c>
      <c r="EG293" s="675">
        <f t="shared" si="9237"/>
        <v>0</v>
      </c>
      <c r="EH293" s="549">
        <f t="shared" ref="EH293:EM293" si="9238">SUM(EH294:EH296)</f>
        <v>0</v>
      </c>
      <c r="EI293" s="675">
        <f t="shared" si="9238"/>
        <v>0</v>
      </c>
      <c r="EJ293" s="549">
        <f t="shared" si="9238"/>
        <v>0</v>
      </c>
      <c r="EK293" s="675">
        <f t="shared" si="9238"/>
        <v>0</v>
      </c>
      <c r="EL293" s="549">
        <f t="shared" si="9238"/>
        <v>0</v>
      </c>
      <c r="EM293" s="675">
        <f t="shared" si="9238"/>
        <v>0</v>
      </c>
      <c r="EN293" s="549">
        <f t="shared" si="9237"/>
        <v>0</v>
      </c>
      <c r="EO293" s="675">
        <f t="shared" si="9237"/>
        <v>0</v>
      </c>
      <c r="EP293" s="549">
        <f t="shared" si="9237"/>
        <v>0</v>
      </c>
      <c r="EQ293" s="675">
        <f t="shared" si="9237"/>
        <v>0</v>
      </c>
      <c r="ER293" s="549">
        <f t="shared" si="9237"/>
        <v>0</v>
      </c>
      <c r="ES293" s="675">
        <f t="shared" si="9237"/>
        <v>0</v>
      </c>
      <c r="ET293" s="549">
        <f t="shared" si="9237"/>
        <v>0</v>
      </c>
      <c r="EU293" s="675">
        <f t="shared" si="9237"/>
        <v>0</v>
      </c>
      <c r="EV293" s="549">
        <f t="shared" ref="EV293:EW293" si="9239">SUM(EV294:EV296)</f>
        <v>0</v>
      </c>
      <c r="EW293" s="675">
        <f t="shared" si="9239"/>
        <v>0</v>
      </c>
      <c r="EX293" s="549">
        <f t="shared" si="9237"/>
        <v>0</v>
      </c>
      <c r="EY293" s="675">
        <f t="shared" si="9237"/>
        <v>0</v>
      </c>
      <c r="EZ293" s="549">
        <f t="shared" si="9237"/>
        <v>0</v>
      </c>
      <c r="FA293" s="675">
        <f t="shared" si="9237"/>
        <v>0</v>
      </c>
      <c r="FB293" s="549">
        <f t="shared" si="9236"/>
        <v>0</v>
      </c>
      <c r="FC293" s="675">
        <f t="shared" si="9236"/>
        <v>0</v>
      </c>
      <c r="FD293" s="549">
        <f t="shared" si="9236"/>
        <v>0</v>
      </c>
      <c r="FE293" s="675">
        <f t="shared" si="9236"/>
        <v>0</v>
      </c>
      <c r="FF293" s="549">
        <f t="shared" ref="FF293:FG293" si="9240">SUM(FF294:FF296)</f>
        <v>0</v>
      </c>
      <c r="FG293" s="675">
        <f t="shared" si="9240"/>
        <v>0</v>
      </c>
      <c r="FH293" s="549">
        <f t="shared" ref="FH293:FI293" si="9241">SUM(FH294:FH296)</f>
        <v>0</v>
      </c>
      <c r="FI293" s="675">
        <f t="shared" si="9241"/>
        <v>0</v>
      </c>
      <c r="FJ293" s="549">
        <f t="shared" ref="FJ293:FK293" si="9242">SUM(FJ294:FJ296)</f>
        <v>0</v>
      </c>
      <c r="FK293" s="675">
        <f t="shared" si="9242"/>
        <v>0</v>
      </c>
      <c r="FL293" s="549">
        <f t="shared" ref="FL293:FM293" si="9243">SUM(FL294:FL296)</f>
        <v>0</v>
      </c>
      <c r="FM293" s="675">
        <f t="shared" si="9243"/>
        <v>0</v>
      </c>
      <c r="FN293" s="549">
        <f t="shared" ref="FN293:FO293" si="9244">SUM(FN294:FN296)</f>
        <v>0</v>
      </c>
      <c r="FO293" s="675">
        <f t="shared" si="9244"/>
        <v>0</v>
      </c>
      <c r="FP293" s="549">
        <f t="shared" ref="FP293:FQ293" si="9245">SUM(FP294:FP296)</f>
        <v>0</v>
      </c>
      <c r="FQ293" s="675">
        <f t="shared" si="9245"/>
        <v>0</v>
      </c>
      <c r="FR293" s="549">
        <f t="shared" ref="FR293:FS293" si="9246">SUM(FR294:FR296)</f>
        <v>0</v>
      </c>
      <c r="FS293" s="675">
        <f t="shared" si="9246"/>
        <v>0</v>
      </c>
      <c r="FT293" s="549">
        <f t="shared" ref="FT293:FU293" si="9247">SUM(FT294:FT296)</f>
        <v>0</v>
      </c>
      <c r="FU293" s="675">
        <f t="shared" si="9247"/>
        <v>0</v>
      </c>
      <c r="FV293" s="549">
        <f t="shared" ref="FV293:GK293" si="9248">SUM(FV294:FV296)</f>
        <v>0</v>
      </c>
      <c r="FW293" s="675">
        <f t="shared" si="9248"/>
        <v>0</v>
      </c>
      <c r="FX293" s="549">
        <f t="shared" si="9248"/>
        <v>0</v>
      </c>
      <c r="FY293" s="675">
        <f t="shared" si="9248"/>
        <v>0</v>
      </c>
      <c r="FZ293" s="549">
        <f t="shared" ref="FZ293:GI293" si="9249">SUM(FZ294:FZ296)</f>
        <v>0</v>
      </c>
      <c r="GA293" s="675">
        <f t="shared" si="9249"/>
        <v>0</v>
      </c>
      <c r="GB293" s="549">
        <f t="shared" si="9249"/>
        <v>0</v>
      </c>
      <c r="GC293" s="675">
        <f t="shared" si="9249"/>
        <v>0</v>
      </c>
      <c r="GD293" s="549">
        <f t="shared" si="9249"/>
        <v>0</v>
      </c>
      <c r="GE293" s="675">
        <f t="shared" si="9249"/>
        <v>0</v>
      </c>
      <c r="GF293" s="549">
        <f t="shared" si="9249"/>
        <v>0</v>
      </c>
      <c r="GG293" s="675">
        <f t="shared" si="9249"/>
        <v>0</v>
      </c>
      <c r="GH293" s="549">
        <f t="shared" si="9249"/>
        <v>0</v>
      </c>
      <c r="GI293" s="675">
        <f t="shared" si="9249"/>
        <v>0</v>
      </c>
      <c r="GJ293" s="549">
        <f t="shared" si="9248"/>
        <v>0</v>
      </c>
      <c r="GK293" s="675">
        <f t="shared" si="9248"/>
        <v>0</v>
      </c>
      <c r="GL293" s="549">
        <f t="shared" ref="GL293:GM293" si="9250">SUM(GL294:GL296)</f>
        <v>0</v>
      </c>
      <c r="GM293" s="675">
        <f t="shared" si="9250"/>
        <v>0</v>
      </c>
      <c r="GN293" s="549">
        <f t="shared" ref="GN293:GO293" si="9251">SUM(GN294:GN296)</f>
        <v>0</v>
      </c>
      <c r="GO293" s="675">
        <f t="shared" si="9251"/>
        <v>0</v>
      </c>
      <c r="GP293" s="549">
        <f>SUM(GP294:GP296)</f>
        <v>17000</v>
      </c>
      <c r="GQ293" s="675">
        <f t="shared" si="9236"/>
        <v>0</v>
      </c>
      <c r="GR293" s="74">
        <f t="shared" si="9236"/>
        <v>17000</v>
      </c>
      <c r="GS293" s="74">
        <f t="shared" si="9236"/>
        <v>17000</v>
      </c>
      <c r="GT293" s="74">
        <f t="shared" si="9236"/>
        <v>17000</v>
      </c>
      <c r="GU293" s="74">
        <f t="shared" ref="GU293:HF293" si="9252">SUM(GU294:GU295)</f>
        <v>0</v>
      </c>
      <c r="GV293" s="74">
        <f t="shared" si="9252"/>
        <v>0</v>
      </c>
      <c r="GW293" s="74">
        <f t="shared" si="9252"/>
        <v>0</v>
      </c>
      <c r="GX293" s="74">
        <f t="shared" si="9252"/>
        <v>0</v>
      </c>
      <c r="GY293" s="74">
        <f t="shared" si="9252"/>
        <v>0</v>
      </c>
      <c r="GZ293" s="74">
        <f t="shared" si="9252"/>
        <v>0</v>
      </c>
      <c r="HA293" s="74">
        <f t="shared" si="9252"/>
        <v>0</v>
      </c>
      <c r="HB293" s="74">
        <f t="shared" si="9252"/>
        <v>0</v>
      </c>
      <c r="HC293" s="74">
        <f t="shared" si="9252"/>
        <v>0</v>
      </c>
      <c r="HD293" s="74">
        <f t="shared" si="9252"/>
        <v>0</v>
      </c>
      <c r="HE293" s="74">
        <f t="shared" si="9252"/>
        <v>0</v>
      </c>
      <c r="HF293" s="74">
        <f t="shared" si="9252"/>
        <v>0</v>
      </c>
      <c r="HG293" s="74">
        <f>SUM(HG294:HG296)</f>
        <v>17000</v>
      </c>
      <c r="HH293" s="74">
        <f t="shared" ref="HH293:HI293" si="9253">SUM(HH294:HH296)</f>
        <v>0</v>
      </c>
      <c r="HI293" s="792">
        <f t="shared" si="9253"/>
        <v>0</v>
      </c>
      <c r="HJ293" s="74">
        <f t="shared" ref="HJ293:HK293" si="9254">SUM(HJ294:HJ296)</f>
        <v>0</v>
      </c>
      <c r="HK293" s="792">
        <f t="shared" si="9254"/>
        <v>0</v>
      </c>
      <c r="HL293" s="74">
        <f t="shared" ref="HL293:HM293" si="9255">SUM(HL294:HL296)</f>
        <v>0</v>
      </c>
      <c r="HM293" s="792">
        <f t="shared" si="9255"/>
        <v>0</v>
      </c>
      <c r="HN293" s="74">
        <f t="shared" ref="HN293:HO293" si="9256">SUM(HN294:HN296)</f>
        <v>0</v>
      </c>
      <c r="HO293" s="792">
        <f t="shared" si="9256"/>
        <v>0</v>
      </c>
      <c r="HP293" s="74">
        <f t="shared" ref="HP293:HQ293" si="9257">SUM(HP294:HP296)</f>
        <v>0</v>
      </c>
      <c r="HQ293" s="792">
        <f t="shared" si="9257"/>
        <v>0</v>
      </c>
      <c r="HR293" s="74">
        <f t="shared" ref="HR293:HS293" si="9258">SUM(HR294:HR296)</f>
        <v>0</v>
      </c>
      <c r="HS293" s="792">
        <f t="shared" si="9258"/>
        <v>0</v>
      </c>
      <c r="HT293" s="74">
        <f t="shared" ref="HT293:HU293" si="9259">SUM(HT294:HT296)</f>
        <v>0</v>
      </c>
      <c r="HU293" s="792">
        <f t="shared" si="9259"/>
        <v>0</v>
      </c>
      <c r="HV293" s="74">
        <f t="shared" ref="HV293:HW293" si="9260">SUM(HV294:HV296)</f>
        <v>0</v>
      </c>
      <c r="HW293" s="792">
        <f t="shared" si="9260"/>
        <v>0</v>
      </c>
      <c r="HX293" s="74">
        <f t="shared" ref="HX293:HY293" si="9261">SUM(HX294:HX296)</f>
        <v>0</v>
      </c>
      <c r="HY293" s="792">
        <f t="shared" si="9261"/>
        <v>0</v>
      </c>
      <c r="HZ293" s="74">
        <f t="shared" ref="HZ293:IA293" si="9262">SUM(HZ294:HZ296)</f>
        <v>0</v>
      </c>
      <c r="IA293" s="792">
        <f t="shared" si="9262"/>
        <v>0</v>
      </c>
      <c r="IB293" s="74">
        <f t="shared" ref="IB293:IC293" si="9263">SUM(IB294:IB296)</f>
        <v>0</v>
      </c>
      <c r="IC293" s="792">
        <f t="shared" si="9263"/>
        <v>0</v>
      </c>
      <c r="ID293" s="74">
        <f t="shared" ref="ID293:IE293" si="9264">SUM(ID294:ID296)</f>
        <v>0</v>
      </c>
      <c r="IE293" s="792">
        <f t="shared" si="9264"/>
        <v>0</v>
      </c>
      <c r="IF293" s="841">
        <f>SUM(IF294:IF296)</f>
        <v>15811.849999999999</v>
      </c>
      <c r="IG293" s="263">
        <f>SUM(IG294:IG296)</f>
        <v>15811.849999999999</v>
      </c>
      <c r="IH293" s="842">
        <f>SUM(IH294:IH296)</f>
        <v>15811.849999999999</v>
      </c>
      <c r="II293" s="74">
        <f t="shared" ref="II293:IK293" si="9265">SUM(II294:II295)</f>
        <v>0</v>
      </c>
      <c r="IJ293" s="74">
        <f t="shared" si="9265"/>
        <v>0</v>
      </c>
      <c r="IK293" s="74">
        <f t="shared" si="9265"/>
        <v>0</v>
      </c>
      <c r="IL293" s="74">
        <f t="shared" ref="IL293:IN293" si="9266">SUM(IL294:IL295)</f>
        <v>0</v>
      </c>
      <c r="IM293" s="74">
        <f t="shared" si="9266"/>
        <v>0</v>
      </c>
      <c r="IN293" s="74">
        <f t="shared" si="9266"/>
        <v>0</v>
      </c>
      <c r="IO293" s="74">
        <f t="shared" ref="IO293:IQ293" si="9267">SUM(IO294:IO295)</f>
        <v>0</v>
      </c>
      <c r="IP293" s="74">
        <f t="shared" si="9267"/>
        <v>0</v>
      </c>
      <c r="IQ293" s="74">
        <f t="shared" si="9267"/>
        <v>0</v>
      </c>
      <c r="IR293" s="74">
        <f t="shared" ref="IR293:IT293" si="9268">SUM(IR294:IR295)</f>
        <v>0</v>
      </c>
      <c r="IS293" s="74">
        <f t="shared" si="9268"/>
        <v>0</v>
      </c>
      <c r="IT293" s="74">
        <f t="shared" si="9268"/>
        <v>0</v>
      </c>
      <c r="IU293" s="74">
        <f t="shared" ref="IU293:IW293" si="9269">SUM(IU294:IU295)</f>
        <v>0</v>
      </c>
      <c r="IV293" s="74">
        <f t="shared" si="9269"/>
        <v>0</v>
      </c>
      <c r="IW293" s="74">
        <f t="shared" si="9269"/>
        <v>0</v>
      </c>
      <c r="IX293" s="74">
        <f t="shared" ref="IX293:IZ293" si="9270">SUM(IX294:IX295)</f>
        <v>0</v>
      </c>
      <c r="IY293" s="74">
        <f t="shared" si="9270"/>
        <v>0</v>
      </c>
      <c r="IZ293" s="74">
        <f t="shared" si="9270"/>
        <v>0</v>
      </c>
      <c r="JA293" s="74">
        <f t="shared" ref="JA293:JC293" si="9271">SUM(JA294:JA295)</f>
        <v>0</v>
      </c>
      <c r="JB293" s="74">
        <f t="shared" si="9271"/>
        <v>0</v>
      </c>
      <c r="JC293" s="74">
        <f t="shared" si="9271"/>
        <v>0</v>
      </c>
      <c r="JD293" s="74">
        <f t="shared" ref="JD293:JF293" si="9272">SUM(JD294:JD295)</f>
        <v>0</v>
      </c>
      <c r="JE293" s="74">
        <f t="shared" si="9272"/>
        <v>0</v>
      </c>
      <c r="JF293" s="74">
        <f t="shared" si="9272"/>
        <v>0</v>
      </c>
      <c r="JG293" s="74">
        <f t="shared" ref="JG293:JI293" si="9273">SUM(JG294:JG295)</f>
        <v>20</v>
      </c>
      <c r="JH293" s="74">
        <f t="shared" si="9273"/>
        <v>0</v>
      </c>
      <c r="JI293" s="74">
        <f t="shared" si="9273"/>
        <v>0</v>
      </c>
      <c r="JJ293" s="74">
        <f t="shared" ref="JJ293:JL293" si="9274">SUM(JJ294:JJ295)</f>
        <v>15791.849999999999</v>
      </c>
      <c r="JK293" s="74">
        <f t="shared" si="9274"/>
        <v>15811.849999999999</v>
      </c>
      <c r="JL293" s="74">
        <f t="shared" si="9274"/>
        <v>15811.849999999999</v>
      </c>
      <c r="JM293" s="74">
        <f t="shared" ref="JM293:JO293" si="9275">SUM(JM294:JM295)</f>
        <v>0</v>
      </c>
      <c r="JN293" s="74">
        <f t="shared" si="9275"/>
        <v>0</v>
      </c>
      <c r="JO293" s="74">
        <f t="shared" si="9275"/>
        <v>0</v>
      </c>
      <c r="JP293" s="74">
        <f t="shared" ref="JP293:JR293" si="9276">SUM(JP294:JP295)</f>
        <v>0</v>
      </c>
      <c r="JQ293" s="74">
        <f t="shared" si="9276"/>
        <v>0</v>
      </c>
      <c r="JR293" s="74">
        <f t="shared" si="9276"/>
        <v>0</v>
      </c>
      <c r="JS293" s="74">
        <f>SUM(JS294:JS296)</f>
        <v>1188.1500000000005</v>
      </c>
      <c r="JT293" s="74">
        <f>SUM(JT294:JT296)</f>
        <v>1188.1500000000005</v>
      </c>
      <c r="JU293" s="665"/>
      <c r="JV293" s="524"/>
      <c r="JW293" s="525"/>
      <c r="JX293" s="74">
        <f>SUM(JX294:JX295)</f>
        <v>0</v>
      </c>
      <c r="JY293" s="74">
        <f>SUM(JY294:JY295)</f>
        <v>0</v>
      </c>
      <c r="JZ293" s="581">
        <f t="shared" si="9103"/>
        <v>17000</v>
      </c>
      <c r="KA293" s="581">
        <f t="shared" si="9104"/>
        <v>0</v>
      </c>
      <c r="KB293" s="74">
        <f>SUM(KB294:KB296)</f>
        <v>17000</v>
      </c>
      <c r="KC293" s="709">
        <f t="shared" si="9101"/>
        <v>0</v>
      </c>
      <c r="KD293" s="35"/>
      <c r="KE293" s="35"/>
      <c r="KF293" s="35"/>
      <c r="KG293" s="35"/>
      <c r="KH293" s="35"/>
      <c r="KI293" s="35"/>
      <c r="KJ293" s="35"/>
      <c r="KK293" s="35"/>
    </row>
    <row r="294" spans="1:297" s="10" customFormat="1" ht="12.75" customHeight="1">
      <c r="A294" s="86" t="s">
        <v>1080</v>
      </c>
      <c r="B294" s="77"/>
      <c r="C294" s="74">
        <v>0</v>
      </c>
      <c r="D294" s="549">
        <v>0</v>
      </c>
      <c r="E294" s="675">
        <v>0</v>
      </c>
      <c r="F294" s="549">
        <v>0</v>
      </c>
      <c r="G294" s="675">
        <v>0</v>
      </c>
      <c r="H294" s="549">
        <v>0</v>
      </c>
      <c r="I294" s="675">
        <v>0</v>
      </c>
      <c r="J294" s="549">
        <v>0</v>
      </c>
      <c r="K294" s="675">
        <v>0</v>
      </c>
      <c r="L294" s="549">
        <v>0</v>
      </c>
      <c r="M294" s="675">
        <v>0</v>
      </c>
      <c r="N294" s="549">
        <v>0</v>
      </c>
      <c r="O294" s="675">
        <v>0</v>
      </c>
      <c r="P294" s="549">
        <v>0</v>
      </c>
      <c r="Q294" s="675">
        <v>0</v>
      </c>
      <c r="R294" s="549">
        <v>0</v>
      </c>
      <c r="S294" s="675">
        <v>0</v>
      </c>
      <c r="T294" s="549">
        <v>0</v>
      </c>
      <c r="U294" s="675">
        <v>0</v>
      </c>
      <c r="V294" s="549">
        <v>0</v>
      </c>
      <c r="W294" s="675">
        <v>0</v>
      </c>
      <c r="X294" s="549">
        <v>0</v>
      </c>
      <c r="Y294" s="675">
        <v>0</v>
      </c>
      <c r="Z294" s="549">
        <v>0</v>
      </c>
      <c r="AA294" s="675">
        <v>0</v>
      </c>
      <c r="AB294" s="549">
        <v>0</v>
      </c>
      <c r="AC294" s="675">
        <v>0</v>
      </c>
      <c r="AD294" s="549">
        <v>0</v>
      </c>
      <c r="AE294" s="675">
        <v>0</v>
      </c>
      <c r="AF294" s="549">
        <v>0</v>
      </c>
      <c r="AG294" s="675">
        <v>0</v>
      </c>
      <c r="AH294" s="549">
        <v>0</v>
      </c>
      <c r="AI294" s="675">
        <v>0</v>
      </c>
      <c r="AJ294" s="549">
        <v>0</v>
      </c>
      <c r="AK294" s="675">
        <v>0</v>
      </c>
      <c r="AL294" s="549">
        <v>0</v>
      </c>
      <c r="AM294" s="675">
        <v>0</v>
      </c>
      <c r="AN294" s="549">
        <v>0</v>
      </c>
      <c r="AO294" s="675">
        <v>0</v>
      </c>
      <c r="AP294" s="549">
        <v>0</v>
      </c>
      <c r="AQ294" s="675">
        <v>0</v>
      </c>
      <c r="AR294" s="549">
        <v>0</v>
      </c>
      <c r="AS294" s="675">
        <v>0</v>
      </c>
      <c r="AT294" s="549">
        <v>0</v>
      </c>
      <c r="AU294" s="675">
        <v>0</v>
      </c>
      <c r="AV294" s="549">
        <v>0</v>
      </c>
      <c r="AW294" s="675">
        <v>0</v>
      </c>
      <c r="AX294" s="549">
        <v>0</v>
      </c>
      <c r="AY294" s="675">
        <v>0</v>
      </c>
      <c r="AZ294" s="549">
        <v>0</v>
      </c>
      <c r="BA294" s="675">
        <v>0</v>
      </c>
      <c r="BB294" s="549">
        <v>0</v>
      </c>
      <c r="BC294" s="675">
        <v>0</v>
      </c>
      <c r="BD294" s="549">
        <v>0</v>
      </c>
      <c r="BE294" s="675">
        <v>0</v>
      </c>
      <c r="BF294" s="549">
        <v>0</v>
      </c>
      <c r="BG294" s="675">
        <v>0</v>
      </c>
      <c r="BH294" s="549">
        <v>0</v>
      </c>
      <c r="BI294" s="675">
        <v>0</v>
      </c>
      <c r="BJ294" s="549">
        <v>0</v>
      </c>
      <c r="BK294" s="675">
        <v>0</v>
      </c>
      <c r="BL294" s="549">
        <v>0</v>
      </c>
      <c r="BM294" s="675">
        <v>0</v>
      </c>
      <c r="BN294" s="549">
        <v>0</v>
      </c>
      <c r="BO294" s="675">
        <v>0</v>
      </c>
      <c r="BP294" s="549">
        <v>0</v>
      </c>
      <c r="BQ294" s="675">
        <v>0</v>
      </c>
      <c r="BR294" s="549">
        <v>0</v>
      </c>
      <c r="BS294" s="675">
        <v>0</v>
      </c>
      <c r="BT294" s="549">
        <v>0</v>
      </c>
      <c r="BU294" s="675">
        <v>0</v>
      </c>
      <c r="BV294" s="549">
        <v>0</v>
      </c>
      <c r="BW294" s="675">
        <v>0</v>
      </c>
      <c r="BX294" s="549">
        <v>0</v>
      </c>
      <c r="BY294" s="675">
        <v>0</v>
      </c>
      <c r="BZ294" s="549">
        <v>0</v>
      </c>
      <c r="CA294" s="675">
        <v>0</v>
      </c>
      <c r="CB294" s="549">
        <v>0</v>
      </c>
      <c r="CC294" s="675">
        <v>0</v>
      </c>
      <c r="CD294" s="549">
        <v>0</v>
      </c>
      <c r="CE294" s="675">
        <v>0</v>
      </c>
      <c r="CF294" s="549">
        <v>0</v>
      </c>
      <c r="CG294" s="675">
        <v>0</v>
      </c>
      <c r="CH294" s="549">
        <v>0</v>
      </c>
      <c r="CI294" s="675">
        <v>0</v>
      </c>
      <c r="CJ294" s="549">
        <v>0</v>
      </c>
      <c r="CK294" s="675">
        <v>0</v>
      </c>
      <c r="CL294" s="549">
        <v>0</v>
      </c>
      <c r="CM294" s="675">
        <v>0</v>
      </c>
      <c r="CN294" s="549">
        <v>0</v>
      </c>
      <c r="CO294" s="675">
        <v>0</v>
      </c>
      <c r="CP294" s="549">
        <v>0</v>
      </c>
      <c r="CQ294" s="675">
        <v>0</v>
      </c>
      <c r="CR294" s="549">
        <v>0</v>
      </c>
      <c r="CS294" s="675">
        <v>0</v>
      </c>
      <c r="CT294" s="549">
        <v>0</v>
      </c>
      <c r="CU294" s="675">
        <v>0</v>
      </c>
      <c r="CV294" s="549">
        <v>0</v>
      </c>
      <c r="CW294" s="675">
        <v>0</v>
      </c>
      <c r="CX294" s="549">
        <v>0</v>
      </c>
      <c r="CY294" s="675">
        <v>0</v>
      </c>
      <c r="CZ294" s="549">
        <v>0</v>
      </c>
      <c r="DA294" s="675">
        <v>0</v>
      </c>
      <c r="DB294" s="549">
        <v>0</v>
      </c>
      <c r="DC294" s="675">
        <v>0</v>
      </c>
      <c r="DD294" s="549">
        <v>0</v>
      </c>
      <c r="DE294" s="675">
        <v>0</v>
      </c>
      <c r="DF294" s="549">
        <v>0</v>
      </c>
      <c r="DG294" s="675">
        <v>0</v>
      </c>
      <c r="DH294" s="549">
        <v>0</v>
      </c>
      <c r="DI294" s="675">
        <v>0</v>
      </c>
      <c r="DJ294" s="549">
        <v>0</v>
      </c>
      <c r="DK294" s="675">
        <v>0</v>
      </c>
      <c r="DL294" s="549">
        <v>0</v>
      </c>
      <c r="DM294" s="675">
        <v>0</v>
      </c>
      <c r="DN294" s="549">
        <v>0</v>
      </c>
      <c r="DO294" s="675">
        <v>0</v>
      </c>
      <c r="DP294" s="549">
        <v>0</v>
      </c>
      <c r="DQ294" s="675">
        <v>0</v>
      </c>
      <c r="DR294" s="549">
        <v>0</v>
      </c>
      <c r="DS294" s="675">
        <v>0</v>
      </c>
      <c r="DT294" s="549">
        <v>0</v>
      </c>
      <c r="DU294" s="675">
        <v>0</v>
      </c>
      <c r="DV294" s="549">
        <v>0</v>
      </c>
      <c r="DW294" s="675">
        <v>0</v>
      </c>
      <c r="DX294" s="549">
        <v>0</v>
      </c>
      <c r="DY294" s="675">
        <v>0</v>
      </c>
      <c r="DZ294" s="549">
        <v>0</v>
      </c>
      <c r="EA294" s="675">
        <v>0</v>
      </c>
      <c r="EB294" s="549">
        <v>0</v>
      </c>
      <c r="EC294" s="675">
        <v>0</v>
      </c>
      <c r="ED294" s="549">
        <v>7000</v>
      </c>
      <c r="EE294" s="675">
        <v>0</v>
      </c>
      <c r="EF294" s="549">
        <v>0</v>
      </c>
      <c r="EG294" s="675">
        <v>0</v>
      </c>
      <c r="EH294" s="549">
        <v>0</v>
      </c>
      <c r="EI294" s="675">
        <v>0</v>
      </c>
      <c r="EJ294" s="549">
        <v>0</v>
      </c>
      <c r="EK294" s="675">
        <v>0</v>
      </c>
      <c r="EL294" s="549">
        <v>0</v>
      </c>
      <c r="EM294" s="675">
        <v>0</v>
      </c>
      <c r="EN294" s="549">
        <v>0</v>
      </c>
      <c r="EO294" s="675">
        <v>0</v>
      </c>
      <c r="EP294" s="549">
        <v>0</v>
      </c>
      <c r="EQ294" s="675">
        <v>0</v>
      </c>
      <c r="ER294" s="549">
        <v>0</v>
      </c>
      <c r="ES294" s="675">
        <v>0</v>
      </c>
      <c r="ET294" s="549">
        <v>0</v>
      </c>
      <c r="EU294" s="675">
        <v>0</v>
      </c>
      <c r="EV294" s="549">
        <v>0</v>
      </c>
      <c r="EW294" s="675">
        <v>0</v>
      </c>
      <c r="EX294" s="549">
        <v>0</v>
      </c>
      <c r="EY294" s="675">
        <v>0</v>
      </c>
      <c r="EZ294" s="549">
        <v>0</v>
      </c>
      <c r="FA294" s="675">
        <v>0</v>
      </c>
      <c r="FB294" s="549">
        <v>0</v>
      </c>
      <c r="FC294" s="675">
        <v>0</v>
      </c>
      <c r="FD294" s="549">
        <v>0</v>
      </c>
      <c r="FE294" s="675">
        <v>0</v>
      </c>
      <c r="FF294" s="549">
        <v>0</v>
      </c>
      <c r="FG294" s="675">
        <v>0</v>
      </c>
      <c r="FH294" s="549">
        <v>0</v>
      </c>
      <c r="FI294" s="675">
        <v>0</v>
      </c>
      <c r="FJ294" s="549">
        <v>0</v>
      </c>
      <c r="FK294" s="675">
        <v>0</v>
      </c>
      <c r="FL294" s="549">
        <v>0</v>
      </c>
      <c r="FM294" s="675">
        <v>0</v>
      </c>
      <c r="FN294" s="549">
        <v>0</v>
      </c>
      <c r="FO294" s="675">
        <v>0</v>
      </c>
      <c r="FP294" s="549">
        <v>0</v>
      </c>
      <c r="FQ294" s="675">
        <v>0</v>
      </c>
      <c r="FR294" s="549">
        <v>0</v>
      </c>
      <c r="FS294" s="675">
        <v>0</v>
      </c>
      <c r="FT294" s="549">
        <v>0</v>
      </c>
      <c r="FU294" s="675">
        <v>0</v>
      </c>
      <c r="FV294" s="549">
        <v>0</v>
      </c>
      <c r="FW294" s="675">
        <v>0</v>
      </c>
      <c r="FX294" s="549">
        <v>0</v>
      </c>
      <c r="FY294" s="675">
        <v>0</v>
      </c>
      <c r="FZ294" s="549">
        <v>0</v>
      </c>
      <c r="GA294" s="675">
        <v>0</v>
      </c>
      <c r="GB294" s="549">
        <v>0</v>
      </c>
      <c r="GC294" s="675">
        <v>0</v>
      </c>
      <c r="GD294" s="549">
        <v>0</v>
      </c>
      <c r="GE294" s="675">
        <v>0</v>
      </c>
      <c r="GF294" s="549">
        <v>0</v>
      </c>
      <c r="GG294" s="675">
        <v>0</v>
      </c>
      <c r="GH294" s="549">
        <v>0</v>
      </c>
      <c r="GI294" s="675">
        <v>0</v>
      </c>
      <c r="GJ294" s="549">
        <v>0</v>
      </c>
      <c r="GK294" s="675">
        <v>0</v>
      </c>
      <c r="GL294" s="549">
        <v>0</v>
      </c>
      <c r="GM294" s="675">
        <v>0</v>
      </c>
      <c r="GN294" s="549">
        <v>0</v>
      </c>
      <c r="GO294" s="675">
        <v>0</v>
      </c>
      <c r="GP294" s="549">
        <f>+D294+F294+H294+J294+L294+N294+P294+R294+T294+V294+X294+Z294+AB294+AD294+AH294+AJ294+AL294+AN294+AP294+AR294+AT294+AV294+AX294+AZ294+BB294+BD294+BF294+BH294+BJ294+BL294+BN294+BP294+BR294+BT294+BV294+BX294+BZ294+CB294+CD294+CF294+CH294+CJ294+CL294+CN294+CP294+CR294+CT294+CV294+CX294+CZ294+DB294+DD294+DF294+DH294+DT294+EX294+DJ294+DL294+DN294+DP294+DR294+EJ294+EB294+DZ294+DX294+DV294+ED294+EF294+EH294+EL294+EN294+EP294+EV294+ET294+ER294+EZ294+FB294+FD294+GL294</f>
        <v>7000</v>
      </c>
      <c r="GQ294" s="675">
        <f>+E294+G294+I294+K294+M294+O294+Q294+S294+U294+W294+Y294+AA294+AC294+AE294+AI294+AK294+AM294+AO294+AQ294+AS294+AU294+AW294+AY294+BA294+BC294+BE294+BG294+BI294+BK294+BM294+BO294+BQ294+BS294+BU294+BW294+BY294+CA294+CC294+CE294+CG294+CI294+CK294+CM294+CO294+CQ294+CS294+CU294+CW294+CY294+DA294+DC294+DE294+DG294+DI294+DU294+EY294+DK294+DM294+DO294+DQ294+DS294+EK294+EC294+EA294+DY294+DW294+EI294+EG294+EE294+EM294+EO294+EQ294+EW294+EU294+ES294+FA294+FC294+FE294+GM294</f>
        <v>0</v>
      </c>
      <c r="GR294" s="74">
        <f>C294+GP294+GQ294</f>
        <v>7000</v>
      </c>
      <c r="GS294" s="74">
        <f t="shared" ref="GS294:GS295" si="9277">SUM(GU294:HD294)+GP294+GQ294</f>
        <v>7000</v>
      </c>
      <c r="GT294" s="568">
        <f>SUM(GU294:HF294)+GQ294+GP294</f>
        <v>7000</v>
      </c>
      <c r="GU294" s="73"/>
      <c r="GV294" s="73"/>
      <c r="GW294" s="549"/>
      <c r="GX294" s="549"/>
      <c r="GY294" s="73"/>
      <c r="GZ294" s="73"/>
      <c r="HA294" s="73"/>
      <c r="HB294" s="73"/>
      <c r="HC294" s="73"/>
      <c r="HD294" s="73"/>
      <c r="HE294" s="73"/>
      <c r="HF294" s="73"/>
      <c r="HG294" s="74">
        <f>SUM(HH294:IE294)+GP294+GQ294</f>
        <v>7000</v>
      </c>
      <c r="HH294" s="89">
        <v>0</v>
      </c>
      <c r="HI294" s="817">
        <v>0</v>
      </c>
      <c r="HJ294" s="89">
        <v>0</v>
      </c>
      <c r="HK294" s="817">
        <v>0</v>
      </c>
      <c r="HL294" s="89">
        <v>0</v>
      </c>
      <c r="HM294" s="817">
        <v>0</v>
      </c>
      <c r="HN294" s="89">
        <v>0</v>
      </c>
      <c r="HO294" s="817">
        <v>0</v>
      </c>
      <c r="HP294" s="89">
        <v>0</v>
      </c>
      <c r="HQ294" s="817">
        <v>0</v>
      </c>
      <c r="HR294" s="89">
        <v>0</v>
      </c>
      <c r="HS294" s="817">
        <v>0</v>
      </c>
      <c r="HT294" s="89">
        <v>0</v>
      </c>
      <c r="HU294" s="817">
        <v>0</v>
      </c>
      <c r="HV294" s="89">
        <v>0</v>
      </c>
      <c r="HW294" s="817">
        <v>0</v>
      </c>
      <c r="HX294" s="89">
        <v>0</v>
      </c>
      <c r="HY294" s="817">
        <v>0</v>
      </c>
      <c r="HZ294" s="89">
        <v>0</v>
      </c>
      <c r="IA294" s="817">
        <v>0</v>
      </c>
      <c r="IB294" s="89">
        <v>0</v>
      </c>
      <c r="IC294" s="817">
        <v>0</v>
      </c>
      <c r="ID294" s="89">
        <v>0</v>
      </c>
      <c r="IE294" s="817">
        <v>0</v>
      </c>
      <c r="IF294" s="841">
        <f t="shared" ref="IF294:IF296" si="9278">SUM(II294,IL294,IO294,IR294,IU294,IX294,JA294,JD294,JG294,JJ294,JM294,JP294)</f>
        <v>6881.53</v>
      </c>
      <c r="IG294" s="263">
        <f t="shared" ref="IG294:IG296" si="9279">SUM(IJ294,IM294,IP294,IS294,IV294,IY294,JB294,JE294,JH294,JK294,JN294,JQ294)</f>
        <v>6881.53</v>
      </c>
      <c r="IH294" s="842">
        <f t="shared" ref="IH294:IH296" si="9280">SUM(IK294,IN294,IQ294,IT294,IW294,IZ294,JC294,JF294,JI294,JL294,JO294,JR294)</f>
        <v>6881.53</v>
      </c>
      <c r="II294" s="89">
        <v>0</v>
      </c>
      <c r="IJ294" s="89">
        <v>0</v>
      </c>
      <c r="IK294" s="89">
        <v>0</v>
      </c>
      <c r="IL294" s="89">
        <v>0</v>
      </c>
      <c r="IM294" s="89">
        <v>0</v>
      </c>
      <c r="IN294" s="89">
        <v>0</v>
      </c>
      <c r="IO294" s="89">
        <v>0</v>
      </c>
      <c r="IP294" s="89">
        <v>0</v>
      </c>
      <c r="IQ294" s="89">
        <v>0</v>
      </c>
      <c r="IR294" s="89">
        <v>0</v>
      </c>
      <c r="IS294" s="89">
        <v>0</v>
      </c>
      <c r="IT294" s="89">
        <v>0</v>
      </c>
      <c r="IU294" s="89">
        <v>0</v>
      </c>
      <c r="IV294" s="89">
        <v>0</v>
      </c>
      <c r="IW294" s="89">
        <v>0</v>
      </c>
      <c r="IX294" s="89">
        <v>0</v>
      </c>
      <c r="IY294" s="89">
        <v>0</v>
      </c>
      <c r="IZ294" s="89">
        <v>0</v>
      </c>
      <c r="JA294" s="89">
        <v>0</v>
      </c>
      <c r="JB294" s="89">
        <v>0</v>
      </c>
      <c r="JC294" s="89">
        <v>0</v>
      </c>
      <c r="JD294" s="89">
        <v>0</v>
      </c>
      <c r="JE294" s="89">
        <v>0</v>
      </c>
      <c r="JF294" s="89">
        <v>0</v>
      </c>
      <c r="JG294" s="89">
        <v>20</v>
      </c>
      <c r="JH294" s="89">
        <v>0</v>
      </c>
      <c r="JI294" s="89">
        <v>0</v>
      </c>
      <c r="JJ294" s="89">
        <f>6881.53-20</f>
        <v>6861.53</v>
      </c>
      <c r="JK294" s="89">
        <f>JJ294+20</f>
        <v>6881.53</v>
      </c>
      <c r="JL294" s="89">
        <f>JK294</f>
        <v>6881.53</v>
      </c>
      <c r="JM294" s="89">
        <v>0</v>
      </c>
      <c r="JN294" s="89">
        <v>0</v>
      </c>
      <c r="JO294" s="89">
        <v>0</v>
      </c>
      <c r="JP294" s="89">
        <v>0</v>
      </c>
      <c r="JQ294" s="89">
        <v>0</v>
      </c>
      <c r="JR294" s="89">
        <v>0</v>
      </c>
      <c r="JS294" s="74">
        <f>HG294-IF294</f>
        <v>118.47000000000025</v>
      </c>
      <c r="JT294" s="382">
        <f>GS294-IF294</f>
        <v>118.47000000000025</v>
      </c>
      <c r="JU294" s="665"/>
      <c r="JV294" s="524"/>
      <c r="JW294" s="525"/>
      <c r="JX294" s="548">
        <f t="shared" ref="JX294:JY296" si="9281">SUM(HH294,HJ294,HL294,HN294,HP294,HR294,HT294,HV294,HX294,HZ294,IB294,ID294)</f>
        <v>0</v>
      </c>
      <c r="JY294" s="548">
        <f t="shared" si="9281"/>
        <v>0</v>
      </c>
      <c r="JZ294" s="581">
        <f t="shared" si="9103"/>
        <v>7000</v>
      </c>
      <c r="KA294" s="581">
        <f t="shared" si="9104"/>
        <v>0</v>
      </c>
      <c r="KB294" s="548">
        <f>JX294+JY294+JZ294+KA294</f>
        <v>7000</v>
      </c>
      <c r="KC294" s="709">
        <f t="shared" si="9101"/>
        <v>0</v>
      </c>
      <c r="KD294" s="35"/>
      <c r="KE294" s="35"/>
      <c r="KF294" s="35"/>
      <c r="KG294" s="35"/>
      <c r="KH294" s="35"/>
      <c r="KI294" s="35"/>
      <c r="KJ294" s="35"/>
      <c r="KK294" s="35"/>
    </row>
    <row r="295" spans="1:297" s="10" customFormat="1" ht="12.75" customHeight="1">
      <c r="A295" s="86" t="s">
        <v>1081</v>
      </c>
      <c r="B295" s="77"/>
      <c r="C295" s="74">
        <v>0</v>
      </c>
      <c r="D295" s="549">
        <v>0</v>
      </c>
      <c r="E295" s="675">
        <v>0</v>
      </c>
      <c r="F295" s="549">
        <v>0</v>
      </c>
      <c r="G295" s="675">
        <v>0</v>
      </c>
      <c r="H295" s="549">
        <v>0</v>
      </c>
      <c r="I295" s="675">
        <v>0</v>
      </c>
      <c r="J295" s="549">
        <v>0</v>
      </c>
      <c r="K295" s="675">
        <v>0</v>
      </c>
      <c r="L295" s="549">
        <v>0</v>
      </c>
      <c r="M295" s="675">
        <v>0</v>
      </c>
      <c r="N295" s="549">
        <v>0</v>
      </c>
      <c r="O295" s="675">
        <v>0</v>
      </c>
      <c r="P295" s="549">
        <v>0</v>
      </c>
      <c r="Q295" s="675">
        <v>0</v>
      </c>
      <c r="R295" s="549">
        <v>0</v>
      </c>
      <c r="S295" s="675">
        <v>0</v>
      </c>
      <c r="T295" s="549">
        <v>0</v>
      </c>
      <c r="U295" s="675">
        <v>0</v>
      </c>
      <c r="V295" s="549">
        <v>0</v>
      </c>
      <c r="W295" s="675">
        <v>0</v>
      </c>
      <c r="X295" s="549">
        <v>0</v>
      </c>
      <c r="Y295" s="675">
        <v>0</v>
      </c>
      <c r="Z295" s="549">
        <v>0</v>
      </c>
      <c r="AA295" s="675">
        <v>0</v>
      </c>
      <c r="AB295" s="549">
        <v>0</v>
      </c>
      <c r="AC295" s="675">
        <v>0</v>
      </c>
      <c r="AD295" s="549">
        <v>0</v>
      </c>
      <c r="AE295" s="675">
        <v>0</v>
      </c>
      <c r="AF295" s="549">
        <v>0</v>
      </c>
      <c r="AG295" s="675">
        <v>0</v>
      </c>
      <c r="AH295" s="549">
        <v>0</v>
      </c>
      <c r="AI295" s="675">
        <v>0</v>
      </c>
      <c r="AJ295" s="549">
        <v>0</v>
      </c>
      <c r="AK295" s="675">
        <v>0</v>
      </c>
      <c r="AL295" s="549">
        <v>0</v>
      </c>
      <c r="AM295" s="675">
        <v>0</v>
      </c>
      <c r="AN295" s="549">
        <v>0</v>
      </c>
      <c r="AO295" s="675">
        <v>0</v>
      </c>
      <c r="AP295" s="549">
        <v>0</v>
      </c>
      <c r="AQ295" s="675">
        <v>0</v>
      </c>
      <c r="AR295" s="549">
        <v>0</v>
      </c>
      <c r="AS295" s="675">
        <v>0</v>
      </c>
      <c r="AT295" s="549">
        <v>0</v>
      </c>
      <c r="AU295" s="675">
        <v>0</v>
      </c>
      <c r="AV295" s="549">
        <v>0</v>
      </c>
      <c r="AW295" s="675">
        <v>0</v>
      </c>
      <c r="AX295" s="549">
        <v>0</v>
      </c>
      <c r="AY295" s="675">
        <v>0</v>
      </c>
      <c r="AZ295" s="549">
        <v>0</v>
      </c>
      <c r="BA295" s="675">
        <v>0</v>
      </c>
      <c r="BB295" s="549">
        <v>0</v>
      </c>
      <c r="BC295" s="675">
        <v>0</v>
      </c>
      <c r="BD295" s="549">
        <v>0</v>
      </c>
      <c r="BE295" s="675">
        <v>0</v>
      </c>
      <c r="BF295" s="549">
        <v>0</v>
      </c>
      <c r="BG295" s="675">
        <v>0</v>
      </c>
      <c r="BH295" s="549">
        <v>0</v>
      </c>
      <c r="BI295" s="675">
        <v>0</v>
      </c>
      <c r="BJ295" s="549">
        <v>0</v>
      </c>
      <c r="BK295" s="675">
        <v>0</v>
      </c>
      <c r="BL295" s="549">
        <v>0</v>
      </c>
      <c r="BM295" s="675">
        <v>0</v>
      </c>
      <c r="BN295" s="549">
        <v>0</v>
      </c>
      <c r="BO295" s="675">
        <v>0</v>
      </c>
      <c r="BP295" s="549">
        <v>0</v>
      </c>
      <c r="BQ295" s="675">
        <v>0</v>
      </c>
      <c r="BR295" s="549">
        <v>0</v>
      </c>
      <c r="BS295" s="675">
        <v>0</v>
      </c>
      <c r="BT295" s="549">
        <v>0</v>
      </c>
      <c r="BU295" s="675">
        <v>0</v>
      </c>
      <c r="BV295" s="549">
        <v>0</v>
      </c>
      <c r="BW295" s="675">
        <v>0</v>
      </c>
      <c r="BX295" s="549">
        <v>0</v>
      </c>
      <c r="BY295" s="675">
        <v>0</v>
      </c>
      <c r="BZ295" s="549">
        <v>0</v>
      </c>
      <c r="CA295" s="675">
        <v>0</v>
      </c>
      <c r="CB295" s="549">
        <v>0</v>
      </c>
      <c r="CC295" s="675">
        <v>0</v>
      </c>
      <c r="CD295" s="549">
        <v>0</v>
      </c>
      <c r="CE295" s="675">
        <v>0</v>
      </c>
      <c r="CF295" s="549">
        <v>0</v>
      </c>
      <c r="CG295" s="675">
        <v>0</v>
      </c>
      <c r="CH295" s="549">
        <v>0</v>
      </c>
      <c r="CI295" s="675">
        <v>0</v>
      </c>
      <c r="CJ295" s="549">
        <v>0</v>
      </c>
      <c r="CK295" s="675">
        <v>0</v>
      </c>
      <c r="CL295" s="549">
        <v>0</v>
      </c>
      <c r="CM295" s="675">
        <v>0</v>
      </c>
      <c r="CN295" s="549">
        <v>0</v>
      </c>
      <c r="CO295" s="675">
        <v>0</v>
      </c>
      <c r="CP295" s="549">
        <v>0</v>
      </c>
      <c r="CQ295" s="675">
        <v>0</v>
      </c>
      <c r="CR295" s="549">
        <v>0</v>
      </c>
      <c r="CS295" s="675">
        <v>0</v>
      </c>
      <c r="CT295" s="549">
        <v>0</v>
      </c>
      <c r="CU295" s="675">
        <v>0</v>
      </c>
      <c r="CV295" s="549">
        <v>0</v>
      </c>
      <c r="CW295" s="675">
        <v>0</v>
      </c>
      <c r="CX295" s="549">
        <v>0</v>
      </c>
      <c r="CY295" s="675">
        <v>0</v>
      </c>
      <c r="CZ295" s="549">
        <v>0</v>
      </c>
      <c r="DA295" s="675">
        <v>0</v>
      </c>
      <c r="DB295" s="549">
        <v>0</v>
      </c>
      <c r="DC295" s="675">
        <v>0</v>
      </c>
      <c r="DD295" s="549">
        <v>0</v>
      </c>
      <c r="DE295" s="675">
        <v>0</v>
      </c>
      <c r="DF295" s="549">
        <v>0</v>
      </c>
      <c r="DG295" s="675">
        <v>0</v>
      </c>
      <c r="DH295" s="549">
        <v>0</v>
      </c>
      <c r="DI295" s="675">
        <v>0</v>
      </c>
      <c r="DJ295" s="549">
        <v>0</v>
      </c>
      <c r="DK295" s="675">
        <v>0</v>
      </c>
      <c r="DL295" s="549">
        <v>0</v>
      </c>
      <c r="DM295" s="675">
        <v>0</v>
      </c>
      <c r="DN295" s="549">
        <v>0</v>
      </c>
      <c r="DO295" s="675">
        <v>0</v>
      </c>
      <c r="DP295" s="549">
        <v>0</v>
      </c>
      <c r="DQ295" s="675">
        <v>0</v>
      </c>
      <c r="DR295" s="549">
        <v>0</v>
      </c>
      <c r="DS295" s="675">
        <v>0</v>
      </c>
      <c r="DT295" s="549">
        <v>0</v>
      </c>
      <c r="DU295" s="675">
        <v>0</v>
      </c>
      <c r="DV295" s="549">
        <v>0</v>
      </c>
      <c r="DW295" s="675">
        <v>0</v>
      </c>
      <c r="DX295" s="549">
        <v>0</v>
      </c>
      <c r="DY295" s="675">
        <v>0</v>
      </c>
      <c r="DZ295" s="549">
        <v>0</v>
      </c>
      <c r="EA295" s="675">
        <v>0</v>
      </c>
      <c r="EB295" s="549">
        <v>0</v>
      </c>
      <c r="EC295" s="675">
        <v>0</v>
      </c>
      <c r="ED295" s="549">
        <v>10000</v>
      </c>
      <c r="EE295" s="675">
        <v>0</v>
      </c>
      <c r="EF295" s="549">
        <v>0</v>
      </c>
      <c r="EG295" s="675">
        <v>0</v>
      </c>
      <c r="EH295" s="549">
        <v>0</v>
      </c>
      <c r="EI295" s="675">
        <v>0</v>
      </c>
      <c r="EJ295" s="549">
        <v>0</v>
      </c>
      <c r="EK295" s="675">
        <v>0</v>
      </c>
      <c r="EL295" s="549">
        <v>0</v>
      </c>
      <c r="EM295" s="675">
        <v>0</v>
      </c>
      <c r="EN295" s="549">
        <v>0</v>
      </c>
      <c r="EO295" s="675">
        <v>0</v>
      </c>
      <c r="EP295" s="549">
        <v>0</v>
      </c>
      <c r="EQ295" s="675">
        <v>0</v>
      </c>
      <c r="ER295" s="549">
        <v>0</v>
      </c>
      <c r="ES295" s="675">
        <v>0</v>
      </c>
      <c r="ET295" s="549">
        <v>0</v>
      </c>
      <c r="EU295" s="675">
        <v>0</v>
      </c>
      <c r="EV295" s="549">
        <v>0</v>
      </c>
      <c r="EW295" s="675">
        <v>0</v>
      </c>
      <c r="EX295" s="549">
        <v>0</v>
      </c>
      <c r="EY295" s="675">
        <v>0</v>
      </c>
      <c r="EZ295" s="549">
        <v>0</v>
      </c>
      <c r="FA295" s="675">
        <v>0</v>
      </c>
      <c r="FB295" s="549">
        <v>0</v>
      </c>
      <c r="FC295" s="675">
        <v>0</v>
      </c>
      <c r="FD295" s="549">
        <v>0</v>
      </c>
      <c r="FE295" s="675">
        <v>0</v>
      </c>
      <c r="FF295" s="549">
        <v>0</v>
      </c>
      <c r="FG295" s="675">
        <v>0</v>
      </c>
      <c r="FH295" s="549">
        <v>0</v>
      </c>
      <c r="FI295" s="675">
        <v>0</v>
      </c>
      <c r="FJ295" s="549">
        <v>0</v>
      </c>
      <c r="FK295" s="675">
        <v>0</v>
      </c>
      <c r="FL295" s="549">
        <v>0</v>
      </c>
      <c r="FM295" s="675">
        <v>0</v>
      </c>
      <c r="FN295" s="549">
        <v>0</v>
      </c>
      <c r="FO295" s="675">
        <v>0</v>
      </c>
      <c r="FP295" s="549">
        <v>0</v>
      </c>
      <c r="FQ295" s="675">
        <v>0</v>
      </c>
      <c r="FR295" s="549">
        <v>0</v>
      </c>
      <c r="FS295" s="675">
        <v>0</v>
      </c>
      <c r="FT295" s="549">
        <v>0</v>
      </c>
      <c r="FU295" s="675">
        <v>0</v>
      </c>
      <c r="FV295" s="549">
        <v>0</v>
      </c>
      <c r="FW295" s="675">
        <v>0</v>
      </c>
      <c r="FX295" s="549">
        <v>0</v>
      </c>
      <c r="FY295" s="675">
        <v>0</v>
      </c>
      <c r="FZ295" s="549">
        <v>0</v>
      </c>
      <c r="GA295" s="675">
        <v>0</v>
      </c>
      <c r="GB295" s="549">
        <v>0</v>
      </c>
      <c r="GC295" s="675">
        <v>0</v>
      </c>
      <c r="GD295" s="549">
        <v>0</v>
      </c>
      <c r="GE295" s="675">
        <v>0</v>
      </c>
      <c r="GF295" s="549">
        <v>0</v>
      </c>
      <c r="GG295" s="675">
        <v>0</v>
      </c>
      <c r="GH295" s="549">
        <v>0</v>
      </c>
      <c r="GI295" s="675">
        <v>0</v>
      </c>
      <c r="GJ295" s="549">
        <v>0</v>
      </c>
      <c r="GK295" s="675">
        <v>0</v>
      </c>
      <c r="GL295" s="549">
        <v>0</v>
      </c>
      <c r="GM295" s="675">
        <v>0</v>
      </c>
      <c r="GN295" s="549">
        <v>0</v>
      </c>
      <c r="GO295" s="675">
        <v>0</v>
      </c>
      <c r="GP295" s="549">
        <f>+D295+F295+H295+J295+L295+N295+P295+R295+T295+V295+X295+Z295+AB295+AD295+AH295+AJ295+AL295+AN295+AP295+AR295+AT295+AV295+AX295+AZ295+BB295+BD295+BF295+BH295+BJ295+BL295+BN295+BP295+BR295+BT295+BV295+BX295+BZ295+CB295+CD295+CF295+CH295+CJ295+CL295+CN295+CP295+CR295+CT295+CV295+CX295+CZ295+DB295+DD295+DF295+DH295+DT295+EX295+DJ295+DL295+DN295+DP295+DR295+EJ295+EB295+DZ295+DX295+DV295+ED295+EF295+EH295+EL295+EN295+EP295+EV295+ET295+ER295+EZ295+FB295+FD295+GL295</f>
        <v>10000</v>
      </c>
      <c r="GQ295" s="675">
        <f>+E295+G295+I295+K295+M295+O295+Q295+S295+U295+W295+Y295+AA295+AC295+AE295+AI295+AK295+AM295+AO295+AQ295+AS295+AU295+AW295+AY295+BA295+BC295+BE295+BG295+BI295+BK295+BM295+BO295+BQ295+BS295+BU295+BW295+BY295+CA295+CC295+CE295+CG295+CI295+CK295+CM295+CO295+CQ295+CS295+CU295+CW295+CY295+DA295+DC295+DE295+DG295+DI295+DU295+EY295+DK295+DM295+DO295+DQ295+DS295+EK295+EC295+EA295+DY295+DW295+EI295+EG295+EE295+EM295+EO295+EQ295+EW295+EU295+ES295+FA295+FC295+FE295+GM295</f>
        <v>0</v>
      </c>
      <c r="GR295" s="74">
        <f>C295+GP295+GQ295</f>
        <v>10000</v>
      </c>
      <c r="GS295" s="74">
        <f t="shared" si="9277"/>
        <v>10000</v>
      </c>
      <c r="GT295" s="568">
        <f>SUM(GU295:HF295)+GQ295+GP295</f>
        <v>10000</v>
      </c>
      <c r="GU295" s="73"/>
      <c r="GV295" s="73"/>
      <c r="GW295" s="549"/>
      <c r="GX295" s="549"/>
      <c r="GY295" s="73"/>
      <c r="GZ295" s="73"/>
      <c r="HA295" s="73"/>
      <c r="HB295" s="73"/>
      <c r="HC295" s="73"/>
      <c r="HD295" s="73"/>
      <c r="HE295" s="73"/>
      <c r="HF295" s="73"/>
      <c r="HG295" s="74">
        <f>SUM(HH295:IE295)+GP295+GQ295</f>
        <v>10000</v>
      </c>
      <c r="HH295" s="89">
        <v>0</v>
      </c>
      <c r="HI295" s="817">
        <v>0</v>
      </c>
      <c r="HJ295" s="89">
        <v>0</v>
      </c>
      <c r="HK295" s="817">
        <v>0</v>
      </c>
      <c r="HL295" s="89">
        <v>0</v>
      </c>
      <c r="HM295" s="817">
        <v>0</v>
      </c>
      <c r="HN295" s="89">
        <v>0</v>
      </c>
      <c r="HO295" s="817">
        <v>0</v>
      </c>
      <c r="HP295" s="89">
        <v>0</v>
      </c>
      <c r="HQ295" s="817">
        <v>0</v>
      </c>
      <c r="HR295" s="89">
        <v>0</v>
      </c>
      <c r="HS295" s="817">
        <v>0</v>
      </c>
      <c r="HT295" s="89">
        <v>0</v>
      </c>
      <c r="HU295" s="817">
        <v>0</v>
      </c>
      <c r="HV295" s="89">
        <v>0</v>
      </c>
      <c r="HW295" s="817">
        <v>0</v>
      </c>
      <c r="HX295" s="89">
        <v>0</v>
      </c>
      <c r="HY295" s="817">
        <v>0</v>
      </c>
      <c r="HZ295" s="89">
        <v>0</v>
      </c>
      <c r="IA295" s="817">
        <v>0</v>
      </c>
      <c r="IB295" s="89">
        <v>0</v>
      </c>
      <c r="IC295" s="817">
        <v>0</v>
      </c>
      <c r="ID295" s="89">
        <v>0</v>
      </c>
      <c r="IE295" s="817">
        <v>0</v>
      </c>
      <c r="IF295" s="841">
        <f t="shared" si="9278"/>
        <v>8930.32</v>
      </c>
      <c r="IG295" s="263">
        <f t="shared" si="9279"/>
        <v>8930.32</v>
      </c>
      <c r="IH295" s="842">
        <f t="shared" si="9280"/>
        <v>8930.32</v>
      </c>
      <c r="II295" s="89">
        <v>0</v>
      </c>
      <c r="IJ295" s="89">
        <v>0</v>
      </c>
      <c r="IK295" s="89">
        <v>0</v>
      </c>
      <c r="IL295" s="89">
        <v>0</v>
      </c>
      <c r="IM295" s="89">
        <v>0</v>
      </c>
      <c r="IN295" s="89">
        <v>0</v>
      </c>
      <c r="IO295" s="89">
        <v>0</v>
      </c>
      <c r="IP295" s="89">
        <v>0</v>
      </c>
      <c r="IQ295" s="89">
        <v>0</v>
      </c>
      <c r="IR295" s="89">
        <v>0</v>
      </c>
      <c r="IS295" s="89">
        <v>0</v>
      </c>
      <c r="IT295" s="89">
        <v>0</v>
      </c>
      <c r="IU295" s="89">
        <v>0</v>
      </c>
      <c r="IV295" s="89">
        <v>0</v>
      </c>
      <c r="IW295" s="89">
        <v>0</v>
      </c>
      <c r="IX295" s="89">
        <v>0</v>
      </c>
      <c r="IY295" s="89">
        <v>0</v>
      </c>
      <c r="IZ295" s="89">
        <v>0</v>
      </c>
      <c r="JA295" s="89">
        <v>0</v>
      </c>
      <c r="JB295" s="89">
        <v>0</v>
      </c>
      <c r="JC295" s="89">
        <v>0</v>
      </c>
      <c r="JD295" s="89">
        <v>0</v>
      </c>
      <c r="JE295" s="89">
        <v>0</v>
      </c>
      <c r="JF295" s="89">
        <v>0</v>
      </c>
      <c r="JG295" s="89">
        <v>0</v>
      </c>
      <c r="JH295" s="89">
        <v>0</v>
      </c>
      <c r="JI295" s="89">
        <v>0</v>
      </c>
      <c r="JJ295" s="89">
        <v>8930.32</v>
      </c>
      <c r="JK295" s="89">
        <f>JJ295</f>
        <v>8930.32</v>
      </c>
      <c r="JL295" s="89">
        <f>JK295</f>
        <v>8930.32</v>
      </c>
      <c r="JM295" s="89">
        <v>0</v>
      </c>
      <c r="JN295" s="89">
        <v>0</v>
      </c>
      <c r="JO295" s="89">
        <v>0</v>
      </c>
      <c r="JP295" s="89">
        <v>0</v>
      </c>
      <c r="JQ295" s="89">
        <v>0</v>
      </c>
      <c r="JR295" s="89">
        <v>0</v>
      </c>
      <c r="JS295" s="74">
        <f>HG295-IF295</f>
        <v>1069.6800000000003</v>
      </c>
      <c r="JT295" s="382">
        <f>GS295-IF295</f>
        <v>1069.6800000000003</v>
      </c>
      <c r="JU295" s="665"/>
      <c r="JV295" s="524"/>
      <c r="JW295" s="525"/>
      <c r="JX295" s="548">
        <f t="shared" si="9281"/>
        <v>0</v>
      </c>
      <c r="JY295" s="548">
        <f t="shared" si="9281"/>
        <v>0</v>
      </c>
      <c r="JZ295" s="581">
        <f t="shared" si="9103"/>
        <v>10000</v>
      </c>
      <c r="KA295" s="581">
        <f t="shared" si="9104"/>
        <v>0</v>
      </c>
      <c r="KB295" s="548">
        <f>JX295+JY295+JZ295+KA295</f>
        <v>10000</v>
      </c>
      <c r="KC295" s="709">
        <f t="shared" si="9101"/>
        <v>0</v>
      </c>
      <c r="KD295" s="35"/>
      <c r="KE295" s="35"/>
      <c r="KF295" s="35"/>
      <c r="KG295" s="35"/>
      <c r="KH295" s="35"/>
      <c r="KI295" s="35"/>
      <c r="KJ295" s="35"/>
      <c r="KK295" s="35"/>
    </row>
    <row r="296" spans="1:297" s="10" customFormat="1" ht="12.75" hidden="1" customHeight="1">
      <c r="A296" s="86" t="s">
        <v>1082</v>
      </c>
      <c r="B296" s="77"/>
      <c r="C296" s="74">
        <v>0</v>
      </c>
      <c r="D296" s="549">
        <v>0</v>
      </c>
      <c r="E296" s="675">
        <v>0</v>
      </c>
      <c r="F296" s="549">
        <v>0</v>
      </c>
      <c r="G296" s="675">
        <v>0</v>
      </c>
      <c r="H296" s="549">
        <v>0</v>
      </c>
      <c r="I296" s="675">
        <v>0</v>
      </c>
      <c r="J296" s="549">
        <v>0</v>
      </c>
      <c r="K296" s="675">
        <v>0</v>
      </c>
      <c r="L296" s="549">
        <v>0</v>
      </c>
      <c r="M296" s="675">
        <v>0</v>
      </c>
      <c r="N296" s="549">
        <v>0</v>
      </c>
      <c r="O296" s="675">
        <v>0</v>
      </c>
      <c r="P296" s="549">
        <v>0</v>
      </c>
      <c r="Q296" s="675">
        <v>0</v>
      </c>
      <c r="R296" s="549">
        <v>0</v>
      </c>
      <c r="S296" s="675">
        <v>0</v>
      </c>
      <c r="T296" s="549">
        <v>0</v>
      </c>
      <c r="U296" s="675">
        <v>0</v>
      </c>
      <c r="V296" s="549">
        <v>0</v>
      </c>
      <c r="W296" s="675">
        <v>0</v>
      </c>
      <c r="X296" s="549">
        <v>0</v>
      </c>
      <c r="Y296" s="675">
        <v>0</v>
      </c>
      <c r="Z296" s="549">
        <v>0</v>
      </c>
      <c r="AA296" s="675">
        <v>0</v>
      </c>
      <c r="AB296" s="549">
        <v>0</v>
      </c>
      <c r="AC296" s="675">
        <v>0</v>
      </c>
      <c r="AD296" s="549">
        <v>0</v>
      </c>
      <c r="AE296" s="675">
        <v>0</v>
      </c>
      <c r="AF296" s="549">
        <v>0</v>
      </c>
      <c r="AG296" s="675">
        <v>0</v>
      </c>
      <c r="AH296" s="549">
        <v>0</v>
      </c>
      <c r="AI296" s="675">
        <v>0</v>
      </c>
      <c r="AJ296" s="549">
        <v>0</v>
      </c>
      <c r="AK296" s="675">
        <v>0</v>
      </c>
      <c r="AL296" s="549">
        <v>0</v>
      </c>
      <c r="AM296" s="675">
        <v>0</v>
      </c>
      <c r="AN296" s="549">
        <v>0</v>
      </c>
      <c r="AO296" s="675">
        <v>0</v>
      </c>
      <c r="AP296" s="549">
        <v>0</v>
      </c>
      <c r="AQ296" s="675">
        <v>0</v>
      </c>
      <c r="AR296" s="549">
        <v>0</v>
      </c>
      <c r="AS296" s="675">
        <v>0</v>
      </c>
      <c r="AT296" s="549">
        <v>0</v>
      </c>
      <c r="AU296" s="675">
        <v>0</v>
      </c>
      <c r="AV296" s="549">
        <v>0</v>
      </c>
      <c r="AW296" s="675">
        <v>0</v>
      </c>
      <c r="AX296" s="549">
        <v>0</v>
      </c>
      <c r="AY296" s="675">
        <v>0</v>
      </c>
      <c r="AZ296" s="549">
        <v>0</v>
      </c>
      <c r="BA296" s="675">
        <v>0</v>
      </c>
      <c r="BB296" s="549">
        <v>0</v>
      </c>
      <c r="BC296" s="675">
        <v>0</v>
      </c>
      <c r="BD296" s="549">
        <v>0</v>
      </c>
      <c r="BE296" s="675">
        <v>0</v>
      </c>
      <c r="BF296" s="549">
        <v>0</v>
      </c>
      <c r="BG296" s="675">
        <v>0</v>
      </c>
      <c r="BH296" s="549">
        <v>0</v>
      </c>
      <c r="BI296" s="675">
        <v>0</v>
      </c>
      <c r="BJ296" s="549">
        <v>0</v>
      </c>
      <c r="BK296" s="675">
        <v>0</v>
      </c>
      <c r="BL296" s="549">
        <v>0</v>
      </c>
      <c r="BM296" s="675">
        <v>0</v>
      </c>
      <c r="BN296" s="549">
        <v>0</v>
      </c>
      <c r="BO296" s="675">
        <v>0</v>
      </c>
      <c r="BP296" s="549">
        <v>0</v>
      </c>
      <c r="BQ296" s="675">
        <v>0</v>
      </c>
      <c r="BR296" s="549">
        <v>0</v>
      </c>
      <c r="BS296" s="675">
        <v>0</v>
      </c>
      <c r="BT296" s="549">
        <v>0</v>
      </c>
      <c r="BU296" s="675">
        <v>0</v>
      </c>
      <c r="BV296" s="549">
        <v>0</v>
      </c>
      <c r="BW296" s="675">
        <v>0</v>
      </c>
      <c r="BX296" s="549">
        <v>0</v>
      </c>
      <c r="BY296" s="675">
        <v>0</v>
      </c>
      <c r="BZ296" s="549">
        <v>0</v>
      </c>
      <c r="CA296" s="675">
        <v>0</v>
      </c>
      <c r="CB296" s="549">
        <v>0</v>
      </c>
      <c r="CC296" s="675">
        <v>0</v>
      </c>
      <c r="CD296" s="549">
        <v>0</v>
      </c>
      <c r="CE296" s="675">
        <v>0</v>
      </c>
      <c r="CF296" s="549">
        <v>0</v>
      </c>
      <c r="CG296" s="675">
        <v>0</v>
      </c>
      <c r="CH296" s="549">
        <v>0</v>
      </c>
      <c r="CI296" s="675">
        <v>0</v>
      </c>
      <c r="CJ296" s="549">
        <v>0</v>
      </c>
      <c r="CK296" s="675">
        <v>0</v>
      </c>
      <c r="CL296" s="549">
        <v>0</v>
      </c>
      <c r="CM296" s="675">
        <v>0</v>
      </c>
      <c r="CN296" s="549">
        <v>0</v>
      </c>
      <c r="CO296" s="675">
        <v>0</v>
      </c>
      <c r="CP296" s="549">
        <v>0</v>
      </c>
      <c r="CQ296" s="675">
        <v>0</v>
      </c>
      <c r="CR296" s="549">
        <v>0</v>
      </c>
      <c r="CS296" s="675">
        <v>0</v>
      </c>
      <c r="CT296" s="549">
        <v>0</v>
      </c>
      <c r="CU296" s="675">
        <v>0</v>
      </c>
      <c r="CV296" s="549">
        <v>0</v>
      </c>
      <c r="CW296" s="675">
        <v>0</v>
      </c>
      <c r="CX296" s="549">
        <v>0</v>
      </c>
      <c r="CY296" s="675">
        <v>0</v>
      </c>
      <c r="CZ296" s="549">
        <v>0</v>
      </c>
      <c r="DA296" s="675">
        <v>0</v>
      </c>
      <c r="DB296" s="549">
        <v>0</v>
      </c>
      <c r="DC296" s="675">
        <v>0</v>
      </c>
      <c r="DD296" s="549">
        <v>0</v>
      </c>
      <c r="DE296" s="675">
        <v>0</v>
      </c>
      <c r="DF296" s="549">
        <v>0</v>
      </c>
      <c r="DG296" s="675">
        <v>0</v>
      </c>
      <c r="DH296" s="549">
        <v>0</v>
      </c>
      <c r="DI296" s="675">
        <v>0</v>
      </c>
      <c r="DJ296" s="549">
        <v>0</v>
      </c>
      <c r="DK296" s="675">
        <v>0</v>
      </c>
      <c r="DL296" s="549">
        <v>0</v>
      </c>
      <c r="DM296" s="675">
        <v>0</v>
      </c>
      <c r="DN296" s="549">
        <v>0</v>
      </c>
      <c r="DO296" s="675">
        <v>0</v>
      </c>
      <c r="DP296" s="549">
        <v>0</v>
      </c>
      <c r="DQ296" s="675">
        <v>0</v>
      </c>
      <c r="DR296" s="549">
        <v>0</v>
      </c>
      <c r="DS296" s="675">
        <v>0</v>
      </c>
      <c r="DT296" s="549">
        <v>0</v>
      </c>
      <c r="DU296" s="675">
        <v>0</v>
      </c>
      <c r="DV296" s="549">
        <v>0</v>
      </c>
      <c r="DW296" s="675">
        <v>0</v>
      </c>
      <c r="DX296" s="549">
        <v>0</v>
      </c>
      <c r="DY296" s="675">
        <v>0</v>
      </c>
      <c r="DZ296" s="549">
        <v>0</v>
      </c>
      <c r="EA296" s="675">
        <v>0</v>
      </c>
      <c r="EB296" s="549">
        <v>0</v>
      </c>
      <c r="EC296" s="675">
        <v>0</v>
      </c>
      <c r="ED296" s="549">
        <v>0</v>
      </c>
      <c r="EE296" s="675">
        <v>0</v>
      </c>
      <c r="EF296" s="549">
        <v>0</v>
      </c>
      <c r="EG296" s="675">
        <v>0</v>
      </c>
      <c r="EH296" s="549">
        <v>0</v>
      </c>
      <c r="EI296" s="675">
        <v>0</v>
      </c>
      <c r="EJ296" s="549">
        <v>0</v>
      </c>
      <c r="EK296" s="675">
        <v>0</v>
      </c>
      <c r="EL296" s="549">
        <v>0</v>
      </c>
      <c r="EM296" s="675">
        <v>0</v>
      </c>
      <c r="EN296" s="549">
        <v>0</v>
      </c>
      <c r="EO296" s="675">
        <v>0</v>
      </c>
      <c r="EP296" s="549">
        <v>0</v>
      </c>
      <c r="EQ296" s="675">
        <v>0</v>
      </c>
      <c r="ER296" s="549">
        <v>0</v>
      </c>
      <c r="ES296" s="675">
        <v>0</v>
      </c>
      <c r="ET296" s="549">
        <v>0</v>
      </c>
      <c r="EU296" s="675">
        <v>0</v>
      </c>
      <c r="EV296" s="549">
        <v>0</v>
      </c>
      <c r="EW296" s="675">
        <v>0</v>
      </c>
      <c r="EX296" s="549">
        <v>0</v>
      </c>
      <c r="EY296" s="675">
        <v>0</v>
      </c>
      <c r="EZ296" s="549">
        <v>0</v>
      </c>
      <c r="FA296" s="675">
        <v>0</v>
      </c>
      <c r="FB296" s="549">
        <v>0</v>
      </c>
      <c r="FC296" s="675">
        <v>0</v>
      </c>
      <c r="FD296" s="549">
        <v>0</v>
      </c>
      <c r="FE296" s="675">
        <v>0</v>
      </c>
      <c r="FF296" s="549">
        <v>0</v>
      </c>
      <c r="FG296" s="675">
        <v>0</v>
      </c>
      <c r="FH296" s="549">
        <v>0</v>
      </c>
      <c r="FI296" s="675">
        <v>0</v>
      </c>
      <c r="FJ296" s="549">
        <v>0</v>
      </c>
      <c r="FK296" s="675">
        <v>0</v>
      </c>
      <c r="FL296" s="549">
        <v>0</v>
      </c>
      <c r="FM296" s="675">
        <v>0</v>
      </c>
      <c r="FN296" s="549">
        <v>0</v>
      </c>
      <c r="FO296" s="675">
        <v>0</v>
      </c>
      <c r="FP296" s="549">
        <v>0</v>
      </c>
      <c r="FQ296" s="675">
        <v>0</v>
      </c>
      <c r="FR296" s="549">
        <v>0</v>
      </c>
      <c r="FS296" s="675">
        <v>0</v>
      </c>
      <c r="FT296" s="549">
        <v>0</v>
      </c>
      <c r="FU296" s="675">
        <v>0</v>
      </c>
      <c r="FV296" s="549">
        <v>0</v>
      </c>
      <c r="FW296" s="675">
        <v>0</v>
      </c>
      <c r="FX296" s="549">
        <v>0</v>
      </c>
      <c r="FY296" s="675">
        <v>0</v>
      </c>
      <c r="FZ296" s="549">
        <v>0</v>
      </c>
      <c r="GA296" s="675">
        <v>0</v>
      </c>
      <c r="GB296" s="549">
        <v>0</v>
      </c>
      <c r="GC296" s="675">
        <v>0</v>
      </c>
      <c r="GD296" s="549">
        <v>0</v>
      </c>
      <c r="GE296" s="675">
        <v>0</v>
      </c>
      <c r="GF296" s="549">
        <v>0</v>
      </c>
      <c r="GG296" s="675">
        <v>0</v>
      </c>
      <c r="GH296" s="549">
        <v>0</v>
      </c>
      <c r="GI296" s="675">
        <v>0</v>
      </c>
      <c r="GJ296" s="549">
        <v>0</v>
      </c>
      <c r="GK296" s="675">
        <v>0</v>
      </c>
      <c r="GL296" s="549">
        <v>0</v>
      </c>
      <c r="GM296" s="675">
        <v>0</v>
      </c>
      <c r="GN296" s="549">
        <v>0</v>
      </c>
      <c r="GO296" s="675">
        <v>0</v>
      </c>
      <c r="GP296" s="549">
        <f>+D296+F296+H296+J296+L296+N296+P296+R296+T296+V296+X296+Z296+AB296+AD296+AH296+AJ296+AL296+AN296+AP296+AR296+AT296+AV296+AX296+AZ296+BB296+BD296+BF296+BH296+BJ296+BL296+BN296+BP296+BR296+BT296+BV296+BX296+BZ296+CB296+CD296+CF296+CH296+CJ296+CL296+CN296+CP296+CR296+CT296+CV296+CX296+CZ296+DB296+DD296+DF296+DH296+DT296+EX296+DJ296+DL296+DN296+DP296+DR296+EJ296+EB296+DZ296+DX296+DV296+ED296+EF296+EH296+EL296+EN296+EP296+EV296+ET296+ER296+EZ296+FB296+FD296+GL296</f>
        <v>0</v>
      </c>
      <c r="GQ296" s="675">
        <f>+E296+G296+I296+K296+M296+O296+Q296+S296+U296+W296+Y296+AA296+AC296+AE296+AI296+AK296+AM296+AO296+AQ296+AS296+AU296+AW296+AY296+BA296+BC296+BE296+BG296+BI296+BK296+BM296+BO296+BQ296+BS296+BU296+BW296+BY296+CA296+CC296+CE296+CG296+CI296+CK296+CM296+CO296+CQ296+CS296+CU296+CW296+CY296+DA296+DC296+DE296+DG296+DI296+DU296+EY296+DK296+DM296+DO296+DQ296+DS296+EK296+EC296+EA296+DY296+DW296+EI296+EG296+EE296+EM296+EO296+EQ296+EW296+EU296+ES296+FA296+FC296+FE296+GM296</f>
        <v>0</v>
      </c>
      <c r="GR296" s="74">
        <f>C296+GP296+GQ296</f>
        <v>0</v>
      </c>
      <c r="GS296" s="74">
        <f t="shared" ref="GS296" si="9282">SUM(GU296:HB296)+GP296+GQ296</f>
        <v>0</v>
      </c>
      <c r="GT296" s="568">
        <f>SUM(GU296:HF296)+GQ296+GP296</f>
        <v>0</v>
      </c>
      <c r="GU296" s="73"/>
      <c r="GV296" s="73"/>
      <c r="GW296" s="549"/>
      <c r="GX296" s="549"/>
      <c r="GY296" s="73"/>
      <c r="GZ296" s="73"/>
      <c r="HA296" s="73"/>
      <c r="HB296" s="73"/>
      <c r="HC296" s="73"/>
      <c r="HD296" s="73"/>
      <c r="HE296" s="73"/>
      <c r="HF296" s="73"/>
      <c r="HG296" s="74">
        <f>SUM(HH296:IE296)+GP296+GQ296</f>
        <v>0</v>
      </c>
      <c r="HH296" s="89">
        <v>0</v>
      </c>
      <c r="HI296" s="817">
        <v>0</v>
      </c>
      <c r="HJ296" s="89">
        <v>0</v>
      </c>
      <c r="HK296" s="817">
        <v>0</v>
      </c>
      <c r="HL296" s="89">
        <v>0</v>
      </c>
      <c r="HM296" s="817">
        <v>0</v>
      </c>
      <c r="HN296" s="89">
        <v>0</v>
      </c>
      <c r="HO296" s="817">
        <v>0</v>
      </c>
      <c r="HP296" s="89">
        <v>0</v>
      </c>
      <c r="HQ296" s="817">
        <v>0</v>
      </c>
      <c r="HR296" s="89">
        <v>0</v>
      </c>
      <c r="HS296" s="817">
        <v>0</v>
      </c>
      <c r="HT296" s="89">
        <v>0</v>
      </c>
      <c r="HU296" s="817">
        <v>0</v>
      </c>
      <c r="HV296" s="89">
        <v>0</v>
      </c>
      <c r="HW296" s="817">
        <v>0</v>
      </c>
      <c r="HX296" s="89">
        <v>0</v>
      </c>
      <c r="HY296" s="817">
        <v>0</v>
      </c>
      <c r="HZ296" s="89">
        <v>0</v>
      </c>
      <c r="IA296" s="817">
        <v>0</v>
      </c>
      <c r="IB296" s="89">
        <v>0</v>
      </c>
      <c r="IC296" s="817">
        <v>0</v>
      </c>
      <c r="ID296" s="89">
        <v>0</v>
      </c>
      <c r="IE296" s="817">
        <v>0</v>
      </c>
      <c r="IF296" s="841">
        <f t="shared" si="9278"/>
        <v>0</v>
      </c>
      <c r="IG296" s="263">
        <f t="shared" si="9279"/>
        <v>0</v>
      </c>
      <c r="IH296" s="842">
        <f t="shared" si="9280"/>
        <v>0</v>
      </c>
      <c r="II296" s="89">
        <v>0</v>
      </c>
      <c r="IJ296" s="89">
        <v>0</v>
      </c>
      <c r="IK296" s="89">
        <v>0</v>
      </c>
      <c r="IL296" s="89">
        <v>0</v>
      </c>
      <c r="IM296" s="89">
        <v>0</v>
      </c>
      <c r="IN296" s="89">
        <v>0</v>
      </c>
      <c r="IO296" s="89">
        <v>0</v>
      </c>
      <c r="IP296" s="89">
        <v>0</v>
      </c>
      <c r="IQ296" s="89">
        <v>0</v>
      </c>
      <c r="IR296" s="89">
        <v>0</v>
      </c>
      <c r="IS296" s="89">
        <v>0</v>
      </c>
      <c r="IT296" s="89">
        <v>0</v>
      </c>
      <c r="IU296" s="89">
        <v>0</v>
      </c>
      <c r="IV296" s="89">
        <v>0</v>
      </c>
      <c r="IW296" s="89">
        <v>0</v>
      </c>
      <c r="IX296" s="89">
        <v>0</v>
      </c>
      <c r="IY296" s="89">
        <v>0</v>
      </c>
      <c r="IZ296" s="89">
        <v>0</v>
      </c>
      <c r="JA296" s="89">
        <v>0</v>
      </c>
      <c r="JB296" s="89">
        <v>0</v>
      </c>
      <c r="JC296" s="89">
        <v>0</v>
      </c>
      <c r="JD296" s="89">
        <v>0</v>
      </c>
      <c r="JE296" s="89">
        <v>0</v>
      </c>
      <c r="JF296" s="89">
        <v>0</v>
      </c>
      <c r="JG296" s="89">
        <v>0</v>
      </c>
      <c r="JH296" s="89">
        <v>0</v>
      </c>
      <c r="JI296" s="89">
        <v>0</v>
      </c>
      <c r="JJ296" s="89">
        <v>0</v>
      </c>
      <c r="JK296" s="89">
        <v>0</v>
      </c>
      <c r="JL296" s="89">
        <v>0</v>
      </c>
      <c r="JM296" s="89">
        <v>0</v>
      </c>
      <c r="JN296" s="89">
        <v>0</v>
      </c>
      <c r="JO296" s="89">
        <v>0</v>
      </c>
      <c r="JP296" s="89">
        <v>0</v>
      </c>
      <c r="JQ296" s="89">
        <v>0</v>
      </c>
      <c r="JR296" s="89">
        <v>0</v>
      </c>
      <c r="JS296" s="74">
        <f>HG296-IF296</f>
        <v>0</v>
      </c>
      <c r="JT296" s="382">
        <f>GS296-IF296</f>
        <v>0</v>
      </c>
      <c r="JU296" s="665"/>
      <c r="JV296" s="524"/>
      <c r="JW296" s="525"/>
      <c r="JX296" s="548">
        <f t="shared" si="9281"/>
        <v>0</v>
      </c>
      <c r="JY296" s="548">
        <f t="shared" si="9281"/>
        <v>0</v>
      </c>
      <c r="JZ296" s="581">
        <f t="shared" si="9103"/>
        <v>0</v>
      </c>
      <c r="KA296" s="581">
        <f t="shared" si="9104"/>
        <v>0</v>
      </c>
      <c r="KB296" s="548">
        <f>JX296+JY296+JZ296+KA296</f>
        <v>0</v>
      </c>
      <c r="KC296" s="709">
        <f t="shared" si="9101"/>
        <v>0</v>
      </c>
      <c r="KD296" s="35"/>
      <c r="KE296" s="35"/>
      <c r="KF296" s="35"/>
      <c r="KG296" s="35"/>
      <c r="KH296" s="35"/>
      <c r="KI296" s="35"/>
      <c r="KJ296" s="35"/>
      <c r="KK296" s="35"/>
    </row>
    <row r="297" spans="1:297" s="10" customFormat="1" ht="12.75" hidden="1" customHeight="1">
      <c r="A297" s="86"/>
      <c r="B297" s="77"/>
      <c r="C297" s="74"/>
      <c r="D297" s="549"/>
      <c r="E297" s="675"/>
      <c r="F297" s="549"/>
      <c r="G297" s="675"/>
      <c r="H297" s="549"/>
      <c r="I297" s="675"/>
      <c r="J297" s="549"/>
      <c r="K297" s="675"/>
      <c r="L297" s="549"/>
      <c r="M297" s="675"/>
      <c r="N297" s="549"/>
      <c r="O297" s="675"/>
      <c r="P297" s="549"/>
      <c r="Q297" s="675"/>
      <c r="R297" s="549"/>
      <c r="S297" s="675"/>
      <c r="T297" s="549"/>
      <c r="U297" s="675"/>
      <c r="V297" s="549"/>
      <c r="W297" s="675"/>
      <c r="X297" s="549"/>
      <c r="Y297" s="675"/>
      <c r="Z297" s="549"/>
      <c r="AA297" s="675"/>
      <c r="AB297" s="549"/>
      <c r="AC297" s="675"/>
      <c r="AD297" s="549"/>
      <c r="AE297" s="675"/>
      <c r="AF297" s="549"/>
      <c r="AG297" s="675"/>
      <c r="AH297" s="549"/>
      <c r="AI297" s="675"/>
      <c r="AJ297" s="549"/>
      <c r="AK297" s="675"/>
      <c r="AL297" s="549"/>
      <c r="AM297" s="675"/>
      <c r="AN297" s="549"/>
      <c r="AO297" s="675"/>
      <c r="AP297" s="549"/>
      <c r="AQ297" s="675"/>
      <c r="AR297" s="549"/>
      <c r="AS297" s="675"/>
      <c r="AT297" s="549"/>
      <c r="AU297" s="675"/>
      <c r="AV297" s="549"/>
      <c r="AW297" s="675"/>
      <c r="AX297" s="549"/>
      <c r="AY297" s="675"/>
      <c r="AZ297" s="549"/>
      <c r="BA297" s="675"/>
      <c r="BB297" s="549"/>
      <c r="BC297" s="675"/>
      <c r="BD297" s="549"/>
      <c r="BE297" s="675"/>
      <c r="BF297" s="549"/>
      <c r="BG297" s="675"/>
      <c r="BH297" s="549"/>
      <c r="BI297" s="675"/>
      <c r="BJ297" s="549"/>
      <c r="BK297" s="675"/>
      <c r="BL297" s="549"/>
      <c r="BM297" s="675"/>
      <c r="BN297" s="549"/>
      <c r="BO297" s="675"/>
      <c r="BP297" s="549"/>
      <c r="BQ297" s="675"/>
      <c r="BR297" s="549"/>
      <c r="BS297" s="675"/>
      <c r="BT297" s="549"/>
      <c r="BU297" s="675"/>
      <c r="BV297" s="549"/>
      <c r="BW297" s="675"/>
      <c r="BX297" s="549"/>
      <c r="BY297" s="675"/>
      <c r="BZ297" s="549"/>
      <c r="CA297" s="675"/>
      <c r="CB297" s="549"/>
      <c r="CC297" s="675"/>
      <c r="CD297" s="549"/>
      <c r="CE297" s="675"/>
      <c r="CF297" s="549"/>
      <c r="CG297" s="675"/>
      <c r="CH297" s="549"/>
      <c r="CI297" s="675"/>
      <c r="CJ297" s="549"/>
      <c r="CK297" s="675"/>
      <c r="CL297" s="549"/>
      <c r="CM297" s="675"/>
      <c r="CN297" s="549"/>
      <c r="CO297" s="675"/>
      <c r="CP297" s="549"/>
      <c r="CQ297" s="675"/>
      <c r="CR297" s="549"/>
      <c r="CS297" s="675"/>
      <c r="CT297" s="549"/>
      <c r="CU297" s="675"/>
      <c r="CV297" s="549"/>
      <c r="CW297" s="675"/>
      <c r="CX297" s="549"/>
      <c r="CY297" s="675"/>
      <c r="CZ297" s="549"/>
      <c r="DA297" s="675"/>
      <c r="DB297" s="549"/>
      <c r="DC297" s="675"/>
      <c r="DD297" s="549"/>
      <c r="DE297" s="675"/>
      <c r="DF297" s="549"/>
      <c r="DG297" s="675"/>
      <c r="DH297" s="549"/>
      <c r="DI297" s="675"/>
      <c r="DJ297" s="549"/>
      <c r="DK297" s="675"/>
      <c r="DL297" s="549"/>
      <c r="DM297" s="675"/>
      <c r="DN297" s="549"/>
      <c r="DO297" s="675"/>
      <c r="DP297" s="549"/>
      <c r="DQ297" s="675"/>
      <c r="DR297" s="549"/>
      <c r="DS297" s="675"/>
      <c r="DT297" s="549"/>
      <c r="DU297" s="675"/>
      <c r="DV297" s="549"/>
      <c r="DW297" s="675"/>
      <c r="DX297" s="549"/>
      <c r="DY297" s="675"/>
      <c r="DZ297" s="549"/>
      <c r="EA297" s="675"/>
      <c r="EB297" s="549"/>
      <c r="EC297" s="675"/>
      <c r="ED297" s="549"/>
      <c r="EE297" s="675"/>
      <c r="EF297" s="549"/>
      <c r="EG297" s="675"/>
      <c r="EH297" s="549"/>
      <c r="EI297" s="675"/>
      <c r="EJ297" s="549"/>
      <c r="EK297" s="675"/>
      <c r="EL297" s="549"/>
      <c r="EM297" s="675"/>
      <c r="EN297" s="549"/>
      <c r="EO297" s="675"/>
      <c r="EP297" s="549"/>
      <c r="EQ297" s="675"/>
      <c r="ER297" s="549"/>
      <c r="ES297" s="675"/>
      <c r="ET297" s="549"/>
      <c r="EU297" s="675"/>
      <c r="EV297" s="549"/>
      <c r="EW297" s="675"/>
      <c r="EX297" s="549"/>
      <c r="EY297" s="675"/>
      <c r="EZ297" s="549"/>
      <c r="FA297" s="675"/>
      <c r="FB297" s="549"/>
      <c r="FC297" s="675"/>
      <c r="FD297" s="549"/>
      <c r="FE297" s="675"/>
      <c r="FF297" s="549"/>
      <c r="FG297" s="675"/>
      <c r="FH297" s="549"/>
      <c r="FI297" s="675"/>
      <c r="FJ297" s="549"/>
      <c r="FK297" s="675"/>
      <c r="FL297" s="549"/>
      <c r="FM297" s="675"/>
      <c r="FN297" s="549"/>
      <c r="FO297" s="675"/>
      <c r="FP297" s="549"/>
      <c r="FQ297" s="675"/>
      <c r="FR297" s="549"/>
      <c r="FS297" s="675"/>
      <c r="FT297" s="549"/>
      <c r="FU297" s="675"/>
      <c r="FV297" s="549"/>
      <c r="FW297" s="675"/>
      <c r="FX297" s="549"/>
      <c r="FY297" s="675"/>
      <c r="FZ297" s="549"/>
      <c r="GA297" s="675"/>
      <c r="GB297" s="549"/>
      <c r="GC297" s="675"/>
      <c r="GD297" s="549"/>
      <c r="GE297" s="675"/>
      <c r="GF297" s="549"/>
      <c r="GG297" s="675"/>
      <c r="GH297" s="549"/>
      <c r="GI297" s="675"/>
      <c r="GJ297" s="549"/>
      <c r="GK297" s="675"/>
      <c r="GL297" s="549"/>
      <c r="GM297" s="675"/>
      <c r="GN297" s="549"/>
      <c r="GO297" s="675"/>
      <c r="GP297" s="549"/>
      <c r="GQ297" s="675"/>
      <c r="GR297" s="74"/>
      <c r="GS297" s="74"/>
      <c r="GT297" s="568"/>
      <c r="GU297" s="73"/>
      <c r="GV297" s="73"/>
      <c r="GW297" s="549"/>
      <c r="GX297" s="549"/>
      <c r="GY297" s="73"/>
      <c r="GZ297" s="73"/>
      <c r="HA297" s="73"/>
      <c r="HB297" s="73"/>
      <c r="HC297" s="73"/>
      <c r="HD297" s="73"/>
      <c r="HE297" s="73"/>
      <c r="HF297" s="73"/>
      <c r="HG297" s="74"/>
      <c r="HH297" s="73"/>
      <c r="HI297" s="815"/>
      <c r="HJ297" s="73"/>
      <c r="HK297" s="815"/>
      <c r="HL297" s="73"/>
      <c r="HM297" s="815"/>
      <c r="HN297" s="73"/>
      <c r="HO297" s="815"/>
      <c r="HP297" s="73"/>
      <c r="HQ297" s="815"/>
      <c r="HR297" s="73"/>
      <c r="HS297" s="815"/>
      <c r="HT297" s="73"/>
      <c r="HU297" s="815"/>
      <c r="HV297" s="73"/>
      <c r="HW297" s="815"/>
      <c r="HX297" s="73"/>
      <c r="HY297" s="815"/>
      <c r="HZ297" s="73"/>
      <c r="IA297" s="815"/>
      <c r="IB297" s="73"/>
      <c r="IC297" s="815"/>
      <c r="ID297" s="73"/>
      <c r="IE297" s="815"/>
      <c r="IF297" s="841"/>
      <c r="IG297" s="263"/>
      <c r="IH297" s="842"/>
      <c r="II297" s="74"/>
      <c r="IJ297" s="74"/>
      <c r="IK297" s="74"/>
      <c r="IL297" s="74"/>
      <c r="IM297" s="74"/>
      <c r="IN297" s="74"/>
      <c r="IO297" s="74"/>
      <c r="IP297" s="74"/>
      <c r="IQ297" s="74"/>
      <c r="IR297" s="74"/>
      <c r="IS297" s="74"/>
      <c r="IT297" s="74"/>
      <c r="IU297" s="74"/>
      <c r="IV297" s="74"/>
      <c r="IW297" s="74"/>
      <c r="IX297" s="74"/>
      <c r="IY297" s="74"/>
      <c r="IZ297" s="74"/>
      <c r="JA297" s="74"/>
      <c r="JB297" s="74"/>
      <c r="JC297" s="74"/>
      <c r="JD297" s="74"/>
      <c r="JE297" s="74"/>
      <c r="JF297" s="74"/>
      <c r="JG297" s="74"/>
      <c r="JH297" s="74"/>
      <c r="JI297" s="74"/>
      <c r="JJ297" s="74"/>
      <c r="JK297" s="74"/>
      <c r="JL297" s="74"/>
      <c r="JM297" s="74"/>
      <c r="JN297" s="74"/>
      <c r="JO297" s="74"/>
      <c r="JP297" s="74"/>
      <c r="JQ297" s="74"/>
      <c r="JR297" s="74"/>
      <c r="JS297" s="74"/>
      <c r="JT297" s="382"/>
      <c r="JU297" s="665"/>
      <c r="JV297" s="524"/>
      <c r="JW297" s="525"/>
      <c r="JX297" s="548"/>
      <c r="JY297" s="548"/>
      <c r="JZ297" s="581"/>
      <c r="KA297" s="581"/>
      <c r="KB297" s="548"/>
      <c r="KC297" s="709">
        <f t="shared" si="9101"/>
        <v>0</v>
      </c>
      <c r="KD297" s="35"/>
      <c r="KE297" s="35"/>
      <c r="KF297" s="35"/>
      <c r="KG297" s="35"/>
      <c r="KH297" s="35"/>
      <c r="KI297" s="35"/>
      <c r="KJ297" s="35"/>
      <c r="KK297" s="35"/>
    </row>
    <row r="298" spans="1:297" s="10" customFormat="1" ht="12.75" hidden="1" customHeight="1">
      <c r="A298" s="80" t="s">
        <v>1116</v>
      </c>
      <c r="B298" s="77"/>
      <c r="C298" s="74">
        <f>C299</f>
        <v>0</v>
      </c>
      <c r="D298" s="549">
        <f t="shared" ref="D298:E298" si="9283">SUM(D299:D300)</f>
        <v>0</v>
      </c>
      <c r="E298" s="675">
        <f t="shared" si="9283"/>
        <v>0</v>
      </c>
      <c r="F298" s="549">
        <f t="shared" ref="F298:G298" si="9284">SUM(F299:F300)</f>
        <v>0</v>
      </c>
      <c r="G298" s="675">
        <f t="shared" si="9284"/>
        <v>0</v>
      </c>
      <c r="H298" s="549">
        <f t="shared" ref="H298:I298" si="9285">SUM(H299:H300)</f>
        <v>0</v>
      </c>
      <c r="I298" s="675">
        <f t="shared" si="9285"/>
        <v>0</v>
      </c>
      <c r="J298" s="549">
        <f t="shared" ref="J298:K298" si="9286">SUM(J299:J300)</f>
        <v>0</v>
      </c>
      <c r="K298" s="675">
        <f t="shared" si="9286"/>
        <v>0</v>
      </c>
      <c r="L298" s="549">
        <f t="shared" ref="L298:M298" si="9287">SUM(L299:L300)</f>
        <v>0</v>
      </c>
      <c r="M298" s="675">
        <f t="shared" si="9287"/>
        <v>0</v>
      </c>
      <c r="N298" s="549">
        <f t="shared" ref="N298:O298" si="9288">SUM(N299:N300)</f>
        <v>0</v>
      </c>
      <c r="O298" s="675">
        <f t="shared" si="9288"/>
        <v>0</v>
      </c>
      <c r="P298" s="549">
        <f t="shared" ref="P298:Q298" si="9289">SUM(P299:P300)</f>
        <v>0</v>
      </c>
      <c r="Q298" s="675">
        <f t="shared" si="9289"/>
        <v>0</v>
      </c>
      <c r="R298" s="549">
        <f t="shared" ref="R298:S298" si="9290">SUM(R299:R300)</f>
        <v>0</v>
      </c>
      <c r="S298" s="675">
        <f t="shared" si="9290"/>
        <v>0</v>
      </c>
      <c r="T298" s="549">
        <f t="shared" ref="T298:U298" si="9291">SUM(T299:T300)</f>
        <v>0</v>
      </c>
      <c r="U298" s="675">
        <f t="shared" si="9291"/>
        <v>0</v>
      </c>
      <c r="V298" s="549">
        <f t="shared" ref="V298:W298" si="9292">SUM(V299:V300)</f>
        <v>0</v>
      </c>
      <c r="W298" s="675">
        <f t="shared" si="9292"/>
        <v>0</v>
      </c>
      <c r="X298" s="549">
        <f t="shared" ref="X298:Y298" si="9293">SUM(X299:X300)</f>
        <v>0</v>
      </c>
      <c r="Y298" s="675">
        <f t="shared" si="9293"/>
        <v>0</v>
      </c>
      <c r="Z298" s="549">
        <f t="shared" ref="Z298:AA298" si="9294">SUM(Z299:Z300)</f>
        <v>0</v>
      </c>
      <c r="AA298" s="675">
        <f t="shared" si="9294"/>
        <v>0</v>
      </c>
      <c r="AB298" s="549">
        <f t="shared" ref="AB298:AC298" si="9295">SUM(AB299:AB300)</f>
        <v>0</v>
      </c>
      <c r="AC298" s="675">
        <f t="shared" si="9295"/>
        <v>0</v>
      </c>
      <c r="AD298" s="549">
        <f t="shared" ref="AD298:AE298" si="9296">SUM(AD299:AD300)</f>
        <v>0</v>
      </c>
      <c r="AE298" s="675">
        <f t="shared" si="9296"/>
        <v>0</v>
      </c>
      <c r="AF298" s="549">
        <f t="shared" ref="AF298:AI298" si="9297">SUM(AF299:AF300)</f>
        <v>0</v>
      </c>
      <c r="AG298" s="675">
        <f t="shared" si="9297"/>
        <v>0</v>
      </c>
      <c r="AH298" s="549">
        <f t="shared" si="9297"/>
        <v>0</v>
      </c>
      <c r="AI298" s="675">
        <f t="shared" si="9297"/>
        <v>0</v>
      </c>
      <c r="AJ298" s="549">
        <f t="shared" ref="AJ298:AK298" si="9298">SUM(AJ299:AJ300)</f>
        <v>0</v>
      </c>
      <c r="AK298" s="675">
        <f t="shared" si="9298"/>
        <v>0</v>
      </c>
      <c r="AL298" s="549">
        <f t="shared" ref="AL298:AM298" si="9299">SUM(AL299:AL300)</f>
        <v>0</v>
      </c>
      <c r="AM298" s="675">
        <f t="shared" si="9299"/>
        <v>0</v>
      </c>
      <c r="AN298" s="549">
        <f t="shared" ref="AN298:AO298" si="9300">SUM(AN299:AN300)</f>
        <v>0</v>
      </c>
      <c r="AO298" s="675">
        <f t="shared" si="9300"/>
        <v>0</v>
      </c>
      <c r="AP298" s="549">
        <f t="shared" ref="AP298:AQ298" si="9301">SUM(AP299:AP300)</f>
        <v>0</v>
      </c>
      <c r="AQ298" s="675">
        <f t="shared" si="9301"/>
        <v>0</v>
      </c>
      <c r="AR298" s="549">
        <f t="shared" ref="AR298:AS298" si="9302">SUM(AR299:AR300)</f>
        <v>0</v>
      </c>
      <c r="AS298" s="675">
        <f t="shared" si="9302"/>
        <v>0</v>
      </c>
      <c r="AT298" s="549">
        <f t="shared" ref="AT298:AU298" si="9303">SUM(AT299:AT300)</f>
        <v>0</v>
      </c>
      <c r="AU298" s="675">
        <f t="shared" si="9303"/>
        <v>0</v>
      </c>
      <c r="AV298" s="549">
        <f t="shared" ref="AV298:AW298" si="9304">SUM(AV299:AV300)</f>
        <v>0</v>
      </c>
      <c r="AW298" s="675">
        <f t="shared" si="9304"/>
        <v>0</v>
      </c>
      <c r="AX298" s="549">
        <f t="shared" ref="AX298:AY298" si="9305">SUM(AX299:AX300)</f>
        <v>0</v>
      </c>
      <c r="AY298" s="675">
        <f t="shared" si="9305"/>
        <v>0</v>
      </c>
      <c r="AZ298" s="549">
        <f t="shared" ref="AZ298:BA298" si="9306">SUM(AZ299:AZ300)</f>
        <v>0</v>
      </c>
      <c r="BA298" s="675">
        <f t="shared" si="9306"/>
        <v>0</v>
      </c>
      <c r="BB298" s="549">
        <f t="shared" ref="BB298:BC298" si="9307">SUM(BB299:BB300)</f>
        <v>0</v>
      </c>
      <c r="BC298" s="675">
        <f t="shared" si="9307"/>
        <v>0</v>
      </c>
      <c r="BD298" s="549">
        <f t="shared" ref="BD298:BE298" si="9308">SUM(BD299:BD300)</f>
        <v>0</v>
      </c>
      <c r="BE298" s="675">
        <f t="shared" si="9308"/>
        <v>0</v>
      </c>
      <c r="BF298" s="549">
        <f t="shared" ref="BF298:BG298" si="9309">SUM(BF299:BF300)</f>
        <v>0</v>
      </c>
      <c r="BG298" s="675">
        <f t="shared" si="9309"/>
        <v>0</v>
      </c>
      <c r="BH298" s="549">
        <f t="shared" ref="BH298:BI298" si="9310">SUM(BH299:BH300)</f>
        <v>0</v>
      </c>
      <c r="BI298" s="675">
        <f t="shared" si="9310"/>
        <v>0</v>
      </c>
      <c r="BJ298" s="549">
        <f t="shared" ref="BJ298:BK298" si="9311">SUM(BJ299:BJ300)</f>
        <v>0</v>
      </c>
      <c r="BK298" s="675">
        <f t="shared" si="9311"/>
        <v>0</v>
      </c>
      <c r="BL298" s="549">
        <f t="shared" ref="BL298:BM298" si="9312">SUM(BL299:BL300)</f>
        <v>0</v>
      </c>
      <c r="BM298" s="675">
        <f t="shared" si="9312"/>
        <v>0</v>
      </c>
      <c r="BN298" s="549">
        <f t="shared" ref="BN298:BO298" si="9313">SUM(BN299:BN300)</f>
        <v>0</v>
      </c>
      <c r="BO298" s="675">
        <f t="shared" si="9313"/>
        <v>0</v>
      </c>
      <c r="BP298" s="549">
        <f t="shared" ref="BP298:BQ298" si="9314">SUM(BP299:BP300)</f>
        <v>0</v>
      </c>
      <c r="BQ298" s="675">
        <f t="shared" si="9314"/>
        <v>0</v>
      </c>
      <c r="BR298" s="549">
        <f t="shared" ref="BR298:BS298" si="9315">SUM(BR299:BR300)</f>
        <v>0</v>
      </c>
      <c r="BS298" s="675">
        <f t="shared" si="9315"/>
        <v>0</v>
      </c>
      <c r="BT298" s="549">
        <f t="shared" ref="BT298:BU298" si="9316">SUM(BT299:BT300)</f>
        <v>0</v>
      </c>
      <c r="BU298" s="675">
        <f t="shared" si="9316"/>
        <v>0</v>
      </c>
      <c r="BV298" s="549">
        <f t="shared" ref="BV298:BW298" si="9317">SUM(BV299:BV300)</f>
        <v>0</v>
      </c>
      <c r="BW298" s="675">
        <f t="shared" si="9317"/>
        <v>0</v>
      </c>
      <c r="BX298" s="549">
        <f t="shared" ref="BX298:BY298" si="9318">SUM(BX299:BX300)</f>
        <v>0</v>
      </c>
      <c r="BY298" s="675">
        <f t="shared" si="9318"/>
        <v>0</v>
      </c>
      <c r="BZ298" s="549">
        <f t="shared" ref="BZ298:CA298" si="9319">SUM(BZ299:BZ300)</f>
        <v>0</v>
      </c>
      <c r="CA298" s="675">
        <f t="shared" si="9319"/>
        <v>0</v>
      </c>
      <c r="CB298" s="549">
        <f t="shared" ref="CB298:CC298" si="9320">SUM(CB299:CB300)</f>
        <v>0</v>
      </c>
      <c r="CC298" s="675">
        <f t="shared" si="9320"/>
        <v>0</v>
      </c>
      <c r="CD298" s="549">
        <f t="shared" ref="CD298:CE298" si="9321">SUM(CD299:CD300)</f>
        <v>0</v>
      </c>
      <c r="CE298" s="675">
        <f t="shared" si="9321"/>
        <v>0</v>
      </c>
      <c r="CF298" s="549">
        <f t="shared" ref="CF298:CG298" si="9322">SUM(CF299:CF300)</f>
        <v>0</v>
      </c>
      <c r="CG298" s="675">
        <f t="shared" si="9322"/>
        <v>0</v>
      </c>
      <c r="CH298" s="549">
        <f t="shared" ref="CH298:CI298" si="9323">SUM(CH299:CH300)</f>
        <v>0</v>
      </c>
      <c r="CI298" s="675">
        <f t="shared" si="9323"/>
        <v>0</v>
      </c>
      <c r="CJ298" s="549">
        <f t="shared" ref="CJ298:CK298" si="9324">SUM(CJ299:CJ300)</f>
        <v>0</v>
      </c>
      <c r="CK298" s="675">
        <f t="shared" si="9324"/>
        <v>0</v>
      </c>
      <c r="CL298" s="549">
        <f t="shared" ref="CL298:CM298" si="9325">SUM(CL299:CL300)</f>
        <v>0</v>
      </c>
      <c r="CM298" s="675">
        <f t="shared" si="9325"/>
        <v>0</v>
      </c>
      <c r="CN298" s="549">
        <f t="shared" ref="CN298:CO298" si="9326">SUM(CN299:CN300)</f>
        <v>0</v>
      </c>
      <c r="CO298" s="675">
        <f t="shared" si="9326"/>
        <v>0</v>
      </c>
      <c r="CP298" s="549">
        <f t="shared" ref="CP298:CQ298" si="9327">SUM(CP299:CP300)</f>
        <v>0</v>
      </c>
      <c r="CQ298" s="675">
        <f t="shared" si="9327"/>
        <v>0</v>
      </c>
      <c r="CR298" s="549">
        <f t="shared" ref="CR298:CS298" si="9328">SUM(CR299:CR300)</f>
        <v>0</v>
      </c>
      <c r="CS298" s="675">
        <f t="shared" si="9328"/>
        <v>0</v>
      </c>
      <c r="CT298" s="549">
        <f t="shared" ref="CT298:CU298" si="9329">SUM(CT299:CT300)</f>
        <v>0</v>
      </c>
      <c r="CU298" s="675">
        <f t="shared" si="9329"/>
        <v>0</v>
      </c>
      <c r="CV298" s="549">
        <f t="shared" ref="CV298:CW298" si="9330">SUM(CV299:CV300)</f>
        <v>0</v>
      </c>
      <c r="CW298" s="675">
        <f t="shared" si="9330"/>
        <v>0</v>
      </c>
      <c r="CX298" s="549">
        <f t="shared" ref="CX298:CY298" si="9331">SUM(CX299:CX300)</f>
        <v>0</v>
      </c>
      <c r="CY298" s="675">
        <f t="shared" si="9331"/>
        <v>0</v>
      </c>
      <c r="CZ298" s="549">
        <f t="shared" ref="CZ298:DA298" si="9332">SUM(CZ299:CZ300)</f>
        <v>0</v>
      </c>
      <c r="DA298" s="675">
        <f t="shared" si="9332"/>
        <v>0</v>
      </c>
      <c r="DB298" s="549">
        <f t="shared" ref="DB298:DC298" si="9333">SUM(DB299:DB300)</f>
        <v>0</v>
      </c>
      <c r="DC298" s="675">
        <f t="shared" si="9333"/>
        <v>0</v>
      </c>
      <c r="DD298" s="549">
        <f t="shared" ref="DD298:DE298" si="9334">SUM(DD299:DD300)</f>
        <v>0</v>
      </c>
      <c r="DE298" s="675">
        <f t="shared" si="9334"/>
        <v>0</v>
      </c>
      <c r="DF298" s="549">
        <f t="shared" ref="DF298:DG298" si="9335">SUM(DF299:DF300)</f>
        <v>0</v>
      </c>
      <c r="DG298" s="675">
        <f t="shared" si="9335"/>
        <v>0</v>
      </c>
      <c r="DH298" s="549">
        <f t="shared" ref="DH298:DI298" si="9336">SUM(DH299:DH300)</f>
        <v>0</v>
      </c>
      <c r="DI298" s="675">
        <f t="shared" si="9336"/>
        <v>0</v>
      </c>
      <c r="DJ298" s="549">
        <f t="shared" ref="DJ298:DK298" si="9337">SUM(DJ299:DJ300)</f>
        <v>0</v>
      </c>
      <c r="DK298" s="675">
        <f t="shared" si="9337"/>
        <v>0</v>
      </c>
      <c r="DL298" s="549">
        <f t="shared" ref="DL298:DM298" si="9338">SUM(DL299:DL300)</f>
        <v>0</v>
      </c>
      <c r="DM298" s="675">
        <f t="shared" si="9338"/>
        <v>0</v>
      </c>
      <c r="DN298" s="549">
        <f t="shared" ref="DN298:DO298" si="9339">SUM(DN299:DN300)</f>
        <v>0</v>
      </c>
      <c r="DO298" s="675">
        <f t="shared" si="9339"/>
        <v>0</v>
      </c>
      <c r="DP298" s="549">
        <f t="shared" ref="DP298:DQ298" si="9340">SUM(DP299:DP300)</f>
        <v>0</v>
      </c>
      <c r="DQ298" s="675">
        <f t="shared" si="9340"/>
        <v>0</v>
      </c>
      <c r="DR298" s="549">
        <f t="shared" ref="DR298:DS298" si="9341">SUM(DR299:DR300)</f>
        <v>0</v>
      </c>
      <c r="DS298" s="675">
        <f t="shared" si="9341"/>
        <v>0</v>
      </c>
      <c r="DT298" s="549">
        <f t="shared" ref="DT298:DU298" si="9342">SUM(DT299:DT300)</f>
        <v>0</v>
      </c>
      <c r="DU298" s="675">
        <f t="shared" si="9342"/>
        <v>0</v>
      </c>
      <c r="DV298" s="549">
        <f t="shared" ref="DV298:DW298" si="9343">SUM(DV299:DV300)</f>
        <v>0</v>
      </c>
      <c r="DW298" s="675">
        <f t="shared" si="9343"/>
        <v>0</v>
      </c>
      <c r="DX298" s="549">
        <f t="shared" ref="DX298:DY298" si="9344">SUM(DX299:DX300)</f>
        <v>0</v>
      </c>
      <c r="DY298" s="675">
        <f t="shared" si="9344"/>
        <v>0</v>
      </c>
      <c r="DZ298" s="549">
        <f t="shared" ref="DZ298:EA298" si="9345">SUM(DZ299:DZ300)</f>
        <v>0</v>
      </c>
      <c r="EA298" s="675">
        <f t="shared" si="9345"/>
        <v>0</v>
      </c>
      <c r="EB298" s="549">
        <f t="shared" ref="EB298:EC298" si="9346">SUM(EB299:EB300)</f>
        <v>0</v>
      </c>
      <c r="EC298" s="675">
        <f t="shared" si="9346"/>
        <v>0</v>
      </c>
      <c r="ED298" s="549">
        <f t="shared" ref="ED298:EE298" si="9347">SUM(ED299:ED300)</f>
        <v>0</v>
      </c>
      <c r="EE298" s="675">
        <f t="shared" si="9347"/>
        <v>0</v>
      </c>
      <c r="EF298" s="549">
        <f t="shared" ref="EF298:EG298" si="9348">SUM(EF299:EF300)</f>
        <v>0</v>
      </c>
      <c r="EG298" s="675">
        <f t="shared" si="9348"/>
        <v>0</v>
      </c>
      <c r="EH298" s="549">
        <f t="shared" ref="EH298:EI298" si="9349">SUM(EH299:EH300)</f>
        <v>0</v>
      </c>
      <c r="EI298" s="675">
        <f t="shared" si="9349"/>
        <v>0</v>
      </c>
      <c r="EJ298" s="549">
        <f t="shared" ref="EJ298:EK298" si="9350">SUM(EJ299:EJ300)</f>
        <v>0</v>
      </c>
      <c r="EK298" s="675">
        <f t="shared" si="9350"/>
        <v>0</v>
      </c>
      <c r="EL298" s="549">
        <f t="shared" ref="EL298:EM298" si="9351">SUM(EL299:EL300)</f>
        <v>0</v>
      </c>
      <c r="EM298" s="675">
        <f t="shared" si="9351"/>
        <v>0</v>
      </c>
      <c r="EN298" s="549">
        <f t="shared" ref="EN298:EO298" si="9352">SUM(EN299:EN300)</f>
        <v>0</v>
      </c>
      <c r="EO298" s="675">
        <f t="shared" si="9352"/>
        <v>0</v>
      </c>
      <c r="EP298" s="549">
        <f t="shared" ref="EP298:EQ298" si="9353">SUM(EP299:EP300)</f>
        <v>0</v>
      </c>
      <c r="EQ298" s="675">
        <f t="shared" si="9353"/>
        <v>0</v>
      </c>
      <c r="ER298" s="549">
        <f t="shared" ref="ER298:ES298" si="9354">SUM(ER299:ER300)</f>
        <v>0</v>
      </c>
      <c r="ES298" s="675">
        <f t="shared" si="9354"/>
        <v>0</v>
      </c>
      <c r="ET298" s="549">
        <f t="shared" ref="ET298:EU298" si="9355">SUM(ET299:ET300)</f>
        <v>0</v>
      </c>
      <c r="EU298" s="675">
        <f t="shared" si="9355"/>
        <v>0</v>
      </c>
      <c r="EV298" s="549">
        <f t="shared" ref="EV298:EW298" si="9356">SUM(EV299:EV300)</f>
        <v>0</v>
      </c>
      <c r="EW298" s="675">
        <f t="shared" si="9356"/>
        <v>0</v>
      </c>
      <c r="EX298" s="549">
        <f t="shared" ref="EX298:EY298" si="9357">SUM(EX299:EX300)</f>
        <v>0</v>
      </c>
      <c r="EY298" s="675">
        <f t="shared" si="9357"/>
        <v>0</v>
      </c>
      <c r="EZ298" s="549">
        <f t="shared" ref="EZ298:FA298" si="9358">SUM(EZ299:EZ300)</f>
        <v>0</v>
      </c>
      <c r="FA298" s="675">
        <f t="shared" si="9358"/>
        <v>0</v>
      </c>
      <c r="FB298" s="549">
        <f t="shared" ref="FB298:FC298" si="9359">SUM(FB299:FB300)</f>
        <v>0</v>
      </c>
      <c r="FC298" s="675">
        <f t="shared" si="9359"/>
        <v>0</v>
      </c>
      <c r="FD298" s="549">
        <f t="shared" ref="FD298:FE298" si="9360">SUM(FD299:FD300)</f>
        <v>0</v>
      </c>
      <c r="FE298" s="675">
        <f t="shared" si="9360"/>
        <v>0</v>
      </c>
      <c r="FF298" s="549">
        <f t="shared" ref="FF298:FG298" si="9361">SUM(FF299:FF300)</f>
        <v>0</v>
      </c>
      <c r="FG298" s="675">
        <f t="shared" si="9361"/>
        <v>0</v>
      </c>
      <c r="FH298" s="549">
        <f t="shared" ref="FH298:FI298" si="9362">SUM(FH299:FH300)</f>
        <v>0</v>
      </c>
      <c r="FI298" s="675">
        <f t="shared" si="9362"/>
        <v>0</v>
      </c>
      <c r="FJ298" s="549">
        <f t="shared" ref="FJ298:FK298" si="9363">SUM(FJ299:FJ300)</f>
        <v>0</v>
      </c>
      <c r="FK298" s="675">
        <f t="shared" si="9363"/>
        <v>0</v>
      </c>
      <c r="FL298" s="549">
        <f t="shared" ref="FL298:FM298" si="9364">SUM(FL299:FL300)</f>
        <v>0</v>
      </c>
      <c r="FM298" s="675">
        <f t="shared" si="9364"/>
        <v>0</v>
      </c>
      <c r="FN298" s="549">
        <f t="shared" ref="FN298:FO298" si="9365">SUM(FN299:FN300)</f>
        <v>0</v>
      </c>
      <c r="FO298" s="675">
        <f t="shared" si="9365"/>
        <v>0</v>
      </c>
      <c r="FP298" s="549">
        <f t="shared" ref="FP298:FQ298" si="9366">SUM(FP299:FP300)</f>
        <v>0</v>
      </c>
      <c r="FQ298" s="675">
        <f t="shared" si="9366"/>
        <v>0</v>
      </c>
      <c r="FR298" s="549">
        <f t="shared" ref="FR298:FS298" si="9367">SUM(FR299:FR300)</f>
        <v>0</v>
      </c>
      <c r="FS298" s="675">
        <f t="shared" si="9367"/>
        <v>0</v>
      </c>
      <c r="FT298" s="549">
        <f t="shared" ref="FT298:FU298" si="9368">SUM(FT299:FT300)</f>
        <v>0</v>
      </c>
      <c r="FU298" s="675">
        <f t="shared" si="9368"/>
        <v>0</v>
      </c>
      <c r="FV298" s="549">
        <f t="shared" ref="FV298:GK298" si="9369">SUM(FV299:FV300)</f>
        <v>0</v>
      </c>
      <c r="FW298" s="675">
        <f t="shared" si="9369"/>
        <v>0</v>
      </c>
      <c r="FX298" s="549">
        <f t="shared" si="9369"/>
        <v>0</v>
      </c>
      <c r="FY298" s="675">
        <f t="shared" si="9369"/>
        <v>0</v>
      </c>
      <c r="FZ298" s="549">
        <f t="shared" ref="FZ298:GI298" si="9370">SUM(FZ299:FZ300)</f>
        <v>0</v>
      </c>
      <c r="GA298" s="675">
        <f t="shared" si="9370"/>
        <v>0</v>
      </c>
      <c r="GB298" s="549">
        <f t="shared" si="9370"/>
        <v>0</v>
      </c>
      <c r="GC298" s="675">
        <f t="shared" si="9370"/>
        <v>0</v>
      </c>
      <c r="GD298" s="549">
        <f t="shared" si="9370"/>
        <v>0</v>
      </c>
      <c r="GE298" s="675">
        <f t="shared" si="9370"/>
        <v>0</v>
      </c>
      <c r="GF298" s="549">
        <f t="shared" si="9370"/>
        <v>0</v>
      </c>
      <c r="GG298" s="675">
        <f t="shared" si="9370"/>
        <v>0</v>
      </c>
      <c r="GH298" s="549">
        <f t="shared" si="9370"/>
        <v>0</v>
      </c>
      <c r="GI298" s="675">
        <f t="shared" si="9370"/>
        <v>0</v>
      </c>
      <c r="GJ298" s="549">
        <f t="shared" si="9369"/>
        <v>0</v>
      </c>
      <c r="GK298" s="675">
        <f t="shared" si="9369"/>
        <v>0</v>
      </c>
      <c r="GL298" s="549">
        <f t="shared" ref="GL298:GM298" si="9371">SUM(GL299:GL300)</f>
        <v>0</v>
      </c>
      <c r="GM298" s="675">
        <f t="shared" si="9371"/>
        <v>0</v>
      </c>
      <c r="GN298" s="549">
        <f t="shared" ref="GN298:GO298" si="9372">SUM(GN299:GN300)</f>
        <v>0</v>
      </c>
      <c r="GO298" s="675">
        <f t="shared" si="9372"/>
        <v>0</v>
      </c>
      <c r="GP298" s="549">
        <f>SUM(GP299:GP300)</f>
        <v>0</v>
      </c>
      <c r="GQ298" s="675">
        <f t="shared" ref="GQ298" si="9373">SUM(GQ299:GQ300)</f>
        <v>0</v>
      </c>
      <c r="GR298" s="74">
        <f>SUM(GR299:GR300)</f>
        <v>0</v>
      </c>
      <c r="GS298" s="74">
        <f>GS299+GS300</f>
        <v>0</v>
      </c>
      <c r="GT298" s="74">
        <f t="shared" ref="GT298:HF298" si="9374">GT299</f>
        <v>0</v>
      </c>
      <c r="GU298" s="74">
        <f t="shared" si="9374"/>
        <v>0</v>
      </c>
      <c r="GV298" s="74">
        <f t="shared" si="9374"/>
        <v>0</v>
      </c>
      <c r="GW298" s="74">
        <f t="shared" si="9374"/>
        <v>0</v>
      </c>
      <c r="GX298" s="74">
        <f t="shared" si="9374"/>
        <v>0</v>
      </c>
      <c r="GY298" s="74">
        <f t="shared" si="9374"/>
        <v>0</v>
      </c>
      <c r="GZ298" s="74">
        <f t="shared" si="9374"/>
        <v>0</v>
      </c>
      <c r="HA298" s="74">
        <f t="shared" si="9374"/>
        <v>0</v>
      </c>
      <c r="HB298" s="74">
        <f t="shared" si="9374"/>
        <v>0</v>
      </c>
      <c r="HC298" s="74">
        <f t="shared" si="9374"/>
        <v>0</v>
      </c>
      <c r="HD298" s="74">
        <f t="shared" si="9374"/>
        <v>0</v>
      </c>
      <c r="HE298" s="74">
        <f t="shared" si="9374"/>
        <v>0</v>
      </c>
      <c r="HF298" s="74">
        <f t="shared" si="9374"/>
        <v>0</v>
      </c>
      <c r="HG298" s="74">
        <f>HG299+HG300</f>
        <v>0</v>
      </c>
      <c r="HH298" s="73"/>
      <c r="HI298" s="815"/>
      <c r="HJ298" s="73"/>
      <c r="HK298" s="815"/>
      <c r="HL298" s="73"/>
      <c r="HM298" s="815"/>
      <c r="HN298" s="73"/>
      <c r="HO298" s="815"/>
      <c r="HP298" s="73"/>
      <c r="HQ298" s="815"/>
      <c r="HR298" s="73"/>
      <c r="HS298" s="815"/>
      <c r="HT298" s="73"/>
      <c r="HU298" s="815"/>
      <c r="HV298" s="73"/>
      <c r="HW298" s="815"/>
      <c r="HX298" s="73"/>
      <c r="HY298" s="815"/>
      <c r="HZ298" s="73"/>
      <c r="IA298" s="815"/>
      <c r="IB298" s="73"/>
      <c r="IC298" s="815"/>
      <c r="ID298" s="73"/>
      <c r="IE298" s="815"/>
      <c r="IF298" s="841">
        <f>IF299+IF300</f>
        <v>0</v>
      </c>
      <c r="IG298" s="263">
        <f>IG299+IG300</f>
        <v>0</v>
      </c>
      <c r="IH298" s="842">
        <f>IH299+IH300</f>
        <v>0</v>
      </c>
      <c r="II298" s="74">
        <f>SUM(II299:II300)</f>
        <v>0</v>
      </c>
      <c r="IJ298" s="74">
        <f t="shared" ref="IJ298:IK298" si="9375">SUM(IJ299:IJ300)</f>
        <v>0</v>
      </c>
      <c r="IK298" s="74">
        <f t="shared" si="9375"/>
        <v>0</v>
      </c>
      <c r="IL298" s="74">
        <f>SUM(IL299:IL300)</f>
        <v>0</v>
      </c>
      <c r="IM298" s="74">
        <f t="shared" ref="IM298:IN298" si="9376">SUM(IM299:IM300)</f>
        <v>0</v>
      </c>
      <c r="IN298" s="74">
        <f t="shared" si="9376"/>
        <v>0</v>
      </c>
      <c r="IO298" s="74">
        <f>SUM(IO299:IO300)</f>
        <v>0</v>
      </c>
      <c r="IP298" s="74">
        <f t="shared" ref="IP298:IQ298" si="9377">SUM(IP299:IP300)</f>
        <v>0</v>
      </c>
      <c r="IQ298" s="74">
        <f t="shared" si="9377"/>
        <v>0</v>
      </c>
      <c r="IR298" s="74">
        <f>SUM(IR299:IR300)</f>
        <v>0</v>
      </c>
      <c r="IS298" s="74">
        <f t="shared" ref="IS298:IT298" si="9378">SUM(IS299:IS300)</f>
        <v>0</v>
      </c>
      <c r="IT298" s="74">
        <f t="shared" si="9378"/>
        <v>0</v>
      </c>
      <c r="IU298" s="74">
        <f>SUM(IU299:IU300)</f>
        <v>0</v>
      </c>
      <c r="IV298" s="74">
        <f t="shared" ref="IV298:IW298" si="9379">SUM(IV299:IV300)</f>
        <v>0</v>
      </c>
      <c r="IW298" s="74">
        <f t="shared" si="9379"/>
        <v>0</v>
      </c>
      <c r="IX298" s="74">
        <f>SUM(IX299:IX300)</f>
        <v>0</v>
      </c>
      <c r="IY298" s="74">
        <f t="shared" ref="IY298:IZ298" si="9380">SUM(IY299:IY300)</f>
        <v>0</v>
      </c>
      <c r="IZ298" s="74">
        <f t="shared" si="9380"/>
        <v>0</v>
      </c>
      <c r="JA298" s="74">
        <f>SUM(JA299:JA300)</f>
        <v>0</v>
      </c>
      <c r="JB298" s="74">
        <f t="shared" ref="JB298:JC298" si="9381">SUM(JB299:JB300)</f>
        <v>0</v>
      </c>
      <c r="JC298" s="74">
        <f t="shared" si="9381"/>
        <v>0</v>
      </c>
      <c r="JD298" s="74">
        <f>SUM(JD299:JD300)</f>
        <v>0</v>
      </c>
      <c r="JE298" s="74">
        <f t="shared" ref="JE298:JF298" si="9382">SUM(JE299:JE300)</f>
        <v>0</v>
      </c>
      <c r="JF298" s="74">
        <f t="shared" si="9382"/>
        <v>0</v>
      </c>
      <c r="JG298" s="74">
        <f>SUM(JG299:JG300)</f>
        <v>0</v>
      </c>
      <c r="JH298" s="74">
        <f t="shared" ref="JH298:JI298" si="9383">SUM(JH299:JH300)</f>
        <v>0</v>
      </c>
      <c r="JI298" s="74">
        <f t="shared" si="9383"/>
        <v>0</v>
      </c>
      <c r="JJ298" s="74">
        <f>SUM(JJ299:JJ300)</f>
        <v>0</v>
      </c>
      <c r="JK298" s="74">
        <f t="shared" ref="JK298:JL298" si="9384">SUM(JK299:JK300)</f>
        <v>0</v>
      </c>
      <c r="JL298" s="74">
        <f t="shared" si="9384"/>
        <v>0</v>
      </c>
      <c r="JM298" s="74">
        <f>SUM(JM299:JM300)</f>
        <v>0</v>
      </c>
      <c r="JN298" s="74">
        <f t="shared" ref="JN298:JO298" si="9385">SUM(JN299:JN300)</f>
        <v>0</v>
      </c>
      <c r="JO298" s="74">
        <f t="shared" si="9385"/>
        <v>0</v>
      </c>
      <c r="JP298" s="74">
        <f>SUM(JP299:JP300)</f>
        <v>0</v>
      </c>
      <c r="JQ298" s="74">
        <f t="shared" ref="JQ298:JR298" si="9386">SUM(JQ299:JQ300)</f>
        <v>0</v>
      </c>
      <c r="JR298" s="74">
        <f t="shared" si="9386"/>
        <v>0</v>
      </c>
      <c r="JS298" s="74">
        <f>JS299+JS300</f>
        <v>0</v>
      </c>
      <c r="JT298" s="382">
        <f>JT299+JT300</f>
        <v>0</v>
      </c>
      <c r="JU298" s="665"/>
      <c r="JV298" s="524"/>
      <c r="JW298" s="525"/>
      <c r="JX298" s="548">
        <f>SUM(JX299:JX300)</f>
        <v>0</v>
      </c>
      <c r="JY298" s="548">
        <f>SUM(JY299:JY300)</f>
        <v>0</v>
      </c>
      <c r="JZ298" s="581">
        <f>SUM(JZ299:JZ300)</f>
        <v>0</v>
      </c>
      <c r="KA298" s="581">
        <f>SUM(KA299:KA300)</f>
        <v>0</v>
      </c>
      <c r="KB298" s="548">
        <f>SUM(KB299:KB300)</f>
        <v>0</v>
      </c>
      <c r="KC298" s="709">
        <f t="shared" si="9101"/>
        <v>0</v>
      </c>
      <c r="KD298" s="35"/>
      <c r="KE298" s="35"/>
      <c r="KF298" s="35"/>
      <c r="KG298" s="35"/>
      <c r="KH298" s="35"/>
      <c r="KI298" s="35"/>
      <c r="KJ298" s="35"/>
      <c r="KK298" s="35"/>
    </row>
    <row r="299" spans="1:297" s="10" customFormat="1" ht="12.75" hidden="1" customHeight="1">
      <c r="A299" s="86" t="s">
        <v>1117</v>
      </c>
      <c r="B299" s="77"/>
      <c r="C299" s="74">
        <v>0</v>
      </c>
      <c r="D299" s="549">
        <v>0</v>
      </c>
      <c r="E299" s="675">
        <v>0</v>
      </c>
      <c r="F299" s="549">
        <v>0</v>
      </c>
      <c r="G299" s="675">
        <v>0</v>
      </c>
      <c r="H299" s="549">
        <v>0</v>
      </c>
      <c r="I299" s="675">
        <v>0</v>
      </c>
      <c r="J299" s="549">
        <v>0</v>
      </c>
      <c r="K299" s="675">
        <v>0</v>
      </c>
      <c r="L299" s="549">
        <v>0</v>
      </c>
      <c r="M299" s="675">
        <v>0</v>
      </c>
      <c r="N299" s="549">
        <v>0</v>
      </c>
      <c r="O299" s="675">
        <v>0</v>
      </c>
      <c r="P299" s="549">
        <v>0</v>
      </c>
      <c r="Q299" s="675">
        <v>0</v>
      </c>
      <c r="R299" s="549">
        <v>0</v>
      </c>
      <c r="S299" s="675">
        <v>0</v>
      </c>
      <c r="T299" s="549">
        <v>0</v>
      </c>
      <c r="U299" s="675">
        <v>0</v>
      </c>
      <c r="V299" s="549">
        <v>0</v>
      </c>
      <c r="W299" s="675">
        <v>0</v>
      </c>
      <c r="X299" s="549">
        <v>0</v>
      </c>
      <c r="Y299" s="675">
        <v>0</v>
      </c>
      <c r="Z299" s="549">
        <v>0</v>
      </c>
      <c r="AA299" s="675">
        <v>0</v>
      </c>
      <c r="AB299" s="549">
        <v>0</v>
      </c>
      <c r="AC299" s="675">
        <v>0</v>
      </c>
      <c r="AD299" s="549">
        <v>0</v>
      </c>
      <c r="AE299" s="675">
        <v>0</v>
      </c>
      <c r="AF299" s="549">
        <v>0</v>
      </c>
      <c r="AG299" s="675">
        <v>0</v>
      </c>
      <c r="AH299" s="549">
        <v>0</v>
      </c>
      <c r="AI299" s="675">
        <v>0</v>
      </c>
      <c r="AJ299" s="549">
        <v>0</v>
      </c>
      <c r="AK299" s="675">
        <v>0</v>
      </c>
      <c r="AL299" s="549">
        <v>0</v>
      </c>
      <c r="AM299" s="675">
        <v>0</v>
      </c>
      <c r="AN299" s="549">
        <v>0</v>
      </c>
      <c r="AO299" s="675">
        <v>0</v>
      </c>
      <c r="AP299" s="549">
        <v>0</v>
      </c>
      <c r="AQ299" s="675">
        <v>0</v>
      </c>
      <c r="AR299" s="549">
        <v>0</v>
      </c>
      <c r="AS299" s="675">
        <v>0</v>
      </c>
      <c r="AT299" s="549">
        <v>0</v>
      </c>
      <c r="AU299" s="675">
        <v>0</v>
      </c>
      <c r="AV299" s="549">
        <v>0</v>
      </c>
      <c r="AW299" s="675">
        <v>0</v>
      </c>
      <c r="AX299" s="549">
        <v>0</v>
      </c>
      <c r="AY299" s="675">
        <v>0</v>
      </c>
      <c r="AZ299" s="549">
        <v>0</v>
      </c>
      <c r="BA299" s="675">
        <v>0</v>
      </c>
      <c r="BB299" s="549">
        <v>0</v>
      </c>
      <c r="BC299" s="675">
        <v>0</v>
      </c>
      <c r="BD299" s="549">
        <v>0</v>
      </c>
      <c r="BE299" s="675">
        <v>0</v>
      </c>
      <c r="BF299" s="549">
        <v>0</v>
      </c>
      <c r="BG299" s="675">
        <v>0</v>
      </c>
      <c r="BH299" s="549">
        <v>0</v>
      </c>
      <c r="BI299" s="675">
        <v>0</v>
      </c>
      <c r="BJ299" s="549">
        <v>0</v>
      </c>
      <c r="BK299" s="675">
        <v>0</v>
      </c>
      <c r="BL299" s="549">
        <v>0</v>
      </c>
      <c r="BM299" s="675">
        <v>0</v>
      </c>
      <c r="BN299" s="549">
        <v>0</v>
      </c>
      <c r="BO299" s="675">
        <v>0</v>
      </c>
      <c r="BP299" s="549">
        <v>0</v>
      </c>
      <c r="BQ299" s="675">
        <v>0</v>
      </c>
      <c r="BR299" s="549">
        <v>0</v>
      </c>
      <c r="BS299" s="675">
        <v>0</v>
      </c>
      <c r="BT299" s="549">
        <v>0</v>
      </c>
      <c r="BU299" s="675">
        <v>0</v>
      </c>
      <c r="BV299" s="549">
        <v>0</v>
      </c>
      <c r="BW299" s="675">
        <v>0</v>
      </c>
      <c r="BX299" s="549">
        <v>0</v>
      </c>
      <c r="BY299" s="675">
        <v>0</v>
      </c>
      <c r="BZ299" s="549">
        <v>0</v>
      </c>
      <c r="CA299" s="675">
        <v>0</v>
      </c>
      <c r="CB299" s="549">
        <v>0</v>
      </c>
      <c r="CC299" s="675">
        <v>0</v>
      </c>
      <c r="CD299" s="549">
        <v>0</v>
      </c>
      <c r="CE299" s="675">
        <v>0</v>
      </c>
      <c r="CF299" s="549">
        <v>0</v>
      </c>
      <c r="CG299" s="675">
        <v>0</v>
      </c>
      <c r="CH299" s="549">
        <v>0</v>
      </c>
      <c r="CI299" s="675">
        <v>0</v>
      </c>
      <c r="CJ299" s="549">
        <v>0</v>
      </c>
      <c r="CK299" s="675">
        <v>0</v>
      </c>
      <c r="CL299" s="549">
        <v>0</v>
      </c>
      <c r="CM299" s="675">
        <v>0</v>
      </c>
      <c r="CN299" s="549">
        <v>0</v>
      </c>
      <c r="CO299" s="675">
        <v>0</v>
      </c>
      <c r="CP299" s="549">
        <v>0</v>
      </c>
      <c r="CQ299" s="675">
        <v>0</v>
      </c>
      <c r="CR299" s="549">
        <v>0</v>
      </c>
      <c r="CS299" s="675">
        <v>0</v>
      </c>
      <c r="CT299" s="549">
        <v>0</v>
      </c>
      <c r="CU299" s="675">
        <v>0</v>
      </c>
      <c r="CV299" s="549">
        <v>0</v>
      </c>
      <c r="CW299" s="675">
        <v>0</v>
      </c>
      <c r="CX299" s="549">
        <v>0</v>
      </c>
      <c r="CY299" s="675">
        <v>0</v>
      </c>
      <c r="CZ299" s="549">
        <v>0</v>
      </c>
      <c r="DA299" s="675">
        <v>0</v>
      </c>
      <c r="DB299" s="549">
        <v>0</v>
      </c>
      <c r="DC299" s="675">
        <v>0</v>
      </c>
      <c r="DD299" s="549">
        <v>0</v>
      </c>
      <c r="DE299" s="675">
        <v>0</v>
      </c>
      <c r="DF299" s="549">
        <v>0</v>
      </c>
      <c r="DG299" s="675">
        <v>0</v>
      </c>
      <c r="DH299" s="549">
        <v>0</v>
      </c>
      <c r="DI299" s="675">
        <v>0</v>
      </c>
      <c r="DJ299" s="549">
        <v>0</v>
      </c>
      <c r="DK299" s="675">
        <v>0</v>
      </c>
      <c r="DL299" s="549">
        <v>0</v>
      </c>
      <c r="DM299" s="675">
        <v>0</v>
      </c>
      <c r="DN299" s="549">
        <v>0</v>
      </c>
      <c r="DO299" s="675">
        <v>0</v>
      </c>
      <c r="DP299" s="549">
        <v>0</v>
      </c>
      <c r="DQ299" s="675">
        <v>0</v>
      </c>
      <c r="DR299" s="549">
        <v>0</v>
      </c>
      <c r="DS299" s="675">
        <v>0</v>
      </c>
      <c r="DT299" s="549">
        <v>0</v>
      </c>
      <c r="DU299" s="675">
        <v>0</v>
      </c>
      <c r="DV299" s="549">
        <v>0</v>
      </c>
      <c r="DW299" s="675">
        <v>0</v>
      </c>
      <c r="DX299" s="549">
        <v>0</v>
      </c>
      <c r="DY299" s="675">
        <v>0</v>
      </c>
      <c r="DZ299" s="549">
        <v>0</v>
      </c>
      <c r="EA299" s="675">
        <v>0</v>
      </c>
      <c r="EB299" s="549">
        <v>0</v>
      </c>
      <c r="EC299" s="675">
        <v>0</v>
      </c>
      <c r="ED299" s="549">
        <v>0</v>
      </c>
      <c r="EE299" s="675">
        <v>0</v>
      </c>
      <c r="EF299" s="549">
        <v>0</v>
      </c>
      <c r="EG299" s="675">
        <v>0</v>
      </c>
      <c r="EH299" s="549">
        <v>0</v>
      </c>
      <c r="EI299" s="675">
        <v>0</v>
      </c>
      <c r="EJ299" s="549">
        <v>0</v>
      </c>
      <c r="EK299" s="675">
        <v>0</v>
      </c>
      <c r="EL299" s="549">
        <v>0</v>
      </c>
      <c r="EM299" s="675">
        <v>0</v>
      </c>
      <c r="EN299" s="549">
        <v>0</v>
      </c>
      <c r="EO299" s="675">
        <v>0</v>
      </c>
      <c r="EP299" s="549">
        <v>0</v>
      </c>
      <c r="EQ299" s="675">
        <v>0</v>
      </c>
      <c r="ER299" s="549">
        <v>0</v>
      </c>
      <c r="ES299" s="675">
        <v>0</v>
      </c>
      <c r="ET299" s="549">
        <v>0</v>
      </c>
      <c r="EU299" s="675">
        <v>0</v>
      </c>
      <c r="EV299" s="549">
        <v>0</v>
      </c>
      <c r="EW299" s="675">
        <v>0</v>
      </c>
      <c r="EX299" s="549">
        <v>0</v>
      </c>
      <c r="EY299" s="675">
        <v>0</v>
      </c>
      <c r="EZ299" s="549">
        <v>0</v>
      </c>
      <c r="FA299" s="675">
        <v>0</v>
      </c>
      <c r="FB299" s="549">
        <v>0</v>
      </c>
      <c r="FC299" s="675">
        <v>0</v>
      </c>
      <c r="FD299" s="549">
        <v>0</v>
      </c>
      <c r="FE299" s="675">
        <v>0</v>
      </c>
      <c r="FF299" s="549">
        <v>0</v>
      </c>
      <c r="FG299" s="675">
        <v>0</v>
      </c>
      <c r="FH299" s="549">
        <v>0</v>
      </c>
      <c r="FI299" s="675">
        <v>0</v>
      </c>
      <c r="FJ299" s="549">
        <v>0</v>
      </c>
      <c r="FK299" s="675">
        <v>0</v>
      </c>
      <c r="FL299" s="549">
        <v>0</v>
      </c>
      <c r="FM299" s="675">
        <v>0</v>
      </c>
      <c r="FN299" s="549">
        <v>0</v>
      </c>
      <c r="FO299" s="675">
        <v>0</v>
      </c>
      <c r="FP299" s="549">
        <v>0</v>
      </c>
      <c r="FQ299" s="675">
        <v>0</v>
      </c>
      <c r="FR299" s="549">
        <v>0</v>
      </c>
      <c r="FS299" s="675">
        <v>0</v>
      </c>
      <c r="FT299" s="549">
        <v>0</v>
      </c>
      <c r="FU299" s="675">
        <v>0</v>
      </c>
      <c r="FV299" s="549">
        <v>0</v>
      </c>
      <c r="FW299" s="675">
        <v>0</v>
      </c>
      <c r="FX299" s="549">
        <v>0</v>
      </c>
      <c r="FY299" s="675">
        <v>0</v>
      </c>
      <c r="FZ299" s="549">
        <v>0</v>
      </c>
      <c r="GA299" s="675">
        <v>0</v>
      </c>
      <c r="GB299" s="549">
        <v>0</v>
      </c>
      <c r="GC299" s="675">
        <v>0</v>
      </c>
      <c r="GD299" s="549">
        <v>0</v>
      </c>
      <c r="GE299" s="675">
        <v>0</v>
      </c>
      <c r="GF299" s="549">
        <v>0</v>
      </c>
      <c r="GG299" s="675">
        <v>0</v>
      </c>
      <c r="GH299" s="549">
        <v>0</v>
      </c>
      <c r="GI299" s="675">
        <v>0</v>
      </c>
      <c r="GJ299" s="549">
        <v>0</v>
      </c>
      <c r="GK299" s="675">
        <v>0</v>
      </c>
      <c r="GL299" s="549">
        <v>0</v>
      </c>
      <c r="GM299" s="675">
        <v>0</v>
      </c>
      <c r="GN299" s="549">
        <v>0</v>
      </c>
      <c r="GO299" s="675">
        <v>0</v>
      </c>
      <c r="GP299" s="549">
        <f>+D299+F299+H299+J299+L299+N299+P299+R299+T299+V299+X299+Z299+AB299+AD299+AH299+AJ299+AL299+AN299+AP299+AR299+AT299+AV299+AX299+AZ299+BB299+BD299+BF299+BH299+BJ299+BL299+BN299+BP299+BR299+BT299+BV299+BX299+BZ299+CB299+CD299+CF299+CH299+CJ299+CL299+CN299+CP299+CR299+CT299+CV299+CX299+CZ299+DB299+DD299+DF299+DH299+DT299+EX299+DJ299+DL299+DN299+DP299+DR299+EJ299+EB299+DZ299+DX299+DV299+ED299+EF299+EH299+EL299+EN299+EP299+EV299+ET299+ER299+EZ299+FB299+FD299+GL299</f>
        <v>0</v>
      </c>
      <c r="GQ299" s="675">
        <f>+E299+G299+I299+K299+M299+O299+Q299+S299+U299+W299+Y299+AA299+AC299+AE299+AI299+AK299+AM299+AO299+AQ299+AS299+AU299+AW299+AY299+BA299+BC299+BE299+BG299+BI299+BK299+BM299+BO299+BQ299+BS299+BU299+BW299+BY299+CA299+CC299+CE299+CG299+CI299+CK299+CM299+CO299+CQ299+CS299+CU299+CW299+CY299+DA299+DC299+DE299+DG299+DI299+DU299+EY299+DK299+DM299+DO299+DQ299+DS299+EK299+EC299+EA299+DY299+DW299+EI299+EG299+EE299+EM299+EO299+EQ299+EW299+EU299+ES299+FA299+FC299+FE299+GM299</f>
        <v>0</v>
      </c>
      <c r="GR299" s="74">
        <f>C299+GP299+GQ299</f>
        <v>0</v>
      </c>
      <c r="GS299" s="74">
        <f t="shared" ref="GS299:GS300" si="9387">SUM(GU299:HB299)+GP299+GQ299</f>
        <v>0</v>
      </c>
      <c r="GT299" s="568"/>
      <c r="GU299" s="73"/>
      <c r="GV299" s="73"/>
      <c r="GW299" s="549"/>
      <c r="GX299" s="549"/>
      <c r="GY299" s="73"/>
      <c r="GZ299" s="73"/>
      <c r="HA299" s="73"/>
      <c r="HB299" s="73"/>
      <c r="HC299" s="73"/>
      <c r="HD299" s="73"/>
      <c r="HE299" s="73"/>
      <c r="HF299" s="73"/>
      <c r="HG299" s="74">
        <f>SUM(HH299:IE299)+GP299+GQ299</f>
        <v>0</v>
      </c>
      <c r="HH299" s="89">
        <v>0</v>
      </c>
      <c r="HI299" s="817">
        <v>0</v>
      </c>
      <c r="HJ299" s="89">
        <v>0</v>
      </c>
      <c r="HK299" s="817">
        <v>0</v>
      </c>
      <c r="HL299" s="89">
        <v>0</v>
      </c>
      <c r="HM299" s="817">
        <v>0</v>
      </c>
      <c r="HN299" s="89">
        <v>0</v>
      </c>
      <c r="HO299" s="817">
        <v>0</v>
      </c>
      <c r="HP299" s="89">
        <v>0</v>
      </c>
      <c r="HQ299" s="817">
        <v>0</v>
      </c>
      <c r="HR299" s="89">
        <v>0</v>
      </c>
      <c r="HS299" s="817">
        <v>0</v>
      </c>
      <c r="HT299" s="89">
        <v>0</v>
      </c>
      <c r="HU299" s="817">
        <v>0</v>
      </c>
      <c r="HV299" s="89">
        <v>0</v>
      </c>
      <c r="HW299" s="817">
        <v>0</v>
      </c>
      <c r="HX299" s="89">
        <v>0</v>
      </c>
      <c r="HY299" s="817">
        <v>0</v>
      </c>
      <c r="HZ299" s="89">
        <v>0</v>
      </c>
      <c r="IA299" s="817">
        <v>0</v>
      </c>
      <c r="IB299" s="89">
        <v>0</v>
      </c>
      <c r="IC299" s="817">
        <v>0</v>
      </c>
      <c r="ID299" s="89">
        <v>0</v>
      </c>
      <c r="IE299" s="817">
        <v>0</v>
      </c>
      <c r="IF299" s="841">
        <f t="shared" ref="IF299:IF300" si="9388">SUM(II299,IL299,IO299,IR299,IU299,IX299,JA299,JD299,JG299,JJ299,JM299,JP299)</f>
        <v>0</v>
      </c>
      <c r="IG299" s="263">
        <f t="shared" ref="IG299:IG300" si="9389">SUM(IJ299,IM299,IP299,IS299,IV299,IY299,JB299,JE299,JH299,JK299,JN299,JQ299)</f>
        <v>0</v>
      </c>
      <c r="IH299" s="842">
        <f t="shared" ref="IH299:IH300" si="9390">SUM(IK299,IN299,IQ299,IT299,IW299,IZ299,JC299,JF299,JI299,JL299,JO299,JR299)</f>
        <v>0</v>
      </c>
      <c r="II299" s="89">
        <v>0</v>
      </c>
      <c r="IJ299" s="89">
        <v>0</v>
      </c>
      <c r="IK299" s="89">
        <v>0</v>
      </c>
      <c r="IL299" s="89">
        <v>0</v>
      </c>
      <c r="IM299" s="89">
        <v>0</v>
      </c>
      <c r="IN299" s="89">
        <v>0</v>
      </c>
      <c r="IO299" s="89">
        <v>0</v>
      </c>
      <c r="IP299" s="89">
        <v>0</v>
      </c>
      <c r="IQ299" s="89">
        <v>0</v>
      </c>
      <c r="IR299" s="89">
        <v>0</v>
      </c>
      <c r="IS299" s="89">
        <v>0</v>
      </c>
      <c r="IT299" s="89">
        <v>0</v>
      </c>
      <c r="IU299" s="89">
        <v>0</v>
      </c>
      <c r="IV299" s="89">
        <v>0</v>
      </c>
      <c r="IW299" s="89">
        <v>0</v>
      </c>
      <c r="IX299" s="89">
        <v>0</v>
      </c>
      <c r="IY299" s="89">
        <v>0</v>
      </c>
      <c r="IZ299" s="89">
        <v>0</v>
      </c>
      <c r="JA299" s="89">
        <v>0</v>
      </c>
      <c r="JB299" s="89">
        <v>0</v>
      </c>
      <c r="JC299" s="89">
        <v>0</v>
      </c>
      <c r="JD299" s="89">
        <v>0</v>
      </c>
      <c r="JE299" s="89">
        <v>0</v>
      </c>
      <c r="JF299" s="89">
        <v>0</v>
      </c>
      <c r="JG299" s="89">
        <v>0</v>
      </c>
      <c r="JH299" s="89">
        <v>0</v>
      </c>
      <c r="JI299" s="89">
        <v>0</v>
      </c>
      <c r="JJ299" s="89">
        <v>0</v>
      </c>
      <c r="JK299" s="89">
        <v>0</v>
      </c>
      <c r="JL299" s="89">
        <v>0</v>
      </c>
      <c r="JM299" s="89">
        <v>0</v>
      </c>
      <c r="JN299" s="89">
        <v>0</v>
      </c>
      <c r="JO299" s="89">
        <v>0</v>
      </c>
      <c r="JP299" s="89">
        <v>0</v>
      </c>
      <c r="JQ299" s="89">
        <v>0</v>
      </c>
      <c r="JR299" s="89">
        <v>0</v>
      </c>
      <c r="JS299" s="74">
        <f>HG299-IF299</f>
        <v>0</v>
      </c>
      <c r="JT299" s="788">
        <f>GS299-IF299</f>
        <v>0</v>
      </c>
      <c r="JU299" s="665"/>
      <c r="JV299" s="524"/>
      <c r="JW299" s="525"/>
      <c r="JX299" s="548">
        <f>SUM(HH299,HJ299,HL299,HN299,HP299,HR299,HT299,HV299,HX299,HZ299,IB299,ID299)</f>
        <v>0</v>
      </c>
      <c r="JY299" s="548">
        <f>SUM(HI299,HK299,HM299,HO299,HQ299,HS299,HU299,HW299,HY299,IA299,IC299,IE299)</f>
        <v>0</v>
      </c>
      <c r="JZ299" s="581">
        <f>GP299</f>
        <v>0</v>
      </c>
      <c r="KA299" s="581">
        <f>GQ299</f>
        <v>0</v>
      </c>
      <c r="KB299" s="548">
        <f>JX299+JY299+JZ299+KA299</f>
        <v>0</v>
      </c>
      <c r="KC299" s="709">
        <f t="shared" si="9101"/>
        <v>0</v>
      </c>
      <c r="KD299" s="35"/>
      <c r="KE299" s="35"/>
      <c r="KF299" s="35"/>
      <c r="KG299" s="35"/>
      <c r="KH299" s="35"/>
      <c r="KI299" s="35"/>
      <c r="KJ299" s="35"/>
      <c r="KK299" s="35"/>
    </row>
    <row r="300" spans="1:297" s="10" customFormat="1" ht="12.75" hidden="1" customHeight="1">
      <c r="A300" s="86" t="s">
        <v>1119</v>
      </c>
      <c r="B300" s="77"/>
      <c r="C300" s="74">
        <v>0</v>
      </c>
      <c r="D300" s="549">
        <v>0</v>
      </c>
      <c r="E300" s="675">
        <v>0</v>
      </c>
      <c r="F300" s="549">
        <v>0</v>
      </c>
      <c r="G300" s="675">
        <v>0</v>
      </c>
      <c r="H300" s="549">
        <v>0</v>
      </c>
      <c r="I300" s="675">
        <v>0</v>
      </c>
      <c r="J300" s="549">
        <v>0</v>
      </c>
      <c r="K300" s="675">
        <v>0</v>
      </c>
      <c r="L300" s="549">
        <v>0</v>
      </c>
      <c r="M300" s="675">
        <v>0</v>
      </c>
      <c r="N300" s="549">
        <v>0</v>
      </c>
      <c r="O300" s="675">
        <v>0</v>
      </c>
      <c r="P300" s="549">
        <v>0</v>
      </c>
      <c r="Q300" s="675">
        <v>0</v>
      </c>
      <c r="R300" s="549">
        <v>0</v>
      </c>
      <c r="S300" s="675">
        <v>0</v>
      </c>
      <c r="T300" s="549">
        <v>0</v>
      </c>
      <c r="U300" s="675">
        <v>0</v>
      </c>
      <c r="V300" s="549">
        <v>0</v>
      </c>
      <c r="W300" s="675">
        <v>0</v>
      </c>
      <c r="X300" s="549">
        <v>0</v>
      </c>
      <c r="Y300" s="675">
        <v>0</v>
      </c>
      <c r="Z300" s="549">
        <v>0</v>
      </c>
      <c r="AA300" s="675">
        <v>0</v>
      </c>
      <c r="AB300" s="549">
        <v>0</v>
      </c>
      <c r="AC300" s="675">
        <v>0</v>
      </c>
      <c r="AD300" s="549">
        <v>0</v>
      </c>
      <c r="AE300" s="675">
        <v>0</v>
      </c>
      <c r="AF300" s="549">
        <v>0</v>
      </c>
      <c r="AG300" s="675">
        <v>0</v>
      </c>
      <c r="AH300" s="549">
        <v>0</v>
      </c>
      <c r="AI300" s="675">
        <v>0</v>
      </c>
      <c r="AJ300" s="549">
        <v>0</v>
      </c>
      <c r="AK300" s="675">
        <v>0</v>
      </c>
      <c r="AL300" s="549">
        <v>0</v>
      </c>
      <c r="AM300" s="675">
        <v>0</v>
      </c>
      <c r="AN300" s="549">
        <v>0</v>
      </c>
      <c r="AO300" s="675">
        <v>0</v>
      </c>
      <c r="AP300" s="549">
        <v>0</v>
      </c>
      <c r="AQ300" s="675">
        <v>0</v>
      </c>
      <c r="AR300" s="549">
        <v>0</v>
      </c>
      <c r="AS300" s="675">
        <v>0</v>
      </c>
      <c r="AT300" s="549">
        <v>0</v>
      </c>
      <c r="AU300" s="675">
        <v>0</v>
      </c>
      <c r="AV300" s="549">
        <v>0</v>
      </c>
      <c r="AW300" s="675">
        <v>0</v>
      </c>
      <c r="AX300" s="549">
        <v>0</v>
      </c>
      <c r="AY300" s="675">
        <v>0</v>
      </c>
      <c r="AZ300" s="549">
        <v>0</v>
      </c>
      <c r="BA300" s="675">
        <v>0</v>
      </c>
      <c r="BB300" s="549">
        <v>0</v>
      </c>
      <c r="BC300" s="675">
        <v>0</v>
      </c>
      <c r="BD300" s="549">
        <v>0</v>
      </c>
      <c r="BE300" s="675">
        <v>0</v>
      </c>
      <c r="BF300" s="549">
        <v>0</v>
      </c>
      <c r="BG300" s="675">
        <v>0</v>
      </c>
      <c r="BH300" s="549">
        <v>0</v>
      </c>
      <c r="BI300" s="675">
        <v>0</v>
      </c>
      <c r="BJ300" s="549">
        <v>0</v>
      </c>
      <c r="BK300" s="675">
        <v>0</v>
      </c>
      <c r="BL300" s="549">
        <v>0</v>
      </c>
      <c r="BM300" s="675">
        <v>0</v>
      </c>
      <c r="BN300" s="549">
        <v>0</v>
      </c>
      <c r="BO300" s="675">
        <v>0</v>
      </c>
      <c r="BP300" s="549">
        <v>0</v>
      </c>
      <c r="BQ300" s="675">
        <v>0</v>
      </c>
      <c r="BR300" s="549">
        <v>0</v>
      </c>
      <c r="BS300" s="675">
        <v>0</v>
      </c>
      <c r="BT300" s="549">
        <v>0</v>
      </c>
      <c r="BU300" s="675">
        <v>0</v>
      </c>
      <c r="BV300" s="549">
        <v>0</v>
      </c>
      <c r="BW300" s="675">
        <v>0</v>
      </c>
      <c r="BX300" s="549">
        <v>0</v>
      </c>
      <c r="BY300" s="675">
        <v>0</v>
      </c>
      <c r="BZ300" s="549">
        <v>0</v>
      </c>
      <c r="CA300" s="675">
        <v>0</v>
      </c>
      <c r="CB300" s="549">
        <v>0</v>
      </c>
      <c r="CC300" s="675">
        <v>0</v>
      </c>
      <c r="CD300" s="549">
        <v>0</v>
      </c>
      <c r="CE300" s="675">
        <v>0</v>
      </c>
      <c r="CF300" s="549">
        <v>0</v>
      </c>
      <c r="CG300" s="675">
        <v>0</v>
      </c>
      <c r="CH300" s="549">
        <v>0</v>
      </c>
      <c r="CI300" s="675">
        <v>0</v>
      </c>
      <c r="CJ300" s="549">
        <v>0</v>
      </c>
      <c r="CK300" s="675">
        <v>0</v>
      </c>
      <c r="CL300" s="549">
        <v>0</v>
      </c>
      <c r="CM300" s="675">
        <v>0</v>
      </c>
      <c r="CN300" s="549">
        <v>0</v>
      </c>
      <c r="CO300" s="675">
        <v>0</v>
      </c>
      <c r="CP300" s="549">
        <v>0</v>
      </c>
      <c r="CQ300" s="675">
        <v>0</v>
      </c>
      <c r="CR300" s="549">
        <v>0</v>
      </c>
      <c r="CS300" s="675">
        <v>0</v>
      </c>
      <c r="CT300" s="549">
        <v>0</v>
      </c>
      <c r="CU300" s="675">
        <v>0</v>
      </c>
      <c r="CV300" s="549">
        <v>0</v>
      </c>
      <c r="CW300" s="675">
        <v>0</v>
      </c>
      <c r="CX300" s="549">
        <v>0</v>
      </c>
      <c r="CY300" s="675">
        <v>0</v>
      </c>
      <c r="CZ300" s="549">
        <v>0</v>
      </c>
      <c r="DA300" s="675">
        <v>0</v>
      </c>
      <c r="DB300" s="549">
        <v>0</v>
      </c>
      <c r="DC300" s="675">
        <v>0</v>
      </c>
      <c r="DD300" s="549">
        <v>0</v>
      </c>
      <c r="DE300" s="675">
        <v>0</v>
      </c>
      <c r="DF300" s="549">
        <v>0</v>
      </c>
      <c r="DG300" s="675">
        <v>0</v>
      </c>
      <c r="DH300" s="549">
        <v>0</v>
      </c>
      <c r="DI300" s="675">
        <v>0</v>
      </c>
      <c r="DJ300" s="549">
        <v>0</v>
      </c>
      <c r="DK300" s="675">
        <v>0</v>
      </c>
      <c r="DL300" s="549">
        <v>0</v>
      </c>
      <c r="DM300" s="675">
        <v>0</v>
      </c>
      <c r="DN300" s="549">
        <v>0</v>
      </c>
      <c r="DO300" s="675">
        <v>0</v>
      </c>
      <c r="DP300" s="549">
        <v>0</v>
      </c>
      <c r="DQ300" s="675">
        <v>0</v>
      </c>
      <c r="DR300" s="549">
        <v>0</v>
      </c>
      <c r="DS300" s="675">
        <v>0</v>
      </c>
      <c r="DT300" s="549">
        <v>0</v>
      </c>
      <c r="DU300" s="675">
        <v>0</v>
      </c>
      <c r="DV300" s="549">
        <v>0</v>
      </c>
      <c r="DW300" s="675">
        <v>0</v>
      </c>
      <c r="DX300" s="549">
        <v>0</v>
      </c>
      <c r="DY300" s="675">
        <v>0</v>
      </c>
      <c r="DZ300" s="549">
        <v>0</v>
      </c>
      <c r="EA300" s="675">
        <v>0</v>
      </c>
      <c r="EB300" s="549">
        <v>0</v>
      </c>
      <c r="EC300" s="675">
        <v>0</v>
      </c>
      <c r="ED300" s="549">
        <v>0</v>
      </c>
      <c r="EE300" s="675">
        <v>0</v>
      </c>
      <c r="EF300" s="549">
        <v>0</v>
      </c>
      <c r="EG300" s="675">
        <v>0</v>
      </c>
      <c r="EH300" s="549">
        <v>0</v>
      </c>
      <c r="EI300" s="675">
        <v>0</v>
      </c>
      <c r="EJ300" s="549">
        <v>0</v>
      </c>
      <c r="EK300" s="675">
        <v>0</v>
      </c>
      <c r="EL300" s="549">
        <v>0</v>
      </c>
      <c r="EM300" s="675">
        <v>0</v>
      </c>
      <c r="EN300" s="549">
        <v>0</v>
      </c>
      <c r="EO300" s="675">
        <v>0</v>
      </c>
      <c r="EP300" s="549">
        <v>0</v>
      </c>
      <c r="EQ300" s="675">
        <v>0</v>
      </c>
      <c r="ER300" s="549">
        <v>0</v>
      </c>
      <c r="ES300" s="675">
        <v>0</v>
      </c>
      <c r="ET300" s="549">
        <v>0</v>
      </c>
      <c r="EU300" s="675">
        <v>0</v>
      </c>
      <c r="EV300" s="549">
        <v>0</v>
      </c>
      <c r="EW300" s="675">
        <v>0</v>
      </c>
      <c r="EX300" s="549">
        <v>0</v>
      </c>
      <c r="EY300" s="675">
        <v>0</v>
      </c>
      <c r="EZ300" s="549">
        <v>0</v>
      </c>
      <c r="FA300" s="675">
        <v>0</v>
      </c>
      <c r="FB300" s="549">
        <v>0</v>
      </c>
      <c r="FC300" s="675">
        <v>0</v>
      </c>
      <c r="FD300" s="549">
        <v>0</v>
      </c>
      <c r="FE300" s="675">
        <v>0</v>
      </c>
      <c r="FF300" s="549">
        <v>0</v>
      </c>
      <c r="FG300" s="675">
        <v>0</v>
      </c>
      <c r="FH300" s="549">
        <v>0</v>
      </c>
      <c r="FI300" s="675">
        <v>0</v>
      </c>
      <c r="FJ300" s="549">
        <v>0</v>
      </c>
      <c r="FK300" s="675">
        <v>0</v>
      </c>
      <c r="FL300" s="549">
        <v>0</v>
      </c>
      <c r="FM300" s="675">
        <v>0</v>
      </c>
      <c r="FN300" s="549">
        <v>0</v>
      </c>
      <c r="FO300" s="675">
        <v>0</v>
      </c>
      <c r="FP300" s="549">
        <v>0</v>
      </c>
      <c r="FQ300" s="675">
        <v>0</v>
      </c>
      <c r="FR300" s="549">
        <v>0</v>
      </c>
      <c r="FS300" s="675">
        <v>0</v>
      </c>
      <c r="FT300" s="549">
        <v>0</v>
      </c>
      <c r="FU300" s="675">
        <v>0</v>
      </c>
      <c r="FV300" s="549">
        <v>0</v>
      </c>
      <c r="FW300" s="675">
        <v>0</v>
      </c>
      <c r="FX300" s="549">
        <v>0</v>
      </c>
      <c r="FY300" s="675">
        <v>0</v>
      </c>
      <c r="FZ300" s="549">
        <v>0</v>
      </c>
      <c r="GA300" s="675">
        <v>0</v>
      </c>
      <c r="GB300" s="549">
        <v>0</v>
      </c>
      <c r="GC300" s="675">
        <v>0</v>
      </c>
      <c r="GD300" s="549">
        <v>0</v>
      </c>
      <c r="GE300" s="675">
        <v>0</v>
      </c>
      <c r="GF300" s="549">
        <v>0</v>
      </c>
      <c r="GG300" s="675">
        <v>0</v>
      </c>
      <c r="GH300" s="549">
        <v>0</v>
      </c>
      <c r="GI300" s="675">
        <v>0</v>
      </c>
      <c r="GJ300" s="549">
        <v>0</v>
      </c>
      <c r="GK300" s="675">
        <v>0</v>
      </c>
      <c r="GL300" s="549">
        <v>0</v>
      </c>
      <c r="GM300" s="675">
        <v>0</v>
      </c>
      <c r="GN300" s="549">
        <v>0</v>
      </c>
      <c r="GO300" s="675">
        <v>0</v>
      </c>
      <c r="GP300" s="549">
        <f>+D300+F300+H300+J300+L300+N300+P300+R300+T300+V300+X300+Z300+AB300+AD300+AH300+AJ300+AL300+AN300+AP300+AR300+AT300+AV300+AX300+AZ300+BB300+BD300+BF300+BH300+BJ300+BL300+BN300+BP300+BR300+BT300+BV300+BX300+BZ300+CB300+CD300+CF300+CH300+CJ300+CL300+CN300+CP300+CR300+CT300+CV300+CX300+CZ300+DB300+DD300+DF300+DH300+DT300+EX300+DJ300+DL300+DN300+DP300+DR300+EJ300+EB300+DZ300+DX300+DV300+ED300+EF300+EH300+EL300+EN300+EP300+EV300+ET300+ER300+EZ300+FB300+FD300+GL300</f>
        <v>0</v>
      </c>
      <c r="GQ300" s="675">
        <f>+E300+G300+I300+K300+M300+O300+Q300+S300+U300+W300+Y300+AA300+AC300+AE300+AI300+AK300+AM300+AO300+AQ300+AS300+AU300+AW300+AY300+BA300+BC300+BE300+BG300+BI300+BK300+BM300+BO300+BQ300+BS300+BU300+BW300+BY300+CA300+CC300+CE300+CG300+CI300+CK300+CM300+CO300+CQ300+CS300+CU300+CW300+CY300+DA300+DC300+DE300+DG300+DI300+DU300+EY300+DK300+DM300+DO300+DQ300+DS300+EK300+EC300+EA300+DY300+DW300+EI300+EG300+EE300+EM300+EO300+EQ300+EW300+EU300+ES300+FA300+FC300+FE300+GM300</f>
        <v>0</v>
      </c>
      <c r="GR300" s="74">
        <f>C300+GP300+GQ300</f>
        <v>0</v>
      </c>
      <c r="GS300" s="74">
        <f t="shared" si="9387"/>
        <v>0</v>
      </c>
      <c r="GT300" s="568"/>
      <c r="GU300" s="73"/>
      <c r="GV300" s="73"/>
      <c r="GW300" s="549"/>
      <c r="GX300" s="549"/>
      <c r="GY300" s="73"/>
      <c r="GZ300" s="73"/>
      <c r="HA300" s="73"/>
      <c r="HB300" s="73"/>
      <c r="HC300" s="73"/>
      <c r="HD300" s="73"/>
      <c r="HE300" s="73"/>
      <c r="HF300" s="73"/>
      <c r="HG300" s="74">
        <f>SUM(HH300:IE300)+GP300+GQ300</f>
        <v>0</v>
      </c>
      <c r="HH300" s="89">
        <v>0</v>
      </c>
      <c r="HI300" s="817">
        <v>0</v>
      </c>
      <c r="HJ300" s="89">
        <v>0</v>
      </c>
      <c r="HK300" s="817">
        <v>0</v>
      </c>
      <c r="HL300" s="89">
        <v>0</v>
      </c>
      <c r="HM300" s="817">
        <v>0</v>
      </c>
      <c r="HN300" s="89">
        <v>0</v>
      </c>
      <c r="HO300" s="817">
        <v>0</v>
      </c>
      <c r="HP300" s="89">
        <v>0</v>
      </c>
      <c r="HQ300" s="817">
        <v>0</v>
      </c>
      <c r="HR300" s="89">
        <v>0</v>
      </c>
      <c r="HS300" s="817">
        <v>0</v>
      </c>
      <c r="HT300" s="89">
        <v>0</v>
      </c>
      <c r="HU300" s="817">
        <v>0</v>
      </c>
      <c r="HV300" s="89">
        <v>0</v>
      </c>
      <c r="HW300" s="817">
        <v>0</v>
      </c>
      <c r="HX300" s="89">
        <v>0</v>
      </c>
      <c r="HY300" s="817">
        <v>0</v>
      </c>
      <c r="HZ300" s="89">
        <v>0</v>
      </c>
      <c r="IA300" s="817">
        <v>0</v>
      </c>
      <c r="IB300" s="89">
        <v>0</v>
      </c>
      <c r="IC300" s="817">
        <v>0</v>
      </c>
      <c r="ID300" s="89">
        <v>0</v>
      </c>
      <c r="IE300" s="817">
        <v>0</v>
      </c>
      <c r="IF300" s="841">
        <f t="shared" si="9388"/>
        <v>0</v>
      </c>
      <c r="IG300" s="263">
        <f t="shared" si="9389"/>
        <v>0</v>
      </c>
      <c r="IH300" s="842">
        <f t="shared" si="9390"/>
        <v>0</v>
      </c>
      <c r="II300" s="89">
        <v>0</v>
      </c>
      <c r="IJ300" s="89">
        <v>0</v>
      </c>
      <c r="IK300" s="89">
        <v>0</v>
      </c>
      <c r="IL300" s="89">
        <v>0</v>
      </c>
      <c r="IM300" s="89">
        <v>0</v>
      </c>
      <c r="IN300" s="89">
        <v>0</v>
      </c>
      <c r="IO300" s="89">
        <v>0</v>
      </c>
      <c r="IP300" s="89">
        <v>0</v>
      </c>
      <c r="IQ300" s="89">
        <v>0</v>
      </c>
      <c r="IR300" s="89">
        <v>0</v>
      </c>
      <c r="IS300" s="89">
        <v>0</v>
      </c>
      <c r="IT300" s="89">
        <v>0</v>
      </c>
      <c r="IU300" s="89">
        <v>0</v>
      </c>
      <c r="IV300" s="89">
        <v>0</v>
      </c>
      <c r="IW300" s="89">
        <v>0</v>
      </c>
      <c r="IX300" s="89">
        <v>0</v>
      </c>
      <c r="IY300" s="89">
        <v>0</v>
      </c>
      <c r="IZ300" s="89">
        <v>0</v>
      </c>
      <c r="JA300" s="89">
        <v>0</v>
      </c>
      <c r="JB300" s="89">
        <v>0</v>
      </c>
      <c r="JC300" s="89">
        <v>0</v>
      </c>
      <c r="JD300" s="89">
        <v>0</v>
      </c>
      <c r="JE300" s="89">
        <v>0</v>
      </c>
      <c r="JF300" s="89">
        <v>0</v>
      </c>
      <c r="JG300" s="89">
        <v>0</v>
      </c>
      <c r="JH300" s="89">
        <v>0</v>
      </c>
      <c r="JI300" s="89">
        <v>0</v>
      </c>
      <c r="JJ300" s="89">
        <v>0</v>
      </c>
      <c r="JK300" s="89">
        <v>0</v>
      </c>
      <c r="JL300" s="89">
        <v>0</v>
      </c>
      <c r="JM300" s="89">
        <v>0</v>
      </c>
      <c r="JN300" s="89">
        <v>0</v>
      </c>
      <c r="JO300" s="89">
        <v>0</v>
      </c>
      <c r="JP300" s="89">
        <v>0</v>
      </c>
      <c r="JQ300" s="89">
        <v>0</v>
      </c>
      <c r="JR300" s="89">
        <v>0</v>
      </c>
      <c r="JS300" s="74">
        <f>HG300-IF300</f>
        <v>0</v>
      </c>
      <c r="JT300" s="788">
        <f>GS300-IF300</f>
        <v>0</v>
      </c>
      <c r="JU300" s="665"/>
      <c r="JV300" s="524"/>
      <c r="JW300" s="525"/>
      <c r="JX300" s="548">
        <f>SUM(HH300,HJ300,HL300,HN300,HP300,HR300,HT300,HV300,HX300,HZ300,IB300,ID300)</f>
        <v>0</v>
      </c>
      <c r="JY300" s="548">
        <f>SUM(HI300,HK300,HM300,HO300,HQ300,HS300,HU300,HW300,HY300,IA300,IC300,IE300)</f>
        <v>0</v>
      </c>
      <c r="JZ300" s="581">
        <f>GP300</f>
        <v>0</v>
      </c>
      <c r="KA300" s="581">
        <f>GQ300</f>
        <v>0</v>
      </c>
      <c r="KB300" s="548">
        <f>JX300+JY300+JZ300+KA300</f>
        <v>0</v>
      </c>
      <c r="KC300" s="709">
        <f t="shared" si="9101"/>
        <v>0</v>
      </c>
      <c r="KD300" s="35"/>
      <c r="KE300" s="35"/>
      <c r="KF300" s="35"/>
      <c r="KG300" s="35"/>
      <c r="KH300" s="35"/>
      <c r="KI300" s="35"/>
      <c r="KJ300" s="35"/>
      <c r="KK300" s="35"/>
    </row>
    <row r="301" spans="1:297" s="10" customFormat="1" ht="12.75" hidden="1" customHeight="1">
      <c r="A301" s="86"/>
      <c r="B301" s="77"/>
      <c r="C301" s="74"/>
      <c r="D301" s="549"/>
      <c r="E301" s="675"/>
      <c r="F301" s="549"/>
      <c r="G301" s="675"/>
      <c r="H301" s="549"/>
      <c r="I301" s="675"/>
      <c r="J301" s="549"/>
      <c r="K301" s="675"/>
      <c r="L301" s="549"/>
      <c r="M301" s="675"/>
      <c r="N301" s="549"/>
      <c r="O301" s="675"/>
      <c r="P301" s="549"/>
      <c r="Q301" s="675"/>
      <c r="R301" s="549"/>
      <c r="S301" s="675"/>
      <c r="T301" s="549"/>
      <c r="U301" s="675"/>
      <c r="V301" s="549"/>
      <c r="W301" s="675"/>
      <c r="X301" s="549"/>
      <c r="Y301" s="675"/>
      <c r="Z301" s="549"/>
      <c r="AA301" s="675"/>
      <c r="AB301" s="549"/>
      <c r="AC301" s="675"/>
      <c r="AD301" s="549"/>
      <c r="AE301" s="675"/>
      <c r="AF301" s="549"/>
      <c r="AG301" s="675"/>
      <c r="AH301" s="549"/>
      <c r="AI301" s="675"/>
      <c r="AJ301" s="549"/>
      <c r="AK301" s="675"/>
      <c r="AL301" s="549"/>
      <c r="AM301" s="675"/>
      <c r="AN301" s="549"/>
      <c r="AO301" s="675"/>
      <c r="AP301" s="549"/>
      <c r="AQ301" s="675"/>
      <c r="AR301" s="549"/>
      <c r="AS301" s="675"/>
      <c r="AT301" s="549"/>
      <c r="AU301" s="675"/>
      <c r="AV301" s="549"/>
      <c r="AW301" s="675"/>
      <c r="AX301" s="549"/>
      <c r="AY301" s="675"/>
      <c r="AZ301" s="549"/>
      <c r="BA301" s="675"/>
      <c r="BB301" s="549"/>
      <c r="BC301" s="675"/>
      <c r="BD301" s="549"/>
      <c r="BE301" s="675"/>
      <c r="BF301" s="549"/>
      <c r="BG301" s="675"/>
      <c r="BH301" s="549"/>
      <c r="BI301" s="675"/>
      <c r="BJ301" s="549"/>
      <c r="BK301" s="675"/>
      <c r="BL301" s="549"/>
      <c r="BM301" s="675"/>
      <c r="BN301" s="549"/>
      <c r="BO301" s="675"/>
      <c r="BP301" s="549"/>
      <c r="BQ301" s="675"/>
      <c r="BR301" s="549"/>
      <c r="BS301" s="675"/>
      <c r="BT301" s="549"/>
      <c r="BU301" s="675"/>
      <c r="BV301" s="549"/>
      <c r="BW301" s="675"/>
      <c r="BX301" s="549"/>
      <c r="BY301" s="675"/>
      <c r="BZ301" s="549"/>
      <c r="CA301" s="675"/>
      <c r="CB301" s="549"/>
      <c r="CC301" s="675"/>
      <c r="CD301" s="549"/>
      <c r="CE301" s="675"/>
      <c r="CF301" s="549"/>
      <c r="CG301" s="675"/>
      <c r="CH301" s="549"/>
      <c r="CI301" s="675"/>
      <c r="CJ301" s="549"/>
      <c r="CK301" s="675"/>
      <c r="CL301" s="549"/>
      <c r="CM301" s="675"/>
      <c r="CN301" s="549"/>
      <c r="CO301" s="675"/>
      <c r="CP301" s="549"/>
      <c r="CQ301" s="675"/>
      <c r="CR301" s="549"/>
      <c r="CS301" s="675"/>
      <c r="CT301" s="549"/>
      <c r="CU301" s="675"/>
      <c r="CV301" s="549"/>
      <c r="CW301" s="675"/>
      <c r="CX301" s="549"/>
      <c r="CY301" s="675"/>
      <c r="CZ301" s="549"/>
      <c r="DA301" s="675"/>
      <c r="DB301" s="549"/>
      <c r="DC301" s="675"/>
      <c r="DD301" s="549"/>
      <c r="DE301" s="675"/>
      <c r="DF301" s="549"/>
      <c r="DG301" s="675"/>
      <c r="DH301" s="549"/>
      <c r="DI301" s="675"/>
      <c r="DJ301" s="549"/>
      <c r="DK301" s="675"/>
      <c r="DL301" s="549"/>
      <c r="DM301" s="675"/>
      <c r="DN301" s="549"/>
      <c r="DO301" s="675"/>
      <c r="DP301" s="549"/>
      <c r="DQ301" s="675"/>
      <c r="DR301" s="549"/>
      <c r="DS301" s="675"/>
      <c r="DT301" s="549"/>
      <c r="DU301" s="675"/>
      <c r="DV301" s="549"/>
      <c r="DW301" s="675"/>
      <c r="DX301" s="549"/>
      <c r="DY301" s="675"/>
      <c r="DZ301" s="549"/>
      <c r="EA301" s="675"/>
      <c r="EB301" s="549"/>
      <c r="EC301" s="675"/>
      <c r="ED301" s="549"/>
      <c r="EE301" s="675"/>
      <c r="EF301" s="549"/>
      <c r="EG301" s="675"/>
      <c r="EH301" s="549"/>
      <c r="EI301" s="675"/>
      <c r="EJ301" s="549"/>
      <c r="EK301" s="675"/>
      <c r="EL301" s="549"/>
      <c r="EM301" s="675"/>
      <c r="EN301" s="549"/>
      <c r="EO301" s="675"/>
      <c r="EP301" s="549"/>
      <c r="EQ301" s="675"/>
      <c r="ER301" s="549"/>
      <c r="ES301" s="675"/>
      <c r="ET301" s="549"/>
      <c r="EU301" s="675"/>
      <c r="EV301" s="549"/>
      <c r="EW301" s="675"/>
      <c r="EX301" s="549"/>
      <c r="EY301" s="675"/>
      <c r="EZ301" s="549"/>
      <c r="FA301" s="675"/>
      <c r="FB301" s="549"/>
      <c r="FC301" s="675"/>
      <c r="FD301" s="549"/>
      <c r="FE301" s="675"/>
      <c r="FF301" s="549"/>
      <c r="FG301" s="675"/>
      <c r="FH301" s="549"/>
      <c r="FI301" s="675"/>
      <c r="FJ301" s="549"/>
      <c r="FK301" s="675"/>
      <c r="FL301" s="549"/>
      <c r="FM301" s="675"/>
      <c r="FN301" s="549"/>
      <c r="FO301" s="675"/>
      <c r="FP301" s="549"/>
      <c r="FQ301" s="675"/>
      <c r="FR301" s="549"/>
      <c r="FS301" s="675"/>
      <c r="FT301" s="549"/>
      <c r="FU301" s="675"/>
      <c r="FV301" s="549"/>
      <c r="FW301" s="675"/>
      <c r="FX301" s="549"/>
      <c r="FY301" s="675"/>
      <c r="FZ301" s="549"/>
      <c r="GA301" s="675"/>
      <c r="GB301" s="549"/>
      <c r="GC301" s="675"/>
      <c r="GD301" s="549"/>
      <c r="GE301" s="675"/>
      <c r="GF301" s="549"/>
      <c r="GG301" s="675"/>
      <c r="GH301" s="549"/>
      <c r="GI301" s="675"/>
      <c r="GJ301" s="549"/>
      <c r="GK301" s="675"/>
      <c r="GL301" s="549"/>
      <c r="GM301" s="675"/>
      <c r="GN301" s="549"/>
      <c r="GO301" s="675"/>
      <c r="GP301" s="549"/>
      <c r="GQ301" s="675"/>
      <c r="GR301" s="74"/>
      <c r="GS301" s="74"/>
      <c r="GT301" s="568"/>
      <c r="GU301" s="73"/>
      <c r="GV301" s="73"/>
      <c r="GW301" s="549"/>
      <c r="GX301" s="549"/>
      <c r="GY301" s="73"/>
      <c r="GZ301" s="73"/>
      <c r="HA301" s="73"/>
      <c r="HB301" s="73"/>
      <c r="HC301" s="73"/>
      <c r="HD301" s="73"/>
      <c r="HE301" s="73"/>
      <c r="HF301" s="73"/>
      <c r="HG301" s="74"/>
      <c r="HH301" s="73"/>
      <c r="HI301" s="815"/>
      <c r="HJ301" s="73"/>
      <c r="HK301" s="815"/>
      <c r="HL301" s="73"/>
      <c r="HM301" s="815"/>
      <c r="HN301" s="73"/>
      <c r="HO301" s="815"/>
      <c r="HP301" s="73"/>
      <c r="HQ301" s="815"/>
      <c r="HR301" s="73"/>
      <c r="HS301" s="815"/>
      <c r="HT301" s="73"/>
      <c r="HU301" s="815"/>
      <c r="HV301" s="73"/>
      <c r="HW301" s="815"/>
      <c r="HX301" s="73"/>
      <c r="HY301" s="815"/>
      <c r="HZ301" s="73"/>
      <c r="IA301" s="815"/>
      <c r="IB301" s="73"/>
      <c r="IC301" s="815"/>
      <c r="ID301" s="73"/>
      <c r="IE301" s="815"/>
      <c r="IF301" s="841"/>
      <c r="IG301" s="263"/>
      <c r="IH301" s="842"/>
      <c r="II301" s="74"/>
      <c r="IJ301" s="74"/>
      <c r="IK301" s="74"/>
      <c r="IL301" s="74"/>
      <c r="IM301" s="74"/>
      <c r="IN301" s="74"/>
      <c r="IO301" s="74"/>
      <c r="IP301" s="74"/>
      <c r="IQ301" s="74"/>
      <c r="IR301" s="74"/>
      <c r="IS301" s="74"/>
      <c r="IT301" s="74"/>
      <c r="IU301" s="74"/>
      <c r="IV301" s="74"/>
      <c r="IW301" s="74"/>
      <c r="IX301" s="74"/>
      <c r="IY301" s="74"/>
      <c r="IZ301" s="74"/>
      <c r="JA301" s="74"/>
      <c r="JB301" s="74"/>
      <c r="JC301" s="74"/>
      <c r="JD301" s="74"/>
      <c r="JE301" s="74"/>
      <c r="JF301" s="74"/>
      <c r="JG301" s="74"/>
      <c r="JH301" s="74"/>
      <c r="JI301" s="74"/>
      <c r="JJ301" s="74"/>
      <c r="JK301" s="74"/>
      <c r="JL301" s="74"/>
      <c r="JM301" s="74"/>
      <c r="JN301" s="74"/>
      <c r="JO301" s="74"/>
      <c r="JP301" s="74"/>
      <c r="JQ301" s="74"/>
      <c r="JR301" s="74"/>
      <c r="JS301" s="74"/>
      <c r="JT301" s="382"/>
      <c r="JU301" s="665"/>
      <c r="JV301" s="524"/>
      <c r="JW301" s="525"/>
      <c r="JX301" s="548"/>
      <c r="JY301" s="548"/>
      <c r="JZ301" s="581"/>
      <c r="KA301" s="581"/>
      <c r="KB301" s="548"/>
      <c r="KC301" s="709">
        <f t="shared" si="9101"/>
        <v>0</v>
      </c>
      <c r="KD301" s="35"/>
      <c r="KE301" s="35"/>
      <c r="KF301" s="35"/>
      <c r="KG301" s="35"/>
      <c r="KH301" s="35"/>
      <c r="KI301" s="35"/>
      <c r="KJ301" s="35"/>
      <c r="KK301" s="35"/>
    </row>
    <row r="302" spans="1:297" s="10" customFormat="1" ht="12.75" hidden="1" customHeight="1">
      <c r="A302" s="80" t="s">
        <v>1113</v>
      </c>
      <c r="B302" s="77"/>
      <c r="C302" s="74">
        <f>C303</f>
        <v>0</v>
      </c>
      <c r="D302" s="549">
        <f t="shared" ref="D302:CC302" si="9391">D303</f>
        <v>0</v>
      </c>
      <c r="E302" s="675">
        <f t="shared" si="9391"/>
        <v>0</v>
      </c>
      <c r="F302" s="549">
        <f t="shared" si="9391"/>
        <v>0</v>
      </c>
      <c r="G302" s="675">
        <f t="shared" si="9391"/>
        <v>0</v>
      </c>
      <c r="H302" s="549">
        <f t="shared" si="9391"/>
        <v>0</v>
      </c>
      <c r="I302" s="675">
        <f t="shared" si="9391"/>
        <v>0</v>
      </c>
      <c r="J302" s="549">
        <f t="shared" si="9391"/>
        <v>0</v>
      </c>
      <c r="K302" s="675">
        <f t="shared" si="9391"/>
        <v>0</v>
      </c>
      <c r="L302" s="549">
        <f t="shared" si="9391"/>
        <v>0</v>
      </c>
      <c r="M302" s="675">
        <f t="shared" si="9391"/>
        <v>0</v>
      </c>
      <c r="N302" s="549">
        <f t="shared" si="9391"/>
        <v>0</v>
      </c>
      <c r="O302" s="675">
        <f t="shared" si="9391"/>
        <v>0</v>
      </c>
      <c r="P302" s="549">
        <f t="shared" si="9391"/>
        <v>0</v>
      </c>
      <c r="Q302" s="675">
        <f t="shared" si="9391"/>
        <v>0</v>
      </c>
      <c r="R302" s="549">
        <f t="shared" si="9391"/>
        <v>0</v>
      </c>
      <c r="S302" s="675">
        <f t="shared" si="9391"/>
        <v>0</v>
      </c>
      <c r="T302" s="549">
        <f t="shared" si="9391"/>
        <v>0</v>
      </c>
      <c r="U302" s="675">
        <f t="shared" si="9391"/>
        <v>0</v>
      </c>
      <c r="V302" s="549">
        <f t="shared" si="9391"/>
        <v>0</v>
      </c>
      <c r="W302" s="675">
        <f t="shared" si="9391"/>
        <v>0</v>
      </c>
      <c r="X302" s="549">
        <f t="shared" si="9391"/>
        <v>0</v>
      </c>
      <c r="Y302" s="675">
        <f t="shared" si="9391"/>
        <v>0</v>
      </c>
      <c r="Z302" s="549">
        <f t="shared" si="9391"/>
        <v>0</v>
      </c>
      <c r="AA302" s="675">
        <f t="shared" si="9391"/>
        <v>0</v>
      </c>
      <c r="AB302" s="549">
        <f t="shared" si="9391"/>
        <v>0</v>
      </c>
      <c r="AC302" s="675">
        <f t="shared" si="9391"/>
        <v>0</v>
      </c>
      <c r="AD302" s="549">
        <f t="shared" si="9391"/>
        <v>0</v>
      </c>
      <c r="AE302" s="675">
        <f t="shared" si="9391"/>
        <v>0</v>
      </c>
      <c r="AF302" s="549">
        <f t="shared" si="9391"/>
        <v>0</v>
      </c>
      <c r="AG302" s="675">
        <f t="shared" si="9391"/>
        <v>0</v>
      </c>
      <c r="AH302" s="549">
        <f t="shared" si="9391"/>
        <v>0</v>
      </c>
      <c r="AI302" s="675">
        <f t="shared" si="9391"/>
        <v>0</v>
      </c>
      <c r="AJ302" s="549">
        <f t="shared" si="9391"/>
        <v>0</v>
      </c>
      <c r="AK302" s="675">
        <f t="shared" si="9391"/>
        <v>0</v>
      </c>
      <c r="AL302" s="549">
        <f t="shared" si="9391"/>
        <v>0</v>
      </c>
      <c r="AM302" s="675">
        <f t="shared" si="9391"/>
        <v>0</v>
      </c>
      <c r="AN302" s="549">
        <f t="shared" si="9391"/>
        <v>0</v>
      </c>
      <c r="AO302" s="675">
        <f t="shared" si="9391"/>
        <v>0</v>
      </c>
      <c r="AP302" s="549">
        <f t="shared" si="9391"/>
        <v>0</v>
      </c>
      <c r="AQ302" s="675">
        <f t="shared" si="9391"/>
        <v>0</v>
      </c>
      <c r="AR302" s="549">
        <f t="shared" si="9391"/>
        <v>0</v>
      </c>
      <c r="AS302" s="675">
        <f t="shared" si="9391"/>
        <v>0</v>
      </c>
      <c r="AT302" s="549">
        <f t="shared" si="9391"/>
        <v>0</v>
      </c>
      <c r="AU302" s="675">
        <f t="shared" si="9391"/>
        <v>0</v>
      </c>
      <c r="AV302" s="549">
        <f t="shared" si="9391"/>
        <v>0</v>
      </c>
      <c r="AW302" s="675">
        <f t="shared" si="9391"/>
        <v>0</v>
      </c>
      <c r="AX302" s="549">
        <f t="shared" si="9391"/>
        <v>0</v>
      </c>
      <c r="AY302" s="675">
        <f t="shared" si="9391"/>
        <v>0</v>
      </c>
      <c r="AZ302" s="549">
        <f t="shared" si="9391"/>
        <v>0</v>
      </c>
      <c r="BA302" s="675">
        <f t="shared" si="9391"/>
        <v>0</v>
      </c>
      <c r="BB302" s="549">
        <f t="shared" si="9391"/>
        <v>0</v>
      </c>
      <c r="BC302" s="675">
        <f t="shared" si="9391"/>
        <v>0</v>
      </c>
      <c r="BD302" s="549">
        <f t="shared" si="9391"/>
        <v>0</v>
      </c>
      <c r="BE302" s="675">
        <f t="shared" si="9391"/>
        <v>0</v>
      </c>
      <c r="BF302" s="549">
        <f t="shared" si="9391"/>
        <v>0</v>
      </c>
      <c r="BG302" s="675">
        <f t="shared" si="9391"/>
        <v>0</v>
      </c>
      <c r="BH302" s="549">
        <f t="shared" si="9391"/>
        <v>0</v>
      </c>
      <c r="BI302" s="675">
        <f t="shared" si="9391"/>
        <v>0</v>
      </c>
      <c r="BJ302" s="549">
        <f t="shared" si="9391"/>
        <v>0</v>
      </c>
      <c r="BK302" s="675">
        <f t="shared" si="9391"/>
        <v>0</v>
      </c>
      <c r="BL302" s="549">
        <f t="shared" si="9391"/>
        <v>0</v>
      </c>
      <c r="BM302" s="675">
        <f t="shared" si="9391"/>
        <v>0</v>
      </c>
      <c r="BN302" s="549">
        <f t="shared" si="9391"/>
        <v>0</v>
      </c>
      <c r="BO302" s="675">
        <f t="shared" si="9391"/>
        <v>0</v>
      </c>
      <c r="BP302" s="549">
        <f t="shared" si="9391"/>
        <v>0</v>
      </c>
      <c r="BQ302" s="675">
        <f t="shared" si="9391"/>
        <v>0</v>
      </c>
      <c r="BR302" s="549">
        <f t="shared" si="9391"/>
        <v>0</v>
      </c>
      <c r="BS302" s="675">
        <f t="shared" si="9391"/>
        <v>0</v>
      </c>
      <c r="BT302" s="549">
        <f t="shared" si="9391"/>
        <v>0</v>
      </c>
      <c r="BU302" s="675">
        <f t="shared" si="9391"/>
        <v>0</v>
      </c>
      <c r="BV302" s="549">
        <f t="shared" si="9391"/>
        <v>0</v>
      </c>
      <c r="BW302" s="675">
        <f t="shared" si="9391"/>
        <v>0</v>
      </c>
      <c r="BX302" s="549">
        <f t="shared" si="9391"/>
        <v>0</v>
      </c>
      <c r="BY302" s="675">
        <f t="shared" si="9391"/>
        <v>0</v>
      </c>
      <c r="BZ302" s="549">
        <f t="shared" si="9391"/>
        <v>0</v>
      </c>
      <c r="CA302" s="675">
        <f t="shared" si="9391"/>
        <v>0</v>
      </c>
      <c r="CB302" s="549">
        <f t="shared" si="9391"/>
        <v>0</v>
      </c>
      <c r="CC302" s="675">
        <f t="shared" si="9391"/>
        <v>0</v>
      </c>
      <c r="CD302" s="549">
        <f t="shared" ref="CD302:CE302" si="9392">CD303</f>
        <v>0</v>
      </c>
      <c r="CE302" s="675">
        <f t="shared" si="9392"/>
        <v>0</v>
      </c>
      <c r="CF302" s="549">
        <f t="shared" ref="CF302:CG302" si="9393">CF303</f>
        <v>0</v>
      </c>
      <c r="CG302" s="675">
        <f t="shared" si="9393"/>
        <v>0</v>
      </c>
      <c r="CH302" s="549">
        <f t="shared" ref="CH302:CI302" si="9394">CH303</f>
        <v>0</v>
      </c>
      <c r="CI302" s="675">
        <f t="shared" si="9394"/>
        <v>0</v>
      </c>
      <c r="CJ302" s="549">
        <f t="shared" ref="CJ302:CK302" si="9395">CJ303</f>
        <v>0</v>
      </c>
      <c r="CK302" s="675">
        <f t="shared" si="9395"/>
        <v>0</v>
      </c>
      <c r="CL302" s="549">
        <f t="shared" ref="CL302:CM302" si="9396">CL303</f>
        <v>0</v>
      </c>
      <c r="CM302" s="675">
        <f t="shared" si="9396"/>
        <v>0</v>
      </c>
      <c r="CN302" s="549">
        <f t="shared" ref="CN302:CO302" si="9397">CN303</f>
        <v>0</v>
      </c>
      <c r="CO302" s="675">
        <f t="shared" si="9397"/>
        <v>0</v>
      </c>
      <c r="CP302" s="549">
        <f t="shared" ref="CP302:CQ302" si="9398">CP303</f>
        <v>0</v>
      </c>
      <c r="CQ302" s="675">
        <f t="shared" si="9398"/>
        <v>0</v>
      </c>
      <c r="CR302" s="549">
        <f t="shared" ref="CR302:CS302" si="9399">CR303</f>
        <v>0</v>
      </c>
      <c r="CS302" s="675">
        <f t="shared" si="9399"/>
        <v>0</v>
      </c>
      <c r="CT302" s="549">
        <f t="shared" ref="CT302:CU302" si="9400">CT303</f>
        <v>0</v>
      </c>
      <c r="CU302" s="675">
        <f t="shared" si="9400"/>
        <v>0</v>
      </c>
      <c r="CV302" s="549">
        <f t="shared" ref="CV302:CW302" si="9401">CV303</f>
        <v>0</v>
      </c>
      <c r="CW302" s="675">
        <f t="shared" si="9401"/>
        <v>0</v>
      </c>
      <c r="CX302" s="549">
        <f t="shared" ref="CX302:CY302" si="9402">CX303</f>
        <v>0</v>
      </c>
      <c r="CY302" s="675">
        <f t="shared" si="9402"/>
        <v>0</v>
      </c>
      <c r="CZ302" s="549">
        <f t="shared" ref="CZ302:DA302" si="9403">CZ303</f>
        <v>0</v>
      </c>
      <c r="DA302" s="675">
        <f t="shared" si="9403"/>
        <v>0</v>
      </c>
      <c r="DB302" s="549">
        <f t="shared" ref="DB302:DC302" si="9404">DB303</f>
        <v>0</v>
      </c>
      <c r="DC302" s="675">
        <f t="shared" si="9404"/>
        <v>0</v>
      </c>
      <c r="DD302" s="549">
        <f t="shared" ref="DD302:DE302" si="9405">DD303</f>
        <v>0</v>
      </c>
      <c r="DE302" s="675">
        <f t="shared" si="9405"/>
        <v>0</v>
      </c>
      <c r="DF302" s="549">
        <f t="shared" ref="DF302:DG302" si="9406">DF303</f>
        <v>0</v>
      </c>
      <c r="DG302" s="675">
        <f t="shared" si="9406"/>
        <v>0</v>
      </c>
      <c r="DH302" s="549">
        <f t="shared" ref="DH302:DI302" si="9407">DH303</f>
        <v>0</v>
      </c>
      <c r="DI302" s="675">
        <f t="shared" si="9407"/>
        <v>0</v>
      </c>
      <c r="DJ302" s="549">
        <f t="shared" ref="DJ302:DK302" si="9408">DJ303</f>
        <v>0</v>
      </c>
      <c r="DK302" s="675">
        <f t="shared" si="9408"/>
        <v>0</v>
      </c>
      <c r="DL302" s="549">
        <f t="shared" ref="DL302:DM302" si="9409">DL303</f>
        <v>0</v>
      </c>
      <c r="DM302" s="675">
        <f t="shared" si="9409"/>
        <v>0</v>
      </c>
      <c r="DN302" s="549">
        <f t="shared" ref="DN302:DO302" si="9410">DN303</f>
        <v>0</v>
      </c>
      <c r="DO302" s="675">
        <f t="shared" si="9410"/>
        <v>0</v>
      </c>
      <c r="DP302" s="549">
        <f t="shared" ref="DP302:DQ302" si="9411">DP303</f>
        <v>0</v>
      </c>
      <c r="DQ302" s="675">
        <f t="shared" si="9411"/>
        <v>0</v>
      </c>
      <c r="DR302" s="549">
        <f t="shared" ref="DR302:DS302" si="9412">DR303</f>
        <v>0</v>
      </c>
      <c r="DS302" s="675">
        <f t="shared" si="9412"/>
        <v>0</v>
      </c>
      <c r="DT302" s="549">
        <f t="shared" ref="DT302:DU302" si="9413">DT303</f>
        <v>0</v>
      </c>
      <c r="DU302" s="675">
        <f t="shared" si="9413"/>
        <v>0</v>
      </c>
      <c r="DV302" s="549">
        <f t="shared" ref="DV302:DW302" si="9414">DV303</f>
        <v>0</v>
      </c>
      <c r="DW302" s="675">
        <f t="shared" si="9414"/>
        <v>0</v>
      </c>
      <c r="DX302" s="549">
        <f t="shared" ref="DX302:DY302" si="9415">DX303</f>
        <v>0</v>
      </c>
      <c r="DY302" s="675">
        <f t="shared" si="9415"/>
        <v>0</v>
      </c>
      <c r="DZ302" s="549">
        <f t="shared" ref="DZ302:EA302" si="9416">DZ303</f>
        <v>0</v>
      </c>
      <c r="EA302" s="675">
        <f t="shared" si="9416"/>
        <v>0</v>
      </c>
      <c r="EB302" s="549">
        <f t="shared" ref="EB302:EC302" si="9417">EB303</f>
        <v>0</v>
      </c>
      <c r="EC302" s="675">
        <f t="shared" si="9417"/>
        <v>0</v>
      </c>
      <c r="ED302" s="549">
        <f t="shared" ref="ED302:EE302" si="9418">ED303</f>
        <v>0</v>
      </c>
      <c r="EE302" s="675">
        <f t="shared" si="9418"/>
        <v>0</v>
      </c>
      <c r="EF302" s="549">
        <f t="shared" ref="EF302:EG302" si="9419">EF303</f>
        <v>0</v>
      </c>
      <c r="EG302" s="675">
        <f t="shared" si="9419"/>
        <v>0</v>
      </c>
      <c r="EH302" s="549">
        <f t="shared" ref="EH302:GS302" si="9420">EH303</f>
        <v>0</v>
      </c>
      <c r="EI302" s="675">
        <f t="shared" ref="EI302" si="9421">EI303</f>
        <v>0</v>
      </c>
      <c r="EJ302" s="549">
        <f t="shared" si="9420"/>
        <v>0</v>
      </c>
      <c r="EK302" s="675">
        <f t="shared" si="9420"/>
        <v>0</v>
      </c>
      <c r="EL302" s="549">
        <f t="shared" si="9420"/>
        <v>0</v>
      </c>
      <c r="EM302" s="675">
        <f t="shared" si="9420"/>
        <v>0</v>
      </c>
      <c r="EN302" s="549">
        <f t="shared" si="9420"/>
        <v>0</v>
      </c>
      <c r="EO302" s="675">
        <f t="shared" si="9420"/>
        <v>0</v>
      </c>
      <c r="EP302" s="549">
        <f t="shared" si="9420"/>
        <v>0</v>
      </c>
      <c r="EQ302" s="675">
        <f t="shared" si="9420"/>
        <v>0</v>
      </c>
      <c r="ER302" s="549">
        <f t="shared" si="9420"/>
        <v>0</v>
      </c>
      <c r="ES302" s="675">
        <f t="shared" si="9420"/>
        <v>0</v>
      </c>
      <c r="ET302" s="549">
        <f t="shared" si="9420"/>
        <v>0</v>
      </c>
      <c r="EU302" s="675">
        <f t="shared" si="9420"/>
        <v>0</v>
      </c>
      <c r="EV302" s="549">
        <f t="shared" si="9420"/>
        <v>0</v>
      </c>
      <c r="EW302" s="675">
        <f t="shared" si="9420"/>
        <v>0</v>
      </c>
      <c r="EX302" s="549">
        <f t="shared" si="9420"/>
        <v>0</v>
      </c>
      <c r="EY302" s="675">
        <f t="shared" si="9420"/>
        <v>0</v>
      </c>
      <c r="EZ302" s="549">
        <f t="shared" si="9420"/>
        <v>0</v>
      </c>
      <c r="FA302" s="675">
        <f t="shared" si="9420"/>
        <v>0</v>
      </c>
      <c r="FB302" s="549">
        <f t="shared" si="9420"/>
        <v>0</v>
      </c>
      <c r="FC302" s="675">
        <f t="shared" si="9420"/>
        <v>0</v>
      </c>
      <c r="FD302" s="549">
        <f t="shared" si="9420"/>
        <v>0</v>
      </c>
      <c r="FE302" s="675">
        <f t="shared" si="9420"/>
        <v>0</v>
      </c>
      <c r="FF302" s="549">
        <f t="shared" si="9420"/>
        <v>0</v>
      </c>
      <c r="FG302" s="675">
        <f t="shared" si="9420"/>
        <v>0</v>
      </c>
      <c r="FH302" s="549">
        <f t="shared" si="9420"/>
        <v>0</v>
      </c>
      <c r="FI302" s="675">
        <f t="shared" si="9420"/>
        <v>0</v>
      </c>
      <c r="FJ302" s="549">
        <f t="shared" si="9420"/>
        <v>0</v>
      </c>
      <c r="FK302" s="675">
        <f t="shared" si="9420"/>
        <v>0</v>
      </c>
      <c r="FL302" s="549">
        <f t="shared" si="9420"/>
        <v>0</v>
      </c>
      <c r="FM302" s="675">
        <f t="shared" si="9420"/>
        <v>0</v>
      </c>
      <c r="FN302" s="549">
        <f t="shared" si="9420"/>
        <v>0</v>
      </c>
      <c r="FO302" s="675">
        <f t="shared" si="9420"/>
        <v>0</v>
      </c>
      <c r="FP302" s="549">
        <f t="shared" si="9420"/>
        <v>0</v>
      </c>
      <c r="FQ302" s="675">
        <f t="shared" si="9420"/>
        <v>0</v>
      </c>
      <c r="FR302" s="549">
        <f t="shared" si="9420"/>
        <v>0</v>
      </c>
      <c r="FS302" s="675">
        <f t="shared" si="9420"/>
        <v>0</v>
      </c>
      <c r="FT302" s="549">
        <f t="shared" si="9420"/>
        <v>0</v>
      </c>
      <c r="FU302" s="675">
        <f t="shared" si="9420"/>
        <v>0</v>
      </c>
      <c r="FV302" s="549">
        <f t="shared" si="9420"/>
        <v>0</v>
      </c>
      <c r="FW302" s="675">
        <f t="shared" si="9420"/>
        <v>0</v>
      </c>
      <c r="FX302" s="549">
        <f t="shared" si="9420"/>
        <v>0</v>
      </c>
      <c r="FY302" s="675">
        <f t="shared" si="9420"/>
        <v>0</v>
      </c>
      <c r="FZ302" s="549">
        <f t="shared" si="9420"/>
        <v>0</v>
      </c>
      <c r="GA302" s="675">
        <f t="shared" si="9420"/>
        <v>0</v>
      </c>
      <c r="GB302" s="549">
        <f t="shared" si="9420"/>
        <v>0</v>
      </c>
      <c r="GC302" s="675">
        <f t="shared" si="9420"/>
        <v>0</v>
      </c>
      <c r="GD302" s="549">
        <f t="shared" si="9420"/>
        <v>0</v>
      </c>
      <c r="GE302" s="675">
        <f t="shared" si="9420"/>
        <v>0</v>
      </c>
      <c r="GF302" s="549">
        <f t="shared" si="9420"/>
        <v>0</v>
      </c>
      <c r="GG302" s="675">
        <f t="shared" si="9420"/>
        <v>0</v>
      </c>
      <c r="GH302" s="549">
        <f t="shared" si="9420"/>
        <v>0</v>
      </c>
      <c r="GI302" s="675">
        <f t="shared" si="9420"/>
        <v>0</v>
      </c>
      <c r="GJ302" s="549">
        <f t="shared" si="9420"/>
        <v>0</v>
      </c>
      <c r="GK302" s="675">
        <f t="shared" si="9420"/>
        <v>0</v>
      </c>
      <c r="GL302" s="549">
        <f t="shared" si="9420"/>
        <v>0</v>
      </c>
      <c r="GM302" s="675">
        <f t="shared" si="9420"/>
        <v>0</v>
      </c>
      <c r="GN302" s="549">
        <f t="shared" si="9420"/>
        <v>0</v>
      </c>
      <c r="GO302" s="675">
        <f t="shared" si="9420"/>
        <v>0</v>
      </c>
      <c r="GP302" s="549">
        <f t="shared" si="9420"/>
        <v>0</v>
      </c>
      <c r="GQ302" s="675">
        <f t="shared" si="9420"/>
        <v>0</v>
      </c>
      <c r="GR302" s="74">
        <f t="shared" si="9420"/>
        <v>0</v>
      </c>
      <c r="GS302" s="74">
        <f t="shared" si="9420"/>
        <v>0</v>
      </c>
      <c r="GT302" s="568"/>
      <c r="GU302" s="73"/>
      <c r="GV302" s="73"/>
      <c r="GW302" s="549"/>
      <c r="GX302" s="549"/>
      <c r="GY302" s="73"/>
      <c r="GZ302" s="73"/>
      <c r="HA302" s="73"/>
      <c r="HB302" s="73"/>
      <c r="HC302" s="73"/>
      <c r="HD302" s="73"/>
      <c r="HE302" s="73"/>
      <c r="HF302" s="73"/>
      <c r="HG302" s="74">
        <f>HG303</f>
        <v>0</v>
      </c>
      <c r="HH302" s="73"/>
      <c r="HI302" s="815"/>
      <c r="HJ302" s="73"/>
      <c r="HK302" s="815"/>
      <c r="HL302" s="73"/>
      <c r="HM302" s="815"/>
      <c r="HN302" s="73"/>
      <c r="HO302" s="815"/>
      <c r="HP302" s="73"/>
      <c r="HQ302" s="815"/>
      <c r="HR302" s="73"/>
      <c r="HS302" s="815"/>
      <c r="HT302" s="73"/>
      <c r="HU302" s="815"/>
      <c r="HV302" s="73"/>
      <c r="HW302" s="815"/>
      <c r="HX302" s="73"/>
      <c r="HY302" s="815"/>
      <c r="HZ302" s="73"/>
      <c r="IA302" s="815"/>
      <c r="IB302" s="73"/>
      <c r="IC302" s="815"/>
      <c r="ID302" s="73"/>
      <c r="IE302" s="815"/>
      <c r="IF302" s="841">
        <f>IF303</f>
        <v>0</v>
      </c>
      <c r="IG302" s="263">
        <f>IG303</f>
        <v>0</v>
      </c>
      <c r="IH302" s="842">
        <f>IH303</f>
        <v>0</v>
      </c>
      <c r="II302" s="74">
        <f>II303</f>
        <v>0</v>
      </c>
      <c r="IJ302" s="74">
        <f t="shared" ref="IJ302:IK302" si="9422">IJ303</f>
        <v>0</v>
      </c>
      <c r="IK302" s="74">
        <f t="shared" si="9422"/>
        <v>0</v>
      </c>
      <c r="IL302" s="74">
        <f>IL303</f>
        <v>0</v>
      </c>
      <c r="IM302" s="74">
        <f t="shared" ref="IM302:IN302" si="9423">IM303</f>
        <v>0</v>
      </c>
      <c r="IN302" s="74">
        <f t="shared" si="9423"/>
        <v>0</v>
      </c>
      <c r="IO302" s="74">
        <f>IO303</f>
        <v>0</v>
      </c>
      <c r="IP302" s="74">
        <f t="shared" ref="IP302:IQ302" si="9424">IP303</f>
        <v>0</v>
      </c>
      <c r="IQ302" s="74">
        <f t="shared" si="9424"/>
        <v>0</v>
      </c>
      <c r="IR302" s="74">
        <f>IR303</f>
        <v>0</v>
      </c>
      <c r="IS302" s="74">
        <f t="shared" ref="IS302:IT302" si="9425">IS303</f>
        <v>0</v>
      </c>
      <c r="IT302" s="74">
        <f t="shared" si="9425"/>
        <v>0</v>
      </c>
      <c r="IU302" s="74">
        <f>IU303</f>
        <v>0</v>
      </c>
      <c r="IV302" s="74">
        <f t="shared" ref="IV302:IW302" si="9426">IV303</f>
        <v>0</v>
      </c>
      <c r="IW302" s="74">
        <f t="shared" si="9426"/>
        <v>0</v>
      </c>
      <c r="IX302" s="74">
        <f>IX303</f>
        <v>0</v>
      </c>
      <c r="IY302" s="74">
        <f t="shared" ref="IY302:IZ302" si="9427">IY303</f>
        <v>0</v>
      </c>
      <c r="IZ302" s="74">
        <f t="shared" si="9427"/>
        <v>0</v>
      </c>
      <c r="JA302" s="74">
        <f>JA303</f>
        <v>0</v>
      </c>
      <c r="JB302" s="74">
        <f t="shared" ref="JB302:JC302" si="9428">JB303</f>
        <v>0</v>
      </c>
      <c r="JC302" s="74">
        <f t="shared" si="9428"/>
        <v>0</v>
      </c>
      <c r="JD302" s="74">
        <f>JD303</f>
        <v>0</v>
      </c>
      <c r="JE302" s="74">
        <f t="shared" ref="JE302:JF302" si="9429">JE303</f>
        <v>0</v>
      </c>
      <c r="JF302" s="74">
        <f t="shared" si="9429"/>
        <v>0</v>
      </c>
      <c r="JG302" s="74">
        <f>JG303</f>
        <v>0</v>
      </c>
      <c r="JH302" s="74">
        <f t="shared" ref="JH302:JI302" si="9430">JH303</f>
        <v>0</v>
      </c>
      <c r="JI302" s="74">
        <f t="shared" si="9430"/>
        <v>0</v>
      </c>
      <c r="JJ302" s="74">
        <f>JJ303</f>
        <v>0</v>
      </c>
      <c r="JK302" s="74">
        <f t="shared" ref="JK302:JL302" si="9431">JK303</f>
        <v>0</v>
      </c>
      <c r="JL302" s="74">
        <f t="shared" si="9431"/>
        <v>0</v>
      </c>
      <c r="JM302" s="74">
        <f>JM303</f>
        <v>0</v>
      </c>
      <c r="JN302" s="74">
        <f t="shared" ref="JN302:JO302" si="9432">JN303</f>
        <v>0</v>
      </c>
      <c r="JO302" s="74">
        <f t="shared" si="9432"/>
        <v>0</v>
      </c>
      <c r="JP302" s="74">
        <f>JP303</f>
        <v>0</v>
      </c>
      <c r="JQ302" s="74">
        <f t="shared" ref="JQ302:JR302" si="9433">JQ303</f>
        <v>0</v>
      </c>
      <c r="JR302" s="74">
        <f t="shared" si="9433"/>
        <v>0</v>
      </c>
      <c r="JS302" s="74">
        <f>JS303</f>
        <v>0</v>
      </c>
      <c r="JT302" s="788">
        <f>JT303</f>
        <v>0</v>
      </c>
      <c r="JU302" s="524"/>
      <c r="JV302" s="524"/>
      <c r="JW302" s="524"/>
      <c r="JX302" s="548">
        <f>JX303</f>
        <v>0</v>
      </c>
      <c r="JY302" s="548">
        <f>JY303</f>
        <v>0</v>
      </c>
      <c r="JZ302" s="581">
        <f>JZ303</f>
        <v>0</v>
      </c>
      <c r="KA302" s="581">
        <f>KA303</f>
        <v>0</v>
      </c>
      <c r="KB302" s="548">
        <f>KB303</f>
        <v>0</v>
      </c>
      <c r="KC302" s="709">
        <f t="shared" si="9101"/>
        <v>0</v>
      </c>
      <c r="KD302" s="35"/>
      <c r="KE302" s="35"/>
      <c r="KF302" s="35"/>
      <c r="KG302" s="35"/>
      <c r="KH302" s="35"/>
      <c r="KI302" s="35"/>
      <c r="KJ302" s="35"/>
      <c r="KK302" s="35"/>
    </row>
    <row r="303" spans="1:297" s="10" customFormat="1" ht="12.75" hidden="1" customHeight="1">
      <c r="A303" s="86" t="s">
        <v>1114</v>
      </c>
      <c r="B303" s="77"/>
      <c r="C303" s="74">
        <v>0</v>
      </c>
      <c r="D303" s="549">
        <v>0</v>
      </c>
      <c r="E303" s="675">
        <v>0</v>
      </c>
      <c r="F303" s="549">
        <v>0</v>
      </c>
      <c r="G303" s="675">
        <v>0</v>
      </c>
      <c r="H303" s="549">
        <v>0</v>
      </c>
      <c r="I303" s="675">
        <v>0</v>
      </c>
      <c r="J303" s="549">
        <v>0</v>
      </c>
      <c r="K303" s="675">
        <v>0</v>
      </c>
      <c r="L303" s="549">
        <v>0</v>
      </c>
      <c r="M303" s="675">
        <v>0</v>
      </c>
      <c r="N303" s="549">
        <v>0</v>
      </c>
      <c r="O303" s="675">
        <v>0</v>
      </c>
      <c r="P303" s="549">
        <v>0</v>
      </c>
      <c r="Q303" s="675">
        <v>0</v>
      </c>
      <c r="R303" s="549">
        <v>0</v>
      </c>
      <c r="S303" s="675">
        <v>0</v>
      </c>
      <c r="T303" s="549">
        <v>0</v>
      </c>
      <c r="U303" s="675">
        <v>0</v>
      </c>
      <c r="V303" s="549">
        <v>0</v>
      </c>
      <c r="W303" s="675">
        <v>0</v>
      </c>
      <c r="X303" s="549">
        <v>0</v>
      </c>
      <c r="Y303" s="675">
        <v>0</v>
      </c>
      <c r="Z303" s="549">
        <v>0</v>
      </c>
      <c r="AA303" s="675">
        <v>0</v>
      </c>
      <c r="AB303" s="549">
        <v>0</v>
      </c>
      <c r="AC303" s="675">
        <v>0</v>
      </c>
      <c r="AD303" s="549">
        <v>0</v>
      </c>
      <c r="AE303" s="675">
        <v>0</v>
      </c>
      <c r="AF303" s="549">
        <v>0</v>
      </c>
      <c r="AG303" s="675">
        <v>0</v>
      </c>
      <c r="AH303" s="549">
        <v>0</v>
      </c>
      <c r="AI303" s="675">
        <v>0</v>
      </c>
      <c r="AJ303" s="549">
        <v>0</v>
      </c>
      <c r="AK303" s="675">
        <v>0</v>
      </c>
      <c r="AL303" s="549">
        <v>0</v>
      </c>
      <c r="AM303" s="675">
        <v>0</v>
      </c>
      <c r="AN303" s="549">
        <v>0</v>
      </c>
      <c r="AO303" s="675">
        <v>0</v>
      </c>
      <c r="AP303" s="549">
        <v>0</v>
      </c>
      <c r="AQ303" s="675">
        <v>0</v>
      </c>
      <c r="AR303" s="549">
        <v>0</v>
      </c>
      <c r="AS303" s="675">
        <v>0</v>
      </c>
      <c r="AT303" s="549">
        <v>0</v>
      </c>
      <c r="AU303" s="675">
        <v>0</v>
      </c>
      <c r="AV303" s="549">
        <v>0</v>
      </c>
      <c r="AW303" s="675">
        <v>0</v>
      </c>
      <c r="AX303" s="549">
        <v>0</v>
      </c>
      <c r="AY303" s="675">
        <v>0</v>
      </c>
      <c r="AZ303" s="549">
        <v>0</v>
      </c>
      <c r="BA303" s="675">
        <v>0</v>
      </c>
      <c r="BB303" s="549">
        <v>0</v>
      </c>
      <c r="BC303" s="675">
        <v>0</v>
      </c>
      <c r="BD303" s="549">
        <v>0</v>
      </c>
      <c r="BE303" s="675">
        <v>0</v>
      </c>
      <c r="BF303" s="549">
        <v>0</v>
      </c>
      <c r="BG303" s="675">
        <v>0</v>
      </c>
      <c r="BH303" s="549">
        <v>0</v>
      </c>
      <c r="BI303" s="675">
        <v>0</v>
      </c>
      <c r="BJ303" s="549">
        <v>0</v>
      </c>
      <c r="BK303" s="675">
        <v>0</v>
      </c>
      <c r="BL303" s="549">
        <v>0</v>
      </c>
      <c r="BM303" s="675">
        <v>0</v>
      </c>
      <c r="BN303" s="549">
        <v>0</v>
      </c>
      <c r="BO303" s="675">
        <v>0</v>
      </c>
      <c r="BP303" s="549">
        <v>0</v>
      </c>
      <c r="BQ303" s="675">
        <v>0</v>
      </c>
      <c r="BR303" s="549">
        <v>0</v>
      </c>
      <c r="BS303" s="675">
        <v>0</v>
      </c>
      <c r="BT303" s="549">
        <v>0</v>
      </c>
      <c r="BU303" s="675">
        <v>0</v>
      </c>
      <c r="BV303" s="549">
        <v>0</v>
      </c>
      <c r="BW303" s="675">
        <v>0</v>
      </c>
      <c r="BX303" s="549">
        <v>0</v>
      </c>
      <c r="BY303" s="675">
        <v>0</v>
      </c>
      <c r="BZ303" s="549">
        <v>0</v>
      </c>
      <c r="CA303" s="675">
        <v>0</v>
      </c>
      <c r="CB303" s="549">
        <v>0</v>
      </c>
      <c r="CC303" s="675">
        <v>0</v>
      </c>
      <c r="CD303" s="549">
        <v>0</v>
      </c>
      <c r="CE303" s="675">
        <v>0</v>
      </c>
      <c r="CF303" s="549">
        <v>0</v>
      </c>
      <c r="CG303" s="675">
        <v>0</v>
      </c>
      <c r="CH303" s="549">
        <v>0</v>
      </c>
      <c r="CI303" s="675">
        <v>0</v>
      </c>
      <c r="CJ303" s="549">
        <v>0</v>
      </c>
      <c r="CK303" s="675">
        <v>0</v>
      </c>
      <c r="CL303" s="549">
        <v>0</v>
      </c>
      <c r="CM303" s="675">
        <v>0</v>
      </c>
      <c r="CN303" s="549">
        <v>0</v>
      </c>
      <c r="CO303" s="675">
        <v>0</v>
      </c>
      <c r="CP303" s="549">
        <v>0</v>
      </c>
      <c r="CQ303" s="675">
        <v>0</v>
      </c>
      <c r="CR303" s="549">
        <v>0</v>
      </c>
      <c r="CS303" s="675">
        <v>0</v>
      </c>
      <c r="CT303" s="549">
        <v>0</v>
      </c>
      <c r="CU303" s="675">
        <v>0</v>
      </c>
      <c r="CV303" s="549">
        <v>0</v>
      </c>
      <c r="CW303" s="675">
        <v>0</v>
      </c>
      <c r="CX303" s="549">
        <v>0</v>
      </c>
      <c r="CY303" s="675">
        <v>0</v>
      </c>
      <c r="CZ303" s="549">
        <v>0</v>
      </c>
      <c r="DA303" s="675">
        <v>0</v>
      </c>
      <c r="DB303" s="549">
        <v>0</v>
      </c>
      <c r="DC303" s="675">
        <v>0</v>
      </c>
      <c r="DD303" s="549">
        <v>0</v>
      </c>
      <c r="DE303" s="675">
        <v>0</v>
      </c>
      <c r="DF303" s="549">
        <v>0</v>
      </c>
      <c r="DG303" s="675">
        <v>0</v>
      </c>
      <c r="DH303" s="549">
        <v>0</v>
      </c>
      <c r="DI303" s="675">
        <v>0</v>
      </c>
      <c r="DJ303" s="549">
        <v>0</v>
      </c>
      <c r="DK303" s="675">
        <v>0</v>
      </c>
      <c r="DL303" s="549">
        <v>0</v>
      </c>
      <c r="DM303" s="675">
        <v>0</v>
      </c>
      <c r="DN303" s="549">
        <v>0</v>
      </c>
      <c r="DO303" s="675">
        <v>0</v>
      </c>
      <c r="DP303" s="549">
        <v>0</v>
      </c>
      <c r="DQ303" s="675">
        <v>0</v>
      </c>
      <c r="DR303" s="549">
        <v>0</v>
      </c>
      <c r="DS303" s="675">
        <v>0</v>
      </c>
      <c r="DT303" s="549">
        <v>0</v>
      </c>
      <c r="DU303" s="675">
        <v>0</v>
      </c>
      <c r="DV303" s="549">
        <v>0</v>
      </c>
      <c r="DW303" s="675">
        <v>0</v>
      </c>
      <c r="DX303" s="549">
        <v>0</v>
      </c>
      <c r="DY303" s="675">
        <v>0</v>
      </c>
      <c r="DZ303" s="549">
        <v>0</v>
      </c>
      <c r="EA303" s="675">
        <v>0</v>
      </c>
      <c r="EB303" s="549">
        <v>0</v>
      </c>
      <c r="EC303" s="675">
        <v>0</v>
      </c>
      <c r="ED303" s="549">
        <v>0</v>
      </c>
      <c r="EE303" s="675">
        <v>0</v>
      </c>
      <c r="EF303" s="549">
        <v>0</v>
      </c>
      <c r="EG303" s="675">
        <v>0</v>
      </c>
      <c r="EH303" s="549">
        <v>0</v>
      </c>
      <c r="EI303" s="675">
        <v>0</v>
      </c>
      <c r="EJ303" s="549">
        <v>0</v>
      </c>
      <c r="EK303" s="675">
        <v>0</v>
      </c>
      <c r="EL303" s="549">
        <v>0</v>
      </c>
      <c r="EM303" s="675">
        <v>0</v>
      </c>
      <c r="EN303" s="549">
        <v>0</v>
      </c>
      <c r="EO303" s="675">
        <v>0</v>
      </c>
      <c r="EP303" s="549">
        <v>0</v>
      </c>
      <c r="EQ303" s="675">
        <v>0</v>
      </c>
      <c r="ER303" s="549">
        <v>0</v>
      </c>
      <c r="ES303" s="675">
        <v>0</v>
      </c>
      <c r="ET303" s="549">
        <v>0</v>
      </c>
      <c r="EU303" s="675">
        <v>0</v>
      </c>
      <c r="EV303" s="549">
        <v>0</v>
      </c>
      <c r="EW303" s="675">
        <v>0</v>
      </c>
      <c r="EX303" s="549">
        <v>0</v>
      </c>
      <c r="EY303" s="675">
        <v>0</v>
      </c>
      <c r="EZ303" s="549">
        <v>0</v>
      </c>
      <c r="FA303" s="675">
        <v>0</v>
      </c>
      <c r="FB303" s="549">
        <v>0</v>
      </c>
      <c r="FC303" s="675">
        <v>0</v>
      </c>
      <c r="FD303" s="549">
        <v>0</v>
      </c>
      <c r="FE303" s="675">
        <v>0</v>
      </c>
      <c r="FF303" s="549">
        <v>0</v>
      </c>
      <c r="FG303" s="675">
        <v>0</v>
      </c>
      <c r="FH303" s="549">
        <v>0</v>
      </c>
      <c r="FI303" s="675">
        <v>0</v>
      </c>
      <c r="FJ303" s="549">
        <v>0</v>
      </c>
      <c r="FK303" s="675">
        <v>0</v>
      </c>
      <c r="FL303" s="549">
        <v>0</v>
      </c>
      <c r="FM303" s="675">
        <v>0</v>
      </c>
      <c r="FN303" s="549">
        <v>0</v>
      </c>
      <c r="FO303" s="675">
        <v>0</v>
      </c>
      <c r="FP303" s="549">
        <v>0</v>
      </c>
      <c r="FQ303" s="675">
        <v>0</v>
      </c>
      <c r="FR303" s="549">
        <v>0</v>
      </c>
      <c r="FS303" s="675">
        <v>0</v>
      </c>
      <c r="FT303" s="549">
        <v>0</v>
      </c>
      <c r="FU303" s="675">
        <v>0</v>
      </c>
      <c r="FV303" s="549">
        <v>0</v>
      </c>
      <c r="FW303" s="675">
        <v>0</v>
      </c>
      <c r="FX303" s="549">
        <v>0</v>
      </c>
      <c r="FY303" s="675">
        <v>0</v>
      </c>
      <c r="FZ303" s="549">
        <v>0</v>
      </c>
      <c r="GA303" s="675">
        <v>0</v>
      </c>
      <c r="GB303" s="549">
        <v>0</v>
      </c>
      <c r="GC303" s="675">
        <v>0</v>
      </c>
      <c r="GD303" s="549">
        <v>0</v>
      </c>
      <c r="GE303" s="675">
        <v>0</v>
      </c>
      <c r="GF303" s="549">
        <v>0</v>
      </c>
      <c r="GG303" s="675">
        <v>0</v>
      </c>
      <c r="GH303" s="549">
        <v>0</v>
      </c>
      <c r="GI303" s="675">
        <v>0</v>
      </c>
      <c r="GJ303" s="549">
        <v>0</v>
      </c>
      <c r="GK303" s="675">
        <v>0</v>
      </c>
      <c r="GL303" s="549">
        <v>0</v>
      </c>
      <c r="GM303" s="675">
        <v>0</v>
      </c>
      <c r="GN303" s="549">
        <v>0</v>
      </c>
      <c r="GO303" s="675">
        <v>0</v>
      </c>
      <c r="GP303" s="549">
        <f>+D303+F303+H303+J303+L303+N303+P303+R303+T303+V303+X303+Z303+AB303+AD303+AH303+AJ303+AL303+AN303+AP303+AR303+AT303+AV303+AX303+AZ303+BB303+BD303+BF303+BH303+BJ303+BL303+BN303+BP303+BR303+BT303+BV303+BX303+BZ303+CB303+CD303+CF303+CH303+CJ303+CL303+CN303+CP303+CR303+CT303+CV303+CX303+CZ303+DB303+DD303+DF303+DH303+DT303+EX303+DJ303+DL303+DN303+DP303+DR303+EJ303+EB303+DZ303+DX303+DV303+ED303+EF303+EH303+EL303+EN303+EP303+EV303+ET303+ER303+EZ303+FB303+FD303+GL303</f>
        <v>0</v>
      </c>
      <c r="GQ303" s="675">
        <f>+E303+G303+I303+K303+M303+O303+Q303+S303+U303+W303+Y303+AA303+AC303+AE303+AI303+AK303+AM303+AO303+AQ303+AS303+AU303+AW303+AY303+BA303+BC303+BE303+BG303+BI303+BK303+BM303+BO303+BQ303+BS303+BU303+BW303+BY303+CA303+CC303+CE303+CG303+CI303+CK303+CM303+CO303+CQ303+CS303+CU303+CW303+CY303+DA303+DC303+DE303+DG303+DI303+DU303+EY303+DK303+DM303+DO303+DQ303+DS303+EK303+EC303+EA303+DY303+DW303+EI303+EG303+EE303+EM303+EO303+EQ303+EW303+EU303+ES303+FA303+FC303+FE303+GM303</f>
        <v>0</v>
      </c>
      <c r="GR303" s="74">
        <f>C303+GP303+GQ303</f>
        <v>0</v>
      </c>
      <c r="GS303" s="74">
        <f>SUM(GU303:HB303)+GP303+GQ303</f>
        <v>0</v>
      </c>
      <c r="GT303" s="568"/>
      <c r="GU303" s="73"/>
      <c r="GV303" s="73"/>
      <c r="GW303" s="549"/>
      <c r="GX303" s="549"/>
      <c r="GY303" s="73"/>
      <c r="GZ303" s="73"/>
      <c r="HA303" s="73"/>
      <c r="HB303" s="73"/>
      <c r="HC303" s="73"/>
      <c r="HD303" s="73"/>
      <c r="HE303" s="73"/>
      <c r="HF303" s="73"/>
      <c r="HG303" s="74">
        <f>SUM(HH303:IE303)+GP303+GQ303</f>
        <v>0</v>
      </c>
      <c r="HH303" s="89">
        <v>0</v>
      </c>
      <c r="HI303" s="817">
        <v>0</v>
      </c>
      <c r="HJ303" s="89">
        <v>0</v>
      </c>
      <c r="HK303" s="817">
        <v>0</v>
      </c>
      <c r="HL303" s="89">
        <v>0</v>
      </c>
      <c r="HM303" s="817">
        <v>0</v>
      </c>
      <c r="HN303" s="89">
        <v>0</v>
      </c>
      <c r="HO303" s="817">
        <v>0</v>
      </c>
      <c r="HP303" s="89">
        <v>0</v>
      </c>
      <c r="HQ303" s="817">
        <v>0</v>
      </c>
      <c r="HR303" s="89">
        <v>0</v>
      </c>
      <c r="HS303" s="817">
        <v>0</v>
      </c>
      <c r="HT303" s="89">
        <v>0</v>
      </c>
      <c r="HU303" s="817">
        <v>0</v>
      </c>
      <c r="HV303" s="89">
        <v>0</v>
      </c>
      <c r="HW303" s="817">
        <v>0</v>
      </c>
      <c r="HX303" s="89">
        <v>0</v>
      </c>
      <c r="HY303" s="817">
        <v>0</v>
      </c>
      <c r="HZ303" s="89">
        <v>0</v>
      </c>
      <c r="IA303" s="817">
        <v>0</v>
      </c>
      <c r="IB303" s="89">
        <v>0</v>
      </c>
      <c r="IC303" s="817">
        <v>0</v>
      </c>
      <c r="ID303" s="89">
        <v>0</v>
      </c>
      <c r="IE303" s="817">
        <v>0</v>
      </c>
      <c r="IF303" s="841">
        <f t="shared" ref="IF303" si="9434">SUM(II303,IL303,IO303,IR303,IU303,IX303,JA303,JD303,JG303,JJ303,JM303,JP303)</f>
        <v>0</v>
      </c>
      <c r="IG303" s="263">
        <f t="shared" ref="IG303" si="9435">SUM(IJ303,IM303,IP303,IS303,IV303,IY303,JB303,JE303,JH303,JK303,JN303,JQ303)</f>
        <v>0</v>
      </c>
      <c r="IH303" s="842">
        <f t="shared" ref="IH303" si="9436">SUM(IK303,IN303,IQ303,IT303,IW303,IZ303,JC303,JF303,JI303,JL303,JO303,JR303)</f>
        <v>0</v>
      </c>
      <c r="II303" s="89">
        <v>0</v>
      </c>
      <c r="IJ303" s="89">
        <v>0</v>
      </c>
      <c r="IK303" s="89">
        <v>0</v>
      </c>
      <c r="IL303" s="89">
        <v>0</v>
      </c>
      <c r="IM303" s="89">
        <v>0</v>
      </c>
      <c r="IN303" s="89">
        <v>0</v>
      </c>
      <c r="IO303" s="89">
        <v>0</v>
      </c>
      <c r="IP303" s="89">
        <v>0</v>
      </c>
      <c r="IQ303" s="89">
        <v>0</v>
      </c>
      <c r="IR303" s="89">
        <v>0</v>
      </c>
      <c r="IS303" s="89">
        <v>0</v>
      </c>
      <c r="IT303" s="89">
        <v>0</v>
      </c>
      <c r="IU303" s="89">
        <v>0</v>
      </c>
      <c r="IV303" s="89">
        <v>0</v>
      </c>
      <c r="IW303" s="89">
        <v>0</v>
      </c>
      <c r="IX303" s="89">
        <v>0</v>
      </c>
      <c r="IY303" s="89">
        <v>0</v>
      </c>
      <c r="IZ303" s="89">
        <v>0</v>
      </c>
      <c r="JA303" s="89">
        <v>0</v>
      </c>
      <c r="JB303" s="89">
        <v>0</v>
      </c>
      <c r="JC303" s="89">
        <v>0</v>
      </c>
      <c r="JD303" s="89">
        <v>0</v>
      </c>
      <c r="JE303" s="89">
        <v>0</v>
      </c>
      <c r="JF303" s="89">
        <v>0</v>
      </c>
      <c r="JG303" s="89">
        <v>0</v>
      </c>
      <c r="JH303" s="89">
        <v>0</v>
      </c>
      <c r="JI303" s="89">
        <v>0</v>
      </c>
      <c r="JJ303" s="89">
        <v>0</v>
      </c>
      <c r="JK303" s="89">
        <v>0</v>
      </c>
      <c r="JL303" s="89">
        <v>0</v>
      </c>
      <c r="JM303" s="89">
        <v>0</v>
      </c>
      <c r="JN303" s="89">
        <v>0</v>
      </c>
      <c r="JO303" s="89">
        <v>0</v>
      </c>
      <c r="JP303" s="89">
        <v>0</v>
      </c>
      <c r="JQ303" s="89">
        <v>0</v>
      </c>
      <c r="JR303" s="89">
        <v>0</v>
      </c>
      <c r="JS303" s="74">
        <f>HG303-IF303</f>
        <v>0</v>
      </c>
      <c r="JT303" s="788">
        <f>GS303-IF303</f>
        <v>0</v>
      </c>
      <c r="JU303" s="524"/>
      <c r="JV303" s="524"/>
      <c r="JW303" s="524"/>
      <c r="JX303" s="548">
        <f>SUM(HH303,HJ303,HL303,HN303,HP303,HR303,HT303,HV303,HX303,HZ303,IB303,ID303)</f>
        <v>0</v>
      </c>
      <c r="JY303" s="548">
        <f>SUM(HI303,HK303,HM303,HO303,HQ303,HS303,HU303,HW303,HY303,IA303,IC303,IE303)</f>
        <v>0</v>
      </c>
      <c r="JZ303" s="581">
        <f>GP303</f>
        <v>0</v>
      </c>
      <c r="KA303" s="581">
        <f>GQ303</f>
        <v>0</v>
      </c>
      <c r="KB303" s="548">
        <f>JX303+JY303+JZ303+KA303</f>
        <v>0</v>
      </c>
      <c r="KC303" s="709">
        <f t="shared" si="9101"/>
        <v>0</v>
      </c>
      <c r="KD303" s="35"/>
      <c r="KE303" s="35"/>
      <c r="KF303" s="35"/>
      <c r="KG303" s="35"/>
      <c r="KH303" s="35"/>
      <c r="KI303" s="35"/>
      <c r="KJ303" s="35"/>
      <c r="KK303" s="35"/>
    </row>
    <row r="304" spans="1:297" s="10" customFormat="1" ht="12.75" hidden="1" customHeight="1">
      <c r="A304" s="86"/>
      <c r="B304" s="77"/>
      <c r="C304" s="74"/>
      <c r="D304" s="549"/>
      <c r="E304" s="675"/>
      <c r="F304" s="549"/>
      <c r="G304" s="675"/>
      <c r="H304" s="549"/>
      <c r="I304" s="675"/>
      <c r="J304" s="549"/>
      <c r="K304" s="675"/>
      <c r="L304" s="549"/>
      <c r="M304" s="675"/>
      <c r="N304" s="549"/>
      <c r="O304" s="675"/>
      <c r="P304" s="549"/>
      <c r="Q304" s="675"/>
      <c r="R304" s="549"/>
      <c r="S304" s="675"/>
      <c r="T304" s="549"/>
      <c r="U304" s="675"/>
      <c r="V304" s="549"/>
      <c r="W304" s="675"/>
      <c r="X304" s="549"/>
      <c r="Y304" s="675"/>
      <c r="Z304" s="549"/>
      <c r="AA304" s="675"/>
      <c r="AB304" s="549"/>
      <c r="AC304" s="675"/>
      <c r="AD304" s="549"/>
      <c r="AE304" s="675"/>
      <c r="AF304" s="549"/>
      <c r="AG304" s="675"/>
      <c r="AH304" s="549"/>
      <c r="AI304" s="675"/>
      <c r="AJ304" s="549"/>
      <c r="AK304" s="675"/>
      <c r="AL304" s="549"/>
      <c r="AM304" s="675"/>
      <c r="AN304" s="549"/>
      <c r="AO304" s="675"/>
      <c r="AP304" s="549"/>
      <c r="AQ304" s="675"/>
      <c r="AR304" s="549"/>
      <c r="AS304" s="675"/>
      <c r="AT304" s="549"/>
      <c r="AU304" s="675"/>
      <c r="AV304" s="549"/>
      <c r="AW304" s="675"/>
      <c r="AX304" s="549"/>
      <c r="AY304" s="675"/>
      <c r="AZ304" s="549"/>
      <c r="BA304" s="675"/>
      <c r="BB304" s="549"/>
      <c r="BC304" s="675"/>
      <c r="BD304" s="549"/>
      <c r="BE304" s="675"/>
      <c r="BF304" s="549"/>
      <c r="BG304" s="675"/>
      <c r="BH304" s="549"/>
      <c r="BI304" s="675"/>
      <c r="BJ304" s="549"/>
      <c r="BK304" s="675"/>
      <c r="BL304" s="549"/>
      <c r="BM304" s="675"/>
      <c r="BN304" s="549"/>
      <c r="BO304" s="675"/>
      <c r="BP304" s="549"/>
      <c r="BQ304" s="675"/>
      <c r="BR304" s="549"/>
      <c r="BS304" s="675"/>
      <c r="BT304" s="549"/>
      <c r="BU304" s="675"/>
      <c r="BV304" s="549"/>
      <c r="BW304" s="675"/>
      <c r="BX304" s="549"/>
      <c r="BY304" s="675"/>
      <c r="BZ304" s="549"/>
      <c r="CA304" s="675"/>
      <c r="CB304" s="549"/>
      <c r="CC304" s="675"/>
      <c r="CD304" s="549"/>
      <c r="CE304" s="675"/>
      <c r="CF304" s="549"/>
      <c r="CG304" s="675"/>
      <c r="CH304" s="549"/>
      <c r="CI304" s="675"/>
      <c r="CJ304" s="549"/>
      <c r="CK304" s="675"/>
      <c r="CL304" s="549"/>
      <c r="CM304" s="675"/>
      <c r="CN304" s="549"/>
      <c r="CO304" s="675"/>
      <c r="CP304" s="549"/>
      <c r="CQ304" s="675"/>
      <c r="CR304" s="549"/>
      <c r="CS304" s="675"/>
      <c r="CT304" s="549"/>
      <c r="CU304" s="675"/>
      <c r="CV304" s="549"/>
      <c r="CW304" s="675"/>
      <c r="CX304" s="549"/>
      <c r="CY304" s="675"/>
      <c r="CZ304" s="549"/>
      <c r="DA304" s="675"/>
      <c r="DB304" s="549"/>
      <c r="DC304" s="675"/>
      <c r="DD304" s="549"/>
      <c r="DE304" s="675"/>
      <c r="DF304" s="549"/>
      <c r="DG304" s="675"/>
      <c r="DH304" s="549"/>
      <c r="DI304" s="675"/>
      <c r="DJ304" s="549"/>
      <c r="DK304" s="675"/>
      <c r="DL304" s="549"/>
      <c r="DM304" s="675"/>
      <c r="DN304" s="549"/>
      <c r="DO304" s="675"/>
      <c r="DP304" s="549"/>
      <c r="DQ304" s="675"/>
      <c r="DR304" s="549"/>
      <c r="DS304" s="675"/>
      <c r="DT304" s="549"/>
      <c r="DU304" s="675"/>
      <c r="DV304" s="549"/>
      <c r="DW304" s="675"/>
      <c r="DX304" s="549"/>
      <c r="DY304" s="675"/>
      <c r="DZ304" s="549"/>
      <c r="EA304" s="675"/>
      <c r="EB304" s="549"/>
      <c r="EC304" s="675"/>
      <c r="ED304" s="549"/>
      <c r="EE304" s="675"/>
      <c r="EF304" s="549"/>
      <c r="EG304" s="675"/>
      <c r="EH304" s="549"/>
      <c r="EI304" s="675"/>
      <c r="EJ304" s="549"/>
      <c r="EK304" s="675"/>
      <c r="EL304" s="549"/>
      <c r="EM304" s="675"/>
      <c r="EN304" s="549"/>
      <c r="EO304" s="675"/>
      <c r="EP304" s="549"/>
      <c r="EQ304" s="675"/>
      <c r="ER304" s="549"/>
      <c r="ES304" s="675"/>
      <c r="ET304" s="549"/>
      <c r="EU304" s="675"/>
      <c r="EV304" s="549"/>
      <c r="EW304" s="675"/>
      <c r="EX304" s="549"/>
      <c r="EY304" s="675"/>
      <c r="EZ304" s="549"/>
      <c r="FA304" s="675"/>
      <c r="FB304" s="549"/>
      <c r="FC304" s="675"/>
      <c r="FD304" s="549"/>
      <c r="FE304" s="675"/>
      <c r="FF304" s="549"/>
      <c r="FG304" s="675"/>
      <c r="FH304" s="549"/>
      <c r="FI304" s="675"/>
      <c r="FJ304" s="549"/>
      <c r="FK304" s="675"/>
      <c r="FL304" s="549"/>
      <c r="FM304" s="675"/>
      <c r="FN304" s="549"/>
      <c r="FO304" s="675"/>
      <c r="FP304" s="549"/>
      <c r="FQ304" s="675"/>
      <c r="FR304" s="549"/>
      <c r="FS304" s="675"/>
      <c r="FT304" s="549"/>
      <c r="FU304" s="675"/>
      <c r="FV304" s="549"/>
      <c r="FW304" s="675"/>
      <c r="FX304" s="549"/>
      <c r="FY304" s="675"/>
      <c r="FZ304" s="549"/>
      <c r="GA304" s="675"/>
      <c r="GB304" s="549"/>
      <c r="GC304" s="675"/>
      <c r="GD304" s="549"/>
      <c r="GE304" s="675"/>
      <c r="GF304" s="549"/>
      <c r="GG304" s="675"/>
      <c r="GH304" s="549"/>
      <c r="GI304" s="675"/>
      <c r="GJ304" s="549"/>
      <c r="GK304" s="675"/>
      <c r="GL304" s="549"/>
      <c r="GM304" s="675"/>
      <c r="GN304" s="549"/>
      <c r="GO304" s="675"/>
      <c r="GP304" s="549"/>
      <c r="GQ304" s="675"/>
      <c r="GR304" s="74"/>
      <c r="GS304" s="74"/>
      <c r="GT304" s="568"/>
      <c r="GU304" s="73"/>
      <c r="GV304" s="73"/>
      <c r="GW304" s="549"/>
      <c r="GX304" s="549"/>
      <c r="GY304" s="73"/>
      <c r="GZ304" s="73"/>
      <c r="HA304" s="73"/>
      <c r="HB304" s="73"/>
      <c r="HC304" s="73"/>
      <c r="HD304" s="73"/>
      <c r="HE304" s="73"/>
      <c r="HF304" s="73"/>
      <c r="HG304" s="74"/>
      <c r="HH304" s="73"/>
      <c r="HI304" s="815"/>
      <c r="HJ304" s="73"/>
      <c r="HK304" s="815"/>
      <c r="HL304" s="73"/>
      <c r="HM304" s="815"/>
      <c r="HN304" s="73"/>
      <c r="HO304" s="815"/>
      <c r="HP304" s="73"/>
      <c r="HQ304" s="815"/>
      <c r="HR304" s="73"/>
      <c r="HS304" s="815"/>
      <c r="HT304" s="73"/>
      <c r="HU304" s="815"/>
      <c r="HV304" s="73"/>
      <c r="HW304" s="815"/>
      <c r="HX304" s="73"/>
      <c r="HY304" s="815"/>
      <c r="HZ304" s="73"/>
      <c r="IA304" s="815"/>
      <c r="IB304" s="73"/>
      <c r="IC304" s="815"/>
      <c r="ID304" s="73"/>
      <c r="IE304" s="815"/>
      <c r="IF304" s="841"/>
      <c r="IG304" s="263"/>
      <c r="IH304" s="842"/>
      <c r="II304" s="74"/>
      <c r="IJ304" s="74"/>
      <c r="IK304" s="74"/>
      <c r="IL304" s="74"/>
      <c r="IM304" s="74"/>
      <c r="IN304" s="74"/>
      <c r="IO304" s="74"/>
      <c r="IP304" s="74"/>
      <c r="IQ304" s="74"/>
      <c r="IR304" s="74"/>
      <c r="IS304" s="74"/>
      <c r="IT304" s="74"/>
      <c r="IU304" s="74"/>
      <c r="IV304" s="74"/>
      <c r="IW304" s="74"/>
      <c r="IX304" s="74"/>
      <c r="IY304" s="74"/>
      <c r="IZ304" s="74"/>
      <c r="JA304" s="74"/>
      <c r="JB304" s="74"/>
      <c r="JC304" s="74"/>
      <c r="JD304" s="74"/>
      <c r="JE304" s="74"/>
      <c r="JF304" s="74"/>
      <c r="JG304" s="74"/>
      <c r="JH304" s="74"/>
      <c r="JI304" s="74"/>
      <c r="JJ304" s="74"/>
      <c r="JK304" s="74"/>
      <c r="JL304" s="74"/>
      <c r="JM304" s="74"/>
      <c r="JN304" s="74"/>
      <c r="JO304" s="74"/>
      <c r="JP304" s="74"/>
      <c r="JQ304" s="74"/>
      <c r="JR304" s="74"/>
      <c r="JS304" s="74"/>
      <c r="JT304" s="788"/>
      <c r="JU304" s="524"/>
      <c r="JV304" s="524"/>
      <c r="JW304" s="524"/>
      <c r="JX304" s="548"/>
      <c r="JY304" s="548"/>
      <c r="JZ304" s="581"/>
      <c r="KA304" s="581"/>
      <c r="KB304" s="548"/>
      <c r="KC304" s="709">
        <f t="shared" si="9101"/>
        <v>0</v>
      </c>
      <c r="KD304" s="35"/>
      <c r="KE304" s="35"/>
      <c r="KF304" s="35"/>
      <c r="KG304" s="35"/>
      <c r="KH304" s="35"/>
      <c r="KI304" s="35"/>
      <c r="KJ304" s="35"/>
      <c r="KK304" s="35"/>
    </row>
    <row r="305" spans="1:297" s="10" customFormat="1" ht="12.75" hidden="1" customHeight="1">
      <c r="A305" s="80" t="s">
        <v>1104</v>
      </c>
      <c r="B305" s="77"/>
      <c r="C305" s="74">
        <f>SUM(C306)</f>
        <v>0</v>
      </c>
      <c r="D305" s="74">
        <f t="shared" ref="D305:CC305" si="9437">SUM(D306)</f>
        <v>0</v>
      </c>
      <c r="E305" s="74">
        <f t="shared" si="9437"/>
        <v>0</v>
      </c>
      <c r="F305" s="74">
        <f t="shared" si="9437"/>
        <v>0</v>
      </c>
      <c r="G305" s="74">
        <f t="shared" si="9437"/>
        <v>0</v>
      </c>
      <c r="H305" s="74">
        <f t="shared" si="9437"/>
        <v>0</v>
      </c>
      <c r="I305" s="74">
        <f t="shared" si="9437"/>
        <v>0</v>
      </c>
      <c r="J305" s="74">
        <f t="shared" si="9437"/>
        <v>0</v>
      </c>
      <c r="K305" s="74">
        <f t="shared" si="9437"/>
        <v>0</v>
      </c>
      <c r="L305" s="74">
        <f t="shared" si="9437"/>
        <v>0</v>
      </c>
      <c r="M305" s="74">
        <f t="shared" si="9437"/>
        <v>0</v>
      </c>
      <c r="N305" s="74">
        <f t="shared" si="9437"/>
        <v>0</v>
      </c>
      <c r="O305" s="74">
        <f t="shared" si="9437"/>
        <v>0</v>
      </c>
      <c r="P305" s="74">
        <f t="shared" si="9437"/>
        <v>0</v>
      </c>
      <c r="Q305" s="74">
        <f t="shared" si="9437"/>
        <v>0</v>
      </c>
      <c r="R305" s="74">
        <f t="shared" si="9437"/>
        <v>0</v>
      </c>
      <c r="S305" s="74">
        <f t="shared" si="9437"/>
        <v>0</v>
      </c>
      <c r="T305" s="74">
        <f t="shared" si="9437"/>
        <v>0</v>
      </c>
      <c r="U305" s="74">
        <f t="shared" si="9437"/>
        <v>0</v>
      </c>
      <c r="V305" s="74">
        <f t="shared" si="9437"/>
        <v>0</v>
      </c>
      <c r="W305" s="74">
        <f t="shared" si="9437"/>
        <v>0</v>
      </c>
      <c r="X305" s="74">
        <f t="shared" si="9437"/>
        <v>0</v>
      </c>
      <c r="Y305" s="74">
        <f t="shared" si="9437"/>
        <v>0</v>
      </c>
      <c r="Z305" s="74">
        <f t="shared" si="9437"/>
        <v>0</v>
      </c>
      <c r="AA305" s="74">
        <f t="shared" si="9437"/>
        <v>0</v>
      </c>
      <c r="AB305" s="74">
        <f t="shared" si="9437"/>
        <v>0</v>
      </c>
      <c r="AC305" s="74">
        <f t="shared" si="9437"/>
        <v>0</v>
      </c>
      <c r="AD305" s="74">
        <f t="shared" si="9437"/>
        <v>0</v>
      </c>
      <c r="AE305" s="74">
        <f t="shared" si="9437"/>
        <v>0</v>
      </c>
      <c r="AF305" s="74">
        <f t="shared" si="9437"/>
        <v>0</v>
      </c>
      <c r="AG305" s="74">
        <f t="shared" si="9437"/>
        <v>0</v>
      </c>
      <c r="AH305" s="74">
        <f t="shared" si="9437"/>
        <v>0</v>
      </c>
      <c r="AI305" s="74">
        <f t="shared" si="9437"/>
        <v>0</v>
      </c>
      <c r="AJ305" s="74">
        <f t="shared" si="9437"/>
        <v>0</v>
      </c>
      <c r="AK305" s="74">
        <f t="shared" si="9437"/>
        <v>0</v>
      </c>
      <c r="AL305" s="74">
        <f t="shared" si="9437"/>
        <v>0</v>
      </c>
      <c r="AM305" s="74">
        <f t="shared" si="9437"/>
        <v>0</v>
      </c>
      <c r="AN305" s="74">
        <f t="shared" si="9437"/>
        <v>0</v>
      </c>
      <c r="AO305" s="74">
        <f t="shared" si="9437"/>
        <v>0</v>
      </c>
      <c r="AP305" s="74">
        <f t="shared" si="9437"/>
        <v>0</v>
      </c>
      <c r="AQ305" s="74">
        <f t="shared" si="9437"/>
        <v>0</v>
      </c>
      <c r="AR305" s="74">
        <f t="shared" si="9437"/>
        <v>0</v>
      </c>
      <c r="AS305" s="74">
        <f t="shared" si="9437"/>
        <v>0</v>
      </c>
      <c r="AT305" s="74">
        <f t="shared" si="9437"/>
        <v>0</v>
      </c>
      <c r="AU305" s="74">
        <f t="shared" si="9437"/>
        <v>0</v>
      </c>
      <c r="AV305" s="74">
        <f t="shared" si="9437"/>
        <v>0</v>
      </c>
      <c r="AW305" s="74">
        <f t="shared" si="9437"/>
        <v>0</v>
      </c>
      <c r="AX305" s="74">
        <f t="shared" si="9437"/>
        <v>0</v>
      </c>
      <c r="AY305" s="74">
        <f t="shared" si="9437"/>
        <v>0</v>
      </c>
      <c r="AZ305" s="74">
        <f t="shared" si="9437"/>
        <v>0</v>
      </c>
      <c r="BA305" s="74">
        <f t="shared" si="9437"/>
        <v>0</v>
      </c>
      <c r="BB305" s="74">
        <f t="shared" si="9437"/>
        <v>0</v>
      </c>
      <c r="BC305" s="74">
        <f t="shared" si="9437"/>
        <v>0</v>
      </c>
      <c r="BD305" s="74">
        <f t="shared" si="9437"/>
        <v>0</v>
      </c>
      <c r="BE305" s="74">
        <f t="shared" si="9437"/>
        <v>0</v>
      </c>
      <c r="BF305" s="74">
        <f t="shared" si="9437"/>
        <v>0</v>
      </c>
      <c r="BG305" s="74">
        <f t="shared" si="9437"/>
        <v>0</v>
      </c>
      <c r="BH305" s="74">
        <f t="shared" si="9437"/>
        <v>0</v>
      </c>
      <c r="BI305" s="74">
        <f t="shared" si="9437"/>
        <v>0</v>
      </c>
      <c r="BJ305" s="74">
        <f t="shared" si="9437"/>
        <v>0</v>
      </c>
      <c r="BK305" s="74">
        <f t="shared" si="9437"/>
        <v>0</v>
      </c>
      <c r="BL305" s="74">
        <f t="shared" si="9437"/>
        <v>0</v>
      </c>
      <c r="BM305" s="74">
        <f t="shared" si="9437"/>
        <v>0</v>
      </c>
      <c r="BN305" s="74">
        <f t="shared" si="9437"/>
        <v>0</v>
      </c>
      <c r="BO305" s="74">
        <f t="shared" si="9437"/>
        <v>0</v>
      </c>
      <c r="BP305" s="74">
        <f t="shared" si="9437"/>
        <v>0</v>
      </c>
      <c r="BQ305" s="74">
        <f t="shared" si="9437"/>
        <v>0</v>
      </c>
      <c r="BR305" s="74">
        <f t="shared" si="9437"/>
        <v>0</v>
      </c>
      <c r="BS305" s="74">
        <f t="shared" si="9437"/>
        <v>0</v>
      </c>
      <c r="BT305" s="74">
        <f t="shared" si="9437"/>
        <v>0</v>
      </c>
      <c r="BU305" s="74">
        <f t="shared" si="9437"/>
        <v>0</v>
      </c>
      <c r="BV305" s="74">
        <f t="shared" si="9437"/>
        <v>0</v>
      </c>
      <c r="BW305" s="74">
        <f t="shared" si="9437"/>
        <v>0</v>
      </c>
      <c r="BX305" s="74">
        <f t="shared" si="9437"/>
        <v>0</v>
      </c>
      <c r="BY305" s="74">
        <f t="shared" si="9437"/>
        <v>0</v>
      </c>
      <c r="BZ305" s="74">
        <f t="shared" si="9437"/>
        <v>0</v>
      </c>
      <c r="CA305" s="74">
        <f t="shared" si="9437"/>
        <v>0</v>
      </c>
      <c r="CB305" s="74">
        <f t="shared" si="9437"/>
        <v>0</v>
      </c>
      <c r="CC305" s="74">
        <f t="shared" si="9437"/>
        <v>0</v>
      </c>
      <c r="CD305" s="74">
        <f t="shared" ref="CD305:CE305" si="9438">SUM(CD306)</f>
        <v>0</v>
      </c>
      <c r="CE305" s="74">
        <f t="shared" si="9438"/>
        <v>0</v>
      </c>
      <c r="CF305" s="74">
        <f t="shared" ref="CF305:CG305" si="9439">SUM(CF306)</f>
        <v>0</v>
      </c>
      <c r="CG305" s="74">
        <f t="shared" si="9439"/>
        <v>0</v>
      </c>
      <c r="CH305" s="74">
        <f t="shared" ref="CH305:CI305" si="9440">SUM(CH306)</f>
        <v>0</v>
      </c>
      <c r="CI305" s="74">
        <f t="shared" si="9440"/>
        <v>0</v>
      </c>
      <c r="CJ305" s="74">
        <f t="shared" ref="CJ305:CK305" si="9441">SUM(CJ306)</f>
        <v>0</v>
      </c>
      <c r="CK305" s="74">
        <f t="shared" si="9441"/>
        <v>0</v>
      </c>
      <c r="CL305" s="74">
        <f t="shared" ref="CL305:CM305" si="9442">SUM(CL306)</f>
        <v>0</v>
      </c>
      <c r="CM305" s="74">
        <f t="shared" si="9442"/>
        <v>0</v>
      </c>
      <c r="CN305" s="74">
        <f t="shared" ref="CN305:CO305" si="9443">SUM(CN306)</f>
        <v>0</v>
      </c>
      <c r="CO305" s="74">
        <f t="shared" si="9443"/>
        <v>0</v>
      </c>
      <c r="CP305" s="74">
        <f t="shared" ref="CP305:CQ305" si="9444">SUM(CP306)</f>
        <v>0</v>
      </c>
      <c r="CQ305" s="74">
        <f t="shared" si="9444"/>
        <v>0</v>
      </c>
      <c r="CR305" s="74">
        <f t="shared" ref="CR305:CS305" si="9445">SUM(CR306)</f>
        <v>0</v>
      </c>
      <c r="CS305" s="74">
        <f t="shared" si="9445"/>
        <v>0</v>
      </c>
      <c r="CT305" s="74">
        <f t="shared" ref="CT305:CU305" si="9446">SUM(CT306)</f>
        <v>0</v>
      </c>
      <c r="CU305" s="74">
        <f t="shared" si="9446"/>
        <v>0</v>
      </c>
      <c r="CV305" s="74">
        <f t="shared" ref="CV305:CW305" si="9447">SUM(CV306)</f>
        <v>0</v>
      </c>
      <c r="CW305" s="74">
        <f t="shared" si="9447"/>
        <v>0</v>
      </c>
      <c r="CX305" s="74">
        <f t="shared" ref="CX305:CY305" si="9448">SUM(CX306)</f>
        <v>0</v>
      </c>
      <c r="CY305" s="74">
        <f t="shared" si="9448"/>
        <v>0</v>
      </c>
      <c r="CZ305" s="74">
        <f t="shared" ref="CZ305:HE305" si="9449">SUM(CZ306)</f>
        <v>0</v>
      </c>
      <c r="DA305" s="74">
        <f t="shared" ref="DA305" si="9450">SUM(DA306)</f>
        <v>0</v>
      </c>
      <c r="DB305" s="74">
        <f t="shared" si="9449"/>
        <v>0</v>
      </c>
      <c r="DC305" s="74">
        <f t="shared" si="9449"/>
        <v>0</v>
      </c>
      <c r="DD305" s="74">
        <f t="shared" si="9449"/>
        <v>0</v>
      </c>
      <c r="DE305" s="74">
        <f t="shared" si="9449"/>
        <v>0</v>
      </c>
      <c r="DF305" s="74">
        <f t="shared" si="9449"/>
        <v>0</v>
      </c>
      <c r="DG305" s="74">
        <f t="shared" si="9449"/>
        <v>0</v>
      </c>
      <c r="DH305" s="74">
        <f t="shared" si="9449"/>
        <v>0</v>
      </c>
      <c r="DI305" s="74">
        <f t="shared" si="9449"/>
        <v>0</v>
      </c>
      <c r="DJ305" s="74">
        <f t="shared" si="9449"/>
        <v>0</v>
      </c>
      <c r="DK305" s="74">
        <f t="shared" si="9449"/>
        <v>0</v>
      </c>
      <c r="DL305" s="74">
        <f t="shared" si="9449"/>
        <v>0</v>
      </c>
      <c r="DM305" s="74">
        <f t="shared" si="9449"/>
        <v>0</v>
      </c>
      <c r="DN305" s="74">
        <f t="shared" si="9449"/>
        <v>0</v>
      </c>
      <c r="DO305" s="74">
        <f t="shared" si="9449"/>
        <v>0</v>
      </c>
      <c r="DP305" s="74">
        <f t="shared" si="9449"/>
        <v>0</v>
      </c>
      <c r="DQ305" s="74">
        <f t="shared" si="9449"/>
        <v>0</v>
      </c>
      <c r="DR305" s="74">
        <f t="shared" si="9449"/>
        <v>0</v>
      </c>
      <c r="DS305" s="74">
        <f t="shared" si="9449"/>
        <v>0</v>
      </c>
      <c r="DT305" s="74">
        <f t="shared" si="9449"/>
        <v>0</v>
      </c>
      <c r="DU305" s="74">
        <f t="shared" si="9449"/>
        <v>0</v>
      </c>
      <c r="DV305" s="74">
        <f t="shared" si="9449"/>
        <v>0</v>
      </c>
      <c r="DW305" s="74">
        <f t="shared" si="9449"/>
        <v>0</v>
      </c>
      <c r="DX305" s="74">
        <f t="shared" si="9449"/>
        <v>0</v>
      </c>
      <c r="DY305" s="74">
        <f t="shared" si="9449"/>
        <v>0</v>
      </c>
      <c r="DZ305" s="74">
        <f t="shared" si="9449"/>
        <v>0</v>
      </c>
      <c r="EA305" s="74">
        <f t="shared" si="9449"/>
        <v>0</v>
      </c>
      <c r="EB305" s="74">
        <f t="shared" si="9449"/>
        <v>0</v>
      </c>
      <c r="EC305" s="74">
        <f t="shared" si="9449"/>
        <v>0</v>
      </c>
      <c r="ED305" s="74">
        <f t="shared" si="9449"/>
        <v>0</v>
      </c>
      <c r="EE305" s="74">
        <f t="shared" si="9449"/>
        <v>0</v>
      </c>
      <c r="EF305" s="74">
        <f t="shared" si="9449"/>
        <v>0</v>
      </c>
      <c r="EG305" s="74">
        <f t="shared" si="9449"/>
        <v>0</v>
      </c>
      <c r="EH305" s="74">
        <f t="shared" si="9449"/>
        <v>0</v>
      </c>
      <c r="EI305" s="74">
        <f t="shared" si="9449"/>
        <v>0</v>
      </c>
      <c r="EJ305" s="74">
        <f t="shared" si="9449"/>
        <v>0</v>
      </c>
      <c r="EK305" s="74">
        <f t="shared" si="9449"/>
        <v>0</v>
      </c>
      <c r="EL305" s="74">
        <f t="shared" si="9449"/>
        <v>0</v>
      </c>
      <c r="EM305" s="74">
        <f t="shared" si="9449"/>
        <v>0</v>
      </c>
      <c r="EN305" s="74">
        <f t="shared" si="9449"/>
        <v>0</v>
      </c>
      <c r="EO305" s="74">
        <f t="shared" si="9449"/>
        <v>0</v>
      </c>
      <c r="EP305" s="74">
        <f t="shared" si="9449"/>
        <v>0</v>
      </c>
      <c r="EQ305" s="74">
        <f t="shared" si="9449"/>
        <v>0</v>
      </c>
      <c r="ER305" s="74">
        <f t="shared" si="9449"/>
        <v>0</v>
      </c>
      <c r="ES305" s="74">
        <f t="shared" si="9449"/>
        <v>0</v>
      </c>
      <c r="ET305" s="74">
        <f t="shared" si="9449"/>
        <v>0</v>
      </c>
      <c r="EU305" s="74">
        <f t="shared" si="9449"/>
        <v>0</v>
      </c>
      <c r="EV305" s="74">
        <f t="shared" si="9449"/>
        <v>0</v>
      </c>
      <c r="EW305" s="74">
        <f t="shared" si="9449"/>
        <v>0</v>
      </c>
      <c r="EX305" s="74">
        <f t="shared" si="9449"/>
        <v>0</v>
      </c>
      <c r="EY305" s="74">
        <f t="shared" si="9449"/>
        <v>0</v>
      </c>
      <c r="EZ305" s="74">
        <f t="shared" si="9449"/>
        <v>0</v>
      </c>
      <c r="FA305" s="74">
        <f t="shared" si="9449"/>
        <v>0</v>
      </c>
      <c r="FB305" s="74">
        <f t="shared" si="9449"/>
        <v>0</v>
      </c>
      <c r="FC305" s="74">
        <f t="shared" si="9449"/>
        <v>0</v>
      </c>
      <c r="FD305" s="74">
        <f t="shared" si="9449"/>
        <v>0</v>
      </c>
      <c r="FE305" s="74">
        <f t="shared" si="9449"/>
        <v>0</v>
      </c>
      <c r="FF305" s="74">
        <f t="shared" si="9449"/>
        <v>0</v>
      </c>
      <c r="FG305" s="74">
        <f t="shared" si="9449"/>
        <v>0</v>
      </c>
      <c r="FH305" s="74">
        <f t="shared" si="9449"/>
        <v>0</v>
      </c>
      <c r="FI305" s="74">
        <f t="shared" si="9449"/>
        <v>0</v>
      </c>
      <c r="FJ305" s="74">
        <f t="shared" si="9449"/>
        <v>0</v>
      </c>
      <c r="FK305" s="74">
        <f t="shared" si="9449"/>
        <v>0</v>
      </c>
      <c r="FL305" s="74">
        <f t="shared" si="9449"/>
        <v>0</v>
      </c>
      <c r="FM305" s="74">
        <f t="shared" si="9449"/>
        <v>0</v>
      </c>
      <c r="FN305" s="74">
        <f t="shared" si="9449"/>
        <v>0</v>
      </c>
      <c r="FO305" s="74">
        <f t="shared" si="9449"/>
        <v>0</v>
      </c>
      <c r="FP305" s="74">
        <f t="shared" si="9449"/>
        <v>0</v>
      </c>
      <c r="FQ305" s="74">
        <f t="shared" si="9449"/>
        <v>0</v>
      </c>
      <c r="FR305" s="74">
        <f t="shared" si="9449"/>
        <v>0</v>
      </c>
      <c r="FS305" s="74">
        <f t="shared" si="9449"/>
        <v>0</v>
      </c>
      <c r="FT305" s="74">
        <f t="shared" si="9449"/>
        <v>0</v>
      </c>
      <c r="FU305" s="74">
        <f t="shared" si="9449"/>
        <v>0</v>
      </c>
      <c r="FV305" s="74">
        <f t="shared" si="9449"/>
        <v>0</v>
      </c>
      <c r="FW305" s="74">
        <f t="shared" si="9449"/>
        <v>0</v>
      </c>
      <c r="FX305" s="74">
        <f t="shared" si="9449"/>
        <v>0</v>
      </c>
      <c r="FY305" s="74">
        <f t="shared" si="9449"/>
        <v>0</v>
      </c>
      <c r="FZ305" s="74">
        <f t="shared" si="9449"/>
        <v>0</v>
      </c>
      <c r="GA305" s="74">
        <f t="shared" si="9449"/>
        <v>0</v>
      </c>
      <c r="GB305" s="74">
        <f t="shared" si="9449"/>
        <v>0</v>
      </c>
      <c r="GC305" s="74">
        <f t="shared" si="9449"/>
        <v>0</v>
      </c>
      <c r="GD305" s="74">
        <f t="shared" si="9449"/>
        <v>0</v>
      </c>
      <c r="GE305" s="74">
        <f t="shared" si="9449"/>
        <v>0</v>
      </c>
      <c r="GF305" s="74">
        <f t="shared" si="9449"/>
        <v>0</v>
      </c>
      <c r="GG305" s="74">
        <f t="shared" si="9449"/>
        <v>0</v>
      </c>
      <c r="GH305" s="74">
        <f t="shared" si="9449"/>
        <v>0</v>
      </c>
      <c r="GI305" s="74">
        <f t="shared" si="9449"/>
        <v>0</v>
      </c>
      <c r="GJ305" s="74">
        <f t="shared" si="9449"/>
        <v>0</v>
      </c>
      <c r="GK305" s="74">
        <f t="shared" si="9449"/>
        <v>0</v>
      </c>
      <c r="GL305" s="74">
        <f t="shared" si="9449"/>
        <v>0</v>
      </c>
      <c r="GM305" s="74">
        <f t="shared" si="9449"/>
        <v>0</v>
      </c>
      <c r="GN305" s="74">
        <f t="shared" si="9449"/>
        <v>0</v>
      </c>
      <c r="GO305" s="74">
        <f t="shared" si="9449"/>
        <v>0</v>
      </c>
      <c r="GP305" s="74">
        <f>SUM(GP306)</f>
        <v>0</v>
      </c>
      <c r="GQ305" s="675">
        <f t="shared" si="9449"/>
        <v>0</v>
      </c>
      <c r="GR305" s="74">
        <f t="shared" si="9449"/>
        <v>0</v>
      </c>
      <c r="GS305" s="74">
        <f t="shared" si="9449"/>
        <v>0</v>
      </c>
      <c r="GT305" s="74">
        <f t="shared" si="9449"/>
        <v>0</v>
      </c>
      <c r="GU305" s="74">
        <f t="shared" si="9449"/>
        <v>0</v>
      </c>
      <c r="GV305" s="74">
        <f t="shared" si="9449"/>
        <v>0</v>
      </c>
      <c r="GW305" s="74">
        <f t="shared" si="9449"/>
        <v>0</v>
      </c>
      <c r="GX305" s="74">
        <f t="shared" si="9449"/>
        <v>0</v>
      </c>
      <c r="GY305" s="74">
        <f t="shared" si="9449"/>
        <v>0</v>
      </c>
      <c r="GZ305" s="74">
        <f t="shared" si="9449"/>
        <v>0</v>
      </c>
      <c r="HA305" s="74">
        <f t="shared" si="9449"/>
        <v>0</v>
      </c>
      <c r="HB305" s="74">
        <f t="shared" si="9449"/>
        <v>0</v>
      </c>
      <c r="HC305" s="74">
        <f t="shared" si="9449"/>
        <v>0</v>
      </c>
      <c r="HD305" s="74">
        <f t="shared" si="9449"/>
        <v>0</v>
      </c>
      <c r="HE305" s="74">
        <f t="shared" si="9449"/>
        <v>0</v>
      </c>
      <c r="HF305" s="74">
        <f t="shared" ref="HF305:JQ305" si="9451">SUM(HF306)</f>
        <v>0</v>
      </c>
      <c r="HG305" s="74">
        <f t="shared" si="9451"/>
        <v>0</v>
      </c>
      <c r="HH305" s="74">
        <f t="shared" si="9451"/>
        <v>0</v>
      </c>
      <c r="HI305" s="792">
        <f t="shared" si="9451"/>
        <v>0</v>
      </c>
      <c r="HJ305" s="74">
        <f t="shared" si="9451"/>
        <v>0</v>
      </c>
      <c r="HK305" s="792">
        <f t="shared" si="9451"/>
        <v>0</v>
      </c>
      <c r="HL305" s="74">
        <f t="shared" si="9451"/>
        <v>0</v>
      </c>
      <c r="HM305" s="792">
        <f t="shared" si="9451"/>
        <v>0</v>
      </c>
      <c r="HN305" s="74">
        <f t="shared" si="9451"/>
        <v>0</v>
      </c>
      <c r="HO305" s="792">
        <f t="shared" si="9451"/>
        <v>0</v>
      </c>
      <c r="HP305" s="74">
        <f t="shared" si="9451"/>
        <v>0</v>
      </c>
      <c r="HQ305" s="792">
        <f t="shared" si="9451"/>
        <v>0</v>
      </c>
      <c r="HR305" s="74">
        <f t="shared" si="9451"/>
        <v>0</v>
      </c>
      <c r="HS305" s="792">
        <f t="shared" si="9451"/>
        <v>0</v>
      </c>
      <c r="HT305" s="74">
        <f t="shared" si="9451"/>
        <v>0</v>
      </c>
      <c r="HU305" s="792">
        <f t="shared" si="9451"/>
        <v>0</v>
      </c>
      <c r="HV305" s="74">
        <f t="shared" si="9451"/>
        <v>0</v>
      </c>
      <c r="HW305" s="792">
        <f t="shared" si="9451"/>
        <v>0</v>
      </c>
      <c r="HX305" s="74">
        <f t="shared" si="9451"/>
        <v>0</v>
      </c>
      <c r="HY305" s="792">
        <f t="shared" si="9451"/>
        <v>0</v>
      </c>
      <c r="HZ305" s="74">
        <f t="shared" si="9451"/>
        <v>0</v>
      </c>
      <c r="IA305" s="792">
        <f t="shared" si="9451"/>
        <v>0</v>
      </c>
      <c r="IB305" s="74">
        <f t="shared" si="9451"/>
        <v>0</v>
      </c>
      <c r="IC305" s="792">
        <f t="shared" si="9451"/>
        <v>0</v>
      </c>
      <c r="ID305" s="74">
        <f t="shared" si="9451"/>
        <v>0</v>
      </c>
      <c r="IE305" s="792">
        <f t="shared" si="9451"/>
        <v>0</v>
      </c>
      <c r="IF305" s="853">
        <f t="shared" si="9451"/>
        <v>0</v>
      </c>
      <c r="IG305" s="74">
        <f t="shared" si="9451"/>
        <v>0</v>
      </c>
      <c r="IH305" s="575">
        <f t="shared" si="9451"/>
        <v>0</v>
      </c>
      <c r="II305" s="74">
        <f t="shared" si="9451"/>
        <v>0</v>
      </c>
      <c r="IJ305" s="74">
        <f t="shared" si="9451"/>
        <v>0</v>
      </c>
      <c r="IK305" s="74">
        <f t="shared" si="9451"/>
        <v>0</v>
      </c>
      <c r="IL305" s="74">
        <f t="shared" si="9451"/>
        <v>0</v>
      </c>
      <c r="IM305" s="74">
        <f t="shared" si="9451"/>
        <v>0</v>
      </c>
      <c r="IN305" s="74">
        <f t="shared" si="9451"/>
        <v>0</v>
      </c>
      <c r="IO305" s="74">
        <f t="shared" si="9451"/>
        <v>0</v>
      </c>
      <c r="IP305" s="74">
        <f t="shared" si="9451"/>
        <v>0</v>
      </c>
      <c r="IQ305" s="74">
        <f t="shared" si="9451"/>
        <v>0</v>
      </c>
      <c r="IR305" s="74">
        <f t="shared" si="9451"/>
        <v>0</v>
      </c>
      <c r="IS305" s="74">
        <f t="shared" si="9451"/>
        <v>0</v>
      </c>
      <c r="IT305" s="74">
        <f t="shared" si="9451"/>
        <v>0</v>
      </c>
      <c r="IU305" s="74">
        <f t="shared" si="9451"/>
        <v>0</v>
      </c>
      <c r="IV305" s="74">
        <f t="shared" si="9451"/>
        <v>0</v>
      </c>
      <c r="IW305" s="74">
        <f t="shared" si="9451"/>
        <v>0</v>
      </c>
      <c r="IX305" s="74">
        <f t="shared" si="9451"/>
        <v>0</v>
      </c>
      <c r="IY305" s="74">
        <f t="shared" si="9451"/>
        <v>0</v>
      </c>
      <c r="IZ305" s="74">
        <f t="shared" si="9451"/>
        <v>0</v>
      </c>
      <c r="JA305" s="74">
        <f t="shared" si="9451"/>
        <v>0</v>
      </c>
      <c r="JB305" s="74">
        <f t="shared" si="9451"/>
        <v>0</v>
      </c>
      <c r="JC305" s="74">
        <f t="shared" si="9451"/>
        <v>0</v>
      </c>
      <c r="JD305" s="74">
        <f t="shared" si="9451"/>
        <v>0</v>
      </c>
      <c r="JE305" s="74">
        <f t="shared" si="9451"/>
        <v>0</v>
      </c>
      <c r="JF305" s="74">
        <f t="shared" si="9451"/>
        <v>0</v>
      </c>
      <c r="JG305" s="74">
        <f t="shared" si="9451"/>
        <v>0</v>
      </c>
      <c r="JH305" s="74">
        <f t="shared" si="9451"/>
        <v>0</v>
      </c>
      <c r="JI305" s="74">
        <f t="shared" si="9451"/>
        <v>0</v>
      </c>
      <c r="JJ305" s="74">
        <f t="shared" si="9451"/>
        <v>0</v>
      </c>
      <c r="JK305" s="74">
        <f t="shared" si="9451"/>
        <v>0</v>
      </c>
      <c r="JL305" s="74">
        <f t="shared" si="9451"/>
        <v>0</v>
      </c>
      <c r="JM305" s="74">
        <f t="shared" si="9451"/>
        <v>0</v>
      </c>
      <c r="JN305" s="74">
        <f t="shared" si="9451"/>
        <v>0</v>
      </c>
      <c r="JO305" s="74">
        <f t="shared" si="9451"/>
        <v>0</v>
      </c>
      <c r="JP305" s="74">
        <f t="shared" si="9451"/>
        <v>0</v>
      </c>
      <c r="JQ305" s="74">
        <f t="shared" si="9451"/>
        <v>0</v>
      </c>
      <c r="JR305" s="74">
        <f t="shared" ref="JR305:KB305" si="9452">SUM(JR306)</f>
        <v>0</v>
      </c>
      <c r="JS305" s="74">
        <f t="shared" si="9452"/>
        <v>0</v>
      </c>
      <c r="JT305" s="788">
        <f t="shared" si="9452"/>
        <v>0</v>
      </c>
      <c r="JU305" s="155">
        <f t="shared" si="9452"/>
        <v>0</v>
      </c>
      <c r="JV305" s="74">
        <f t="shared" si="9452"/>
        <v>0</v>
      </c>
      <c r="JW305" s="74">
        <f t="shared" si="9452"/>
        <v>0</v>
      </c>
      <c r="JX305" s="74">
        <f>SUM(JX306)</f>
        <v>0</v>
      </c>
      <c r="JY305" s="74">
        <f t="shared" si="9452"/>
        <v>0</v>
      </c>
      <c r="JZ305" s="74">
        <f t="shared" si="9452"/>
        <v>0</v>
      </c>
      <c r="KA305" s="74">
        <f t="shared" si="9452"/>
        <v>0</v>
      </c>
      <c r="KB305" s="74">
        <f t="shared" si="9452"/>
        <v>0</v>
      </c>
      <c r="KC305" s="709">
        <f t="shared" si="9101"/>
        <v>0</v>
      </c>
      <c r="KD305" s="35"/>
      <c r="KE305" s="35"/>
      <c r="KF305" s="35"/>
      <c r="KG305" s="35"/>
      <c r="KH305" s="35"/>
      <c r="KI305" s="35"/>
      <c r="KJ305" s="35"/>
      <c r="KK305" s="35"/>
    </row>
    <row r="306" spans="1:297" s="10" customFormat="1" ht="12.75" hidden="1" customHeight="1">
      <c r="A306" s="86" t="s">
        <v>1105</v>
      </c>
      <c r="B306" s="77"/>
      <c r="C306" s="74"/>
      <c r="D306" s="549">
        <v>0</v>
      </c>
      <c r="E306" s="675">
        <v>0</v>
      </c>
      <c r="F306" s="549">
        <v>0</v>
      </c>
      <c r="G306" s="675">
        <v>0</v>
      </c>
      <c r="H306" s="549">
        <v>0</v>
      </c>
      <c r="I306" s="675">
        <v>0</v>
      </c>
      <c r="J306" s="549">
        <v>0</v>
      </c>
      <c r="K306" s="675">
        <v>0</v>
      </c>
      <c r="L306" s="549">
        <v>0</v>
      </c>
      <c r="M306" s="675">
        <v>0</v>
      </c>
      <c r="N306" s="549">
        <v>0</v>
      </c>
      <c r="O306" s="675">
        <v>0</v>
      </c>
      <c r="P306" s="549">
        <v>0</v>
      </c>
      <c r="Q306" s="675">
        <v>0</v>
      </c>
      <c r="R306" s="549">
        <v>0</v>
      </c>
      <c r="S306" s="675">
        <v>0</v>
      </c>
      <c r="T306" s="549">
        <v>0</v>
      </c>
      <c r="U306" s="675">
        <v>0</v>
      </c>
      <c r="V306" s="549">
        <v>0</v>
      </c>
      <c r="W306" s="675">
        <v>0</v>
      </c>
      <c r="X306" s="549">
        <v>0</v>
      </c>
      <c r="Y306" s="675">
        <v>0</v>
      </c>
      <c r="Z306" s="549">
        <v>0</v>
      </c>
      <c r="AA306" s="675">
        <v>0</v>
      </c>
      <c r="AB306" s="549">
        <v>0</v>
      </c>
      <c r="AC306" s="675">
        <v>0</v>
      </c>
      <c r="AD306" s="549">
        <v>0</v>
      </c>
      <c r="AE306" s="675">
        <v>0</v>
      </c>
      <c r="AF306" s="549">
        <v>0</v>
      </c>
      <c r="AG306" s="675">
        <v>0</v>
      </c>
      <c r="AH306" s="549">
        <v>0</v>
      </c>
      <c r="AI306" s="675">
        <v>0</v>
      </c>
      <c r="AJ306" s="549">
        <v>0</v>
      </c>
      <c r="AK306" s="675">
        <v>0</v>
      </c>
      <c r="AL306" s="549">
        <v>0</v>
      </c>
      <c r="AM306" s="675">
        <v>0</v>
      </c>
      <c r="AN306" s="549">
        <v>0</v>
      </c>
      <c r="AO306" s="675">
        <v>0</v>
      </c>
      <c r="AP306" s="549">
        <v>0</v>
      </c>
      <c r="AQ306" s="675">
        <v>0</v>
      </c>
      <c r="AR306" s="549">
        <v>0</v>
      </c>
      <c r="AS306" s="675">
        <v>0</v>
      </c>
      <c r="AT306" s="549">
        <v>0</v>
      </c>
      <c r="AU306" s="675">
        <v>0</v>
      </c>
      <c r="AV306" s="549">
        <v>0</v>
      </c>
      <c r="AW306" s="675">
        <v>0</v>
      </c>
      <c r="AX306" s="549">
        <v>0</v>
      </c>
      <c r="AY306" s="675">
        <v>0</v>
      </c>
      <c r="AZ306" s="549">
        <v>0</v>
      </c>
      <c r="BA306" s="675">
        <v>0</v>
      </c>
      <c r="BB306" s="549">
        <v>0</v>
      </c>
      <c r="BC306" s="675">
        <v>0</v>
      </c>
      <c r="BD306" s="549">
        <v>0</v>
      </c>
      <c r="BE306" s="675">
        <v>0</v>
      </c>
      <c r="BF306" s="549">
        <v>0</v>
      </c>
      <c r="BG306" s="675">
        <v>0</v>
      </c>
      <c r="BH306" s="549">
        <v>0</v>
      </c>
      <c r="BI306" s="675">
        <v>0</v>
      </c>
      <c r="BJ306" s="549">
        <v>0</v>
      </c>
      <c r="BK306" s="675">
        <v>0</v>
      </c>
      <c r="BL306" s="549">
        <v>0</v>
      </c>
      <c r="BM306" s="675">
        <v>0</v>
      </c>
      <c r="BN306" s="549">
        <v>0</v>
      </c>
      <c r="BO306" s="675">
        <v>0</v>
      </c>
      <c r="BP306" s="549">
        <v>0</v>
      </c>
      <c r="BQ306" s="675">
        <v>0</v>
      </c>
      <c r="BR306" s="549">
        <v>0</v>
      </c>
      <c r="BS306" s="675">
        <v>0</v>
      </c>
      <c r="BT306" s="549">
        <v>0</v>
      </c>
      <c r="BU306" s="675">
        <v>0</v>
      </c>
      <c r="BV306" s="549">
        <v>0</v>
      </c>
      <c r="BW306" s="675">
        <v>0</v>
      </c>
      <c r="BX306" s="549">
        <v>0</v>
      </c>
      <c r="BY306" s="675">
        <v>0</v>
      </c>
      <c r="BZ306" s="549">
        <v>0</v>
      </c>
      <c r="CA306" s="675">
        <v>0</v>
      </c>
      <c r="CB306" s="549">
        <v>0</v>
      </c>
      <c r="CC306" s="675">
        <v>0</v>
      </c>
      <c r="CD306" s="549">
        <v>0</v>
      </c>
      <c r="CE306" s="675">
        <v>0</v>
      </c>
      <c r="CF306" s="549">
        <v>0</v>
      </c>
      <c r="CG306" s="675">
        <v>0</v>
      </c>
      <c r="CH306" s="549">
        <v>0</v>
      </c>
      <c r="CI306" s="675">
        <v>0</v>
      </c>
      <c r="CJ306" s="549">
        <v>0</v>
      </c>
      <c r="CK306" s="675">
        <v>0</v>
      </c>
      <c r="CL306" s="549">
        <v>0</v>
      </c>
      <c r="CM306" s="675">
        <v>0</v>
      </c>
      <c r="CN306" s="549">
        <v>0</v>
      </c>
      <c r="CO306" s="675">
        <v>0</v>
      </c>
      <c r="CP306" s="549">
        <v>0</v>
      </c>
      <c r="CQ306" s="675">
        <v>0</v>
      </c>
      <c r="CR306" s="549">
        <v>0</v>
      </c>
      <c r="CS306" s="675">
        <v>0</v>
      </c>
      <c r="CT306" s="549">
        <v>0</v>
      </c>
      <c r="CU306" s="675">
        <v>0</v>
      </c>
      <c r="CV306" s="549">
        <v>0</v>
      </c>
      <c r="CW306" s="675">
        <v>0</v>
      </c>
      <c r="CX306" s="549">
        <v>0</v>
      </c>
      <c r="CY306" s="675">
        <v>0</v>
      </c>
      <c r="CZ306" s="549">
        <v>0</v>
      </c>
      <c r="DA306" s="675">
        <v>0</v>
      </c>
      <c r="DB306" s="549">
        <v>0</v>
      </c>
      <c r="DC306" s="675">
        <v>0</v>
      </c>
      <c r="DD306" s="549">
        <v>0</v>
      </c>
      <c r="DE306" s="675">
        <v>0</v>
      </c>
      <c r="DF306" s="549">
        <v>0</v>
      </c>
      <c r="DG306" s="675">
        <v>0</v>
      </c>
      <c r="DH306" s="549">
        <v>0</v>
      </c>
      <c r="DI306" s="675">
        <v>0</v>
      </c>
      <c r="DJ306" s="549">
        <v>0</v>
      </c>
      <c r="DK306" s="675">
        <v>0</v>
      </c>
      <c r="DL306" s="549">
        <v>0</v>
      </c>
      <c r="DM306" s="675">
        <v>0</v>
      </c>
      <c r="DN306" s="549">
        <v>0</v>
      </c>
      <c r="DO306" s="675">
        <v>0</v>
      </c>
      <c r="DP306" s="549">
        <v>0</v>
      </c>
      <c r="DQ306" s="675">
        <v>0</v>
      </c>
      <c r="DR306" s="549">
        <v>0</v>
      </c>
      <c r="DS306" s="675">
        <v>0</v>
      </c>
      <c r="DT306" s="549">
        <v>0</v>
      </c>
      <c r="DU306" s="675">
        <v>0</v>
      </c>
      <c r="DV306" s="549">
        <v>0</v>
      </c>
      <c r="DW306" s="675">
        <v>0</v>
      </c>
      <c r="DX306" s="549">
        <v>0</v>
      </c>
      <c r="DY306" s="675">
        <v>0</v>
      </c>
      <c r="DZ306" s="549">
        <v>0</v>
      </c>
      <c r="EA306" s="675">
        <v>0</v>
      </c>
      <c r="EB306" s="549">
        <v>0</v>
      </c>
      <c r="EC306" s="675">
        <v>0</v>
      </c>
      <c r="ED306" s="549">
        <v>0</v>
      </c>
      <c r="EE306" s="675">
        <v>0</v>
      </c>
      <c r="EF306" s="549">
        <v>0</v>
      </c>
      <c r="EG306" s="675">
        <v>0</v>
      </c>
      <c r="EH306" s="549">
        <v>0</v>
      </c>
      <c r="EI306" s="675">
        <v>0</v>
      </c>
      <c r="EJ306" s="549">
        <v>0</v>
      </c>
      <c r="EK306" s="675">
        <v>0</v>
      </c>
      <c r="EL306" s="549">
        <v>0</v>
      </c>
      <c r="EM306" s="675">
        <v>0</v>
      </c>
      <c r="EN306" s="549">
        <v>0</v>
      </c>
      <c r="EO306" s="675">
        <v>0</v>
      </c>
      <c r="EP306" s="549">
        <v>0</v>
      </c>
      <c r="EQ306" s="675">
        <v>0</v>
      </c>
      <c r="ER306" s="549">
        <v>0</v>
      </c>
      <c r="ES306" s="675">
        <v>0</v>
      </c>
      <c r="ET306" s="549">
        <v>0</v>
      </c>
      <c r="EU306" s="675">
        <v>0</v>
      </c>
      <c r="EV306" s="549">
        <v>0</v>
      </c>
      <c r="EW306" s="675">
        <v>0</v>
      </c>
      <c r="EX306" s="549">
        <v>0</v>
      </c>
      <c r="EY306" s="675">
        <v>0</v>
      </c>
      <c r="EZ306" s="549">
        <v>0</v>
      </c>
      <c r="FA306" s="675">
        <v>0</v>
      </c>
      <c r="FB306" s="549">
        <v>0</v>
      </c>
      <c r="FC306" s="675">
        <v>0</v>
      </c>
      <c r="FD306" s="549">
        <v>0</v>
      </c>
      <c r="FE306" s="675">
        <v>0</v>
      </c>
      <c r="FF306" s="549">
        <v>0</v>
      </c>
      <c r="FG306" s="675">
        <v>0</v>
      </c>
      <c r="FH306" s="549">
        <v>0</v>
      </c>
      <c r="FI306" s="675">
        <v>0</v>
      </c>
      <c r="FJ306" s="549">
        <v>0</v>
      </c>
      <c r="FK306" s="675">
        <v>0</v>
      </c>
      <c r="FL306" s="549">
        <v>0</v>
      </c>
      <c r="FM306" s="675">
        <v>0</v>
      </c>
      <c r="FN306" s="549">
        <v>0</v>
      </c>
      <c r="FO306" s="675">
        <v>0</v>
      </c>
      <c r="FP306" s="549">
        <v>0</v>
      </c>
      <c r="FQ306" s="675">
        <v>0</v>
      </c>
      <c r="FR306" s="549">
        <v>0</v>
      </c>
      <c r="FS306" s="675">
        <v>0</v>
      </c>
      <c r="FT306" s="549">
        <v>0</v>
      </c>
      <c r="FU306" s="675">
        <v>0</v>
      </c>
      <c r="FV306" s="549">
        <v>0</v>
      </c>
      <c r="FW306" s="675">
        <v>0</v>
      </c>
      <c r="FX306" s="549">
        <v>0</v>
      </c>
      <c r="FY306" s="675">
        <v>0</v>
      </c>
      <c r="FZ306" s="549">
        <v>0</v>
      </c>
      <c r="GA306" s="675">
        <v>0</v>
      </c>
      <c r="GB306" s="549">
        <v>0</v>
      </c>
      <c r="GC306" s="675">
        <v>0</v>
      </c>
      <c r="GD306" s="549">
        <v>0</v>
      </c>
      <c r="GE306" s="675">
        <v>0</v>
      </c>
      <c r="GF306" s="549">
        <v>0</v>
      </c>
      <c r="GG306" s="675">
        <v>0</v>
      </c>
      <c r="GH306" s="549">
        <v>0</v>
      </c>
      <c r="GI306" s="675">
        <v>0</v>
      </c>
      <c r="GJ306" s="549">
        <v>0</v>
      </c>
      <c r="GK306" s="675">
        <v>0</v>
      </c>
      <c r="GL306" s="549">
        <v>0</v>
      </c>
      <c r="GM306" s="675">
        <v>0</v>
      </c>
      <c r="GN306" s="549">
        <v>0</v>
      </c>
      <c r="GO306" s="675">
        <v>0</v>
      </c>
      <c r="GP306" s="549">
        <f>+D306+F306+H306+J306+L306+N306+P306+R306+T306+V306+X306+Z306+AB306+AD306+AH306+AJ306+AL306+AN306+AP306+AR306+AT306+AV306+AX306+AZ306+BB306+BD306+BF306+BH306+BJ306+BL306+BN306+BP306+BR306+BT306+BV306+BX306+BZ306+CB306+CD306+CF306+CH306+CJ306+CL306+CN306+CP306+CR306+CT306+CV306+CX306+CZ306+DB306+DD306+DF306+DH306+DT306+EX306+DJ306+DL306+DN306+DP306+DR306+EJ306+EB306+DZ306+DX306+DV306+ED306+EF306+EH306+EL306+EN306+EP306+EV306+ET306+ER306+EZ306+FB306+FD306+GL306</f>
        <v>0</v>
      </c>
      <c r="GQ306" s="675">
        <f>+E306+G306+I306+K306+M306+O306+Q306+S306+U306+W306+Y306+AA306+AC306+AE306+AI306+AK306+AM306+AO306+AQ306+AS306+AU306+AW306+AY306+BA306+BC306+BE306+BG306+BI306+BK306+BM306+BO306+BQ306+BS306+BU306+BW306+BY306+CA306+CC306+CE306+CG306+CI306+CK306+CM306+CO306+CQ306+CS306+CU306+CW306+CY306+DA306+DC306+DE306+DG306+DI306+DU306+EY306+DK306+DM306+DO306+DQ306+DS306+EK306+EC306+EA306+DY306+DW306+EI306+EG306+EE306+EM306+EO306+EQ306+EW306+EU306+ES306+FA306+FC306+FE306+GM306</f>
        <v>0</v>
      </c>
      <c r="GR306" s="74">
        <f>C306+GP306+GQ306</f>
        <v>0</v>
      </c>
      <c r="GS306" s="74">
        <f>SUM(GU306:HB306)+GP306+GQ306</f>
        <v>0</v>
      </c>
      <c r="GT306" s="568">
        <f>SUM(GU306:HF306)+GQ306+GP306</f>
        <v>0</v>
      </c>
      <c r="GU306" s="73"/>
      <c r="GV306" s="73"/>
      <c r="GW306" s="549"/>
      <c r="GX306" s="549"/>
      <c r="GY306" s="73"/>
      <c r="GZ306" s="73"/>
      <c r="HA306" s="73"/>
      <c r="HB306" s="73"/>
      <c r="HC306" s="73"/>
      <c r="HD306" s="73"/>
      <c r="HE306" s="73"/>
      <c r="HF306" s="73"/>
      <c r="HG306" s="74">
        <f>SUM(HH306:IE306)+GP306+GQ306</f>
        <v>0</v>
      </c>
      <c r="HH306" s="89">
        <v>0</v>
      </c>
      <c r="HI306" s="817">
        <v>0</v>
      </c>
      <c r="HJ306" s="89">
        <v>0</v>
      </c>
      <c r="HK306" s="817">
        <v>0</v>
      </c>
      <c r="HL306" s="89">
        <v>0</v>
      </c>
      <c r="HM306" s="817">
        <v>0</v>
      </c>
      <c r="HN306" s="89">
        <v>0</v>
      </c>
      <c r="HO306" s="817">
        <v>0</v>
      </c>
      <c r="HP306" s="89">
        <v>0</v>
      </c>
      <c r="HQ306" s="817">
        <v>0</v>
      </c>
      <c r="HR306" s="89">
        <v>0</v>
      </c>
      <c r="HS306" s="817">
        <v>0</v>
      </c>
      <c r="HT306" s="89">
        <v>0</v>
      </c>
      <c r="HU306" s="817">
        <v>0</v>
      </c>
      <c r="HV306" s="89">
        <v>0</v>
      </c>
      <c r="HW306" s="817">
        <v>0</v>
      </c>
      <c r="HX306" s="89">
        <v>0</v>
      </c>
      <c r="HY306" s="817">
        <v>0</v>
      </c>
      <c r="HZ306" s="89">
        <v>0</v>
      </c>
      <c r="IA306" s="817">
        <v>0</v>
      </c>
      <c r="IB306" s="89">
        <v>0</v>
      </c>
      <c r="IC306" s="817">
        <v>0</v>
      </c>
      <c r="ID306" s="89">
        <v>0</v>
      </c>
      <c r="IE306" s="817">
        <v>0</v>
      </c>
      <c r="IF306" s="841">
        <f t="shared" ref="IF306" si="9453">SUM(II306,IL306,IO306,IR306,IU306,IX306,JA306,JD306,JG306,JJ306,JM306,JP306)</f>
        <v>0</v>
      </c>
      <c r="IG306" s="263">
        <f t="shared" ref="IG306" si="9454">SUM(IJ306,IM306,IP306,IS306,IV306,IY306,JB306,JE306,JH306,JK306,JN306,JQ306)</f>
        <v>0</v>
      </c>
      <c r="IH306" s="842">
        <f t="shared" ref="IH306" si="9455">SUM(IK306,IN306,IQ306,IT306,IW306,IZ306,JC306,JF306,JI306,JL306,JO306,JR306)</f>
        <v>0</v>
      </c>
      <c r="II306" s="89">
        <v>0</v>
      </c>
      <c r="IJ306" s="89">
        <v>0</v>
      </c>
      <c r="IK306" s="89">
        <v>0</v>
      </c>
      <c r="IL306" s="89">
        <v>0</v>
      </c>
      <c r="IM306" s="89">
        <v>0</v>
      </c>
      <c r="IN306" s="89">
        <v>0</v>
      </c>
      <c r="IO306" s="89">
        <v>0</v>
      </c>
      <c r="IP306" s="89">
        <v>0</v>
      </c>
      <c r="IQ306" s="89">
        <v>0</v>
      </c>
      <c r="IR306" s="89">
        <v>0</v>
      </c>
      <c r="IS306" s="89">
        <v>0</v>
      </c>
      <c r="IT306" s="89">
        <v>0</v>
      </c>
      <c r="IU306" s="89">
        <v>0</v>
      </c>
      <c r="IV306" s="89">
        <v>0</v>
      </c>
      <c r="IW306" s="89">
        <v>0</v>
      </c>
      <c r="IX306" s="89">
        <v>0</v>
      </c>
      <c r="IY306" s="89">
        <v>0</v>
      </c>
      <c r="IZ306" s="89">
        <v>0</v>
      </c>
      <c r="JA306" s="89">
        <v>0</v>
      </c>
      <c r="JB306" s="89">
        <v>0</v>
      </c>
      <c r="JC306" s="89">
        <v>0</v>
      </c>
      <c r="JD306" s="89">
        <v>0</v>
      </c>
      <c r="JE306" s="89">
        <v>0</v>
      </c>
      <c r="JF306" s="89">
        <v>0</v>
      </c>
      <c r="JG306" s="89">
        <v>0</v>
      </c>
      <c r="JH306" s="89">
        <v>0</v>
      </c>
      <c r="JI306" s="89">
        <v>0</v>
      </c>
      <c r="JJ306" s="89">
        <v>0</v>
      </c>
      <c r="JK306" s="89">
        <v>0</v>
      </c>
      <c r="JL306" s="89">
        <v>0</v>
      </c>
      <c r="JM306" s="89">
        <v>0</v>
      </c>
      <c r="JN306" s="89">
        <v>0</v>
      </c>
      <c r="JO306" s="89">
        <v>0</v>
      </c>
      <c r="JP306" s="89">
        <v>0</v>
      </c>
      <c r="JQ306" s="89">
        <v>0</v>
      </c>
      <c r="JR306" s="89">
        <v>0</v>
      </c>
      <c r="JS306" s="74">
        <f>HG306-IF306</f>
        <v>0</v>
      </c>
      <c r="JT306" s="382">
        <f>GS306-IF306</f>
        <v>0</v>
      </c>
      <c r="JU306" s="665"/>
      <c r="JV306" s="524"/>
      <c r="JW306" s="525"/>
      <c r="JX306" s="548">
        <f>SUM(HH306,HJ306,HL306,HN306,HP306,HR306,HT306,HV306,HX306,HZ306,IB306,ID306)</f>
        <v>0</v>
      </c>
      <c r="JY306" s="548">
        <f>SUM(HI306,HK306,HM306,HO306,HQ306,HS306,HU306,HW306,HY306,IA306,IC306,IE306)</f>
        <v>0</v>
      </c>
      <c r="JZ306" s="581">
        <f>GP306</f>
        <v>0</v>
      </c>
      <c r="KA306" s="581">
        <f>GQ306</f>
        <v>0</v>
      </c>
      <c r="KB306" s="548">
        <f>JX306+JY306+JZ306+KA306</f>
        <v>0</v>
      </c>
      <c r="KC306" s="709">
        <f t="shared" si="9101"/>
        <v>0</v>
      </c>
      <c r="KD306" s="35"/>
      <c r="KE306" s="35"/>
      <c r="KF306" s="35"/>
      <c r="KG306" s="35"/>
      <c r="KH306" s="35"/>
      <c r="KI306" s="35"/>
      <c r="KJ306" s="35"/>
      <c r="KK306" s="35"/>
    </row>
    <row r="307" spans="1:297" s="10" customFormat="1" ht="12.75" hidden="1" customHeight="1">
      <c r="A307" s="86"/>
      <c r="B307" s="77"/>
      <c r="C307" s="74"/>
      <c r="D307" s="549"/>
      <c r="E307" s="675"/>
      <c r="F307" s="549"/>
      <c r="G307" s="675"/>
      <c r="H307" s="549"/>
      <c r="I307" s="675"/>
      <c r="J307" s="549"/>
      <c r="K307" s="675"/>
      <c r="L307" s="549"/>
      <c r="M307" s="675"/>
      <c r="N307" s="549"/>
      <c r="O307" s="675"/>
      <c r="P307" s="549"/>
      <c r="Q307" s="675"/>
      <c r="R307" s="549"/>
      <c r="S307" s="675"/>
      <c r="T307" s="549"/>
      <c r="U307" s="675"/>
      <c r="V307" s="549"/>
      <c r="W307" s="675"/>
      <c r="X307" s="549"/>
      <c r="Y307" s="675"/>
      <c r="Z307" s="549"/>
      <c r="AA307" s="675"/>
      <c r="AB307" s="549"/>
      <c r="AC307" s="675"/>
      <c r="AD307" s="549"/>
      <c r="AE307" s="675"/>
      <c r="AF307" s="549"/>
      <c r="AG307" s="675"/>
      <c r="AH307" s="549"/>
      <c r="AI307" s="675"/>
      <c r="AJ307" s="549"/>
      <c r="AK307" s="675"/>
      <c r="AL307" s="549"/>
      <c r="AM307" s="675"/>
      <c r="AN307" s="549"/>
      <c r="AO307" s="675"/>
      <c r="AP307" s="549"/>
      <c r="AQ307" s="675"/>
      <c r="AR307" s="549"/>
      <c r="AS307" s="675"/>
      <c r="AT307" s="549"/>
      <c r="AU307" s="675"/>
      <c r="AV307" s="549"/>
      <c r="AW307" s="675"/>
      <c r="AX307" s="549"/>
      <c r="AY307" s="675"/>
      <c r="AZ307" s="549"/>
      <c r="BA307" s="675"/>
      <c r="BB307" s="549"/>
      <c r="BC307" s="675"/>
      <c r="BD307" s="549"/>
      <c r="BE307" s="675"/>
      <c r="BF307" s="549"/>
      <c r="BG307" s="675"/>
      <c r="BH307" s="549"/>
      <c r="BI307" s="675"/>
      <c r="BJ307" s="549"/>
      <c r="BK307" s="675"/>
      <c r="BL307" s="549"/>
      <c r="BM307" s="675"/>
      <c r="BN307" s="549"/>
      <c r="BO307" s="675"/>
      <c r="BP307" s="549"/>
      <c r="BQ307" s="675"/>
      <c r="BR307" s="549"/>
      <c r="BS307" s="675"/>
      <c r="BT307" s="549"/>
      <c r="BU307" s="675"/>
      <c r="BV307" s="549"/>
      <c r="BW307" s="675"/>
      <c r="BX307" s="549"/>
      <c r="BY307" s="675"/>
      <c r="BZ307" s="549"/>
      <c r="CA307" s="675"/>
      <c r="CB307" s="549"/>
      <c r="CC307" s="675"/>
      <c r="CD307" s="549"/>
      <c r="CE307" s="675"/>
      <c r="CF307" s="549"/>
      <c r="CG307" s="675"/>
      <c r="CH307" s="549"/>
      <c r="CI307" s="675"/>
      <c r="CJ307" s="549"/>
      <c r="CK307" s="675"/>
      <c r="CL307" s="549"/>
      <c r="CM307" s="675"/>
      <c r="CN307" s="549"/>
      <c r="CO307" s="675"/>
      <c r="CP307" s="549"/>
      <c r="CQ307" s="675"/>
      <c r="CR307" s="549"/>
      <c r="CS307" s="675"/>
      <c r="CT307" s="549"/>
      <c r="CU307" s="675"/>
      <c r="CV307" s="549"/>
      <c r="CW307" s="675"/>
      <c r="CX307" s="549"/>
      <c r="CY307" s="675"/>
      <c r="CZ307" s="549"/>
      <c r="DA307" s="675"/>
      <c r="DB307" s="549"/>
      <c r="DC307" s="675"/>
      <c r="DD307" s="549"/>
      <c r="DE307" s="675"/>
      <c r="DF307" s="549"/>
      <c r="DG307" s="675"/>
      <c r="DH307" s="549"/>
      <c r="DI307" s="675"/>
      <c r="DJ307" s="549"/>
      <c r="DK307" s="675"/>
      <c r="DL307" s="549"/>
      <c r="DM307" s="675"/>
      <c r="DN307" s="549"/>
      <c r="DO307" s="675"/>
      <c r="DP307" s="549"/>
      <c r="DQ307" s="675"/>
      <c r="DR307" s="549"/>
      <c r="DS307" s="675"/>
      <c r="DT307" s="549"/>
      <c r="DU307" s="675"/>
      <c r="DV307" s="549"/>
      <c r="DW307" s="675"/>
      <c r="DX307" s="549"/>
      <c r="DY307" s="675"/>
      <c r="DZ307" s="549"/>
      <c r="EA307" s="675"/>
      <c r="EB307" s="549"/>
      <c r="EC307" s="675"/>
      <c r="ED307" s="549"/>
      <c r="EE307" s="675"/>
      <c r="EF307" s="549"/>
      <c r="EG307" s="675"/>
      <c r="EH307" s="549"/>
      <c r="EI307" s="675"/>
      <c r="EJ307" s="549"/>
      <c r="EK307" s="675"/>
      <c r="EL307" s="549"/>
      <c r="EM307" s="675"/>
      <c r="EN307" s="549"/>
      <c r="EO307" s="675"/>
      <c r="EP307" s="549"/>
      <c r="EQ307" s="675"/>
      <c r="ER307" s="549"/>
      <c r="ES307" s="675"/>
      <c r="ET307" s="549"/>
      <c r="EU307" s="675"/>
      <c r="EV307" s="549"/>
      <c r="EW307" s="675"/>
      <c r="EX307" s="549"/>
      <c r="EY307" s="675"/>
      <c r="EZ307" s="549"/>
      <c r="FA307" s="675"/>
      <c r="FB307" s="549"/>
      <c r="FC307" s="675"/>
      <c r="FD307" s="549"/>
      <c r="FE307" s="675"/>
      <c r="FF307" s="549"/>
      <c r="FG307" s="675"/>
      <c r="FH307" s="549"/>
      <c r="FI307" s="675"/>
      <c r="FJ307" s="549"/>
      <c r="FK307" s="675"/>
      <c r="FL307" s="549"/>
      <c r="FM307" s="675"/>
      <c r="FN307" s="549"/>
      <c r="FO307" s="675"/>
      <c r="FP307" s="549"/>
      <c r="FQ307" s="675"/>
      <c r="FR307" s="549"/>
      <c r="FS307" s="675"/>
      <c r="FT307" s="549"/>
      <c r="FU307" s="675"/>
      <c r="FV307" s="549"/>
      <c r="FW307" s="675"/>
      <c r="FX307" s="549"/>
      <c r="FY307" s="675"/>
      <c r="FZ307" s="549"/>
      <c r="GA307" s="675"/>
      <c r="GB307" s="549"/>
      <c r="GC307" s="675"/>
      <c r="GD307" s="549"/>
      <c r="GE307" s="675"/>
      <c r="GF307" s="549"/>
      <c r="GG307" s="675"/>
      <c r="GH307" s="549"/>
      <c r="GI307" s="675"/>
      <c r="GJ307" s="549"/>
      <c r="GK307" s="675"/>
      <c r="GL307" s="549"/>
      <c r="GM307" s="675"/>
      <c r="GN307" s="549"/>
      <c r="GO307" s="675"/>
      <c r="GP307" s="549"/>
      <c r="GQ307" s="675"/>
      <c r="GR307" s="74"/>
      <c r="GS307" s="74"/>
      <c r="GT307" s="549"/>
      <c r="GU307" s="73"/>
      <c r="GV307" s="73"/>
      <c r="GW307" s="549"/>
      <c r="GX307" s="549"/>
      <c r="GY307" s="73"/>
      <c r="GZ307" s="73"/>
      <c r="HA307" s="73"/>
      <c r="HB307" s="73"/>
      <c r="HC307" s="73"/>
      <c r="HD307" s="73"/>
      <c r="HE307" s="73"/>
      <c r="HF307" s="73"/>
      <c r="HG307" s="74"/>
      <c r="HH307" s="73"/>
      <c r="HI307" s="815"/>
      <c r="HJ307" s="73"/>
      <c r="HK307" s="815"/>
      <c r="HL307" s="73"/>
      <c r="HM307" s="815"/>
      <c r="HN307" s="73"/>
      <c r="HO307" s="815"/>
      <c r="HP307" s="73"/>
      <c r="HQ307" s="815"/>
      <c r="HR307" s="73"/>
      <c r="HS307" s="815"/>
      <c r="HT307" s="73"/>
      <c r="HU307" s="815"/>
      <c r="HV307" s="73"/>
      <c r="HW307" s="815"/>
      <c r="HX307" s="73"/>
      <c r="HY307" s="815"/>
      <c r="HZ307" s="73"/>
      <c r="IA307" s="815"/>
      <c r="IB307" s="73"/>
      <c r="IC307" s="815"/>
      <c r="ID307" s="73"/>
      <c r="IE307" s="815"/>
      <c r="IF307" s="841"/>
      <c r="IG307" s="263"/>
      <c r="IH307" s="842"/>
      <c r="II307" s="74"/>
      <c r="IJ307" s="74"/>
      <c r="IK307" s="74"/>
      <c r="IL307" s="74"/>
      <c r="IM307" s="74"/>
      <c r="IN307" s="74"/>
      <c r="IO307" s="74"/>
      <c r="IP307" s="74"/>
      <c r="IQ307" s="74"/>
      <c r="IR307" s="74"/>
      <c r="IS307" s="74"/>
      <c r="IT307" s="74"/>
      <c r="IU307" s="74"/>
      <c r="IV307" s="74"/>
      <c r="IW307" s="74"/>
      <c r="IX307" s="74"/>
      <c r="IY307" s="74"/>
      <c r="IZ307" s="74"/>
      <c r="JA307" s="74"/>
      <c r="JB307" s="74"/>
      <c r="JC307" s="74"/>
      <c r="JD307" s="74"/>
      <c r="JE307" s="74"/>
      <c r="JF307" s="74"/>
      <c r="JG307" s="74"/>
      <c r="JH307" s="74"/>
      <c r="JI307" s="74"/>
      <c r="JJ307" s="74"/>
      <c r="JK307" s="74"/>
      <c r="JL307" s="74"/>
      <c r="JM307" s="74"/>
      <c r="JN307" s="74"/>
      <c r="JO307" s="74"/>
      <c r="JP307" s="74"/>
      <c r="JQ307" s="74"/>
      <c r="JR307" s="74"/>
      <c r="JS307" s="74"/>
      <c r="JT307" s="382"/>
      <c r="JU307" s="665"/>
      <c r="JV307" s="524"/>
      <c r="JW307" s="525"/>
      <c r="JX307" s="548"/>
      <c r="JY307" s="548"/>
      <c r="JZ307" s="581">
        <f t="shared" si="9103"/>
        <v>0</v>
      </c>
      <c r="KA307" s="581">
        <f t="shared" si="9104"/>
        <v>0</v>
      </c>
      <c r="KB307" s="548"/>
      <c r="KC307" s="709">
        <f t="shared" si="9101"/>
        <v>0</v>
      </c>
      <c r="KD307" s="35"/>
      <c r="KE307" s="35"/>
      <c r="KF307" s="35"/>
      <c r="KG307" s="35"/>
      <c r="KH307" s="35"/>
      <c r="KI307" s="35"/>
      <c r="KJ307" s="35"/>
      <c r="KK307" s="35"/>
    </row>
    <row r="308" spans="1:297" s="10" customFormat="1" ht="12.75" hidden="1" customHeight="1">
      <c r="A308" s="71" t="s">
        <v>1083</v>
      </c>
      <c r="B308" s="77"/>
      <c r="C308" s="74">
        <f>+C310+C319+C322+C313+C326</f>
        <v>0</v>
      </c>
      <c r="D308" s="549">
        <f t="shared" ref="D308:E308" si="9456">+D310+D319+D322+D313</f>
        <v>0</v>
      </c>
      <c r="E308" s="675">
        <f t="shared" si="9456"/>
        <v>0</v>
      </c>
      <c r="F308" s="549">
        <f t="shared" ref="F308:G308" si="9457">+F310+F319+F322+F313</f>
        <v>0</v>
      </c>
      <c r="G308" s="675">
        <f t="shared" si="9457"/>
        <v>0</v>
      </c>
      <c r="H308" s="549">
        <f t="shared" ref="H308:I308" si="9458">+H310+H319+H322+H313</f>
        <v>0</v>
      </c>
      <c r="I308" s="675">
        <f t="shared" si="9458"/>
        <v>0</v>
      </c>
      <c r="J308" s="549">
        <f t="shared" ref="J308:K308" si="9459">+J310+J319+J322+J313</f>
        <v>0</v>
      </c>
      <c r="K308" s="675">
        <f t="shared" si="9459"/>
        <v>0</v>
      </c>
      <c r="L308" s="549">
        <f t="shared" ref="L308:M308" si="9460">+L310+L319+L322+L313</f>
        <v>0</v>
      </c>
      <c r="M308" s="675">
        <f t="shared" si="9460"/>
        <v>0</v>
      </c>
      <c r="N308" s="549">
        <f t="shared" ref="N308:O308" si="9461">+N310+N319+N322+N313</f>
        <v>0</v>
      </c>
      <c r="O308" s="675">
        <f t="shared" si="9461"/>
        <v>0</v>
      </c>
      <c r="P308" s="549">
        <f t="shared" ref="P308:Q308" si="9462">+P310+P319+P322+P313</f>
        <v>0</v>
      </c>
      <c r="Q308" s="675">
        <f t="shared" si="9462"/>
        <v>0</v>
      </c>
      <c r="R308" s="549">
        <f t="shared" ref="R308:S308" si="9463">+R310+R319+R322+R313</f>
        <v>0</v>
      </c>
      <c r="S308" s="675">
        <f t="shared" si="9463"/>
        <v>0</v>
      </c>
      <c r="T308" s="549">
        <f t="shared" ref="T308:U308" si="9464">+T310+T319+T322+T313</f>
        <v>0</v>
      </c>
      <c r="U308" s="675">
        <f t="shared" si="9464"/>
        <v>0</v>
      </c>
      <c r="V308" s="549">
        <f t="shared" ref="V308:W308" si="9465">+V310+V319+V322+V313</f>
        <v>0</v>
      </c>
      <c r="W308" s="675">
        <f t="shared" si="9465"/>
        <v>0</v>
      </c>
      <c r="X308" s="549">
        <f t="shared" ref="X308:Y308" si="9466">+X310+X319+X322+X313</f>
        <v>0</v>
      </c>
      <c r="Y308" s="675">
        <f t="shared" si="9466"/>
        <v>0</v>
      </c>
      <c r="Z308" s="549">
        <f t="shared" ref="Z308:AA308" si="9467">+Z310+Z319+Z322+Z313</f>
        <v>0</v>
      </c>
      <c r="AA308" s="675">
        <f t="shared" si="9467"/>
        <v>0</v>
      </c>
      <c r="AB308" s="549">
        <f t="shared" ref="AB308:AC308" si="9468">+AB310+AB319+AB322+AB313</f>
        <v>0</v>
      </c>
      <c r="AC308" s="675">
        <f t="shared" si="9468"/>
        <v>0</v>
      </c>
      <c r="AD308" s="549">
        <f t="shared" ref="AD308:AE308" si="9469">+AD310+AD319+AD322+AD313</f>
        <v>0</v>
      </c>
      <c r="AE308" s="675">
        <f t="shared" si="9469"/>
        <v>0</v>
      </c>
      <c r="AF308" s="549">
        <f t="shared" ref="AF308:AI308" si="9470">+AF310+AF319+AF322+AF313</f>
        <v>0</v>
      </c>
      <c r="AG308" s="675">
        <f t="shared" si="9470"/>
        <v>0</v>
      </c>
      <c r="AH308" s="549">
        <f t="shared" si="9470"/>
        <v>0</v>
      </c>
      <c r="AI308" s="675">
        <f t="shared" si="9470"/>
        <v>0</v>
      </c>
      <c r="AJ308" s="549">
        <f t="shared" ref="AJ308:AK308" si="9471">+AJ310+AJ319+AJ322+AJ313</f>
        <v>0</v>
      </c>
      <c r="AK308" s="675">
        <f t="shared" si="9471"/>
        <v>0</v>
      </c>
      <c r="AL308" s="549">
        <f t="shared" ref="AL308:AM308" si="9472">+AL310+AL319+AL322+AL313</f>
        <v>0</v>
      </c>
      <c r="AM308" s="675">
        <f t="shared" si="9472"/>
        <v>0</v>
      </c>
      <c r="AN308" s="549">
        <f t="shared" ref="AN308:AO308" si="9473">+AN310+AN319+AN322+AN313</f>
        <v>0</v>
      </c>
      <c r="AO308" s="675">
        <f t="shared" si="9473"/>
        <v>0</v>
      </c>
      <c r="AP308" s="549">
        <f t="shared" ref="AP308:AQ308" si="9474">+AP310+AP319+AP322+AP313</f>
        <v>0</v>
      </c>
      <c r="AQ308" s="675">
        <f t="shared" si="9474"/>
        <v>0</v>
      </c>
      <c r="AR308" s="549">
        <f t="shared" ref="AR308:AS308" si="9475">+AR310+AR319+AR322+AR313</f>
        <v>0</v>
      </c>
      <c r="AS308" s="675">
        <f t="shared" si="9475"/>
        <v>0</v>
      </c>
      <c r="AT308" s="549">
        <f t="shared" ref="AT308:AU308" si="9476">+AT310+AT319+AT322+AT313</f>
        <v>0</v>
      </c>
      <c r="AU308" s="675">
        <f t="shared" si="9476"/>
        <v>0</v>
      </c>
      <c r="AV308" s="549">
        <f t="shared" ref="AV308:AW308" si="9477">+AV310+AV319+AV322+AV313</f>
        <v>0</v>
      </c>
      <c r="AW308" s="675">
        <f t="shared" si="9477"/>
        <v>0</v>
      </c>
      <c r="AX308" s="549">
        <f t="shared" ref="AX308:AY308" si="9478">+AX310+AX319+AX322+AX313</f>
        <v>0</v>
      </c>
      <c r="AY308" s="675">
        <f t="shared" si="9478"/>
        <v>0</v>
      </c>
      <c r="AZ308" s="549">
        <f t="shared" ref="AZ308:BA308" si="9479">+AZ310+AZ319+AZ322+AZ313</f>
        <v>0</v>
      </c>
      <c r="BA308" s="675">
        <f t="shared" si="9479"/>
        <v>0</v>
      </c>
      <c r="BB308" s="549">
        <f t="shared" ref="BB308:BC308" si="9480">+BB310+BB319+BB322+BB313</f>
        <v>0</v>
      </c>
      <c r="BC308" s="675">
        <f t="shared" si="9480"/>
        <v>0</v>
      </c>
      <c r="BD308" s="549">
        <f t="shared" ref="BD308:BE308" si="9481">+BD310+BD319+BD322+BD313</f>
        <v>0</v>
      </c>
      <c r="BE308" s="675">
        <f t="shared" si="9481"/>
        <v>0</v>
      </c>
      <c r="BF308" s="549">
        <f t="shared" ref="BF308:BG308" si="9482">+BF310+BF319+BF322+BF313</f>
        <v>0</v>
      </c>
      <c r="BG308" s="675">
        <f t="shared" si="9482"/>
        <v>0</v>
      </c>
      <c r="BH308" s="549">
        <f t="shared" ref="BH308:BI308" si="9483">+BH310+BH319+BH322+BH313</f>
        <v>0</v>
      </c>
      <c r="BI308" s="675">
        <f t="shared" si="9483"/>
        <v>0</v>
      </c>
      <c r="BJ308" s="549">
        <f t="shared" ref="BJ308:BK308" si="9484">+BJ310+BJ319+BJ322+BJ313</f>
        <v>0</v>
      </c>
      <c r="BK308" s="675">
        <f t="shared" si="9484"/>
        <v>0</v>
      </c>
      <c r="BL308" s="549">
        <f t="shared" ref="BL308:BM308" si="9485">+BL310+BL319+BL322+BL313</f>
        <v>0</v>
      </c>
      <c r="BM308" s="675">
        <f t="shared" si="9485"/>
        <v>0</v>
      </c>
      <c r="BN308" s="549">
        <f t="shared" ref="BN308:BO308" si="9486">+BN310+BN319+BN322+BN313</f>
        <v>0</v>
      </c>
      <c r="BO308" s="675">
        <f t="shared" si="9486"/>
        <v>0</v>
      </c>
      <c r="BP308" s="549">
        <f t="shared" ref="BP308:BQ308" si="9487">+BP310+BP319+BP322+BP313</f>
        <v>0</v>
      </c>
      <c r="BQ308" s="675">
        <f t="shared" si="9487"/>
        <v>0</v>
      </c>
      <c r="BR308" s="549">
        <f t="shared" ref="BR308:BS308" si="9488">+BR310+BR319+BR322+BR313</f>
        <v>0</v>
      </c>
      <c r="BS308" s="675">
        <f t="shared" si="9488"/>
        <v>0</v>
      </c>
      <c r="BT308" s="549">
        <f t="shared" ref="BT308:BU308" si="9489">+BT310+BT319+BT322+BT313</f>
        <v>0</v>
      </c>
      <c r="BU308" s="675">
        <f t="shared" si="9489"/>
        <v>0</v>
      </c>
      <c r="BV308" s="549">
        <f t="shared" ref="BV308:BW308" si="9490">+BV310+BV319+BV322+BV313</f>
        <v>0</v>
      </c>
      <c r="BW308" s="675">
        <f t="shared" si="9490"/>
        <v>0</v>
      </c>
      <c r="BX308" s="549">
        <f t="shared" ref="BX308:BY308" si="9491">+BX310+BX319+BX322+BX313</f>
        <v>0</v>
      </c>
      <c r="BY308" s="675">
        <f t="shared" si="9491"/>
        <v>0</v>
      </c>
      <c r="BZ308" s="549">
        <f t="shared" ref="BZ308:CA308" si="9492">+BZ310+BZ319+BZ322+BZ313</f>
        <v>0</v>
      </c>
      <c r="CA308" s="675">
        <f t="shared" si="9492"/>
        <v>0</v>
      </c>
      <c r="CB308" s="549">
        <f t="shared" ref="CB308:CC308" si="9493">+CB310+CB319+CB322+CB313</f>
        <v>0</v>
      </c>
      <c r="CC308" s="675">
        <f t="shared" si="9493"/>
        <v>0</v>
      </c>
      <c r="CD308" s="549">
        <f t="shared" ref="CD308:CE308" si="9494">+CD310+CD319+CD322+CD313</f>
        <v>0</v>
      </c>
      <c r="CE308" s="675">
        <f t="shared" si="9494"/>
        <v>0</v>
      </c>
      <c r="CF308" s="549">
        <f t="shared" ref="CF308:CG308" si="9495">+CF310+CF319+CF322+CF313</f>
        <v>0</v>
      </c>
      <c r="CG308" s="675">
        <f t="shared" si="9495"/>
        <v>0</v>
      </c>
      <c r="CH308" s="549">
        <f t="shared" ref="CH308:CI308" si="9496">+CH310+CH319+CH322+CH313</f>
        <v>0</v>
      </c>
      <c r="CI308" s="675">
        <f t="shared" si="9496"/>
        <v>0</v>
      </c>
      <c r="CJ308" s="549">
        <f t="shared" ref="CJ308:CK308" si="9497">+CJ310+CJ319+CJ322+CJ313</f>
        <v>0</v>
      </c>
      <c r="CK308" s="675">
        <f t="shared" si="9497"/>
        <v>0</v>
      </c>
      <c r="CL308" s="549">
        <f t="shared" ref="CL308:CM308" si="9498">+CL310+CL319+CL322+CL313</f>
        <v>0</v>
      </c>
      <c r="CM308" s="675">
        <f t="shared" si="9498"/>
        <v>0</v>
      </c>
      <c r="CN308" s="549">
        <f t="shared" ref="CN308:CO308" si="9499">+CN310+CN319+CN322+CN313</f>
        <v>0</v>
      </c>
      <c r="CO308" s="675">
        <f t="shared" si="9499"/>
        <v>0</v>
      </c>
      <c r="CP308" s="549">
        <f t="shared" ref="CP308:CQ308" si="9500">+CP310+CP319+CP322+CP313</f>
        <v>0</v>
      </c>
      <c r="CQ308" s="675">
        <f t="shared" si="9500"/>
        <v>0</v>
      </c>
      <c r="CR308" s="549">
        <f t="shared" ref="CR308:CS308" si="9501">+CR310+CR319+CR322+CR313</f>
        <v>0</v>
      </c>
      <c r="CS308" s="675">
        <f t="shared" si="9501"/>
        <v>0</v>
      </c>
      <c r="CT308" s="549">
        <f t="shared" ref="CT308:CU308" si="9502">+CT310+CT319+CT322+CT313</f>
        <v>0</v>
      </c>
      <c r="CU308" s="675">
        <f t="shared" si="9502"/>
        <v>0</v>
      </c>
      <c r="CV308" s="549">
        <f t="shared" ref="CV308:CW308" si="9503">+CV310+CV319+CV322+CV313</f>
        <v>0</v>
      </c>
      <c r="CW308" s="675">
        <f t="shared" si="9503"/>
        <v>0</v>
      </c>
      <c r="CX308" s="549">
        <f t="shared" ref="CX308:CY308" si="9504">+CX310+CX319+CX322+CX313</f>
        <v>0</v>
      </c>
      <c r="CY308" s="675">
        <f t="shared" si="9504"/>
        <v>0</v>
      </c>
      <c r="CZ308" s="549">
        <f t="shared" ref="CZ308:DA308" si="9505">+CZ310+CZ319+CZ322+CZ313</f>
        <v>0</v>
      </c>
      <c r="DA308" s="675">
        <f t="shared" si="9505"/>
        <v>0</v>
      </c>
      <c r="DB308" s="549">
        <f t="shared" ref="DB308:DC308" si="9506">+DB310+DB319+DB322+DB313</f>
        <v>0</v>
      </c>
      <c r="DC308" s="675">
        <f t="shared" si="9506"/>
        <v>0</v>
      </c>
      <c r="DD308" s="549">
        <f t="shared" ref="DD308:DE308" si="9507">+DD310+DD319+DD322+DD313</f>
        <v>0</v>
      </c>
      <c r="DE308" s="675">
        <f t="shared" si="9507"/>
        <v>0</v>
      </c>
      <c r="DF308" s="549">
        <f t="shared" ref="DF308:DG308" si="9508">+DF310+DF319+DF322+DF313</f>
        <v>0</v>
      </c>
      <c r="DG308" s="675">
        <f t="shared" si="9508"/>
        <v>0</v>
      </c>
      <c r="DH308" s="549">
        <f t="shared" ref="DH308:DI308" si="9509">+DH310+DH319+DH322+DH313</f>
        <v>0</v>
      </c>
      <c r="DI308" s="675">
        <f t="shared" si="9509"/>
        <v>0</v>
      </c>
      <c r="DJ308" s="549">
        <f t="shared" ref="DJ308:DK308" si="9510">+DJ310+DJ319+DJ322+DJ313</f>
        <v>0</v>
      </c>
      <c r="DK308" s="675">
        <f t="shared" si="9510"/>
        <v>0</v>
      </c>
      <c r="DL308" s="549">
        <f t="shared" ref="DL308:DM308" si="9511">+DL310+DL319+DL322+DL313</f>
        <v>0</v>
      </c>
      <c r="DM308" s="675">
        <f t="shared" si="9511"/>
        <v>0</v>
      </c>
      <c r="DN308" s="549">
        <f t="shared" ref="DN308:DO308" si="9512">+DN310+DN319+DN322+DN313</f>
        <v>0</v>
      </c>
      <c r="DO308" s="675">
        <f t="shared" si="9512"/>
        <v>0</v>
      </c>
      <c r="DP308" s="549">
        <f t="shared" ref="DP308:DQ308" si="9513">+DP310+DP319+DP322+DP313</f>
        <v>0</v>
      </c>
      <c r="DQ308" s="675">
        <f t="shared" si="9513"/>
        <v>0</v>
      </c>
      <c r="DR308" s="549">
        <f t="shared" ref="DR308:DS308" si="9514">+DR310+DR319+DR322+DR313</f>
        <v>0</v>
      </c>
      <c r="DS308" s="675">
        <f t="shared" si="9514"/>
        <v>0</v>
      </c>
      <c r="DT308" s="549">
        <f t="shared" ref="DT308:DU308" si="9515">+DT310+DT319+DT322+DT313</f>
        <v>0</v>
      </c>
      <c r="DU308" s="675">
        <f t="shared" si="9515"/>
        <v>0</v>
      </c>
      <c r="DV308" s="549">
        <f t="shared" ref="DV308:DW308" si="9516">+DV310+DV319+DV322+DV313</f>
        <v>0</v>
      </c>
      <c r="DW308" s="675">
        <f t="shared" si="9516"/>
        <v>0</v>
      </c>
      <c r="DX308" s="549">
        <f t="shared" ref="DX308:DY308" si="9517">+DX310+DX319+DX322+DX313</f>
        <v>0</v>
      </c>
      <c r="DY308" s="675">
        <f t="shared" si="9517"/>
        <v>0</v>
      </c>
      <c r="DZ308" s="549">
        <f t="shared" ref="DZ308:EA308" si="9518">+DZ310+DZ319+DZ322+DZ313</f>
        <v>0</v>
      </c>
      <c r="EA308" s="675">
        <f t="shared" si="9518"/>
        <v>0</v>
      </c>
      <c r="EB308" s="549">
        <f t="shared" ref="EB308:EC308" si="9519">+EB310+EB319+EB322+EB313</f>
        <v>0</v>
      </c>
      <c r="EC308" s="675">
        <f t="shared" si="9519"/>
        <v>0</v>
      </c>
      <c r="ED308" s="549">
        <f t="shared" ref="ED308:EE308" si="9520">+ED310+ED319+ED322+ED313</f>
        <v>0</v>
      </c>
      <c r="EE308" s="675">
        <f t="shared" si="9520"/>
        <v>0</v>
      </c>
      <c r="EF308" s="549">
        <f t="shared" ref="EF308:EG308" si="9521">+EF310+EF319+EF322+EF313</f>
        <v>0</v>
      </c>
      <c r="EG308" s="675">
        <f t="shared" si="9521"/>
        <v>0</v>
      </c>
      <c r="EH308" s="549">
        <f t="shared" ref="EH308:EI308" si="9522">+EH310+EH319+EH322+EH313</f>
        <v>0</v>
      </c>
      <c r="EI308" s="675">
        <f t="shared" si="9522"/>
        <v>0</v>
      </c>
      <c r="EJ308" s="549">
        <f t="shared" ref="EJ308:EK308" si="9523">+EJ310+EJ319+EJ322+EJ313</f>
        <v>0</v>
      </c>
      <c r="EK308" s="675">
        <f t="shared" si="9523"/>
        <v>0</v>
      </c>
      <c r="EL308" s="549">
        <f t="shared" ref="EL308:EM308" si="9524">+EL310+EL319+EL322+EL313</f>
        <v>0</v>
      </c>
      <c r="EM308" s="675">
        <f t="shared" si="9524"/>
        <v>0</v>
      </c>
      <c r="EN308" s="549">
        <f t="shared" ref="EN308:EO308" si="9525">+EN310+EN319+EN322+EN313</f>
        <v>0</v>
      </c>
      <c r="EO308" s="675">
        <f t="shared" si="9525"/>
        <v>0</v>
      </c>
      <c r="EP308" s="549">
        <f t="shared" ref="EP308:EQ308" si="9526">+EP310+EP319+EP322+EP313</f>
        <v>0</v>
      </c>
      <c r="EQ308" s="675">
        <f t="shared" si="9526"/>
        <v>0</v>
      </c>
      <c r="ER308" s="549">
        <f t="shared" ref="ER308:ES308" si="9527">+ER310+ER319+ER322+ER313</f>
        <v>0</v>
      </c>
      <c r="ES308" s="675">
        <f t="shared" si="9527"/>
        <v>0</v>
      </c>
      <c r="ET308" s="549">
        <f t="shared" ref="ET308:EU308" si="9528">+ET310+ET319+ET322+ET313</f>
        <v>0</v>
      </c>
      <c r="EU308" s="675">
        <f t="shared" si="9528"/>
        <v>0</v>
      </c>
      <c r="EV308" s="549">
        <f t="shared" ref="EV308:EW308" si="9529">+EV310+EV319+EV322+EV313</f>
        <v>0</v>
      </c>
      <c r="EW308" s="675">
        <f t="shared" si="9529"/>
        <v>0</v>
      </c>
      <c r="EX308" s="549">
        <f t="shared" ref="EX308:EY308" si="9530">+EX310+EX319+EX322+EX313</f>
        <v>25600</v>
      </c>
      <c r="EY308" s="675">
        <f t="shared" si="9530"/>
        <v>0</v>
      </c>
      <c r="EZ308" s="549">
        <f t="shared" ref="EZ308:FA308" si="9531">+EZ310+EZ319+EZ322+EZ313</f>
        <v>0</v>
      </c>
      <c r="FA308" s="675">
        <f t="shared" si="9531"/>
        <v>0</v>
      </c>
      <c r="FB308" s="549">
        <f t="shared" ref="FB308:FC308" si="9532">+FB310+FB319+FB322+FB313</f>
        <v>0</v>
      </c>
      <c r="FC308" s="675">
        <f t="shared" si="9532"/>
        <v>0</v>
      </c>
      <c r="FD308" s="549">
        <f t="shared" ref="FD308:FE308" si="9533">+FD310+FD319+FD322+FD313</f>
        <v>0</v>
      </c>
      <c r="FE308" s="675">
        <f t="shared" si="9533"/>
        <v>0</v>
      </c>
      <c r="FF308" s="549">
        <f t="shared" ref="FF308:FG308" si="9534">+FF310+FF319+FF322+FF313</f>
        <v>0</v>
      </c>
      <c r="FG308" s="675">
        <f t="shared" si="9534"/>
        <v>0</v>
      </c>
      <c r="FH308" s="549">
        <f t="shared" ref="FH308:FI308" si="9535">+FH310+FH319+FH322+FH313</f>
        <v>0</v>
      </c>
      <c r="FI308" s="675">
        <f t="shared" si="9535"/>
        <v>0</v>
      </c>
      <c r="FJ308" s="549">
        <f t="shared" ref="FJ308:FK308" si="9536">+FJ310+FJ319+FJ322+FJ313</f>
        <v>0</v>
      </c>
      <c r="FK308" s="675">
        <f t="shared" si="9536"/>
        <v>0</v>
      </c>
      <c r="FL308" s="549">
        <f t="shared" ref="FL308:FM308" si="9537">+FL310+FL319+FL322+FL313</f>
        <v>0</v>
      </c>
      <c r="FM308" s="675">
        <f t="shared" si="9537"/>
        <v>0</v>
      </c>
      <c r="FN308" s="549">
        <f t="shared" ref="FN308:FO308" si="9538">+FN310+FN319+FN322+FN313</f>
        <v>0</v>
      </c>
      <c r="FO308" s="675">
        <f t="shared" si="9538"/>
        <v>0</v>
      </c>
      <c r="FP308" s="549">
        <f t="shared" ref="FP308:FQ308" si="9539">+FP310+FP319+FP322+FP313</f>
        <v>0</v>
      </c>
      <c r="FQ308" s="675">
        <f t="shared" si="9539"/>
        <v>0</v>
      </c>
      <c r="FR308" s="549">
        <f t="shared" ref="FR308:FS308" si="9540">+FR310+FR319+FR322+FR313</f>
        <v>0</v>
      </c>
      <c r="FS308" s="675">
        <f t="shared" si="9540"/>
        <v>0</v>
      </c>
      <c r="FT308" s="549">
        <f t="shared" ref="FT308:FU308" si="9541">+FT310+FT319+FT322+FT313</f>
        <v>0</v>
      </c>
      <c r="FU308" s="675">
        <f t="shared" si="9541"/>
        <v>0</v>
      </c>
      <c r="FV308" s="549">
        <f t="shared" ref="FV308:GK308" si="9542">+FV310+FV319+FV322+FV313</f>
        <v>0</v>
      </c>
      <c r="FW308" s="675">
        <f t="shared" si="9542"/>
        <v>0</v>
      </c>
      <c r="FX308" s="549">
        <f t="shared" si="9542"/>
        <v>0</v>
      </c>
      <c r="FY308" s="675">
        <f t="shared" si="9542"/>
        <v>0</v>
      </c>
      <c r="FZ308" s="549">
        <f t="shared" ref="FZ308:GI308" si="9543">+FZ310+FZ319+FZ322+FZ313</f>
        <v>0</v>
      </c>
      <c r="GA308" s="675">
        <f t="shared" si="9543"/>
        <v>0</v>
      </c>
      <c r="GB308" s="549">
        <f t="shared" si="9543"/>
        <v>0</v>
      </c>
      <c r="GC308" s="675">
        <f t="shared" si="9543"/>
        <v>0</v>
      </c>
      <c r="GD308" s="549">
        <f t="shared" si="9543"/>
        <v>0</v>
      </c>
      <c r="GE308" s="675">
        <f t="shared" si="9543"/>
        <v>0</v>
      </c>
      <c r="GF308" s="549">
        <f t="shared" si="9543"/>
        <v>0</v>
      </c>
      <c r="GG308" s="675">
        <f t="shared" si="9543"/>
        <v>0</v>
      </c>
      <c r="GH308" s="549">
        <f t="shared" si="9543"/>
        <v>0</v>
      </c>
      <c r="GI308" s="675">
        <f t="shared" si="9543"/>
        <v>0</v>
      </c>
      <c r="GJ308" s="549">
        <f t="shared" si="9542"/>
        <v>0</v>
      </c>
      <c r="GK308" s="675">
        <f t="shared" si="9542"/>
        <v>0</v>
      </c>
      <c r="GL308" s="549">
        <f t="shared" ref="GL308:GM308" si="9544">+GL310+GL319+GL322+GL313</f>
        <v>0</v>
      </c>
      <c r="GM308" s="675">
        <f t="shared" si="9544"/>
        <v>0</v>
      </c>
      <c r="GN308" s="549">
        <f t="shared" ref="GN308:GO308" si="9545">+GN310+GN319+GN322+GN313</f>
        <v>0</v>
      </c>
      <c r="GO308" s="675">
        <f t="shared" si="9545"/>
        <v>0</v>
      </c>
      <c r="GP308" s="549">
        <f>+GP310+GP319+GP322+GP313+GP326+GP316</f>
        <v>25600</v>
      </c>
      <c r="GQ308" s="675">
        <f>+GQ310+GQ319+GQ322+GQ313+GQ326+GQ316</f>
        <v>0</v>
      </c>
      <c r="GR308" s="74">
        <f>+GR310+GR319+GR322+GR313+GR326+GR316</f>
        <v>25600</v>
      </c>
      <c r="GS308" s="74">
        <f>+GS310+GS319+GS322+GS313+GS326+GS316</f>
        <v>25600</v>
      </c>
      <c r="GT308" s="74">
        <f>+GT313+GT319+GT322+GT326</f>
        <v>0</v>
      </c>
      <c r="GU308" s="74">
        <f t="shared" ref="GU308:HF308" si="9546">+GU310+GU319+GU322</f>
        <v>0</v>
      </c>
      <c r="GV308" s="74">
        <f t="shared" si="9546"/>
        <v>0</v>
      </c>
      <c r="GW308" s="74">
        <f t="shared" si="9546"/>
        <v>0</v>
      </c>
      <c r="GX308" s="74">
        <f t="shared" si="9546"/>
        <v>0</v>
      </c>
      <c r="GY308" s="74">
        <f t="shared" si="9546"/>
        <v>0</v>
      </c>
      <c r="GZ308" s="74">
        <f t="shared" si="9546"/>
        <v>0</v>
      </c>
      <c r="HA308" s="74">
        <f t="shared" si="9546"/>
        <v>0</v>
      </c>
      <c r="HB308" s="74">
        <f t="shared" si="9546"/>
        <v>0</v>
      </c>
      <c r="HC308" s="74">
        <f t="shared" si="9546"/>
        <v>0</v>
      </c>
      <c r="HD308" s="74">
        <f t="shared" si="9546"/>
        <v>0</v>
      </c>
      <c r="HE308" s="74">
        <f t="shared" si="9546"/>
        <v>0</v>
      </c>
      <c r="HF308" s="74">
        <f t="shared" si="9546"/>
        <v>0</v>
      </c>
      <c r="HG308" s="74">
        <f>+HG310+HG319+HG322+HG313+HG326+HG316</f>
        <v>25600</v>
      </c>
      <c r="HH308" s="74">
        <f t="shared" ref="HH308:IE308" si="9547">+HH310+HH319+HH322</f>
        <v>0</v>
      </c>
      <c r="HI308" s="792">
        <f t="shared" si="9547"/>
        <v>0</v>
      </c>
      <c r="HJ308" s="74">
        <f t="shared" si="9547"/>
        <v>0</v>
      </c>
      <c r="HK308" s="792">
        <f t="shared" si="9547"/>
        <v>0</v>
      </c>
      <c r="HL308" s="74">
        <f t="shared" si="9547"/>
        <v>0</v>
      </c>
      <c r="HM308" s="792">
        <f t="shared" si="9547"/>
        <v>0</v>
      </c>
      <c r="HN308" s="74">
        <f t="shared" si="9547"/>
        <v>0</v>
      </c>
      <c r="HO308" s="792">
        <f t="shared" si="9547"/>
        <v>0</v>
      </c>
      <c r="HP308" s="74">
        <f t="shared" si="9547"/>
        <v>0</v>
      </c>
      <c r="HQ308" s="792">
        <f t="shared" si="9547"/>
        <v>0</v>
      </c>
      <c r="HR308" s="74">
        <f t="shared" si="9547"/>
        <v>0</v>
      </c>
      <c r="HS308" s="792">
        <f t="shared" si="9547"/>
        <v>0</v>
      </c>
      <c r="HT308" s="74">
        <f t="shared" si="9547"/>
        <v>0</v>
      </c>
      <c r="HU308" s="792">
        <f t="shared" si="9547"/>
        <v>0</v>
      </c>
      <c r="HV308" s="74">
        <f t="shared" si="9547"/>
        <v>0</v>
      </c>
      <c r="HW308" s="792">
        <f t="shared" si="9547"/>
        <v>0</v>
      </c>
      <c r="HX308" s="74">
        <f t="shared" si="9547"/>
        <v>0</v>
      </c>
      <c r="HY308" s="792">
        <f t="shared" si="9547"/>
        <v>0</v>
      </c>
      <c r="HZ308" s="74">
        <f t="shared" si="9547"/>
        <v>0</v>
      </c>
      <c r="IA308" s="792">
        <f t="shared" si="9547"/>
        <v>0</v>
      </c>
      <c r="IB308" s="74">
        <f t="shared" si="9547"/>
        <v>0</v>
      </c>
      <c r="IC308" s="792">
        <f t="shared" si="9547"/>
        <v>0</v>
      </c>
      <c r="ID308" s="74">
        <f t="shared" si="9547"/>
        <v>0</v>
      </c>
      <c r="IE308" s="792">
        <f t="shared" si="9547"/>
        <v>0</v>
      </c>
      <c r="IF308" s="841">
        <f>+IF310+IF319+IF322+IF313+IF326+IF316</f>
        <v>25127.279999999999</v>
      </c>
      <c r="IG308" s="263">
        <f>+IG310+IG319+IG322+IG313+IG326+IG316</f>
        <v>25127.279999999999</v>
      </c>
      <c r="IH308" s="842">
        <f>+IH310+IH319+IH322+IH313+IH326+IH316</f>
        <v>25127.279999999999</v>
      </c>
      <c r="II308" s="155">
        <f t="shared" ref="II308:IK308" si="9548">+II310+II319+II322+II313+II316+II326</f>
        <v>0</v>
      </c>
      <c r="IJ308" s="155">
        <f t="shared" si="9548"/>
        <v>0</v>
      </c>
      <c r="IK308" s="155">
        <f t="shared" si="9548"/>
        <v>0</v>
      </c>
      <c r="IL308" s="155">
        <f t="shared" ref="IL308:IN308" si="9549">+IL310+IL319+IL322+IL313+IL316+IL326</f>
        <v>0</v>
      </c>
      <c r="IM308" s="155">
        <f t="shared" si="9549"/>
        <v>0</v>
      </c>
      <c r="IN308" s="155">
        <f t="shared" si="9549"/>
        <v>0</v>
      </c>
      <c r="IO308" s="155">
        <f t="shared" ref="IO308:IQ308" si="9550">+IO310+IO319+IO322+IO313+IO316+IO326</f>
        <v>0</v>
      </c>
      <c r="IP308" s="155">
        <f t="shared" si="9550"/>
        <v>0</v>
      </c>
      <c r="IQ308" s="155">
        <f t="shared" si="9550"/>
        <v>0</v>
      </c>
      <c r="IR308" s="155">
        <f t="shared" ref="IR308:IT308" si="9551">+IR310+IR319+IR322+IR313+IR316+IR326</f>
        <v>0</v>
      </c>
      <c r="IS308" s="155">
        <f t="shared" si="9551"/>
        <v>0</v>
      </c>
      <c r="IT308" s="155">
        <f t="shared" si="9551"/>
        <v>0</v>
      </c>
      <c r="IU308" s="155">
        <f t="shared" ref="IU308:IW308" si="9552">+IU310+IU319+IU322+IU313+IU316+IU326</f>
        <v>0</v>
      </c>
      <c r="IV308" s="155">
        <f t="shared" si="9552"/>
        <v>0</v>
      </c>
      <c r="IW308" s="155">
        <f t="shared" si="9552"/>
        <v>0</v>
      </c>
      <c r="IX308" s="155">
        <f t="shared" ref="IX308:IZ308" si="9553">+IX310+IX319+IX322+IX313+IX316+IX326</f>
        <v>0</v>
      </c>
      <c r="IY308" s="155">
        <f t="shared" si="9553"/>
        <v>0</v>
      </c>
      <c r="IZ308" s="155">
        <f t="shared" si="9553"/>
        <v>0</v>
      </c>
      <c r="JA308" s="155">
        <f t="shared" ref="JA308:JC308" si="9554">+JA310+JA319+JA322+JA313+JA316+JA326</f>
        <v>0</v>
      </c>
      <c r="JB308" s="155">
        <f t="shared" si="9554"/>
        <v>0</v>
      </c>
      <c r="JC308" s="155">
        <f t="shared" si="9554"/>
        <v>0</v>
      </c>
      <c r="JD308" s="155">
        <f t="shared" ref="JD308:JF308" si="9555">+JD310+JD319+JD322+JD313+JD316+JD326</f>
        <v>0</v>
      </c>
      <c r="JE308" s="155">
        <f t="shared" si="9555"/>
        <v>0</v>
      </c>
      <c r="JF308" s="155">
        <f t="shared" si="9555"/>
        <v>0</v>
      </c>
      <c r="JG308" s="155">
        <f t="shared" ref="JG308:JI308" si="9556">+JG310+JG319+JG322+JG313+JG316+JG326</f>
        <v>0</v>
      </c>
      <c r="JH308" s="155">
        <f t="shared" si="9556"/>
        <v>0</v>
      </c>
      <c r="JI308" s="155">
        <f t="shared" si="9556"/>
        <v>0</v>
      </c>
      <c r="JJ308" s="155">
        <f t="shared" ref="JJ308:JL308" si="9557">+JJ310+JJ319+JJ322+JJ313+JJ316+JJ326</f>
        <v>25127.279999999999</v>
      </c>
      <c r="JK308" s="155">
        <f t="shared" si="9557"/>
        <v>25127.279999999999</v>
      </c>
      <c r="JL308" s="155">
        <f t="shared" si="9557"/>
        <v>25127.279999999999</v>
      </c>
      <c r="JM308" s="155">
        <f t="shared" ref="JM308:JO308" si="9558">+JM310+JM319+JM322+JM313+JM316+JM326</f>
        <v>0</v>
      </c>
      <c r="JN308" s="155">
        <f t="shared" si="9558"/>
        <v>0</v>
      </c>
      <c r="JO308" s="155">
        <f t="shared" si="9558"/>
        <v>0</v>
      </c>
      <c r="JP308" s="155">
        <f t="shared" ref="JP308:JR308" si="9559">+JP310+JP319+JP322+JP313+JP316+JP326</f>
        <v>0</v>
      </c>
      <c r="JQ308" s="155">
        <f t="shared" si="9559"/>
        <v>0</v>
      </c>
      <c r="JR308" s="155">
        <f t="shared" si="9559"/>
        <v>0</v>
      </c>
      <c r="JS308" s="74">
        <f>+JS313+JS319+JS322+JS326+JS316</f>
        <v>472.72000000000116</v>
      </c>
      <c r="JT308" s="74">
        <f>+JT313+JT319+JT322+JT326+JT316</f>
        <v>472.72000000000116</v>
      </c>
      <c r="JU308" s="665"/>
      <c r="JV308" s="524"/>
      <c r="JW308" s="525"/>
      <c r="JX308" s="74">
        <f>+JX310+JX319+JX322+JX313+JX326+JX316</f>
        <v>0</v>
      </c>
      <c r="JY308" s="74">
        <f>+JY310+JY319+JY322+JY313+JY326+JY316</f>
        <v>0</v>
      </c>
      <c r="JZ308" s="581">
        <f>GP308</f>
        <v>25600</v>
      </c>
      <c r="KA308" s="581">
        <f>GQ308</f>
        <v>0</v>
      </c>
      <c r="KB308" s="74">
        <f>+KB310+KB319+KB322+KB313+KB326+KB316</f>
        <v>25600</v>
      </c>
      <c r="KC308" s="709">
        <f t="shared" si="9101"/>
        <v>0</v>
      </c>
      <c r="KD308" s="35"/>
      <c r="KE308" s="35"/>
      <c r="KF308" s="35"/>
      <c r="KG308" s="35"/>
      <c r="KH308" s="35"/>
      <c r="KI308" s="35"/>
      <c r="KJ308" s="35"/>
      <c r="KK308" s="35"/>
    </row>
    <row r="309" spans="1:297" s="10" customFormat="1" ht="12.75" hidden="1" customHeight="1">
      <c r="A309" s="86"/>
      <c r="B309" s="77"/>
      <c r="C309" s="74"/>
      <c r="D309" s="549"/>
      <c r="E309" s="675"/>
      <c r="F309" s="549"/>
      <c r="G309" s="675"/>
      <c r="H309" s="549"/>
      <c r="I309" s="675"/>
      <c r="J309" s="549"/>
      <c r="K309" s="675"/>
      <c r="L309" s="549"/>
      <c r="M309" s="675"/>
      <c r="N309" s="549"/>
      <c r="O309" s="675"/>
      <c r="P309" s="549"/>
      <c r="Q309" s="675"/>
      <c r="R309" s="549"/>
      <c r="S309" s="675"/>
      <c r="T309" s="549"/>
      <c r="U309" s="675"/>
      <c r="V309" s="549"/>
      <c r="W309" s="675"/>
      <c r="X309" s="549"/>
      <c r="Y309" s="675"/>
      <c r="Z309" s="549"/>
      <c r="AA309" s="675"/>
      <c r="AB309" s="549"/>
      <c r="AC309" s="675"/>
      <c r="AD309" s="549"/>
      <c r="AE309" s="675"/>
      <c r="AF309" s="549"/>
      <c r="AG309" s="675"/>
      <c r="AH309" s="549"/>
      <c r="AI309" s="675"/>
      <c r="AJ309" s="549"/>
      <c r="AK309" s="675"/>
      <c r="AL309" s="549"/>
      <c r="AM309" s="675"/>
      <c r="AN309" s="549"/>
      <c r="AO309" s="675"/>
      <c r="AP309" s="549"/>
      <c r="AQ309" s="675"/>
      <c r="AR309" s="549"/>
      <c r="AS309" s="675"/>
      <c r="AT309" s="549"/>
      <c r="AU309" s="675"/>
      <c r="AV309" s="549"/>
      <c r="AW309" s="675"/>
      <c r="AX309" s="549"/>
      <c r="AY309" s="675"/>
      <c r="AZ309" s="549"/>
      <c r="BA309" s="675"/>
      <c r="BB309" s="549"/>
      <c r="BC309" s="675"/>
      <c r="BD309" s="549"/>
      <c r="BE309" s="675"/>
      <c r="BF309" s="549"/>
      <c r="BG309" s="675"/>
      <c r="BH309" s="549"/>
      <c r="BI309" s="675"/>
      <c r="BJ309" s="549"/>
      <c r="BK309" s="675"/>
      <c r="BL309" s="549"/>
      <c r="BM309" s="675"/>
      <c r="BN309" s="549"/>
      <c r="BO309" s="675"/>
      <c r="BP309" s="549"/>
      <c r="BQ309" s="675"/>
      <c r="BR309" s="549"/>
      <c r="BS309" s="675"/>
      <c r="BT309" s="549"/>
      <c r="BU309" s="675"/>
      <c r="BV309" s="549"/>
      <c r="BW309" s="675"/>
      <c r="BX309" s="549"/>
      <c r="BY309" s="675"/>
      <c r="BZ309" s="549"/>
      <c r="CA309" s="675"/>
      <c r="CB309" s="549"/>
      <c r="CC309" s="675"/>
      <c r="CD309" s="549"/>
      <c r="CE309" s="675"/>
      <c r="CF309" s="549"/>
      <c r="CG309" s="675"/>
      <c r="CH309" s="549"/>
      <c r="CI309" s="675"/>
      <c r="CJ309" s="549"/>
      <c r="CK309" s="675"/>
      <c r="CL309" s="549"/>
      <c r="CM309" s="675"/>
      <c r="CN309" s="549"/>
      <c r="CO309" s="675"/>
      <c r="CP309" s="549"/>
      <c r="CQ309" s="675"/>
      <c r="CR309" s="549"/>
      <c r="CS309" s="675"/>
      <c r="CT309" s="549"/>
      <c r="CU309" s="675"/>
      <c r="CV309" s="549"/>
      <c r="CW309" s="675"/>
      <c r="CX309" s="549"/>
      <c r="CY309" s="675"/>
      <c r="CZ309" s="549"/>
      <c r="DA309" s="675"/>
      <c r="DB309" s="549"/>
      <c r="DC309" s="675"/>
      <c r="DD309" s="549"/>
      <c r="DE309" s="675"/>
      <c r="DF309" s="549"/>
      <c r="DG309" s="675"/>
      <c r="DH309" s="549"/>
      <c r="DI309" s="675"/>
      <c r="DJ309" s="549"/>
      <c r="DK309" s="675"/>
      <c r="DL309" s="549"/>
      <c r="DM309" s="675"/>
      <c r="DN309" s="549"/>
      <c r="DO309" s="675"/>
      <c r="DP309" s="549"/>
      <c r="DQ309" s="675"/>
      <c r="DR309" s="549"/>
      <c r="DS309" s="675"/>
      <c r="DT309" s="549"/>
      <c r="DU309" s="675"/>
      <c r="DV309" s="549"/>
      <c r="DW309" s="675"/>
      <c r="DX309" s="549"/>
      <c r="DY309" s="675"/>
      <c r="DZ309" s="549"/>
      <c r="EA309" s="675"/>
      <c r="EB309" s="549"/>
      <c r="EC309" s="675"/>
      <c r="ED309" s="549"/>
      <c r="EE309" s="675"/>
      <c r="EF309" s="549"/>
      <c r="EG309" s="675"/>
      <c r="EH309" s="549"/>
      <c r="EI309" s="675"/>
      <c r="EJ309" s="549"/>
      <c r="EK309" s="675"/>
      <c r="EL309" s="549"/>
      <c r="EM309" s="675"/>
      <c r="EN309" s="549"/>
      <c r="EO309" s="675"/>
      <c r="EP309" s="549"/>
      <c r="EQ309" s="675"/>
      <c r="ER309" s="549"/>
      <c r="ES309" s="675"/>
      <c r="ET309" s="549"/>
      <c r="EU309" s="675"/>
      <c r="EV309" s="549"/>
      <c r="EW309" s="675"/>
      <c r="EX309" s="549"/>
      <c r="EY309" s="675"/>
      <c r="EZ309" s="549"/>
      <c r="FA309" s="675"/>
      <c r="FB309" s="549"/>
      <c r="FC309" s="675"/>
      <c r="FD309" s="549"/>
      <c r="FE309" s="675"/>
      <c r="FF309" s="549"/>
      <c r="FG309" s="675"/>
      <c r="FH309" s="549"/>
      <c r="FI309" s="675"/>
      <c r="FJ309" s="549"/>
      <c r="FK309" s="675"/>
      <c r="FL309" s="549"/>
      <c r="FM309" s="675"/>
      <c r="FN309" s="549"/>
      <c r="FO309" s="675"/>
      <c r="FP309" s="549"/>
      <c r="FQ309" s="675"/>
      <c r="FR309" s="549"/>
      <c r="FS309" s="675"/>
      <c r="FT309" s="549"/>
      <c r="FU309" s="675"/>
      <c r="FV309" s="549"/>
      <c r="FW309" s="675"/>
      <c r="FX309" s="549"/>
      <c r="FY309" s="675"/>
      <c r="FZ309" s="549"/>
      <c r="GA309" s="675"/>
      <c r="GB309" s="549"/>
      <c r="GC309" s="675"/>
      <c r="GD309" s="549"/>
      <c r="GE309" s="675"/>
      <c r="GF309" s="549"/>
      <c r="GG309" s="675"/>
      <c r="GH309" s="549"/>
      <c r="GI309" s="675"/>
      <c r="GJ309" s="549"/>
      <c r="GK309" s="675"/>
      <c r="GL309" s="549"/>
      <c r="GM309" s="675"/>
      <c r="GN309" s="549"/>
      <c r="GO309" s="675"/>
      <c r="GP309" s="549"/>
      <c r="GQ309" s="675"/>
      <c r="GR309" s="74"/>
      <c r="GS309" s="74"/>
      <c r="GT309" s="74"/>
      <c r="GU309" s="74"/>
      <c r="GV309" s="74"/>
      <c r="GW309" s="74"/>
      <c r="GX309" s="74"/>
      <c r="GY309" s="74"/>
      <c r="GZ309" s="74"/>
      <c r="HA309" s="74"/>
      <c r="HB309" s="74"/>
      <c r="HC309" s="74"/>
      <c r="HD309" s="74"/>
      <c r="HE309" s="74"/>
      <c r="HF309" s="74"/>
      <c r="HG309" s="74"/>
      <c r="HH309" s="74"/>
      <c r="HI309" s="792"/>
      <c r="HJ309" s="74"/>
      <c r="HK309" s="792"/>
      <c r="HL309" s="74"/>
      <c r="HM309" s="792"/>
      <c r="HN309" s="74"/>
      <c r="HO309" s="792"/>
      <c r="HP309" s="74"/>
      <c r="HQ309" s="792"/>
      <c r="HR309" s="74"/>
      <c r="HS309" s="792"/>
      <c r="HT309" s="74"/>
      <c r="HU309" s="792"/>
      <c r="HV309" s="74"/>
      <c r="HW309" s="792"/>
      <c r="HX309" s="74"/>
      <c r="HY309" s="792"/>
      <c r="HZ309" s="74"/>
      <c r="IA309" s="792"/>
      <c r="IB309" s="74"/>
      <c r="IC309" s="792"/>
      <c r="ID309" s="74"/>
      <c r="IE309" s="792"/>
      <c r="IF309" s="841"/>
      <c r="IG309" s="263"/>
      <c r="IH309" s="842"/>
      <c r="II309" s="74"/>
      <c r="IJ309" s="74"/>
      <c r="IK309" s="74"/>
      <c r="IL309" s="74"/>
      <c r="IM309" s="74"/>
      <c r="IN309" s="74"/>
      <c r="IO309" s="74"/>
      <c r="IP309" s="74"/>
      <c r="IQ309" s="74"/>
      <c r="IR309" s="74"/>
      <c r="IS309" s="74"/>
      <c r="IT309" s="74"/>
      <c r="IU309" s="74"/>
      <c r="IV309" s="74"/>
      <c r="IW309" s="74"/>
      <c r="IX309" s="74"/>
      <c r="IY309" s="74"/>
      <c r="IZ309" s="74"/>
      <c r="JA309" s="74"/>
      <c r="JB309" s="74"/>
      <c r="JC309" s="74"/>
      <c r="JD309" s="74"/>
      <c r="JE309" s="74"/>
      <c r="JF309" s="74"/>
      <c r="JG309" s="74"/>
      <c r="JH309" s="74"/>
      <c r="JI309" s="74"/>
      <c r="JJ309" s="74"/>
      <c r="JK309" s="74"/>
      <c r="JL309" s="74"/>
      <c r="JM309" s="74"/>
      <c r="JN309" s="74"/>
      <c r="JO309" s="74"/>
      <c r="JP309" s="74"/>
      <c r="JQ309" s="74"/>
      <c r="JR309" s="74"/>
      <c r="JS309" s="74"/>
      <c r="JT309" s="74"/>
      <c r="JU309" s="665"/>
      <c r="JV309" s="524"/>
      <c r="JW309" s="525"/>
      <c r="JX309" s="74"/>
      <c r="JY309" s="74"/>
      <c r="JZ309" s="581">
        <f t="shared" si="9103"/>
        <v>0</v>
      </c>
      <c r="KA309" s="581">
        <f t="shared" si="9104"/>
        <v>0</v>
      </c>
      <c r="KB309" s="74"/>
      <c r="KC309" s="709">
        <f t="shared" si="9101"/>
        <v>0</v>
      </c>
      <c r="KD309" s="35"/>
      <c r="KE309" s="35"/>
      <c r="KF309" s="35"/>
      <c r="KG309" s="35"/>
      <c r="KH309" s="35"/>
      <c r="KI309" s="35"/>
      <c r="KJ309" s="35"/>
      <c r="KK309" s="35"/>
    </row>
    <row r="310" spans="1:297" s="10" customFormat="1" ht="12.75" hidden="1" customHeight="1">
      <c r="A310" s="80" t="s">
        <v>1084</v>
      </c>
      <c r="B310" s="77"/>
      <c r="C310" s="74">
        <f>SUM(C311)</f>
        <v>0</v>
      </c>
      <c r="D310" s="549">
        <f t="shared" ref="D310:HF310" si="9560">SUM(D311)</f>
        <v>0</v>
      </c>
      <c r="E310" s="675">
        <f t="shared" si="9560"/>
        <v>0</v>
      </c>
      <c r="F310" s="549">
        <f t="shared" si="9560"/>
        <v>0</v>
      </c>
      <c r="G310" s="675">
        <f t="shared" si="9560"/>
        <v>0</v>
      </c>
      <c r="H310" s="549">
        <f t="shared" si="9560"/>
        <v>0</v>
      </c>
      <c r="I310" s="675">
        <f t="shared" si="9560"/>
        <v>0</v>
      </c>
      <c r="J310" s="549">
        <f t="shared" si="9560"/>
        <v>0</v>
      </c>
      <c r="K310" s="675">
        <f t="shared" si="9560"/>
        <v>0</v>
      </c>
      <c r="L310" s="549">
        <f t="shared" si="9560"/>
        <v>0</v>
      </c>
      <c r="M310" s="675">
        <f t="shared" si="9560"/>
        <v>0</v>
      </c>
      <c r="N310" s="549">
        <f t="shared" si="9560"/>
        <v>0</v>
      </c>
      <c r="O310" s="675">
        <f t="shared" si="9560"/>
        <v>0</v>
      </c>
      <c r="P310" s="549">
        <f t="shared" si="9560"/>
        <v>0</v>
      </c>
      <c r="Q310" s="675">
        <f t="shared" si="9560"/>
        <v>0</v>
      </c>
      <c r="R310" s="549">
        <f t="shared" si="9560"/>
        <v>0</v>
      </c>
      <c r="S310" s="675">
        <f t="shared" si="9560"/>
        <v>0</v>
      </c>
      <c r="T310" s="549">
        <f t="shared" si="9560"/>
        <v>0</v>
      </c>
      <c r="U310" s="675">
        <f t="shared" si="9560"/>
        <v>0</v>
      </c>
      <c r="V310" s="549">
        <f t="shared" si="9560"/>
        <v>0</v>
      </c>
      <c r="W310" s="675">
        <f t="shared" si="9560"/>
        <v>0</v>
      </c>
      <c r="X310" s="549">
        <f t="shared" si="9560"/>
        <v>0</v>
      </c>
      <c r="Y310" s="675">
        <f t="shared" si="9560"/>
        <v>0</v>
      </c>
      <c r="Z310" s="549">
        <f t="shared" si="9560"/>
        <v>0</v>
      </c>
      <c r="AA310" s="675">
        <f t="shared" si="9560"/>
        <v>0</v>
      </c>
      <c r="AB310" s="549">
        <f t="shared" si="9560"/>
        <v>0</v>
      </c>
      <c r="AC310" s="675">
        <f t="shared" si="9560"/>
        <v>0</v>
      </c>
      <c r="AD310" s="549">
        <f t="shared" si="9560"/>
        <v>0</v>
      </c>
      <c r="AE310" s="675">
        <f t="shared" si="9560"/>
        <v>0</v>
      </c>
      <c r="AF310" s="549">
        <f t="shared" si="9560"/>
        <v>0</v>
      </c>
      <c r="AG310" s="675">
        <f t="shared" si="9560"/>
        <v>0</v>
      </c>
      <c r="AH310" s="549">
        <f t="shared" si="9560"/>
        <v>0</v>
      </c>
      <c r="AI310" s="675">
        <f t="shared" si="9560"/>
        <v>0</v>
      </c>
      <c r="AJ310" s="549">
        <f t="shared" si="9560"/>
        <v>0</v>
      </c>
      <c r="AK310" s="675">
        <f t="shared" si="9560"/>
        <v>0</v>
      </c>
      <c r="AL310" s="549">
        <f t="shared" si="9560"/>
        <v>0</v>
      </c>
      <c r="AM310" s="675">
        <f t="shared" si="9560"/>
        <v>0</v>
      </c>
      <c r="AN310" s="549">
        <f t="shared" si="9560"/>
        <v>0</v>
      </c>
      <c r="AO310" s="675">
        <f t="shared" si="9560"/>
        <v>0</v>
      </c>
      <c r="AP310" s="549">
        <f t="shared" si="9560"/>
        <v>0</v>
      </c>
      <c r="AQ310" s="675">
        <f t="shared" si="9560"/>
        <v>0</v>
      </c>
      <c r="AR310" s="549">
        <f t="shared" si="9560"/>
        <v>0</v>
      </c>
      <c r="AS310" s="675">
        <f t="shared" si="9560"/>
        <v>0</v>
      </c>
      <c r="AT310" s="549">
        <f t="shared" si="9560"/>
        <v>0</v>
      </c>
      <c r="AU310" s="675">
        <f t="shared" si="9560"/>
        <v>0</v>
      </c>
      <c r="AV310" s="549">
        <f t="shared" si="9560"/>
        <v>0</v>
      </c>
      <c r="AW310" s="675">
        <f t="shared" si="9560"/>
        <v>0</v>
      </c>
      <c r="AX310" s="549">
        <f t="shared" si="9560"/>
        <v>0</v>
      </c>
      <c r="AY310" s="675">
        <f t="shared" si="9560"/>
        <v>0</v>
      </c>
      <c r="AZ310" s="549">
        <f t="shared" si="9560"/>
        <v>0</v>
      </c>
      <c r="BA310" s="675">
        <f t="shared" si="9560"/>
        <v>0</v>
      </c>
      <c r="BB310" s="549">
        <f t="shared" si="9560"/>
        <v>0</v>
      </c>
      <c r="BC310" s="675">
        <f t="shared" si="9560"/>
        <v>0</v>
      </c>
      <c r="BD310" s="549">
        <f t="shared" si="9560"/>
        <v>0</v>
      </c>
      <c r="BE310" s="675">
        <f t="shared" si="9560"/>
        <v>0</v>
      </c>
      <c r="BF310" s="549">
        <f t="shared" si="9560"/>
        <v>0</v>
      </c>
      <c r="BG310" s="675">
        <f t="shared" si="9560"/>
        <v>0</v>
      </c>
      <c r="BH310" s="549">
        <f t="shared" si="9560"/>
        <v>0</v>
      </c>
      <c r="BI310" s="675">
        <f t="shared" si="9560"/>
        <v>0</v>
      </c>
      <c r="BJ310" s="549">
        <f t="shared" si="9560"/>
        <v>0</v>
      </c>
      <c r="BK310" s="675">
        <f t="shared" si="9560"/>
        <v>0</v>
      </c>
      <c r="BL310" s="549">
        <f t="shared" si="9560"/>
        <v>0</v>
      </c>
      <c r="BM310" s="675">
        <f t="shared" si="9560"/>
        <v>0</v>
      </c>
      <c r="BN310" s="549">
        <f t="shared" si="9560"/>
        <v>0</v>
      </c>
      <c r="BO310" s="675">
        <f t="shared" si="9560"/>
        <v>0</v>
      </c>
      <c r="BP310" s="549">
        <f t="shared" si="9560"/>
        <v>0</v>
      </c>
      <c r="BQ310" s="675">
        <f t="shared" si="9560"/>
        <v>0</v>
      </c>
      <c r="BR310" s="549">
        <f t="shared" si="9560"/>
        <v>0</v>
      </c>
      <c r="BS310" s="675">
        <f t="shared" si="9560"/>
        <v>0</v>
      </c>
      <c r="BT310" s="549">
        <f t="shared" si="9560"/>
        <v>0</v>
      </c>
      <c r="BU310" s="675">
        <f t="shared" si="9560"/>
        <v>0</v>
      </c>
      <c r="BV310" s="549">
        <f t="shared" si="9560"/>
        <v>0</v>
      </c>
      <c r="BW310" s="675">
        <f t="shared" si="9560"/>
        <v>0</v>
      </c>
      <c r="BX310" s="549">
        <f t="shared" si="9560"/>
        <v>0</v>
      </c>
      <c r="BY310" s="675">
        <f t="shared" si="9560"/>
        <v>0</v>
      </c>
      <c r="BZ310" s="549">
        <f t="shared" si="9560"/>
        <v>0</v>
      </c>
      <c r="CA310" s="675">
        <f t="shared" si="9560"/>
        <v>0</v>
      </c>
      <c r="CB310" s="549">
        <f t="shared" si="9560"/>
        <v>0</v>
      </c>
      <c r="CC310" s="675">
        <f t="shared" si="9560"/>
        <v>0</v>
      </c>
      <c r="CD310" s="549">
        <f t="shared" si="9560"/>
        <v>0</v>
      </c>
      <c r="CE310" s="675">
        <f t="shared" si="9560"/>
        <v>0</v>
      </c>
      <c r="CF310" s="549">
        <f t="shared" si="9560"/>
        <v>0</v>
      </c>
      <c r="CG310" s="675">
        <f t="shared" si="9560"/>
        <v>0</v>
      </c>
      <c r="CH310" s="549">
        <f t="shared" si="9560"/>
        <v>0</v>
      </c>
      <c r="CI310" s="675">
        <f t="shared" si="9560"/>
        <v>0</v>
      </c>
      <c r="CJ310" s="549">
        <f t="shared" si="9560"/>
        <v>0</v>
      </c>
      <c r="CK310" s="675">
        <f t="shared" si="9560"/>
        <v>0</v>
      </c>
      <c r="CL310" s="549">
        <f t="shared" si="9560"/>
        <v>0</v>
      </c>
      <c r="CM310" s="675">
        <f t="shared" si="9560"/>
        <v>0</v>
      </c>
      <c r="CN310" s="549">
        <f t="shared" si="9560"/>
        <v>0</v>
      </c>
      <c r="CO310" s="675">
        <f t="shared" si="9560"/>
        <v>0</v>
      </c>
      <c r="CP310" s="549">
        <f t="shared" si="9560"/>
        <v>0</v>
      </c>
      <c r="CQ310" s="675">
        <f t="shared" si="9560"/>
        <v>0</v>
      </c>
      <c r="CR310" s="549">
        <f t="shared" si="9560"/>
        <v>0</v>
      </c>
      <c r="CS310" s="675">
        <f t="shared" si="9560"/>
        <v>0</v>
      </c>
      <c r="CT310" s="549">
        <f t="shared" si="9560"/>
        <v>0</v>
      </c>
      <c r="CU310" s="675">
        <f t="shared" si="9560"/>
        <v>0</v>
      </c>
      <c r="CV310" s="549">
        <f t="shared" si="9560"/>
        <v>0</v>
      </c>
      <c r="CW310" s="675">
        <f t="shared" si="9560"/>
        <v>0</v>
      </c>
      <c r="CX310" s="549">
        <f t="shared" si="9560"/>
        <v>0</v>
      </c>
      <c r="CY310" s="675">
        <f t="shared" si="9560"/>
        <v>0</v>
      </c>
      <c r="CZ310" s="549">
        <f t="shared" si="9560"/>
        <v>0</v>
      </c>
      <c r="DA310" s="675">
        <f t="shared" si="9560"/>
        <v>0</v>
      </c>
      <c r="DB310" s="549">
        <f t="shared" si="9560"/>
        <v>0</v>
      </c>
      <c r="DC310" s="675">
        <f t="shared" si="9560"/>
        <v>0</v>
      </c>
      <c r="DD310" s="549">
        <f t="shared" si="9560"/>
        <v>0</v>
      </c>
      <c r="DE310" s="675">
        <f t="shared" si="9560"/>
        <v>0</v>
      </c>
      <c r="DF310" s="549">
        <f t="shared" si="9560"/>
        <v>0</v>
      </c>
      <c r="DG310" s="675">
        <f t="shared" si="9560"/>
        <v>0</v>
      </c>
      <c r="DH310" s="549">
        <f t="shared" si="9560"/>
        <v>0</v>
      </c>
      <c r="DI310" s="675">
        <f t="shared" si="9560"/>
        <v>0</v>
      </c>
      <c r="DJ310" s="549">
        <f t="shared" si="9560"/>
        <v>0</v>
      </c>
      <c r="DK310" s="675">
        <f t="shared" si="9560"/>
        <v>0</v>
      </c>
      <c r="DL310" s="549">
        <f t="shared" si="9560"/>
        <v>0</v>
      </c>
      <c r="DM310" s="675">
        <f t="shared" si="9560"/>
        <v>0</v>
      </c>
      <c r="DN310" s="549">
        <f t="shared" si="9560"/>
        <v>0</v>
      </c>
      <c r="DO310" s="675">
        <f t="shared" si="9560"/>
        <v>0</v>
      </c>
      <c r="DP310" s="549">
        <f t="shared" si="9560"/>
        <v>0</v>
      </c>
      <c r="DQ310" s="675">
        <f t="shared" si="9560"/>
        <v>0</v>
      </c>
      <c r="DR310" s="549">
        <f t="shared" si="9560"/>
        <v>0</v>
      </c>
      <c r="DS310" s="675">
        <f t="shared" si="9560"/>
        <v>0</v>
      </c>
      <c r="DT310" s="549">
        <f t="shared" si="9560"/>
        <v>0</v>
      </c>
      <c r="DU310" s="675">
        <f t="shared" si="9560"/>
        <v>0</v>
      </c>
      <c r="DV310" s="549">
        <f t="shared" si="9560"/>
        <v>0</v>
      </c>
      <c r="DW310" s="675">
        <f t="shared" si="9560"/>
        <v>0</v>
      </c>
      <c r="DX310" s="549">
        <f t="shared" si="9560"/>
        <v>0</v>
      </c>
      <c r="DY310" s="675">
        <f t="shared" si="9560"/>
        <v>0</v>
      </c>
      <c r="DZ310" s="549">
        <f t="shared" si="9560"/>
        <v>0</v>
      </c>
      <c r="EA310" s="675">
        <f t="shared" si="9560"/>
        <v>0</v>
      </c>
      <c r="EB310" s="549">
        <f t="shared" si="9560"/>
        <v>0</v>
      </c>
      <c r="EC310" s="675">
        <f t="shared" si="9560"/>
        <v>0</v>
      </c>
      <c r="ED310" s="549">
        <f t="shared" si="9560"/>
        <v>0</v>
      </c>
      <c r="EE310" s="675">
        <f t="shared" si="9560"/>
        <v>0</v>
      </c>
      <c r="EF310" s="549">
        <f t="shared" si="9560"/>
        <v>0</v>
      </c>
      <c r="EG310" s="675">
        <f t="shared" si="9560"/>
        <v>0</v>
      </c>
      <c r="EH310" s="549">
        <f t="shared" si="9560"/>
        <v>0</v>
      </c>
      <c r="EI310" s="675">
        <f t="shared" si="9560"/>
        <v>0</v>
      </c>
      <c r="EJ310" s="549">
        <f t="shared" si="9560"/>
        <v>0</v>
      </c>
      <c r="EK310" s="675">
        <f t="shared" si="9560"/>
        <v>0</v>
      </c>
      <c r="EL310" s="549">
        <f t="shared" si="9560"/>
        <v>0</v>
      </c>
      <c r="EM310" s="675">
        <f t="shared" si="9560"/>
        <v>0</v>
      </c>
      <c r="EN310" s="549">
        <f t="shared" si="9560"/>
        <v>0</v>
      </c>
      <c r="EO310" s="675">
        <f t="shared" si="9560"/>
        <v>0</v>
      </c>
      <c r="EP310" s="549">
        <f t="shared" si="9560"/>
        <v>0</v>
      </c>
      <c r="EQ310" s="675">
        <f t="shared" si="9560"/>
        <v>0</v>
      </c>
      <c r="ER310" s="549">
        <f t="shared" si="9560"/>
        <v>0</v>
      </c>
      <c r="ES310" s="675">
        <f t="shared" si="9560"/>
        <v>0</v>
      </c>
      <c r="ET310" s="549">
        <f t="shared" si="9560"/>
        <v>0</v>
      </c>
      <c r="EU310" s="675">
        <f t="shared" si="9560"/>
        <v>0</v>
      </c>
      <c r="EV310" s="549">
        <f t="shared" si="9560"/>
        <v>0</v>
      </c>
      <c r="EW310" s="675">
        <f t="shared" si="9560"/>
        <v>0</v>
      </c>
      <c r="EX310" s="549">
        <f t="shared" si="9560"/>
        <v>0</v>
      </c>
      <c r="EY310" s="675">
        <f t="shared" si="9560"/>
        <v>0</v>
      </c>
      <c r="EZ310" s="549">
        <f t="shared" si="9560"/>
        <v>0</v>
      </c>
      <c r="FA310" s="675">
        <f t="shared" si="9560"/>
        <v>0</v>
      </c>
      <c r="FB310" s="549">
        <f t="shared" si="9560"/>
        <v>0</v>
      </c>
      <c r="FC310" s="675">
        <f t="shared" si="9560"/>
        <v>0</v>
      </c>
      <c r="FD310" s="549">
        <f t="shared" si="9560"/>
        <v>0</v>
      </c>
      <c r="FE310" s="675">
        <f t="shared" si="9560"/>
        <v>0</v>
      </c>
      <c r="FF310" s="549">
        <f t="shared" si="9560"/>
        <v>0</v>
      </c>
      <c r="FG310" s="675">
        <f t="shared" si="9560"/>
        <v>0</v>
      </c>
      <c r="FH310" s="549">
        <f t="shared" si="9560"/>
        <v>0</v>
      </c>
      <c r="FI310" s="675">
        <f t="shared" si="9560"/>
        <v>0</v>
      </c>
      <c r="FJ310" s="549">
        <f t="shared" si="9560"/>
        <v>0</v>
      </c>
      <c r="FK310" s="675">
        <f t="shared" si="9560"/>
        <v>0</v>
      </c>
      <c r="FL310" s="549">
        <f t="shared" si="9560"/>
        <v>0</v>
      </c>
      <c r="FM310" s="675">
        <f t="shared" si="9560"/>
        <v>0</v>
      </c>
      <c r="FN310" s="549">
        <f t="shared" si="9560"/>
        <v>0</v>
      </c>
      <c r="FO310" s="675">
        <f t="shared" si="9560"/>
        <v>0</v>
      </c>
      <c r="FP310" s="549">
        <f t="shared" si="9560"/>
        <v>0</v>
      </c>
      <c r="FQ310" s="675">
        <f t="shared" si="9560"/>
        <v>0</v>
      </c>
      <c r="FR310" s="549">
        <f t="shared" si="9560"/>
        <v>0</v>
      </c>
      <c r="FS310" s="675">
        <f t="shared" si="9560"/>
        <v>0</v>
      </c>
      <c r="FT310" s="549">
        <f t="shared" si="9560"/>
        <v>0</v>
      </c>
      <c r="FU310" s="675">
        <f t="shared" si="9560"/>
        <v>0</v>
      </c>
      <c r="FV310" s="549">
        <f t="shared" si="9560"/>
        <v>0</v>
      </c>
      <c r="FW310" s="675">
        <f t="shared" si="9560"/>
        <v>0</v>
      </c>
      <c r="FX310" s="549">
        <f t="shared" si="9560"/>
        <v>0</v>
      </c>
      <c r="FY310" s="675">
        <f t="shared" si="9560"/>
        <v>0</v>
      </c>
      <c r="FZ310" s="549">
        <f t="shared" si="9560"/>
        <v>0</v>
      </c>
      <c r="GA310" s="675">
        <f t="shared" si="9560"/>
        <v>0</v>
      </c>
      <c r="GB310" s="549">
        <f t="shared" si="9560"/>
        <v>0</v>
      </c>
      <c r="GC310" s="675">
        <f t="shared" si="9560"/>
        <v>0</v>
      </c>
      <c r="GD310" s="549">
        <f t="shared" si="9560"/>
        <v>0</v>
      </c>
      <c r="GE310" s="675">
        <f t="shared" si="9560"/>
        <v>0</v>
      </c>
      <c r="GF310" s="549">
        <f t="shared" si="9560"/>
        <v>0</v>
      </c>
      <c r="GG310" s="675">
        <f t="shared" si="9560"/>
        <v>0</v>
      </c>
      <c r="GH310" s="549">
        <f t="shared" si="9560"/>
        <v>0</v>
      </c>
      <c r="GI310" s="675">
        <f t="shared" si="9560"/>
        <v>0</v>
      </c>
      <c r="GJ310" s="549">
        <f t="shared" si="9560"/>
        <v>0</v>
      </c>
      <c r="GK310" s="675">
        <f t="shared" si="9560"/>
        <v>0</v>
      </c>
      <c r="GL310" s="549">
        <f t="shared" si="9560"/>
        <v>0</v>
      </c>
      <c r="GM310" s="675">
        <f t="shared" si="9560"/>
        <v>0</v>
      </c>
      <c r="GN310" s="549">
        <f t="shared" si="9560"/>
        <v>0</v>
      </c>
      <c r="GO310" s="675">
        <f t="shared" si="9560"/>
        <v>0</v>
      </c>
      <c r="GP310" s="549">
        <f t="shared" si="9560"/>
        <v>0</v>
      </c>
      <c r="GQ310" s="675">
        <f t="shared" si="9560"/>
        <v>0</v>
      </c>
      <c r="GR310" s="74">
        <f>SUM(GR311)</f>
        <v>0</v>
      </c>
      <c r="GS310" s="74">
        <f t="shared" si="9560"/>
        <v>0</v>
      </c>
      <c r="GT310" s="74">
        <f t="shared" si="9560"/>
        <v>0</v>
      </c>
      <c r="GU310" s="74">
        <f t="shared" si="9560"/>
        <v>0</v>
      </c>
      <c r="GV310" s="74">
        <f t="shared" si="9560"/>
        <v>0</v>
      </c>
      <c r="GW310" s="74">
        <f t="shared" si="9560"/>
        <v>0</v>
      </c>
      <c r="GX310" s="74">
        <f t="shared" si="9560"/>
        <v>0</v>
      </c>
      <c r="GY310" s="74">
        <f t="shared" si="9560"/>
        <v>0</v>
      </c>
      <c r="GZ310" s="74">
        <f t="shared" si="9560"/>
        <v>0</v>
      </c>
      <c r="HA310" s="74">
        <f t="shared" si="9560"/>
        <v>0</v>
      </c>
      <c r="HB310" s="74">
        <f t="shared" si="9560"/>
        <v>0</v>
      </c>
      <c r="HC310" s="74">
        <f t="shared" si="9560"/>
        <v>0</v>
      </c>
      <c r="HD310" s="74">
        <f t="shared" si="9560"/>
        <v>0</v>
      </c>
      <c r="HE310" s="74">
        <f t="shared" si="9560"/>
        <v>0</v>
      </c>
      <c r="HF310" s="74">
        <f t="shared" si="9560"/>
        <v>0</v>
      </c>
      <c r="HG310" s="74">
        <f>SUM(HG311)</f>
        <v>0</v>
      </c>
      <c r="HH310" s="74">
        <f t="shared" ref="HH310:JS310" si="9561">SUM(HH311)</f>
        <v>0</v>
      </c>
      <c r="HI310" s="792">
        <f t="shared" si="9561"/>
        <v>0</v>
      </c>
      <c r="HJ310" s="74">
        <f t="shared" si="9561"/>
        <v>0</v>
      </c>
      <c r="HK310" s="792">
        <f t="shared" si="9561"/>
        <v>0</v>
      </c>
      <c r="HL310" s="74">
        <f t="shared" si="9561"/>
        <v>0</v>
      </c>
      <c r="HM310" s="792">
        <f t="shared" si="9561"/>
        <v>0</v>
      </c>
      <c r="HN310" s="74">
        <f t="shared" si="9561"/>
        <v>0</v>
      </c>
      <c r="HO310" s="792">
        <f t="shared" si="9561"/>
        <v>0</v>
      </c>
      <c r="HP310" s="74">
        <f t="shared" si="9561"/>
        <v>0</v>
      </c>
      <c r="HQ310" s="792">
        <f t="shared" si="9561"/>
        <v>0</v>
      </c>
      <c r="HR310" s="74">
        <f t="shared" si="9561"/>
        <v>0</v>
      </c>
      <c r="HS310" s="792">
        <f t="shared" si="9561"/>
        <v>0</v>
      </c>
      <c r="HT310" s="74">
        <f t="shared" si="9561"/>
        <v>0</v>
      </c>
      <c r="HU310" s="792">
        <f t="shared" si="9561"/>
        <v>0</v>
      </c>
      <c r="HV310" s="74">
        <f t="shared" si="9561"/>
        <v>0</v>
      </c>
      <c r="HW310" s="792">
        <f t="shared" si="9561"/>
        <v>0</v>
      </c>
      <c r="HX310" s="74">
        <f t="shared" si="9561"/>
        <v>0</v>
      </c>
      <c r="HY310" s="792">
        <f t="shared" si="9561"/>
        <v>0</v>
      </c>
      <c r="HZ310" s="74">
        <f t="shared" si="9561"/>
        <v>0</v>
      </c>
      <c r="IA310" s="792">
        <f t="shared" si="9561"/>
        <v>0</v>
      </c>
      <c r="IB310" s="74">
        <f t="shared" si="9561"/>
        <v>0</v>
      </c>
      <c r="IC310" s="792">
        <f t="shared" si="9561"/>
        <v>0</v>
      </c>
      <c r="ID310" s="74">
        <f t="shared" si="9561"/>
        <v>0</v>
      </c>
      <c r="IE310" s="792">
        <f t="shared" si="9561"/>
        <v>0</v>
      </c>
      <c r="IF310" s="841">
        <f t="shared" si="9561"/>
        <v>0</v>
      </c>
      <c r="IG310" s="263">
        <f t="shared" si="9561"/>
        <v>0</v>
      </c>
      <c r="IH310" s="842">
        <f t="shared" si="9561"/>
        <v>0</v>
      </c>
      <c r="II310" s="74">
        <f t="shared" si="9561"/>
        <v>0</v>
      </c>
      <c r="IJ310" s="74">
        <f t="shared" si="9561"/>
        <v>0</v>
      </c>
      <c r="IK310" s="74">
        <f t="shared" si="9561"/>
        <v>0</v>
      </c>
      <c r="IL310" s="74">
        <f t="shared" si="9561"/>
        <v>0</v>
      </c>
      <c r="IM310" s="74">
        <f t="shared" si="9561"/>
        <v>0</v>
      </c>
      <c r="IN310" s="74">
        <f t="shared" si="9561"/>
        <v>0</v>
      </c>
      <c r="IO310" s="74">
        <f t="shared" si="9561"/>
        <v>0</v>
      </c>
      <c r="IP310" s="74">
        <f t="shared" si="9561"/>
        <v>0</v>
      </c>
      <c r="IQ310" s="74">
        <f t="shared" si="9561"/>
        <v>0</v>
      </c>
      <c r="IR310" s="74">
        <f t="shared" si="9561"/>
        <v>0</v>
      </c>
      <c r="IS310" s="74">
        <f t="shared" si="9561"/>
        <v>0</v>
      </c>
      <c r="IT310" s="74">
        <f t="shared" si="9561"/>
        <v>0</v>
      </c>
      <c r="IU310" s="74">
        <f t="shared" si="9561"/>
        <v>0</v>
      </c>
      <c r="IV310" s="74">
        <f t="shared" si="9561"/>
        <v>0</v>
      </c>
      <c r="IW310" s="74">
        <f t="shared" si="9561"/>
        <v>0</v>
      </c>
      <c r="IX310" s="74">
        <f t="shared" si="9561"/>
        <v>0</v>
      </c>
      <c r="IY310" s="74">
        <f t="shared" si="9561"/>
        <v>0</v>
      </c>
      <c r="IZ310" s="74">
        <f t="shared" si="9561"/>
        <v>0</v>
      </c>
      <c r="JA310" s="74">
        <f t="shared" si="9561"/>
        <v>0</v>
      </c>
      <c r="JB310" s="74">
        <f t="shared" si="9561"/>
        <v>0</v>
      </c>
      <c r="JC310" s="74">
        <f t="shared" si="9561"/>
        <v>0</v>
      </c>
      <c r="JD310" s="74">
        <f t="shared" si="9561"/>
        <v>0</v>
      </c>
      <c r="JE310" s="74">
        <f t="shared" si="9561"/>
        <v>0</v>
      </c>
      <c r="JF310" s="74">
        <f t="shared" si="9561"/>
        <v>0</v>
      </c>
      <c r="JG310" s="74">
        <f t="shared" si="9561"/>
        <v>0</v>
      </c>
      <c r="JH310" s="74">
        <f t="shared" si="9561"/>
        <v>0</v>
      </c>
      <c r="JI310" s="74">
        <f t="shared" si="9561"/>
        <v>0</v>
      </c>
      <c r="JJ310" s="74">
        <f t="shared" si="9561"/>
        <v>0</v>
      </c>
      <c r="JK310" s="74">
        <f t="shared" si="9561"/>
        <v>0</v>
      </c>
      <c r="JL310" s="74">
        <f t="shared" si="9561"/>
        <v>0</v>
      </c>
      <c r="JM310" s="74">
        <f t="shared" si="9561"/>
        <v>0</v>
      </c>
      <c r="JN310" s="74">
        <f t="shared" si="9561"/>
        <v>0</v>
      </c>
      <c r="JO310" s="74">
        <f t="shared" si="9561"/>
        <v>0</v>
      </c>
      <c r="JP310" s="74">
        <f t="shared" si="9561"/>
        <v>0</v>
      </c>
      <c r="JQ310" s="74">
        <f t="shared" si="9561"/>
        <v>0</v>
      </c>
      <c r="JR310" s="74">
        <f t="shared" si="9561"/>
        <v>0</v>
      </c>
      <c r="JS310" s="74">
        <f t="shared" si="9561"/>
        <v>0</v>
      </c>
      <c r="JT310" s="74">
        <f>SUM(JT311)</f>
        <v>0</v>
      </c>
      <c r="JU310" s="665"/>
      <c r="JV310" s="524"/>
      <c r="JW310" s="525"/>
      <c r="JX310" s="74">
        <f>SUM(JX311)</f>
        <v>0</v>
      </c>
      <c r="JY310" s="74">
        <f>SUM(JY311)</f>
        <v>0</v>
      </c>
      <c r="JZ310" s="581">
        <f t="shared" si="9103"/>
        <v>0</v>
      </c>
      <c r="KA310" s="581">
        <f t="shared" si="9104"/>
        <v>0</v>
      </c>
      <c r="KB310" s="74">
        <f>SUM(KB311)</f>
        <v>0</v>
      </c>
      <c r="KC310" s="709">
        <f t="shared" si="9101"/>
        <v>0</v>
      </c>
      <c r="KD310" s="35"/>
      <c r="KE310" s="35"/>
      <c r="KF310" s="35"/>
      <c r="KG310" s="35"/>
      <c r="KH310" s="35"/>
      <c r="KI310" s="35"/>
      <c r="KJ310" s="35"/>
      <c r="KK310" s="35"/>
    </row>
    <row r="311" spans="1:297" s="10" customFormat="1" ht="12.75" hidden="1" customHeight="1">
      <c r="A311" s="86" t="s">
        <v>1085</v>
      </c>
      <c r="B311" s="77"/>
      <c r="C311" s="74">
        <v>0</v>
      </c>
      <c r="D311" s="549">
        <v>0</v>
      </c>
      <c r="E311" s="675">
        <v>0</v>
      </c>
      <c r="F311" s="549">
        <v>0</v>
      </c>
      <c r="G311" s="675">
        <v>0</v>
      </c>
      <c r="H311" s="549">
        <v>0</v>
      </c>
      <c r="I311" s="675">
        <v>0</v>
      </c>
      <c r="J311" s="549">
        <v>0</v>
      </c>
      <c r="K311" s="675">
        <v>0</v>
      </c>
      <c r="L311" s="549">
        <v>0</v>
      </c>
      <c r="M311" s="675">
        <v>0</v>
      </c>
      <c r="N311" s="549">
        <v>0</v>
      </c>
      <c r="O311" s="675">
        <v>0</v>
      </c>
      <c r="P311" s="549">
        <v>0</v>
      </c>
      <c r="Q311" s="675">
        <v>0</v>
      </c>
      <c r="R311" s="549">
        <v>0</v>
      </c>
      <c r="S311" s="675">
        <v>0</v>
      </c>
      <c r="T311" s="549">
        <v>0</v>
      </c>
      <c r="U311" s="675">
        <v>0</v>
      </c>
      <c r="V311" s="549">
        <v>0</v>
      </c>
      <c r="W311" s="675">
        <v>0</v>
      </c>
      <c r="X311" s="549">
        <v>0</v>
      </c>
      <c r="Y311" s="675">
        <v>0</v>
      </c>
      <c r="Z311" s="549">
        <v>0</v>
      </c>
      <c r="AA311" s="675">
        <v>0</v>
      </c>
      <c r="AB311" s="549">
        <v>0</v>
      </c>
      <c r="AC311" s="675">
        <v>0</v>
      </c>
      <c r="AD311" s="549">
        <v>0</v>
      </c>
      <c r="AE311" s="675">
        <v>0</v>
      </c>
      <c r="AF311" s="549">
        <v>0</v>
      </c>
      <c r="AG311" s="675">
        <v>0</v>
      </c>
      <c r="AH311" s="549">
        <v>0</v>
      </c>
      <c r="AI311" s="675">
        <v>0</v>
      </c>
      <c r="AJ311" s="549">
        <v>0</v>
      </c>
      <c r="AK311" s="675">
        <v>0</v>
      </c>
      <c r="AL311" s="549">
        <v>0</v>
      </c>
      <c r="AM311" s="675">
        <v>0</v>
      </c>
      <c r="AN311" s="549">
        <v>0</v>
      </c>
      <c r="AO311" s="675">
        <v>0</v>
      </c>
      <c r="AP311" s="549">
        <v>0</v>
      </c>
      <c r="AQ311" s="675">
        <v>0</v>
      </c>
      <c r="AR311" s="549">
        <v>0</v>
      </c>
      <c r="AS311" s="675">
        <v>0</v>
      </c>
      <c r="AT311" s="549">
        <v>0</v>
      </c>
      <c r="AU311" s="675">
        <v>0</v>
      </c>
      <c r="AV311" s="549">
        <v>0</v>
      </c>
      <c r="AW311" s="675">
        <v>0</v>
      </c>
      <c r="AX311" s="549">
        <v>0</v>
      </c>
      <c r="AY311" s="675">
        <v>0</v>
      </c>
      <c r="AZ311" s="549">
        <v>0</v>
      </c>
      <c r="BA311" s="675">
        <v>0</v>
      </c>
      <c r="BB311" s="549">
        <v>0</v>
      </c>
      <c r="BC311" s="675">
        <v>0</v>
      </c>
      <c r="BD311" s="549">
        <v>0</v>
      </c>
      <c r="BE311" s="675">
        <v>0</v>
      </c>
      <c r="BF311" s="549">
        <v>0</v>
      </c>
      <c r="BG311" s="675">
        <v>0</v>
      </c>
      <c r="BH311" s="549">
        <v>0</v>
      </c>
      <c r="BI311" s="675">
        <v>0</v>
      </c>
      <c r="BJ311" s="549">
        <v>0</v>
      </c>
      <c r="BK311" s="675">
        <v>0</v>
      </c>
      <c r="BL311" s="549">
        <v>0</v>
      </c>
      <c r="BM311" s="675">
        <v>0</v>
      </c>
      <c r="BN311" s="549">
        <v>0</v>
      </c>
      <c r="BO311" s="675">
        <v>0</v>
      </c>
      <c r="BP311" s="549">
        <v>0</v>
      </c>
      <c r="BQ311" s="675">
        <v>0</v>
      </c>
      <c r="BR311" s="549">
        <v>0</v>
      </c>
      <c r="BS311" s="675">
        <v>0</v>
      </c>
      <c r="BT311" s="549">
        <v>0</v>
      </c>
      <c r="BU311" s="675">
        <v>0</v>
      </c>
      <c r="BV311" s="549">
        <v>0</v>
      </c>
      <c r="BW311" s="675">
        <v>0</v>
      </c>
      <c r="BX311" s="549">
        <v>0</v>
      </c>
      <c r="BY311" s="675">
        <v>0</v>
      </c>
      <c r="BZ311" s="549">
        <v>0</v>
      </c>
      <c r="CA311" s="675">
        <v>0</v>
      </c>
      <c r="CB311" s="549">
        <v>0</v>
      </c>
      <c r="CC311" s="675">
        <v>0</v>
      </c>
      <c r="CD311" s="549">
        <v>0</v>
      </c>
      <c r="CE311" s="675">
        <v>0</v>
      </c>
      <c r="CF311" s="549">
        <v>0</v>
      </c>
      <c r="CG311" s="675">
        <v>0</v>
      </c>
      <c r="CH311" s="549">
        <v>0</v>
      </c>
      <c r="CI311" s="675">
        <v>0</v>
      </c>
      <c r="CJ311" s="549">
        <v>0</v>
      </c>
      <c r="CK311" s="675">
        <v>0</v>
      </c>
      <c r="CL311" s="549">
        <v>0</v>
      </c>
      <c r="CM311" s="675">
        <v>0</v>
      </c>
      <c r="CN311" s="549">
        <v>0</v>
      </c>
      <c r="CO311" s="675">
        <v>0</v>
      </c>
      <c r="CP311" s="549">
        <v>0</v>
      </c>
      <c r="CQ311" s="675">
        <v>0</v>
      </c>
      <c r="CR311" s="549">
        <v>0</v>
      </c>
      <c r="CS311" s="675">
        <v>0</v>
      </c>
      <c r="CT311" s="549">
        <v>0</v>
      </c>
      <c r="CU311" s="675">
        <v>0</v>
      </c>
      <c r="CV311" s="549">
        <v>0</v>
      </c>
      <c r="CW311" s="675">
        <v>0</v>
      </c>
      <c r="CX311" s="549">
        <v>0</v>
      </c>
      <c r="CY311" s="675">
        <v>0</v>
      </c>
      <c r="CZ311" s="549">
        <v>0</v>
      </c>
      <c r="DA311" s="675">
        <v>0</v>
      </c>
      <c r="DB311" s="549">
        <v>0</v>
      </c>
      <c r="DC311" s="675">
        <v>0</v>
      </c>
      <c r="DD311" s="549">
        <v>0</v>
      </c>
      <c r="DE311" s="675">
        <v>0</v>
      </c>
      <c r="DF311" s="549">
        <v>0</v>
      </c>
      <c r="DG311" s="675">
        <v>0</v>
      </c>
      <c r="DH311" s="549">
        <v>0</v>
      </c>
      <c r="DI311" s="675">
        <v>0</v>
      </c>
      <c r="DJ311" s="549">
        <v>0</v>
      </c>
      <c r="DK311" s="675">
        <v>0</v>
      </c>
      <c r="DL311" s="549">
        <v>0</v>
      </c>
      <c r="DM311" s="675">
        <v>0</v>
      </c>
      <c r="DN311" s="549">
        <v>0</v>
      </c>
      <c r="DO311" s="675">
        <v>0</v>
      </c>
      <c r="DP311" s="549">
        <v>0</v>
      </c>
      <c r="DQ311" s="675">
        <v>0</v>
      </c>
      <c r="DR311" s="549">
        <v>0</v>
      </c>
      <c r="DS311" s="675">
        <v>0</v>
      </c>
      <c r="DT311" s="549">
        <v>0</v>
      </c>
      <c r="DU311" s="675">
        <v>0</v>
      </c>
      <c r="DV311" s="549">
        <v>0</v>
      </c>
      <c r="DW311" s="675">
        <v>0</v>
      </c>
      <c r="DX311" s="549">
        <v>0</v>
      </c>
      <c r="DY311" s="675">
        <v>0</v>
      </c>
      <c r="DZ311" s="549">
        <v>0</v>
      </c>
      <c r="EA311" s="675">
        <v>0</v>
      </c>
      <c r="EB311" s="549">
        <v>0</v>
      </c>
      <c r="EC311" s="675">
        <v>0</v>
      </c>
      <c r="ED311" s="549">
        <v>0</v>
      </c>
      <c r="EE311" s="675">
        <v>0</v>
      </c>
      <c r="EF311" s="549">
        <v>0</v>
      </c>
      <c r="EG311" s="675">
        <v>0</v>
      </c>
      <c r="EH311" s="549">
        <v>0</v>
      </c>
      <c r="EI311" s="675">
        <v>0</v>
      </c>
      <c r="EJ311" s="549">
        <v>0</v>
      </c>
      <c r="EK311" s="675">
        <v>0</v>
      </c>
      <c r="EL311" s="549">
        <v>0</v>
      </c>
      <c r="EM311" s="675">
        <v>0</v>
      </c>
      <c r="EN311" s="549">
        <v>0</v>
      </c>
      <c r="EO311" s="675">
        <v>0</v>
      </c>
      <c r="EP311" s="549">
        <v>0</v>
      </c>
      <c r="EQ311" s="675">
        <v>0</v>
      </c>
      <c r="ER311" s="549">
        <v>0</v>
      </c>
      <c r="ES311" s="675">
        <v>0</v>
      </c>
      <c r="ET311" s="549">
        <v>0</v>
      </c>
      <c r="EU311" s="675">
        <v>0</v>
      </c>
      <c r="EV311" s="549">
        <v>0</v>
      </c>
      <c r="EW311" s="675">
        <v>0</v>
      </c>
      <c r="EX311" s="549">
        <v>0</v>
      </c>
      <c r="EY311" s="675">
        <v>0</v>
      </c>
      <c r="EZ311" s="549">
        <v>0</v>
      </c>
      <c r="FA311" s="675">
        <v>0</v>
      </c>
      <c r="FB311" s="549">
        <v>0</v>
      </c>
      <c r="FC311" s="675">
        <v>0</v>
      </c>
      <c r="FD311" s="549">
        <v>0</v>
      </c>
      <c r="FE311" s="675">
        <v>0</v>
      </c>
      <c r="FF311" s="549">
        <v>0</v>
      </c>
      <c r="FG311" s="675">
        <v>0</v>
      </c>
      <c r="FH311" s="549">
        <v>0</v>
      </c>
      <c r="FI311" s="675">
        <v>0</v>
      </c>
      <c r="FJ311" s="549">
        <v>0</v>
      </c>
      <c r="FK311" s="675">
        <v>0</v>
      </c>
      <c r="FL311" s="549">
        <v>0</v>
      </c>
      <c r="FM311" s="675">
        <v>0</v>
      </c>
      <c r="FN311" s="549">
        <v>0</v>
      </c>
      <c r="FO311" s="675">
        <v>0</v>
      </c>
      <c r="FP311" s="549">
        <v>0</v>
      </c>
      <c r="FQ311" s="675">
        <v>0</v>
      </c>
      <c r="FR311" s="549">
        <v>0</v>
      </c>
      <c r="FS311" s="675">
        <v>0</v>
      </c>
      <c r="FT311" s="549">
        <v>0</v>
      </c>
      <c r="FU311" s="675">
        <v>0</v>
      </c>
      <c r="FV311" s="549">
        <v>0</v>
      </c>
      <c r="FW311" s="675">
        <v>0</v>
      </c>
      <c r="FX311" s="549">
        <v>0</v>
      </c>
      <c r="FY311" s="675">
        <v>0</v>
      </c>
      <c r="FZ311" s="549">
        <v>0</v>
      </c>
      <c r="GA311" s="675">
        <v>0</v>
      </c>
      <c r="GB311" s="549">
        <v>0</v>
      </c>
      <c r="GC311" s="675">
        <v>0</v>
      </c>
      <c r="GD311" s="549">
        <v>0</v>
      </c>
      <c r="GE311" s="675">
        <v>0</v>
      </c>
      <c r="GF311" s="549">
        <v>0</v>
      </c>
      <c r="GG311" s="675">
        <v>0</v>
      </c>
      <c r="GH311" s="549">
        <v>0</v>
      </c>
      <c r="GI311" s="675">
        <v>0</v>
      </c>
      <c r="GJ311" s="549">
        <v>0</v>
      </c>
      <c r="GK311" s="675">
        <v>0</v>
      </c>
      <c r="GL311" s="549">
        <v>0</v>
      </c>
      <c r="GM311" s="675">
        <v>0</v>
      </c>
      <c r="GN311" s="549">
        <v>0</v>
      </c>
      <c r="GO311" s="675">
        <v>0</v>
      </c>
      <c r="GP311" s="549">
        <f>+D311+F311+H311+J311+L311+N311+P311+R311+T311+V311+X311+Z311+AB311+AD311+AH311+AJ311+AL311+AN311+AP311+AR311+AT311+AV311+AX311+AZ311+BB311+BD311+BF311+BH311+BJ311+BL311+BN311+BP311+BR311+BT311+BV311+BX311+BZ311+CB311+CD311+CF311+CH311+CJ311+CL311+CN311+CP311+CR311+CT311+CV311+CX311+CZ311+DB311+DD311+DF311+DH311+DT311+EX311+DJ311+DL311+DN311+DP311+DR311+EJ311+EB311+DZ311+DX311+DV311+ED311+EF311+EH311+EL311+EN311+EP311+EV311+ET311+ER311+EZ311+FB311+FD311+GL311</f>
        <v>0</v>
      </c>
      <c r="GQ311" s="675">
        <f>+E311+G311+I311+K311+M311+O311+Q311+S311+U311+W311+Y311+AA311+AC311+AE311+AI311+AK311+AM311+AO311+AQ311+AS311+AU311+AW311+AY311+BA311+BC311+BE311+BG311+BI311+BK311+BM311+BO311+BQ311+BS311+BU311+BW311+BY311+CA311+CC311+CE311+CG311+CI311+CK311+CM311+CO311+CQ311+CS311+CU311+CW311+CY311+DA311+DC311+DE311+DG311+DI311+DU311+EY311+DK311+DM311+DO311+DQ311+DS311+EK311+EC311+EA311+DY311+DW311+EI311+EG311+EE311+EM311+EO311+EQ311+EW311+EU311+ES311+FA311+FC311+FE311+GM311</f>
        <v>0</v>
      </c>
      <c r="GR311" s="74">
        <f>C311+GP311+GQ311</f>
        <v>0</v>
      </c>
      <c r="GS311" s="74">
        <f>SUM(GU311:HB311)+GP311+GQ311</f>
        <v>0</v>
      </c>
      <c r="GT311" s="568">
        <f>SUM(GU311:HF311)+GQ311+GP311</f>
        <v>0</v>
      </c>
      <c r="GU311" s="73"/>
      <c r="GV311" s="73"/>
      <c r="GW311" s="549"/>
      <c r="GX311" s="549"/>
      <c r="GY311" s="73"/>
      <c r="GZ311" s="73"/>
      <c r="HA311" s="73"/>
      <c r="HB311" s="73"/>
      <c r="HC311" s="73"/>
      <c r="HD311" s="73"/>
      <c r="HE311" s="73"/>
      <c r="HF311" s="73"/>
      <c r="HG311" s="74">
        <f>SUM(HH311:IE311)+GP311+GQ311</f>
        <v>0</v>
      </c>
      <c r="HH311" s="89">
        <v>0</v>
      </c>
      <c r="HI311" s="817">
        <v>0</v>
      </c>
      <c r="HJ311" s="89">
        <v>0</v>
      </c>
      <c r="HK311" s="817">
        <v>0</v>
      </c>
      <c r="HL311" s="89">
        <v>0</v>
      </c>
      <c r="HM311" s="817">
        <v>0</v>
      </c>
      <c r="HN311" s="89">
        <v>0</v>
      </c>
      <c r="HO311" s="817">
        <v>0</v>
      </c>
      <c r="HP311" s="89">
        <v>0</v>
      </c>
      <c r="HQ311" s="817">
        <v>0</v>
      </c>
      <c r="HR311" s="89">
        <v>0</v>
      </c>
      <c r="HS311" s="817">
        <v>0</v>
      </c>
      <c r="HT311" s="89">
        <v>0</v>
      </c>
      <c r="HU311" s="817">
        <v>0</v>
      </c>
      <c r="HV311" s="89">
        <v>0</v>
      </c>
      <c r="HW311" s="817">
        <v>0</v>
      </c>
      <c r="HX311" s="89">
        <v>0</v>
      </c>
      <c r="HY311" s="817">
        <v>0</v>
      </c>
      <c r="HZ311" s="89">
        <v>0</v>
      </c>
      <c r="IA311" s="817">
        <v>0</v>
      </c>
      <c r="IB311" s="89">
        <v>0</v>
      </c>
      <c r="IC311" s="817">
        <v>0</v>
      </c>
      <c r="ID311" s="89">
        <v>0</v>
      </c>
      <c r="IE311" s="817">
        <v>0</v>
      </c>
      <c r="IF311" s="841">
        <f t="shared" ref="IF311" si="9562">SUM(II311,IL311,IO311,IR311,IU311,IX311,JA311,JD311,JG311,JJ311,JM311,JP311)</f>
        <v>0</v>
      </c>
      <c r="IG311" s="263">
        <f t="shared" ref="IG311" si="9563">SUM(IJ311,IM311,IP311,IS311,IV311,IY311,JB311,JE311,JH311,JK311,JN311,JQ311)</f>
        <v>0</v>
      </c>
      <c r="IH311" s="842">
        <f t="shared" ref="IH311" si="9564">SUM(IK311,IN311,IQ311,IT311,IW311,IZ311,JC311,JF311,JI311,JL311,JO311,JR311)</f>
        <v>0</v>
      </c>
      <c r="II311" s="89">
        <v>0</v>
      </c>
      <c r="IJ311" s="89">
        <v>0</v>
      </c>
      <c r="IK311" s="89">
        <v>0</v>
      </c>
      <c r="IL311" s="89">
        <v>0</v>
      </c>
      <c r="IM311" s="89">
        <v>0</v>
      </c>
      <c r="IN311" s="89">
        <v>0</v>
      </c>
      <c r="IO311" s="89">
        <v>0</v>
      </c>
      <c r="IP311" s="89">
        <v>0</v>
      </c>
      <c r="IQ311" s="89">
        <v>0</v>
      </c>
      <c r="IR311" s="89">
        <v>0</v>
      </c>
      <c r="IS311" s="89">
        <v>0</v>
      </c>
      <c r="IT311" s="89">
        <v>0</v>
      </c>
      <c r="IU311" s="89">
        <v>0</v>
      </c>
      <c r="IV311" s="89">
        <v>0</v>
      </c>
      <c r="IW311" s="89">
        <v>0</v>
      </c>
      <c r="IX311" s="89">
        <v>0</v>
      </c>
      <c r="IY311" s="89">
        <v>0</v>
      </c>
      <c r="IZ311" s="89">
        <v>0</v>
      </c>
      <c r="JA311" s="89">
        <v>0</v>
      </c>
      <c r="JB311" s="89">
        <v>0</v>
      </c>
      <c r="JC311" s="89">
        <v>0</v>
      </c>
      <c r="JD311" s="89">
        <v>0</v>
      </c>
      <c r="JE311" s="89">
        <v>0</v>
      </c>
      <c r="JF311" s="89">
        <v>0</v>
      </c>
      <c r="JG311" s="89">
        <v>0</v>
      </c>
      <c r="JH311" s="89">
        <v>0</v>
      </c>
      <c r="JI311" s="89">
        <v>0</v>
      </c>
      <c r="JJ311" s="89">
        <v>0</v>
      </c>
      <c r="JK311" s="89">
        <v>0</v>
      </c>
      <c r="JL311" s="89">
        <v>0</v>
      </c>
      <c r="JM311" s="89">
        <v>0</v>
      </c>
      <c r="JN311" s="89">
        <v>0</v>
      </c>
      <c r="JO311" s="89">
        <v>0</v>
      </c>
      <c r="JP311" s="89">
        <v>0</v>
      </c>
      <c r="JQ311" s="89">
        <v>0</v>
      </c>
      <c r="JR311" s="89">
        <v>0</v>
      </c>
      <c r="JS311" s="74">
        <f>HG311-IF311</f>
        <v>0</v>
      </c>
      <c r="JT311" s="382">
        <f>GS311-IF311</f>
        <v>0</v>
      </c>
      <c r="JU311" s="665"/>
      <c r="JV311" s="524"/>
      <c r="JW311" s="525"/>
      <c r="JX311" s="548">
        <f>SUM(HH311,HJ311,HL311,HN311,HP311,HR311,HT311,HV311,HX311,HZ311,IB311,ID311)</f>
        <v>0</v>
      </c>
      <c r="JY311" s="548">
        <f>SUM(HI311,HK311,HM311,HO311,HQ311,HS311,HU311,HW311,HY311,IA311,IC311,IE311)</f>
        <v>0</v>
      </c>
      <c r="JZ311" s="581">
        <f t="shared" si="9103"/>
        <v>0</v>
      </c>
      <c r="KA311" s="581">
        <f t="shared" si="9104"/>
        <v>0</v>
      </c>
      <c r="KB311" s="548">
        <f>JX311+JY311+JZ311+KA311</f>
        <v>0</v>
      </c>
      <c r="KC311" s="709">
        <f t="shared" si="9101"/>
        <v>0</v>
      </c>
      <c r="KD311" s="35"/>
      <c r="KE311" s="35"/>
      <c r="KF311" s="35"/>
      <c r="KG311" s="35"/>
      <c r="KH311" s="35"/>
      <c r="KI311" s="35"/>
      <c r="KJ311" s="35"/>
      <c r="KK311" s="35"/>
    </row>
    <row r="312" spans="1:297" s="10" customFormat="1" ht="12.75" hidden="1" customHeight="1">
      <c r="A312" s="86"/>
      <c r="B312" s="77"/>
      <c r="C312" s="74"/>
      <c r="D312" s="549"/>
      <c r="E312" s="675"/>
      <c r="F312" s="549"/>
      <c r="G312" s="675"/>
      <c r="H312" s="549"/>
      <c r="I312" s="675"/>
      <c r="J312" s="549"/>
      <c r="K312" s="675"/>
      <c r="L312" s="549"/>
      <c r="M312" s="675"/>
      <c r="N312" s="549"/>
      <c r="O312" s="675"/>
      <c r="P312" s="549"/>
      <c r="Q312" s="675"/>
      <c r="R312" s="549"/>
      <c r="S312" s="675"/>
      <c r="T312" s="549"/>
      <c r="U312" s="675"/>
      <c r="V312" s="549"/>
      <c r="W312" s="675"/>
      <c r="X312" s="549"/>
      <c r="Y312" s="675"/>
      <c r="Z312" s="549"/>
      <c r="AA312" s="675"/>
      <c r="AB312" s="549"/>
      <c r="AC312" s="675"/>
      <c r="AD312" s="549"/>
      <c r="AE312" s="675"/>
      <c r="AF312" s="549"/>
      <c r="AG312" s="675"/>
      <c r="AH312" s="549"/>
      <c r="AI312" s="675"/>
      <c r="AJ312" s="549"/>
      <c r="AK312" s="675"/>
      <c r="AL312" s="549"/>
      <c r="AM312" s="675"/>
      <c r="AN312" s="549"/>
      <c r="AO312" s="675"/>
      <c r="AP312" s="549"/>
      <c r="AQ312" s="675"/>
      <c r="AR312" s="549"/>
      <c r="AS312" s="675"/>
      <c r="AT312" s="549"/>
      <c r="AU312" s="675"/>
      <c r="AV312" s="549"/>
      <c r="AW312" s="675"/>
      <c r="AX312" s="549"/>
      <c r="AY312" s="675"/>
      <c r="AZ312" s="549"/>
      <c r="BA312" s="675"/>
      <c r="BB312" s="549"/>
      <c r="BC312" s="675"/>
      <c r="BD312" s="549"/>
      <c r="BE312" s="675"/>
      <c r="BF312" s="549"/>
      <c r="BG312" s="675"/>
      <c r="BH312" s="549"/>
      <c r="BI312" s="675"/>
      <c r="BJ312" s="549"/>
      <c r="BK312" s="675"/>
      <c r="BL312" s="549"/>
      <c r="BM312" s="675"/>
      <c r="BN312" s="549"/>
      <c r="BO312" s="675"/>
      <c r="BP312" s="549"/>
      <c r="BQ312" s="675"/>
      <c r="BR312" s="549"/>
      <c r="BS312" s="675"/>
      <c r="BT312" s="549"/>
      <c r="BU312" s="675"/>
      <c r="BV312" s="549"/>
      <c r="BW312" s="675"/>
      <c r="BX312" s="549"/>
      <c r="BY312" s="675"/>
      <c r="BZ312" s="549"/>
      <c r="CA312" s="675"/>
      <c r="CB312" s="549"/>
      <c r="CC312" s="675"/>
      <c r="CD312" s="549"/>
      <c r="CE312" s="675"/>
      <c r="CF312" s="549"/>
      <c r="CG312" s="675"/>
      <c r="CH312" s="549"/>
      <c r="CI312" s="675"/>
      <c r="CJ312" s="549"/>
      <c r="CK312" s="675"/>
      <c r="CL312" s="549"/>
      <c r="CM312" s="675"/>
      <c r="CN312" s="549"/>
      <c r="CO312" s="675"/>
      <c r="CP312" s="549"/>
      <c r="CQ312" s="675"/>
      <c r="CR312" s="549"/>
      <c r="CS312" s="675"/>
      <c r="CT312" s="549"/>
      <c r="CU312" s="675"/>
      <c r="CV312" s="549"/>
      <c r="CW312" s="675"/>
      <c r="CX312" s="549"/>
      <c r="CY312" s="675"/>
      <c r="CZ312" s="549"/>
      <c r="DA312" s="675"/>
      <c r="DB312" s="549"/>
      <c r="DC312" s="675"/>
      <c r="DD312" s="549"/>
      <c r="DE312" s="675"/>
      <c r="DF312" s="549"/>
      <c r="DG312" s="675"/>
      <c r="DH312" s="549"/>
      <c r="DI312" s="675"/>
      <c r="DJ312" s="549"/>
      <c r="DK312" s="675"/>
      <c r="DL312" s="549"/>
      <c r="DM312" s="675"/>
      <c r="DN312" s="549"/>
      <c r="DO312" s="675"/>
      <c r="DP312" s="549"/>
      <c r="DQ312" s="675"/>
      <c r="DR312" s="549"/>
      <c r="DS312" s="675"/>
      <c r="DT312" s="549"/>
      <c r="DU312" s="675"/>
      <c r="DV312" s="549"/>
      <c r="DW312" s="675"/>
      <c r="DX312" s="549"/>
      <c r="DY312" s="675"/>
      <c r="DZ312" s="549"/>
      <c r="EA312" s="675"/>
      <c r="EB312" s="549"/>
      <c r="EC312" s="675"/>
      <c r="ED312" s="549"/>
      <c r="EE312" s="675"/>
      <c r="EF312" s="549"/>
      <c r="EG312" s="675"/>
      <c r="EH312" s="549"/>
      <c r="EI312" s="675"/>
      <c r="EJ312" s="549"/>
      <c r="EK312" s="675"/>
      <c r="EL312" s="549"/>
      <c r="EM312" s="675"/>
      <c r="EN312" s="549"/>
      <c r="EO312" s="675"/>
      <c r="EP312" s="549"/>
      <c r="EQ312" s="675"/>
      <c r="ER312" s="549"/>
      <c r="ES312" s="675"/>
      <c r="ET312" s="549"/>
      <c r="EU312" s="675"/>
      <c r="EV312" s="549"/>
      <c r="EW312" s="675"/>
      <c r="EX312" s="549"/>
      <c r="EY312" s="675"/>
      <c r="EZ312" s="549"/>
      <c r="FA312" s="675"/>
      <c r="FB312" s="549"/>
      <c r="FC312" s="675"/>
      <c r="FD312" s="549"/>
      <c r="FE312" s="675"/>
      <c r="FF312" s="549"/>
      <c r="FG312" s="675"/>
      <c r="FH312" s="549"/>
      <c r="FI312" s="675"/>
      <c r="FJ312" s="549"/>
      <c r="FK312" s="675"/>
      <c r="FL312" s="549"/>
      <c r="FM312" s="675"/>
      <c r="FN312" s="549"/>
      <c r="FO312" s="675"/>
      <c r="FP312" s="549"/>
      <c r="FQ312" s="675"/>
      <c r="FR312" s="549"/>
      <c r="FS312" s="675"/>
      <c r="FT312" s="549"/>
      <c r="FU312" s="675"/>
      <c r="FV312" s="549"/>
      <c r="FW312" s="675"/>
      <c r="FX312" s="549"/>
      <c r="FY312" s="675"/>
      <c r="FZ312" s="549"/>
      <c r="GA312" s="675"/>
      <c r="GB312" s="549"/>
      <c r="GC312" s="675"/>
      <c r="GD312" s="549"/>
      <c r="GE312" s="675"/>
      <c r="GF312" s="549"/>
      <c r="GG312" s="675"/>
      <c r="GH312" s="549"/>
      <c r="GI312" s="675"/>
      <c r="GJ312" s="549"/>
      <c r="GK312" s="675"/>
      <c r="GL312" s="549"/>
      <c r="GM312" s="675"/>
      <c r="GN312" s="549"/>
      <c r="GO312" s="675"/>
      <c r="GP312" s="549"/>
      <c r="GQ312" s="675"/>
      <c r="GR312" s="74"/>
      <c r="GS312" s="74"/>
      <c r="GT312" s="568"/>
      <c r="GU312" s="73"/>
      <c r="GV312" s="73"/>
      <c r="GW312" s="549"/>
      <c r="GX312" s="549"/>
      <c r="GY312" s="73"/>
      <c r="GZ312" s="73"/>
      <c r="HA312" s="73"/>
      <c r="HB312" s="73"/>
      <c r="HC312" s="73"/>
      <c r="HD312" s="73"/>
      <c r="HE312" s="73"/>
      <c r="HF312" s="73"/>
      <c r="HG312" s="74"/>
      <c r="HH312" s="73"/>
      <c r="HI312" s="815"/>
      <c r="HJ312" s="73"/>
      <c r="HK312" s="815"/>
      <c r="HL312" s="73"/>
      <c r="HM312" s="815"/>
      <c r="HN312" s="73"/>
      <c r="HO312" s="815"/>
      <c r="HP312" s="73"/>
      <c r="HQ312" s="815"/>
      <c r="HR312" s="73"/>
      <c r="HS312" s="815"/>
      <c r="HT312" s="73"/>
      <c r="HU312" s="815"/>
      <c r="HV312" s="73"/>
      <c r="HW312" s="815"/>
      <c r="HX312" s="73"/>
      <c r="HY312" s="815"/>
      <c r="HZ312" s="73"/>
      <c r="IA312" s="815"/>
      <c r="IB312" s="73"/>
      <c r="IC312" s="815"/>
      <c r="ID312" s="73"/>
      <c r="IE312" s="815"/>
      <c r="IF312" s="841"/>
      <c r="IG312" s="263"/>
      <c r="IH312" s="842"/>
      <c r="II312" s="74"/>
      <c r="IJ312" s="74"/>
      <c r="IK312" s="74"/>
      <c r="IL312" s="74"/>
      <c r="IM312" s="74"/>
      <c r="IN312" s="74"/>
      <c r="IO312" s="74"/>
      <c r="IP312" s="74"/>
      <c r="IQ312" s="74"/>
      <c r="IR312" s="74"/>
      <c r="IS312" s="74"/>
      <c r="IT312" s="74"/>
      <c r="IU312" s="74"/>
      <c r="IV312" s="74"/>
      <c r="IW312" s="74"/>
      <c r="IX312" s="74"/>
      <c r="IY312" s="74"/>
      <c r="IZ312" s="74"/>
      <c r="JA312" s="74"/>
      <c r="JB312" s="74"/>
      <c r="JC312" s="74"/>
      <c r="JD312" s="74"/>
      <c r="JE312" s="74"/>
      <c r="JF312" s="74"/>
      <c r="JG312" s="74"/>
      <c r="JH312" s="74"/>
      <c r="JI312" s="74"/>
      <c r="JJ312" s="74"/>
      <c r="JK312" s="74"/>
      <c r="JL312" s="74"/>
      <c r="JM312" s="74"/>
      <c r="JN312" s="74"/>
      <c r="JO312" s="74"/>
      <c r="JP312" s="74"/>
      <c r="JQ312" s="74"/>
      <c r="JR312" s="74"/>
      <c r="JS312" s="74"/>
      <c r="JT312" s="382"/>
      <c r="JU312" s="665"/>
      <c r="JV312" s="524"/>
      <c r="JW312" s="525"/>
      <c r="JX312" s="548"/>
      <c r="JY312" s="548"/>
      <c r="JZ312" s="581"/>
      <c r="KA312" s="581"/>
      <c r="KB312" s="548"/>
      <c r="KC312" s="709">
        <f t="shared" si="9101"/>
        <v>0</v>
      </c>
      <c r="KD312" s="35"/>
      <c r="KE312" s="35"/>
      <c r="KF312" s="35"/>
      <c r="KG312" s="35"/>
      <c r="KH312" s="35"/>
      <c r="KI312" s="35"/>
      <c r="KJ312" s="35"/>
      <c r="KK312" s="35"/>
    </row>
    <row r="313" spans="1:297" s="10" customFormat="1" ht="12.75" hidden="1" customHeight="1">
      <c r="A313" s="80" t="s">
        <v>1155</v>
      </c>
      <c r="B313" s="77"/>
      <c r="C313" s="74">
        <f>C314</f>
        <v>0</v>
      </c>
      <c r="D313" s="549">
        <f t="shared" ref="D313:CC313" si="9565">SUM(D314)</f>
        <v>0</v>
      </c>
      <c r="E313" s="675">
        <f t="shared" si="9565"/>
        <v>0</v>
      </c>
      <c r="F313" s="549">
        <f t="shared" si="9565"/>
        <v>0</v>
      </c>
      <c r="G313" s="675">
        <f t="shared" si="9565"/>
        <v>0</v>
      </c>
      <c r="H313" s="549">
        <f t="shared" si="9565"/>
        <v>0</v>
      </c>
      <c r="I313" s="675">
        <f t="shared" si="9565"/>
        <v>0</v>
      </c>
      <c r="J313" s="549">
        <f t="shared" si="9565"/>
        <v>0</v>
      </c>
      <c r="K313" s="675">
        <f t="shared" si="9565"/>
        <v>0</v>
      </c>
      <c r="L313" s="549">
        <f t="shared" si="9565"/>
        <v>0</v>
      </c>
      <c r="M313" s="675">
        <f t="shared" si="9565"/>
        <v>0</v>
      </c>
      <c r="N313" s="549">
        <f t="shared" si="9565"/>
        <v>0</v>
      </c>
      <c r="O313" s="675">
        <f t="shared" si="9565"/>
        <v>0</v>
      </c>
      <c r="P313" s="549">
        <f t="shared" si="9565"/>
        <v>0</v>
      </c>
      <c r="Q313" s="675">
        <f t="shared" si="9565"/>
        <v>0</v>
      </c>
      <c r="R313" s="549">
        <f t="shared" si="9565"/>
        <v>0</v>
      </c>
      <c r="S313" s="675">
        <f t="shared" si="9565"/>
        <v>0</v>
      </c>
      <c r="T313" s="549">
        <f t="shared" si="9565"/>
        <v>0</v>
      </c>
      <c r="U313" s="675">
        <f t="shared" si="9565"/>
        <v>0</v>
      </c>
      <c r="V313" s="549">
        <f t="shared" si="9565"/>
        <v>0</v>
      </c>
      <c r="W313" s="675">
        <f t="shared" si="9565"/>
        <v>0</v>
      </c>
      <c r="X313" s="549">
        <f t="shared" si="9565"/>
        <v>0</v>
      </c>
      <c r="Y313" s="675">
        <f t="shared" si="9565"/>
        <v>0</v>
      </c>
      <c r="Z313" s="549">
        <f t="shared" si="9565"/>
        <v>0</v>
      </c>
      <c r="AA313" s="675">
        <f t="shared" si="9565"/>
        <v>0</v>
      </c>
      <c r="AB313" s="549">
        <f t="shared" si="9565"/>
        <v>0</v>
      </c>
      <c r="AC313" s="675">
        <f t="shared" si="9565"/>
        <v>0</v>
      </c>
      <c r="AD313" s="549">
        <f t="shared" si="9565"/>
        <v>0</v>
      </c>
      <c r="AE313" s="675">
        <f t="shared" si="9565"/>
        <v>0</v>
      </c>
      <c r="AF313" s="549">
        <f t="shared" si="9565"/>
        <v>0</v>
      </c>
      <c r="AG313" s="675">
        <f t="shared" si="9565"/>
        <v>0</v>
      </c>
      <c r="AH313" s="549">
        <f t="shared" si="9565"/>
        <v>0</v>
      </c>
      <c r="AI313" s="675">
        <f t="shared" si="9565"/>
        <v>0</v>
      </c>
      <c r="AJ313" s="549">
        <f t="shared" si="9565"/>
        <v>0</v>
      </c>
      <c r="AK313" s="675">
        <f t="shared" si="9565"/>
        <v>0</v>
      </c>
      <c r="AL313" s="549">
        <f t="shared" si="9565"/>
        <v>0</v>
      </c>
      <c r="AM313" s="675">
        <f t="shared" si="9565"/>
        <v>0</v>
      </c>
      <c r="AN313" s="549">
        <f t="shared" si="9565"/>
        <v>0</v>
      </c>
      <c r="AO313" s="675">
        <f t="shared" si="9565"/>
        <v>0</v>
      </c>
      <c r="AP313" s="549">
        <f t="shared" si="9565"/>
        <v>0</v>
      </c>
      <c r="AQ313" s="675">
        <f t="shared" si="9565"/>
        <v>0</v>
      </c>
      <c r="AR313" s="549">
        <f t="shared" si="9565"/>
        <v>0</v>
      </c>
      <c r="AS313" s="675">
        <f t="shared" si="9565"/>
        <v>0</v>
      </c>
      <c r="AT313" s="549">
        <f t="shared" si="9565"/>
        <v>0</v>
      </c>
      <c r="AU313" s="675">
        <f t="shared" si="9565"/>
        <v>0</v>
      </c>
      <c r="AV313" s="549">
        <f t="shared" si="9565"/>
        <v>0</v>
      </c>
      <c r="AW313" s="675">
        <f t="shared" si="9565"/>
        <v>0</v>
      </c>
      <c r="AX313" s="549">
        <f t="shared" si="9565"/>
        <v>0</v>
      </c>
      <c r="AY313" s="675">
        <f t="shared" si="9565"/>
        <v>0</v>
      </c>
      <c r="AZ313" s="549">
        <f t="shared" si="9565"/>
        <v>0</v>
      </c>
      <c r="BA313" s="675">
        <f t="shared" si="9565"/>
        <v>0</v>
      </c>
      <c r="BB313" s="549">
        <f t="shared" si="9565"/>
        <v>0</v>
      </c>
      <c r="BC313" s="675">
        <f t="shared" si="9565"/>
        <v>0</v>
      </c>
      <c r="BD313" s="549">
        <f t="shared" si="9565"/>
        <v>0</v>
      </c>
      <c r="BE313" s="675">
        <f t="shared" si="9565"/>
        <v>0</v>
      </c>
      <c r="BF313" s="549">
        <f t="shared" si="9565"/>
        <v>0</v>
      </c>
      <c r="BG313" s="675">
        <f t="shared" si="9565"/>
        <v>0</v>
      </c>
      <c r="BH313" s="549">
        <f t="shared" si="9565"/>
        <v>0</v>
      </c>
      <c r="BI313" s="675">
        <f t="shared" si="9565"/>
        <v>0</v>
      </c>
      <c r="BJ313" s="549">
        <f t="shared" si="9565"/>
        <v>0</v>
      </c>
      <c r="BK313" s="675">
        <f t="shared" si="9565"/>
        <v>0</v>
      </c>
      <c r="BL313" s="549">
        <f t="shared" si="9565"/>
        <v>0</v>
      </c>
      <c r="BM313" s="675">
        <f t="shared" si="9565"/>
        <v>0</v>
      </c>
      <c r="BN313" s="549">
        <f t="shared" si="9565"/>
        <v>0</v>
      </c>
      <c r="BO313" s="675">
        <f t="shared" si="9565"/>
        <v>0</v>
      </c>
      <c r="BP313" s="549">
        <f t="shared" si="9565"/>
        <v>0</v>
      </c>
      <c r="BQ313" s="675">
        <f t="shared" si="9565"/>
        <v>0</v>
      </c>
      <c r="BR313" s="549">
        <f t="shared" si="9565"/>
        <v>0</v>
      </c>
      <c r="BS313" s="675">
        <f t="shared" si="9565"/>
        <v>0</v>
      </c>
      <c r="BT313" s="549">
        <f t="shared" si="9565"/>
        <v>0</v>
      </c>
      <c r="BU313" s="675">
        <f t="shared" si="9565"/>
        <v>0</v>
      </c>
      <c r="BV313" s="549">
        <f t="shared" si="9565"/>
        <v>0</v>
      </c>
      <c r="BW313" s="675">
        <f t="shared" si="9565"/>
        <v>0</v>
      </c>
      <c r="BX313" s="549">
        <f t="shared" si="9565"/>
        <v>0</v>
      </c>
      <c r="BY313" s="675">
        <f t="shared" si="9565"/>
        <v>0</v>
      </c>
      <c r="BZ313" s="549">
        <f t="shared" si="9565"/>
        <v>0</v>
      </c>
      <c r="CA313" s="675">
        <f t="shared" si="9565"/>
        <v>0</v>
      </c>
      <c r="CB313" s="549">
        <f t="shared" si="9565"/>
        <v>0</v>
      </c>
      <c r="CC313" s="675">
        <f t="shared" si="9565"/>
        <v>0</v>
      </c>
      <c r="CD313" s="549">
        <f t="shared" ref="CD313:CE313" si="9566">SUM(CD314)</f>
        <v>0</v>
      </c>
      <c r="CE313" s="675">
        <f t="shared" si="9566"/>
        <v>0</v>
      </c>
      <c r="CF313" s="549">
        <f t="shared" ref="CF313:CG313" si="9567">SUM(CF314)</f>
        <v>0</v>
      </c>
      <c r="CG313" s="675">
        <f t="shared" si="9567"/>
        <v>0</v>
      </c>
      <c r="CH313" s="549">
        <f t="shared" ref="CH313:CI313" si="9568">SUM(CH314)</f>
        <v>0</v>
      </c>
      <c r="CI313" s="675">
        <f t="shared" si="9568"/>
        <v>0</v>
      </c>
      <c r="CJ313" s="549">
        <f t="shared" ref="CJ313:CK313" si="9569">SUM(CJ314)</f>
        <v>0</v>
      </c>
      <c r="CK313" s="675">
        <f t="shared" si="9569"/>
        <v>0</v>
      </c>
      <c r="CL313" s="549">
        <f t="shared" ref="CL313:CM313" si="9570">SUM(CL314)</f>
        <v>0</v>
      </c>
      <c r="CM313" s="675">
        <f t="shared" si="9570"/>
        <v>0</v>
      </c>
      <c r="CN313" s="549">
        <f t="shared" ref="CN313:CO313" si="9571">SUM(CN314)</f>
        <v>0</v>
      </c>
      <c r="CO313" s="675">
        <f t="shared" si="9571"/>
        <v>0</v>
      </c>
      <c r="CP313" s="549">
        <f t="shared" ref="CP313:CQ313" si="9572">SUM(CP314)</f>
        <v>0</v>
      </c>
      <c r="CQ313" s="675">
        <f t="shared" si="9572"/>
        <v>0</v>
      </c>
      <c r="CR313" s="549">
        <f t="shared" ref="CR313:CS313" si="9573">SUM(CR314)</f>
        <v>0</v>
      </c>
      <c r="CS313" s="675">
        <f t="shared" si="9573"/>
        <v>0</v>
      </c>
      <c r="CT313" s="549">
        <f t="shared" ref="CT313:CU313" si="9574">SUM(CT314)</f>
        <v>0</v>
      </c>
      <c r="CU313" s="675">
        <f t="shared" si="9574"/>
        <v>0</v>
      </c>
      <c r="CV313" s="549">
        <f t="shared" ref="CV313:CW313" si="9575">SUM(CV314)</f>
        <v>0</v>
      </c>
      <c r="CW313" s="675">
        <f t="shared" si="9575"/>
        <v>0</v>
      </c>
      <c r="CX313" s="549">
        <f t="shared" ref="CX313:CY313" si="9576">SUM(CX314)</f>
        <v>0</v>
      </c>
      <c r="CY313" s="675">
        <f t="shared" si="9576"/>
        <v>0</v>
      </c>
      <c r="CZ313" s="549">
        <f t="shared" ref="CZ313:DA313" si="9577">SUM(CZ314)</f>
        <v>0</v>
      </c>
      <c r="DA313" s="675">
        <f t="shared" si="9577"/>
        <v>0</v>
      </c>
      <c r="DB313" s="549">
        <f t="shared" ref="DB313:DC313" si="9578">SUM(DB314)</f>
        <v>0</v>
      </c>
      <c r="DC313" s="675">
        <f t="shared" si="9578"/>
        <v>0</v>
      </c>
      <c r="DD313" s="549">
        <f t="shared" ref="DD313:DE313" si="9579">SUM(DD314)</f>
        <v>0</v>
      </c>
      <c r="DE313" s="675">
        <f t="shared" si="9579"/>
        <v>0</v>
      </c>
      <c r="DF313" s="549">
        <f t="shared" ref="DF313:DG313" si="9580">SUM(DF314)</f>
        <v>0</v>
      </c>
      <c r="DG313" s="675">
        <f t="shared" si="9580"/>
        <v>0</v>
      </c>
      <c r="DH313" s="549">
        <f t="shared" ref="DH313:DI313" si="9581">SUM(DH314)</f>
        <v>0</v>
      </c>
      <c r="DI313" s="675">
        <f t="shared" si="9581"/>
        <v>0</v>
      </c>
      <c r="DJ313" s="549">
        <f t="shared" ref="DJ313:DK313" si="9582">SUM(DJ314)</f>
        <v>0</v>
      </c>
      <c r="DK313" s="675">
        <f t="shared" si="9582"/>
        <v>0</v>
      </c>
      <c r="DL313" s="549">
        <f t="shared" ref="DL313:DM313" si="9583">SUM(DL314)</f>
        <v>0</v>
      </c>
      <c r="DM313" s="675">
        <f t="shared" si="9583"/>
        <v>0</v>
      </c>
      <c r="DN313" s="549">
        <f t="shared" ref="DN313:DO313" si="9584">SUM(DN314)</f>
        <v>0</v>
      </c>
      <c r="DO313" s="675">
        <f t="shared" si="9584"/>
        <v>0</v>
      </c>
      <c r="DP313" s="549">
        <f t="shared" ref="DP313:DQ313" si="9585">SUM(DP314)</f>
        <v>0</v>
      </c>
      <c r="DQ313" s="675">
        <f t="shared" si="9585"/>
        <v>0</v>
      </c>
      <c r="DR313" s="549">
        <f t="shared" ref="DR313:DS313" si="9586">SUM(DR314)</f>
        <v>0</v>
      </c>
      <c r="DS313" s="675">
        <f t="shared" si="9586"/>
        <v>0</v>
      </c>
      <c r="DT313" s="549">
        <f t="shared" ref="DT313:DU313" si="9587">SUM(DT314)</f>
        <v>0</v>
      </c>
      <c r="DU313" s="675">
        <f t="shared" si="9587"/>
        <v>0</v>
      </c>
      <c r="DV313" s="549">
        <f t="shared" ref="DV313:DW313" si="9588">SUM(DV314)</f>
        <v>0</v>
      </c>
      <c r="DW313" s="675">
        <f t="shared" si="9588"/>
        <v>0</v>
      </c>
      <c r="DX313" s="549">
        <f t="shared" ref="DX313:DY313" si="9589">SUM(DX314)</f>
        <v>0</v>
      </c>
      <c r="DY313" s="675">
        <f t="shared" si="9589"/>
        <v>0</v>
      </c>
      <c r="DZ313" s="549">
        <f t="shared" ref="DZ313:EA313" si="9590">SUM(DZ314)</f>
        <v>0</v>
      </c>
      <c r="EA313" s="675">
        <f t="shared" si="9590"/>
        <v>0</v>
      </c>
      <c r="EB313" s="549">
        <f t="shared" ref="EB313:EC313" si="9591">SUM(EB314)</f>
        <v>0</v>
      </c>
      <c r="EC313" s="675">
        <f t="shared" si="9591"/>
        <v>0</v>
      </c>
      <c r="ED313" s="549">
        <f t="shared" ref="ED313:EE313" si="9592">SUM(ED314)</f>
        <v>0</v>
      </c>
      <c r="EE313" s="675">
        <f t="shared" si="9592"/>
        <v>0</v>
      </c>
      <c r="EF313" s="549">
        <f t="shared" ref="EF313:EG313" si="9593">SUM(EF314)</f>
        <v>0</v>
      </c>
      <c r="EG313" s="675">
        <f t="shared" si="9593"/>
        <v>0</v>
      </c>
      <c r="EH313" s="549">
        <f t="shared" ref="EH313:EI313" si="9594">SUM(EH314)</f>
        <v>0</v>
      </c>
      <c r="EI313" s="675">
        <f t="shared" si="9594"/>
        <v>0</v>
      </c>
      <c r="EJ313" s="549">
        <f t="shared" ref="EJ313:EK313" si="9595">SUM(EJ314)</f>
        <v>0</v>
      </c>
      <c r="EK313" s="675">
        <f t="shared" si="9595"/>
        <v>0</v>
      </c>
      <c r="EL313" s="549">
        <f t="shared" ref="EL313:EM313" si="9596">SUM(EL314)</f>
        <v>0</v>
      </c>
      <c r="EM313" s="675">
        <f t="shared" si="9596"/>
        <v>0</v>
      </c>
      <c r="EN313" s="549">
        <f t="shared" ref="EN313:EO313" si="9597">SUM(EN314)</f>
        <v>0</v>
      </c>
      <c r="EO313" s="675">
        <f t="shared" si="9597"/>
        <v>0</v>
      </c>
      <c r="EP313" s="549">
        <f t="shared" ref="EP313:EQ313" si="9598">SUM(EP314)</f>
        <v>0</v>
      </c>
      <c r="EQ313" s="675">
        <f t="shared" si="9598"/>
        <v>0</v>
      </c>
      <c r="ER313" s="549">
        <f t="shared" ref="ER313:ES313" si="9599">SUM(ER314)</f>
        <v>0</v>
      </c>
      <c r="ES313" s="675">
        <f t="shared" si="9599"/>
        <v>0</v>
      </c>
      <c r="ET313" s="549">
        <f t="shared" ref="ET313:EU313" si="9600">SUM(ET314)</f>
        <v>0</v>
      </c>
      <c r="EU313" s="675">
        <f t="shared" si="9600"/>
        <v>0</v>
      </c>
      <c r="EV313" s="549">
        <f t="shared" ref="EV313:EW313" si="9601">SUM(EV314)</f>
        <v>0</v>
      </c>
      <c r="EW313" s="675">
        <f t="shared" si="9601"/>
        <v>0</v>
      </c>
      <c r="EX313" s="549">
        <f t="shared" ref="EX313:EY313" si="9602">SUM(EX314)</f>
        <v>0</v>
      </c>
      <c r="EY313" s="675">
        <f t="shared" si="9602"/>
        <v>0</v>
      </c>
      <c r="EZ313" s="549">
        <f t="shared" ref="EZ313:FA313" si="9603">SUM(EZ314)</f>
        <v>0</v>
      </c>
      <c r="FA313" s="675">
        <f t="shared" si="9603"/>
        <v>0</v>
      </c>
      <c r="FB313" s="549">
        <f t="shared" ref="FB313:FC313" si="9604">SUM(FB314)</f>
        <v>0</v>
      </c>
      <c r="FC313" s="675">
        <f t="shared" si="9604"/>
        <v>0</v>
      </c>
      <c r="FD313" s="549">
        <f t="shared" ref="FD313:FE313" si="9605">SUM(FD314)</f>
        <v>0</v>
      </c>
      <c r="FE313" s="675">
        <f t="shared" si="9605"/>
        <v>0</v>
      </c>
      <c r="FF313" s="549">
        <f t="shared" ref="FF313:FG313" si="9606">SUM(FF314)</f>
        <v>0</v>
      </c>
      <c r="FG313" s="675">
        <f t="shared" si="9606"/>
        <v>0</v>
      </c>
      <c r="FH313" s="549">
        <f t="shared" ref="FH313:FI313" si="9607">SUM(FH314)</f>
        <v>0</v>
      </c>
      <c r="FI313" s="675">
        <f t="shared" si="9607"/>
        <v>0</v>
      </c>
      <c r="FJ313" s="549">
        <f t="shared" ref="FJ313:FK313" si="9608">SUM(FJ314)</f>
        <v>0</v>
      </c>
      <c r="FK313" s="675">
        <f t="shared" si="9608"/>
        <v>0</v>
      </c>
      <c r="FL313" s="549">
        <f t="shared" ref="FL313:FM313" si="9609">SUM(FL314)</f>
        <v>0</v>
      </c>
      <c r="FM313" s="675">
        <f t="shared" si="9609"/>
        <v>0</v>
      </c>
      <c r="FN313" s="549">
        <f t="shared" ref="FN313:HF313" si="9610">SUM(FN314)</f>
        <v>0</v>
      </c>
      <c r="FO313" s="675">
        <f t="shared" ref="FO313" si="9611">SUM(FO314)</f>
        <v>0</v>
      </c>
      <c r="FP313" s="549">
        <f t="shared" si="9610"/>
        <v>0</v>
      </c>
      <c r="FQ313" s="675">
        <f t="shared" si="9610"/>
        <v>0</v>
      </c>
      <c r="FR313" s="549">
        <f t="shared" si="9610"/>
        <v>0</v>
      </c>
      <c r="FS313" s="675">
        <f t="shared" si="9610"/>
        <v>0</v>
      </c>
      <c r="FT313" s="549">
        <f t="shared" si="9610"/>
        <v>0</v>
      </c>
      <c r="FU313" s="675">
        <f t="shared" si="9610"/>
        <v>0</v>
      </c>
      <c r="FV313" s="549">
        <f t="shared" si="9610"/>
        <v>0</v>
      </c>
      <c r="FW313" s="675">
        <f t="shared" si="9610"/>
        <v>0</v>
      </c>
      <c r="FX313" s="549">
        <f t="shared" si="9610"/>
        <v>0</v>
      </c>
      <c r="FY313" s="675">
        <f t="shared" si="9610"/>
        <v>0</v>
      </c>
      <c r="FZ313" s="549">
        <f t="shared" si="9610"/>
        <v>0</v>
      </c>
      <c r="GA313" s="675">
        <f t="shared" si="9610"/>
        <v>0</v>
      </c>
      <c r="GB313" s="549">
        <f t="shared" si="9610"/>
        <v>0</v>
      </c>
      <c r="GC313" s="675">
        <f t="shared" si="9610"/>
        <v>0</v>
      </c>
      <c r="GD313" s="549">
        <f t="shared" si="9610"/>
        <v>0</v>
      </c>
      <c r="GE313" s="675">
        <f t="shared" si="9610"/>
        <v>0</v>
      </c>
      <c r="GF313" s="549">
        <f t="shared" si="9610"/>
        <v>0</v>
      </c>
      <c r="GG313" s="675">
        <f t="shared" si="9610"/>
        <v>0</v>
      </c>
      <c r="GH313" s="549">
        <f t="shared" si="9610"/>
        <v>0</v>
      </c>
      <c r="GI313" s="675">
        <f t="shared" si="9610"/>
        <v>0</v>
      </c>
      <c r="GJ313" s="549">
        <f t="shared" si="9610"/>
        <v>0</v>
      </c>
      <c r="GK313" s="675">
        <f t="shared" si="9610"/>
        <v>0</v>
      </c>
      <c r="GL313" s="549">
        <f t="shared" si="9610"/>
        <v>0</v>
      </c>
      <c r="GM313" s="675">
        <f t="shared" si="9610"/>
        <v>0</v>
      </c>
      <c r="GN313" s="549">
        <f t="shared" si="9610"/>
        <v>0</v>
      </c>
      <c r="GO313" s="675">
        <f t="shared" si="9610"/>
        <v>0</v>
      </c>
      <c r="GP313" s="549">
        <f t="shared" si="9610"/>
        <v>0</v>
      </c>
      <c r="GQ313" s="675">
        <f t="shared" si="9610"/>
        <v>0</v>
      </c>
      <c r="GR313" s="74">
        <f>SUM(GR314)</f>
        <v>0</v>
      </c>
      <c r="GS313" s="74">
        <f>SUM(GS314)</f>
        <v>0</v>
      </c>
      <c r="GT313" s="74">
        <f t="shared" si="9610"/>
        <v>0</v>
      </c>
      <c r="GU313" s="74">
        <f t="shared" si="9610"/>
        <v>0</v>
      </c>
      <c r="GV313" s="74">
        <f t="shared" si="9610"/>
        <v>0</v>
      </c>
      <c r="GW313" s="74">
        <f t="shared" si="9610"/>
        <v>0</v>
      </c>
      <c r="GX313" s="74">
        <f t="shared" si="9610"/>
        <v>0</v>
      </c>
      <c r="GY313" s="74">
        <f t="shared" si="9610"/>
        <v>0</v>
      </c>
      <c r="GZ313" s="74">
        <f t="shared" si="9610"/>
        <v>0</v>
      </c>
      <c r="HA313" s="74">
        <f t="shared" si="9610"/>
        <v>0</v>
      </c>
      <c r="HB313" s="74">
        <f t="shared" si="9610"/>
        <v>0</v>
      </c>
      <c r="HC313" s="74">
        <f t="shared" si="9610"/>
        <v>0</v>
      </c>
      <c r="HD313" s="74">
        <f t="shared" si="9610"/>
        <v>0</v>
      </c>
      <c r="HE313" s="74">
        <f t="shared" si="9610"/>
        <v>0</v>
      </c>
      <c r="HF313" s="74">
        <f t="shared" si="9610"/>
        <v>0</v>
      </c>
      <c r="HG313" s="74">
        <f>SUM(HG314)</f>
        <v>0</v>
      </c>
      <c r="HH313" s="73"/>
      <c r="HI313" s="815"/>
      <c r="HJ313" s="73"/>
      <c r="HK313" s="815"/>
      <c r="HL313" s="73"/>
      <c r="HM313" s="815"/>
      <c r="HN313" s="73"/>
      <c r="HO313" s="815"/>
      <c r="HP313" s="73"/>
      <c r="HQ313" s="815"/>
      <c r="HR313" s="73"/>
      <c r="HS313" s="815"/>
      <c r="HT313" s="73"/>
      <c r="HU313" s="815"/>
      <c r="HV313" s="73"/>
      <c r="HW313" s="815"/>
      <c r="HX313" s="73"/>
      <c r="HY313" s="815"/>
      <c r="HZ313" s="73"/>
      <c r="IA313" s="815"/>
      <c r="IB313" s="73"/>
      <c r="IC313" s="815"/>
      <c r="ID313" s="73"/>
      <c r="IE313" s="815"/>
      <c r="IF313" s="841">
        <f t="shared" ref="IF313:IH313" si="9612">SUM(IF314)</f>
        <v>0</v>
      </c>
      <c r="IG313" s="263">
        <f t="shared" si="9612"/>
        <v>0</v>
      </c>
      <c r="IH313" s="842">
        <f t="shared" si="9612"/>
        <v>0</v>
      </c>
      <c r="II313" s="155">
        <f t="shared" ref="II313:JR313" si="9613">II314</f>
        <v>0</v>
      </c>
      <c r="IJ313" s="155">
        <f t="shared" si="9613"/>
        <v>0</v>
      </c>
      <c r="IK313" s="155">
        <f t="shared" si="9613"/>
        <v>0</v>
      </c>
      <c r="IL313" s="155">
        <f t="shared" si="9613"/>
        <v>0</v>
      </c>
      <c r="IM313" s="155">
        <f t="shared" si="9613"/>
        <v>0</v>
      </c>
      <c r="IN313" s="155">
        <f t="shared" si="9613"/>
        <v>0</v>
      </c>
      <c r="IO313" s="155">
        <f t="shared" si="9613"/>
        <v>0</v>
      </c>
      <c r="IP313" s="155">
        <f t="shared" si="9613"/>
        <v>0</v>
      </c>
      <c r="IQ313" s="155">
        <f t="shared" si="9613"/>
        <v>0</v>
      </c>
      <c r="IR313" s="155">
        <f t="shared" si="9613"/>
        <v>0</v>
      </c>
      <c r="IS313" s="155">
        <f t="shared" si="9613"/>
        <v>0</v>
      </c>
      <c r="IT313" s="155">
        <f t="shared" si="9613"/>
        <v>0</v>
      </c>
      <c r="IU313" s="155">
        <f t="shared" si="9613"/>
        <v>0</v>
      </c>
      <c r="IV313" s="155">
        <f t="shared" si="9613"/>
        <v>0</v>
      </c>
      <c r="IW313" s="155">
        <f t="shared" si="9613"/>
        <v>0</v>
      </c>
      <c r="IX313" s="155">
        <f t="shared" si="9613"/>
        <v>0</v>
      </c>
      <c r="IY313" s="155">
        <f t="shared" si="9613"/>
        <v>0</v>
      </c>
      <c r="IZ313" s="155">
        <f t="shared" si="9613"/>
        <v>0</v>
      </c>
      <c r="JA313" s="155">
        <f t="shared" si="9613"/>
        <v>0</v>
      </c>
      <c r="JB313" s="155">
        <f t="shared" si="9613"/>
        <v>0</v>
      </c>
      <c r="JC313" s="155">
        <f t="shared" si="9613"/>
        <v>0</v>
      </c>
      <c r="JD313" s="155">
        <f t="shared" si="9613"/>
        <v>0</v>
      </c>
      <c r="JE313" s="155">
        <f t="shared" si="9613"/>
        <v>0</v>
      </c>
      <c r="JF313" s="155">
        <f t="shared" si="9613"/>
        <v>0</v>
      </c>
      <c r="JG313" s="155">
        <f t="shared" si="9613"/>
        <v>0</v>
      </c>
      <c r="JH313" s="155">
        <f t="shared" si="9613"/>
        <v>0</v>
      </c>
      <c r="JI313" s="155">
        <f t="shared" si="9613"/>
        <v>0</v>
      </c>
      <c r="JJ313" s="155">
        <f t="shared" si="9613"/>
        <v>0</v>
      </c>
      <c r="JK313" s="155">
        <f t="shared" si="9613"/>
        <v>0</v>
      </c>
      <c r="JL313" s="155">
        <f t="shared" si="9613"/>
        <v>0</v>
      </c>
      <c r="JM313" s="155">
        <f t="shared" si="9613"/>
        <v>0</v>
      </c>
      <c r="JN313" s="155">
        <f t="shared" si="9613"/>
        <v>0</v>
      </c>
      <c r="JO313" s="155">
        <f t="shared" si="9613"/>
        <v>0</v>
      </c>
      <c r="JP313" s="155">
        <f t="shared" si="9613"/>
        <v>0</v>
      </c>
      <c r="JQ313" s="155">
        <f t="shared" si="9613"/>
        <v>0</v>
      </c>
      <c r="JR313" s="155">
        <f t="shared" si="9613"/>
        <v>0</v>
      </c>
      <c r="JS313" s="74">
        <f>SUM(JS314)</f>
        <v>0</v>
      </c>
      <c r="JT313" s="74">
        <f>SUM(JT314)</f>
        <v>0</v>
      </c>
      <c r="JU313" s="665"/>
      <c r="JV313" s="524"/>
      <c r="JW313" s="525"/>
      <c r="JX313" s="74">
        <f>SUM(JX314)</f>
        <v>0</v>
      </c>
      <c r="JY313" s="74">
        <f>SUM(JY314)</f>
        <v>0</v>
      </c>
      <c r="JZ313" s="581">
        <f t="shared" ref="JZ313:JZ314" si="9614">GP313</f>
        <v>0</v>
      </c>
      <c r="KA313" s="581">
        <f t="shared" ref="KA313:KA314" si="9615">GQ313</f>
        <v>0</v>
      </c>
      <c r="KB313" s="74">
        <f>SUM(KB314)</f>
        <v>0</v>
      </c>
      <c r="KC313" s="709">
        <f t="shared" si="9101"/>
        <v>0</v>
      </c>
      <c r="KD313" s="35"/>
      <c r="KE313" s="35"/>
      <c r="KF313" s="35"/>
      <c r="KG313" s="35"/>
      <c r="KH313" s="35"/>
      <c r="KI313" s="35"/>
      <c r="KJ313" s="35"/>
      <c r="KK313" s="35"/>
    </row>
    <row r="314" spans="1:297" s="10" customFormat="1" ht="12.75" hidden="1" customHeight="1">
      <c r="A314" s="86" t="s">
        <v>1154</v>
      </c>
      <c r="B314" s="77"/>
      <c r="C314" s="74">
        <v>0</v>
      </c>
      <c r="D314" s="549">
        <v>0</v>
      </c>
      <c r="E314" s="675">
        <v>0</v>
      </c>
      <c r="F314" s="549">
        <v>0</v>
      </c>
      <c r="G314" s="675">
        <v>0</v>
      </c>
      <c r="H314" s="549">
        <v>0</v>
      </c>
      <c r="I314" s="675">
        <v>0</v>
      </c>
      <c r="J314" s="549">
        <v>0</v>
      </c>
      <c r="K314" s="675">
        <v>0</v>
      </c>
      <c r="L314" s="549">
        <v>0</v>
      </c>
      <c r="M314" s="675">
        <v>0</v>
      </c>
      <c r="N314" s="549">
        <v>0</v>
      </c>
      <c r="O314" s="675">
        <v>0</v>
      </c>
      <c r="P314" s="549">
        <v>0</v>
      </c>
      <c r="Q314" s="675">
        <v>0</v>
      </c>
      <c r="R314" s="549">
        <v>0</v>
      </c>
      <c r="S314" s="675">
        <v>0</v>
      </c>
      <c r="T314" s="549">
        <v>0</v>
      </c>
      <c r="U314" s="675">
        <v>0</v>
      </c>
      <c r="V314" s="549">
        <v>0</v>
      </c>
      <c r="W314" s="675">
        <v>0</v>
      </c>
      <c r="X314" s="549">
        <v>0</v>
      </c>
      <c r="Y314" s="675">
        <v>0</v>
      </c>
      <c r="Z314" s="549">
        <v>0</v>
      </c>
      <c r="AA314" s="675">
        <v>0</v>
      </c>
      <c r="AB314" s="549">
        <v>0</v>
      </c>
      <c r="AC314" s="675">
        <v>0</v>
      </c>
      <c r="AD314" s="549">
        <v>0</v>
      </c>
      <c r="AE314" s="675">
        <v>0</v>
      </c>
      <c r="AF314" s="549">
        <v>0</v>
      </c>
      <c r="AG314" s="675">
        <v>0</v>
      </c>
      <c r="AH314" s="549">
        <v>0</v>
      </c>
      <c r="AI314" s="675">
        <v>0</v>
      </c>
      <c r="AJ314" s="549">
        <v>0</v>
      </c>
      <c r="AK314" s="675">
        <v>0</v>
      </c>
      <c r="AL314" s="549">
        <v>0</v>
      </c>
      <c r="AM314" s="675">
        <v>0</v>
      </c>
      <c r="AN314" s="549">
        <v>0</v>
      </c>
      <c r="AO314" s="675">
        <v>0</v>
      </c>
      <c r="AP314" s="549">
        <v>0</v>
      </c>
      <c r="AQ314" s="675">
        <v>0</v>
      </c>
      <c r="AR314" s="549">
        <v>0</v>
      </c>
      <c r="AS314" s="675">
        <v>0</v>
      </c>
      <c r="AT314" s="549">
        <v>0</v>
      </c>
      <c r="AU314" s="675">
        <v>0</v>
      </c>
      <c r="AV314" s="549">
        <v>0</v>
      </c>
      <c r="AW314" s="675">
        <v>0</v>
      </c>
      <c r="AX314" s="549">
        <v>0</v>
      </c>
      <c r="AY314" s="675">
        <v>0</v>
      </c>
      <c r="AZ314" s="549">
        <v>0</v>
      </c>
      <c r="BA314" s="675">
        <v>0</v>
      </c>
      <c r="BB314" s="549">
        <v>0</v>
      </c>
      <c r="BC314" s="675">
        <v>0</v>
      </c>
      <c r="BD314" s="549">
        <v>0</v>
      </c>
      <c r="BE314" s="675">
        <v>0</v>
      </c>
      <c r="BF314" s="549">
        <v>0</v>
      </c>
      <c r="BG314" s="675">
        <v>0</v>
      </c>
      <c r="BH314" s="549">
        <v>0</v>
      </c>
      <c r="BI314" s="675">
        <v>0</v>
      </c>
      <c r="BJ314" s="549">
        <v>0</v>
      </c>
      <c r="BK314" s="675">
        <v>0</v>
      </c>
      <c r="BL314" s="549">
        <v>0</v>
      </c>
      <c r="BM314" s="675">
        <v>0</v>
      </c>
      <c r="BN314" s="549">
        <v>0</v>
      </c>
      <c r="BO314" s="675">
        <v>0</v>
      </c>
      <c r="BP314" s="549">
        <v>0</v>
      </c>
      <c r="BQ314" s="675">
        <v>0</v>
      </c>
      <c r="BR314" s="549">
        <v>0</v>
      </c>
      <c r="BS314" s="675">
        <v>0</v>
      </c>
      <c r="BT314" s="549">
        <v>0</v>
      </c>
      <c r="BU314" s="675">
        <v>0</v>
      </c>
      <c r="BV314" s="549">
        <v>0</v>
      </c>
      <c r="BW314" s="675">
        <v>0</v>
      </c>
      <c r="BX314" s="549">
        <v>0</v>
      </c>
      <c r="BY314" s="675">
        <v>0</v>
      </c>
      <c r="BZ314" s="549">
        <v>0</v>
      </c>
      <c r="CA314" s="675">
        <v>0</v>
      </c>
      <c r="CB314" s="549">
        <v>0</v>
      </c>
      <c r="CC314" s="675">
        <v>0</v>
      </c>
      <c r="CD314" s="549">
        <v>0</v>
      </c>
      <c r="CE314" s="675">
        <v>0</v>
      </c>
      <c r="CF314" s="549">
        <v>0</v>
      </c>
      <c r="CG314" s="675">
        <v>0</v>
      </c>
      <c r="CH314" s="549">
        <v>0</v>
      </c>
      <c r="CI314" s="675">
        <v>0</v>
      </c>
      <c r="CJ314" s="549">
        <v>0</v>
      </c>
      <c r="CK314" s="675">
        <v>0</v>
      </c>
      <c r="CL314" s="549">
        <v>0</v>
      </c>
      <c r="CM314" s="675">
        <v>0</v>
      </c>
      <c r="CN314" s="549">
        <v>0</v>
      </c>
      <c r="CO314" s="675">
        <v>0</v>
      </c>
      <c r="CP314" s="549">
        <v>0</v>
      </c>
      <c r="CQ314" s="675">
        <v>0</v>
      </c>
      <c r="CR314" s="549">
        <v>0</v>
      </c>
      <c r="CS314" s="675">
        <v>0</v>
      </c>
      <c r="CT314" s="549">
        <v>0</v>
      </c>
      <c r="CU314" s="675">
        <v>0</v>
      </c>
      <c r="CV314" s="549">
        <v>0</v>
      </c>
      <c r="CW314" s="675">
        <v>0</v>
      </c>
      <c r="CX314" s="549">
        <v>0</v>
      </c>
      <c r="CY314" s="675">
        <v>0</v>
      </c>
      <c r="CZ314" s="549">
        <v>0</v>
      </c>
      <c r="DA314" s="675">
        <v>0</v>
      </c>
      <c r="DB314" s="549">
        <v>0</v>
      </c>
      <c r="DC314" s="675">
        <v>0</v>
      </c>
      <c r="DD314" s="549">
        <v>0</v>
      </c>
      <c r="DE314" s="675">
        <v>0</v>
      </c>
      <c r="DF314" s="549">
        <v>0</v>
      </c>
      <c r="DG314" s="675">
        <v>0</v>
      </c>
      <c r="DH314" s="549">
        <v>0</v>
      </c>
      <c r="DI314" s="675">
        <v>0</v>
      </c>
      <c r="DJ314" s="549">
        <v>0</v>
      </c>
      <c r="DK314" s="675">
        <v>0</v>
      </c>
      <c r="DL314" s="549">
        <v>0</v>
      </c>
      <c r="DM314" s="675">
        <v>0</v>
      </c>
      <c r="DN314" s="549">
        <v>0</v>
      </c>
      <c r="DO314" s="675">
        <v>0</v>
      </c>
      <c r="DP314" s="549">
        <v>0</v>
      </c>
      <c r="DQ314" s="675">
        <v>0</v>
      </c>
      <c r="DR314" s="549">
        <v>0</v>
      </c>
      <c r="DS314" s="675">
        <v>0</v>
      </c>
      <c r="DT314" s="549">
        <v>0</v>
      </c>
      <c r="DU314" s="675">
        <v>0</v>
      </c>
      <c r="DV314" s="549">
        <v>0</v>
      </c>
      <c r="DW314" s="675">
        <v>0</v>
      </c>
      <c r="DX314" s="549">
        <v>0</v>
      </c>
      <c r="DY314" s="675">
        <v>0</v>
      </c>
      <c r="DZ314" s="549">
        <v>0</v>
      </c>
      <c r="EA314" s="675">
        <v>0</v>
      </c>
      <c r="EB314" s="549">
        <v>0</v>
      </c>
      <c r="EC314" s="675">
        <v>0</v>
      </c>
      <c r="ED314" s="549">
        <v>0</v>
      </c>
      <c r="EE314" s="675">
        <v>0</v>
      </c>
      <c r="EF314" s="549">
        <v>0</v>
      </c>
      <c r="EG314" s="675">
        <v>0</v>
      </c>
      <c r="EH314" s="549">
        <v>0</v>
      </c>
      <c r="EI314" s="675">
        <v>0</v>
      </c>
      <c r="EJ314" s="549">
        <v>0</v>
      </c>
      <c r="EK314" s="675">
        <v>0</v>
      </c>
      <c r="EL314" s="549">
        <v>0</v>
      </c>
      <c r="EM314" s="675">
        <v>0</v>
      </c>
      <c r="EN314" s="549">
        <v>0</v>
      </c>
      <c r="EO314" s="675">
        <v>0</v>
      </c>
      <c r="EP314" s="549">
        <v>0</v>
      </c>
      <c r="EQ314" s="675">
        <v>0</v>
      </c>
      <c r="ER314" s="549">
        <v>0</v>
      </c>
      <c r="ES314" s="675">
        <v>0</v>
      </c>
      <c r="ET314" s="549">
        <v>0</v>
      </c>
      <c r="EU314" s="675">
        <v>0</v>
      </c>
      <c r="EV314" s="549">
        <v>0</v>
      </c>
      <c r="EW314" s="675">
        <v>0</v>
      </c>
      <c r="EX314" s="549">
        <v>0</v>
      </c>
      <c r="EY314" s="675">
        <v>0</v>
      </c>
      <c r="EZ314" s="549">
        <v>0</v>
      </c>
      <c r="FA314" s="675">
        <v>0</v>
      </c>
      <c r="FB314" s="549">
        <v>0</v>
      </c>
      <c r="FC314" s="675">
        <v>0</v>
      </c>
      <c r="FD314" s="549">
        <v>0</v>
      </c>
      <c r="FE314" s="675">
        <v>0</v>
      </c>
      <c r="FF314" s="549">
        <v>0</v>
      </c>
      <c r="FG314" s="675">
        <v>0</v>
      </c>
      <c r="FH314" s="549">
        <v>0</v>
      </c>
      <c r="FI314" s="675">
        <v>0</v>
      </c>
      <c r="FJ314" s="549">
        <v>0</v>
      </c>
      <c r="FK314" s="675">
        <v>0</v>
      </c>
      <c r="FL314" s="549">
        <v>0</v>
      </c>
      <c r="FM314" s="675">
        <v>0</v>
      </c>
      <c r="FN314" s="549">
        <v>0</v>
      </c>
      <c r="FO314" s="675">
        <v>0</v>
      </c>
      <c r="FP314" s="549">
        <v>0</v>
      </c>
      <c r="FQ314" s="675">
        <v>0</v>
      </c>
      <c r="FR314" s="549">
        <v>0</v>
      </c>
      <c r="FS314" s="675">
        <v>0</v>
      </c>
      <c r="FT314" s="549">
        <v>0</v>
      </c>
      <c r="FU314" s="675">
        <v>0</v>
      </c>
      <c r="FV314" s="549">
        <v>0</v>
      </c>
      <c r="FW314" s="675">
        <v>0</v>
      </c>
      <c r="FX314" s="549">
        <v>0</v>
      </c>
      <c r="FY314" s="675">
        <v>0</v>
      </c>
      <c r="FZ314" s="549">
        <v>0</v>
      </c>
      <c r="GA314" s="675">
        <v>0</v>
      </c>
      <c r="GB314" s="549">
        <v>0</v>
      </c>
      <c r="GC314" s="675">
        <v>0</v>
      </c>
      <c r="GD314" s="549">
        <v>0</v>
      </c>
      <c r="GE314" s="675">
        <v>0</v>
      </c>
      <c r="GF314" s="549">
        <v>0</v>
      </c>
      <c r="GG314" s="675">
        <v>0</v>
      </c>
      <c r="GH314" s="549">
        <v>0</v>
      </c>
      <c r="GI314" s="675">
        <v>0</v>
      </c>
      <c r="GJ314" s="549">
        <v>0</v>
      </c>
      <c r="GK314" s="675">
        <v>0</v>
      </c>
      <c r="GL314" s="549">
        <v>0</v>
      </c>
      <c r="GM314" s="675">
        <v>0</v>
      </c>
      <c r="GN314" s="549">
        <v>0</v>
      </c>
      <c r="GO314" s="675">
        <v>0</v>
      </c>
      <c r="GP314" s="549">
        <f>+D314+F314+H314+J314+L314+N314+P314+R314+T314+V314+X314+Z314+AB314+AD314+AH314+AJ314+AL314+AN314+AP314+AR314+AT314+AV314+AX314+AZ314+BB314+BD314+BF314+BH314+BJ314+BL314+BN314+BP314+BR314+BT314+BV314+BX314+BZ314+CB314+CD314+CF314+CH314+CJ314+CL314+CN314+CP314+CR314+CT314+CV314+CX314+CZ314+DB314+DD314+DF314+DH314+DT314+EX314+DJ314+DL314+DN314+DP314+DR314+EJ314+EB314+DZ314+DX314+DV314+ED314+EF314+EH314+EL314+EN314+EP314+EV314+ET314+ER314+EZ314+FB314+FD314+GL314+FF314+FJ314+FL314+GJ314+FT314+FR314+FP314+FN314+FH314</f>
        <v>0</v>
      </c>
      <c r="GQ314" s="675">
        <f>+E314+G314+I314+K314+M314+O314+Q314+S314+U314+W314+Y314+AA314+AC314+AE314+AI314+AK314+AM314+AO314+AQ314+AS314+AU314+AW314+AY314+BA314+BC314+BE314+BG314+BI314+BK314+BM314+BO314+BQ314+BS314+BU314+BW314+BY314+CA314+CC314+CE314+CG314+CI314+CK314+CM314+CO314+CQ314+CS314+CU314+CW314+CY314+DA314+DC314+DE314+DG314+DI314+DU314+EY314+DK314+DM314+DO314+DQ314+DS314+EK314+EC314+EA314+DY314+DW314+EI314+EG314+EE314+EM314+EO314+EQ314+EW314+EU314+ES314+FA314+FC314+FE314+GM314+FG314+FK314+FM314+FO314+FQ314+FS314+FU314+GK314+FI314</f>
        <v>0</v>
      </c>
      <c r="GR314" s="74">
        <f>C314+GP314+GQ314</f>
        <v>0</v>
      </c>
      <c r="GS314" s="74">
        <f>SUM(GU314:HB314)+GP314+GQ314</f>
        <v>0</v>
      </c>
      <c r="GT314" s="568">
        <f>SUM(GU314:HF314)+GQ314+GP314</f>
        <v>0</v>
      </c>
      <c r="GU314" s="73"/>
      <c r="GV314" s="73"/>
      <c r="GW314" s="549"/>
      <c r="GX314" s="549"/>
      <c r="GY314" s="73"/>
      <c r="GZ314" s="73"/>
      <c r="HA314" s="73"/>
      <c r="HB314" s="73"/>
      <c r="HC314" s="73"/>
      <c r="HD314" s="73"/>
      <c r="HE314" s="73"/>
      <c r="HF314" s="73"/>
      <c r="HG314" s="74">
        <f>SUM(HH314:IE314)+GP314+GQ314</f>
        <v>0</v>
      </c>
      <c r="HH314" s="89">
        <v>0</v>
      </c>
      <c r="HI314" s="817">
        <v>0</v>
      </c>
      <c r="HJ314" s="89">
        <v>0</v>
      </c>
      <c r="HK314" s="817">
        <v>0</v>
      </c>
      <c r="HL314" s="89">
        <v>0</v>
      </c>
      <c r="HM314" s="817">
        <v>0</v>
      </c>
      <c r="HN314" s="89">
        <v>0</v>
      </c>
      <c r="HO314" s="817">
        <v>0</v>
      </c>
      <c r="HP314" s="89">
        <v>0</v>
      </c>
      <c r="HQ314" s="817">
        <v>0</v>
      </c>
      <c r="HR314" s="89">
        <v>0</v>
      </c>
      <c r="HS314" s="817">
        <v>0</v>
      </c>
      <c r="HT314" s="89">
        <v>0</v>
      </c>
      <c r="HU314" s="817">
        <v>0</v>
      </c>
      <c r="HV314" s="89">
        <v>0</v>
      </c>
      <c r="HW314" s="817">
        <v>0</v>
      </c>
      <c r="HX314" s="89">
        <v>0</v>
      </c>
      <c r="HY314" s="817">
        <v>0</v>
      </c>
      <c r="HZ314" s="89">
        <v>0</v>
      </c>
      <c r="IA314" s="817">
        <v>0</v>
      </c>
      <c r="IB314" s="89">
        <v>0</v>
      </c>
      <c r="IC314" s="817">
        <v>0</v>
      </c>
      <c r="ID314" s="89">
        <v>0</v>
      </c>
      <c r="IE314" s="817">
        <v>0</v>
      </c>
      <c r="IF314" s="841">
        <f t="shared" ref="IF314" si="9616">SUM(II314,IL314,IO314,IR314,IU314,IX314,JA314,JD314,JG314,JJ314,JM314,JP314)</f>
        <v>0</v>
      </c>
      <c r="IG314" s="263">
        <f t="shared" ref="IG314" si="9617">SUM(IJ314,IM314,IP314,IS314,IV314,IY314,JB314,JE314,JH314,JK314,JN314,JQ314)</f>
        <v>0</v>
      </c>
      <c r="IH314" s="842">
        <f t="shared" ref="IH314" si="9618">SUM(IK314,IN314,IQ314,IT314,IW314,IZ314,JC314,JF314,JI314,JL314,JO314,JR314)</f>
        <v>0</v>
      </c>
      <c r="II314" s="89">
        <v>0</v>
      </c>
      <c r="IJ314" s="89">
        <f>II314</f>
        <v>0</v>
      </c>
      <c r="IK314" s="89">
        <f>IJ314</f>
        <v>0</v>
      </c>
      <c r="IL314" s="89">
        <v>0</v>
      </c>
      <c r="IM314" s="89">
        <f>IL314</f>
        <v>0</v>
      </c>
      <c r="IN314" s="89">
        <f>IM314</f>
        <v>0</v>
      </c>
      <c r="IO314" s="89">
        <v>0</v>
      </c>
      <c r="IP314" s="89">
        <f>IO314</f>
        <v>0</v>
      </c>
      <c r="IQ314" s="89">
        <f>IP314</f>
        <v>0</v>
      </c>
      <c r="IR314" s="89">
        <v>0</v>
      </c>
      <c r="IS314" s="89">
        <f>IR314</f>
        <v>0</v>
      </c>
      <c r="IT314" s="89">
        <f>IS314</f>
        <v>0</v>
      </c>
      <c r="IU314" s="89">
        <v>0</v>
      </c>
      <c r="IV314" s="89">
        <f>IU314</f>
        <v>0</v>
      </c>
      <c r="IW314" s="89">
        <f>IV314</f>
        <v>0</v>
      </c>
      <c r="IX314" s="89">
        <v>0</v>
      </c>
      <c r="IY314" s="89">
        <f>IX314</f>
        <v>0</v>
      </c>
      <c r="IZ314" s="89">
        <f>IY314</f>
        <v>0</v>
      </c>
      <c r="JA314" s="89">
        <v>0</v>
      </c>
      <c r="JB314" s="89">
        <f>JA314</f>
        <v>0</v>
      </c>
      <c r="JC314" s="89">
        <f>JB314</f>
        <v>0</v>
      </c>
      <c r="JD314" s="89">
        <v>0</v>
      </c>
      <c r="JE314" s="89">
        <f>JD314</f>
        <v>0</v>
      </c>
      <c r="JF314" s="89">
        <f>JE314</f>
        <v>0</v>
      </c>
      <c r="JG314" s="89">
        <v>0</v>
      </c>
      <c r="JH314" s="89">
        <f>JG314</f>
        <v>0</v>
      </c>
      <c r="JI314" s="89">
        <f>JH314</f>
        <v>0</v>
      </c>
      <c r="JJ314" s="89">
        <v>0</v>
      </c>
      <c r="JK314" s="89">
        <f>JJ314</f>
        <v>0</v>
      </c>
      <c r="JL314" s="89">
        <f>JK314</f>
        <v>0</v>
      </c>
      <c r="JM314" s="89">
        <v>0</v>
      </c>
      <c r="JN314" s="89">
        <f>JM314</f>
        <v>0</v>
      </c>
      <c r="JO314" s="89">
        <f>JN314</f>
        <v>0</v>
      </c>
      <c r="JP314" s="89">
        <v>0</v>
      </c>
      <c r="JQ314" s="89">
        <f>JP314</f>
        <v>0</v>
      </c>
      <c r="JR314" s="89">
        <f>JQ314</f>
        <v>0</v>
      </c>
      <c r="JS314" s="74">
        <f>HG314-IF314</f>
        <v>0</v>
      </c>
      <c r="JT314" s="382">
        <f>GS314-IF314</f>
        <v>0</v>
      </c>
      <c r="JU314" s="665"/>
      <c r="JV314" s="524"/>
      <c r="JW314" s="525"/>
      <c r="JX314" s="548">
        <f>SUM(HH314,HJ314,HL314,HN314,HP314,HR314,HT314,HV314,HX314,HZ314,IB314,ID314)</f>
        <v>0</v>
      </c>
      <c r="JY314" s="548">
        <f>SUM(HI314,HK314,HM314,HO314,HQ314,HS314,HU314,HW314,HY314,IA314,IC314,IE314)</f>
        <v>0</v>
      </c>
      <c r="JZ314" s="581">
        <f t="shared" si="9614"/>
        <v>0</v>
      </c>
      <c r="KA314" s="581">
        <f t="shared" si="9615"/>
        <v>0</v>
      </c>
      <c r="KB314" s="548">
        <f>JX314+JY314+JZ314+KA314</f>
        <v>0</v>
      </c>
      <c r="KC314" s="709">
        <f t="shared" si="9101"/>
        <v>0</v>
      </c>
      <c r="KD314" s="35"/>
      <c r="KE314" s="35"/>
      <c r="KF314" s="35"/>
      <c r="KG314" s="35"/>
      <c r="KH314" s="35"/>
      <c r="KI314" s="35"/>
      <c r="KJ314" s="35"/>
      <c r="KK314" s="35"/>
    </row>
    <row r="315" spans="1:297" s="10" customFormat="1" ht="12.75" hidden="1" customHeight="1">
      <c r="A315" s="86"/>
      <c r="B315" s="77"/>
      <c r="C315" s="74"/>
      <c r="D315" s="549"/>
      <c r="E315" s="675"/>
      <c r="F315" s="549"/>
      <c r="G315" s="675"/>
      <c r="H315" s="549"/>
      <c r="I315" s="675"/>
      <c r="J315" s="549"/>
      <c r="K315" s="675"/>
      <c r="L315" s="549"/>
      <c r="M315" s="675"/>
      <c r="N315" s="549"/>
      <c r="O315" s="675"/>
      <c r="P315" s="549"/>
      <c r="Q315" s="675"/>
      <c r="R315" s="549"/>
      <c r="S315" s="675"/>
      <c r="T315" s="549"/>
      <c r="U315" s="675"/>
      <c r="V315" s="549"/>
      <c r="W315" s="675"/>
      <c r="X315" s="549"/>
      <c r="Y315" s="675"/>
      <c r="Z315" s="549"/>
      <c r="AA315" s="675"/>
      <c r="AB315" s="549"/>
      <c r="AC315" s="675"/>
      <c r="AD315" s="549"/>
      <c r="AE315" s="675"/>
      <c r="AF315" s="549"/>
      <c r="AG315" s="675"/>
      <c r="AH315" s="549"/>
      <c r="AI315" s="675"/>
      <c r="AJ315" s="549"/>
      <c r="AK315" s="675"/>
      <c r="AL315" s="549"/>
      <c r="AM315" s="675"/>
      <c r="AN315" s="549"/>
      <c r="AO315" s="675"/>
      <c r="AP315" s="549"/>
      <c r="AQ315" s="675"/>
      <c r="AR315" s="549"/>
      <c r="AS315" s="675"/>
      <c r="AT315" s="549"/>
      <c r="AU315" s="675"/>
      <c r="AV315" s="549"/>
      <c r="AW315" s="675"/>
      <c r="AX315" s="549"/>
      <c r="AY315" s="675"/>
      <c r="AZ315" s="549"/>
      <c r="BA315" s="675"/>
      <c r="BB315" s="549"/>
      <c r="BC315" s="675"/>
      <c r="BD315" s="549"/>
      <c r="BE315" s="675"/>
      <c r="BF315" s="549"/>
      <c r="BG315" s="675"/>
      <c r="BH315" s="549"/>
      <c r="BI315" s="675"/>
      <c r="BJ315" s="549"/>
      <c r="BK315" s="675"/>
      <c r="BL315" s="549"/>
      <c r="BM315" s="675"/>
      <c r="BN315" s="549"/>
      <c r="BO315" s="675"/>
      <c r="BP315" s="549"/>
      <c r="BQ315" s="675"/>
      <c r="BR315" s="549"/>
      <c r="BS315" s="675"/>
      <c r="BT315" s="549"/>
      <c r="BU315" s="675"/>
      <c r="BV315" s="549"/>
      <c r="BW315" s="675"/>
      <c r="BX315" s="549"/>
      <c r="BY315" s="675"/>
      <c r="BZ315" s="549"/>
      <c r="CA315" s="675"/>
      <c r="CB315" s="549"/>
      <c r="CC315" s="675"/>
      <c r="CD315" s="549"/>
      <c r="CE315" s="675"/>
      <c r="CF315" s="549"/>
      <c r="CG315" s="675"/>
      <c r="CH315" s="549"/>
      <c r="CI315" s="675"/>
      <c r="CJ315" s="549"/>
      <c r="CK315" s="675"/>
      <c r="CL315" s="549"/>
      <c r="CM315" s="675"/>
      <c r="CN315" s="549"/>
      <c r="CO315" s="675"/>
      <c r="CP315" s="549"/>
      <c r="CQ315" s="675"/>
      <c r="CR315" s="549"/>
      <c r="CS315" s="675"/>
      <c r="CT315" s="549"/>
      <c r="CU315" s="675"/>
      <c r="CV315" s="549"/>
      <c r="CW315" s="675"/>
      <c r="CX315" s="549"/>
      <c r="CY315" s="675"/>
      <c r="CZ315" s="549"/>
      <c r="DA315" s="675"/>
      <c r="DB315" s="549"/>
      <c r="DC315" s="675"/>
      <c r="DD315" s="549"/>
      <c r="DE315" s="675"/>
      <c r="DF315" s="549"/>
      <c r="DG315" s="675"/>
      <c r="DH315" s="549"/>
      <c r="DI315" s="675"/>
      <c r="DJ315" s="549"/>
      <c r="DK315" s="675"/>
      <c r="DL315" s="549"/>
      <c r="DM315" s="675"/>
      <c r="DN315" s="549"/>
      <c r="DO315" s="675"/>
      <c r="DP315" s="549"/>
      <c r="DQ315" s="675"/>
      <c r="DR315" s="549"/>
      <c r="DS315" s="675"/>
      <c r="DT315" s="549"/>
      <c r="DU315" s="675"/>
      <c r="DV315" s="549"/>
      <c r="DW315" s="675"/>
      <c r="DX315" s="549"/>
      <c r="DY315" s="675"/>
      <c r="DZ315" s="549"/>
      <c r="EA315" s="675"/>
      <c r="EB315" s="549"/>
      <c r="EC315" s="675"/>
      <c r="ED315" s="549"/>
      <c r="EE315" s="675"/>
      <c r="EF315" s="549"/>
      <c r="EG315" s="675"/>
      <c r="EH315" s="549"/>
      <c r="EI315" s="675"/>
      <c r="EJ315" s="549"/>
      <c r="EK315" s="675"/>
      <c r="EL315" s="549"/>
      <c r="EM315" s="675"/>
      <c r="EN315" s="549"/>
      <c r="EO315" s="675"/>
      <c r="EP315" s="549"/>
      <c r="EQ315" s="675"/>
      <c r="ER315" s="549"/>
      <c r="ES315" s="675"/>
      <c r="ET315" s="549"/>
      <c r="EU315" s="675"/>
      <c r="EV315" s="549"/>
      <c r="EW315" s="675"/>
      <c r="EX315" s="549"/>
      <c r="EY315" s="675"/>
      <c r="EZ315" s="549"/>
      <c r="FA315" s="675"/>
      <c r="FB315" s="549"/>
      <c r="FC315" s="675"/>
      <c r="FD315" s="549"/>
      <c r="FE315" s="675"/>
      <c r="FF315" s="549"/>
      <c r="FG315" s="675"/>
      <c r="FH315" s="549"/>
      <c r="FI315" s="675"/>
      <c r="FJ315" s="549"/>
      <c r="FK315" s="675"/>
      <c r="FL315" s="549"/>
      <c r="FM315" s="675"/>
      <c r="FN315" s="549"/>
      <c r="FO315" s="675"/>
      <c r="FP315" s="549"/>
      <c r="FQ315" s="675"/>
      <c r="FR315" s="549"/>
      <c r="FS315" s="675"/>
      <c r="FT315" s="549"/>
      <c r="FU315" s="675"/>
      <c r="FV315" s="549"/>
      <c r="FW315" s="675"/>
      <c r="FX315" s="549"/>
      <c r="FY315" s="675"/>
      <c r="FZ315" s="549"/>
      <c r="GA315" s="675"/>
      <c r="GB315" s="549"/>
      <c r="GC315" s="675"/>
      <c r="GD315" s="549"/>
      <c r="GE315" s="675"/>
      <c r="GF315" s="549"/>
      <c r="GG315" s="675"/>
      <c r="GH315" s="549"/>
      <c r="GI315" s="675"/>
      <c r="GJ315" s="549"/>
      <c r="GK315" s="675"/>
      <c r="GL315" s="549"/>
      <c r="GM315" s="675"/>
      <c r="GN315" s="549"/>
      <c r="GO315" s="675"/>
      <c r="GP315" s="549"/>
      <c r="GQ315" s="675"/>
      <c r="GR315" s="74"/>
      <c r="GS315" s="74"/>
      <c r="GT315" s="568"/>
      <c r="GU315" s="73"/>
      <c r="GV315" s="73"/>
      <c r="GW315" s="549"/>
      <c r="GX315" s="549"/>
      <c r="GY315" s="73"/>
      <c r="GZ315" s="73"/>
      <c r="HA315" s="73"/>
      <c r="HB315" s="73"/>
      <c r="HC315" s="73"/>
      <c r="HD315" s="73"/>
      <c r="HE315" s="73"/>
      <c r="HF315" s="73"/>
      <c r="HG315" s="74"/>
      <c r="HH315" s="89"/>
      <c r="HI315" s="817"/>
      <c r="HJ315" s="89"/>
      <c r="HK315" s="817"/>
      <c r="HL315" s="89"/>
      <c r="HM315" s="817"/>
      <c r="HN315" s="89"/>
      <c r="HO315" s="817"/>
      <c r="HP315" s="89"/>
      <c r="HQ315" s="817"/>
      <c r="HR315" s="89"/>
      <c r="HS315" s="817"/>
      <c r="HT315" s="89"/>
      <c r="HU315" s="817"/>
      <c r="HV315" s="89"/>
      <c r="HW315" s="817"/>
      <c r="HX315" s="89"/>
      <c r="HY315" s="817"/>
      <c r="HZ315" s="89"/>
      <c r="IA315" s="817"/>
      <c r="IB315" s="89"/>
      <c r="IC315" s="817"/>
      <c r="ID315" s="89"/>
      <c r="IE315" s="817"/>
      <c r="IF315" s="841"/>
      <c r="IG315" s="263"/>
      <c r="IH315" s="842"/>
      <c r="II315" s="89"/>
      <c r="IJ315" s="89"/>
      <c r="IK315" s="89"/>
      <c r="IL315" s="89"/>
      <c r="IM315" s="89"/>
      <c r="IN315" s="89"/>
      <c r="IO315" s="89"/>
      <c r="IP315" s="89"/>
      <c r="IQ315" s="89"/>
      <c r="IR315" s="89"/>
      <c r="IS315" s="89"/>
      <c r="IT315" s="89"/>
      <c r="IU315" s="89"/>
      <c r="IV315" s="89"/>
      <c r="IW315" s="89"/>
      <c r="IX315" s="89"/>
      <c r="IY315" s="89"/>
      <c r="IZ315" s="89"/>
      <c r="JA315" s="89"/>
      <c r="JB315" s="89"/>
      <c r="JC315" s="89"/>
      <c r="JD315" s="89"/>
      <c r="JE315" s="89"/>
      <c r="JF315" s="89"/>
      <c r="JG315" s="89"/>
      <c r="JH315" s="89"/>
      <c r="JI315" s="89"/>
      <c r="JJ315" s="89"/>
      <c r="JK315" s="89"/>
      <c r="JL315" s="89"/>
      <c r="JM315" s="89"/>
      <c r="JN315" s="89"/>
      <c r="JO315" s="89"/>
      <c r="JP315" s="89"/>
      <c r="JQ315" s="89"/>
      <c r="JR315" s="89"/>
      <c r="JS315" s="74"/>
      <c r="JT315" s="382"/>
      <c r="JU315" s="665"/>
      <c r="JV315" s="524"/>
      <c r="JW315" s="525"/>
      <c r="JX315" s="548"/>
      <c r="JY315" s="548"/>
      <c r="JZ315" s="581"/>
      <c r="KA315" s="581"/>
      <c r="KB315" s="548"/>
      <c r="KC315" s="709"/>
      <c r="KD315" s="35"/>
      <c r="KE315" s="35"/>
      <c r="KF315" s="35"/>
      <c r="KG315" s="35"/>
      <c r="KH315" s="35"/>
      <c r="KI315" s="35"/>
      <c r="KJ315" s="35"/>
      <c r="KK315" s="35"/>
    </row>
    <row r="316" spans="1:297" s="10" customFormat="1" ht="12.75" hidden="1" customHeight="1">
      <c r="A316" s="80" t="s">
        <v>1177</v>
      </c>
      <c r="B316" s="77"/>
      <c r="C316" s="74">
        <f>C317</f>
        <v>0</v>
      </c>
      <c r="D316" s="549">
        <f t="shared" ref="D316:HG316" si="9619">D317</f>
        <v>0</v>
      </c>
      <c r="E316" s="675">
        <f t="shared" si="9619"/>
        <v>0</v>
      </c>
      <c r="F316" s="549">
        <f t="shared" si="9619"/>
        <v>0</v>
      </c>
      <c r="G316" s="675">
        <f t="shared" si="9619"/>
        <v>0</v>
      </c>
      <c r="H316" s="549">
        <f t="shared" si="9619"/>
        <v>0</v>
      </c>
      <c r="I316" s="675">
        <f t="shared" si="9619"/>
        <v>0</v>
      </c>
      <c r="J316" s="549">
        <f t="shared" si="9619"/>
        <v>0</v>
      </c>
      <c r="K316" s="675">
        <f t="shared" si="9619"/>
        <v>0</v>
      </c>
      <c r="L316" s="549">
        <f t="shared" si="9619"/>
        <v>0</v>
      </c>
      <c r="M316" s="675">
        <f t="shared" si="9619"/>
        <v>0</v>
      </c>
      <c r="N316" s="549">
        <f t="shared" si="9619"/>
        <v>0</v>
      </c>
      <c r="O316" s="675">
        <f t="shared" si="9619"/>
        <v>0</v>
      </c>
      <c r="P316" s="549">
        <f t="shared" si="9619"/>
        <v>0</v>
      </c>
      <c r="Q316" s="675">
        <f t="shared" si="9619"/>
        <v>0</v>
      </c>
      <c r="R316" s="549">
        <f t="shared" si="9619"/>
        <v>0</v>
      </c>
      <c r="S316" s="675">
        <f t="shared" si="9619"/>
        <v>0</v>
      </c>
      <c r="T316" s="549">
        <f t="shared" si="9619"/>
        <v>0</v>
      </c>
      <c r="U316" s="675">
        <f t="shared" si="9619"/>
        <v>0</v>
      </c>
      <c r="V316" s="549">
        <f t="shared" si="9619"/>
        <v>0</v>
      </c>
      <c r="W316" s="675">
        <f t="shared" si="9619"/>
        <v>0</v>
      </c>
      <c r="X316" s="549">
        <f t="shared" si="9619"/>
        <v>0</v>
      </c>
      <c r="Y316" s="675">
        <f t="shared" si="9619"/>
        <v>0</v>
      </c>
      <c r="Z316" s="549">
        <f t="shared" si="9619"/>
        <v>0</v>
      </c>
      <c r="AA316" s="675">
        <f t="shared" si="9619"/>
        <v>0</v>
      </c>
      <c r="AB316" s="549">
        <f t="shared" si="9619"/>
        <v>0</v>
      </c>
      <c r="AC316" s="675">
        <f t="shared" si="9619"/>
        <v>0</v>
      </c>
      <c r="AD316" s="549">
        <f t="shared" si="9619"/>
        <v>0</v>
      </c>
      <c r="AE316" s="675">
        <f t="shared" si="9619"/>
        <v>0</v>
      </c>
      <c r="AF316" s="549">
        <f t="shared" si="9619"/>
        <v>0</v>
      </c>
      <c r="AG316" s="675">
        <f t="shared" si="9619"/>
        <v>0</v>
      </c>
      <c r="AH316" s="549">
        <f t="shared" si="9619"/>
        <v>0</v>
      </c>
      <c r="AI316" s="675">
        <f t="shared" si="9619"/>
        <v>0</v>
      </c>
      <c r="AJ316" s="549">
        <f t="shared" si="9619"/>
        <v>0</v>
      </c>
      <c r="AK316" s="675">
        <f t="shared" si="9619"/>
        <v>0</v>
      </c>
      <c r="AL316" s="549">
        <f t="shared" si="9619"/>
        <v>0</v>
      </c>
      <c r="AM316" s="675">
        <f t="shared" si="9619"/>
        <v>0</v>
      </c>
      <c r="AN316" s="549">
        <f t="shared" si="9619"/>
        <v>0</v>
      </c>
      <c r="AO316" s="675">
        <f t="shared" si="9619"/>
        <v>0</v>
      </c>
      <c r="AP316" s="549">
        <f t="shared" si="9619"/>
        <v>0</v>
      </c>
      <c r="AQ316" s="675">
        <f t="shared" si="9619"/>
        <v>0</v>
      </c>
      <c r="AR316" s="549">
        <f t="shared" si="9619"/>
        <v>0</v>
      </c>
      <c r="AS316" s="675">
        <f t="shared" si="9619"/>
        <v>0</v>
      </c>
      <c r="AT316" s="549">
        <f t="shared" si="9619"/>
        <v>0</v>
      </c>
      <c r="AU316" s="675">
        <f t="shared" si="9619"/>
        <v>0</v>
      </c>
      <c r="AV316" s="549">
        <f t="shared" si="9619"/>
        <v>0</v>
      </c>
      <c r="AW316" s="675">
        <f t="shared" si="9619"/>
        <v>0</v>
      </c>
      <c r="AX316" s="549">
        <f t="shared" si="9619"/>
        <v>0</v>
      </c>
      <c r="AY316" s="675">
        <f t="shared" si="9619"/>
        <v>0</v>
      </c>
      <c r="AZ316" s="549">
        <f t="shared" si="9619"/>
        <v>0</v>
      </c>
      <c r="BA316" s="675">
        <f t="shared" si="9619"/>
        <v>0</v>
      </c>
      <c r="BB316" s="549">
        <f t="shared" si="9619"/>
        <v>0</v>
      </c>
      <c r="BC316" s="675">
        <f t="shared" si="9619"/>
        <v>0</v>
      </c>
      <c r="BD316" s="549">
        <f t="shared" si="9619"/>
        <v>0</v>
      </c>
      <c r="BE316" s="675">
        <f t="shared" si="9619"/>
        <v>0</v>
      </c>
      <c r="BF316" s="549">
        <f t="shared" si="9619"/>
        <v>0</v>
      </c>
      <c r="BG316" s="675">
        <f t="shared" si="9619"/>
        <v>0</v>
      </c>
      <c r="BH316" s="549">
        <f t="shared" si="9619"/>
        <v>0</v>
      </c>
      <c r="BI316" s="675">
        <f t="shared" si="9619"/>
        <v>0</v>
      </c>
      <c r="BJ316" s="549">
        <f t="shared" si="9619"/>
        <v>0</v>
      </c>
      <c r="BK316" s="675">
        <f t="shared" si="9619"/>
        <v>0</v>
      </c>
      <c r="BL316" s="549">
        <f t="shared" si="9619"/>
        <v>0</v>
      </c>
      <c r="BM316" s="675">
        <f t="shared" si="9619"/>
        <v>0</v>
      </c>
      <c r="BN316" s="549">
        <f t="shared" si="9619"/>
        <v>0</v>
      </c>
      <c r="BO316" s="675">
        <f t="shared" si="9619"/>
        <v>0</v>
      </c>
      <c r="BP316" s="549">
        <f t="shared" si="9619"/>
        <v>0</v>
      </c>
      <c r="BQ316" s="675">
        <f t="shared" si="9619"/>
        <v>0</v>
      </c>
      <c r="BR316" s="549">
        <f t="shared" si="9619"/>
        <v>0</v>
      </c>
      <c r="BS316" s="675">
        <f t="shared" si="9619"/>
        <v>0</v>
      </c>
      <c r="BT316" s="549">
        <f t="shared" si="9619"/>
        <v>0</v>
      </c>
      <c r="BU316" s="675">
        <f t="shared" si="9619"/>
        <v>0</v>
      </c>
      <c r="BV316" s="549">
        <f t="shared" si="9619"/>
        <v>0</v>
      </c>
      <c r="BW316" s="675">
        <f t="shared" si="9619"/>
        <v>0</v>
      </c>
      <c r="BX316" s="549">
        <f t="shared" si="9619"/>
        <v>0</v>
      </c>
      <c r="BY316" s="675">
        <f t="shared" si="9619"/>
        <v>0</v>
      </c>
      <c r="BZ316" s="549">
        <f t="shared" si="9619"/>
        <v>0</v>
      </c>
      <c r="CA316" s="675">
        <f t="shared" si="9619"/>
        <v>0</v>
      </c>
      <c r="CB316" s="549">
        <f t="shared" si="9619"/>
        <v>0</v>
      </c>
      <c r="CC316" s="675">
        <f t="shared" si="9619"/>
        <v>0</v>
      </c>
      <c r="CD316" s="549">
        <f t="shared" si="9619"/>
        <v>0</v>
      </c>
      <c r="CE316" s="675">
        <f t="shared" si="9619"/>
        <v>0</v>
      </c>
      <c r="CF316" s="549">
        <f t="shared" si="9619"/>
        <v>0</v>
      </c>
      <c r="CG316" s="675">
        <f t="shared" si="9619"/>
        <v>0</v>
      </c>
      <c r="CH316" s="549">
        <f t="shared" si="9619"/>
        <v>0</v>
      </c>
      <c r="CI316" s="675">
        <f t="shared" si="9619"/>
        <v>0</v>
      </c>
      <c r="CJ316" s="549">
        <f t="shared" si="9619"/>
        <v>0</v>
      </c>
      <c r="CK316" s="675">
        <f t="shared" si="9619"/>
        <v>0</v>
      </c>
      <c r="CL316" s="549">
        <f t="shared" si="9619"/>
        <v>0</v>
      </c>
      <c r="CM316" s="675">
        <f t="shared" si="9619"/>
        <v>0</v>
      </c>
      <c r="CN316" s="549">
        <f t="shared" si="9619"/>
        <v>0</v>
      </c>
      <c r="CO316" s="675">
        <f t="shared" si="9619"/>
        <v>0</v>
      </c>
      <c r="CP316" s="549">
        <f t="shared" si="9619"/>
        <v>0</v>
      </c>
      <c r="CQ316" s="675">
        <f t="shared" si="9619"/>
        <v>0</v>
      </c>
      <c r="CR316" s="549">
        <f t="shared" si="9619"/>
        <v>0</v>
      </c>
      <c r="CS316" s="675">
        <f t="shared" si="9619"/>
        <v>0</v>
      </c>
      <c r="CT316" s="549">
        <f t="shared" si="9619"/>
        <v>0</v>
      </c>
      <c r="CU316" s="675">
        <f t="shared" si="9619"/>
        <v>0</v>
      </c>
      <c r="CV316" s="549">
        <f t="shared" si="9619"/>
        <v>0</v>
      </c>
      <c r="CW316" s="675">
        <f t="shared" si="9619"/>
        <v>0</v>
      </c>
      <c r="CX316" s="549">
        <f t="shared" si="9619"/>
        <v>0</v>
      </c>
      <c r="CY316" s="675">
        <f t="shared" si="9619"/>
        <v>0</v>
      </c>
      <c r="CZ316" s="549">
        <f t="shared" si="9619"/>
        <v>0</v>
      </c>
      <c r="DA316" s="675">
        <f t="shared" si="9619"/>
        <v>0</v>
      </c>
      <c r="DB316" s="549">
        <f t="shared" si="9619"/>
        <v>0</v>
      </c>
      <c r="DC316" s="675">
        <f t="shared" si="9619"/>
        <v>0</v>
      </c>
      <c r="DD316" s="549">
        <f t="shared" si="9619"/>
        <v>0</v>
      </c>
      <c r="DE316" s="675">
        <f t="shared" si="9619"/>
        <v>0</v>
      </c>
      <c r="DF316" s="549">
        <f t="shared" si="9619"/>
        <v>0</v>
      </c>
      <c r="DG316" s="675">
        <f t="shared" si="9619"/>
        <v>0</v>
      </c>
      <c r="DH316" s="549">
        <f t="shared" si="9619"/>
        <v>0</v>
      </c>
      <c r="DI316" s="675">
        <f t="shared" si="9619"/>
        <v>0</v>
      </c>
      <c r="DJ316" s="549">
        <f t="shared" si="9619"/>
        <v>0</v>
      </c>
      <c r="DK316" s="675">
        <f t="shared" si="9619"/>
        <v>0</v>
      </c>
      <c r="DL316" s="549">
        <f t="shared" si="9619"/>
        <v>0</v>
      </c>
      <c r="DM316" s="675">
        <f t="shared" si="9619"/>
        <v>0</v>
      </c>
      <c r="DN316" s="549">
        <f t="shared" si="9619"/>
        <v>0</v>
      </c>
      <c r="DO316" s="675">
        <f t="shared" si="9619"/>
        <v>0</v>
      </c>
      <c r="DP316" s="549">
        <f t="shared" si="9619"/>
        <v>0</v>
      </c>
      <c r="DQ316" s="675">
        <f t="shared" si="9619"/>
        <v>0</v>
      </c>
      <c r="DR316" s="549">
        <f t="shared" si="9619"/>
        <v>0</v>
      </c>
      <c r="DS316" s="675">
        <f t="shared" si="9619"/>
        <v>0</v>
      </c>
      <c r="DT316" s="549">
        <f t="shared" si="9619"/>
        <v>0</v>
      </c>
      <c r="DU316" s="675">
        <f t="shared" si="9619"/>
        <v>0</v>
      </c>
      <c r="DV316" s="549">
        <f t="shared" si="9619"/>
        <v>0</v>
      </c>
      <c r="DW316" s="675">
        <f t="shared" si="9619"/>
        <v>0</v>
      </c>
      <c r="DX316" s="549">
        <f t="shared" si="9619"/>
        <v>0</v>
      </c>
      <c r="DY316" s="675">
        <f t="shared" si="9619"/>
        <v>0</v>
      </c>
      <c r="DZ316" s="549">
        <f t="shared" si="9619"/>
        <v>0</v>
      </c>
      <c r="EA316" s="675">
        <f t="shared" si="9619"/>
        <v>0</v>
      </c>
      <c r="EB316" s="549">
        <f t="shared" si="9619"/>
        <v>0</v>
      </c>
      <c r="EC316" s="675">
        <f t="shared" si="9619"/>
        <v>0</v>
      </c>
      <c r="ED316" s="549">
        <f t="shared" si="9619"/>
        <v>0</v>
      </c>
      <c r="EE316" s="675">
        <f t="shared" si="9619"/>
        <v>0</v>
      </c>
      <c r="EF316" s="549">
        <f t="shared" si="9619"/>
        <v>0</v>
      </c>
      <c r="EG316" s="675">
        <f t="shared" si="9619"/>
        <v>0</v>
      </c>
      <c r="EH316" s="549">
        <f t="shared" si="9619"/>
        <v>0</v>
      </c>
      <c r="EI316" s="675">
        <f t="shared" si="9619"/>
        <v>0</v>
      </c>
      <c r="EJ316" s="549">
        <f t="shared" si="9619"/>
        <v>0</v>
      </c>
      <c r="EK316" s="675">
        <f t="shared" si="9619"/>
        <v>0</v>
      </c>
      <c r="EL316" s="549">
        <f t="shared" si="9619"/>
        <v>0</v>
      </c>
      <c r="EM316" s="675">
        <f t="shared" si="9619"/>
        <v>0</v>
      </c>
      <c r="EN316" s="549">
        <f t="shared" si="9619"/>
        <v>0</v>
      </c>
      <c r="EO316" s="675">
        <f t="shared" si="9619"/>
        <v>0</v>
      </c>
      <c r="EP316" s="549">
        <f t="shared" si="9619"/>
        <v>0</v>
      </c>
      <c r="EQ316" s="675">
        <f t="shared" si="9619"/>
        <v>0</v>
      </c>
      <c r="ER316" s="549">
        <f t="shared" si="9619"/>
        <v>0</v>
      </c>
      <c r="ES316" s="675">
        <f t="shared" si="9619"/>
        <v>0</v>
      </c>
      <c r="ET316" s="549">
        <f t="shared" si="9619"/>
        <v>0</v>
      </c>
      <c r="EU316" s="675">
        <f t="shared" si="9619"/>
        <v>0</v>
      </c>
      <c r="EV316" s="549">
        <f t="shared" si="9619"/>
        <v>0</v>
      </c>
      <c r="EW316" s="675">
        <f t="shared" si="9619"/>
        <v>0</v>
      </c>
      <c r="EX316" s="549">
        <f t="shared" si="9619"/>
        <v>0</v>
      </c>
      <c r="EY316" s="675">
        <f t="shared" si="9619"/>
        <v>0</v>
      </c>
      <c r="EZ316" s="549">
        <f t="shared" si="9619"/>
        <v>0</v>
      </c>
      <c r="FA316" s="675">
        <f t="shared" si="9619"/>
        <v>0</v>
      </c>
      <c r="FB316" s="549">
        <f t="shared" si="9619"/>
        <v>0</v>
      </c>
      <c r="FC316" s="675">
        <f t="shared" si="9619"/>
        <v>0</v>
      </c>
      <c r="FD316" s="549">
        <f t="shared" si="9619"/>
        <v>0</v>
      </c>
      <c r="FE316" s="675">
        <f t="shared" si="9619"/>
        <v>0</v>
      </c>
      <c r="FF316" s="549">
        <f t="shared" si="9619"/>
        <v>0</v>
      </c>
      <c r="FG316" s="675">
        <f t="shared" si="9619"/>
        <v>0</v>
      </c>
      <c r="FH316" s="549">
        <f t="shared" si="9619"/>
        <v>0</v>
      </c>
      <c r="FI316" s="675">
        <f t="shared" si="9619"/>
        <v>0</v>
      </c>
      <c r="FJ316" s="549">
        <f t="shared" si="9619"/>
        <v>0</v>
      </c>
      <c r="FK316" s="675">
        <f t="shared" si="9619"/>
        <v>0</v>
      </c>
      <c r="FL316" s="549">
        <f t="shared" si="9619"/>
        <v>0</v>
      </c>
      <c r="FM316" s="675">
        <f t="shared" si="9619"/>
        <v>0</v>
      </c>
      <c r="FN316" s="549">
        <f t="shared" si="9619"/>
        <v>0</v>
      </c>
      <c r="FO316" s="675">
        <f t="shared" si="9619"/>
        <v>0</v>
      </c>
      <c r="FP316" s="549">
        <f t="shared" si="9619"/>
        <v>0</v>
      </c>
      <c r="FQ316" s="675">
        <f t="shared" si="9619"/>
        <v>0</v>
      </c>
      <c r="FR316" s="549">
        <f t="shared" si="9619"/>
        <v>0</v>
      </c>
      <c r="FS316" s="675">
        <f t="shared" si="9619"/>
        <v>0</v>
      </c>
      <c r="FT316" s="549">
        <f t="shared" si="9619"/>
        <v>0</v>
      </c>
      <c r="FU316" s="675">
        <f t="shared" si="9619"/>
        <v>0</v>
      </c>
      <c r="FV316" s="549">
        <f t="shared" si="9619"/>
        <v>0</v>
      </c>
      <c r="FW316" s="675">
        <f t="shared" si="9619"/>
        <v>0</v>
      </c>
      <c r="FX316" s="549">
        <f t="shared" si="9619"/>
        <v>0</v>
      </c>
      <c r="FY316" s="675">
        <f t="shared" si="9619"/>
        <v>0</v>
      </c>
      <c r="FZ316" s="549">
        <f t="shared" si="9619"/>
        <v>0</v>
      </c>
      <c r="GA316" s="675">
        <f t="shared" si="9619"/>
        <v>0</v>
      </c>
      <c r="GB316" s="549">
        <f t="shared" si="9619"/>
        <v>0</v>
      </c>
      <c r="GC316" s="675">
        <f t="shared" si="9619"/>
        <v>0</v>
      </c>
      <c r="GD316" s="549">
        <f t="shared" si="9619"/>
        <v>0</v>
      </c>
      <c r="GE316" s="675">
        <f t="shared" si="9619"/>
        <v>0</v>
      </c>
      <c r="GF316" s="549">
        <f t="shared" si="9619"/>
        <v>0</v>
      </c>
      <c r="GG316" s="675">
        <f t="shared" si="9619"/>
        <v>0</v>
      </c>
      <c r="GH316" s="549">
        <f t="shared" si="9619"/>
        <v>0</v>
      </c>
      <c r="GI316" s="675">
        <f t="shared" si="9619"/>
        <v>0</v>
      </c>
      <c r="GJ316" s="549">
        <f t="shared" si="9619"/>
        <v>0</v>
      </c>
      <c r="GK316" s="675">
        <f t="shared" si="9619"/>
        <v>0</v>
      </c>
      <c r="GL316" s="549">
        <f t="shared" si="9619"/>
        <v>0</v>
      </c>
      <c r="GM316" s="675">
        <f t="shared" si="9619"/>
        <v>0</v>
      </c>
      <c r="GN316" s="549">
        <f t="shared" si="9619"/>
        <v>0</v>
      </c>
      <c r="GO316" s="675">
        <f t="shared" si="9619"/>
        <v>0</v>
      </c>
      <c r="GP316" s="549">
        <f t="shared" si="9619"/>
        <v>0</v>
      </c>
      <c r="GQ316" s="675">
        <f t="shared" si="9619"/>
        <v>0</v>
      </c>
      <c r="GR316" s="74">
        <f t="shared" si="9619"/>
        <v>0</v>
      </c>
      <c r="GS316" s="74">
        <f t="shared" si="9619"/>
        <v>0</v>
      </c>
      <c r="GT316" s="74">
        <f t="shared" si="9619"/>
        <v>0</v>
      </c>
      <c r="GU316" s="74">
        <f t="shared" si="9619"/>
        <v>0</v>
      </c>
      <c r="GV316" s="74">
        <f t="shared" si="9619"/>
        <v>0</v>
      </c>
      <c r="GW316" s="74">
        <f t="shared" si="9619"/>
        <v>0</v>
      </c>
      <c r="GX316" s="74">
        <f t="shared" si="9619"/>
        <v>0</v>
      </c>
      <c r="GY316" s="74">
        <f t="shared" si="9619"/>
        <v>0</v>
      </c>
      <c r="GZ316" s="74">
        <f t="shared" si="9619"/>
        <v>0</v>
      </c>
      <c r="HA316" s="74">
        <f t="shared" si="9619"/>
        <v>0</v>
      </c>
      <c r="HB316" s="74">
        <f t="shared" si="9619"/>
        <v>0</v>
      </c>
      <c r="HC316" s="74">
        <f t="shared" si="9619"/>
        <v>0</v>
      </c>
      <c r="HD316" s="74">
        <f t="shared" si="9619"/>
        <v>0</v>
      </c>
      <c r="HE316" s="74">
        <f t="shared" si="9619"/>
        <v>0</v>
      </c>
      <c r="HF316" s="74">
        <f t="shared" si="9619"/>
        <v>0</v>
      </c>
      <c r="HG316" s="74">
        <f t="shared" si="9619"/>
        <v>0</v>
      </c>
      <c r="HH316" s="73">
        <f t="shared" ref="HH316:KC316" si="9620">HH317</f>
        <v>0</v>
      </c>
      <c r="HI316" s="815">
        <f t="shared" si="9620"/>
        <v>0</v>
      </c>
      <c r="HJ316" s="73">
        <f t="shared" si="9620"/>
        <v>0</v>
      </c>
      <c r="HK316" s="815">
        <f t="shared" si="9620"/>
        <v>0</v>
      </c>
      <c r="HL316" s="73">
        <f t="shared" si="9620"/>
        <v>0</v>
      </c>
      <c r="HM316" s="815">
        <f t="shared" si="9620"/>
        <v>0</v>
      </c>
      <c r="HN316" s="73">
        <f t="shared" si="9620"/>
        <v>0</v>
      </c>
      <c r="HO316" s="815">
        <f t="shared" si="9620"/>
        <v>0</v>
      </c>
      <c r="HP316" s="73">
        <f t="shared" si="9620"/>
        <v>0</v>
      </c>
      <c r="HQ316" s="815">
        <f t="shared" si="9620"/>
        <v>0</v>
      </c>
      <c r="HR316" s="73">
        <f t="shared" si="9620"/>
        <v>0</v>
      </c>
      <c r="HS316" s="815">
        <f t="shared" si="9620"/>
        <v>0</v>
      </c>
      <c r="HT316" s="73">
        <f t="shared" si="9620"/>
        <v>0</v>
      </c>
      <c r="HU316" s="815">
        <f t="shared" si="9620"/>
        <v>0</v>
      </c>
      <c r="HV316" s="73">
        <f t="shared" si="9620"/>
        <v>0</v>
      </c>
      <c r="HW316" s="815">
        <f t="shared" si="9620"/>
        <v>0</v>
      </c>
      <c r="HX316" s="73">
        <f t="shared" si="9620"/>
        <v>0</v>
      </c>
      <c r="HY316" s="815">
        <f t="shared" si="9620"/>
        <v>0</v>
      </c>
      <c r="HZ316" s="73">
        <f t="shared" si="9620"/>
        <v>0</v>
      </c>
      <c r="IA316" s="815">
        <f t="shared" si="9620"/>
        <v>0</v>
      </c>
      <c r="IB316" s="73">
        <f t="shared" si="9620"/>
        <v>0</v>
      </c>
      <c r="IC316" s="815">
        <f t="shared" si="9620"/>
        <v>0</v>
      </c>
      <c r="ID316" s="73">
        <f t="shared" si="9620"/>
        <v>0</v>
      </c>
      <c r="IE316" s="815">
        <f t="shared" si="9620"/>
        <v>0</v>
      </c>
      <c r="IF316" s="841">
        <f t="shared" si="9620"/>
        <v>0</v>
      </c>
      <c r="IG316" s="263">
        <f t="shared" si="9620"/>
        <v>0</v>
      </c>
      <c r="IH316" s="842">
        <f t="shared" si="9620"/>
        <v>0</v>
      </c>
      <c r="II316" s="74">
        <f t="shared" si="9620"/>
        <v>0</v>
      </c>
      <c r="IJ316" s="74">
        <f t="shared" si="9620"/>
        <v>0</v>
      </c>
      <c r="IK316" s="74">
        <f t="shared" si="9620"/>
        <v>0</v>
      </c>
      <c r="IL316" s="74">
        <f t="shared" si="9620"/>
        <v>0</v>
      </c>
      <c r="IM316" s="74">
        <f t="shared" si="9620"/>
        <v>0</v>
      </c>
      <c r="IN316" s="74">
        <f t="shared" si="9620"/>
        <v>0</v>
      </c>
      <c r="IO316" s="74">
        <f t="shared" si="9620"/>
        <v>0</v>
      </c>
      <c r="IP316" s="74">
        <f t="shared" si="9620"/>
        <v>0</v>
      </c>
      <c r="IQ316" s="74">
        <f t="shared" si="9620"/>
        <v>0</v>
      </c>
      <c r="IR316" s="74">
        <f t="shared" si="9620"/>
        <v>0</v>
      </c>
      <c r="IS316" s="74">
        <f t="shared" si="9620"/>
        <v>0</v>
      </c>
      <c r="IT316" s="74">
        <f t="shared" si="9620"/>
        <v>0</v>
      </c>
      <c r="IU316" s="74">
        <f t="shared" si="9620"/>
        <v>0</v>
      </c>
      <c r="IV316" s="74">
        <f t="shared" si="9620"/>
        <v>0</v>
      </c>
      <c r="IW316" s="74">
        <f t="shared" si="9620"/>
        <v>0</v>
      </c>
      <c r="IX316" s="74">
        <f t="shared" si="9620"/>
        <v>0</v>
      </c>
      <c r="IY316" s="74">
        <f t="shared" si="9620"/>
        <v>0</v>
      </c>
      <c r="IZ316" s="74">
        <f t="shared" si="9620"/>
        <v>0</v>
      </c>
      <c r="JA316" s="74">
        <f t="shared" si="9620"/>
        <v>0</v>
      </c>
      <c r="JB316" s="74">
        <f t="shared" si="9620"/>
        <v>0</v>
      </c>
      <c r="JC316" s="74">
        <f t="shared" si="9620"/>
        <v>0</v>
      </c>
      <c r="JD316" s="74">
        <f t="shared" si="9620"/>
        <v>0</v>
      </c>
      <c r="JE316" s="74">
        <f t="shared" si="9620"/>
        <v>0</v>
      </c>
      <c r="JF316" s="74">
        <f t="shared" si="9620"/>
        <v>0</v>
      </c>
      <c r="JG316" s="74">
        <f t="shared" si="9620"/>
        <v>0</v>
      </c>
      <c r="JH316" s="74">
        <f t="shared" si="9620"/>
        <v>0</v>
      </c>
      <c r="JI316" s="74">
        <f t="shared" si="9620"/>
        <v>0</v>
      </c>
      <c r="JJ316" s="74">
        <f t="shared" si="9620"/>
        <v>0</v>
      </c>
      <c r="JK316" s="74">
        <f t="shared" si="9620"/>
        <v>0</v>
      </c>
      <c r="JL316" s="74">
        <f t="shared" si="9620"/>
        <v>0</v>
      </c>
      <c r="JM316" s="74">
        <f t="shared" si="9620"/>
        <v>0</v>
      </c>
      <c r="JN316" s="74">
        <f t="shared" si="9620"/>
        <v>0</v>
      </c>
      <c r="JO316" s="74">
        <f t="shared" si="9620"/>
        <v>0</v>
      </c>
      <c r="JP316" s="74">
        <f t="shared" si="9620"/>
        <v>0</v>
      </c>
      <c r="JQ316" s="74">
        <f t="shared" si="9620"/>
        <v>0</v>
      </c>
      <c r="JR316" s="74">
        <f t="shared" si="9620"/>
        <v>0</v>
      </c>
      <c r="JS316" s="74">
        <f t="shared" si="9620"/>
        <v>0</v>
      </c>
      <c r="JT316" s="74">
        <f t="shared" si="9620"/>
        <v>0</v>
      </c>
      <c r="JU316" s="665"/>
      <c r="JV316" s="524"/>
      <c r="JW316" s="525"/>
      <c r="JX316" s="74">
        <f t="shared" si="9620"/>
        <v>0</v>
      </c>
      <c r="JY316" s="74">
        <f t="shared" si="9620"/>
        <v>0</v>
      </c>
      <c r="JZ316" s="581">
        <f t="shared" si="9620"/>
        <v>0</v>
      </c>
      <c r="KA316" s="581">
        <f t="shared" si="9620"/>
        <v>0</v>
      </c>
      <c r="KB316" s="74">
        <f t="shared" si="9620"/>
        <v>0</v>
      </c>
      <c r="KC316" s="709">
        <f t="shared" si="9620"/>
        <v>0</v>
      </c>
      <c r="KD316" s="35"/>
      <c r="KE316" s="35"/>
      <c r="KF316" s="35"/>
      <c r="KG316" s="35"/>
      <c r="KH316" s="35"/>
      <c r="KI316" s="35"/>
      <c r="KJ316" s="35"/>
      <c r="KK316" s="35"/>
    </row>
    <row r="317" spans="1:297" s="10" customFormat="1" ht="12.75" hidden="1" customHeight="1">
      <c r="A317" s="86" t="s">
        <v>1178</v>
      </c>
      <c r="B317" s="77"/>
      <c r="C317" s="74">
        <v>0</v>
      </c>
      <c r="D317" s="549">
        <v>0</v>
      </c>
      <c r="E317" s="675">
        <v>0</v>
      </c>
      <c r="F317" s="549">
        <v>0</v>
      </c>
      <c r="G317" s="675">
        <v>0</v>
      </c>
      <c r="H317" s="549">
        <v>0</v>
      </c>
      <c r="I317" s="675">
        <v>0</v>
      </c>
      <c r="J317" s="549">
        <v>0</v>
      </c>
      <c r="K317" s="675">
        <v>0</v>
      </c>
      <c r="L317" s="549">
        <v>0</v>
      </c>
      <c r="M317" s="675">
        <v>0</v>
      </c>
      <c r="N317" s="549">
        <v>0</v>
      </c>
      <c r="O317" s="675">
        <v>0</v>
      </c>
      <c r="P317" s="549">
        <v>0</v>
      </c>
      <c r="Q317" s="675">
        <v>0</v>
      </c>
      <c r="R317" s="549">
        <v>0</v>
      </c>
      <c r="S317" s="675">
        <v>0</v>
      </c>
      <c r="T317" s="549">
        <v>0</v>
      </c>
      <c r="U317" s="675">
        <v>0</v>
      </c>
      <c r="V317" s="549">
        <v>0</v>
      </c>
      <c r="W317" s="675">
        <v>0</v>
      </c>
      <c r="X317" s="549">
        <v>0</v>
      </c>
      <c r="Y317" s="675">
        <v>0</v>
      </c>
      <c r="Z317" s="549">
        <v>0</v>
      </c>
      <c r="AA317" s="675">
        <v>0</v>
      </c>
      <c r="AB317" s="549">
        <v>0</v>
      </c>
      <c r="AC317" s="675">
        <v>0</v>
      </c>
      <c r="AD317" s="549">
        <v>0</v>
      </c>
      <c r="AE317" s="675">
        <v>0</v>
      </c>
      <c r="AF317" s="549">
        <v>0</v>
      </c>
      <c r="AG317" s="675">
        <v>0</v>
      </c>
      <c r="AH317" s="549">
        <v>0</v>
      </c>
      <c r="AI317" s="675">
        <v>0</v>
      </c>
      <c r="AJ317" s="549">
        <v>0</v>
      </c>
      <c r="AK317" s="675">
        <v>0</v>
      </c>
      <c r="AL317" s="549">
        <v>0</v>
      </c>
      <c r="AM317" s="675">
        <v>0</v>
      </c>
      <c r="AN317" s="549">
        <v>0</v>
      </c>
      <c r="AO317" s="675">
        <v>0</v>
      </c>
      <c r="AP317" s="549">
        <v>0</v>
      </c>
      <c r="AQ317" s="675">
        <v>0</v>
      </c>
      <c r="AR317" s="549">
        <v>0</v>
      </c>
      <c r="AS317" s="675">
        <v>0</v>
      </c>
      <c r="AT317" s="549">
        <v>0</v>
      </c>
      <c r="AU317" s="675">
        <v>0</v>
      </c>
      <c r="AV317" s="549">
        <v>0</v>
      </c>
      <c r="AW317" s="675">
        <v>0</v>
      </c>
      <c r="AX317" s="549">
        <v>0</v>
      </c>
      <c r="AY317" s="675">
        <v>0</v>
      </c>
      <c r="AZ317" s="549">
        <v>0</v>
      </c>
      <c r="BA317" s="675">
        <v>0</v>
      </c>
      <c r="BB317" s="549">
        <v>0</v>
      </c>
      <c r="BC317" s="675">
        <v>0</v>
      </c>
      <c r="BD317" s="549">
        <v>0</v>
      </c>
      <c r="BE317" s="675">
        <v>0</v>
      </c>
      <c r="BF317" s="549">
        <v>0</v>
      </c>
      <c r="BG317" s="675">
        <v>0</v>
      </c>
      <c r="BH317" s="549">
        <v>0</v>
      </c>
      <c r="BI317" s="675">
        <v>0</v>
      </c>
      <c r="BJ317" s="549">
        <v>0</v>
      </c>
      <c r="BK317" s="675">
        <v>0</v>
      </c>
      <c r="BL317" s="549">
        <v>0</v>
      </c>
      <c r="BM317" s="675">
        <v>0</v>
      </c>
      <c r="BN317" s="549">
        <v>0</v>
      </c>
      <c r="BO317" s="675">
        <v>0</v>
      </c>
      <c r="BP317" s="549">
        <v>0</v>
      </c>
      <c r="BQ317" s="675">
        <v>0</v>
      </c>
      <c r="BR317" s="549">
        <v>0</v>
      </c>
      <c r="BS317" s="675">
        <v>0</v>
      </c>
      <c r="BT317" s="549">
        <v>0</v>
      </c>
      <c r="BU317" s="675">
        <v>0</v>
      </c>
      <c r="BV317" s="549">
        <v>0</v>
      </c>
      <c r="BW317" s="675">
        <v>0</v>
      </c>
      <c r="BX317" s="549">
        <v>0</v>
      </c>
      <c r="BY317" s="675">
        <v>0</v>
      </c>
      <c r="BZ317" s="549">
        <v>0</v>
      </c>
      <c r="CA317" s="675">
        <v>0</v>
      </c>
      <c r="CB317" s="549">
        <v>0</v>
      </c>
      <c r="CC317" s="675">
        <v>0</v>
      </c>
      <c r="CD317" s="549">
        <v>0</v>
      </c>
      <c r="CE317" s="675">
        <v>0</v>
      </c>
      <c r="CF317" s="549">
        <v>0</v>
      </c>
      <c r="CG317" s="675">
        <v>0</v>
      </c>
      <c r="CH317" s="549">
        <v>0</v>
      </c>
      <c r="CI317" s="675">
        <v>0</v>
      </c>
      <c r="CJ317" s="549">
        <v>0</v>
      </c>
      <c r="CK317" s="675">
        <v>0</v>
      </c>
      <c r="CL317" s="549">
        <v>0</v>
      </c>
      <c r="CM317" s="675">
        <v>0</v>
      </c>
      <c r="CN317" s="549">
        <v>0</v>
      </c>
      <c r="CO317" s="675">
        <v>0</v>
      </c>
      <c r="CP317" s="549">
        <v>0</v>
      </c>
      <c r="CQ317" s="675">
        <v>0</v>
      </c>
      <c r="CR317" s="549">
        <v>0</v>
      </c>
      <c r="CS317" s="675">
        <v>0</v>
      </c>
      <c r="CT317" s="549">
        <v>0</v>
      </c>
      <c r="CU317" s="675">
        <v>0</v>
      </c>
      <c r="CV317" s="549">
        <v>0</v>
      </c>
      <c r="CW317" s="675">
        <v>0</v>
      </c>
      <c r="CX317" s="549">
        <v>0</v>
      </c>
      <c r="CY317" s="675">
        <v>0</v>
      </c>
      <c r="CZ317" s="549">
        <v>0</v>
      </c>
      <c r="DA317" s="675">
        <v>0</v>
      </c>
      <c r="DB317" s="549">
        <v>0</v>
      </c>
      <c r="DC317" s="675">
        <v>0</v>
      </c>
      <c r="DD317" s="549">
        <v>0</v>
      </c>
      <c r="DE317" s="675">
        <v>0</v>
      </c>
      <c r="DF317" s="549">
        <v>0</v>
      </c>
      <c r="DG317" s="675">
        <v>0</v>
      </c>
      <c r="DH317" s="549">
        <v>0</v>
      </c>
      <c r="DI317" s="675">
        <v>0</v>
      </c>
      <c r="DJ317" s="549">
        <v>0</v>
      </c>
      <c r="DK317" s="675">
        <v>0</v>
      </c>
      <c r="DL317" s="549">
        <v>0</v>
      </c>
      <c r="DM317" s="675">
        <v>0</v>
      </c>
      <c r="DN317" s="549">
        <v>0</v>
      </c>
      <c r="DO317" s="675">
        <v>0</v>
      </c>
      <c r="DP317" s="549">
        <v>0</v>
      </c>
      <c r="DQ317" s="675">
        <v>0</v>
      </c>
      <c r="DR317" s="549">
        <v>0</v>
      </c>
      <c r="DS317" s="675">
        <v>0</v>
      </c>
      <c r="DT317" s="549">
        <v>0</v>
      </c>
      <c r="DU317" s="675">
        <v>0</v>
      </c>
      <c r="DV317" s="549">
        <v>0</v>
      </c>
      <c r="DW317" s="675">
        <v>0</v>
      </c>
      <c r="DX317" s="549">
        <v>0</v>
      </c>
      <c r="DY317" s="675">
        <v>0</v>
      </c>
      <c r="DZ317" s="549">
        <v>0</v>
      </c>
      <c r="EA317" s="675">
        <v>0</v>
      </c>
      <c r="EB317" s="549">
        <v>0</v>
      </c>
      <c r="EC317" s="675">
        <v>0</v>
      </c>
      <c r="ED317" s="549">
        <v>0</v>
      </c>
      <c r="EE317" s="675">
        <v>0</v>
      </c>
      <c r="EF317" s="549">
        <v>0</v>
      </c>
      <c r="EG317" s="675">
        <v>0</v>
      </c>
      <c r="EH317" s="549">
        <v>0</v>
      </c>
      <c r="EI317" s="675">
        <v>0</v>
      </c>
      <c r="EJ317" s="549">
        <v>0</v>
      </c>
      <c r="EK317" s="675">
        <v>0</v>
      </c>
      <c r="EL317" s="549">
        <v>0</v>
      </c>
      <c r="EM317" s="675">
        <v>0</v>
      </c>
      <c r="EN317" s="549">
        <v>0</v>
      </c>
      <c r="EO317" s="675">
        <v>0</v>
      </c>
      <c r="EP317" s="549">
        <v>0</v>
      </c>
      <c r="EQ317" s="675">
        <v>0</v>
      </c>
      <c r="ER317" s="549">
        <v>0</v>
      </c>
      <c r="ES317" s="675">
        <v>0</v>
      </c>
      <c r="ET317" s="549">
        <v>0</v>
      </c>
      <c r="EU317" s="675">
        <v>0</v>
      </c>
      <c r="EV317" s="549">
        <v>0</v>
      </c>
      <c r="EW317" s="675">
        <v>0</v>
      </c>
      <c r="EX317" s="549">
        <v>0</v>
      </c>
      <c r="EY317" s="675">
        <v>0</v>
      </c>
      <c r="EZ317" s="549">
        <v>0</v>
      </c>
      <c r="FA317" s="675">
        <v>0</v>
      </c>
      <c r="FB317" s="549">
        <v>0</v>
      </c>
      <c r="FC317" s="675">
        <v>0</v>
      </c>
      <c r="FD317" s="549">
        <v>0</v>
      </c>
      <c r="FE317" s="675">
        <v>0</v>
      </c>
      <c r="FF317" s="549">
        <v>0</v>
      </c>
      <c r="FG317" s="675">
        <v>0</v>
      </c>
      <c r="FH317" s="549">
        <v>0</v>
      </c>
      <c r="FI317" s="675">
        <v>0</v>
      </c>
      <c r="FJ317" s="549">
        <v>0</v>
      </c>
      <c r="FK317" s="675">
        <v>0</v>
      </c>
      <c r="FL317" s="549">
        <v>0</v>
      </c>
      <c r="FM317" s="675">
        <v>0</v>
      </c>
      <c r="FN317" s="549">
        <v>0</v>
      </c>
      <c r="FO317" s="675">
        <v>0</v>
      </c>
      <c r="FP317" s="549">
        <v>0</v>
      </c>
      <c r="FQ317" s="675">
        <v>0</v>
      </c>
      <c r="FR317" s="549">
        <v>0</v>
      </c>
      <c r="FS317" s="675">
        <v>0</v>
      </c>
      <c r="FT317" s="549">
        <v>0</v>
      </c>
      <c r="FU317" s="675">
        <v>0</v>
      </c>
      <c r="FV317" s="549">
        <v>0</v>
      </c>
      <c r="FW317" s="675">
        <v>0</v>
      </c>
      <c r="FX317" s="549">
        <v>0</v>
      </c>
      <c r="FY317" s="675">
        <v>0</v>
      </c>
      <c r="FZ317" s="549">
        <v>0</v>
      </c>
      <c r="GA317" s="675">
        <v>0</v>
      </c>
      <c r="GB317" s="549">
        <v>0</v>
      </c>
      <c r="GC317" s="675">
        <v>0</v>
      </c>
      <c r="GD317" s="549">
        <v>0</v>
      </c>
      <c r="GE317" s="675">
        <v>0</v>
      </c>
      <c r="GF317" s="549">
        <v>0</v>
      </c>
      <c r="GG317" s="675">
        <v>0</v>
      </c>
      <c r="GH317" s="549">
        <v>0</v>
      </c>
      <c r="GI317" s="675">
        <v>0</v>
      </c>
      <c r="GJ317" s="549">
        <v>0</v>
      </c>
      <c r="GK317" s="675">
        <v>0</v>
      </c>
      <c r="GL317" s="549">
        <v>0</v>
      </c>
      <c r="GM317" s="675">
        <v>0</v>
      </c>
      <c r="GN317" s="549">
        <v>0</v>
      </c>
      <c r="GO317" s="675">
        <v>0</v>
      </c>
      <c r="GP317" s="549">
        <f>+D317+F317+H317+J317+L317+N317+P317+R317+T317+V317+X317+Z317+AB317+AD317+AH317+AJ317+AL317+AN317+AP317+AR317+AT317+AV317+AX317+AZ317+BB317+BD317+BF317+BH317+BJ317+BL317+BN317+BP317+BR317+BT317+BV317+BX317+BZ317+CB317+CD317+CF317+CH317+CJ317+CL317+CN317+CP317+CR317+CT317+CV317+CX317+CZ317+DB317+DD317+DF317+DH317+DT317+EX317+DJ317+DL317+DN317+DP317+DR317+EJ317+EB317+DZ317+DX317+DV317+ED317+EF317+EH317+EL317+EN317+EP317+EV317+ET317+ER317+EZ317+FB317+FD317+GL317+FF317+FJ317+FL317+GJ317+FT317+FR317+FP317+FN317+FH317</f>
        <v>0</v>
      </c>
      <c r="GQ317" s="675">
        <f>+E317+G317+I317+K317+M317+O317+Q317+S317+U317+W317+Y317+AA317+AC317+AE317+AI317+AK317+AM317+AO317+AQ317+AS317+AU317+AW317+AY317+BA317+BC317+BE317+BG317+BI317+BK317+BM317+BO317+BQ317+BS317+BU317+BW317+BY317+CA317+CC317+CE317+CG317+CI317+CK317+CM317+CO317+CQ317+CS317+CU317+CW317+CY317+DA317+DC317+DE317+DG317+DI317+DU317+EY317+DK317+DM317+DO317+DQ317+DS317+EK317+EC317+EA317+DY317+DW317+EI317+EG317+EE317+EM317+EO317+EQ317+EW317+EU317+ES317+FA317+FC317+FE317+GM317+FG317+FK317+FM317+FO317+FQ317+FS317+FU317+GK317+FI317</f>
        <v>0</v>
      </c>
      <c r="GR317" s="74">
        <f>C317+GP317+GQ317</f>
        <v>0</v>
      </c>
      <c r="GS317" s="74">
        <f>SUM(GU317:HB317)+GP317+GQ317</f>
        <v>0</v>
      </c>
      <c r="GT317" s="568">
        <f>SUM(GU317:HF317)+GQ317+GP317</f>
        <v>0</v>
      </c>
      <c r="GU317" s="73"/>
      <c r="GV317" s="73"/>
      <c r="GW317" s="549"/>
      <c r="GX317" s="549"/>
      <c r="GY317" s="73"/>
      <c r="GZ317" s="73"/>
      <c r="HA317" s="73"/>
      <c r="HB317" s="73"/>
      <c r="HC317" s="73"/>
      <c r="HD317" s="73"/>
      <c r="HE317" s="73"/>
      <c r="HF317" s="73"/>
      <c r="HG317" s="74">
        <f>SUM(HH317:IE317)+GP317+GQ317</f>
        <v>0</v>
      </c>
      <c r="HH317" s="89">
        <v>0</v>
      </c>
      <c r="HI317" s="817">
        <v>0</v>
      </c>
      <c r="HJ317" s="89">
        <v>0</v>
      </c>
      <c r="HK317" s="817">
        <v>0</v>
      </c>
      <c r="HL317" s="89">
        <v>0</v>
      </c>
      <c r="HM317" s="817">
        <v>0</v>
      </c>
      <c r="HN317" s="89">
        <v>0</v>
      </c>
      <c r="HO317" s="817">
        <v>0</v>
      </c>
      <c r="HP317" s="89">
        <v>0</v>
      </c>
      <c r="HQ317" s="817">
        <v>0</v>
      </c>
      <c r="HR317" s="89">
        <v>0</v>
      </c>
      <c r="HS317" s="817">
        <v>0</v>
      </c>
      <c r="HT317" s="89">
        <v>0</v>
      </c>
      <c r="HU317" s="817">
        <v>0</v>
      </c>
      <c r="HV317" s="89">
        <v>0</v>
      </c>
      <c r="HW317" s="817">
        <v>0</v>
      </c>
      <c r="HX317" s="89">
        <v>0</v>
      </c>
      <c r="HY317" s="817">
        <v>0</v>
      </c>
      <c r="HZ317" s="89">
        <v>0</v>
      </c>
      <c r="IA317" s="817">
        <v>0</v>
      </c>
      <c r="IB317" s="89">
        <v>0</v>
      </c>
      <c r="IC317" s="817">
        <v>0</v>
      </c>
      <c r="ID317" s="89">
        <v>0</v>
      </c>
      <c r="IE317" s="817">
        <v>0</v>
      </c>
      <c r="IF317" s="841">
        <f t="shared" ref="IF317" si="9621">SUM(II317,IL317,IO317,IR317,IU317,IX317,JA317,JD317,JG317,JJ317,JM317,JP317)</f>
        <v>0</v>
      </c>
      <c r="IG317" s="263">
        <f t="shared" ref="IG317" si="9622">SUM(IJ317,IM317,IP317,IS317,IV317,IY317,JB317,JE317,JH317,JK317,JN317,JQ317)</f>
        <v>0</v>
      </c>
      <c r="IH317" s="842">
        <f t="shared" ref="IH317" si="9623">SUM(IK317,IN317,IQ317,IT317,IW317,IZ317,JC317,JF317,JI317,JL317,JO317,JR317)</f>
        <v>0</v>
      </c>
      <c r="II317" s="89">
        <v>0</v>
      </c>
      <c r="IJ317" s="89">
        <f>II317</f>
        <v>0</v>
      </c>
      <c r="IK317" s="89">
        <f>IJ317</f>
        <v>0</v>
      </c>
      <c r="IL317" s="89">
        <v>0</v>
      </c>
      <c r="IM317" s="89">
        <f>IL317</f>
        <v>0</v>
      </c>
      <c r="IN317" s="89">
        <f>IM317</f>
        <v>0</v>
      </c>
      <c r="IO317" s="89">
        <v>0</v>
      </c>
      <c r="IP317" s="89">
        <f>IO317</f>
        <v>0</v>
      </c>
      <c r="IQ317" s="89">
        <f>IP317</f>
        <v>0</v>
      </c>
      <c r="IR317" s="89">
        <v>0</v>
      </c>
      <c r="IS317" s="89">
        <f>IR317</f>
        <v>0</v>
      </c>
      <c r="IT317" s="89">
        <f>IS317</f>
        <v>0</v>
      </c>
      <c r="IU317" s="89">
        <v>0</v>
      </c>
      <c r="IV317" s="89">
        <f>IU317</f>
        <v>0</v>
      </c>
      <c r="IW317" s="89">
        <f>IV317</f>
        <v>0</v>
      </c>
      <c r="IX317" s="89">
        <v>0</v>
      </c>
      <c r="IY317" s="89">
        <f>IX317</f>
        <v>0</v>
      </c>
      <c r="IZ317" s="89">
        <f>IY317</f>
        <v>0</v>
      </c>
      <c r="JA317" s="89">
        <v>0</v>
      </c>
      <c r="JB317" s="89">
        <f>JA317</f>
        <v>0</v>
      </c>
      <c r="JC317" s="89">
        <f>JB317</f>
        <v>0</v>
      </c>
      <c r="JD317" s="89">
        <v>0</v>
      </c>
      <c r="JE317" s="89">
        <f>JD317</f>
        <v>0</v>
      </c>
      <c r="JF317" s="89">
        <f>JE317</f>
        <v>0</v>
      </c>
      <c r="JG317" s="89">
        <v>0</v>
      </c>
      <c r="JH317" s="89">
        <f>JG317</f>
        <v>0</v>
      </c>
      <c r="JI317" s="89">
        <f>JH317</f>
        <v>0</v>
      </c>
      <c r="JJ317" s="89">
        <v>0</v>
      </c>
      <c r="JK317" s="89">
        <f>JJ317</f>
        <v>0</v>
      </c>
      <c r="JL317" s="89">
        <f>JK317</f>
        <v>0</v>
      </c>
      <c r="JM317" s="89">
        <v>0</v>
      </c>
      <c r="JN317" s="89">
        <f>JM317</f>
        <v>0</v>
      </c>
      <c r="JO317" s="89">
        <f>JN317</f>
        <v>0</v>
      </c>
      <c r="JP317" s="89">
        <v>0</v>
      </c>
      <c r="JQ317" s="89">
        <f>JP317</f>
        <v>0</v>
      </c>
      <c r="JR317" s="89">
        <f>JQ317</f>
        <v>0</v>
      </c>
      <c r="JS317" s="74">
        <f>HG317-IF317</f>
        <v>0</v>
      </c>
      <c r="JT317" s="382">
        <f>GS317-IF317</f>
        <v>0</v>
      </c>
      <c r="JU317" s="665"/>
      <c r="JV317" s="524"/>
      <c r="JW317" s="525"/>
      <c r="JX317" s="548">
        <f>SUM(HH317,HJ317,HL317,HN317,HP317,HR317,HT317,HV317,HX317,HZ317,IB317,ID317)</f>
        <v>0</v>
      </c>
      <c r="JY317" s="548">
        <f>SUM(HI317,HK317,HM317,HO317,HQ317,HS317,HU317,HW317,HY317,IA317,IC317,IE317)</f>
        <v>0</v>
      </c>
      <c r="JZ317" s="581">
        <f t="shared" ref="JZ317" si="9624">GP317</f>
        <v>0</v>
      </c>
      <c r="KA317" s="581">
        <f t="shared" ref="KA317" si="9625">GQ317</f>
        <v>0</v>
      </c>
      <c r="KB317" s="548">
        <f>JX317+JY317+JZ317+KA317</f>
        <v>0</v>
      </c>
      <c r="KC317" s="709">
        <f t="shared" ref="KC317" si="9626">HG317-KB317</f>
        <v>0</v>
      </c>
      <c r="KD317" s="35"/>
      <c r="KE317" s="35"/>
      <c r="KF317" s="35"/>
      <c r="KG317" s="35"/>
      <c r="KH317" s="35"/>
      <c r="KI317" s="35"/>
      <c r="KJ317" s="35"/>
      <c r="KK317" s="35"/>
    </row>
    <row r="318" spans="1:297" s="10" customFormat="1" ht="12.75" hidden="1" customHeight="1">
      <c r="A318" s="86"/>
      <c r="B318" s="77"/>
      <c r="C318" s="74"/>
      <c r="D318" s="549"/>
      <c r="E318" s="675"/>
      <c r="F318" s="549"/>
      <c r="G318" s="675"/>
      <c r="H318" s="549"/>
      <c r="I318" s="675"/>
      <c r="J318" s="549"/>
      <c r="K318" s="675"/>
      <c r="L318" s="549"/>
      <c r="M318" s="675"/>
      <c r="N318" s="549"/>
      <c r="O318" s="675"/>
      <c r="P318" s="549"/>
      <c r="Q318" s="675"/>
      <c r="R318" s="549"/>
      <c r="S318" s="675"/>
      <c r="T318" s="549"/>
      <c r="U318" s="675"/>
      <c r="V318" s="549"/>
      <c r="W318" s="675"/>
      <c r="X318" s="549"/>
      <c r="Y318" s="675"/>
      <c r="Z318" s="549"/>
      <c r="AA318" s="675"/>
      <c r="AB318" s="549"/>
      <c r="AC318" s="675"/>
      <c r="AD318" s="549"/>
      <c r="AE318" s="675"/>
      <c r="AF318" s="549"/>
      <c r="AG318" s="675"/>
      <c r="AH318" s="549"/>
      <c r="AI318" s="675"/>
      <c r="AJ318" s="549"/>
      <c r="AK318" s="675"/>
      <c r="AL318" s="549"/>
      <c r="AM318" s="675"/>
      <c r="AN318" s="549"/>
      <c r="AO318" s="675"/>
      <c r="AP318" s="549"/>
      <c r="AQ318" s="675"/>
      <c r="AR318" s="549"/>
      <c r="AS318" s="675"/>
      <c r="AT318" s="549"/>
      <c r="AU318" s="675"/>
      <c r="AV318" s="549"/>
      <c r="AW318" s="675"/>
      <c r="AX318" s="549"/>
      <c r="AY318" s="675"/>
      <c r="AZ318" s="549"/>
      <c r="BA318" s="675"/>
      <c r="BB318" s="549"/>
      <c r="BC318" s="675"/>
      <c r="BD318" s="549"/>
      <c r="BE318" s="675"/>
      <c r="BF318" s="549"/>
      <c r="BG318" s="675"/>
      <c r="BH318" s="549"/>
      <c r="BI318" s="675"/>
      <c r="BJ318" s="549"/>
      <c r="BK318" s="675"/>
      <c r="BL318" s="549"/>
      <c r="BM318" s="675"/>
      <c r="BN318" s="549"/>
      <c r="BO318" s="675"/>
      <c r="BP318" s="549"/>
      <c r="BQ318" s="675"/>
      <c r="BR318" s="549"/>
      <c r="BS318" s="675"/>
      <c r="BT318" s="549"/>
      <c r="BU318" s="675"/>
      <c r="BV318" s="549"/>
      <c r="BW318" s="675"/>
      <c r="BX318" s="549"/>
      <c r="BY318" s="675"/>
      <c r="BZ318" s="549"/>
      <c r="CA318" s="675"/>
      <c r="CB318" s="549"/>
      <c r="CC318" s="675"/>
      <c r="CD318" s="549"/>
      <c r="CE318" s="675"/>
      <c r="CF318" s="549"/>
      <c r="CG318" s="675"/>
      <c r="CH318" s="549"/>
      <c r="CI318" s="675"/>
      <c r="CJ318" s="549"/>
      <c r="CK318" s="675"/>
      <c r="CL318" s="549"/>
      <c r="CM318" s="675"/>
      <c r="CN318" s="549"/>
      <c r="CO318" s="675"/>
      <c r="CP318" s="549"/>
      <c r="CQ318" s="675"/>
      <c r="CR318" s="549"/>
      <c r="CS318" s="675"/>
      <c r="CT318" s="549"/>
      <c r="CU318" s="675"/>
      <c r="CV318" s="549"/>
      <c r="CW318" s="675"/>
      <c r="CX318" s="549"/>
      <c r="CY318" s="675"/>
      <c r="CZ318" s="549"/>
      <c r="DA318" s="675"/>
      <c r="DB318" s="549"/>
      <c r="DC318" s="675"/>
      <c r="DD318" s="549"/>
      <c r="DE318" s="675"/>
      <c r="DF318" s="549"/>
      <c r="DG318" s="675"/>
      <c r="DH318" s="549"/>
      <c r="DI318" s="675"/>
      <c r="DJ318" s="549"/>
      <c r="DK318" s="675"/>
      <c r="DL318" s="549"/>
      <c r="DM318" s="675"/>
      <c r="DN318" s="549"/>
      <c r="DO318" s="675"/>
      <c r="DP318" s="549"/>
      <c r="DQ318" s="675"/>
      <c r="DR318" s="549"/>
      <c r="DS318" s="675"/>
      <c r="DT318" s="549"/>
      <c r="DU318" s="675"/>
      <c r="DV318" s="549"/>
      <c r="DW318" s="675"/>
      <c r="DX318" s="549"/>
      <c r="DY318" s="675"/>
      <c r="DZ318" s="549"/>
      <c r="EA318" s="675"/>
      <c r="EB318" s="549"/>
      <c r="EC318" s="675"/>
      <c r="ED318" s="549"/>
      <c r="EE318" s="675"/>
      <c r="EF318" s="549"/>
      <c r="EG318" s="675"/>
      <c r="EH318" s="549"/>
      <c r="EI318" s="675"/>
      <c r="EJ318" s="549"/>
      <c r="EK318" s="675"/>
      <c r="EL318" s="549"/>
      <c r="EM318" s="675"/>
      <c r="EN318" s="549"/>
      <c r="EO318" s="675"/>
      <c r="EP318" s="549"/>
      <c r="EQ318" s="675"/>
      <c r="ER318" s="549"/>
      <c r="ES318" s="675"/>
      <c r="ET318" s="549"/>
      <c r="EU318" s="675"/>
      <c r="EV318" s="549"/>
      <c r="EW318" s="675"/>
      <c r="EX318" s="549"/>
      <c r="EY318" s="675"/>
      <c r="EZ318" s="549"/>
      <c r="FA318" s="675"/>
      <c r="FB318" s="549"/>
      <c r="FC318" s="675"/>
      <c r="FD318" s="549"/>
      <c r="FE318" s="675"/>
      <c r="FF318" s="549"/>
      <c r="FG318" s="675"/>
      <c r="FH318" s="549"/>
      <c r="FI318" s="675"/>
      <c r="FJ318" s="549"/>
      <c r="FK318" s="675"/>
      <c r="FL318" s="549"/>
      <c r="FM318" s="675"/>
      <c r="FN318" s="549"/>
      <c r="FO318" s="675"/>
      <c r="FP318" s="549"/>
      <c r="FQ318" s="675"/>
      <c r="FR318" s="549"/>
      <c r="FS318" s="675"/>
      <c r="FT318" s="549"/>
      <c r="FU318" s="675"/>
      <c r="FV318" s="549"/>
      <c r="FW318" s="675"/>
      <c r="FX318" s="549"/>
      <c r="FY318" s="675"/>
      <c r="FZ318" s="549"/>
      <c r="GA318" s="675"/>
      <c r="GB318" s="549"/>
      <c r="GC318" s="675"/>
      <c r="GD318" s="549"/>
      <c r="GE318" s="675"/>
      <c r="GF318" s="549"/>
      <c r="GG318" s="675"/>
      <c r="GH318" s="549"/>
      <c r="GI318" s="675"/>
      <c r="GJ318" s="549"/>
      <c r="GK318" s="675"/>
      <c r="GL318" s="549"/>
      <c r="GM318" s="675"/>
      <c r="GN318" s="549"/>
      <c r="GO318" s="675"/>
      <c r="GP318" s="549"/>
      <c r="GQ318" s="675"/>
      <c r="GR318" s="74"/>
      <c r="GS318" s="74"/>
      <c r="GT318" s="549"/>
      <c r="GU318" s="73"/>
      <c r="GV318" s="73"/>
      <c r="GW318" s="549"/>
      <c r="GX318" s="549"/>
      <c r="GY318" s="73"/>
      <c r="GZ318" s="73"/>
      <c r="HA318" s="73"/>
      <c r="HB318" s="73"/>
      <c r="HC318" s="73"/>
      <c r="HD318" s="73"/>
      <c r="HE318" s="73"/>
      <c r="HF318" s="73"/>
      <c r="HG318" s="74"/>
      <c r="HH318" s="73"/>
      <c r="HI318" s="815"/>
      <c r="HJ318" s="73"/>
      <c r="HK318" s="815"/>
      <c r="HL318" s="73"/>
      <c r="HM318" s="815"/>
      <c r="HN318" s="73"/>
      <c r="HO318" s="815"/>
      <c r="HP318" s="73"/>
      <c r="HQ318" s="815"/>
      <c r="HR318" s="73"/>
      <c r="HS318" s="815"/>
      <c r="HT318" s="73"/>
      <c r="HU318" s="815"/>
      <c r="HV318" s="73"/>
      <c r="HW318" s="815"/>
      <c r="HX318" s="73"/>
      <c r="HY318" s="815"/>
      <c r="HZ318" s="73"/>
      <c r="IA318" s="815"/>
      <c r="IB318" s="73"/>
      <c r="IC318" s="815"/>
      <c r="ID318" s="73"/>
      <c r="IE318" s="815"/>
      <c r="IF318" s="841"/>
      <c r="IG318" s="263"/>
      <c r="IH318" s="842"/>
      <c r="II318" s="74"/>
      <c r="IJ318" s="74"/>
      <c r="IK318" s="74"/>
      <c r="IL318" s="74"/>
      <c r="IM318" s="74"/>
      <c r="IN318" s="74"/>
      <c r="IO318" s="74"/>
      <c r="IP318" s="74"/>
      <c r="IQ318" s="74"/>
      <c r="IR318" s="74"/>
      <c r="IS318" s="74"/>
      <c r="IT318" s="74"/>
      <c r="IU318" s="74"/>
      <c r="IV318" s="74"/>
      <c r="IW318" s="74"/>
      <c r="IX318" s="74"/>
      <c r="IY318" s="74"/>
      <c r="IZ318" s="74"/>
      <c r="JA318" s="74"/>
      <c r="JB318" s="74"/>
      <c r="JC318" s="74"/>
      <c r="JD318" s="74"/>
      <c r="JE318" s="74"/>
      <c r="JF318" s="74"/>
      <c r="JG318" s="74"/>
      <c r="JH318" s="74"/>
      <c r="JI318" s="74"/>
      <c r="JJ318" s="74"/>
      <c r="JK318" s="74"/>
      <c r="JL318" s="74"/>
      <c r="JM318" s="74"/>
      <c r="JN318" s="74"/>
      <c r="JO318" s="74"/>
      <c r="JP318" s="74"/>
      <c r="JQ318" s="74"/>
      <c r="JR318" s="74"/>
      <c r="JS318" s="74"/>
      <c r="JT318" s="382"/>
      <c r="JU318" s="665"/>
      <c r="JV318" s="524"/>
      <c r="JW318" s="525"/>
      <c r="JX318" s="548"/>
      <c r="JY318" s="548"/>
      <c r="JZ318" s="581">
        <f t="shared" si="9103"/>
        <v>0</v>
      </c>
      <c r="KA318" s="581">
        <f t="shared" si="9104"/>
        <v>0</v>
      </c>
      <c r="KB318" s="548"/>
      <c r="KC318" s="709">
        <f t="shared" si="9101"/>
        <v>0</v>
      </c>
      <c r="KD318" s="35"/>
      <c r="KE318" s="35"/>
      <c r="KF318" s="35"/>
      <c r="KG318" s="35"/>
      <c r="KH318" s="35"/>
      <c r="KI318" s="35"/>
      <c r="KJ318" s="35"/>
      <c r="KK318" s="35"/>
    </row>
    <row r="319" spans="1:297" s="10" customFormat="1" ht="12.75" hidden="1" customHeight="1">
      <c r="A319" s="80" t="s">
        <v>1086</v>
      </c>
      <c r="B319" s="77"/>
      <c r="C319" s="74">
        <f>SUM(C320)</f>
        <v>0</v>
      </c>
      <c r="D319" s="549">
        <f t="shared" ref="D319:HF319" si="9627">SUM(D320)</f>
        <v>0</v>
      </c>
      <c r="E319" s="675">
        <f t="shared" si="9627"/>
        <v>0</v>
      </c>
      <c r="F319" s="549">
        <f t="shared" si="9627"/>
        <v>0</v>
      </c>
      <c r="G319" s="675">
        <f t="shared" si="9627"/>
        <v>0</v>
      </c>
      <c r="H319" s="549">
        <f t="shared" si="9627"/>
        <v>0</v>
      </c>
      <c r="I319" s="675">
        <f t="shared" si="9627"/>
        <v>0</v>
      </c>
      <c r="J319" s="549">
        <f t="shared" si="9627"/>
        <v>0</v>
      </c>
      <c r="K319" s="675">
        <f t="shared" si="9627"/>
        <v>0</v>
      </c>
      <c r="L319" s="549">
        <f t="shared" si="9627"/>
        <v>0</v>
      </c>
      <c r="M319" s="675">
        <f t="shared" si="9627"/>
        <v>0</v>
      </c>
      <c r="N319" s="549">
        <f t="shared" si="9627"/>
        <v>0</v>
      </c>
      <c r="O319" s="675">
        <f t="shared" si="9627"/>
        <v>0</v>
      </c>
      <c r="P319" s="549">
        <f t="shared" si="9627"/>
        <v>0</v>
      </c>
      <c r="Q319" s="675">
        <f t="shared" si="9627"/>
        <v>0</v>
      </c>
      <c r="R319" s="549">
        <f t="shared" si="9627"/>
        <v>0</v>
      </c>
      <c r="S319" s="675">
        <f t="shared" si="9627"/>
        <v>0</v>
      </c>
      <c r="T319" s="549">
        <f t="shared" si="9627"/>
        <v>0</v>
      </c>
      <c r="U319" s="675">
        <f t="shared" si="9627"/>
        <v>0</v>
      </c>
      <c r="V319" s="549">
        <f t="shared" si="9627"/>
        <v>0</v>
      </c>
      <c r="W319" s="675">
        <f t="shared" si="9627"/>
        <v>0</v>
      </c>
      <c r="X319" s="549">
        <f t="shared" si="9627"/>
        <v>0</v>
      </c>
      <c r="Y319" s="675">
        <f t="shared" si="9627"/>
        <v>0</v>
      </c>
      <c r="Z319" s="549">
        <f t="shared" si="9627"/>
        <v>0</v>
      </c>
      <c r="AA319" s="675">
        <f t="shared" si="9627"/>
        <v>0</v>
      </c>
      <c r="AB319" s="549">
        <f t="shared" si="9627"/>
        <v>0</v>
      </c>
      <c r="AC319" s="675">
        <f t="shared" si="9627"/>
        <v>0</v>
      </c>
      <c r="AD319" s="549">
        <f t="shared" si="9627"/>
        <v>0</v>
      </c>
      <c r="AE319" s="675">
        <f t="shared" si="9627"/>
        <v>0</v>
      </c>
      <c r="AF319" s="549">
        <f t="shared" si="9627"/>
        <v>0</v>
      </c>
      <c r="AG319" s="675">
        <f t="shared" si="9627"/>
        <v>0</v>
      </c>
      <c r="AH319" s="549">
        <f t="shared" si="9627"/>
        <v>0</v>
      </c>
      <c r="AI319" s="675">
        <f t="shared" si="9627"/>
        <v>0</v>
      </c>
      <c r="AJ319" s="549">
        <f t="shared" si="9627"/>
        <v>0</v>
      </c>
      <c r="AK319" s="675">
        <f t="shared" si="9627"/>
        <v>0</v>
      </c>
      <c r="AL319" s="549">
        <f t="shared" si="9627"/>
        <v>0</v>
      </c>
      <c r="AM319" s="675">
        <f t="shared" si="9627"/>
        <v>0</v>
      </c>
      <c r="AN319" s="549">
        <f t="shared" si="9627"/>
        <v>0</v>
      </c>
      <c r="AO319" s="675">
        <f t="shared" si="9627"/>
        <v>0</v>
      </c>
      <c r="AP319" s="549">
        <f t="shared" si="9627"/>
        <v>0</v>
      </c>
      <c r="AQ319" s="675">
        <f t="shared" si="9627"/>
        <v>0</v>
      </c>
      <c r="AR319" s="549">
        <f t="shared" si="9627"/>
        <v>0</v>
      </c>
      <c r="AS319" s="675">
        <f t="shared" si="9627"/>
        <v>0</v>
      </c>
      <c r="AT319" s="549">
        <f t="shared" si="9627"/>
        <v>0</v>
      </c>
      <c r="AU319" s="675">
        <f t="shared" si="9627"/>
        <v>0</v>
      </c>
      <c r="AV319" s="549">
        <f t="shared" si="9627"/>
        <v>0</v>
      </c>
      <c r="AW319" s="675">
        <f t="shared" si="9627"/>
        <v>0</v>
      </c>
      <c r="AX319" s="549">
        <f t="shared" si="9627"/>
        <v>0</v>
      </c>
      <c r="AY319" s="675">
        <f t="shared" si="9627"/>
        <v>0</v>
      </c>
      <c r="AZ319" s="549">
        <f t="shared" si="9627"/>
        <v>0</v>
      </c>
      <c r="BA319" s="675">
        <f t="shared" si="9627"/>
        <v>0</v>
      </c>
      <c r="BB319" s="549">
        <f t="shared" si="9627"/>
        <v>0</v>
      </c>
      <c r="BC319" s="675">
        <f t="shared" si="9627"/>
        <v>0</v>
      </c>
      <c r="BD319" s="549">
        <f t="shared" si="9627"/>
        <v>0</v>
      </c>
      <c r="BE319" s="675">
        <f t="shared" si="9627"/>
        <v>0</v>
      </c>
      <c r="BF319" s="549">
        <f t="shared" si="9627"/>
        <v>0</v>
      </c>
      <c r="BG319" s="675">
        <f t="shared" si="9627"/>
        <v>0</v>
      </c>
      <c r="BH319" s="549">
        <f t="shared" si="9627"/>
        <v>0</v>
      </c>
      <c r="BI319" s="675">
        <f t="shared" si="9627"/>
        <v>0</v>
      </c>
      <c r="BJ319" s="549">
        <f t="shared" si="9627"/>
        <v>0</v>
      </c>
      <c r="BK319" s="675">
        <f t="shared" si="9627"/>
        <v>0</v>
      </c>
      <c r="BL319" s="549">
        <f t="shared" si="9627"/>
        <v>0</v>
      </c>
      <c r="BM319" s="675">
        <f t="shared" si="9627"/>
        <v>0</v>
      </c>
      <c r="BN319" s="549">
        <f t="shared" si="9627"/>
        <v>0</v>
      </c>
      <c r="BO319" s="675">
        <f t="shared" si="9627"/>
        <v>0</v>
      </c>
      <c r="BP319" s="549">
        <f t="shared" si="9627"/>
        <v>0</v>
      </c>
      <c r="BQ319" s="675">
        <f t="shared" si="9627"/>
        <v>0</v>
      </c>
      <c r="BR319" s="549">
        <f t="shared" si="9627"/>
        <v>0</v>
      </c>
      <c r="BS319" s="675">
        <f t="shared" si="9627"/>
        <v>0</v>
      </c>
      <c r="BT319" s="549">
        <f t="shared" si="9627"/>
        <v>0</v>
      </c>
      <c r="BU319" s="675">
        <f t="shared" si="9627"/>
        <v>0</v>
      </c>
      <c r="BV319" s="549">
        <f t="shared" si="9627"/>
        <v>0</v>
      </c>
      <c r="BW319" s="675">
        <f t="shared" si="9627"/>
        <v>0</v>
      </c>
      <c r="BX319" s="549">
        <f t="shared" si="9627"/>
        <v>0</v>
      </c>
      <c r="BY319" s="675">
        <f t="shared" si="9627"/>
        <v>0</v>
      </c>
      <c r="BZ319" s="549">
        <f t="shared" si="9627"/>
        <v>0</v>
      </c>
      <c r="CA319" s="675">
        <f t="shared" si="9627"/>
        <v>0</v>
      </c>
      <c r="CB319" s="549">
        <f t="shared" si="9627"/>
        <v>0</v>
      </c>
      <c r="CC319" s="675">
        <f t="shared" si="9627"/>
        <v>0</v>
      </c>
      <c r="CD319" s="549">
        <f t="shared" si="9627"/>
        <v>0</v>
      </c>
      <c r="CE319" s="675">
        <f t="shared" si="9627"/>
        <v>0</v>
      </c>
      <c r="CF319" s="549">
        <f t="shared" si="9627"/>
        <v>0</v>
      </c>
      <c r="CG319" s="675">
        <f t="shared" si="9627"/>
        <v>0</v>
      </c>
      <c r="CH319" s="549">
        <f t="shared" si="9627"/>
        <v>0</v>
      </c>
      <c r="CI319" s="675">
        <f t="shared" si="9627"/>
        <v>0</v>
      </c>
      <c r="CJ319" s="549">
        <f t="shared" si="9627"/>
        <v>0</v>
      </c>
      <c r="CK319" s="675">
        <f t="shared" si="9627"/>
        <v>0</v>
      </c>
      <c r="CL319" s="549">
        <f t="shared" si="9627"/>
        <v>0</v>
      </c>
      <c r="CM319" s="675">
        <f t="shared" si="9627"/>
        <v>0</v>
      </c>
      <c r="CN319" s="549">
        <f t="shared" si="9627"/>
        <v>0</v>
      </c>
      <c r="CO319" s="675">
        <f t="shared" si="9627"/>
        <v>0</v>
      </c>
      <c r="CP319" s="549">
        <f t="shared" si="9627"/>
        <v>0</v>
      </c>
      <c r="CQ319" s="675">
        <f t="shared" si="9627"/>
        <v>0</v>
      </c>
      <c r="CR319" s="549">
        <f t="shared" si="9627"/>
        <v>0</v>
      </c>
      <c r="CS319" s="675">
        <f t="shared" si="9627"/>
        <v>0</v>
      </c>
      <c r="CT319" s="549">
        <f t="shared" si="9627"/>
        <v>0</v>
      </c>
      <c r="CU319" s="675">
        <f t="shared" si="9627"/>
        <v>0</v>
      </c>
      <c r="CV319" s="549">
        <f t="shared" si="9627"/>
        <v>0</v>
      </c>
      <c r="CW319" s="675">
        <f t="shared" si="9627"/>
        <v>0</v>
      </c>
      <c r="CX319" s="549">
        <f t="shared" si="9627"/>
        <v>0</v>
      </c>
      <c r="CY319" s="675">
        <f t="shared" si="9627"/>
        <v>0</v>
      </c>
      <c r="CZ319" s="549">
        <f t="shared" si="9627"/>
        <v>0</v>
      </c>
      <c r="DA319" s="675">
        <f t="shared" si="9627"/>
        <v>0</v>
      </c>
      <c r="DB319" s="549">
        <f t="shared" si="9627"/>
        <v>0</v>
      </c>
      <c r="DC319" s="675">
        <f t="shared" si="9627"/>
        <v>0</v>
      </c>
      <c r="DD319" s="549">
        <f t="shared" si="9627"/>
        <v>0</v>
      </c>
      <c r="DE319" s="675">
        <f t="shared" si="9627"/>
        <v>0</v>
      </c>
      <c r="DF319" s="549">
        <f t="shared" si="9627"/>
        <v>0</v>
      </c>
      <c r="DG319" s="675">
        <f t="shared" si="9627"/>
        <v>0</v>
      </c>
      <c r="DH319" s="549">
        <f t="shared" si="9627"/>
        <v>0</v>
      </c>
      <c r="DI319" s="675">
        <f t="shared" si="9627"/>
        <v>0</v>
      </c>
      <c r="DJ319" s="549">
        <f t="shared" si="9627"/>
        <v>0</v>
      </c>
      <c r="DK319" s="675">
        <f t="shared" si="9627"/>
        <v>0</v>
      </c>
      <c r="DL319" s="549">
        <f t="shared" si="9627"/>
        <v>0</v>
      </c>
      <c r="DM319" s="675">
        <f t="shared" si="9627"/>
        <v>0</v>
      </c>
      <c r="DN319" s="549">
        <f t="shared" si="9627"/>
        <v>0</v>
      </c>
      <c r="DO319" s="675">
        <f t="shared" si="9627"/>
        <v>0</v>
      </c>
      <c r="DP319" s="549">
        <f t="shared" si="9627"/>
        <v>0</v>
      </c>
      <c r="DQ319" s="675">
        <f t="shared" si="9627"/>
        <v>0</v>
      </c>
      <c r="DR319" s="549">
        <f t="shared" si="9627"/>
        <v>0</v>
      </c>
      <c r="DS319" s="675">
        <f t="shared" si="9627"/>
        <v>0</v>
      </c>
      <c r="DT319" s="549">
        <f t="shared" si="9627"/>
        <v>0</v>
      </c>
      <c r="DU319" s="675">
        <f t="shared" si="9627"/>
        <v>0</v>
      </c>
      <c r="DV319" s="549">
        <f t="shared" si="9627"/>
        <v>0</v>
      </c>
      <c r="DW319" s="675">
        <f t="shared" si="9627"/>
        <v>0</v>
      </c>
      <c r="DX319" s="549">
        <f t="shared" si="9627"/>
        <v>0</v>
      </c>
      <c r="DY319" s="675">
        <f t="shared" si="9627"/>
        <v>0</v>
      </c>
      <c r="DZ319" s="549">
        <f t="shared" si="9627"/>
        <v>0</v>
      </c>
      <c r="EA319" s="675">
        <f t="shared" si="9627"/>
        <v>0</v>
      </c>
      <c r="EB319" s="549">
        <f t="shared" si="9627"/>
        <v>0</v>
      </c>
      <c r="EC319" s="675">
        <f t="shared" si="9627"/>
        <v>0</v>
      </c>
      <c r="ED319" s="549">
        <f t="shared" si="9627"/>
        <v>0</v>
      </c>
      <c r="EE319" s="675">
        <f t="shared" si="9627"/>
        <v>0</v>
      </c>
      <c r="EF319" s="549">
        <f t="shared" si="9627"/>
        <v>0</v>
      </c>
      <c r="EG319" s="675">
        <f t="shared" si="9627"/>
        <v>0</v>
      </c>
      <c r="EH319" s="549">
        <f t="shared" si="9627"/>
        <v>0</v>
      </c>
      <c r="EI319" s="675">
        <f t="shared" si="9627"/>
        <v>0</v>
      </c>
      <c r="EJ319" s="549">
        <f t="shared" si="9627"/>
        <v>0</v>
      </c>
      <c r="EK319" s="675">
        <f t="shared" si="9627"/>
        <v>0</v>
      </c>
      <c r="EL319" s="549">
        <f t="shared" si="9627"/>
        <v>0</v>
      </c>
      <c r="EM319" s="675">
        <f t="shared" si="9627"/>
        <v>0</v>
      </c>
      <c r="EN319" s="549">
        <f t="shared" si="9627"/>
        <v>0</v>
      </c>
      <c r="EO319" s="675">
        <f t="shared" si="9627"/>
        <v>0</v>
      </c>
      <c r="EP319" s="549">
        <f t="shared" si="9627"/>
        <v>0</v>
      </c>
      <c r="EQ319" s="675">
        <f t="shared" si="9627"/>
        <v>0</v>
      </c>
      <c r="ER319" s="549">
        <f t="shared" si="9627"/>
        <v>0</v>
      </c>
      <c r="ES319" s="675">
        <f t="shared" si="9627"/>
        <v>0</v>
      </c>
      <c r="ET319" s="549">
        <f t="shared" si="9627"/>
        <v>0</v>
      </c>
      <c r="EU319" s="675">
        <f t="shared" si="9627"/>
        <v>0</v>
      </c>
      <c r="EV319" s="549">
        <f t="shared" si="9627"/>
        <v>0</v>
      </c>
      <c r="EW319" s="675">
        <f t="shared" si="9627"/>
        <v>0</v>
      </c>
      <c r="EX319" s="549">
        <f t="shared" si="9627"/>
        <v>0</v>
      </c>
      <c r="EY319" s="675">
        <f t="shared" si="9627"/>
        <v>0</v>
      </c>
      <c r="EZ319" s="549">
        <f t="shared" si="9627"/>
        <v>0</v>
      </c>
      <c r="FA319" s="675">
        <f t="shared" si="9627"/>
        <v>0</v>
      </c>
      <c r="FB319" s="549">
        <f t="shared" si="9627"/>
        <v>0</v>
      </c>
      <c r="FC319" s="675">
        <f t="shared" si="9627"/>
        <v>0</v>
      </c>
      <c r="FD319" s="549">
        <f t="shared" si="9627"/>
        <v>0</v>
      </c>
      <c r="FE319" s="675">
        <f t="shared" si="9627"/>
        <v>0</v>
      </c>
      <c r="FF319" s="549">
        <f t="shared" si="9627"/>
        <v>0</v>
      </c>
      <c r="FG319" s="675">
        <f t="shared" si="9627"/>
        <v>0</v>
      </c>
      <c r="FH319" s="549">
        <f t="shared" si="9627"/>
        <v>0</v>
      </c>
      <c r="FI319" s="675">
        <f t="shared" si="9627"/>
        <v>0</v>
      </c>
      <c r="FJ319" s="549">
        <f t="shared" si="9627"/>
        <v>0</v>
      </c>
      <c r="FK319" s="675">
        <f t="shared" si="9627"/>
        <v>0</v>
      </c>
      <c r="FL319" s="549">
        <f t="shared" si="9627"/>
        <v>0</v>
      </c>
      <c r="FM319" s="675">
        <f t="shared" si="9627"/>
        <v>0</v>
      </c>
      <c r="FN319" s="549">
        <f t="shared" si="9627"/>
        <v>0</v>
      </c>
      <c r="FO319" s="675">
        <f t="shared" si="9627"/>
        <v>0</v>
      </c>
      <c r="FP319" s="549">
        <f t="shared" si="9627"/>
        <v>0</v>
      </c>
      <c r="FQ319" s="675">
        <f t="shared" si="9627"/>
        <v>0</v>
      </c>
      <c r="FR319" s="549">
        <f t="shared" si="9627"/>
        <v>0</v>
      </c>
      <c r="FS319" s="675">
        <f t="shared" si="9627"/>
        <v>0</v>
      </c>
      <c r="FT319" s="549">
        <f t="shared" si="9627"/>
        <v>0</v>
      </c>
      <c r="FU319" s="675">
        <f t="shared" si="9627"/>
        <v>0</v>
      </c>
      <c r="FV319" s="549">
        <f t="shared" si="9627"/>
        <v>0</v>
      </c>
      <c r="FW319" s="675">
        <f t="shared" si="9627"/>
        <v>0</v>
      </c>
      <c r="FX319" s="549">
        <f t="shared" si="9627"/>
        <v>0</v>
      </c>
      <c r="FY319" s="675">
        <f t="shared" si="9627"/>
        <v>0</v>
      </c>
      <c r="FZ319" s="549">
        <f t="shared" si="9627"/>
        <v>0</v>
      </c>
      <c r="GA319" s="675">
        <f t="shared" si="9627"/>
        <v>0</v>
      </c>
      <c r="GB319" s="549">
        <f t="shared" si="9627"/>
        <v>0</v>
      </c>
      <c r="GC319" s="675">
        <f t="shared" si="9627"/>
        <v>0</v>
      </c>
      <c r="GD319" s="549">
        <f t="shared" si="9627"/>
        <v>0</v>
      </c>
      <c r="GE319" s="675">
        <f t="shared" si="9627"/>
        <v>0</v>
      </c>
      <c r="GF319" s="549">
        <f t="shared" si="9627"/>
        <v>0</v>
      </c>
      <c r="GG319" s="675">
        <f t="shared" si="9627"/>
        <v>0</v>
      </c>
      <c r="GH319" s="549">
        <f t="shared" si="9627"/>
        <v>0</v>
      </c>
      <c r="GI319" s="675">
        <f t="shared" si="9627"/>
        <v>0</v>
      </c>
      <c r="GJ319" s="549">
        <f t="shared" si="9627"/>
        <v>0</v>
      </c>
      <c r="GK319" s="675">
        <f t="shared" si="9627"/>
        <v>0</v>
      </c>
      <c r="GL319" s="549">
        <f t="shared" si="9627"/>
        <v>0</v>
      </c>
      <c r="GM319" s="675">
        <f t="shared" si="9627"/>
        <v>0</v>
      </c>
      <c r="GN319" s="549">
        <f t="shared" si="9627"/>
        <v>0</v>
      </c>
      <c r="GO319" s="675">
        <f t="shared" si="9627"/>
        <v>0</v>
      </c>
      <c r="GP319" s="549">
        <f t="shared" si="9627"/>
        <v>0</v>
      </c>
      <c r="GQ319" s="675">
        <f t="shared" si="9627"/>
        <v>0</v>
      </c>
      <c r="GR319" s="74">
        <f>SUM(GR320)</f>
        <v>0</v>
      </c>
      <c r="GS319" s="74">
        <f>SUM(GS320)</f>
        <v>0</v>
      </c>
      <c r="GT319" s="74">
        <f t="shared" si="9627"/>
        <v>0</v>
      </c>
      <c r="GU319" s="74">
        <f t="shared" si="9627"/>
        <v>0</v>
      </c>
      <c r="GV319" s="74">
        <f t="shared" si="9627"/>
        <v>0</v>
      </c>
      <c r="GW319" s="74">
        <f t="shared" si="9627"/>
        <v>0</v>
      </c>
      <c r="GX319" s="74">
        <f t="shared" si="9627"/>
        <v>0</v>
      </c>
      <c r="GY319" s="74">
        <f t="shared" si="9627"/>
        <v>0</v>
      </c>
      <c r="GZ319" s="74">
        <f t="shared" si="9627"/>
        <v>0</v>
      </c>
      <c r="HA319" s="74">
        <f t="shared" si="9627"/>
        <v>0</v>
      </c>
      <c r="HB319" s="74">
        <f t="shared" si="9627"/>
        <v>0</v>
      </c>
      <c r="HC319" s="74">
        <f t="shared" si="9627"/>
        <v>0</v>
      </c>
      <c r="HD319" s="74">
        <f t="shared" si="9627"/>
        <v>0</v>
      </c>
      <c r="HE319" s="74">
        <f t="shared" si="9627"/>
        <v>0</v>
      </c>
      <c r="HF319" s="74">
        <f t="shared" si="9627"/>
        <v>0</v>
      </c>
      <c r="HG319" s="74">
        <f>SUM(HG320)</f>
        <v>0</v>
      </c>
      <c r="HH319" s="74">
        <f t="shared" ref="HH319:JR319" si="9628">SUM(HH320)</f>
        <v>0</v>
      </c>
      <c r="HI319" s="792">
        <f t="shared" si="9628"/>
        <v>0</v>
      </c>
      <c r="HJ319" s="74">
        <f t="shared" si="9628"/>
        <v>0</v>
      </c>
      <c r="HK319" s="792">
        <f t="shared" si="9628"/>
        <v>0</v>
      </c>
      <c r="HL319" s="74">
        <f t="shared" si="9628"/>
        <v>0</v>
      </c>
      <c r="HM319" s="792">
        <f t="shared" si="9628"/>
        <v>0</v>
      </c>
      <c r="HN319" s="74">
        <f t="shared" si="9628"/>
        <v>0</v>
      </c>
      <c r="HO319" s="792">
        <f t="shared" si="9628"/>
        <v>0</v>
      </c>
      <c r="HP319" s="74">
        <f t="shared" si="9628"/>
        <v>0</v>
      </c>
      <c r="HQ319" s="792">
        <f t="shared" si="9628"/>
        <v>0</v>
      </c>
      <c r="HR319" s="74">
        <f t="shared" si="9628"/>
        <v>0</v>
      </c>
      <c r="HS319" s="792">
        <f t="shared" si="9628"/>
        <v>0</v>
      </c>
      <c r="HT319" s="74">
        <f t="shared" si="9628"/>
        <v>0</v>
      </c>
      <c r="HU319" s="792">
        <f t="shared" si="9628"/>
        <v>0</v>
      </c>
      <c r="HV319" s="74">
        <f t="shared" si="9628"/>
        <v>0</v>
      </c>
      <c r="HW319" s="792">
        <f t="shared" si="9628"/>
        <v>0</v>
      </c>
      <c r="HX319" s="74">
        <f t="shared" si="9628"/>
        <v>0</v>
      </c>
      <c r="HY319" s="792">
        <f t="shared" si="9628"/>
        <v>0</v>
      </c>
      <c r="HZ319" s="74">
        <f t="shared" si="9628"/>
        <v>0</v>
      </c>
      <c r="IA319" s="792">
        <f t="shared" si="9628"/>
        <v>0</v>
      </c>
      <c r="IB319" s="74">
        <f t="shared" si="9628"/>
        <v>0</v>
      </c>
      <c r="IC319" s="792">
        <f t="shared" si="9628"/>
        <v>0</v>
      </c>
      <c r="ID319" s="74">
        <f t="shared" si="9628"/>
        <v>0</v>
      </c>
      <c r="IE319" s="792">
        <f t="shared" si="9628"/>
        <v>0</v>
      </c>
      <c r="IF319" s="841">
        <f t="shared" si="9628"/>
        <v>0</v>
      </c>
      <c r="IG319" s="263">
        <f t="shared" si="9628"/>
        <v>0</v>
      </c>
      <c r="IH319" s="842">
        <f t="shared" si="9628"/>
        <v>0</v>
      </c>
      <c r="II319" s="74">
        <f t="shared" si="9628"/>
        <v>0</v>
      </c>
      <c r="IJ319" s="74">
        <f t="shared" si="9628"/>
        <v>0</v>
      </c>
      <c r="IK319" s="74">
        <f t="shared" si="9628"/>
        <v>0</v>
      </c>
      <c r="IL319" s="74">
        <f t="shared" si="9628"/>
        <v>0</v>
      </c>
      <c r="IM319" s="74">
        <f t="shared" si="9628"/>
        <v>0</v>
      </c>
      <c r="IN319" s="74">
        <f t="shared" si="9628"/>
        <v>0</v>
      </c>
      <c r="IO319" s="74">
        <f t="shared" si="9628"/>
        <v>0</v>
      </c>
      <c r="IP319" s="74">
        <f t="shared" si="9628"/>
        <v>0</v>
      </c>
      <c r="IQ319" s="74">
        <f t="shared" si="9628"/>
        <v>0</v>
      </c>
      <c r="IR319" s="74">
        <f t="shared" si="9628"/>
        <v>0</v>
      </c>
      <c r="IS319" s="74">
        <f t="shared" si="9628"/>
        <v>0</v>
      </c>
      <c r="IT319" s="74">
        <f t="shared" si="9628"/>
        <v>0</v>
      </c>
      <c r="IU319" s="74">
        <f t="shared" si="9628"/>
        <v>0</v>
      </c>
      <c r="IV319" s="74">
        <f t="shared" si="9628"/>
        <v>0</v>
      </c>
      <c r="IW319" s="74">
        <f t="shared" si="9628"/>
        <v>0</v>
      </c>
      <c r="IX319" s="74">
        <f t="shared" si="9628"/>
        <v>0</v>
      </c>
      <c r="IY319" s="74">
        <f t="shared" si="9628"/>
        <v>0</v>
      </c>
      <c r="IZ319" s="74">
        <f t="shared" si="9628"/>
        <v>0</v>
      </c>
      <c r="JA319" s="74">
        <f t="shared" si="9628"/>
        <v>0</v>
      </c>
      <c r="JB319" s="74">
        <f t="shared" si="9628"/>
        <v>0</v>
      </c>
      <c r="JC319" s="74">
        <f t="shared" si="9628"/>
        <v>0</v>
      </c>
      <c r="JD319" s="74">
        <f t="shared" si="9628"/>
        <v>0</v>
      </c>
      <c r="JE319" s="74">
        <f t="shared" si="9628"/>
        <v>0</v>
      </c>
      <c r="JF319" s="74">
        <f t="shared" si="9628"/>
        <v>0</v>
      </c>
      <c r="JG319" s="74">
        <f t="shared" si="9628"/>
        <v>0</v>
      </c>
      <c r="JH319" s="74">
        <f t="shared" si="9628"/>
        <v>0</v>
      </c>
      <c r="JI319" s="74">
        <f t="shared" si="9628"/>
        <v>0</v>
      </c>
      <c r="JJ319" s="74">
        <f t="shared" si="9628"/>
        <v>0</v>
      </c>
      <c r="JK319" s="74">
        <f t="shared" si="9628"/>
        <v>0</v>
      </c>
      <c r="JL319" s="74">
        <f t="shared" si="9628"/>
        <v>0</v>
      </c>
      <c r="JM319" s="74">
        <f t="shared" si="9628"/>
        <v>0</v>
      </c>
      <c r="JN319" s="74">
        <f t="shared" si="9628"/>
        <v>0</v>
      </c>
      <c r="JO319" s="74">
        <f t="shared" si="9628"/>
        <v>0</v>
      </c>
      <c r="JP319" s="74">
        <f t="shared" si="9628"/>
        <v>0</v>
      </c>
      <c r="JQ319" s="74">
        <f t="shared" si="9628"/>
        <v>0</v>
      </c>
      <c r="JR319" s="74">
        <f t="shared" si="9628"/>
        <v>0</v>
      </c>
      <c r="JS319" s="74">
        <f>SUM(JS320)</f>
        <v>0</v>
      </c>
      <c r="JT319" s="74">
        <f>SUM(JT320)</f>
        <v>0</v>
      </c>
      <c r="JU319" s="665"/>
      <c r="JV319" s="524"/>
      <c r="JW319" s="525"/>
      <c r="JX319" s="74">
        <f>SUM(JX320)</f>
        <v>0</v>
      </c>
      <c r="JY319" s="74">
        <f>SUM(JY320)</f>
        <v>0</v>
      </c>
      <c r="JZ319" s="581">
        <f t="shared" si="9103"/>
        <v>0</v>
      </c>
      <c r="KA319" s="581">
        <f t="shared" si="9104"/>
        <v>0</v>
      </c>
      <c r="KB319" s="74">
        <f>SUM(KB320)</f>
        <v>0</v>
      </c>
      <c r="KC319" s="709">
        <f t="shared" si="9101"/>
        <v>0</v>
      </c>
      <c r="KD319" s="35"/>
      <c r="KE319" s="35"/>
      <c r="KF319" s="35"/>
      <c r="KG319" s="35"/>
      <c r="KH319" s="35"/>
      <c r="KI319" s="35"/>
      <c r="KJ319" s="35"/>
      <c r="KK319" s="35"/>
    </row>
    <row r="320" spans="1:297" s="10" customFormat="1" ht="12.75" hidden="1" customHeight="1">
      <c r="A320" s="86" t="s">
        <v>1087</v>
      </c>
      <c r="B320" s="77"/>
      <c r="C320" s="74">
        <v>0</v>
      </c>
      <c r="D320" s="549">
        <v>0</v>
      </c>
      <c r="E320" s="675">
        <v>0</v>
      </c>
      <c r="F320" s="549">
        <v>0</v>
      </c>
      <c r="G320" s="675">
        <v>0</v>
      </c>
      <c r="H320" s="549">
        <v>0</v>
      </c>
      <c r="I320" s="675">
        <v>0</v>
      </c>
      <c r="J320" s="549">
        <v>0</v>
      </c>
      <c r="K320" s="675">
        <v>0</v>
      </c>
      <c r="L320" s="549">
        <v>0</v>
      </c>
      <c r="M320" s="675">
        <v>0</v>
      </c>
      <c r="N320" s="549">
        <v>0</v>
      </c>
      <c r="O320" s="675">
        <v>0</v>
      </c>
      <c r="P320" s="549">
        <v>0</v>
      </c>
      <c r="Q320" s="675">
        <v>0</v>
      </c>
      <c r="R320" s="549">
        <v>0</v>
      </c>
      <c r="S320" s="675">
        <v>0</v>
      </c>
      <c r="T320" s="549">
        <v>0</v>
      </c>
      <c r="U320" s="675">
        <v>0</v>
      </c>
      <c r="V320" s="549">
        <v>0</v>
      </c>
      <c r="W320" s="675">
        <v>0</v>
      </c>
      <c r="X320" s="549">
        <v>0</v>
      </c>
      <c r="Y320" s="675">
        <v>0</v>
      </c>
      <c r="Z320" s="549">
        <v>0</v>
      </c>
      <c r="AA320" s="675">
        <v>0</v>
      </c>
      <c r="AB320" s="549">
        <v>0</v>
      </c>
      <c r="AC320" s="675">
        <v>0</v>
      </c>
      <c r="AD320" s="549">
        <v>0</v>
      </c>
      <c r="AE320" s="675">
        <v>0</v>
      </c>
      <c r="AF320" s="549">
        <v>0</v>
      </c>
      <c r="AG320" s="675">
        <v>0</v>
      </c>
      <c r="AH320" s="549">
        <v>0</v>
      </c>
      <c r="AI320" s="675">
        <v>0</v>
      </c>
      <c r="AJ320" s="549">
        <v>0</v>
      </c>
      <c r="AK320" s="675">
        <v>0</v>
      </c>
      <c r="AL320" s="549">
        <v>0</v>
      </c>
      <c r="AM320" s="675">
        <v>0</v>
      </c>
      <c r="AN320" s="549">
        <v>0</v>
      </c>
      <c r="AO320" s="675">
        <v>0</v>
      </c>
      <c r="AP320" s="549">
        <v>0</v>
      </c>
      <c r="AQ320" s="675">
        <v>0</v>
      </c>
      <c r="AR320" s="549">
        <v>0</v>
      </c>
      <c r="AS320" s="675">
        <v>0</v>
      </c>
      <c r="AT320" s="549">
        <v>0</v>
      </c>
      <c r="AU320" s="675">
        <v>0</v>
      </c>
      <c r="AV320" s="549">
        <v>0</v>
      </c>
      <c r="AW320" s="675">
        <v>0</v>
      </c>
      <c r="AX320" s="549">
        <v>0</v>
      </c>
      <c r="AY320" s="675">
        <v>0</v>
      </c>
      <c r="AZ320" s="549">
        <v>0</v>
      </c>
      <c r="BA320" s="675">
        <v>0</v>
      </c>
      <c r="BB320" s="549">
        <v>0</v>
      </c>
      <c r="BC320" s="675">
        <v>0</v>
      </c>
      <c r="BD320" s="549">
        <v>0</v>
      </c>
      <c r="BE320" s="675">
        <v>0</v>
      </c>
      <c r="BF320" s="549">
        <v>0</v>
      </c>
      <c r="BG320" s="675">
        <v>0</v>
      </c>
      <c r="BH320" s="549">
        <v>0</v>
      </c>
      <c r="BI320" s="675">
        <v>0</v>
      </c>
      <c r="BJ320" s="549">
        <v>0</v>
      </c>
      <c r="BK320" s="675">
        <v>0</v>
      </c>
      <c r="BL320" s="549">
        <v>0</v>
      </c>
      <c r="BM320" s="675">
        <v>0</v>
      </c>
      <c r="BN320" s="549">
        <v>0</v>
      </c>
      <c r="BO320" s="675">
        <v>0</v>
      </c>
      <c r="BP320" s="549">
        <v>0</v>
      </c>
      <c r="BQ320" s="675">
        <v>0</v>
      </c>
      <c r="BR320" s="549">
        <v>0</v>
      </c>
      <c r="BS320" s="675">
        <v>0</v>
      </c>
      <c r="BT320" s="549">
        <v>0</v>
      </c>
      <c r="BU320" s="675">
        <v>0</v>
      </c>
      <c r="BV320" s="549">
        <v>0</v>
      </c>
      <c r="BW320" s="675">
        <v>0</v>
      </c>
      <c r="BX320" s="549">
        <v>0</v>
      </c>
      <c r="BY320" s="675">
        <v>0</v>
      </c>
      <c r="BZ320" s="549">
        <v>0</v>
      </c>
      <c r="CA320" s="675">
        <v>0</v>
      </c>
      <c r="CB320" s="549">
        <v>0</v>
      </c>
      <c r="CC320" s="675">
        <v>0</v>
      </c>
      <c r="CD320" s="549">
        <v>0</v>
      </c>
      <c r="CE320" s="675">
        <v>0</v>
      </c>
      <c r="CF320" s="549">
        <v>0</v>
      </c>
      <c r="CG320" s="675">
        <v>0</v>
      </c>
      <c r="CH320" s="549">
        <v>0</v>
      </c>
      <c r="CI320" s="675">
        <v>0</v>
      </c>
      <c r="CJ320" s="549">
        <v>0</v>
      </c>
      <c r="CK320" s="675">
        <v>0</v>
      </c>
      <c r="CL320" s="549">
        <v>0</v>
      </c>
      <c r="CM320" s="675">
        <v>0</v>
      </c>
      <c r="CN320" s="549">
        <v>0</v>
      </c>
      <c r="CO320" s="675">
        <v>0</v>
      </c>
      <c r="CP320" s="549">
        <v>0</v>
      </c>
      <c r="CQ320" s="675">
        <v>0</v>
      </c>
      <c r="CR320" s="549">
        <v>0</v>
      </c>
      <c r="CS320" s="675">
        <v>0</v>
      </c>
      <c r="CT320" s="549">
        <v>0</v>
      </c>
      <c r="CU320" s="675">
        <v>0</v>
      </c>
      <c r="CV320" s="549">
        <v>0</v>
      </c>
      <c r="CW320" s="675">
        <v>0</v>
      </c>
      <c r="CX320" s="549">
        <v>0</v>
      </c>
      <c r="CY320" s="675">
        <v>0</v>
      </c>
      <c r="CZ320" s="549">
        <v>0</v>
      </c>
      <c r="DA320" s="675">
        <v>0</v>
      </c>
      <c r="DB320" s="549">
        <v>0</v>
      </c>
      <c r="DC320" s="675">
        <v>0</v>
      </c>
      <c r="DD320" s="549">
        <v>0</v>
      </c>
      <c r="DE320" s="675">
        <v>0</v>
      </c>
      <c r="DF320" s="549">
        <v>0</v>
      </c>
      <c r="DG320" s="675">
        <v>0</v>
      </c>
      <c r="DH320" s="549">
        <v>0</v>
      </c>
      <c r="DI320" s="675">
        <v>0</v>
      </c>
      <c r="DJ320" s="549">
        <v>0</v>
      </c>
      <c r="DK320" s="675">
        <v>0</v>
      </c>
      <c r="DL320" s="549">
        <v>0</v>
      </c>
      <c r="DM320" s="675">
        <v>0</v>
      </c>
      <c r="DN320" s="549">
        <v>0</v>
      </c>
      <c r="DO320" s="675">
        <v>0</v>
      </c>
      <c r="DP320" s="549">
        <v>0</v>
      </c>
      <c r="DQ320" s="675">
        <v>0</v>
      </c>
      <c r="DR320" s="549">
        <v>0</v>
      </c>
      <c r="DS320" s="675">
        <v>0</v>
      </c>
      <c r="DT320" s="549">
        <v>0</v>
      </c>
      <c r="DU320" s="675">
        <v>0</v>
      </c>
      <c r="DV320" s="549">
        <v>0</v>
      </c>
      <c r="DW320" s="675">
        <v>0</v>
      </c>
      <c r="DX320" s="549">
        <v>0</v>
      </c>
      <c r="DY320" s="675">
        <v>0</v>
      </c>
      <c r="DZ320" s="549">
        <v>0</v>
      </c>
      <c r="EA320" s="675">
        <v>0</v>
      </c>
      <c r="EB320" s="549">
        <v>0</v>
      </c>
      <c r="EC320" s="675">
        <v>0</v>
      </c>
      <c r="ED320" s="549">
        <v>0</v>
      </c>
      <c r="EE320" s="675">
        <v>0</v>
      </c>
      <c r="EF320" s="549">
        <v>0</v>
      </c>
      <c r="EG320" s="675">
        <v>0</v>
      </c>
      <c r="EH320" s="549">
        <v>0</v>
      </c>
      <c r="EI320" s="675">
        <v>0</v>
      </c>
      <c r="EJ320" s="549">
        <v>0</v>
      </c>
      <c r="EK320" s="675">
        <v>0</v>
      </c>
      <c r="EL320" s="549">
        <v>0</v>
      </c>
      <c r="EM320" s="675">
        <v>0</v>
      </c>
      <c r="EN320" s="549">
        <v>0</v>
      </c>
      <c r="EO320" s="675">
        <v>0</v>
      </c>
      <c r="EP320" s="549">
        <v>0</v>
      </c>
      <c r="EQ320" s="675">
        <v>0</v>
      </c>
      <c r="ER320" s="549">
        <v>0</v>
      </c>
      <c r="ES320" s="675">
        <v>0</v>
      </c>
      <c r="ET320" s="549">
        <v>0</v>
      </c>
      <c r="EU320" s="675">
        <v>0</v>
      </c>
      <c r="EV320" s="549">
        <v>0</v>
      </c>
      <c r="EW320" s="675">
        <v>0</v>
      </c>
      <c r="EX320" s="549">
        <v>0</v>
      </c>
      <c r="EY320" s="675">
        <v>0</v>
      </c>
      <c r="EZ320" s="549">
        <v>0</v>
      </c>
      <c r="FA320" s="675">
        <v>0</v>
      </c>
      <c r="FB320" s="549">
        <v>0</v>
      </c>
      <c r="FC320" s="675">
        <v>0</v>
      </c>
      <c r="FD320" s="549">
        <v>0</v>
      </c>
      <c r="FE320" s="675">
        <v>0</v>
      </c>
      <c r="FF320" s="549">
        <v>0</v>
      </c>
      <c r="FG320" s="675">
        <v>0</v>
      </c>
      <c r="FH320" s="549">
        <v>0</v>
      </c>
      <c r="FI320" s="675">
        <v>0</v>
      </c>
      <c r="FJ320" s="549">
        <v>0</v>
      </c>
      <c r="FK320" s="675">
        <v>0</v>
      </c>
      <c r="FL320" s="549">
        <v>0</v>
      </c>
      <c r="FM320" s="675">
        <v>0</v>
      </c>
      <c r="FN320" s="549">
        <v>0</v>
      </c>
      <c r="FO320" s="675">
        <v>0</v>
      </c>
      <c r="FP320" s="549">
        <v>0</v>
      </c>
      <c r="FQ320" s="675">
        <v>0</v>
      </c>
      <c r="FR320" s="549">
        <v>0</v>
      </c>
      <c r="FS320" s="675">
        <v>0</v>
      </c>
      <c r="FT320" s="549">
        <v>0</v>
      </c>
      <c r="FU320" s="675">
        <v>0</v>
      </c>
      <c r="FV320" s="549">
        <v>0</v>
      </c>
      <c r="FW320" s="675">
        <v>0</v>
      </c>
      <c r="FX320" s="549">
        <v>0</v>
      </c>
      <c r="FY320" s="675">
        <v>0</v>
      </c>
      <c r="FZ320" s="549">
        <v>0</v>
      </c>
      <c r="GA320" s="675">
        <v>0</v>
      </c>
      <c r="GB320" s="549">
        <v>0</v>
      </c>
      <c r="GC320" s="675">
        <v>0</v>
      </c>
      <c r="GD320" s="549">
        <v>0</v>
      </c>
      <c r="GE320" s="675">
        <v>0</v>
      </c>
      <c r="GF320" s="549">
        <v>0</v>
      </c>
      <c r="GG320" s="675">
        <v>0</v>
      </c>
      <c r="GH320" s="549">
        <v>0</v>
      </c>
      <c r="GI320" s="675">
        <v>0</v>
      </c>
      <c r="GJ320" s="549">
        <v>0</v>
      </c>
      <c r="GK320" s="675">
        <v>0</v>
      </c>
      <c r="GL320" s="549">
        <v>0</v>
      </c>
      <c r="GM320" s="675">
        <v>0</v>
      </c>
      <c r="GN320" s="549">
        <v>0</v>
      </c>
      <c r="GO320" s="675">
        <v>0</v>
      </c>
      <c r="GP320" s="549">
        <f>+D320+F320+H320+J320+L320+N320+P320+R320+T320+V320+X320+Z320+AB320+AD320+AH320+AJ320+AL320+AN320+AP320+AR320+AT320+AV320+AX320+AZ320+BB320+BD320+BF320+BH320+BJ320+BL320+BN320+BP320+BR320+BT320+BV320+BX320+BZ320+CB320+CD320+CF320+CH320+CJ320+CL320+CN320+CP320+CR320+CT320+CV320+CX320+CZ320+DB320+DD320+DF320+DH320+DT320+EX320+DJ320+DL320+DN320+DP320+DR320+EJ320+EB320+DZ320+DX320+DV320+ED320+EF320+EH320+EL320+EN320+EP320+EV320+ET320+ER320+EZ320+FB320+FD320+GL320+FF320+FJ320+FL320+GJ320+FT320+FR320+FP320+FN320+FH320</f>
        <v>0</v>
      </c>
      <c r="GQ320" s="675">
        <f>+E320+G320+I320+K320+M320+O320+Q320+S320+U320+W320+Y320+AA320+AC320+AE320+AI320+AK320+AM320+AO320+AQ320+AS320+AU320+AW320+AY320+BA320+BC320+BE320+BG320+BI320+BK320+BM320+BO320+BQ320+BS320+BU320+BW320+BY320+CA320+CC320+CE320+CG320+CI320+CK320+CM320+CO320+CQ320+CS320+CU320+CW320+CY320+DA320+DC320+DE320+DG320+DI320+DU320+EY320+DK320+DM320+DO320+DQ320+DS320+EK320+EC320+EA320+DY320+DW320+EI320+EG320+EE320+EM320+EO320+EQ320+EW320+EU320+ES320+FA320+FC320+FE320+GM320+FG320+FK320+FM320+FO320+FQ320+FS320+FU320+GK320+FI320</f>
        <v>0</v>
      </c>
      <c r="GR320" s="74">
        <f>C320+GP320+GQ320</f>
        <v>0</v>
      </c>
      <c r="GS320" s="74">
        <f>SUM(GU320:HB320)+GP320+GQ320</f>
        <v>0</v>
      </c>
      <c r="GT320" s="568">
        <f>SUM(GU320:HF320)+GQ320+GP320</f>
        <v>0</v>
      </c>
      <c r="GU320" s="73"/>
      <c r="GV320" s="73"/>
      <c r="GW320" s="549"/>
      <c r="GX320" s="549"/>
      <c r="GY320" s="73"/>
      <c r="GZ320" s="73"/>
      <c r="HA320" s="73"/>
      <c r="HB320" s="73"/>
      <c r="HC320" s="73"/>
      <c r="HD320" s="73"/>
      <c r="HE320" s="73"/>
      <c r="HF320" s="73"/>
      <c r="HG320" s="74">
        <f>SUM(HH320:IE320)+GP320+GQ320</f>
        <v>0</v>
      </c>
      <c r="HH320" s="89">
        <v>0</v>
      </c>
      <c r="HI320" s="817">
        <v>0</v>
      </c>
      <c r="HJ320" s="89">
        <v>0</v>
      </c>
      <c r="HK320" s="817">
        <v>0</v>
      </c>
      <c r="HL320" s="89">
        <v>0</v>
      </c>
      <c r="HM320" s="817">
        <v>0</v>
      </c>
      <c r="HN320" s="89">
        <v>0</v>
      </c>
      <c r="HO320" s="817">
        <v>0</v>
      </c>
      <c r="HP320" s="89">
        <v>0</v>
      </c>
      <c r="HQ320" s="817">
        <v>0</v>
      </c>
      <c r="HR320" s="89">
        <v>0</v>
      </c>
      <c r="HS320" s="817">
        <v>0</v>
      </c>
      <c r="HT320" s="89">
        <v>0</v>
      </c>
      <c r="HU320" s="817">
        <v>0</v>
      </c>
      <c r="HV320" s="89">
        <v>0</v>
      </c>
      <c r="HW320" s="817">
        <v>0</v>
      </c>
      <c r="HX320" s="89">
        <v>0</v>
      </c>
      <c r="HY320" s="817">
        <v>0</v>
      </c>
      <c r="HZ320" s="89">
        <v>0</v>
      </c>
      <c r="IA320" s="817">
        <v>0</v>
      </c>
      <c r="IB320" s="89">
        <v>0</v>
      </c>
      <c r="IC320" s="817">
        <v>0</v>
      </c>
      <c r="ID320" s="89">
        <v>0</v>
      </c>
      <c r="IE320" s="817">
        <v>0</v>
      </c>
      <c r="IF320" s="841">
        <f t="shared" ref="IF320" si="9629">SUM(II320,IL320,IO320,IR320,IU320,IX320,JA320,JD320,JG320,JJ320,JM320,JP320)</f>
        <v>0</v>
      </c>
      <c r="IG320" s="263">
        <f t="shared" ref="IG320" si="9630">SUM(IJ320,IM320,IP320,IS320,IV320,IY320,JB320,JE320,JH320,JK320,JN320,JQ320)</f>
        <v>0</v>
      </c>
      <c r="IH320" s="842">
        <f t="shared" ref="IH320" si="9631">SUM(IK320,IN320,IQ320,IT320,IW320,IZ320,JC320,JF320,JI320,JL320,JO320,JR320)</f>
        <v>0</v>
      </c>
      <c r="II320" s="89">
        <v>0</v>
      </c>
      <c r="IJ320" s="89">
        <f>II320</f>
        <v>0</v>
      </c>
      <c r="IK320" s="89">
        <f>IJ320</f>
        <v>0</v>
      </c>
      <c r="IL320" s="89">
        <v>0</v>
      </c>
      <c r="IM320" s="89">
        <f>IL320</f>
        <v>0</v>
      </c>
      <c r="IN320" s="89">
        <f>IM320</f>
        <v>0</v>
      </c>
      <c r="IO320" s="89">
        <v>0</v>
      </c>
      <c r="IP320" s="89">
        <f>IO320</f>
        <v>0</v>
      </c>
      <c r="IQ320" s="89">
        <f>IP320</f>
        <v>0</v>
      </c>
      <c r="IR320" s="89">
        <v>0</v>
      </c>
      <c r="IS320" s="89">
        <f>IR320</f>
        <v>0</v>
      </c>
      <c r="IT320" s="89">
        <f>IS320</f>
        <v>0</v>
      </c>
      <c r="IU320" s="89">
        <v>0</v>
      </c>
      <c r="IV320" s="89">
        <f>IU320</f>
        <v>0</v>
      </c>
      <c r="IW320" s="89">
        <f>IV320</f>
        <v>0</v>
      </c>
      <c r="IX320" s="89">
        <v>0</v>
      </c>
      <c r="IY320" s="89">
        <f>IX320</f>
        <v>0</v>
      </c>
      <c r="IZ320" s="89">
        <f>IY320</f>
        <v>0</v>
      </c>
      <c r="JA320" s="89">
        <v>0</v>
      </c>
      <c r="JB320" s="89">
        <f>JA320</f>
        <v>0</v>
      </c>
      <c r="JC320" s="89">
        <f>JB320</f>
        <v>0</v>
      </c>
      <c r="JD320" s="89">
        <v>0</v>
      </c>
      <c r="JE320" s="89">
        <f>JD320</f>
        <v>0</v>
      </c>
      <c r="JF320" s="89">
        <f>JE320</f>
        <v>0</v>
      </c>
      <c r="JG320" s="89">
        <v>0</v>
      </c>
      <c r="JH320" s="89">
        <f>JG320</f>
        <v>0</v>
      </c>
      <c r="JI320" s="89">
        <f>JH320</f>
        <v>0</v>
      </c>
      <c r="JJ320" s="89">
        <v>0</v>
      </c>
      <c r="JK320" s="89">
        <f>JJ320</f>
        <v>0</v>
      </c>
      <c r="JL320" s="89">
        <f>JK320</f>
        <v>0</v>
      </c>
      <c r="JM320" s="89">
        <v>0</v>
      </c>
      <c r="JN320" s="89">
        <f>JM320</f>
        <v>0</v>
      </c>
      <c r="JO320" s="89">
        <f>JN320</f>
        <v>0</v>
      </c>
      <c r="JP320" s="89">
        <v>0</v>
      </c>
      <c r="JQ320" s="89">
        <f>JP320</f>
        <v>0</v>
      </c>
      <c r="JR320" s="89">
        <f>JQ320</f>
        <v>0</v>
      </c>
      <c r="JS320" s="74">
        <f>HG320-IF320</f>
        <v>0</v>
      </c>
      <c r="JT320" s="382">
        <f>GS320-IF320</f>
        <v>0</v>
      </c>
      <c r="JU320" s="665"/>
      <c r="JV320" s="524"/>
      <c r="JW320" s="525"/>
      <c r="JX320" s="548">
        <f>SUM(HH320,HJ320,HL320,HN320,HP320,HR320,HT320,HV320,HX320,HZ320,IB320,ID320)</f>
        <v>0</v>
      </c>
      <c r="JY320" s="548">
        <f>SUM(HI320,HK320,HM320,HO320,HQ320,HS320,HU320,HW320,HY320,IA320,IC320,IE320)</f>
        <v>0</v>
      </c>
      <c r="JZ320" s="581">
        <f t="shared" si="9103"/>
        <v>0</v>
      </c>
      <c r="KA320" s="581">
        <f t="shared" si="9104"/>
        <v>0</v>
      </c>
      <c r="KB320" s="548">
        <f>JX320+JY320+JZ320+KA320</f>
        <v>0</v>
      </c>
      <c r="KC320" s="709">
        <f t="shared" si="9101"/>
        <v>0</v>
      </c>
      <c r="KD320" s="35"/>
      <c r="KE320" s="35"/>
      <c r="KF320" s="35"/>
      <c r="KG320" s="35"/>
      <c r="KH320" s="35"/>
      <c r="KI320" s="35"/>
      <c r="KJ320" s="35"/>
      <c r="KK320" s="35"/>
    </row>
    <row r="321" spans="1:297" s="10" customFormat="1" ht="12.75" customHeight="1">
      <c r="A321" s="86"/>
      <c r="B321" s="77"/>
      <c r="C321" s="74"/>
      <c r="D321" s="549"/>
      <c r="E321" s="675"/>
      <c r="F321" s="549"/>
      <c r="G321" s="675"/>
      <c r="H321" s="549"/>
      <c r="I321" s="675"/>
      <c r="J321" s="549"/>
      <c r="K321" s="675"/>
      <c r="L321" s="549"/>
      <c r="M321" s="675"/>
      <c r="N321" s="549"/>
      <c r="O321" s="675"/>
      <c r="P321" s="549"/>
      <c r="Q321" s="675"/>
      <c r="R321" s="549"/>
      <c r="S321" s="675"/>
      <c r="T321" s="549"/>
      <c r="U321" s="675"/>
      <c r="V321" s="549"/>
      <c r="W321" s="675"/>
      <c r="X321" s="549"/>
      <c r="Y321" s="675"/>
      <c r="Z321" s="549"/>
      <c r="AA321" s="675"/>
      <c r="AB321" s="549"/>
      <c r="AC321" s="675"/>
      <c r="AD321" s="549"/>
      <c r="AE321" s="675"/>
      <c r="AF321" s="549"/>
      <c r="AG321" s="675"/>
      <c r="AH321" s="549"/>
      <c r="AI321" s="675"/>
      <c r="AJ321" s="549"/>
      <c r="AK321" s="675"/>
      <c r="AL321" s="549"/>
      <c r="AM321" s="675"/>
      <c r="AN321" s="549"/>
      <c r="AO321" s="675"/>
      <c r="AP321" s="549"/>
      <c r="AQ321" s="675"/>
      <c r="AR321" s="549"/>
      <c r="AS321" s="675"/>
      <c r="AT321" s="549"/>
      <c r="AU321" s="675"/>
      <c r="AV321" s="549"/>
      <c r="AW321" s="675"/>
      <c r="AX321" s="549"/>
      <c r="AY321" s="675"/>
      <c r="AZ321" s="549"/>
      <c r="BA321" s="675"/>
      <c r="BB321" s="549"/>
      <c r="BC321" s="675"/>
      <c r="BD321" s="549"/>
      <c r="BE321" s="675"/>
      <c r="BF321" s="549"/>
      <c r="BG321" s="675"/>
      <c r="BH321" s="549"/>
      <c r="BI321" s="675"/>
      <c r="BJ321" s="549"/>
      <c r="BK321" s="675"/>
      <c r="BL321" s="549"/>
      <c r="BM321" s="675"/>
      <c r="BN321" s="549"/>
      <c r="BO321" s="675"/>
      <c r="BP321" s="549"/>
      <c r="BQ321" s="675"/>
      <c r="BR321" s="549"/>
      <c r="BS321" s="675"/>
      <c r="BT321" s="549"/>
      <c r="BU321" s="675"/>
      <c r="BV321" s="549"/>
      <c r="BW321" s="675"/>
      <c r="BX321" s="549"/>
      <c r="BY321" s="675"/>
      <c r="BZ321" s="549"/>
      <c r="CA321" s="675"/>
      <c r="CB321" s="549"/>
      <c r="CC321" s="675"/>
      <c r="CD321" s="549"/>
      <c r="CE321" s="675"/>
      <c r="CF321" s="549"/>
      <c r="CG321" s="675"/>
      <c r="CH321" s="549"/>
      <c r="CI321" s="675"/>
      <c r="CJ321" s="549"/>
      <c r="CK321" s="675"/>
      <c r="CL321" s="549"/>
      <c r="CM321" s="675"/>
      <c r="CN321" s="549"/>
      <c r="CO321" s="675"/>
      <c r="CP321" s="549"/>
      <c r="CQ321" s="675"/>
      <c r="CR321" s="549"/>
      <c r="CS321" s="675"/>
      <c r="CT321" s="549"/>
      <c r="CU321" s="675"/>
      <c r="CV321" s="549"/>
      <c r="CW321" s="675"/>
      <c r="CX321" s="549"/>
      <c r="CY321" s="675"/>
      <c r="CZ321" s="549"/>
      <c r="DA321" s="675"/>
      <c r="DB321" s="549"/>
      <c r="DC321" s="675"/>
      <c r="DD321" s="549"/>
      <c r="DE321" s="675"/>
      <c r="DF321" s="549"/>
      <c r="DG321" s="675"/>
      <c r="DH321" s="549"/>
      <c r="DI321" s="675"/>
      <c r="DJ321" s="549"/>
      <c r="DK321" s="675"/>
      <c r="DL321" s="549"/>
      <c r="DM321" s="675"/>
      <c r="DN321" s="549"/>
      <c r="DO321" s="675"/>
      <c r="DP321" s="549"/>
      <c r="DQ321" s="675"/>
      <c r="DR321" s="549"/>
      <c r="DS321" s="675"/>
      <c r="DT321" s="549"/>
      <c r="DU321" s="675"/>
      <c r="DV321" s="549"/>
      <c r="DW321" s="675"/>
      <c r="DX321" s="549"/>
      <c r="DY321" s="675"/>
      <c r="DZ321" s="549"/>
      <c r="EA321" s="675"/>
      <c r="EB321" s="549"/>
      <c r="EC321" s="675"/>
      <c r="ED321" s="549"/>
      <c r="EE321" s="675"/>
      <c r="EF321" s="549"/>
      <c r="EG321" s="675"/>
      <c r="EH321" s="549"/>
      <c r="EI321" s="675"/>
      <c r="EJ321" s="549"/>
      <c r="EK321" s="675"/>
      <c r="EL321" s="549"/>
      <c r="EM321" s="675"/>
      <c r="EN321" s="549"/>
      <c r="EO321" s="675"/>
      <c r="EP321" s="549"/>
      <c r="EQ321" s="675"/>
      <c r="ER321" s="549"/>
      <c r="ES321" s="675"/>
      <c r="ET321" s="549"/>
      <c r="EU321" s="675"/>
      <c r="EV321" s="549"/>
      <c r="EW321" s="675"/>
      <c r="EX321" s="549"/>
      <c r="EY321" s="675"/>
      <c r="EZ321" s="549"/>
      <c r="FA321" s="675"/>
      <c r="FB321" s="549"/>
      <c r="FC321" s="675"/>
      <c r="FD321" s="549"/>
      <c r="FE321" s="675"/>
      <c r="FF321" s="549"/>
      <c r="FG321" s="675"/>
      <c r="FH321" s="549"/>
      <c r="FI321" s="675"/>
      <c r="FJ321" s="549"/>
      <c r="FK321" s="675"/>
      <c r="FL321" s="549"/>
      <c r="FM321" s="675"/>
      <c r="FN321" s="549"/>
      <c r="FO321" s="675"/>
      <c r="FP321" s="549"/>
      <c r="FQ321" s="675"/>
      <c r="FR321" s="549"/>
      <c r="FS321" s="675"/>
      <c r="FT321" s="549"/>
      <c r="FU321" s="675"/>
      <c r="FV321" s="549"/>
      <c r="FW321" s="675"/>
      <c r="FX321" s="549"/>
      <c r="FY321" s="675"/>
      <c r="FZ321" s="549"/>
      <c r="GA321" s="675"/>
      <c r="GB321" s="549"/>
      <c r="GC321" s="675"/>
      <c r="GD321" s="549"/>
      <c r="GE321" s="675"/>
      <c r="GF321" s="549"/>
      <c r="GG321" s="675"/>
      <c r="GH321" s="549"/>
      <c r="GI321" s="675"/>
      <c r="GJ321" s="549"/>
      <c r="GK321" s="675"/>
      <c r="GL321" s="549"/>
      <c r="GM321" s="675"/>
      <c r="GN321" s="549"/>
      <c r="GO321" s="675"/>
      <c r="GP321" s="549"/>
      <c r="GQ321" s="675"/>
      <c r="GR321" s="74"/>
      <c r="GS321" s="74"/>
      <c r="GT321" s="549"/>
      <c r="GU321" s="73"/>
      <c r="GV321" s="73"/>
      <c r="GW321" s="549"/>
      <c r="GX321" s="549"/>
      <c r="GY321" s="73"/>
      <c r="GZ321" s="73"/>
      <c r="HA321" s="73"/>
      <c r="HB321" s="73"/>
      <c r="HC321" s="73"/>
      <c r="HD321" s="73"/>
      <c r="HE321" s="73"/>
      <c r="HF321" s="73"/>
      <c r="HG321" s="74"/>
      <c r="HH321" s="73"/>
      <c r="HI321" s="815"/>
      <c r="HJ321" s="73"/>
      <c r="HK321" s="815"/>
      <c r="HL321" s="73"/>
      <c r="HM321" s="815"/>
      <c r="HN321" s="73"/>
      <c r="HO321" s="815"/>
      <c r="HP321" s="73"/>
      <c r="HQ321" s="815"/>
      <c r="HR321" s="73"/>
      <c r="HS321" s="815"/>
      <c r="HT321" s="73"/>
      <c r="HU321" s="815"/>
      <c r="HV321" s="73"/>
      <c r="HW321" s="815"/>
      <c r="HX321" s="73"/>
      <c r="HY321" s="815"/>
      <c r="HZ321" s="73"/>
      <c r="IA321" s="815"/>
      <c r="IB321" s="73"/>
      <c r="IC321" s="815"/>
      <c r="ID321" s="73"/>
      <c r="IE321" s="815"/>
      <c r="IF321" s="841"/>
      <c r="IG321" s="263"/>
      <c r="IH321" s="842"/>
      <c r="II321" s="74"/>
      <c r="IJ321" s="74"/>
      <c r="IK321" s="74"/>
      <c r="IL321" s="74"/>
      <c r="IM321" s="74"/>
      <c r="IN321" s="74"/>
      <c r="IO321" s="74"/>
      <c r="IP321" s="74"/>
      <c r="IQ321" s="74"/>
      <c r="IR321" s="74"/>
      <c r="IS321" s="74"/>
      <c r="IT321" s="74"/>
      <c r="IU321" s="74"/>
      <c r="IV321" s="74"/>
      <c r="IW321" s="74"/>
      <c r="IX321" s="74"/>
      <c r="IY321" s="74"/>
      <c r="IZ321" s="74"/>
      <c r="JA321" s="74"/>
      <c r="JB321" s="74"/>
      <c r="JC321" s="74"/>
      <c r="JD321" s="74"/>
      <c r="JE321" s="74"/>
      <c r="JF321" s="74"/>
      <c r="JG321" s="74"/>
      <c r="JH321" s="74"/>
      <c r="JI321" s="74"/>
      <c r="JJ321" s="74"/>
      <c r="JK321" s="74"/>
      <c r="JL321" s="74"/>
      <c r="JM321" s="74"/>
      <c r="JN321" s="74"/>
      <c r="JO321" s="74"/>
      <c r="JP321" s="74"/>
      <c r="JQ321" s="74"/>
      <c r="JR321" s="74"/>
      <c r="JS321" s="74"/>
      <c r="JT321" s="382"/>
      <c r="JU321" s="665"/>
      <c r="JV321" s="524"/>
      <c r="JW321" s="525"/>
      <c r="JX321" s="548"/>
      <c r="JY321" s="548"/>
      <c r="JZ321" s="581">
        <f t="shared" si="9103"/>
        <v>0</v>
      </c>
      <c r="KA321" s="581">
        <f t="shared" si="9104"/>
        <v>0</v>
      </c>
      <c r="KB321" s="548"/>
      <c r="KC321" s="709">
        <f t="shared" si="9101"/>
        <v>0</v>
      </c>
      <c r="KD321" s="35"/>
      <c r="KE321" s="35"/>
      <c r="KF321" s="35"/>
      <c r="KG321" s="35"/>
      <c r="KH321" s="35"/>
      <c r="KI321" s="35"/>
      <c r="KJ321" s="35"/>
      <c r="KK321" s="35"/>
    </row>
    <row r="322" spans="1:297" s="10" customFormat="1" ht="12.75" customHeight="1">
      <c r="A322" s="80" t="s">
        <v>1088</v>
      </c>
      <c r="B322" s="77"/>
      <c r="C322" s="74">
        <f>SUM(C323:C324)</f>
        <v>0</v>
      </c>
      <c r="D322" s="549">
        <f t="shared" ref="D322:E322" si="9632">SUM(D323:D324)</f>
        <v>0</v>
      </c>
      <c r="E322" s="675">
        <f t="shared" si="9632"/>
        <v>0</v>
      </c>
      <c r="F322" s="549">
        <f t="shared" ref="F322:G322" si="9633">SUM(F323:F324)</f>
        <v>0</v>
      </c>
      <c r="G322" s="675">
        <f t="shared" si="9633"/>
        <v>0</v>
      </c>
      <c r="H322" s="549">
        <f t="shared" ref="H322:I322" si="9634">SUM(H323:H324)</f>
        <v>0</v>
      </c>
      <c r="I322" s="675">
        <f t="shared" si="9634"/>
        <v>0</v>
      </c>
      <c r="J322" s="549">
        <f t="shared" ref="J322:K322" si="9635">SUM(J323:J324)</f>
        <v>0</v>
      </c>
      <c r="K322" s="675">
        <f t="shared" si="9635"/>
        <v>0</v>
      </c>
      <c r="L322" s="549">
        <f t="shared" ref="L322:M322" si="9636">SUM(L323:L324)</f>
        <v>0</v>
      </c>
      <c r="M322" s="675">
        <f t="shared" si="9636"/>
        <v>0</v>
      </c>
      <c r="N322" s="549">
        <f t="shared" ref="N322:O322" si="9637">SUM(N323:N324)</f>
        <v>0</v>
      </c>
      <c r="O322" s="675">
        <f t="shared" si="9637"/>
        <v>0</v>
      </c>
      <c r="P322" s="549">
        <f t="shared" ref="P322:Q322" si="9638">SUM(P323:P324)</f>
        <v>0</v>
      </c>
      <c r="Q322" s="675">
        <f t="shared" si="9638"/>
        <v>0</v>
      </c>
      <c r="R322" s="549">
        <f t="shared" ref="R322:S322" si="9639">SUM(R323:R324)</f>
        <v>0</v>
      </c>
      <c r="S322" s="675">
        <f t="shared" si="9639"/>
        <v>0</v>
      </c>
      <c r="T322" s="549">
        <f t="shared" ref="T322:U322" si="9640">SUM(T323:T324)</f>
        <v>0</v>
      </c>
      <c r="U322" s="675">
        <f t="shared" si="9640"/>
        <v>0</v>
      </c>
      <c r="V322" s="549">
        <f t="shared" ref="V322:W322" si="9641">SUM(V323:V324)</f>
        <v>0</v>
      </c>
      <c r="W322" s="675">
        <f t="shared" si="9641"/>
        <v>0</v>
      </c>
      <c r="X322" s="549">
        <f t="shared" ref="X322:Y322" si="9642">SUM(X323:X324)</f>
        <v>0</v>
      </c>
      <c r="Y322" s="675">
        <f t="shared" si="9642"/>
        <v>0</v>
      </c>
      <c r="Z322" s="549">
        <f t="shared" ref="Z322:AA322" si="9643">SUM(Z323:Z324)</f>
        <v>0</v>
      </c>
      <c r="AA322" s="675">
        <f t="shared" si="9643"/>
        <v>0</v>
      </c>
      <c r="AB322" s="549">
        <f t="shared" ref="AB322:AC322" si="9644">SUM(AB323:AB324)</f>
        <v>0</v>
      </c>
      <c r="AC322" s="675">
        <f t="shared" si="9644"/>
        <v>0</v>
      </c>
      <c r="AD322" s="549">
        <f t="shared" ref="AD322:AE322" si="9645">SUM(AD323:AD324)</f>
        <v>0</v>
      </c>
      <c r="AE322" s="675">
        <f t="shared" si="9645"/>
        <v>0</v>
      </c>
      <c r="AF322" s="549">
        <f t="shared" ref="AF322:AG322" si="9646">SUM(AF323:AF324)</f>
        <v>0</v>
      </c>
      <c r="AG322" s="675">
        <f t="shared" si="9646"/>
        <v>0</v>
      </c>
      <c r="AH322" s="549">
        <f t="shared" ref="AH322:AI322" si="9647">SUM(AH323:AH324)</f>
        <v>0</v>
      </c>
      <c r="AI322" s="675">
        <f t="shared" si="9647"/>
        <v>0</v>
      </c>
      <c r="AJ322" s="549">
        <f t="shared" ref="AJ322:AK322" si="9648">SUM(AJ323:AJ324)</f>
        <v>0</v>
      </c>
      <c r="AK322" s="675">
        <f t="shared" si="9648"/>
        <v>0</v>
      </c>
      <c r="AL322" s="549">
        <f t="shared" ref="AL322:AM322" si="9649">SUM(AL323:AL324)</f>
        <v>0</v>
      </c>
      <c r="AM322" s="675">
        <f t="shared" si="9649"/>
        <v>0</v>
      </c>
      <c r="AN322" s="549">
        <f t="shared" ref="AN322:AO322" si="9650">SUM(AN323:AN324)</f>
        <v>0</v>
      </c>
      <c r="AO322" s="675">
        <f t="shared" si="9650"/>
        <v>0</v>
      </c>
      <c r="AP322" s="549">
        <f t="shared" ref="AP322:AQ322" si="9651">SUM(AP323:AP324)</f>
        <v>0</v>
      </c>
      <c r="AQ322" s="675">
        <f t="shared" si="9651"/>
        <v>0</v>
      </c>
      <c r="AR322" s="549">
        <f t="shared" ref="AR322:AS322" si="9652">SUM(AR323:AR324)</f>
        <v>0</v>
      </c>
      <c r="AS322" s="675">
        <f t="shared" si="9652"/>
        <v>0</v>
      </c>
      <c r="AT322" s="549">
        <f t="shared" ref="AT322:AU322" si="9653">SUM(AT323:AT324)</f>
        <v>0</v>
      </c>
      <c r="AU322" s="675">
        <f t="shared" si="9653"/>
        <v>0</v>
      </c>
      <c r="AV322" s="549">
        <f t="shared" ref="AV322:AW322" si="9654">SUM(AV323:AV324)</f>
        <v>0</v>
      </c>
      <c r="AW322" s="675">
        <f t="shared" si="9654"/>
        <v>0</v>
      </c>
      <c r="AX322" s="549">
        <f t="shared" ref="AX322:AY322" si="9655">SUM(AX323:AX324)</f>
        <v>0</v>
      </c>
      <c r="AY322" s="675">
        <f t="shared" si="9655"/>
        <v>0</v>
      </c>
      <c r="AZ322" s="549">
        <f t="shared" ref="AZ322:BQ322" si="9656">SUM(AZ323:AZ324)</f>
        <v>0</v>
      </c>
      <c r="BA322" s="675">
        <f t="shared" si="9656"/>
        <v>0</v>
      </c>
      <c r="BB322" s="549">
        <f t="shared" si="9656"/>
        <v>0</v>
      </c>
      <c r="BC322" s="675">
        <f t="shared" si="9656"/>
        <v>0</v>
      </c>
      <c r="BD322" s="549">
        <f t="shared" si="9656"/>
        <v>0</v>
      </c>
      <c r="BE322" s="675">
        <f t="shared" si="9656"/>
        <v>0</v>
      </c>
      <c r="BF322" s="549">
        <f t="shared" si="9656"/>
        <v>0</v>
      </c>
      <c r="BG322" s="675">
        <f t="shared" si="9656"/>
        <v>0</v>
      </c>
      <c r="BH322" s="549">
        <f t="shared" si="9656"/>
        <v>0</v>
      </c>
      <c r="BI322" s="675">
        <f t="shared" si="9656"/>
        <v>0</v>
      </c>
      <c r="BJ322" s="549">
        <f t="shared" si="9656"/>
        <v>0</v>
      </c>
      <c r="BK322" s="675">
        <f t="shared" si="9656"/>
        <v>0</v>
      </c>
      <c r="BL322" s="549">
        <f t="shared" si="9656"/>
        <v>0</v>
      </c>
      <c r="BM322" s="675">
        <f t="shared" si="9656"/>
        <v>0</v>
      </c>
      <c r="BN322" s="549">
        <f t="shared" si="9656"/>
        <v>0</v>
      </c>
      <c r="BO322" s="675">
        <f t="shared" si="9656"/>
        <v>0</v>
      </c>
      <c r="BP322" s="549">
        <f t="shared" si="9656"/>
        <v>0</v>
      </c>
      <c r="BQ322" s="675">
        <f t="shared" si="9656"/>
        <v>0</v>
      </c>
      <c r="BR322" s="549">
        <f t="shared" ref="BR322:BS322" si="9657">SUM(BR323:BR324)</f>
        <v>0</v>
      </c>
      <c r="BS322" s="675">
        <f t="shared" si="9657"/>
        <v>0</v>
      </c>
      <c r="BT322" s="549">
        <f t="shared" ref="BT322:BU322" si="9658">SUM(BT323:BT324)</f>
        <v>0</v>
      </c>
      <c r="BU322" s="675">
        <f t="shared" si="9658"/>
        <v>0</v>
      </c>
      <c r="BV322" s="549">
        <f t="shared" ref="BV322:BW322" si="9659">SUM(BV323:BV324)</f>
        <v>0</v>
      </c>
      <c r="BW322" s="675">
        <f t="shared" si="9659"/>
        <v>0</v>
      </c>
      <c r="BX322" s="549">
        <f t="shared" ref="BX322:BY322" si="9660">SUM(BX323:BX324)</f>
        <v>0</v>
      </c>
      <c r="BY322" s="675">
        <f t="shared" si="9660"/>
        <v>0</v>
      </c>
      <c r="BZ322" s="549">
        <f t="shared" ref="BZ322:CA322" si="9661">SUM(BZ323:BZ324)</f>
        <v>0</v>
      </c>
      <c r="CA322" s="675">
        <f t="shared" si="9661"/>
        <v>0</v>
      </c>
      <c r="CB322" s="549">
        <f t="shared" ref="CB322:EE322" si="9662">SUM(CB323:CB324)</f>
        <v>0</v>
      </c>
      <c r="CC322" s="675">
        <f t="shared" si="9662"/>
        <v>0</v>
      </c>
      <c r="CD322" s="549">
        <f t="shared" si="9662"/>
        <v>0</v>
      </c>
      <c r="CE322" s="675">
        <f t="shared" si="9662"/>
        <v>0</v>
      </c>
      <c r="CF322" s="549">
        <f t="shared" si="9662"/>
        <v>0</v>
      </c>
      <c r="CG322" s="675">
        <f t="shared" si="9662"/>
        <v>0</v>
      </c>
      <c r="CH322" s="549">
        <f t="shared" si="9662"/>
        <v>0</v>
      </c>
      <c r="CI322" s="675">
        <f t="shared" si="9662"/>
        <v>0</v>
      </c>
      <c r="CJ322" s="549">
        <f t="shared" si="9662"/>
        <v>0</v>
      </c>
      <c r="CK322" s="675">
        <f t="shared" si="9662"/>
        <v>0</v>
      </c>
      <c r="CL322" s="549">
        <f t="shared" si="9662"/>
        <v>0</v>
      </c>
      <c r="CM322" s="675">
        <f t="shared" si="9662"/>
        <v>0</v>
      </c>
      <c r="CN322" s="549">
        <f t="shared" si="9662"/>
        <v>0</v>
      </c>
      <c r="CO322" s="675">
        <f t="shared" si="9662"/>
        <v>0</v>
      </c>
      <c r="CP322" s="549">
        <f t="shared" si="9662"/>
        <v>0</v>
      </c>
      <c r="CQ322" s="675">
        <f t="shared" si="9662"/>
        <v>0</v>
      </c>
      <c r="CR322" s="549">
        <f t="shared" si="9662"/>
        <v>0</v>
      </c>
      <c r="CS322" s="675">
        <f t="shared" si="9662"/>
        <v>0</v>
      </c>
      <c r="CT322" s="549">
        <f t="shared" si="9662"/>
        <v>0</v>
      </c>
      <c r="CU322" s="675">
        <f t="shared" si="9662"/>
        <v>0</v>
      </c>
      <c r="CV322" s="549">
        <f t="shared" si="9662"/>
        <v>0</v>
      </c>
      <c r="CW322" s="675">
        <f t="shared" si="9662"/>
        <v>0</v>
      </c>
      <c r="CX322" s="549">
        <f t="shared" si="9662"/>
        <v>0</v>
      </c>
      <c r="CY322" s="675">
        <f t="shared" si="9662"/>
        <v>0</v>
      </c>
      <c r="CZ322" s="549">
        <f t="shared" si="9662"/>
        <v>0</v>
      </c>
      <c r="DA322" s="675">
        <f t="shared" si="9662"/>
        <v>0</v>
      </c>
      <c r="DB322" s="549">
        <f t="shared" si="9662"/>
        <v>0</v>
      </c>
      <c r="DC322" s="675">
        <f t="shared" si="9662"/>
        <v>0</v>
      </c>
      <c r="DD322" s="549">
        <f t="shared" si="9662"/>
        <v>0</v>
      </c>
      <c r="DE322" s="675">
        <f t="shared" si="9662"/>
        <v>0</v>
      </c>
      <c r="DF322" s="549">
        <f t="shared" si="9662"/>
        <v>0</v>
      </c>
      <c r="DG322" s="675">
        <f t="shared" si="9662"/>
        <v>0</v>
      </c>
      <c r="DH322" s="549">
        <f t="shared" si="9662"/>
        <v>0</v>
      </c>
      <c r="DI322" s="675">
        <f t="shared" si="9662"/>
        <v>0</v>
      </c>
      <c r="DJ322" s="549">
        <f t="shared" si="9662"/>
        <v>0</v>
      </c>
      <c r="DK322" s="675">
        <f t="shared" si="9662"/>
        <v>0</v>
      </c>
      <c r="DL322" s="549">
        <f t="shared" si="9662"/>
        <v>0</v>
      </c>
      <c r="DM322" s="675">
        <f t="shared" si="9662"/>
        <v>0</v>
      </c>
      <c r="DN322" s="549">
        <f t="shared" si="9662"/>
        <v>0</v>
      </c>
      <c r="DO322" s="675">
        <f t="shared" si="9662"/>
        <v>0</v>
      </c>
      <c r="DP322" s="549">
        <f t="shared" si="9662"/>
        <v>0</v>
      </c>
      <c r="DQ322" s="675">
        <f t="shared" si="9662"/>
        <v>0</v>
      </c>
      <c r="DR322" s="549">
        <f t="shared" si="9662"/>
        <v>0</v>
      </c>
      <c r="DS322" s="675">
        <f t="shared" si="9662"/>
        <v>0</v>
      </c>
      <c r="DT322" s="549">
        <f t="shared" si="9662"/>
        <v>0</v>
      </c>
      <c r="DU322" s="675">
        <f t="shared" si="9662"/>
        <v>0</v>
      </c>
      <c r="DV322" s="549">
        <f t="shared" si="9662"/>
        <v>0</v>
      </c>
      <c r="DW322" s="675">
        <f t="shared" si="9662"/>
        <v>0</v>
      </c>
      <c r="DX322" s="549">
        <f t="shared" si="9662"/>
        <v>0</v>
      </c>
      <c r="DY322" s="675">
        <f t="shared" si="9662"/>
        <v>0</v>
      </c>
      <c r="DZ322" s="549">
        <f t="shared" si="9662"/>
        <v>0</v>
      </c>
      <c r="EA322" s="675">
        <f t="shared" si="9662"/>
        <v>0</v>
      </c>
      <c r="EB322" s="549">
        <f t="shared" si="9662"/>
        <v>0</v>
      </c>
      <c r="EC322" s="675">
        <f t="shared" si="9662"/>
        <v>0</v>
      </c>
      <c r="ED322" s="549">
        <f t="shared" si="9662"/>
        <v>0</v>
      </c>
      <c r="EE322" s="675">
        <f t="shared" si="9662"/>
        <v>0</v>
      </c>
      <c r="EF322" s="549">
        <f t="shared" ref="EF322:EG322" si="9663">SUM(EF323:EF324)</f>
        <v>0</v>
      </c>
      <c r="EG322" s="675">
        <f t="shared" si="9663"/>
        <v>0</v>
      </c>
      <c r="EH322" s="549">
        <f t="shared" ref="EH322:HW322" si="9664">SUM(EH323:EH324)</f>
        <v>0</v>
      </c>
      <c r="EI322" s="675">
        <f t="shared" si="9664"/>
        <v>0</v>
      </c>
      <c r="EJ322" s="549">
        <f t="shared" si="9664"/>
        <v>0</v>
      </c>
      <c r="EK322" s="675">
        <f t="shared" si="9664"/>
        <v>0</v>
      </c>
      <c r="EL322" s="549">
        <f t="shared" si="9664"/>
        <v>0</v>
      </c>
      <c r="EM322" s="675">
        <f t="shared" si="9664"/>
        <v>0</v>
      </c>
      <c r="EN322" s="549">
        <f t="shared" si="9664"/>
        <v>0</v>
      </c>
      <c r="EO322" s="675">
        <f t="shared" si="9664"/>
        <v>0</v>
      </c>
      <c r="EP322" s="549">
        <f t="shared" si="9664"/>
        <v>0</v>
      </c>
      <c r="EQ322" s="675">
        <f t="shared" si="9664"/>
        <v>0</v>
      </c>
      <c r="ER322" s="549">
        <f t="shared" si="9664"/>
        <v>0</v>
      </c>
      <c r="ES322" s="675">
        <f t="shared" si="9664"/>
        <v>0</v>
      </c>
      <c r="ET322" s="549">
        <f t="shared" si="9664"/>
        <v>0</v>
      </c>
      <c r="EU322" s="675">
        <f t="shared" si="9664"/>
        <v>0</v>
      </c>
      <c r="EV322" s="549">
        <f t="shared" si="9664"/>
        <v>0</v>
      </c>
      <c r="EW322" s="675">
        <f t="shared" si="9664"/>
        <v>0</v>
      </c>
      <c r="EX322" s="549">
        <f t="shared" si="9664"/>
        <v>25600</v>
      </c>
      <c r="EY322" s="675">
        <f t="shared" si="9664"/>
        <v>0</v>
      </c>
      <c r="EZ322" s="549">
        <f t="shared" si="9664"/>
        <v>0</v>
      </c>
      <c r="FA322" s="675">
        <f t="shared" si="9664"/>
        <v>0</v>
      </c>
      <c r="FB322" s="549">
        <f t="shared" si="9664"/>
        <v>0</v>
      </c>
      <c r="FC322" s="675">
        <f t="shared" si="9664"/>
        <v>0</v>
      </c>
      <c r="FD322" s="549">
        <f t="shared" si="9664"/>
        <v>0</v>
      </c>
      <c r="FE322" s="675">
        <f t="shared" si="9664"/>
        <v>0</v>
      </c>
      <c r="FF322" s="549">
        <f t="shared" si="9664"/>
        <v>0</v>
      </c>
      <c r="FG322" s="675">
        <f t="shared" si="9664"/>
        <v>0</v>
      </c>
      <c r="FH322" s="549">
        <f t="shared" si="9664"/>
        <v>0</v>
      </c>
      <c r="FI322" s="675">
        <f t="shared" si="9664"/>
        <v>0</v>
      </c>
      <c r="FJ322" s="549">
        <f t="shared" si="9664"/>
        <v>0</v>
      </c>
      <c r="FK322" s="675">
        <f t="shared" si="9664"/>
        <v>0</v>
      </c>
      <c r="FL322" s="549">
        <f t="shared" ref="FL322:FQ322" si="9665">SUM(FL323:FL324)</f>
        <v>0</v>
      </c>
      <c r="FM322" s="675">
        <f t="shared" si="9665"/>
        <v>0</v>
      </c>
      <c r="FN322" s="549">
        <f t="shared" si="9665"/>
        <v>0</v>
      </c>
      <c r="FO322" s="675">
        <f t="shared" si="9665"/>
        <v>0</v>
      </c>
      <c r="FP322" s="549">
        <f t="shared" si="9665"/>
        <v>0</v>
      </c>
      <c r="FQ322" s="675">
        <f t="shared" si="9665"/>
        <v>0</v>
      </c>
      <c r="FR322" s="549">
        <f t="shared" ref="FR322:FS322" si="9666">SUM(FR323:FR324)</f>
        <v>0</v>
      </c>
      <c r="FS322" s="675">
        <f t="shared" si="9666"/>
        <v>0</v>
      </c>
      <c r="FT322" s="549">
        <f t="shared" ref="FT322:FW322" si="9667">SUM(FT323:FT324)</f>
        <v>0</v>
      </c>
      <c r="FU322" s="675">
        <f t="shared" si="9667"/>
        <v>0</v>
      </c>
      <c r="FV322" s="549">
        <f t="shared" si="9667"/>
        <v>0</v>
      </c>
      <c r="FW322" s="675">
        <f t="shared" si="9667"/>
        <v>0</v>
      </c>
      <c r="FX322" s="549">
        <f t="shared" ref="FX322:GM322" si="9668">SUM(FX323:FX324)</f>
        <v>0</v>
      </c>
      <c r="FY322" s="675">
        <f t="shared" si="9668"/>
        <v>0</v>
      </c>
      <c r="FZ322" s="549">
        <f t="shared" ref="FZ322:GK322" si="9669">SUM(FZ323:FZ324)</f>
        <v>0</v>
      </c>
      <c r="GA322" s="675">
        <f t="shared" si="9669"/>
        <v>0</v>
      </c>
      <c r="GB322" s="549">
        <f t="shared" ref="GB322:GI322" si="9670">SUM(GB323:GB324)</f>
        <v>0</v>
      </c>
      <c r="GC322" s="675">
        <f t="shared" si="9670"/>
        <v>0</v>
      </c>
      <c r="GD322" s="549">
        <f t="shared" si="9670"/>
        <v>0</v>
      </c>
      <c r="GE322" s="675">
        <f t="shared" si="9670"/>
        <v>0</v>
      </c>
      <c r="GF322" s="549">
        <f t="shared" si="9670"/>
        <v>0</v>
      </c>
      <c r="GG322" s="675">
        <f t="shared" si="9670"/>
        <v>0</v>
      </c>
      <c r="GH322" s="549">
        <f t="shared" si="9670"/>
        <v>0</v>
      </c>
      <c r="GI322" s="675">
        <f t="shared" si="9670"/>
        <v>0</v>
      </c>
      <c r="GJ322" s="549">
        <f t="shared" si="9669"/>
        <v>0</v>
      </c>
      <c r="GK322" s="675">
        <f t="shared" si="9669"/>
        <v>0</v>
      </c>
      <c r="GL322" s="549">
        <f t="shared" si="9668"/>
        <v>0</v>
      </c>
      <c r="GM322" s="675">
        <f t="shared" si="9668"/>
        <v>0</v>
      </c>
      <c r="GN322" s="549">
        <f t="shared" ref="GN322:GO322" si="9671">SUM(GN323:GN324)</f>
        <v>0</v>
      </c>
      <c r="GO322" s="675">
        <f t="shared" si="9671"/>
        <v>0</v>
      </c>
      <c r="GP322" s="549">
        <f t="shared" si="9664"/>
        <v>25600</v>
      </c>
      <c r="GQ322" s="675">
        <f t="shared" si="9664"/>
        <v>0</v>
      </c>
      <c r="GR322" s="74">
        <f t="shared" si="9664"/>
        <v>25600</v>
      </c>
      <c r="GS322" s="74">
        <f t="shared" si="9664"/>
        <v>25600</v>
      </c>
      <c r="GT322" s="74">
        <f t="shared" si="9664"/>
        <v>0</v>
      </c>
      <c r="GU322" s="74">
        <f t="shared" si="9664"/>
        <v>0</v>
      </c>
      <c r="GV322" s="74">
        <f t="shared" si="9664"/>
        <v>0</v>
      </c>
      <c r="GW322" s="74">
        <f t="shared" si="9664"/>
        <v>0</v>
      </c>
      <c r="GX322" s="74">
        <f t="shared" si="9664"/>
        <v>0</v>
      </c>
      <c r="GY322" s="74">
        <f t="shared" si="9664"/>
        <v>0</v>
      </c>
      <c r="GZ322" s="74">
        <f t="shared" si="9664"/>
        <v>0</v>
      </c>
      <c r="HA322" s="74">
        <f t="shared" si="9664"/>
        <v>0</v>
      </c>
      <c r="HB322" s="74">
        <f t="shared" si="9664"/>
        <v>0</v>
      </c>
      <c r="HC322" s="74">
        <f t="shared" si="9664"/>
        <v>0</v>
      </c>
      <c r="HD322" s="74">
        <f t="shared" si="9664"/>
        <v>0</v>
      </c>
      <c r="HE322" s="74">
        <f t="shared" si="9664"/>
        <v>0</v>
      </c>
      <c r="HF322" s="74">
        <f t="shared" si="9664"/>
        <v>0</v>
      </c>
      <c r="HG322" s="74">
        <f t="shared" si="9664"/>
        <v>25600</v>
      </c>
      <c r="HH322" s="74">
        <f t="shared" si="9664"/>
        <v>0</v>
      </c>
      <c r="HI322" s="792">
        <f t="shared" si="9664"/>
        <v>0</v>
      </c>
      <c r="HJ322" s="74">
        <f t="shared" si="9664"/>
        <v>0</v>
      </c>
      <c r="HK322" s="792">
        <f t="shared" si="9664"/>
        <v>0</v>
      </c>
      <c r="HL322" s="74">
        <f t="shared" si="9664"/>
        <v>0</v>
      </c>
      <c r="HM322" s="792">
        <f t="shared" si="9664"/>
        <v>0</v>
      </c>
      <c r="HN322" s="74">
        <f t="shared" si="9664"/>
        <v>0</v>
      </c>
      <c r="HO322" s="792">
        <f t="shared" si="9664"/>
        <v>0</v>
      </c>
      <c r="HP322" s="74">
        <f t="shared" si="9664"/>
        <v>0</v>
      </c>
      <c r="HQ322" s="792">
        <f t="shared" si="9664"/>
        <v>0</v>
      </c>
      <c r="HR322" s="74">
        <f t="shared" si="9664"/>
        <v>0</v>
      </c>
      <c r="HS322" s="792">
        <f t="shared" si="9664"/>
        <v>0</v>
      </c>
      <c r="HT322" s="74">
        <f t="shared" si="9664"/>
        <v>0</v>
      </c>
      <c r="HU322" s="792">
        <f t="shared" si="9664"/>
        <v>0</v>
      </c>
      <c r="HV322" s="74">
        <f t="shared" si="9664"/>
        <v>0</v>
      </c>
      <c r="HW322" s="792">
        <f t="shared" si="9664"/>
        <v>0</v>
      </c>
      <c r="HX322" s="74">
        <f t="shared" ref="HX322:HY322" si="9672">SUM(HX323:HX324)</f>
        <v>0</v>
      </c>
      <c r="HY322" s="792">
        <f t="shared" si="9672"/>
        <v>0</v>
      </c>
      <c r="HZ322" s="74">
        <f t="shared" ref="HZ322:IA322" si="9673">SUM(HZ323:HZ324)</f>
        <v>0</v>
      </c>
      <c r="IA322" s="792">
        <f t="shared" si="9673"/>
        <v>0</v>
      </c>
      <c r="IB322" s="74">
        <f t="shared" ref="IB322:IC322" si="9674">SUM(IB323:IB324)</f>
        <v>0</v>
      </c>
      <c r="IC322" s="792">
        <f t="shared" si="9674"/>
        <v>0</v>
      </c>
      <c r="ID322" s="74">
        <f t="shared" ref="ID322:KC322" si="9675">SUM(ID323:ID324)</f>
        <v>0</v>
      </c>
      <c r="IE322" s="792">
        <f t="shared" si="9675"/>
        <v>0</v>
      </c>
      <c r="IF322" s="841">
        <f t="shared" si="9675"/>
        <v>25127.279999999999</v>
      </c>
      <c r="IG322" s="263">
        <f t="shared" si="9675"/>
        <v>25127.279999999999</v>
      </c>
      <c r="IH322" s="842">
        <f t="shared" si="9675"/>
        <v>25127.279999999999</v>
      </c>
      <c r="II322" s="74">
        <f t="shared" ref="II322:IK322" si="9676">SUM(II323:II324)</f>
        <v>0</v>
      </c>
      <c r="IJ322" s="74">
        <f t="shared" si="9676"/>
        <v>0</v>
      </c>
      <c r="IK322" s="74">
        <f t="shared" si="9676"/>
        <v>0</v>
      </c>
      <c r="IL322" s="74">
        <f t="shared" ref="IL322:IN322" si="9677">SUM(IL323:IL324)</f>
        <v>0</v>
      </c>
      <c r="IM322" s="74">
        <f t="shared" si="9677"/>
        <v>0</v>
      </c>
      <c r="IN322" s="74">
        <f t="shared" si="9677"/>
        <v>0</v>
      </c>
      <c r="IO322" s="74">
        <f t="shared" ref="IO322:IQ322" si="9678">SUM(IO323:IO324)</f>
        <v>0</v>
      </c>
      <c r="IP322" s="74">
        <f t="shared" si="9678"/>
        <v>0</v>
      </c>
      <c r="IQ322" s="74">
        <f t="shared" si="9678"/>
        <v>0</v>
      </c>
      <c r="IR322" s="74">
        <f t="shared" ref="IR322:IT322" si="9679">SUM(IR323:IR324)</f>
        <v>0</v>
      </c>
      <c r="IS322" s="74">
        <f t="shared" si="9679"/>
        <v>0</v>
      </c>
      <c r="IT322" s="74">
        <f t="shared" si="9679"/>
        <v>0</v>
      </c>
      <c r="IU322" s="74">
        <f t="shared" ref="IU322:IW322" si="9680">SUM(IU323:IU324)</f>
        <v>0</v>
      </c>
      <c r="IV322" s="74">
        <f t="shared" si="9680"/>
        <v>0</v>
      </c>
      <c r="IW322" s="74">
        <f t="shared" si="9680"/>
        <v>0</v>
      </c>
      <c r="IX322" s="74">
        <f t="shared" ref="IX322:IZ322" si="9681">SUM(IX323:IX324)</f>
        <v>0</v>
      </c>
      <c r="IY322" s="74">
        <f t="shared" si="9681"/>
        <v>0</v>
      </c>
      <c r="IZ322" s="74">
        <f t="shared" si="9681"/>
        <v>0</v>
      </c>
      <c r="JA322" s="74">
        <f t="shared" ref="JA322:JC322" si="9682">SUM(JA323:JA324)</f>
        <v>0</v>
      </c>
      <c r="JB322" s="74">
        <f t="shared" si="9682"/>
        <v>0</v>
      </c>
      <c r="JC322" s="74">
        <f t="shared" si="9682"/>
        <v>0</v>
      </c>
      <c r="JD322" s="74">
        <f t="shared" ref="JD322:JF322" si="9683">SUM(JD323:JD324)</f>
        <v>0</v>
      </c>
      <c r="JE322" s="74">
        <f t="shared" si="9683"/>
        <v>0</v>
      </c>
      <c r="JF322" s="74">
        <f t="shared" si="9683"/>
        <v>0</v>
      </c>
      <c r="JG322" s="74">
        <f t="shared" ref="JG322:JI322" si="9684">SUM(JG323:JG324)</f>
        <v>0</v>
      </c>
      <c r="JH322" s="74">
        <f t="shared" si="9684"/>
        <v>0</v>
      </c>
      <c r="JI322" s="74">
        <f t="shared" si="9684"/>
        <v>0</v>
      </c>
      <c r="JJ322" s="74">
        <f t="shared" ref="JJ322:JL322" si="9685">SUM(JJ323:JJ324)</f>
        <v>25127.279999999999</v>
      </c>
      <c r="JK322" s="74">
        <f t="shared" si="9685"/>
        <v>25127.279999999999</v>
      </c>
      <c r="JL322" s="74">
        <f t="shared" si="9685"/>
        <v>25127.279999999999</v>
      </c>
      <c r="JM322" s="74">
        <f t="shared" ref="JM322:JO322" si="9686">SUM(JM323:JM324)</f>
        <v>0</v>
      </c>
      <c r="JN322" s="74">
        <f t="shared" si="9686"/>
        <v>0</v>
      </c>
      <c r="JO322" s="74">
        <f t="shared" si="9686"/>
        <v>0</v>
      </c>
      <c r="JP322" s="74">
        <f t="shared" si="9675"/>
        <v>0</v>
      </c>
      <c r="JQ322" s="74">
        <f t="shared" si="9675"/>
        <v>0</v>
      </c>
      <c r="JR322" s="74">
        <f t="shared" si="9675"/>
        <v>0</v>
      </c>
      <c r="JS322" s="74">
        <f t="shared" si="9675"/>
        <v>472.72000000000116</v>
      </c>
      <c r="JT322" s="74">
        <f t="shared" si="9675"/>
        <v>472.72000000000116</v>
      </c>
      <c r="JU322" s="665"/>
      <c r="JV322" s="524"/>
      <c r="JW322" s="525"/>
      <c r="JX322" s="74">
        <f t="shared" si="9675"/>
        <v>0</v>
      </c>
      <c r="JY322" s="74">
        <f t="shared" si="9675"/>
        <v>0</v>
      </c>
      <c r="JZ322" s="581">
        <f t="shared" si="9675"/>
        <v>25600</v>
      </c>
      <c r="KA322" s="581">
        <f t="shared" si="9675"/>
        <v>0</v>
      </c>
      <c r="KB322" s="74">
        <f t="shared" si="9675"/>
        <v>25600</v>
      </c>
      <c r="KC322" s="709">
        <f t="shared" si="9675"/>
        <v>0</v>
      </c>
      <c r="KD322" s="35"/>
      <c r="KE322" s="35"/>
      <c r="KF322" s="35"/>
      <c r="KG322" s="35"/>
      <c r="KH322" s="35"/>
      <c r="KI322" s="35"/>
      <c r="KJ322" s="35"/>
      <c r="KK322" s="35"/>
    </row>
    <row r="323" spans="1:297" s="10" customFormat="1" ht="12.75" hidden="1" customHeight="1">
      <c r="A323" s="86" t="s">
        <v>1153</v>
      </c>
      <c r="B323" s="77"/>
      <c r="C323" s="74">
        <v>0</v>
      </c>
      <c r="D323" s="549">
        <v>0</v>
      </c>
      <c r="E323" s="675">
        <v>0</v>
      </c>
      <c r="F323" s="549">
        <v>0</v>
      </c>
      <c r="G323" s="675">
        <v>0</v>
      </c>
      <c r="H323" s="549">
        <v>0</v>
      </c>
      <c r="I323" s="675">
        <v>0</v>
      </c>
      <c r="J323" s="549">
        <v>0</v>
      </c>
      <c r="K323" s="675">
        <v>0</v>
      </c>
      <c r="L323" s="549">
        <v>0</v>
      </c>
      <c r="M323" s="675">
        <v>0</v>
      </c>
      <c r="N323" s="549">
        <v>0</v>
      </c>
      <c r="O323" s="675">
        <v>0</v>
      </c>
      <c r="P323" s="549">
        <v>0</v>
      </c>
      <c r="Q323" s="675">
        <v>0</v>
      </c>
      <c r="R323" s="549">
        <v>0</v>
      </c>
      <c r="S323" s="675">
        <v>0</v>
      </c>
      <c r="T323" s="549">
        <v>0</v>
      </c>
      <c r="U323" s="675">
        <v>0</v>
      </c>
      <c r="V323" s="549">
        <v>0</v>
      </c>
      <c r="W323" s="675">
        <v>0</v>
      </c>
      <c r="X323" s="549">
        <v>0</v>
      </c>
      <c r="Y323" s="675">
        <v>0</v>
      </c>
      <c r="Z323" s="549">
        <v>0</v>
      </c>
      <c r="AA323" s="675">
        <v>0</v>
      </c>
      <c r="AB323" s="549">
        <v>0</v>
      </c>
      <c r="AC323" s="675">
        <v>0</v>
      </c>
      <c r="AD323" s="549">
        <v>0</v>
      </c>
      <c r="AE323" s="675">
        <v>0</v>
      </c>
      <c r="AF323" s="549">
        <v>0</v>
      </c>
      <c r="AG323" s="675">
        <v>0</v>
      </c>
      <c r="AH323" s="549">
        <v>0</v>
      </c>
      <c r="AI323" s="675">
        <v>0</v>
      </c>
      <c r="AJ323" s="549">
        <v>0</v>
      </c>
      <c r="AK323" s="675">
        <v>0</v>
      </c>
      <c r="AL323" s="549">
        <v>0</v>
      </c>
      <c r="AM323" s="675">
        <v>0</v>
      </c>
      <c r="AN323" s="549">
        <v>0</v>
      </c>
      <c r="AO323" s="675">
        <v>0</v>
      </c>
      <c r="AP323" s="549">
        <v>0</v>
      </c>
      <c r="AQ323" s="675">
        <v>0</v>
      </c>
      <c r="AR323" s="549">
        <v>0</v>
      </c>
      <c r="AS323" s="675">
        <v>0</v>
      </c>
      <c r="AT323" s="549">
        <v>0</v>
      </c>
      <c r="AU323" s="675">
        <v>0</v>
      </c>
      <c r="AV323" s="549">
        <v>0</v>
      </c>
      <c r="AW323" s="675">
        <v>0</v>
      </c>
      <c r="AX323" s="549">
        <v>0</v>
      </c>
      <c r="AY323" s="675">
        <v>0</v>
      </c>
      <c r="AZ323" s="549">
        <v>0</v>
      </c>
      <c r="BA323" s="675">
        <v>0</v>
      </c>
      <c r="BB323" s="549">
        <v>0</v>
      </c>
      <c r="BC323" s="675">
        <v>0</v>
      </c>
      <c r="BD323" s="549">
        <v>0</v>
      </c>
      <c r="BE323" s="675">
        <v>0</v>
      </c>
      <c r="BF323" s="549">
        <v>0</v>
      </c>
      <c r="BG323" s="675">
        <v>0</v>
      </c>
      <c r="BH323" s="549">
        <v>0</v>
      </c>
      <c r="BI323" s="675">
        <v>0</v>
      </c>
      <c r="BJ323" s="549">
        <v>0</v>
      </c>
      <c r="BK323" s="675">
        <v>0</v>
      </c>
      <c r="BL323" s="549">
        <v>0</v>
      </c>
      <c r="BM323" s="675">
        <v>0</v>
      </c>
      <c r="BN323" s="549">
        <v>0</v>
      </c>
      <c r="BO323" s="675">
        <v>0</v>
      </c>
      <c r="BP323" s="549">
        <v>0</v>
      </c>
      <c r="BQ323" s="675">
        <v>0</v>
      </c>
      <c r="BR323" s="549">
        <v>0</v>
      </c>
      <c r="BS323" s="675">
        <v>0</v>
      </c>
      <c r="BT323" s="549">
        <v>0</v>
      </c>
      <c r="BU323" s="675">
        <v>0</v>
      </c>
      <c r="BV323" s="549">
        <v>0</v>
      </c>
      <c r="BW323" s="675">
        <v>0</v>
      </c>
      <c r="BX323" s="549">
        <v>0</v>
      </c>
      <c r="BY323" s="675">
        <v>0</v>
      </c>
      <c r="BZ323" s="549">
        <v>0</v>
      </c>
      <c r="CA323" s="675">
        <v>0</v>
      </c>
      <c r="CB323" s="549">
        <v>0</v>
      </c>
      <c r="CC323" s="675">
        <v>0</v>
      </c>
      <c r="CD323" s="549">
        <v>0</v>
      </c>
      <c r="CE323" s="675">
        <v>0</v>
      </c>
      <c r="CF323" s="549">
        <v>0</v>
      </c>
      <c r="CG323" s="675">
        <v>0</v>
      </c>
      <c r="CH323" s="549">
        <v>0</v>
      </c>
      <c r="CI323" s="675">
        <v>0</v>
      </c>
      <c r="CJ323" s="549">
        <v>0</v>
      </c>
      <c r="CK323" s="675">
        <v>0</v>
      </c>
      <c r="CL323" s="549">
        <v>0</v>
      </c>
      <c r="CM323" s="675">
        <v>0</v>
      </c>
      <c r="CN323" s="549">
        <v>0</v>
      </c>
      <c r="CO323" s="675">
        <v>0</v>
      </c>
      <c r="CP323" s="549">
        <v>0</v>
      </c>
      <c r="CQ323" s="675">
        <v>0</v>
      </c>
      <c r="CR323" s="549">
        <v>0</v>
      </c>
      <c r="CS323" s="675">
        <v>0</v>
      </c>
      <c r="CT323" s="549">
        <v>0</v>
      </c>
      <c r="CU323" s="675">
        <v>0</v>
      </c>
      <c r="CV323" s="549">
        <v>0</v>
      </c>
      <c r="CW323" s="675">
        <v>0</v>
      </c>
      <c r="CX323" s="549">
        <v>0</v>
      </c>
      <c r="CY323" s="675">
        <v>0</v>
      </c>
      <c r="CZ323" s="549">
        <v>0</v>
      </c>
      <c r="DA323" s="675">
        <v>0</v>
      </c>
      <c r="DB323" s="549">
        <v>0</v>
      </c>
      <c r="DC323" s="675">
        <v>0</v>
      </c>
      <c r="DD323" s="549">
        <v>0</v>
      </c>
      <c r="DE323" s="675">
        <v>0</v>
      </c>
      <c r="DF323" s="549">
        <v>0</v>
      </c>
      <c r="DG323" s="675">
        <v>0</v>
      </c>
      <c r="DH323" s="549">
        <v>0</v>
      </c>
      <c r="DI323" s="675">
        <v>0</v>
      </c>
      <c r="DJ323" s="549">
        <v>0</v>
      </c>
      <c r="DK323" s="675">
        <v>0</v>
      </c>
      <c r="DL323" s="549">
        <v>0</v>
      </c>
      <c r="DM323" s="675">
        <v>0</v>
      </c>
      <c r="DN323" s="549">
        <v>0</v>
      </c>
      <c r="DO323" s="675">
        <v>0</v>
      </c>
      <c r="DP323" s="549">
        <v>0</v>
      </c>
      <c r="DQ323" s="675">
        <v>0</v>
      </c>
      <c r="DR323" s="549">
        <v>0</v>
      </c>
      <c r="DS323" s="675">
        <v>0</v>
      </c>
      <c r="DT323" s="549">
        <v>0</v>
      </c>
      <c r="DU323" s="675">
        <v>0</v>
      </c>
      <c r="DV323" s="549">
        <v>0</v>
      </c>
      <c r="DW323" s="675">
        <v>0</v>
      </c>
      <c r="DX323" s="549">
        <v>0</v>
      </c>
      <c r="DY323" s="675">
        <v>0</v>
      </c>
      <c r="DZ323" s="549">
        <v>0</v>
      </c>
      <c r="EA323" s="675">
        <v>0</v>
      </c>
      <c r="EB323" s="549">
        <v>0</v>
      </c>
      <c r="EC323" s="675">
        <v>0</v>
      </c>
      <c r="ED323" s="549">
        <v>0</v>
      </c>
      <c r="EE323" s="675">
        <v>0</v>
      </c>
      <c r="EF323" s="549">
        <v>0</v>
      </c>
      <c r="EG323" s="675">
        <v>0</v>
      </c>
      <c r="EH323" s="549">
        <v>0</v>
      </c>
      <c r="EI323" s="675">
        <v>0</v>
      </c>
      <c r="EJ323" s="549">
        <v>0</v>
      </c>
      <c r="EK323" s="675">
        <v>0</v>
      </c>
      <c r="EL323" s="549">
        <v>0</v>
      </c>
      <c r="EM323" s="675">
        <v>0</v>
      </c>
      <c r="EN323" s="549">
        <v>0</v>
      </c>
      <c r="EO323" s="675">
        <v>0</v>
      </c>
      <c r="EP323" s="549">
        <v>0</v>
      </c>
      <c r="EQ323" s="675">
        <v>0</v>
      </c>
      <c r="ER323" s="549">
        <v>0</v>
      </c>
      <c r="ES323" s="675">
        <v>0</v>
      </c>
      <c r="ET323" s="549">
        <v>0</v>
      </c>
      <c r="EU323" s="675">
        <v>0</v>
      </c>
      <c r="EV323" s="549">
        <v>0</v>
      </c>
      <c r="EW323" s="675">
        <v>0</v>
      </c>
      <c r="EX323" s="549">
        <v>0</v>
      </c>
      <c r="EY323" s="675">
        <v>0</v>
      </c>
      <c r="EZ323" s="549">
        <v>0</v>
      </c>
      <c r="FA323" s="675">
        <v>0</v>
      </c>
      <c r="FB323" s="549">
        <v>0</v>
      </c>
      <c r="FC323" s="675">
        <v>0</v>
      </c>
      <c r="FD323" s="549">
        <v>0</v>
      </c>
      <c r="FE323" s="675">
        <v>0</v>
      </c>
      <c r="FF323" s="549">
        <v>0</v>
      </c>
      <c r="FG323" s="675">
        <v>0</v>
      </c>
      <c r="FH323" s="549">
        <v>0</v>
      </c>
      <c r="FI323" s="675">
        <v>0</v>
      </c>
      <c r="FJ323" s="549">
        <v>0</v>
      </c>
      <c r="FK323" s="675">
        <v>0</v>
      </c>
      <c r="FL323" s="549">
        <v>0</v>
      </c>
      <c r="FM323" s="675">
        <v>0</v>
      </c>
      <c r="FN323" s="549">
        <v>0</v>
      </c>
      <c r="FO323" s="675">
        <v>0</v>
      </c>
      <c r="FP323" s="549">
        <v>0</v>
      </c>
      <c r="FQ323" s="675">
        <v>0</v>
      </c>
      <c r="FR323" s="549">
        <v>0</v>
      </c>
      <c r="FS323" s="675">
        <v>0</v>
      </c>
      <c r="FT323" s="549">
        <v>0</v>
      </c>
      <c r="FU323" s="675">
        <v>0</v>
      </c>
      <c r="FV323" s="549">
        <v>0</v>
      </c>
      <c r="FW323" s="675">
        <v>0</v>
      </c>
      <c r="FX323" s="549">
        <v>0</v>
      </c>
      <c r="FY323" s="675">
        <v>0</v>
      </c>
      <c r="FZ323" s="549">
        <v>0</v>
      </c>
      <c r="GA323" s="675">
        <v>0</v>
      </c>
      <c r="GB323" s="549">
        <v>0</v>
      </c>
      <c r="GC323" s="675">
        <v>0</v>
      </c>
      <c r="GD323" s="549">
        <v>0</v>
      </c>
      <c r="GE323" s="675">
        <v>0</v>
      </c>
      <c r="GF323" s="549">
        <v>0</v>
      </c>
      <c r="GG323" s="675">
        <v>0</v>
      </c>
      <c r="GH323" s="549">
        <v>0</v>
      </c>
      <c r="GI323" s="675">
        <v>0</v>
      </c>
      <c r="GJ323" s="549">
        <v>0</v>
      </c>
      <c r="GK323" s="675">
        <v>0</v>
      </c>
      <c r="GL323" s="549">
        <v>0</v>
      </c>
      <c r="GM323" s="675">
        <v>0</v>
      </c>
      <c r="GN323" s="549">
        <v>0</v>
      </c>
      <c r="GO323" s="675">
        <v>0</v>
      </c>
      <c r="GP323" s="549">
        <f>+D323+F323+H323+J323+L323+N323+P323+R323+T323+V323+X323+Z323+AB323+AD323+AH323+AJ323+AL323+AN323+AP323+AR323+AT323+AV323+AX323+AZ323+BB323+BD323+BF323+BH323+BJ323+BL323+BN323+BP323+BR323+BT323+BV323+BX323+BZ323+CB323+CD323+CF323+CH323+CJ323+CL323+CN323+CP323+CR323+CT323+CV323+CX323+CZ323+DB323+DD323+DF323+DH323+DT323+EX323+DJ323+DL323+DN323+DP323+DR323+EJ323+EB323+DZ323+DX323+DV323+ED323+EF323+EH323+EL323+EN323+EP323+EV323+ET323+ER323+EZ323+FB323+FD323+GL323+FF323+FJ323+FL323+GJ323+FT323+FR323+FP323+FN323+FH323</f>
        <v>0</v>
      </c>
      <c r="GQ323" s="675">
        <f>+E323+G323+I323+K323+M323+O323+Q323+S323+U323+W323+Y323+AA323+AC323+AE323+AI323+AK323+AM323+AO323+AQ323+AS323+AU323+AW323+AY323+BA323+BC323+BE323+BG323+BI323+BK323+BM323+BO323+BQ323+BS323+BU323+BW323+BY323+CA323+CC323+CE323+CG323+CI323+CK323+CM323+CO323+CQ323+CS323+CU323+CW323+CY323+DA323+DC323+DE323+DG323+DI323+DU323+EY323+DK323+DM323+DO323+DQ323+DS323+EK323+EC323+EA323+DY323+DW323+EI323+EG323+EE323+EM323+EO323+EQ323+EW323+EU323+ES323+FA323+FC323+FE323+GM323+FG323+FK323+FM323+FO323+FQ323+FS323+FU323+GK323+FI323</f>
        <v>0</v>
      </c>
      <c r="GR323" s="74">
        <f>C323+GP323+GQ323</f>
        <v>0</v>
      </c>
      <c r="GS323" s="74">
        <f t="shared" ref="GS323" si="9687">SUM(GU323:HB323)+GP323+GQ323</f>
        <v>0</v>
      </c>
      <c r="GT323" s="568">
        <f>SUM(GU323:HF323)+GQ323+GP323</f>
        <v>0</v>
      </c>
      <c r="GU323" s="73"/>
      <c r="GV323" s="73"/>
      <c r="GW323" s="549"/>
      <c r="GX323" s="549"/>
      <c r="GY323" s="73"/>
      <c r="GZ323" s="73"/>
      <c r="HA323" s="73"/>
      <c r="HB323" s="73"/>
      <c r="HC323" s="73"/>
      <c r="HD323" s="73"/>
      <c r="HE323" s="73"/>
      <c r="HF323" s="73"/>
      <c r="HG323" s="74">
        <f>SUM(HH323:IE323)+GP323+GQ323</f>
        <v>0</v>
      </c>
      <c r="HH323" s="89">
        <v>0</v>
      </c>
      <c r="HI323" s="817">
        <v>0</v>
      </c>
      <c r="HJ323" s="89">
        <v>0</v>
      </c>
      <c r="HK323" s="817">
        <v>0</v>
      </c>
      <c r="HL323" s="89">
        <v>0</v>
      </c>
      <c r="HM323" s="817">
        <v>0</v>
      </c>
      <c r="HN323" s="89">
        <v>0</v>
      </c>
      <c r="HO323" s="817">
        <v>0</v>
      </c>
      <c r="HP323" s="89">
        <v>0</v>
      </c>
      <c r="HQ323" s="817">
        <v>0</v>
      </c>
      <c r="HR323" s="89">
        <v>0</v>
      </c>
      <c r="HS323" s="817">
        <v>0</v>
      </c>
      <c r="HT323" s="89">
        <v>0</v>
      </c>
      <c r="HU323" s="817">
        <v>0</v>
      </c>
      <c r="HV323" s="89">
        <v>0</v>
      </c>
      <c r="HW323" s="817">
        <v>0</v>
      </c>
      <c r="HX323" s="89">
        <v>0</v>
      </c>
      <c r="HY323" s="817">
        <v>0</v>
      </c>
      <c r="HZ323" s="89">
        <v>0</v>
      </c>
      <c r="IA323" s="817">
        <v>0</v>
      </c>
      <c r="IB323" s="89">
        <v>0</v>
      </c>
      <c r="IC323" s="817">
        <v>0</v>
      </c>
      <c r="ID323" s="89">
        <v>0</v>
      </c>
      <c r="IE323" s="817">
        <v>0</v>
      </c>
      <c r="IF323" s="841">
        <f t="shared" ref="IF323:IF324" si="9688">SUM(II323,IL323,IO323,IR323,IU323,IX323,JA323,JD323,JG323,JJ323,JM323,JP323)</f>
        <v>0</v>
      </c>
      <c r="IG323" s="263">
        <f t="shared" ref="IG323:IG324" si="9689">SUM(IJ323,IM323,IP323,IS323,IV323,IY323,JB323,JE323,JH323,JK323,JN323,JQ323)</f>
        <v>0</v>
      </c>
      <c r="IH323" s="842">
        <f t="shared" ref="IH323:IH324" si="9690">SUM(IK323,IN323,IQ323,IT323,IW323,IZ323,JC323,JF323,JI323,JL323,JO323,JR323)</f>
        <v>0</v>
      </c>
      <c r="II323" s="89">
        <v>0</v>
      </c>
      <c r="IJ323" s="89">
        <f t="shared" ref="IJ323:IJ324" si="9691">II323</f>
        <v>0</v>
      </c>
      <c r="IK323" s="89">
        <f t="shared" ref="IK323:IK324" si="9692">IJ323</f>
        <v>0</v>
      </c>
      <c r="IL323" s="89">
        <v>0</v>
      </c>
      <c r="IM323" s="89">
        <f t="shared" ref="IM323:IM324" si="9693">IL323</f>
        <v>0</v>
      </c>
      <c r="IN323" s="89">
        <f t="shared" ref="IN323:IN324" si="9694">IM323</f>
        <v>0</v>
      </c>
      <c r="IO323" s="89">
        <v>0</v>
      </c>
      <c r="IP323" s="89">
        <f t="shared" ref="IP323:IP324" si="9695">IO323</f>
        <v>0</v>
      </c>
      <c r="IQ323" s="89">
        <f t="shared" ref="IQ323:IQ324" si="9696">IP323</f>
        <v>0</v>
      </c>
      <c r="IR323" s="89">
        <v>0</v>
      </c>
      <c r="IS323" s="89">
        <f t="shared" ref="IS323:IS324" si="9697">IR323</f>
        <v>0</v>
      </c>
      <c r="IT323" s="89">
        <f t="shared" ref="IT323:IT324" si="9698">IS323</f>
        <v>0</v>
      </c>
      <c r="IU323" s="89">
        <v>0</v>
      </c>
      <c r="IV323" s="89">
        <f t="shared" ref="IV323:IV324" si="9699">IU323</f>
        <v>0</v>
      </c>
      <c r="IW323" s="89">
        <f t="shared" ref="IW323:IW324" si="9700">IV323</f>
        <v>0</v>
      </c>
      <c r="IX323" s="89">
        <v>0</v>
      </c>
      <c r="IY323" s="89">
        <f t="shared" ref="IY323:IY324" si="9701">IX323</f>
        <v>0</v>
      </c>
      <c r="IZ323" s="89">
        <f t="shared" ref="IZ323:IZ324" si="9702">IY323</f>
        <v>0</v>
      </c>
      <c r="JA323" s="89">
        <v>0</v>
      </c>
      <c r="JB323" s="89">
        <f t="shared" ref="JB323:JB324" si="9703">JA323</f>
        <v>0</v>
      </c>
      <c r="JC323" s="89">
        <f t="shared" ref="JC323:JC324" si="9704">JB323</f>
        <v>0</v>
      </c>
      <c r="JD323" s="89">
        <v>0</v>
      </c>
      <c r="JE323" s="89">
        <f t="shared" ref="JE323:JE324" si="9705">JD323</f>
        <v>0</v>
      </c>
      <c r="JF323" s="89">
        <f t="shared" ref="JF323:JF324" si="9706">JE323</f>
        <v>0</v>
      </c>
      <c r="JG323" s="89">
        <v>0</v>
      </c>
      <c r="JH323" s="89">
        <f t="shared" ref="JH323:JH324" si="9707">JG323</f>
        <v>0</v>
      </c>
      <c r="JI323" s="89">
        <f t="shared" ref="JI323:JI324" si="9708">JH323</f>
        <v>0</v>
      </c>
      <c r="JJ323" s="89">
        <v>0</v>
      </c>
      <c r="JK323" s="89">
        <f t="shared" ref="JK323:JK324" si="9709">JJ323</f>
        <v>0</v>
      </c>
      <c r="JL323" s="89">
        <f t="shared" ref="JL323:JL324" si="9710">JK323</f>
        <v>0</v>
      </c>
      <c r="JM323" s="89">
        <v>0</v>
      </c>
      <c r="JN323" s="89">
        <f t="shared" ref="JN323:JN324" si="9711">JM323</f>
        <v>0</v>
      </c>
      <c r="JO323" s="89">
        <f t="shared" ref="JO323:JO324" si="9712">JN323</f>
        <v>0</v>
      </c>
      <c r="JP323" s="89">
        <v>0</v>
      </c>
      <c r="JQ323" s="89">
        <f t="shared" ref="JQ323:JR323" si="9713">JP323</f>
        <v>0</v>
      </c>
      <c r="JR323" s="89">
        <f t="shared" si="9713"/>
        <v>0</v>
      </c>
      <c r="JS323" s="74">
        <f>HG323-IF323</f>
        <v>0</v>
      </c>
      <c r="JT323" s="382">
        <f>GS323-IF323</f>
        <v>0</v>
      </c>
      <c r="JU323" s="665"/>
      <c r="JV323" s="524"/>
      <c r="JW323" s="525"/>
      <c r="JX323" s="548">
        <f>SUM(HH323,HJ323,HL323,HN323,HP323,HR323,HT323,HV323,HX323,HZ323,IB323,ID323)</f>
        <v>0</v>
      </c>
      <c r="JY323" s="548">
        <f>SUM(HI323,HK323,HM323,HO323,HQ323,HS323,HU323,HW323,HY323,IA323,IC323,IE323)</f>
        <v>0</v>
      </c>
      <c r="JZ323" s="581">
        <f t="shared" si="9103"/>
        <v>0</v>
      </c>
      <c r="KA323" s="581">
        <f t="shared" si="9104"/>
        <v>0</v>
      </c>
      <c r="KB323" s="548">
        <f>JX323+JY323+JZ323+KA323</f>
        <v>0</v>
      </c>
      <c r="KC323" s="709">
        <f>HG323-KB323</f>
        <v>0</v>
      </c>
      <c r="KD323" s="35"/>
      <c r="KE323" s="35"/>
      <c r="KF323" s="35"/>
      <c r="KG323" s="35"/>
      <c r="KH323" s="35"/>
      <c r="KI323" s="35"/>
      <c r="KJ323" s="35"/>
      <c r="KK323" s="35"/>
    </row>
    <row r="324" spans="1:297" s="10" customFormat="1" ht="12.75" customHeight="1">
      <c r="A324" s="86" t="s">
        <v>1179</v>
      </c>
      <c r="B324" s="77"/>
      <c r="C324" s="74">
        <v>0</v>
      </c>
      <c r="D324" s="549">
        <v>0</v>
      </c>
      <c r="E324" s="675">
        <v>0</v>
      </c>
      <c r="F324" s="549">
        <v>0</v>
      </c>
      <c r="G324" s="675">
        <v>0</v>
      </c>
      <c r="H324" s="549">
        <v>0</v>
      </c>
      <c r="I324" s="675">
        <v>0</v>
      </c>
      <c r="J324" s="549">
        <v>0</v>
      </c>
      <c r="K324" s="675">
        <v>0</v>
      </c>
      <c r="L324" s="549">
        <v>0</v>
      </c>
      <c r="M324" s="675">
        <v>0</v>
      </c>
      <c r="N324" s="549">
        <v>0</v>
      </c>
      <c r="O324" s="675">
        <v>0</v>
      </c>
      <c r="P324" s="549">
        <v>0</v>
      </c>
      <c r="Q324" s="675">
        <v>0</v>
      </c>
      <c r="R324" s="549">
        <v>0</v>
      </c>
      <c r="S324" s="675">
        <v>0</v>
      </c>
      <c r="T324" s="549">
        <v>0</v>
      </c>
      <c r="U324" s="675">
        <v>0</v>
      </c>
      <c r="V324" s="549">
        <v>0</v>
      </c>
      <c r="W324" s="675">
        <v>0</v>
      </c>
      <c r="X324" s="549">
        <v>0</v>
      </c>
      <c r="Y324" s="675">
        <v>0</v>
      </c>
      <c r="Z324" s="549">
        <v>0</v>
      </c>
      <c r="AA324" s="675">
        <v>0</v>
      </c>
      <c r="AB324" s="549">
        <v>0</v>
      </c>
      <c r="AC324" s="675">
        <v>0</v>
      </c>
      <c r="AD324" s="549">
        <v>0</v>
      </c>
      <c r="AE324" s="675">
        <v>0</v>
      </c>
      <c r="AF324" s="549">
        <v>0</v>
      </c>
      <c r="AG324" s="675">
        <v>0</v>
      </c>
      <c r="AH324" s="549">
        <v>0</v>
      </c>
      <c r="AI324" s="675">
        <v>0</v>
      </c>
      <c r="AJ324" s="549">
        <v>0</v>
      </c>
      <c r="AK324" s="675">
        <v>0</v>
      </c>
      <c r="AL324" s="549">
        <v>0</v>
      </c>
      <c r="AM324" s="675">
        <v>0</v>
      </c>
      <c r="AN324" s="549">
        <v>0</v>
      </c>
      <c r="AO324" s="675">
        <v>0</v>
      </c>
      <c r="AP324" s="549">
        <v>0</v>
      </c>
      <c r="AQ324" s="675">
        <v>0</v>
      </c>
      <c r="AR324" s="549">
        <v>0</v>
      </c>
      <c r="AS324" s="675">
        <v>0</v>
      </c>
      <c r="AT324" s="549">
        <v>0</v>
      </c>
      <c r="AU324" s="675">
        <v>0</v>
      </c>
      <c r="AV324" s="549">
        <v>0</v>
      </c>
      <c r="AW324" s="675">
        <v>0</v>
      </c>
      <c r="AX324" s="549">
        <v>0</v>
      </c>
      <c r="AY324" s="675">
        <v>0</v>
      </c>
      <c r="AZ324" s="549">
        <v>0</v>
      </c>
      <c r="BA324" s="675">
        <v>0</v>
      </c>
      <c r="BB324" s="549">
        <v>0</v>
      </c>
      <c r="BC324" s="675">
        <v>0</v>
      </c>
      <c r="BD324" s="549">
        <v>0</v>
      </c>
      <c r="BE324" s="675">
        <v>0</v>
      </c>
      <c r="BF324" s="549">
        <v>0</v>
      </c>
      <c r="BG324" s="675">
        <v>0</v>
      </c>
      <c r="BH324" s="549">
        <v>0</v>
      </c>
      <c r="BI324" s="675">
        <v>0</v>
      </c>
      <c r="BJ324" s="549">
        <v>0</v>
      </c>
      <c r="BK324" s="675">
        <v>0</v>
      </c>
      <c r="BL324" s="549">
        <v>0</v>
      </c>
      <c r="BM324" s="675">
        <v>0</v>
      </c>
      <c r="BN324" s="549">
        <v>0</v>
      </c>
      <c r="BO324" s="675">
        <v>0</v>
      </c>
      <c r="BP324" s="549">
        <v>0</v>
      </c>
      <c r="BQ324" s="675">
        <v>0</v>
      </c>
      <c r="BR324" s="549">
        <v>0</v>
      </c>
      <c r="BS324" s="675">
        <v>0</v>
      </c>
      <c r="BT324" s="549">
        <v>0</v>
      </c>
      <c r="BU324" s="675">
        <v>0</v>
      </c>
      <c r="BV324" s="549">
        <v>0</v>
      </c>
      <c r="BW324" s="675">
        <v>0</v>
      </c>
      <c r="BX324" s="549">
        <v>0</v>
      </c>
      <c r="BY324" s="675">
        <v>0</v>
      </c>
      <c r="BZ324" s="549">
        <v>0</v>
      </c>
      <c r="CA324" s="675">
        <v>0</v>
      </c>
      <c r="CB324" s="549">
        <v>0</v>
      </c>
      <c r="CC324" s="675">
        <v>0</v>
      </c>
      <c r="CD324" s="549">
        <v>0</v>
      </c>
      <c r="CE324" s="675">
        <v>0</v>
      </c>
      <c r="CF324" s="549">
        <v>0</v>
      </c>
      <c r="CG324" s="675">
        <v>0</v>
      </c>
      <c r="CH324" s="549">
        <v>0</v>
      </c>
      <c r="CI324" s="675">
        <v>0</v>
      </c>
      <c r="CJ324" s="549">
        <v>0</v>
      </c>
      <c r="CK324" s="675">
        <v>0</v>
      </c>
      <c r="CL324" s="549">
        <v>0</v>
      </c>
      <c r="CM324" s="675">
        <v>0</v>
      </c>
      <c r="CN324" s="549">
        <v>0</v>
      </c>
      <c r="CO324" s="675">
        <v>0</v>
      </c>
      <c r="CP324" s="549">
        <v>0</v>
      </c>
      <c r="CQ324" s="675">
        <v>0</v>
      </c>
      <c r="CR324" s="549">
        <v>0</v>
      </c>
      <c r="CS324" s="675">
        <v>0</v>
      </c>
      <c r="CT324" s="549">
        <v>0</v>
      </c>
      <c r="CU324" s="675">
        <v>0</v>
      </c>
      <c r="CV324" s="549">
        <v>0</v>
      </c>
      <c r="CW324" s="675">
        <v>0</v>
      </c>
      <c r="CX324" s="549">
        <v>0</v>
      </c>
      <c r="CY324" s="675">
        <v>0</v>
      </c>
      <c r="CZ324" s="549">
        <v>0</v>
      </c>
      <c r="DA324" s="675">
        <v>0</v>
      </c>
      <c r="DB324" s="549">
        <v>0</v>
      </c>
      <c r="DC324" s="675">
        <v>0</v>
      </c>
      <c r="DD324" s="549">
        <v>0</v>
      </c>
      <c r="DE324" s="675">
        <v>0</v>
      </c>
      <c r="DF324" s="549">
        <v>0</v>
      </c>
      <c r="DG324" s="675">
        <v>0</v>
      </c>
      <c r="DH324" s="549">
        <v>0</v>
      </c>
      <c r="DI324" s="675">
        <v>0</v>
      </c>
      <c r="DJ324" s="549">
        <v>0</v>
      </c>
      <c r="DK324" s="675">
        <v>0</v>
      </c>
      <c r="DL324" s="549">
        <v>0</v>
      </c>
      <c r="DM324" s="675">
        <v>0</v>
      </c>
      <c r="DN324" s="549">
        <v>0</v>
      </c>
      <c r="DO324" s="675">
        <v>0</v>
      </c>
      <c r="DP324" s="549">
        <v>0</v>
      </c>
      <c r="DQ324" s="675">
        <v>0</v>
      </c>
      <c r="DR324" s="549">
        <v>0</v>
      </c>
      <c r="DS324" s="675">
        <v>0</v>
      </c>
      <c r="DT324" s="549">
        <v>0</v>
      </c>
      <c r="DU324" s="675">
        <v>0</v>
      </c>
      <c r="DV324" s="549">
        <v>0</v>
      </c>
      <c r="DW324" s="675">
        <v>0</v>
      </c>
      <c r="DX324" s="549">
        <v>0</v>
      </c>
      <c r="DY324" s="675">
        <v>0</v>
      </c>
      <c r="DZ324" s="549">
        <v>0</v>
      </c>
      <c r="EA324" s="675">
        <v>0</v>
      </c>
      <c r="EB324" s="549">
        <v>0</v>
      </c>
      <c r="EC324" s="675">
        <v>0</v>
      </c>
      <c r="ED324" s="549">
        <v>0</v>
      </c>
      <c r="EE324" s="675">
        <v>0</v>
      </c>
      <c r="EF324" s="549">
        <v>0</v>
      </c>
      <c r="EG324" s="675">
        <v>0</v>
      </c>
      <c r="EH324" s="549">
        <v>0</v>
      </c>
      <c r="EI324" s="675">
        <v>0</v>
      </c>
      <c r="EJ324" s="549">
        <v>0</v>
      </c>
      <c r="EK324" s="675">
        <v>0</v>
      </c>
      <c r="EL324" s="549">
        <v>0</v>
      </c>
      <c r="EM324" s="675">
        <v>0</v>
      </c>
      <c r="EN324" s="549">
        <v>0</v>
      </c>
      <c r="EO324" s="675">
        <v>0</v>
      </c>
      <c r="EP324" s="549">
        <v>0</v>
      </c>
      <c r="EQ324" s="675">
        <v>0</v>
      </c>
      <c r="ER324" s="549">
        <v>0</v>
      </c>
      <c r="ES324" s="675">
        <v>0</v>
      </c>
      <c r="ET324" s="549">
        <v>0</v>
      </c>
      <c r="EU324" s="675">
        <v>0</v>
      </c>
      <c r="EV324" s="549">
        <v>0</v>
      </c>
      <c r="EW324" s="675">
        <v>0</v>
      </c>
      <c r="EX324" s="549">
        <v>25600</v>
      </c>
      <c r="EY324" s="675">
        <v>0</v>
      </c>
      <c r="EZ324" s="549">
        <v>0</v>
      </c>
      <c r="FA324" s="675">
        <v>0</v>
      </c>
      <c r="FB324" s="549">
        <v>0</v>
      </c>
      <c r="FC324" s="675">
        <v>0</v>
      </c>
      <c r="FD324" s="549">
        <v>0</v>
      </c>
      <c r="FE324" s="675">
        <v>0</v>
      </c>
      <c r="FF324" s="549">
        <v>0</v>
      </c>
      <c r="FG324" s="675">
        <v>0</v>
      </c>
      <c r="FH324" s="549">
        <v>0</v>
      </c>
      <c r="FI324" s="675">
        <v>0</v>
      </c>
      <c r="FJ324" s="549">
        <v>0</v>
      </c>
      <c r="FK324" s="675">
        <v>0</v>
      </c>
      <c r="FL324" s="549">
        <v>0</v>
      </c>
      <c r="FM324" s="675">
        <v>0</v>
      </c>
      <c r="FN324" s="549">
        <v>0</v>
      </c>
      <c r="FO324" s="675">
        <v>0</v>
      </c>
      <c r="FP324" s="549">
        <v>0</v>
      </c>
      <c r="FQ324" s="675">
        <v>0</v>
      </c>
      <c r="FR324" s="549">
        <v>0</v>
      </c>
      <c r="FS324" s="675">
        <v>0</v>
      </c>
      <c r="FT324" s="549">
        <v>0</v>
      </c>
      <c r="FU324" s="675">
        <v>0</v>
      </c>
      <c r="FV324" s="549">
        <v>0</v>
      </c>
      <c r="FW324" s="675">
        <v>0</v>
      </c>
      <c r="FX324" s="549">
        <v>0</v>
      </c>
      <c r="FY324" s="675">
        <v>0</v>
      </c>
      <c r="FZ324" s="549">
        <v>0</v>
      </c>
      <c r="GA324" s="675">
        <v>0</v>
      </c>
      <c r="GB324" s="549">
        <v>0</v>
      </c>
      <c r="GC324" s="675">
        <v>0</v>
      </c>
      <c r="GD324" s="549">
        <v>0</v>
      </c>
      <c r="GE324" s="675">
        <v>0</v>
      </c>
      <c r="GF324" s="549">
        <v>0</v>
      </c>
      <c r="GG324" s="675">
        <v>0</v>
      </c>
      <c r="GH324" s="549">
        <v>0</v>
      </c>
      <c r="GI324" s="675">
        <v>0</v>
      </c>
      <c r="GJ324" s="549">
        <v>0</v>
      </c>
      <c r="GK324" s="675">
        <v>0</v>
      </c>
      <c r="GL324" s="549">
        <v>0</v>
      </c>
      <c r="GM324" s="675">
        <v>0</v>
      </c>
      <c r="GN324" s="549">
        <v>0</v>
      </c>
      <c r="GO324" s="675">
        <v>0</v>
      </c>
      <c r="GP324" s="549">
        <f>+D324+F324+H324+J324+L324+N324+P324+R324+T324+V324+X324+Z324+AB324+AD324+AH324+AJ324+AL324+AN324+AP324+AR324+AT324+AV324+AX324+AZ324+BB324+BD324+BF324+BH324+BJ324+BL324+BN324+BP324+BR324+BT324+BV324+BX324+BZ324+CB324+CD324+CF324+CH324+CJ324+CL324+CN324+CP324+CR324+CT324+CV324+CX324+CZ324+DB324+DD324+DF324+DH324+DT324+EX324+DJ324+DL324+DN324+DP324+DR324+EJ324+EB324+DZ324+DX324+DV324+ED324+EF324+EH324+EL324+EN324+EP324+EV324+ET324+ER324+EZ324+FB324+FD324+GL324+FF324+FJ324+FL324+GJ324+FT324+FR324+FP324+FN324+FH324</f>
        <v>25600</v>
      </c>
      <c r="GQ324" s="675">
        <f>+E324+G324+I324+K324+M324+O324+Q324+S324+U324+W324+Y324+AA324+AC324+AE324+AI324+AK324+AM324+AO324+AQ324+AS324+AU324+AW324+AY324+BA324+BC324+BE324+BG324+BI324+BK324+BM324+BO324+BQ324+BS324+BU324+BW324+BY324+CA324+CC324+CE324+CG324+CI324+CK324+CM324+CO324+CQ324+CS324+CU324+CW324+CY324+DA324+DC324+DE324+DG324+DI324+DU324+EY324+DK324+DM324+DO324+DQ324+DS324+EK324+EC324+EA324+DY324+DW324+EI324+EG324+EE324+EM324+EO324+EQ324+EW324+EU324+ES324+FA324+FC324+FE324+GM324+FG324+FK324+FM324+FO324+FQ324+FS324+FU324+GK324+FI324</f>
        <v>0</v>
      </c>
      <c r="GR324" s="74">
        <f>C324+GP324+GQ324</f>
        <v>25600</v>
      </c>
      <c r="GS324" s="74">
        <f>SUM(GU324:HD324)+GP324+GQ324</f>
        <v>25600</v>
      </c>
      <c r="GT324" s="568"/>
      <c r="GU324" s="73"/>
      <c r="GV324" s="73"/>
      <c r="GW324" s="549"/>
      <c r="GX324" s="549"/>
      <c r="GY324" s="73"/>
      <c r="GZ324" s="73"/>
      <c r="HA324" s="73"/>
      <c r="HB324" s="73"/>
      <c r="HC324" s="73"/>
      <c r="HD324" s="73"/>
      <c r="HE324" s="73"/>
      <c r="HF324" s="73"/>
      <c r="HG324" s="74">
        <f>SUM(HH324:IE324)+GP324+GQ324</f>
        <v>25600</v>
      </c>
      <c r="HH324" s="89">
        <v>0</v>
      </c>
      <c r="HI324" s="817">
        <v>0</v>
      </c>
      <c r="HJ324" s="89">
        <v>0</v>
      </c>
      <c r="HK324" s="817">
        <v>0</v>
      </c>
      <c r="HL324" s="89">
        <v>0</v>
      </c>
      <c r="HM324" s="817">
        <v>0</v>
      </c>
      <c r="HN324" s="89">
        <v>0</v>
      </c>
      <c r="HO324" s="817">
        <v>0</v>
      </c>
      <c r="HP324" s="89">
        <v>0</v>
      </c>
      <c r="HQ324" s="817">
        <v>0</v>
      </c>
      <c r="HR324" s="89">
        <v>0</v>
      </c>
      <c r="HS324" s="817">
        <v>0</v>
      </c>
      <c r="HT324" s="89">
        <v>0</v>
      </c>
      <c r="HU324" s="817">
        <v>0</v>
      </c>
      <c r="HV324" s="89">
        <v>0</v>
      </c>
      <c r="HW324" s="817">
        <v>0</v>
      </c>
      <c r="HX324" s="89">
        <v>0</v>
      </c>
      <c r="HY324" s="817">
        <v>0</v>
      </c>
      <c r="HZ324" s="89">
        <v>0</v>
      </c>
      <c r="IA324" s="817">
        <v>0</v>
      </c>
      <c r="IB324" s="89">
        <v>0</v>
      </c>
      <c r="IC324" s="817">
        <v>0</v>
      </c>
      <c r="ID324" s="89">
        <v>0</v>
      </c>
      <c r="IE324" s="817">
        <v>0</v>
      </c>
      <c r="IF324" s="841">
        <f t="shared" si="9688"/>
        <v>25127.279999999999</v>
      </c>
      <c r="IG324" s="263">
        <f t="shared" si="9689"/>
        <v>25127.279999999999</v>
      </c>
      <c r="IH324" s="842">
        <f t="shared" si="9690"/>
        <v>25127.279999999999</v>
      </c>
      <c r="II324" s="89">
        <v>0</v>
      </c>
      <c r="IJ324" s="89">
        <f t="shared" si="9691"/>
        <v>0</v>
      </c>
      <c r="IK324" s="89">
        <f t="shared" si="9692"/>
        <v>0</v>
      </c>
      <c r="IL324" s="89">
        <v>0</v>
      </c>
      <c r="IM324" s="89">
        <f t="shared" si="9693"/>
        <v>0</v>
      </c>
      <c r="IN324" s="89">
        <f t="shared" si="9694"/>
        <v>0</v>
      </c>
      <c r="IO324" s="89">
        <v>0</v>
      </c>
      <c r="IP324" s="89">
        <f t="shared" si="9695"/>
        <v>0</v>
      </c>
      <c r="IQ324" s="89">
        <f t="shared" si="9696"/>
        <v>0</v>
      </c>
      <c r="IR324" s="89">
        <v>0</v>
      </c>
      <c r="IS324" s="89">
        <f t="shared" si="9697"/>
        <v>0</v>
      </c>
      <c r="IT324" s="89">
        <f t="shared" si="9698"/>
        <v>0</v>
      </c>
      <c r="IU324" s="89">
        <v>0</v>
      </c>
      <c r="IV324" s="89">
        <f t="shared" si="9699"/>
        <v>0</v>
      </c>
      <c r="IW324" s="89">
        <f t="shared" si="9700"/>
        <v>0</v>
      </c>
      <c r="IX324" s="89">
        <v>0</v>
      </c>
      <c r="IY324" s="89">
        <f t="shared" si="9701"/>
        <v>0</v>
      </c>
      <c r="IZ324" s="89">
        <f t="shared" si="9702"/>
        <v>0</v>
      </c>
      <c r="JA324" s="89">
        <v>0</v>
      </c>
      <c r="JB324" s="89">
        <f t="shared" si="9703"/>
        <v>0</v>
      </c>
      <c r="JC324" s="89">
        <f t="shared" si="9704"/>
        <v>0</v>
      </c>
      <c r="JD324" s="89">
        <v>0</v>
      </c>
      <c r="JE324" s="89">
        <f t="shared" si="9705"/>
        <v>0</v>
      </c>
      <c r="JF324" s="89">
        <f t="shared" si="9706"/>
        <v>0</v>
      </c>
      <c r="JG324" s="89">
        <v>0</v>
      </c>
      <c r="JH324" s="89">
        <f t="shared" si="9707"/>
        <v>0</v>
      </c>
      <c r="JI324" s="89">
        <f t="shared" si="9708"/>
        <v>0</v>
      </c>
      <c r="JJ324" s="89">
        <v>25127.279999999999</v>
      </c>
      <c r="JK324" s="89">
        <f t="shared" si="9709"/>
        <v>25127.279999999999</v>
      </c>
      <c r="JL324" s="89">
        <f t="shared" si="9710"/>
        <v>25127.279999999999</v>
      </c>
      <c r="JM324" s="89">
        <v>0</v>
      </c>
      <c r="JN324" s="89">
        <f t="shared" si="9711"/>
        <v>0</v>
      </c>
      <c r="JO324" s="89">
        <f t="shared" si="9712"/>
        <v>0</v>
      </c>
      <c r="JP324" s="89">
        <v>0</v>
      </c>
      <c r="JQ324" s="89">
        <f t="shared" ref="JQ324:JR324" si="9714">JP324</f>
        <v>0</v>
      </c>
      <c r="JR324" s="89">
        <f t="shared" si="9714"/>
        <v>0</v>
      </c>
      <c r="JS324" s="74">
        <f>HG324-IF324</f>
        <v>472.72000000000116</v>
      </c>
      <c r="JT324" s="382">
        <f>GS324-IF324</f>
        <v>472.72000000000116</v>
      </c>
      <c r="JU324" s="665"/>
      <c r="JV324" s="524"/>
      <c r="JW324" s="525"/>
      <c r="JX324" s="548">
        <f>SUM(HH324,HJ324,HL324,HN324,HP324,HR324,HT324,HV324,HX324,HZ324,IB324,ID324)</f>
        <v>0</v>
      </c>
      <c r="JY324" s="548">
        <f>SUM(HI324,HK324,HM324,HO324,HQ324,HS324,HU324,HW324,HY324,IA324,IC324,IE324)</f>
        <v>0</v>
      </c>
      <c r="JZ324" s="581">
        <f t="shared" si="9103"/>
        <v>25600</v>
      </c>
      <c r="KA324" s="581">
        <f t="shared" si="9104"/>
        <v>0</v>
      </c>
      <c r="KB324" s="548">
        <f>JX324+JY324+JZ324+KA324</f>
        <v>25600</v>
      </c>
      <c r="KC324" s="709">
        <f>HG324-KB324</f>
        <v>0</v>
      </c>
      <c r="KD324" s="35"/>
      <c r="KE324" s="35"/>
      <c r="KF324" s="35"/>
      <c r="KG324" s="35"/>
      <c r="KH324" s="35"/>
      <c r="KI324" s="35"/>
      <c r="KJ324" s="35"/>
      <c r="KK324" s="35"/>
    </row>
    <row r="325" spans="1:297" s="10" customFormat="1" ht="12.75" customHeight="1">
      <c r="A325" s="86"/>
      <c r="B325" s="77"/>
      <c r="C325" s="74"/>
      <c r="D325" s="549"/>
      <c r="E325" s="675"/>
      <c r="F325" s="549"/>
      <c r="G325" s="675"/>
      <c r="H325" s="549"/>
      <c r="I325" s="675"/>
      <c r="J325" s="549"/>
      <c r="K325" s="675"/>
      <c r="L325" s="549"/>
      <c r="M325" s="675"/>
      <c r="N325" s="549"/>
      <c r="O325" s="675"/>
      <c r="P325" s="549"/>
      <c r="Q325" s="675"/>
      <c r="R325" s="549"/>
      <c r="S325" s="675"/>
      <c r="T325" s="549"/>
      <c r="U325" s="675"/>
      <c r="V325" s="549"/>
      <c r="W325" s="675"/>
      <c r="X325" s="549"/>
      <c r="Y325" s="675"/>
      <c r="Z325" s="549"/>
      <c r="AA325" s="675"/>
      <c r="AB325" s="549"/>
      <c r="AC325" s="675"/>
      <c r="AD325" s="549"/>
      <c r="AE325" s="675"/>
      <c r="AF325" s="549"/>
      <c r="AG325" s="675"/>
      <c r="AH325" s="549"/>
      <c r="AI325" s="675"/>
      <c r="AJ325" s="549"/>
      <c r="AK325" s="675"/>
      <c r="AL325" s="549"/>
      <c r="AM325" s="675"/>
      <c r="AN325" s="549"/>
      <c r="AO325" s="675"/>
      <c r="AP325" s="549"/>
      <c r="AQ325" s="675"/>
      <c r="AR325" s="549"/>
      <c r="AS325" s="675"/>
      <c r="AT325" s="549"/>
      <c r="AU325" s="675"/>
      <c r="AV325" s="549"/>
      <c r="AW325" s="675"/>
      <c r="AX325" s="549"/>
      <c r="AY325" s="675"/>
      <c r="AZ325" s="549"/>
      <c r="BA325" s="675"/>
      <c r="BB325" s="549"/>
      <c r="BC325" s="675"/>
      <c r="BD325" s="549"/>
      <c r="BE325" s="675"/>
      <c r="BF325" s="549"/>
      <c r="BG325" s="675"/>
      <c r="BH325" s="549"/>
      <c r="BI325" s="675"/>
      <c r="BJ325" s="549"/>
      <c r="BK325" s="675"/>
      <c r="BL325" s="549"/>
      <c r="BM325" s="675"/>
      <c r="BN325" s="549"/>
      <c r="BO325" s="675"/>
      <c r="BP325" s="549"/>
      <c r="BQ325" s="675"/>
      <c r="BR325" s="549"/>
      <c r="BS325" s="675"/>
      <c r="BT325" s="549"/>
      <c r="BU325" s="675"/>
      <c r="BV325" s="549"/>
      <c r="BW325" s="675"/>
      <c r="BX325" s="549"/>
      <c r="BY325" s="675"/>
      <c r="BZ325" s="549"/>
      <c r="CA325" s="675"/>
      <c r="CB325" s="549"/>
      <c r="CC325" s="675"/>
      <c r="CD325" s="549"/>
      <c r="CE325" s="675"/>
      <c r="CF325" s="549"/>
      <c r="CG325" s="675"/>
      <c r="CH325" s="549"/>
      <c r="CI325" s="675"/>
      <c r="CJ325" s="549"/>
      <c r="CK325" s="675"/>
      <c r="CL325" s="549"/>
      <c r="CM325" s="675"/>
      <c r="CN325" s="549"/>
      <c r="CO325" s="675"/>
      <c r="CP325" s="549"/>
      <c r="CQ325" s="675"/>
      <c r="CR325" s="549"/>
      <c r="CS325" s="675"/>
      <c r="CT325" s="549"/>
      <c r="CU325" s="675"/>
      <c r="CV325" s="549"/>
      <c r="CW325" s="675"/>
      <c r="CX325" s="549"/>
      <c r="CY325" s="675"/>
      <c r="CZ325" s="549"/>
      <c r="DA325" s="675"/>
      <c r="DB325" s="549"/>
      <c r="DC325" s="675"/>
      <c r="DD325" s="549"/>
      <c r="DE325" s="675"/>
      <c r="DF325" s="549"/>
      <c r="DG325" s="675"/>
      <c r="DH325" s="549"/>
      <c r="DI325" s="675"/>
      <c r="DJ325" s="549"/>
      <c r="DK325" s="675"/>
      <c r="DL325" s="549"/>
      <c r="DM325" s="675"/>
      <c r="DN325" s="549"/>
      <c r="DO325" s="675"/>
      <c r="DP325" s="549"/>
      <c r="DQ325" s="675"/>
      <c r="DR325" s="549"/>
      <c r="DS325" s="675"/>
      <c r="DT325" s="549"/>
      <c r="DU325" s="675"/>
      <c r="DV325" s="549"/>
      <c r="DW325" s="675"/>
      <c r="DX325" s="549"/>
      <c r="DY325" s="675"/>
      <c r="DZ325" s="549"/>
      <c r="EA325" s="675"/>
      <c r="EB325" s="549"/>
      <c r="EC325" s="675"/>
      <c r="ED325" s="549"/>
      <c r="EE325" s="675"/>
      <c r="EF325" s="549"/>
      <c r="EG325" s="675"/>
      <c r="EH325" s="549"/>
      <c r="EI325" s="675"/>
      <c r="EJ325" s="549"/>
      <c r="EK325" s="675"/>
      <c r="EL325" s="549"/>
      <c r="EM325" s="675"/>
      <c r="EN325" s="549"/>
      <c r="EO325" s="675"/>
      <c r="EP325" s="549"/>
      <c r="EQ325" s="675"/>
      <c r="ER325" s="549"/>
      <c r="ES325" s="675"/>
      <c r="ET325" s="549"/>
      <c r="EU325" s="675"/>
      <c r="EV325" s="549"/>
      <c r="EW325" s="675"/>
      <c r="EX325" s="549"/>
      <c r="EY325" s="675"/>
      <c r="EZ325" s="549"/>
      <c r="FA325" s="675"/>
      <c r="FB325" s="549"/>
      <c r="FC325" s="675"/>
      <c r="FD325" s="549"/>
      <c r="FE325" s="675"/>
      <c r="FF325" s="549"/>
      <c r="FG325" s="675"/>
      <c r="FH325" s="549"/>
      <c r="FI325" s="675"/>
      <c r="FJ325" s="549"/>
      <c r="FK325" s="675"/>
      <c r="FL325" s="549"/>
      <c r="FM325" s="675"/>
      <c r="FN325" s="549"/>
      <c r="FO325" s="675"/>
      <c r="FP325" s="549"/>
      <c r="FQ325" s="675"/>
      <c r="FR325" s="549"/>
      <c r="FS325" s="675"/>
      <c r="FT325" s="549"/>
      <c r="FU325" s="675"/>
      <c r="FV325" s="549"/>
      <c r="FW325" s="675"/>
      <c r="FX325" s="549"/>
      <c r="FY325" s="675"/>
      <c r="FZ325" s="549"/>
      <c r="GA325" s="675"/>
      <c r="GB325" s="549"/>
      <c r="GC325" s="675"/>
      <c r="GD325" s="549"/>
      <c r="GE325" s="675"/>
      <c r="GF325" s="549"/>
      <c r="GG325" s="675"/>
      <c r="GH325" s="549"/>
      <c r="GI325" s="675"/>
      <c r="GJ325" s="549"/>
      <c r="GK325" s="675"/>
      <c r="GL325" s="549"/>
      <c r="GM325" s="675"/>
      <c r="GN325" s="549"/>
      <c r="GO325" s="675"/>
      <c r="GP325" s="549"/>
      <c r="GQ325" s="675"/>
      <c r="GR325" s="74"/>
      <c r="GS325" s="74"/>
      <c r="GT325" s="568"/>
      <c r="GU325" s="73"/>
      <c r="GV325" s="73"/>
      <c r="GW325" s="549"/>
      <c r="GX325" s="549"/>
      <c r="GY325" s="73"/>
      <c r="GZ325" s="73"/>
      <c r="HA325" s="73"/>
      <c r="HB325" s="73"/>
      <c r="HC325" s="73"/>
      <c r="HD325" s="73"/>
      <c r="HE325" s="73"/>
      <c r="HF325" s="73"/>
      <c r="HG325" s="74"/>
      <c r="HH325" s="89"/>
      <c r="HI325" s="817"/>
      <c r="HJ325" s="89"/>
      <c r="HK325" s="817"/>
      <c r="HL325" s="89"/>
      <c r="HM325" s="817"/>
      <c r="HN325" s="89"/>
      <c r="HO325" s="817"/>
      <c r="HP325" s="89"/>
      <c r="HQ325" s="817"/>
      <c r="HR325" s="89"/>
      <c r="HS325" s="817"/>
      <c r="HT325" s="89"/>
      <c r="HU325" s="817"/>
      <c r="HV325" s="89"/>
      <c r="HW325" s="817"/>
      <c r="HX325" s="89"/>
      <c r="HY325" s="817"/>
      <c r="HZ325" s="89"/>
      <c r="IA325" s="817"/>
      <c r="IB325" s="89"/>
      <c r="IC325" s="817"/>
      <c r="ID325" s="89"/>
      <c r="IE325" s="817"/>
      <c r="IF325" s="841"/>
      <c r="IG325" s="263"/>
      <c r="IH325" s="842"/>
      <c r="II325" s="89"/>
      <c r="IJ325" s="89"/>
      <c r="IK325" s="89"/>
      <c r="IL325" s="89"/>
      <c r="IM325" s="89"/>
      <c r="IN325" s="89"/>
      <c r="IO325" s="89"/>
      <c r="IP325" s="89"/>
      <c r="IQ325" s="89"/>
      <c r="IR325" s="89"/>
      <c r="IS325" s="89"/>
      <c r="IT325" s="89"/>
      <c r="IU325" s="89"/>
      <c r="IV325" s="89"/>
      <c r="IW325" s="89"/>
      <c r="IX325" s="89"/>
      <c r="IY325" s="89"/>
      <c r="IZ325" s="89"/>
      <c r="JA325" s="89"/>
      <c r="JB325" s="89"/>
      <c r="JC325" s="89"/>
      <c r="JD325" s="89"/>
      <c r="JE325" s="89"/>
      <c r="JF325" s="89"/>
      <c r="JG325" s="89"/>
      <c r="JH325" s="89"/>
      <c r="JI325" s="89"/>
      <c r="JJ325" s="89"/>
      <c r="JK325" s="89"/>
      <c r="JL325" s="89"/>
      <c r="JM325" s="89"/>
      <c r="JN325" s="89"/>
      <c r="JO325" s="89"/>
      <c r="JP325" s="89"/>
      <c r="JQ325" s="89"/>
      <c r="JR325" s="89"/>
      <c r="JS325" s="74"/>
      <c r="JT325" s="382"/>
      <c r="JU325" s="665"/>
      <c r="JV325" s="524"/>
      <c r="JW325" s="525"/>
      <c r="JX325" s="548"/>
      <c r="JY325" s="548"/>
      <c r="JZ325" s="581"/>
      <c r="KA325" s="581"/>
      <c r="KB325" s="548"/>
      <c r="KC325" s="709"/>
      <c r="KD325" s="35"/>
      <c r="KE325" s="35"/>
      <c r="KF325" s="35"/>
      <c r="KG325" s="35"/>
      <c r="KH325" s="35"/>
      <c r="KI325" s="35"/>
      <c r="KJ325" s="35"/>
      <c r="KK325" s="35"/>
    </row>
    <row r="326" spans="1:297" s="10" customFormat="1" ht="12.75" hidden="1" customHeight="1">
      <c r="A326" s="80" t="s">
        <v>1156</v>
      </c>
      <c r="B326" s="77"/>
      <c r="C326" s="74">
        <f>C327</f>
        <v>0</v>
      </c>
      <c r="D326" s="549">
        <f t="shared" ref="D326:CC326" si="9715">D327</f>
        <v>0</v>
      </c>
      <c r="E326" s="675">
        <f t="shared" si="9715"/>
        <v>0</v>
      </c>
      <c r="F326" s="549">
        <f t="shared" si="9715"/>
        <v>0</v>
      </c>
      <c r="G326" s="675">
        <f t="shared" si="9715"/>
        <v>0</v>
      </c>
      <c r="H326" s="549">
        <f t="shared" si="9715"/>
        <v>0</v>
      </c>
      <c r="I326" s="675">
        <f t="shared" si="9715"/>
        <v>0</v>
      </c>
      <c r="J326" s="549">
        <f t="shared" si="9715"/>
        <v>0</v>
      </c>
      <c r="K326" s="675">
        <f t="shared" si="9715"/>
        <v>0</v>
      </c>
      <c r="L326" s="549">
        <f t="shared" si="9715"/>
        <v>0</v>
      </c>
      <c r="M326" s="675">
        <f t="shared" si="9715"/>
        <v>0</v>
      </c>
      <c r="N326" s="549">
        <f t="shared" si="9715"/>
        <v>0</v>
      </c>
      <c r="O326" s="675">
        <f t="shared" si="9715"/>
        <v>0</v>
      </c>
      <c r="P326" s="549">
        <f t="shared" si="9715"/>
        <v>0</v>
      </c>
      <c r="Q326" s="675">
        <f t="shared" si="9715"/>
        <v>0</v>
      </c>
      <c r="R326" s="549">
        <f t="shared" si="9715"/>
        <v>0</v>
      </c>
      <c r="S326" s="675">
        <f t="shared" si="9715"/>
        <v>0</v>
      </c>
      <c r="T326" s="549">
        <f t="shared" si="9715"/>
        <v>0</v>
      </c>
      <c r="U326" s="675">
        <f t="shared" si="9715"/>
        <v>0</v>
      </c>
      <c r="V326" s="549">
        <f t="shared" si="9715"/>
        <v>0</v>
      </c>
      <c r="W326" s="675">
        <f t="shared" si="9715"/>
        <v>0</v>
      </c>
      <c r="X326" s="549">
        <f t="shared" si="9715"/>
        <v>0</v>
      </c>
      <c r="Y326" s="675">
        <f t="shared" si="9715"/>
        <v>0</v>
      </c>
      <c r="Z326" s="549">
        <f t="shared" si="9715"/>
        <v>0</v>
      </c>
      <c r="AA326" s="675">
        <f t="shared" si="9715"/>
        <v>0</v>
      </c>
      <c r="AB326" s="549">
        <f t="shared" si="9715"/>
        <v>0</v>
      </c>
      <c r="AC326" s="675">
        <f t="shared" si="9715"/>
        <v>0</v>
      </c>
      <c r="AD326" s="549">
        <f t="shared" si="9715"/>
        <v>0</v>
      </c>
      <c r="AE326" s="675">
        <f t="shared" si="9715"/>
        <v>0</v>
      </c>
      <c r="AF326" s="549">
        <f t="shared" si="9715"/>
        <v>0</v>
      </c>
      <c r="AG326" s="675">
        <f t="shared" si="9715"/>
        <v>0</v>
      </c>
      <c r="AH326" s="549">
        <f t="shared" si="9715"/>
        <v>0</v>
      </c>
      <c r="AI326" s="675">
        <f t="shared" si="9715"/>
        <v>0</v>
      </c>
      <c r="AJ326" s="549">
        <f t="shared" si="9715"/>
        <v>0</v>
      </c>
      <c r="AK326" s="675">
        <f t="shared" si="9715"/>
        <v>0</v>
      </c>
      <c r="AL326" s="549">
        <f t="shared" si="9715"/>
        <v>0</v>
      </c>
      <c r="AM326" s="675">
        <f t="shared" si="9715"/>
        <v>0</v>
      </c>
      <c r="AN326" s="549">
        <f t="shared" si="9715"/>
        <v>0</v>
      </c>
      <c r="AO326" s="675">
        <f t="shared" si="9715"/>
        <v>0</v>
      </c>
      <c r="AP326" s="549">
        <f t="shared" si="9715"/>
        <v>0</v>
      </c>
      <c r="AQ326" s="675">
        <f t="shared" si="9715"/>
        <v>0</v>
      </c>
      <c r="AR326" s="549">
        <f t="shared" si="9715"/>
        <v>0</v>
      </c>
      <c r="AS326" s="675">
        <f t="shared" si="9715"/>
        <v>0</v>
      </c>
      <c r="AT326" s="549">
        <f t="shared" si="9715"/>
        <v>0</v>
      </c>
      <c r="AU326" s="675">
        <f t="shared" si="9715"/>
        <v>0</v>
      </c>
      <c r="AV326" s="549">
        <f t="shared" si="9715"/>
        <v>0</v>
      </c>
      <c r="AW326" s="675">
        <f t="shared" si="9715"/>
        <v>0</v>
      </c>
      <c r="AX326" s="549">
        <f t="shared" si="9715"/>
        <v>0</v>
      </c>
      <c r="AY326" s="675">
        <f t="shared" si="9715"/>
        <v>0</v>
      </c>
      <c r="AZ326" s="549">
        <f t="shared" si="9715"/>
        <v>0</v>
      </c>
      <c r="BA326" s="675">
        <f t="shared" si="9715"/>
        <v>0</v>
      </c>
      <c r="BB326" s="549">
        <f t="shared" si="9715"/>
        <v>0</v>
      </c>
      <c r="BC326" s="675">
        <f t="shared" si="9715"/>
        <v>0</v>
      </c>
      <c r="BD326" s="549">
        <f t="shared" si="9715"/>
        <v>0</v>
      </c>
      <c r="BE326" s="675">
        <f t="shared" si="9715"/>
        <v>0</v>
      </c>
      <c r="BF326" s="549">
        <f t="shared" si="9715"/>
        <v>0</v>
      </c>
      <c r="BG326" s="675">
        <f t="shared" si="9715"/>
        <v>0</v>
      </c>
      <c r="BH326" s="549">
        <f t="shared" si="9715"/>
        <v>0</v>
      </c>
      <c r="BI326" s="675">
        <f t="shared" si="9715"/>
        <v>0</v>
      </c>
      <c r="BJ326" s="549">
        <f t="shared" si="9715"/>
        <v>0</v>
      </c>
      <c r="BK326" s="675">
        <f t="shared" si="9715"/>
        <v>0</v>
      </c>
      <c r="BL326" s="549">
        <f t="shared" si="9715"/>
        <v>0</v>
      </c>
      <c r="BM326" s="675">
        <f t="shared" si="9715"/>
        <v>0</v>
      </c>
      <c r="BN326" s="549">
        <f t="shared" si="9715"/>
        <v>0</v>
      </c>
      <c r="BO326" s="675">
        <f t="shared" si="9715"/>
        <v>0</v>
      </c>
      <c r="BP326" s="549">
        <f t="shared" si="9715"/>
        <v>0</v>
      </c>
      <c r="BQ326" s="675">
        <f t="shared" si="9715"/>
        <v>0</v>
      </c>
      <c r="BR326" s="549">
        <f t="shared" si="9715"/>
        <v>0</v>
      </c>
      <c r="BS326" s="675">
        <f t="shared" si="9715"/>
        <v>0</v>
      </c>
      <c r="BT326" s="549">
        <f t="shared" si="9715"/>
        <v>0</v>
      </c>
      <c r="BU326" s="675">
        <f t="shared" si="9715"/>
        <v>0</v>
      </c>
      <c r="BV326" s="549">
        <f t="shared" si="9715"/>
        <v>0</v>
      </c>
      <c r="BW326" s="675">
        <f t="shared" si="9715"/>
        <v>0</v>
      </c>
      <c r="BX326" s="549">
        <f t="shared" si="9715"/>
        <v>0</v>
      </c>
      <c r="BY326" s="675">
        <f t="shared" si="9715"/>
        <v>0</v>
      </c>
      <c r="BZ326" s="549">
        <f t="shared" si="9715"/>
        <v>0</v>
      </c>
      <c r="CA326" s="675">
        <f t="shared" si="9715"/>
        <v>0</v>
      </c>
      <c r="CB326" s="549">
        <f t="shared" si="9715"/>
        <v>0</v>
      </c>
      <c r="CC326" s="675">
        <f t="shared" si="9715"/>
        <v>0</v>
      </c>
      <c r="CD326" s="549">
        <f t="shared" ref="CD326:CE326" si="9716">CD327</f>
        <v>0</v>
      </c>
      <c r="CE326" s="675">
        <f t="shared" si="9716"/>
        <v>0</v>
      </c>
      <c r="CF326" s="549">
        <f t="shared" ref="CF326:CG326" si="9717">CF327</f>
        <v>0</v>
      </c>
      <c r="CG326" s="675">
        <f t="shared" si="9717"/>
        <v>0</v>
      </c>
      <c r="CH326" s="549">
        <f t="shared" ref="CH326:CI326" si="9718">CH327</f>
        <v>0</v>
      </c>
      <c r="CI326" s="675">
        <f t="shared" si="9718"/>
        <v>0</v>
      </c>
      <c r="CJ326" s="549">
        <f t="shared" ref="CJ326:CK326" si="9719">CJ327</f>
        <v>0</v>
      </c>
      <c r="CK326" s="675">
        <f t="shared" si="9719"/>
        <v>0</v>
      </c>
      <c r="CL326" s="549">
        <f t="shared" ref="CL326:CM326" si="9720">CL327</f>
        <v>0</v>
      </c>
      <c r="CM326" s="675">
        <f t="shared" si="9720"/>
        <v>0</v>
      </c>
      <c r="CN326" s="549">
        <f t="shared" ref="CN326:CO326" si="9721">CN327</f>
        <v>0</v>
      </c>
      <c r="CO326" s="675">
        <f t="shared" si="9721"/>
        <v>0</v>
      </c>
      <c r="CP326" s="549">
        <f t="shared" ref="CP326:CQ326" si="9722">CP327</f>
        <v>0</v>
      </c>
      <c r="CQ326" s="675">
        <f t="shared" si="9722"/>
        <v>0</v>
      </c>
      <c r="CR326" s="549">
        <f t="shared" ref="CR326:CS326" si="9723">CR327</f>
        <v>0</v>
      </c>
      <c r="CS326" s="675">
        <f t="shared" si="9723"/>
        <v>0</v>
      </c>
      <c r="CT326" s="549">
        <f t="shared" ref="CT326:CU326" si="9724">CT327</f>
        <v>0</v>
      </c>
      <c r="CU326" s="675">
        <f t="shared" si="9724"/>
        <v>0</v>
      </c>
      <c r="CV326" s="549">
        <f t="shared" ref="CV326:CW326" si="9725">CV327</f>
        <v>0</v>
      </c>
      <c r="CW326" s="675">
        <f t="shared" si="9725"/>
        <v>0</v>
      </c>
      <c r="CX326" s="549">
        <f t="shared" ref="CX326:CY326" si="9726">CX327</f>
        <v>0</v>
      </c>
      <c r="CY326" s="675">
        <f t="shared" si="9726"/>
        <v>0</v>
      </c>
      <c r="CZ326" s="549">
        <f t="shared" ref="CZ326:DA326" si="9727">CZ327</f>
        <v>0</v>
      </c>
      <c r="DA326" s="675">
        <f t="shared" si="9727"/>
        <v>0</v>
      </c>
      <c r="DB326" s="549">
        <f t="shared" ref="DB326:DC326" si="9728">DB327</f>
        <v>0</v>
      </c>
      <c r="DC326" s="675">
        <f t="shared" si="9728"/>
        <v>0</v>
      </c>
      <c r="DD326" s="549">
        <f t="shared" ref="DD326:DE326" si="9729">DD327</f>
        <v>0</v>
      </c>
      <c r="DE326" s="675">
        <f t="shared" si="9729"/>
        <v>0</v>
      </c>
      <c r="DF326" s="549">
        <f t="shared" ref="DF326:DG326" si="9730">DF327</f>
        <v>0</v>
      </c>
      <c r="DG326" s="675">
        <f t="shared" si="9730"/>
        <v>0</v>
      </c>
      <c r="DH326" s="549">
        <f t="shared" ref="DH326:DI326" si="9731">DH327</f>
        <v>0</v>
      </c>
      <c r="DI326" s="675">
        <f t="shared" si="9731"/>
        <v>0</v>
      </c>
      <c r="DJ326" s="549">
        <f t="shared" ref="DJ326:DK326" si="9732">DJ327</f>
        <v>0</v>
      </c>
      <c r="DK326" s="675">
        <f t="shared" si="9732"/>
        <v>0</v>
      </c>
      <c r="DL326" s="549">
        <f t="shared" ref="DL326:DM326" si="9733">DL327</f>
        <v>0</v>
      </c>
      <c r="DM326" s="675">
        <f t="shared" si="9733"/>
        <v>0</v>
      </c>
      <c r="DN326" s="549">
        <f t="shared" ref="DN326:DO326" si="9734">DN327</f>
        <v>0</v>
      </c>
      <c r="DO326" s="675">
        <f t="shared" si="9734"/>
        <v>0</v>
      </c>
      <c r="DP326" s="549">
        <f t="shared" ref="DP326:DQ326" si="9735">DP327</f>
        <v>0</v>
      </c>
      <c r="DQ326" s="675">
        <f t="shared" si="9735"/>
        <v>0</v>
      </c>
      <c r="DR326" s="549">
        <f t="shared" ref="DR326:DS326" si="9736">DR327</f>
        <v>0</v>
      </c>
      <c r="DS326" s="675">
        <f t="shared" si="9736"/>
        <v>0</v>
      </c>
      <c r="DT326" s="549">
        <f t="shared" ref="DT326:DU326" si="9737">DT327</f>
        <v>0</v>
      </c>
      <c r="DU326" s="675">
        <f t="shared" si="9737"/>
        <v>0</v>
      </c>
      <c r="DV326" s="549">
        <f t="shared" ref="DV326:DW326" si="9738">DV327</f>
        <v>0</v>
      </c>
      <c r="DW326" s="675">
        <f t="shared" si="9738"/>
        <v>0</v>
      </c>
      <c r="DX326" s="549">
        <f t="shared" ref="DX326:DY326" si="9739">DX327</f>
        <v>0</v>
      </c>
      <c r="DY326" s="675">
        <f t="shared" si="9739"/>
        <v>0</v>
      </c>
      <c r="DZ326" s="549">
        <f t="shared" ref="DZ326:EA326" si="9740">DZ327</f>
        <v>0</v>
      </c>
      <c r="EA326" s="675">
        <f t="shared" si="9740"/>
        <v>0</v>
      </c>
      <c r="EB326" s="549">
        <f t="shared" ref="EB326:EC326" si="9741">EB327</f>
        <v>0</v>
      </c>
      <c r="EC326" s="675">
        <f t="shared" si="9741"/>
        <v>0</v>
      </c>
      <c r="ED326" s="549">
        <f t="shared" ref="ED326:EE326" si="9742">ED327</f>
        <v>0</v>
      </c>
      <c r="EE326" s="675">
        <f t="shared" si="9742"/>
        <v>0</v>
      </c>
      <c r="EF326" s="549">
        <f t="shared" ref="EF326:EG326" si="9743">EF327</f>
        <v>0</v>
      </c>
      <c r="EG326" s="675">
        <f t="shared" si="9743"/>
        <v>0</v>
      </c>
      <c r="EH326" s="549">
        <f t="shared" ref="EH326:GS326" si="9744">EH327</f>
        <v>0</v>
      </c>
      <c r="EI326" s="675">
        <f t="shared" ref="EI326" si="9745">EI327</f>
        <v>0</v>
      </c>
      <c r="EJ326" s="549">
        <f t="shared" si="9744"/>
        <v>0</v>
      </c>
      <c r="EK326" s="675">
        <f t="shared" si="9744"/>
        <v>0</v>
      </c>
      <c r="EL326" s="549">
        <f t="shared" si="9744"/>
        <v>0</v>
      </c>
      <c r="EM326" s="675">
        <f t="shared" si="9744"/>
        <v>0</v>
      </c>
      <c r="EN326" s="549">
        <f t="shared" si="9744"/>
        <v>0</v>
      </c>
      <c r="EO326" s="675">
        <f t="shared" si="9744"/>
        <v>0</v>
      </c>
      <c r="EP326" s="549">
        <f t="shared" si="9744"/>
        <v>0</v>
      </c>
      <c r="EQ326" s="675">
        <f t="shared" si="9744"/>
        <v>0</v>
      </c>
      <c r="ER326" s="549">
        <f t="shared" si="9744"/>
        <v>0</v>
      </c>
      <c r="ES326" s="675">
        <f t="shared" si="9744"/>
        <v>0</v>
      </c>
      <c r="ET326" s="549">
        <f t="shared" si="9744"/>
        <v>0</v>
      </c>
      <c r="EU326" s="675">
        <f t="shared" si="9744"/>
        <v>0</v>
      </c>
      <c r="EV326" s="549">
        <f t="shared" si="9744"/>
        <v>0</v>
      </c>
      <c r="EW326" s="675">
        <f t="shared" si="9744"/>
        <v>0</v>
      </c>
      <c r="EX326" s="549">
        <f t="shared" si="9744"/>
        <v>0</v>
      </c>
      <c r="EY326" s="675">
        <f t="shared" si="9744"/>
        <v>0</v>
      </c>
      <c r="EZ326" s="549">
        <f t="shared" si="9744"/>
        <v>0</v>
      </c>
      <c r="FA326" s="675">
        <f t="shared" si="9744"/>
        <v>0</v>
      </c>
      <c r="FB326" s="549">
        <f t="shared" si="9744"/>
        <v>0</v>
      </c>
      <c r="FC326" s="675">
        <f t="shared" si="9744"/>
        <v>0</v>
      </c>
      <c r="FD326" s="549">
        <f t="shared" si="9744"/>
        <v>0</v>
      </c>
      <c r="FE326" s="675">
        <f t="shared" si="9744"/>
        <v>0</v>
      </c>
      <c r="FF326" s="549">
        <f t="shared" si="9744"/>
        <v>0</v>
      </c>
      <c r="FG326" s="675">
        <f t="shared" si="9744"/>
        <v>0</v>
      </c>
      <c r="FH326" s="549">
        <f t="shared" si="9744"/>
        <v>0</v>
      </c>
      <c r="FI326" s="675">
        <f t="shared" si="9744"/>
        <v>0</v>
      </c>
      <c r="FJ326" s="549">
        <f t="shared" si="9744"/>
        <v>0</v>
      </c>
      <c r="FK326" s="675">
        <f t="shared" si="9744"/>
        <v>0</v>
      </c>
      <c r="FL326" s="549">
        <f t="shared" si="9744"/>
        <v>0</v>
      </c>
      <c r="FM326" s="675">
        <f t="shared" si="9744"/>
        <v>0</v>
      </c>
      <c r="FN326" s="549">
        <f t="shared" si="9744"/>
        <v>0</v>
      </c>
      <c r="FO326" s="675">
        <f t="shared" si="9744"/>
        <v>0</v>
      </c>
      <c r="FP326" s="549">
        <f t="shared" si="9744"/>
        <v>0</v>
      </c>
      <c r="FQ326" s="675">
        <f t="shared" si="9744"/>
        <v>0</v>
      </c>
      <c r="FR326" s="549">
        <f t="shared" si="9744"/>
        <v>0</v>
      </c>
      <c r="FS326" s="675">
        <f t="shared" si="9744"/>
        <v>0</v>
      </c>
      <c r="FT326" s="549">
        <f t="shared" si="9744"/>
        <v>0</v>
      </c>
      <c r="FU326" s="675">
        <f t="shared" si="9744"/>
        <v>0</v>
      </c>
      <c r="FV326" s="549">
        <f t="shared" si="9744"/>
        <v>0</v>
      </c>
      <c r="FW326" s="675">
        <f t="shared" si="9744"/>
        <v>0</v>
      </c>
      <c r="FX326" s="549">
        <f t="shared" si="9744"/>
        <v>0</v>
      </c>
      <c r="FY326" s="675">
        <f t="shared" si="9744"/>
        <v>0</v>
      </c>
      <c r="FZ326" s="549">
        <f t="shared" si="9744"/>
        <v>0</v>
      </c>
      <c r="GA326" s="675">
        <f t="shared" si="9744"/>
        <v>0</v>
      </c>
      <c r="GB326" s="549">
        <f t="shared" si="9744"/>
        <v>0</v>
      </c>
      <c r="GC326" s="675">
        <f t="shared" si="9744"/>
        <v>0</v>
      </c>
      <c r="GD326" s="549">
        <f t="shared" si="9744"/>
        <v>0</v>
      </c>
      <c r="GE326" s="675">
        <f t="shared" si="9744"/>
        <v>0</v>
      </c>
      <c r="GF326" s="549">
        <f t="shared" si="9744"/>
        <v>0</v>
      </c>
      <c r="GG326" s="675">
        <f t="shared" si="9744"/>
        <v>0</v>
      </c>
      <c r="GH326" s="549">
        <f t="shared" si="9744"/>
        <v>0</v>
      </c>
      <c r="GI326" s="675">
        <f t="shared" si="9744"/>
        <v>0</v>
      </c>
      <c r="GJ326" s="549">
        <f t="shared" si="9744"/>
        <v>0</v>
      </c>
      <c r="GK326" s="675">
        <f t="shared" si="9744"/>
        <v>0</v>
      </c>
      <c r="GL326" s="549">
        <f t="shared" si="9744"/>
        <v>0</v>
      </c>
      <c r="GM326" s="675">
        <f t="shared" si="9744"/>
        <v>0</v>
      </c>
      <c r="GN326" s="549">
        <f t="shared" si="9744"/>
        <v>0</v>
      </c>
      <c r="GO326" s="675">
        <f t="shared" si="9744"/>
        <v>0</v>
      </c>
      <c r="GP326" s="549">
        <f t="shared" si="9744"/>
        <v>0</v>
      </c>
      <c r="GQ326" s="675">
        <f t="shared" si="9744"/>
        <v>0</v>
      </c>
      <c r="GR326" s="74">
        <f t="shared" si="9744"/>
        <v>0</v>
      </c>
      <c r="GS326" s="74">
        <f t="shared" si="9744"/>
        <v>0</v>
      </c>
      <c r="GT326" s="74">
        <f t="shared" ref="GT326:IT326" si="9746">GT327</f>
        <v>0</v>
      </c>
      <c r="GU326" s="74">
        <f t="shared" si="9746"/>
        <v>0</v>
      </c>
      <c r="GV326" s="74">
        <f t="shared" si="9746"/>
        <v>0</v>
      </c>
      <c r="GW326" s="74">
        <f t="shared" si="9746"/>
        <v>0</v>
      </c>
      <c r="GX326" s="74">
        <f t="shared" si="9746"/>
        <v>0</v>
      </c>
      <c r="GY326" s="74">
        <f t="shared" si="9746"/>
        <v>0</v>
      </c>
      <c r="GZ326" s="74">
        <f t="shared" si="9746"/>
        <v>0</v>
      </c>
      <c r="HA326" s="74">
        <f t="shared" si="9746"/>
        <v>0</v>
      </c>
      <c r="HB326" s="74">
        <f t="shared" si="9746"/>
        <v>0</v>
      </c>
      <c r="HC326" s="74">
        <f t="shared" si="9746"/>
        <v>0</v>
      </c>
      <c r="HD326" s="74">
        <f t="shared" si="9746"/>
        <v>0</v>
      </c>
      <c r="HE326" s="74">
        <f t="shared" si="9746"/>
        <v>0</v>
      </c>
      <c r="HF326" s="74">
        <f t="shared" si="9746"/>
        <v>0</v>
      </c>
      <c r="HG326" s="74">
        <f t="shared" si="9746"/>
        <v>0</v>
      </c>
      <c r="HH326" s="74">
        <f t="shared" si="9746"/>
        <v>0</v>
      </c>
      <c r="HI326" s="792">
        <f t="shared" si="9746"/>
        <v>0</v>
      </c>
      <c r="HJ326" s="74">
        <f t="shared" si="9746"/>
        <v>0</v>
      </c>
      <c r="HK326" s="792">
        <f t="shared" si="9746"/>
        <v>0</v>
      </c>
      <c r="HL326" s="74">
        <f t="shared" si="9746"/>
        <v>0</v>
      </c>
      <c r="HM326" s="792">
        <f t="shared" si="9746"/>
        <v>0</v>
      </c>
      <c r="HN326" s="74">
        <f t="shared" si="9746"/>
        <v>0</v>
      </c>
      <c r="HO326" s="792">
        <f t="shared" si="9746"/>
        <v>0</v>
      </c>
      <c r="HP326" s="74">
        <f t="shared" si="9746"/>
        <v>0</v>
      </c>
      <c r="HQ326" s="792">
        <f t="shared" si="9746"/>
        <v>0</v>
      </c>
      <c r="HR326" s="74">
        <f t="shared" si="9746"/>
        <v>0</v>
      </c>
      <c r="HS326" s="792">
        <f t="shared" si="9746"/>
        <v>0</v>
      </c>
      <c r="HT326" s="74">
        <f t="shared" si="9746"/>
        <v>0</v>
      </c>
      <c r="HU326" s="792">
        <f t="shared" si="9746"/>
        <v>0</v>
      </c>
      <c r="HV326" s="74">
        <f t="shared" si="9746"/>
        <v>0</v>
      </c>
      <c r="HW326" s="792">
        <f t="shared" si="9746"/>
        <v>0</v>
      </c>
      <c r="HX326" s="74">
        <f t="shared" si="9746"/>
        <v>0</v>
      </c>
      <c r="HY326" s="792">
        <f t="shared" si="9746"/>
        <v>0</v>
      </c>
      <c r="HZ326" s="74">
        <f t="shared" si="9746"/>
        <v>0</v>
      </c>
      <c r="IA326" s="792">
        <f t="shared" si="9746"/>
        <v>0</v>
      </c>
      <c r="IB326" s="74">
        <f t="shared" si="9746"/>
        <v>0</v>
      </c>
      <c r="IC326" s="792">
        <f t="shared" si="9746"/>
        <v>0</v>
      </c>
      <c r="ID326" s="74">
        <f t="shared" si="9746"/>
        <v>0</v>
      </c>
      <c r="IE326" s="792">
        <f t="shared" si="9746"/>
        <v>0</v>
      </c>
      <c r="IF326" s="853">
        <f t="shared" si="9746"/>
        <v>0</v>
      </c>
      <c r="IG326" s="74">
        <f t="shared" si="9746"/>
        <v>0</v>
      </c>
      <c r="IH326" s="575">
        <f t="shared" si="9746"/>
        <v>0</v>
      </c>
      <c r="II326" s="282">
        <f t="shared" si="9746"/>
        <v>0</v>
      </c>
      <c r="IJ326" s="282">
        <f t="shared" si="9746"/>
        <v>0</v>
      </c>
      <c r="IK326" s="282">
        <f t="shared" si="9746"/>
        <v>0</v>
      </c>
      <c r="IL326" s="282">
        <f t="shared" si="9746"/>
        <v>0</v>
      </c>
      <c r="IM326" s="282">
        <f t="shared" si="9746"/>
        <v>0</v>
      </c>
      <c r="IN326" s="282">
        <f t="shared" si="9746"/>
        <v>0</v>
      </c>
      <c r="IO326" s="282">
        <f t="shared" si="9746"/>
        <v>0</v>
      </c>
      <c r="IP326" s="282">
        <f t="shared" si="9746"/>
        <v>0</v>
      </c>
      <c r="IQ326" s="282">
        <f t="shared" si="9746"/>
        <v>0</v>
      </c>
      <c r="IR326" s="282">
        <f t="shared" si="9746"/>
        <v>0</v>
      </c>
      <c r="IS326" s="282">
        <f t="shared" si="9746"/>
        <v>0</v>
      </c>
      <c r="IT326" s="282">
        <f t="shared" si="9746"/>
        <v>0</v>
      </c>
      <c r="IU326" s="282">
        <f t="shared" ref="IU326:JT326" si="9747">IU327</f>
        <v>0</v>
      </c>
      <c r="IV326" s="282">
        <f t="shared" si="9747"/>
        <v>0</v>
      </c>
      <c r="IW326" s="282">
        <f t="shared" si="9747"/>
        <v>0</v>
      </c>
      <c r="IX326" s="282">
        <f t="shared" si="9747"/>
        <v>0</v>
      </c>
      <c r="IY326" s="282">
        <f t="shared" si="9747"/>
        <v>0</v>
      </c>
      <c r="IZ326" s="282">
        <f t="shared" si="9747"/>
        <v>0</v>
      </c>
      <c r="JA326" s="282">
        <f t="shared" si="9747"/>
        <v>0</v>
      </c>
      <c r="JB326" s="282">
        <f t="shared" si="9747"/>
        <v>0</v>
      </c>
      <c r="JC326" s="282">
        <f t="shared" si="9747"/>
        <v>0</v>
      </c>
      <c r="JD326" s="282">
        <f t="shared" si="9747"/>
        <v>0</v>
      </c>
      <c r="JE326" s="282">
        <f t="shared" si="9747"/>
        <v>0</v>
      </c>
      <c r="JF326" s="282">
        <f t="shared" si="9747"/>
        <v>0</v>
      </c>
      <c r="JG326" s="282">
        <f t="shared" si="9747"/>
        <v>0</v>
      </c>
      <c r="JH326" s="282">
        <f t="shared" si="9747"/>
        <v>0</v>
      </c>
      <c r="JI326" s="282">
        <f t="shared" si="9747"/>
        <v>0</v>
      </c>
      <c r="JJ326" s="282">
        <f t="shared" si="9747"/>
        <v>0</v>
      </c>
      <c r="JK326" s="282">
        <f t="shared" si="9747"/>
        <v>0</v>
      </c>
      <c r="JL326" s="282">
        <f t="shared" si="9747"/>
        <v>0</v>
      </c>
      <c r="JM326" s="282">
        <f t="shared" si="9747"/>
        <v>0</v>
      </c>
      <c r="JN326" s="282">
        <f t="shared" si="9747"/>
        <v>0</v>
      </c>
      <c r="JO326" s="282">
        <f t="shared" si="9747"/>
        <v>0</v>
      </c>
      <c r="JP326" s="282">
        <f t="shared" si="9747"/>
        <v>0</v>
      </c>
      <c r="JQ326" s="282">
        <f t="shared" si="9747"/>
        <v>0</v>
      </c>
      <c r="JR326" s="282">
        <f t="shared" si="9747"/>
        <v>0</v>
      </c>
      <c r="JS326" s="282">
        <f t="shared" si="9747"/>
        <v>0</v>
      </c>
      <c r="JT326" s="282">
        <f t="shared" si="9747"/>
        <v>0</v>
      </c>
      <c r="JU326" s="665"/>
      <c r="JV326" s="524"/>
      <c r="JW326" s="525"/>
      <c r="JX326" s="548">
        <f>JX327</f>
        <v>0</v>
      </c>
      <c r="JY326" s="548">
        <f t="shared" ref="JY326:KB326" si="9748">JY327</f>
        <v>0</v>
      </c>
      <c r="JZ326" s="795">
        <f t="shared" si="9748"/>
        <v>0</v>
      </c>
      <c r="KA326" s="795">
        <f t="shared" si="9748"/>
        <v>0</v>
      </c>
      <c r="KB326" s="548">
        <f t="shared" si="9748"/>
        <v>0</v>
      </c>
      <c r="KC326" s="709">
        <f>HG326-KB326</f>
        <v>0</v>
      </c>
      <c r="KD326" s="35"/>
      <c r="KE326" s="35"/>
      <c r="KF326" s="35"/>
      <c r="KG326" s="35"/>
      <c r="KH326" s="35"/>
      <c r="KI326" s="35"/>
      <c r="KJ326" s="35"/>
      <c r="KK326" s="35"/>
    </row>
    <row r="327" spans="1:297" s="10" customFormat="1" ht="12.75" hidden="1" customHeight="1">
      <c r="A327" s="86" t="s">
        <v>1157</v>
      </c>
      <c r="B327" s="77"/>
      <c r="C327" s="74">
        <v>0</v>
      </c>
      <c r="D327" s="549"/>
      <c r="E327" s="675"/>
      <c r="F327" s="549"/>
      <c r="G327" s="675"/>
      <c r="H327" s="549"/>
      <c r="I327" s="675"/>
      <c r="J327" s="549"/>
      <c r="K327" s="675"/>
      <c r="L327" s="549"/>
      <c r="M327" s="675"/>
      <c r="N327" s="549"/>
      <c r="O327" s="675"/>
      <c r="P327" s="549"/>
      <c r="Q327" s="675"/>
      <c r="R327" s="549"/>
      <c r="S327" s="675"/>
      <c r="T327" s="549"/>
      <c r="U327" s="675"/>
      <c r="V327" s="549"/>
      <c r="W327" s="675"/>
      <c r="X327" s="549"/>
      <c r="Y327" s="675"/>
      <c r="Z327" s="549"/>
      <c r="AA327" s="675"/>
      <c r="AB327" s="549"/>
      <c r="AC327" s="675"/>
      <c r="AD327" s="549"/>
      <c r="AE327" s="675"/>
      <c r="AF327" s="549"/>
      <c r="AG327" s="675"/>
      <c r="AH327" s="549"/>
      <c r="AI327" s="675"/>
      <c r="AJ327" s="549"/>
      <c r="AK327" s="675"/>
      <c r="AL327" s="549"/>
      <c r="AM327" s="675"/>
      <c r="AN327" s="549"/>
      <c r="AO327" s="675"/>
      <c r="AP327" s="549"/>
      <c r="AQ327" s="675"/>
      <c r="AR327" s="549"/>
      <c r="AS327" s="675"/>
      <c r="AT327" s="549"/>
      <c r="AU327" s="675"/>
      <c r="AV327" s="549"/>
      <c r="AW327" s="675"/>
      <c r="AX327" s="549"/>
      <c r="AY327" s="675"/>
      <c r="AZ327" s="549"/>
      <c r="BA327" s="675"/>
      <c r="BB327" s="549"/>
      <c r="BC327" s="675"/>
      <c r="BD327" s="549"/>
      <c r="BE327" s="675"/>
      <c r="BF327" s="549"/>
      <c r="BG327" s="675"/>
      <c r="BH327" s="549"/>
      <c r="BI327" s="675"/>
      <c r="BJ327" s="549"/>
      <c r="BK327" s="675"/>
      <c r="BL327" s="549"/>
      <c r="BM327" s="675"/>
      <c r="BN327" s="549"/>
      <c r="BO327" s="675"/>
      <c r="BP327" s="549"/>
      <c r="BQ327" s="675"/>
      <c r="BR327" s="549"/>
      <c r="BS327" s="675"/>
      <c r="BT327" s="549"/>
      <c r="BU327" s="675"/>
      <c r="BV327" s="549"/>
      <c r="BW327" s="675"/>
      <c r="BX327" s="549"/>
      <c r="BY327" s="675"/>
      <c r="BZ327" s="549"/>
      <c r="CA327" s="675"/>
      <c r="CB327" s="549"/>
      <c r="CC327" s="675"/>
      <c r="CD327" s="549"/>
      <c r="CE327" s="675"/>
      <c r="CF327" s="549"/>
      <c r="CG327" s="675"/>
      <c r="CH327" s="549"/>
      <c r="CI327" s="675"/>
      <c r="CJ327" s="549"/>
      <c r="CK327" s="675"/>
      <c r="CL327" s="549"/>
      <c r="CM327" s="675"/>
      <c r="CN327" s="549"/>
      <c r="CO327" s="675"/>
      <c r="CP327" s="549"/>
      <c r="CQ327" s="675"/>
      <c r="CR327" s="549"/>
      <c r="CS327" s="675"/>
      <c r="CT327" s="549"/>
      <c r="CU327" s="675"/>
      <c r="CV327" s="549"/>
      <c r="CW327" s="675"/>
      <c r="CX327" s="549"/>
      <c r="CY327" s="675"/>
      <c r="CZ327" s="549"/>
      <c r="DA327" s="675"/>
      <c r="DB327" s="549"/>
      <c r="DC327" s="675"/>
      <c r="DD327" s="549"/>
      <c r="DE327" s="675"/>
      <c r="DF327" s="549"/>
      <c r="DG327" s="675"/>
      <c r="DH327" s="549"/>
      <c r="DI327" s="675"/>
      <c r="DJ327" s="549"/>
      <c r="DK327" s="675"/>
      <c r="DL327" s="549"/>
      <c r="DM327" s="675"/>
      <c r="DN327" s="549"/>
      <c r="DO327" s="675"/>
      <c r="DP327" s="549"/>
      <c r="DQ327" s="675"/>
      <c r="DR327" s="549"/>
      <c r="DS327" s="675"/>
      <c r="DT327" s="549"/>
      <c r="DU327" s="675"/>
      <c r="DV327" s="549"/>
      <c r="DW327" s="675"/>
      <c r="DX327" s="549"/>
      <c r="DY327" s="675"/>
      <c r="DZ327" s="549"/>
      <c r="EA327" s="675"/>
      <c r="EB327" s="549"/>
      <c r="EC327" s="675"/>
      <c r="ED327" s="549"/>
      <c r="EE327" s="675"/>
      <c r="EF327" s="549"/>
      <c r="EG327" s="675"/>
      <c r="EH327" s="549"/>
      <c r="EI327" s="675"/>
      <c r="EJ327" s="549"/>
      <c r="EK327" s="675"/>
      <c r="EL327" s="549"/>
      <c r="EM327" s="675"/>
      <c r="EN327" s="549"/>
      <c r="EO327" s="675"/>
      <c r="EP327" s="549"/>
      <c r="EQ327" s="675"/>
      <c r="ER327" s="549"/>
      <c r="ES327" s="675"/>
      <c r="ET327" s="549"/>
      <c r="EU327" s="675"/>
      <c r="EV327" s="549"/>
      <c r="EW327" s="675"/>
      <c r="EX327" s="549"/>
      <c r="EY327" s="675"/>
      <c r="EZ327" s="549"/>
      <c r="FA327" s="675"/>
      <c r="FB327" s="549"/>
      <c r="FC327" s="675"/>
      <c r="FD327" s="549"/>
      <c r="FE327" s="675"/>
      <c r="FF327" s="549"/>
      <c r="FG327" s="675"/>
      <c r="FH327" s="549"/>
      <c r="FI327" s="675"/>
      <c r="FJ327" s="549"/>
      <c r="FK327" s="675"/>
      <c r="FL327" s="549"/>
      <c r="FM327" s="675"/>
      <c r="FN327" s="549"/>
      <c r="FO327" s="675"/>
      <c r="FP327" s="549"/>
      <c r="FQ327" s="675"/>
      <c r="FR327" s="549"/>
      <c r="FS327" s="675"/>
      <c r="FT327" s="549"/>
      <c r="FU327" s="675"/>
      <c r="FV327" s="549"/>
      <c r="FW327" s="675"/>
      <c r="FX327" s="549"/>
      <c r="FY327" s="675"/>
      <c r="FZ327" s="549"/>
      <c r="GA327" s="675"/>
      <c r="GB327" s="549"/>
      <c r="GC327" s="675"/>
      <c r="GD327" s="549"/>
      <c r="GE327" s="675"/>
      <c r="GF327" s="549"/>
      <c r="GG327" s="675"/>
      <c r="GH327" s="549"/>
      <c r="GI327" s="675"/>
      <c r="GJ327" s="549"/>
      <c r="GK327" s="675"/>
      <c r="GL327" s="549"/>
      <c r="GM327" s="675"/>
      <c r="GN327" s="549"/>
      <c r="GO327" s="675"/>
      <c r="GP327" s="549">
        <f>+D327+F327+H327+J327+L327+N327+P327+R327+T327+V327+X327+Z327+AB327+AD327+AH327+AJ327+AL327+AN327+AP327+AR327+AT327+AV327+AX327+AZ327+BB327+BD327+BF327+BH327+BJ327+BL327+BN327+BP327+BR327+BT327+BV327+BX327+BZ327+CB327+CD327+CF327+CH327+CJ327+CL327+CN327+CP327+CR327+CT327+CV327+CX327+CZ327+DB327+DD327+DF327+DH327+DT327+EX327+DJ327+DL327+DN327+DP327+DR327+EJ327+EB327+DZ327+DX327+DV327+ED327+EF327+EH327+EL327+EN327+EP327+EV327+ET327+ER327+EZ327+FB327+FD327+GL327+FF327+FJ327+FL327+GJ327+FT327+FR327+FP327+FN327+FH327</f>
        <v>0</v>
      </c>
      <c r="GQ327" s="675">
        <f>+E327+G327+I327+K327+M327+O327+Q327+S327+U327+W327+Y327+AA327+AC327+AE327+AI327+AK327+AM327+AO327+AQ327+AS327+AU327+AW327+AY327+BA327+BC327+BE327+BG327+BI327+BK327+BM327+BO327+BQ327+BS327+BU327+BW327+BY327+CA327+CC327+CE327+CG327+CI327+CK327+CM327+CO327+CQ327+CS327+CU327+CW327+CY327+DA327+DC327+DE327+DG327+DI327+DU327+EY327+DK327+DM327+DO327+DQ327+DS327+EK327+EC327+EA327+DY327+DW327+EI327+EG327+EE327+EM327+EO327+EQ327+EW327+EU327+ES327+FA327+FC327+FE327+GM327+FG327+FK327+FM327+FO327+FQ327+FS327+FU327+GK327+FI327</f>
        <v>0</v>
      </c>
      <c r="GR327" s="74">
        <f>C327+GP327+GQ327</f>
        <v>0</v>
      </c>
      <c r="GS327" s="74">
        <f>SUM(GU327:HB327)+GP327+GQ327</f>
        <v>0</v>
      </c>
      <c r="GT327" s="568">
        <f>SUM(GU327:HF327)+GQ327+GP327</f>
        <v>0</v>
      </c>
      <c r="GU327" s="73"/>
      <c r="GV327" s="73"/>
      <c r="GW327" s="549"/>
      <c r="GX327" s="549"/>
      <c r="GY327" s="73"/>
      <c r="GZ327" s="73"/>
      <c r="HA327" s="73"/>
      <c r="HB327" s="73"/>
      <c r="HC327" s="73"/>
      <c r="HD327" s="73"/>
      <c r="HE327" s="73"/>
      <c r="HF327" s="73"/>
      <c r="HG327" s="74">
        <f>SUM(HH327:IE327)+GP327+GQ327</f>
        <v>0</v>
      </c>
      <c r="HH327" s="89">
        <v>0</v>
      </c>
      <c r="HI327" s="817">
        <v>0</v>
      </c>
      <c r="HJ327" s="89">
        <v>0</v>
      </c>
      <c r="HK327" s="817">
        <v>0</v>
      </c>
      <c r="HL327" s="89">
        <v>0</v>
      </c>
      <c r="HM327" s="817">
        <v>0</v>
      </c>
      <c r="HN327" s="89">
        <v>0</v>
      </c>
      <c r="HO327" s="817">
        <v>0</v>
      </c>
      <c r="HP327" s="89">
        <v>0</v>
      </c>
      <c r="HQ327" s="817">
        <v>0</v>
      </c>
      <c r="HR327" s="89">
        <v>0</v>
      </c>
      <c r="HS327" s="817">
        <v>0</v>
      </c>
      <c r="HT327" s="89">
        <v>0</v>
      </c>
      <c r="HU327" s="817">
        <v>0</v>
      </c>
      <c r="HV327" s="89">
        <v>0</v>
      </c>
      <c r="HW327" s="817">
        <v>0</v>
      </c>
      <c r="HX327" s="89">
        <v>0</v>
      </c>
      <c r="HY327" s="817">
        <v>0</v>
      </c>
      <c r="HZ327" s="89">
        <v>0</v>
      </c>
      <c r="IA327" s="817">
        <v>0</v>
      </c>
      <c r="IB327" s="89">
        <v>0</v>
      </c>
      <c r="IC327" s="817">
        <v>0</v>
      </c>
      <c r="ID327" s="89">
        <v>0</v>
      </c>
      <c r="IE327" s="817">
        <v>0</v>
      </c>
      <c r="IF327" s="841">
        <f t="shared" ref="IF327" si="9749">SUM(II327,IL327,IO327,IR327,IU327,IX327,JA327,JD327,JG327,JJ327,JM327,JP327)</f>
        <v>0</v>
      </c>
      <c r="IG327" s="263">
        <f t="shared" ref="IG327" si="9750">SUM(IJ327,IM327,IP327,IS327,IV327,IY327,JB327,JE327,JH327,JK327,JN327,JQ327)</f>
        <v>0</v>
      </c>
      <c r="IH327" s="842">
        <f t="shared" ref="IH327" si="9751">SUM(IK327,IN327,IQ327,IT327,IW327,IZ327,JC327,JF327,JI327,JL327,JO327,JR327)</f>
        <v>0</v>
      </c>
      <c r="II327" s="89">
        <v>0</v>
      </c>
      <c r="IJ327" s="89">
        <f t="shared" ref="IJ327" si="9752">II327</f>
        <v>0</v>
      </c>
      <c r="IK327" s="89">
        <f t="shared" ref="IK327" si="9753">IJ327</f>
        <v>0</v>
      </c>
      <c r="IL327" s="89">
        <v>0</v>
      </c>
      <c r="IM327" s="89">
        <f t="shared" ref="IM327" si="9754">IL327</f>
        <v>0</v>
      </c>
      <c r="IN327" s="89">
        <f t="shared" ref="IN327" si="9755">IM327</f>
        <v>0</v>
      </c>
      <c r="IO327" s="89">
        <v>0</v>
      </c>
      <c r="IP327" s="89">
        <f t="shared" ref="IP327" si="9756">IO327</f>
        <v>0</v>
      </c>
      <c r="IQ327" s="89">
        <f t="shared" ref="IQ327" si="9757">IP327</f>
        <v>0</v>
      </c>
      <c r="IR327" s="89">
        <v>0</v>
      </c>
      <c r="IS327" s="89">
        <f t="shared" ref="IS327" si="9758">IR327</f>
        <v>0</v>
      </c>
      <c r="IT327" s="89">
        <f t="shared" ref="IT327" si="9759">IS327</f>
        <v>0</v>
      </c>
      <c r="IU327" s="89">
        <v>0</v>
      </c>
      <c r="IV327" s="89">
        <f t="shared" ref="IV327" si="9760">IU327</f>
        <v>0</v>
      </c>
      <c r="IW327" s="89">
        <f t="shared" ref="IW327" si="9761">IV327</f>
        <v>0</v>
      </c>
      <c r="IX327" s="89">
        <v>0</v>
      </c>
      <c r="IY327" s="89">
        <f t="shared" ref="IY327" si="9762">IX327</f>
        <v>0</v>
      </c>
      <c r="IZ327" s="89">
        <f t="shared" ref="IZ327" si="9763">IY327</f>
        <v>0</v>
      </c>
      <c r="JA327" s="89">
        <v>0</v>
      </c>
      <c r="JB327" s="89">
        <f t="shared" ref="JB327" si="9764">JA327</f>
        <v>0</v>
      </c>
      <c r="JC327" s="89">
        <f t="shared" ref="JC327" si="9765">JB327</f>
        <v>0</v>
      </c>
      <c r="JD327" s="89">
        <v>0</v>
      </c>
      <c r="JE327" s="89">
        <f t="shared" ref="JE327" si="9766">JD327</f>
        <v>0</v>
      </c>
      <c r="JF327" s="89">
        <f t="shared" ref="JF327" si="9767">JE327</f>
        <v>0</v>
      </c>
      <c r="JG327" s="89">
        <v>0</v>
      </c>
      <c r="JH327" s="89">
        <f t="shared" ref="JH327" si="9768">JG327</f>
        <v>0</v>
      </c>
      <c r="JI327" s="89">
        <f t="shared" ref="JI327" si="9769">JH327</f>
        <v>0</v>
      </c>
      <c r="JJ327" s="89">
        <v>0</v>
      </c>
      <c r="JK327" s="89">
        <f t="shared" ref="JK327" si="9770">JJ327</f>
        <v>0</v>
      </c>
      <c r="JL327" s="89">
        <f t="shared" ref="JL327" si="9771">JK327</f>
        <v>0</v>
      </c>
      <c r="JM327" s="89">
        <v>0</v>
      </c>
      <c r="JN327" s="89">
        <f t="shared" ref="JN327" si="9772">JM327</f>
        <v>0</v>
      </c>
      <c r="JO327" s="89">
        <f t="shared" ref="JO327" si="9773">JN327</f>
        <v>0</v>
      </c>
      <c r="JP327" s="89">
        <v>0</v>
      </c>
      <c r="JQ327" s="89">
        <f t="shared" ref="JQ327:JR327" si="9774">JP327</f>
        <v>0</v>
      </c>
      <c r="JR327" s="89">
        <f t="shared" si="9774"/>
        <v>0</v>
      </c>
      <c r="JS327" s="74">
        <f>HG327-IF327</f>
        <v>0</v>
      </c>
      <c r="JT327" s="382">
        <f>GS327-IF327</f>
        <v>0</v>
      </c>
      <c r="JU327" s="665"/>
      <c r="JV327" s="524"/>
      <c r="JW327" s="525"/>
      <c r="JX327" s="548">
        <f>SUM(HH327,HJ327,HL327,HN327,HP327,HR327,HT327,HV327,HX327,HZ327,IB327,ID327)</f>
        <v>0</v>
      </c>
      <c r="JY327" s="548">
        <f>SUM(HI327,HK327,HM327,HO327,HQ327,HS327,HU327,HW327,HY327,IA327,IC327,IE327)</f>
        <v>0</v>
      </c>
      <c r="JZ327" s="581">
        <f t="shared" ref="JZ327" si="9775">GP327</f>
        <v>0</v>
      </c>
      <c r="KA327" s="581">
        <f t="shared" ref="KA327" si="9776">GQ327</f>
        <v>0</v>
      </c>
      <c r="KB327" s="548">
        <f>JX327+JY327+JZ327+KA327</f>
        <v>0</v>
      </c>
      <c r="KC327" s="709">
        <f>HG327-KB327</f>
        <v>0</v>
      </c>
      <c r="KD327" s="35"/>
      <c r="KE327" s="35"/>
      <c r="KF327" s="35"/>
      <c r="KG327" s="35"/>
      <c r="KH327" s="35"/>
      <c r="KI327" s="35"/>
      <c r="KJ327" s="35"/>
      <c r="KK327" s="35"/>
    </row>
    <row r="328" spans="1:297" s="10" customFormat="1" ht="12.75" hidden="1" customHeight="1">
      <c r="A328" s="86"/>
      <c r="B328" s="77"/>
      <c r="C328" s="74"/>
      <c r="D328" s="549"/>
      <c r="E328" s="675"/>
      <c r="F328" s="549"/>
      <c r="G328" s="675"/>
      <c r="H328" s="549"/>
      <c r="I328" s="675"/>
      <c r="J328" s="549"/>
      <c r="K328" s="675"/>
      <c r="L328" s="549"/>
      <c r="M328" s="675"/>
      <c r="N328" s="549"/>
      <c r="O328" s="675"/>
      <c r="P328" s="549"/>
      <c r="Q328" s="675"/>
      <c r="R328" s="549"/>
      <c r="S328" s="675"/>
      <c r="T328" s="549"/>
      <c r="U328" s="675"/>
      <c r="V328" s="549"/>
      <c r="W328" s="675"/>
      <c r="X328" s="549"/>
      <c r="Y328" s="675"/>
      <c r="Z328" s="549"/>
      <c r="AA328" s="675"/>
      <c r="AB328" s="549"/>
      <c r="AC328" s="675"/>
      <c r="AD328" s="549"/>
      <c r="AE328" s="675"/>
      <c r="AF328" s="549"/>
      <c r="AG328" s="675"/>
      <c r="AH328" s="549"/>
      <c r="AI328" s="675"/>
      <c r="AJ328" s="549"/>
      <c r="AK328" s="675"/>
      <c r="AL328" s="549"/>
      <c r="AM328" s="675"/>
      <c r="AN328" s="549"/>
      <c r="AO328" s="675"/>
      <c r="AP328" s="549"/>
      <c r="AQ328" s="675"/>
      <c r="AR328" s="549"/>
      <c r="AS328" s="675"/>
      <c r="AT328" s="549"/>
      <c r="AU328" s="675"/>
      <c r="AV328" s="549"/>
      <c r="AW328" s="675"/>
      <c r="AX328" s="549"/>
      <c r="AY328" s="675"/>
      <c r="AZ328" s="549"/>
      <c r="BA328" s="675"/>
      <c r="BB328" s="549"/>
      <c r="BC328" s="675"/>
      <c r="BD328" s="549"/>
      <c r="BE328" s="675"/>
      <c r="BF328" s="549"/>
      <c r="BG328" s="675"/>
      <c r="BH328" s="549"/>
      <c r="BI328" s="675"/>
      <c r="BJ328" s="549"/>
      <c r="BK328" s="675"/>
      <c r="BL328" s="549"/>
      <c r="BM328" s="675"/>
      <c r="BN328" s="549"/>
      <c r="BO328" s="675"/>
      <c r="BP328" s="549"/>
      <c r="BQ328" s="675"/>
      <c r="BR328" s="549"/>
      <c r="BS328" s="675"/>
      <c r="BT328" s="549"/>
      <c r="BU328" s="675"/>
      <c r="BV328" s="549"/>
      <c r="BW328" s="675"/>
      <c r="BX328" s="549"/>
      <c r="BY328" s="675"/>
      <c r="BZ328" s="549"/>
      <c r="CA328" s="675"/>
      <c r="CB328" s="549"/>
      <c r="CC328" s="675"/>
      <c r="CD328" s="549"/>
      <c r="CE328" s="675"/>
      <c r="CF328" s="549"/>
      <c r="CG328" s="675"/>
      <c r="CH328" s="549"/>
      <c r="CI328" s="675"/>
      <c r="CJ328" s="549"/>
      <c r="CK328" s="675"/>
      <c r="CL328" s="549"/>
      <c r="CM328" s="675"/>
      <c r="CN328" s="549"/>
      <c r="CO328" s="675"/>
      <c r="CP328" s="549"/>
      <c r="CQ328" s="675"/>
      <c r="CR328" s="549"/>
      <c r="CS328" s="675"/>
      <c r="CT328" s="549"/>
      <c r="CU328" s="675"/>
      <c r="CV328" s="549"/>
      <c r="CW328" s="675"/>
      <c r="CX328" s="549"/>
      <c r="CY328" s="675"/>
      <c r="CZ328" s="549"/>
      <c r="DA328" s="675"/>
      <c r="DB328" s="549"/>
      <c r="DC328" s="675"/>
      <c r="DD328" s="549"/>
      <c r="DE328" s="675"/>
      <c r="DF328" s="549"/>
      <c r="DG328" s="675"/>
      <c r="DH328" s="549"/>
      <c r="DI328" s="675"/>
      <c r="DJ328" s="549"/>
      <c r="DK328" s="675"/>
      <c r="DL328" s="549"/>
      <c r="DM328" s="675"/>
      <c r="DN328" s="549"/>
      <c r="DO328" s="675"/>
      <c r="DP328" s="549"/>
      <c r="DQ328" s="675"/>
      <c r="DR328" s="549"/>
      <c r="DS328" s="675"/>
      <c r="DT328" s="549"/>
      <c r="DU328" s="675"/>
      <c r="DV328" s="549"/>
      <c r="DW328" s="675"/>
      <c r="DX328" s="549"/>
      <c r="DY328" s="675"/>
      <c r="DZ328" s="549"/>
      <c r="EA328" s="675"/>
      <c r="EB328" s="549"/>
      <c r="EC328" s="675"/>
      <c r="ED328" s="549"/>
      <c r="EE328" s="675"/>
      <c r="EF328" s="549"/>
      <c r="EG328" s="675"/>
      <c r="EH328" s="549"/>
      <c r="EI328" s="675"/>
      <c r="EJ328" s="549"/>
      <c r="EK328" s="675"/>
      <c r="EL328" s="549"/>
      <c r="EM328" s="675"/>
      <c r="EN328" s="549"/>
      <c r="EO328" s="675"/>
      <c r="EP328" s="549"/>
      <c r="EQ328" s="675"/>
      <c r="ER328" s="549"/>
      <c r="ES328" s="675"/>
      <c r="ET328" s="549"/>
      <c r="EU328" s="675"/>
      <c r="EV328" s="549"/>
      <c r="EW328" s="675"/>
      <c r="EX328" s="549"/>
      <c r="EY328" s="675"/>
      <c r="EZ328" s="549"/>
      <c r="FA328" s="675"/>
      <c r="FB328" s="549"/>
      <c r="FC328" s="675"/>
      <c r="FD328" s="549"/>
      <c r="FE328" s="675"/>
      <c r="FF328" s="549"/>
      <c r="FG328" s="675"/>
      <c r="FH328" s="549"/>
      <c r="FI328" s="675"/>
      <c r="FJ328" s="549"/>
      <c r="FK328" s="675"/>
      <c r="FL328" s="549"/>
      <c r="FM328" s="675"/>
      <c r="FN328" s="549"/>
      <c r="FO328" s="675"/>
      <c r="FP328" s="549"/>
      <c r="FQ328" s="675"/>
      <c r="FR328" s="549"/>
      <c r="FS328" s="675"/>
      <c r="FT328" s="549"/>
      <c r="FU328" s="675"/>
      <c r="FV328" s="549"/>
      <c r="FW328" s="675"/>
      <c r="FX328" s="549"/>
      <c r="FY328" s="675"/>
      <c r="FZ328" s="549"/>
      <c r="GA328" s="675"/>
      <c r="GB328" s="549"/>
      <c r="GC328" s="675"/>
      <c r="GD328" s="549"/>
      <c r="GE328" s="675"/>
      <c r="GF328" s="549"/>
      <c r="GG328" s="675"/>
      <c r="GH328" s="549"/>
      <c r="GI328" s="675"/>
      <c r="GJ328" s="549"/>
      <c r="GK328" s="675"/>
      <c r="GL328" s="549"/>
      <c r="GM328" s="675"/>
      <c r="GN328" s="549"/>
      <c r="GO328" s="675"/>
      <c r="GP328" s="549"/>
      <c r="GQ328" s="675"/>
      <c r="GR328" s="74"/>
      <c r="GS328" s="74"/>
      <c r="GT328" s="549"/>
      <c r="GU328" s="73"/>
      <c r="GV328" s="73"/>
      <c r="GW328" s="549"/>
      <c r="GX328" s="549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815"/>
      <c r="HJ328" s="73"/>
      <c r="HK328" s="815"/>
      <c r="HL328" s="73"/>
      <c r="HM328" s="815"/>
      <c r="HN328" s="73"/>
      <c r="HO328" s="815"/>
      <c r="HP328" s="73"/>
      <c r="HQ328" s="815"/>
      <c r="HR328" s="73"/>
      <c r="HS328" s="815"/>
      <c r="HT328" s="73"/>
      <c r="HU328" s="815"/>
      <c r="HV328" s="73"/>
      <c r="HW328" s="815"/>
      <c r="HX328" s="73"/>
      <c r="HY328" s="815"/>
      <c r="HZ328" s="73"/>
      <c r="IA328" s="815"/>
      <c r="IB328" s="73"/>
      <c r="IC328" s="815"/>
      <c r="ID328" s="73"/>
      <c r="IE328" s="815"/>
      <c r="IF328" s="841"/>
      <c r="IG328" s="263"/>
      <c r="IH328" s="842"/>
      <c r="II328" s="74"/>
      <c r="IJ328" s="74"/>
      <c r="IK328" s="74"/>
      <c r="IL328" s="74"/>
      <c r="IM328" s="74"/>
      <c r="IN328" s="74"/>
      <c r="IO328" s="74"/>
      <c r="IP328" s="74"/>
      <c r="IQ328" s="74"/>
      <c r="IR328" s="74"/>
      <c r="IS328" s="74"/>
      <c r="IT328" s="74"/>
      <c r="IU328" s="74"/>
      <c r="IV328" s="74"/>
      <c r="IW328" s="74"/>
      <c r="IX328" s="74"/>
      <c r="IY328" s="74"/>
      <c r="IZ328" s="74"/>
      <c r="JA328" s="74"/>
      <c r="JB328" s="74"/>
      <c r="JC328" s="74"/>
      <c r="JD328" s="74"/>
      <c r="JE328" s="74"/>
      <c r="JF328" s="74"/>
      <c r="JG328" s="74"/>
      <c r="JH328" s="74"/>
      <c r="JI328" s="74"/>
      <c r="JJ328" s="74"/>
      <c r="JK328" s="74"/>
      <c r="JL328" s="74"/>
      <c r="JM328" s="74"/>
      <c r="JN328" s="74"/>
      <c r="JO328" s="74"/>
      <c r="JP328" s="74"/>
      <c r="JQ328" s="74"/>
      <c r="JR328" s="74"/>
      <c r="JS328" s="74"/>
      <c r="JT328" s="382"/>
      <c r="JU328" s="665"/>
      <c r="JV328" s="524"/>
      <c r="JW328" s="525"/>
      <c r="JX328" s="548"/>
      <c r="JY328" s="548"/>
      <c r="JZ328" s="581">
        <f t="shared" si="9103"/>
        <v>0</v>
      </c>
      <c r="KA328" s="581">
        <f t="shared" si="9104"/>
        <v>0</v>
      </c>
      <c r="KB328" s="548"/>
      <c r="KC328" s="709">
        <f t="shared" si="9101"/>
        <v>0</v>
      </c>
      <c r="KD328" s="35"/>
      <c r="KE328" s="35"/>
      <c r="KF328" s="35"/>
      <c r="KG328" s="35"/>
      <c r="KH328" s="35"/>
      <c r="KI328" s="35"/>
      <c r="KJ328" s="35"/>
      <c r="KK328" s="35"/>
    </row>
    <row r="329" spans="1:297" s="10" customFormat="1" ht="12.75" customHeight="1">
      <c r="A329" s="71" t="s">
        <v>805</v>
      </c>
      <c r="B329" s="77"/>
      <c r="C329" s="74">
        <f t="shared" ref="C329:S329" si="9777">C331+C333+C335+C337+C339+C341+C343+C345</f>
        <v>0</v>
      </c>
      <c r="D329" s="549">
        <f t="shared" si="9777"/>
        <v>0</v>
      </c>
      <c r="E329" s="675">
        <f t="shared" si="9777"/>
        <v>0</v>
      </c>
      <c r="F329" s="549">
        <f t="shared" si="9777"/>
        <v>0</v>
      </c>
      <c r="G329" s="675">
        <f t="shared" si="9777"/>
        <v>0</v>
      </c>
      <c r="H329" s="549">
        <f t="shared" si="9777"/>
        <v>0</v>
      </c>
      <c r="I329" s="675">
        <f t="shared" si="9777"/>
        <v>0</v>
      </c>
      <c r="J329" s="549">
        <f t="shared" si="9777"/>
        <v>0</v>
      </c>
      <c r="K329" s="675">
        <f t="shared" si="9777"/>
        <v>0</v>
      </c>
      <c r="L329" s="549">
        <f t="shared" si="9777"/>
        <v>0</v>
      </c>
      <c r="M329" s="675">
        <f t="shared" si="9777"/>
        <v>0</v>
      </c>
      <c r="N329" s="549">
        <f t="shared" si="9777"/>
        <v>0</v>
      </c>
      <c r="O329" s="675">
        <f t="shared" si="9777"/>
        <v>0</v>
      </c>
      <c r="P329" s="549">
        <f t="shared" si="9777"/>
        <v>0</v>
      </c>
      <c r="Q329" s="675">
        <f t="shared" si="9777"/>
        <v>0</v>
      </c>
      <c r="R329" s="549">
        <f t="shared" si="9777"/>
        <v>0</v>
      </c>
      <c r="S329" s="675">
        <f t="shared" si="9777"/>
        <v>0</v>
      </c>
      <c r="T329" s="549">
        <f t="shared" ref="T329:AM329" si="9778">T331+T333+T335+T337+T339+T341+T343+T345</f>
        <v>0</v>
      </c>
      <c r="U329" s="675">
        <f t="shared" si="9778"/>
        <v>0</v>
      </c>
      <c r="V329" s="549">
        <f t="shared" si="9778"/>
        <v>0</v>
      </c>
      <c r="W329" s="675">
        <f t="shared" si="9778"/>
        <v>0</v>
      </c>
      <c r="X329" s="549">
        <f t="shared" si="9778"/>
        <v>0</v>
      </c>
      <c r="Y329" s="675">
        <f t="shared" si="9778"/>
        <v>0</v>
      </c>
      <c r="Z329" s="549">
        <f t="shared" si="9778"/>
        <v>0</v>
      </c>
      <c r="AA329" s="675">
        <f t="shared" si="9778"/>
        <v>0</v>
      </c>
      <c r="AB329" s="549">
        <f t="shared" si="9778"/>
        <v>0</v>
      </c>
      <c r="AC329" s="675">
        <f t="shared" si="9778"/>
        <v>0</v>
      </c>
      <c r="AD329" s="549">
        <f t="shared" ref="AD329:AK329" si="9779">AD331+AD333+AD335+AD337+AD339+AD341+AD343+AD345</f>
        <v>0</v>
      </c>
      <c r="AE329" s="675">
        <f t="shared" si="9779"/>
        <v>0</v>
      </c>
      <c r="AF329" s="549">
        <f t="shared" si="9779"/>
        <v>0</v>
      </c>
      <c r="AG329" s="675">
        <f t="shared" si="9779"/>
        <v>0</v>
      </c>
      <c r="AH329" s="549">
        <f t="shared" si="9779"/>
        <v>0</v>
      </c>
      <c r="AI329" s="675">
        <f t="shared" si="9779"/>
        <v>0</v>
      </c>
      <c r="AJ329" s="549">
        <f t="shared" si="9779"/>
        <v>0</v>
      </c>
      <c r="AK329" s="675">
        <f t="shared" si="9779"/>
        <v>0</v>
      </c>
      <c r="AL329" s="549">
        <f t="shared" si="9778"/>
        <v>0</v>
      </c>
      <c r="AM329" s="675">
        <f t="shared" si="9778"/>
        <v>0</v>
      </c>
      <c r="AN329" s="549">
        <f t="shared" ref="AN329:AS329" si="9780">AN331+AN333+AN335+AN337+AN339+AN341+AN343+AN345</f>
        <v>125000</v>
      </c>
      <c r="AO329" s="675">
        <f t="shared" si="9780"/>
        <v>0</v>
      </c>
      <c r="AP329" s="549">
        <f t="shared" si="9780"/>
        <v>0</v>
      </c>
      <c r="AQ329" s="675">
        <f t="shared" si="9780"/>
        <v>0</v>
      </c>
      <c r="AR329" s="549">
        <f t="shared" si="9780"/>
        <v>0</v>
      </c>
      <c r="AS329" s="675">
        <f t="shared" si="9780"/>
        <v>0</v>
      </c>
      <c r="AT329" s="549">
        <f t="shared" ref="AT329:AU329" si="9781">AT331+AT333+AT335+AT337+AT339+AT341+AT343+AT345</f>
        <v>0</v>
      </c>
      <c r="AU329" s="675">
        <f t="shared" si="9781"/>
        <v>0</v>
      </c>
      <c r="AV329" s="549">
        <f t="shared" ref="AV329:AW329" si="9782">AV331+AV333+AV335+AV337+AV339+AV341+AV343+AV345</f>
        <v>0</v>
      </c>
      <c r="AW329" s="675">
        <f t="shared" si="9782"/>
        <v>0</v>
      </c>
      <c r="AX329" s="549">
        <f t="shared" ref="AX329:AY329" si="9783">AX331+AX333+AX335+AX337+AX339+AX341+AX343+AX345</f>
        <v>0</v>
      </c>
      <c r="AY329" s="675">
        <f t="shared" si="9783"/>
        <v>0</v>
      </c>
      <c r="AZ329" s="549">
        <f t="shared" ref="AZ329:BA329" si="9784">AZ331+AZ333+AZ335+AZ337+AZ339+AZ341+AZ343+AZ345</f>
        <v>0</v>
      </c>
      <c r="BA329" s="675">
        <f t="shared" si="9784"/>
        <v>0</v>
      </c>
      <c r="BB329" s="549">
        <f t="shared" ref="BB329:BC329" si="9785">BB331+BB333+BB335+BB337+BB339+BB341+BB343+BB345</f>
        <v>0</v>
      </c>
      <c r="BC329" s="675">
        <f t="shared" si="9785"/>
        <v>0</v>
      </c>
      <c r="BD329" s="549">
        <f t="shared" ref="BD329:BE329" si="9786">BD331+BD333+BD335+BD337+BD339+BD341+BD343+BD345</f>
        <v>0</v>
      </c>
      <c r="BE329" s="675">
        <f t="shared" si="9786"/>
        <v>0</v>
      </c>
      <c r="BF329" s="549">
        <f t="shared" ref="BF329:BG329" si="9787">BF331+BF333+BF335+BF337+BF339+BF341+BF343+BF345</f>
        <v>0</v>
      </c>
      <c r="BG329" s="675">
        <f t="shared" si="9787"/>
        <v>0</v>
      </c>
      <c r="BH329" s="549">
        <f t="shared" ref="BH329:BI329" si="9788">BH331+BH333+BH335+BH337+BH339+BH341+BH343+BH345</f>
        <v>0</v>
      </c>
      <c r="BI329" s="675">
        <f t="shared" si="9788"/>
        <v>0</v>
      </c>
      <c r="BJ329" s="549">
        <f t="shared" ref="BJ329:BK329" si="9789">BJ331+BJ333+BJ335+BJ337+BJ339+BJ341+BJ343+BJ345</f>
        <v>0</v>
      </c>
      <c r="BK329" s="675">
        <f t="shared" si="9789"/>
        <v>0</v>
      </c>
      <c r="BL329" s="549">
        <f t="shared" ref="BL329:BS329" si="9790">BL331+BL333+BL335+BL337+BL339+BL341+BL343+BL345</f>
        <v>0</v>
      </c>
      <c r="BM329" s="675">
        <f t="shared" si="9790"/>
        <v>0</v>
      </c>
      <c r="BN329" s="549">
        <f t="shared" si="9790"/>
        <v>0</v>
      </c>
      <c r="BO329" s="675">
        <f t="shared" si="9790"/>
        <v>0</v>
      </c>
      <c r="BP329" s="549">
        <f t="shared" si="9790"/>
        <v>0</v>
      </c>
      <c r="BQ329" s="675">
        <f t="shared" si="9790"/>
        <v>0</v>
      </c>
      <c r="BR329" s="549">
        <f t="shared" si="9790"/>
        <v>0</v>
      </c>
      <c r="BS329" s="675">
        <f t="shared" si="9790"/>
        <v>0</v>
      </c>
      <c r="BT329" s="549">
        <f t="shared" ref="BT329:BU329" si="9791">BT331+BT333+BT335+BT337+BT339+BT341+BT343+BT345</f>
        <v>0</v>
      </c>
      <c r="BU329" s="675">
        <f t="shared" si="9791"/>
        <v>0</v>
      </c>
      <c r="BV329" s="549">
        <f t="shared" ref="BV329:BW329" si="9792">BV331+BV333+BV335+BV337+BV339+BV341+BV343+BV345</f>
        <v>0</v>
      </c>
      <c r="BW329" s="675">
        <f t="shared" si="9792"/>
        <v>0</v>
      </c>
      <c r="BX329" s="549">
        <f t="shared" ref="BX329:BY329" si="9793">BX331+BX333+BX335+BX337+BX339+BX341+BX343+BX345</f>
        <v>0</v>
      </c>
      <c r="BY329" s="675">
        <f t="shared" si="9793"/>
        <v>0</v>
      </c>
      <c r="BZ329" s="549">
        <f t="shared" ref="BZ329:CA329" si="9794">BZ331+BZ333+BZ335+BZ337+BZ339+BZ341+BZ343+BZ345</f>
        <v>0</v>
      </c>
      <c r="CA329" s="675">
        <f t="shared" si="9794"/>
        <v>0</v>
      </c>
      <c r="CB329" s="549">
        <f t="shared" ref="CB329:CE329" si="9795">CB331+CB333+CB335+CB337+CB339+CB341+CB343+CB345</f>
        <v>0</v>
      </c>
      <c r="CC329" s="675">
        <f t="shared" si="9795"/>
        <v>0</v>
      </c>
      <c r="CD329" s="549">
        <f t="shared" si="9795"/>
        <v>0</v>
      </c>
      <c r="CE329" s="675">
        <f t="shared" si="9795"/>
        <v>0</v>
      </c>
      <c r="CF329" s="549">
        <f t="shared" ref="CF329:CQ329" si="9796">CF331+CF333+CF335+CF337+CF339+CF341+CF343+CF345</f>
        <v>0</v>
      </c>
      <c r="CG329" s="675">
        <f t="shared" si="9796"/>
        <v>0</v>
      </c>
      <c r="CH329" s="549">
        <f t="shared" si="9796"/>
        <v>0</v>
      </c>
      <c r="CI329" s="675">
        <f t="shared" si="9796"/>
        <v>0</v>
      </c>
      <c r="CJ329" s="549">
        <f t="shared" si="9796"/>
        <v>0</v>
      </c>
      <c r="CK329" s="675">
        <f t="shared" si="9796"/>
        <v>0</v>
      </c>
      <c r="CL329" s="549">
        <f t="shared" si="9796"/>
        <v>0</v>
      </c>
      <c r="CM329" s="675">
        <f t="shared" si="9796"/>
        <v>0</v>
      </c>
      <c r="CN329" s="549">
        <f t="shared" si="9796"/>
        <v>0</v>
      </c>
      <c r="CO329" s="675">
        <f t="shared" si="9796"/>
        <v>0</v>
      </c>
      <c r="CP329" s="549">
        <f t="shared" si="9796"/>
        <v>0</v>
      </c>
      <c r="CQ329" s="675">
        <f t="shared" si="9796"/>
        <v>0</v>
      </c>
      <c r="CR329" s="549">
        <f t="shared" ref="CR329:CY329" si="9797">CR331+CR333+CR335+CR337+CR339+CR341+CR343+CR345</f>
        <v>0</v>
      </c>
      <c r="CS329" s="675">
        <f t="shared" si="9797"/>
        <v>0</v>
      </c>
      <c r="CT329" s="549">
        <f t="shared" si="9797"/>
        <v>0</v>
      </c>
      <c r="CU329" s="675">
        <f t="shared" si="9797"/>
        <v>0</v>
      </c>
      <c r="CV329" s="549">
        <f t="shared" si="9797"/>
        <v>0</v>
      </c>
      <c r="CW329" s="675">
        <f t="shared" si="9797"/>
        <v>0</v>
      </c>
      <c r="CX329" s="549">
        <f t="shared" si="9797"/>
        <v>0</v>
      </c>
      <c r="CY329" s="675">
        <f t="shared" si="9797"/>
        <v>0</v>
      </c>
      <c r="CZ329" s="549">
        <f t="shared" ref="CZ329:DG329" si="9798">CZ331+CZ333+CZ335+CZ337+CZ339+CZ341+CZ343+CZ345</f>
        <v>0</v>
      </c>
      <c r="DA329" s="675">
        <f t="shared" si="9798"/>
        <v>0</v>
      </c>
      <c r="DB329" s="549">
        <f t="shared" si="9798"/>
        <v>0</v>
      </c>
      <c r="DC329" s="675">
        <f t="shared" si="9798"/>
        <v>0</v>
      </c>
      <c r="DD329" s="549">
        <f t="shared" si="9798"/>
        <v>0</v>
      </c>
      <c r="DE329" s="675">
        <f t="shared" si="9798"/>
        <v>0</v>
      </c>
      <c r="DF329" s="549">
        <f t="shared" si="9798"/>
        <v>0</v>
      </c>
      <c r="DG329" s="675">
        <f t="shared" si="9798"/>
        <v>0</v>
      </c>
      <c r="DH329" s="549">
        <f t="shared" ref="DH329:HF329" si="9799">DH331+DH333+DH335+DH337+DH339+DH341+DH343+DH345</f>
        <v>0</v>
      </c>
      <c r="DI329" s="675">
        <f t="shared" si="9799"/>
        <v>0</v>
      </c>
      <c r="DJ329" s="549">
        <f t="shared" si="9799"/>
        <v>0</v>
      </c>
      <c r="DK329" s="675">
        <f t="shared" si="9799"/>
        <v>0</v>
      </c>
      <c r="DL329" s="549">
        <f t="shared" si="9799"/>
        <v>0</v>
      </c>
      <c r="DM329" s="675">
        <f t="shared" si="9799"/>
        <v>0</v>
      </c>
      <c r="DN329" s="549">
        <f t="shared" si="9799"/>
        <v>0</v>
      </c>
      <c r="DO329" s="675">
        <f t="shared" si="9799"/>
        <v>0</v>
      </c>
      <c r="DP329" s="549">
        <f t="shared" si="9799"/>
        <v>0</v>
      </c>
      <c r="DQ329" s="675">
        <f t="shared" si="9799"/>
        <v>0</v>
      </c>
      <c r="DR329" s="549">
        <f t="shared" si="9799"/>
        <v>0</v>
      </c>
      <c r="DS329" s="675">
        <f t="shared" si="9799"/>
        <v>0</v>
      </c>
      <c r="DT329" s="549">
        <f t="shared" si="9799"/>
        <v>0</v>
      </c>
      <c r="DU329" s="675">
        <f t="shared" si="9799"/>
        <v>0</v>
      </c>
      <c r="DV329" s="549">
        <f t="shared" si="9799"/>
        <v>0</v>
      </c>
      <c r="DW329" s="675">
        <f t="shared" si="9799"/>
        <v>0</v>
      </c>
      <c r="DX329" s="549">
        <f t="shared" si="9799"/>
        <v>0</v>
      </c>
      <c r="DY329" s="675">
        <f t="shared" si="9799"/>
        <v>0</v>
      </c>
      <c r="DZ329" s="549">
        <f t="shared" ref="DZ329:FA329" si="9800">DZ331+DZ333+DZ335+DZ337+DZ339+DZ341+DZ343+DZ345</f>
        <v>0</v>
      </c>
      <c r="EA329" s="675">
        <f t="shared" si="9800"/>
        <v>0</v>
      </c>
      <c r="EB329" s="549">
        <f t="shared" si="9800"/>
        <v>0</v>
      </c>
      <c r="EC329" s="675">
        <f t="shared" si="9800"/>
        <v>0</v>
      </c>
      <c r="ED329" s="549">
        <f t="shared" si="9800"/>
        <v>0</v>
      </c>
      <c r="EE329" s="675">
        <f t="shared" si="9800"/>
        <v>0</v>
      </c>
      <c r="EF329" s="549">
        <f t="shared" si="9800"/>
        <v>0</v>
      </c>
      <c r="EG329" s="675">
        <f t="shared" si="9800"/>
        <v>0</v>
      </c>
      <c r="EH329" s="549">
        <f t="shared" ref="EH329:EM329" si="9801">EH331+EH333+EH335+EH337+EH339+EH341+EH343+EH345</f>
        <v>0</v>
      </c>
      <c r="EI329" s="675">
        <f t="shared" si="9801"/>
        <v>0</v>
      </c>
      <c r="EJ329" s="549">
        <f t="shared" si="9801"/>
        <v>0</v>
      </c>
      <c r="EK329" s="675">
        <f t="shared" si="9801"/>
        <v>0</v>
      </c>
      <c r="EL329" s="549">
        <f t="shared" si="9801"/>
        <v>0</v>
      </c>
      <c r="EM329" s="675">
        <f t="shared" si="9801"/>
        <v>0</v>
      </c>
      <c r="EN329" s="549">
        <f t="shared" si="9800"/>
        <v>0</v>
      </c>
      <c r="EO329" s="675">
        <f t="shared" si="9800"/>
        <v>0</v>
      </c>
      <c r="EP329" s="549">
        <f t="shared" si="9800"/>
        <v>0</v>
      </c>
      <c r="EQ329" s="675">
        <f t="shared" si="9800"/>
        <v>0</v>
      </c>
      <c r="ER329" s="549">
        <f t="shared" si="9800"/>
        <v>0</v>
      </c>
      <c r="ES329" s="675">
        <f t="shared" si="9800"/>
        <v>0</v>
      </c>
      <c r="ET329" s="549">
        <f t="shared" si="9800"/>
        <v>0</v>
      </c>
      <c r="EU329" s="675">
        <f t="shared" si="9800"/>
        <v>0</v>
      </c>
      <c r="EV329" s="549">
        <f t="shared" ref="EV329:EW329" si="9802">EV331+EV333+EV335+EV337+EV339+EV341+EV343+EV345</f>
        <v>0</v>
      </c>
      <c r="EW329" s="675">
        <f t="shared" si="9802"/>
        <v>0</v>
      </c>
      <c r="EX329" s="549">
        <f t="shared" si="9800"/>
        <v>0</v>
      </c>
      <c r="EY329" s="675">
        <f t="shared" si="9800"/>
        <v>0</v>
      </c>
      <c r="EZ329" s="549">
        <f t="shared" si="9800"/>
        <v>0</v>
      </c>
      <c r="FA329" s="675">
        <f t="shared" si="9800"/>
        <v>0</v>
      </c>
      <c r="FB329" s="549">
        <f t="shared" si="9799"/>
        <v>0</v>
      </c>
      <c r="FC329" s="675">
        <f t="shared" si="9799"/>
        <v>0</v>
      </c>
      <c r="FD329" s="549">
        <f t="shared" si="9799"/>
        <v>0</v>
      </c>
      <c r="FE329" s="675">
        <f t="shared" si="9799"/>
        <v>0</v>
      </c>
      <c r="FF329" s="549">
        <f t="shared" ref="FF329:FG329" si="9803">FF331+FF333+FF335+FF337+FF339+FF341+FF343+FF345</f>
        <v>0</v>
      </c>
      <c r="FG329" s="675">
        <f t="shared" si="9803"/>
        <v>0</v>
      </c>
      <c r="FH329" s="549">
        <f t="shared" ref="FH329:FI329" si="9804">FH331+FH333+FH335+FH337+FH339+FH341+FH343+FH345</f>
        <v>0</v>
      </c>
      <c r="FI329" s="675">
        <f t="shared" si="9804"/>
        <v>0</v>
      </c>
      <c r="FJ329" s="549">
        <f t="shared" ref="FJ329:FK329" si="9805">FJ331+FJ333+FJ335+FJ337+FJ339+FJ341+FJ343+FJ345</f>
        <v>0</v>
      </c>
      <c r="FK329" s="675">
        <f t="shared" si="9805"/>
        <v>0</v>
      </c>
      <c r="FL329" s="549">
        <f t="shared" ref="FL329:FM329" si="9806">FL331+FL333+FL335+FL337+FL339+FL341+FL343+FL345</f>
        <v>0</v>
      </c>
      <c r="FM329" s="675">
        <f t="shared" si="9806"/>
        <v>0</v>
      </c>
      <c r="FN329" s="549">
        <f t="shared" ref="FN329:FO329" si="9807">FN331+FN333+FN335+FN337+FN339+FN341+FN343+FN345</f>
        <v>0</v>
      </c>
      <c r="FO329" s="675">
        <f t="shared" si="9807"/>
        <v>0</v>
      </c>
      <c r="FP329" s="549">
        <f t="shared" ref="FP329:FQ329" si="9808">FP331+FP333+FP335+FP337+FP339+FP341+FP343+FP345</f>
        <v>0</v>
      </c>
      <c r="FQ329" s="675">
        <f t="shared" si="9808"/>
        <v>0</v>
      </c>
      <c r="FR329" s="549">
        <f t="shared" ref="FR329:FS329" si="9809">FR331+FR333+FR335+FR337+FR339+FR341+FR343+FR345</f>
        <v>0</v>
      </c>
      <c r="FS329" s="675">
        <f t="shared" si="9809"/>
        <v>0</v>
      </c>
      <c r="FT329" s="549">
        <f t="shared" ref="FT329:FU329" si="9810">FT331+FT333+FT335+FT337+FT339+FT341+FT343+FT345</f>
        <v>0</v>
      </c>
      <c r="FU329" s="675">
        <f t="shared" si="9810"/>
        <v>0</v>
      </c>
      <c r="FV329" s="549">
        <f t="shared" ref="FV329:GK329" si="9811">FV331+FV333+FV335+FV337+FV339+FV341+FV343+FV345</f>
        <v>0</v>
      </c>
      <c r="FW329" s="675">
        <f t="shared" si="9811"/>
        <v>0</v>
      </c>
      <c r="FX329" s="549">
        <f t="shared" si="9811"/>
        <v>0</v>
      </c>
      <c r="FY329" s="675">
        <f t="shared" si="9811"/>
        <v>0</v>
      </c>
      <c r="FZ329" s="549">
        <f t="shared" ref="FZ329:GI329" si="9812">FZ331+FZ333+FZ335+FZ337+FZ339+FZ341+FZ343+FZ345</f>
        <v>0</v>
      </c>
      <c r="GA329" s="675">
        <f t="shared" si="9812"/>
        <v>0</v>
      </c>
      <c r="GB329" s="549">
        <f t="shared" si="9812"/>
        <v>0</v>
      </c>
      <c r="GC329" s="675">
        <f t="shared" si="9812"/>
        <v>0</v>
      </c>
      <c r="GD329" s="549">
        <f t="shared" si="9812"/>
        <v>0</v>
      </c>
      <c r="GE329" s="675">
        <f t="shared" si="9812"/>
        <v>0</v>
      </c>
      <c r="GF329" s="549">
        <f t="shared" si="9812"/>
        <v>0</v>
      </c>
      <c r="GG329" s="675">
        <f t="shared" si="9812"/>
        <v>0</v>
      </c>
      <c r="GH329" s="549">
        <f t="shared" si="9812"/>
        <v>0</v>
      </c>
      <c r="GI329" s="675">
        <f t="shared" si="9812"/>
        <v>0</v>
      </c>
      <c r="GJ329" s="549">
        <f t="shared" si="9811"/>
        <v>0</v>
      </c>
      <c r="GK329" s="675">
        <f t="shared" si="9811"/>
        <v>0</v>
      </c>
      <c r="GL329" s="549">
        <f t="shared" ref="GL329:GM329" si="9813">GL331+GL333+GL335+GL337+GL339+GL341+GL343+GL345</f>
        <v>0</v>
      </c>
      <c r="GM329" s="675">
        <f t="shared" si="9813"/>
        <v>0</v>
      </c>
      <c r="GN329" s="549">
        <f t="shared" ref="GN329:GO329" si="9814">GN331+GN333+GN335+GN337+GN339+GN341+GN343+GN345</f>
        <v>0</v>
      </c>
      <c r="GO329" s="675">
        <f t="shared" si="9814"/>
        <v>0</v>
      </c>
      <c r="GP329" s="549">
        <f>GP331+GP333+GP335+GP337+GP339+GP341+GP343+GP345</f>
        <v>125000</v>
      </c>
      <c r="GQ329" s="675">
        <f t="shared" si="9799"/>
        <v>0</v>
      </c>
      <c r="GR329" s="74">
        <f t="shared" si="9799"/>
        <v>125000</v>
      </c>
      <c r="GS329" s="74">
        <f t="shared" si="9799"/>
        <v>125000</v>
      </c>
      <c r="GT329" s="549">
        <f t="shared" si="9799"/>
        <v>125000</v>
      </c>
      <c r="GU329" s="74">
        <f t="shared" si="9799"/>
        <v>0</v>
      </c>
      <c r="GV329" s="74">
        <f t="shared" si="9799"/>
        <v>0</v>
      </c>
      <c r="GW329" s="549">
        <f t="shared" si="9799"/>
        <v>0</v>
      </c>
      <c r="GX329" s="549">
        <f t="shared" si="9799"/>
        <v>0</v>
      </c>
      <c r="GY329" s="74">
        <f t="shared" si="9799"/>
        <v>0</v>
      </c>
      <c r="GZ329" s="74">
        <f t="shared" si="9799"/>
        <v>0</v>
      </c>
      <c r="HA329" s="74">
        <f t="shared" si="9799"/>
        <v>0</v>
      </c>
      <c r="HB329" s="74">
        <f t="shared" si="9799"/>
        <v>0</v>
      </c>
      <c r="HC329" s="74">
        <f t="shared" si="9799"/>
        <v>0</v>
      </c>
      <c r="HD329" s="74">
        <f t="shared" si="9799"/>
        <v>0</v>
      </c>
      <c r="HE329" s="74">
        <f t="shared" si="9799"/>
        <v>0</v>
      </c>
      <c r="HF329" s="74">
        <f t="shared" si="9799"/>
        <v>0</v>
      </c>
      <c r="HG329" s="74">
        <f>HG331+HG333+HG335+HG337+HG339+HG341+HG343+HG345</f>
        <v>125000</v>
      </c>
      <c r="HH329" s="74">
        <f t="shared" ref="HH329:HI329" si="9815">HH331+HH333+HH335+HH337+HH339+HH341+HH343+HH345</f>
        <v>0</v>
      </c>
      <c r="HI329" s="792">
        <f t="shared" si="9815"/>
        <v>0</v>
      </c>
      <c r="HJ329" s="74">
        <f t="shared" ref="HJ329:HK329" si="9816">HJ331+HJ333+HJ335+HJ337+HJ339+HJ341+HJ343+HJ345</f>
        <v>0</v>
      </c>
      <c r="HK329" s="792">
        <f t="shared" si="9816"/>
        <v>0</v>
      </c>
      <c r="HL329" s="74">
        <f t="shared" ref="HL329:HM329" si="9817">HL331+HL333+HL335+HL337+HL339+HL341+HL343+HL345</f>
        <v>0</v>
      </c>
      <c r="HM329" s="792">
        <f t="shared" si="9817"/>
        <v>0</v>
      </c>
      <c r="HN329" s="74">
        <f t="shared" ref="HN329:HO329" si="9818">HN331+HN333+HN335+HN337+HN339+HN341+HN343+HN345</f>
        <v>0</v>
      </c>
      <c r="HO329" s="792">
        <f t="shared" si="9818"/>
        <v>0</v>
      </c>
      <c r="HP329" s="74">
        <f t="shared" ref="HP329:HQ329" si="9819">HP331+HP333+HP335+HP337+HP339+HP341+HP343+HP345</f>
        <v>0</v>
      </c>
      <c r="HQ329" s="792">
        <f t="shared" si="9819"/>
        <v>0</v>
      </c>
      <c r="HR329" s="74">
        <f t="shared" ref="HR329:HS329" si="9820">HR331+HR333+HR335+HR337+HR339+HR341+HR343+HR345</f>
        <v>0</v>
      </c>
      <c r="HS329" s="792">
        <f t="shared" si="9820"/>
        <v>0</v>
      </c>
      <c r="HT329" s="74">
        <f t="shared" ref="HT329:HU329" si="9821">HT331+HT333+HT335+HT337+HT339+HT341+HT343+HT345</f>
        <v>0</v>
      </c>
      <c r="HU329" s="792">
        <f t="shared" si="9821"/>
        <v>0</v>
      </c>
      <c r="HV329" s="74">
        <f t="shared" ref="HV329:HW329" si="9822">HV331+HV333+HV335+HV337+HV339+HV341+HV343+HV345</f>
        <v>0</v>
      </c>
      <c r="HW329" s="792">
        <f t="shared" si="9822"/>
        <v>0</v>
      </c>
      <c r="HX329" s="74">
        <f t="shared" ref="HX329:HY329" si="9823">HX331+HX333+HX335+HX337+HX339+HX341+HX343+HX345</f>
        <v>0</v>
      </c>
      <c r="HY329" s="792">
        <f t="shared" si="9823"/>
        <v>0</v>
      </c>
      <c r="HZ329" s="74">
        <f t="shared" ref="HZ329:IA329" si="9824">HZ331+HZ333+HZ335+HZ337+HZ339+HZ341+HZ343+HZ345</f>
        <v>0</v>
      </c>
      <c r="IA329" s="792">
        <f t="shared" si="9824"/>
        <v>0</v>
      </c>
      <c r="IB329" s="74">
        <f t="shared" ref="IB329:IC329" si="9825">IB331+IB333+IB335+IB337+IB339+IB341+IB343+IB345</f>
        <v>0</v>
      </c>
      <c r="IC329" s="792">
        <f t="shared" si="9825"/>
        <v>0</v>
      </c>
      <c r="ID329" s="74">
        <f t="shared" ref="ID329:IN329" si="9826">ID331+ID333+ID335+ID337+ID339+ID341+ID343+ID345</f>
        <v>0</v>
      </c>
      <c r="IE329" s="792">
        <f t="shared" si="9826"/>
        <v>0</v>
      </c>
      <c r="IF329" s="841">
        <f t="shared" si="9826"/>
        <v>0</v>
      </c>
      <c r="IG329" s="263">
        <f t="shared" si="9826"/>
        <v>0</v>
      </c>
      <c r="IH329" s="842">
        <f t="shared" si="9826"/>
        <v>0</v>
      </c>
      <c r="II329" s="74">
        <f t="shared" si="9826"/>
        <v>0</v>
      </c>
      <c r="IJ329" s="74">
        <f t="shared" si="9826"/>
        <v>0</v>
      </c>
      <c r="IK329" s="74">
        <f t="shared" si="9826"/>
        <v>0</v>
      </c>
      <c r="IL329" s="74">
        <f t="shared" si="9826"/>
        <v>0</v>
      </c>
      <c r="IM329" s="74">
        <f t="shared" si="9826"/>
        <v>0</v>
      </c>
      <c r="IN329" s="74">
        <f t="shared" si="9826"/>
        <v>0</v>
      </c>
      <c r="IO329" s="74">
        <f t="shared" ref="IO329:JC329" si="9827">IO331+IO333+IO335+IO337+IO339+IO341+IO343+IO345</f>
        <v>0</v>
      </c>
      <c r="IP329" s="74">
        <f t="shared" si="9827"/>
        <v>0</v>
      </c>
      <c r="IQ329" s="74">
        <f t="shared" si="9827"/>
        <v>0</v>
      </c>
      <c r="IR329" s="74">
        <f t="shared" si="9827"/>
        <v>0</v>
      </c>
      <c r="IS329" s="74">
        <f t="shared" si="9827"/>
        <v>0</v>
      </c>
      <c r="IT329" s="74">
        <f t="shared" si="9827"/>
        <v>0</v>
      </c>
      <c r="IU329" s="74">
        <f t="shared" si="9827"/>
        <v>0</v>
      </c>
      <c r="IV329" s="74">
        <f t="shared" si="9827"/>
        <v>0</v>
      </c>
      <c r="IW329" s="74">
        <f t="shared" si="9827"/>
        <v>0</v>
      </c>
      <c r="IX329" s="74">
        <f t="shared" si="9827"/>
        <v>0</v>
      </c>
      <c r="IY329" s="74">
        <f t="shared" si="9827"/>
        <v>0</v>
      </c>
      <c r="IZ329" s="74">
        <f t="shared" si="9827"/>
        <v>0</v>
      </c>
      <c r="JA329" s="74">
        <f t="shared" si="9827"/>
        <v>0</v>
      </c>
      <c r="JB329" s="74">
        <f t="shared" si="9827"/>
        <v>0</v>
      </c>
      <c r="JC329" s="74">
        <f t="shared" si="9827"/>
        <v>0</v>
      </c>
      <c r="JD329" s="74">
        <f t="shared" ref="JD329:JF329" si="9828">JD331+JD333+JD335+JD337+JD339+JD341+JD343+JD345</f>
        <v>0</v>
      </c>
      <c r="JE329" s="74">
        <f t="shared" si="9828"/>
        <v>0</v>
      </c>
      <c r="JF329" s="74">
        <f t="shared" si="9828"/>
        <v>0</v>
      </c>
      <c r="JG329" s="74">
        <f t="shared" ref="JG329:JI329" si="9829">JG331+JG333+JG335+JG337+JG339+JG341+JG343+JG345</f>
        <v>0</v>
      </c>
      <c r="JH329" s="74">
        <f t="shared" si="9829"/>
        <v>0</v>
      </c>
      <c r="JI329" s="74">
        <f t="shared" si="9829"/>
        <v>0</v>
      </c>
      <c r="JJ329" s="74">
        <f t="shared" ref="JJ329:JL329" si="9830">JJ331+JJ333+JJ335+JJ337+JJ339+JJ341+JJ343+JJ345</f>
        <v>0</v>
      </c>
      <c r="JK329" s="74">
        <f t="shared" si="9830"/>
        <v>0</v>
      </c>
      <c r="JL329" s="74">
        <f t="shared" si="9830"/>
        <v>0</v>
      </c>
      <c r="JM329" s="74">
        <f t="shared" ref="JM329:JO329" si="9831">JM331+JM333+JM335+JM337+JM339+JM341+JM343+JM345</f>
        <v>0</v>
      </c>
      <c r="JN329" s="74">
        <f t="shared" si="9831"/>
        <v>0</v>
      </c>
      <c r="JO329" s="74">
        <f t="shared" si="9831"/>
        <v>0</v>
      </c>
      <c r="JP329" s="74">
        <f t="shared" ref="JP329:JY329" si="9832">JP331+JP333+JP335+JP337+JP339+JP341+JP343+JP345</f>
        <v>0</v>
      </c>
      <c r="JQ329" s="74">
        <f t="shared" si="9832"/>
        <v>0</v>
      </c>
      <c r="JR329" s="74">
        <f t="shared" si="9832"/>
        <v>0</v>
      </c>
      <c r="JS329" s="74">
        <f>JS331+JS333+JS335+JS337+JS339+JS341+JS343+JS345</f>
        <v>125000</v>
      </c>
      <c r="JT329" s="102">
        <f>JT331+JT333+JT335+JT337+JT339+JT341+JT343+JT345</f>
        <v>125000</v>
      </c>
      <c r="JU329" s="665"/>
      <c r="JV329" s="524"/>
      <c r="JW329" s="525"/>
      <c r="JX329" s="548">
        <f t="shared" si="9832"/>
        <v>0</v>
      </c>
      <c r="JY329" s="548">
        <f t="shared" si="9832"/>
        <v>0</v>
      </c>
      <c r="JZ329" s="581">
        <f t="shared" si="9103"/>
        <v>125000</v>
      </c>
      <c r="KA329" s="581">
        <f t="shared" si="9104"/>
        <v>0</v>
      </c>
      <c r="KB329" s="548">
        <f t="shared" si="8622"/>
        <v>125000</v>
      </c>
      <c r="KC329" s="709">
        <f t="shared" si="9101"/>
        <v>0</v>
      </c>
      <c r="KD329" s="34"/>
      <c r="KE329" s="34"/>
      <c r="KF329" s="34"/>
      <c r="KG329" s="34"/>
      <c r="KH329" s="34"/>
      <c r="KI329" s="34"/>
      <c r="KJ329" s="34"/>
      <c r="KK329" s="34"/>
    </row>
    <row r="330" spans="1:297" s="10" customFormat="1" ht="12.75" customHeight="1">
      <c r="A330" s="71"/>
      <c r="B330" s="77"/>
      <c r="C330" s="74"/>
      <c r="D330" s="549"/>
      <c r="E330" s="675"/>
      <c r="F330" s="549"/>
      <c r="G330" s="675"/>
      <c r="H330" s="549"/>
      <c r="I330" s="675"/>
      <c r="J330" s="549"/>
      <c r="K330" s="675"/>
      <c r="L330" s="549"/>
      <c r="M330" s="675"/>
      <c r="N330" s="549"/>
      <c r="O330" s="675"/>
      <c r="P330" s="549"/>
      <c r="Q330" s="675"/>
      <c r="R330" s="549"/>
      <c r="S330" s="675"/>
      <c r="T330" s="549"/>
      <c r="U330" s="675"/>
      <c r="V330" s="549"/>
      <c r="W330" s="675"/>
      <c r="X330" s="549"/>
      <c r="Y330" s="675"/>
      <c r="Z330" s="549"/>
      <c r="AA330" s="675"/>
      <c r="AB330" s="549"/>
      <c r="AC330" s="675"/>
      <c r="AD330" s="549"/>
      <c r="AE330" s="675"/>
      <c r="AF330" s="549"/>
      <c r="AG330" s="675"/>
      <c r="AH330" s="549"/>
      <c r="AI330" s="675"/>
      <c r="AJ330" s="549"/>
      <c r="AK330" s="675"/>
      <c r="AL330" s="549"/>
      <c r="AM330" s="675"/>
      <c r="AN330" s="549"/>
      <c r="AO330" s="675"/>
      <c r="AP330" s="549"/>
      <c r="AQ330" s="675"/>
      <c r="AR330" s="549"/>
      <c r="AS330" s="675"/>
      <c r="AT330" s="549"/>
      <c r="AU330" s="675"/>
      <c r="AV330" s="549"/>
      <c r="AW330" s="675"/>
      <c r="AX330" s="549"/>
      <c r="AY330" s="675"/>
      <c r="AZ330" s="549"/>
      <c r="BA330" s="675"/>
      <c r="BB330" s="549"/>
      <c r="BC330" s="675"/>
      <c r="BD330" s="549"/>
      <c r="BE330" s="675"/>
      <c r="BF330" s="549"/>
      <c r="BG330" s="675"/>
      <c r="BH330" s="549"/>
      <c r="BI330" s="675"/>
      <c r="BJ330" s="549"/>
      <c r="BK330" s="675"/>
      <c r="BL330" s="549"/>
      <c r="BM330" s="675"/>
      <c r="BN330" s="549"/>
      <c r="BO330" s="675"/>
      <c r="BP330" s="549"/>
      <c r="BQ330" s="675"/>
      <c r="BR330" s="549"/>
      <c r="BS330" s="675"/>
      <c r="BT330" s="549"/>
      <c r="BU330" s="675"/>
      <c r="BV330" s="549"/>
      <c r="BW330" s="675"/>
      <c r="BX330" s="549"/>
      <c r="BY330" s="675"/>
      <c r="BZ330" s="549"/>
      <c r="CA330" s="675"/>
      <c r="CB330" s="549"/>
      <c r="CC330" s="675"/>
      <c r="CD330" s="549"/>
      <c r="CE330" s="675"/>
      <c r="CF330" s="549"/>
      <c r="CG330" s="675"/>
      <c r="CH330" s="549"/>
      <c r="CI330" s="675"/>
      <c r="CJ330" s="549"/>
      <c r="CK330" s="675"/>
      <c r="CL330" s="549"/>
      <c r="CM330" s="675"/>
      <c r="CN330" s="549"/>
      <c r="CO330" s="675"/>
      <c r="CP330" s="549"/>
      <c r="CQ330" s="675"/>
      <c r="CR330" s="549"/>
      <c r="CS330" s="675"/>
      <c r="CT330" s="549"/>
      <c r="CU330" s="675"/>
      <c r="CV330" s="549"/>
      <c r="CW330" s="675"/>
      <c r="CX330" s="549"/>
      <c r="CY330" s="675"/>
      <c r="CZ330" s="549"/>
      <c r="DA330" s="675"/>
      <c r="DB330" s="549"/>
      <c r="DC330" s="675"/>
      <c r="DD330" s="549"/>
      <c r="DE330" s="675"/>
      <c r="DF330" s="549"/>
      <c r="DG330" s="675"/>
      <c r="DH330" s="549"/>
      <c r="DI330" s="675"/>
      <c r="DJ330" s="549"/>
      <c r="DK330" s="675"/>
      <c r="DL330" s="549"/>
      <c r="DM330" s="675"/>
      <c r="DN330" s="549"/>
      <c r="DO330" s="675"/>
      <c r="DP330" s="549"/>
      <c r="DQ330" s="675"/>
      <c r="DR330" s="549"/>
      <c r="DS330" s="675"/>
      <c r="DT330" s="549"/>
      <c r="DU330" s="675"/>
      <c r="DV330" s="549"/>
      <c r="DW330" s="675"/>
      <c r="DX330" s="549"/>
      <c r="DY330" s="675"/>
      <c r="DZ330" s="549"/>
      <c r="EA330" s="675"/>
      <c r="EB330" s="549"/>
      <c r="EC330" s="675"/>
      <c r="ED330" s="549"/>
      <c r="EE330" s="675"/>
      <c r="EF330" s="549"/>
      <c r="EG330" s="675"/>
      <c r="EH330" s="549"/>
      <c r="EI330" s="675"/>
      <c r="EJ330" s="549"/>
      <c r="EK330" s="675"/>
      <c r="EL330" s="549"/>
      <c r="EM330" s="675"/>
      <c r="EN330" s="549"/>
      <c r="EO330" s="675"/>
      <c r="EP330" s="549"/>
      <c r="EQ330" s="675"/>
      <c r="ER330" s="549"/>
      <c r="ES330" s="675"/>
      <c r="ET330" s="549"/>
      <c r="EU330" s="675"/>
      <c r="EV330" s="549"/>
      <c r="EW330" s="675"/>
      <c r="EX330" s="549"/>
      <c r="EY330" s="675"/>
      <c r="EZ330" s="549"/>
      <c r="FA330" s="675"/>
      <c r="FB330" s="549"/>
      <c r="FC330" s="675"/>
      <c r="FD330" s="549"/>
      <c r="FE330" s="675"/>
      <c r="FF330" s="549"/>
      <c r="FG330" s="675"/>
      <c r="FH330" s="549"/>
      <c r="FI330" s="675"/>
      <c r="FJ330" s="549"/>
      <c r="FK330" s="675"/>
      <c r="FL330" s="549"/>
      <c r="FM330" s="675"/>
      <c r="FN330" s="549"/>
      <c r="FO330" s="675"/>
      <c r="FP330" s="549"/>
      <c r="FQ330" s="675"/>
      <c r="FR330" s="549"/>
      <c r="FS330" s="675"/>
      <c r="FT330" s="549"/>
      <c r="FU330" s="675"/>
      <c r="FV330" s="549"/>
      <c r="FW330" s="675"/>
      <c r="FX330" s="549"/>
      <c r="FY330" s="675"/>
      <c r="FZ330" s="549"/>
      <c r="GA330" s="675"/>
      <c r="GB330" s="549"/>
      <c r="GC330" s="675"/>
      <c r="GD330" s="549"/>
      <c r="GE330" s="675"/>
      <c r="GF330" s="549"/>
      <c r="GG330" s="675"/>
      <c r="GH330" s="549"/>
      <c r="GI330" s="675"/>
      <c r="GJ330" s="549"/>
      <c r="GK330" s="675"/>
      <c r="GL330" s="549"/>
      <c r="GM330" s="675"/>
      <c r="GN330" s="549"/>
      <c r="GO330" s="675"/>
      <c r="GP330" s="549"/>
      <c r="GQ330" s="675"/>
      <c r="GR330" s="74"/>
      <c r="GS330" s="74"/>
      <c r="GT330" s="549"/>
      <c r="GU330" s="74"/>
      <c r="GV330" s="74"/>
      <c r="GW330" s="549"/>
      <c r="GX330" s="549"/>
      <c r="GY330" s="74"/>
      <c r="GZ330" s="74"/>
      <c r="HA330" s="74"/>
      <c r="HB330" s="74"/>
      <c r="HC330" s="74"/>
      <c r="HD330" s="74"/>
      <c r="HE330" s="74"/>
      <c r="HF330" s="74"/>
      <c r="HG330" s="74"/>
      <c r="HH330" s="74"/>
      <c r="HI330" s="792"/>
      <c r="HJ330" s="74"/>
      <c r="HK330" s="792"/>
      <c r="HL330" s="74"/>
      <c r="HM330" s="792"/>
      <c r="HN330" s="74"/>
      <c r="HO330" s="792"/>
      <c r="HP330" s="74"/>
      <c r="HQ330" s="792"/>
      <c r="HR330" s="74"/>
      <c r="HS330" s="792"/>
      <c r="HT330" s="74"/>
      <c r="HU330" s="792"/>
      <c r="HV330" s="74"/>
      <c r="HW330" s="792"/>
      <c r="HX330" s="74"/>
      <c r="HY330" s="792"/>
      <c r="HZ330" s="74"/>
      <c r="IA330" s="792"/>
      <c r="IB330" s="74"/>
      <c r="IC330" s="792"/>
      <c r="ID330" s="74"/>
      <c r="IE330" s="792"/>
      <c r="IF330" s="841"/>
      <c r="IG330" s="263"/>
      <c r="IH330" s="842"/>
      <c r="II330" s="74"/>
      <c r="IJ330" s="74"/>
      <c r="IK330" s="74"/>
      <c r="IL330" s="74"/>
      <c r="IM330" s="74"/>
      <c r="IN330" s="74"/>
      <c r="IO330" s="74"/>
      <c r="IP330" s="74"/>
      <c r="IQ330" s="74"/>
      <c r="IR330" s="74"/>
      <c r="IS330" s="74"/>
      <c r="IT330" s="74"/>
      <c r="IU330" s="74"/>
      <c r="IV330" s="74"/>
      <c r="IW330" s="74"/>
      <c r="IX330" s="74"/>
      <c r="IY330" s="74"/>
      <c r="IZ330" s="74"/>
      <c r="JA330" s="74"/>
      <c r="JB330" s="74"/>
      <c r="JC330" s="74"/>
      <c r="JD330" s="74"/>
      <c r="JE330" s="74"/>
      <c r="JF330" s="74"/>
      <c r="JG330" s="74"/>
      <c r="JH330" s="74"/>
      <c r="JI330" s="74"/>
      <c r="JJ330" s="74"/>
      <c r="JK330" s="74"/>
      <c r="JL330" s="74"/>
      <c r="JM330" s="74"/>
      <c r="JN330" s="74"/>
      <c r="JO330" s="74"/>
      <c r="JP330" s="74"/>
      <c r="JQ330" s="74"/>
      <c r="JR330" s="74"/>
      <c r="JS330" s="74"/>
      <c r="JT330" s="382"/>
      <c r="JU330" s="665"/>
      <c r="JV330" s="524"/>
      <c r="JW330" s="525"/>
      <c r="JX330" s="548"/>
      <c r="JY330" s="548"/>
      <c r="JZ330" s="581">
        <f t="shared" si="9103"/>
        <v>0</v>
      </c>
      <c r="KA330" s="581">
        <f t="shared" si="9104"/>
        <v>0</v>
      </c>
      <c r="KB330" s="548">
        <f t="shared" si="8622"/>
        <v>0</v>
      </c>
      <c r="KC330" s="709">
        <f t="shared" si="9101"/>
        <v>0</v>
      </c>
      <c r="KD330" s="36"/>
      <c r="KE330" s="36"/>
      <c r="KF330" s="36"/>
      <c r="KG330" s="36"/>
      <c r="KH330" s="36"/>
      <c r="KI330" s="36"/>
      <c r="KJ330" s="36"/>
      <c r="KK330" s="36"/>
    </row>
    <row r="331" spans="1:297" s="10" customFormat="1" ht="12.75" customHeight="1">
      <c r="A331" s="80" t="s">
        <v>813</v>
      </c>
      <c r="B331" s="77"/>
      <c r="C331" s="74">
        <v>0</v>
      </c>
      <c r="D331" s="549">
        <v>0</v>
      </c>
      <c r="E331" s="675">
        <v>0</v>
      </c>
      <c r="F331" s="549">
        <v>0</v>
      </c>
      <c r="G331" s="675">
        <v>0</v>
      </c>
      <c r="H331" s="549">
        <v>0</v>
      </c>
      <c r="I331" s="675">
        <v>0</v>
      </c>
      <c r="J331" s="549">
        <v>0</v>
      </c>
      <c r="K331" s="675">
        <v>0</v>
      </c>
      <c r="L331" s="549">
        <v>0</v>
      </c>
      <c r="M331" s="675">
        <v>0</v>
      </c>
      <c r="N331" s="549">
        <v>0</v>
      </c>
      <c r="O331" s="675">
        <v>0</v>
      </c>
      <c r="P331" s="549">
        <v>0</v>
      </c>
      <c r="Q331" s="675">
        <v>0</v>
      </c>
      <c r="R331" s="549">
        <v>0</v>
      </c>
      <c r="S331" s="675">
        <v>0</v>
      </c>
      <c r="T331" s="549">
        <v>0</v>
      </c>
      <c r="U331" s="675">
        <v>0</v>
      </c>
      <c r="V331" s="549">
        <v>0</v>
      </c>
      <c r="W331" s="675">
        <v>0</v>
      </c>
      <c r="X331" s="549">
        <v>0</v>
      </c>
      <c r="Y331" s="675">
        <v>0</v>
      </c>
      <c r="Z331" s="549">
        <v>0</v>
      </c>
      <c r="AA331" s="675">
        <v>0</v>
      </c>
      <c r="AB331" s="549">
        <v>0</v>
      </c>
      <c r="AC331" s="675">
        <v>0</v>
      </c>
      <c r="AD331" s="549">
        <v>0</v>
      </c>
      <c r="AE331" s="675">
        <v>0</v>
      </c>
      <c r="AF331" s="549">
        <v>0</v>
      </c>
      <c r="AG331" s="675">
        <v>0</v>
      </c>
      <c r="AH331" s="549">
        <v>0</v>
      </c>
      <c r="AI331" s="675">
        <v>0</v>
      </c>
      <c r="AJ331" s="549">
        <v>0</v>
      </c>
      <c r="AK331" s="675">
        <v>0</v>
      </c>
      <c r="AL331" s="549">
        <v>0</v>
      </c>
      <c r="AM331" s="675">
        <v>0</v>
      </c>
      <c r="AN331" s="549">
        <v>125000</v>
      </c>
      <c r="AO331" s="675">
        <v>0</v>
      </c>
      <c r="AP331" s="549">
        <v>0</v>
      </c>
      <c r="AQ331" s="675">
        <v>0</v>
      </c>
      <c r="AR331" s="549">
        <v>0</v>
      </c>
      <c r="AS331" s="675">
        <v>0</v>
      </c>
      <c r="AT331" s="549">
        <v>0</v>
      </c>
      <c r="AU331" s="675">
        <v>0</v>
      </c>
      <c r="AV331" s="549">
        <v>0</v>
      </c>
      <c r="AW331" s="675">
        <v>0</v>
      </c>
      <c r="AX331" s="549">
        <v>0</v>
      </c>
      <c r="AY331" s="675">
        <v>0</v>
      </c>
      <c r="AZ331" s="549">
        <v>0</v>
      </c>
      <c r="BA331" s="675">
        <v>0</v>
      </c>
      <c r="BB331" s="549">
        <v>0</v>
      </c>
      <c r="BC331" s="675">
        <v>0</v>
      </c>
      <c r="BD331" s="549">
        <v>0</v>
      </c>
      <c r="BE331" s="675">
        <v>0</v>
      </c>
      <c r="BF331" s="549">
        <v>0</v>
      </c>
      <c r="BG331" s="675">
        <v>0</v>
      </c>
      <c r="BH331" s="549">
        <v>0</v>
      </c>
      <c r="BI331" s="675">
        <v>0</v>
      </c>
      <c r="BJ331" s="549">
        <v>0</v>
      </c>
      <c r="BK331" s="675">
        <v>0</v>
      </c>
      <c r="BL331" s="549">
        <v>0</v>
      </c>
      <c r="BM331" s="675">
        <v>0</v>
      </c>
      <c r="BN331" s="549">
        <v>0</v>
      </c>
      <c r="BO331" s="675">
        <v>0</v>
      </c>
      <c r="BP331" s="549">
        <v>0</v>
      </c>
      <c r="BQ331" s="675">
        <v>0</v>
      </c>
      <c r="BR331" s="549">
        <v>0</v>
      </c>
      <c r="BS331" s="675">
        <v>0</v>
      </c>
      <c r="BT331" s="549">
        <v>0</v>
      </c>
      <c r="BU331" s="675">
        <v>0</v>
      </c>
      <c r="BV331" s="549">
        <v>0</v>
      </c>
      <c r="BW331" s="675">
        <v>0</v>
      </c>
      <c r="BX331" s="549">
        <v>0</v>
      </c>
      <c r="BY331" s="675">
        <v>0</v>
      </c>
      <c r="BZ331" s="549">
        <v>0</v>
      </c>
      <c r="CA331" s="675">
        <v>0</v>
      </c>
      <c r="CB331" s="549">
        <v>0</v>
      </c>
      <c r="CC331" s="675">
        <v>0</v>
      </c>
      <c r="CD331" s="549">
        <v>0</v>
      </c>
      <c r="CE331" s="675">
        <v>0</v>
      </c>
      <c r="CF331" s="549">
        <v>0</v>
      </c>
      <c r="CG331" s="675">
        <v>0</v>
      </c>
      <c r="CH331" s="549">
        <v>0</v>
      </c>
      <c r="CI331" s="675">
        <v>0</v>
      </c>
      <c r="CJ331" s="549">
        <v>0</v>
      </c>
      <c r="CK331" s="675">
        <v>0</v>
      </c>
      <c r="CL331" s="549">
        <v>0</v>
      </c>
      <c r="CM331" s="675">
        <v>0</v>
      </c>
      <c r="CN331" s="549">
        <v>0</v>
      </c>
      <c r="CO331" s="675">
        <v>0</v>
      </c>
      <c r="CP331" s="549">
        <v>0</v>
      </c>
      <c r="CQ331" s="675">
        <v>0</v>
      </c>
      <c r="CR331" s="549">
        <v>0</v>
      </c>
      <c r="CS331" s="675">
        <v>0</v>
      </c>
      <c r="CT331" s="549">
        <v>0</v>
      </c>
      <c r="CU331" s="675">
        <v>0</v>
      </c>
      <c r="CV331" s="549">
        <v>0</v>
      </c>
      <c r="CW331" s="675">
        <v>0</v>
      </c>
      <c r="CX331" s="549">
        <v>0</v>
      </c>
      <c r="CY331" s="675">
        <v>0</v>
      </c>
      <c r="CZ331" s="549">
        <v>0</v>
      </c>
      <c r="DA331" s="675">
        <v>0</v>
      </c>
      <c r="DB331" s="549">
        <v>0</v>
      </c>
      <c r="DC331" s="675">
        <v>0</v>
      </c>
      <c r="DD331" s="549">
        <v>0</v>
      </c>
      <c r="DE331" s="675">
        <v>0</v>
      </c>
      <c r="DF331" s="549">
        <v>0</v>
      </c>
      <c r="DG331" s="675">
        <v>0</v>
      </c>
      <c r="DH331" s="549">
        <v>0</v>
      </c>
      <c r="DI331" s="675">
        <v>0</v>
      </c>
      <c r="DJ331" s="549">
        <v>0</v>
      </c>
      <c r="DK331" s="675">
        <v>0</v>
      </c>
      <c r="DL331" s="549">
        <v>0</v>
      </c>
      <c r="DM331" s="675">
        <v>0</v>
      </c>
      <c r="DN331" s="549">
        <v>0</v>
      </c>
      <c r="DO331" s="675">
        <v>0</v>
      </c>
      <c r="DP331" s="549">
        <v>0</v>
      </c>
      <c r="DQ331" s="675">
        <v>0</v>
      </c>
      <c r="DR331" s="549">
        <v>0</v>
      </c>
      <c r="DS331" s="675">
        <v>0</v>
      </c>
      <c r="DT331" s="549">
        <v>0</v>
      </c>
      <c r="DU331" s="675">
        <v>0</v>
      </c>
      <c r="DV331" s="549">
        <v>0</v>
      </c>
      <c r="DW331" s="675">
        <v>0</v>
      </c>
      <c r="DX331" s="549">
        <v>0</v>
      </c>
      <c r="DY331" s="675">
        <v>0</v>
      </c>
      <c r="DZ331" s="549">
        <v>0</v>
      </c>
      <c r="EA331" s="675">
        <v>0</v>
      </c>
      <c r="EB331" s="549">
        <v>0</v>
      </c>
      <c r="EC331" s="675">
        <v>0</v>
      </c>
      <c r="ED331" s="549">
        <v>0</v>
      </c>
      <c r="EE331" s="675">
        <v>0</v>
      </c>
      <c r="EF331" s="549">
        <v>0</v>
      </c>
      <c r="EG331" s="675">
        <v>0</v>
      </c>
      <c r="EH331" s="549">
        <v>0</v>
      </c>
      <c r="EI331" s="675">
        <v>0</v>
      </c>
      <c r="EJ331" s="549">
        <v>0</v>
      </c>
      <c r="EK331" s="675">
        <v>0</v>
      </c>
      <c r="EL331" s="549">
        <v>0</v>
      </c>
      <c r="EM331" s="675">
        <v>0</v>
      </c>
      <c r="EN331" s="549">
        <v>0</v>
      </c>
      <c r="EO331" s="675">
        <v>0</v>
      </c>
      <c r="EP331" s="549">
        <v>0</v>
      </c>
      <c r="EQ331" s="675">
        <v>0</v>
      </c>
      <c r="ER331" s="549">
        <v>0</v>
      </c>
      <c r="ES331" s="675">
        <v>0</v>
      </c>
      <c r="ET331" s="549">
        <v>0</v>
      </c>
      <c r="EU331" s="675">
        <v>0</v>
      </c>
      <c r="EV331" s="549">
        <v>0</v>
      </c>
      <c r="EW331" s="675">
        <v>0</v>
      </c>
      <c r="EX331" s="549">
        <v>0</v>
      </c>
      <c r="EY331" s="675">
        <v>0</v>
      </c>
      <c r="EZ331" s="549">
        <v>0</v>
      </c>
      <c r="FA331" s="675">
        <v>0</v>
      </c>
      <c r="FB331" s="549">
        <v>0</v>
      </c>
      <c r="FC331" s="675">
        <v>0</v>
      </c>
      <c r="FD331" s="549">
        <v>0</v>
      </c>
      <c r="FE331" s="675">
        <v>0</v>
      </c>
      <c r="FF331" s="549">
        <v>0</v>
      </c>
      <c r="FG331" s="675">
        <v>0</v>
      </c>
      <c r="FH331" s="549">
        <v>0</v>
      </c>
      <c r="FI331" s="675">
        <v>0</v>
      </c>
      <c r="FJ331" s="549">
        <v>0</v>
      </c>
      <c r="FK331" s="675">
        <v>0</v>
      </c>
      <c r="FL331" s="549">
        <v>0</v>
      </c>
      <c r="FM331" s="675">
        <v>0</v>
      </c>
      <c r="FN331" s="549">
        <v>0</v>
      </c>
      <c r="FO331" s="675">
        <v>0</v>
      </c>
      <c r="FP331" s="549">
        <v>0</v>
      </c>
      <c r="FQ331" s="675">
        <v>0</v>
      </c>
      <c r="FR331" s="549">
        <v>0</v>
      </c>
      <c r="FS331" s="675">
        <v>0</v>
      </c>
      <c r="FT331" s="549">
        <v>0</v>
      </c>
      <c r="FU331" s="675">
        <v>0</v>
      </c>
      <c r="FV331" s="549">
        <v>0</v>
      </c>
      <c r="FW331" s="675">
        <v>0</v>
      </c>
      <c r="FX331" s="549">
        <v>0</v>
      </c>
      <c r="FY331" s="675">
        <v>0</v>
      </c>
      <c r="FZ331" s="549">
        <v>0</v>
      </c>
      <c r="GA331" s="675">
        <v>0</v>
      </c>
      <c r="GB331" s="549">
        <v>0</v>
      </c>
      <c r="GC331" s="675">
        <v>0</v>
      </c>
      <c r="GD331" s="549">
        <v>0</v>
      </c>
      <c r="GE331" s="675">
        <v>0</v>
      </c>
      <c r="GF331" s="549">
        <v>0</v>
      </c>
      <c r="GG331" s="675">
        <v>0</v>
      </c>
      <c r="GH331" s="549">
        <v>0</v>
      </c>
      <c r="GI331" s="675">
        <v>0</v>
      </c>
      <c r="GJ331" s="549">
        <v>0</v>
      </c>
      <c r="GK331" s="675">
        <v>0</v>
      </c>
      <c r="GL331" s="549">
        <v>0</v>
      </c>
      <c r="GM331" s="675">
        <v>0</v>
      </c>
      <c r="GN331" s="549">
        <v>0</v>
      </c>
      <c r="GO331" s="675">
        <v>0</v>
      </c>
      <c r="GP331" s="549">
        <f>+D331+F331+H331+J331+L331+N331+P331+R331+T331+V331+X331+Z331+AB331+AD331+AH331+AJ331+AL331+AN331+AP331+AR331+AT331+AV331+AX331+AZ331+BB331+BD331+BF331+BH331+BJ331+BL331+BN331+BP331+BR331+BT331+BV331+BX331+BZ331+CB331+CD331+CF331+CH331+CJ331+CL331+CN331+CP331+CR331+CT331+CV331+CX331+CZ331+DB331+DD331+DF331+DH331+DT331+EX331+DJ331+DL331+DN331+DP331+DR331+EJ331+EB331+DZ331+DX331+DV331+ED331+EF331+EH331+EL331+EN331+EP331+EV331+ET331+ER331+EZ331+FB331+FD331+GL331</f>
        <v>125000</v>
      </c>
      <c r="GQ331" s="675">
        <f>+E331+G331+I331+K331+M331+O331+Q331+S331+U331+W331+Y331+AA331+AC331+AE331+AI331+AK331+AM331+AO331+AQ331+AS331+AU331+AW331+AY331+BA331+BC331+BE331+BG331+BI331+BK331+BM331+BO331+BQ331+BS331+BU331+BW331+BY331+CA331+CC331+CE331+CG331+CI331+CK331+CM331+CO331+CQ331+CS331+CU331+CW331+CY331+DA331+DC331+DE331+DG331+DI331+DU331+EY331+DK331+DM331+DO331+DQ331+DS331+EK331+EC331+EA331+DY331+DW331+EI331+EG331+EE331+EM331+EO331+EQ331+EW331+EU331+ES331+FA331+FC331+FE331+GM331</f>
        <v>0</v>
      </c>
      <c r="GR331" s="74">
        <f>C331+GP331+GQ331</f>
        <v>125000</v>
      </c>
      <c r="GS331" s="74">
        <f>SUM(GU331:HD331)+GP331+GQ331</f>
        <v>125000</v>
      </c>
      <c r="GT331" s="568">
        <f>SUM(GU331:HF331)+GQ331+GP331</f>
        <v>125000</v>
      </c>
      <c r="GU331" s="275">
        <v>0</v>
      </c>
      <c r="GV331" s="275">
        <v>0</v>
      </c>
      <c r="GW331" s="588">
        <v>0</v>
      </c>
      <c r="GX331" s="588">
        <v>0</v>
      </c>
      <c r="GY331" s="275">
        <v>0</v>
      </c>
      <c r="GZ331" s="275">
        <v>0</v>
      </c>
      <c r="HA331" s="275">
        <v>0</v>
      </c>
      <c r="HB331" s="275">
        <v>0</v>
      </c>
      <c r="HC331" s="275">
        <v>0</v>
      </c>
      <c r="HD331" s="275">
        <v>0</v>
      </c>
      <c r="HE331" s="275">
        <v>0</v>
      </c>
      <c r="HF331" s="275">
        <v>0</v>
      </c>
      <c r="HG331" s="74">
        <f>SUM(HH331:IE331)+GP331+GQ331</f>
        <v>125000</v>
      </c>
      <c r="HH331" s="89">
        <v>0</v>
      </c>
      <c r="HI331" s="817">
        <v>0</v>
      </c>
      <c r="HJ331" s="89">
        <v>0</v>
      </c>
      <c r="HK331" s="817">
        <v>0</v>
      </c>
      <c r="HL331" s="89">
        <v>0</v>
      </c>
      <c r="HM331" s="817">
        <v>0</v>
      </c>
      <c r="HN331" s="89">
        <v>0</v>
      </c>
      <c r="HO331" s="817">
        <v>0</v>
      </c>
      <c r="HP331" s="89">
        <v>0</v>
      </c>
      <c r="HQ331" s="817">
        <v>0</v>
      </c>
      <c r="HR331" s="89">
        <v>0</v>
      </c>
      <c r="HS331" s="817">
        <v>0</v>
      </c>
      <c r="HT331" s="89">
        <v>0</v>
      </c>
      <c r="HU331" s="817">
        <v>0</v>
      </c>
      <c r="HV331" s="89">
        <v>0</v>
      </c>
      <c r="HW331" s="817">
        <v>0</v>
      </c>
      <c r="HX331" s="89">
        <v>0</v>
      </c>
      <c r="HY331" s="817">
        <v>0</v>
      </c>
      <c r="HZ331" s="89">
        <v>0</v>
      </c>
      <c r="IA331" s="817">
        <v>0</v>
      </c>
      <c r="IB331" s="89">
        <v>0</v>
      </c>
      <c r="IC331" s="817">
        <v>0</v>
      </c>
      <c r="ID331" s="89">
        <v>0</v>
      </c>
      <c r="IE331" s="817">
        <v>0</v>
      </c>
      <c r="IF331" s="841">
        <f t="shared" ref="IF331" si="9833">SUM(II331,IL331,IO331,IR331,IU331,IX331,JA331,JD331,JG331,JJ331,JM331,JP331)</f>
        <v>0</v>
      </c>
      <c r="IG331" s="263">
        <f t="shared" ref="IG331" si="9834">SUM(IJ331,IM331,IP331,IS331,IV331,IY331,JB331,JE331,JH331,JK331,JN331,JQ331)</f>
        <v>0</v>
      </c>
      <c r="IH331" s="842">
        <f t="shared" ref="IH331" si="9835">SUM(IK331,IN331,IQ331,IT331,IW331,IZ331,JC331,JF331,JI331,JL331,JO331,JR331)</f>
        <v>0</v>
      </c>
      <c r="II331" s="89">
        <v>0</v>
      </c>
      <c r="IJ331" s="89">
        <v>0</v>
      </c>
      <c r="IK331" s="89">
        <v>0</v>
      </c>
      <c r="IL331" s="89">
        <v>0</v>
      </c>
      <c r="IM331" s="89">
        <v>0</v>
      </c>
      <c r="IN331" s="89">
        <v>0</v>
      </c>
      <c r="IO331" s="89">
        <v>0</v>
      </c>
      <c r="IP331" s="89">
        <v>0</v>
      </c>
      <c r="IQ331" s="89">
        <v>0</v>
      </c>
      <c r="IR331" s="89">
        <v>0</v>
      </c>
      <c r="IS331" s="89">
        <v>0</v>
      </c>
      <c r="IT331" s="89">
        <v>0</v>
      </c>
      <c r="IU331" s="89">
        <v>0</v>
      </c>
      <c r="IV331" s="89">
        <v>0</v>
      </c>
      <c r="IW331" s="89">
        <v>0</v>
      </c>
      <c r="IX331" s="89">
        <v>0</v>
      </c>
      <c r="IY331" s="89">
        <v>0</v>
      </c>
      <c r="IZ331" s="89">
        <v>0</v>
      </c>
      <c r="JA331" s="89">
        <v>0</v>
      </c>
      <c r="JB331" s="89">
        <v>0</v>
      </c>
      <c r="JC331" s="89">
        <v>0</v>
      </c>
      <c r="JD331" s="89">
        <v>0</v>
      </c>
      <c r="JE331" s="89">
        <v>0</v>
      </c>
      <c r="JF331" s="89">
        <v>0</v>
      </c>
      <c r="JG331" s="89">
        <v>0</v>
      </c>
      <c r="JH331" s="89">
        <v>0</v>
      </c>
      <c r="JI331" s="89">
        <v>0</v>
      </c>
      <c r="JJ331" s="89">
        <v>0</v>
      </c>
      <c r="JK331" s="89">
        <v>0</v>
      </c>
      <c r="JL331" s="89">
        <v>0</v>
      </c>
      <c r="JM331" s="89">
        <v>0</v>
      </c>
      <c r="JN331" s="89">
        <v>0</v>
      </c>
      <c r="JO331" s="89">
        <v>0</v>
      </c>
      <c r="JP331" s="89">
        <v>0</v>
      </c>
      <c r="JQ331" s="89">
        <v>0</v>
      </c>
      <c r="JR331" s="89">
        <v>0</v>
      </c>
      <c r="JS331" s="74">
        <f>HG331-IF331</f>
        <v>125000</v>
      </c>
      <c r="JT331" s="382">
        <f>GS331-IF331</f>
        <v>125000</v>
      </c>
      <c r="JU331" s="665"/>
      <c r="JV331" s="524"/>
      <c r="JW331" s="525"/>
      <c r="JX331" s="548">
        <f>SUM(HH331,HJ331,HL331,HN331,HP331,HR331,HT331,HV331,HX331,HZ331,IB331,ID331)</f>
        <v>0</v>
      </c>
      <c r="JY331" s="548">
        <f>SUM(HI331,HK331,HM331,HO331,HQ331,HS331,HU331,HW331,HY331,IA331,IC331,IE331)</f>
        <v>0</v>
      </c>
      <c r="JZ331" s="581">
        <f t="shared" si="9103"/>
        <v>125000</v>
      </c>
      <c r="KA331" s="581">
        <f t="shared" si="9104"/>
        <v>0</v>
      </c>
      <c r="KB331" s="548">
        <f t="shared" si="8622"/>
        <v>125000</v>
      </c>
      <c r="KC331" s="709">
        <f t="shared" si="9101"/>
        <v>0</v>
      </c>
      <c r="KD331" s="57"/>
      <c r="KE331" s="57"/>
      <c r="KF331" s="57"/>
      <c r="KG331" s="57"/>
      <c r="KH331" s="57"/>
      <c r="KI331" s="57"/>
      <c r="KJ331" s="57"/>
      <c r="KK331" s="57"/>
    </row>
    <row r="332" spans="1:297" s="10" customFormat="1" ht="12.75" customHeight="1">
      <c r="A332" s="80"/>
      <c r="B332" s="77"/>
      <c r="C332" s="74"/>
      <c r="D332" s="549"/>
      <c r="E332" s="675"/>
      <c r="F332" s="549"/>
      <c r="G332" s="675"/>
      <c r="H332" s="549"/>
      <c r="I332" s="675"/>
      <c r="J332" s="549"/>
      <c r="K332" s="675"/>
      <c r="L332" s="549"/>
      <c r="M332" s="675"/>
      <c r="N332" s="549"/>
      <c r="O332" s="675"/>
      <c r="P332" s="549"/>
      <c r="Q332" s="675"/>
      <c r="R332" s="549"/>
      <c r="S332" s="675"/>
      <c r="T332" s="549"/>
      <c r="U332" s="675"/>
      <c r="V332" s="549"/>
      <c r="W332" s="675"/>
      <c r="X332" s="549"/>
      <c r="Y332" s="675"/>
      <c r="Z332" s="549"/>
      <c r="AA332" s="675"/>
      <c r="AB332" s="549"/>
      <c r="AC332" s="675"/>
      <c r="AD332" s="549"/>
      <c r="AE332" s="675"/>
      <c r="AF332" s="549"/>
      <c r="AG332" s="675"/>
      <c r="AH332" s="549"/>
      <c r="AI332" s="675"/>
      <c r="AJ332" s="549"/>
      <c r="AK332" s="675"/>
      <c r="AL332" s="549"/>
      <c r="AM332" s="675"/>
      <c r="AN332" s="549"/>
      <c r="AO332" s="675"/>
      <c r="AP332" s="549"/>
      <c r="AQ332" s="675"/>
      <c r="AR332" s="549"/>
      <c r="AS332" s="675"/>
      <c r="AT332" s="549"/>
      <c r="AU332" s="675"/>
      <c r="AV332" s="549"/>
      <c r="AW332" s="675"/>
      <c r="AX332" s="549"/>
      <c r="AY332" s="675"/>
      <c r="AZ332" s="549"/>
      <c r="BA332" s="675"/>
      <c r="BB332" s="549"/>
      <c r="BC332" s="675"/>
      <c r="BD332" s="549"/>
      <c r="BE332" s="675"/>
      <c r="BF332" s="549"/>
      <c r="BG332" s="675"/>
      <c r="BH332" s="549"/>
      <c r="BI332" s="675"/>
      <c r="BJ332" s="549"/>
      <c r="BK332" s="675"/>
      <c r="BL332" s="549"/>
      <c r="BM332" s="675"/>
      <c r="BN332" s="549"/>
      <c r="BO332" s="675"/>
      <c r="BP332" s="549"/>
      <c r="BQ332" s="675"/>
      <c r="BR332" s="549"/>
      <c r="BS332" s="675"/>
      <c r="BT332" s="549"/>
      <c r="BU332" s="675"/>
      <c r="BV332" s="549"/>
      <c r="BW332" s="675"/>
      <c r="BX332" s="549"/>
      <c r="BY332" s="675"/>
      <c r="BZ332" s="549"/>
      <c r="CA332" s="675"/>
      <c r="CB332" s="549"/>
      <c r="CC332" s="675"/>
      <c r="CD332" s="549"/>
      <c r="CE332" s="675"/>
      <c r="CF332" s="549"/>
      <c r="CG332" s="675"/>
      <c r="CH332" s="549"/>
      <c r="CI332" s="675"/>
      <c r="CJ332" s="549"/>
      <c r="CK332" s="675"/>
      <c r="CL332" s="549"/>
      <c r="CM332" s="675"/>
      <c r="CN332" s="549"/>
      <c r="CO332" s="675"/>
      <c r="CP332" s="549"/>
      <c r="CQ332" s="675"/>
      <c r="CR332" s="549"/>
      <c r="CS332" s="675"/>
      <c r="CT332" s="549"/>
      <c r="CU332" s="675"/>
      <c r="CV332" s="549"/>
      <c r="CW332" s="675"/>
      <c r="CX332" s="549"/>
      <c r="CY332" s="675"/>
      <c r="CZ332" s="549"/>
      <c r="DA332" s="675"/>
      <c r="DB332" s="549"/>
      <c r="DC332" s="675"/>
      <c r="DD332" s="549"/>
      <c r="DE332" s="675"/>
      <c r="DF332" s="549"/>
      <c r="DG332" s="675"/>
      <c r="DH332" s="549"/>
      <c r="DI332" s="675"/>
      <c r="DJ332" s="549"/>
      <c r="DK332" s="675"/>
      <c r="DL332" s="549"/>
      <c r="DM332" s="675"/>
      <c r="DN332" s="549"/>
      <c r="DO332" s="675"/>
      <c r="DP332" s="549"/>
      <c r="DQ332" s="675"/>
      <c r="DR332" s="549"/>
      <c r="DS332" s="675"/>
      <c r="DT332" s="549"/>
      <c r="DU332" s="675"/>
      <c r="DV332" s="549"/>
      <c r="DW332" s="675"/>
      <c r="DX332" s="549"/>
      <c r="DY332" s="675"/>
      <c r="DZ332" s="549"/>
      <c r="EA332" s="675"/>
      <c r="EB332" s="549"/>
      <c r="EC332" s="675"/>
      <c r="ED332" s="549"/>
      <c r="EE332" s="675"/>
      <c r="EF332" s="549"/>
      <c r="EG332" s="675"/>
      <c r="EH332" s="549"/>
      <c r="EI332" s="675"/>
      <c r="EJ332" s="549"/>
      <c r="EK332" s="675"/>
      <c r="EL332" s="549"/>
      <c r="EM332" s="675"/>
      <c r="EN332" s="549"/>
      <c r="EO332" s="675"/>
      <c r="EP332" s="549"/>
      <c r="EQ332" s="675"/>
      <c r="ER332" s="549"/>
      <c r="ES332" s="675"/>
      <c r="ET332" s="549"/>
      <c r="EU332" s="675"/>
      <c r="EV332" s="549"/>
      <c r="EW332" s="675"/>
      <c r="EX332" s="549"/>
      <c r="EY332" s="675"/>
      <c r="EZ332" s="549"/>
      <c r="FA332" s="675"/>
      <c r="FB332" s="549"/>
      <c r="FC332" s="675"/>
      <c r="FD332" s="549"/>
      <c r="FE332" s="675"/>
      <c r="FF332" s="549"/>
      <c r="FG332" s="675"/>
      <c r="FH332" s="549"/>
      <c r="FI332" s="675"/>
      <c r="FJ332" s="549"/>
      <c r="FK332" s="675"/>
      <c r="FL332" s="549"/>
      <c r="FM332" s="675"/>
      <c r="FN332" s="549"/>
      <c r="FO332" s="675"/>
      <c r="FP332" s="549"/>
      <c r="FQ332" s="675"/>
      <c r="FR332" s="549"/>
      <c r="FS332" s="675"/>
      <c r="FT332" s="549"/>
      <c r="FU332" s="675"/>
      <c r="FV332" s="549"/>
      <c r="FW332" s="675"/>
      <c r="FX332" s="549"/>
      <c r="FY332" s="675"/>
      <c r="FZ332" s="549"/>
      <c r="GA332" s="675"/>
      <c r="GB332" s="549"/>
      <c r="GC332" s="675"/>
      <c r="GD332" s="549"/>
      <c r="GE332" s="675"/>
      <c r="GF332" s="549"/>
      <c r="GG332" s="675"/>
      <c r="GH332" s="549"/>
      <c r="GI332" s="675"/>
      <c r="GJ332" s="549"/>
      <c r="GK332" s="675"/>
      <c r="GL332" s="549"/>
      <c r="GM332" s="675"/>
      <c r="GN332" s="549"/>
      <c r="GO332" s="675"/>
      <c r="GP332" s="549"/>
      <c r="GQ332" s="675"/>
      <c r="GR332" s="74"/>
      <c r="GS332" s="74"/>
      <c r="GT332" s="549"/>
      <c r="GU332" s="275"/>
      <c r="GV332" s="275"/>
      <c r="GW332" s="588"/>
      <c r="GX332" s="588"/>
      <c r="GY332" s="275"/>
      <c r="GZ332" s="275"/>
      <c r="HA332" s="275"/>
      <c r="HB332" s="275"/>
      <c r="HC332" s="275"/>
      <c r="HD332" s="275"/>
      <c r="HE332" s="275"/>
      <c r="HF332" s="275"/>
      <c r="HG332" s="74"/>
      <c r="HH332" s="74"/>
      <c r="HI332" s="792"/>
      <c r="HJ332" s="74"/>
      <c r="HK332" s="792"/>
      <c r="HL332" s="74"/>
      <c r="HM332" s="792"/>
      <c r="HN332" s="74"/>
      <c r="HO332" s="792"/>
      <c r="HP332" s="74"/>
      <c r="HQ332" s="792"/>
      <c r="HR332" s="74"/>
      <c r="HS332" s="792"/>
      <c r="HT332" s="74"/>
      <c r="HU332" s="792"/>
      <c r="HV332" s="74"/>
      <c r="HW332" s="792"/>
      <c r="HX332" s="74"/>
      <c r="HY332" s="792"/>
      <c r="HZ332" s="74"/>
      <c r="IA332" s="792"/>
      <c r="IB332" s="74"/>
      <c r="IC332" s="792"/>
      <c r="ID332" s="74"/>
      <c r="IE332" s="792"/>
      <c r="IF332" s="841"/>
      <c r="IG332" s="263"/>
      <c r="IH332" s="842"/>
      <c r="II332" s="74"/>
      <c r="IJ332" s="74"/>
      <c r="IK332" s="74"/>
      <c r="IL332" s="74"/>
      <c r="IM332" s="74"/>
      <c r="IN332" s="74"/>
      <c r="IO332" s="74"/>
      <c r="IP332" s="74"/>
      <c r="IQ332" s="74"/>
      <c r="IR332" s="74"/>
      <c r="IS332" s="74"/>
      <c r="IT332" s="74"/>
      <c r="IU332" s="74"/>
      <c r="IV332" s="74"/>
      <c r="IW332" s="74"/>
      <c r="IX332" s="74"/>
      <c r="IY332" s="74"/>
      <c r="IZ332" s="74"/>
      <c r="JA332" s="74"/>
      <c r="JB332" s="74"/>
      <c r="JC332" s="74"/>
      <c r="JD332" s="74"/>
      <c r="JE332" s="74"/>
      <c r="JF332" s="74"/>
      <c r="JG332" s="74"/>
      <c r="JH332" s="74"/>
      <c r="JI332" s="74"/>
      <c r="JJ332" s="74"/>
      <c r="JK332" s="74"/>
      <c r="JL332" s="74"/>
      <c r="JM332" s="74"/>
      <c r="JN332" s="74"/>
      <c r="JO332" s="74"/>
      <c r="JP332" s="74"/>
      <c r="JQ332" s="74"/>
      <c r="JR332" s="74"/>
      <c r="JS332" s="74"/>
      <c r="JT332" s="382"/>
      <c r="JU332" s="665"/>
      <c r="JV332" s="524"/>
      <c r="JW332" s="525"/>
      <c r="JX332" s="548"/>
      <c r="JY332" s="548"/>
      <c r="JZ332" s="581">
        <f t="shared" si="9103"/>
        <v>0</v>
      </c>
      <c r="KA332" s="581">
        <f t="shared" si="9104"/>
        <v>0</v>
      </c>
      <c r="KB332" s="548">
        <f t="shared" si="8622"/>
        <v>0</v>
      </c>
      <c r="KC332" s="709">
        <f t="shared" si="9101"/>
        <v>0</v>
      </c>
      <c r="KD332" s="36"/>
      <c r="KE332" s="36"/>
      <c r="KF332" s="36"/>
      <c r="KG332" s="36"/>
      <c r="KH332" s="36"/>
      <c r="KI332" s="36"/>
      <c r="KJ332" s="36"/>
      <c r="KK332" s="36"/>
    </row>
    <row r="333" spans="1:297" s="10" customFormat="1" ht="12.75" hidden="1" customHeight="1">
      <c r="A333" s="80" t="s">
        <v>806</v>
      </c>
      <c r="B333" s="77"/>
      <c r="C333" s="74">
        <v>0</v>
      </c>
      <c r="D333" s="549">
        <v>0</v>
      </c>
      <c r="E333" s="675">
        <v>0</v>
      </c>
      <c r="F333" s="549">
        <v>0</v>
      </c>
      <c r="G333" s="675">
        <v>0</v>
      </c>
      <c r="H333" s="549">
        <v>0</v>
      </c>
      <c r="I333" s="675">
        <v>0</v>
      </c>
      <c r="J333" s="549">
        <v>0</v>
      </c>
      <c r="K333" s="675">
        <v>0</v>
      </c>
      <c r="L333" s="549">
        <v>0</v>
      </c>
      <c r="M333" s="675">
        <v>0</v>
      </c>
      <c r="N333" s="549">
        <v>0</v>
      </c>
      <c r="O333" s="675">
        <v>0</v>
      </c>
      <c r="P333" s="549">
        <v>0</v>
      </c>
      <c r="Q333" s="675">
        <v>0</v>
      </c>
      <c r="R333" s="549">
        <v>0</v>
      </c>
      <c r="S333" s="675">
        <v>0</v>
      </c>
      <c r="T333" s="549">
        <v>0</v>
      </c>
      <c r="U333" s="675">
        <v>0</v>
      </c>
      <c r="V333" s="549">
        <v>0</v>
      </c>
      <c r="W333" s="675">
        <v>0</v>
      </c>
      <c r="X333" s="549">
        <v>0</v>
      </c>
      <c r="Y333" s="675">
        <v>0</v>
      </c>
      <c r="Z333" s="549">
        <v>0</v>
      </c>
      <c r="AA333" s="675">
        <v>0</v>
      </c>
      <c r="AB333" s="549">
        <v>0</v>
      </c>
      <c r="AC333" s="675">
        <v>0</v>
      </c>
      <c r="AD333" s="549">
        <v>0</v>
      </c>
      <c r="AE333" s="675">
        <v>0</v>
      </c>
      <c r="AF333" s="549">
        <v>0</v>
      </c>
      <c r="AG333" s="675">
        <v>0</v>
      </c>
      <c r="AH333" s="549">
        <v>0</v>
      </c>
      <c r="AI333" s="675">
        <v>0</v>
      </c>
      <c r="AJ333" s="549">
        <v>0</v>
      </c>
      <c r="AK333" s="675">
        <v>0</v>
      </c>
      <c r="AL333" s="549">
        <v>0</v>
      </c>
      <c r="AM333" s="675">
        <v>0</v>
      </c>
      <c r="AN333" s="549">
        <v>0</v>
      </c>
      <c r="AO333" s="675">
        <v>0</v>
      </c>
      <c r="AP333" s="549">
        <v>0</v>
      </c>
      <c r="AQ333" s="675">
        <v>0</v>
      </c>
      <c r="AR333" s="549">
        <v>0</v>
      </c>
      <c r="AS333" s="675">
        <v>0</v>
      </c>
      <c r="AT333" s="549">
        <v>0</v>
      </c>
      <c r="AU333" s="675">
        <v>0</v>
      </c>
      <c r="AV333" s="549">
        <v>0</v>
      </c>
      <c r="AW333" s="675">
        <v>0</v>
      </c>
      <c r="AX333" s="549">
        <v>0</v>
      </c>
      <c r="AY333" s="675">
        <v>0</v>
      </c>
      <c r="AZ333" s="549">
        <v>0</v>
      </c>
      <c r="BA333" s="675">
        <v>0</v>
      </c>
      <c r="BB333" s="549">
        <v>0</v>
      </c>
      <c r="BC333" s="675">
        <v>0</v>
      </c>
      <c r="BD333" s="549">
        <v>0</v>
      </c>
      <c r="BE333" s="675">
        <v>0</v>
      </c>
      <c r="BF333" s="549">
        <v>0</v>
      </c>
      <c r="BG333" s="675">
        <v>0</v>
      </c>
      <c r="BH333" s="549">
        <v>0</v>
      </c>
      <c r="BI333" s="675">
        <v>0</v>
      </c>
      <c r="BJ333" s="549">
        <v>0</v>
      </c>
      <c r="BK333" s="675">
        <v>0</v>
      </c>
      <c r="BL333" s="549">
        <v>0</v>
      </c>
      <c r="BM333" s="675">
        <v>0</v>
      </c>
      <c r="BN333" s="549">
        <v>0</v>
      </c>
      <c r="BO333" s="675">
        <v>0</v>
      </c>
      <c r="BP333" s="549">
        <v>0</v>
      </c>
      <c r="BQ333" s="675">
        <v>0</v>
      </c>
      <c r="BR333" s="549">
        <v>0</v>
      </c>
      <c r="BS333" s="675">
        <v>0</v>
      </c>
      <c r="BT333" s="549">
        <v>0</v>
      </c>
      <c r="BU333" s="675">
        <v>0</v>
      </c>
      <c r="BV333" s="549">
        <v>0</v>
      </c>
      <c r="BW333" s="675">
        <v>0</v>
      </c>
      <c r="BX333" s="549">
        <v>0</v>
      </c>
      <c r="BY333" s="675">
        <v>0</v>
      </c>
      <c r="BZ333" s="549">
        <v>0</v>
      </c>
      <c r="CA333" s="675">
        <v>0</v>
      </c>
      <c r="CB333" s="549">
        <v>0</v>
      </c>
      <c r="CC333" s="675">
        <v>0</v>
      </c>
      <c r="CD333" s="549">
        <v>0</v>
      </c>
      <c r="CE333" s="675">
        <v>0</v>
      </c>
      <c r="CF333" s="549">
        <v>0</v>
      </c>
      <c r="CG333" s="675">
        <v>0</v>
      </c>
      <c r="CH333" s="549">
        <v>0</v>
      </c>
      <c r="CI333" s="675">
        <v>0</v>
      </c>
      <c r="CJ333" s="549">
        <v>0</v>
      </c>
      <c r="CK333" s="675">
        <v>0</v>
      </c>
      <c r="CL333" s="549">
        <v>0</v>
      </c>
      <c r="CM333" s="675">
        <v>0</v>
      </c>
      <c r="CN333" s="549">
        <v>0</v>
      </c>
      <c r="CO333" s="675">
        <v>0</v>
      </c>
      <c r="CP333" s="549">
        <v>0</v>
      </c>
      <c r="CQ333" s="675">
        <v>0</v>
      </c>
      <c r="CR333" s="549">
        <v>0</v>
      </c>
      <c r="CS333" s="675">
        <v>0</v>
      </c>
      <c r="CT333" s="549">
        <v>0</v>
      </c>
      <c r="CU333" s="675">
        <v>0</v>
      </c>
      <c r="CV333" s="549">
        <v>0</v>
      </c>
      <c r="CW333" s="675">
        <v>0</v>
      </c>
      <c r="CX333" s="549">
        <v>0</v>
      </c>
      <c r="CY333" s="675">
        <v>0</v>
      </c>
      <c r="CZ333" s="549">
        <v>0</v>
      </c>
      <c r="DA333" s="675">
        <v>0</v>
      </c>
      <c r="DB333" s="549">
        <v>0</v>
      </c>
      <c r="DC333" s="675">
        <v>0</v>
      </c>
      <c r="DD333" s="549">
        <v>0</v>
      </c>
      <c r="DE333" s="675">
        <v>0</v>
      </c>
      <c r="DF333" s="549">
        <v>0</v>
      </c>
      <c r="DG333" s="675">
        <v>0</v>
      </c>
      <c r="DH333" s="549">
        <v>0</v>
      </c>
      <c r="DI333" s="675">
        <v>0</v>
      </c>
      <c r="DJ333" s="549">
        <v>0</v>
      </c>
      <c r="DK333" s="675">
        <v>0</v>
      </c>
      <c r="DL333" s="549">
        <v>0</v>
      </c>
      <c r="DM333" s="675">
        <v>0</v>
      </c>
      <c r="DN333" s="549">
        <v>0</v>
      </c>
      <c r="DO333" s="675">
        <v>0</v>
      </c>
      <c r="DP333" s="549">
        <v>0</v>
      </c>
      <c r="DQ333" s="675">
        <v>0</v>
      </c>
      <c r="DR333" s="549">
        <v>0</v>
      </c>
      <c r="DS333" s="675">
        <v>0</v>
      </c>
      <c r="DT333" s="549">
        <v>0</v>
      </c>
      <c r="DU333" s="675">
        <v>0</v>
      </c>
      <c r="DV333" s="549">
        <v>0</v>
      </c>
      <c r="DW333" s="675">
        <v>0</v>
      </c>
      <c r="DX333" s="549">
        <v>0</v>
      </c>
      <c r="DY333" s="675">
        <v>0</v>
      </c>
      <c r="DZ333" s="549">
        <v>0</v>
      </c>
      <c r="EA333" s="675">
        <v>0</v>
      </c>
      <c r="EB333" s="549">
        <v>0</v>
      </c>
      <c r="EC333" s="675">
        <v>0</v>
      </c>
      <c r="ED333" s="549">
        <v>0</v>
      </c>
      <c r="EE333" s="675">
        <v>0</v>
      </c>
      <c r="EF333" s="549">
        <v>0</v>
      </c>
      <c r="EG333" s="675">
        <v>0</v>
      </c>
      <c r="EH333" s="549">
        <v>0</v>
      </c>
      <c r="EI333" s="675">
        <v>0</v>
      </c>
      <c r="EJ333" s="549">
        <v>0</v>
      </c>
      <c r="EK333" s="675">
        <v>0</v>
      </c>
      <c r="EL333" s="549">
        <v>0</v>
      </c>
      <c r="EM333" s="675">
        <v>0</v>
      </c>
      <c r="EN333" s="549">
        <v>0</v>
      </c>
      <c r="EO333" s="675">
        <v>0</v>
      </c>
      <c r="EP333" s="549">
        <v>0</v>
      </c>
      <c r="EQ333" s="675">
        <v>0</v>
      </c>
      <c r="ER333" s="549">
        <v>0</v>
      </c>
      <c r="ES333" s="675">
        <v>0</v>
      </c>
      <c r="ET333" s="549">
        <v>0</v>
      </c>
      <c r="EU333" s="675">
        <v>0</v>
      </c>
      <c r="EV333" s="549">
        <v>0</v>
      </c>
      <c r="EW333" s="675">
        <v>0</v>
      </c>
      <c r="EX333" s="549">
        <v>0</v>
      </c>
      <c r="EY333" s="675">
        <v>0</v>
      </c>
      <c r="EZ333" s="549">
        <v>0</v>
      </c>
      <c r="FA333" s="675">
        <v>0</v>
      </c>
      <c r="FB333" s="549">
        <v>0</v>
      </c>
      <c r="FC333" s="675">
        <v>0</v>
      </c>
      <c r="FD333" s="549">
        <v>0</v>
      </c>
      <c r="FE333" s="675">
        <v>0</v>
      </c>
      <c r="FF333" s="549">
        <v>0</v>
      </c>
      <c r="FG333" s="675">
        <v>0</v>
      </c>
      <c r="FH333" s="549">
        <v>0</v>
      </c>
      <c r="FI333" s="675">
        <v>0</v>
      </c>
      <c r="FJ333" s="549">
        <v>0</v>
      </c>
      <c r="FK333" s="675">
        <v>0</v>
      </c>
      <c r="FL333" s="549">
        <v>0</v>
      </c>
      <c r="FM333" s="675">
        <v>0</v>
      </c>
      <c r="FN333" s="549">
        <v>0</v>
      </c>
      <c r="FO333" s="675">
        <v>0</v>
      </c>
      <c r="FP333" s="549">
        <v>0</v>
      </c>
      <c r="FQ333" s="675">
        <v>0</v>
      </c>
      <c r="FR333" s="549">
        <v>0</v>
      </c>
      <c r="FS333" s="675">
        <v>0</v>
      </c>
      <c r="FT333" s="549">
        <v>0</v>
      </c>
      <c r="FU333" s="675">
        <v>0</v>
      </c>
      <c r="FV333" s="549">
        <v>0</v>
      </c>
      <c r="FW333" s="675">
        <v>0</v>
      </c>
      <c r="FX333" s="549">
        <v>0</v>
      </c>
      <c r="FY333" s="675">
        <v>0</v>
      </c>
      <c r="FZ333" s="549">
        <v>0</v>
      </c>
      <c r="GA333" s="675">
        <v>0</v>
      </c>
      <c r="GB333" s="549">
        <v>0</v>
      </c>
      <c r="GC333" s="675">
        <v>0</v>
      </c>
      <c r="GD333" s="549">
        <v>0</v>
      </c>
      <c r="GE333" s="675">
        <v>0</v>
      </c>
      <c r="GF333" s="549">
        <v>0</v>
      </c>
      <c r="GG333" s="675">
        <v>0</v>
      </c>
      <c r="GH333" s="549">
        <v>0</v>
      </c>
      <c r="GI333" s="675">
        <v>0</v>
      </c>
      <c r="GJ333" s="549">
        <v>0</v>
      </c>
      <c r="GK333" s="675">
        <v>0</v>
      </c>
      <c r="GL333" s="549">
        <v>0</v>
      </c>
      <c r="GM333" s="675">
        <v>0</v>
      </c>
      <c r="GN333" s="549">
        <v>0</v>
      </c>
      <c r="GO333" s="675">
        <v>0</v>
      </c>
      <c r="GP333" s="549">
        <f>+D333+F333+H333+J333+L333+N333+P333+R333+T333+V333+X333+Z333+AB333+AD333+AH333+AJ333+AL333+AN333+AP333+AR333+AT333+AV333+AX333+AZ333+BB333+BD333+BF333+BH333+BJ333+BL333+BN333+BP333+BR333+BT333+BV333+BX333+BZ333+CB333+CD333+CF333+CH333+CJ333+CL333+CN333+CP333+CR333+CT333+CV333+CX333+CZ333+DB333+DD333+DF333+DH333+DT333+EX333+DJ333+DL333+DN333+DP333+DR333+EJ333+EB333+DZ333+DX333+DV333+ED333+EF333+EH333+EL333+EN333+EP333+EV333+ET333+ER333+EZ333+FB333+FD333+GL333</f>
        <v>0</v>
      </c>
      <c r="GQ333" s="675">
        <f>+E333+G333+I333+K333+M333+O333+Q333+S333+U333+W333+Y333+AA333+AC333+AE333+AI333+AK333+AM333+AO333+AQ333+AS333+AU333+AW333+AY333+BA333+BC333+BE333+BG333+BI333+BK333+BM333+BO333+BQ333+BS333+BU333+BW333+BY333+CA333+CC333+CE333+CG333+CI333+CK333+CM333+CO333+CQ333+CS333+CU333+CW333+CY333+DA333+DC333+DE333+DG333+DI333+DU333+EY333+DK333+DM333+DO333+DQ333+DS333+EK333+EC333+EA333+DY333+DW333+EI333+EG333+EE333+EM333+EO333+EQ333+EW333+EU333+ES333+FA333+FC333+FE333+GM333</f>
        <v>0</v>
      </c>
      <c r="GR333" s="74">
        <f>C333+GP333+GQ333</f>
        <v>0</v>
      </c>
      <c r="GS333" s="74">
        <f t="shared" ref="GS333" si="9836">GU333</f>
        <v>0</v>
      </c>
      <c r="GT333" s="568">
        <f>SUM(GU333:HF333)+GQ333+GP333</f>
        <v>0</v>
      </c>
      <c r="GU333" s="275">
        <v>0</v>
      </c>
      <c r="GV333" s="275">
        <v>0</v>
      </c>
      <c r="GW333" s="588">
        <v>0</v>
      </c>
      <c r="GX333" s="588">
        <v>0</v>
      </c>
      <c r="GY333" s="275">
        <v>0</v>
      </c>
      <c r="GZ333" s="275">
        <v>0</v>
      </c>
      <c r="HA333" s="275">
        <v>0</v>
      </c>
      <c r="HB333" s="275">
        <v>0</v>
      </c>
      <c r="HC333" s="275">
        <v>0</v>
      </c>
      <c r="HD333" s="275">
        <v>0</v>
      </c>
      <c r="HE333" s="275">
        <v>0</v>
      </c>
      <c r="HF333" s="275">
        <v>0</v>
      </c>
      <c r="HG333" s="74">
        <f>SUM(HH333:IE333)+GP333+GQ333</f>
        <v>0</v>
      </c>
      <c r="HH333" s="89">
        <v>0</v>
      </c>
      <c r="HI333" s="817">
        <v>0</v>
      </c>
      <c r="HJ333" s="89">
        <v>0</v>
      </c>
      <c r="HK333" s="817">
        <v>0</v>
      </c>
      <c r="HL333" s="89">
        <v>0</v>
      </c>
      <c r="HM333" s="817">
        <v>0</v>
      </c>
      <c r="HN333" s="89">
        <v>0</v>
      </c>
      <c r="HO333" s="817">
        <v>0</v>
      </c>
      <c r="HP333" s="89">
        <v>0</v>
      </c>
      <c r="HQ333" s="817">
        <v>0</v>
      </c>
      <c r="HR333" s="89">
        <v>0</v>
      </c>
      <c r="HS333" s="817">
        <v>0</v>
      </c>
      <c r="HT333" s="89">
        <v>0</v>
      </c>
      <c r="HU333" s="817">
        <v>0</v>
      </c>
      <c r="HV333" s="89">
        <v>0</v>
      </c>
      <c r="HW333" s="817">
        <v>0</v>
      </c>
      <c r="HX333" s="89">
        <v>0</v>
      </c>
      <c r="HY333" s="817">
        <v>0</v>
      </c>
      <c r="HZ333" s="89">
        <v>0</v>
      </c>
      <c r="IA333" s="817">
        <v>0</v>
      </c>
      <c r="IB333" s="89">
        <v>0</v>
      </c>
      <c r="IC333" s="817">
        <v>0</v>
      </c>
      <c r="ID333" s="89">
        <v>0</v>
      </c>
      <c r="IE333" s="817">
        <v>0</v>
      </c>
      <c r="IF333" s="841">
        <f t="shared" ref="IF333" si="9837">SUM(II333,IL333,IO333,IR333,IU333,IX333,JA333,JD333,JG333,JJ333,JM333,JP333)</f>
        <v>0</v>
      </c>
      <c r="IG333" s="263">
        <f t="shared" ref="IG333" si="9838">SUM(IJ333,IM333,IP333,IS333,IV333,IY333,JB333,JE333,JH333,JK333,JN333,JQ333)</f>
        <v>0</v>
      </c>
      <c r="IH333" s="842">
        <f t="shared" ref="IH333" si="9839">SUM(IK333,IN333,IQ333,IT333,IW333,IZ333,JC333,JF333,JI333,JL333,JO333,JR333)</f>
        <v>0</v>
      </c>
      <c r="II333" s="89">
        <v>0</v>
      </c>
      <c r="IJ333" s="89">
        <v>0</v>
      </c>
      <c r="IK333" s="89">
        <v>0</v>
      </c>
      <c r="IL333" s="89">
        <v>0</v>
      </c>
      <c r="IM333" s="89">
        <v>0</v>
      </c>
      <c r="IN333" s="89">
        <v>0</v>
      </c>
      <c r="IO333" s="89">
        <v>0</v>
      </c>
      <c r="IP333" s="89">
        <v>0</v>
      </c>
      <c r="IQ333" s="89">
        <v>0</v>
      </c>
      <c r="IR333" s="89">
        <v>0</v>
      </c>
      <c r="IS333" s="89">
        <v>0</v>
      </c>
      <c r="IT333" s="89">
        <v>0</v>
      </c>
      <c r="IU333" s="89">
        <v>0</v>
      </c>
      <c r="IV333" s="89">
        <v>0</v>
      </c>
      <c r="IW333" s="89">
        <v>0</v>
      </c>
      <c r="IX333" s="89">
        <v>0</v>
      </c>
      <c r="IY333" s="89">
        <v>0</v>
      </c>
      <c r="IZ333" s="89">
        <v>0</v>
      </c>
      <c r="JA333" s="89">
        <v>0</v>
      </c>
      <c r="JB333" s="89">
        <v>0</v>
      </c>
      <c r="JC333" s="89">
        <v>0</v>
      </c>
      <c r="JD333" s="89">
        <v>0</v>
      </c>
      <c r="JE333" s="89">
        <v>0</v>
      </c>
      <c r="JF333" s="89">
        <v>0</v>
      </c>
      <c r="JG333" s="89">
        <v>0</v>
      </c>
      <c r="JH333" s="89">
        <v>0</v>
      </c>
      <c r="JI333" s="89">
        <v>0</v>
      </c>
      <c r="JJ333" s="89">
        <v>0</v>
      </c>
      <c r="JK333" s="89">
        <v>0</v>
      </c>
      <c r="JL333" s="89">
        <v>0</v>
      </c>
      <c r="JM333" s="89">
        <v>0</v>
      </c>
      <c r="JN333" s="89">
        <v>0</v>
      </c>
      <c r="JO333" s="89">
        <v>0</v>
      </c>
      <c r="JP333" s="89">
        <v>0</v>
      </c>
      <c r="JQ333" s="89">
        <v>0</v>
      </c>
      <c r="JR333" s="89">
        <v>0</v>
      </c>
      <c r="JS333" s="74">
        <f>HG333-IF333</f>
        <v>0</v>
      </c>
      <c r="JT333" s="382">
        <f>GS333-IF333</f>
        <v>0</v>
      </c>
      <c r="JU333" s="665"/>
      <c r="JV333" s="524"/>
      <c r="JW333" s="525"/>
      <c r="JX333" s="548">
        <f>SUM(HH333,HJ333,HL333,HN333,HP333,HR333,HT333,HV333,HX333,HZ333,IB333,ID333)</f>
        <v>0</v>
      </c>
      <c r="JY333" s="548">
        <f>SUM(HI333,HK333,HM333,HO333,HQ333,HS333,HU333,HW333,HY333,IA333,IC333,IE333)</f>
        <v>0</v>
      </c>
      <c r="JZ333" s="581">
        <f t="shared" si="9103"/>
        <v>0</v>
      </c>
      <c r="KA333" s="581">
        <f t="shared" si="9104"/>
        <v>0</v>
      </c>
      <c r="KB333" s="548">
        <f t="shared" si="8622"/>
        <v>0</v>
      </c>
      <c r="KC333" s="709">
        <f t="shared" si="9101"/>
        <v>0</v>
      </c>
      <c r="KD333" s="36"/>
      <c r="KE333" s="36"/>
      <c r="KF333" s="36"/>
      <c r="KG333" s="36"/>
      <c r="KH333" s="36"/>
      <c r="KI333" s="36"/>
      <c r="KJ333" s="36"/>
      <c r="KK333" s="36"/>
    </row>
    <row r="334" spans="1:297" s="10" customFormat="1" ht="12.75" hidden="1" customHeight="1">
      <c r="A334" s="80"/>
      <c r="B334" s="77"/>
      <c r="C334" s="74"/>
      <c r="D334" s="549"/>
      <c r="E334" s="675"/>
      <c r="F334" s="549"/>
      <c r="G334" s="675"/>
      <c r="H334" s="549"/>
      <c r="I334" s="675"/>
      <c r="J334" s="549"/>
      <c r="K334" s="675"/>
      <c r="L334" s="549"/>
      <c r="M334" s="675"/>
      <c r="N334" s="549"/>
      <c r="O334" s="675"/>
      <c r="P334" s="549"/>
      <c r="Q334" s="675"/>
      <c r="R334" s="549"/>
      <c r="S334" s="675"/>
      <c r="T334" s="549"/>
      <c r="U334" s="675"/>
      <c r="V334" s="549"/>
      <c r="W334" s="675"/>
      <c r="X334" s="549"/>
      <c r="Y334" s="675"/>
      <c r="Z334" s="549"/>
      <c r="AA334" s="675"/>
      <c r="AB334" s="549"/>
      <c r="AC334" s="675"/>
      <c r="AD334" s="549"/>
      <c r="AE334" s="675"/>
      <c r="AF334" s="549"/>
      <c r="AG334" s="675"/>
      <c r="AH334" s="549"/>
      <c r="AI334" s="675"/>
      <c r="AJ334" s="549"/>
      <c r="AK334" s="675"/>
      <c r="AL334" s="549"/>
      <c r="AM334" s="675"/>
      <c r="AN334" s="549"/>
      <c r="AO334" s="675"/>
      <c r="AP334" s="549"/>
      <c r="AQ334" s="675"/>
      <c r="AR334" s="549"/>
      <c r="AS334" s="675"/>
      <c r="AT334" s="549"/>
      <c r="AU334" s="675"/>
      <c r="AV334" s="549"/>
      <c r="AW334" s="675"/>
      <c r="AX334" s="549"/>
      <c r="AY334" s="675"/>
      <c r="AZ334" s="549"/>
      <c r="BA334" s="675"/>
      <c r="BB334" s="549"/>
      <c r="BC334" s="675"/>
      <c r="BD334" s="549"/>
      <c r="BE334" s="675"/>
      <c r="BF334" s="549"/>
      <c r="BG334" s="675"/>
      <c r="BH334" s="549"/>
      <c r="BI334" s="675"/>
      <c r="BJ334" s="549"/>
      <c r="BK334" s="675"/>
      <c r="BL334" s="549"/>
      <c r="BM334" s="675"/>
      <c r="BN334" s="549"/>
      <c r="BO334" s="675"/>
      <c r="BP334" s="549"/>
      <c r="BQ334" s="675"/>
      <c r="BR334" s="549"/>
      <c r="BS334" s="675"/>
      <c r="BT334" s="549"/>
      <c r="BU334" s="675"/>
      <c r="BV334" s="549"/>
      <c r="BW334" s="675"/>
      <c r="BX334" s="549"/>
      <c r="BY334" s="675"/>
      <c r="BZ334" s="549"/>
      <c r="CA334" s="675"/>
      <c r="CB334" s="549"/>
      <c r="CC334" s="675"/>
      <c r="CD334" s="549"/>
      <c r="CE334" s="675"/>
      <c r="CF334" s="549"/>
      <c r="CG334" s="675"/>
      <c r="CH334" s="549"/>
      <c r="CI334" s="675"/>
      <c r="CJ334" s="549"/>
      <c r="CK334" s="675"/>
      <c r="CL334" s="549"/>
      <c r="CM334" s="675"/>
      <c r="CN334" s="549"/>
      <c r="CO334" s="675"/>
      <c r="CP334" s="549"/>
      <c r="CQ334" s="675"/>
      <c r="CR334" s="549"/>
      <c r="CS334" s="675"/>
      <c r="CT334" s="549"/>
      <c r="CU334" s="675"/>
      <c r="CV334" s="549"/>
      <c r="CW334" s="675"/>
      <c r="CX334" s="549"/>
      <c r="CY334" s="675"/>
      <c r="CZ334" s="549"/>
      <c r="DA334" s="675"/>
      <c r="DB334" s="549"/>
      <c r="DC334" s="675"/>
      <c r="DD334" s="549"/>
      <c r="DE334" s="675"/>
      <c r="DF334" s="549"/>
      <c r="DG334" s="675"/>
      <c r="DH334" s="549"/>
      <c r="DI334" s="675"/>
      <c r="DJ334" s="549"/>
      <c r="DK334" s="675"/>
      <c r="DL334" s="549"/>
      <c r="DM334" s="675"/>
      <c r="DN334" s="549"/>
      <c r="DO334" s="675"/>
      <c r="DP334" s="549"/>
      <c r="DQ334" s="675"/>
      <c r="DR334" s="549"/>
      <c r="DS334" s="675"/>
      <c r="DT334" s="549"/>
      <c r="DU334" s="675"/>
      <c r="DV334" s="549"/>
      <c r="DW334" s="675"/>
      <c r="DX334" s="549"/>
      <c r="DY334" s="675"/>
      <c r="DZ334" s="549"/>
      <c r="EA334" s="675"/>
      <c r="EB334" s="549"/>
      <c r="EC334" s="675"/>
      <c r="ED334" s="549"/>
      <c r="EE334" s="675"/>
      <c r="EF334" s="549"/>
      <c r="EG334" s="675"/>
      <c r="EH334" s="549"/>
      <c r="EI334" s="675"/>
      <c r="EJ334" s="549"/>
      <c r="EK334" s="675"/>
      <c r="EL334" s="549"/>
      <c r="EM334" s="675"/>
      <c r="EN334" s="549"/>
      <c r="EO334" s="675"/>
      <c r="EP334" s="549"/>
      <c r="EQ334" s="675"/>
      <c r="ER334" s="549"/>
      <c r="ES334" s="675"/>
      <c r="ET334" s="549"/>
      <c r="EU334" s="675"/>
      <c r="EV334" s="549"/>
      <c r="EW334" s="675"/>
      <c r="EX334" s="549"/>
      <c r="EY334" s="675"/>
      <c r="EZ334" s="549"/>
      <c r="FA334" s="675"/>
      <c r="FB334" s="549"/>
      <c r="FC334" s="675"/>
      <c r="FD334" s="549"/>
      <c r="FE334" s="675"/>
      <c r="FF334" s="549"/>
      <c r="FG334" s="675"/>
      <c r="FH334" s="549"/>
      <c r="FI334" s="675"/>
      <c r="FJ334" s="549"/>
      <c r="FK334" s="675"/>
      <c r="FL334" s="549"/>
      <c r="FM334" s="675"/>
      <c r="FN334" s="549"/>
      <c r="FO334" s="675"/>
      <c r="FP334" s="549"/>
      <c r="FQ334" s="675"/>
      <c r="FR334" s="549"/>
      <c r="FS334" s="675"/>
      <c r="FT334" s="549"/>
      <c r="FU334" s="675"/>
      <c r="FV334" s="549"/>
      <c r="FW334" s="675"/>
      <c r="FX334" s="549"/>
      <c r="FY334" s="675"/>
      <c r="FZ334" s="549"/>
      <c r="GA334" s="675"/>
      <c r="GB334" s="549"/>
      <c r="GC334" s="675"/>
      <c r="GD334" s="549"/>
      <c r="GE334" s="675"/>
      <c r="GF334" s="549"/>
      <c r="GG334" s="675"/>
      <c r="GH334" s="549"/>
      <c r="GI334" s="675"/>
      <c r="GJ334" s="549"/>
      <c r="GK334" s="675"/>
      <c r="GL334" s="549"/>
      <c r="GM334" s="675"/>
      <c r="GN334" s="549"/>
      <c r="GO334" s="675"/>
      <c r="GP334" s="549"/>
      <c r="GQ334" s="675"/>
      <c r="GR334" s="74"/>
      <c r="GS334" s="74"/>
      <c r="GT334" s="549"/>
      <c r="GU334" s="275"/>
      <c r="GV334" s="275"/>
      <c r="GW334" s="588"/>
      <c r="GX334" s="588"/>
      <c r="GY334" s="275"/>
      <c r="GZ334" s="275"/>
      <c r="HA334" s="275"/>
      <c r="HB334" s="275"/>
      <c r="HC334" s="275"/>
      <c r="HD334" s="275"/>
      <c r="HE334" s="275"/>
      <c r="HF334" s="275"/>
      <c r="HG334" s="74"/>
      <c r="HH334" s="74"/>
      <c r="HI334" s="792"/>
      <c r="HJ334" s="74"/>
      <c r="HK334" s="792"/>
      <c r="HL334" s="74"/>
      <c r="HM334" s="792"/>
      <c r="HN334" s="74"/>
      <c r="HO334" s="792"/>
      <c r="HP334" s="74"/>
      <c r="HQ334" s="792"/>
      <c r="HR334" s="74"/>
      <c r="HS334" s="792"/>
      <c r="HT334" s="74"/>
      <c r="HU334" s="792"/>
      <c r="HV334" s="74"/>
      <c r="HW334" s="792"/>
      <c r="HX334" s="74"/>
      <c r="HY334" s="792"/>
      <c r="HZ334" s="74"/>
      <c r="IA334" s="792"/>
      <c r="IB334" s="74"/>
      <c r="IC334" s="792"/>
      <c r="ID334" s="74"/>
      <c r="IE334" s="792"/>
      <c r="IF334" s="841"/>
      <c r="IG334" s="263"/>
      <c r="IH334" s="842"/>
      <c r="II334" s="74"/>
      <c r="IJ334" s="74"/>
      <c r="IK334" s="74"/>
      <c r="IL334" s="74"/>
      <c r="IM334" s="74"/>
      <c r="IN334" s="74"/>
      <c r="IO334" s="74"/>
      <c r="IP334" s="74"/>
      <c r="IQ334" s="74"/>
      <c r="IR334" s="74"/>
      <c r="IS334" s="74"/>
      <c r="IT334" s="74"/>
      <c r="IU334" s="74"/>
      <c r="IV334" s="74"/>
      <c r="IW334" s="74"/>
      <c r="IX334" s="74"/>
      <c r="IY334" s="74"/>
      <c r="IZ334" s="74"/>
      <c r="JA334" s="74"/>
      <c r="JB334" s="74"/>
      <c r="JC334" s="74"/>
      <c r="JD334" s="74"/>
      <c r="JE334" s="74"/>
      <c r="JF334" s="74"/>
      <c r="JG334" s="74"/>
      <c r="JH334" s="74"/>
      <c r="JI334" s="74"/>
      <c r="JJ334" s="74"/>
      <c r="JK334" s="74"/>
      <c r="JL334" s="74"/>
      <c r="JM334" s="74"/>
      <c r="JN334" s="74"/>
      <c r="JO334" s="74"/>
      <c r="JP334" s="74"/>
      <c r="JQ334" s="74"/>
      <c r="JR334" s="74"/>
      <c r="JS334" s="74"/>
      <c r="JT334" s="382"/>
      <c r="JU334" s="665"/>
      <c r="JV334" s="524"/>
      <c r="JW334" s="525"/>
      <c r="JX334" s="548"/>
      <c r="JY334" s="548"/>
      <c r="JZ334" s="581">
        <f t="shared" si="9103"/>
        <v>0</v>
      </c>
      <c r="KA334" s="581">
        <f t="shared" si="9104"/>
        <v>0</v>
      </c>
      <c r="KB334" s="548">
        <f t="shared" si="8622"/>
        <v>0</v>
      </c>
      <c r="KC334" s="709">
        <f t="shared" si="9101"/>
        <v>0</v>
      </c>
      <c r="KD334" s="36"/>
      <c r="KE334" s="36"/>
      <c r="KF334" s="36"/>
      <c r="KG334" s="36"/>
      <c r="KH334" s="36"/>
      <c r="KI334" s="36"/>
      <c r="KJ334" s="36"/>
      <c r="KK334" s="36"/>
    </row>
    <row r="335" spans="1:297" s="10" customFormat="1" ht="12.75" hidden="1" customHeight="1">
      <c r="A335" s="80" t="s">
        <v>814</v>
      </c>
      <c r="B335" s="77"/>
      <c r="C335" s="74">
        <v>0</v>
      </c>
      <c r="D335" s="549">
        <v>0</v>
      </c>
      <c r="E335" s="675">
        <v>0</v>
      </c>
      <c r="F335" s="549">
        <v>0</v>
      </c>
      <c r="G335" s="675">
        <v>0</v>
      </c>
      <c r="H335" s="549">
        <v>0</v>
      </c>
      <c r="I335" s="675">
        <v>0</v>
      </c>
      <c r="J335" s="549">
        <v>0</v>
      </c>
      <c r="K335" s="675">
        <v>0</v>
      </c>
      <c r="L335" s="549">
        <v>0</v>
      </c>
      <c r="M335" s="675">
        <v>0</v>
      </c>
      <c r="N335" s="549">
        <v>0</v>
      </c>
      <c r="O335" s="675">
        <v>0</v>
      </c>
      <c r="P335" s="549">
        <v>0</v>
      </c>
      <c r="Q335" s="675">
        <v>0</v>
      </c>
      <c r="R335" s="549">
        <v>0</v>
      </c>
      <c r="S335" s="675">
        <v>0</v>
      </c>
      <c r="T335" s="549">
        <v>0</v>
      </c>
      <c r="U335" s="675">
        <v>0</v>
      </c>
      <c r="V335" s="549">
        <v>0</v>
      </c>
      <c r="W335" s="675">
        <v>0</v>
      </c>
      <c r="X335" s="549">
        <v>0</v>
      </c>
      <c r="Y335" s="675">
        <v>0</v>
      </c>
      <c r="Z335" s="549">
        <v>0</v>
      </c>
      <c r="AA335" s="675">
        <v>0</v>
      </c>
      <c r="AB335" s="549">
        <v>0</v>
      </c>
      <c r="AC335" s="675">
        <v>0</v>
      </c>
      <c r="AD335" s="549">
        <v>0</v>
      </c>
      <c r="AE335" s="675">
        <v>0</v>
      </c>
      <c r="AF335" s="549">
        <v>0</v>
      </c>
      <c r="AG335" s="675">
        <v>0</v>
      </c>
      <c r="AH335" s="549">
        <v>0</v>
      </c>
      <c r="AI335" s="675">
        <v>0</v>
      </c>
      <c r="AJ335" s="549">
        <v>0</v>
      </c>
      <c r="AK335" s="675">
        <v>0</v>
      </c>
      <c r="AL335" s="549">
        <v>0</v>
      </c>
      <c r="AM335" s="675">
        <v>0</v>
      </c>
      <c r="AN335" s="549">
        <v>0</v>
      </c>
      <c r="AO335" s="675">
        <v>0</v>
      </c>
      <c r="AP335" s="549">
        <v>0</v>
      </c>
      <c r="AQ335" s="675">
        <v>0</v>
      </c>
      <c r="AR335" s="549">
        <v>0</v>
      </c>
      <c r="AS335" s="675">
        <v>0</v>
      </c>
      <c r="AT335" s="549">
        <v>0</v>
      </c>
      <c r="AU335" s="675">
        <v>0</v>
      </c>
      <c r="AV335" s="549">
        <v>0</v>
      </c>
      <c r="AW335" s="675">
        <v>0</v>
      </c>
      <c r="AX335" s="549">
        <v>0</v>
      </c>
      <c r="AY335" s="675">
        <v>0</v>
      </c>
      <c r="AZ335" s="549">
        <v>0</v>
      </c>
      <c r="BA335" s="675">
        <v>0</v>
      </c>
      <c r="BB335" s="549">
        <v>0</v>
      </c>
      <c r="BC335" s="675">
        <v>0</v>
      </c>
      <c r="BD335" s="549">
        <v>0</v>
      </c>
      <c r="BE335" s="675">
        <v>0</v>
      </c>
      <c r="BF335" s="549">
        <v>0</v>
      </c>
      <c r="BG335" s="675">
        <v>0</v>
      </c>
      <c r="BH335" s="549">
        <v>0</v>
      </c>
      <c r="BI335" s="675">
        <v>0</v>
      </c>
      <c r="BJ335" s="549">
        <v>0</v>
      </c>
      <c r="BK335" s="675">
        <v>0</v>
      </c>
      <c r="BL335" s="549">
        <v>0</v>
      </c>
      <c r="BM335" s="675">
        <v>0</v>
      </c>
      <c r="BN335" s="549">
        <v>0</v>
      </c>
      <c r="BO335" s="675">
        <v>0</v>
      </c>
      <c r="BP335" s="549">
        <v>0</v>
      </c>
      <c r="BQ335" s="675">
        <v>0</v>
      </c>
      <c r="BR335" s="549">
        <v>0</v>
      </c>
      <c r="BS335" s="675">
        <v>0</v>
      </c>
      <c r="BT335" s="549">
        <v>0</v>
      </c>
      <c r="BU335" s="675">
        <v>0</v>
      </c>
      <c r="BV335" s="549">
        <v>0</v>
      </c>
      <c r="BW335" s="675">
        <v>0</v>
      </c>
      <c r="BX335" s="549">
        <v>0</v>
      </c>
      <c r="BY335" s="675">
        <v>0</v>
      </c>
      <c r="BZ335" s="549">
        <v>0</v>
      </c>
      <c r="CA335" s="675">
        <v>0</v>
      </c>
      <c r="CB335" s="549">
        <v>0</v>
      </c>
      <c r="CC335" s="675">
        <v>0</v>
      </c>
      <c r="CD335" s="549">
        <v>0</v>
      </c>
      <c r="CE335" s="675">
        <v>0</v>
      </c>
      <c r="CF335" s="549">
        <v>0</v>
      </c>
      <c r="CG335" s="675">
        <v>0</v>
      </c>
      <c r="CH335" s="549">
        <v>0</v>
      </c>
      <c r="CI335" s="675">
        <v>0</v>
      </c>
      <c r="CJ335" s="549">
        <v>0</v>
      </c>
      <c r="CK335" s="675">
        <v>0</v>
      </c>
      <c r="CL335" s="549">
        <v>0</v>
      </c>
      <c r="CM335" s="675">
        <v>0</v>
      </c>
      <c r="CN335" s="549">
        <v>0</v>
      </c>
      <c r="CO335" s="675">
        <v>0</v>
      </c>
      <c r="CP335" s="549">
        <v>0</v>
      </c>
      <c r="CQ335" s="675">
        <v>0</v>
      </c>
      <c r="CR335" s="549">
        <v>0</v>
      </c>
      <c r="CS335" s="675">
        <v>0</v>
      </c>
      <c r="CT335" s="549">
        <v>0</v>
      </c>
      <c r="CU335" s="675">
        <v>0</v>
      </c>
      <c r="CV335" s="549">
        <v>0</v>
      </c>
      <c r="CW335" s="675">
        <v>0</v>
      </c>
      <c r="CX335" s="549">
        <v>0</v>
      </c>
      <c r="CY335" s="675">
        <v>0</v>
      </c>
      <c r="CZ335" s="549">
        <v>0</v>
      </c>
      <c r="DA335" s="675">
        <v>0</v>
      </c>
      <c r="DB335" s="549">
        <v>0</v>
      </c>
      <c r="DC335" s="675">
        <v>0</v>
      </c>
      <c r="DD335" s="549">
        <v>0</v>
      </c>
      <c r="DE335" s="675">
        <v>0</v>
      </c>
      <c r="DF335" s="549">
        <v>0</v>
      </c>
      <c r="DG335" s="675">
        <v>0</v>
      </c>
      <c r="DH335" s="549">
        <v>0</v>
      </c>
      <c r="DI335" s="675">
        <v>0</v>
      </c>
      <c r="DJ335" s="549">
        <v>0</v>
      </c>
      <c r="DK335" s="675">
        <v>0</v>
      </c>
      <c r="DL335" s="549">
        <v>0</v>
      </c>
      <c r="DM335" s="675">
        <v>0</v>
      </c>
      <c r="DN335" s="549">
        <v>0</v>
      </c>
      <c r="DO335" s="675">
        <v>0</v>
      </c>
      <c r="DP335" s="549">
        <v>0</v>
      </c>
      <c r="DQ335" s="675">
        <v>0</v>
      </c>
      <c r="DR335" s="549">
        <v>0</v>
      </c>
      <c r="DS335" s="675">
        <v>0</v>
      </c>
      <c r="DT335" s="549">
        <v>0</v>
      </c>
      <c r="DU335" s="675">
        <v>0</v>
      </c>
      <c r="DV335" s="549">
        <v>0</v>
      </c>
      <c r="DW335" s="675">
        <v>0</v>
      </c>
      <c r="DX335" s="549">
        <v>0</v>
      </c>
      <c r="DY335" s="675">
        <v>0</v>
      </c>
      <c r="DZ335" s="549">
        <v>0</v>
      </c>
      <c r="EA335" s="675">
        <v>0</v>
      </c>
      <c r="EB335" s="549">
        <v>0</v>
      </c>
      <c r="EC335" s="675">
        <v>0</v>
      </c>
      <c r="ED335" s="549">
        <v>0</v>
      </c>
      <c r="EE335" s="675">
        <v>0</v>
      </c>
      <c r="EF335" s="549">
        <v>0</v>
      </c>
      <c r="EG335" s="675">
        <v>0</v>
      </c>
      <c r="EH335" s="549">
        <v>0</v>
      </c>
      <c r="EI335" s="675">
        <v>0</v>
      </c>
      <c r="EJ335" s="549">
        <v>0</v>
      </c>
      <c r="EK335" s="675">
        <v>0</v>
      </c>
      <c r="EL335" s="549">
        <v>0</v>
      </c>
      <c r="EM335" s="675">
        <v>0</v>
      </c>
      <c r="EN335" s="549">
        <v>0</v>
      </c>
      <c r="EO335" s="675">
        <v>0</v>
      </c>
      <c r="EP335" s="549">
        <v>0</v>
      </c>
      <c r="EQ335" s="675">
        <v>0</v>
      </c>
      <c r="ER335" s="549">
        <v>0</v>
      </c>
      <c r="ES335" s="675">
        <v>0</v>
      </c>
      <c r="ET335" s="549">
        <v>0</v>
      </c>
      <c r="EU335" s="675">
        <v>0</v>
      </c>
      <c r="EV335" s="549">
        <v>0</v>
      </c>
      <c r="EW335" s="675">
        <v>0</v>
      </c>
      <c r="EX335" s="549">
        <v>0</v>
      </c>
      <c r="EY335" s="675">
        <v>0</v>
      </c>
      <c r="EZ335" s="549">
        <v>0</v>
      </c>
      <c r="FA335" s="675">
        <v>0</v>
      </c>
      <c r="FB335" s="549">
        <v>0</v>
      </c>
      <c r="FC335" s="675">
        <v>0</v>
      </c>
      <c r="FD335" s="549">
        <v>0</v>
      </c>
      <c r="FE335" s="675">
        <v>0</v>
      </c>
      <c r="FF335" s="549">
        <v>0</v>
      </c>
      <c r="FG335" s="675">
        <v>0</v>
      </c>
      <c r="FH335" s="549">
        <v>0</v>
      </c>
      <c r="FI335" s="675">
        <v>0</v>
      </c>
      <c r="FJ335" s="549">
        <v>0</v>
      </c>
      <c r="FK335" s="675">
        <v>0</v>
      </c>
      <c r="FL335" s="549">
        <v>0</v>
      </c>
      <c r="FM335" s="675">
        <v>0</v>
      </c>
      <c r="FN335" s="549">
        <v>0</v>
      </c>
      <c r="FO335" s="675">
        <v>0</v>
      </c>
      <c r="FP335" s="549">
        <v>0</v>
      </c>
      <c r="FQ335" s="675">
        <v>0</v>
      </c>
      <c r="FR335" s="549">
        <v>0</v>
      </c>
      <c r="FS335" s="675">
        <v>0</v>
      </c>
      <c r="FT335" s="549">
        <v>0</v>
      </c>
      <c r="FU335" s="675">
        <v>0</v>
      </c>
      <c r="FV335" s="549">
        <v>0</v>
      </c>
      <c r="FW335" s="675">
        <v>0</v>
      </c>
      <c r="FX335" s="549">
        <v>0</v>
      </c>
      <c r="FY335" s="675">
        <v>0</v>
      </c>
      <c r="FZ335" s="549">
        <v>0</v>
      </c>
      <c r="GA335" s="675">
        <v>0</v>
      </c>
      <c r="GB335" s="549">
        <v>0</v>
      </c>
      <c r="GC335" s="675">
        <v>0</v>
      </c>
      <c r="GD335" s="549">
        <v>0</v>
      </c>
      <c r="GE335" s="675">
        <v>0</v>
      </c>
      <c r="GF335" s="549">
        <v>0</v>
      </c>
      <c r="GG335" s="675">
        <v>0</v>
      </c>
      <c r="GH335" s="549">
        <v>0</v>
      </c>
      <c r="GI335" s="675">
        <v>0</v>
      </c>
      <c r="GJ335" s="549">
        <v>0</v>
      </c>
      <c r="GK335" s="675">
        <v>0</v>
      </c>
      <c r="GL335" s="549">
        <v>0</v>
      </c>
      <c r="GM335" s="675">
        <v>0</v>
      </c>
      <c r="GN335" s="549">
        <v>0</v>
      </c>
      <c r="GO335" s="675">
        <v>0</v>
      </c>
      <c r="GP335" s="549">
        <f>+D335+F335+H335+J335+L335+N335+P335+R335+T335+V335+X335+Z335+AB335+AD335+AH335+AJ335+AL335+AN335+AP335+AR335+AT335+AV335+AX335+AZ335+BB335+BD335+BF335+BH335+BJ335+BL335+BN335+BP335+BR335+BT335+BV335+BX335+BZ335+CB335+CD335+CF335+CH335+CJ335+CL335+CN335+CP335+CR335+CT335+CV335+CX335+CZ335+DB335+DD335+DF335+DH335+DT335+EX335+DJ335+DL335+DN335+DP335+DR335+EJ335+EB335+DZ335+DX335+DV335+ED335+EF335+EH335+EL335+EN335+EP335+EV335+ET335+ER335+EZ335+FB335+FD335+GL335+FF335+FJ335+FL335+GJ335+FT335+FR335+FP335+FN335+FH335</f>
        <v>0</v>
      </c>
      <c r="GQ335" s="675">
        <f>+E335+G335+I335+K335+M335+O335+Q335+S335+U335+W335+Y335+AA335+AC335+AE335+AI335+AK335+AM335+AO335+AQ335+AS335+AU335+AW335+AY335+BA335+BC335+BE335+BG335+BI335+BK335+BM335+BO335+BQ335+BS335+BU335+BW335+BY335+CA335+CC335+CE335+CG335+CI335+CK335+CM335+CO335+CQ335+CS335+CU335+CW335+CY335+DA335+DC335+DE335+DG335+DI335+DU335+EY335+DK335+DM335+DO335+DQ335+DS335+EK335+EC335+EA335+DY335+DW335+EI335+EG335+EE335+EM335+EO335+EQ335+EW335+EU335+ES335+FA335+FC335+FE335+GM335+FG335+FK335+FM335+FO335+FQ335+FS335+FU335+GK335+FI335</f>
        <v>0</v>
      </c>
      <c r="GR335" s="74">
        <f>C335+GP335+GQ335</f>
        <v>0</v>
      </c>
      <c r="GS335" s="74">
        <f>SUM(GU335:HE335)+GP335+GQ335</f>
        <v>0</v>
      </c>
      <c r="GT335" s="568">
        <f>SUM(GU335:HF335)+GQ335+GP335</f>
        <v>0</v>
      </c>
      <c r="GU335" s="275">
        <v>0</v>
      </c>
      <c r="GV335" s="275">
        <v>0</v>
      </c>
      <c r="GW335" s="588">
        <v>0</v>
      </c>
      <c r="GX335" s="588">
        <v>0</v>
      </c>
      <c r="GY335" s="275">
        <v>0</v>
      </c>
      <c r="GZ335" s="275">
        <v>0</v>
      </c>
      <c r="HA335" s="275">
        <v>0</v>
      </c>
      <c r="HB335" s="275">
        <v>0</v>
      </c>
      <c r="HC335" s="275">
        <v>0</v>
      </c>
      <c r="HD335" s="275">
        <v>0</v>
      </c>
      <c r="HE335" s="275">
        <v>0</v>
      </c>
      <c r="HF335" s="275">
        <v>0</v>
      </c>
      <c r="HG335" s="74">
        <f>SUM(HH335:IE335)+GP335+GQ335</f>
        <v>0</v>
      </c>
      <c r="HH335" s="89">
        <v>0</v>
      </c>
      <c r="HI335" s="817">
        <v>0</v>
      </c>
      <c r="HJ335" s="89">
        <v>0</v>
      </c>
      <c r="HK335" s="817">
        <v>0</v>
      </c>
      <c r="HL335" s="89">
        <v>0</v>
      </c>
      <c r="HM335" s="817">
        <v>0</v>
      </c>
      <c r="HN335" s="89">
        <v>0</v>
      </c>
      <c r="HO335" s="817">
        <v>0</v>
      </c>
      <c r="HP335" s="89">
        <v>0</v>
      </c>
      <c r="HQ335" s="817">
        <v>0</v>
      </c>
      <c r="HR335" s="89">
        <v>0</v>
      </c>
      <c r="HS335" s="817">
        <v>0</v>
      </c>
      <c r="HT335" s="89">
        <v>0</v>
      </c>
      <c r="HU335" s="817">
        <v>0</v>
      </c>
      <c r="HV335" s="89">
        <v>0</v>
      </c>
      <c r="HW335" s="817">
        <v>0</v>
      </c>
      <c r="HX335" s="89">
        <v>0</v>
      </c>
      <c r="HY335" s="817">
        <v>0</v>
      </c>
      <c r="HZ335" s="89">
        <v>0</v>
      </c>
      <c r="IA335" s="817">
        <v>0</v>
      </c>
      <c r="IB335" s="89">
        <v>0</v>
      </c>
      <c r="IC335" s="817">
        <v>0</v>
      </c>
      <c r="ID335" s="89">
        <v>0</v>
      </c>
      <c r="IE335" s="817">
        <v>0</v>
      </c>
      <c r="IF335" s="841">
        <f t="shared" ref="IF335" si="9840">SUM(II335,IL335,IO335,IR335,IU335,IX335,JA335,JD335,JG335,JJ335,JM335,JP335)</f>
        <v>0</v>
      </c>
      <c r="IG335" s="263">
        <f t="shared" ref="IG335" si="9841">SUM(IJ335,IM335,IP335,IS335,IV335,IY335,JB335,JE335,JH335,JK335,JN335,JQ335)</f>
        <v>0</v>
      </c>
      <c r="IH335" s="842">
        <f t="shared" ref="IH335" si="9842">SUM(IK335,IN335,IQ335,IT335,IW335,IZ335,JC335,JF335,JI335,JL335,JO335,JR335)</f>
        <v>0</v>
      </c>
      <c r="II335" s="89">
        <v>0</v>
      </c>
      <c r="IJ335" s="89">
        <f t="shared" ref="IJ335" si="9843">II335</f>
        <v>0</v>
      </c>
      <c r="IK335" s="89">
        <f t="shared" ref="IK335" si="9844">IJ335</f>
        <v>0</v>
      </c>
      <c r="IL335" s="89">
        <v>0</v>
      </c>
      <c r="IM335" s="89">
        <f t="shared" ref="IM335" si="9845">IL335</f>
        <v>0</v>
      </c>
      <c r="IN335" s="89">
        <f t="shared" ref="IN335" si="9846">IM335</f>
        <v>0</v>
      </c>
      <c r="IO335" s="89">
        <v>0</v>
      </c>
      <c r="IP335" s="89">
        <f t="shared" ref="IP335" si="9847">IO335</f>
        <v>0</v>
      </c>
      <c r="IQ335" s="89">
        <f t="shared" ref="IQ335" si="9848">IP335</f>
        <v>0</v>
      </c>
      <c r="IR335" s="89">
        <v>0</v>
      </c>
      <c r="IS335" s="89">
        <f t="shared" ref="IS335" si="9849">IR335</f>
        <v>0</v>
      </c>
      <c r="IT335" s="89">
        <f t="shared" ref="IT335" si="9850">IS335</f>
        <v>0</v>
      </c>
      <c r="IU335" s="89">
        <v>0</v>
      </c>
      <c r="IV335" s="89">
        <f t="shared" ref="IV335" si="9851">IU335</f>
        <v>0</v>
      </c>
      <c r="IW335" s="89">
        <f t="shared" ref="IW335" si="9852">IV335</f>
        <v>0</v>
      </c>
      <c r="IX335" s="89">
        <v>0</v>
      </c>
      <c r="IY335" s="89">
        <f t="shared" ref="IY335" si="9853">IX335</f>
        <v>0</v>
      </c>
      <c r="IZ335" s="89">
        <f t="shared" ref="IZ335" si="9854">IY335</f>
        <v>0</v>
      </c>
      <c r="JA335" s="89">
        <v>0</v>
      </c>
      <c r="JB335" s="89">
        <f t="shared" ref="JB335" si="9855">JA335</f>
        <v>0</v>
      </c>
      <c r="JC335" s="89">
        <f t="shared" ref="JC335" si="9856">JB335</f>
        <v>0</v>
      </c>
      <c r="JD335" s="89">
        <v>0</v>
      </c>
      <c r="JE335" s="89">
        <f t="shared" ref="JE335" si="9857">JD335</f>
        <v>0</v>
      </c>
      <c r="JF335" s="89">
        <f t="shared" ref="JF335" si="9858">JE335</f>
        <v>0</v>
      </c>
      <c r="JG335" s="89">
        <v>0</v>
      </c>
      <c r="JH335" s="89">
        <f t="shared" ref="JH335" si="9859">JG335</f>
        <v>0</v>
      </c>
      <c r="JI335" s="89">
        <f t="shared" ref="JI335" si="9860">JH335</f>
        <v>0</v>
      </c>
      <c r="JJ335" s="89">
        <v>0</v>
      </c>
      <c r="JK335" s="89">
        <f t="shared" ref="JK335" si="9861">JJ335</f>
        <v>0</v>
      </c>
      <c r="JL335" s="89">
        <f t="shared" ref="JL335" si="9862">JK335</f>
        <v>0</v>
      </c>
      <c r="JM335" s="89">
        <v>0</v>
      </c>
      <c r="JN335" s="89">
        <f t="shared" ref="JN335" si="9863">JM335</f>
        <v>0</v>
      </c>
      <c r="JO335" s="89">
        <f t="shared" ref="JO335" si="9864">JN335</f>
        <v>0</v>
      </c>
      <c r="JP335" s="89">
        <v>0</v>
      </c>
      <c r="JQ335" s="89">
        <f t="shared" ref="JQ335:JR335" si="9865">JP335</f>
        <v>0</v>
      </c>
      <c r="JR335" s="89">
        <f t="shared" si="9865"/>
        <v>0</v>
      </c>
      <c r="JS335" s="74">
        <f>HG335-IF335</f>
        <v>0</v>
      </c>
      <c r="JT335" s="382">
        <f>GS335-IF335</f>
        <v>0</v>
      </c>
      <c r="JU335" s="665"/>
      <c r="JV335" s="524"/>
      <c r="JW335" s="525"/>
      <c r="JX335" s="548">
        <f>SUM(HH335,HJ335,HL335,HN335,HP335,HR335,HT335,HV335,HX335,HZ335,IB335,ID335)</f>
        <v>0</v>
      </c>
      <c r="JY335" s="548">
        <f>SUM(HI335,HK335,HM335,HO335,HQ335,HS335,HU335,HW335,HY335,IA335,IC335,IE335)</f>
        <v>0</v>
      </c>
      <c r="JZ335" s="581">
        <f t="shared" si="9103"/>
        <v>0</v>
      </c>
      <c r="KA335" s="581">
        <f t="shared" si="9104"/>
        <v>0</v>
      </c>
      <c r="KB335" s="548">
        <f t="shared" si="8622"/>
        <v>0</v>
      </c>
      <c r="KC335" s="709">
        <f t="shared" si="9101"/>
        <v>0</v>
      </c>
      <c r="KD335" s="57"/>
      <c r="KE335" s="57"/>
      <c r="KF335" s="57"/>
      <c r="KG335" s="57"/>
      <c r="KH335" s="57"/>
      <c r="KI335" s="57"/>
      <c r="KJ335" s="57"/>
      <c r="KK335" s="57"/>
    </row>
    <row r="336" spans="1:297" s="10" customFormat="1" ht="12.75" hidden="1" customHeight="1">
      <c r="A336" s="80"/>
      <c r="B336" s="77"/>
      <c r="C336" s="74"/>
      <c r="D336" s="549"/>
      <c r="E336" s="675"/>
      <c r="F336" s="549"/>
      <c r="G336" s="675"/>
      <c r="H336" s="549"/>
      <c r="I336" s="675"/>
      <c r="J336" s="549"/>
      <c r="K336" s="675"/>
      <c r="L336" s="549"/>
      <c r="M336" s="675"/>
      <c r="N336" s="549"/>
      <c r="O336" s="675"/>
      <c r="P336" s="549"/>
      <c r="Q336" s="675"/>
      <c r="R336" s="549"/>
      <c r="S336" s="675"/>
      <c r="T336" s="549"/>
      <c r="U336" s="675"/>
      <c r="V336" s="549"/>
      <c r="W336" s="675"/>
      <c r="X336" s="549"/>
      <c r="Y336" s="675"/>
      <c r="Z336" s="549"/>
      <c r="AA336" s="675"/>
      <c r="AB336" s="549"/>
      <c r="AC336" s="675"/>
      <c r="AD336" s="549"/>
      <c r="AE336" s="675"/>
      <c r="AF336" s="549"/>
      <c r="AG336" s="675"/>
      <c r="AH336" s="549"/>
      <c r="AI336" s="675"/>
      <c r="AJ336" s="549"/>
      <c r="AK336" s="675"/>
      <c r="AL336" s="549"/>
      <c r="AM336" s="675"/>
      <c r="AN336" s="549"/>
      <c r="AO336" s="675"/>
      <c r="AP336" s="549"/>
      <c r="AQ336" s="675"/>
      <c r="AR336" s="549"/>
      <c r="AS336" s="675"/>
      <c r="AT336" s="549"/>
      <c r="AU336" s="675"/>
      <c r="AV336" s="549"/>
      <c r="AW336" s="675"/>
      <c r="AX336" s="549"/>
      <c r="AY336" s="675"/>
      <c r="AZ336" s="549"/>
      <c r="BA336" s="675"/>
      <c r="BB336" s="549"/>
      <c r="BC336" s="675"/>
      <c r="BD336" s="549"/>
      <c r="BE336" s="675"/>
      <c r="BF336" s="549"/>
      <c r="BG336" s="675"/>
      <c r="BH336" s="549"/>
      <c r="BI336" s="675"/>
      <c r="BJ336" s="549"/>
      <c r="BK336" s="675"/>
      <c r="BL336" s="549"/>
      <c r="BM336" s="675"/>
      <c r="BN336" s="549"/>
      <c r="BO336" s="675"/>
      <c r="BP336" s="549"/>
      <c r="BQ336" s="675"/>
      <c r="BR336" s="549"/>
      <c r="BS336" s="675"/>
      <c r="BT336" s="549"/>
      <c r="BU336" s="675"/>
      <c r="BV336" s="549"/>
      <c r="BW336" s="675"/>
      <c r="BX336" s="549"/>
      <c r="BY336" s="675"/>
      <c r="BZ336" s="549"/>
      <c r="CA336" s="675"/>
      <c r="CB336" s="549"/>
      <c r="CC336" s="675"/>
      <c r="CD336" s="549"/>
      <c r="CE336" s="675"/>
      <c r="CF336" s="549"/>
      <c r="CG336" s="675"/>
      <c r="CH336" s="549"/>
      <c r="CI336" s="675"/>
      <c r="CJ336" s="549"/>
      <c r="CK336" s="675"/>
      <c r="CL336" s="549"/>
      <c r="CM336" s="675"/>
      <c r="CN336" s="549"/>
      <c r="CO336" s="675"/>
      <c r="CP336" s="549"/>
      <c r="CQ336" s="675"/>
      <c r="CR336" s="549"/>
      <c r="CS336" s="675"/>
      <c r="CT336" s="549"/>
      <c r="CU336" s="675"/>
      <c r="CV336" s="549"/>
      <c r="CW336" s="675"/>
      <c r="CX336" s="549"/>
      <c r="CY336" s="675"/>
      <c r="CZ336" s="549"/>
      <c r="DA336" s="675"/>
      <c r="DB336" s="549"/>
      <c r="DC336" s="675"/>
      <c r="DD336" s="549"/>
      <c r="DE336" s="675"/>
      <c r="DF336" s="549"/>
      <c r="DG336" s="675"/>
      <c r="DH336" s="549"/>
      <c r="DI336" s="675"/>
      <c r="DJ336" s="549"/>
      <c r="DK336" s="675"/>
      <c r="DL336" s="549"/>
      <c r="DM336" s="675"/>
      <c r="DN336" s="549"/>
      <c r="DO336" s="675"/>
      <c r="DP336" s="549"/>
      <c r="DQ336" s="675"/>
      <c r="DR336" s="549"/>
      <c r="DS336" s="675"/>
      <c r="DT336" s="549"/>
      <c r="DU336" s="675"/>
      <c r="DV336" s="549"/>
      <c r="DW336" s="675"/>
      <c r="DX336" s="549"/>
      <c r="DY336" s="675"/>
      <c r="DZ336" s="549"/>
      <c r="EA336" s="675"/>
      <c r="EB336" s="549"/>
      <c r="EC336" s="675"/>
      <c r="ED336" s="549"/>
      <c r="EE336" s="675"/>
      <c r="EF336" s="549"/>
      <c r="EG336" s="675"/>
      <c r="EH336" s="549"/>
      <c r="EI336" s="675"/>
      <c r="EJ336" s="549"/>
      <c r="EK336" s="675"/>
      <c r="EL336" s="549"/>
      <c r="EM336" s="675"/>
      <c r="EN336" s="549"/>
      <c r="EO336" s="675"/>
      <c r="EP336" s="549"/>
      <c r="EQ336" s="675"/>
      <c r="ER336" s="549"/>
      <c r="ES336" s="675"/>
      <c r="ET336" s="549"/>
      <c r="EU336" s="675"/>
      <c r="EV336" s="549"/>
      <c r="EW336" s="675"/>
      <c r="EX336" s="549"/>
      <c r="EY336" s="675"/>
      <c r="EZ336" s="549"/>
      <c r="FA336" s="675"/>
      <c r="FB336" s="549"/>
      <c r="FC336" s="675"/>
      <c r="FD336" s="549"/>
      <c r="FE336" s="675"/>
      <c r="FF336" s="549"/>
      <c r="FG336" s="675"/>
      <c r="FH336" s="549"/>
      <c r="FI336" s="675"/>
      <c r="FJ336" s="549"/>
      <c r="FK336" s="675"/>
      <c r="FL336" s="549"/>
      <c r="FM336" s="675"/>
      <c r="FN336" s="549"/>
      <c r="FO336" s="675"/>
      <c r="FP336" s="549"/>
      <c r="FQ336" s="675"/>
      <c r="FR336" s="549"/>
      <c r="FS336" s="675"/>
      <c r="FT336" s="549"/>
      <c r="FU336" s="675"/>
      <c r="FV336" s="549"/>
      <c r="FW336" s="675"/>
      <c r="FX336" s="549"/>
      <c r="FY336" s="675"/>
      <c r="FZ336" s="549"/>
      <c r="GA336" s="675"/>
      <c r="GB336" s="549"/>
      <c r="GC336" s="675"/>
      <c r="GD336" s="549"/>
      <c r="GE336" s="675"/>
      <c r="GF336" s="549"/>
      <c r="GG336" s="675"/>
      <c r="GH336" s="549"/>
      <c r="GI336" s="675"/>
      <c r="GJ336" s="549"/>
      <c r="GK336" s="675"/>
      <c r="GL336" s="549"/>
      <c r="GM336" s="675"/>
      <c r="GN336" s="549"/>
      <c r="GO336" s="675"/>
      <c r="GP336" s="549"/>
      <c r="GQ336" s="675"/>
      <c r="GR336" s="74"/>
      <c r="GS336" s="74"/>
      <c r="GT336" s="549"/>
      <c r="GU336" s="275"/>
      <c r="GV336" s="275"/>
      <c r="GW336" s="588"/>
      <c r="GX336" s="588"/>
      <c r="GY336" s="275"/>
      <c r="GZ336" s="275"/>
      <c r="HA336" s="275"/>
      <c r="HB336" s="275"/>
      <c r="HC336" s="275"/>
      <c r="HD336" s="275"/>
      <c r="HE336" s="275"/>
      <c r="HF336" s="275"/>
      <c r="HG336" s="74"/>
      <c r="HH336" s="74"/>
      <c r="HI336" s="792"/>
      <c r="HJ336" s="74"/>
      <c r="HK336" s="792"/>
      <c r="HL336" s="74"/>
      <c r="HM336" s="792"/>
      <c r="HN336" s="74"/>
      <c r="HO336" s="792"/>
      <c r="HP336" s="74"/>
      <c r="HQ336" s="792"/>
      <c r="HR336" s="74"/>
      <c r="HS336" s="792"/>
      <c r="HT336" s="74"/>
      <c r="HU336" s="792"/>
      <c r="HV336" s="74"/>
      <c r="HW336" s="792"/>
      <c r="HX336" s="74"/>
      <c r="HY336" s="792"/>
      <c r="HZ336" s="74"/>
      <c r="IA336" s="792"/>
      <c r="IB336" s="74"/>
      <c r="IC336" s="792"/>
      <c r="ID336" s="74"/>
      <c r="IE336" s="792"/>
      <c r="IF336" s="841"/>
      <c r="IG336" s="263"/>
      <c r="IH336" s="842"/>
      <c r="II336" s="74"/>
      <c r="IJ336" s="74"/>
      <c r="IK336" s="74"/>
      <c r="IL336" s="74"/>
      <c r="IM336" s="74"/>
      <c r="IN336" s="74"/>
      <c r="IO336" s="74"/>
      <c r="IP336" s="74"/>
      <c r="IQ336" s="74"/>
      <c r="IR336" s="74"/>
      <c r="IS336" s="74"/>
      <c r="IT336" s="74"/>
      <c r="IU336" s="74"/>
      <c r="IV336" s="74"/>
      <c r="IW336" s="74"/>
      <c r="IX336" s="74"/>
      <c r="IY336" s="74"/>
      <c r="IZ336" s="74"/>
      <c r="JA336" s="74"/>
      <c r="JB336" s="74"/>
      <c r="JC336" s="74"/>
      <c r="JD336" s="74"/>
      <c r="JE336" s="74"/>
      <c r="JF336" s="74"/>
      <c r="JG336" s="74"/>
      <c r="JH336" s="74"/>
      <c r="JI336" s="74"/>
      <c r="JJ336" s="74"/>
      <c r="JK336" s="74"/>
      <c r="JL336" s="74"/>
      <c r="JM336" s="74"/>
      <c r="JN336" s="74"/>
      <c r="JO336" s="74"/>
      <c r="JP336" s="74"/>
      <c r="JQ336" s="74"/>
      <c r="JR336" s="74"/>
      <c r="JS336" s="74"/>
      <c r="JT336" s="382"/>
      <c r="JU336" s="665"/>
      <c r="JV336" s="524"/>
      <c r="JW336" s="525"/>
      <c r="JX336" s="548"/>
      <c r="JY336" s="548"/>
      <c r="JZ336" s="581">
        <f t="shared" si="9103"/>
        <v>0</v>
      </c>
      <c r="KA336" s="581">
        <f t="shared" si="9104"/>
        <v>0</v>
      </c>
      <c r="KB336" s="548">
        <f t="shared" si="8622"/>
        <v>0</v>
      </c>
      <c r="KC336" s="709">
        <f t="shared" si="9101"/>
        <v>0</v>
      </c>
      <c r="KD336" s="36"/>
      <c r="KE336" s="36"/>
      <c r="KF336" s="36"/>
      <c r="KG336" s="36"/>
      <c r="KH336" s="36"/>
      <c r="KI336" s="36"/>
      <c r="KJ336" s="36"/>
      <c r="KK336" s="36"/>
    </row>
    <row r="337" spans="1:297" s="10" customFormat="1" ht="12.75" hidden="1" customHeight="1">
      <c r="A337" s="80" t="s">
        <v>1131</v>
      </c>
      <c r="B337" s="77"/>
      <c r="C337" s="74">
        <v>0</v>
      </c>
      <c r="D337" s="549">
        <v>0</v>
      </c>
      <c r="E337" s="675">
        <v>0</v>
      </c>
      <c r="F337" s="549">
        <v>0</v>
      </c>
      <c r="G337" s="675">
        <v>0</v>
      </c>
      <c r="H337" s="549">
        <v>0</v>
      </c>
      <c r="I337" s="675">
        <v>0</v>
      </c>
      <c r="J337" s="549">
        <v>0</v>
      </c>
      <c r="K337" s="675">
        <v>0</v>
      </c>
      <c r="L337" s="549">
        <v>0</v>
      </c>
      <c r="M337" s="675">
        <v>0</v>
      </c>
      <c r="N337" s="549">
        <v>0</v>
      </c>
      <c r="O337" s="675">
        <v>0</v>
      </c>
      <c r="P337" s="549">
        <v>0</v>
      </c>
      <c r="Q337" s="675">
        <v>0</v>
      </c>
      <c r="R337" s="549">
        <v>0</v>
      </c>
      <c r="S337" s="675">
        <v>0</v>
      </c>
      <c r="T337" s="549">
        <v>0</v>
      </c>
      <c r="U337" s="675">
        <v>0</v>
      </c>
      <c r="V337" s="549">
        <v>0</v>
      </c>
      <c r="W337" s="675">
        <v>0</v>
      </c>
      <c r="X337" s="549">
        <v>0</v>
      </c>
      <c r="Y337" s="675">
        <v>0</v>
      </c>
      <c r="Z337" s="549">
        <v>0</v>
      </c>
      <c r="AA337" s="675">
        <v>0</v>
      </c>
      <c r="AB337" s="549">
        <v>0</v>
      </c>
      <c r="AC337" s="675">
        <v>0</v>
      </c>
      <c r="AD337" s="549">
        <v>0</v>
      </c>
      <c r="AE337" s="675">
        <v>0</v>
      </c>
      <c r="AF337" s="549">
        <v>0</v>
      </c>
      <c r="AG337" s="675">
        <v>0</v>
      </c>
      <c r="AH337" s="549">
        <v>0</v>
      </c>
      <c r="AI337" s="675">
        <v>0</v>
      </c>
      <c r="AJ337" s="549">
        <v>0</v>
      </c>
      <c r="AK337" s="675">
        <v>0</v>
      </c>
      <c r="AL337" s="549">
        <v>0</v>
      </c>
      <c r="AM337" s="675">
        <v>0</v>
      </c>
      <c r="AN337" s="549">
        <v>0</v>
      </c>
      <c r="AO337" s="675">
        <v>0</v>
      </c>
      <c r="AP337" s="549">
        <v>0</v>
      </c>
      <c r="AQ337" s="675">
        <v>0</v>
      </c>
      <c r="AR337" s="549">
        <v>0</v>
      </c>
      <c r="AS337" s="675">
        <v>0</v>
      </c>
      <c r="AT337" s="549">
        <v>0</v>
      </c>
      <c r="AU337" s="675">
        <v>0</v>
      </c>
      <c r="AV337" s="549">
        <v>0</v>
      </c>
      <c r="AW337" s="675">
        <v>0</v>
      </c>
      <c r="AX337" s="549">
        <v>0</v>
      </c>
      <c r="AY337" s="675">
        <v>0</v>
      </c>
      <c r="AZ337" s="549">
        <v>0</v>
      </c>
      <c r="BA337" s="675">
        <v>0</v>
      </c>
      <c r="BB337" s="549">
        <v>0</v>
      </c>
      <c r="BC337" s="675">
        <v>0</v>
      </c>
      <c r="BD337" s="549">
        <v>0</v>
      </c>
      <c r="BE337" s="675">
        <v>0</v>
      </c>
      <c r="BF337" s="549">
        <v>0</v>
      </c>
      <c r="BG337" s="675">
        <v>0</v>
      </c>
      <c r="BH337" s="549">
        <v>0</v>
      </c>
      <c r="BI337" s="675">
        <v>0</v>
      </c>
      <c r="BJ337" s="549">
        <v>0</v>
      </c>
      <c r="BK337" s="675">
        <v>0</v>
      </c>
      <c r="BL337" s="549">
        <v>0</v>
      </c>
      <c r="BM337" s="675">
        <v>0</v>
      </c>
      <c r="BN337" s="549">
        <v>0</v>
      </c>
      <c r="BO337" s="675">
        <v>0</v>
      </c>
      <c r="BP337" s="549">
        <v>0</v>
      </c>
      <c r="BQ337" s="675">
        <v>0</v>
      </c>
      <c r="BR337" s="549">
        <v>0</v>
      </c>
      <c r="BS337" s="675">
        <v>0</v>
      </c>
      <c r="BT337" s="549">
        <v>0</v>
      </c>
      <c r="BU337" s="675">
        <v>0</v>
      </c>
      <c r="BV337" s="549">
        <v>0</v>
      </c>
      <c r="BW337" s="675">
        <v>0</v>
      </c>
      <c r="BX337" s="549">
        <v>0</v>
      </c>
      <c r="BY337" s="675">
        <v>0</v>
      </c>
      <c r="BZ337" s="549">
        <v>0</v>
      </c>
      <c r="CA337" s="675">
        <v>0</v>
      </c>
      <c r="CB337" s="549">
        <v>0</v>
      </c>
      <c r="CC337" s="675">
        <v>0</v>
      </c>
      <c r="CD337" s="549">
        <v>0</v>
      </c>
      <c r="CE337" s="675">
        <v>0</v>
      </c>
      <c r="CF337" s="549">
        <v>0</v>
      </c>
      <c r="CG337" s="675">
        <v>0</v>
      </c>
      <c r="CH337" s="549">
        <v>0</v>
      </c>
      <c r="CI337" s="675">
        <v>0</v>
      </c>
      <c r="CJ337" s="549">
        <v>0</v>
      </c>
      <c r="CK337" s="675">
        <v>0</v>
      </c>
      <c r="CL337" s="549">
        <v>0</v>
      </c>
      <c r="CM337" s="675">
        <v>0</v>
      </c>
      <c r="CN337" s="549">
        <v>0</v>
      </c>
      <c r="CO337" s="675">
        <v>0</v>
      </c>
      <c r="CP337" s="549">
        <v>0</v>
      </c>
      <c r="CQ337" s="675">
        <v>0</v>
      </c>
      <c r="CR337" s="549">
        <v>0</v>
      </c>
      <c r="CS337" s="675">
        <v>0</v>
      </c>
      <c r="CT337" s="549">
        <v>0</v>
      </c>
      <c r="CU337" s="675">
        <v>0</v>
      </c>
      <c r="CV337" s="549">
        <v>0</v>
      </c>
      <c r="CW337" s="675">
        <v>0</v>
      </c>
      <c r="CX337" s="549">
        <v>0</v>
      </c>
      <c r="CY337" s="675">
        <v>0</v>
      </c>
      <c r="CZ337" s="549">
        <v>0</v>
      </c>
      <c r="DA337" s="675">
        <v>0</v>
      </c>
      <c r="DB337" s="549">
        <v>0</v>
      </c>
      <c r="DC337" s="675">
        <v>0</v>
      </c>
      <c r="DD337" s="549">
        <v>0</v>
      </c>
      <c r="DE337" s="675">
        <v>0</v>
      </c>
      <c r="DF337" s="549">
        <v>0</v>
      </c>
      <c r="DG337" s="675">
        <v>0</v>
      </c>
      <c r="DH337" s="549">
        <v>0</v>
      </c>
      <c r="DI337" s="675">
        <v>0</v>
      </c>
      <c r="DJ337" s="549">
        <v>0</v>
      </c>
      <c r="DK337" s="675">
        <v>0</v>
      </c>
      <c r="DL337" s="549">
        <v>0</v>
      </c>
      <c r="DM337" s="675">
        <v>0</v>
      </c>
      <c r="DN337" s="549">
        <v>0</v>
      </c>
      <c r="DO337" s="675">
        <v>0</v>
      </c>
      <c r="DP337" s="549">
        <v>0</v>
      </c>
      <c r="DQ337" s="675">
        <v>0</v>
      </c>
      <c r="DR337" s="549">
        <v>0</v>
      </c>
      <c r="DS337" s="675">
        <v>0</v>
      </c>
      <c r="DT337" s="549">
        <v>0</v>
      </c>
      <c r="DU337" s="675">
        <v>0</v>
      </c>
      <c r="DV337" s="549">
        <v>0</v>
      </c>
      <c r="DW337" s="675">
        <v>0</v>
      </c>
      <c r="DX337" s="549">
        <v>0</v>
      </c>
      <c r="DY337" s="675">
        <v>0</v>
      </c>
      <c r="DZ337" s="549">
        <v>0</v>
      </c>
      <c r="EA337" s="675">
        <v>0</v>
      </c>
      <c r="EB337" s="549">
        <v>0</v>
      </c>
      <c r="EC337" s="675">
        <v>0</v>
      </c>
      <c r="ED337" s="549">
        <v>0</v>
      </c>
      <c r="EE337" s="675">
        <v>0</v>
      </c>
      <c r="EF337" s="549">
        <v>0</v>
      </c>
      <c r="EG337" s="675">
        <v>0</v>
      </c>
      <c r="EH337" s="549">
        <v>0</v>
      </c>
      <c r="EI337" s="675">
        <v>0</v>
      </c>
      <c r="EJ337" s="549">
        <v>0</v>
      </c>
      <c r="EK337" s="675">
        <v>0</v>
      </c>
      <c r="EL337" s="549">
        <v>0</v>
      </c>
      <c r="EM337" s="675">
        <v>0</v>
      </c>
      <c r="EN337" s="549">
        <v>0</v>
      </c>
      <c r="EO337" s="675">
        <v>0</v>
      </c>
      <c r="EP337" s="549">
        <v>0</v>
      </c>
      <c r="EQ337" s="675">
        <v>0</v>
      </c>
      <c r="ER337" s="549">
        <v>0</v>
      </c>
      <c r="ES337" s="675">
        <v>0</v>
      </c>
      <c r="ET337" s="549">
        <v>0</v>
      </c>
      <c r="EU337" s="675">
        <v>0</v>
      </c>
      <c r="EV337" s="549">
        <v>0</v>
      </c>
      <c r="EW337" s="675">
        <v>0</v>
      </c>
      <c r="EX337" s="549">
        <v>0</v>
      </c>
      <c r="EY337" s="675">
        <v>0</v>
      </c>
      <c r="EZ337" s="549">
        <v>0</v>
      </c>
      <c r="FA337" s="675">
        <v>0</v>
      </c>
      <c r="FB337" s="549">
        <v>0</v>
      </c>
      <c r="FC337" s="675">
        <v>0</v>
      </c>
      <c r="FD337" s="549">
        <v>0</v>
      </c>
      <c r="FE337" s="675">
        <v>0</v>
      </c>
      <c r="FF337" s="549">
        <v>0</v>
      </c>
      <c r="FG337" s="675">
        <v>0</v>
      </c>
      <c r="FH337" s="549">
        <v>0</v>
      </c>
      <c r="FI337" s="675">
        <v>0</v>
      </c>
      <c r="FJ337" s="549">
        <v>0</v>
      </c>
      <c r="FK337" s="675">
        <v>0</v>
      </c>
      <c r="FL337" s="549">
        <v>0</v>
      </c>
      <c r="FM337" s="675">
        <v>0</v>
      </c>
      <c r="FN337" s="549">
        <v>0</v>
      </c>
      <c r="FO337" s="675">
        <v>0</v>
      </c>
      <c r="FP337" s="549">
        <v>0</v>
      </c>
      <c r="FQ337" s="675">
        <v>0</v>
      </c>
      <c r="FR337" s="549">
        <v>0</v>
      </c>
      <c r="FS337" s="675">
        <v>0</v>
      </c>
      <c r="FT337" s="549">
        <v>0</v>
      </c>
      <c r="FU337" s="675">
        <v>0</v>
      </c>
      <c r="FV337" s="549">
        <v>0</v>
      </c>
      <c r="FW337" s="675">
        <v>0</v>
      </c>
      <c r="FX337" s="549">
        <v>0</v>
      </c>
      <c r="FY337" s="675">
        <v>0</v>
      </c>
      <c r="FZ337" s="549">
        <v>0</v>
      </c>
      <c r="GA337" s="675">
        <v>0</v>
      </c>
      <c r="GB337" s="549">
        <v>0</v>
      </c>
      <c r="GC337" s="675">
        <v>0</v>
      </c>
      <c r="GD337" s="549">
        <v>0</v>
      </c>
      <c r="GE337" s="675">
        <v>0</v>
      </c>
      <c r="GF337" s="549">
        <v>0</v>
      </c>
      <c r="GG337" s="675">
        <v>0</v>
      </c>
      <c r="GH337" s="549">
        <v>0</v>
      </c>
      <c r="GI337" s="675">
        <v>0</v>
      </c>
      <c r="GJ337" s="549">
        <v>0</v>
      </c>
      <c r="GK337" s="675">
        <v>0</v>
      </c>
      <c r="GL337" s="549">
        <v>0</v>
      </c>
      <c r="GM337" s="675">
        <v>0</v>
      </c>
      <c r="GN337" s="549">
        <v>0</v>
      </c>
      <c r="GO337" s="675">
        <v>0</v>
      </c>
      <c r="GP337" s="549">
        <f>+D337+F337+H337+J337+L337+N337+P337+R337+T337+V337+X337+Z337+AB337+AD337+AH337+AJ337+AL337+AN337+AP337+AR337+AT337+AV337+AX337+AZ337+BB337+BD337+BF337+BH337+BJ337+BL337+BN337+BP337+BR337+BT337+BV337+BX337+BZ337+CB337+CD337+CF337+CH337+CJ337+CL337+CN337+CP337+CR337+CT337+CV337+CX337+CZ337+DB337+DD337+DF337+DH337+DT337+EX337+DJ337+DL337+DN337+DP337+DR337+EJ337+EB337+DZ337+DX337+DV337+ED337+EF337+EH337+EL337+EN337+EP337+EV337+ET337+ER337+EZ337+FB337+FD337+GL337</f>
        <v>0</v>
      </c>
      <c r="GQ337" s="675">
        <f>+E337+G337+I337+K337+M337+O337+Q337+S337+U337+W337+Y337+AA337+AC337+AE337+AI337+AK337+AM337+AO337+AQ337+AS337+AU337+AW337+AY337+BA337+BC337+BE337+BG337+BI337+BK337+BM337+BO337+BQ337+BS337+BU337+BW337+BY337+CA337+CC337+CE337+CG337+CI337+CK337+CM337+CO337+CQ337+CS337+CU337+CW337+CY337+DA337+DC337+DE337+DG337+DI337+DU337+EY337+DK337+DM337+DO337+DQ337+DS337+EK337+EC337+EA337+DY337+DW337+EI337+EG337+EE337+EM337+EO337+EQ337+EW337+EU337+ES337+FA337+FC337+FE337+GM337</f>
        <v>0</v>
      </c>
      <c r="GR337" s="74">
        <f>C337+GP337+GQ337</f>
        <v>0</v>
      </c>
      <c r="GS337" s="74">
        <f t="shared" ref="GS337" si="9866">GU337</f>
        <v>0</v>
      </c>
      <c r="GT337" s="568">
        <f>SUM(GU337:HF337)+GQ337+GP337</f>
        <v>0</v>
      </c>
      <c r="GU337" s="275">
        <v>0</v>
      </c>
      <c r="GV337" s="275">
        <v>0</v>
      </c>
      <c r="GW337" s="588">
        <v>0</v>
      </c>
      <c r="GX337" s="588">
        <v>0</v>
      </c>
      <c r="GY337" s="275">
        <v>0</v>
      </c>
      <c r="GZ337" s="275">
        <v>0</v>
      </c>
      <c r="HA337" s="275">
        <v>0</v>
      </c>
      <c r="HB337" s="275">
        <v>0</v>
      </c>
      <c r="HC337" s="275">
        <v>0</v>
      </c>
      <c r="HD337" s="275">
        <v>0</v>
      </c>
      <c r="HE337" s="275">
        <v>0</v>
      </c>
      <c r="HF337" s="275">
        <v>0</v>
      </c>
      <c r="HG337" s="74">
        <f>SUM(HH337:IE337)+GP337+GQ337</f>
        <v>0</v>
      </c>
      <c r="HH337" s="89">
        <v>0</v>
      </c>
      <c r="HI337" s="817">
        <v>0</v>
      </c>
      <c r="HJ337" s="89">
        <v>0</v>
      </c>
      <c r="HK337" s="817">
        <v>0</v>
      </c>
      <c r="HL337" s="89">
        <v>0</v>
      </c>
      <c r="HM337" s="817">
        <v>0</v>
      </c>
      <c r="HN337" s="89">
        <v>0</v>
      </c>
      <c r="HO337" s="817">
        <v>0</v>
      </c>
      <c r="HP337" s="89">
        <v>0</v>
      </c>
      <c r="HQ337" s="817">
        <v>0</v>
      </c>
      <c r="HR337" s="89">
        <v>0</v>
      </c>
      <c r="HS337" s="817">
        <v>0</v>
      </c>
      <c r="HT337" s="89">
        <v>0</v>
      </c>
      <c r="HU337" s="817">
        <v>0</v>
      </c>
      <c r="HV337" s="89">
        <v>0</v>
      </c>
      <c r="HW337" s="817">
        <v>0</v>
      </c>
      <c r="HX337" s="89">
        <v>0</v>
      </c>
      <c r="HY337" s="817">
        <v>0</v>
      </c>
      <c r="HZ337" s="89">
        <v>0</v>
      </c>
      <c r="IA337" s="817">
        <v>0</v>
      </c>
      <c r="IB337" s="89">
        <v>0</v>
      </c>
      <c r="IC337" s="817">
        <v>0</v>
      </c>
      <c r="ID337" s="89">
        <v>0</v>
      </c>
      <c r="IE337" s="817">
        <v>0</v>
      </c>
      <c r="IF337" s="841">
        <f t="shared" ref="IF337" si="9867">SUM(II337,IL337,IO337,IR337,IU337,IX337,JA337,JD337,JG337,JJ337,JM337,JP337)</f>
        <v>0</v>
      </c>
      <c r="IG337" s="263">
        <f t="shared" ref="IG337" si="9868">SUM(IJ337,IM337,IP337,IS337,IV337,IY337,JB337,JE337,JH337,JK337,JN337,JQ337)</f>
        <v>0</v>
      </c>
      <c r="IH337" s="842">
        <f t="shared" ref="IH337" si="9869">SUM(IK337,IN337,IQ337,IT337,IW337,IZ337,JC337,JF337,JI337,JL337,JO337,JR337)</f>
        <v>0</v>
      </c>
      <c r="II337" s="89">
        <v>0</v>
      </c>
      <c r="IJ337" s="89">
        <v>0</v>
      </c>
      <c r="IK337" s="89">
        <v>0</v>
      </c>
      <c r="IL337" s="89">
        <v>0</v>
      </c>
      <c r="IM337" s="89">
        <v>0</v>
      </c>
      <c r="IN337" s="89">
        <v>0</v>
      </c>
      <c r="IO337" s="89">
        <v>0</v>
      </c>
      <c r="IP337" s="89">
        <v>0</v>
      </c>
      <c r="IQ337" s="89">
        <v>0</v>
      </c>
      <c r="IR337" s="89">
        <v>0</v>
      </c>
      <c r="IS337" s="89">
        <v>0</v>
      </c>
      <c r="IT337" s="89">
        <v>0</v>
      </c>
      <c r="IU337" s="89">
        <v>0</v>
      </c>
      <c r="IV337" s="89">
        <v>0</v>
      </c>
      <c r="IW337" s="89">
        <v>0</v>
      </c>
      <c r="IX337" s="89">
        <v>0</v>
      </c>
      <c r="IY337" s="89">
        <v>0</v>
      </c>
      <c r="IZ337" s="89">
        <v>0</v>
      </c>
      <c r="JA337" s="89">
        <v>0</v>
      </c>
      <c r="JB337" s="89">
        <v>0</v>
      </c>
      <c r="JC337" s="89">
        <v>0</v>
      </c>
      <c r="JD337" s="89">
        <v>0</v>
      </c>
      <c r="JE337" s="89">
        <v>0</v>
      </c>
      <c r="JF337" s="89">
        <v>0</v>
      </c>
      <c r="JG337" s="89">
        <v>0</v>
      </c>
      <c r="JH337" s="89">
        <v>0</v>
      </c>
      <c r="JI337" s="89">
        <v>0</v>
      </c>
      <c r="JJ337" s="89">
        <v>0</v>
      </c>
      <c r="JK337" s="89">
        <v>0</v>
      </c>
      <c r="JL337" s="89">
        <v>0</v>
      </c>
      <c r="JM337" s="89">
        <v>0</v>
      </c>
      <c r="JN337" s="89">
        <v>0</v>
      </c>
      <c r="JO337" s="89">
        <v>0</v>
      </c>
      <c r="JP337" s="89">
        <v>0</v>
      </c>
      <c r="JQ337" s="89">
        <v>0</v>
      </c>
      <c r="JR337" s="89">
        <v>0</v>
      </c>
      <c r="JS337" s="74">
        <f>HG337-IF337</f>
        <v>0</v>
      </c>
      <c r="JT337" s="382">
        <f>GS337-IF337</f>
        <v>0</v>
      </c>
      <c r="JU337" s="665"/>
      <c r="JV337" s="524"/>
      <c r="JW337" s="525"/>
      <c r="JX337" s="548">
        <f>SUM(HH337,HJ337,HL337,HN337,HP337,HR337,HT337,HV337,HX337,HZ337,IB337,ID337)</f>
        <v>0</v>
      </c>
      <c r="JY337" s="548">
        <f>SUM(HI337,HK337,HM337,HO337,HQ337,HS337,HU337,HW337,HY337,IA337,IC337,IE337)</f>
        <v>0</v>
      </c>
      <c r="JZ337" s="581">
        <f t="shared" si="9103"/>
        <v>0</v>
      </c>
      <c r="KA337" s="581">
        <f t="shared" si="9104"/>
        <v>0</v>
      </c>
      <c r="KB337" s="548">
        <f t="shared" si="8622"/>
        <v>0</v>
      </c>
      <c r="KC337" s="709">
        <f t="shared" si="9101"/>
        <v>0</v>
      </c>
      <c r="KD337" s="36"/>
      <c r="KE337" s="36"/>
      <c r="KF337" s="36"/>
      <c r="KG337" s="36"/>
      <c r="KH337" s="36"/>
      <c r="KI337" s="36"/>
      <c r="KJ337" s="36"/>
      <c r="KK337" s="36"/>
    </row>
    <row r="338" spans="1:297" s="10" customFormat="1" ht="12.75" hidden="1" customHeight="1">
      <c r="A338" s="80"/>
      <c r="B338" s="77"/>
      <c r="C338" s="74"/>
      <c r="D338" s="549"/>
      <c r="E338" s="675"/>
      <c r="F338" s="549"/>
      <c r="G338" s="675"/>
      <c r="H338" s="549"/>
      <c r="I338" s="675"/>
      <c r="J338" s="549"/>
      <c r="K338" s="675"/>
      <c r="L338" s="549"/>
      <c r="M338" s="675"/>
      <c r="N338" s="549"/>
      <c r="O338" s="675"/>
      <c r="P338" s="549"/>
      <c r="Q338" s="675"/>
      <c r="R338" s="549"/>
      <c r="S338" s="675"/>
      <c r="T338" s="549"/>
      <c r="U338" s="675"/>
      <c r="V338" s="549"/>
      <c r="W338" s="675"/>
      <c r="X338" s="549"/>
      <c r="Y338" s="675"/>
      <c r="Z338" s="549"/>
      <c r="AA338" s="675"/>
      <c r="AB338" s="549"/>
      <c r="AC338" s="675"/>
      <c r="AD338" s="549"/>
      <c r="AE338" s="675"/>
      <c r="AF338" s="549"/>
      <c r="AG338" s="675"/>
      <c r="AH338" s="549"/>
      <c r="AI338" s="675"/>
      <c r="AJ338" s="549"/>
      <c r="AK338" s="675"/>
      <c r="AL338" s="549"/>
      <c r="AM338" s="675"/>
      <c r="AN338" s="549"/>
      <c r="AO338" s="675"/>
      <c r="AP338" s="549"/>
      <c r="AQ338" s="675"/>
      <c r="AR338" s="549"/>
      <c r="AS338" s="675"/>
      <c r="AT338" s="549"/>
      <c r="AU338" s="675"/>
      <c r="AV338" s="549"/>
      <c r="AW338" s="675"/>
      <c r="AX338" s="549"/>
      <c r="AY338" s="675"/>
      <c r="AZ338" s="549"/>
      <c r="BA338" s="675"/>
      <c r="BB338" s="549"/>
      <c r="BC338" s="675"/>
      <c r="BD338" s="549"/>
      <c r="BE338" s="675"/>
      <c r="BF338" s="549"/>
      <c r="BG338" s="675"/>
      <c r="BH338" s="549"/>
      <c r="BI338" s="675"/>
      <c r="BJ338" s="549"/>
      <c r="BK338" s="675"/>
      <c r="BL338" s="549"/>
      <c r="BM338" s="675"/>
      <c r="BN338" s="549"/>
      <c r="BO338" s="675"/>
      <c r="BP338" s="549"/>
      <c r="BQ338" s="675"/>
      <c r="BR338" s="549"/>
      <c r="BS338" s="675"/>
      <c r="BT338" s="549"/>
      <c r="BU338" s="675"/>
      <c r="BV338" s="549"/>
      <c r="BW338" s="675"/>
      <c r="BX338" s="549"/>
      <c r="BY338" s="675"/>
      <c r="BZ338" s="549"/>
      <c r="CA338" s="675"/>
      <c r="CB338" s="549"/>
      <c r="CC338" s="675"/>
      <c r="CD338" s="549"/>
      <c r="CE338" s="675"/>
      <c r="CF338" s="549"/>
      <c r="CG338" s="675"/>
      <c r="CH338" s="549"/>
      <c r="CI338" s="675"/>
      <c r="CJ338" s="549"/>
      <c r="CK338" s="675"/>
      <c r="CL338" s="549"/>
      <c r="CM338" s="675"/>
      <c r="CN338" s="549"/>
      <c r="CO338" s="675"/>
      <c r="CP338" s="549"/>
      <c r="CQ338" s="675"/>
      <c r="CR338" s="549"/>
      <c r="CS338" s="675"/>
      <c r="CT338" s="549"/>
      <c r="CU338" s="675"/>
      <c r="CV338" s="549"/>
      <c r="CW338" s="675"/>
      <c r="CX338" s="549"/>
      <c r="CY338" s="675"/>
      <c r="CZ338" s="549"/>
      <c r="DA338" s="675"/>
      <c r="DB338" s="549"/>
      <c r="DC338" s="675"/>
      <c r="DD338" s="549"/>
      <c r="DE338" s="675"/>
      <c r="DF338" s="549"/>
      <c r="DG338" s="675"/>
      <c r="DH338" s="549"/>
      <c r="DI338" s="675"/>
      <c r="DJ338" s="549"/>
      <c r="DK338" s="675"/>
      <c r="DL338" s="549"/>
      <c r="DM338" s="675"/>
      <c r="DN338" s="549"/>
      <c r="DO338" s="675"/>
      <c r="DP338" s="549"/>
      <c r="DQ338" s="675"/>
      <c r="DR338" s="549"/>
      <c r="DS338" s="675"/>
      <c r="DT338" s="549"/>
      <c r="DU338" s="675"/>
      <c r="DV338" s="549"/>
      <c r="DW338" s="675"/>
      <c r="DX338" s="549"/>
      <c r="DY338" s="675"/>
      <c r="DZ338" s="549"/>
      <c r="EA338" s="675"/>
      <c r="EB338" s="549"/>
      <c r="EC338" s="675"/>
      <c r="ED338" s="549"/>
      <c r="EE338" s="675"/>
      <c r="EF338" s="549"/>
      <c r="EG338" s="675"/>
      <c r="EH338" s="549"/>
      <c r="EI338" s="675"/>
      <c r="EJ338" s="549"/>
      <c r="EK338" s="675"/>
      <c r="EL338" s="549"/>
      <c r="EM338" s="675"/>
      <c r="EN338" s="549"/>
      <c r="EO338" s="675"/>
      <c r="EP338" s="549"/>
      <c r="EQ338" s="675"/>
      <c r="ER338" s="549"/>
      <c r="ES338" s="675"/>
      <c r="ET338" s="549"/>
      <c r="EU338" s="675"/>
      <c r="EV338" s="549"/>
      <c r="EW338" s="675"/>
      <c r="EX338" s="549"/>
      <c r="EY338" s="675"/>
      <c r="EZ338" s="549"/>
      <c r="FA338" s="675"/>
      <c r="FB338" s="549"/>
      <c r="FC338" s="675"/>
      <c r="FD338" s="549"/>
      <c r="FE338" s="675"/>
      <c r="FF338" s="549"/>
      <c r="FG338" s="675"/>
      <c r="FH338" s="549"/>
      <c r="FI338" s="675"/>
      <c r="FJ338" s="549"/>
      <c r="FK338" s="675"/>
      <c r="FL338" s="549"/>
      <c r="FM338" s="675"/>
      <c r="FN338" s="549"/>
      <c r="FO338" s="675"/>
      <c r="FP338" s="549"/>
      <c r="FQ338" s="675"/>
      <c r="FR338" s="549"/>
      <c r="FS338" s="675"/>
      <c r="FT338" s="549"/>
      <c r="FU338" s="675"/>
      <c r="FV338" s="549"/>
      <c r="FW338" s="675"/>
      <c r="FX338" s="549"/>
      <c r="FY338" s="675"/>
      <c r="FZ338" s="549"/>
      <c r="GA338" s="675"/>
      <c r="GB338" s="549"/>
      <c r="GC338" s="675"/>
      <c r="GD338" s="549"/>
      <c r="GE338" s="675"/>
      <c r="GF338" s="549"/>
      <c r="GG338" s="675"/>
      <c r="GH338" s="549"/>
      <c r="GI338" s="675"/>
      <c r="GJ338" s="549"/>
      <c r="GK338" s="675"/>
      <c r="GL338" s="549"/>
      <c r="GM338" s="675"/>
      <c r="GN338" s="549"/>
      <c r="GO338" s="675"/>
      <c r="GP338" s="549"/>
      <c r="GQ338" s="675"/>
      <c r="GR338" s="74"/>
      <c r="GS338" s="74"/>
      <c r="GT338" s="549"/>
      <c r="GU338" s="275"/>
      <c r="GV338" s="275"/>
      <c r="GW338" s="588"/>
      <c r="GX338" s="588"/>
      <c r="GY338" s="275"/>
      <c r="GZ338" s="275"/>
      <c r="HA338" s="275"/>
      <c r="HB338" s="275"/>
      <c r="HC338" s="275"/>
      <c r="HD338" s="275"/>
      <c r="HE338" s="275"/>
      <c r="HF338" s="275"/>
      <c r="HG338" s="74"/>
      <c r="HH338" s="74"/>
      <c r="HI338" s="792"/>
      <c r="HJ338" s="74"/>
      <c r="HK338" s="792"/>
      <c r="HL338" s="74"/>
      <c r="HM338" s="792"/>
      <c r="HN338" s="74"/>
      <c r="HO338" s="792"/>
      <c r="HP338" s="74"/>
      <c r="HQ338" s="792"/>
      <c r="HR338" s="74"/>
      <c r="HS338" s="792"/>
      <c r="HT338" s="74"/>
      <c r="HU338" s="792"/>
      <c r="HV338" s="74"/>
      <c r="HW338" s="792"/>
      <c r="HX338" s="74"/>
      <c r="HY338" s="792"/>
      <c r="HZ338" s="74"/>
      <c r="IA338" s="792"/>
      <c r="IB338" s="74"/>
      <c r="IC338" s="792"/>
      <c r="ID338" s="74"/>
      <c r="IE338" s="792"/>
      <c r="IF338" s="841"/>
      <c r="IG338" s="263"/>
      <c r="IH338" s="842"/>
      <c r="II338" s="74"/>
      <c r="IJ338" s="74"/>
      <c r="IK338" s="74"/>
      <c r="IL338" s="74"/>
      <c r="IM338" s="74"/>
      <c r="IN338" s="74"/>
      <c r="IO338" s="74"/>
      <c r="IP338" s="74"/>
      <c r="IQ338" s="74"/>
      <c r="IR338" s="74"/>
      <c r="IS338" s="74"/>
      <c r="IT338" s="74"/>
      <c r="IU338" s="74"/>
      <c r="IV338" s="74"/>
      <c r="IW338" s="74"/>
      <c r="IX338" s="74"/>
      <c r="IY338" s="74"/>
      <c r="IZ338" s="74"/>
      <c r="JA338" s="74"/>
      <c r="JB338" s="74"/>
      <c r="JC338" s="74"/>
      <c r="JD338" s="74"/>
      <c r="JE338" s="74"/>
      <c r="JF338" s="74"/>
      <c r="JG338" s="74"/>
      <c r="JH338" s="74"/>
      <c r="JI338" s="74"/>
      <c r="JJ338" s="74"/>
      <c r="JK338" s="74"/>
      <c r="JL338" s="74"/>
      <c r="JM338" s="74"/>
      <c r="JN338" s="74"/>
      <c r="JO338" s="74"/>
      <c r="JP338" s="74"/>
      <c r="JQ338" s="74"/>
      <c r="JR338" s="74"/>
      <c r="JS338" s="74"/>
      <c r="JT338" s="382"/>
      <c r="JU338" s="665"/>
      <c r="JV338" s="524"/>
      <c r="JW338" s="525"/>
      <c r="JX338" s="548"/>
      <c r="JY338" s="548"/>
      <c r="JZ338" s="581">
        <f t="shared" si="9103"/>
        <v>0</v>
      </c>
      <c r="KA338" s="581">
        <f t="shared" si="9104"/>
        <v>0</v>
      </c>
      <c r="KB338" s="548">
        <f t="shared" si="8622"/>
        <v>0</v>
      </c>
      <c r="KC338" s="709">
        <f t="shared" si="9101"/>
        <v>0</v>
      </c>
      <c r="KD338" s="36"/>
      <c r="KE338" s="36"/>
      <c r="KF338" s="36"/>
      <c r="KG338" s="36"/>
      <c r="KH338" s="36"/>
      <c r="KI338" s="36"/>
      <c r="KJ338" s="36"/>
      <c r="KK338" s="36"/>
    </row>
    <row r="339" spans="1:297" s="10" customFormat="1" ht="12.75" hidden="1" customHeight="1">
      <c r="A339" s="80" t="s">
        <v>815</v>
      </c>
      <c r="B339" s="77"/>
      <c r="C339" s="74">
        <v>0</v>
      </c>
      <c r="D339" s="549">
        <v>0</v>
      </c>
      <c r="E339" s="675">
        <v>0</v>
      </c>
      <c r="F339" s="549">
        <v>0</v>
      </c>
      <c r="G339" s="675">
        <v>0</v>
      </c>
      <c r="H339" s="549">
        <v>0</v>
      </c>
      <c r="I339" s="675">
        <v>0</v>
      </c>
      <c r="J339" s="549">
        <v>0</v>
      </c>
      <c r="K339" s="675">
        <v>0</v>
      </c>
      <c r="L339" s="549">
        <v>0</v>
      </c>
      <c r="M339" s="675">
        <v>0</v>
      </c>
      <c r="N339" s="549">
        <v>0</v>
      </c>
      <c r="O339" s="675">
        <v>0</v>
      </c>
      <c r="P339" s="549">
        <v>0</v>
      </c>
      <c r="Q339" s="675">
        <v>0</v>
      </c>
      <c r="R339" s="549">
        <v>0</v>
      </c>
      <c r="S339" s="675">
        <v>0</v>
      </c>
      <c r="T339" s="549">
        <v>0</v>
      </c>
      <c r="U339" s="675">
        <v>0</v>
      </c>
      <c r="V339" s="549">
        <v>0</v>
      </c>
      <c r="W339" s="675">
        <v>0</v>
      </c>
      <c r="X339" s="549">
        <v>0</v>
      </c>
      <c r="Y339" s="675">
        <v>0</v>
      </c>
      <c r="Z339" s="549">
        <v>0</v>
      </c>
      <c r="AA339" s="675">
        <v>0</v>
      </c>
      <c r="AB339" s="549">
        <v>0</v>
      </c>
      <c r="AC339" s="675">
        <v>0</v>
      </c>
      <c r="AD339" s="549">
        <v>0</v>
      </c>
      <c r="AE339" s="675">
        <v>0</v>
      </c>
      <c r="AF339" s="549">
        <v>0</v>
      </c>
      <c r="AG339" s="675">
        <v>0</v>
      </c>
      <c r="AH339" s="549">
        <v>0</v>
      </c>
      <c r="AI339" s="675">
        <v>0</v>
      </c>
      <c r="AJ339" s="549">
        <v>0</v>
      </c>
      <c r="AK339" s="675">
        <v>0</v>
      </c>
      <c r="AL339" s="549">
        <v>0</v>
      </c>
      <c r="AM339" s="675">
        <v>0</v>
      </c>
      <c r="AN339" s="549">
        <v>0</v>
      </c>
      <c r="AO339" s="675">
        <v>0</v>
      </c>
      <c r="AP339" s="549">
        <v>0</v>
      </c>
      <c r="AQ339" s="675">
        <v>0</v>
      </c>
      <c r="AR339" s="549">
        <v>0</v>
      </c>
      <c r="AS339" s="675">
        <v>0</v>
      </c>
      <c r="AT339" s="549">
        <v>0</v>
      </c>
      <c r="AU339" s="675">
        <v>0</v>
      </c>
      <c r="AV339" s="549">
        <v>0</v>
      </c>
      <c r="AW339" s="675">
        <v>0</v>
      </c>
      <c r="AX339" s="549">
        <v>0</v>
      </c>
      <c r="AY339" s="675">
        <v>0</v>
      </c>
      <c r="AZ339" s="549">
        <v>0</v>
      </c>
      <c r="BA339" s="675">
        <v>0</v>
      </c>
      <c r="BB339" s="549">
        <v>0</v>
      </c>
      <c r="BC339" s="675">
        <v>0</v>
      </c>
      <c r="BD339" s="549">
        <v>0</v>
      </c>
      <c r="BE339" s="675">
        <v>0</v>
      </c>
      <c r="BF339" s="549">
        <v>0</v>
      </c>
      <c r="BG339" s="675">
        <v>0</v>
      </c>
      <c r="BH339" s="549">
        <v>0</v>
      </c>
      <c r="BI339" s="675">
        <v>0</v>
      </c>
      <c r="BJ339" s="549">
        <v>0</v>
      </c>
      <c r="BK339" s="675">
        <v>0</v>
      </c>
      <c r="BL339" s="549">
        <v>0</v>
      </c>
      <c r="BM339" s="675">
        <v>0</v>
      </c>
      <c r="BN339" s="549">
        <v>0</v>
      </c>
      <c r="BO339" s="675">
        <v>0</v>
      </c>
      <c r="BP339" s="549">
        <v>0</v>
      </c>
      <c r="BQ339" s="675">
        <v>0</v>
      </c>
      <c r="BR339" s="549">
        <v>0</v>
      </c>
      <c r="BS339" s="675">
        <v>0</v>
      </c>
      <c r="BT339" s="549">
        <v>0</v>
      </c>
      <c r="BU339" s="675">
        <v>0</v>
      </c>
      <c r="BV339" s="549">
        <v>0</v>
      </c>
      <c r="BW339" s="675">
        <v>0</v>
      </c>
      <c r="BX339" s="549">
        <v>0</v>
      </c>
      <c r="BY339" s="675">
        <v>0</v>
      </c>
      <c r="BZ339" s="549">
        <v>0</v>
      </c>
      <c r="CA339" s="675">
        <v>0</v>
      </c>
      <c r="CB339" s="549">
        <v>0</v>
      </c>
      <c r="CC339" s="675">
        <v>0</v>
      </c>
      <c r="CD339" s="549">
        <v>0</v>
      </c>
      <c r="CE339" s="675">
        <v>0</v>
      </c>
      <c r="CF339" s="549">
        <v>0</v>
      </c>
      <c r="CG339" s="675">
        <v>0</v>
      </c>
      <c r="CH339" s="549">
        <v>0</v>
      </c>
      <c r="CI339" s="675">
        <v>0</v>
      </c>
      <c r="CJ339" s="549">
        <v>0</v>
      </c>
      <c r="CK339" s="675">
        <v>0</v>
      </c>
      <c r="CL339" s="549">
        <v>0</v>
      </c>
      <c r="CM339" s="675">
        <v>0</v>
      </c>
      <c r="CN339" s="549">
        <v>0</v>
      </c>
      <c r="CO339" s="675">
        <v>0</v>
      </c>
      <c r="CP339" s="549">
        <v>0</v>
      </c>
      <c r="CQ339" s="675">
        <v>0</v>
      </c>
      <c r="CR339" s="549">
        <v>0</v>
      </c>
      <c r="CS339" s="675">
        <v>0</v>
      </c>
      <c r="CT339" s="549">
        <v>0</v>
      </c>
      <c r="CU339" s="675">
        <v>0</v>
      </c>
      <c r="CV339" s="549">
        <v>0</v>
      </c>
      <c r="CW339" s="675">
        <v>0</v>
      </c>
      <c r="CX339" s="549">
        <v>0</v>
      </c>
      <c r="CY339" s="675">
        <v>0</v>
      </c>
      <c r="CZ339" s="549">
        <v>0</v>
      </c>
      <c r="DA339" s="675">
        <v>0</v>
      </c>
      <c r="DB339" s="549">
        <v>0</v>
      </c>
      <c r="DC339" s="675">
        <v>0</v>
      </c>
      <c r="DD339" s="549">
        <v>0</v>
      </c>
      <c r="DE339" s="675">
        <v>0</v>
      </c>
      <c r="DF339" s="549">
        <v>0</v>
      </c>
      <c r="DG339" s="675">
        <v>0</v>
      </c>
      <c r="DH339" s="549">
        <v>0</v>
      </c>
      <c r="DI339" s="675">
        <v>0</v>
      </c>
      <c r="DJ339" s="549">
        <v>0</v>
      </c>
      <c r="DK339" s="675">
        <v>0</v>
      </c>
      <c r="DL339" s="549">
        <v>0</v>
      </c>
      <c r="DM339" s="675">
        <v>0</v>
      </c>
      <c r="DN339" s="549">
        <v>0</v>
      </c>
      <c r="DO339" s="675">
        <v>0</v>
      </c>
      <c r="DP339" s="549">
        <v>0</v>
      </c>
      <c r="DQ339" s="675">
        <v>0</v>
      </c>
      <c r="DR339" s="549">
        <v>0</v>
      </c>
      <c r="DS339" s="675">
        <v>0</v>
      </c>
      <c r="DT339" s="549">
        <v>0</v>
      </c>
      <c r="DU339" s="675">
        <v>0</v>
      </c>
      <c r="DV339" s="549">
        <v>0</v>
      </c>
      <c r="DW339" s="675">
        <v>0</v>
      </c>
      <c r="DX339" s="549">
        <v>0</v>
      </c>
      <c r="DY339" s="675">
        <v>0</v>
      </c>
      <c r="DZ339" s="549">
        <v>0</v>
      </c>
      <c r="EA339" s="675">
        <v>0</v>
      </c>
      <c r="EB339" s="549">
        <v>0</v>
      </c>
      <c r="EC339" s="675">
        <v>0</v>
      </c>
      <c r="ED339" s="549">
        <v>0</v>
      </c>
      <c r="EE339" s="675">
        <v>0</v>
      </c>
      <c r="EF339" s="549">
        <v>0</v>
      </c>
      <c r="EG339" s="675">
        <v>0</v>
      </c>
      <c r="EH339" s="549">
        <v>0</v>
      </c>
      <c r="EI339" s="675">
        <v>0</v>
      </c>
      <c r="EJ339" s="549">
        <v>0</v>
      </c>
      <c r="EK339" s="675">
        <v>0</v>
      </c>
      <c r="EL339" s="549">
        <v>0</v>
      </c>
      <c r="EM339" s="675">
        <v>0</v>
      </c>
      <c r="EN339" s="549">
        <v>0</v>
      </c>
      <c r="EO339" s="675">
        <v>0</v>
      </c>
      <c r="EP339" s="549">
        <v>0</v>
      </c>
      <c r="EQ339" s="675">
        <v>0</v>
      </c>
      <c r="ER339" s="549">
        <v>0</v>
      </c>
      <c r="ES339" s="675">
        <v>0</v>
      </c>
      <c r="ET339" s="549">
        <v>0</v>
      </c>
      <c r="EU339" s="675">
        <v>0</v>
      </c>
      <c r="EV339" s="549">
        <v>0</v>
      </c>
      <c r="EW339" s="675">
        <v>0</v>
      </c>
      <c r="EX339" s="549">
        <v>0</v>
      </c>
      <c r="EY339" s="675">
        <v>0</v>
      </c>
      <c r="EZ339" s="549">
        <v>0</v>
      </c>
      <c r="FA339" s="675">
        <v>0</v>
      </c>
      <c r="FB339" s="549">
        <v>0</v>
      </c>
      <c r="FC339" s="675">
        <v>0</v>
      </c>
      <c r="FD339" s="549">
        <v>0</v>
      </c>
      <c r="FE339" s="675">
        <v>0</v>
      </c>
      <c r="FF339" s="549">
        <v>0</v>
      </c>
      <c r="FG339" s="675">
        <v>0</v>
      </c>
      <c r="FH339" s="549">
        <v>0</v>
      </c>
      <c r="FI339" s="675">
        <v>0</v>
      </c>
      <c r="FJ339" s="549">
        <v>0</v>
      </c>
      <c r="FK339" s="675">
        <v>0</v>
      </c>
      <c r="FL339" s="549">
        <v>0</v>
      </c>
      <c r="FM339" s="675">
        <v>0</v>
      </c>
      <c r="FN339" s="549">
        <v>0</v>
      </c>
      <c r="FO339" s="675">
        <v>0</v>
      </c>
      <c r="FP339" s="549">
        <v>0</v>
      </c>
      <c r="FQ339" s="675">
        <v>0</v>
      </c>
      <c r="FR339" s="549">
        <v>0</v>
      </c>
      <c r="FS339" s="675">
        <v>0</v>
      </c>
      <c r="FT339" s="549">
        <v>0</v>
      </c>
      <c r="FU339" s="675">
        <v>0</v>
      </c>
      <c r="FV339" s="549">
        <v>0</v>
      </c>
      <c r="FW339" s="675">
        <v>0</v>
      </c>
      <c r="FX339" s="549">
        <v>0</v>
      </c>
      <c r="FY339" s="675">
        <v>0</v>
      </c>
      <c r="FZ339" s="549">
        <v>0</v>
      </c>
      <c r="GA339" s="675">
        <v>0</v>
      </c>
      <c r="GB339" s="549">
        <v>0</v>
      </c>
      <c r="GC339" s="675">
        <v>0</v>
      </c>
      <c r="GD339" s="549">
        <v>0</v>
      </c>
      <c r="GE339" s="675">
        <v>0</v>
      </c>
      <c r="GF339" s="549">
        <v>0</v>
      </c>
      <c r="GG339" s="675">
        <v>0</v>
      </c>
      <c r="GH339" s="549">
        <v>0</v>
      </c>
      <c r="GI339" s="675">
        <v>0</v>
      </c>
      <c r="GJ339" s="549">
        <v>0</v>
      </c>
      <c r="GK339" s="675">
        <v>0</v>
      </c>
      <c r="GL339" s="549">
        <v>0</v>
      </c>
      <c r="GM339" s="675">
        <v>0</v>
      </c>
      <c r="GN339" s="549">
        <v>0</v>
      </c>
      <c r="GO339" s="675">
        <v>0</v>
      </c>
      <c r="GP339" s="549">
        <f>+D339+F339+H339+J339+L339+N339+P339+R339+T339+V339+X339+Z339+AB339+AD339+AH339+AJ339+AL339+AN339+AP339+AR339+AT339+AV339+AX339+AZ339+BB339+BD339+BF339+BH339+BJ339+BL339+BN339+BP339+BR339+BT339+BV339+BX339+BZ339+CB339+CD339+CF339+CH339+CJ339+CL339+CN339+CP339+CR339+CT339+CV339+CX339+CZ339+DB339+DD339+DF339+DH339+DT339+EX339+DJ339+DL339+DN339+DP339+DR339+EJ339+EB339+DZ339+DX339+DV339+ED339+EF339+EH339+EL339+EN339+EP339+EV339+ET339+ER339+EZ339+FB339+FD339+GL339</f>
        <v>0</v>
      </c>
      <c r="GQ339" s="675">
        <f>+E339+G339+I339+K339+M339+O339+Q339+S339+U339+W339+Y339+AA339+AC339+AE339+AI339+AK339+AM339+AO339+AQ339+AS339+AU339+AW339+AY339+BA339+BC339+BE339+BG339+BI339+BK339+BM339+BO339+BQ339+BS339+BU339+BW339+BY339+CA339+CC339+CE339+CG339+CI339+CK339+CM339+CO339+CQ339+CS339+CU339+CW339+CY339+DA339+DC339+DE339+DG339+DI339+DU339+EY339+DK339+DM339+DO339+DQ339+DS339+EK339+EC339+EA339+DY339+DW339+EI339+EG339+EE339+EM339+EO339+EQ339+EW339+EU339+ES339+FA339+FC339+FE339+GM339</f>
        <v>0</v>
      </c>
      <c r="GR339" s="74">
        <f>C339+GP339+GQ339</f>
        <v>0</v>
      </c>
      <c r="GS339" s="74">
        <f t="shared" ref="GS339" si="9870">GU339</f>
        <v>0</v>
      </c>
      <c r="GT339" s="568">
        <f>SUM(GU339:HF339)+GQ339+GP339</f>
        <v>0</v>
      </c>
      <c r="GU339" s="275">
        <v>0</v>
      </c>
      <c r="GV339" s="275">
        <v>0</v>
      </c>
      <c r="GW339" s="588">
        <v>0</v>
      </c>
      <c r="GX339" s="588">
        <v>0</v>
      </c>
      <c r="GY339" s="275">
        <v>0</v>
      </c>
      <c r="GZ339" s="275">
        <v>0</v>
      </c>
      <c r="HA339" s="275">
        <v>0</v>
      </c>
      <c r="HB339" s="275">
        <v>0</v>
      </c>
      <c r="HC339" s="275">
        <v>0</v>
      </c>
      <c r="HD339" s="275">
        <v>0</v>
      </c>
      <c r="HE339" s="275">
        <v>0</v>
      </c>
      <c r="HF339" s="275">
        <v>0</v>
      </c>
      <c r="HG339" s="74">
        <f>SUM(HH339:IE339)+GP339+GQ339</f>
        <v>0</v>
      </c>
      <c r="HH339" s="89">
        <v>0</v>
      </c>
      <c r="HI339" s="817">
        <v>0</v>
      </c>
      <c r="HJ339" s="89">
        <v>0</v>
      </c>
      <c r="HK339" s="817">
        <v>0</v>
      </c>
      <c r="HL339" s="89">
        <v>0</v>
      </c>
      <c r="HM339" s="817">
        <v>0</v>
      </c>
      <c r="HN339" s="89">
        <v>0</v>
      </c>
      <c r="HO339" s="817">
        <v>0</v>
      </c>
      <c r="HP339" s="89">
        <v>0</v>
      </c>
      <c r="HQ339" s="817">
        <v>0</v>
      </c>
      <c r="HR339" s="89">
        <v>0</v>
      </c>
      <c r="HS339" s="817">
        <v>0</v>
      </c>
      <c r="HT339" s="89">
        <v>0</v>
      </c>
      <c r="HU339" s="817">
        <v>0</v>
      </c>
      <c r="HV339" s="89">
        <v>0</v>
      </c>
      <c r="HW339" s="817">
        <v>0</v>
      </c>
      <c r="HX339" s="89">
        <v>0</v>
      </c>
      <c r="HY339" s="817">
        <v>0</v>
      </c>
      <c r="HZ339" s="89">
        <v>0</v>
      </c>
      <c r="IA339" s="817">
        <v>0</v>
      </c>
      <c r="IB339" s="89">
        <v>0</v>
      </c>
      <c r="IC339" s="817">
        <v>0</v>
      </c>
      <c r="ID339" s="89">
        <v>0</v>
      </c>
      <c r="IE339" s="817">
        <v>0</v>
      </c>
      <c r="IF339" s="841">
        <f t="shared" ref="IF339" si="9871">SUM(II339,IL339,IO339,IR339,IU339,IX339,JA339,JD339,JG339,JJ339,JM339,JP339)</f>
        <v>0</v>
      </c>
      <c r="IG339" s="263">
        <f t="shared" ref="IG339" si="9872">SUM(IJ339,IM339,IP339,IS339,IV339,IY339,JB339,JE339,JH339,JK339,JN339,JQ339)</f>
        <v>0</v>
      </c>
      <c r="IH339" s="842">
        <f t="shared" ref="IH339" si="9873">SUM(IK339,IN339,IQ339,IT339,IW339,IZ339,JC339,JF339,JI339,JL339,JO339,JR339)</f>
        <v>0</v>
      </c>
      <c r="II339" s="89">
        <v>0</v>
      </c>
      <c r="IJ339" s="89">
        <v>0</v>
      </c>
      <c r="IK339" s="89">
        <v>0</v>
      </c>
      <c r="IL339" s="89">
        <v>0</v>
      </c>
      <c r="IM339" s="89">
        <v>0</v>
      </c>
      <c r="IN339" s="89">
        <v>0</v>
      </c>
      <c r="IO339" s="89">
        <v>0</v>
      </c>
      <c r="IP339" s="89">
        <v>0</v>
      </c>
      <c r="IQ339" s="89">
        <v>0</v>
      </c>
      <c r="IR339" s="89">
        <v>0</v>
      </c>
      <c r="IS339" s="89">
        <v>0</v>
      </c>
      <c r="IT339" s="89">
        <v>0</v>
      </c>
      <c r="IU339" s="89">
        <v>0</v>
      </c>
      <c r="IV339" s="89">
        <v>0</v>
      </c>
      <c r="IW339" s="89">
        <v>0</v>
      </c>
      <c r="IX339" s="89">
        <v>0</v>
      </c>
      <c r="IY339" s="89">
        <v>0</v>
      </c>
      <c r="IZ339" s="89">
        <v>0</v>
      </c>
      <c r="JA339" s="89">
        <v>0</v>
      </c>
      <c r="JB339" s="89">
        <v>0</v>
      </c>
      <c r="JC339" s="89">
        <v>0</v>
      </c>
      <c r="JD339" s="89">
        <v>0</v>
      </c>
      <c r="JE339" s="89">
        <v>0</v>
      </c>
      <c r="JF339" s="89">
        <v>0</v>
      </c>
      <c r="JG339" s="89">
        <v>0</v>
      </c>
      <c r="JH339" s="89">
        <v>0</v>
      </c>
      <c r="JI339" s="89">
        <v>0</v>
      </c>
      <c r="JJ339" s="89">
        <v>0</v>
      </c>
      <c r="JK339" s="89">
        <v>0</v>
      </c>
      <c r="JL339" s="89">
        <v>0</v>
      </c>
      <c r="JM339" s="89">
        <v>0</v>
      </c>
      <c r="JN339" s="89">
        <v>0</v>
      </c>
      <c r="JO339" s="89">
        <v>0</v>
      </c>
      <c r="JP339" s="89">
        <v>0</v>
      </c>
      <c r="JQ339" s="89">
        <v>0</v>
      </c>
      <c r="JR339" s="89">
        <v>0</v>
      </c>
      <c r="JS339" s="74">
        <f>HG339-IF339</f>
        <v>0</v>
      </c>
      <c r="JT339" s="382">
        <f>GS339-IF339</f>
        <v>0</v>
      </c>
      <c r="JU339" s="665"/>
      <c r="JV339" s="524"/>
      <c r="JW339" s="525"/>
      <c r="JX339" s="548">
        <f>SUM(HH339,HJ339,HL339,HN339,HP339,HR339,HT339,HV339,HX339,HZ339,IB339,ID339)</f>
        <v>0</v>
      </c>
      <c r="JY339" s="548">
        <f>SUM(HI339,HK339,HM339,HO339,HQ339,HS339,HU339,HW339,HY339,IA339,IC339,IE339)</f>
        <v>0</v>
      </c>
      <c r="JZ339" s="581">
        <f t="shared" si="9103"/>
        <v>0</v>
      </c>
      <c r="KA339" s="581">
        <f t="shared" si="9104"/>
        <v>0</v>
      </c>
      <c r="KB339" s="548">
        <f t="shared" si="8622"/>
        <v>0</v>
      </c>
      <c r="KC339" s="709">
        <f t="shared" si="9101"/>
        <v>0</v>
      </c>
      <c r="KD339" s="36"/>
      <c r="KE339" s="36"/>
      <c r="KF339" s="36"/>
      <c r="KG339" s="36"/>
      <c r="KH339" s="36"/>
      <c r="KI339" s="36"/>
      <c r="KJ339" s="36"/>
      <c r="KK339" s="36"/>
    </row>
    <row r="340" spans="1:297" s="10" customFormat="1" ht="12.75" hidden="1" customHeight="1">
      <c r="A340" s="80"/>
      <c r="B340" s="77"/>
      <c r="C340" s="74"/>
      <c r="D340" s="549"/>
      <c r="E340" s="675"/>
      <c r="F340" s="549"/>
      <c r="G340" s="675"/>
      <c r="H340" s="549"/>
      <c r="I340" s="675"/>
      <c r="J340" s="549"/>
      <c r="K340" s="675"/>
      <c r="L340" s="549"/>
      <c r="M340" s="675"/>
      <c r="N340" s="549"/>
      <c r="O340" s="675"/>
      <c r="P340" s="549"/>
      <c r="Q340" s="675"/>
      <c r="R340" s="549"/>
      <c r="S340" s="675"/>
      <c r="T340" s="549"/>
      <c r="U340" s="675"/>
      <c r="V340" s="549"/>
      <c r="W340" s="675"/>
      <c r="X340" s="549"/>
      <c r="Y340" s="675"/>
      <c r="Z340" s="549"/>
      <c r="AA340" s="675"/>
      <c r="AB340" s="549"/>
      <c r="AC340" s="675"/>
      <c r="AD340" s="549"/>
      <c r="AE340" s="675"/>
      <c r="AF340" s="549"/>
      <c r="AG340" s="675"/>
      <c r="AH340" s="549"/>
      <c r="AI340" s="675"/>
      <c r="AJ340" s="549"/>
      <c r="AK340" s="675"/>
      <c r="AL340" s="549"/>
      <c r="AM340" s="675"/>
      <c r="AN340" s="549"/>
      <c r="AO340" s="675"/>
      <c r="AP340" s="549"/>
      <c r="AQ340" s="675"/>
      <c r="AR340" s="549"/>
      <c r="AS340" s="675"/>
      <c r="AT340" s="549"/>
      <c r="AU340" s="675"/>
      <c r="AV340" s="549"/>
      <c r="AW340" s="675"/>
      <c r="AX340" s="549"/>
      <c r="AY340" s="675"/>
      <c r="AZ340" s="549"/>
      <c r="BA340" s="675"/>
      <c r="BB340" s="549"/>
      <c r="BC340" s="675"/>
      <c r="BD340" s="549"/>
      <c r="BE340" s="675"/>
      <c r="BF340" s="549"/>
      <c r="BG340" s="675"/>
      <c r="BH340" s="549"/>
      <c r="BI340" s="675"/>
      <c r="BJ340" s="549"/>
      <c r="BK340" s="675"/>
      <c r="BL340" s="549"/>
      <c r="BM340" s="675"/>
      <c r="BN340" s="549"/>
      <c r="BO340" s="675"/>
      <c r="BP340" s="549"/>
      <c r="BQ340" s="675"/>
      <c r="BR340" s="549"/>
      <c r="BS340" s="675"/>
      <c r="BT340" s="549"/>
      <c r="BU340" s="675"/>
      <c r="BV340" s="549"/>
      <c r="BW340" s="675"/>
      <c r="BX340" s="549"/>
      <c r="BY340" s="675"/>
      <c r="BZ340" s="549"/>
      <c r="CA340" s="675"/>
      <c r="CB340" s="549"/>
      <c r="CC340" s="675"/>
      <c r="CD340" s="549"/>
      <c r="CE340" s="675"/>
      <c r="CF340" s="549"/>
      <c r="CG340" s="675"/>
      <c r="CH340" s="549"/>
      <c r="CI340" s="675"/>
      <c r="CJ340" s="549"/>
      <c r="CK340" s="675"/>
      <c r="CL340" s="549"/>
      <c r="CM340" s="675"/>
      <c r="CN340" s="549"/>
      <c r="CO340" s="675"/>
      <c r="CP340" s="549"/>
      <c r="CQ340" s="675"/>
      <c r="CR340" s="549"/>
      <c r="CS340" s="675"/>
      <c r="CT340" s="549"/>
      <c r="CU340" s="675"/>
      <c r="CV340" s="549"/>
      <c r="CW340" s="675"/>
      <c r="CX340" s="549"/>
      <c r="CY340" s="675"/>
      <c r="CZ340" s="549"/>
      <c r="DA340" s="675"/>
      <c r="DB340" s="549"/>
      <c r="DC340" s="675"/>
      <c r="DD340" s="549"/>
      <c r="DE340" s="675"/>
      <c r="DF340" s="549"/>
      <c r="DG340" s="675"/>
      <c r="DH340" s="549"/>
      <c r="DI340" s="675"/>
      <c r="DJ340" s="549"/>
      <c r="DK340" s="675"/>
      <c r="DL340" s="549"/>
      <c r="DM340" s="675"/>
      <c r="DN340" s="549"/>
      <c r="DO340" s="675"/>
      <c r="DP340" s="549"/>
      <c r="DQ340" s="675"/>
      <c r="DR340" s="549"/>
      <c r="DS340" s="675"/>
      <c r="DT340" s="549"/>
      <c r="DU340" s="675"/>
      <c r="DV340" s="549"/>
      <c r="DW340" s="675"/>
      <c r="DX340" s="549"/>
      <c r="DY340" s="675"/>
      <c r="DZ340" s="549"/>
      <c r="EA340" s="675"/>
      <c r="EB340" s="549"/>
      <c r="EC340" s="675"/>
      <c r="ED340" s="549"/>
      <c r="EE340" s="675"/>
      <c r="EF340" s="549"/>
      <c r="EG340" s="675"/>
      <c r="EH340" s="549"/>
      <c r="EI340" s="675"/>
      <c r="EJ340" s="549"/>
      <c r="EK340" s="675"/>
      <c r="EL340" s="549"/>
      <c r="EM340" s="675"/>
      <c r="EN340" s="549"/>
      <c r="EO340" s="675"/>
      <c r="EP340" s="549"/>
      <c r="EQ340" s="675"/>
      <c r="ER340" s="549"/>
      <c r="ES340" s="675"/>
      <c r="ET340" s="549"/>
      <c r="EU340" s="675"/>
      <c r="EV340" s="549"/>
      <c r="EW340" s="675"/>
      <c r="EX340" s="549"/>
      <c r="EY340" s="675"/>
      <c r="EZ340" s="549"/>
      <c r="FA340" s="675"/>
      <c r="FB340" s="549"/>
      <c r="FC340" s="675"/>
      <c r="FD340" s="549"/>
      <c r="FE340" s="675"/>
      <c r="FF340" s="549"/>
      <c r="FG340" s="675"/>
      <c r="FH340" s="549"/>
      <c r="FI340" s="675"/>
      <c r="FJ340" s="549"/>
      <c r="FK340" s="675"/>
      <c r="FL340" s="549"/>
      <c r="FM340" s="675"/>
      <c r="FN340" s="549"/>
      <c r="FO340" s="675"/>
      <c r="FP340" s="549"/>
      <c r="FQ340" s="675"/>
      <c r="FR340" s="549"/>
      <c r="FS340" s="675"/>
      <c r="FT340" s="549"/>
      <c r="FU340" s="675"/>
      <c r="FV340" s="549"/>
      <c r="FW340" s="675"/>
      <c r="FX340" s="549"/>
      <c r="FY340" s="675"/>
      <c r="FZ340" s="549"/>
      <c r="GA340" s="675"/>
      <c r="GB340" s="549"/>
      <c r="GC340" s="675"/>
      <c r="GD340" s="549"/>
      <c r="GE340" s="675"/>
      <c r="GF340" s="549"/>
      <c r="GG340" s="675"/>
      <c r="GH340" s="549"/>
      <c r="GI340" s="675"/>
      <c r="GJ340" s="549"/>
      <c r="GK340" s="675"/>
      <c r="GL340" s="549"/>
      <c r="GM340" s="675"/>
      <c r="GN340" s="549"/>
      <c r="GO340" s="675"/>
      <c r="GP340" s="549"/>
      <c r="GQ340" s="675"/>
      <c r="GR340" s="74"/>
      <c r="GS340" s="74"/>
      <c r="GT340" s="549"/>
      <c r="GU340" s="275"/>
      <c r="GV340" s="275"/>
      <c r="GW340" s="588"/>
      <c r="GX340" s="588"/>
      <c r="GY340" s="275"/>
      <c r="GZ340" s="275"/>
      <c r="HA340" s="275"/>
      <c r="HB340" s="275"/>
      <c r="HC340" s="275"/>
      <c r="HD340" s="275"/>
      <c r="HE340" s="275"/>
      <c r="HF340" s="275"/>
      <c r="HG340" s="74"/>
      <c r="HH340" s="74"/>
      <c r="HI340" s="792"/>
      <c r="HJ340" s="74"/>
      <c r="HK340" s="792"/>
      <c r="HL340" s="74"/>
      <c r="HM340" s="792"/>
      <c r="HN340" s="74"/>
      <c r="HO340" s="792"/>
      <c r="HP340" s="74"/>
      <c r="HQ340" s="792"/>
      <c r="HR340" s="74"/>
      <c r="HS340" s="792"/>
      <c r="HT340" s="74"/>
      <c r="HU340" s="792"/>
      <c r="HV340" s="74"/>
      <c r="HW340" s="792"/>
      <c r="HX340" s="74"/>
      <c r="HY340" s="792"/>
      <c r="HZ340" s="74"/>
      <c r="IA340" s="792"/>
      <c r="IB340" s="74"/>
      <c r="IC340" s="792"/>
      <c r="ID340" s="74"/>
      <c r="IE340" s="792"/>
      <c r="IF340" s="841"/>
      <c r="IG340" s="263"/>
      <c r="IH340" s="842"/>
      <c r="II340" s="74"/>
      <c r="IJ340" s="74"/>
      <c r="IK340" s="74"/>
      <c r="IL340" s="74"/>
      <c r="IM340" s="74"/>
      <c r="IN340" s="74"/>
      <c r="IO340" s="74"/>
      <c r="IP340" s="74"/>
      <c r="IQ340" s="74"/>
      <c r="IR340" s="74"/>
      <c r="IS340" s="74"/>
      <c r="IT340" s="74"/>
      <c r="IU340" s="74"/>
      <c r="IV340" s="74"/>
      <c r="IW340" s="74"/>
      <c r="IX340" s="74"/>
      <c r="IY340" s="74"/>
      <c r="IZ340" s="74"/>
      <c r="JA340" s="74"/>
      <c r="JB340" s="74"/>
      <c r="JC340" s="74"/>
      <c r="JD340" s="74"/>
      <c r="JE340" s="74"/>
      <c r="JF340" s="74"/>
      <c r="JG340" s="74"/>
      <c r="JH340" s="74"/>
      <c r="JI340" s="74"/>
      <c r="JJ340" s="74"/>
      <c r="JK340" s="74"/>
      <c r="JL340" s="74"/>
      <c r="JM340" s="74"/>
      <c r="JN340" s="74"/>
      <c r="JO340" s="74"/>
      <c r="JP340" s="74"/>
      <c r="JQ340" s="74"/>
      <c r="JR340" s="74"/>
      <c r="JS340" s="74"/>
      <c r="JT340" s="382"/>
      <c r="JU340" s="665"/>
      <c r="JV340" s="524"/>
      <c r="JW340" s="525"/>
      <c r="JX340" s="548"/>
      <c r="JY340" s="548"/>
      <c r="JZ340" s="581">
        <f t="shared" si="9103"/>
        <v>0</v>
      </c>
      <c r="KA340" s="581">
        <f t="shared" si="9104"/>
        <v>0</v>
      </c>
      <c r="KB340" s="548">
        <f t="shared" si="8622"/>
        <v>0</v>
      </c>
      <c r="KC340" s="709">
        <f t="shared" si="9101"/>
        <v>0</v>
      </c>
      <c r="KD340" s="36"/>
      <c r="KE340" s="36"/>
      <c r="KF340" s="36"/>
      <c r="KG340" s="36"/>
      <c r="KH340" s="36"/>
      <c r="KI340" s="36"/>
      <c r="KJ340" s="36"/>
      <c r="KK340" s="36"/>
    </row>
    <row r="341" spans="1:297" s="10" customFormat="1" ht="12.75" hidden="1" customHeight="1">
      <c r="A341" s="80" t="s">
        <v>816</v>
      </c>
      <c r="B341" s="77"/>
      <c r="C341" s="74">
        <v>0</v>
      </c>
      <c r="D341" s="549">
        <v>0</v>
      </c>
      <c r="E341" s="675">
        <v>0</v>
      </c>
      <c r="F341" s="549">
        <v>0</v>
      </c>
      <c r="G341" s="675">
        <v>0</v>
      </c>
      <c r="H341" s="549">
        <v>0</v>
      </c>
      <c r="I341" s="675">
        <v>0</v>
      </c>
      <c r="J341" s="549">
        <v>0</v>
      </c>
      <c r="K341" s="675">
        <v>0</v>
      </c>
      <c r="L341" s="549">
        <v>0</v>
      </c>
      <c r="M341" s="675">
        <v>0</v>
      </c>
      <c r="N341" s="549">
        <v>0</v>
      </c>
      <c r="O341" s="675">
        <v>0</v>
      </c>
      <c r="P341" s="549">
        <v>0</v>
      </c>
      <c r="Q341" s="675">
        <v>0</v>
      </c>
      <c r="R341" s="549">
        <v>0</v>
      </c>
      <c r="S341" s="675">
        <v>0</v>
      </c>
      <c r="T341" s="549">
        <v>0</v>
      </c>
      <c r="U341" s="675">
        <v>0</v>
      </c>
      <c r="V341" s="549">
        <v>0</v>
      </c>
      <c r="W341" s="675">
        <v>0</v>
      </c>
      <c r="X341" s="549">
        <v>0</v>
      </c>
      <c r="Y341" s="675">
        <v>0</v>
      </c>
      <c r="Z341" s="549">
        <v>0</v>
      </c>
      <c r="AA341" s="675">
        <v>0</v>
      </c>
      <c r="AB341" s="549">
        <v>0</v>
      </c>
      <c r="AC341" s="675">
        <v>0</v>
      </c>
      <c r="AD341" s="549">
        <v>0</v>
      </c>
      <c r="AE341" s="675">
        <v>0</v>
      </c>
      <c r="AF341" s="549">
        <v>0</v>
      </c>
      <c r="AG341" s="675">
        <v>0</v>
      </c>
      <c r="AH341" s="549">
        <v>0</v>
      </c>
      <c r="AI341" s="675">
        <v>0</v>
      </c>
      <c r="AJ341" s="549">
        <v>0</v>
      </c>
      <c r="AK341" s="675">
        <v>0</v>
      </c>
      <c r="AL341" s="549">
        <v>0</v>
      </c>
      <c r="AM341" s="675">
        <v>0</v>
      </c>
      <c r="AN341" s="549">
        <v>0</v>
      </c>
      <c r="AO341" s="675">
        <v>0</v>
      </c>
      <c r="AP341" s="549">
        <v>0</v>
      </c>
      <c r="AQ341" s="675">
        <v>0</v>
      </c>
      <c r="AR341" s="549">
        <v>0</v>
      </c>
      <c r="AS341" s="675">
        <v>0</v>
      </c>
      <c r="AT341" s="549">
        <v>0</v>
      </c>
      <c r="AU341" s="675">
        <v>0</v>
      </c>
      <c r="AV341" s="549">
        <v>0</v>
      </c>
      <c r="AW341" s="675">
        <v>0</v>
      </c>
      <c r="AX341" s="549">
        <v>0</v>
      </c>
      <c r="AY341" s="675">
        <v>0</v>
      </c>
      <c r="AZ341" s="549">
        <v>0</v>
      </c>
      <c r="BA341" s="675">
        <v>0</v>
      </c>
      <c r="BB341" s="549">
        <v>0</v>
      </c>
      <c r="BC341" s="675">
        <v>0</v>
      </c>
      <c r="BD341" s="549">
        <v>0</v>
      </c>
      <c r="BE341" s="675">
        <v>0</v>
      </c>
      <c r="BF341" s="549">
        <v>0</v>
      </c>
      <c r="BG341" s="675">
        <v>0</v>
      </c>
      <c r="BH341" s="549">
        <v>0</v>
      </c>
      <c r="BI341" s="675">
        <v>0</v>
      </c>
      <c r="BJ341" s="549">
        <v>0</v>
      </c>
      <c r="BK341" s="675">
        <v>0</v>
      </c>
      <c r="BL341" s="549">
        <v>0</v>
      </c>
      <c r="BM341" s="675">
        <v>0</v>
      </c>
      <c r="BN341" s="549">
        <v>0</v>
      </c>
      <c r="BO341" s="675">
        <v>0</v>
      </c>
      <c r="BP341" s="549">
        <v>0</v>
      </c>
      <c r="BQ341" s="675">
        <v>0</v>
      </c>
      <c r="BR341" s="549">
        <v>0</v>
      </c>
      <c r="BS341" s="675">
        <v>0</v>
      </c>
      <c r="BT341" s="549">
        <v>0</v>
      </c>
      <c r="BU341" s="675">
        <v>0</v>
      </c>
      <c r="BV341" s="549">
        <v>0</v>
      </c>
      <c r="BW341" s="675">
        <v>0</v>
      </c>
      <c r="BX341" s="549">
        <v>0</v>
      </c>
      <c r="BY341" s="675">
        <v>0</v>
      </c>
      <c r="BZ341" s="549">
        <v>0</v>
      </c>
      <c r="CA341" s="675">
        <v>0</v>
      </c>
      <c r="CB341" s="549">
        <v>0</v>
      </c>
      <c r="CC341" s="675">
        <v>0</v>
      </c>
      <c r="CD341" s="549">
        <v>0</v>
      </c>
      <c r="CE341" s="675">
        <v>0</v>
      </c>
      <c r="CF341" s="549">
        <v>0</v>
      </c>
      <c r="CG341" s="675">
        <v>0</v>
      </c>
      <c r="CH341" s="549">
        <v>0</v>
      </c>
      <c r="CI341" s="675">
        <v>0</v>
      </c>
      <c r="CJ341" s="549">
        <v>0</v>
      </c>
      <c r="CK341" s="675">
        <v>0</v>
      </c>
      <c r="CL341" s="549">
        <v>0</v>
      </c>
      <c r="CM341" s="675">
        <v>0</v>
      </c>
      <c r="CN341" s="549">
        <v>0</v>
      </c>
      <c r="CO341" s="675">
        <v>0</v>
      </c>
      <c r="CP341" s="549">
        <v>0</v>
      </c>
      <c r="CQ341" s="675">
        <v>0</v>
      </c>
      <c r="CR341" s="549">
        <v>0</v>
      </c>
      <c r="CS341" s="675">
        <v>0</v>
      </c>
      <c r="CT341" s="549">
        <v>0</v>
      </c>
      <c r="CU341" s="675">
        <v>0</v>
      </c>
      <c r="CV341" s="549">
        <v>0</v>
      </c>
      <c r="CW341" s="675">
        <v>0</v>
      </c>
      <c r="CX341" s="549">
        <v>0</v>
      </c>
      <c r="CY341" s="675">
        <v>0</v>
      </c>
      <c r="CZ341" s="549">
        <v>0</v>
      </c>
      <c r="DA341" s="675">
        <v>0</v>
      </c>
      <c r="DB341" s="549">
        <v>0</v>
      </c>
      <c r="DC341" s="675">
        <v>0</v>
      </c>
      <c r="DD341" s="549">
        <v>0</v>
      </c>
      <c r="DE341" s="675">
        <v>0</v>
      </c>
      <c r="DF341" s="549">
        <v>0</v>
      </c>
      <c r="DG341" s="675">
        <v>0</v>
      </c>
      <c r="DH341" s="549">
        <v>0</v>
      </c>
      <c r="DI341" s="675">
        <v>0</v>
      </c>
      <c r="DJ341" s="549">
        <v>0</v>
      </c>
      <c r="DK341" s="675">
        <v>0</v>
      </c>
      <c r="DL341" s="549">
        <v>0</v>
      </c>
      <c r="DM341" s="675">
        <v>0</v>
      </c>
      <c r="DN341" s="549">
        <v>0</v>
      </c>
      <c r="DO341" s="675">
        <v>0</v>
      </c>
      <c r="DP341" s="549">
        <v>0</v>
      </c>
      <c r="DQ341" s="675">
        <v>0</v>
      </c>
      <c r="DR341" s="549">
        <v>0</v>
      </c>
      <c r="DS341" s="675">
        <v>0</v>
      </c>
      <c r="DT341" s="549">
        <v>0</v>
      </c>
      <c r="DU341" s="675">
        <v>0</v>
      </c>
      <c r="DV341" s="549">
        <v>0</v>
      </c>
      <c r="DW341" s="675">
        <v>0</v>
      </c>
      <c r="DX341" s="549">
        <v>0</v>
      </c>
      <c r="DY341" s="675">
        <v>0</v>
      </c>
      <c r="DZ341" s="549">
        <v>0</v>
      </c>
      <c r="EA341" s="675">
        <v>0</v>
      </c>
      <c r="EB341" s="549">
        <v>0</v>
      </c>
      <c r="EC341" s="675">
        <v>0</v>
      </c>
      <c r="ED341" s="549">
        <v>0</v>
      </c>
      <c r="EE341" s="675">
        <v>0</v>
      </c>
      <c r="EF341" s="549">
        <v>0</v>
      </c>
      <c r="EG341" s="675">
        <v>0</v>
      </c>
      <c r="EH341" s="549">
        <v>0</v>
      </c>
      <c r="EI341" s="675">
        <v>0</v>
      </c>
      <c r="EJ341" s="549">
        <v>0</v>
      </c>
      <c r="EK341" s="675">
        <v>0</v>
      </c>
      <c r="EL341" s="549">
        <v>0</v>
      </c>
      <c r="EM341" s="675">
        <v>0</v>
      </c>
      <c r="EN341" s="549">
        <v>0</v>
      </c>
      <c r="EO341" s="675">
        <v>0</v>
      </c>
      <c r="EP341" s="549">
        <v>0</v>
      </c>
      <c r="EQ341" s="675">
        <v>0</v>
      </c>
      <c r="ER341" s="549">
        <v>0</v>
      </c>
      <c r="ES341" s="675">
        <v>0</v>
      </c>
      <c r="ET341" s="549">
        <v>0</v>
      </c>
      <c r="EU341" s="675">
        <v>0</v>
      </c>
      <c r="EV341" s="549">
        <v>0</v>
      </c>
      <c r="EW341" s="675">
        <v>0</v>
      </c>
      <c r="EX341" s="549">
        <v>0</v>
      </c>
      <c r="EY341" s="675">
        <v>0</v>
      </c>
      <c r="EZ341" s="549">
        <v>0</v>
      </c>
      <c r="FA341" s="675">
        <v>0</v>
      </c>
      <c r="FB341" s="549">
        <v>0</v>
      </c>
      <c r="FC341" s="675">
        <v>0</v>
      </c>
      <c r="FD341" s="549">
        <v>0</v>
      </c>
      <c r="FE341" s="675">
        <v>0</v>
      </c>
      <c r="FF341" s="549">
        <v>0</v>
      </c>
      <c r="FG341" s="675">
        <v>0</v>
      </c>
      <c r="FH341" s="549">
        <v>0</v>
      </c>
      <c r="FI341" s="675">
        <v>0</v>
      </c>
      <c r="FJ341" s="549">
        <v>0</v>
      </c>
      <c r="FK341" s="675">
        <v>0</v>
      </c>
      <c r="FL341" s="549">
        <v>0</v>
      </c>
      <c r="FM341" s="675">
        <v>0</v>
      </c>
      <c r="FN341" s="549">
        <v>0</v>
      </c>
      <c r="FO341" s="675">
        <v>0</v>
      </c>
      <c r="FP341" s="549">
        <v>0</v>
      </c>
      <c r="FQ341" s="675">
        <v>0</v>
      </c>
      <c r="FR341" s="549">
        <v>0</v>
      </c>
      <c r="FS341" s="675">
        <v>0</v>
      </c>
      <c r="FT341" s="549">
        <v>0</v>
      </c>
      <c r="FU341" s="675">
        <v>0</v>
      </c>
      <c r="FV341" s="549">
        <v>0</v>
      </c>
      <c r="FW341" s="675">
        <v>0</v>
      </c>
      <c r="FX341" s="549">
        <v>0</v>
      </c>
      <c r="FY341" s="675">
        <v>0</v>
      </c>
      <c r="FZ341" s="549">
        <v>0</v>
      </c>
      <c r="GA341" s="675">
        <v>0</v>
      </c>
      <c r="GB341" s="549">
        <v>0</v>
      </c>
      <c r="GC341" s="675">
        <v>0</v>
      </c>
      <c r="GD341" s="549">
        <v>0</v>
      </c>
      <c r="GE341" s="675">
        <v>0</v>
      </c>
      <c r="GF341" s="549">
        <v>0</v>
      </c>
      <c r="GG341" s="675">
        <v>0</v>
      </c>
      <c r="GH341" s="549">
        <v>0</v>
      </c>
      <c r="GI341" s="675">
        <v>0</v>
      </c>
      <c r="GJ341" s="549">
        <v>0</v>
      </c>
      <c r="GK341" s="675">
        <v>0</v>
      </c>
      <c r="GL341" s="549">
        <v>0</v>
      </c>
      <c r="GM341" s="675">
        <v>0</v>
      </c>
      <c r="GN341" s="549">
        <v>0</v>
      </c>
      <c r="GO341" s="675">
        <v>0</v>
      </c>
      <c r="GP341" s="549">
        <f>+D341+F341+H341+J341+L341+N341+P341+R341+T341+V341+X341+Z341+AB341+AD341+AH341+AJ341+AL341+AN341+AP341+AR341+AT341+AV341+AX341+AZ341+BB341+BD341+BF341+BH341+BJ341+BL341+BN341+BP341+BR341+BT341+BV341+BX341+BZ341+CB341+CD341+CF341+CH341+CJ341+CL341+CN341+CP341+CR341+CT341+CV341+CX341+CZ341+DB341+DD341+DF341+DH341+DT341+EX341+DJ341+DL341+DN341+DP341+DR341+EJ341+EB341+DZ341+DX341+DV341+ED341+EF341+EH341+EL341+EN341+EP341+EV341+ET341+ER341+EZ341+FB341+FD341+GL341</f>
        <v>0</v>
      </c>
      <c r="GQ341" s="675">
        <f>+E341+G341+I341+K341+M341+O341+Q341+S341+U341+W341+Y341+AA341+AC341+AE341+AI341+AK341+AM341+AO341+AQ341+AS341+AU341+AW341+AY341+BA341+BC341+BE341+BG341+BI341+BK341+BM341+BO341+BQ341+BS341+BU341+BW341+BY341+CA341+CC341+CE341+CG341+CI341+CK341+CM341+CO341+CQ341+CS341+CU341+CW341+CY341+DA341+DC341+DE341+DG341+DI341+DU341+EY341+DK341+DM341+DO341+DQ341+DS341+EK341+EC341+EA341+DY341+DW341+EI341+EG341+EE341+EM341+EO341+EQ341+EW341+EU341+ES341+FA341+FC341+FE341+GM341</f>
        <v>0</v>
      </c>
      <c r="GR341" s="74">
        <f>C341+GP341+GQ341</f>
        <v>0</v>
      </c>
      <c r="GS341" s="74">
        <f t="shared" ref="GS341" si="9874">GU341</f>
        <v>0</v>
      </c>
      <c r="GT341" s="568">
        <f>SUM(GU341:HF341)+GQ341+GP341</f>
        <v>0</v>
      </c>
      <c r="GU341" s="275">
        <v>0</v>
      </c>
      <c r="GV341" s="275">
        <v>0</v>
      </c>
      <c r="GW341" s="588">
        <v>0</v>
      </c>
      <c r="GX341" s="588">
        <v>0</v>
      </c>
      <c r="GY341" s="275">
        <v>0</v>
      </c>
      <c r="GZ341" s="275">
        <v>0</v>
      </c>
      <c r="HA341" s="275">
        <v>0</v>
      </c>
      <c r="HB341" s="275">
        <v>0</v>
      </c>
      <c r="HC341" s="275">
        <v>0</v>
      </c>
      <c r="HD341" s="275">
        <v>0</v>
      </c>
      <c r="HE341" s="275">
        <v>0</v>
      </c>
      <c r="HF341" s="275">
        <v>0</v>
      </c>
      <c r="HG341" s="74">
        <f>SUM(HH341:IE341)+GP341+GQ341</f>
        <v>0</v>
      </c>
      <c r="HH341" s="89">
        <v>0</v>
      </c>
      <c r="HI341" s="817">
        <v>0</v>
      </c>
      <c r="HJ341" s="89">
        <v>0</v>
      </c>
      <c r="HK341" s="817">
        <v>0</v>
      </c>
      <c r="HL341" s="89">
        <v>0</v>
      </c>
      <c r="HM341" s="817">
        <v>0</v>
      </c>
      <c r="HN341" s="89">
        <v>0</v>
      </c>
      <c r="HO341" s="817">
        <v>0</v>
      </c>
      <c r="HP341" s="89">
        <v>0</v>
      </c>
      <c r="HQ341" s="817">
        <v>0</v>
      </c>
      <c r="HR341" s="89">
        <v>0</v>
      </c>
      <c r="HS341" s="817">
        <v>0</v>
      </c>
      <c r="HT341" s="89">
        <v>0</v>
      </c>
      <c r="HU341" s="817">
        <v>0</v>
      </c>
      <c r="HV341" s="89">
        <v>0</v>
      </c>
      <c r="HW341" s="817">
        <v>0</v>
      </c>
      <c r="HX341" s="89">
        <v>0</v>
      </c>
      <c r="HY341" s="817">
        <v>0</v>
      </c>
      <c r="HZ341" s="89">
        <v>0</v>
      </c>
      <c r="IA341" s="817">
        <v>0</v>
      </c>
      <c r="IB341" s="89">
        <v>0</v>
      </c>
      <c r="IC341" s="817">
        <v>0</v>
      </c>
      <c r="ID341" s="89">
        <v>0</v>
      </c>
      <c r="IE341" s="817">
        <v>0</v>
      </c>
      <c r="IF341" s="841">
        <f t="shared" ref="IF341" si="9875">SUM(II341,IL341,IO341,IR341,IU341,IX341,JA341,JD341,JG341,JJ341,JM341,JP341)</f>
        <v>0</v>
      </c>
      <c r="IG341" s="263">
        <f t="shared" ref="IG341" si="9876">SUM(IJ341,IM341,IP341,IS341,IV341,IY341,JB341,JE341,JH341,JK341,JN341,JQ341)</f>
        <v>0</v>
      </c>
      <c r="IH341" s="842">
        <f t="shared" ref="IH341" si="9877">SUM(IK341,IN341,IQ341,IT341,IW341,IZ341,JC341,JF341,JI341,JL341,JO341,JR341)</f>
        <v>0</v>
      </c>
      <c r="II341" s="89">
        <v>0</v>
      </c>
      <c r="IJ341" s="89">
        <v>0</v>
      </c>
      <c r="IK341" s="89">
        <v>0</v>
      </c>
      <c r="IL341" s="89">
        <v>0</v>
      </c>
      <c r="IM341" s="89">
        <v>0</v>
      </c>
      <c r="IN341" s="89">
        <v>0</v>
      </c>
      <c r="IO341" s="89">
        <v>0</v>
      </c>
      <c r="IP341" s="89">
        <v>0</v>
      </c>
      <c r="IQ341" s="89">
        <v>0</v>
      </c>
      <c r="IR341" s="89">
        <v>0</v>
      </c>
      <c r="IS341" s="89">
        <v>0</v>
      </c>
      <c r="IT341" s="89">
        <v>0</v>
      </c>
      <c r="IU341" s="89">
        <v>0</v>
      </c>
      <c r="IV341" s="89">
        <v>0</v>
      </c>
      <c r="IW341" s="89">
        <v>0</v>
      </c>
      <c r="IX341" s="89">
        <v>0</v>
      </c>
      <c r="IY341" s="89">
        <v>0</v>
      </c>
      <c r="IZ341" s="89">
        <v>0</v>
      </c>
      <c r="JA341" s="89">
        <v>0</v>
      </c>
      <c r="JB341" s="89">
        <v>0</v>
      </c>
      <c r="JC341" s="89">
        <v>0</v>
      </c>
      <c r="JD341" s="89">
        <v>0</v>
      </c>
      <c r="JE341" s="89">
        <v>0</v>
      </c>
      <c r="JF341" s="89">
        <v>0</v>
      </c>
      <c r="JG341" s="89">
        <v>0</v>
      </c>
      <c r="JH341" s="89">
        <v>0</v>
      </c>
      <c r="JI341" s="89">
        <v>0</v>
      </c>
      <c r="JJ341" s="89">
        <v>0</v>
      </c>
      <c r="JK341" s="89">
        <v>0</v>
      </c>
      <c r="JL341" s="89">
        <v>0</v>
      </c>
      <c r="JM341" s="89">
        <v>0</v>
      </c>
      <c r="JN341" s="89">
        <v>0</v>
      </c>
      <c r="JO341" s="89">
        <v>0</v>
      </c>
      <c r="JP341" s="89">
        <v>0</v>
      </c>
      <c r="JQ341" s="89">
        <v>0</v>
      </c>
      <c r="JR341" s="89">
        <v>0</v>
      </c>
      <c r="JS341" s="74">
        <f>HG341-IF341</f>
        <v>0</v>
      </c>
      <c r="JT341" s="382">
        <f>GS341-IF341</f>
        <v>0</v>
      </c>
      <c r="JU341" s="665"/>
      <c r="JV341" s="524"/>
      <c r="JW341" s="525"/>
      <c r="JX341" s="548">
        <f>SUM(HH341,HJ341,HL341,HN341,HP341,HR341,HT341,HV341,HX341,HZ341,IB341,ID341)</f>
        <v>0</v>
      </c>
      <c r="JY341" s="548">
        <f>SUM(HI341,HK341,HM341,HO341,HQ341,HS341,HU341,HW341,HY341,IA341,IC341,IE341)</f>
        <v>0</v>
      </c>
      <c r="JZ341" s="581">
        <f t="shared" si="9103"/>
        <v>0</v>
      </c>
      <c r="KA341" s="581">
        <f t="shared" si="9104"/>
        <v>0</v>
      </c>
      <c r="KB341" s="548">
        <f t="shared" si="8622"/>
        <v>0</v>
      </c>
      <c r="KC341" s="709">
        <f t="shared" si="9101"/>
        <v>0</v>
      </c>
      <c r="KD341" s="36"/>
      <c r="KE341" s="36"/>
      <c r="KF341" s="36"/>
      <c r="KG341" s="36"/>
      <c r="KH341" s="36"/>
      <c r="KI341" s="36"/>
      <c r="KJ341" s="36"/>
      <c r="KK341" s="36"/>
    </row>
    <row r="342" spans="1:297" s="10" customFormat="1" ht="12.75" hidden="1" customHeight="1">
      <c r="A342" s="80"/>
      <c r="B342" s="77"/>
      <c r="C342" s="74"/>
      <c r="D342" s="549"/>
      <c r="E342" s="675"/>
      <c r="F342" s="549"/>
      <c r="G342" s="675"/>
      <c r="H342" s="549"/>
      <c r="I342" s="675"/>
      <c r="J342" s="549"/>
      <c r="K342" s="675"/>
      <c r="L342" s="549"/>
      <c r="M342" s="675"/>
      <c r="N342" s="549"/>
      <c r="O342" s="675"/>
      <c r="P342" s="549"/>
      <c r="Q342" s="675"/>
      <c r="R342" s="549"/>
      <c r="S342" s="675"/>
      <c r="T342" s="549"/>
      <c r="U342" s="675"/>
      <c r="V342" s="549"/>
      <c r="W342" s="675"/>
      <c r="X342" s="549"/>
      <c r="Y342" s="675"/>
      <c r="Z342" s="549"/>
      <c r="AA342" s="675"/>
      <c r="AB342" s="549"/>
      <c r="AC342" s="675"/>
      <c r="AD342" s="549"/>
      <c r="AE342" s="675"/>
      <c r="AF342" s="549"/>
      <c r="AG342" s="675"/>
      <c r="AH342" s="549"/>
      <c r="AI342" s="675"/>
      <c r="AJ342" s="549"/>
      <c r="AK342" s="675"/>
      <c r="AL342" s="549"/>
      <c r="AM342" s="675"/>
      <c r="AN342" s="549"/>
      <c r="AO342" s="675"/>
      <c r="AP342" s="549"/>
      <c r="AQ342" s="675"/>
      <c r="AR342" s="549"/>
      <c r="AS342" s="675"/>
      <c r="AT342" s="549"/>
      <c r="AU342" s="675"/>
      <c r="AV342" s="549"/>
      <c r="AW342" s="675"/>
      <c r="AX342" s="549"/>
      <c r="AY342" s="675"/>
      <c r="AZ342" s="549"/>
      <c r="BA342" s="675"/>
      <c r="BB342" s="549"/>
      <c r="BC342" s="675"/>
      <c r="BD342" s="549"/>
      <c r="BE342" s="675"/>
      <c r="BF342" s="549"/>
      <c r="BG342" s="675"/>
      <c r="BH342" s="549"/>
      <c r="BI342" s="675"/>
      <c r="BJ342" s="549"/>
      <c r="BK342" s="675"/>
      <c r="BL342" s="549"/>
      <c r="BM342" s="675"/>
      <c r="BN342" s="549"/>
      <c r="BO342" s="675"/>
      <c r="BP342" s="549"/>
      <c r="BQ342" s="675"/>
      <c r="BR342" s="549"/>
      <c r="BS342" s="675"/>
      <c r="BT342" s="549"/>
      <c r="BU342" s="675"/>
      <c r="BV342" s="549"/>
      <c r="BW342" s="675"/>
      <c r="BX342" s="549"/>
      <c r="BY342" s="675"/>
      <c r="BZ342" s="549"/>
      <c r="CA342" s="675"/>
      <c r="CB342" s="549"/>
      <c r="CC342" s="675"/>
      <c r="CD342" s="549"/>
      <c r="CE342" s="675"/>
      <c r="CF342" s="549"/>
      <c r="CG342" s="675"/>
      <c r="CH342" s="549"/>
      <c r="CI342" s="675"/>
      <c r="CJ342" s="549"/>
      <c r="CK342" s="675"/>
      <c r="CL342" s="549"/>
      <c r="CM342" s="675"/>
      <c r="CN342" s="549"/>
      <c r="CO342" s="675"/>
      <c r="CP342" s="549"/>
      <c r="CQ342" s="675"/>
      <c r="CR342" s="549"/>
      <c r="CS342" s="675"/>
      <c r="CT342" s="549"/>
      <c r="CU342" s="675"/>
      <c r="CV342" s="549"/>
      <c r="CW342" s="675"/>
      <c r="CX342" s="549"/>
      <c r="CY342" s="675"/>
      <c r="CZ342" s="549"/>
      <c r="DA342" s="675"/>
      <c r="DB342" s="549"/>
      <c r="DC342" s="675"/>
      <c r="DD342" s="549"/>
      <c r="DE342" s="675"/>
      <c r="DF342" s="549"/>
      <c r="DG342" s="675"/>
      <c r="DH342" s="549"/>
      <c r="DI342" s="675"/>
      <c r="DJ342" s="549"/>
      <c r="DK342" s="675"/>
      <c r="DL342" s="549"/>
      <c r="DM342" s="675"/>
      <c r="DN342" s="549"/>
      <c r="DO342" s="675"/>
      <c r="DP342" s="549"/>
      <c r="DQ342" s="675"/>
      <c r="DR342" s="549"/>
      <c r="DS342" s="675"/>
      <c r="DT342" s="549"/>
      <c r="DU342" s="675"/>
      <c r="DV342" s="549"/>
      <c r="DW342" s="675"/>
      <c r="DX342" s="549"/>
      <c r="DY342" s="675"/>
      <c r="DZ342" s="549"/>
      <c r="EA342" s="675"/>
      <c r="EB342" s="549"/>
      <c r="EC342" s="675"/>
      <c r="ED342" s="549"/>
      <c r="EE342" s="675"/>
      <c r="EF342" s="549"/>
      <c r="EG342" s="675"/>
      <c r="EH342" s="549"/>
      <c r="EI342" s="675"/>
      <c r="EJ342" s="549"/>
      <c r="EK342" s="675"/>
      <c r="EL342" s="549"/>
      <c r="EM342" s="675"/>
      <c r="EN342" s="549"/>
      <c r="EO342" s="675"/>
      <c r="EP342" s="549"/>
      <c r="EQ342" s="675"/>
      <c r="ER342" s="549"/>
      <c r="ES342" s="675"/>
      <c r="ET342" s="549"/>
      <c r="EU342" s="675"/>
      <c r="EV342" s="549"/>
      <c r="EW342" s="675"/>
      <c r="EX342" s="549"/>
      <c r="EY342" s="675"/>
      <c r="EZ342" s="549"/>
      <c r="FA342" s="675"/>
      <c r="FB342" s="549"/>
      <c r="FC342" s="675"/>
      <c r="FD342" s="549"/>
      <c r="FE342" s="675"/>
      <c r="FF342" s="549"/>
      <c r="FG342" s="675"/>
      <c r="FH342" s="549"/>
      <c r="FI342" s="675"/>
      <c r="FJ342" s="549"/>
      <c r="FK342" s="675"/>
      <c r="FL342" s="549"/>
      <c r="FM342" s="675"/>
      <c r="FN342" s="549"/>
      <c r="FO342" s="675"/>
      <c r="FP342" s="549"/>
      <c r="FQ342" s="675"/>
      <c r="FR342" s="549"/>
      <c r="FS342" s="675"/>
      <c r="FT342" s="549"/>
      <c r="FU342" s="675"/>
      <c r="FV342" s="549"/>
      <c r="FW342" s="675"/>
      <c r="FX342" s="549"/>
      <c r="FY342" s="675"/>
      <c r="FZ342" s="549"/>
      <c r="GA342" s="675"/>
      <c r="GB342" s="549"/>
      <c r="GC342" s="675"/>
      <c r="GD342" s="549"/>
      <c r="GE342" s="675"/>
      <c r="GF342" s="549"/>
      <c r="GG342" s="675"/>
      <c r="GH342" s="549"/>
      <c r="GI342" s="675"/>
      <c r="GJ342" s="549"/>
      <c r="GK342" s="675"/>
      <c r="GL342" s="549"/>
      <c r="GM342" s="675"/>
      <c r="GN342" s="549"/>
      <c r="GO342" s="675"/>
      <c r="GP342" s="549"/>
      <c r="GQ342" s="675"/>
      <c r="GR342" s="74"/>
      <c r="GS342" s="74"/>
      <c r="GT342" s="549"/>
      <c r="GU342" s="275"/>
      <c r="GV342" s="275"/>
      <c r="GW342" s="588"/>
      <c r="GX342" s="588"/>
      <c r="GY342" s="275"/>
      <c r="GZ342" s="275"/>
      <c r="HA342" s="275"/>
      <c r="HB342" s="275"/>
      <c r="HC342" s="275"/>
      <c r="HD342" s="275"/>
      <c r="HE342" s="275"/>
      <c r="HF342" s="275"/>
      <c r="HG342" s="74"/>
      <c r="HH342" s="74"/>
      <c r="HI342" s="792"/>
      <c r="HJ342" s="74"/>
      <c r="HK342" s="792"/>
      <c r="HL342" s="74"/>
      <c r="HM342" s="792"/>
      <c r="HN342" s="74"/>
      <c r="HO342" s="792"/>
      <c r="HP342" s="74"/>
      <c r="HQ342" s="792"/>
      <c r="HR342" s="74"/>
      <c r="HS342" s="792"/>
      <c r="HT342" s="74"/>
      <c r="HU342" s="792"/>
      <c r="HV342" s="74"/>
      <c r="HW342" s="792"/>
      <c r="HX342" s="74"/>
      <c r="HY342" s="792"/>
      <c r="HZ342" s="74"/>
      <c r="IA342" s="792"/>
      <c r="IB342" s="74"/>
      <c r="IC342" s="792"/>
      <c r="ID342" s="74"/>
      <c r="IE342" s="792"/>
      <c r="IF342" s="841"/>
      <c r="IG342" s="263"/>
      <c r="IH342" s="842"/>
      <c r="II342" s="74"/>
      <c r="IJ342" s="74"/>
      <c r="IK342" s="74"/>
      <c r="IL342" s="74"/>
      <c r="IM342" s="74"/>
      <c r="IN342" s="74"/>
      <c r="IO342" s="74"/>
      <c r="IP342" s="74"/>
      <c r="IQ342" s="74"/>
      <c r="IR342" s="74"/>
      <c r="IS342" s="74"/>
      <c r="IT342" s="74"/>
      <c r="IU342" s="74"/>
      <c r="IV342" s="74"/>
      <c r="IW342" s="74"/>
      <c r="IX342" s="74"/>
      <c r="IY342" s="74"/>
      <c r="IZ342" s="74"/>
      <c r="JA342" s="74"/>
      <c r="JB342" s="74"/>
      <c r="JC342" s="74"/>
      <c r="JD342" s="74"/>
      <c r="JE342" s="74"/>
      <c r="JF342" s="74"/>
      <c r="JG342" s="74"/>
      <c r="JH342" s="74"/>
      <c r="JI342" s="74"/>
      <c r="JJ342" s="74"/>
      <c r="JK342" s="74"/>
      <c r="JL342" s="74"/>
      <c r="JM342" s="74"/>
      <c r="JN342" s="74"/>
      <c r="JO342" s="74"/>
      <c r="JP342" s="74"/>
      <c r="JQ342" s="74"/>
      <c r="JR342" s="74"/>
      <c r="JS342" s="74"/>
      <c r="JT342" s="382"/>
      <c r="JU342" s="665"/>
      <c r="JV342" s="524"/>
      <c r="JW342" s="525"/>
      <c r="JX342" s="548"/>
      <c r="JY342" s="548"/>
      <c r="JZ342" s="581">
        <f t="shared" si="9103"/>
        <v>0</v>
      </c>
      <c r="KA342" s="581">
        <f t="shared" si="9104"/>
        <v>0</v>
      </c>
      <c r="KB342" s="548">
        <f t="shared" si="8622"/>
        <v>0</v>
      </c>
      <c r="KC342" s="709">
        <f t="shared" si="9101"/>
        <v>0</v>
      </c>
      <c r="KD342" s="36"/>
      <c r="KE342" s="36"/>
      <c r="KF342" s="36"/>
      <c r="KG342" s="36"/>
      <c r="KH342" s="36"/>
      <c r="KI342" s="36"/>
      <c r="KJ342" s="36"/>
      <c r="KK342" s="36"/>
    </row>
    <row r="343" spans="1:297" s="10" customFormat="1" ht="12.75" hidden="1" customHeight="1">
      <c r="A343" s="80" t="s">
        <v>817</v>
      </c>
      <c r="B343" s="77"/>
      <c r="C343" s="74">
        <v>0</v>
      </c>
      <c r="D343" s="549">
        <v>0</v>
      </c>
      <c r="E343" s="675">
        <v>0</v>
      </c>
      <c r="F343" s="549">
        <v>0</v>
      </c>
      <c r="G343" s="675">
        <v>0</v>
      </c>
      <c r="H343" s="549">
        <v>0</v>
      </c>
      <c r="I343" s="675">
        <v>0</v>
      </c>
      <c r="J343" s="549">
        <v>0</v>
      </c>
      <c r="K343" s="675">
        <v>0</v>
      </c>
      <c r="L343" s="549">
        <v>0</v>
      </c>
      <c r="M343" s="675">
        <v>0</v>
      </c>
      <c r="N343" s="549">
        <v>0</v>
      </c>
      <c r="O343" s="675">
        <v>0</v>
      </c>
      <c r="P343" s="549">
        <v>0</v>
      </c>
      <c r="Q343" s="675">
        <v>0</v>
      </c>
      <c r="R343" s="549">
        <v>0</v>
      </c>
      <c r="S343" s="675">
        <v>0</v>
      </c>
      <c r="T343" s="549">
        <v>0</v>
      </c>
      <c r="U343" s="675">
        <v>0</v>
      </c>
      <c r="V343" s="549">
        <v>0</v>
      </c>
      <c r="W343" s="675">
        <v>0</v>
      </c>
      <c r="X343" s="549">
        <v>0</v>
      </c>
      <c r="Y343" s="675">
        <v>0</v>
      </c>
      <c r="Z343" s="549">
        <v>0</v>
      </c>
      <c r="AA343" s="675">
        <v>0</v>
      </c>
      <c r="AB343" s="549">
        <v>0</v>
      </c>
      <c r="AC343" s="675">
        <v>0</v>
      </c>
      <c r="AD343" s="549">
        <v>0</v>
      </c>
      <c r="AE343" s="675">
        <v>0</v>
      </c>
      <c r="AF343" s="549">
        <v>0</v>
      </c>
      <c r="AG343" s="675">
        <v>0</v>
      </c>
      <c r="AH343" s="549">
        <v>0</v>
      </c>
      <c r="AI343" s="675">
        <v>0</v>
      </c>
      <c r="AJ343" s="549">
        <v>0</v>
      </c>
      <c r="AK343" s="675">
        <v>0</v>
      </c>
      <c r="AL343" s="549">
        <v>0</v>
      </c>
      <c r="AM343" s="675">
        <v>0</v>
      </c>
      <c r="AN343" s="549">
        <v>0</v>
      </c>
      <c r="AO343" s="675">
        <v>0</v>
      </c>
      <c r="AP343" s="549">
        <v>0</v>
      </c>
      <c r="AQ343" s="675">
        <v>0</v>
      </c>
      <c r="AR343" s="549">
        <v>0</v>
      </c>
      <c r="AS343" s="675">
        <v>0</v>
      </c>
      <c r="AT343" s="549">
        <v>0</v>
      </c>
      <c r="AU343" s="675">
        <v>0</v>
      </c>
      <c r="AV343" s="549">
        <v>0</v>
      </c>
      <c r="AW343" s="675">
        <v>0</v>
      </c>
      <c r="AX343" s="549">
        <v>0</v>
      </c>
      <c r="AY343" s="675">
        <v>0</v>
      </c>
      <c r="AZ343" s="549">
        <v>0</v>
      </c>
      <c r="BA343" s="675">
        <v>0</v>
      </c>
      <c r="BB343" s="549">
        <v>0</v>
      </c>
      <c r="BC343" s="675">
        <v>0</v>
      </c>
      <c r="BD343" s="549">
        <v>0</v>
      </c>
      <c r="BE343" s="675">
        <v>0</v>
      </c>
      <c r="BF343" s="549">
        <v>0</v>
      </c>
      <c r="BG343" s="675">
        <v>0</v>
      </c>
      <c r="BH343" s="549">
        <v>0</v>
      </c>
      <c r="BI343" s="675">
        <v>0</v>
      </c>
      <c r="BJ343" s="549">
        <v>0</v>
      </c>
      <c r="BK343" s="675">
        <v>0</v>
      </c>
      <c r="BL343" s="549">
        <v>0</v>
      </c>
      <c r="BM343" s="675">
        <v>0</v>
      </c>
      <c r="BN343" s="549">
        <v>0</v>
      </c>
      <c r="BO343" s="675">
        <v>0</v>
      </c>
      <c r="BP343" s="549">
        <v>0</v>
      </c>
      <c r="BQ343" s="675">
        <v>0</v>
      </c>
      <c r="BR343" s="549">
        <v>0</v>
      </c>
      <c r="BS343" s="675">
        <v>0</v>
      </c>
      <c r="BT343" s="549">
        <v>0</v>
      </c>
      <c r="BU343" s="675">
        <v>0</v>
      </c>
      <c r="BV343" s="549">
        <v>0</v>
      </c>
      <c r="BW343" s="675">
        <v>0</v>
      </c>
      <c r="BX343" s="549">
        <v>0</v>
      </c>
      <c r="BY343" s="675">
        <v>0</v>
      </c>
      <c r="BZ343" s="549">
        <v>0</v>
      </c>
      <c r="CA343" s="675">
        <v>0</v>
      </c>
      <c r="CB343" s="549">
        <v>0</v>
      </c>
      <c r="CC343" s="675">
        <v>0</v>
      </c>
      <c r="CD343" s="549">
        <v>0</v>
      </c>
      <c r="CE343" s="675">
        <v>0</v>
      </c>
      <c r="CF343" s="549">
        <v>0</v>
      </c>
      <c r="CG343" s="675">
        <v>0</v>
      </c>
      <c r="CH343" s="549">
        <v>0</v>
      </c>
      <c r="CI343" s="675">
        <v>0</v>
      </c>
      <c r="CJ343" s="549">
        <v>0</v>
      </c>
      <c r="CK343" s="675">
        <v>0</v>
      </c>
      <c r="CL343" s="549">
        <v>0</v>
      </c>
      <c r="CM343" s="675">
        <v>0</v>
      </c>
      <c r="CN343" s="549">
        <v>0</v>
      </c>
      <c r="CO343" s="675">
        <v>0</v>
      </c>
      <c r="CP343" s="549">
        <v>0</v>
      </c>
      <c r="CQ343" s="675">
        <v>0</v>
      </c>
      <c r="CR343" s="549">
        <v>0</v>
      </c>
      <c r="CS343" s="675">
        <v>0</v>
      </c>
      <c r="CT343" s="549">
        <v>0</v>
      </c>
      <c r="CU343" s="675">
        <v>0</v>
      </c>
      <c r="CV343" s="549">
        <v>0</v>
      </c>
      <c r="CW343" s="675">
        <v>0</v>
      </c>
      <c r="CX343" s="549">
        <v>0</v>
      </c>
      <c r="CY343" s="675">
        <v>0</v>
      </c>
      <c r="CZ343" s="549">
        <v>0</v>
      </c>
      <c r="DA343" s="675">
        <v>0</v>
      </c>
      <c r="DB343" s="549">
        <v>0</v>
      </c>
      <c r="DC343" s="675">
        <v>0</v>
      </c>
      <c r="DD343" s="549">
        <v>0</v>
      </c>
      <c r="DE343" s="675">
        <v>0</v>
      </c>
      <c r="DF343" s="549">
        <v>0</v>
      </c>
      <c r="DG343" s="675">
        <v>0</v>
      </c>
      <c r="DH343" s="549">
        <v>0</v>
      </c>
      <c r="DI343" s="675">
        <v>0</v>
      </c>
      <c r="DJ343" s="549">
        <v>0</v>
      </c>
      <c r="DK343" s="675">
        <v>0</v>
      </c>
      <c r="DL343" s="549">
        <v>0</v>
      </c>
      <c r="DM343" s="675">
        <v>0</v>
      </c>
      <c r="DN343" s="549">
        <v>0</v>
      </c>
      <c r="DO343" s="675">
        <v>0</v>
      </c>
      <c r="DP343" s="549">
        <v>0</v>
      </c>
      <c r="DQ343" s="675">
        <v>0</v>
      </c>
      <c r="DR343" s="549">
        <v>0</v>
      </c>
      <c r="DS343" s="675">
        <v>0</v>
      </c>
      <c r="DT343" s="549">
        <v>0</v>
      </c>
      <c r="DU343" s="675">
        <v>0</v>
      </c>
      <c r="DV343" s="549">
        <v>0</v>
      </c>
      <c r="DW343" s="675">
        <v>0</v>
      </c>
      <c r="DX343" s="549">
        <v>0</v>
      </c>
      <c r="DY343" s="675">
        <v>0</v>
      </c>
      <c r="DZ343" s="549">
        <v>0</v>
      </c>
      <c r="EA343" s="675">
        <v>0</v>
      </c>
      <c r="EB343" s="549">
        <v>0</v>
      </c>
      <c r="EC343" s="675">
        <v>0</v>
      </c>
      <c r="ED343" s="549">
        <v>0</v>
      </c>
      <c r="EE343" s="675">
        <v>0</v>
      </c>
      <c r="EF343" s="549">
        <v>0</v>
      </c>
      <c r="EG343" s="675">
        <v>0</v>
      </c>
      <c r="EH343" s="549">
        <v>0</v>
      </c>
      <c r="EI343" s="675">
        <v>0</v>
      </c>
      <c r="EJ343" s="549">
        <v>0</v>
      </c>
      <c r="EK343" s="675">
        <v>0</v>
      </c>
      <c r="EL343" s="549">
        <v>0</v>
      </c>
      <c r="EM343" s="675">
        <v>0</v>
      </c>
      <c r="EN343" s="549">
        <v>0</v>
      </c>
      <c r="EO343" s="675">
        <v>0</v>
      </c>
      <c r="EP343" s="549">
        <v>0</v>
      </c>
      <c r="EQ343" s="675">
        <v>0</v>
      </c>
      <c r="ER343" s="549">
        <v>0</v>
      </c>
      <c r="ES343" s="675">
        <v>0</v>
      </c>
      <c r="ET343" s="549">
        <v>0</v>
      </c>
      <c r="EU343" s="675">
        <v>0</v>
      </c>
      <c r="EV343" s="549">
        <v>0</v>
      </c>
      <c r="EW343" s="675">
        <v>0</v>
      </c>
      <c r="EX343" s="549">
        <v>0</v>
      </c>
      <c r="EY343" s="675">
        <v>0</v>
      </c>
      <c r="EZ343" s="549">
        <v>0</v>
      </c>
      <c r="FA343" s="675">
        <v>0</v>
      </c>
      <c r="FB343" s="549">
        <v>0</v>
      </c>
      <c r="FC343" s="675">
        <v>0</v>
      </c>
      <c r="FD343" s="549">
        <v>0</v>
      </c>
      <c r="FE343" s="675">
        <v>0</v>
      </c>
      <c r="FF343" s="549">
        <v>0</v>
      </c>
      <c r="FG343" s="675">
        <v>0</v>
      </c>
      <c r="FH343" s="549">
        <v>0</v>
      </c>
      <c r="FI343" s="675">
        <v>0</v>
      </c>
      <c r="FJ343" s="549">
        <v>0</v>
      </c>
      <c r="FK343" s="675">
        <v>0</v>
      </c>
      <c r="FL343" s="549">
        <v>0</v>
      </c>
      <c r="FM343" s="675">
        <v>0</v>
      </c>
      <c r="FN343" s="549">
        <v>0</v>
      </c>
      <c r="FO343" s="675">
        <v>0</v>
      </c>
      <c r="FP343" s="549">
        <v>0</v>
      </c>
      <c r="FQ343" s="675">
        <v>0</v>
      </c>
      <c r="FR343" s="549">
        <v>0</v>
      </c>
      <c r="FS343" s="675">
        <v>0</v>
      </c>
      <c r="FT343" s="549">
        <v>0</v>
      </c>
      <c r="FU343" s="675">
        <v>0</v>
      </c>
      <c r="FV343" s="549">
        <v>0</v>
      </c>
      <c r="FW343" s="675">
        <v>0</v>
      </c>
      <c r="FX343" s="549">
        <v>0</v>
      </c>
      <c r="FY343" s="675">
        <v>0</v>
      </c>
      <c r="FZ343" s="549">
        <v>0</v>
      </c>
      <c r="GA343" s="675">
        <v>0</v>
      </c>
      <c r="GB343" s="549">
        <v>0</v>
      </c>
      <c r="GC343" s="675">
        <v>0</v>
      </c>
      <c r="GD343" s="549">
        <v>0</v>
      </c>
      <c r="GE343" s="675">
        <v>0</v>
      </c>
      <c r="GF343" s="549">
        <v>0</v>
      </c>
      <c r="GG343" s="675">
        <v>0</v>
      </c>
      <c r="GH343" s="549">
        <v>0</v>
      </c>
      <c r="GI343" s="675">
        <v>0</v>
      </c>
      <c r="GJ343" s="549">
        <v>0</v>
      </c>
      <c r="GK343" s="675">
        <v>0</v>
      </c>
      <c r="GL343" s="549">
        <v>0</v>
      </c>
      <c r="GM343" s="675">
        <v>0</v>
      </c>
      <c r="GN343" s="549">
        <v>0</v>
      </c>
      <c r="GO343" s="675">
        <v>0</v>
      </c>
      <c r="GP343" s="549">
        <f>+D343+F343+H343+J343+L343+N343+P343+R343+T343+V343+X343+Z343+AB343+AD343+AH343+AJ343+AL343+AN343+AP343+AR343+AT343+AV343+AX343+AZ343+BB343+BD343+BF343+BH343+BJ343+BL343+BN343+BP343+BR343+BT343+BV343+BX343+BZ343+CB343+CD343+CF343+CH343+CJ343+CL343+CN343+CP343+CR343+CT343+CV343+CX343+CZ343+DB343+DD343+DF343+DH343+DT343+EX343+DJ343+DL343+DN343+DP343+DR343+EJ343+EB343+DZ343+DX343+DV343+ED343+EF343+EH343+EL343+EN343+EP343+EV343+ET343+ER343+EZ343+FB343+FD343+GL343</f>
        <v>0</v>
      </c>
      <c r="GQ343" s="675">
        <f>+E343+G343+I343+K343+M343+O343+Q343+S343+U343+W343+Y343+AA343+AC343+AE343+AI343+AK343+AM343+AO343+AQ343+AS343+AU343+AW343+AY343+BA343+BC343+BE343+BG343+BI343+BK343+BM343+BO343+BQ343+BS343+BU343+BW343+BY343+CA343+CC343+CE343+CG343+CI343+CK343+CM343+CO343+CQ343+CS343+CU343+CW343+CY343+DA343+DC343+DE343+DG343+DI343+DU343+EY343+DK343+DM343+DO343+DQ343+DS343+EK343+EC343+EA343+DY343+DW343+EI343+EG343+EE343+EM343+EO343+EQ343+EW343+EU343+ES343+FA343+FC343+FE343+GM343</f>
        <v>0</v>
      </c>
      <c r="GR343" s="74">
        <f>C343+GP343+GQ343</f>
        <v>0</v>
      </c>
      <c r="GS343" s="74">
        <f t="shared" ref="GS343" si="9878">GU343</f>
        <v>0</v>
      </c>
      <c r="GT343" s="568">
        <f>SUM(GU343:HF343)+GQ343+GP343</f>
        <v>0</v>
      </c>
      <c r="GU343" s="275">
        <v>0</v>
      </c>
      <c r="GV343" s="275">
        <v>0</v>
      </c>
      <c r="GW343" s="588">
        <v>0</v>
      </c>
      <c r="GX343" s="588">
        <v>0</v>
      </c>
      <c r="GY343" s="275">
        <v>0</v>
      </c>
      <c r="GZ343" s="275">
        <v>0</v>
      </c>
      <c r="HA343" s="275">
        <v>0</v>
      </c>
      <c r="HB343" s="275">
        <v>0</v>
      </c>
      <c r="HC343" s="275">
        <v>0</v>
      </c>
      <c r="HD343" s="275">
        <v>0</v>
      </c>
      <c r="HE343" s="275">
        <v>0</v>
      </c>
      <c r="HF343" s="275">
        <v>0</v>
      </c>
      <c r="HG343" s="74">
        <f>SUM(HH343:IE343)+GP343+GQ343</f>
        <v>0</v>
      </c>
      <c r="HH343" s="89">
        <v>0</v>
      </c>
      <c r="HI343" s="817">
        <v>0</v>
      </c>
      <c r="HJ343" s="89">
        <v>0</v>
      </c>
      <c r="HK343" s="817">
        <v>0</v>
      </c>
      <c r="HL343" s="89">
        <v>0</v>
      </c>
      <c r="HM343" s="817">
        <v>0</v>
      </c>
      <c r="HN343" s="89">
        <v>0</v>
      </c>
      <c r="HO343" s="817">
        <v>0</v>
      </c>
      <c r="HP343" s="89">
        <v>0</v>
      </c>
      <c r="HQ343" s="817">
        <v>0</v>
      </c>
      <c r="HR343" s="89">
        <v>0</v>
      </c>
      <c r="HS343" s="817">
        <v>0</v>
      </c>
      <c r="HT343" s="89">
        <v>0</v>
      </c>
      <c r="HU343" s="817">
        <v>0</v>
      </c>
      <c r="HV343" s="89">
        <v>0</v>
      </c>
      <c r="HW343" s="817">
        <v>0</v>
      </c>
      <c r="HX343" s="89">
        <v>0</v>
      </c>
      <c r="HY343" s="817">
        <v>0</v>
      </c>
      <c r="HZ343" s="89">
        <v>0</v>
      </c>
      <c r="IA343" s="817">
        <v>0</v>
      </c>
      <c r="IB343" s="89">
        <v>0</v>
      </c>
      <c r="IC343" s="817">
        <v>0</v>
      </c>
      <c r="ID343" s="89">
        <v>0</v>
      </c>
      <c r="IE343" s="817">
        <v>0</v>
      </c>
      <c r="IF343" s="841">
        <f t="shared" ref="IF343" si="9879">SUM(II343,IL343,IO343,IR343,IU343,IX343,JA343,JD343,JG343,JJ343,JM343,JP343)</f>
        <v>0</v>
      </c>
      <c r="IG343" s="263">
        <f t="shared" ref="IG343" si="9880">SUM(IJ343,IM343,IP343,IS343,IV343,IY343,JB343,JE343,JH343,JK343,JN343,JQ343)</f>
        <v>0</v>
      </c>
      <c r="IH343" s="842">
        <f t="shared" ref="IH343" si="9881">SUM(IK343,IN343,IQ343,IT343,IW343,IZ343,JC343,JF343,JI343,JL343,JO343,JR343)</f>
        <v>0</v>
      </c>
      <c r="II343" s="89">
        <v>0</v>
      </c>
      <c r="IJ343" s="89">
        <v>0</v>
      </c>
      <c r="IK343" s="89">
        <v>0</v>
      </c>
      <c r="IL343" s="89">
        <v>0</v>
      </c>
      <c r="IM343" s="89">
        <v>0</v>
      </c>
      <c r="IN343" s="89">
        <v>0</v>
      </c>
      <c r="IO343" s="89">
        <v>0</v>
      </c>
      <c r="IP343" s="89">
        <v>0</v>
      </c>
      <c r="IQ343" s="89">
        <v>0</v>
      </c>
      <c r="IR343" s="89">
        <v>0</v>
      </c>
      <c r="IS343" s="89">
        <v>0</v>
      </c>
      <c r="IT343" s="89">
        <v>0</v>
      </c>
      <c r="IU343" s="89">
        <v>0</v>
      </c>
      <c r="IV343" s="89">
        <v>0</v>
      </c>
      <c r="IW343" s="89">
        <v>0</v>
      </c>
      <c r="IX343" s="89">
        <v>0</v>
      </c>
      <c r="IY343" s="89">
        <v>0</v>
      </c>
      <c r="IZ343" s="89">
        <v>0</v>
      </c>
      <c r="JA343" s="89">
        <v>0</v>
      </c>
      <c r="JB343" s="89">
        <v>0</v>
      </c>
      <c r="JC343" s="89">
        <v>0</v>
      </c>
      <c r="JD343" s="89">
        <v>0</v>
      </c>
      <c r="JE343" s="89">
        <v>0</v>
      </c>
      <c r="JF343" s="89">
        <v>0</v>
      </c>
      <c r="JG343" s="89">
        <v>0</v>
      </c>
      <c r="JH343" s="89">
        <v>0</v>
      </c>
      <c r="JI343" s="89">
        <v>0</v>
      </c>
      <c r="JJ343" s="89">
        <v>0</v>
      </c>
      <c r="JK343" s="89">
        <v>0</v>
      </c>
      <c r="JL343" s="89">
        <v>0</v>
      </c>
      <c r="JM343" s="89">
        <v>0</v>
      </c>
      <c r="JN343" s="89">
        <v>0</v>
      </c>
      <c r="JO343" s="89">
        <v>0</v>
      </c>
      <c r="JP343" s="89">
        <v>0</v>
      </c>
      <c r="JQ343" s="89">
        <v>0</v>
      </c>
      <c r="JR343" s="89">
        <v>0</v>
      </c>
      <c r="JS343" s="74">
        <f>HG343-IF343</f>
        <v>0</v>
      </c>
      <c r="JT343" s="382">
        <f>GS343-IF343</f>
        <v>0</v>
      </c>
      <c r="JU343" s="665"/>
      <c r="JV343" s="524"/>
      <c r="JW343" s="525"/>
      <c r="JX343" s="548">
        <f>SUM(HH343,HJ343,HL343,HN343,HP343,HR343,HT343,HV343,HX343,HZ343,IB343,ID343)</f>
        <v>0</v>
      </c>
      <c r="JY343" s="548">
        <f>SUM(HI343,HK343,HM343,HO343,HQ343,HS343,HU343,HW343,HY343,IA343,IC343,IE343)</f>
        <v>0</v>
      </c>
      <c r="JZ343" s="581">
        <f t="shared" si="9103"/>
        <v>0</v>
      </c>
      <c r="KA343" s="581">
        <f t="shared" si="9104"/>
        <v>0</v>
      </c>
      <c r="KB343" s="548">
        <f t="shared" si="8622"/>
        <v>0</v>
      </c>
      <c r="KC343" s="709">
        <f t="shared" si="9101"/>
        <v>0</v>
      </c>
      <c r="KD343" s="36"/>
      <c r="KE343" s="36"/>
      <c r="KF343" s="36"/>
      <c r="KG343" s="36"/>
      <c r="KH343" s="36"/>
      <c r="KI343" s="36"/>
      <c r="KJ343" s="36"/>
      <c r="KK343" s="36"/>
    </row>
    <row r="344" spans="1:297" s="10" customFormat="1" ht="12.75" hidden="1" customHeight="1">
      <c r="A344" s="80"/>
      <c r="B344" s="77"/>
      <c r="C344" s="74"/>
      <c r="D344" s="549"/>
      <c r="E344" s="675"/>
      <c r="F344" s="549"/>
      <c r="G344" s="675"/>
      <c r="H344" s="549"/>
      <c r="I344" s="675"/>
      <c r="J344" s="549"/>
      <c r="K344" s="675"/>
      <c r="L344" s="549"/>
      <c r="M344" s="675"/>
      <c r="N344" s="549"/>
      <c r="O344" s="675"/>
      <c r="P344" s="549"/>
      <c r="Q344" s="675"/>
      <c r="R344" s="549"/>
      <c r="S344" s="675"/>
      <c r="T344" s="549"/>
      <c r="U344" s="675"/>
      <c r="V344" s="549"/>
      <c r="W344" s="675"/>
      <c r="X344" s="549"/>
      <c r="Y344" s="675"/>
      <c r="Z344" s="549"/>
      <c r="AA344" s="675"/>
      <c r="AB344" s="549"/>
      <c r="AC344" s="675"/>
      <c r="AD344" s="549"/>
      <c r="AE344" s="675"/>
      <c r="AF344" s="549"/>
      <c r="AG344" s="675"/>
      <c r="AH344" s="549"/>
      <c r="AI344" s="675"/>
      <c r="AJ344" s="549"/>
      <c r="AK344" s="675"/>
      <c r="AL344" s="549"/>
      <c r="AM344" s="675"/>
      <c r="AN344" s="549"/>
      <c r="AO344" s="675"/>
      <c r="AP344" s="549"/>
      <c r="AQ344" s="675"/>
      <c r="AR344" s="549"/>
      <c r="AS344" s="675"/>
      <c r="AT344" s="549"/>
      <c r="AU344" s="675"/>
      <c r="AV344" s="549"/>
      <c r="AW344" s="675"/>
      <c r="AX344" s="549"/>
      <c r="AY344" s="675"/>
      <c r="AZ344" s="549"/>
      <c r="BA344" s="675"/>
      <c r="BB344" s="549"/>
      <c r="BC344" s="675"/>
      <c r="BD344" s="549"/>
      <c r="BE344" s="675"/>
      <c r="BF344" s="549"/>
      <c r="BG344" s="675"/>
      <c r="BH344" s="549"/>
      <c r="BI344" s="675"/>
      <c r="BJ344" s="549"/>
      <c r="BK344" s="675"/>
      <c r="BL344" s="549"/>
      <c r="BM344" s="675"/>
      <c r="BN344" s="549"/>
      <c r="BO344" s="675"/>
      <c r="BP344" s="549"/>
      <c r="BQ344" s="675"/>
      <c r="BR344" s="549"/>
      <c r="BS344" s="675"/>
      <c r="BT344" s="549"/>
      <c r="BU344" s="675"/>
      <c r="BV344" s="549"/>
      <c r="BW344" s="675"/>
      <c r="BX344" s="549"/>
      <c r="BY344" s="675"/>
      <c r="BZ344" s="549"/>
      <c r="CA344" s="675"/>
      <c r="CB344" s="549"/>
      <c r="CC344" s="675"/>
      <c r="CD344" s="549"/>
      <c r="CE344" s="675"/>
      <c r="CF344" s="549"/>
      <c r="CG344" s="675"/>
      <c r="CH344" s="549"/>
      <c r="CI344" s="675"/>
      <c r="CJ344" s="549"/>
      <c r="CK344" s="675"/>
      <c r="CL344" s="549"/>
      <c r="CM344" s="675"/>
      <c r="CN344" s="549"/>
      <c r="CO344" s="675"/>
      <c r="CP344" s="549"/>
      <c r="CQ344" s="675"/>
      <c r="CR344" s="549"/>
      <c r="CS344" s="675"/>
      <c r="CT344" s="549"/>
      <c r="CU344" s="675"/>
      <c r="CV344" s="549"/>
      <c r="CW344" s="675"/>
      <c r="CX344" s="549"/>
      <c r="CY344" s="675"/>
      <c r="CZ344" s="549"/>
      <c r="DA344" s="675"/>
      <c r="DB344" s="549"/>
      <c r="DC344" s="675"/>
      <c r="DD344" s="549"/>
      <c r="DE344" s="675"/>
      <c r="DF344" s="549"/>
      <c r="DG344" s="675"/>
      <c r="DH344" s="549"/>
      <c r="DI344" s="675"/>
      <c r="DJ344" s="549"/>
      <c r="DK344" s="675"/>
      <c r="DL344" s="549"/>
      <c r="DM344" s="675"/>
      <c r="DN344" s="549"/>
      <c r="DO344" s="675"/>
      <c r="DP344" s="549"/>
      <c r="DQ344" s="675"/>
      <c r="DR344" s="549"/>
      <c r="DS344" s="675"/>
      <c r="DT344" s="549"/>
      <c r="DU344" s="675"/>
      <c r="DV344" s="549"/>
      <c r="DW344" s="675"/>
      <c r="DX344" s="549"/>
      <c r="DY344" s="675"/>
      <c r="DZ344" s="549"/>
      <c r="EA344" s="675"/>
      <c r="EB344" s="549"/>
      <c r="EC344" s="675"/>
      <c r="ED344" s="549"/>
      <c r="EE344" s="675"/>
      <c r="EF344" s="549"/>
      <c r="EG344" s="675"/>
      <c r="EH344" s="549"/>
      <c r="EI344" s="675"/>
      <c r="EJ344" s="549"/>
      <c r="EK344" s="675"/>
      <c r="EL344" s="549"/>
      <c r="EM344" s="675"/>
      <c r="EN344" s="549"/>
      <c r="EO344" s="675"/>
      <c r="EP344" s="549"/>
      <c r="EQ344" s="675"/>
      <c r="ER344" s="549"/>
      <c r="ES344" s="675"/>
      <c r="ET344" s="549"/>
      <c r="EU344" s="675"/>
      <c r="EV344" s="549"/>
      <c r="EW344" s="675"/>
      <c r="EX344" s="549"/>
      <c r="EY344" s="675"/>
      <c r="EZ344" s="549"/>
      <c r="FA344" s="675"/>
      <c r="FB344" s="549"/>
      <c r="FC344" s="675"/>
      <c r="FD344" s="549"/>
      <c r="FE344" s="675"/>
      <c r="FF344" s="549"/>
      <c r="FG344" s="675"/>
      <c r="FH344" s="549"/>
      <c r="FI344" s="675"/>
      <c r="FJ344" s="549"/>
      <c r="FK344" s="675"/>
      <c r="FL344" s="549"/>
      <c r="FM344" s="675"/>
      <c r="FN344" s="549"/>
      <c r="FO344" s="675"/>
      <c r="FP344" s="549"/>
      <c r="FQ344" s="675"/>
      <c r="FR344" s="549"/>
      <c r="FS344" s="675"/>
      <c r="FT344" s="549"/>
      <c r="FU344" s="675"/>
      <c r="FV344" s="549"/>
      <c r="FW344" s="675"/>
      <c r="FX344" s="549"/>
      <c r="FY344" s="675"/>
      <c r="FZ344" s="549"/>
      <c r="GA344" s="675"/>
      <c r="GB344" s="549"/>
      <c r="GC344" s="675"/>
      <c r="GD344" s="549"/>
      <c r="GE344" s="675"/>
      <c r="GF344" s="549"/>
      <c r="GG344" s="675"/>
      <c r="GH344" s="549"/>
      <c r="GI344" s="675"/>
      <c r="GJ344" s="549"/>
      <c r="GK344" s="675"/>
      <c r="GL344" s="549"/>
      <c r="GM344" s="675"/>
      <c r="GN344" s="549"/>
      <c r="GO344" s="675"/>
      <c r="GP344" s="549"/>
      <c r="GQ344" s="675"/>
      <c r="GR344" s="74"/>
      <c r="GS344" s="74"/>
      <c r="GT344" s="549"/>
      <c r="GU344" s="275"/>
      <c r="GV344" s="275"/>
      <c r="GW344" s="588"/>
      <c r="GX344" s="588"/>
      <c r="GY344" s="275"/>
      <c r="GZ344" s="275"/>
      <c r="HA344" s="275"/>
      <c r="HB344" s="275"/>
      <c r="HC344" s="275"/>
      <c r="HD344" s="275"/>
      <c r="HE344" s="275"/>
      <c r="HF344" s="275"/>
      <c r="HG344" s="74"/>
      <c r="HH344" s="74"/>
      <c r="HI344" s="792"/>
      <c r="HJ344" s="74"/>
      <c r="HK344" s="792"/>
      <c r="HL344" s="74"/>
      <c r="HM344" s="792"/>
      <c r="HN344" s="74"/>
      <c r="HO344" s="792"/>
      <c r="HP344" s="74"/>
      <c r="HQ344" s="792"/>
      <c r="HR344" s="74"/>
      <c r="HS344" s="792"/>
      <c r="HT344" s="74"/>
      <c r="HU344" s="792"/>
      <c r="HV344" s="74"/>
      <c r="HW344" s="792"/>
      <c r="HX344" s="74"/>
      <c r="HY344" s="792"/>
      <c r="HZ344" s="74"/>
      <c r="IA344" s="792"/>
      <c r="IB344" s="74"/>
      <c r="IC344" s="792"/>
      <c r="ID344" s="74"/>
      <c r="IE344" s="792"/>
      <c r="IF344" s="841"/>
      <c r="IG344" s="263"/>
      <c r="IH344" s="842"/>
      <c r="II344" s="74"/>
      <c r="IJ344" s="74"/>
      <c r="IK344" s="74"/>
      <c r="IL344" s="74"/>
      <c r="IM344" s="74"/>
      <c r="IN344" s="74"/>
      <c r="IO344" s="74"/>
      <c r="IP344" s="74"/>
      <c r="IQ344" s="74"/>
      <c r="IR344" s="74"/>
      <c r="IS344" s="74"/>
      <c r="IT344" s="74"/>
      <c r="IU344" s="74"/>
      <c r="IV344" s="74"/>
      <c r="IW344" s="74"/>
      <c r="IX344" s="74"/>
      <c r="IY344" s="74"/>
      <c r="IZ344" s="74"/>
      <c r="JA344" s="74"/>
      <c r="JB344" s="74"/>
      <c r="JC344" s="74"/>
      <c r="JD344" s="74"/>
      <c r="JE344" s="74"/>
      <c r="JF344" s="74"/>
      <c r="JG344" s="74"/>
      <c r="JH344" s="74"/>
      <c r="JI344" s="74"/>
      <c r="JJ344" s="74"/>
      <c r="JK344" s="74"/>
      <c r="JL344" s="74"/>
      <c r="JM344" s="74"/>
      <c r="JN344" s="74"/>
      <c r="JO344" s="74"/>
      <c r="JP344" s="74"/>
      <c r="JQ344" s="74"/>
      <c r="JR344" s="74"/>
      <c r="JS344" s="74"/>
      <c r="JT344" s="382"/>
      <c r="JU344" s="665"/>
      <c r="JV344" s="524"/>
      <c r="JW344" s="525"/>
      <c r="JX344" s="548"/>
      <c r="JY344" s="548"/>
      <c r="JZ344" s="581">
        <f t="shared" si="9103"/>
        <v>0</v>
      </c>
      <c r="KA344" s="581">
        <f t="shared" si="9104"/>
        <v>0</v>
      </c>
      <c r="KB344" s="548">
        <f t="shared" si="8622"/>
        <v>0</v>
      </c>
      <c r="KC344" s="709">
        <f t="shared" si="9101"/>
        <v>0</v>
      </c>
      <c r="KD344" s="36"/>
      <c r="KE344" s="36"/>
      <c r="KF344" s="36"/>
      <c r="KG344" s="36"/>
      <c r="KH344" s="36"/>
      <c r="KI344" s="36"/>
      <c r="KJ344" s="36"/>
      <c r="KK344" s="36"/>
    </row>
    <row r="345" spans="1:297" s="10" customFormat="1" ht="12.75" hidden="1" customHeight="1">
      <c r="A345" s="80" t="s">
        <v>818</v>
      </c>
      <c r="B345" s="77"/>
      <c r="C345" s="74">
        <v>0</v>
      </c>
      <c r="D345" s="549">
        <v>0</v>
      </c>
      <c r="E345" s="675">
        <v>0</v>
      </c>
      <c r="F345" s="549">
        <v>0</v>
      </c>
      <c r="G345" s="675">
        <v>0</v>
      </c>
      <c r="H345" s="549">
        <v>0</v>
      </c>
      <c r="I345" s="675">
        <v>0</v>
      </c>
      <c r="J345" s="549">
        <v>0</v>
      </c>
      <c r="K345" s="675">
        <v>0</v>
      </c>
      <c r="L345" s="549">
        <v>0</v>
      </c>
      <c r="M345" s="675">
        <v>0</v>
      </c>
      <c r="N345" s="549">
        <v>0</v>
      </c>
      <c r="O345" s="675">
        <v>0</v>
      </c>
      <c r="P345" s="549">
        <v>0</v>
      </c>
      <c r="Q345" s="675">
        <v>0</v>
      </c>
      <c r="R345" s="549">
        <v>0</v>
      </c>
      <c r="S345" s="675">
        <v>0</v>
      </c>
      <c r="T345" s="549">
        <v>0</v>
      </c>
      <c r="U345" s="675">
        <v>0</v>
      </c>
      <c r="V345" s="549">
        <v>0</v>
      </c>
      <c r="W345" s="675">
        <v>0</v>
      </c>
      <c r="X345" s="549">
        <v>0</v>
      </c>
      <c r="Y345" s="675">
        <v>0</v>
      </c>
      <c r="Z345" s="549">
        <v>0</v>
      </c>
      <c r="AA345" s="675">
        <v>0</v>
      </c>
      <c r="AB345" s="549">
        <v>0</v>
      </c>
      <c r="AC345" s="675">
        <v>0</v>
      </c>
      <c r="AD345" s="549">
        <v>0</v>
      </c>
      <c r="AE345" s="675">
        <v>0</v>
      </c>
      <c r="AF345" s="549">
        <v>0</v>
      </c>
      <c r="AG345" s="675">
        <v>0</v>
      </c>
      <c r="AH345" s="549">
        <v>0</v>
      </c>
      <c r="AI345" s="675">
        <v>0</v>
      </c>
      <c r="AJ345" s="549">
        <v>0</v>
      </c>
      <c r="AK345" s="675">
        <v>0</v>
      </c>
      <c r="AL345" s="549">
        <v>0</v>
      </c>
      <c r="AM345" s="675">
        <v>0</v>
      </c>
      <c r="AN345" s="549">
        <v>0</v>
      </c>
      <c r="AO345" s="675">
        <v>0</v>
      </c>
      <c r="AP345" s="549">
        <v>0</v>
      </c>
      <c r="AQ345" s="675">
        <v>0</v>
      </c>
      <c r="AR345" s="549">
        <v>0</v>
      </c>
      <c r="AS345" s="675">
        <v>0</v>
      </c>
      <c r="AT345" s="549">
        <v>0</v>
      </c>
      <c r="AU345" s="675">
        <v>0</v>
      </c>
      <c r="AV345" s="549">
        <v>0</v>
      </c>
      <c r="AW345" s="675">
        <v>0</v>
      </c>
      <c r="AX345" s="549">
        <v>0</v>
      </c>
      <c r="AY345" s="675">
        <v>0</v>
      </c>
      <c r="AZ345" s="549">
        <v>0</v>
      </c>
      <c r="BA345" s="675">
        <v>0</v>
      </c>
      <c r="BB345" s="549">
        <v>0</v>
      </c>
      <c r="BC345" s="675">
        <v>0</v>
      </c>
      <c r="BD345" s="549">
        <v>0</v>
      </c>
      <c r="BE345" s="675">
        <v>0</v>
      </c>
      <c r="BF345" s="549">
        <v>0</v>
      </c>
      <c r="BG345" s="675">
        <v>0</v>
      </c>
      <c r="BH345" s="549">
        <v>0</v>
      </c>
      <c r="BI345" s="675">
        <v>0</v>
      </c>
      <c r="BJ345" s="549">
        <v>0</v>
      </c>
      <c r="BK345" s="675">
        <v>0</v>
      </c>
      <c r="BL345" s="549">
        <v>0</v>
      </c>
      <c r="BM345" s="675">
        <v>0</v>
      </c>
      <c r="BN345" s="549">
        <v>0</v>
      </c>
      <c r="BO345" s="675">
        <v>0</v>
      </c>
      <c r="BP345" s="549">
        <v>0</v>
      </c>
      <c r="BQ345" s="675">
        <v>0</v>
      </c>
      <c r="BR345" s="549">
        <v>0</v>
      </c>
      <c r="BS345" s="675">
        <v>0</v>
      </c>
      <c r="BT345" s="549">
        <v>0</v>
      </c>
      <c r="BU345" s="675">
        <v>0</v>
      </c>
      <c r="BV345" s="549">
        <v>0</v>
      </c>
      <c r="BW345" s="675">
        <v>0</v>
      </c>
      <c r="BX345" s="549">
        <v>0</v>
      </c>
      <c r="BY345" s="675">
        <v>0</v>
      </c>
      <c r="BZ345" s="549">
        <v>0</v>
      </c>
      <c r="CA345" s="675">
        <v>0</v>
      </c>
      <c r="CB345" s="549">
        <v>0</v>
      </c>
      <c r="CC345" s="675">
        <v>0</v>
      </c>
      <c r="CD345" s="549">
        <v>0</v>
      </c>
      <c r="CE345" s="675">
        <v>0</v>
      </c>
      <c r="CF345" s="549">
        <v>0</v>
      </c>
      <c r="CG345" s="675">
        <v>0</v>
      </c>
      <c r="CH345" s="549">
        <v>0</v>
      </c>
      <c r="CI345" s="675">
        <v>0</v>
      </c>
      <c r="CJ345" s="549">
        <v>0</v>
      </c>
      <c r="CK345" s="675">
        <v>0</v>
      </c>
      <c r="CL345" s="549">
        <v>0</v>
      </c>
      <c r="CM345" s="675">
        <v>0</v>
      </c>
      <c r="CN345" s="549">
        <v>0</v>
      </c>
      <c r="CO345" s="675">
        <v>0</v>
      </c>
      <c r="CP345" s="549">
        <v>0</v>
      </c>
      <c r="CQ345" s="675">
        <v>0</v>
      </c>
      <c r="CR345" s="549">
        <v>0</v>
      </c>
      <c r="CS345" s="675">
        <v>0</v>
      </c>
      <c r="CT345" s="549">
        <v>0</v>
      </c>
      <c r="CU345" s="675">
        <v>0</v>
      </c>
      <c r="CV345" s="549">
        <v>0</v>
      </c>
      <c r="CW345" s="675">
        <v>0</v>
      </c>
      <c r="CX345" s="549">
        <v>0</v>
      </c>
      <c r="CY345" s="675">
        <v>0</v>
      </c>
      <c r="CZ345" s="549">
        <v>0</v>
      </c>
      <c r="DA345" s="675">
        <v>0</v>
      </c>
      <c r="DB345" s="549">
        <v>0</v>
      </c>
      <c r="DC345" s="675">
        <v>0</v>
      </c>
      <c r="DD345" s="549">
        <v>0</v>
      </c>
      <c r="DE345" s="675">
        <v>0</v>
      </c>
      <c r="DF345" s="549">
        <v>0</v>
      </c>
      <c r="DG345" s="675">
        <v>0</v>
      </c>
      <c r="DH345" s="549">
        <v>0</v>
      </c>
      <c r="DI345" s="675">
        <v>0</v>
      </c>
      <c r="DJ345" s="549">
        <v>0</v>
      </c>
      <c r="DK345" s="675">
        <v>0</v>
      </c>
      <c r="DL345" s="549">
        <v>0</v>
      </c>
      <c r="DM345" s="675">
        <v>0</v>
      </c>
      <c r="DN345" s="549">
        <v>0</v>
      </c>
      <c r="DO345" s="675">
        <v>0</v>
      </c>
      <c r="DP345" s="549">
        <v>0</v>
      </c>
      <c r="DQ345" s="675">
        <v>0</v>
      </c>
      <c r="DR345" s="549">
        <v>0</v>
      </c>
      <c r="DS345" s="675">
        <v>0</v>
      </c>
      <c r="DT345" s="549">
        <v>0</v>
      </c>
      <c r="DU345" s="675">
        <v>0</v>
      </c>
      <c r="DV345" s="549">
        <v>0</v>
      </c>
      <c r="DW345" s="675">
        <v>0</v>
      </c>
      <c r="DX345" s="549">
        <v>0</v>
      </c>
      <c r="DY345" s="675">
        <v>0</v>
      </c>
      <c r="DZ345" s="549">
        <v>0</v>
      </c>
      <c r="EA345" s="675">
        <v>0</v>
      </c>
      <c r="EB345" s="549">
        <v>0</v>
      </c>
      <c r="EC345" s="675">
        <v>0</v>
      </c>
      <c r="ED345" s="549">
        <v>0</v>
      </c>
      <c r="EE345" s="675">
        <v>0</v>
      </c>
      <c r="EF345" s="549">
        <v>0</v>
      </c>
      <c r="EG345" s="675">
        <v>0</v>
      </c>
      <c r="EH345" s="549">
        <v>0</v>
      </c>
      <c r="EI345" s="675">
        <v>0</v>
      </c>
      <c r="EJ345" s="549">
        <v>0</v>
      </c>
      <c r="EK345" s="675">
        <v>0</v>
      </c>
      <c r="EL345" s="549">
        <v>0</v>
      </c>
      <c r="EM345" s="675">
        <v>0</v>
      </c>
      <c r="EN345" s="549">
        <v>0</v>
      </c>
      <c r="EO345" s="675">
        <v>0</v>
      </c>
      <c r="EP345" s="549">
        <v>0</v>
      </c>
      <c r="EQ345" s="675">
        <v>0</v>
      </c>
      <c r="ER345" s="549">
        <v>0</v>
      </c>
      <c r="ES345" s="675">
        <v>0</v>
      </c>
      <c r="ET345" s="549">
        <v>0</v>
      </c>
      <c r="EU345" s="675">
        <v>0</v>
      </c>
      <c r="EV345" s="549">
        <v>0</v>
      </c>
      <c r="EW345" s="675">
        <v>0</v>
      </c>
      <c r="EX345" s="549">
        <v>0</v>
      </c>
      <c r="EY345" s="675">
        <v>0</v>
      </c>
      <c r="EZ345" s="549">
        <v>0</v>
      </c>
      <c r="FA345" s="675">
        <v>0</v>
      </c>
      <c r="FB345" s="549">
        <v>0</v>
      </c>
      <c r="FC345" s="675">
        <v>0</v>
      </c>
      <c r="FD345" s="549">
        <v>0</v>
      </c>
      <c r="FE345" s="675">
        <v>0</v>
      </c>
      <c r="FF345" s="549">
        <v>0</v>
      </c>
      <c r="FG345" s="675">
        <v>0</v>
      </c>
      <c r="FH345" s="549">
        <v>0</v>
      </c>
      <c r="FI345" s="675">
        <v>0</v>
      </c>
      <c r="FJ345" s="549">
        <v>0</v>
      </c>
      <c r="FK345" s="675">
        <v>0</v>
      </c>
      <c r="FL345" s="549">
        <v>0</v>
      </c>
      <c r="FM345" s="675">
        <v>0</v>
      </c>
      <c r="FN345" s="549">
        <v>0</v>
      </c>
      <c r="FO345" s="675">
        <v>0</v>
      </c>
      <c r="FP345" s="549">
        <v>0</v>
      </c>
      <c r="FQ345" s="675">
        <v>0</v>
      </c>
      <c r="FR345" s="549">
        <v>0</v>
      </c>
      <c r="FS345" s="675">
        <v>0</v>
      </c>
      <c r="FT345" s="549">
        <v>0</v>
      </c>
      <c r="FU345" s="675">
        <v>0</v>
      </c>
      <c r="FV345" s="549">
        <v>0</v>
      </c>
      <c r="FW345" s="675">
        <v>0</v>
      </c>
      <c r="FX345" s="549">
        <v>0</v>
      </c>
      <c r="FY345" s="675">
        <v>0</v>
      </c>
      <c r="FZ345" s="549">
        <v>0</v>
      </c>
      <c r="GA345" s="675">
        <v>0</v>
      </c>
      <c r="GB345" s="549">
        <v>0</v>
      </c>
      <c r="GC345" s="675">
        <v>0</v>
      </c>
      <c r="GD345" s="549">
        <v>0</v>
      </c>
      <c r="GE345" s="675">
        <v>0</v>
      </c>
      <c r="GF345" s="549">
        <v>0</v>
      </c>
      <c r="GG345" s="675">
        <v>0</v>
      </c>
      <c r="GH345" s="549">
        <v>0</v>
      </c>
      <c r="GI345" s="675">
        <v>0</v>
      </c>
      <c r="GJ345" s="549">
        <v>0</v>
      </c>
      <c r="GK345" s="675">
        <v>0</v>
      </c>
      <c r="GL345" s="549">
        <v>0</v>
      </c>
      <c r="GM345" s="675">
        <v>0</v>
      </c>
      <c r="GN345" s="549">
        <v>0</v>
      </c>
      <c r="GO345" s="675">
        <v>0</v>
      </c>
      <c r="GP345" s="549">
        <f>+D345+F345+H345+J345+L345+N345+P345+R345+T345+V345+X345+Z345+AB345+AD345+AH345+AJ345+AL345+AN345+AP345+AR345+AT345+AV345+AX345+AZ345+BB345+BD345+BF345+BH345+BJ345+BL345+BN345+BP345+BR345+BT345+BV345+BX345+BZ345+CB345+CD345+CF345+CH345+CJ345+CL345+CN345+CP345+CR345+CT345+CV345+CX345+CZ345+DB345+DD345+DF345+DH345+DT345+EX345+DJ345+DL345+DN345+DP345+DR345+EJ345+EB345+DZ345+DX345+DV345+ED345+EF345+EH345+EL345+EN345+EP345+EV345+ET345+ER345+EZ345+FB345+FD345+GL345+FF345+FJ345+FL345+GJ345+FT345+FR345+FP345+FN345+FH345</f>
        <v>0</v>
      </c>
      <c r="GQ345" s="675">
        <f>+E345+G345+I345+K345+M345+O345+Q345+S345+U345+W345+Y345+AA345+AC345+AE345+AI345+AK345+AM345+AO345+AQ345+AS345+AU345+AW345+AY345+BA345+BC345+BE345+BG345+BI345+BK345+BM345+BO345+BQ345+BS345+BU345+BW345+BY345+CA345+CC345+CE345+CG345+CI345+CK345+CM345+CO345+CQ345+CS345+CU345+CW345+CY345+DA345+DC345+DE345+DG345+DI345+DU345+EY345+DK345+DM345+DO345+DQ345+DS345+EK345+EC345+EA345+DY345+DW345+EI345+EG345+EE345+EM345+EO345+EQ345+EW345+EU345+ES345+FA345+FC345+FE345+GM345+FG345+FK345+FM345+FO345+FQ345+FS345+FU345+GK345+FI345</f>
        <v>0</v>
      </c>
      <c r="GR345" s="74">
        <f>C345+GP345+GQ345</f>
        <v>0</v>
      </c>
      <c r="GS345" s="74">
        <f>SUM(GU345:HE345)+GP345+GQ345</f>
        <v>0</v>
      </c>
      <c r="GT345" s="568">
        <f>SUM(GU345:HF345)+GQ345+GP345</f>
        <v>0</v>
      </c>
      <c r="GU345" s="275">
        <v>0</v>
      </c>
      <c r="GV345" s="275">
        <v>0</v>
      </c>
      <c r="GW345" s="588">
        <v>0</v>
      </c>
      <c r="GX345" s="588">
        <v>0</v>
      </c>
      <c r="GY345" s="275">
        <v>0</v>
      </c>
      <c r="GZ345" s="275">
        <v>0</v>
      </c>
      <c r="HA345" s="275">
        <v>0</v>
      </c>
      <c r="HB345" s="275">
        <v>0</v>
      </c>
      <c r="HC345" s="275">
        <v>0</v>
      </c>
      <c r="HD345" s="275">
        <v>0</v>
      </c>
      <c r="HE345" s="275">
        <v>0</v>
      </c>
      <c r="HF345" s="275">
        <v>0</v>
      </c>
      <c r="HG345" s="74">
        <f>SUM(HH345:IE345)+GP345+GQ345</f>
        <v>0</v>
      </c>
      <c r="HH345" s="89">
        <v>0</v>
      </c>
      <c r="HI345" s="817">
        <v>0</v>
      </c>
      <c r="HJ345" s="89">
        <v>0</v>
      </c>
      <c r="HK345" s="817">
        <v>0</v>
      </c>
      <c r="HL345" s="89">
        <v>0</v>
      </c>
      <c r="HM345" s="817">
        <v>0</v>
      </c>
      <c r="HN345" s="89">
        <v>0</v>
      </c>
      <c r="HO345" s="817">
        <v>0</v>
      </c>
      <c r="HP345" s="89">
        <v>0</v>
      </c>
      <c r="HQ345" s="817">
        <v>0</v>
      </c>
      <c r="HR345" s="89">
        <v>0</v>
      </c>
      <c r="HS345" s="817">
        <v>0</v>
      </c>
      <c r="HT345" s="89">
        <v>0</v>
      </c>
      <c r="HU345" s="817">
        <v>0</v>
      </c>
      <c r="HV345" s="89">
        <v>0</v>
      </c>
      <c r="HW345" s="817">
        <v>0</v>
      </c>
      <c r="HX345" s="89">
        <v>0</v>
      </c>
      <c r="HY345" s="817">
        <v>0</v>
      </c>
      <c r="HZ345" s="89">
        <v>0</v>
      </c>
      <c r="IA345" s="817">
        <v>0</v>
      </c>
      <c r="IB345" s="89">
        <v>0</v>
      </c>
      <c r="IC345" s="817">
        <v>0</v>
      </c>
      <c r="ID345" s="89">
        <v>0</v>
      </c>
      <c r="IE345" s="817">
        <v>0</v>
      </c>
      <c r="IF345" s="841">
        <f t="shared" ref="IF345" si="9882">SUM(II345,IL345,IO345,IR345,IU345,IX345,JA345,JD345,JG345,JJ345,JM345,JP345)</f>
        <v>0</v>
      </c>
      <c r="IG345" s="263">
        <f t="shared" ref="IG345" si="9883">SUM(IJ345,IM345,IP345,IS345,IV345,IY345,JB345,JE345,JH345,JK345,JN345,JQ345)</f>
        <v>0</v>
      </c>
      <c r="IH345" s="842">
        <f t="shared" ref="IH345" si="9884">SUM(IK345,IN345,IQ345,IT345,IW345,IZ345,JC345,JF345,JI345,JL345,JO345,JR345)</f>
        <v>0</v>
      </c>
      <c r="II345" s="89">
        <v>0</v>
      </c>
      <c r="IJ345" s="89">
        <f t="shared" ref="IJ345" si="9885">II345</f>
        <v>0</v>
      </c>
      <c r="IK345" s="89">
        <f t="shared" ref="IK345" si="9886">IJ345</f>
        <v>0</v>
      </c>
      <c r="IL345" s="89">
        <v>0</v>
      </c>
      <c r="IM345" s="89">
        <f t="shared" ref="IM345" si="9887">IL345</f>
        <v>0</v>
      </c>
      <c r="IN345" s="89">
        <f t="shared" ref="IN345" si="9888">IM345</f>
        <v>0</v>
      </c>
      <c r="IO345" s="89">
        <v>0</v>
      </c>
      <c r="IP345" s="89">
        <f t="shared" ref="IP345" si="9889">IO345</f>
        <v>0</v>
      </c>
      <c r="IQ345" s="89">
        <f t="shared" ref="IQ345" si="9890">IP345</f>
        <v>0</v>
      </c>
      <c r="IR345" s="89">
        <v>0</v>
      </c>
      <c r="IS345" s="89">
        <f t="shared" ref="IS345" si="9891">IR345</f>
        <v>0</v>
      </c>
      <c r="IT345" s="89">
        <f t="shared" ref="IT345" si="9892">IS345</f>
        <v>0</v>
      </c>
      <c r="IU345" s="89">
        <v>0</v>
      </c>
      <c r="IV345" s="89">
        <f t="shared" ref="IV345" si="9893">IU345</f>
        <v>0</v>
      </c>
      <c r="IW345" s="89">
        <f t="shared" ref="IW345" si="9894">IV345</f>
        <v>0</v>
      </c>
      <c r="IX345" s="89">
        <v>0</v>
      </c>
      <c r="IY345" s="89">
        <f t="shared" ref="IY345" si="9895">IX345</f>
        <v>0</v>
      </c>
      <c r="IZ345" s="89">
        <f t="shared" ref="IZ345" si="9896">IY345</f>
        <v>0</v>
      </c>
      <c r="JA345" s="89">
        <v>0</v>
      </c>
      <c r="JB345" s="89">
        <f t="shared" ref="JB345" si="9897">JA345</f>
        <v>0</v>
      </c>
      <c r="JC345" s="89">
        <f t="shared" ref="JC345" si="9898">JB345</f>
        <v>0</v>
      </c>
      <c r="JD345" s="89">
        <v>0</v>
      </c>
      <c r="JE345" s="89">
        <f t="shared" ref="JE345" si="9899">JD345</f>
        <v>0</v>
      </c>
      <c r="JF345" s="89">
        <f t="shared" ref="JF345" si="9900">JE345</f>
        <v>0</v>
      </c>
      <c r="JG345" s="89">
        <v>0</v>
      </c>
      <c r="JH345" s="89">
        <f t="shared" ref="JH345" si="9901">JG345</f>
        <v>0</v>
      </c>
      <c r="JI345" s="89">
        <f t="shared" ref="JI345" si="9902">JH345</f>
        <v>0</v>
      </c>
      <c r="JJ345" s="89">
        <v>0</v>
      </c>
      <c r="JK345" s="89">
        <f t="shared" ref="JK345" si="9903">JJ345</f>
        <v>0</v>
      </c>
      <c r="JL345" s="89">
        <f t="shared" ref="JL345" si="9904">JK345</f>
        <v>0</v>
      </c>
      <c r="JM345" s="89">
        <v>0</v>
      </c>
      <c r="JN345" s="89">
        <f t="shared" ref="JN345" si="9905">JM345</f>
        <v>0</v>
      </c>
      <c r="JO345" s="89">
        <f t="shared" ref="JO345" si="9906">JN345</f>
        <v>0</v>
      </c>
      <c r="JP345" s="89">
        <v>0</v>
      </c>
      <c r="JQ345" s="89">
        <f t="shared" ref="JQ345:JR345" si="9907">JP345</f>
        <v>0</v>
      </c>
      <c r="JR345" s="89">
        <f t="shared" si="9907"/>
        <v>0</v>
      </c>
      <c r="JS345" s="74">
        <f>HG345-IF345</f>
        <v>0</v>
      </c>
      <c r="JT345" s="382">
        <f>GS345-IF345</f>
        <v>0</v>
      </c>
      <c r="JU345" s="665"/>
      <c r="JV345" s="524"/>
      <c r="JW345" s="525"/>
      <c r="JX345" s="548">
        <f>SUM(HH345,HJ345,HL345,HN345,HP345,HR345,HT345,HV345,HX345,HZ345,IB345,ID345)</f>
        <v>0</v>
      </c>
      <c r="JY345" s="548">
        <f>SUM(HI345,HK345,HM345,HO345,HQ345,HS345,HU345,HW345,HY345,IA345,IC345,IE345)</f>
        <v>0</v>
      </c>
      <c r="JZ345" s="581">
        <f t="shared" si="9103"/>
        <v>0</v>
      </c>
      <c r="KA345" s="581">
        <f t="shared" si="9104"/>
        <v>0</v>
      </c>
      <c r="KB345" s="548">
        <f t="shared" si="8622"/>
        <v>0</v>
      </c>
      <c r="KC345" s="709">
        <f t="shared" si="9101"/>
        <v>0</v>
      </c>
      <c r="KD345" s="36"/>
      <c r="KE345" s="36"/>
      <c r="KF345" s="36"/>
      <c r="KG345" s="36"/>
      <c r="KH345" s="36"/>
      <c r="KI345" s="36"/>
      <c r="KJ345" s="36"/>
      <c r="KK345" s="36"/>
    </row>
    <row r="346" spans="1:297" s="10" customFormat="1" hidden="1">
      <c r="A346" s="80"/>
      <c r="B346" s="77"/>
      <c r="C346" s="74"/>
      <c r="D346" s="549"/>
      <c r="E346" s="675"/>
      <c r="F346" s="549"/>
      <c r="G346" s="675"/>
      <c r="H346" s="549"/>
      <c r="I346" s="675"/>
      <c r="J346" s="549"/>
      <c r="K346" s="675"/>
      <c r="L346" s="549"/>
      <c r="M346" s="675"/>
      <c r="N346" s="549"/>
      <c r="O346" s="675"/>
      <c r="P346" s="549"/>
      <c r="Q346" s="675"/>
      <c r="R346" s="549"/>
      <c r="S346" s="675"/>
      <c r="T346" s="549"/>
      <c r="U346" s="675"/>
      <c r="V346" s="549"/>
      <c r="W346" s="675"/>
      <c r="X346" s="549"/>
      <c r="Y346" s="675"/>
      <c r="Z346" s="549"/>
      <c r="AA346" s="675"/>
      <c r="AB346" s="549"/>
      <c r="AC346" s="675"/>
      <c r="AD346" s="549"/>
      <c r="AE346" s="675"/>
      <c r="AF346" s="549"/>
      <c r="AG346" s="675"/>
      <c r="AH346" s="549"/>
      <c r="AI346" s="675"/>
      <c r="AJ346" s="549"/>
      <c r="AK346" s="675"/>
      <c r="AL346" s="549"/>
      <c r="AM346" s="675"/>
      <c r="AN346" s="549"/>
      <c r="AO346" s="675"/>
      <c r="AP346" s="549"/>
      <c r="AQ346" s="675"/>
      <c r="AR346" s="549"/>
      <c r="AS346" s="675"/>
      <c r="AT346" s="549"/>
      <c r="AU346" s="675"/>
      <c r="AV346" s="549"/>
      <c r="AW346" s="675"/>
      <c r="AX346" s="549"/>
      <c r="AY346" s="675"/>
      <c r="AZ346" s="549"/>
      <c r="BA346" s="675"/>
      <c r="BB346" s="549"/>
      <c r="BC346" s="675"/>
      <c r="BD346" s="549"/>
      <c r="BE346" s="675"/>
      <c r="BF346" s="549"/>
      <c r="BG346" s="675"/>
      <c r="BH346" s="549"/>
      <c r="BI346" s="675"/>
      <c r="BJ346" s="549"/>
      <c r="BK346" s="675"/>
      <c r="BL346" s="549"/>
      <c r="BM346" s="675"/>
      <c r="BN346" s="549"/>
      <c r="BO346" s="675"/>
      <c r="BP346" s="549"/>
      <c r="BQ346" s="675"/>
      <c r="BR346" s="549"/>
      <c r="BS346" s="675"/>
      <c r="BT346" s="549"/>
      <c r="BU346" s="675"/>
      <c r="BV346" s="549"/>
      <c r="BW346" s="675"/>
      <c r="BX346" s="549"/>
      <c r="BY346" s="675"/>
      <c r="BZ346" s="549"/>
      <c r="CA346" s="675"/>
      <c r="CB346" s="549"/>
      <c r="CC346" s="675"/>
      <c r="CD346" s="549"/>
      <c r="CE346" s="675"/>
      <c r="CF346" s="549"/>
      <c r="CG346" s="675"/>
      <c r="CH346" s="549"/>
      <c r="CI346" s="675"/>
      <c r="CJ346" s="549"/>
      <c r="CK346" s="675"/>
      <c r="CL346" s="549"/>
      <c r="CM346" s="675"/>
      <c r="CN346" s="549"/>
      <c r="CO346" s="675"/>
      <c r="CP346" s="549"/>
      <c r="CQ346" s="675"/>
      <c r="CR346" s="549"/>
      <c r="CS346" s="675"/>
      <c r="CT346" s="549"/>
      <c r="CU346" s="675"/>
      <c r="CV346" s="549"/>
      <c r="CW346" s="675"/>
      <c r="CX346" s="549"/>
      <c r="CY346" s="675"/>
      <c r="CZ346" s="549"/>
      <c r="DA346" s="675"/>
      <c r="DB346" s="549"/>
      <c r="DC346" s="675"/>
      <c r="DD346" s="549"/>
      <c r="DE346" s="675"/>
      <c r="DF346" s="549"/>
      <c r="DG346" s="675"/>
      <c r="DH346" s="549"/>
      <c r="DI346" s="675"/>
      <c r="DJ346" s="549"/>
      <c r="DK346" s="675"/>
      <c r="DL346" s="549"/>
      <c r="DM346" s="675"/>
      <c r="DN346" s="549"/>
      <c r="DO346" s="675"/>
      <c r="DP346" s="549"/>
      <c r="DQ346" s="675"/>
      <c r="DR346" s="549"/>
      <c r="DS346" s="675"/>
      <c r="DT346" s="549"/>
      <c r="DU346" s="675"/>
      <c r="DV346" s="549"/>
      <c r="DW346" s="675"/>
      <c r="DX346" s="549"/>
      <c r="DY346" s="675"/>
      <c r="DZ346" s="549"/>
      <c r="EA346" s="675"/>
      <c r="EB346" s="549"/>
      <c r="EC346" s="675"/>
      <c r="ED346" s="549"/>
      <c r="EE346" s="675"/>
      <c r="EF346" s="549"/>
      <c r="EG346" s="675"/>
      <c r="EH346" s="549"/>
      <c r="EI346" s="675"/>
      <c r="EJ346" s="549"/>
      <c r="EK346" s="675"/>
      <c r="EL346" s="549"/>
      <c r="EM346" s="675"/>
      <c r="EN346" s="549"/>
      <c r="EO346" s="675"/>
      <c r="EP346" s="549"/>
      <c r="EQ346" s="675"/>
      <c r="ER346" s="549"/>
      <c r="ES346" s="675"/>
      <c r="ET346" s="549"/>
      <c r="EU346" s="675"/>
      <c r="EV346" s="549"/>
      <c r="EW346" s="675"/>
      <c r="EX346" s="549"/>
      <c r="EY346" s="675"/>
      <c r="EZ346" s="549"/>
      <c r="FA346" s="675"/>
      <c r="FB346" s="549"/>
      <c r="FC346" s="675"/>
      <c r="FD346" s="549"/>
      <c r="FE346" s="675"/>
      <c r="FF346" s="549"/>
      <c r="FG346" s="675"/>
      <c r="FH346" s="549"/>
      <c r="FI346" s="675"/>
      <c r="FJ346" s="549"/>
      <c r="FK346" s="675"/>
      <c r="FL346" s="549"/>
      <c r="FM346" s="675"/>
      <c r="FN346" s="549"/>
      <c r="FO346" s="675"/>
      <c r="FP346" s="549"/>
      <c r="FQ346" s="675"/>
      <c r="FR346" s="549"/>
      <c r="FS346" s="675"/>
      <c r="FT346" s="549"/>
      <c r="FU346" s="675"/>
      <c r="FV346" s="549"/>
      <c r="FW346" s="675"/>
      <c r="FX346" s="549"/>
      <c r="FY346" s="675"/>
      <c r="FZ346" s="549"/>
      <c r="GA346" s="675"/>
      <c r="GB346" s="549"/>
      <c r="GC346" s="675"/>
      <c r="GD346" s="549"/>
      <c r="GE346" s="675"/>
      <c r="GF346" s="549"/>
      <c r="GG346" s="675"/>
      <c r="GH346" s="549"/>
      <c r="GI346" s="675"/>
      <c r="GJ346" s="549"/>
      <c r="GK346" s="675"/>
      <c r="GL346" s="549"/>
      <c r="GM346" s="675"/>
      <c r="GN346" s="549"/>
      <c r="GO346" s="675"/>
      <c r="GP346" s="549"/>
      <c r="GQ346" s="675"/>
      <c r="GR346" s="74"/>
      <c r="GS346" s="74"/>
      <c r="GT346" s="549"/>
      <c r="GU346" s="74"/>
      <c r="GV346" s="74"/>
      <c r="GW346" s="549"/>
      <c r="GX346" s="549"/>
      <c r="GY346" s="74"/>
      <c r="GZ346" s="74"/>
      <c r="HA346" s="74"/>
      <c r="HB346" s="74"/>
      <c r="HC346" s="74"/>
      <c r="HD346" s="74"/>
      <c r="HE346" s="74"/>
      <c r="HF346" s="74"/>
      <c r="HG346" s="74"/>
      <c r="HH346" s="74"/>
      <c r="HI346" s="792"/>
      <c r="HJ346" s="74"/>
      <c r="HK346" s="792"/>
      <c r="HL346" s="74"/>
      <c r="HM346" s="792"/>
      <c r="HN346" s="74"/>
      <c r="HO346" s="792"/>
      <c r="HP346" s="74"/>
      <c r="HQ346" s="792"/>
      <c r="HR346" s="74"/>
      <c r="HS346" s="792"/>
      <c r="HT346" s="74"/>
      <c r="HU346" s="792"/>
      <c r="HV346" s="74"/>
      <c r="HW346" s="792"/>
      <c r="HX346" s="74"/>
      <c r="HY346" s="792"/>
      <c r="HZ346" s="74"/>
      <c r="IA346" s="792"/>
      <c r="IB346" s="74"/>
      <c r="IC346" s="792"/>
      <c r="ID346" s="74"/>
      <c r="IE346" s="792"/>
      <c r="IF346" s="841"/>
      <c r="IG346" s="263"/>
      <c r="IH346" s="842"/>
      <c r="II346" s="74"/>
      <c r="IJ346" s="74"/>
      <c r="IK346" s="74"/>
      <c r="IL346" s="74"/>
      <c r="IM346" s="74"/>
      <c r="IN346" s="74"/>
      <c r="IO346" s="74"/>
      <c r="IP346" s="74"/>
      <c r="IQ346" s="74"/>
      <c r="IR346" s="74"/>
      <c r="IS346" s="74"/>
      <c r="IT346" s="74"/>
      <c r="IU346" s="74"/>
      <c r="IV346" s="74"/>
      <c r="IW346" s="74"/>
      <c r="IX346" s="74"/>
      <c r="IY346" s="74"/>
      <c r="IZ346" s="74"/>
      <c r="JA346" s="74"/>
      <c r="JB346" s="74"/>
      <c r="JC346" s="74"/>
      <c r="JD346" s="74"/>
      <c r="JE346" s="74"/>
      <c r="JF346" s="74"/>
      <c r="JG346" s="74"/>
      <c r="JH346" s="74"/>
      <c r="JI346" s="74"/>
      <c r="JJ346" s="74"/>
      <c r="JK346" s="74"/>
      <c r="JL346" s="74"/>
      <c r="JM346" s="74"/>
      <c r="JN346" s="74"/>
      <c r="JO346" s="74"/>
      <c r="JP346" s="74"/>
      <c r="JQ346" s="74"/>
      <c r="JR346" s="74"/>
      <c r="JS346" s="74"/>
      <c r="JT346" s="382"/>
      <c r="JU346" s="665"/>
      <c r="JV346" s="524"/>
      <c r="JW346" s="525"/>
      <c r="JX346" s="548"/>
      <c r="JY346" s="548"/>
      <c r="JZ346" s="581">
        <f t="shared" si="9103"/>
        <v>0</v>
      </c>
      <c r="KA346" s="581">
        <f t="shared" si="9104"/>
        <v>0</v>
      </c>
      <c r="KB346" s="548">
        <f t="shared" si="8622"/>
        <v>0</v>
      </c>
      <c r="KC346" s="709">
        <f t="shared" si="9101"/>
        <v>0</v>
      </c>
      <c r="KD346" s="36"/>
      <c r="KE346" s="36"/>
      <c r="KF346" s="36"/>
      <c r="KG346" s="36"/>
      <c r="KH346" s="36"/>
      <c r="KI346" s="36"/>
      <c r="KJ346" s="36"/>
      <c r="KK346" s="36"/>
    </row>
    <row r="347" spans="1:297" s="8" customFormat="1">
      <c r="A347" s="71" t="s">
        <v>236</v>
      </c>
      <c r="B347" s="72" t="s">
        <v>204</v>
      </c>
      <c r="C347" s="74">
        <f t="shared" ref="C347:AS347" si="9908">SUM(C349,C358)+C354+C361</f>
        <v>41000</v>
      </c>
      <c r="D347" s="549">
        <f t="shared" si="9908"/>
        <v>0</v>
      </c>
      <c r="E347" s="675">
        <f t="shared" si="9908"/>
        <v>0</v>
      </c>
      <c r="F347" s="549">
        <f t="shared" si="9908"/>
        <v>0</v>
      </c>
      <c r="G347" s="675">
        <f t="shared" si="9908"/>
        <v>0</v>
      </c>
      <c r="H347" s="549">
        <f t="shared" si="9908"/>
        <v>0</v>
      </c>
      <c r="I347" s="675">
        <f t="shared" si="9908"/>
        <v>0</v>
      </c>
      <c r="J347" s="549">
        <f t="shared" si="9908"/>
        <v>0</v>
      </c>
      <c r="K347" s="675">
        <f t="shared" si="9908"/>
        <v>0</v>
      </c>
      <c r="L347" s="549">
        <f t="shared" si="9908"/>
        <v>0</v>
      </c>
      <c r="M347" s="675">
        <f t="shared" si="9908"/>
        <v>0</v>
      </c>
      <c r="N347" s="549">
        <f t="shared" si="9908"/>
        <v>0</v>
      </c>
      <c r="O347" s="675">
        <f t="shared" si="9908"/>
        <v>0</v>
      </c>
      <c r="P347" s="549">
        <f t="shared" si="9908"/>
        <v>0</v>
      </c>
      <c r="Q347" s="675">
        <f t="shared" si="9908"/>
        <v>0</v>
      </c>
      <c r="R347" s="549">
        <f t="shared" si="9908"/>
        <v>0</v>
      </c>
      <c r="S347" s="675">
        <f t="shared" si="9908"/>
        <v>0</v>
      </c>
      <c r="T347" s="549">
        <f t="shared" si="9908"/>
        <v>0</v>
      </c>
      <c r="U347" s="675">
        <f t="shared" si="9908"/>
        <v>0</v>
      </c>
      <c r="V347" s="549">
        <f t="shared" si="9908"/>
        <v>0</v>
      </c>
      <c r="W347" s="675">
        <f t="shared" si="9908"/>
        <v>0</v>
      </c>
      <c r="X347" s="549">
        <f t="shared" si="9908"/>
        <v>0</v>
      </c>
      <c r="Y347" s="675">
        <f t="shared" si="9908"/>
        <v>0</v>
      </c>
      <c r="Z347" s="549">
        <f t="shared" si="9908"/>
        <v>0</v>
      </c>
      <c r="AA347" s="675">
        <f t="shared" si="9908"/>
        <v>0</v>
      </c>
      <c r="AB347" s="549">
        <f t="shared" si="9908"/>
        <v>0</v>
      </c>
      <c r="AC347" s="675">
        <f t="shared" si="9908"/>
        <v>0</v>
      </c>
      <c r="AD347" s="549">
        <f t="shared" si="9908"/>
        <v>0</v>
      </c>
      <c r="AE347" s="675">
        <f t="shared" si="9908"/>
        <v>0</v>
      </c>
      <c r="AF347" s="549">
        <f t="shared" si="9908"/>
        <v>0</v>
      </c>
      <c r="AG347" s="675">
        <f t="shared" si="9908"/>
        <v>0</v>
      </c>
      <c r="AH347" s="549">
        <f t="shared" si="9908"/>
        <v>0</v>
      </c>
      <c r="AI347" s="675">
        <f t="shared" si="9908"/>
        <v>0</v>
      </c>
      <c r="AJ347" s="549">
        <f t="shared" si="9908"/>
        <v>0</v>
      </c>
      <c r="AK347" s="675">
        <f t="shared" si="9908"/>
        <v>0</v>
      </c>
      <c r="AL347" s="549">
        <f t="shared" si="9908"/>
        <v>0</v>
      </c>
      <c r="AM347" s="675">
        <f t="shared" si="9908"/>
        <v>0</v>
      </c>
      <c r="AN347" s="549">
        <f t="shared" si="9908"/>
        <v>0</v>
      </c>
      <c r="AO347" s="675">
        <f t="shared" si="9908"/>
        <v>0</v>
      </c>
      <c r="AP347" s="549">
        <f t="shared" si="9908"/>
        <v>0</v>
      </c>
      <c r="AQ347" s="675">
        <f t="shared" si="9908"/>
        <v>0</v>
      </c>
      <c r="AR347" s="549">
        <f t="shared" si="9908"/>
        <v>8480</v>
      </c>
      <c r="AS347" s="675">
        <f t="shared" si="9908"/>
        <v>0</v>
      </c>
      <c r="AT347" s="549">
        <f t="shared" ref="AT347:AU347" si="9909">SUM(AT349,AT358)+AT354+AT361</f>
        <v>0</v>
      </c>
      <c r="AU347" s="675">
        <f t="shared" si="9909"/>
        <v>0</v>
      </c>
      <c r="AV347" s="549">
        <f t="shared" ref="AV347:AW347" si="9910">SUM(AV349,AV358)+AV354+AV361</f>
        <v>0</v>
      </c>
      <c r="AW347" s="675">
        <f t="shared" si="9910"/>
        <v>0</v>
      </c>
      <c r="AX347" s="549">
        <f t="shared" ref="AX347:AY347" si="9911">SUM(AX349,AX358)+AX354+AX361</f>
        <v>0</v>
      </c>
      <c r="AY347" s="675">
        <f t="shared" si="9911"/>
        <v>0</v>
      </c>
      <c r="AZ347" s="549">
        <f t="shared" ref="AZ347:BA347" si="9912">SUM(AZ349,AZ358)+AZ354+AZ361</f>
        <v>0</v>
      </c>
      <c r="BA347" s="675">
        <f t="shared" si="9912"/>
        <v>0</v>
      </c>
      <c r="BB347" s="549">
        <f t="shared" ref="BB347:BC347" si="9913">SUM(BB349,BB358)+BB354+BB361</f>
        <v>0</v>
      </c>
      <c r="BC347" s="675">
        <f t="shared" si="9913"/>
        <v>0</v>
      </c>
      <c r="BD347" s="549">
        <f t="shared" ref="BD347:BE347" si="9914">SUM(BD349,BD358)+BD354+BD361</f>
        <v>0</v>
      </c>
      <c r="BE347" s="675">
        <f t="shared" si="9914"/>
        <v>0</v>
      </c>
      <c r="BF347" s="549">
        <f t="shared" ref="BF347:BG347" si="9915">SUM(BF349,BF358)+BF354+BF361</f>
        <v>0</v>
      </c>
      <c r="BG347" s="675">
        <f t="shared" si="9915"/>
        <v>0</v>
      </c>
      <c r="BH347" s="549">
        <f t="shared" ref="BH347:BI347" si="9916">SUM(BH349,BH358)+BH354+BH361</f>
        <v>0</v>
      </c>
      <c r="BI347" s="675">
        <f t="shared" si="9916"/>
        <v>0</v>
      </c>
      <c r="BJ347" s="549">
        <f t="shared" ref="BJ347:BK347" si="9917">SUM(BJ349,BJ358)+BJ354+BJ361</f>
        <v>0</v>
      </c>
      <c r="BK347" s="675">
        <f t="shared" si="9917"/>
        <v>0</v>
      </c>
      <c r="BL347" s="549">
        <f t="shared" ref="BL347:BS347" si="9918">SUM(BL349,BL358)+BL354+BL361</f>
        <v>0</v>
      </c>
      <c r="BM347" s="675">
        <f t="shared" si="9918"/>
        <v>0</v>
      </c>
      <c r="BN347" s="549">
        <f t="shared" si="9918"/>
        <v>0</v>
      </c>
      <c r="BO347" s="675">
        <f t="shared" si="9918"/>
        <v>0</v>
      </c>
      <c r="BP347" s="549">
        <f t="shared" si="9918"/>
        <v>0</v>
      </c>
      <c r="BQ347" s="675">
        <f t="shared" si="9918"/>
        <v>0</v>
      </c>
      <c r="BR347" s="549">
        <f t="shared" si="9918"/>
        <v>0</v>
      </c>
      <c r="BS347" s="675">
        <f t="shared" si="9918"/>
        <v>0</v>
      </c>
      <c r="BT347" s="549">
        <f t="shared" ref="BT347:BU347" si="9919">SUM(BT349,BT358)+BT354+BT361</f>
        <v>0</v>
      </c>
      <c r="BU347" s="675">
        <f t="shared" si="9919"/>
        <v>0</v>
      </c>
      <c r="BV347" s="549">
        <f t="shared" ref="BV347:BW347" si="9920">SUM(BV349,BV358)+BV354+BV361</f>
        <v>7480</v>
      </c>
      <c r="BW347" s="675">
        <f t="shared" si="9920"/>
        <v>0</v>
      </c>
      <c r="BX347" s="549">
        <f t="shared" ref="BX347:BY347" si="9921">SUM(BX349,BX358)+BX354+BX361</f>
        <v>0</v>
      </c>
      <c r="BY347" s="675">
        <f t="shared" si="9921"/>
        <v>0</v>
      </c>
      <c r="BZ347" s="549">
        <f t="shared" ref="BZ347:CA347" si="9922">SUM(BZ349,BZ358)+BZ354+BZ361</f>
        <v>0</v>
      </c>
      <c r="CA347" s="675">
        <f t="shared" si="9922"/>
        <v>0</v>
      </c>
      <c r="CB347" s="549">
        <f t="shared" ref="CB347:CE347" si="9923">SUM(CB349,CB358)+CB354+CB361</f>
        <v>0</v>
      </c>
      <c r="CC347" s="675">
        <f t="shared" si="9923"/>
        <v>0</v>
      </c>
      <c r="CD347" s="549">
        <f t="shared" si="9923"/>
        <v>0</v>
      </c>
      <c r="CE347" s="675">
        <f t="shared" si="9923"/>
        <v>0</v>
      </c>
      <c r="CF347" s="549">
        <f t="shared" ref="CF347:CQ347" si="9924">SUM(CF349,CF358)+CF354+CF361</f>
        <v>0</v>
      </c>
      <c r="CG347" s="675">
        <f t="shared" si="9924"/>
        <v>0</v>
      </c>
      <c r="CH347" s="549">
        <f t="shared" si="9924"/>
        <v>0</v>
      </c>
      <c r="CI347" s="675">
        <f t="shared" si="9924"/>
        <v>0</v>
      </c>
      <c r="CJ347" s="549">
        <f t="shared" si="9924"/>
        <v>0</v>
      </c>
      <c r="CK347" s="675">
        <f t="shared" si="9924"/>
        <v>0</v>
      </c>
      <c r="CL347" s="549">
        <f t="shared" si="9924"/>
        <v>0</v>
      </c>
      <c r="CM347" s="675">
        <f t="shared" si="9924"/>
        <v>0</v>
      </c>
      <c r="CN347" s="549">
        <f t="shared" si="9924"/>
        <v>0</v>
      </c>
      <c r="CO347" s="675">
        <f t="shared" si="9924"/>
        <v>0</v>
      </c>
      <c r="CP347" s="549">
        <f t="shared" si="9924"/>
        <v>0</v>
      </c>
      <c r="CQ347" s="675">
        <f t="shared" si="9924"/>
        <v>0</v>
      </c>
      <c r="CR347" s="549">
        <f t="shared" ref="CR347:CY347" si="9925">SUM(CR349,CR358)+CR354+CR361</f>
        <v>0</v>
      </c>
      <c r="CS347" s="675">
        <f t="shared" si="9925"/>
        <v>0</v>
      </c>
      <c r="CT347" s="549">
        <f t="shared" si="9925"/>
        <v>0</v>
      </c>
      <c r="CU347" s="675">
        <f t="shared" si="9925"/>
        <v>0</v>
      </c>
      <c r="CV347" s="549">
        <f t="shared" si="9925"/>
        <v>0</v>
      </c>
      <c r="CW347" s="675">
        <f t="shared" si="9925"/>
        <v>0</v>
      </c>
      <c r="CX347" s="549">
        <f t="shared" si="9925"/>
        <v>0</v>
      </c>
      <c r="CY347" s="675">
        <f t="shared" si="9925"/>
        <v>0</v>
      </c>
      <c r="CZ347" s="549">
        <f t="shared" ref="CZ347:FE347" si="9926">SUM(CZ349,CZ358)+CZ354+CZ361</f>
        <v>0</v>
      </c>
      <c r="DA347" s="675">
        <f t="shared" si="9926"/>
        <v>0</v>
      </c>
      <c r="DB347" s="549">
        <f t="shared" si="9926"/>
        <v>0</v>
      </c>
      <c r="DC347" s="675">
        <f t="shared" si="9926"/>
        <v>0</v>
      </c>
      <c r="DD347" s="549">
        <f t="shared" si="9926"/>
        <v>0</v>
      </c>
      <c r="DE347" s="675">
        <f t="shared" si="9926"/>
        <v>0</v>
      </c>
      <c r="DF347" s="549">
        <f t="shared" si="9926"/>
        <v>0</v>
      </c>
      <c r="DG347" s="675">
        <f t="shared" si="9926"/>
        <v>0</v>
      </c>
      <c r="DH347" s="549">
        <f t="shared" si="9926"/>
        <v>0</v>
      </c>
      <c r="DI347" s="675">
        <f t="shared" si="9926"/>
        <v>0</v>
      </c>
      <c r="DJ347" s="549">
        <f t="shared" si="9926"/>
        <v>0</v>
      </c>
      <c r="DK347" s="675">
        <f t="shared" si="9926"/>
        <v>0</v>
      </c>
      <c r="DL347" s="549">
        <f t="shared" si="9926"/>
        <v>0</v>
      </c>
      <c r="DM347" s="675">
        <f t="shared" si="9926"/>
        <v>0</v>
      </c>
      <c r="DN347" s="549">
        <f t="shared" si="9926"/>
        <v>0</v>
      </c>
      <c r="DO347" s="675">
        <f t="shared" si="9926"/>
        <v>0</v>
      </c>
      <c r="DP347" s="549">
        <f t="shared" si="9926"/>
        <v>0</v>
      </c>
      <c r="DQ347" s="675">
        <f t="shared" si="9926"/>
        <v>0</v>
      </c>
      <c r="DR347" s="549">
        <f t="shared" si="9926"/>
        <v>0</v>
      </c>
      <c r="DS347" s="675">
        <f t="shared" si="9926"/>
        <v>0</v>
      </c>
      <c r="DT347" s="549">
        <f t="shared" si="9926"/>
        <v>0</v>
      </c>
      <c r="DU347" s="675">
        <f t="shared" si="9926"/>
        <v>0</v>
      </c>
      <c r="DV347" s="549">
        <f t="shared" si="9926"/>
        <v>0</v>
      </c>
      <c r="DW347" s="675">
        <f t="shared" si="9926"/>
        <v>0</v>
      </c>
      <c r="DX347" s="549">
        <f t="shared" si="9926"/>
        <v>0</v>
      </c>
      <c r="DY347" s="675">
        <f t="shared" si="9926"/>
        <v>0</v>
      </c>
      <c r="DZ347" s="549">
        <f t="shared" ref="DZ347:FA347" si="9927">SUM(DZ349,DZ358)+DZ354+DZ361</f>
        <v>0</v>
      </c>
      <c r="EA347" s="675">
        <f t="shared" si="9927"/>
        <v>0</v>
      </c>
      <c r="EB347" s="549">
        <f t="shared" si="9927"/>
        <v>0</v>
      </c>
      <c r="EC347" s="675">
        <f t="shared" si="9927"/>
        <v>0</v>
      </c>
      <c r="ED347" s="549">
        <f t="shared" si="9927"/>
        <v>0</v>
      </c>
      <c r="EE347" s="675">
        <f t="shared" si="9927"/>
        <v>0</v>
      </c>
      <c r="EF347" s="549">
        <f t="shared" si="9927"/>
        <v>36277</v>
      </c>
      <c r="EG347" s="675">
        <f t="shared" si="9927"/>
        <v>0</v>
      </c>
      <c r="EH347" s="549">
        <f t="shared" ref="EH347:EM347" si="9928">SUM(EH349,EH358)+EH354+EH361</f>
        <v>0</v>
      </c>
      <c r="EI347" s="675">
        <f t="shared" si="9928"/>
        <v>0</v>
      </c>
      <c r="EJ347" s="549">
        <f t="shared" si="9928"/>
        <v>0</v>
      </c>
      <c r="EK347" s="675">
        <f t="shared" si="9928"/>
        <v>0</v>
      </c>
      <c r="EL347" s="549">
        <f t="shared" si="9928"/>
        <v>0</v>
      </c>
      <c r="EM347" s="675">
        <f t="shared" si="9928"/>
        <v>0</v>
      </c>
      <c r="EN347" s="549">
        <f t="shared" si="9927"/>
        <v>0</v>
      </c>
      <c r="EO347" s="675">
        <f t="shared" si="9927"/>
        <v>0</v>
      </c>
      <c r="EP347" s="549">
        <f t="shared" si="9927"/>
        <v>0</v>
      </c>
      <c r="EQ347" s="675">
        <f t="shared" si="9927"/>
        <v>0</v>
      </c>
      <c r="ER347" s="549">
        <f t="shared" si="9927"/>
        <v>0</v>
      </c>
      <c r="ES347" s="675">
        <f t="shared" si="9927"/>
        <v>0</v>
      </c>
      <c r="ET347" s="549">
        <f t="shared" si="9927"/>
        <v>0</v>
      </c>
      <c r="EU347" s="675">
        <f t="shared" si="9927"/>
        <v>0</v>
      </c>
      <c r="EV347" s="549">
        <f t="shared" ref="EV347:EW347" si="9929">SUM(EV349,EV358)+EV354+EV361</f>
        <v>0</v>
      </c>
      <c r="EW347" s="675">
        <f t="shared" si="9929"/>
        <v>0</v>
      </c>
      <c r="EX347" s="549">
        <f t="shared" si="9927"/>
        <v>0</v>
      </c>
      <c r="EY347" s="675">
        <f t="shared" si="9927"/>
        <v>0</v>
      </c>
      <c r="EZ347" s="549">
        <f t="shared" si="9927"/>
        <v>0</v>
      </c>
      <c r="FA347" s="675">
        <f t="shared" si="9927"/>
        <v>0</v>
      </c>
      <c r="FB347" s="549">
        <f t="shared" si="9926"/>
        <v>0</v>
      </c>
      <c r="FC347" s="675">
        <f t="shared" si="9926"/>
        <v>0</v>
      </c>
      <c r="FD347" s="549">
        <f t="shared" si="9926"/>
        <v>0</v>
      </c>
      <c r="FE347" s="675">
        <f t="shared" si="9926"/>
        <v>0</v>
      </c>
      <c r="FF347" s="549">
        <f t="shared" ref="FF347:FG347" si="9930">SUM(FF349,FF358)+FF354+FF361</f>
        <v>0</v>
      </c>
      <c r="FG347" s="675">
        <f t="shared" si="9930"/>
        <v>0</v>
      </c>
      <c r="FH347" s="549">
        <f t="shared" ref="FH347:FI347" si="9931">SUM(FH349,FH358)+FH354+FH361</f>
        <v>4200</v>
      </c>
      <c r="FI347" s="675">
        <f t="shared" si="9931"/>
        <v>0</v>
      </c>
      <c r="FJ347" s="549">
        <f t="shared" ref="FJ347:FK347" si="9932">SUM(FJ349,FJ358)+FJ354+FJ361</f>
        <v>0</v>
      </c>
      <c r="FK347" s="675">
        <f t="shared" si="9932"/>
        <v>0</v>
      </c>
      <c r="FL347" s="549">
        <f t="shared" ref="FL347:FM347" si="9933">SUM(FL349,FL358)+FL354+FL361</f>
        <v>0</v>
      </c>
      <c r="FM347" s="675">
        <f t="shared" si="9933"/>
        <v>0</v>
      </c>
      <c r="FN347" s="549">
        <f t="shared" ref="FN347:FO347" si="9934">SUM(FN349,FN358)+FN354+FN361</f>
        <v>0</v>
      </c>
      <c r="FO347" s="675">
        <f t="shared" si="9934"/>
        <v>0</v>
      </c>
      <c r="FP347" s="549">
        <f t="shared" ref="FP347:FQ347" si="9935">SUM(FP349,FP358)+FP354+FP361</f>
        <v>0</v>
      </c>
      <c r="FQ347" s="675">
        <f t="shared" si="9935"/>
        <v>0</v>
      </c>
      <c r="FR347" s="549">
        <f t="shared" ref="FR347:FS347" si="9936">SUM(FR349,FR358)+FR354+FR361</f>
        <v>0</v>
      </c>
      <c r="FS347" s="675">
        <f t="shared" si="9936"/>
        <v>0</v>
      </c>
      <c r="FT347" s="549">
        <f t="shared" ref="FT347:FU347" si="9937">SUM(FT349,FT358)+FT354+FT361</f>
        <v>0</v>
      </c>
      <c r="FU347" s="675">
        <f t="shared" si="9937"/>
        <v>0</v>
      </c>
      <c r="FV347" s="549">
        <f t="shared" ref="FV347:GK347" si="9938">SUM(FV349,FV358)+FV354+FV361</f>
        <v>0</v>
      </c>
      <c r="FW347" s="675">
        <f t="shared" si="9938"/>
        <v>0</v>
      </c>
      <c r="FX347" s="549">
        <f t="shared" si="9938"/>
        <v>0</v>
      </c>
      <c r="FY347" s="675">
        <f t="shared" si="9938"/>
        <v>0</v>
      </c>
      <c r="FZ347" s="549">
        <f t="shared" ref="FZ347:GI347" si="9939">SUM(FZ349,FZ358)+FZ354+FZ361</f>
        <v>0</v>
      </c>
      <c r="GA347" s="675">
        <f t="shared" si="9939"/>
        <v>0</v>
      </c>
      <c r="GB347" s="549">
        <f t="shared" si="9939"/>
        <v>0</v>
      </c>
      <c r="GC347" s="675">
        <f t="shared" si="9939"/>
        <v>0</v>
      </c>
      <c r="GD347" s="549">
        <f t="shared" si="9939"/>
        <v>0</v>
      </c>
      <c r="GE347" s="675">
        <f t="shared" si="9939"/>
        <v>0</v>
      </c>
      <c r="GF347" s="549">
        <f t="shared" si="9939"/>
        <v>0</v>
      </c>
      <c r="GG347" s="675">
        <f t="shared" si="9939"/>
        <v>0</v>
      </c>
      <c r="GH347" s="549">
        <f t="shared" si="9939"/>
        <v>0</v>
      </c>
      <c r="GI347" s="675">
        <f t="shared" si="9939"/>
        <v>0</v>
      </c>
      <c r="GJ347" s="549">
        <f t="shared" si="9938"/>
        <v>0</v>
      </c>
      <c r="GK347" s="675">
        <f t="shared" si="9938"/>
        <v>0</v>
      </c>
      <c r="GL347" s="549">
        <f t="shared" ref="GL347:GM347" si="9940">SUM(GL349,GL358)+GL354+GL361</f>
        <v>0</v>
      </c>
      <c r="GM347" s="675">
        <f t="shared" si="9940"/>
        <v>0</v>
      </c>
      <c r="GN347" s="549">
        <f t="shared" ref="GN347:GO347" si="9941">SUM(GN349,GN358)+GN354+GN361</f>
        <v>0</v>
      </c>
      <c r="GO347" s="675">
        <f t="shared" si="9941"/>
        <v>0</v>
      </c>
      <c r="GP347" s="549">
        <f>+GP349+GP354+GP358+GP361</f>
        <v>56437</v>
      </c>
      <c r="GQ347" s="675">
        <f>+GQ349+GQ354+GQ358+GQ361</f>
        <v>0</v>
      </c>
      <c r="GR347" s="74">
        <f>SUM(GR349,GR358)+GR354+GR361</f>
        <v>97437</v>
      </c>
      <c r="GS347" s="74">
        <f>SUM(GS349,GS358)+GS354+GS361</f>
        <v>93710</v>
      </c>
      <c r="GT347" s="74">
        <f>SUM(GT349,GT358)+GT354+GT361</f>
        <v>93237</v>
      </c>
      <c r="GU347" s="74">
        <f t="shared" ref="GU347:JC347" si="9942">SUM(GU349,GU358)+GU354+GU361</f>
        <v>3730</v>
      </c>
      <c r="GV347" s="74">
        <f t="shared" si="9942"/>
        <v>3727</v>
      </c>
      <c r="GW347" s="549">
        <f t="shared" si="9942"/>
        <v>3727</v>
      </c>
      <c r="GX347" s="549">
        <f t="shared" si="9942"/>
        <v>3727</v>
      </c>
      <c r="GY347" s="74">
        <f t="shared" si="9942"/>
        <v>3727</v>
      </c>
      <c r="GZ347" s="74">
        <f t="shared" si="9942"/>
        <v>3727</v>
      </c>
      <c r="HA347" s="74">
        <f t="shared" si="9942"/>
        <v>3727</v>
      </c>
      <c r="HB347" s="74">
        <f t="shared" si="9942"/>
        <v>3727</v>
      </c>
      <c r="HC347" s="74">
        <f t="shared" si="9942"/>
        <v>3727</v>
      </c>
      <c r="HD347" s="74">
        <f t="shared" si="9942"/>
        <v>3727</v>
      </c>
      <c r="HE347" s="74">
        <f t="shared" si="9942"/>
        <v>3727</v>
      </c>
      <c r="HF347" s="74">
        <f t="shared" si="9942"/>
        <v>0</v>
      </c>
      <c r="HG347" s="74">
        <f t="shared" si="9942"/>
        <v>93710</v>
      </c>
      <c r="HH347" s="74">
        <f t="shared" ref="HH347:HI347" si="9943">SUM(HH349,HH358)+HH354+HH361</f>
        <v>0</v>
      </c>
      <c r="HI347" s="792">
        <f t="shared" si="9943"/>
        <v>0</v>
      </c>
      <c r="HJ347" s="74">
        <f t="shared" ref="HJ347:HK347" si="9944">SUM(HJ349,HJ358)+HJ354+HJ361</f>
        <v>0</v>
      </c>
      <c r="HK347" s="792">
        <f t="shared" si="9944"/>
        <v>7457</v>
      </c>
      <c r="HL347" s="74">
        <f t="shared" ref="HL347:HM347" si="9945">SUM(HL349,HL358)+HL354+HL361</f>
        <v>0</v>
      </c>
      <c r="HM347" s="792">
        <f t="shared" si="9945"/>
        <v>3727</v>
      </c>
      <c r="HN347" s="74">
        <f t="shared" ref="HN347:HO347" si="9946">SUM(HN349,HN358)+HN354+HN361</f>
        <v>0</v>
      </c>
      <c r="HO347" s="792">
        <f t="shared" si="9946"/>
        <v>3727</v>
      </c>
      <c r="HP347" s="74">
        <f t="shared" ref="HP347:HQ347" si="9947">SUM(HP349,HP358)+HP354+HP361</f>
        <v>0</v>
      </c>
      <c r="HQ347" s="792">
        <f t="shared" si="9947"/>
        <v>3727</v>
      </c>
      <c r="HR347" s="74">
        <f t="shared" ref="HR347:HS347" si="9948">SUM(HR349,HR358)+HR354+HR361</f>
        <v>0</v>
      </c>
      <c r="HS347" s="792">
        <f t="shared" si="9948"/>
        <v>3727</v>
      </c>
      <c r="HT347" s="74">
        <f t="shared" ref="HT347:HU347" si="9949">SUM(HT349,HT358)+HT354+HT361</f>
        <v>0</v>
      </c>
      <c r="HU347" s="792">
        <f t="shared" si="9949"/>
        <v>3727</v>
      </c>
      <c r="HV347" s="74">
        <f t="shared" ref="HV347:HW347" si="9950">SUM(HV349,HV358)+HV354+HV361</f>
        <v>0</v>
      </c>
      <c r="HW347" s="792">
        <f t="shared" si="9950"/>
        <v>3727</v>
      </c>
      <c r="HX347" s="74">
        <f t="shared" ref="HX347:HY347" si="9951">SUM(HX349,HX358)+HX354+HX361</f>
        <v>0</v>
      </c>
      <c r="HY347" s="792">
        <f t="shared" si="9951"/>
        <v>3727</v>
      </c>
      <c r="HZ347" s="74">
        <f t="shared" ref="HZ347:IA347" si="9952">SUM(HZ349,HZ358)+HZ354+HZ361</f>
        <v>0</v>
      </c>
      <c r="IA347" s="792">
        <f t="shared" si="9952"/>
        <v>3727</v>
      </c>
      <c r="IB347" s="74">
        <f t="shared" ref="IB347:IC347" si="9953">SUM(IB349,IB358)+IB354+IB361</f>
        <v>0</v>
      </c>
      <c r="IC347" s="792">
        <f t="shared" si="9953"/>
        <v>0</v>
      </c>
      <c r="ID347" s="74">
        <f t="shared" si="9942"/>
        <v>0</v>
      </c>
      <c r="IE347" s="792">
        <f t="shared" si="9942"/>
        <v>0</v>
      </c>
      <c r="IF347" s="841">
        <f>SUM(IF349,IF358)+IF354+IF361</f>
        <v>85782.45</v>
      </c>
      <c r="IG347" s="263">
        <f t="shared" si="9942"/>
        <v>85782.45</v>
      </c>
      <c r="IH347" s="842">
        <f t="shared" si="9942"/>
        <v>85782.45</v>
      </c>
      <c r="II347" s="74">
        <f t="shared" si="9942"/>
        <v>0</v>
      </c>
      <c r="IJ347" s="74">
        <f t="shared" si="9942"/>
        <v>0</v>
      </c>
      <c r="IK347" s="74">
        <f t="shared" si="9942"/>
        <v>0</v>
      </c>
      <c r="IL347" s="74">
        <f t="shared" si="9942"/>
        <v>0</v>
      </c>
      <c r="IM347" s="74">
        <f t="shared" si="9942"/>
        <v>0</v>
      </c>
      <c r="IN347" s="74">
        <f t="shared" si="9942"/>
        <v>0</v>
      </c>
      <c r="IO347" s="74">
        <f t="shared" si="9942"/>
        <v>0</v>
      </c>
      <c r="IP347" s="74">
        <f t="shared" si="9942"/>
        <v>0</v>
      </c>
      <c r="IQ347" s="74">
        <f t="shared" si="9942"/>
        <v>0</v>
      </c>
      <c r="IR347" s="74">
        <f t="shared" si="9942"/>
        <v>14911</v>
      </c>
      <c r="IS347" s="74">
        <f t="shared" si="9942"/>
        <v>14911</v>
      </c>
      <c r="IT347" s="74">
        <f t="shared" si="9942"/>
        <v>14911</v>
      </c>
      <c r="IU347" s="74">
        <f t="shared" si="9942"/>
        <v>8480</v>
      </c>
      <c r="IV347" s="74">
        <f t="shared" si="9942"/>
        <v>8480</v>
      </c>
      <c r="IW347" s="74">
        <f t="shared" si="9942"/>
        <v>8480</v>
      </c>
      <c r="IX347" s="74">
        <f t="shared" si="9942"/>
        <v>7480</v>
      </c>
      <c r="IY347" s="74">
        <f t="shared" si="9942"/>
        <v>7480</v>
      </c>
      <c r="IZ347" s="74">
        <f t="shared" si="9942"/>
        <v>7480</v>
      </c>
      <c r="JA347" s="74">
        <f t="shared" si="9942"/>
        <v>11181</v>
      </c>
      <c r="JB347" s="74">
        <f t="shared" si="9942"/>
        <v>11181</v>
      </c>
      <c r="JC347" s="74">
        <f t="shared" si="9942"/>
        <v>11181</v>
      </c>
      <c r="JD347" s="74">
        <f t="shared" ref="JD347:JF347" si="9954">SUM(JD349,JD358)+JD354+JD361</f>
        <v>0</v>
      </c>
      <c r="JE347" s="74">
        <f t="shared" si="9954"/>
        <v>0</v>
      </c>
      <c r="JF347" s="74">
        <f t="shared" si="9954"/>
        <v>0</v>
      </c>
      <c r="JG347" s="74">
        <f t="shared" ref="JG347:JI347" si="9955">SUM(JG349,JG358)+JG354+JG361</f>
        <v>7454</v>
      </c>
      <c r="JH347" s="74">
        <f t="shared" si="9955"/>
        <v>7454</v>
      </c>
      <c r="JI347" s="74">
        <f t="shared" si="9955"/>
        <v>7454</v>
      </c>
      <c r="JJ347" s="74">
        <f t="shared" ref="JJ347:JL347" si="9956">SUM(JJ349,JJ358)+JJ354+JJ361</f>
        <v>36276.449999999997</v>
      </c>
      <c r="JK347" s="74">
        <f t="shared" si="9956"/>
        <v>36276.449999999997</v>
      </c>
      <c r="JL347" s="74">
        <f t="shared" si="9956"/>
        <v>36276.449999999997</v>
      </c>
      <c r="JM347" s="74">
        <f t="shared" ref="JM347:JO347" si="9957">SUM(JM349,JM358)+JM354+JM361</f>
        <v>0</v>
      </c>
      <c r="JN347" s="74">
        <f t="shared" si="9957"/>
        <v>0</v>
      </c>
      <c r="JO347" s="74">
        <f t="shared" si="9957"/>
        <v>0</v>
      </c>
      <c r="JP347" s="74">
        <f t="shared" ref="JP347:JY347" si="9958">SUM(JP349,JP358)+JP354+JP361</f>
        <v>0</v>
      </c>
      <c r="JQ347" s="74">
        <f t="shared" si="9958"/>
        <v>0</v>
      </c>
      <c r="JR347" s="74">
        <f t="shared" si="9958"/>
        <v>0</v>
      </c>
      <c r="JS347" s="74">
        <f t="shared" si="9958"/>
        <v>7927.5500000000029</v>
      </c>
      <c r="JT347" s="102">
        <f t="shared" si="9958"/>
        <v>7927.5500000000029</v>
      </c>
      <c r="JU347" s="665"/>
      <c r="JV347" s="524"/>
      <c r="JW347" s="525"/>
      <c r="JX347" s="548">
        <f t="shared" si="9958"/>
        <v>0</v>
      </c>
      <c r="JY347" s="548">
        <f t="shared" si="9958"/>
        <v>37273</v>
      </c>
      <c r="JZ347" s="581">
        <f t="shared" si="9103"/>
        <v>56437</v>
      </c>
      <c r="KA347" s="581">
        <f t="shared" si="9104"/>
        <v>0</v>
      </c>
      <c r="KB347" s="548">
        <f t="shared" si="8622"/>
        <v>93710</v>
      </c>
      <c r="KC347" s="709">
        <f t="shared" si="9101"/>
        <v>0</v>
      </c>
      <c r="KD347" s="36"/>
      <c r="KE347" s="36"/>
      <c r="KF347" s="36"/>
      <c r="KG347" s="36"/>
      <c r="KH347" s="36"/>
      <c r="KI347" s="36"/>
      <c r="KJ347" s="36"/>
      <c r="KK347" s="36"/>
    </row>
    <row r="348" spans="1:297" s="10" customFormat="1" ht="13.5" customHeight="1">
      <c r="A348" s="80"/>
      <c r="B348" s="72"/>
      <c r="C348" s="74"/>
      <c r="D348" s="549"/>
      <c r="E348" s="675"/>
      <c r="F348" s="549"/>
      <c r="G348" s="675"/>
      <c r="H348" s="549"/>
      <c r="I348" s="675"/>
      <c r="J348" s="549"/>
      <c r="K348" s="675"/>
      <c r="L348" s="549"/>
      <c r="M348" s="675"/>
      <c r="N348" s="549"/>
      <c r="O348" s="675"/>
      <c r="P348" s="549"/>
      <c r="Q348" s="675"/>
      <c r="R348" s="549"/>
      <c r="S348" s="675"/>
      <c r="T348" s="549"/>
      <c r="U348" s="675"/>
      <c r="V348" s="549"/>
      <c r="W348" s="675"/>
      <c r="X348" s="549"/>
      <c r="Y348" s="675"/>
      <c r="Z348" s="549"/>
      <c r="AA348" s="675"/>
      <c r="AB348" s="549"/>
      <c r="AC348" s="675"/>
      <c r="AD348" s="549"/>
      <c r="AE348" s="675"/>
      <c r="AF348" s="549"/>
      <c r="AG348" s="675"/>
      <c r="AH348" s="549"/>
      <c r="AI348" s="675"/>
      <c r="AJ348" s="549"/>
      <c r="AK348" s="675"/>
      <c r="AL348" s="549"/>
      <c r="AM348" s="675"/>
      <c r="AN348" s="549"/>
      <c r="AO348" s="675"/>
      <c r="AP348" s="549"/>
      <c r="AQ348" s="675"/>
      <c r="AR348" s="549"/>
      <c r="AS348" s="675"/>
      <c r="AT348" s="549"/>
      <c r="AU348" s="675"/>
      <c r="AV348" s="549"/>
      <c r="AW348" s="675"/>
      <c r="AX348" s="549"/>
      <c r="AY348" s="675"/>
      <c r="AZ348" s="549"/>
      <c r="BA348" s="675"/>
      <c r="BB348" s="549"/>
      <c r="BC348" s="675"/>
      <c r="BD348" s="549"/>
      <c r="BE348" s="675"/>
      <c r="BF348" s="549"/>
      <c r="BG348" s="675"/>
      <c r="BH348" s="549"/>
      <c r="BI348" s="675"/>
      <c r="BJ348" s="549"/>
      <c r="BK348" s="675"/>
      <c r="BL348" s="549"/>
      <c r="BM348" s="675"/>
      <c r="BN348" s="549"/>
      <c r="BO348" s="675"/>
      <c r="BP348" s="549"/>
      <c r="BQ348" s="675"/>
      <c r="BR348" s="549"/>
      <c r="BS348" s="675"/>
      <c r="BT348" s="549"/>
      <c r="BU348" s="675"/>
      <c r="BV348" s="549"/>
      <c r="BW348" s="675"/>
      <c r="BX348" s="549"/>
      <c r="BY348" s="675"/>
      <c r="BZ348" s="549"/>
      <c r="CA348" s="675"/>
      <c r="CB348" s="549"/>
      <c r="CC348" s="675"/>
      <c r="CD348" s="549"/>
      <c r="CE348" s="675"/>
      <c r="CF348" s="549"/>
      <c r="CG348" s="675"/>
      <c r="CH348" s="549"/>
      <c r="CI348" s="675"/>
      <c r="CJ348" s="549"/>
      <c r="CK348" s="675"/>
      <c r="CL348" s="549"/>
      <c r="CM348" s="675"/>
      <c r="CN348" s="549"/>
      <c r="CO348" s="675"/>
      <c r="CP348" s="549"/>
      <c r="CQ348" s="675"/>
      <c r="CR348" s="549"/>
      <c r="CS348" s="675"/>
      <c r="CT348" s="549"/>
      <c r="CU348" s="675"/>
      <c r="CV348" s="549"/>
      <c r="CW348" s="675"/>
      <c r="CX348" s="549"/>
      <c r="CY348" s="675"/>
      <c r="CZ348" s="549"/>
      <c r="DA348" s="675"/>
      <c r="DB348" s="549"/>
      <c r="DC348" s="675"/>
      <c r="DD348" s="549"/>
      <c r="DE348" s="675"/>
      <c r="DF348" s="549"/>
      <c r="DG348" s="675"/>
      <c r="DH348" s="549"/>
      <c r="DI348" s="675"/>
      <c r="DJ348" s="549"/>
      <c r="DK348" s="675"/>
      <c r="DL348" s="549"/>
      <c r="DM348" s="675"/>
      <c r="DN348" s="549"/>
      <c r="DO348" s="675"/>
      <c r="DP348" s="549"/>
      <c r="DQ348" s="675"/>
      <c r="DR348" s="549"/>
      <c r="DS348" s="675"/>
      <c r="DT348" s="549"/>
      <c r="DU348" s="675"/>
      <c r="DV348" s="549"/>
      <c r="DW348" s="675"/>
      <c r="DX348" s="549"/>
      <c r="DY348" s="675"/>
      <c r="DZ348" s="549"/>
      <c r="EA348" s="675"/>
      <c r="EB348" s="549"/>
      <c r="EC348" s="675"/>
      <c r="ED348" s="549"/>
      <c r="EE348" s="675"/>
      <c r="EF348" s="549"/>
      <c r="EG348" s="675"/>
      <c r="EH348" s="549"/>
      <c r="EI348" s="675"/>
      <c r="EJ348" s="549"/>
      <c r="EK348" s="675"/>
      <c r="EL348" s="549"/>
      <c r="EM348" s="675"/>
      <c r="EN348" s="549"/>
      <c r="EO348" s="675"/>
      <c r="EP348" s="549"/>
      <c r="EQ348" s="675"/>
      <c r="ER348" s="549"/>
      <c r="ES348" s="675"/>
      <c r="ET348" s="549"/>
      <c r="EU348" s="675"/>
      <c r="EV348" s="549"/>
      <c r="EW348" s="675"/>
      <c r="EX348" s="549"/>
      <c r="EY348" s="675"/>
      <c r="EZ348" s="549"/>
      <c r="FA348" s="675"/>
      <c r="FB348" s="549"/>
      <c r="FC348" s="675"/>
      <c r="FD348" s="549"/>
      <c r="FE348" s="675"/>
      <c r="FF348" s="549"/>
      <c r="FG348" s="675"/>
      <c r="FH348" s="549"/>
      <c r="FI348" s="675"/>
      <c r="FJ348" s="549"/>
      <c r="FK348" s="675"/>
      <c r="FL348" s="549"/>
      <c r="FM348" s="675"/>
      <c r="FN348" s="549"/>
      <c r="FO348" s="675"/>
      <c r="FP348" s="549"/>
      <c r="FQ348" s="675"/>
      <c r="FR348" s="549"/>
      <c r="FS348" s="675"/>
      <c r="FT348" s="549"/>
      <c r="FU348" s="675"/>
      <c r="FV348" s="549"/>
      <c r="FW348" s="675"/>
      <c r="FX348" s="549"/>
      <c r="FY348" s="675"/>
      <c r="FZ348" s="549"/>
      <c r="GA348" s="675"/>
      <c r="GB348" s="549"/>
      <c r="GC348" s="675"/>
      <c r="GD348" s="549"/>
      <c r="GE348" s="675"/>
      <c r="GF348" s="549"/>
      <c r="GG348" s="675"/>
      <c r="GH348" s="549"/>
      <c r="GI348" s="675"/>
      <c r="GJ348" s="549"/>
      <c r="GK348" s="675"/>
      <c r="GL348" s="549"/>
      <c r="GM348" s="675"/>
      <c r="GN348" s="549"/>
      <c r="GO348" s="675"/>
      <c r="GP348" s="549"/>
      <c r="GQ348" s="675"/>
      <c r="GR348" s="74"/>
      <c r="GS348" s="74"/>
      <c r="GT348" s="549"/>
      <c r="GU348" s="74"/>
      <c r="GV348" s="74"/>
      <c r="GW348" s="549"/>
      <c r="GX348" s="549"/>
      <c r="GY348" s="74"/>
      <c r="GZ348" s="74"/>
      <c r="HA348" s="74"/>
      <c r="HB348" s="74"/>
      <c r="HC348" s="74"/>
      <c r="HD348" s="74"/>
      <c r="HE348" s="74"/>
      <c r="HF348" s="74"/>
      <c r="HG348" s="74"/>
      <c r="HH348" s="74"/>
      <c r="HI348" s="792"/>
      <c r="HJ348" s="74"/>
      <c r="HK348" s="792"/>
      <c r="HL348" s="74"/>
      <c r="HM348" s="792"/>
      <c r="HN348" s="74"/>
      <c r="HO348" s="792"/>
      <c r="HP348" s="74"/>
      <c r="HQ348" s="792"/>
      <c r="HR348" s="74"/>
      <c r="HS348" s="792"/>
      <c r="HT348" s="74"/>
      <c r="HU348" s="792"/>
      <c r="HV348" s="74"/>
      <c r="HW348" s="792"/>
      <c r="HX348" s="74"/>
      <c r="HY348" s="792"/>
      <c r="HZ348" s="74"/>
      <c r="IA348" s="792"/>
      <c r="IB348" s="74"/>
      <c r="IC348" s="792"/>
      <c r="ID348" s="74"/>
      <c r="IE348" s="792"/>
      <c r="IF348" s="841"/>
      <c r="IG348" s="263"/>
      <c r="IH348" s="842"/>
      <c r="II348" s="74"/>
      <c r="IJ348" s="74"/>
      <c r="IK348" s="74"/>
      <c r="IL348" s="74"/>
      <c r="IM348" s="74"/>
      <c r="IN348" s="74"/>
      <c r="IO348" s="74"/>
      <c r="IP348" s="74"/>
      <c r="IQ348" s="74"/>
      <c r="IR348" s="74"/>
      <c r="IS348" s="74"/>
      <c r="IT348" s="74"/>
      <c r="IU348" s="74"/>
      <c r="IV348" s="74"/>
      <c r="IW348" s="74"/>
      <c r="IX348" s="74"/>
      <c r="IY348" s="74"/>
      <c r="IZ348" s="74"/>
      <c r="JA348" s="74"/>
      <c r="JB348" s="74"/>
      <c r="JC348" s="74"/>
      <c r="JD348" s="74"/>
      <c r="JE348" s="74"/>
      <c r="JF348" s="74"/>
      <c r="JG348" s="74"/>
      <c r="JH348" s="74"/>
      <c r="JI348" s="74"/>
      <c r="JJ348" s="74"/>
      <c r="JK348" s="74"/>
      <c r="JL348" s="74"/>
      <c r="JM348" s="74"/>
      <c r="JN348" s="74"/>
      <c r="JO348" s="74"/>
      <c r="JP348" s="74"/>
      <c r="JQ348" s="74"/>
      <c r="JR348" s="74"/>
      <c r="JS348" s="74"/>
      <c r="JT348" s="382"/>
      <c r="JU348" s="665"/>
      <c r="JV348" s="524"/>
      <c r="JW348" s="525"/>
      <c r="JX348" s="548"/>
      <c r="JY348" s="548"/>
      <c r="JZ348" s="581">
        <f t="shared" si="9103"/>
        <v>0</v>
      </c>
      <c r="KA348" s="581">
        <f t="shared" si="9104"/>
        <v>0</v>
      </c>
      <c r="KB348" s="548">
        <f t="shared" si="8622"/>
        <v>0</v>
      </c>
      <c r="KC348" s="709">
        <f t="shared" si="9101"/>
        <v>0</v>
      </c>
      <c r="KD348" s="36"/>
      <c r="KE348" s="36"/>
      <c r="KF348" s="36"/>
      <c r="KG348" s="36"/>
      <c r="KH348" s="36"/>
      <c r="KI348" s="36"/>
      <c r="KJ348" s="36"/>
      <c r="KK348" s="36"/>
    </row>
    <row r="349" spans="1:297" s="8" customFormat="1">
      <c r="A349" s="71" t="s">
        <v>237</v>
      </c>
      <c r="B349" s="72" t="s">
        <v>205</v>
      </c>
      <c r="C349" s="74">
        <f>SUM(C350:C352)</f>
        <v>0</v>
      </c>
      <c r="D349" s="549">
        <f t="shared" ref="D349:E349" si="9959">SUM(D350:D351)</f>
        <v>0</v>
      </c>
      <c r="E349" s="675">
        <f t="shared" si="9959"/>
        <v>0</v>
      </c>
      <c r="F349" s="549">
        <f t="shared" ref="F349:G349" si="9960">SUM(F350:F351)</f>
        <v>0</v>
      </c>
      <c r="G349" s="675">
        <f t="shared" si="9960"/>
        <v>0</v>
      </c>
      <c r="H349" s="549">
        <f t="shared" ref="H349:I349" si="9961">SUM(H350:H351)</f>
        <v>0</v>
      </c>
      <c r="I349" s="675">
        <f t="shared" si="9961"/>
        <v>0</v>
      </c>
      <c r="J349" s="549">
        <f t="shared" ref="J349:K349" si="9962">SUM(J350:J351)</f>
        <v>0</v>
      </c>
      <c r="K349" s="675">
        <f t="shared" si="9962"/>
        <v>0</v>
      </c>
      <c r="L349" s="549">
        <f t="shared" ref="L349:M349" si="9963">SUM(L350:L351)</f>
        <v>0</v>
      </c>
      <c r="M349" s="675">
        <f t="shared" si="9963"/>
        <v>0</v>
      </c>
      <c r="N349" s="549">
        <f t="shared" ref="N349:O349" si="9964">SUM(N350:N351)</f>
        <v>0</v>
      </c>
      <c r="O349" s="675">
        <f t="shared" si="9964"/>
        <v>0</v>
      </c>
      <c r="P349" s="549">
        <f t="shared" ref="P349:Q349" si="9965">SUM(P350:P351)</f>
        <v>0</v>
      </c>
      <c r="Q349" s="675">
        <f t="shared" si="9965"/>
        <v>0</v>
      </c>
      <c r="R349" s="549">
        <f t="shared" ref="R349:S349" si="9966">SUM(R350:R351)</f>
        <v>0</v>
      </c>
      <c r="S349" s="675">
        <f t="shared" si="9966"/>
        <v>0</v>
      </c>
      <c r="T349" s="549">
        <f t="shared" ref="T349:U349" si="9967">SUM(T350:T351)</f>
        <v>0</v>
      </c>
      <c r="U349" s="675">
        <f t="shared" si="9967"/>
        <v>0</v>
      </c>
      <c r="V349" s="549">
        <f t="shared" ref="V349:W349" si="9968">SUM(V350:V351)</f>
        <v>0</v>
      </c>
      <c r="W349" s="675">
        <f t="shared" si="9968"/>
        <v>0</v>
      </c>
      <c r="X349" s="549">
        <f t="shared" ref="X349:Y349" si="9969">SUM(X350:X351)</f>
        <v>0</v>
      </c>
      <c r="Y349" s="675">
        <f t="shared" si="9969"/>
        <v>0</v>
      </c>
      <c r="Z349" s="549">
        <f t="shared" ref="Z349:AA349" si="9970">SUM(Z350:Z351)</f>
        <v>0</v>
      </c>
      <c r="AA349" s="675">
        <f t="shared" si="9970"/>
        <v>0</v>
      </c>
      <c r="AB349" s="549">
        <f t="shared" ref="AB349:AC349" si="9971">SUM(AB350:AB351)</f>
        <v>0</v>
      </c>
      <c r="AC349" s="675">
        <f t="shared" si="9971"/>
        <v>0</v>
      </c>
      <c r="AD349" s="549">
        <f t="shared" ref="AD349:AK349" si="9972">SUM(AD350:AD351)</f>
        <v>0</v>
      </c>
      <c r="AE349" s="675">
        <f t="shared" si="9972"/>
        <v>0</v>
      </c>
      <c r="AF349" s="549">
        <f t="shared" si="9972"/>
        <v>0</v>
      </c>
      <c r="AG349" s="675">
        <f t="shared" si="9972"/>
        <v>0</v>
      </c>
      <c r="AH349" s="549">
        <f t="shared" si="9972"/>
        <v>0</v>
      </c>
      <c r="AI349" s="675">
        <f t="shared" si="9972"/>
        <v>0</v>
      </c>
      <c r="AJ349" s="549">
        <f t="shared" si="9972"/>
        <v>0</v>
      </c>
      <c r="AK349" s="675">
        <f t="shared" si="9972"/>
        <v>0</v>
      </c>
      <c r="AL349" s="549">
        <f t="shared" ref="AL349:AM349" si="9973">SUM(AL350:AL351)</f>
        <v>0</v>
      </c>
      <c r="AM349" s="675">
        <f t="shared" si="9973"/>
        <v>0</v>
      </c>
      <c r="AN349" s="549">
        <f t="shared" ref="AN349:AS349" si="9974">SUM(AN350:AN351)</f>
        <v>0</v>
      </c>
      <c r="AO349" s="675">
        <f t="shared" si="9974"/>
        <v>0</v>
      </c>
      <c r="AP349" s="549">
        <f t="shared" si="9974"/>
        <v>0</v>
      </c>
      <c r="AQ349" s="675">
        <f t="shared" si="9974"/>
        <v>0</v>
      </c>
      <c r="AR349" s="549">
        <f t="shared" si="9974"/>
        <v>8480</v>
      </c>
      <c r="AS349" s="675">
        <f t="shared" si="9974"/>
        <v>0</v>
      </c>
      <c r="AT349" s="549">
        <f t="shared" ref="AT349:AU349" si="9975">SUM(AT350:AT351)</f>
        <v>0</v>
      </c>
      <c r="AU349" s="675">
        <f t="shared" si="9975"/>
        <v>0</v>
      </c>
      <c r="AV349" s="549">
        <f t="shared" ref="AV349:AW349" si="9976">SUM(AV350:AV351)</f>
        <v>0</v>
      </c>
      <c r="AW349" s="675">
        <f t="shared" si="9976"/>
        <v>0</v>
      </c>
      <c r="AX349" s="549">
        <f t="shared" ref="AX349:AY349" si="9977">SUM(AX350:AX351)</f>
        <v>0</v>
      </c>
      <c r="AY349" s="675">
        <f t="shared" si="9977"/>
        <v>0</v>
      </c>
      <c r="AZ349" s="549">
        <f t="shared" ref="AZ349:BA349" si="9978">SUM(AZ350:AZ351)</f>
        <v>0</v>
      </c>
      <c r="BA349" s="675">
        <f t="shared" si="9978"/>
        <v>0</v>
      </c>
      <c r="BB349" s="549">
        <f t="shared" ref="BB349:BC349" si="9979">SUM(BB350:BB351)</f>
        <v>0</v>
      </c>
      <c r="BC349" s="675">
        <f t="shared" si="9979"/>
        <v>0</v>
      </c>
      <c r="BD349" s="549">
        <f t="shared" ref="BD349:BE349" si="9980">SUM(BD350:BD351)</f>
        <v>0</v>
      </c>
      <c r="BE349" s="675">
        <f t="shared" si="9980"/>
        <v>0</v>
      </c>
      <c r="BF349" s="549">
        <f t="shared" ref="BF349:BG349" si="9981">SUM(BF350:BF351)</f>
        <v>0</v>
      </c>
      <c r="BG349" s="675">
        <f t="shared" si="9981"/>
        <v>0</v>
      </c>
      <c r="BH349" s="549">
        <f t="shared" ref="BH349:BI349" si="9982">SUM(BH350:BH351)</f>
        <v>0</v>
      </c>
      <c r="BI349" s="675">
        <f t="shared" si="9982"/>
        <v>0</v>
      </c>
      <c r="BJ349" s="549">
        <f t="shared" ref="BJ349:BK349" si="9983">SUM(BJ350:BJ351)</f>
        <v>0</v>
      </c>
      <c r="BK349" s="675">
        <f t="shared" si="9983"/>
        <v>0</v>
      </c>
      <c r="BL349" s="549">
        <f t="shared" ref="BL349:BS349" si="9984">SUM(BL350:BL351)</f>
        <v>0</v>
      </c>
      <c r="BM349" s="675">
        <f t="shared" si="9984"/>
        <v>0</v>
      </c>
      <c r="BN349" s="549">
        <f t="shared" si="9984"/>
        <v>0</v>
      </c>
      <c r="BO349" s="675">
        <f t="shared" si="9984"/>
        <v>0</v>
      </c>
      <c r="BP349" s="549">
        <f t="shared" si="9984"/>
        <v>0</v>
      </c>
      <c r="BQ349" s="675">
        <f t="shared" si="9984"/>
        <v>0</v>
      </c>
      <c r="BR349" s="549">
        <f t="shared" si="9984"/>
        <v>0</v>
      </c>
      <c r="BS349" s="675">
        <f t="shared" si="9984"/>
        <v>0</v>
      </c>
      <c r="BT349" s="549">
        <f t="shared" ref="BT349:BU349" si="9985">SUM(BT350:BT351)</f>
        <v>0</v>
      </c>
      <c r="BU349" s="675">
        <f t="shared" si="9985"/>
        <v>0</v>
      </c>
      <c r="BV349" s="549">
        <f t="shared" ref="BV349:BW349" si="9986">SUM(BV350:BV351)</f>
        <v>7480</v>
      </c>
      <c r="BW349" s="675">
        <f t="shared" si="9986"/>
        <v>0</v>
      </c>
      <c r="BX349" s="549">
        <f t="shared" ref="BX349:BY349" si="9987">SUM(BX350:BX351)</f>
        <v>0</v>
      </c>
      <c r="BY349" s="675">
        <f t="shared" si="9987"/>
        <v>0</v>
      </c>
      <c r="BZ349" s="549">
        <f t="shared" ref="BZ349:CA349" si="9988">SUM(BZ350:BZ351)</f>
        <v>0</v>
      </c>
      <c r="CA349" s="675">
        <f t="shared" si="9988"/>
        <v>0</v>
      </c>
      <c r="CB349" s="549">
        <f t="shared" ref="CB349:CE349" si="9989">SUM(CB350:CB351)</f>
        <v>0</v>
      </c>
      <c r="CC349" s="675">
        <f t="shared" si="9989"/>
        <v>0</v>
      </c>
      <c r="CD349" s="549">
        <f t="shared" si="9989"/>
        <v>0</v>
      </c>
      <c r="CE349" s="675">
        <f t="shared" si="9989"/>
        <v>0</v>
      </c>
      <c r="CF349" s="549">
        <f t="shared" ref="CF349:CQ349" si="9990">SUM(CF350:CF351)</f>
        <v>0</v>
      </c>
      <c r="CG349" s="675">
        <f t="shared" si="9990"/>
        <v>0</v>
      </c>
      <c r="CH349" s="549">
        <f t="shared" si="9990"/>
        <v>0</v>
      </c>
      <c r="CI349" s="675">
        <f t="shared" si="9990"/>
        <v>0</v>
      </c>
      <c r="CJ349" s="549">
        <f t="shared" si="9990"/>
        <v>0</v>
      </c>
      <c r="CK349" s="675">
        <f t="shared" si="9990"/>
        <v>0</v>
      </c>
      <c r="CL349" s="549">
        <f t="shared" si="9990"/>
        <v>0</v>
      </c>
      <c r="CM349" s="675">
        <f t="shared" si="9990"/>
        <v>0</v>
      </c>
      <c r="CN349" s="549">
        <f t="shared" si="9990"/>
        <v>0</v>
      </c>
      <c r="CO349" s="675">
        <f t="shared" si="9990"/>
        <v>0</v>
      </c>
      <c r="CP349" s="549">
        <f t="shared" si="9990"/>
        <v>0</v>
      </c>
      <c r="CQ349" s="675">
        <f t="shared" si="9990"/>
        <v>0</v>
      </c>
      <c r="CR349" s="549">
        <f t="shared" ref="CR349:CY349" si="9991">SUM(CR350:CR351)</f>
        <v>0</v>
      </c>
      <c r="CS349" s="675">
        <f t="shared" si="9991"/>
        <v>0</v>
      </c>
      <c r="CT349" s="549">
        <f t="shared" si="9991"/>
        <v>0</v>
      </c>
      <c r="CU349" s="675">
        <f t="shared" si="9991"/>
        <v>0</v>
      </c>
      <c r="CV349" s="549">
        <f t="shared" si="9991"/>
        <v>0</v>
      </c>
      <c r="CW349" s="675">
        <f t="shared" si="9991"/>
        <v>0</v>
      </c>
      <c r="CX349" s="549">
        <f t="shared" si="9991"/>
        <v>0</v>
      </c>
      <c r="CY349" s="675">
        <f t="shared" si="9991"/>
        <v>0</v>
      </c>
      <c r="CZ349" s="549">
        <f t="shared" ref="CZ349:DG349" si="9992">SUM(CZ350:CZ351)</f>
        <v>0</v>
      </c>
      <c r="DA349" s="675">
        <f t="shared" si="9992"/>
        <v>0</v>
      </c>
      <c r="DB349" s="549">
        <f t="shared" si="9992"/>
        <v>0</v>
      </c>
      <c r="DC349" s="675">
        <f t="shared" si="9992"/>
        <v>0</v>
      </c>
      <c r="DD349" s="549">
        <f t="shared" si="9992"/>
        <v>0</v>
      </c>
      <c r="DE349" s="675">
        <f t="shared" si="9992"/>
        <v>0</v>
      </c>
      <c r="DF349" s="549">
        <f t="shared" si="9992"/>
        <v>0</v>
      </c>
      <c r="DG349" s="675">
        <f t="shared" si="9992"/>
        <v>0</v>
      </c>
      <c r="DH349" s="549">
        <f t="shared" ref="DH349:DY349" si="9993">SUM(DH350:DH351)</f>
        <v>0</v>
      </c>
      <c r="DI349" s="675">
        <f t="shared" si="9993"/>
        <v>0</v>
      </c>
      <c r="DJ349" s="549">
        <f t="shared" si="9993"/>
        <v>0</v>
      </c>
      <c r="DK349" s="675">
        <f t="shared" si="9993"/>
        <v>0</v>
      </c>
      <c r="DL349" s="549">
        <f t="shared" si="9993"/>
        <v>0</v>
      </c>
      <c r="DM349" s="675">
        <f t="shared" si="9993"/>
        <v>0</v>
      </c>
      <c r="DN349" s="549">
        <f t="shared" si="9993"/>
        <v>0</v>
      </c>
      <c r="DO349" s="675">
        <f t="shared" si="9993"/>
        <v>0</v>
      </c>
      <c r="DP349" s="549">
        <f t="shared" si="9993"/>
        <v>0</v>
      </c>
      <c r="DQ349" s="675">
        <f t="shared" si="9993"/>
        <v>0</v>
      </c>
      <c r="DR349" s="549">
        <f t="shared" si="9993"/>
        <v>0</v>
      </c>
      <c r="DS349" s="675">
        <f t="shared" si="9993"/>
        <v>0</v>
      </c>
      <c r="DT349" s="549">
        <f t="shared" si="9993"/>
        <v>0</v>
      </c>
      <c r="DU349" s="675">
        <f t="shared" si="9993"/>
        <v>0</v>
      </c>
      <c r="DV349" s="549">
        <f t="shared" si="9993"/>
        <v>0</v>
      </c>
      <c r="DW349" s="675">
        <f t="shared" si="9993"/>
        <v>0</v>
      </c>
      <c r="DX349" s="549">
        <f t="shared" si="9993"/>
        <v>0</v>
      </c>
      <c r="DY349" s="675">
        <f t="shared" si="9993"/>
        <v>0</v>
      </c>
      <c r="DZ349" s="549">
        <f t="shared" ref="DZ349:FA349" si="9994">SUM(DZ350:DZ351)</f>
        <v>0</v>
      </c>
      <c r="EA349" s="675">
        <f t="shared" si="9994"/>
        <v>0</v>
      </c>
      <c r="EB349" s="549">
        <f t="shared" si="9994"/>
        <v>0</v>
      </c>
      <c r="EC349" s="675">
        <f t="shared" si="9994"/>
        <v>0</v>
      </c>
      <c r="ED349" s="549">
        <f t="shared" si="9994"/>
        <v>0</v>
      </c>
      <c r="EE349" s="675">
        <f t="shared" si="9994"/>
        <v>0</v>
      </c>
      <c r="EF349" s="549">
        <f t="shared" si="9994"/>
        <v>36277</v>
      </c>
      <c r="EG349" s="675">
        <f t="shared" si="9994"/>
        <v>0</v>
      </c>
      <c r="EH349" s="549">
        <f t="shared" ref="EH349:EM349" si="9995">SUM(EH350:EH351)</f>
        <v>0</v>
      </c>
      <c r="EI349" s="675">
        <f t="shared" si="9995"/>
        <v>0</v>
      </c>
      <c r="EJ349" s="549">
        <f t="shared" si="9995"/>
        <v>0</v>
      </c>
      <c r="EK349" s="675">
        <f t="shared" si="9995"/>
        <v>0</v>
      </c>
      <c r="EL349" s="549">
        <f t="shared" si="9995"/>
        <v>0</v>
      </c>
      <c r="EM349" s="675">
        <f t="shared" si="9995"/>
        <v>0</v>
      </c>
      <c r="EN349" s="549">
        <f t="shared" si="9994"/>
        <v>0</v>
      </c>
      <c r="EO349" s="675">
        <f t="shared" si="9994"/>
        <v>0</v>
      </c>
      <c r="EP349" s="549">
        <f t="shared" si="9994"/>
        <v>0</v>
      </c>
      <c r="EQ349" s="675">
        <f t="shared" si="9994"/>
        <v>0</v>
      </c>
      <c r="ER349" s="549">
        <f t="shared" si="9994"/>
        <v>0</v>
      </c>
      <c r="ES349" s="675">
        <f t="shared" si="9994"/>
        <v>0</v>
      </c>
      <c r="ET349" s="549">
        <f t="shared" si="9994"/>
        <v>0</v>
      </c>
      <c r="EU349" s="675">
        <f t="shared" si="9994"/>
        <v>0</v>
      </c>
      <c r="EV349" s="549">
        <f t="shared" ref="EV349:EW349" si="9996">SUM(EV350:EV351)</f>
        <v>0</v>
      </c>
      <c r="EW349" s="675">
        <f t="shared" si="9996"/>
        <v>0</v>
      </c>
      <c r="EX349" s="549">
        <f t="shared" si="9994"/>
        <v>0</v>
      </c>
      <c r="EY349" s="675">
        <f t="shared" si="9994"/>
        <v>0</v>
      </c>
      <c r="EZ349" s="549">
        <f t="shared" si="9994"/>
        <v>0</v>
      </c>
      <c r="FA349" s="675">
        <f t="shared" si="9994"/>
        <v>0</v>
      </c>
      <c r="FB349" s="549">
        <f t="shared" ref="FB349:FC349" si="9997">SUM(FB350:FB351)</f>
        <v>0</v>
      </c>
      <c r="FC349" s="675">
        <f t="shared" si="9997"/>
        <v>0</v>
      </c>
      <c r="FD349" s="549">
        <f t="shared" ref="FD349:FE349" si="9998">SUM(FD350:FD351)</f>
        <v>0</v>
      </c>
      <c r="FE349" s="675">
        <f t="shared" si="9998"/>
        <v>0</v>
      </c>
      <c r="FF349" s="549">
        <f t="shared" ref="FF349:FG349" si="9999">SUM(FF350:FF351)</f>
        <v>0</v>
      </c>
      <c r="FG349" s="675">
        <f t="shared" si="9999"/>
        <v>0</v>
      </c>
      <c r="FH349" s="549">
        <f t="shared" ref="FH349:GR349" si="10000">SUM(FH350:FH352)</f>
        <v>4200</v>
      </c>
      <c r="FI349" s="675">
        <f t="shared" si="10000"/>
        <v>0</v>
      </c>
      <c r="FJ349" s="549">
        <f t="shared" si="10000"/>
        <v>0</v>
      </c>
      <c r="FK349" s="675">
        <f t="shared" si="10000"/>
        <v>0</v>
      </c>
      <c r="FL349" s="549">
        <f t="shared" si="10000"/>
        <v>0</v>
      </c>
      <c r="FM349" s="675">
        <f t="shared" si="10000"/>
        <v>0</v>
      </c>
      <c r="FN349" s="549">
        <f t="shared" si="10000"/>
        <v>0</v>
      </c>
      <c r="FO349" s="675">
        <f t="shared" si="10000"/>
        <v>0</v>
      </c>
      <c r="FP349" s="549">
        <f t="shared" si="10000"/>
        <v>0</v>
      </c>
      <c r="FQ349" s="675">
        <f t="shared" si="10000"/>
        <v>0</v>
      </c>
      <c r="FR349" s="549">
        <f t="shared" si="10000"/>
        <v>0</v>
      </c>
      <c r="FS349" s="675">
        <f t="shared" si="10000"/>
        <v>0</v>
      </c>
      <c r="FT349" s="549">
        <f t="shared" si="10000"/>
        <v>0</v>
      </c>
      <c r="FU349" s="675">
        <f t="shared" si="10000"/>
        <v>0</v>
      </c>
      <c r="FV349" s="549">
        <f t="shared" si="10000"/>
        <v>0</v>
      </c>
      <c r="FW349" s="675">
        <f t="shared" si="10000"/>
        <v>0</v>
      </c>
      <c r="FX349" s="549">
        <f t="shared" si="10000"/>
        <v>0</v>
      </c>
      <c r="FY349" s="675">
        <f t="shared" si="10000"/>
        <v>0</v>
      </c>
      <c r="FZ349" s="549">
        <f t="shared" si="10000"/>
        <v>0</v>
      </c>
      <c r="GA349" s="675">
        <f t="shared" si="10000"/>
        <v>0</v>
      </c>
      <c r="GB349" s="549">
        <f t="shared" si="10000"/>
        <v>0</v>
      </c>
      <c r="GC349" s="675">
        <f t="shared" si="10000"/>
        <v>0</v>
      </c>
      <c r="GD349" s="549">
        <f t="shared" si="10000"/>
        <v>0</v>
      </c>
      <c r="GE349" s="675">
        <f t="shared" si="10000"/>
        <v>0</v>
      </c>
      <c r="GF349" s="549">
        <f t="shared" si="10000"/>
        <v>0</v>
      </c>
      <c r="GG349" s="675">
        <f t="shared" si="10000"/>
        <v>0</v>
      </c>
      <c r="GH349" s="549">
        <f t="shared" si="10000"/>
        <v>0</v>
      </c>
      <c r="GI349" s="675">
        <f t="shared" si="10000"/>
        <v>0</v>
      </c>
      <c r="GJ349" s="549">
        <f t="shared" si="10000"/>
        <v>0</v>
      </c>
      <c r="GK349" s="675">
        <f t="shared" si="10000"/>
        <v>0</v>
      </c>
      <c r="GL349" s="549">
        <f t="shared" si="10000"/>
        <v>0</v>
      </c>
      <c r="GM349" s="675">
        <f t="shared" si="10000"/>
        <v>0</v>
      </c>
      <c r="GN349" s="549">
        <f t="shared" si="10000"/>
        <v>0</v>
      </c>
      <c r="GO349" s="675">
        <f t="shared" si="10000"/>
        <v>0</v>
      </c>
      <c r="GP349" s="549">
        <f t="shared" si="10000"/>
        <v>56437</v>
      </c>
      <c r="GQ349" s="675">
        <f t="shared" si="10000"/>
        <v>0</v>
      </c>
      <c r="GR349" s="74">
        <f t="shared" si="10000"/>
        <v>56437</v>
      </c>
      <c r="GS349" s="74">
        <f t="shared" ref="GS349:JD349" si="10001">SUM(GS350:GS352)</f>
        <v>56437</v>
      </c>
      <c r="GT349" s="74">
        <f t="shared" si="10001"/>
        <v>52237</v>
      </c>
      <c r="GU349" s="74">
        <f t="shared" si="10001"/>
        <v>0</v>
      </c>
      <c r="GV349" s="74">
        <f t="shared" si="10001"/>
        <v>0</v>
      </c>
      <c r="GW349" s="549">
        <f t="shared" si="10001"/>
        <v>0</v>
      </c>
      <c r="GX349" s="549">
        <f t="shared" si="10001"/>
        <v>0</v>
      </c>
      <c r="GY349" s="74">
        <f t="shared" si="10001"/>
        <v>0</v>
      </c>
      <c r="GZ349" s="74">
        <f t="shared" si="10001"/>
        <v>0</v>
      </c>
      <c r="HA349" s="74">
        <f t="shared" si="10001"/>
        <v>0</v>
      </c>
      <c r="HB349" s="74">
        <f t="shared" si="10001"/>
        <v>0</v>
      </c>
      <c r="HC349" s="74">
        <f t="shared" si="10001"/>
        <v>0</v>
      </c>
      <c r="HD349" s="74">
        <f t="shared" si="10001"/>
        <v>0</v>
      </c>
      <c r="HE349" s="74">
        <f t="shared" si="10001"/>
        <v>0</v>
      </c>
      <c r="HF349" s="74">
        <f t="shared" si="10001"/>
        <v>0</v>
      </c>
      <c r="HG349" s="74">
        <f t="shared" si="10001"/>
        <v>56437</v>
      </c>
      <c r="HH349" s="74">
        <f t="shared" si="10001"/>
        <v>0</v>
      </c>
      <c r="HI349" s="792">
        <f t="shared" si="10001"/>
        <v>0</v>
      </c>
      <c r="HJ349" s="74">
        <f t="shared" si="10001"/>
        <v>0</v>
      </c>
      <c r="HK349" s="792">
        <f t="shared" si="10001"/>
        <v>0</v>
      </c>
      <c r="HL349" s="74">
        <f t="shared" si="10001"/>
        <v>0</v>
      </c>
      <c r="HM349" s="792">
        <f t="shared" si="10001"/>
        <v>0</v>
      </c>
      <c r="HN349" s="74">
        <f t="shared" si="10001"/>
        <v>0</v>
      </c>
      <c r="HO349" s="792">
        <f t="shared" si="10001"/>
        <v>0</v>
      </c>
      <c r="HP349" s="74">
        <f t="shared" si="10001"/>
        <v>0</v>
      </c>
      <c r="HQ349" s="792">
        <f t="shared" si="10001"/>
        <v>0</v>
      </c>
      <c r="HR349" s="74">
        <f t="shared" si="10001"/>
        <v>0</v>
      </c>
      <c r="HS349" s="792">
        <f t="shared" si="10001"/>
        <v>0</v>
      </c>
      <c r="HT349" s="74">
        <f t="shared" si="10001"/>
        <v>0</v>
      </c>
      <c r="HU349" s="792">
        <f t="shared" si="10001"/>
        <v>0</v>
      </c>
      <c r="HV349" s="74">
        <f t="shared" si="10001"/>
        <v>0</v>
      </c>
      <c r="HW349" s="792">
        <f t="shared" si="10001"/>
        <v>0</v>
      </c>
      <c r="HX349" s="74">
        <f t="shared" si="10001"/>
        <v>0</v>
      </c>
      <c r="HY349" s="792">
        <f t="shared" si="10001"/>
        <v>0</v>
      </c>
      <c r="HZ349" s="74">
        <f t="shared" si="10001"/>
        <v>0</v>
      </c>
      <c r="IA349" s="792">
        <f t="shared" si="10001"/>
        <v>0</v>
      </c>
      <c r="IB349" s="74">
        <f t="shared" si="10001"/>
        <v>0</v>
      </c>
      <c r="IC349" s="792">
        <f t="shared" si="10001"/>
        <v>0</v>
      </c>
      <c r="ID349" s="74">
        <f t="shared" si="10001"/>
        <v>0</v>
      </c>
      <c r="IE349" s="792">
        <f t="shared" si="10001"/>
        <v>0</v>
      </c>
      <c r="IF349" s="841">
        <f t="shared" si="10001"/>
        <v>52236.45</v>
      </c>
      <c r="IG349" s="263">
        <f t="shared" si="10001"/>
        <v>52236.45</v>
      </c>
      <c r="IH349" s="842">
        <f t="shared" si="10001"/>
        <v>52236.45</v>
      </c>
      <c r="II349" s="74">
        <f t="shared" si="10001"/>
        <v>0</v>
      </c>
      <c r="IJ349" s="74">
        <f t="shared" si="10001"/>
        <v>0</v>
      </c>
      <c r="IK349" s="74">
        <f t="shared" si="10001"/>
        <v>0</v>
      </c>
      <c r="IL349" s="74">
        <f t="shared" si="10001"/>
        <v>0</v>
      </c>
      <c r="IM349" s="74">
        <f t="shared" si="10001"/>
        <v>0</v>
      </c>
      <c r="IN349" s="74">
        <f t="shared" si="10001"/>
        <v>0</v>
      </c>
      <c r="IO349" s="74">
        <f t="shared" si="10001"/>
        <v>0</v>
      </c>
      <c r="IP349" s="74">
        <f t="shared" si="10001"/>
        <v>0</v>
      </c>
      <c r="IQ349" s="74">
        <f t="shared" si="10001"/>
        <v>0</v>
      </c>
      <c r="IR349" s="74">
        <f t="shared" si="10001"/>
        <v>0</v>
      </c>
      <c r="IS349" s="74">
        <f t="shared" si="10001"/>
        <v>0</v>
      </c>
      <c r="IT349" s="74">
        <f t="shared" si="10001"/>
        <v>0</v>
      </c>
      <c r="IU349" s="74">
        <f t="shared" si="10001"/>
        <v>8480</v>
      </c>
      <c r="IV349" s="74">
        <f t="shared" si="10001"/>
        <v>8480</v>
      </c>
      <c r="IW349" s="74">
        <f t="shared" si="10001"/>
        <v>8480</v>
      </c>
      <c r="IX349" s="74">
        <f t="shared" si="10001"/>
        <v>7480</v>
      </c>
      <c r="IY349" s="74">
        <f t="shared" si="10001"/>
        <v>7480</v>
      </c>
      <c r="IZ349" s="74">
        <f t="shared" si="10001"/>
        <v>7480</v>
      </c>
      <c r="JA349" s="74">
        <f t="shared" si="10001"/>
        <v>0</v>
      </c>
      <c r="JB349" s="74">
        <f t="shared" si="10001"/>
        <v>0</v>
      </c>
      <c r="JC349" s="74">
        <f t="shared" si="10001"/>
        <v>0</v>
      </c>
      <c r="JD349" s="74">
        <f t="shared" si="10001"/>
        <v>0</v>
      </c>
      <c r="JE349" s="74">
        <f t="shared" ref="JE349:JT349" si="10002">SUM(JE350:JE352)</f>
        <v>0</v>
      </c>
      <c r="JF349" s="74">
        <f t="shared" si="10002"/>
        <v>0</v>
      </c>
      <c r="JG349" s="74">
        <f t="shared" si="10002"/>
        <v>0</v>
      </c>
      <c r="JH349" s="74">
        <f t="shared" si="10002"/>
        <v>0</v>
      </c>
      <c r="JI349" s="74">
        <f t="shared" si="10002"/>
        <v>0</v>
      </c>
      <c r="JJ349" s="74">
        <f t="shared" si="10002"/>
        <v>36276.449999999997</v>
      </c>
      <c r="JK349" s="74">
        <f t="shared" si="10002"/>
        <v>36276.449999999997</v>
      </c>
      <c r="JL349" s="74">
        <f t="shared" si="10002"/>
        <v>36276.449999999997</v>
      </c>
      <c r="JM349" s="74">
        <f t="shared" si="10002"/>
        <v>0</v>
      </c>
      <c r="JN349" s="74">
        <f t="shared" si="10002"/>
        <v>0</v>
      </c>
      <c r="JO349" s="74">
        <f t="shared" si="10002"/>
        <v>0</v>
      </c>
      <c r="JP349" s="74">
        <f t="shared" si="10002"/>
        <v>0</v>
      </c>
      <c r="JQ349" s="74">
        <f t="shared" si="10002"/>
        <v>0</v>
      </c>
      <c r="JR349" s="74">
        <f t="shared" si="10002"/>
        <v>0</v>
      </c>
      <c r="JS349" s="74">
        <f t="shared" si="10002"/>
        <v>4200.5500000000029</v>
      </c>
      <c r="JT349" s="102">
        <f t="shared" si="10002"/>
        <v>4200.5500000000029</v>
      </c>
      <c r="JU349" s="665"/>
      <c r="JV349" s="524"/>
      <c r="JW349" s="525"/>
      <c r="JX349" s="548">
        <f>SUM(JX350:JX352)</f>
        <v>0</v>
      </c>
      <c r="JY349" s="548">
        <f t="shared" ref="JY349:KA349" si="10003">SUM(JY350:JY352)</f>
        <v>0</v>
      </c>
      <c r="JZ349" s="581">
        <f>SUM(JZ350:JZ352)</f>
        <v>56437</v>
      </c>
      <c r="KA349" s="581">
        <f t="shared" si="10003"/>
        <v>0</v>
      </c>
      <c r="KB349" s="548">
        <f>SUM(KB350:KB352)</f>
        <v>56437</v>
      </c>
      <c r="KC349" s="709">
        <f t="shared" si="9101"/>
        <v>0</v>
      </c>
      <c r="KD349" s="36"/>
      <c r="KE349" s="36"/>
      <c r="KF349" s="36"/>
      <c r="KG349" s="36"/>
      <c r="KH349" s="36"/>
      <c r="KI349" s="36"/>
      <c r="KJ349" s="36"/>
      <c r="KK349" s="36"/>
    </row>
    <row r="350" spans="1:297" s="10" customFormat="1" ht="12.75" hidden="1" customHeight="1">
      <c r="A350" s="86" t="s">
        <v>819</v>
      </c>
      <c r="B350" s="77"/>
      <c r="C350" s="74">
        <v>0</v>
      </c>
      <c r="D350" s="549">
        <v>0</v>
      </c>
      <c r="E350" s="675">
        <v>0</v>
      </c>
      <c r="F350" s="549">
        <v>0</v>
      </c>
      <c r="G350" s="675">
        <v>0</v>
      </c>
      <c r="H350" s="549">
        <v>0</v>
      </c>
      <c r="I350" s="675">
        <v>0</v>
      </c>
      <c r="J350" s="549">
        <v>0</v>
      </c>
      <c r="K350" s="675">
        <v>0</v>
      </c>
      <c r="L350" s="549">
        <v>0</v>
      </c>
      <c r="M350" s="675">
        <v>0</v>
      </c>
      <c r="N350" s="549">
        <v>0</v>
      </c>
      <c r="O350" s="675">
        <v>0</v>
      </c>
      <c r="P350" s="549">
        <v>0</v>
      </c>
      <c r="Q350" s="675">
        <v>0</v>
      </c>
      <c r="R350" s="549">
        <v>0</v>
      </c>
      <c r="S350" s="675">
        <v>0</v>
      </c>
      <c r="T350" s="549">
        <v>0</v>
      </c>
      <c r="U350" s="675">
        <v>0</v>
      </c>
      <c r="V350" s="549">
        <v>0</v>
      </c>
      <c r="W350" s="675">
        <v>0</v>
      </c>
      <c r="X350" s="549">
        <v>0</v>
      </c>
      <c r="Y350" s="675">
        <v>0</v>
      </c>
      <c r="Z350" s="549">
        <v>0</v>
      </c>
      <c r="AA350" s="675">
        <v>0</v>
      </c>
      <c r="AB350" s="549">
        <v>0</v>
      </c>
      <c r="AC350" s="675">
        <v>0</v>
      </c>
      <c r="AD350" s="549">
        <v>0</v>
      </c>
      <c r="AE350" s="675">
        <v>0</v>
      </c>
      <c r="AF350" s="549">
        <v>0</v>
      </c>
      <c r="AG350" s="675">
        <v>0</v>
      </c>
      <c r="AH350" s="549">
        <v>0</v>
      </c>
      <c r="AI350" s="675">
        <v>0</v>
      </c>
      <c r="AJ350" s="549">
        <v>0</v>
      </c>
      <c r="AK350" s="675">
        <v>0</v>
      </c>
      <c r="AL350" s="549">
        <v>0</v>
      </c>
      <c r="AM350" s="675">
        <v>0</v>
      </c>
      <c r="AN350" s="549">
        <v>0</v>
      </c>
      <c r="AO350" s="675">
        <v>0</v>
      </c>
      <c r="AP350" s="549">
        <v>0</v>
      </c>
      <c r="AQ350" s="675">
        <v>0</v>
      </c>
      <c r="AR350" s="549">
        <v>0</v>
      </c>
      <c r="AS350" s="675">
        <v>0</v>
      </c>
      <c r="AT350" s="549">
        <v>0</v>
      </c>
      <c r="AU350" s="675">
        <v>0</v>
      </c>
      <c r="AV350" s="549">
        <v>0</v>
      </c>
      <c r="AW350" s="675">
        <v>0</v>
      </c>
      <c r="AX350" s="549">
        <v>0</v>
      </c>
      <c r="AY350" s="675">
        <v>0</v>
      </c>
      <c r="AZ350" s="549">
        <v>0</v>
      </c>
      <c r="BA350" s="675">
        <v>0</v>
      </c>
      <c r="BB350" s="549">
        <v>0</v>
      </c>
      <c r="BC350" s="675">
        <v>0</v>
      </c>
      <c r="BD350" s="549">
        <v>0</v>
      </c>
      <c r="BE350" s="675">
        <v>0</v>
      </c>
      <c r="BF350" s="549">
        <v>0</v>
      </c>
      <c r="BG350" s="675">
        <v>0</v>
      </c>
      <c r="BH350" s="549">
        <v>0</v>
      </c>
      <c r="BI350" s="675">
        <v>0</v>
      </c>
      <c r="BJ350" s="549">
        <v>0</v>
      </c>
      <c r="BK350" s="675">
        <v>0</v>
      </c>
      <c r="BL350" s="549">
        <v>0</v>
      </c>
      <c r="BM350" s="675">
        <v>0</v>
      </c>
      <c r="BN350" s="549">
        <v>0</v>
      </c>
      <c r="BO350" s="675">
        <v>0</v>
      </c>
      <c r="BP350" s="549">
        <v>0</v>
      </c>
      <c r="BQ350" s="675">
        <v>0</v>
      </c>
      <c r="BR350" s="549">
        <v>0</v>
      </c>
      <c r="BS350" s="675">
        <v>0</v>
      </c>
      <c r="BT350" s="549">
        <v>0</v>
      </c>
      <c r="BU350" s="675">
        <v>0</v>
      </c>
      <c r="BV350" s="549">
        <v>0</v>
      </c>
      <c r="BW350" s="675">
        <v>0</v>
      </c>
      <c r="BX350" s="549">
        <v>0</v>
      </c>
      <c r="BY350" s="675">
        <v>0</v>
      </c>
      <c r="BZ350" s="549">
        <v>0</v>
      </c>
      <c r="CA350" s="675">
        <v>0</v>
      </c>
      <c r="CB350" s="549">
        <v>0</v>
      </c>
      <c r="CC350" s="675">
        <v>0</v>
      </c>
      <c r="CD350" s="549">
        <v>0</v>
      </c>
      <c r="CE350" s="675">
        <v>0</v>
      </c>
      <c r="CF350" s="549">
        <v>0</v>
      </c>
      <c r="CG350" s="675">
        <v>0</v>
      </c>
      <c r="CH350" s="549">
        <v>0</v>
      </c>
      <c r="CI350" s="675">
        <v>0</v>
      </c>
      <c r="CJ350" s="549">
        <v>0</v>
      </c>
      <c r="CK350" s="675">
        <v>0</v>
      </c>
      <c r="CL350" s="549">
        <v>0</v>
      </c>
      <c r="CM350" s="675">
        <v>0</v>
      </c>
      <c r="CN350" s="549">
        <v>0</v>
      </c>
      <c r="CO350" s="675">
        <v>0</v>
      </c>
      <c r="CP350" s="549">
        <v>0</v>
      </c>
      <c r="CQ350" s="675">
        <v>0</v>
      </c>
      <c r="CR350" s="549">
        <v>0</v>
      </c>
      <c r="CS350" s="675">
        <v>0</v>
      </c>
      <c r="CT350" s="549">
        <v>0</v>
      </c>
      <c r="CU350" s="675">
        <v>0</v>
      </c>
      <c r="CV350" s="549">
        <v>0</v>
      </c>
      <c r="CW350" s="675">
        <v>0</v>
      </c>
      <c r="CX350" s="549">
        <v>0</v>
      </c>
      <c r="CY350" s="675">
        <v>0</v>
      </c>
      <c r="CZ350" s="549">
        <v>0</v>
      </c>
      <c r="DA350" s="675">
        <v>0</v>
      </c>
      <c r="DB350" s="549">
        <v>0</v>
      </c>
      <c r="DC350" s="675">
        <v>0</v>
      </c>
      <c r="DD350" s="549">
        <v>0</v>
      </c>
      <c r="DE350" s="675">
        <v>0</v>
      </c>
      <c r="DF350" s="549">
        <v>0</v>
      </c>
      <c r="DG350" s="675">
        <v>0</v>
      </c>
      <c r="DH350" s="549">
        <v>0</v>
      </c>
      <c r="DI350" s="675">
        <v>0</v>
      </c>
      <c r="DJ350" s="549">
        <v>0</v>
      </c>
      <c r="DK350" s="675">
        <v>0</v>
      </c>
      <c r="DL350" s="549">
        <v>0</v>
      </c>
      <c r="DM350" s="675">
        <v>0</v>
      </c>
      <c r="DN350" s="549">
        <v>0</v>
      </c>
      <c r="DO350" s="675">
        <v>0</v>
      </c>
      <c r="DP350" s="549">
        <v>0</v>
      </c>
      <c r="DQ350" s="675">
        <v>0</v>
      </c>
      <c r="DR350" s="549">
        <v>0</v>
      </c>
      <c r="DS350" s="675">
        <v>0</v>
      </c>
      <c r="DT350" s="549">
        <v>0</v>
      </c>
      <c r="DU350" s="675">
        <v>0</v>
      </c>
      <c r="DV350" s="549">
        <v>0</v>
      </c>
      <c r="DW350" s="675">
        <v>0</v>
      </c>
      <c r="DX350" s="549">
        <v>0</v>
      </c>
      <c r="DY350" s="675">
        <v>0</v>
      </c>
      <c r="DZ350" s="549">
        <v>0</v>
      </c>
      <c r="EA350" s="675">
        <v>0</v>
      </c>
      <c r="EB350" s="549">
        <v>0</v>
      </c>
      <c r="EC350" s="675">
        <v>0</v>
      </c>
      <c r="ED350" s="549">
        <v>0</v>
      </c>
      <c r="EE350" s="675">
        <v>0</v>
      </c>
      <c r="EF350" s="549">
        <v>0</v>
      </c>
      <c r="EG350" s="675">
        <v>0</v>
      </c>
      <c r="EH350" s="549">
        <v>0</v>
      </c>
      <c r="EI350" s="675">
        <v>0</v>
      </c>
      <c r="EJ350" s="549">
        <v>0</v>
      </c>
      <c r="EK350" s="675">
        <v>0</v>
      </c>
      <c r="EL350" s="549">
        <v>0</v>
      </c>
      <c r="EM350" s="675">
        <v>0</v>
      </c>
      <c r="EN350" s="549">
        <v>0</v>
      </c>
      <c r="EO350" s="675">
        <v>0</v>
      </c>
      <c r="EP350" s="549">
        <v>0</v>
      </c>
      <c r="EQ350" s="675">
        <v>0</v>
      </c>
      <c r="ER350" s="549">
        <v>0</v>
      </c>
      <c r="ES350" s="675">
        <v>0</v>
      </c>
      <c r="ET350" s="549">
        <v>0</v>
      </c>
      <c r="EU350" s="675">
        <v>0</v>
      </c>
      <c r="EV350" s="549">
        <v>0</v>
      </c>
      <c r="EW350" s="675">
        <v>0</v>
      </c>
      <c r="EX350" s="549">
        <v>0</v>
      </c>
      <c r="EY350" s="675">
        <v>0</v>
      </c>
      <c r="EZ350" s="549">
        <v>0</v>
      </c>
      <c r="FA350" s="675">
        <v>0</v>
      </c>
      <c r="FB350" s="549">
        <v>0</v>
      </c>
      <c r="FC350" s="675">
        <v>0</v>
      </c>
      <c r="FD350" s="549">
        <v>0</v>
      </c>
      <c r="FE350" s="675">
        <v>0</v>
      </c>
      <c r="FF350" s="549">
        <v>0</v>
      </c>
      <c r="FG350" s="675">
        <v>0</v>
      </c>
      <c r="FH350" s="549">
        <v>0</v>
      </c>
      <c r="FI350" s="675">
        <v>0</v>
      </c>
      <c r="FJ350" s="549">
        <v>0</v>
      </c>
      <c r="FK350" s="675">
        <v>0</v>
      </c>
      <c r="FL350" s="549">
        <v>0</v>
      </c>
      <c r="FM350" s="675">
        <v>0</v>
      </c>
      <c r="FN350" s="549">
        <v>0</v>
      </c>
      <c r="FO350" s="675">
        <v>0</v>
      </c>
      <c r="FP350" s="549">
        <v>0</v>
      </c>
      <c r="FQ350" s="675">
        <v>0</v>
      </c>
      <c r="FR350" s="549">
        <v>0</v>
      </c>
      <c r="FS350" s="675">
        <v>0</v>
      </c>
      <c r="FT350" s="549">
        <v>0</v>
      </c>
      <c r="FU350" s="675">
        <v>0</v>
      </c>
      <c r="FV350" s="549">
        <v>0</v>
      </c>
      <c r="FW350" s="675">
        <v>0</v>
      </c>
      <c r="FX350" s="549">
        <v>0</v>
      </c>
      <c r="FY350" s="675">
        <v>0</v>
      </c>
      <c r="FZ350" s="549">
        <v>0</v>
      </c>
      <c r="GA350" s="675">
        <v>0</v>
      </c>
      <c r="GB350" s="549">
        <v>0</v>
      </c>
      <c r="GC350" s="675">
        <v>0</v>
      </c>
      <c r="GD350" s="549">
        <v>0</v>
      </c>
      <c r="GE350" s="675">
        <v>0</v>
      </c>
      <c r="GF350" s="549">
        <v>0</v>
      </c>
      <c r="GG350" s="675">
        <v>0</v>
      </c>
      <c r="GH350" s="549">
        <v>0</v>
      </c>
      <c r="GI350" s="675">
        <v>0</v>
      </c>
      <c r="GJ350" s="549">
        <v>0</v>
      </c>
      <c r="GK350" s="675">
        <v>0</v>
      </c>
      <c r="GL350" s="549">
        <v>0</v>
      </c>
      <c r="GM350" s="675">
        <v>0</v>
      </c>
      <c r="GN350" s="549">
        <v>0</v>
      </c>
      <c r="GO350" s="675">
        <v>0</v>
      </c>
      <c r="GP350" s="549">
        <f>+D350+F350+H350+J350+L350+N350+P350+R350+T350+V350+X350+Z350+AB350+AD350+AH350+AJ350+AL350+AN350+AP350+AR350+AT350+AV350+AX350+AZ350+BB350+BD350+BF350+BH350+BJ350+BL350+BN350+BP350+BR350+BT350+BV350+BX350+BZ350+CB350+CD350+CF350+CH350+CJ350+CL350+CN350+CP350+CR350+CT350+CV350+CX350+CZ350+DB350+DD350+DF350+DH350+DT350+EX350+DJ350+DL350+DN350+DP350+DR350+EJ350+EB350+DZ350+DX350+DV350+ED350+EF350+EH350+EL350+EN350+EP350+EV350+ET350+ER350+EZ350+FB350+FD350+GL350</f>
        <v>0</v>
      </c>
      <c r="GQ350" s="675">
        <f>+E350+G350+I350+K350+M350+O350+Q350+S350+U350+W350+Y350+AA350+AC350+AE350+AI350+AK350+AM350+AO350+AQ350+AS350+AU350+AW350+AY350+BA350+BC350+BE350+BG350+BI350+BK350+BM350+BO350+BQ350+BS350+BU350+BW350+BY350+CA350+CC350+CE350+CG350+CI350+CK350+CM350+CO350+CQ350+CS350+CU350+CW350+CY350+DA350+DC350+DE350+DG350+DI350+DU350+EY350+DK350+DM350+DO350+DQ350+DS350+EK350+EC350+EA350+DY350+DW350+EI350+EG350+EE350+EM350+EO350+EQ350+EW350+EU350+ES350+FA350+FC350+FE350+GM350</f>
        <v>0</v>
      </c>
      <c r="GR350" s="74">
        <f>C350+GP350+GQ350</f>
        <v>0</v>
      </c>
      <c r="GS350" s="74">
        <f t="shared" ref="GS350" si="10004">GU350</f>
        <v>0</v>
      </c>
      <c r="GT350" s="568">
        <f>SUM(GU350:HF350)+GQ350+GP350</f>
        <v>0</v>
      </c>
      <c r="GU350" s="275">
        <v>0</v>
      </c>
      <c r="GV350" s="275">
        <v>0</v>
      </c>
      <c r="GW350" s="588">
        <v>0</v>
      </c>
      <c r="GX350" s="588">
        <v>0</v>
      </c>
      <c r="GY350" s="275">
        <v>0</v>
      </c>
      <c r="GZ350" s="275">
        <v>0</v>
      </c>
      <c r="HA350" s="275">
        <v>0</v>
      </c>
      <c r="HB350" s="275">
        <v>0</v>
      </c>
      <c r="HC350" s="275">
        <v>0</v>
      </c>
      <c r="HD350" s="275">
        <v>0</v>
      </c>
      <c r="HE350" s="275">
        <v>0</v>
      </c>
      <c r="HF350" s="275">
        <v>0</v>
      </c>
      <c r="HG350" s="74">
        <f>SUM(HH350:IE350)+GP350+GQ350</f>
        <v>0</v>
      </c>
      <c r="HH350" s="89">
        <v>0</v>
      </c>
      <c r="HI350" s="817">
        <v>0</v>
      </c>
      <c r="HJ350" s="89">
        <v>0</v>
      </c>
      <c r="HK350" s="817">
        <v>0</v>
      </c>
      <c r="HL350" s="89">
        <v>0</v>
      </c>
      <c r="HM350" s="817">
        <v>0</v>
      </c>
      <c r="HN350" s="89">
        <v>0</v>
      </c>
      <c r="HO350" s="817">
        <v>0</v>
      </c>
      <c r="HP350" s="89">
        <v>0</v>
      </c>
      <c r="HQ350" s="817">
        <v>0</v>
      </c>
      <c r="HR350" s="89">
        <v>0</v>
      </c>
      <c r="HS350" s="817">
        <v>0</v>
      </c>
      <c r="HT350" s="89">
        <v>0</v>
      </c>
      <c r="HU350" s="817">
        <v>0</v>
      </c>
      <c r="HV350" s="89">
        <v>0</v>
      </c>
      <c r="HW350" s="817">
        <v>0</v>
      </c>
      <c r="HX350" s="89">
        <v>0</v>
      </c>
      <c r="HY350" s="817">
        <v>0</v>
      </c>
      <c r="HZ350" s="89">
        <v>0</v>
      </c>
      <c r="IA350" s="817">
        <v>0</v>
      </c>
      <c r="IB350" s="89">
        <v>0</v>
      </c>
      <c r="IC350" s="817">
        <v>0</v>
      </c>
      <c r="ID350" s="89">
        <v>0</v>
      </c>
      <c r="IE350" s="817">
        <v>0</v>
      </c>
      <c r="IF350" s="841">
        <f t="shared" ref="IF350:IF352" si="10005">SUM(II350,IL350,IO350,IR350,IU350,IX350,JA350,JD350,JG350,JJ350,JM350,JP350)</f>
        <v>0</v>
      </c>
      <c r="IG350" s="263">
        <f t="shared" ref="IG350:IG352" si="10006">SUM(IJ350,IM350,IP350,IS350,IV350,IY350,JB350,JE350,JH350,JK350,JN350,JQ350)</f>
        <v>0</v>
      </c>
      <c r="IH350" s="842">
        <f t="shared" ref="IH350:IH352" si="10007">SUM(IK350,IN350,IQ350,IT350,IW350,IZ350,JC350,JF350,JI350,JL350,JO350,JR350)</f>
        <v>0</v>
      </c>
      <c r="II350" s="89">
        <v>0</v>
      </c>
      <c r="IJ350" s="89">
        <v>0</v>
      </c>
      <c r="IK350" s="89">
        <v>0</v>
      </c>
      <c r="IL350" s="89">
        <v>0</v>
      </c>
      <c r="IM350" s="89">
        <v>0</v>
      </c>
      <c r="IN350" s="89">
        <v>0</v>
      </c>
      <c r="IO350" s="89">
        <v>0</v>
      </c>
      <c r="IP350" s="89">
        <v>0</v>
      </c>
      <c r="IQ350" s="89">
        <v>0</v>
      </c>
      <c r="IR350" s="89">
        <v>0</v>
      </c>
      <c r="IS350" s="89">
        <v>0</v>
      </c>
      <c r="IT350" s="89">
        <v>0</v>
      </c>
      <c r="IU350" s="89">
        <v>0</v>
      </c>
      <c r="IV350" s="89">
        <v>0</v>
      </c>
      <c r="IW350" s="89">
        <v>0</v>
      </c>
      <c r="IX350" s="89">
        <v>0</v>
      </c>
      <c r="IY350" s="89">
        <v>0</v>
      </c>
      <c r="IZ350" s="89">
        <v>0</v>
      </c>
      <c r="JA350" s="89">
        <v>0</v>
      </c>
      <c r="JB350" s="89">
        <v>0</v>
      </c>
      <c r="JC350" s="89">
        <v>0</v>
      </c>
      <c r="JD350" s="89">
        <v>0</v>
      </c>
      <c r="JE350" s="89">
        <v>0</v>
      </c>
      <c r="JF350" s="89">
        <v>0</v>
      </c>
      <c r="JG350" s="89">
        <v>0</v>
      </c>
      <c r="JH350" s="89">
        <v>0</v>
      </c>
      <c r="JI350" s="89">
        <v>0</v>
      </c>
      <c r="JJ350" s="89">
        <v>0</v>
      </c>
      <c r="JK350" s="89">
        <v>0</v>
      </c>
      <c r="JL350" s="89">
        <v>0</v>
      </c>
      <c r="JM350" s="89">
        <v>0</v>
      </c>
      <c r="JN350" s="89">
        <v>0</v>
      </c>
      <c r="JO350" s="89">
        <v>0</v>
      </c>
      <c r="JP350" s="89">
        <v>0</v>
      </c>
      <c r="JQ350" s="89">
        <v>0</v>
      </c>
      <c r="JR350" s="89">
        <v>0</v>
      </c>
      <c r="JS350" s="74">
        <f>HG350-IF350</f>
        <v>0</v>
      </c>
      <c r="JT350" s="382">
        <f>GS350-IF350</f>
        <v>0</v>
      </c>
      <c r="JU350" s="665"/>
      <c r="JV350" s="524"/>
      <c r="JW350" s="525"/>
      <c r="JX350" s="548">
        <f t="shared" ref="JX350:JY352" si="10008">SUM(HH350,HJ350,HL350,HN350,HP350,HR350,HT350,HV350,HX350,HZ350,IB350,ID350)</f>
        <v>0</v>
      </c>
      <c r="JY350" s="548">
        <f t="shared" si="10008"/>
        <v>0</v>
      </c>
      <c r="JZ350" s="581">
        <f t="shared" si="9103"/>
        <v>0</v>
      </c>
      <c r="KA350" s="581">
        <f t="shared" si="9104"/>
        <v>0</v>
      </c>
      <c r="KB350" s="548">
        <f t="shared" si="8622"/>
        <v>0</v>
      </c>
      <c r="KC350" s="709">
        <f t="shared" si="9101"/>
        <v>0</v>
      </c>
      <c r="KD350" s="36"/>
      <c r="KE350" s="36"/>
      <c r="KF350" s="36"/>
      <c r="KG350" s="36"/>
      <c r="KH350" s="36"/>
      <c r="KI350" s="36"/>
      <c r="KJ350" s="36"/>
      <c r="KK350" s="36"/>
    </row>
    <row r="351" spans="1:297" s="10" customFormat="1">
      <c r="A351" s="86" t="s">
        <v>782</v>
      </c>
      <c r="B351" s="77" t="s">
        <v>206</v>
      </c>
      <c r="C351" s="74">
        <v>0</v>
      </c>
      <c r="D351" s="549">
        <v>0</v>
      </c>
      <c r="E351" s="675">
        <v>0</v>
      </c>
      <c r="F351" s="549">
        <v>0</v>
      </c>
      <c r="G351" s="675">
        <v>0</v>
      </c>
      <c r="H351" s="549">
        <v>0</v>
      </c>
      <c r="I351" s="675">
        <v>0</v>
      </c>
      <c r="J351" s="549">
        <v>0</v>
      </c>
      <c r="K351" s="675">
        <v>0</v>
      </c>
      <c r="L351" s="549">
        <v>0</v>
      </c>
      <c r="M351" s="675">
        <v>0</v>
      </c>
      <c r="N351" s="549">
        <v>0</v>
      </c>
      <c r="O351" s="675">
        <v>0</v>
      </c>
      <c r="P351" s="549">
        <v>0</v>
      </c>
      <c r="Q351" s="675">
        <v>0</v>
      </c>
      <c r="R351" s="549">
        <v>0</v>
      </c>
      <c r="S351" s="675">
        <v>0</v>
      </c>
      <c r="T351" s="549">
        <v>0</v>
      </c>
      <c r="U351" s="675">
        <v>0</v>
      </c>
      <c r="V351" s="549">
        <v>0</v>
      </c>
      <c r="W351" s="675">
        <v>0</v>
      </c>
      <c r="X351" s="549">
        <v>0</v>
      </c>
      <c r="Y351" s="675">
        <v>0</v>
      </c>
      <c r="Z351" s="549">
        <v>0</v>
      </c>
      <c r="AA351" s="675">
        <v>0</v>
      </c>
      <c r="AB351" s="549">
        <v>0</v>
      </c>
      <c r="AC351" s="675">
        <v>0</v>
      </c>
      <c r="AD351" s="549">
        <v>0</v>
      </c>
      <c r="AE351" s="675">
        <v>0</v>
      </c>
      <c r="AF351" s="549">
        <v>0</v>
      </c>
      <c r="AG351" s="675">
        <v>0</v>
      </c>
      <c r="AH351" s="549">
        <v>0</v>
      </c>
      <c r="AI351" s="675">
        <v>0</v>
      </c>
      <c r="AJ351" s="549">
        <v>0</v>
      </c>
      <c r="AK351" s="675">
        <v>0</v>
      </c>
      <c r="AL351" s="549">
        <v>0</v>
      </c>
      <c r="AM351" s="675">
        <v>0</v>
      </c>
      <c r="AN351" s="549">
        <v>0</v>
      </c>
      <c r="AO351" s="675">
        <v>0</v>
      </c>
      <c r="AP351" s="549">
        <v>0</v>
      </c>
      <c r="AQ351" s="675">
        <v>0</v>
      </c>
      <c r="AR351" s="549">
        <v>8480</v>
      </c>
      <c r="AS351" s="675">
        <v>0</v>
      </c>
      <c r="AT351" s="549">
        <v>0</v>
      </c>
      <c r="AU351" s="675">
        <v>0</v>
      </c>
      <c r="AV351" s="549">
        <v>0</v>
      </c>
      <c r="AW351" s="675">
        <v>0</v>
      </c>
      <c r="AX351" s="549">
        <v>0</v>
      </c>
      <c r="AY351" s="675">
        <v>0</v>
      </c>
      <c r="AZ351" s="549">
        <v>0</v>
      </c>
      <c r="BA351" s="675">
        <v>0</v>
      </c>
      <c r="BB351" s="549">
        <v>0</v>
      </c>
      <c r="BC351" s="675">
        <v>0</v>
      </c>
      <c r="BD351" s="549">
        <v>0</v>
      </c>
      <c r="BE351" s="675">
        <v>0</v>
      </c>
      <c r="BF351" s="549">
        <v>0</v>
      </c>
      <c r="BG351" s="675">
        <v>0</v>
      </c>
      <c r="BH351" s="549">
        <v>0</v>
      </c>
      <c r="BI351" s="675">
        <v>0</v>
      </c>
      <c r="BJ351" s="549">
        <v>0</v>
      </c>
      <c r="BK351" s="675">
        <v>0</v>
      </c>
      <c r="BL351" s="549">
        <v>0</v>
      </c>
      <c r="BM351" s="675">
        <v>0</v>
      </c>
      <c r="BN351" s="549">
        <v>0</v>
      </c>
      <c r="BO351" s="675">
        <v>0</v>
      </c>
      <c r="BP351" s="549">
        <v>0</v>
      </c>
      <c r="BQ351" s="675">
        <v>0</v>
      </c>
      <c r="BR351" s="549">
        <v>0</v>
      </c>
      <c r="BS351" s="675">
        <v>0</v>
      </c>
      <c r="BT351" s="549">
        <v>0</v>
      </c>
      <c r="BU351" s="675">
        <v>0</v>
      </c>
      <c r="BV351" s="549">
        <v>7480</v>
      </c>
      <c r="BW351" s="675">
        <v>0</v>
      </c>
      <c r="BX351" s="549">
        <v>0</v>
      </c>
      <c r="BY351" s="675">
        <v>0</v>
      </c>
      <c r="BZ351" s="549">
        <v>0</v>
      </c>
      <c r="CA351" s="675">
        <v>0</v>
      </c>
      <c r="CB351" s="549">
        <v>0</v>
      </c>
      <c r="CC351" s="675">
        <v>0</v>
      </c>
      <c r="CD351" s="549">
        <v>0</v>
      </c>
      <c r="CE351" s="675">
        <v>0</v>
      </c>
      <c r="CF351" s="549">
        <v>0</v>
      </c>
      <c r="CG351" s="675">
        <v>0</v>
      </c>
      <c r="CH351" s="549">
        <v>0</v>
      </c>
      <c r="CI351" s="675">
        <v>0</v>
      </c>
      <c r="CJ351" s="549">
        <v>0</v>
      </c>
      <c r="CK351" s="675">
        <v>0</v>
      </c>
      <c r="CL351" s="549">
        <v>0</v>
      </c>
      <c r="CM351" s="675">
        <v>0</v>
      </c>
      <c r="CN351" s="549">
        <v>0</v>
      </c>
      <c r="CO351" s="675">
        <v>0</v>
      </c>
      <c r="CP351" s="549">
        <v>0</v>
      </c>
      <c r="CQ351" s="675">
        <v>0</v>
      </c>
      <c r="CR351" s="549">
        <v>0</v>
      </c>
      <c r="CS351" s="675">
        <v>0</v>
      </c>
      <c r="CT351" s="549">
        <v>0</v>
      </c>
      <c r="CU351" s="675">
        <v>0</v>
      </c>
      <c r="CV351" s="549">
        <v>0</v>
      </c>
      <c r="CW351" s="675">
        <v>0</v>
      </c>
      <c r="CX351" s="549">
        <v>0</v>
      </c>
      <c r="CY351" s="675">
        <v>0</v>
      </c>
      <c r="CZ351" s="549">
        <v>0</v>
      </c>
      <c r="DA351" s="675">
        <v>0</v>
      </c>
      <c r="DB351" s="549">
        <v>0</v>
      </c>
      <c r="DC351" s="675">
        <v>0</v>
      </c>
      <c r="DD351" s="549">
        <v>0</v>
      </c>
      <c r="DE351" s="675">
        <v>0</v>
      </c>
      <c r="DF351" s="549">
        <v>0</v>
      </c>
      <c r="DG351" s="675">
        <v>0</v>
      </c>
      <c r="DH351" s="549">
        <v>0</v>
      </c>
      <c r="DI351" s="675">
        <v>0</v>
      </c>
      <c r="DJ351" s="549">
        <v>0</v>
      </c>
      <c r="DK351" s="675">
        <v>0</v>
      </c>
      <c r="DL351" s="549">
        <v>0</v>
      </c>
      <c r="DM351" s="675">
        <v>0</v>
      </c>
      <c r="DN351" s="549">
        <v>0</v>
      </c>
      <c r="DO351" s="675">
        <v>0</v>
      </c>
      <c r="DP351" s="549">
        <v>0</v>
      </c>
      <c r="DQ351" s="675">
        <v>0</v>
      </c>
      <c r="DR351" s="549">
        <v>0</v>
      </c>
      <c r="DS351" s="675">
        <v>0</v>
      </c>
      <c r="DT351" s="549">
        <v>0</v>
      </c>
      <c r="DU351" s="675">
        <v>0</v>
      </c>
      <c r="DV351" s="549">
        <v>0</v>
      </c>
      <c r="DW351" s="675">
        <v>0</v>
      </c>
      <c r="DX351" s="549">
        <v>0</v>
      </c>
      <c r="DY351" s="675">
        <v>0</v>
      </c>
      <c r="DZ351" s="549">
        <v>0</v>
      </c>
      <c r="EA351" s="675">
        <v>0</v>
      </c>
      <c r="EB351" s="549">
        <v>0</v>
      </c>
      <c r="EC351" s="675">
        <v>0</v>
      </c>
      <c r="ED351" s="549">
        <v>0</v>
      </c>
      <c r="EE351" s="675">
        <v>0</v>
      </c>
      <c r="EF351" s="549">
        <v>36277</v>
      </c>
      <c r="EG351" s="675">
        <v>0</v>
      </c>
      <c r="EH351" s="549">
        <v>0</v>
      </c>
      <c r="EI351" s="675">
        <v>0</v>
      </c>
      <c r="EJ351" s="549">
        <v>0</v>
      </c>
      <c r="EK351" s="675">
        <v>0</v>
      </c>
      <c r="EL351" s="549">
        <v>0</v>
      </c>
      <c r="EM351" s="675">
        <v>0</v>
      </c>
      <c r="EN351" s="549">
        <v>0</v>
      </c>
      <c r="EO351" s="675">
        <v>0</v>
      </c>
      <c r="EP351" s="549">
        <v>0</v>
      </c>
      <c r="EQ351" s="675">
        <v>0</v>
      </c>
      <c r="ER351" s="549">
        <v>0</v>
      </c>
      <c r="ES351" s="675">
        <v>0</v>
      </c>
      <c r="ET351" s="549">
        <v>0</v>
      </c>
      <c r="EU351" s="675">
        <v>0</v>
      </c>
      <c r="EV351" s="549">
        <v>0</v>
      </c>
      <c r="EW351" s="675">
        <v>0</v>
      </c>
      <c r="EX351" s="549">
        <v>0</v>
      </c>
      <c r="EY351" s="675">
        <v>0</v>
      </c>
      <c r="EZ351" s="549">
        <v>0</v>
      </c>
      <c r="FA351" s="675">
        <v>0</v>
      </c>
      <c r="FB351" s="549">
        <v>0</v>
      </c>
      <c r="FC351" s="675">
        <v>0</v>
      </c>
      <c r="FD351" s="549">
        <v>0</v>
      </c>
      <c r="FE351" s="675">
        <v>0</v>
      </c>
      <c r="FF351" s="549">
        <v>0</v>
      </c>
      <c r="FG351" s="675">
        <v>0</v>
      </c>
      <c r="FH351" s="549">
        <v>0</v>
      </c>
      <c r="FI351" s="675">
        <v>0</v>
      </c>
      <c r="FJ351" s="549">
        <v>0</v>
      </c>
      <c r="FK351" s="675">
        <v>0</v>
      </c>
      <c r="FL351" s="549">
        <v>0</v>
      </c>
      <c r="FM351" s="675">
        <v>0</v>
      </c>
      <c r="FN351" s="549">
        <v>0</v>
      </c>
      <c r="FO351" s="675">
        <v>0</v>
      </c>
      <c r="FP351" s="549">
        <v>0</v>
      </c>
      <c r="FQ351" s="675">
        <v>0</v>
      </c>
      <c r="FR351" s="549">
        <v>0</v>
      </c>
      <c r="FS351" s="675">
        <v>0</v>
      </c>
      <c r="FT351" s="549">
        <v>0</v>
      </c>
      <c r="FU351" s="675">
        <v>0</v>
      </c>
      <c r="FV351" s="549">
        <v>0</v>
      </c>
      <c r="FW351" s="675">
        <v>0</v>
      </c>
      <c r="FX351" s="549">
        <v>0</v>
      </c>
      <c r="FY351" s="675">
        <v>0</v>
      </c>
      <c r="FZ351" s="549">
        <v>0</v>
      </c>
      <c r="GA351" s="675">
        <v>0</v>
      </c>
      <c r="GB351" s="549">
        <v>0</v>
      </c>
      <c r="GC351" s="675">
        <v>0</v>
      </c>
      <c r="GD351" s="549">
        <v>0</v>
      </c>
      <c r="GE351" s="675">
        <v>0</v>
      </c>
      <c r="GF351" s="549">
        <v>0</v>
      </c>
      <c r="GG351" s="675">
        <v>0</v>
      </c>
      <c r="GH351" s="549">
        <v>0</v>
      </c>
      <c r="GI351" s="675">
        <v>0</v>
      </c>
      <c r="GJ351" s="549">
        <v>0</v>
      </c>
      <c r="GK351" s="675">
        <v>0</v>
      </c>
      <c r="GL351" s="549">
        <v>0</v>
      </c>
      <c r="GM351" s="675">
        <v>0</v>
      </c>
      <c r="GN351" s="549">
        <v>0</v>
      </c>
      <c r="GO351" s="675">
        <v>0</v>
      </c>
      <c r="GP351" s="549">
        <f>+D351+F351+H351+J351+L351+N351+P351+R351+T351+V351+X351+Z351+AB351+AF351+AD351+AH351+AJ351+AL351+AN351+AP351+AR351+AT351+AV351+AX351+AZ351+BB351+BD351+BF351+BH351+BJ351+BL351+BN351+BP351+BR351+BT351+BV351+BX351+BZ351+CB351+CD351+CF351+CH351+CJ351+CL351+CN351+CP351+CR351+CT351+CV351+CX351+CZ351+DB351+DD351+DF351+DH351+DT351+EX351+DJ351+DL351+DN351+DP351+DR351+EJ351+EB351+DZ351+DX351+DV351+ED351+EF351+EH351+EL351+EN351+EP351+EV351+ET351+ER351+EZ351+FB351+FD351+GL351+FF351+FJ351+FL351+GJ351+FT351+FR351+FP351+FN351+FH351+GH351+GF351+GD351+GB351+FZ351+FX351+FV351+GN351</f>
        <v>52237</v>
      </c>
      <c r="GQ351" s="675">
        <f>+E351+G351+I351+K351+M351+O351+Q351+S351+U351+W351+Y351+AA351+AC351+AE351+AG351+AI351+AK351+AM351+AO351+AQ351+AS351+AU351+AW351+AY351+BA351+BC351+BE351+BG351+BI351+BK351+BM351+BO351+BQ351+BS351+BU351+BW351+BY351+CA351+CC351+CE351+CG351+CI351+CK351+CM351+CO351+CQ351+CS351+CU351+CW351+CY351+DA351+DC351+DE351+DG351+DI351+DU351+EY351+DK351+DM351+DO351+DQ351+DS351+EK351+EC351+EA351+DY351+DW351+EI351+EG351+EE351+EM351+EO351+EQ351+EW351+EU351+ES351+FA351+FC351+FE351+GM351+FG351+FK351+FM351+FO351+FQ351+FS351+FU351+GK351+FI351+GI351+GG351+GE351+GC351+GA351+FY351+FW351+GO351</f>
        <v>0</v>
      </c>
      <c r="GR351" s="74">
        <f>C351+GP351+GQ351</f>
        <v>52237</v>
      </c>
      <c r="GS351" s="74">
        <f>SUM(GU351:HD351)+GP351+GQ351</f>
        <v>52237</v>
      </c>
      <c r="GT351" s="568">
        <f>SUM(GU351:HF351)+GQ351+GP351</f>
        <v>52237</v>
      </c>
      <c r="GU351" s="275">
        <v>0</v>
      </c>
      <c r="GV351" s="275">
        <v>0</v>
      </c>
      <c r="GW351" s="275">
        <v>0</v>
      </c>
      <c r="GX351" s="275">
        <v>0</v>
      </c>
      <c r="GY351" s="275">
        <v>0</v>
      </c>
      <c r="GZ351" s="275">
        <v>0</v>
      </c>
      <c r="HA351" s="275">
        <v>0</v>
      </c>
      <c r="HB351" s="275">
        <v>0</v>
      </c>
      <c r="HC351" s="275">
        <v>0</v>
      </c>
      <c r="HD351" s="275">
        <v>0</v>
      </c>
      <c r="HE351" s="275">
        <v>0</v>
      </c>
      <c r="HF351" s="275">
        <v>0</v>
      </c>
      <c r="HG351" s="74">
        <f>SUM(HH351:IE351)+GP351+GQ351</f>
        <v>52237</v>
      </c>
      <c r="HH351" s="89">
        <v>0</v>
      </c>
      <c r="HI351" s="817">
        <v>0</v>
      </c>
      <c r="HJ351" s="89">
        <v>0</v>
      </c>
      <c r="HK351" s="817">
        <v>0</v>
      </c>
      <c r="HL351" s="89">
        <v>0</v>
      </c>
      <c r="HM351" s="817">
        <v>0</v>
      </c>
      <c r="HN351" s="89">
        <v>0</v>
      </c>
      <c r="HO351" s="817">
        <v>0</v>
      </c>
      <c r="HP351" s="89">
        <v>0</v>
      </c>
      <c r="HQ351" s="817">
        <v>0</v>
      </c>
      <c r="HR351" s="89">
        <v>0</v>
      </c>
      <c r="HS351" s="817">
        <v>0</v>
      </c>
      <c r="HT351" s="89">
        <v>0</v>
      </c>
      <c r="HU351" s="817">
        <v>0</v>
      </c>
      <c r="HV351" s="89">
        <v>0</v>
      </c>
      <c r="HW351" s="817">
        <v>0</v>
      </c>
      <c r="HX351" s="89">
        <v>0</v>
      </c>
      <c r="HY351" s="817">
        <v>0</v>
      </c>
      <c r="HZ351" s="89">
        <v>0</v>
      </c>
      <c r="IA351" s="817">
        <v>0</v>
      </c>
      <c r="IB351" s="89">
        <v>0</v>
      </c>
      <c r="IC351" s="817">
        <v>0</v>
      </c>
      <c r="ID351" s="89">
        <v>0</v>
      </c>
      <c r="IE351" s="817">
        <v>0</v>
      </c>
      <c r="IF351" s="841">
        <f t="shared" si="10005"/>
        <v>52236.45</v>
      </c>
      <c r="IG351" s="263">
        <f t="shared" si="10006"/>
        <v>52236.45</v>
      </c>
      <c r="IH351" s="842">
        <f t="shared" si="10007"/>
        <v>52236.45</v>
      </c>
      <c r="II351" s="89">
        <v>0</v>
      </c>
      <c r="IJ351" s="89">
        <f t="shared" ref="IJ351" si="10009">II351</f>
        <v>0</v>
      </c>
      <c r="IK351" s="89">
        <f t="shared" ref="IK351" si="10010">IJ351</f>
        <v>0</v>
      </c>
      <c r="IL351" s="89">
        <v>0</v>
      </c>
      <c r="IM351" s="89">
        <f t="shared" ref="IM351" si="10011">IL351</f>
        <v>0</v>
      </c>
      <c r="IN351" s="89">
        <f t="shared" ref="IN351" si="10012">IM351</f>
        <v>0</v>
      </c>
      <c r="IO351" s="89">
        <v>0</v>
      </c>
      <c r="IP351" s="89">
        <f t="shared" ref="IP351" si="10013">IO351</f>
        <v>0</v>
      </c>
      <c r="IQ351" s="89">
        <f t="shared" ref="IQ351" si="10014">IP351</f>
        <v>0</v>
      </c>
      <c r="IR351" s="89">
        <v>0</v>
      </c>
      <c r="IS351" s="89">
        <f t="shared" ref="IS351" si="10015">IR351</f>
        <v>0</v>
      </c>
      <c r="IT351" s="89">
        <f t="shared" ref="IT351" si="10016">IS351</f>
        <v>0</v>
      </c>
      <c r="IU351" s="89">
        <v>8480</v>
      </c>
      <c r="IV351" s="89">
        <f t="shared" ref="IV351" si="10017">IU351</f>
        <v>8480</v>
      </c>
      <c r="IW351" s="89">
        <f t="shared" ref="IW351" si="10018">IV351</f>
        <v>8480</v>
      </c>
      <c r="IX351" s="89">
        <f>15960-8480</f>
        <v>7480</v>
      </c>
      <c r="IY351" s="89">
        <f t="shared" ref="IY351" si="10019">IX351</f>
        <v>7480</v>
      </c>
      <c r="IZ351" s="89">
        <f t="shared" ref="IZ351" si="10020">IY351</f>
        <v>7480</v>
      </c>
      <c r="JA351" s="89">
        <f>15960-15960</f>
        <v>0</v>
      </c>
      <c r="JB351" s="89">
        <f t="shared" ref="JB351" si="10021">JA351</f>
        <v>0</v>
      </c>
      <c r="JC351" s="89">
        <f t="shared" ref="JC351" si="10022">JB351</f>
        <v>0</v>
      </c>
      <c r="JD351" s="89">
        <v>0</v>
      </c>
      <c r="JE351" s="89">
        <f t="shared" ref="JE351" si="10023">JD351</f>
        <v>0</v>
      </c>
      <c r="JF351" s="89">
        <f t="shared" ref="JF351" si="10024">JE351</f>
        <v>0</v>
      </c>
      <c r="JG351" s="89">
        <v>0</v>
      </c>
      <c r="JH351" s="89">
        <f t="shared" ref="JH351" si="10025">JG351</f>
        <v>0</v>
      </c>
      <c r="JI351" s="89">
        <f t="shared" ref="JI351" si="10026">JH351</f>
        <v>0</v>
      </c>
      <c r="JJ351" s="89">
        <f>52236.45-15960</f>
        <v>36276.449999999997</v>
      </c>
      <c r="JK351" s="89">
        <f t="shared" ref="JK351" si="10027">JJ351</f>
        <v>36276.449999999997</v>
      </c>
      <c r="JL351" s="89">
        <f t="shared" ref="JL351" si="10028">JK351</f>
        <v>36276.449999999997</v>
      </c>
      <c r="JM351" s="89">
        <v>0</v>
      </c>
      <c r="JN351" s="89">
        <f t="shared" ref="JN351" si="10029">JM351</f>
        <v>0</v>
      </c>
      <c r="JO351" s="89">
        <f t="shared" ref="JO351" si="10030">JN351</f>
        <v>0</v>
      </c>
      <c r="JP351" s="89">
        <v>0</v>
      </c>
      <c r="JQ351" s="89">
        <f t="shared" ref="JQ351:JR351" si="10031">JP351</f>
        <v>0</v>
      </c>
      <c r="JR351" s="89">
        <f t="shared" si="10031"/>
        <v>0</v>
      </c>
      <c r="JS351" s="74">
        <f>HG351-IF351</f>
        <v>0.55000000000291038</v>
      </c>
      <c r="JT351" s="382">
        <f>GS351-IF351</f>
        <v>0.55000000000291038</v>
      </c>
      <c r="JU351" s="665"/>
      <c r="JV351" s="524"/>
      <c r="JW351" s="525"/>
      <c r="JX351" s="548">
        <f t="shared" si="10008"/>
        <v>0</v>
      </c>
      <c r="JY351" s="548">
        <f t="shared" si="10008"/>
        <v>0</v>
      </c>
      <c r="JZ351" s="581">
        <f t="shared" si="9103"/>
        <v>52237</v>
      </c>
      <c r="KA351" s="581">
        <f t="shared" si="9104"/>
        <v>0</v>
      </c>
      <c r="KB351" s="548">
        <f t="shared" si="8622"/>
        <v>52237</v>
      </c>
      <c r="KC351" s="709">
        <f t="shared" si="9101"/>
        <v>0</v>
      </c>
      <c r="KD351" s="36"/>
      <c r="KE351" s="36"/>
      <c r="KF351" s="36"/>
      <c r="KG351" s="36"/>
      <c r="KH351" s="36"/>
      <c r="KI351" s="36"/>
      <c r="KJ351" s="36"/>
      <c r="KK351" s="36"/>
    </row>
    <row r="352" spans="1:297" s="10" customFormat="1">
      <c r="A352" s="86" t="s">
        <v>1421</v>
      </c>
      <c r="B352" s="77"/>
      <c r="C352" s="74">
        <v>0</v>
      </c>
      <c r="D352" s="549"/>
      <c r="E352" s="675"/>
      <c r="F352" s="549"/>
      <c r="G352" s="675"/>
      <c r="H352" s="549"/>
      <c r="I352" s="675"/>
      <c r="J352" s="549"/>
      <c r="K352" s="675"/>
      <c r="L352" s="549"/>
      <c r="M352" s="675"/>
      <c r="N352" s="549"/>
      <c r="O352" s="675"/>
      <c r="P352" s="549"/>
      <c r="Q352" s="675"/>
      <c r="R352" s="549"/>
      <c r="S352" s="675"/>
      <c r="T352" s="549"/>
      <c r="U352" s="675"/>
      <c r="V352" s="549"/>
      <c r="W352" s="675"/>
      <c r="X352" s="549"/>
      <c r="Y352" s="675"/>
      <c r="Z352" s="549"/>
      <c r="AA352" s="675"/>
      <c r="AB352" s="549"/>
      <c r="AC352" s="675"/>
      <c r="AD352" s="549"/>
      <c r="AE352" s="675"/>
      <c r="AF352" s="549"/>
      <c r="AG352" s="675"/>
      <c r="AH352" s="549"/>
      <c r="AI352" s="675"/>
      <c r="AJ352" s="549"/>
      <c r="AK352" s="675"/>
      <c r="AL352" s="549"/>
      <c r="AM352" s="675"/>
      <c r="AN352" s="549"/>
      <c r="AO352" s="675"/>
      <c r="AP352" s="549"/>
      <c r="AQ352" s="675"/>
      <c r="AR352" s="549"/>
      <c r="AS352" s="675"/>
      <c r="AT352" s="549"/>
      <c r="AU352" s="675"/>
      <c r="AV352" s="549"/>
      <c r="AW352" s="675"/>
      <c r="AX352" s="549"/>
      <c r="AY352" s="675"/>
      <c r="AZ352" s="549"/>
      <c r="BA352" s="675"/>
      <c r="BB352" s="549"/>
      <c r="BC352" s="675"/>
      <c r="BD352" s="549"/>
      <c r="BE352" s="675"/>
      <c r="BF352" s="549"/>
      <c r="BG352" s="675"/>
      <c r="BH352" s="549"/>
      <c r="BI352" s="675"/>
      <c r="BJ352" s="549"/>
      <c r="BK352" s="675"/>
      <c r="BL352" s="549"/>
      <c r="BM352" s="675"/>
      <c r="BN352" s="549"/>
      <c r="BO352" s="675"/>
      <c r="BP352" s="549"/>
      <c r="BQ352" s="675"/>
      <c r="BR352" s="549"/>
      <c r="BS352" s="675"/>
      <c r="BT352" s="549"/>
      <c r="BU352" s="675"/>
      <c r="BV352" s="549"/>
      <c r="BW352" s="675"/>
      <c r="BX352" s="549"/>
      <c r="BY352" s="675"/>
      <c r="BZ352" s="549"/>
      <c r="CA352" s="675"/>
      <c r="CB352" s="549"/>
      <c r="CC352" s="675"/>
      <c r="CD352" s="549"/>
      <c r="CE352" s="675"/>
      <c r="CF352" s="549"/>
      <c r="CG352" s="675"/>
      <c r="CH352" s="549"/>
      <c r="CI352" s="675"/>
      <c r="CJ352" s="549"/>
      <c r="CK352" s="675"/>
      <c r="CL352" s="549"/>
      <c r="CM352" s="675"/>
      <c r="CN352" s="549"/>
      <c r="CO352" s="675"/>
      <c r="CP352" s="549"/>
      <c r="CQ352" s="675"/>
      <c r="CR352" s="549"/>
      <c r="CS352" s="675"/>
      <c r="CT352" s="549"/>
      <c r="CU352" s="675"/>
      <c r="CV352" s="549"/>
      <c r="CW352" s="675"/>
      <c r="CX352" s="549"/>
      <c r="CY352" s="675"/>
      <c r="CZ352" s="549"/>
      <c r="DA352" s="675"/>
      <c r="DB352" s="549"/>
      <c r="DC352" s="675"/>
      <c r="DD352" s="549"/>
      <c r="DE352" s="675"/>
      <c r="DF352" s="549"/>
      <c r="DG352" s="675"/>
      <c r="DH352" s="549"/>
      <c r="DI352" s="675"/>
      <c r="DJ352" s="549"/>
      <c r="DK352" s="675"/>
      <c r="DL352" s="549"/>
      <c r="DM352" s="675"/>
      <c r="DN352" s="549"/>
      <c r="DO352" s="675"/>
      <c r="DP352" s="549"/>
      <c r="DQ352" s="675"/>
      <c r="DR352" s="549"/>
      <c r="DS352" s="675"/>
      <c r="DT352" s="549"/>
      <c r="DU352" s="675"/>
      <c r="DV352" s="549"/>
      <c r="DW352" s="675"/>
      <c r="DX352" s="549"/>
      <c r="DY352" s="675"/>
      <c r="DZ352" s="549"/>
      <c r="EA352" s="675"/>
      <c r="EB352" s="549"/>
      <c r="EC352" s="675"/>
      <c r="ED352" s="549"/>
      <c r="EE352" s="675"/>
      <c r="EF352" s="549"/>
      <c r="EG352" s="675"/>
      <c r="EH352" s="549"/>
      <c r="EI352" s="675"/>
      <c r="EJ352" s="549"/>
      <c r="EK352" s="675"/>
      <c r="EL352" s="549"/>
      <c r="EM352" s="675"/>
      <c r="EN352" s="549"/>
      <c r="EO352" s="675"/>
      <c r="EP352" s="549"/>
      <c r="EQ352" s="675"/>
      <c r="ER352" s="549"/>
      <c r="ES352" s="675"/>
      <c r="ET352" s="549"/>
      <c r="EU352" s="675"/>
      <c r="EV352" s="549"/>
      <c r="EW352" s="675"/>
      <c r="EX352" s="549"/>
      <c r="EY352" s="675"/>
      <c r="EZ352" s="549"/>
      <c r="FA352" s="675"/>
      <c r="FB352" s="549"/>
      <c r="FC352" s="675"/>
      <c r="FD352" s="549"/>
      <c r="FE352" s="675"/>
      <c r="FF352" s="549"/>
      <c r="FG352" s="675"/>
      <c r="FH352" s="549">
        <v>4200</v>
      </c>
      <c r="FI352" s="675">
        <v>0</v>
      </c>
      <c r="FJ352" s="549">
        <v>0</v>
      </c>
      <c r="FK352" s="675">
        <v>0</v>
      </c>
      <c r="FL352" s="549">
        <v>0</v>
      </c>
      <c r="FM352" s="675">
        <v>0</v>
      </c>
      <c r="FN352" s="549">
        <v>0</v>
      </c>
      <c r="FO352" s="675">
        <v>0</v>
      </c>
      <c r="FP352" s="549">
        <v>0</v>
      </c>
      <c r="FQ352" s="675">
        <v>0</v>
      </c>
      <c r="FR352" s="549">
        <v>0</v>
      </c>
      <c r="FS352" s="675">
        <v>0</v>
      </c>
      <c r="FT352" s="549">
        <v>0</v>
      </c>
      <c r="FU352" s="675">
        <v>0</v>
      </c>
      <c r="FV352" s="549">
        <v>0</v>
      </c>
      <c r="FW352" s="675">
        <v>0</v>
      </c>
      <c r="FX352" s="549">
        <v>0</v>
      </c>
      <c r="FY352" s="675">
        <v>0</v>
      </c>
      <c r="FZ352" s="549">
        <v>0</v>
      </c>
      <c r="GA352" s="675">
        <v>0</v>
      </c>
      <c r="GB352" s="549">
        <v>0</v>
      </c>
      <c r="GC352" s="675">
        <v>0</v>
      </c>
      <c r="GD352" s="549">
        <v>0</v>
      </c>
      <c r="GE352" s="675">
        <v>0</v>
      </c>
      <c r="GF352" s="549">
        <v>0</v>
      </c>
      <c r="GG352" s="675">
        <v>0</v>
      </c>
      <c r="GH352" s="549">
        <v>0</v>
      </c>
      <c r="GI352" s="675">
        <v>0</v>
      </c>
      <c r="GJ352" s="549">
        <v>0</v>
      </c>
      <c r="GK352" s="675">
        <v>0</v>
      </c>
      <c r="GL352" s="549">
        <v>0</v>
      </c>
      <c r="GM352" s="675">
        <v>0</v>
      </c>
      <c r="GN352" s="549">
        <v>0</v>
      </c>
      <c r="GO352" s="675">
        <v>0</v>
      </c>
      <c r="GP352" s="549">
        <f>+D352+F352+H352+J352+L352+N352+P352+R352+T352+V352+X352+Z352+AB352+AF352+AD352+AH352+AJ352+AL352+AN352+AP352+AR352+AT352+AV352+AX352+AZ352+BB352+BD352+BF352+BH352+BJ352+BL352+BN352+BP352+BR352+BT352+BV352+BX352+BZ352+CB352+CD352+CF352+CH352+CJ352+CL352+CN352+CP352+CR352+CT352+CV352+CX352+CZ352+DB352+DD352+DF352+DH352+DT352+EX352+DJ352+DL352+DN352+DP352+DR352+EJ352+EB352+DZ352+DX352+DV352+ED352+EF352+EH352+EL352+EN352+EP352+EV352+ET352+ER352+EZ352+FB352+FD352+GL352+FF352+FJ352+FL352+GJ352+FT352+FR352+FP352+FN352+FH352+GH352+GF352+GD352+GB352+FZ352+FX352+FV352+GN352</f>
        <v>4200</v>
      </c>
      <c r="GQ352" s="675">
        <f>+E352+G352+I352+K352+M352+O352+Q352+S352+U352+W352+Y352+AA352+AC352+AE352+AG352+AI352+AK352+AM352+AO352+AQ352+AS352+AU352+AW352+AY352+BA352+BC352+BE352+BG352+BI352+BK352+BM352+BO352+BQ352+BS352+BU352+BW352+BY352+CA352+CC352+CE352+CG352+CI352+CK352+CM352+CO352+CQ352+CS352+CU352+CW352+CY352+DA352+DC352+DE352+DG352+DI352+DU352+EY352+DK352+DM352+DO352+DQ352+DS352+EK352+EC352+EA352+DY352+DW352+EI352+EG352+EE352+EM352+EO352+EQ352+EW352+EU352+ES352+FA352+FC352+FE352+GM352+FG352+FK352+FM352+FO352+FQ352+FS352+FU352+GK352+FI352+GI352+GG352+GE352+GC352+GA352+FY352+FW352+GO352</f>
        <v>0</v>
      </c>
      <c r="GR352" s="74">
        <f>C352+GP352+GQ352</f>
        <v>4200</v>
      </c>
      <c r="GS352" s="74">
        <f>SUM(GU352:HD352)+GP352+GQ352</f>
        <v>4200</v>
      </c>
      <c r="GT352" s="568"/>
      <c r="GU352" s="275"/>
      <c r="GV352" s="275"/>
      <c r="GW352" s="275"/>
      <c r="GX352" s="275"/>
      <c r="GY352" s="275"/>
      <c r="GZ352" s="275"/>
      <c r="HA352" s="275"/>
      <c r="HB352" s="275"/>
      <c r="HC352" s="275"/>
      <c r="HD352" s="275"/>
      <c r="HE352" s="275"/>
      <c r="HF352" s="275"/>
      <c r="HG352" s="74">
        <f t="shared" ref="HG352" si="10032">SUM(HH352:IE352)+GP352+GQ352</f>
        <v>4200</v>
      </c>
      <c r="HH352" s="89"/>
      <c r="HI352" s="817"/>
      <c r="HJ352" s="89"/>
      <c r="HK352" s="817"/>
      <c r="HL352" s="89"/>
      <c r="HM352" s="817"/>
      <c r="HN352" s="89"/>
      <c r="HO352" s="817"/>
      <c r="HP352" s="89"/>
      <c r="HQ352" s="817"/>
      <c r="HR352" s="89"/>
      <c r="HS352" s="817"/>
      <c r="HT352" s="89"/>
      <c r="HU352" s="817"/>
      <c r="HV352" s="89"/>
      <c r="HW352" s="817"/>
      <c r="HX352" s="89"/>
      <c r="HY352" s="817"/>
      <c r="HZ352" s="89">
        <v>0</v>
      </c>
      <c r="IA352" s="817">
        <v>0</v>
      </c>
      <c r="IB352" s="89"/>
      <c r="IC352" s="817"/>
      <c r="ID352" s="89"/>
      <c r="IE352" s="817"/>
      <c r="IF352" s="841">
        <f t="shared" si="10005"/>
        <v>0</v>
      </c>
      <c r="IG352" s="263">
        <f t="shared" si="10006"/>
        <v>0</v>
      </c>
      <c r="IH352" s="842">
        <f t="shared" si="10007"/>
        <v>0</v>
      </c>
      <c r="II352" s="89"/>
      <c r="IJ352" s="89"/>
      <c r="IK352" s="89"/>
      <c r="IL352" s="89"/>
      <c r="IM352" s="89"/>
      <c r="IN352" s="89"/>
      <c r="IO352" s="89"/>
      <c r="IP352" s="89"/>
      <c r="IQ352" s="89"/>
      <c r="IR352" s="89"/>
      <c r="IS352" s="89"/>
      <c r="IT352" s="89"/>
      <c r="IU352" s="89"/>
      <c r="IV352" s="89"/>
      <c r="IW352" s="89"/>
      <c r="IX352" s="89"/>
      <c r="IY352" s="89"/>
      <c r="IZ352" s="89"/>
      <c r="JA352" s="89"/>
      <c r="JB352" s="89"/>
      <c r="JC352" s="89"/>
      <c r="JD352" s="89"/>
      <c r="JE352" s="89"/>
      <c r="JF352" s="89"/>
      <c r="JG352" s="89"/>
      <c r="JH352" s="89"/>
      <c r="JI352" s="89"/>
      <c r="JJ352" s="89">
        <v>0</v>
      </c>
      <c r="JK352" s="89">
        <v>0</v>
      </c>
      <c r="JL352" s="89">
        <v>0</v>
      </c>
      <c r="JM352" s="89"/>
      <c r="JN352" s="89"/>
      <c r="JO352" s="89"/>
      <c r="JP352" s="89"/>
      <c r="JQ352" s="89"/>
      <c r="JR352" s="89"/>
      <c r="JS352" s="74">
        <f>HG352-IF352</f>
        <v>4200</v>
      </c>
      <c r="JT352" s="382">
        <f>GS352-IF352</f>
        <v>4200</v>
      </c>
      <c r="JU352" s="665"/>
      <c r="JV352" s="524"/>
      <c r="JW352" s="525"/>
      <c r="JX352" s="548">
        <f t="shared" si="10008"/>
        <v>0</v>
      </c>
      <c r="JY352" s="548">
        <f t="shared" si="10008"/>
        <v>0</v>
      </c>
      <c r="JZ352" s="581">
        <f t="shared" ref="JZ352" si="10033">GP352</f>
        <v>4200</v>
      </c>
      <c r="KA352" s="581">
        <f t="shared" ref="KA352" si="10034">GQ352</f>
        <v>0</v>
      </c>
      <c r="KB352" s="548">
        <f t="shared" ref="KB352" si="10035">JX352+JY352+JZ352+KA352</f>
        <v>4200</v>
      </c>
      <c r="KC352" s="709">
        <f t="shared" ref="KC352" si="10036">HG352-KB352</f>
        <v>0</v>
      </c>
      <c r="KD352" s="36"/>
      <c r="KE352" s="36"/>
      <c r="KF352" s="36"/>
      <c r="KG352" s="36"/>
      <c r="KH352" s="36"/>
      <c r="KI352" s="36"/>
      <c r="KJ352" s="36"/>
      <c r="KK352" s="36"/>
    </row>
    <row r="353" spans="1:297" s="10" customFormat="1">
      <c r="A353" s="86"/>
      <c r="B353" s="77"/>
      <c r="C353" s="74"/>
      <c r="D353" s="549"/>
      <c r="E353" s="675"/>
      <c r="F353" s="549"/>
      <c r="G353" s="675"/>
      <c r="H353" s="549"/>
      <c r="I353" s="675"/>
      <c r="J353" s="549"/>
      <c r="K353" s="675"/>
      <c r="L353" s="549"/>
      <c r="M353" s="675"/>
      <c r="N353" s="549"/>
      <c r="O353" s="675"/>
      <c r="P353" s="549"/>
      <c r="Q353" s="675"/>
      <c r="R353" s="549"/>
      <c r="S353" s="675"/>
      <c r="T353" s="549"/>
      <c r="U353" s="675"/>
      <c r="V353" s="549"/>
      <c r="W353" s="675"/>
      <c r="X353" s="549"/>
      <c r="Y353" s="675"/>
      <c r="Z353" s="549"/>
      <c r="AA353" s="675"/>
      <c r="AB353" s="549"/>
      <c r="AC353" s="675"/>
      <c r="AD353" s="549"/>
      <c r="AE353" s="675"/>
      <c r="AF353" s="549"/>
      <c r="AG353" s="675"/>
      <c r="AH353" s="549"/>
      <c r="AI353" s="675"/>
      <c r="AJ353" s="549"/>
      <c r="AK353" s="675"/>
      <c r="AL353" s="549"/>
      <c r="AM353" s="675"/>
      <c r="AN353" s="549"/>
      <c r="AO353" s="675"/>
      <c r="AP353" s="549"/>
      <c r="AQ353" s="675"/>
      <c r="AR353" s="549"/>
      <c r="AS353" s="675"/>
      <c r="AT353" s="549"/>
      <c r="AU353" s="675"/>
      <c r="AV353" s="549"/>
      <c r="AW353" s="675"/>
      <c r="AX353" s="549"/>
      <c r="AY353" s="675"/>
      <c r="AZ353" s="549"/>
      <c r="BA353" s="675"/>
      <c r="BB353" s="549"/>
      <c r="BC353" s="675"/>
      <c r="BD353" s="549"/>
      <c r="BE353" s="675"/>
      <c r="BF353" s="549"/>
      <c r="BG353" s="675"/>
      <c r="BH353" s="549"/>
      <c r="BI353" s="675"/>
      <c r="BJ353" s="549"/>
      <c r="BK353" s="675"/>
      <c r="BL353" s="549"/>
      <c r="BM353" s="675"/>
      <c r="BN353" s="549"/>
      <c r="BO353" s="675"/>
      <c r="BP353" s="549"/>
      <c r="BQ353" s="675"/>
      <c r="BR353" s="549"/>
      <c r="BS353" s="675"/>
      <c r="BT353" s="549"/>
      <c r="BU353" s="675"/>
      <c r="BV353" s="549"/>
      <c r="BW353" s="675"/>
      <c r="BX353" s="549"/>
      <c r="BY353" s="675"/>
      <c r="BZ353" s="549"/>
      <c r="CA353" s="675"/>
      <c r="CB353" s="549"/>
      <c r="CC353" s="675"/>
      <c r="CD353" s="549"/>
      <c r="CE353" s="675"/>
      <c r="CF353" s="549"/>
      <c r="CG353" s="675"/>
      <c r="CH353" s="549"/>
      <c r="CI353" s="675"/>
      <c r="CJ353" s="549"/>
      <c r="CK353" s="675"/>
      <c r="CL353" s="549"/>
      <c r="CM353" s="675"/>
      <c r="CN353" s="549"/>
      <c r="CO353" s="675"/>
      <c r="CP353" s="549"/>
      <c r="CQ353" s="675"/>
      <c r="CR353" s="549"/>
      <c r="CS353" s="675"/>
      <c r="CT353" s="549"/>
      <c r="CU353" s="675"/>
      <c r="CV353" s="549"/>
      <c r="CW353" s="675"/>
      <c r="CX353" s="549"/>
      <c r="CY353" s="675"/>
      <c r="CZ353" s="549"/>
      <c r="DA353" s="675"/>
      <c r="DB353" s="549"/>
      <c r="DC353" s="675"/>
      <c r="DD353" s="549"/>
      <c r="DE353" s="675"/>
      <c r="DF353" s="549"/>
      <c r="DG353" s="675"/>
      <c r="DH353" s="549"/>
      <c r="DI353" s="675"/>
      <c r="DJ353" s="549"/>
      <c r="DK353" s="675"/>
      <c r="DL353" s="549"/>
      <c r="DM353" s="675"/>
      <c r="DN353" s="549"/>
      <c r="DO353" s="675"/>
      <c r="DP353" s="549"/>
      <c r="DQ353" s="675"/>
      <c r="DR353" s="549"/>
      <c r="DS353" s="675"/>
      <c r="DT353" s="549"/>
      <c r="DU353" s="675"/>
      <c r="DV353" s="549"/>
      <c r="DW353" s="675"/>
      <c r="DX353" s="549"/>
      <c r="DY353" s="675"/>
      <c r="DZ353" s="549"/>
      <c r="EA353" s="675"/>
      <c r="EB353" s="549"/>
      <c r="EC353" s="675"/>
      <c r="ED353" s="549"/>
      <c r="EE353" s="675"/>
      <c r="EF353" s="549"/>
      <c r="EG353" s="675"/>
      <c r="EH353" s="549"/>
      <c r="EI353" s="675"/>
      <c r="EJ353" s="549"/>
      <c r="EK353" s="675"/>
      <c r="EL353" s="549"/>
      <c r="EM353" s="675"/>
      <c r="EN353" s="549"/>
      <c r="EO353" s="675"/>
      <c r="EP353" s="549"/>
      <c r="EQ353" s="675"/>
      <c r="ER353" s="549"/>
      <c r="ES353" s="675"/>
      <c r="ET353" s="549"/>
      <c r="EU353" s="675"/>
      <c r="EV353" s="549"/>
      <c r="EW353" s="675"/>
      <c r="EX353" s="549"/>
      <c r="EY353" s="675"/>
      <c r="EZ353" s="549"/>
      <c r="FA353" s="675"/>
      <c r="FB353" s="549"/>
      <c r="FC353" s="675"/>
      <c r="FD353" s="549"/>
      <c r="FE353" s="675"/>
      <c r="FF353" s="549"/>
      <c r="FG353" s="675"/>
      <c r="FH353" s="549"/>
      <c r="FI353" s="675"/>
      <c r="FJ353" s="549"/>
      <c r="FK353" s="675"/>
      <c r="FL353" s="549"/>
      <c r="FM353" s="675"/>
      <c r="FN353" s="549"/>
      <c r="FO353" s="675"/>
      <c r="FP353" s="549"/>
      <c r="FQ353" s="675"/>
      <c r="FR353" s="549"/>
      <c r="FS353" s="675"/>
      <c r="FT353" s="549"/>
      <c r="FU353" s="675"/>
      <c r="FV353" s="549"/>
      <c r="FW353" s="675"/>
      <c r="FX353" s="549"/>
      <c r="FY353" s="675"/>
      <c r="FZ353" s="549"/>
      <c r="GA353" s="675"/>
      <c r="GB353" s="549"/>
      <c r="GC353" s="675"/>
      <c r="GD353" s="549"/>
      <c r="GE353" s="675"/>
      <c r="GF353" s="549"/>
      <c r="GG353" s="675"/>
      <c r="GH353" s="549"/>
      <c r="GI353" s="675"/>
      <c r="GJ353" s="549"/>
      <c r="GK353" s="675"/>
      <c r="GL353" s="549"/>
      <c r="GM353" s="675"/>
      <c r="GN353" s="549"/>
      <c r="GO353" s="675"/>
      <c r="GP353" s="549"/>
      <c r="GQ353" s="675"/>
      <c r="GR353" s="74"/>
      <c r="GS353" s="74"/>
      <c r="GT353" s="568"/>
      <c r="GU353" s="275"/>
      <c r="GV353" s="275"/>
      <c r="GW353" s="588"/>
      <c r="GX353" s="588"/>
      <c r="GY353" s="275"/>
      <c r="GZ353" s="275"/>
      <c r="HA353" s="275"/>
      <c r="HB353" s="275"/>
      <c r="HC353" s="275"/>
      <c r="HD353" s="275"/>
      <c r="HE353" s="275"/>
      <c r="HF353" s="275"/>
      <c r="HG353" s="74"/>
      <c r="HH353" s="89"/>
      <c r="HI353" s="817"/>
      <c r="HJ353" s="89"/>
      <c r="HK353" s="817"/>
      <c r="HL353" s="89"/>
      <c r="HM353" s="817"/>
      <c r="HN353" s="89"/>
      <c r="HO353" s="817"/>
      <c r="HP353" s="89"/>
      <c r="HQ353" s="817"/>
      <c r="HR353" s="89"/>
      <c r="HS353" s="817"/>
      <c r="HT353" s="89"/>
      <c r="HU353" s="817"/>
      <c r="HV353" s="89"/>
      <c r="HW353" s="817"/>
      <c r="HX353" s="89"/>
      <c r="HY353" s="817"/>
      <c r="HZ353" s="89"/>
      <c r="IA353" s="817"/>
      <c r="IB353" s="89"/>
      <c r="IC353" s="817"/>
      <c r="ID353" s="89"/>
      <c r="IE353" s="817"/>
      <c r="IF353" s="841"/>
      <c r="IG353" s="263"/>
      <c r="IH353" s="842"/>
      <c r="II353" s="89"/>
      <c r="IJ353" s="89"/>
      <c r="IK353" s="89"/>
      <c r="IL353" s="89"/>
      <c r="IM353" s="89"/>
      <c r="IN353" s="89"/>
      <c r="IO353" s="89"/>
      <c r="IP353" s="89"/>
      <c r="IQ353" s="89"/>
      <c r="IR353" s="89"/>
      <c r="IS353" s="89"/>
      <c r="IT353" s="89"/>
      <c r="IU353" s="89"/>
      <c r="IV353" s="89"/>
      <c r="IW353" s="89"/>
      <c r="IX353" s="89"/>
      <c r="IY353" s="89"/>
      <c r="IZ353" s="89"/>
      <c r="JA353" s="89"/>
      <c r="JB353" s="89"/>
      <c r="JC353" s="89"/>
      <c r="JD353" s="89"/>
      <c r="JE353" s="89"/>
      <c r="JF353" s="89"/>
      <c r="JG353" s="89"/>
      <c r="JH353" s="89"/>
      <c r="JI353" s="89"/>
      <c r="JJ353" s="89"/>
      <c r="JK353" s="89"/>
      <c r="JL353" s="89"/>
      <c r="JM353" s="89"/>
      <c r="JN353" s="89"/>
      <c r="JO353" s="89"/>
      <c r="JP353" s="89"/>
      <c r="JQ353" s="89"/>
      <c r="JR353" s="89"/>
      <c r="JS353" s="74"/>
      <c r="JT353" s="382"/>
      <c r="JU353" s="665"/>
      <c r="JV353" s="524"/>
      <c r="JW353" s="525"/>
      <c r="JX353" s="548"/>
      <c r="JY353" s="548"/>
      <c r="JZ353" s="581">
        <f t="shared" si="9103"/>
        <v>0</v>
      </c>
      <c r="KA353" s="581">
        <f t="shared" si="9104"/>
        <v>0</v>
      </c>
      <c r="KB353" s="548">
        <f t="shared" si="8622"/>
        <v>0</v>
      </c>
      <c r="KC353" s="709">
        <f t="shared" si="9101"/>
        <v>0</v>
      </c>
      <c r="KD353" s="36"/>
      <c r="KE353" s="36"/>
      <c r="KF353" s="36"/>
      <c r="KG353" s="36"/>
      <c r="KH353" s="36"/>
      <c r="KI353" s="36"/>
      <c r="KJ353" s="36"/>
      <c r="KK353" s="36"/>
    </row>
    <row r="354" spans="1:297" s="8" customFormat="1" ht="12.75" hidden="1" customHeight="1">
      <c r="A354" s="80" t="s">
        <v>820</v>
      </c>
      <c r="B354" s="72" t="s">
        <v>205</v>
      </c>
      <c r="C354" s="74">
        <f>SUM(C355:C356)</f>
        <v>0</v>
      </c>
      <c r="D354" s="549">
        <f t="shared" ref="D354:E354" si="10037">SUM(D355:D357)</f>
        <v>0</v>
      </c>
      <c r="E354" s="675">
        <f t="shared" si="10037"/>
        <v>0</v>
      </c>
      <c r="F354" s="549">
        <f t="shared" ref="F354:G354" si="10038">SUM(F355:F357)</f>
        <v>0</v>
      </c>
      <c r="G354" s="675">
        <f t="shared" si="10038"/>
        <v>0</v>
      </c>
      <c r="H354" s="549">
        <f t="shared" ref="H354:S354" si="10039">SUM(H355:H357)</f>
        <v>0</v>
      </c>
      <c r="I354" s="675">
        <f t="shared" si="10039"/>
        <v>0</v>
      </c>
      <c r="J354" s="549">
        <f t="shared" si="10039"/>
        <v>0</v>
      </c>
      <c r="K354" s="675">
        <f t="shared" si="10039"/>
        <v>0</v>
      </c>
      <c r="L354" s="549">
        <f t="shared" si="10039"/>
        <v>0</v>
      </c>
      <c r="M354" s="675">
        <f t="shared" si="10039"/>
        <v>0</v>
      </c>
      <c r="N354" s="549">
        <f t="shared" si="10039"/>
        <v>0</v>
      </c>
      <c r="O354" s="675">
        <f t="shared" si="10039"/>
        <v>0</v>
      </c>
      <c r="P354" s="549">
        <f t="shared" si="10039"/>
        <v>0</v>
      </c>
      <c r="Q354" s="675">
        <f t="shared" si="10039"/>
        <v>0</v>
      </c>
      <c r="R354" s="549">
        <f t="shared" si="10039"/>
        <v>0</v>
      </c>
      <c r="S354" s="675">
        <f t="shared" si="10039"/>
        <v>0</v>
      </c>
      <c r="T354" s="549">
        <f t="shared" ref="T354:AM354" si="10040">SUM(T355:T357)</f>
        <v>0</v>
      </c>
      <c r="U354" s="675">
        <f t="shared" si="10040"/>
        <v>0</v>
      </c>
      <c r="V354" s="549">
        <f t="shared" si="10040"/>
        <v>0</v>
      </c>
      <c r="W354" s="675">
        <f t="shared" si="10040"/>
        <v>0</v>
      </c>
      <c r="X354" s="549">
        <f t="shared" si="10040"/>
        <v>0</v>
      </c>
      <c r="Y354" s="675">
        <f t="shared" si="10040"/>
        <v>0</v>
      </c>
      <c r="Z354" s="549">
        <f t="shared" si="10040"/>
        <v>0</v>
      </c>
      <c r="AA354" s="675">
        <f t="shared" si="10040"/>
        <v>0</v>
      </c>
      <c r="AB354" s="549">
        <f t="shared" si="10040"/>
        <v>0</v>
      </c>
      <c r="AC354" s="675">
        <f t="shared" si="10040"/>
        <v>0</v>
      </c>
      <c r="AD354" s="549">
        <f t="shared" ref="AD354:AK354" si="10041">SUM(AD355:AD357)</f>
        <v>0</v>
      </c>
      <c r="AE354" s="675">
        <f t="shared" si="10041"/>
        <v>0</v>
      </c>
      <c r="AF354" s="549">
        <f t="shared" si="10041"/>
        <v>0</v>
      </c>
      <c r="AG354" s="675">
        <f t="shared" si="10041"/>
        <v>0</v>
      </c>
      <c r="AH354" s="549">
        <f t="shared" si="10041"/>
        <v>0</v>
      </c>
      <c r="AI354" s="675">
        <f t="shared" si="10041"/>
        <v>0</v>
      </c>
      <c r="AJ354" s="549">
        <f t="shared" si="10041"/>
        <v>0</v>
      </c>
      <c r="AK354" s="675">
        <f t="shared" si="10041"/>
        <v>0</v>
      </c>
      <c r="AL354" s="549">
        <f t="shared" si="10040"/>
        <v>0</v>
      </c>
      <c r="AM354" s="675">
        <f t="shared" si="10040"/>
        <v>0</v>
      </c>
      <c r="AN354" s="549">
        <f t="shared" ref="AN354:AS354" si="10042">SUM(AN355:AN357)</f>
        <v>0</v>
      </c>
      <c r="AO354" s="675">
        <f t="shared" si="10042"/>
        <v>0</v>
      </c>
      <c r="AP354" s="549">
        <f t="shared" si="10042"/>
        <v>0</v>
      </c>
      <c r="AQ354" s="675">
        <f t="shared" si="10042"/>
        <v>0</v>
      </c>
      <c r="AR354" s="549">
        <f t="shared" si="10042"/>
        <v>0</v>
      </c>
      <c r="AS354" s="675">
        <f t="shared" si="10042"/>
        <v>0</v>
      </c>
      <c r="AT354" s="549">
        <f t="shared" ref="AT354:AU354" si="10043">SUM(AT355:AT357)</f>
        <v>0</v>
      </c>
      <c r="AU354" s="675">
        <f t="shared" si="10043"/>
        <v>0</v>
      </c>
      <c r="AV354" s="549">
        <f t="shared" ref="AV354:AW354" si="10044">SUM(AV355:AV357)</f>
        <v>0</v>
      </c>
      <c r="AW354" s="675">
        <f t="shared" si="10044"/>
        <v>0</v>
      </c>
      <c r="AX354" s="549">
        <f t="shared" ref="AX354:AY354" si="10045">SUM(AX355:AX357)</f>
        <v>0</v>
      </c>
      <c r="AY354" s="675">
        <f t="shared" si="10045"/>
        <v>0</v>
      </c>
      <c r="AZ354" s="549">
        <f t="shared" ref="AZ354:BA354" si="10046">SUM(AZ355:AZ357)</f>
        <v>0</v>
      </c>
      <c r="BA354" s="675">
        <f t="shared" si="10046"/>
        <v>0</v>
      </c>
      <c r="BB354" s="549">
        <f t="shared" ref="BB354:BC354" si="10047">SUM(BB355:BB357)</f>
        <v>0</v>
      </c>
      <c r="BC354" s="675">
        <f t="shared" si="10047"/>
        <v>0</v>
      </c>
      <c r="BD354" s="549">
        <f t="shared" ref="BD354:BE354" si="10048">SUM(BD355:BD357)</f>
        <v>0</v>
      </c>
      <c r="BE354" s="675">
        <f t="shared" si="10048"/>
        <v>0</v>
      </c>
      <c r="BF354" s="549">
        <f t="shared" ref="BF354:BG354" si="10049">SUM(BF355:BF357)</f>
        <v>0</v>
      </c>
      <c r="BG354" s="675">
        <f t="shared" si="10049"/>
        <v>0</v>
      </c>
      <c r="BH354" s="549">
        <f t="shared" ref="BH354:BI354" si="10050">SUM(BH355:BH357)</f>
        <v>0</v>
      </c>
      <c r="BI354" s="675">
        <f t="shared" si="10050"/>
        <v>0</v>
      </c>
      <c r="BJ354" s="549">
        <f t="shared" ref="BJ354:BK354" si="10051">SUM(BJ355:BJ357)</f>
        <v>0</v>
      </c>
      <c r="BK354" s="675">
        <f t="shared" si="10051"/>
        <v>0</v>
      </c>
      <c r="BL354" s="549">
        <f t="shared" ref="BL354:BS354" si="10052">SUM(BL355:BL357)</f>
        <v>0</v>
      </c>
      <c r="BM354" s="675">
        <f t="shared" si="10052"/>
        <v>0</v>
      </c>
      <c r="BN354" s="549">
        <f t="shared" si="10052"/>
        <v>0</v>
      </c>
      <c r="BO354" s="675">
        <f t="shared" si="10052"/>
        <v>0</v>
      </c>
      <c r="BP354" s="549">
        <f t="shared" si="10052"/>
        <v>0</v>
      </c>
      <c r="BQ354" s="675">
        <f t="shared" si="10052"/>
        <v>0</v>
      </c>
      <c r="BR354" s="549">
        <f t="shared" si="10052"/>
        <v>0</v>
      </c>
      <c r="BS354" s="675">
        <f t="shared" si="10052"/>
        <v>0</v>
      </c>
      <c r="BT354" s="549">
        <f t="shared" ref="BT354:BU354" si="10053">SUM(BT355:BT357)</f>
        <v>0</v>
      </c>
      <c r="BU354" s="675">
        <f t="shared" si="10053"/>
        <v>0</v>
      </c>
      <c r="BV354" s="549">
        <f t="shared" ref="BV354:BW354" si="10054">SUM(BV355:BV357)</f>
        <v>0</v>
      </c>
      <c r="BW354" s="675">
        <f t="shared" si="10054"/>
        <v>0</v>
      </c>
      <c r="BX354" s="549">
        <f t="shared" ref="BX354:BY354" si="10055">SUM(BX355:BX357)</f>
        <v>0</v>
      </c>
      <c r="BY354" s="675">
        <f t="shared" si="10055"/>
        <v>0</v>
      </c>
      <c r="BZ354" s="549">
        <f t="shared" ref="BZ354:CA354" si="10056">SUM(BZ355:BZ357)</f>
        <v>0</v>
      </c>
      <c r="CA354" s="675">
        <f t="shared" si="10056"/>
        <v>0</v>
      </c>
      <c r="CB354" s="549">
        <f t="shared" ref="CB354:CE354" si="10057">SUM(CB355:CB357)</f>
        <v>0</v>
      </c>
      <c r="CC354" s="675">
        <f t="shared" si="10057"/>
        <v>0</v>
      </c>
      <c r="CD354" s="549">
        <f t="shared" si="10057"/>
        <v>0</v>
      </c>
      <c r="CE354" s="675">
        <f t="shared" si="10057"/>
        <v>0</v>
      </c>
      <c r="CF354" s="549">
        <f t="shared" ref="CF354:CQ354" si="10058">SUM(CF355:CF357)</f>
        <v>0</v>
      </c>
      <c r="CG354" s="675">
        <f t="shared" si="10058"/>
        <v>0</v>
      </c>
      <c r="CH354" s="549">
        <f t="shared" si="10058"/>
        <v>0</v>
      </c>
      <c r="CI354" s="675">
        <f t="shared" si="10058"/>
        <v>0</v>
      </c>
      <c r="CJ354" s="549">
        <f t="shared" si="10058"/>
        <v>0</v>
      </c>
      <c r="CK354" s="675">
        <f t="shared" si="10058"/>
        <v>0</v>
      </c>
      <c r="CL354" s="549">
        <f t="shared" si="10058"/>
        <v>0</v>
      </c>
      <c r="CM354" s="675">
        <f t="shared" si="10058"/>
        <v>0</v>
      </c>
      <c r="CN354" s="549">
        <f t="shared" si="10058"/>
        <v>0</v>
      </c>
      <c r="CO354" s="675">
        <f t="shared" si="10058"/>
        <v>0</v>
      </c>
      <c r="CP354" s="549">
        <f t="shared" si="10058"/>
        <v>0</v>
      </c>
      <c r="CQ354" s="675">
        <f t="shared" si="10058"/>
        <v>0</v>
      </c>
      <c r="CR354" s="549">
        <f t="shared" ref="CR354:CY354" si="10059">SUM(CR355:CR357)</f>
        <v>0</v>
      </c>
      <c r="CS354" s="675">
        <f t="shared" si="10059"/>
        <v>0</v>
      </c>
      <c r="CT354" s="549">
        <f t="shared" si="10059"/>
        <v>0</v>
      </c>
      <c r="CU354" s="675">
        <f t="shared" si="10059"/>
        <v>0</v>
      </c>
      <c r="CV354" s="549">
        <f t="shared" si="10059"/>
        <v>0</v>
      </c>
      <c r="CW354" s="675">
        <f t="shared" si="10059"/>
        <v>0</v>
      </c>
      <c r="CX354" s="549">
        <f t="shared" si="10059"/>
        <v>0</v>
      </c>
      <c r="CY354" s="675">
        <f t="shared" si="10059"/>
        <v>0</v>
      </c>
      <c r="CZ354" s="549">
        <f t="shared" ref="CZ354:DI354" si="10060">SUM(CZ355:CZ357)</f>
        <v>0</v>
      </c>
      <c r="DA354" s="675">
        <f t="shared" si="10060"/>
        <v>0</v>
      </c>
      <c r="DB354" s="549">
        <f t="shared" si="10060"/>
        <v>0</v>
      </c>
      <c r="DC354" s="675">
        <f t="shared" si="10060"/>
        <v>0</v>
      </c>
      <c r="DD354" s="549">
        <f t="shared" si="10060"/>
        <v>0</v>
      </c>
      <c r="DE354" s="675">
        <f t="shared" si="10060"/>
        <v>0</v>
      </c>
      <c r="DF354" s="549">
        <f t="shared" si="10060"/>
        <v>0</v>
      </c>
      <c r="DG354" s="675">
        <f t="shared" si="10060"/>
        <v>0</v>
      </c>
      <c r="DH354" s="549">
        <f t="shared" si="10060"/>
        <v>0</v>
      </c>
      <c r="DI354" s="675">
        <f t="shared" si="10060"/>
        <v>0</v>
      </c>
      <c r="DJ354" s="549">
        <f t="shared" ref="DJ354:DY354" si="10061">SUM(DJ355:DJ357)</f>
        <v>0</v>
      </c>
      <c r="DK354" s="675">
        <f t="shared" si="10061"/>
        <v>0</v>
      </c>
      <c r="DL354" s="549">
        <f t="shared" si="10061"/>
        <v>0</v>
      </c>
      <c r="DM354" s="675">
        <f t="shared" si="10061"/>
        <v>0</v>
      </c>
      <c r="DN354" s="549">
        <f t="shared" si="10061"/>
        <v>0</v>
      </c>
      <c r="DO354" s="675">
        <f t="shared" si="10061"/>
        <v>0</v>
      </c>
      <c r="DP354" s="549">
        <f t="shared" si="10061"/>
        <v>0</v>
      </c>
      <c r="DQ354" s="675">
        <f t="shared" si="10061"/>
        <v>0</v>
      </c>
      <c r="DR354" s="549">
        <f t="shared" si="10061"/>
        <v>0</v>
      </c>
      <c r="DS354" s="675">
        <f t="shared" si="10061"/>
        <v>0</v>
      </c>
      <c r="DT354" s="549">
        <f t="shared" si="10061"/>
        <v>0</v>
      </c>
      <c r="DU354" s="675">
        <f t="shared" si="10061"/>
        <v>0</v>
      </c>
      <c r="DV354" s="549">
        <f t="shared" si="10061"/>
        <v>0</v>
      </c>
      <c r="DW354" s="675">
        <f t="shared" si="10061"/>
        <v>0</v>
      </c>
      <c r="DX354" s="549">
        <f t="shared" si="10061"/>
        <v>0</v>
      </c>
      <c r="DY354" s="675">
        <f t="shared" si="10061"/>
        <v>0</v>
      </c>
      <c r="DZ354" s="549">
        <f t="shared" ref="DZ354:EU354" si="10062">SUM(DZ355:DZ357)</f>
        <v>0</v>
      </c>
      <c r="EA354" s="675">
        <f t="shared" si="10062"/>
        <v>0</v>
      </c>
      <c r="EB354" s="549">
        <f t="shared" si="10062"/>
        <v>0</v>
      </c>
      <c r="EC354" s="675">
        <f t="shared" si="10062"/>
        <v>0</v>
      </c>
      <c r="ED354" s="549">
        <f t="shared" si="10062"/>
        <v>0</v>
      </c>
      <c r="EE354" s="675">
        <f t="shared" si="10062"/>
        <v>0</v>
      </c>
      <c r="EF354" s="549">
        <f t="shared" si="10062"/>
        <v>0</v>
      </c>
      <c r="EG354" s="675">
        <f t="shared" si="10062"/>
        <v>0</v>
      </c>
      <c r="EH354" s="549">
        <f t="shared" ref="EH354:EM354" si="10063">SUM(EH355:EH357)</f>
        <v>0</v>
      </c>
      <c r="EI354" s="675">
        <f t="shared" si="10063"/>
        <v>0</v>
      </c>
      <c r="EJ354" s="549">
        <f t="shared" si="10063"/>
        <v>0</v>
      </c>
      <c r="EK354" s="675">
        <f t="shared" si="10063"/>
        <v>0</v>
      </c>
      <c r="EL354" s="549">
        <f t="shared" si="10063"/>
        <v>0</v>
      </c>
      <c r="EM354" s="675">
        <f t="shared" si="10063"/>
        <v>0</v>
      </c>
      <c r="EN354" s="549">
        <f t="shared" si="10062"/>
        <v>0</v>
      </c>
      <c r="EO354" s="675">
        <f t="shared" si="10062"/>
        <v>0</v>
      </c>
      <c r="EP354" s="549">
        <f t="shared" si="10062"/>
        <v>0</v>
      </c>
      <c r="EQ354" s="675">
        <f t="shared" si="10062"/>
        <v>0</v>
      </c>
      <c r="ER354" s="549">
        <f t="shared" si="10062"/>
        <v>0</v>
      </c>
      <c r="ES354" s="675">
        <f t="shared" si="10062"/>
        <v>0</v>
      </c>
      <c r="ET354" s="549">
        <f t="shared" si="10062"/>
        <v>0</v>
      </c>
      <c r="EU354" s="675">
        <f t="shared" si="10062"/>
        <v>0</v>
      </c>
      <c r="EV354" s="549">
        <f t="shared" ref="EV354:HT354" si="10064">SUM(EV355:EV357)</f>
        <v>0</v>
      </c>
      <c r="EW354" s="675">
        <f t="shared" si="10064"/>
        <v>0</v>
      </c>
      <c r="EX354" s="549">
        <f t="shared" si="10064"/>
        <v>0</v>
      </c>
      <c r="EY354" s="675">
        <f t="shared" si="10064"/>
        <v>0</v>
      </c>
      <c r="EZ354" s="549">
        <f t="shared" si="10064"/>
        <v>0</v>
      </c>
      <c r="FA354" s="675">
        <f t="shared" si="10064"/>
        <v>0</v>
      </c>
      <c r="FB354" s="549">
        <f t="shared" si="10064"/>
        <v>0</v>
      </c>
      <c r="FC354" s="675">
        <f t="shared" si="10064"/>
        <v>0</v>
      </c>
      <c r="FD354" s="549">
        <f t="shared" si="10064"/>
        <v>0</v>
      </c>
      <c r="FE354" s="675">
        <f t="shared" si="10064"/>
        <v>0</v>
      </c>
      <c r="FF354" s="549">
        <f t="shared" ref="FF354:FG354" si="10065">SUM(FF355:FF357)</f>
        <v>0</v>
      </c>
      <c r="FG354" s="675">
        <f t="shared" si="10065"/>
        <v>0</v>
      </c>
      <c r="FH354" s="549">
        <f t="shared" ref="FH354:FI354" si="10066">SUM(FH355:FH357)</f>
        <v>0</v>
      </c>
      <c r="FI354" s="675">
        <f t="shared" si="10066"/>
        <v>0</v>
      </c>
      <c r="FJ354" s="549">
        <f t="shared" ref="FJ354:FK354" si="10067">SUM(FJ355:FJ357)</f>
        <v>0</v>
      </c>
      <c r="FK354" s="675">
        <f t="shared" si="10067"/>
        <v>0</v>
      </c>
      <c r="FL354" s="549">
        <f t="shared" ref="FL354:FM354" si="10068">SUM(FL355:FL357)</f>
        <v>0</v>
      </c>
      <c r="FM354" s="675">
        <f t="shared" si="10068"/>
        <v>0</v>
      </c>
      <c r="FN354" s="549">
        <f t="shared" ref="FN354:FO354" si="10069">SUM(FN355:FN357)</f>
        <v>0</v>
      </c>
      <c r="FO354" s="675">
        <f t="shared" si="10069"/>
        <v>0</v>
      </c>
      <c r="FP354" s="549">
        <f t="shared" ref="FP354:FQ354" si="10070">SUM(FP355:FP357)</f>
        <v>0</v>
      </c>
      <c r="FQ354" s="675">
        <f t="shared" si="10070"/>
        <v>0</v>
      </c>
      <c r="FR354" s="549">
        <f t="shared" ref="FR354:FS354" si="10071">SUM(FR355:FR357)</f>
        <v>0</v>
      </c>
      <c r="FS354" s="675">
        <f t="shared" si="10071"/>
        <v>0</v>
      </c>
      <c r="FT354" s="549">
        <f t="shared" ref="FT354:FU354" si="10072">SUM(FT355:FT357)</f>
        <v>0</v>
      </c>
      <c r="FU354" s="675">
        <f t="shared" si="10072"/>
        <v>0</v>
      </c>
      <c r="FV354" s="549">
        <f t="shared" ref="FV354:GK354" si="10073">SUM(FV355:FV357)</f>
        <v>0</v>
      </c>
      <c r="FW354" s="675">
        <f t="shared" si="10073"/>
        <v>0</v>
      </c>
      <c r="FX354" s="549">
        <f t="shared" si="10073"/>
        <v>0</v>
      </c>
      <c r="FY354" s="675">
        <f t="shared" si="10073"/>
        <v>0</v>
      </c>
      <c r="FZ354" s="549">
        <f t="shared" ref="FZ354:GI354" si="10074">SUM(FZ355:FZ357)</f>
        <v>0</v>
      </c>
      <c r="GA354" s="675">
        <f t="shared" si="10074"/>
        <v>0</v>
      </c>
      <c r="GB354" s="549">
        <f t="shared" si="10074"/>
        <v>0</v>
      </c>
      <c r="GC354" s="675">
        <f t="shared" si="10074"/>
        <v>0</v>
      </c>
      <c r="GD354" s="549">
        <f t="shared" si="10074"/>
        <v>0</v>
      </c>
      <c r="GE354" s="675">
        <f t="shared" si="10074"/>
        <v>0</v>
      </c>
      <c r="GF354" s="549">
        <f t="shared" si="10074"/>
        <v>0</v>
      </c>
      <c r="GG354" s="675">
        <f t="shared" si="10074"/>
        <v>0</v>
      </c>
      <c r="GH354" s="549">
        <f t="shared" si="10074"/>
        <v>0</v>
      </c>
      <c r="GI354" s="675">
        <f t="shared" si="10074"/>
        <v>0</v>
      </c>
      <c r="GJ354" s="549">
        <f t="shared" si="10073"/>
        <v>0</v>
      </c>
      <c r="GK354" s="675">
        <f t="shared" si="10073"/>
        <v>0</v>
      </c>
      <c r="GL354" s="549">
        <f t="shared" ref="GL354:GM354" si="10075">SUM(GL355:GL357)</f>
        <v>0</v>
      </c>
      <c r="GM354" s="675">
        <f t="shared" si="10075"/>
        <v>0</v>
      </c>
      <c r="GN354" s="549">
        <f t="shared" ref="GN354:GO354" si="10076">SUM(GN355:GN357)</f>
        <v>0</v>
      </c>
      <c r="GO354" s="675">
        <f t="shared" si="10076"/>
        <v>0</v>
      </c>
      <c r="GP354" s="549">
        <f t="shared" si="10064"/>
        <v>0</v>
      </c>
      <c r="GQ354" s="675">
        <f t="shared" si="10064"/>
        <v>0</v>
      </c>
      <c r="GR354" s="74">
        <f t="shared" si="10064"/>
        <v>0</v>
      </c>
      <c r="GS354" s="74">
        <f t="shared" si="10064"/>
        <v>0</v>
      </c>
      <c r="GT354" s="549">
        <f t="shared" si="10064"/>
        <v>0</v>
      </c>
      <c r="GU354" s="74">
        <f t="shared" si="10064"/>
        <v>0</v>
      </c>
      <c r="GV354" s="74">
        <f t="shared" si="10064"/>
        <v>0</v>
      </c>
      <c r="GW354" s="549">
        <f t="shared" si="10064"/>
        <v>0</v>
      </c>
      <c r="GX354" s="549">
        <f t="shared" si="10064"/>
        <v>0</v>
      </c>
      <c r="GY354" s="74">
        <f t="shared" si="10064"/>
        <v>0</v>
      </c>
      <c r="GZ354" s="74">
        <f t="shared" si="10064"/>
        <v>0</v>
      </c>
      <c r="HA354" s="74">
        <f t="shared" si="10064"/>
        <v>0</v>
      </c>
      <c r="HB354" s="74">
        <f t="shared" si="10064"/>
        <v>0</v>
      </c>
      <c r="HC354" s="74">
        <f t="shared" si="10064"/>
        <v>0</v>
      </c>
      <c r="HD354" s="74">
        <f t="shared" si="10064"/>
        <v>0</v>
      </c>
      <c r="HE354" s="74">
        <f t="shared" si="10064"/>
        <v>0</v>
      </c>
      <c r="HF354" s="74">
        <f t="shared" si="10064"/>
        <v>0</v>
      </c>
      <c r="HG354" s="74">
        <f t="shared" si="10064"/>
        <v>0</v>
      </c>
      <c r="HH354" s="74">
        <f t="shared" si="10064"/>
        <v>0</v>
      </c>
      <c r="HI354" s="792">
        <f t="shared" si="10064"/>
        <v>0</v>
      </c>
      <c r="HJ354" s="74">
        <f t="shared" si="10064"/>
        <v>0</v>
      </c>
      <c r="HK354" s="792">
        <f t="shared" si="10064"/>
        <v>0</v>
      </c>
      <c r="HL354" s="74">
        <f t="shared" si="10064"/>
        <v>0</v>
      </c>
      <c r="HM354" s="792">
        <f t="shared" si="10064"/>
        <v>0</v>
      </c>
      <c r="HN354" s="74">
        <f t="shared" si="10064"/>
        <v>0</v>
      </c>
      <c r="HO354" s="792">
        <f t="shared" si="10064"/>
        <v>0</v>
      </c>
      <c r="HP354" s="74">
        <f t="shared" si="10064"/>
        <v>0</v>
      </c>
      <c r="HQ354" s="792">
        <f t="shared" si="10064"/>
        <v>0</v>
      </c>
      <c r="HR354" s="74">
        <f t="shared" si="10064"/>
        <v>0</v>
      </c>
      <c r="HS354" s="792">
        <f t="shared" si="10064"/>
        <v>0</v>
      </c>
      <c r="HT354" s="74">
        <f t="shared" si="10064"/>
        <v>0</v>
      </c>
      <c r="HU354" s="792">
        <f t="shared" ref="HU354" si="10077">SUM(HU355:HU357)</f>
        <v>0</v>
      </c>
      <c r="HV354" s="74">
        <f t="shared" ref="HV354:HW354" si="10078">SUM(HV355:HV357)</f>
        <v>0</v>
      </c>
      <c r="HW354" s="792">
        <f t="shared" si="10078"/>
        <v>0</v>
      </c>
      <c r="HX354" s="74">
        <f t="shared" ref="HX354:HY354" si="10079">SUM(HX355:HX357)</f>
        <v>0</v>
      </c>
      <c r="HY354" s="792">
        <f t="shared" si="10079"/>
        <v>0</v>
      </c>
      <c r="HZ354" s="74">
        <f t="shared" ref="HZ354:IA354" si="10080">SUM(HZ355:HZ357)</f>
        <v>0</v>
      </c>
      <c r="IA354" s="792">
        <f t="shared" si="10080"/>
        <v>0</v>
      </c>
      <c r="IB354" s="74">
        <f t="shared" ref="IB354:IC354" si="10081">SUM(IB355:IB357)</f>
        <v>0</v>
      </c>
      <c r="IC354" s="792">
        <f t="shared" si="10081"/>
        <v>0</v>
      </c>
      <c r="ID354" s="74">
        <f t="shared" ref="ID354:IZ354" si="10082">SUM(ID355:ID357)</f>
        <v>0</v>
      </c>
      <c r="IE354" s="792">
        <f t="shared" si="10082"/>
        <v>0</v>
      </c>
      <c r="IF354" s="841">
        <f>SUM(IF355:IF357)</f>
        <v>0</v>
      </c>
      <c r="IG354" s="263">
        <f>SUM(IG355:IG357)</f>
        <v>0</v>
      </c>
      <c r="IH354" s="842">
        <f>SUM(IH355:IH357)</f>
        <v>0</v>
      </c>
      <c r="II354" s="74">
        <f t="shared" ref="II354:IK354" si="10083">SUM(II355:II357)</f>
        <v>0</v>
      </c>
      <c r="IJ354" s="74">
        <f t="shared" si="10083"/>
        <v>0</v>
      </c>
      <c r="IK354" s="74">
        <f t="shared" si="10083"/>
        <v>0</v>
      </c>
      <c r="IL354" s="74">
        <f t="shared" si="10082"/>
        <v>0</v>
      </c>
      <c r="IM354" s="74">
        <f t="shared" si="10082"/>
        <v>0</v>
      </c>
      <c r="IN354" s="74">
        <f t="shared" si="10082"/>
        <v>0</v>
      </c>
      <c r="IO354" s="74">
        <f t="shared" si="10082"/>
        <v>0</v>
      </c>
      <c r="IP354" s="74">
        <f t="shared" si="10082"/>
        <v>0</v>
      </c>
      <c r="IQ354" s="74">
        <f t="shared" si="10082"/>
        <v>0</v>
      </c>
      <c r="IR354" s="74">
        <f t="shared" si="10082"/>
        <v>0</v>
      </c>
      <c r="IS354" s="74">
        <f t="shared" si="10082"/>
        <v>0</v>
      </c>
      <c r="IT354" s="74">
        <f t="shared" si="10082"/>
        <v>0</v>
      </c>
      <c r="IU354" s="74">
        <f t="shared" si="10082"/>
        <v>0</v>
      </c>
      <c r="IV354" s="74">
        <f t="shared" si="10082"/>
        <v>0</v>
      </c>
      <c r="IW354" s="74">
        <f t="shared" si="10082"/>
        <v>0</v>
      </c>
      <c r="IX354" s="74">
        <f t="shared" si="10082"/>
        <v>0</v>
      </c>
      <c r="IY354" s="74">
        <f t="shared" si="10082"/>
        <v>0</v>
      </c>
      <c r="IZ354" s="74">
        <f t="shared" si="10082"/>
        <v>0</v>
      </c>
      <c r="JA354" s="74">
        <f t="shared" ref="JA354:JC354" si="10084">SUM(JA355:JA357)</f>
        <v>0</v>
      </c>
      <c r="JB354" s="74">
        <f t="shared" si="10084"/>
        <v>0</v>
      </c>
      <c r="JC354" s="74">
        <f t="shared" si="10084"/>
        <v>0</v>
      </c>
      <c r="JD354" s="74">
        <f t="shared" ref="JD354:JF354" si="10085">SUM(JD355:JD357)</f>
        <v>0</v>
      </c>
      <c r="JE354" s="74">
        <f t="shared" si="10085"/>
        <v>0</v>
      </c>
      <c r="JF354" s="74">
        <f t="shared" si="10085"/>
        <v>0</v>
      </c>
      <c r="JG354" s="74">
        <f t="shared" ref="JG354:JI354" si="10086">SUM(JG355:JG357)</f>
        <v>0</v>
      </c>
      <c r="JH354" s="74">
        <f t="shared" si="10086"/>
        <v>0</v>
      </c>
      <c r="JI354" s="74">
        <f t="shared" si="10086"/>
        <v>0</v>
      </c>
      <c r="JJ354" s="74">
        <f t="shared" ref="JJ354:JL354" si="10087">SUM(JJ355:JJ357)</f>
        <v>0</v>
      </c>
      <c r="JK354" s="74">
        <f t="shared" si="10087"/>
        <v>0</v>
      </c>
      <c r="JL354" s="74">
        <f t="shared" si="10087"/>
        <v>0</v>
      </c>
      <c r="JM354" s="74">
        <f t="shared" ref="JM354:JO354" si="10088">SUM(JM355:JM357)</f>
        <v>0</v>
      </c>
      <c r="JN354" s="74">
        <f t="shared" si="10088"/>
        <v>0</v>
      </c>
      <c r="JO354" s="74">
        <f t="shared" si="10088"/>
        <v>0</v>
      </c>
      <c r="JP354" s="74">
        <f t="shared" ref="JP354:JR354" si="10089">SUM(JP355:JP357)</f>
        <v>0</v>
      </c>
      <c r="JQ354" s="74">
        <f t="shared" si="10089"/>
        <v>0</v>
      </c>
      <c r="JR354" s="74">
        <f t="shared" si="10089"/>
        <v>0</v>
      </c>
      <c r="JS354" s="74">
        <f>SUM(JS355:JS357)</f>
        <v>0</v>
      </c>
      <c r="JT354" s="102">
        <f>SUM(JT355:JT357)</f>
        <v>0</v>
      </c>
      <c r="JU354" s="665"/>
      <c r="JV354" s="524"/>
      <c r="JW354" s="525"/>
      <c r="JX354" s="548">
        <f>SUM(JX355:JX357)</f>
        <v>0</v>
      </c>
      <c r="JY354" s="548">
        <f>SUM(JY355:JY357)</f>
        <v>0</v>
      </c>
      <c r="JZ354" s="548">
        <f t="shared" ref="JZ354:KA354" si="10090">SUM(JZ355:JZ357)</f>
        <v>0</v>
      </c>
      <c r="KA354" s="548">
        <f t="shared" si="10090"/>
        <v>0</v>
      </c>
      <c r="KB354" s="548">
        <f t="shared" si="8622"/>
        <v>0</v>
      </c>
      <c r="KC354" s="709">
        <f t="shared" si="9101"/>
        <v>0</v>
      </c>
      <c r="KD354" s="36"/>
      <c r="KE354" s="36"/>
      <c r="KF354" s="36"/>
      <c r="KG354" s="36"/>
      <c r="KH354" s="36"/>
      <c r="KI354" s="36"/>
      <c r="KJ354" s="36"/>
      <c r="KK354" s="36"/>
    </row>
    <row r="355" spans="1:297" s="10" customFormat="1" ht="12.75" hidden="1" customHeight="1">
      <c r="A355" s="86" t="s">
        <v>1019</v>
      </c>
      <c r="B355" s="77"/>
      <c r="C355" s="74">
        <v>0</v>
      </c>
      <c r="D355" s="549">
        <v>0</v>
      </c>
      <c r="E355" s="675">
        <v>0</v>
      </c>
      <c r="F355" s="549">
        <v>0</v>
      </c>
      <c r="G355" s="675">
        <v>0</v>
      </c>
      <c r="H355" s="549">
        <v>0</v>
      </c>
      <c r="I355" s="675">
        <v>0</v>
      </c>
      <c r="J355" s="549">
        <v>0</v>
      </c>
      <c r="K355" s="675">
        <v>0</v>
      </c>
      <c r="L355" s="549">
        <v>0</v>
      </c>
      <c r="M355" s="675">
        <v>0</v>
      </c>
      <c r="N355" s="549">
        <v>0</v>
      </c>
      <c r="O355" s="675">
        <v>0</v>
      </c>
      <c r="P355" s="549">
        <v>0</v>
      </c>
      <c r="Q355" s="675">
        <v>0</v>
      </c>
      <c r="R355" s="549">
        <v>0</v>
      </c>
      <c r="S355" s="675">
        <v>0</v>
      </c>
      <c r="T355" s="549">
        <v>0</v>
      </c>
      <c r="U355" s="675">
        <v>0</v>
      </c>
      <c r="V355" s="549">
        <v>0</v>
      </c>
      <c r="W355" s="675">
        <v>0</v>
      </c>
      <c r="X355" s="549">
        <v>0</v>
      </c>
      <c r="Y355" s="675">
        <v>0</v>
      </c>
      <c r="Z355" s="549">
        <v>0</v>
      </c>
      <c r="AA355" s="675">
        <v>0</v>
      </c>
      <c r="AB355" s="549">
        <v>0</v>
      </c>
      <c r="AC355" s="675">
        <v>0</v>
      </c>
      <c r="AD355" s="549">
        <v>0</v>
      </c>
      <c r="AE355" s="675">
        <v>0</v>
      </c>
      <c r="AF355" s="549">
        <v>0</v>
      </c>
      <c r="AG355" s="675">
        <v>0</v>
      </c>
      <c r="AH355" s="549">
        <v>0</v>
      </c>
      <c r="AI355" s="675">
        <v>0</v>
      </c>
      <c r="AJ355" s="549">
        <v>0</v>
      </c>
      <c r="AK355" s="675">
        <v>0</v>
      </c>
      <c r="AL355" s="549">
        <v>0</v>
      </c>
      <c r="AM355" s="675">
        <v>0</v>
      </c>
      <c r="AN355" s="549">
        <v>0</v>
      </c>
      <c r="AO355" s="675">
        <v>0</v>
      </c>
      <c r="AP355" s="549">
        <v>0</v>
      </c>
      <c r="AQ355" s="675">
        <v>0</v>
      </c>
      <c r="AR355" s="549">
        <v>0</v>
      </c>
      <c r="AS355" s="675">
        <v>0</v>
      </c>
      <c r="AT355" s="549">
        <v>0</v>
      </c>
      <c r="AU355" s="675">
        <v>0</v>
      </c>
      <c r="AV355" s="549">
        <v>0</v>
      </c>
      <c r="AW355" s="675">
        <v>0</v>
      </c>
      <c r="AX355" s="549">
        <v>0</v>
      </c>
      <c r="AY355" s="675">
        <v>0</v>
      </c>
      <c r="AZ355" s="549">
        <v>0</v>
      </c>
      <c r="BA355" s="675">
        <v>0</v>
      </c>
      <c r="BB355" s="549">
        <v>0</v>
      </c>
      <c r="BC355" s="675">
        <v>0</v>
      </c>
      <c r="BD355" s="549">
        <v>0</v>
      </c>
      <c r="BE355" s="675">
        <v>0</v>
      </c>
      <c r="BF355" s="549">
        <v>0</v>
      </c>
      <c r="BG355" s="675">
        <v>0</v>
      </c>
      <c r="BH355" s="549">
        <v>0</v>
      </c>
      <c r="BI355" s="675">
        <v>0</v>
      </c>
      <c r="BJ355" s="549">
        <v>0</v>
      </c>
      <c r="BK355" s="675">
        <v>0</v>
      </c>
      <c r="BL355" s="549">
        <v>0</v>
      </c>
      <c r="BM355" s="675">
        <v>0</v>
      </c>
      <c r="BN355" s="549">
        <v>0</v>
      </c>
      <c r="BO355" s="675">
        <v>0</v>
      </c>
      <c r="BP355" s="549">
        <v>0</v>
      </c>
      <c r="BQ355" s="675">
        <v>0</v>
      </c>
      <c r="BR355" s="549">
        <v>0</v>
      </c>
      <c r="BS355" s="675">
        <v>0</v>
      </c>
      <c r="BT355" s="549">
        <v>0</v>
      </c>
      <c r="BU355" s="675">
        <v>0</v>
      </c>
      <c r="BV355" s="549">
        <v>0</v>
      </c>
      <c r="BW355" s="675">
        <v>0</v>
      </c>
      <c r="BX355" s="549">
        <v>0</v>
      </c>
      <c r="BY355" s="675">
        <v>0</v>
      </c>
      <c r="BZ355" s="549">
        <v>0</v>
      </c>
      <c r="CA355" s="675">
        <v>0</v>
      </c>
      <c r="CB355" s="549">
        <v>0</v>
      </c>
      <c r="CC355" s="675">
        <v>0</v>
      </c>
      <c r="CD355" s="549">
        <v>0</v>
      </c>
      <c r="CE355" s="675">
        <v>0</v>
      </c>
      <c r="CF355" s="549">
        <v>0</v>
      </c>
      <c r="CG355" s="675">
        <v>0</v>
      </c>
      <c r="CH355" s="549">
        <v>0</v>
      </c>
      <c r="CI355" s="675">
        <v>0</v>
      </c>
      <c r="CJ355" s="549">
        <v>0</v>
      </c>
      <c r="CK355" s="675">
        <v>0</v>
      </c>
      <c r="CL355" s="549">
        <v>0</v>
      </c>
      <c r="CM355" s="675">
        <v>0</v>
      </c>
      <c r="CN355" s="549">
        <v>0</v>
      </c>
      <c r="CO355" s="675">
        <v>0</v>
      </c>
      <c r="CP355" s="549">
        <v>0</v>
      </c>
      <c r="CQ355" s="675">
        <v>0</v>
      </c>
      <c r="CR355" s="549">
        <v>0</v>
      </c>
      <c r="CS355" s="675">
        <v>0</v>
      </c>
      <c r="CT355" s="549">
        <v>0</v>
      </c>
      <c r="CU355" s="675">
        <v>0</v>
      </c>
      <c r="CV355" s="549">
        <v>0</v>
      </c>
      <c r="CW355" s="675">
        <v>0</v>
      </c>
      <c r="CX355" s="549">
        <v>0</v>
      </c>
      <c r="CY355" s="675">
        <v>0</v>
      </c>
      <c r="CZ355" s="549">
        <v>0</v>
      </c>
      <c r="DA355" s="675">
        <v>0</v>
      </c>
      <c r="DB355" s="549">
        <v>0</v>
      </c>
      <c r="DC355" s="675">
        <v>0</v>
      </c>
      <c r="DD355" s="549">
        <v>0</v>
      </c>
      <c r="DE355" s="675">
        <v>0</v>
      </c>
      <c r="DF355" s="549">
        <v>0</v>
      </c>
      <c r="DG355" s="675">
        <v>0</v>
      </c>
      <c r="DH355" s="549">
        <v>0</v>
      </c>
      <c r="DI355" s="675">
        <v>0</v>
      </c>
      <c r="DJ355" s="549">
        <v>0</v>
      </c>
      <c r="DK355" s="675">
        <v>0</v>
      </c>
      <c r="DL355" s="549">
        <v>0</v>
      </c>
      <c r="DM355" s="675">
        <v>0</v>
      </c>
      <c r="DN355" s="549">
        <v>0</v>
      </c>
      <c r="DO355" s="675">
        <v>0</v>
      </c>
      <c r="DP355" s="549">
        <v>0</v>
      </c>
      <c r="DQ355" s="675">
        <v>0</v>
      </c>
      <c r="DR355" s="549">
        <v>0</v>
      </c>
      <c r="DS355" s="675">
        <v>0</v>
      </c>
      <c r="DT355" s="549">
        <v>0</v>
      </c>
      <c r="DU355" s="675">
        <v>0</v>
      </c>
      <c r="DV355" s="549">
        <v>0</v>
      </c>
      <c r="DW355" s="675">
        <v>0</v>
      </c>
      <c r="DX355" s="549">
        <v>0</v>
      </c>
      <c r="DY355" s="675">
        <v>0</v>
      </c>
      <c r="DZ355" s="549">
        <v>0</v>
      </c>
      <c r="EA355" s="675">
        <v>0</v>
      </c>
      <c r="EB355" s="549">
        <v>0</v>
      </c>
      <c r="EC355" s="675">
        <v>0</v>
      </c>
      <c r="ED355" s="549">
        <v>0</v>
      </c>
      <c r="EE355" s="675">
        <v>0</v>
      </c>
      <c r="EF355" s="549">
        <v>0</v>
      </c>
      <c r="EG355" s="675">
        <v>0</v>
      </c>
      <c r="EH355" s="549">
        <v>0</v>
      </c>
      <c r="EI355" s="675">
        <v>0</v>
      </c>
      <c r="EJ355" s="549">
        <v>0</v>
      </c>
      <c r="EK355" s="675">
        <v>0</v>
      </c>
      <c r="EL355" s="549">
        <v>0</v>
      </c>
      <c r="EM355" s="675">
        <v>0</v>
      </c>
      <c r="EN355" s="549">
        <v>0</v>
      </c>
      <c r="EO355" s="675">
        <v>0</v>
      </c>
      <c r="EP355" s="549">
        <v>0</v>
      </c>
      <c r="EQ355" s="675">
        <v>0</v>
      </c>
      <c r="ER355" s="549">
        <v>0</v>
      </c>
      <c r="ES355" s="675">
        <v>0</v>
      </c>
      <c r="ET355" s="549">
        <v>0</v>
      </c>
      <c r="EU355" s="675">
        <v>0</v>
      </c>
      <c r="EV355" s="549">
        <v>0</v>
      </c>
      <c r="EW355" s="675">
        <v>0</v>
      </c>
      <c r="EX355" s="549">
        <v>0</v>
      </c>
      <c r="EY355" s="675">
        <v>0</v>
      </c>
      <c r="EZ355" s="549">
        <v>0</v>
      </c>
      <c r="FA355" s="675">
        <v>0</v>
      </c>
      <c r="FB355" s="549">
        <v>0</v>
      </c>
      <c r="FC355" s="675">
        <v>0</v>
      </c>
      <c r="FD355" s="549">
        <v>0</v>
      </c>
      <c r="FE355" s="675">
        <v>0</v>
      </c>
      <c r="FF355" s="549">
        <v>0</v>
      </c>
      <c r="FG355" s="675">
        <v>0</v>
      </c>
      <c r="FH355" s="549">
        <v>0</v>
      </c>
      <c r="FI355" s="675">
        <v>0</v>
      </c>
      <c r="FJ355" s="549">
        <v>0</v>
      </c>
      <c r="FK355" s="675">
        <v>0</v>
      </c>
      <c r="FL355" s="549">
        <v>0</v>
      </c>
      <c r="FM355" s="675">
        <v>0</v>
      </c>
      <c r="FN355" s="549">
        <v>0</v>
      </c>
      <c r="FO355" s="675">
        <v>0</v>
      </c>
      <c r="FP355" s="549">
        <v>0</v>
      </c>
      <c r="FQ355" s="675">
        <v>0</v>
      </c>
      <c r="FR355" s="549">
        <v>0</v>
      </c>
      <c r="FS355" s="675">
        <v>0</v>
      </c>
      <c r="FT355" s="549">
        <v>0</v>
      </c>
      <c r="FU355" s="675">
        <v>0</v>
      </c>
      <c r="FV355" s="549">
        <v>0</v>
      </c>
      <c r="FW355" s="675">
        <v>0</v>
      </c>
      <c r="FX355" s="549">
        <v>0</v>
      </c>
      <c r="FY355" s="675">
        <v>0</v>
      </c>
      <c r="FZ355" s="549">
        <v>0</v>
      </c>
      <c r="GA355" s="675">
        <v>0</v>
      </c>
      <c r="GB355" s="549">
        <v>0</v>
      </c>
      <c r="GC355" s="675">
        <v>0</v>
      </c>
      <c r="GD355" s="549">
        <v>0</v>
      </c>
      <c r="GE355" s="675">
        <v>0</v>
      </c>
      <c r="GF355" s="549">
        <v>0</v>
      </c>
      <c r="GG355" s="675">
        <v>0</v>
      </c>
      <c r="GH355" s="549">
        <v>0</v>
      </c>
      <c r="GI355" s="675">
        <v>0</v>
      </c>
      <c r="GJ355" s="549">
        <v>0</v>
      </c>
      <c r="GK355" s="675">
        <v>0</v>
      </c>
      <c r="GL355" s="549">
        <v>0</v>
      </c>
      <c r="GM355" s="675">
        <v>0</v>
      </c>
      <c r="GN355" s="549">
        <v>0</v>
      </c>
      <c r="GO355" s="675">
        <v>0</v>
      </c>
      <c r="GP355" s="549">
        <f>+D355+F355+H355+J355+L355+N355+P355+R355+T355+V355+X355+Z355+AB355+AD355+AH355+AJ355+AL355+AN355+AP355+AR355+AT355+AV355+AX355+AZ355+BB355+BD355+BF355+BH355+BJ355+BL355+BN355+BP355+BR355+BT355+BV355+BX355+BZ355+CB355+CD355+CF355+CH355+CJ355+CL355+CN355+CP355+CR355+CT355+CV355+CX355+CZ355+DB355+DD355+DF355+DH355+DT355+EX355+DJ355+DL355+DN355+DP355+DR355+EJ355+EB355+DZ355+DX355+DV355+ED355+EF355+EH355+EL355+EN355+EP355+EV355+ET355+ER355+EZ355+FB355+FD355+GL355</f>
        <v>0</v>
      </c>
      <c r="GQ355" s="675">
        <f>+E355+G355+I355+K355+M355+O355+Q355+S355+U355+W355+Y355+AA355+AC355+AE355+AI355+AK355+AM355+AO355+AQ355+AS355+AU355+AW355+AY355+BA355+BC355+BE355+BG355+BI355+BK355+BM355+BO355+BQ355+BS355+BU355+BW355+BY355+CA355+CC355+CE355+CG355+CI355+CK355+CM355+CO355+CQ355+CS355+CU355+CW355+CY355+DA355+DC355+DE355+DG355+DI355+DU355+EY355+DK355+DM355+DO355+DQ355+DS355+EK355+EC355+EA355+DY355+DW355+EI355+EG355+EE355+EM355+EO355+EQ355+EW355+EU355+ES355+FA355+FC355+FE355+GM355</f>
        <v>0</v>
      </c>
      <c r="GR355" s="74">
        <f>C355+GP355+GQ355</f>
        <v>0</v>
      </c>
      <c r="GS355" s="74">
        <f t="shared" ref="GS355" si="10091">GU355</f>
        <v>0</v>
      </c>
      <c r="GT355" s="568">
        <f>SUM(GU355:HF355)+GQ355+GP355</f>
        <v>0</v>
      </c>
      <c r="GU355" s="275">
        <v>0</v>
      </c>
      <c r="GV355" s="275">
        <v>0</v>
      </c>
      <c r="GW355" s="588">
        <v>0</v>
      </c>
      <c r="GX355" s="588">
        <v>0</v>
      </c>
      <c r="GY355" s="275">
        <v>0</v>
      </c>
      <c r="GZ355" s="275">
        <v>0</v>
      </c>
      <c r="HA355" s="275">
        <v>0</v>
      </c>
      <c r="HB355" s="275">
        <v>0</v>
      </c>
      <c r="HC355" s="275">
        <v>0</v>
      </c>
      <c r="HD355" s="275">
        <v>0</v>
      </c>
      <c r="HE355" s="275">
        <v>0</v>
      </c>
      <c r="HF355" s="275">
        <v>0</v>
      </c>
      <c r="HG355" s="74">
        <f>SUM(HH355:IE355)+GP355+GQ355</f>
        <v>0</v>
      </c>
      <c r="HH355" s="89">
        <v>0</v>
      </c>
      <c r="HI355" s="817">
        <v>0</v>
      </c>
      <c r="HJ355" s="89">
        <v>0</v>
      </c>
      <c r="HK355" s="817">
        <v>0</v>
      </c>
      <c r="HL355" s="89">
        <v>0</v>
      </c>
      <c r="HM355" s="817">
        <v>0</v>
      </c>
      <c r="HN355" s="89">
        <v>0</v>
      </c>
      <c r="HO355" s="817">
        <v>0</v>
      </c>
      <c r="HP355" s="89">
        <v>0</v>
      </c>
      <c r="HQ355" s="817">
        <v>0</v>
      </c>
      <c r="HR355" s="89">
        <v>0</v>
      </c>
      <c r="HS355" s="817">
        <v>0</v>
      </c>
      <c r="HT355" s="89">
        <v>0</v>
      </c>
      <c r="HU355" s="817">
        <v>0</v>
      </c>
      <c r="HV355" s="89">
        <v>0</v>
      </c>
      <c r="HW355" s="817">
        <v>0</v>
      </c>
      <c r="HX355" s="89">
        <v>0</v>
      </c>
      <c r="HY355" s="817">
        <v>0</v>
      </c>
      <c r="HZ355" s="89">
        <v>0</v>
      </c>
      <c r="IA355" s="817">
        <v>0</v>
      </c>
      <c r="IB355" s="89">
        <v>0</v>
      </c>
      <c r="IC355" s="817">
        <v>0</v>
      </c>
      <c r="ID355" s="89">
        <v>0</v>
      </c>
      <c r="IE355" s="817">
        <v>0</v>
      </c>
      <c r="IF355" s="841">
        <f t="shared" ref="IF355:IF356" si="10092">SUM(II355,IL355,IO355,IR355,IU355,IX355,JA355,JD355,JG355,JJ355,JM355,JP355)</f>
        <v>0</v>
      </c>
      <c r="IG355" s="263">
        <f t="shared" ref="IG355:IG356" si="10093">SUM(IJ355,IM355,IP355,IS355,IV355,IY355,JB355,JE355,JH355,JK355,JN355,JQ355)</f>
        <v>0</v>
      </c>
      <c r="IH355" s="842">
        <f t="shared" ref="IH355:IH356" si="10094">SUM(IK355,IN355,IQ355,IT355,IW355,IZ355,JC355,JF355,JI355,JL355,JO355,JR355)</f>
        <v>0</v>
      </c>
      <c r="II355" s="89">
        <v>0</v>
      </c>
      <c r="IJ355" s="89">
        <v>0</v>
      </c>
      <c r="IK355" s="89">
        <v>0</v>
      </c>
      <c r="IL355" s="89">
        <v>0</v>
      </c>
      <c r="IM355" s="89">
        <v>0</v>
      </c>
      <c r="IN355" s="89">
        <v>0</v>
      </c>
      <c r="IO355" s="89">
        <v>0</v>
      </c>
      <c r="IP355" s="89">
        <v>0</v>
      </c>
      <c r="IQ355" s="89">
        <v>0</v>
      </c>
      <c r="IR355" s="89">
        <v>0</v>
      </c>
      <c r="IS355" s="89">
        <v>0</v>
      </c>
      <c r="IT355" s="89">
        <v>0</v>
      </c>
      <c r="IU355" s="89">
        <v>0</v>
      </c>
      <c r="IV355" s="89">
        <v>0</v>
      </c>
      <c r="IW355" s="89">
        <v>0</v>
      </c>
      <c r="IX355" s="89">
        <v>0</v>
      </c>
      <c r="IY355" s="89">
        <v>0</v>
      </c>
      <c r="IZ355" s="89">
        <v>0</v>
      </c>
      <c r="JA355" s="89">
        <v>0</v>
      </c>
      <c r="JB355" s="89">
        <v>0</v>
      </c>
      <c r="JC355" s="89">
        <v>0</v>
      </c>
      <c r="JD355" s="89">
        <v>0</v>
      </c>
      <c r="JE355" s="89">
        <v>0</v>
      </c>
      <c r="JF355" s="89">
        <v>0</v>
      </c>
      <c r="JG355" s="89">
        <v>0</v>
      </c>
      <c r="JH355" s="89">
        <v>0</v>
      </c>
      <c r="JI355" s="89">
        <v>0</v>
      </c>
      <c r="JJ355" s="89">
        <v>0</v>
      </c>
      <c r="JK355" s="89">
        <v>0</v>
      </c>
      <c r="JL355" s="89">
        <v>0</v>
      </c>
      <c r="JM355" s="89">
        <v>0</v>
      </c>
      <c r="JN355" s="89">
        <v>0</v>
      </c>
      <c r="JO355" s="89">
        <v>0</v>
      </c>
      <c r="JP355" s="89">
        <v>0</v>
      </c>
      <c r="JQ355" s="89">
        <v>0</v>
      </c>
      <c r="JR355" s="89">
        <v>0</v>
      </c>
      <c r="JS355" s="74">
        <f>HG355-IF355</f>
        <v>0</v>
      </c>
      <c r="JT355" s="382">
        <f>GS355-IF355</f>
        <v>0</v>
      </c>
      <c r="JU355" s="665"/>
      <c r="JV355" s="524"/>
      <c r="JW355" s="525"/>
      <c r="JX355" s="548">
        <f>SUM(HH355,HJ355,HL355,HN355,HP355,HR355,HT355,HV355,HX355,HZ355,IB355,ID355)</f>
        <v>0</v>
      </c>
      <c r="JY355" s="548">
        <f>SUM(HI355,HK355,HM355,HO355,HQ355,HS355,HU355,HW355,HY355,IA355,IC355,IE355)</f>
        <v>0</v>
      </c>
      <c r="JZ355" s="581">
        <f t="shared" si="9103"/>
        <v>0</v>
      </c>
      <c r="KA355" s="581">
        <f t="shared" si="9104"/>
        <v>0</v>
      </c>
      <c r="KB355" s="548">
        <f t="shared" si="8622"/>
        <v>0</v>
      </c>
      <c r="KC355" s="709">
        <f t="shared" si="9101"/>
        <v>0</v>
      </c>
      <c r="KD355" s="36"/>
      <c r="KE355" s="36"/>
      <c r="KF355" s="36"/>
      <c r="KG355" s="36"/>
      <c r="KH355" s="36"/>
      <c r="KI355" s="36"/>
      <c r="KJ355" s="36"/>
      <c r="KK355" s="36"/>
    </row>
    <row r="356" spans="1:297" s="10" customFormat="1" ht="12.75" hidden="1" customHeight="1">
      <c r="A356" s="86" t="s">
        <v>1223</v>
      </c>
      <c r="B356" s="77"/>
      <c r="C356" s="74">
        <v>0</v>
      </c>
      <c r="D356" s="549">
        <v>0</v>
      </c>
      <c r="E356" s="675">
        <v>0</v>
      </c>
      <c r="F356" s="549">
        <v>0</v>
      </c>
      <c r="G356" s="675">
        <v>0</v>
      </c>
      <c r="H356" s="549">
        <v>0</v>
      </c>
      <c r="I356" s="675">
        <v>0</v>
      </c>
      <c r="J356" s="549">
        <v>0</v>
      </c>
      <c r="K356" s="675">
        <v>0</v>
      </c>
      <c r="L356" s="549">
        <v>0</v>
      </c>
      <c r="M356" s="675">
        <v>0</v>
      </c>
      <c r="N356" s="549">
        <v>0</v>
      </c>
      <c r="O356" s="675">
        <v>0</v>
      </c>
      <c r="P356" s="549">
        <v>0</v>
      </c>
      <c r="Q356" s="675">
        <v>0</v>
      </c>
      <c r="R356" s="549">
        <v>0</v>
      </c>
      <c r="S356" s="675">
        <v>0</v>
      </c>
      <c r="T356" s="549">
        <v>0</v>
      </c>
      <c r="U356" s="675">
        <v>0</v>
      </c>
      <c r="V356" s="549">
        <v>0</v>
      </c>
      <c r="W356" s="675">
        <v>0</v>
      </c>
      <c r="X356" s="549">
        <v>0</v>
      </c>
      <c r="Y356" s="675">
        <v>0</v>
      </c>
      <c r="Z356" s="549">
        <v>0</v>
      </c>
      <c r="AA356" s="675">
        <v>0</v>
      </c>
      <c r="AB356" s="549">
        <v>0</v>
      </c>
      <c r="AC356" s="675">
        <v>0</v>
      </c>
      <c r="AD356" s="549">
        <v>0</v>
      </c>
      <c r="AE356" s="675">
        <v>0</v>
      </c>
      <c r="AF356" s="549">
        <v>0</v>
      </c>
      <c r="AG356" s="675">
        <v>0</v>
      </c>
      <c r="AH356" s="549">
        <v>0</v>
      </c>
      <c r="AI356" s="675">
        <v>0</v>
      </c>
      <c r="AJ356" s="549">
        <v>0</v>
      </c>
      <c r="AK356" s="675">
        <v>0</v>
      </c>
      <c r="AL356" s="549">
        <v>0</v>
      </c>
      <c r="AM356" s="675">
        <v>0</v>
      </c>
      <c r="AN356" s="549">
        <v>0</v>
      </c>
      <c r="AO356" s="675">
        <v>0</v>
      </c>
      <c r="AP356" s="549">
        <v>0</v>
      </c>
      <c r="AQ356" s="675">
        <v>0</v>
      </c>
      <c r="AR356" s="549">
        <v>0</v>
      </c>
      <c r="AS356" s="675">
        <v>0</v>
      </c>
      <c r="AT356" s="549">
        <v>0</v>
      </c>
      <c r="AU356" s="675">
        <v>0</v>
      </c>
      <c r="AV356" s="549">
        <v>0</v>
      </c>
      <c r="AW356" s="675">
        <v>0</v>
      </c>
      <c r="AX356" s="549">
        <v>0</v>
      </c>
      <c r="AY356" s="675">
        <v>0</v>
      </c>
      <c r="AZ356" s="549">
        <v>0</v>
      </c>
      <c r="BA356" s="675">
        <v>0</v>
      </c>
      <c r="BB356" s="549">
        <v>0</v>
      </c>
      <c r="BC356" s="675">
        <v>0</v>
      </c>
      <c r="BD356" s="549">
        <v>0</v>
      </c>
      <c r="BE356" s="675">
        <v>0</v>
      </c>
      <c r="BF356" s="549">
        <v>0</v>
      </c>
      <c r="BG356" s="675">
        <v>0</v>
      </c>
      <c r="BH356" s="549">
        <v>0</v>
      </c>
      <c r="BI356" s="675">
        <v>0</v>
      </c>
      <c r="BJ356" s="549">
        <v>0</v>
      </c>
      <c r="BK356" s="675">
        <v>0</v>
      </c>
      <c r="BL356" s="549">
        <v>0</v>
      </c>
      <c r="BM356" s="675">
        <v>0</v>
      </c>
      <c r="BN356" s="549">
        <v>0</v>
      </c>
      <c r="BO356" s="675">
        <v>0</v>
      </c>
      <c r="BP356" s="549">
        <v>0</v>
      </c>
      <c r="BQ356" s="675">
        <v>0</v>
      </c>
      <c r="BR356" s="549">
        <v>0</v>
      </c>
      <c r="BS356" s="675">
        <v>0</v>
      </c>
      <c r="BT356" s="549">
        <v>0</v>
      </c>
      <c r="BU356" s="675">
        <v>0</v>
      </c>
      <c r="BV356" s="549">
        <v>0</v>
      </c>
      <c r="BW356" s="675">
        <v>0</v>
      </c>
      <c r="BX356" s="549">
        <v>0</v>
      </c>
      <c r="BY356" s="675">
        <v>0</v>
      </c>
      <c r="BZ356" s="549">
        <v>0</v>
      </c>
      <c r="CA356" s="675">
        <v>0</v>
      </c>
      <c r="CB356" s="549">
        <v>0</v>
      </c>
      <c r="CC356" s="675">
        <v>0</v>
      </c>
      <c r="CD356" s="549">
        <v>0</v>
      </c>
      <c r="CE356" s="675">
        <v>0</v>
      </c>
      <c r="CF356" s="549">
        <v>0</v>
      </c>
      <c r="CG356" s="675">
        <v>0</v>
      </c>
      <c r="CH356" s="549">
        <v>0</v>
      </c>
      <c r="CI356" s="675">
        <v>0</v>
      </c>
      <c r="CJ356" s="549">
        <v>0</v>
      </c>
      <c r="CK356" s="675">
        <v>0</v>
      </c>
      <c r="CL356" s="549">
        <v>0</v>
      </c>
      <c r="CM356" s="675">
        <v>0</v>
      </c>
      <c r="CN356" s="549">
        <v>0</v>
      </c>
      <c r="CO356" s="675">
        <v>0</v>
      </c>
      <c r="CP356" s="549">
        <v>0</v>
      </c>
      <c r="CQ356" s="675">
        <v>0</v>
      </c>
      <c r="CR356" s="549">
        <v>0</v>
      </c>
      <c r="CS356" s="675">
        <v>0</v>
      </c>
      <c r="CT356" s="549">
        <v>0</v>
      </c>
      <c r="CU356" s="675">
        <v>0</v>
      </c>
      <c r="CV356" s="549">
        <v>0</v>
      </c>
      <c r="CW356" s="675">
        <v>0</v>
      </c>
      <c r="CX356" s="549">
        <v>0</v>
      </c>
      <c r="CY356" s="675">
        <v>0</v>
      </c>
      <c r="CZ356" s="549">
        <v>0</v>
      </c>
      <c r="DA356" s="675">
        <v>0</v>
      </c>
      <c r="DB356" s="549">
        <v>0</v>
      </c>
      <c r="DC356" s="675">
        <v>0</v>
      </c>
      <c r="DD356" s="549">
        <v>0</v>
      </c>
      <c r="DE356" s="675">
        <v>0</v>
      </c>
      <c r="DF356" s="549">
        <v>0</v>
      </c>
      <c r="DG356" s="675">
        <v>0</v>
      </c>
      <c r="DH356" s="549">
        <v>0</v>
      </c>
      <c r="DI356" s="675">
        <v>0</v>
      </c>
      <c r="DJ356" s="549">
        <v>0</v>
      </c>
      <c r="DK356" s="675">
        <v>0</v>
      </c>
      <c r="DL356" s="549">
        <v>0</v>
      </c>
      <c r="DM356" s="675">
        <v>0</v>
      </c>
      <c r="DN356" s="549">
        <v>0</v>
      </c>
      <c r="DO356" s="675">
        <v>0</v>
      </c>
      <c r="DP356" s="549">
        <v>0</v>
      </c>
      <c r="DQ356" s="675">
        <v>0</v>
      </c>
      <c r="DR356" s="549">
        <v>0</v>
      </c>
      <c r="DS356" s="675">
        <v>0</v>
      </c>
      <c r="DT356" s="549">
        <v>0</v>
      </c>
      <c r="DU356" s="675">
        <v>0</v>
      </c>
      <c r="DV356" s="549">
        <v>0</v>
      </c>
      <c r="DW356" s="675">
        <v>0</v>
      </c>
      <c r="DX356" s="549">
        <v>0</v>
      </c>
      <c r="DY356" s="675">
        <v>0</v>
      </c>
      <c r="DZ356" s="549">
        <v>0</v>
      </c>
      <c r="EA356" s="675">
        <v>0</v>
      </c>
      <c r="EB356" s="549">
        <v>0</v>
      </c>
      <c r="EC356" s="675">
        <v>0</v>
      </c>
      <c r="ED356" s="549">
        <v>0</v>
      </c>
      <c r="EE356" s="675">
        <v>0</v>
      </c>
      <c r="EF356" s="549">
        <v>0</v>
      </c>
      <c r="EG356" s="675">
        <v>0</v>
      </c>
      <c r="EH356" s="549">
        <v>0</v>
      </c>
      <c r="EI356" s="675">
        <v>0</v>
      </c>
      <c r="EJ356" s="549">
        <v>0</v>
      </c>
      <c r="EK356" s="675">
        <v>0</v>
      </c>
      <c r="EL356" s="549">
        <v>0</v>
      </c>
      <c r="EM356" s="675">
        <v>0</v>
      </c>
      <c r="EN356" s="549">
        <v>0</v>
      </c>
      <c r="EO356" s="675">
        <v>0</v>
      </c>
      <c r="EP356" s="549">
        <v>0</v>
      </c>
      <c r="EQ356" s="675">
        <v>0</v>
      </c>
      <c r="ER356" s="549">
        <v>0</v>
      </c>
      <c r="ES356" s="675">
        <v>0</v>
      </c>
      <c r="ET356" s="549">
        <v>0</v>
      </c>
      <c r="EU356" s="675">
        <v>0</v>
      </c>
      <c r="EV356" s="549">
        <v>0</v>
      </c>
      <c r="EW356" s="675">
        <v>0</v>
      </c>
      <c r="EX356" s="549">
        <v>0</v>
      </c>
      <c r="EY356" s="675">
        <v>0</v>
      </c>
      <c r="EZ356" s="549">
        <v>0</v>
      </c>
      <c r="FA356" s="675">
        <v>0</v>
      </c>
      <c r="FB356" s="549">
        <v>0</v>
      </c>
      <c r="FC356" s="675">
        <v>0</v>
      </c>
      <c r="FD356" s="549">
        <v>0</v>
      </c>
      <c r="FE356" s="675">
        <v>0</v>
      </c>
      <c r="FF356" s="549">
        <v>0</v>
      </c>
      <c r="FG356" s="675">
        <v>0</v>
      </c>
      <c r="FH356" s="549">
        <v>0</v>
      </c>
      <c r="FI356" s="675">
        <v>0</v>
      </c>
      <c r="FJ356" s="549">
        <v>0</v>
      </c>
      <c r="FK356" s="675">
        <v>0</v>
      </c>
      <c r="FL356" s="549">
        <v>0</v>
      </c>
      <c r="FM356" s="675">
        <v>0</v>
      </c>
      <c r="FN356" s="549">
        <v>0</v>
      </c>
      <c r="FO356" s="675">
        <v>0</v>
      </c>
      <c r="FP356" s="549">
        <v>0</v>
      </c>
      <c r="FQ356" s="675">
        <v>0</v>
      </c>
      <c r="FR356" s="549">
        <v>0</v>
      </c>
      <c r="FS356" s="675">
        <v>0</v>
      </c>
      <c r="FT356" s="549">
        <v>0</v>
      </c>
      <c r="FU356" s="675">
        <v>0</v>
      </c>
      <c r="FV356" s="549">
        <v>0</v>
      </c>
      <c r="FW356" s="675">
        <v>0</v>
      </c>
      <c r="FX356" s="549">
        <v>0</v>
      </c>
      <c r="FY356" s="675">
        <v>0</v>
      </c>
      <c r="FZ356" s="549">
        <v>0</v>
      </c>
      <c r="GA356" s="675">
        <v>0</v>
      </c>
      <c r="GB356" s="549">
        <v>0</v>
      </c>
      <c r="GC356" s="675">
        <v>0</v>
      </c>
      <c r="GD356" s="549">
        <v>0</v>
      </c>
      <c r="GE356" s="675">
        <v>0</v>
      </c>
      <c r="GF356" s="549">
        <v>0</v>
      </c>
      <c r="GG356" s="675">
        <v>0</v>
      </c>
      <c r="GH356" s="549">
        <v>0</v>
      </c>
      <c r="GI356" s="675">
        <v>0</v>
      </c>
      <c r="GJ356" s="549">
        <v>0</v>
      </c>
      <c r="GK356" s="675">
        <v>0</v>
      </c>
      <c r="GL356" s="549">
        <v>0</v>
      </c>
      <c r="GM356" s="675">
        <v>0</v>
      </c>
      <c r="GN356" s="549">
        <v>0</v>
      </c>
      <c r="GO356" s="675">
        <v>0</v>
      </c>
      <c r="GP356" s="549">
        <f>+D356+F356+H356+J356+L356+N356+P356+R356+T356+V356+X356+Z356+AB356+AF356+AD356+AH356+AJ356+AL356+AN356+AP356+AR356+AT356+AV356+AX356+AZ356+BB356+BD356+BF356+BH356+BJ356+BL356+BN356+BP356+BR356+BT356+BV356+BX356+BZ356+CB356+CD356+CF356+CH356+CJ356+CL356+CN356+CP356+CR356+CT356+CV356+CX356+CZ356+DB356+DD356+DF356+DH356+DT356+EX356+DJ356+DL356+DN356+DP356+DR356+EJ356+EB356+DZ356+DX356+DV356+ED356+EF356+EH356+EL356+EN356+EP356+EV356+ET356+ER356+EZ356+FB356+FD356+GL356+FF356+FJ356+FL356+GJ356+FT356+FR356+FP356+FN356+FH356+GH356+GF356+GD356+GB356+FZ356+FX356+FV356+GN356</f>
        <v>0</v>
      </c>
      <c r="GQ356" s="675">
        <f>+E356+G356+I356+K356+M356+O356+Q356+S356+U356+W356+Y356+AA356+AC356+AE356+AG356+AI356+AK356+AM356+AO356+AQ356+AS356+AU356+AW356+AY356+BA356+BC356+BE356+BG356+BI356+BK356+BM356+BO356+BQ356+BS356+BU356+BW356+BY356+CA356+CC356+CE356+CG356+CI356+CK356+CM356+CO356+CQ356+CS356+CU356+CW356+CY356+DA356+DC356+DE356+DG356+DI356+DU356+EY356+DK356+DM356+DO356+DQ356+DS356+EK356+EC356+EA356+DY356+DW356+EI356+EG356+EE356+EM356+EO356+EQ356+EW356+EU356+ES356+FA356+FC356+FE356+GM356+FG356+FK356+FM356+FO356+FQ356+FS356+FU356+GK356+FI356+GI356+GG356+GE356+GC356+GA356+FY356+FW356+GO356</f>
        <v>0</v>
      </c>
      <c r="GR356" s="74">
        <f>C356+GP356+GQ356</f>
        <v>0</v>
      </c>
      <c r="GS356" s="74">
        <f>SUM(GU356:GV356)+GP356+GQ356+GW356+GX356+GY356+GZ356+HA356+HB356+HC356+HD356+HE356+HF356</f>
        <v>0</v>
      </c>
      <c r="GT356" s="568">
        <f>SUM(GU356:HF356)+GQ356+GP356</f>
        <v>0</v>
      </c>
      <c r="GU356" s="275">
        <v>0</v>
      </c>
      <c r="GV356" s="275">
        <v>0</v>
      </c>
      <c r="GW356" s="588">
        <v>0</v>
      </c>
      <c r="GX356" s="588">
        <v>0</v>
      </c>
      <c r="GY356" s="275">
        <v>0</v>
      </c>
      <c r="GZ356" s="275">
        <v>0</v>
      </c>
      <c r="HA356" s="275">
        <v>0</v>
      </c>
      <c r="HB356" s="275">
        <v>0</v>
      </c>
      <c r="HC356" s="275">
        <v>0</v>
      </c>
      <c r="HD356" s="275">
        <v>0</v>
      </c>
      <c r="HE356" s="275">
        <v>0</v>
      </c>
      <c r="HF356" s="275">
        <v>0</v>
      </c>
      <c r="HG356" s="74">
        <f>SUM(HH356:IE356)+GP356</f>
        <v>0</v>
      </c>
      <c r="HH356" s="89">
        <v>0</v>
      </c>
      <c r="HI356" s="817">
        <v>0</v>
      </c>
      <c r="HJ356" s="89">
        <v>0</v>
      </c>
      <c r="HK356" s="817">
        <v>0</v>
      </c>
      <c r="HL356" s="89">
        <v>0</v>
      </c>
      <c r="HM356" s="817">
        <v>0</v>
      </c>
      <c r="HN356" s="89">
        <v>0</v>
      </c>
      <c r="HO356" s="817">
        <v>0</v>
      </c>
      <c r="HP356" s="89">
        <v>0</v>
      </c>
      <c r="HQ356" s="817">
        <v>0</v>
      </c>
      <c r="HR356" s="89">
        <v>0</v>
      </c>
      <c r="HS356" s="817">
        <v>0</v>
      </c>
      <c r="HT356" s="89">
        <v>0</v>
      </c>
      <c r="HU356" s="817">
        <v>0</v>
      </c>
      <c r="HV356" s="89">
        <v>0</v>
      </c>
      <c r="HW356" s="817">
        <v>0</v>
      </c>
      <c r="HX356" s="89">
        <v>0</v>
      </c>
      <c r="HY356" s="817">
        <v>0</v>
      </c>
      <c r="HZ356" s="89">
        <v>0</v>
      </c>
      <c r="IA356" s="817">
        <v>0</v>
      </c>
      <c r="IB356" s="89">
        <v>0</v>
      </c>
      <c r="IC356" s="817">
        <v>0</v>
      </c>
      <c r="ID356" s="89">
        <v>0</v>
      </c>
      <c r="IE356" s="817">
        <v>0</v>
      </c>
      <c r="IF356" s="841">
        <f t="shared" si="10092"/>
        <v>0</v>
      </c>
      <c r="IG356" s="263">
        <f t="shared" si="10093"/>
        <v>0</v>
      </c>
      <c r="IH356" s="842">
        <f t="shared" si="10094"/>
        <v>0</v>
      </c>
      <c r="II356" s="89">
        <v>0</v>
      </c>
      <c r="IJ356" s="89">
        <v>0</v>
      </c>
      <c r="IK356" s="89">
        <v>0</v>
      </c>
      <c r="IL356" s="89">
        <v>0</v>
      </c>
      <c r="IM356" s="89">
        <v>0</v>
      </c>
      <c r="IN356" s="89">
        <v>0</v>
      </c>
      <c r="IO356" s="89">
        <v>0</v>
      </c>
      <c r="IP356" s="89">
        <v>0</v>
      </c>
      <c r="IQ356" s="89">
        <v>0</v>
      </c>
      <c r="IR356" s="89">
        <v>0</v>
      </c>
      <c r="IS356" s="89">
        <v>0</v>
      </c>
      <c r="IT356" s="89">
        <v>0</v>
      </c>
      <c r="IU356" s="89">
        <v>0</v>
      </c>
      <c r="IV356" s="89">
        <v>0</v>
      </c>
      <c r="IW356" s="89">
        <v>0</v>
      </c>
      <c r="IX356" s="89">
        <v>0</v>
      </c>
      <c r="IY356" s="89">
        <v>0</v>
      </c>
      <c r="IZ356" s="89">
        <v>0</v>
      </c>
      <c r="JA356" s="89">
        <v>0</v>
      </c>
      <c r="JB356" s="89">
        <v>0</v>
      </c>
      <c r="JC356" s="89">
        <v>0</v>
      </c>
      <c r="JD356" s="89">
        <v>0</v>
      </c>
      <c r="JE356" s="89">
        <v>0</v>
      </c>
      <c r="JF356" s="89">
        <v>0</v>
      </c>
      <c r="JG356" s="89">
        <v>0</v>
      </c>
      <c r="JH356" s="89">
        <v>0</v>
      </c>
      <c r="JI356" s="89">
        <v>0</v>
      </c>
      <c r="JJ356" s="89">
        <v>0</v>
      </c>
      <c r="JK356" s="89">
        <v>0</v>
      </c>
      <c r="JL356" s="89">
        <v>0</v>
      </c>
      <c r="JM356" s="89">
        <v>0</v>
      </c>
      <c r="JN356" s="89">
        <v>0</v>
      </c>
      <c r="JO356" s="89">
        <v>0</v>
      </c>
      <c r="JP356" s="89">
        <v>0</v>
      </c>
      <c r="JQ356" s="89">
        <v>0</v>
      </c>
      <c r="JR356" s="89">
        <v>0</v>
      </c>
      <c r="JS356" s="74">
        <f>HG356-IF356</f>
        <v>0</v>
      </c>
      <c r="JT356" s="382">
        <f>GS356-IF356</f>
        <v>0</v>
      </c>
      <c r="JU356" s="665"/>
      <c r="JV356" s="524"/>
      <c r="JW356" s="525"/>
      <c r="JX356" s="548">
        <f>SUM(HH356,HJ356,HL356,HN356,HP356,HR356,HT356,HV356,HX356,HZ356,IB356,ID356)</f>
        <v>0</v>
      </c>
      <c r="JY356" s="548">
        <v>0</v>
      </c>
      <c r="JZ356" s="581">
        <f t="shared" si="9103"/>
        <v>0</v>
      </c>
      <c r="KA356" s="581">
        <f t="shared" si="9104"/>
        <v>0</v>
      </c>
      <c r="KB356" s="548">
        <f>JX356+JY356+JZ356+KA356</f>
        <v>0</v>
      </c>
      <c r="KC356" s="709">
        <f t="shared" si="9101"/>
        <v>0</v>
      </c>
      <c r="KD356" s="36"/>
      <c r="KE356" s="36"/>
      <c r="KF356" s="36"/>
      <c r="KG356" s="36"/>
      <c r="KH356" s="36"/>
      <c r="KI356" s="36"/>
      <c r="KJ356" s="36"/>
      <c r="KK356" s="36"/>
    </row>
    <row r="357" spans="1:297" s="10" customFormat="1" ht="12.75" hidden="1" customHeight="1">
      <c r="A357" s="86"/>
      <c r="B357" s="77"/>
      <c r="C357" s="74"/>
      <c r="D357" s="549"/>
      <c r="E357" s="675"/>
      <c r="F357" s="549"/>
      <c r="G357" s="675"/>
      <c r="H357" s="549"/>
      <c r="I357" s="675"/>
      <c r="J357" s="549"/>
      <c r="K357" s="675"/>
      <c r="L357" s="549"/>
      <c r="M357" s="675"/>
      <c r="N357" s="549"/>
      <c r="O357" s="675"/>
      <c r="P357" s="549"/>
      <c r="Q357" s="675"/>
      <c r="R357" s="549"/>
      <c r="S357" s="675"/>
      <c r="T357" s="549"/>
      <c r="U357" s="675"/>
      <c r="V357" s="549"/>
      <c r="W357" s="675"/>
      <c r="X357" s="549"/>
      <c r="Y357" s="675"/>
      <c r="Z357" s="549"/>
      <c r="AA357" s="675"/>
      <c r="AB357" s="549"/>
      <c r="AC357" s="675"/>
      <c r="AD357" s="549"/>
      <c r="AE357" s="675"/>
      <c r="AF357" s="549"/>
      <c r="AG357" s="675"/>
      <c r="AH357" s="549"/>
      <c r="AI357" s="675"/>
      <c r="AJ357" s="549"/>
      <c r="AK357" s="675"/>
      <c r="AL357" s="549"/>
      <c r="AM357" s="675"/>
      <c r="AN357" s="549"/>
      <c r="AO357" s="675"/>
      <c r="AP357" s="549"/>
      <c r="AQ357" s="675"/>
      <c r="AR357" s="549"/>
      <c r="AS357" s="675"/>
      <c r="AT357" s="549"/>
      <c r="AU357" s="675"/>
      <c r="AV357" s="549"/>
      <c r="AW357" s="675"/>
      <c r="AX357" s="549"/>
      <c r="AY357" s="675"/>
      <c r="AZ357" s="549"/>
      <c r="BA357" s="675"/>
      <c r="BB357" s="549"/>
      <c r="BC357" s="675"/>
      <c r="BD357" s="549"/>
      <c r="BE357" s="675"/>
      <c r="BF357" s="549"/>
      <c r="BG357" s="675"/>
      <c r="BH357" s="549"/>
      <c r="BI357" s="675"/>
      <c r="BJ357" s="549"/>
      <c r="BK357" s="675"/>
      <c r="BL357" s="549"/>
      <c r="BM357" s="675"/>
      <c r="BN357" s="549"/>
      <c r="BO357" s="675"/>
      <c r="BP357" s="549"/>
      <c r="BQ357" s="675"/>
      <c r="BR357" s="549"/>
      <c r="BS357" s="675"/>
      <c r="BT357" s="549"/>
      <c r="BU357" s="675"/>
      <c r="BV357" s="549"/>
      <c r="BW357" s="675"/>
      <c r="BX357" s="549"/>
      <c r="BY357" s="675"/>
      <c r="BZ357" s="549"/>
      <c r="CA357" s="675"/>
      <c r="CB357" s="549"/>
      <c r="CC357" s="675"/>
      <c r="CD357" s="549"/>
      <c r="CE357" s="675"/>
      <c r="CF357" s="549"/>
      <c r="CG357" s="675"/>
      <c r="CH357" s="549"/>
      <c r="CI357" s="675"/>
      <c r="CJ357" s="549"/>
      <c r="CK357" s="675"/>
      <c r="CL357" s="549"/>
      <c r="CM357" s="675"/>
      <c r="CN357" s="549"/>
      <c r="CO357" s="675"/>
      <c r="CP357" s="549"/>
      <c r="CQ357" s="675"/>
      <c r="CR357" s="549"/>
      <c r="CS357" s="675"/>
      <c r="CT357" s="549"/>
      <c r="CU357" s="675"/>
      <c r="CV357" s="549"/>
      <c r="CW357" s="675"/>
      <c r="CX357" s="549"/>
      <c r="CY357" s="675"/>
      <c r="CZ357" s="549"/>
      <c r="DA357" s="675"/>
      <c r="DB357" s="549"/>
      <c r="DC357" s="675"/>
      <c r="DD357" s="549"/>
      <c r="DE357" s="675"/>
      <c r="DF357" s="549"/>
      <c r="DG357" s="675"/>
      <c r="DH357" s="549"/>
      <c r="DI357" s="675"/>
      <c r="DJ357" s="549"/>
      <c r="DK357" s="675"/>
      <c r="DL357" s="549"/>
      <c r="DM357" s="675"/>
      <c r="DN357" s="549"/>
      <c r="DO357" s="675"/>
      <c r="DP357" s="549"/>
      <c r="DQ357" s="675"/>
      <c r="DR357" s="549"/>
      <c r="DS357" s="675"/>
      <c r="DT357" s="549"/>
      <c r="DU357" s="675"/>
      <c r="DV357" s="549"/>
      <c r="DW357" s="675"/>
      <c r="DX357" s="549"/>
      <c r="DY357" s="675"/>
      <c r="DZ357" s="549"/>
      <c r="EA357" s="675"/>
      <c r="EB357" s="549"/>
      <c r="EC357" s="675"/>
      <c r="ED357" s="549"/>
      <c r="EE357" s="675"/>
      <c r="EF357" s="549"/>
      <c r="EG357" s="675"/>
      <c r="EH357" s="549"/>
      <c r="EI357" s="675"/>
      <c r="EJ357" s="549"/>
      <c r="EK357" s="675"/>
      <c r="EL357" s="549"/>
      <c r="EM357" s="675"/>
      <c r="EN357" s="549"/>
      <c r="EO357" s="675"/>
      <c r="EP357" s="549"/>
      <c r="EQ357" s="675"/>
      <c r="ER357" s="549"/>
      <c r="ES357" s="675"/>
      <c r="ET357" s="549"/>
      <c r="EU357" s="675"/>
      <c r="EV357" s="549"/>
      <c r="EW357" s="675"/>
      <c r="EX357" s="549"/>
      <c r="EY357" s="675"/>
      <c r="EZ357" s="549"/>
      <c r="FA357" s="675"/>
      <c r="FB357" s="549"/>
      <c r="FC357" s="675"/>
      <c r="FD357" s="549"/>
      <c r="FE357" s="675"/>
      <c r="FF357" s="549"/>
      <c r="FG357" s="675"/>
      <c r="FH357" s="549"/>
      <c r="FI357" s="675"/>
      <c r="FJ357" s="549"/>
      <c r="FK357" s="675"/>
      <c r="FL357" s="549"/>
      <c r="FM357" s="675"/>
      <c r="FN357" s="549"/>
      <c r="FO357" s="675"/>
      <c r="FP357" s="549"/>
      <c r="FQ357" s="675"/>
      <c r="FR357" s="549"/>
      <c r="FS357" s="675"/>
      <c r="FT357" s="549"/>
      <c r="FU357" s="675"/>
      <c r="FV357" s="549"/>
      <c r="FW357" s="675"/>
      <c r="FX357" s="549"/>
      <c r="FY357" s="675"/>
      <c r="FZ357" s="549"/>
      <c r="GA357" s="675"/>
      <c r="GB357" s="549"/>
      <c r="GC357" s="675"/>
      <c r="GD357" s="549"/>
      <c r="GE357" s="675"/>
      <c r="GF357" s="549"/>
      <c r="GG357" s="675"/>
      <c r="GH357" s="549"/>
      <c r="GI357" s="675"/>
      <c r="GJ357" s="549"/>
      <c r="GK357" s="675"/>
      <c r="GL357" s="549"/>
      <c r="GM357" s="675"/>
      <c r="GN357" s="549"/>
      <c r="GO357" s="675"/>
      <c r="GP357" s="549"/>
      <c r="GQ357" s="675"/>
      <c r="GR357" s="74"/>
      <c r="GS357" s="74"/>
      <c r="GT357" s="549"/>
      <c r="GU357" s="73"/>
      <c r="GV357" s="73"/>
      <c r="GW357" s="549"/>
      <c r="GX357" s="549"/>
      <c r="GY357" s="73"/>
      <c r="GZ357" s="73"/>
      <c r="HA357" s="73"/>
      <c r="HB357" s="73"/>
      <c r="HC357" s="73"/>
      <c r="HD357" s="73"/>
      <c r="HE357" s="73"/>
      <c r="HF357" s="73"/>
      <c r="HG357" s="74"/>
      <c r="HH357" s="73"/>
      <c r="HI357" s="815"/>
      <c r="HJ357" s="73"/>
      <c r="HK357" s="815"/>
      <c r="HL357" s="73"/>
      <c r="HM357" s="815"/>
      <c r="HN357" s="73"/>
      <c r="HO357" s="815"/>
      <c r="HP357" s="73"/>
      <c r="HQ357" s="815"/>
      <c r="HR357" s="73"/>
      <c r="HS357" s="815"/>
      <c r="HT357" s="73"/>
      <c r="HU357" s="815"/>
      <c r="HV357" s="73"/>
      <c r="HW357" s="815"/>
      <c r="HX357" s="73"/>
      <c r="HY357" s="815"/>
      <c r="HZ357" s="73"/>
      <c r="IA357" s="815"/>
      <c r="IB357" s="73"/>
      <c r="IC357" s="815"/>
      <c r="ID357" s="73"/>
      <c r="IE357" s="815"/>
      <c r="IF357" s="841"/>
      <c r="IG357" s="263"/>
      <c r="IH357" s="842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  <c r="JD357" s="73"/>
      <c r="JE357" s="73"/>
      <c r="JF357" s="73"/>
      <c r="JG357" s="73"/>
      <c r="JH357" s="73"/>
      <c r="JI357" s="73"/>
      <c r="JJ357" s="73"/>
      <c r="JK357" s="73"/>
      <c r="JL357" s="73"/>
      <c r="JM357" s="73"/>
      <c r="JN357" s="73"/>
      <c r="JO357" s="73"/>
      <c r="JP357" s="73"/>
      <c r="JQ357" s="73"/>
      <c r="JR357" s="73"/>
      <c r="JS357" s="74"/>
      <c r="JT357" s="382"/>
      <c r="JU357" s="665"/>
      <c r="JV357" s="524"/>
      <c r="JW357" s="525"/>
      <c r="JX357" s="548"/>
      <c r="JY357" s="548"/>
      <c r="JZ357" s="581">
        <f t="shared" si="9103"/>
        <v>0</v>
      </c>
      <c r="KA357" s="581">
        <f t="shared" si="9104"/>
        <v>0</v>
      </c>
      <c r="KB357" s="548">
        <f t="shared" ref="KB357:KB363" si="10095">JX357+JY357+JZ357+KA357</f>
        <v>0</v>
      </c>
      <c r="KC357" s="709">
        <f t="shared" si="9101"/>
        <v>0</v>
      </c>
      <c r="KD357" s="36"/>
      <c r="KE357" s="36"/>
      <c r="KF357" s="36"/>
      <c r="KG357" s="36"/>
      <c r="KH357" s="36"/>
      <c r="KI357" s="36"/>
      <c r="KJ357" s="36"/>
      <c r="KK357" s="36"/>
    </row>
    <row r="358" spans="1:297" s="8" customFormat="1">
      <c r="A358" s="80" t="s">
        <v>238</v>
      </c>
      <c r="B358" s="72" t="s">
        <v>213</v>
      </c>
      <c r="C358" s="74">
        <f>SUM(C359)</f>
        <v>41000</v>
      </c>
      <c r="D358" s="549">
        <f t="shared" ref="D358:AZ358" si="10096">SUM(D359)</f>
        <v>0</v>
      </c>
      <c r="E358" s="675">
        <f t="shared" ref="E358:GO358" si="10097">SUM(E359)</f>
        <v>0</v>
      </c>
      <c r="F358" s="549">
        <f t="shared" si="10096"/>
        <v>0</v>
      </c>
      <c r="G358" s="675">
        <f t="shared" si="10097"/>
        <v>0</v>
      </c>
      <c r="H358" s="549">
        <f t="shared" si="10096"/>
        <v>0</v>
      </c>
      <c r="I358" s="675">
        <f t="shared" si="10097"/>
        <v>0</v>
      </c>
      <c r="J358" s="549">
        <f t="shared" si="10096"/>
        <v>0</v>
      </c>
      <c r="K358" s="675">
        <f t="shared" si="10097"/>
        <v>0</v>
      </c>
      <c r="L358" s="549">
        <f t="shared" si="10096"/>
        <v>0</v>
      </c>
      <c r="M358" s="675">
        <f t="shared" si="10097"/>
        <v>0</v>
      </c>
      <c r="N358" s="549">
        <f t="shared" si="10096"/>
        <v>0</v>
      </c>
      <c r="O358" s="675">
        <f t="shared" si="10097"/>
        <v>0</v>
      </c>
      <c r="P358" s="549">
        <f t="shared" si="10096"/>
        <v>0</v>
      </c>
      <c r="Q358" s="675">
        <f t="shared" si="10097"/>
        <v>0</v>
      </c>
      <c r="R358" s="549">
        <f t="shared" si="10096"/>
        <v>0</v>
      </c>
      <c r="S358" s="675">
        <f t="shared" si="10097"/>
        <v>0</v>
      </c>
      <c r="T358" s="549">
        <f t="shared" si="10096"/>
        <v>0</v>
      </c>
      <c r="U358" s="675">
        <f t="shared" si="10097"/>
        <v>0</v>
      </c>
      <c r="V358" s="549">
        <f t="shared" si="10096"/>
        <v>0</v>
      </c>
      <c r="W358" s="675">
        <f t="shared" si="10097"/>
        <v>0</v>
      </c>
      <c r="X358" s="549">
        <f t="shared" si="10096"/>
        <v>0</v>
      </c>
      <c r="Y358" s="675">
        <f t="shared" si="10097"/>
        <v>0</v>
      </c>
      <c r="Z358" s="549">
        <f t="shared" si="10096"/>
        <v>0</v>
      </c>
      <c r="AA358" s="675">
        <f t="shared" si="10097"/>
        <v>0</v>
      </c>
      <c r="AB358" s="549">
        <f t="shared" si="10096"/>
        <v>0</v>
      </c>
      <c r="AC358" s="675">
        <f t="shared" si="10097"/>
        <v>0</v>
      </c>
      <c r="AD358" s="549">
        <f t="shared" si="10096"/>
        <v>0</v>
      </c>
      <c r="AE358" s="675">
        <f t="shared" si="10097"/>
        <v>0</v>
      </c>
      <c r="AF358" s="549">
        <f t="shared" si="10096"/>
        <v>0</v>
      </c>
      <c r="AG358" s="675">
        <f t="shared" si="10097"/>
        <v>0</v>
      </c>
      <c r="AH358" s="549">
        <f t="shared" si="10096"/>
        <v>0</v>
      </c>
      <c r="AI358" s="675">
        <f t="shared" si="10097"/>
        <v>0</v>
      </c>
      <c r="AJ358" s="549">
        <f t="shared" si="10096"/>
        <v>0</v>
      </c>
      <c r="AK358" s="675">
        <f t="shared" si="10097"/>
        <v>0</v>
      </c>
      <c r="AL358" s="549">
        <f t="shared" si="10096"/>
        <v>0</v>
      </c>
      <c r="AM358" s="675">
        <f t="shared" si="10097"/>
        <v>0</v>
      </c>
      <c r="AN358" s="549">
        <f t="shared" si="10096"/>
        <v>0</v>
      </c>
      <c r="AO358" s="675">
        <f t="shared" si="10097"/>
        <v>0</v>
      </c>
      <c r="AP358" s="549">
        <f t="shared" si="10096"/>
        <v>0</v>
      </c>
      <c r="AQ358" s="675">
        <f t="shared" si="10097"/>
        <v>0</v>
      </c>
      <c r="AR358" s="549">
        <f t="shared" si="10096"/>
        <v>0</v>
      </c>
      <c r="AS358" s="675">
        <f t="shared" si="10097"/>
        <v>0</v>
      </c>
      <c r="AT358" s="549">
        <f t="shared" si="10096"/>
        <v>0</v>
      </c>
      <c r="AU358" s="675">
        <f t="shared" si="10097"/>
        <v>0</v>
      </c>
      <c r="AV358" s="549">
        <f t="shared" si="10096"/>
        <v>0</v>
      </c>
      <c r="AW358" s="675">
        <f t="shared" si="10097"/>
        <v>0</v>
      </c>
      <c r="AX358" s="549">
        <f t="shared" si="10096"/>
        <v>0</v>
      </c>
      <c r="AY358" s="675">
        <f t="shared" si="10097"/>
        <v>0</v>
      </c>
      <c r="AZ358" s="549">
        <f t="shared" si="10096"/>
        <v>0</v>
      </c>
      <c r="BA358" s="675">
        <f t="shared" si="10097"/>
        <v>0</v>
      </c>
      <c r="BB358" s="549">
        <f t="shared" ref="BB358" si="10098">SUM(BB359)</f>
        <v>0</v>
      </c>
      <c r="BC358" s="675">
        <f t="shared" si="10097"/>
        <v>0</v>
      </c>
      <c r="BD358" s="549">
        <f t="shared" ref="BD358" si="10099">SUM(BD359)</f>
        <v>0</v>
      </c>
      <c r="BE358" s="675">
        <f t="shared" si="10097"/>
        <v>0</v>
      </c>
      <c r="BF358" s="549">
        <f t="shared" ref="BF358" si="10100">SUM(BF359)</f>
        <v>0</v>
      </c>
      <c r="BG358" s="675">
        <f t="shared" si="10097"/>
        <v>0</v>
      </c>
      <c r="BH358" s="549">
        <f t="shared" ref="BH358" si="10101">SUM(BH359)</f>
        <v>0</v>
      </c>
      <c r="BI358" s="675">
        <f t="shared" si="10097"/>
        <v>0</v>
      </c>
      <c r="BJ358" s="549">
        <f t="shared" ref="BJ358" si="10102">SUM(BJ359)</f>
        <v>0</v>
      </c>
      <c r="BK358" s="675">
        <f t="shared" si="10097"/>
        <v>0</v>
      </c>
      <c r="BL358" s="549">
        <f t="shared" ref="BL358" si="10103">SUM(BL359)</f>
        <v>0</v>
      </c>
      <c r="BM358" s="675">
        <f t="shared" si="10097"/>
        <v>0</v>
      </c>
      <c r="BN358" s="549">
        <f t="shared" ref="BN358" si="10104">SUM(BN359)</f>
        <v>0</v>
      </c>
      <c r="BO358" s="675">
        <f t="shared" si="10097"/>
        <v>0</v>
      </c>
      <c r="BP358" s="549">
        <f t="shared" ref="BP358" si="10105">SUM(BP359)</f>
        <v>0</v>
      </c>
      <c r="BQ358" s="675">
        <f t="shared" si="10097"/>
        <v>0</v>
      </c>
      <c r="BR358" s="549">
        <f t="shared" ref="BR358" si="10106">SUM(BR359)</f>
        <v>0</v>
      </c>
      <c r="BS358" s="675">
        <f t="shared" si="10097"/>
        <v>0</v>
      </c>
      <c r="BT358" s="549">
        <f t="shared" ref="BT358:GN358" si="10107">SUM(BT359)</f>
        <v>0</v>
      </c>
      <c r="BU358" s="675">
        <f t="shared" si="10097"/>
        <v>0</v>
      </c>
      <c r="BV358" s="549">
        <f t="shared" si="10107"/>
        <v>0</v>
      </c>
      <c r="BW358" s="675">
        <f t="shared" si="10097"/>
        <v>0</v>
      </c>
      <c r="BX358" s="549">
        <f t="shared" si="10107"/>
        <v>0</v>
      </c>
      <c r="BY358" s="675">
        <f t="shared" si="10097"/>
        <v>0</v>
      </c>
      <c r="BZ358" s="549">
        <f t="shared" si="10107"/>
        <v>0</v>
      </c>
      <c r="CA358" s="675">
        <f t="shared" si="10097"/>
        <v>0</v>
      </c>
      <c r="CB358" s="549">
        <f t="shared" si="10107"/>
        <v>0</v>
      </c>
      <c r="CC358" s="675">
        <f t="shared" si="10097"/>
        <v>0</v>
      </c>
      <c r="CD358" s="549">
        <f t="shared" si="10107"/>
        <v>0</v>
      </c>
      <c r="CE358" s="675">
        <f t="shared" si="10097"/>
        <v>0</v>
      </c>
      <c r="CF358" s="549">
        <f t="shared" si="10107"/>
        <v>0</v>
      </c>
      <c r="CG358" s="675">
        <f t="shared" si="10097"/>
        <v>0</v>
      </c>
      <c r="CH358" s="549">
        <f t="shared" si="10107"/>
        <v>0</v>
      </c>
      <c r="CI358" s="675">
        <f t="shared" si="10097"/>
        <v>0</v>
      </c>
      <c r="CJ358" s="549">
        <f t="shared" si="10107"/>
        <v>0</v>
      </c>
      <c r="CK358" s="675">
        <f t="shared" si="10097"/>
        <v>0</v>
      </c>
      <c r="CL358" s="549">
        <f t="shared" si="10107"/>
        <v>0</v>
      </c>
      <c r="CM358" s="675">
        <f t="shared" si="10097"/>
        <v>0</v>
      </c>
      <c r="CN358" s="549">
        <f t="shared" si="10107"/>
        <v>0</v>
      </c>
      <c r="CO358" s="675">
        <f t="shared" si="10097"/>
        <v>0</v>
      </c>
      <c r="CP358" s="549">
        <f t="shared" si="10107"/>
        <v>0</v>
      </c>
      <c r="CQ358" s="675">
        <f t="shared" si="10097"/>
        <v>0</v>
      </c>
      <c r="CR358" s="549">
        <f t="shared" si="10107"/>
        <v>0</v>
      </c>
      <c r="CS358" s="675">
        <f t="shared" si="10097"/>
        <v>0</v>
      </c>
      <c r="CT358" s="549">
        <f t="shared" si="10107"/>
        <v>0</v>
      </c>
      <c r="CU358" s="675">
        <f t="shared" si="10097"/>
        <v>0</v>
      </c>
      <c r="CV358" s="549">
        <f t="shared" si="10107"/>
        <v>0</v>
      </c>
      <c r="CW358" s="675">
        <f t="shared" si="10097"/>
        <v>0</v>
      </c>
      <c r="CX358" s="549">
        <f t="shared" si="10107"/>
        <v>0</v>
      </c>
      <c r="CY358" s="675">
        <f t="shared" si="10097"/>
        <v>0</v>
      </c>
      <c r="CZ358" s="549">
        <f t="shared" si="10107"/>
        <v>0</v>
      </c>
      <c r="DA358" s="675">
        <f t="shared" si="10097"/>
        <v>0</v>
      </c>
      <c r="DB358" s="549">
        <f t="shared" si="10107"/>
        <v>0</v>
      </c>
      <c r="DC358" s="675">
        <f t="shared" si="10097"/>
        <v>0</v>
      </c>
      <c r="DD358" s="549">
        <f t="shared" si="10107"/>
        <v>0</v>
      </c>
      <c r="DE358" s="675">
        <f t="shared" si="10097"/>
        <v>0</v>
      </c>
      <c r="DF358" s="549">
        <f t="shared" si="10107"/>
        <v>0</v>
      </c>
      <c r="DG358" s="675">
        <f t="shared" si="10097"/>
        <v>0</v>
      </c>
      <c r="DH358" s="549">
        <f t="shared" si="10107"/>
        <v>0</v>
      </c>
      <c r="DI358" s="675">
        <f t="shared" si="10097"/>
        <v>0</v>
      </c>
      <c r="DJ358" s="549">
        <f t="shared" si="10107"/>
        <v>0</v>
      </c>
      <c r="DK358" s="675">
        <f t="shared" si="10097"/>
        <v>0</v>
      </c>
      <c r="DL358" s="549">
        <f t="shared" si="10107"/>
        <v>0</v>
      </c>
      <c r="DM358" s="675">
        <f t="shared" si="10097"/>
        <v>0</v>
      </c>
      <c r="DN358" s="549">
        <f t="shared" si="10107"/>
        <v>0</v>
      </c>
      <c r="DO358" s="675">
        <f t="shared" si="10097"/>
        <v>0</v>
      </c>
      <c r="DP358" s="549">
        <f t="shared" si="10107"/>
        <v>0</v>
      </c>
      <c r="DQ358" s="675">
        <f t="shared" si="10097"/>
        <v>0</v>
      </c>
      <c r="DR358" s="549">
        <f t="shared" si="10107"/>
        <v>0</v>
      </c>
      <c r="DS358" s="675">
        <f t="shared" si="10097"/>
        <v>0</v>
      </c>
      <c r="DT358" s="549">
        <f t="shared" si="10107"/>
        <v>0</v>
      </c>
      <c r="DU358" s="675">
        <f t="shared" si="10097"/>
        <v>0</v>
      </c>
      <c r="DV358" s="549">
        <f t="shared" si="10107"/>
        <v>0</v>
      </c>
      <c r="DW358" s="675">
        <f t="shared" si="10097"/>
        <v>0</v>
      </c>
      <c r="DX358" s="549">
        <f t="shared" si="10107"/>
        <v>0</v>
      </c>
      <c r="DY358" s="675">
        <f t="shared" si="10097"/>
        <v>0</v>
      </c>
      <c r="DZ358" s="549">
        <f t="shared" si="10107"/>
        <v>0</v>
      </c>
      <c r="EA358" s="675">
        <f t="shared" si="10097"/>
        <v>0</v>
      </c>
      <c r="EB358" s="549">
        <f t="shared" si="10107"/>
        <v>0</v>
      </c>
      <c r="EC358" s="675">
        <f t="shared" si="10097"/>
        <v>0</v>
      </c>
      <c r="ED358" s="549">
        <f t="shared" si="10107"/>
        <v>0</v>
      </c>
      <c r="EE358" s="675">
        <f t="shared" si="10097"/>
        <v>0</v>
      </c>
      <c r="EF358" s="549">
        <f t="shared" si="10107"/>
        <v>0</v>
      </c>
      <c r="EG358" s="675">
        <f t="shared" si="10097"/>
        <v>0</v>
      </c>
      <c r="EH358" s="549">
        <f t="shared" si="10107"/>
        <v>0</v>
      </c>
      <c r="EI358" s="675">
        <f t="shared" si="10097"/>
        <v>0</v>
      </c>
      <c r="EJ358" s="549">
        <f t="shared" si="10107"/>
        <v>0</v>
      </c>
      <c r="EK358" s="675">
        <f t="shared" si="10097"/>
        <v>0</v>
      </c>
      <c r="EL358" s="549">
        <f t="shared" si="10107"/>
        <v>0</v>
      </c>
      <c r="EM358" s="675">
        <f t="shared" si="10097"/>
        <v>0</v>
      </c>
      <c r="EN358" s="549">
        <f t="shared" si="10107"/>
        <v>0</v>
      </c>
      <c r="EO358" s="675">
        <f t="shared" si="10097"/>
        <v>0</v>
      </c>
      <c r="EP358" s="549">
        <f t="shared" si="10107"/>
        <v>0</v>
      </c>
      <c r="EQ358" s="675">
        <f t="shared" si="10097"/>
        <v>0</v>
      </c>
      <c r="ER358" s="549">
        <f t="shared" si="10107"/>
        <v>0</v>
      </c>
      <c r="ES358" s="675">
        <f t="shared" si="10097"/>
        <v>0</v>
      </c>
      <c r="ET358" s="549">
        <f t="shared" si="10107"/>
        <v>0</v>
      </c>
      <c r="EU358" s="675">
        <f t="shared" si="10097"/>
        <v>0</v>
      </c>
      <c r="EV358" s="549">
        <f t="shared" si="10107"/>
        <v>0</v>
      </c>
      <c r="EW358" s="675">
        <f t="shared" si="10097"/>
        <v>0</v>
      </c>
      <c r="EX358" s="549">
        <f t="shared" si="10107"/>
        <v>0</v>
      </c>
      <c r="EY358" s="675">
        <f t="shared" si="10097"/>
        <v>0</v>
      </c>
      <c r="EZ358" s="549">
        <f t="shared" si="10107"/>
        <v>0</v>
      </c>
      <c r="FA358" s="675">
        <f t="shared" si="10097"/>
        <v>0</v>
      </c>
      <c r="FB358" s="549">
        <f t="shared" si="10107"/>
        <v>0</v>
      </c>
      <c r="FC358" s="675">
        <f t="shared" si="10097"/>
        <v>0</v>
      </c>
      <c r="FD358" s="549">
        <f t="shared" si="10107"/>
        <v>0</v>
      </c>
      <c r="FE358" s="675">
        <f t="shared" si="10097"/>
        <v>0</v>
      </c>
      <c r="FF358" s="549">
        <f t="shared" si="10107"/>
        <v>0</v>
      </c>
      <c r="FG358" s="675">
        <f t="shared" si="10097"/>
        <v>0</v>
      </c>
      <c r="FH358" s="549">
        <f t="shared" si="10107"/>
        <v>0</v>
      </c>
      <c r="FI358" s="675">
        <f t="shared" si="10097"/>
        <v>0</v>
      </c>
      <c r="FJ358" s="549">
        <f t="shared" si="10107"/>
        <v>0</v>
      </c>
      <c r="FK358" s="675">
        <f t="shared" si="10097"/>
        <v>0</v>
      </c>
      <c r="FL358" s="549">
        <f t="shared" si="10107"/>
        <v>0</v>
      </c>
      <c r="FM358" s="675">
        <f t="shared" si="10097"/>
        <v>0</v>
      </c>
      <c r="FN358" s="549">
        <f t="shared" si="10107"/>
        <v>0</v>
      </c>
      <c r="FO358" s="675">
        <f t="shared" si="10097"/>
        <v>0</v>
      </c>
      <c r="FP358" s="549">
        <f t="shared" si="10107"/>
        <v>0</v>
      </c>
      <c r="FQ358" s="675">
        <f t="shared" si="10097"/>
        <v>0</v>
      </c>
      <c r="FR358" s="549">
        <f t="shared" si="10107"/>
        <v>0</v>
      </c>
      <c r="FS358" s="675">
        <f t="shared" si="10097"/>
        <v>0</v>
      </c>
      <c r="FT358" s="549">
        <f t="shared" si="10107"/>
        <v>0</v>
      </c>
      <c r="FU358" s="675">
        <f t="shared" si="10097"/>
        <v>0</v>
      </c>
      <c r="FV358" s="549">
        <f t="shared" si="10107"/>
        <v>0</v>
      </c>
      <c r="FW358" s="675">
        <f t="shared" si="10097"/>
        <v>0</v>
      </c>
      <c r="FX358" s="549">
        <f t="shared" si="10107"/>
        <v>0</v>
      </c>
      <c r="FY358" s="675">
        <f t="shared" si="10097"/>
        <v>0</v>
      </c>
      <c r="FZ358" s="549">
        <f t="shared" si="10107"/>
        <v>0</v>
      </c>
      <c r="GA358" s="675">
        <f t="shared" si="10097"/>
        <v>0</v>
      </c>
      <c r="GB358" s="549">
        <f t="shared" si="10107"/>
        <v>0</v>
      </c>
      <c r="GC358" s="675">
        <f t="shared" si="10097"/>
        <v>0</v>
      </c>
      <c r="GD358" s="549">
        <f t="shared" si="10107"/>
        <v>0</v>
      </c>
      <c r="GE358" s="675">
        <f t="shared" si="10097"/>
        <v>0</v>
      </c>
      <c r="GF358" s="549">
        <f t="shared" si="10107"/>
        <v>0</v>
      </c>
      <c r="GG358" s="675">
        <f t="shared" si="10097"/>
        <v>0</v>
      </c>
      <c r="GH358" s="549">
        <f t="shared" si="10107"/>
        <v>0</v>
      </c>
      <c r="GI358" s="675">
        <f t="shared" si="10097"/>
        <v>0</v>
      </c>
      <c r="GJ358" s="549">
        <f t="shared" si="10107"/>
        <v>0</v>
      </c>
      <c r="GK358" s="675">
        <f t="shared" si="10097"/>
        <v>0</v>
      </c>
      <c r="GL358" s="549">
        <f t="shared" si="10107"/>
        <v>0</v>
      </c>
      <c r="GM358" s="675">
        <f t="shared" si="10097"/>
        <v>0</v>
      </c>
      <c r="GN358" s="549">
        <f t="shared" si="10107"/>
        <v>0</v>
      </c>
      <c r="GO358" s="675">
        <f t="shared" si="10097"/>
        <v>0</v>
      </c>
      <c r="GP358" s="549">
        <f>SUM(GP359)</f>
        <v>0</v>
      </c>
      <c r="GQ358" s="675">
        <f>SUM(GQ359)</f>
        <v>0</v>
      </c>
      <c r="GR358" s="74">
        <f>SUM(GR359)</f>
        <v>41000</v>
      </c>
      <c r="GS358" s="74">
        <f>SUM(GS359)</f>
        <v>37273</v>
      </c>
      <c r="GT358" s="549">
        <f t="shared" ref="GT358:IE358" si="10108">SUM(GT359)</f>
        <v>41000</v>
      </c>
      <c r="GU358" s="74">
        <f t="shared" si="10108"/>
        <v>3730</v>
      </c>
      <c r="GV358" s="74">
        <f t="shared" si="10108"/>
        <v>3727</v>
      </c>
      <c r="GW358" s="549">
        <f t="shared" si="10108"/>
        <v>3727</v>
      </c>
      <c r="GX358" s="549">
        <f t="shared" si="10108"/>
        <v>3727</v>
      </c>
      <c r="GY358" s="74">
        <f t="shared" si="10108"/>
        <v>3727</v>
      </c>
      <c r="GZ358" s="74">
        <f t="shared" si="10108"/>
        <v>3727</v>
      </c>
      <c r="HA358" s="74">
        <f t="shared" si="10108"/>
        <v>3727</v>
      </c>
      <c r="HB358" s="74">
        <f t="shared" si="10108"/>
        <v>3727</v>
      </c>
      <c r="HC358" s="74">
        <f t="shared" si="10108"/>
        <v>3727</v>
      </c>
      <c r="HD358" s="74">
        <f t="shared" si="10108"/>
        <v>3727</v>
      </c>
      <c r="HE358" s="74">
        <f t="shared" si="10108"/>
        <v>3727</v>
      </c>
      <c r="HF358" s="74">
        <f t="shared" si="10108"/>
        <v>0</v>
      </c>
      <c r="HG358" s="74">
        <f>SUM(HG359)</f>
        <v>37273</v>
      </c>
      <c r="HH358" s="74">
        <f t="shared" si="10108"/>
        <v>0</v>
      </c>
      <c r="HI358" s="792">
        <f t="shared" si="10108"/>
        <v>0</v>
      </c>
      <c r="HJ358" s="74">
        <f t="shared" si="10108"/>
        <v>0</v>
      </c>
      <c r="HK358" s="792">
        <f t="shared" si="10108"/>
        <v>7457</v>
      </c>
      <c r="HL358" s="74">
        <f t="shared" si="10108"/>
        <v>0</v>
      </c>
      <c r="HM358" s="792">
        <f t="shared" si="10108"/>
        <v>3727</v>
      </c>
      <c r="HN358" s="74">
        <f t="shared" si="10108"/>
        <v>0</v>
      </c>
      <c r="HO358" s="792">
        <f t="shared" si="10108"/>
        <v>3727</v>
      </c>
      <c r="HP358" s="74">
        <f t="shared" si="10108"/>
        <v>0</v>
      </c>
      <c r="HQ358" s="792">
        <f t="shared" si="10108"/>
        <v>3727</v>
      </c>
      <c r="HR358" s="74">
        <f t="shared" si="10108"/>
        <v>0</v>
      </c>
      <c r="HS358" s="792">
        <f t="shared" si="10108"/>
        <v>3727</v>
      </c>
      <c r="HT358" s="74">
        <f t="shared" si="10108"/>
        <v>0</v>
      </c>
      <c r="HU358" s="792">
        <f t="shared" si="10108"/>
        <v>3727</v>
      </c>
      <c r="HV358" s="74">
        <f t="shared" si="10108"/>
        <v>0</v>
      </c>
      <c r="HW358" s="792">
        <f t="shared" si="10108"/>
        <v>3727</v>
      </c>
      <c r="HX358" s="74">
        <f t="shared" si="10108"/>
        <v>0</v>
      </c>
      <c r="HY358" s="792">
        <f t="shared" si="10108"/>
        <v>3727</v>
      </c>
      <c r="HZ358" s="74">
        <f t="shared" si="10108"/>
        <v>0</v>
      </c>
      <c r="IA358" s="792">
        <f t="shared" si="10108"/>
        <v>3727</v>
      </c>
      <c r="IB358" s="74">
        <f t="shared" si="10108"/>
        <v>0</v>
      </c>
      <c r="IC358" s="792">
        <f t="shared" si="10108"/>
        <v>0</v>
      </c>
      <c r="ID358" s="74">
        <f t="shared" si="10108"/>
        <v>0</v>
      </c>
      <c r="IE358" s="792">
        <f t="shared" si="10108"/>
        <v>0</v>
      </c>
      <c r="IF358" s="841">
        <f>SUM(IF359)</f>
        <v>33546</v>
      </c>
      <c r="IG358" s="263">
        <f>SUM(IG359)</f>
        <v>33546</v>
      </c>
      <c r="IH358" s="842">
        <f>SUM(IH359)</f>
        <v>33546</v>
      </c>
      <c r="II358" s="74">
        <f t="shared" ref="II358:IK358" si="10109">SUM(II359)</f>
        <v>0</v>
      </c>
      <c r="IJ358" s="74">
        <f t="shared" si="10109"/>
        <v>0</v>
      </c>
      <c r="IK358" s="74">
        <f t="shared" si="10109"/>
        <v>0</v>
      </c>
      <c r="IL358" s="74">
        <f t="shared" ref="IL358:JR358" si="10110">SUM(IL359)</f>
        <v>0</v>
      </c>
      <c r="IM358" s="74">
        <f t="shared" si="10110"/>
        <v>0</v>
      </c>
      <c r="IN358" s="74">
        <f t="shared" si="10110"/>
        <v>0</v>
      </c>
      <c r="IO358" s="74">
        <f t="shared" si="10110"/>
        <v>0</v>
      </c>
      <c r="IP358" s="74">
        <f t="shared" si="10110"/>
        <v>0</v>
      </c>
      <c r="IQ358" s="74">
        <f t="shared" si="10110"/>
        <v>0</v>
      </c>
      <c r="IR358" s="74">
        <f t="shared" si="10110"/>
        <v>14911</v>
      </c>
      <c r="IS358" s="74">
        <f t="shared" si="10110"/>
        <v>14911</v>
      </c>
      <c r="IT358" s="74">
        <f t="shared" si="10110"/>
        <v>14911</v>
      </c>
      <c r="IU358" s="74">
        <f t="shared" si="10110"/>
        <v>0</v>
      </c>
      <c r="IV358" s="74">
        <f t="shared" si="10110"/>
        <v>0</v>
      </c>
      <c r="IW358" s="74">
        <f t="shared" si="10110"/>
        <v>0</v>
      </c>
      <c r="IX358" s="74">
        <f t="shared" si="10110"/>
        <v>0</v>
      </c>
      <c r="IY358" s="74">
        <f t="shared" si="10110"/>
        <v>0</v>
      </c>
      <c r="IZ358" s="74">
        <f t="shared" si="10110"/>
        <v>0</v>
      </c>
      <c r="JA358" s="74">
        <f t="shared" si="10110"/>
        <v>11181</v>
      </c>
      <c r="JB358" s="74">
        <f t="shared" si="10110"/>
        <v>11181</v>
      </c>
      <c r="JC358" s="74">
        <f t="shared" si="10110"/>
        <v>11181</v>
      </c>
      <c r="JD358" s="74">
        <f t="shared" si="10110"/>
        <v>0</v>
      </c>
      <c r="JE358" s="74">
        <f t="shared" si="10110"/>
        <v>0</v>
      </c>
      <c r="JF358" s="74">
        <f t="shared" si="10110"/>
        <v>0</v>
      </c>
      <c r="JG358" s="74">
        <f t="shared" si="10110"/>
        <v>7454</v>
      </c>
      <c r="JH358" s="74">
        <f t="shared" si="10110"/>
        <v>7454</v>
      </c>
      <c r="JI358" s="74">
        <f t="shared" si="10110"/>
        <v>7454</v>
      </c>
      <c r="JJ358" s="74">
        <f t="shared" si="10110"/>
        <v>0</v>
      </c>
      <c r="JK358" s="74">
        <f t="shared" si="10110"/>
        <v>0</v>
      </c>
      <c r="JL358" s="74">
        <f t="shared" si="10110"/>
        <v>0</v>
      </c>
      <c r="JM358" s="74">
        <f t="shared" si="10110"/>
        <v>0</v>
      </c>
      <c r="JN358" s="74">
        <f t="shared" si="10110"/>
        <v>0</v>
      </c>
      <c r="JO358" s="74">
        <f t="shared" si="10110"/>
        <v>0</v>
      </c>
      <c r="JP358" s="74">
        <f t="shared" si="10110"/>
        <v>0</v>
      </c>
      <c r="JQ358" s="74">
        <f t="shared" si="10110"/>
        <v>0</v>
      </c>
      <c r="JR358" s="74">
        <f t="shared" si="10110"/>
        <v>0</v>
      </c>
      <c r="JS358" s="74">
        <f>SUM(JS359)</f>
        <v>3727</v>
      </c>
      <c r="JT358" s="382">
        <f>SUM(JT359)</f>
        <v>3727</v>
      </c>
      <c r="JU358" s="665"/>
      <c r="JV358" s="524"/>
      <c r="JW358" s="525"/>
      <c r="JX358" s="548">
        <f>SUM(JX359)</f>
        <v>0</v>
      </c>
      <c r="JY358" s="548">
        <f>SUM(JY359)</f>
        <v>37273</v>
      </c>
      <c r="JZ358" s="581">
        <f t="shared" si="9103"/>
        <v>0</v>
      </c>
      <c r="KA358" s="581">
        <f t="shared" si="9104"/>
        <v>0</v>
      </c>
      <c r="KB358" s="548">
        <f t="shared" si="10095"/>
        <v>37273</v>
      </c>
      <c r="KC358" s="709">
        <f t="shared" si="9101"/>
        <v>0</v>
      </c>
      <c r="KD358" s="36"/>
      <c r="KE358" s="36"/>
      <c r="KF358" s="36"/>
      <c r="KG358" s="36"/>
      <c r="KH358" s="36"/>
      <c r="KI358" s="36"/>
      <c r="KJ358" s="36"/>
      <c r="KK358" s="36"/>
    </row>
    <row r="359" spans="1:297" s="10" customFormat="1">
      <c r="A359" s="86" t="s">
        <v>239</v>
      </c>
      <c r="B359" s="77" t="s">
        <v>215</v>
      </c>
      <c r="C359" s="74">
        <v>41000</v>
      </c>
      <c r="D359" s="549">
        <v>0</v>
      </c>
      <c r="E359" s="675">
        <v>0</v>
      </c>
      <c r="F359" s="549">
        <v>0</v>
      </c>
      <c r="G359" s="675">
        <v>0</v>
      </c>
      <c r="H359" s="549">
        <v>0</v>
      </c>
      <c r="I359" s="675">
        <v>0</v>
      </c>
      <c r="J359" s="549">
        <v>0</v>
      </c>
      <c r="K359" s="675">
        <v>0</v>
      </c>
      <c r="L359" s="549">
        <v>0</v>
      </c>
      <c r="M359" s="675">
        <v>0</v>
      </c>
      <c r="N359" s="549">
        <v>0</v>
      </c>
      <c r="O359" s="675">
        <v>0</v>
      </c>
      <c r="P359" s="549">
        <v>0</v>
      </c>
      <c r="Q359" s="675">
        <v>0</v>
      </c>
      <c r="R359" s="549">
        <v>0</v>
      </c>
      <c r="S359" s="675">
        <v>0</v>
      </c>
      <c r="T359" s="549">
        <v>0</v>
      </c>
      <c r="U359" s="675">
        <v>0</v>
      </c>
      <c r="V359" s="549">
        <v>0</v>
      </c>
      <c r="W359" s="675">
        <v>0</v>
      </c>
      <c r="X359" s="549">
        <v>0</v>
      </c>
      <c r="Y359" s="675">
        <v>0</v>
      </c>
      <c r="Z359" s="549">
        <v>0</v>
      </c>
      <c r="AA359" s="675">
        <v>0</v>
      </c>
      <c r="AB359" s="549">
        <v>0</v>
      </c>
      <c r="AC359" s="675">
        <v>0</v>
      </c>
      <c r="AD359" s="549">
        <v>0</v>
      </c>
      <c r="AE359" s="675">
        <v>0</v>
      </c>
      <c r="AF359" s="549">
        <v>0</v>
      </c>
      <c r="AG359" s="675">
        <v>0</v>
      </c>
      <c r="AH359" s="549">
        <v>0</v>
      </c>
      <c r="AI359" s="675">
        <v>0</v>
      </c>
      <c r="AJ359" s="549">
        <v>0</v>
      </c>
      <c r="AK359" s="675">
        <v>0</v>
      </c>
      <c r="AL359" s="549">
        <v>0</v>
      </c>
      <c r="AM359" s="675">
        <v>0</v>
      </c>
      <c r="AN359" s="549">
        <v>0</v>
      </c>
      <c r="AO359" s="675">
        <v>0</v>
      </c>
      <c r="AP359" s="549">
        <v>0</v>
      </c>
      <c r="AQ359" s="675">
        <v>0</v>
      </c>
      <c r="AR359" s="549">
        <v>0</v>
      </c>
      <c r="AS359" s="675">
        <v>0</v>
      </c>
      <c r="AT359" s="549">
        <v>0</v>
      </c>
      <c r="AU359" s="675">
        <v>0</v>
      </c>
      <c r="AV359" s="549">
        <v>0</v>
      </c>
      <c r="AW359" s="675">
        <v>0</v>
      </c>
      <c r="AX359" s="549">
        <v>0</v>
      </c>
      <c r="AY359" s="675">
        <v>0</v>
      </c>
      <c r="AZ359" s="549">
        <v>0</v>
      </c>
      <c r="BA359" s="675">
        <v>0</v>
      </c>
      <c r="BB359" s="549">
        <v>0</v>
      </c>
      <c r="BC359" s="675">
        <v>0</v>
      </c>
      <c r="BD359" s="549">
        <v>0</v>
      </c>
      <c r="BE359" s="675">
        <v>0</v>
      </c>
      <c r="BF359" s="549">
        <v>0</v>
      </c>
      <c r="BG359" s="675">
        <v>0</v>
      </c>
      <c r="BH359" s="549">
        <v>0</v>
      </c>
      <c r="BI359" s="675">
        <v>0</v>
      </c>
      <c r="BJ359" s="549">
        <v>0</v>
      </c>
      <c r="BK359" s="675">
        <v>0</v>
      </c>
      <c r="BL359" s="549">
        <v>0</v>
      </c>
      <c r="BM359" s="675">
        <v>0</v>
      </c>
      <c r="BN359" s="549">
        <v>0</v>
      </c>
      <c r="BO359" s="675">
        <v>0</v>
      </c>
      <c r="BP359" s="549">
        <v>0</v>
      </c>
      <c r="BQ359" s="675">
        <v>0</v>
      </c>
      <c r="BR359" s="549">
        <v>0</v>
      </c>
      <c r="BS359" s="675">
        <v>0</v>
      </c>
      <c r="BT359" s="549">
        <v>0</v>
      </c>
      <c r="BU359" s="675">
        <v>0</v>
      </c>
      <c r="BV359" s="549">
        <v>0</v>
      </c>
      <c r="BW359" s="675">
        <v>0</v>
      </c>
      <c r="BX359" s="549">
        <v>0</v>
      </c>
      <c r="BY359" s="675">
        <v>0</v>
      </c>
      <c r="BZ359" s="549">
        <v>0</v>
      </c>
      <c r="CA359" s="675">
        <v>0</v>
      </c>
      <c r="CB359" s="549">
        <v>0</v>
      </c>
      <c r="CC359" s="675">
        <v>0</v>
      </c>
      <c r="CD359" s="549">
        <v>0</v>
      </c>
      <c r="CE359" s="675">
        <v>0</v>
      </c>
      <c r="CF359" s="549">
        <v>0</v>
      </c>
      <c r="CG359" s="675">
        <v>0</v>
      </c>
      <c r="CH359" s="549">
        <v>0</v>
      </c>
      <c r="CI359" s="675">
        <v>0</v>
      </c>
      <c r="CJ359" s="549">
        <v>0</v>
      </c>
      <c r="CK359" s="675">
        <v>0</v>
      </c>
      <c r="CL359" s="549">
        <v>0</v>
      </c>
      <c r="CM359" s="675">
        <v>0</v>
      </c>
      <c r="CN359" s="549">
        <v>0</v>
      </c>
      <c r="CO359" s="675">
        <v>0</v>
      </c>
      <c r="CP359" s="549">
        <v>0</v>
      </c>
      <c r="CQ359" s="675">
        <v>0</v>
      </c>
      <c r="CR359" s="549">
        <v>0</v>
      </c>
      <c r="CS359" s="675">
        <v>0</v>
      </c>
      <c r="CT359" s="549">
        <v>0</v>
      </c>
      <c r="CU359" s="675">
        <v>0</v>
      </c>
      <c r="CV359" s="549">
        <v>0</v>
      </c>
      <c r="CW359" s="675">
        <v>0</v>
      </c>
      <c r="CX359" s="549">
        <v>0</v>
      </c>
      <c r="CY359" s="675">
        <v>0</v>
      </c>
      <c r="CZ359" s="549">
        <v>0</v>
      </c>
      <c r="DA359" s="675">
        <v>0</v>
      </c>
      <c r="DB359" s="549">
        <v>0</v>
      </c>
      <c r="DC359" s="675">
        <v>0</v>
      </c>
      <c r="DD359" s="549">
        <v>0</v>
      </c>
      <c r="DE359" s="675">
        <v>0</v>
      </c>
      <c r="DF359" s="549">
        <v>0</v>
      </c>
      <c r="DG359" s="675">
        <v>0</v>
      </c>
      <c r="DH359" s="549">
        <v>0</v>
      </c>
      <c r="DI359" s="675">
        <v>0</v>
      </c>
      <c r="DJ359" s="549">
        <v>0</v>
      </c>
      <c r="DK359" s="675">
        <v>0</v>
      </c>
      <c r="DL359" s="549">
        <v>0</v>
      </c>
      <c r="DM359" s="675">
        <v>0</v>
      </c>
      <c r="DN359" s="549">
        <v>0</v>
      </c>
      <c r="DO359" s="675">
        <v>0</v>
      </c>
      <c r="DP359" s="549">
        <v>0</v>
      </c>
      <c r="DQ359" s="675">
        <v>0</v>
      </c>
      <c r="DR359" s="549">
        <v>0</v>
      </c>
      <c r="DS359" s="675">
        <v>0</v>
      </c>
      <c r="DT359" s="549">
        <v>0</v>
      </c>
      <c r="DU359" s="675">
        <v>0</v>
      </c>
      <c r="DV359" s="549">
        <v>0</v>
      </c>
      <c r="DW359" s="675">
        <v>0</v>
      </c>
      <c r="DX359" s="549">
        <v>0</v>
      </c>
      <c r="DY359" s="675">
        <v>0</v>
      </c>
      <c r="DZ359" s="549">
        <v>0</v>
      </c>
      <c r="EA359" s="675">
        <v>0</v>
      </c>
      <c r="EB359" s="549">
        <v>0</v>
      </c>
      <c r="EC359" s="675">
        <v>0</v>
      </c>
      <c r="ED359" s="549">
        <v>0</v>
      </c>
      <c r="EE359" s="675">
        <v>0</v>
      </c>
      <c r="EF359" s="549">
        <v>0</v>
      </c>
      <c r="EG359" s="675">
        <v>0</v>
      </c>
      <c r="EH359" s="549">
        <v>0</v>
      </c>
      <c r="EI359" s="675">
        <v>0</v>
      </c>
      <c r="EJ359" s="549">
        <v>0</v>
      </c>
      <c r="EK359" s="675">
        <v>0</v>
      </c>
      <c r="EL359" s="549">
        <v>0</v>
      </c>
      <c r="EM359" s="675">
        <v>0</v>
      </c>
      <c r="EN359" s="549">
        <v>0</v>
      </c>
      <c r="EO359" s="675">
        <v>0</v>
      </c>
      <c r="EP359" s="549">
        <v>0</v>
      </c>
      <c r="EQ359" s="675">
        <v>0</v>
      </c>
      <c r="ER359" s="549">
        <v>0</v>
      </c>
      <c r="ES359" s="675">
        <v>0</v>
      </c>
      <c r="ET359" s="549">
        <v>0</v>
      </c>
      <c r="EU359" s="675">
        <v>0</v>
      </c>
      <c r="EV359" s="549">
        <v>0</v>
      </c>
      <c r="EW359" s="675">
        <v>0</v>
      </c>
      <c r="EX359" s="549">
        <v>0</v>
      </c>
      <c r="EY359" s="675">
        <v>0</v>
      </c>
      <c r="EZ359" s="549">
        <v>0</v>
      </c>
      <c r="FA359" s="675">
        <v>0</v>
      </c>
      <c r="FB359" s="549">
        <v>0</v>
      </c>
      <c r="FC359" s="675">
        <v>0</v>
      </c>
      <c r="FD359" s="549">
        <v>0</v>
      </c>
      <c r="FE359" s="675">
        <v>0</v>
      </c>
      <c r="FF359" s="549">
        <v>0</v>
      </c>
      <c r="FG359" s="675">
        <v>0</v>
      </c>
      <c r="FH359" s="549">
        <v>0</v>
      </c>
      <c r="FI359" s="675">
        <v>0</v>
      </c>
      <c r="FJ359" s="549">
        <v>0</v>
      </c>
      <c r="FK359" s="675">
        <v>0</v>
      </c>
      <c r="FL359" s="549">
        <v>0</v>
      </c>
      <c r="FM359" s="675">
        <v>0</v>
      </c>
      <c r="FN359" s="549">
        <v>0</v>
      </c>
      <c r="FO359" s="675">
        <v>0</v>
      </c>
      <c r="FP359" s="549">
        <v>0</v>
      </c>
      <c r="FQ359" s="675">
        <v>0</v>
      </c>
      <c r="FR359" s="549">
        <v>0</v>
      </c>
      <c r="FS359" s="675">
        <v>0</v>
      </c>
      <c r="FT359" s="549">
        <v>0</v>
      </c>
      <c r="FU359" s="675">
        <v>0</v>
      </c>
      <c r="FV359" s="549">
        <v>0</v>
      </c>
      <c r="FW359" s="675">
        <v>0</v>
      </c>
      <c r="FX359" s="549">
        <v>0</v>
      </c>
      <c r="FY359" s="675">
        <v>0</v>
      </c>
      <c r="FZ359" s="549">
        <v>0</v>
      </c>
      <c r="GA359" s="675">
        <v>0</v>
      </c>
      <c r="GB359" s="549">
        <v>0</v>
      </c>
      <c r="GC359" s="675">
        <v>0</v>
      </c>
      <c r="GD359" s="549">
        <v>0</v>
      </c>
      <c r="GE359" s="675">
        <v>0</v>
      </c>
      <c r="GF359" s="549">
        <v>0</v>
      </c>
      <c r="GG359" s="675">
        <v>0</v>
      </c>
      <c r="GH359" s="549">
        <v>0</v>
      </c>
      <c r="GI359" s="675">
        <v>0</v>
      </c>
      <c r="GJ359" s="549">
        <v>0</v>
      </c>
      <c r="GK359" s="675">
        <v>0</v>
      </c>
      <c r="GL359" s="549">
        <v>0</v>
      </c>
      <c r="GM359" s="675">
        <v>0</v>
      </c>
      <c r="GN359" s="549">
        <v>0</v>
      </c>
      <c r="GO359" s="675">
        <v>0</v>
      </c>
      <c r="GP359" s="549">
        <f>+D359+F359+H359+J359+L359+N359+P359+R359+T359+V359+X359+Z359+AB359+AF359+AD359+AH359+AJ359+AL359+AN359+AP359+AR359+AT359+AV359+AX359+AZ359+BB359+BD359+BF359+BH359+BJ359+BL359+BN359+BP359+BR359+BT359+BV359+BX359+BZ359+CB359+CD359+CF359+CH359+CJ359+CL359+CN359+CP359+CR359+CT359+CV359+CX359+CZ359+DB359+DD359+DF359+DH359+DT359+EX359+DJ359+DL359+DN359+DP359+DR359+EJ359+EB359+DZ359+DX359+DV359+ED359+EF359+EH359+EL359+EN359+EP359+EV359+ET359+ER359+EZ359+FB359+FD359+GL359+FF359+FJ359+FL359+GJ359+FT359+FR359+FP359+FN359+FH359+GH359+GF359+GD359+GB359+FZ359+FX359+FV359+GN359</f>
        <v>0</v>
      </c>
      <c r="GQ359" s="675">
        <f>+E359+G359+I359+K359+M359+O359+Q359+S359+U359+W359+Y359+AA359+AC359+AE359+AG359+AI359+AK359+AM359+AO359+AQ359+AS359+AU359+AW359+AY359+BA359+BC359+BE359+BG359+BI359+BK359+BM359+BO359+BQ359+BS359+BU359+BW359+BY359+CA359+CC359+CE359+CG359+CI359+CK359+CM359+CO359+CQ359+CS359+CU359+CW359+CY359+DA359+DC359+DE359+DG359+DI359+DU359+EY359+DK359+DM359+DO359+DQ359+DS359+EK359+EC359+EA359+DY359+DW359+EI359+EG359+EE359+EM359+EO359+EQ359+EW359+EU359+ES359+FA359+FC359+FE359+GM359+FG359+FK359+FM359+FO359+FQ359+FS359+FU359+GK359+FI359+GI359+GG359+GE359+GC359+GA359+FY359+FW359+GO359</f>
        <v>0</v>
      </c>
      <c r="GR359" s="74">
        <f>C359+GP359+GQ359</f>
        <v>41000</v>
      </c>
      <c r="GS359" s="74">
        <f>SUM(GU359:HD359)+GP359+GQ359</f>
        <v>37273</v>
      </c>
      <c r="GT359" s="568">
        <f>SUM(GU359:HF359)+GQ359+GP359</f>
        <v>41000</v>
      </c>
      <c r="GU359" s="275">
        <v>3730</v>
      </c>
      <c r="GV359" s="275">
        <v>3727</v>
      </c>
      <c r="GW359" s="275">
        <v>3727</v>
      </c>
      <c r="GX359" s="275">
        <v>3727</v>
      </c>
      <c r="GY359" s="275">
        <v>3727</v>
      </c>
      <c r="GZ359" s="275">
        <v>3727</v>
      </c>
      <c r="HA359" s="275">
        <v>3727</v>
      </c>
      <c r="HB359" s="275">
        <v>3727</v>
      </c>
      <c r="HC359" s="275">
        <v>3727</v>
      </c>
      <c r="HD359" s="275">
        <v>3727</v>
      </c>
      <c r="HE359" s="275">
        <v>3727</v>
      </c>
      <c r="HF359" s="275">
        <v>0</v>
      </c>
      <c r="HG359" s="74">
        <f>SUM(HH359:IE359)+GP359+GQ359</f>
        <v>37273</v>
      </c>
      <c r="HH359" s="89">
        <v>0</v>
      </c>
      <c r="HI359" s="817">
        <v>0</v>
      </c>
      <c r="HJ359" s="89">
        <v>0</v>
      </c>
      <c r="HK359" s="817">
        <v>7457</v>
      </c>
      <c r="HL359" s="89">
        <v>0</v>
      </c>
      <c r="HM359" s="817">
        <f>11184-7457</f>
        <v>3727</v>
      </c>
      <c r="HN359" s="89">
        <v>0</v>
      </c>
      <c r="HO359" s="817">
        <v>3727</v>
      </c>
      <c r="HP359" s="89">
        <v>0</v>
      </c>
      <c r="HQ359" s="817">
        <v>3727</v>
      </c>
      <c r="HR359" s="89">
        <v>0</v>
      </c>
      <c r="HS359" s="817">
        <f>7454-3727</f>
        <v>3727</v>
      </c>
      <c r="HT359" s="89">
        <v>0</v>
      </c>
      <c r="HU359" s="817">
        <v>3727</v>
      </c>
      <c r="HV359" s="89">
        <v>0</v>
      </c>
      <c r="HW359" s="817">
        <v>3727</v>
      </c>
      <c r="HX359" s="89">
        <v>0</v>
      </c>
      <c r="HY359" s="817">
        <v>3727</v>
      </c>
      <c r="HZ359" s="89">
        <v>0</v>
      </c>
      <c r="IA359" s="817">
        <v>3727</v>
      </c>
      <c r="IB359" s="89">
        <v>0</v>
      </c>
      <c r="IC359" s="817">
        <v>0</v>
      </c>
      <c r="ID359" s="89">
        <v>0</v>
      </c>
      <c r="IE359" s="817">
        <v>0</v>
      </c>
      <c r="IF359" s="841">
        <f t="shared" ref="IF359" si="10111">SUM(II359,IL359,IO359,IR359,IU359,IX359,JA359,JD359,JG359,JJ359,JM359,JP359)</f>
        <v>33546</v>
      </c>
      <c r="IG359" s="263">
        <f t="shared" ref="IG359" si="10112">SUM(IJ359,IM359,IP359,IS359,IV359,IY359,JB359,JE359,JH359,JK359,JN359,JQ359)</f>
        <v>33546</v>
      </c>
      <c r="IH359" s="842">
        <f t="shared" ref="IH359" si="10113">SUM(IK359,IN359,IQ359,IT359,IW359,IZ359,JC359,JF359,JI359,JL359,JO359,JR359)</f>
        <v>33546</v>
      </c>
      <c r="II359" s="89">
        <v>0</v>
      </c>
      <c r="IJ359" s="89">
        <f t="shared" ref="IJ359" si="10114">II359</f>
        <v>0</v>
      </c>
      <c r="IK359" s="89">
        <f t="shared" ref="IK359" si="10115">IJ359</f>
        <v>0</v>
      </c>
      <c r="IL359" s="89">
        <v>0</v>
      </c>
      <c r="IM359" s="89">
        <f t="shared" ref="IM359" si="10116">IL359</f>
        <v>0</v>
      </c>
      <c r="IN359" s="89">
        <f t="shared" ref="IN359" si="10117">IM359</f>
        <v>0</v>
      </c>
      <c r="IO359" s="89">
        <v>0</v>
      </c>
      <c r="IP359" s="89">
        <f t="shared" ref="IP359" si="10118">IO359</f>
        <v>0</v>
      </c>
      <c r="IQ359" s="89">
        <f t="shared" ref="IQ359" si="10119">IP359</f>
        <v>0</v>
      </c>
      <c r="IR359" s="89">
        <v>14911</v>
      </c>
      <c r="IS359" s="89">
        <f t="shared" ref="IS359" si="10120">IR359</f>
        <v>14911</v>
      </c>
      <c r="IT359" s="89">
        <f t="shared" ref="IT359" si="10121">IS359</f>
        <v>14911</v>
      </c>
      <c r="IU359" s="89">
        <v>0</v>
      </c>
      <c r="IV359" s="89">
        <f t="shared" ref="IV359" si="10122">IU359</f>
        <v>0</v>
      </c>
      <c r="IW359" s="89">
        <f t="shared" ref="IW359" si="10123">IV359</f>
        <v>0</v>
      </c>
      <c r="IX359" s="89">
        <v>0</v>
      </c>
      <c r="IY359" s="89">
        <f t="shared" ref="IY359" si="10124">IX359</f>
        <v>0</v>
      </c>
      <c r="IZ359" s="89">
        <f t="shared" ref="IZ359" si="10125">IY359</f>
        <v>0</v>
      </c>
      <c r="JA359" s="89">
        <f>26092-14911</f>
        <v>11181</v>
      </c>
      <c r="JB359" s="89">
        <f t="shared" ref="JB359" si="10126">JA359</f>
        <v>11181</v>
      </c>
      <c r="JC359" s="89">
        <f t="shared" ref="JC359" si="10127">JB359</f>
        <v>11181</v>
      </c>
      <c r="JD359" s="89">
        <v>0</v>
      </c>
      <c r="JE359" s="89">
        <f t="shared" ref="JE359" si="10128">JD359</f>
        <v>0</v>
      </c>
      <c r="JF359" s="89">
        <f t="shared" ref="JF359" si="10129">JE359</f>
        <v>0</v>
      </c>
      <c r="JG359" s="89">
        <f>33546-26092</f>
        <v>7454</v>
      </c>
      <c r="JH359" s="89">
        <f t="shared" ref="JH359" si="10130">JG359</f>
        <v>7454</v>
      </c>
      <c r="JI359" s="89">
        <f t="shared" ref="JI359" si="10131">JH359</f>
        <v>7454</v>
      </c>
      <c r="JJ359" s="89">
        <v>0</v>
      </c>
      <c r="JK359" s="89">
        <f t="shared" ref="JK359" si="10132">JJ359</f>
        <v>0</v>
      </c>
      <c r="JL359" s="89">
        <f t="shared" ref="JL359" si="10133">JK359</f>
        <v>0</v>
      </c>
      <c r="JM359" s="89">
        <v>0</v>
      </c>
      <c r="JN359" s="89">
        <f t="shared" ref="JN359" si="10134">JM359</f>
        <v>0</v>
      </c>
      <c r="JO359" s="89">
        <f t="shared" ref="JO359" si="10135">JN359</f>
        <v>0</v>
      </c>
      <c r="JP359" s="89">
        <v>0</v>
      </c>
      <c r="JQ359" s="89">
        <f t="shared" ref="JQ359:JR359" si="10136">JP359</f>
        <v>0</v>
      </c>
      <c r="JR359" s="89">
        <f t="shared" si="10136"/>
        <v>0</v>
      </c>
      <c r="JS359" s="74">
        <f>HG359-IF359</f>
        <v>3727</v>
      </c>
      <c r="JT359" s="382">
        <f>GS359-IF359</f>
        <v>3727</v>
      </c>
      <c r="JU359" s="665"/>
      <c r="JV359" s="524"/>
      <c r="JW359" s="525"/>
      <c r="JX359" s="548">
        <f>SUM(HH359,HJ359,HL359,HN359,HP359,HR359,HT359,HV359,HX359,HZ359,IB359,ID359)</f>
        <v>0</v>
      </c>
      <c r="JY359" s="548">
        <f>SUM(HI359,HK359,HM359,HO359,HQ359,HS359,HU359,HW359,HY359,IA359,IC359,IE359)</f>
        <v>37273</v>
      </c>
      <c r="JZ359" s="581">
        <f t="shared" si="9103"/>
        <v>0</v>
      </c>
      <c r="KA359" s="581">
        <f t="shared" si="9104"/>
        <v>0</v>
      </c>
      <c r="KB359" s="548">
        <f t="shared" si="10095"/>
        <v>37273</v>
      </c>
      <c r="KC359" s="709">
        <f t="shared" si="9101"/>
        <v>0</v>
      </c>
      <c r="KD359" s="57"/>
      <c r="KE359" s="57"/>
      <c r="KF359" s="57"/>
      <c r="KG359" s="57"/>
      <c r="KH359" s="57"/>
      <c r="KI359" s="57"/>
      <c r="KJ359" s="57"/>
      <c r="KK359" s="57"/>
    </row>
    <row r="360" spans="1:297" s="10" customFormat="1">
      <c r="A360" s="86"/>
      <c r="B360" s="77"/>
      <c r="C360" s="74"/>
      <c r="D360" s="549"/>
      <c r="E360" s="675"/>
      <c r="F360" s="549"/>
      <c r="G360" s="675"/>
      <c r="H360" s="549"/>
      <c r="I360" s="675"/>
      <c r="J360" s="549"/>
      <c r="K360" s="675"/>
      <c r="L360" s="549"/>
      <c r="M360" s="675"/>
      <c r="N360" s="549"/>
      <c r="O360" s="675"/>
      <c r="P360" s="549"/>
      <c r="Q360" s="675"/>
      <c r="R360" s="549"/>
      <c r="S360" s="675"/>
      <c r="T360" s="549"/>
      <c r="U360" s="675"/>
      <c r="V360" s="549"/>
      <c r="W360" s="675"/>
      <c r="X360" s="549"/>
      <c r="Y360" s="675"/>
      <c r="Z360" s="549"/>
      <c r="AA360" s="675"/>
      <c r="AB360" s="549"/>
      <c r="AC360" s="675"/>
      <c r="AD360" s="549"/>
      <c r="AE360" s="675"/>
      <c r="AF360" s="549"/>
      <c r="AG360" s="675"/>
      <c r="AH360" s="549"/>
      <c r="AI360" s="675"/>
      <c r="AJ360" s="549"/>
      <c r="AK360" s="675"/>
      <c r="AL360" s="549"/>
      <c r="AM360" s="675"/>
      <c r="AN360" s="549"/>
      <c r="AO360" s="675"/>
      <c r="AP360" s="549"/>
      <c r="AQ360" s="675"/>
      <c r="AR360" s="549"/>
      <c r="AS360" s="675"/>
      <c r="AT360" s="549"/>
      <c r="AU360" s="675"/>
      <c r="AV360" s="549"/>
      <c r="AW360" s="675"/>
      <c r="AX360" s="549"/>
      <c r="AY360" s="675"/>
      <c r="AZ360" s="549"/>
      <c r="BA360" s="675"/>
      <c r="BB360" s="549"/>
      <c r="BC360" s="675"/>
      <c r="BD360" s="549"/>
      <c r="BE360" s="675"/>
      <c r="BF360" s="549"/>
      <c r="BG360" s="675"/>
      <c r="BH360" s="549"/>
      <c r="BI360" s="675"/>
      <c r="BJ360" s="549"/>
      <c r="BK360" s="675"/>
      <c r="BL360" s="549"/>
      <c r="BM360" s="675"/>
      <c r="BN360" s="549"/>
      <c r="BO360" s="675"/>
      <c r="BP360" s="549"/>
      <c r="BQ360" s="675"/>
      <c r="BR360" s="549"/>
      <c r="BS360" s="675"/>
      <c r="BT360" s="549"/>
      <c r="BU360" s="675"/>
      <c r="BV360" s="549"/>
      <c r="BW360" s="675"/>
      <c r="BX360" s="549"/>
      <c r="BY360" s="675"/>
      <c r="BZ360" s="549"/>
      <c r="CA360" s="675"/>
      <c r="CB360" s="549"/>
      <c r="CC360" s="675"/>
      <c r="CD360" s="549"/>
      <c r="CE360" s="675"/>
      <c r="CF360" s="549"/>
      <c r="CG360" s="675"/>
      <c r="CH360" s="549"/>
      <c r="CI360" s="675"/>
      <c r="CJ360" s="549"/>
      <c r="CK360" s="675"/>
      <c r="CL360" s="549"/>
      <c r="CM360" s="675"/>
      <c r="CN360" s="549"/>
      <c r="CO360" s="675"/>
      <c r="CP360" s="549"/>
      <c r="CQ360" s="675"/>
      <c r="CR360" s="549"/>
      <c r="CS360" s="675"/>
      <c r="CT360" s="549"/>
      <c r="CU360" s="675"/>
      <c r="CV360" s="549"/>
      <c r="CW360" s="675"/>
      <c r="CX360" s="549"/>
      <c r="CY360" s="675"/>
      <c r="CZ360" s="549"/>
      <c r="DA360" s="675"/>
      <c r="DB360" s="549"/>
      <c r="DC360" s="675"/>
      <c r="DD360" s="549"/>
      <c r="DE360" s="675"/>
      <c r="DF360" s="549"/>
      <c r="DG360" s="675"/>
      <c r="DH360" s="549"/>
      <c r="DI360" s="675"/>
      <c r="DJ360" s="549"/>
      <c r="DK360" s="675"/>
      <c r="DL360" s="549"/>
      <c r="DM360" s="675"/>
      <c r="DN360" s="549"/>
      <c r="DO360" s="675"/>
      <c r="DP360" s="549"/>
      <c r="DQ360" s="675"/>
      <c r="DR360" s="549"/>
      <c r="DS360" s="675"/>
      <c r="DT360" s="549"/>
      <c r="DU360" s="675"/>
      <c r="DV360" s="549"/>
      <c r="DW360" s="675"/>
      <c r="DX360" s="549"/>
      <c r="DY360" s="675"/>
      <c r="DZ360" s="549"/>
      <c r="EA360" s="675"/>
      <c r="EB360" s="549"/>
      <c r="EC360" s="675"/>
      <c r="ED360" s="549"/>
      <c r="EE360" s="675"/>
      <c r="EF360" s="549"/>
      <c r="EG360" s="675"/>
      <c r="EH360" s="549"/>
      <c r="EI360" s="675"/>
      <c r="EJ360" s="549"/>
      <c r="EK360" s="675"/>
      <c r="EL360" s="549"/>
      <c r="EM360" s="675"/>
      <c r="EN360" s="549"/>
      <c r="EO360" s="675"/>
      <c r="EP360" s="549"/>
      <c r="EQ360" s="675"/>
      <c r="ER360" s="549"/>
      <c r="ES360" s="675"/>
      <c r="ET360" s="549"/>
      <c r="EU360" s="675"/>
      <c r="EV360" s="549"/>
      <c r="EW360" s="675"/>
      <c r="EX360" s="549"/>
      <c r="EY360" s="675"/>
      <c r="EZ360" s="549"/>
      <c r="FA360" s="675"/>
      <c r="FB360" s="549"/>
      <c r="FC360" s="675"/>
      <c r="FD360" s="549"/>
      <c r="FE360" s="675"/>
      <c r="FF360" s="549"/>
      <c r="FG360" s="675"/>
      <c r="FH360" s="549"/>
      <c r="FI360" s="675"/>
      <c r="FJ360" s="549"/>
      <c r="FK360" s="675"/>
      <c r="FL360" s="549"/>
      <c r="FM360" s="675"/>
      <c r="FN360" s="549"/>
      <c r="FO360" s="675"/>
      <c r="FP360" s="549"/>
      <c r="FQ360" s="675"/>
      <c r="FR360" s="549"/>
      <c r="FS360" s="675"/>
      <c r="FT360" s="549"/>
      <c r="FU360" s="675"/>
      <c r="FV360" s="549"/>
      <c r="FW360" s="675"/>
      <c r="FX360" s="549"/>
      <c r="FY360" s="675"/>
      <c r="FZ360" s="549"/>
      <c r="GA360" s="675"/>
      <c r="GB360" s="549"/>
      <c r="GC360" s="675"/>
      <c r="GD360" s="549"/>
      <c r="GE360" s="675"/>
      <c r="GF360" s="549"/>
      <c r="GG360" s="675"/>
      <c r="GH360" s="549"/>
      <c r="GI360" s="675"/>
      <c r="GJ360" s="549"/>
      <c r="GK360" s="675"/>
      <c r="GL360" s="549"/>
      <c r="GM360" s="675"/>
      <c r="GN360" s="549"/>
      <c r="GO360" s="675"/>
      <c r="GP360" s="549"/>
      <c r="GQ360" s="675"/>
      <c r="GR360" s="74"/>
      <c r="GS360" s="74"/>
      <c r="GT360" s="568"/>
      <c r="GU360" s="275"/>
      <c r="GV360" s="275"/>
      <c r="GW360" s="588"/>
      <c r="GX360" s="588"/>
      <c r="GY360" s="275"/>
      <c r="GZ360" s="275"/>
      <c r="HA360" s="275"/>
      <c r="HB360" s="275"/>
      <c r="HC360" s="275"/>
      <c r="HD360" s="275"/>
      <c r="HE360" s="275"/>
      <c r="HF360" s="275"/>
      <c r="HG360" s="74"/>
      <c r="HH360" s="89"/>
      <c r="HI360" s="817"/>
      <c r="HJ360" s="89"/>
      <c r="HK360" s="817"/>
      <c r="HL360" s="89"/>
      <c r="HM360" s="817"/>
      <c r="HN360" s="89"/>
      <c r="HO360" s="817"/>
      <c r="HP360" s="89"/>
      <c r="HQ360" s="817"/>
      <c r="HR360" s="89"/>
      <c r="HS360" s="817"/>
      <c r="HT360" s="89"/>
      <c r="HU360" s="817"/>
      <c r="HV360" s="89"/>
      <c r="HW360" s="817"/>
      <c r="HX360" s="89"/>
      <c r="HY360" s="817"/>
      <c r="HZ360" s="89"/>
      <c r="IA360" s="817"/>
      <c r="IB360" s="89"/>
      <c r="IC360" s="817"/>
      <c r="ID360" s="89"/>
      <c r="IE360" s="817"/>
      <c r="IF360" s="841"/>
      <c r="IG360" s="263"/>
      <c r="IH360" s="842"/>
      <c r="II360" s="89"/>
      <c r="IJ360" s="89"/>
      <c r="IK360" s="89"/>
      <c r="IL360" s="89"/>
      <c r="IM360" s="89"/>
      <c r="IN360" s="89"/>
      <c r="IO360" s="89"/>
      <c r="IP360" s="89"/>
      <c r="IQ360" s="89"/>
      <c r="IR360" s="89"/>
      <c r="IS360" s="89"/>
      <c r="IT360" s="89"/>
      <c r="IU360" s="89"/>
      <c r="IV360" s="89"/>
      <c r="IW360" s="89"/>
      <c r="IX360" s="89"/>
      <c r="IY360" s="89"/>
      <c r="IZ360" s="89"/>
      <c r="JA360" s="89"/>
      <c r="JB360" s="89"/>
      <c r="JC360" s="89"/>
      <c r="JD360" s="89"/>
      <c r="JE360" s="89"/>
      <c r="JF360" s="89"/>
      <c r="JG360" s="89"/>
      <c r="JH360" s="89"/>
      <c r="JI360" s="89"/>
      <c r="JJ360" s="89"/>
      <c r="JK360" s="89"/>
      <c r="JL360" s="89"/>
      <c r="JM360" s="89"/>
      <c r="JN360" s="89"/>
      <c r="JO360" s="89"/>
      <c r="JP360" s="89"/>
      <c r="JQ360" s="89"/>
      <c r="JR360" s="89"/>
      <c r="JS360" s="74"/>
      <c r="JT360" s="382"/>
      <c r="JU360" s="665"/>
      <c r="JV360" s="524"/>
      <c r="JW360" s="525"/>
      <c r="JX360" s="548"/>
      <c r="JY360" s="548"/>
      <c r="JZ360" s="581">
        <f t="shared" si="9103"/>
        <v>0</v>
      </c>
      <c r="KA360" s="581">
        <f t="shared" si="9104"/>
        <v>0</v>
      </c>
      <c r="KB360" s="548">
        <f t="shared" si="10095"/>
        <v>0</v>
      </c>
      <c r="KC360" s="709">
        <f t="shared" si="9101"/>
        <v>0</v>
      </c>
      <c r="KD360" s="36"/>
      <c r="KE360" s="36"/>
      <c r="KF360" s="36"/>
      <c r="KG360" s="36"/>
      <c r="KH360" s="36"/>
      <c r="KI360" s="36"/>
      <c r="KJ360" s="36"/>
      <c r="KK360" s="36"/>
    </row>
    <row r="361" spans="1:297" s="8" customFormat="1" ht="12.75" hidden="1" customHeight="1">
      <c r="A361" s="80" t="s">
        <v>821</v>
      </c>
      <c r="B361" s="72" t="s">
        <v>213</v>
      </c>
      <c r="C361" s="74">
        <f>SUM(C362)</f>
        <v>0</v>
      </c>
      <c r="D361" s="549">
        <f t="shared" ref="D361:AZ361" si="10137">SUM(D362)</f>
        <v>0</v>
      </c>
      <c r="E361" s="675">
        <f t="shared" ref="E361:GO361" si="10138">SUM(E362)</f>
        <v>0</v>
      </c>
      <c r="F361" s="549">
        <f t="shared" si="10137"/>
        <v>0</v>
      </c>
      <c r="G361" s="675">
        <f t="shared" si="10138"/>
        <v>0</v>
      </c>
      <c r="H361" s="549">
        <f t="shared" si="10137"/>
        <v>0</v>
      </c>
      <c r="I361" s="675">
        <f t="shared" si="10138"/>
        <v>0</v>
      </c>
      <c r="J361" s="549">
        <f t="shared" si="10137"/>
        <v>0</v>
      </c>
      <c r="K361" s="675">
        <f t="shared" si="10138"/>
        <v>0</v>
      </c>
      <c r="L361" s="549">
        <f t="shared" si="10137"/>
        <v>0</v>
      </c>
      <c r="M361" s="675">
        <f t="shared" si="10138"/>
        <v>0</v>
      </c>
      <c r="N361" s="549">
        <f t="shared" si="10137"/>
        <v>0</v>
      </c>
      <c r="O361" s="675">
        <f t="shared" si="10138"/>
        <v>0</v>
      </c>
      <c r="P361" s="549">
        <f t="shared" si="10137"/>
        <v>0</v>
      </c>
      <c r="Q361" s="675">
        <f t="shared" si="10138"/>
        <v>0</v>
      </c>
      <c r="R361" s="549">
        <f t="shared" si="10137"/>
        <v>0</v>
      </c>
      <c r="S361" s="675">
        <f t="shared" si="10138"/>
        <v>0</v>
      </c>
      <c r="T361" s="549">
        <f t="shared" si="10137"/>
        <v>0</v>
      </c>
      <c r="U361" s="675">
        <f t="shared" si="10138"/>
        <v>0</v>
      </c>
      <c r="V361" s="549">
        <f t="shared" si="10137"/>
        <v>0</v>
      </c>
      <c r="W361" s="675">
        <f t="shared" si="10138"/>
        <v>0</v>
      </c>
      <c r="X361" s="549">
        <f t="shared" si="10137"/>
        <v>0</v>
      </c>
      <c r="Y361" s="675">
        <f t="shared" si="10138"/>
        <v>0</v>
      </c>
      <c r="Z361" s="549">
        <f t="shared" si="10137"/>
        <v>0</v>
      </c>
      <c r="AA361" s="675">
        <f t="shared" si="10138"/>
        <v>0</v>
      </c>
      <c r="AB361" s="549">
        <f t="shared" si="10137"/>
        <v>0</v>
      </c>
      <c r="AC361" s="675">
        <f t="shared" si="10138"/>
        <v>0</v>
      </c>
      <c r="AD361" s="549">
        <f t="shared" si="10137"/>
        <v>0</v>
      </c>
      <c r="AE361" s="675">
        <f t="shared" si="10138"/>
        <v>0</v>
      </c>
      <c r="AF361" s="549">
        <f t="shared" si="10137"/>
        <v>0</v>
      </c>
      <c r="AG361" s="675">
        <f t="shared" si="10138"/>
        <v>0</v>
      </c>
      <c r="AH361" s="549">
        <f t="shared" si="10137"/>
        <v>0</v>
      </c>
      <c r="AI361" s="675">
        <f t="shared" si="10138"/>
        <v>0</v>
      </c>
      <c r="AJ361" s="549">
        <f t="shared" si="10137"/>
        <v>0</v>
      </c>
      <c r="AK361" s="675">
        <f t="shared" si="10138"/>
        <v>0</v>
      </c>
      <c r="AL361" s="549">
        <f t="shared" si="10137"/>
        <v>0</v>
      </c>
      <c r="AM361" s="675">
        <f t="shared" si="10138"/>
        <v>0</v>
      </c>
      <c r="AN361" s="549">
        <f t="shared" si="10137"/>
        <v>0</v>
      </c>
      <c r="AO361" s="675">
        <f t="shared" si="10138"/>
        <v>0</v>
      </c>
      <c r="AP361" s="549">
        <f t="shared" si="10137"/>
        <v>0</v>
      </c>
      <c r="AQ361" s="675">
        <f t="shared" si="10138"/>
        <v>0</v>
      </c>
      <c r="AR361" s="549">
        <f t="shared" si="10137"/>
        <v>0</v>
      </c>
      <c r="AS361" s="675">
        <f t="shared" si="10138"/>
        <v>0</v>
      </c>
      <c r="AT361" s="549">
        <f t="shared" si="10137"/>
        <v>0</v>
      </c>
      <c r="AU361" s="675">
        <f t="shared" si="10138"/>
        <v>0</v>
      </c>
      <c r="AV361" s="549">
        <f t="shared" si="10137"/>
        <v>0</v>
      </c>
      <c r="AW361" s="675">
        <f t="shared" si="10138"/>
        <v>0</v>
      </c>
      <c r="AX361" s="549">
        <f t="shared" si="10137"/>
        <v>0</v>
      </c>
      <c r="AY361" s="675">
        <f t="shared" si="10138"/>
        <v>0</v>
      </c>
      <c r="AZ361" s="549">
        <f t="shared" si="10137"/>
        <v>0</v>
      </c>
      <c r="BA361" s="675">
        <f t="shared" si="10138"/>
        <v>0</v>
      </c>
      <c r="BB361" s="549">
        <f t="shared" ref="BB361" si="10139">SUM(BB362)</f>
        <v>0</v>
      </c>
      <c r="BC361" s="675">
        <f t="shared" si="10138"/>
        <v>0</v>
      </c>
      <c r="BD361" s="549">
        <f t="shared" ref="BD361" si="10140">SUM(BD362)</f>
        <v>0</v>
      </c>
      <c r="BE361" s="675">
        <f t="shared" si="10138"/>
        <v>0</v>
      </c>
      <c r="BF361" s="549">
        <f t="shared" ref="BF361" si="10141">SUM(BF362)</f>
        <v>0</v>
      </c>
      <c r="BG361" s="675">
        <f t="shared" si="10138"/>
        <v>0</v>
      </c>
      <c r="BH361" s="549">
        <f t="shared" ref="BH361" si="10142">SUM(BH362)</f>
        <v>0</v>
      </c>
      <c r="BI361" s="675">
        <f t="shared" si="10138"/>
        <v>0</v>
      </c>
      <c r="BJ361" s="549">
        <f t="shared" ref="BJ361" si="10143">SUM(BJ362)</f>
        <v>0</v>
      </c>
      <c r="BK361" s="675">
        <f t="shared" si="10138"/>
        <v>0</v>
      </c>
      <c r="BL361" s="549">
        <f t="shared" ref="BL361" si="10144">SUM(BL362)</f>
        <v>0</v>
      </c>
      <c r="BM361" s="675">
        <f t="shared" si="10138"/>
        <v>0</v>
      </c>
      <c r="BN361" s="549">
        <f t="shared" ref="BN361" si="10145">SUM(BN362)</f>
        <v>0</v>
      </c>
      <c r="BO361" s="675">
        <f t="shared" si="10138"/>
        <v>0</v>
      </c>
      <c r="BP361" s="549">
        <f t="shared" ref="BP361" si="10146">SUM(BP362)</f>
        <v>0</v>
      </c>
      <c r="BQ361" s="675">
        <f t="shared" si="10138"/>
        <v>0</v>
      </c>
      <c r="BR361" s="549">
        <f t="shared" ref="BR361" si="10147">SUM(BR362)</f>
        <v>0</v>
      </c>
      <c r="BS361" s="675">
        <f t="shared" si="10138"/>
        <v>0</v>
      </c>
      <c r="BT361" s="549">
        <f t="shared" ref="BT361:GN361" si="10148">SUM(BT362)</f>
        <v>0</v>
      </c>
      <c r="BU361" s="675">
        <f t="shared" si="10138"/>
        <v>0</v>
      </c>
      <c r="BV361" s="549">
        <f t="shared" si="10148"/>
        <v>0</v>
      </c>
      <c r="BW361" s="675">
        <f t="shared" si="10138"/>
        <v>0</v>
      </c>
      <c r="BX361" s="549">
        <f t="shared" si="10148"/>
        <v>0</v>
      </c>
      <c r="BY361" s="675">
        <f t="shared" si="10138"/>
        <v>0</v>
      </c>
      <c r="BZ361" s="549">
        <f t="shared" si="10148"/>
        <v>0</v>
      </c>
      <c r="CA361" s="675">
        <f t="shared" si="10138"/>
        <v>0</v>
      </c>
      <c r="CB361" s="549">
        <f t="shared" si="10148"/>
        <v>0</v>
      </c>
      <c r="CC361" s="675">
        <f t="shared" si="10138"/>
        <v>0</v>
      </c>
      <c r="CD361" s="549">
        <f t="shared" si="10148"/>
        <v>0</v>
      </c>
      <c r="CE361" s="675">
        <f t="shared" si="10138"/>
        <v>0</v>
      </c>
      <c r="CF361" s="549">
        <f t="shared" si="10148"/>
        <v>0</v>
      </c>
      <c r="CG361" s="675">
        <f t="shared" si="10138"/>
        <v>0</v>
      </c>
      <c r="CH361" s="549">
        <f t="shared" si="10148"/>
        <v>0</v>
      </c>
      <c r="CI361" s="675">
        <f t="shared" si="10138"/>
        <v>0</v>
      </c>
      <c r="CJ361" s="549">
        <f t="shared" si="10148"/>
        <v>0</v>
      </c>
      <c r="CK361" s="675">
        <f t="shared" si="10138"/>
        <v>0</v>
      </c>
      <c r="CL361" s="549">
        <f t="shared" si="10148"/>
        <v>0</v>
      </c>
      <c r="CM361" s="675">
        <f t="shared" si="10138"/>
        <v>0</v>
      </c>
      <c r="CN361" s="549">
        <f t="shared" si="10148"/>
        <v>0</v>
      </c>
      <c r="CO361" s="675">
        <f t="shared" si="10138"/>
        <v>0</v>
      </c>
      <c r="CP361" s="549">
        <f t="shared" si="10148"/>
        <v>0</v>
      </c>
      <c r="CQ361" s="675">
        <f t="shared" si="10138"/>
        <v>0</v>
      </c>
      <c r="CR361" s="549">
        <f t="shared" si="10148"/>
        <v>0</v>
      </c>
      <c r="CS361" s="675">
        <f t="shared" si="10138"/>
        <v>0</v>
      </c>
      <c r="CT361" s="549">
        <f t="shared" si="10148"/>
        <v>0</v>
      </c>
      <c r="CU361" s="675">
        <f t="shared" si="10138"/>
        <v>0</v>
      </c>
      <c r="CV361" s="549">
        <f t="shared" si="10148"/>
        <v>0</v>
      </c>
      <c r="CW361" s="675">
        <f t="shared" si="10138"/>
        <v>0</v>
      </c>
      <c r="CX361" s="549">
        <f t="shared" si="10148"/>
        <v>0</v>
      </c>
      <c r="CY361" s="675">
        <f t="shared" si="10138"/>
        <v>0</v>
      </c>
      <c r="CZ361" s="549">
        <f t="shared" si="10148"/>
        <v>0</v>
      </c>
      <c r="DA361" s="675">
        <f t="shared" si="10138"/>
        <v>0</v>
      </c>
      <c r="DB361" s="549">
        <f t="shared" si="10148"/>
        <v>0</v>
      </c>
      <c r="DC361" s="675">
        <f t="shared" si="10138"/>
        <v>0</v>
      </c>
      <c r="DD361" s="549">
        <f t="shared" si="10148"/>
        <v>0</v>
      </c>
      <c r="DE361" s="675">
        <f t="shared" si="10138"/>
        <v>0</v>
      </c>
      <c r="DF361" s="549">
        <f t="shared" si="10148"/>
        <v>0</v>
      </c>
      <c r="DG361" s="675">
        <f t="shared" si="10138"/>
        <v>0</v>
      </c>
      <c r="DH361" s="549">
        <f t="shared" si="10148"/>
        <v>0</v>
      </c>
      <c r="DI361" s="675">
        <f t="shared" si="10138"/>
        <v>0</v>
      </c>
      <c r="DJ361" s="549">
        <f t="shared" si="10148"/>
        <v>0</v>
      </c>
      <c r="DK361" s="675">
        <f t="shared" si="10138"/>
        <v>0</v>
      </c>
      <c r="DL361" s="549">
        <f t="shared" si="10148"/>
        <v>0</v>
      </c>
      <c r="DM361" s="675">
        <f t="shared" si="10138"/>
        <v>0</v>
      </c>
      <c r="DN361" s="549">
        <f t="shared" si="10148"/>
        <v>0</v>
      </c>
      <c r="DO361" s="675">
        <f t="shared" si="10138"/>
        <v>0</v>
      </c>
      <c r="DP361" s="549">
        <f t="shared" si="10148"/>
        <v>0</v>
      </c>
      <c r="DQ361" s="675">
        <f t="shared" si="10138"/>
        <v>0</v>
      </c>
      <c r="DR361" s="549">
        <f t="shared" si="10148"/>
        <v>0</v>
      </c>
      <c r="DS361" s="675">
        <f t="shared" si="10138"/>
        <v>0</v>
      </c>
      <c r="DT361" s="549">
        <f t="shared" si="10148"/>
        <v>0</v>
      </c>
      <c r="DU361" s="675">
        <f t="shared" si="10138"/>
        <v>0</v>
      </c>
      <c r="DV361" s="549">
        <f t="shared" si="10148"/>
        <v>0</v>
      </c>
      <c r="DW361" s="675">
        <f t="shared" si="10138"/>
        <v>0</v>
      </c>
      <c r="DX361" s="549">
        <f t="shared" si="10148"/>
        <v>0</v>
      </c>
      <c r="DY361" s="675">
        <f t="shared" si="10138"/>
        <v>0</v>
      </c>
      <c r="DZ361" s="549">
        <f t="shared" si="10148"/>
        <v>0</v>
      </c>
      <c r="EA361" s="675">
        <f t="shared" si="10138"/>
        <v>0</v>
      </c>
      <c r="EB361" s="549">
        <f t="shared" si="10148"/>
        <v>0</v>
      </c>
      <c r="EC361" s="675">
        <f t="shared" si="10138"/>
        <v>0</v>
      </c>
      <c r="ED361" s="549">
        <f t="shared" si="10148"/>
        <v>0</v>
      </c>
      <c r="EE361" s="675">
        <f t="shared" si="10138"/>
        <v>0</v>
      </c>
      <c r="EF361" s="549">
        <f t="shared" si="10148"/>
        <v>0</v>
      </c>
      <c r="EG361" s="675">
        <f t="shared" si="10138"/>
        <v>0</v>
      </c>
      <c r="EH361" s="549">
        <f t="shared" si="10148"/>
        <v>0</v>
      </c>
      <c r="EI361" s="675">
        <f t="shared" si="10138"/>
        <v>0</v>
      </c>
      <c r="EJ361" s="549">
        <f t="shared" si="10148"/>
        <v>0</v>
      </c>
      <c r="EK361" s="675">
        <f t="shared" si="10138"/>
        <v>0</v>
      </c>
      <c r="EL361" s="549">
        <f t="shared" si="10148"/>
        <v>0</v>
      </c>
      <c r="EM361" s="675">
        <f t="shared" si="10138"/>
        <v>0</v>
      </c>
      <c r="EN361" s="549">
        <f t="shared" si="10148"/>
        <v>0</v>
      </c>
      <c r="EO361" s="675">
        <f t="shared" si="10138"/>
        <v>0</v>
      </c>
      <c r="EP361" s="549">
        <f t="shared" si="10148"/>
        <v>0</v>
      </c>
      <c r="EQ361" s="675">
        <f t="shared" si="10138"/>
        <v>0</v>
      </c>
      <c r="ER361" s="549">
        <f t="shared" si="10148"/>
        <v>0</v>
      </c>
      <c r="ES361" s="675">
        <f t="shared" si="10138"/>
        <v>0</v>
      </c>
      <c r="ET361" s="549">
        <f t="shared" si="10148"/>
        <v>0</v>
      </c>
      <c r="EU361" s="675">
        <f t="shared" si="10138"/>
        <v>0</v>
      </c>
      <c r="EV361" s="549">
        <f t="shared" si="10148"/>
        <v>0</v>
      </c>
      <c r="EW361" s="675">
        <f t="shared" si="10138"/>
        <v>0</v>
      </c>
      <c r="EX361" s="549">
        <f t="shared" si="10148"/>
        <v>0</v>
      </c>
      <c r="EY361" s="675">
        <f t="shared" si="10138"/>
        <v>0</v>
      </c>
      <c r="EZ361" s="549">
        <f t="shared" si="10148"/>
        <v>0</v>
      </c>
      <c r="FA361" s="675">
        <f t="shared" si="10138"/>
        <v>0</v>
      </c>
      <c r="FB361" s="549">
        <f t="shared" si="10148"/>
        <v>0</v>
      </c>
      <c r="FC361" s="675">
        <f t="shared" si="10138"/>
        <v>0</v>
      </c>
      <c r="FD361" s="549">
        <f t="shared" si="10148"/>
        <v>0</v>
      </c>
      <c r="FE361" s="675">
        <f t="shared" si="10138"/>
        <v>0</v>
      </c>
      <c r="FF361" s="549">
        <f t="shared" si="10148"/>
        <v>0</v>
      </c>
      <c r="FG361" s="675">
        <f t="shared" si="10138"/>
        <v>0</v>
      </c>
      <c r="FH361" s="549">
        <f t="shared" si="10148"/>
        <v>0</v>
      </c>
      <c r="FI361" s="675">
        <f t="shared" si="10138"/>
        <v>0</v>
      </c>
      <c r="FJ361" s="549">
        <f t="shared" si="10148"/>
        <v>0</v>
      </c>
      <c r="FK361" s="675">
        <f t="shared" si="10138"/>
        <v>0</v>
      </c>
      <c r="FL361" s="549">
        <f t="shared" si="10148"/>
        <v>0</v>
      </c>
      <c r="FM361" s="675">
        <f t="shared" si="10138"/>
        <v>0</v>
      </c>
      <c r="FN361" s="549">
        <f t="shared" si="10148"/>
        <v>0</v>
      </c>
      <c r="FO361" s="675">
        <f t="shared" si="10138"/>
        <v>0</v>
      </c>
      <c r="FP361" s="549">
        <f t="shared" si="10148"/>
        <v>0</v>
      </c>
      <c r="FQ361" s="675">
        <f t="shared" si="10138"/>
        <v>0</v>
      </c>
      <c r="FR361" s="549">
        <f t="shared" si="10148"/>
        <v>0</v>
      </c>
      <c r="FS361" s="675">
        <f t="shared" si="10138"/>
        <v>0</v>
      </c>
      <c r="FT361" s="549">
        <f t="shared" si="10148"/>
        <v>0</v>
      </c>
      <c r="FU361" s="675">
        <f t="shared" si="10138"/>
        <v>0</v>
      </c>
      <c r="FV361" s="549">
        <f t="shared" si="10148"/>
        <v>0</v>
      </c>
      <c r="FW361" s="675">
        <f t="shared" si="10138"/>
        <v>0</v>
      </c>
      <c r="FX361" s="549">
        <f t="shared" si="10148"/>
        <v>0</v>
      </c>
      <c r="FY361" s="675">
        <f t="shared" si="10138"/>
        <v>0</v>
      </c>
      <c r="FZ361" s="549">
        <f t="shared" si="10148"/>
        <v>0</v>
      </c>
      <c r="GA361" s="675">
        <f t="shared" si="10138"/>
        <v>0</v>
      </c>
      <c r="GB361" s="549">
        <f t="shared" si="10148"/>
        <v>0</v>
      </c>
      <c r="GC361" s="675">
        <f t="shared" si="10138"/>
        <v>0</v>
      </c>
      <c r="GD361" s="549">
        <f t="shared" si="10148"/>
        <v>0</v>
      </c>
      <c r="GE361" s="675">
        <f t="shared" si="10138"/>
        <v>0</v>
      </c>
      <c r="GF361" s="549">
        <f t="shared" si="10148"/>
        <v>0</v>
      </c>
      <c r="GG361" s="675">
        <f t="shared" si="10138"/>
        <v>0</v>
      </c>
      <c r="GH361" s="549">
        <f t="shared" si="10148"/>
        <v>0</v>
      </c>
      <c r="GI361" s="675">
        <f t="shared" si="10138"/>
        <v>0</v>
      </c>
      <c r="GJ361" s="549">
        <f t="shared" si="10148"/>
        <v>0</v>
      </c>
      <c r="GK361" s="675">
        <f t="shared" si="10138"/>
        <v>0</v>
      </c>
      <c r="GL361" s="549">
        <f t="shared" si="10148"/>
        <v>0</v>
      </c>
      <c r="GM361" s="675">
        <f t="shared" si="10138"/>
        <v>0</v>
      </c>
      <c r="GN361" s="549">
        <f t="shared" si="10148"/>
        <v>0</v>
      </c>
      <c r="GO361" s="675">
        <f t="shared" si="10138"/>
        <v>0</v>
      </c>
      <c r="GP361" s="549">
        <f>SUM(GP362)</f>
        <v>0</v>
      </c>
      <c r="GQ361" s="675">
        <f>SUM(GQ362)</f>
        <v>0</v>
      </c>
      <c r="GR361" s="74">
        <f t="shared" ref="GR361:IZ361" si="10149">SUM(GR362)</f>
        <v>0</v>
      </c>
      <c r="GS361" s="74">
        <f t="shared" si="10149"/>
        <v>0</v>
      </c>
      <c r="GT361" s="549">
        <f t="shared" si="10149"/>
        <v>0</v>
      </c>
      <c r="GU361" s="74">
        <f t="shared" si="10149"/>
        <v>0</v>
      </c>
      <c r="GV361" s="74">
        <f t="shared" si="10149"/>
        <v>0</v>
      </c>
      <c r="GW361" s="549">
        <f t="shared" si="10149"/>
        <v>0</v>
      </c>
      <c r="GX361" s="549">
        <f t="shared" si="10149"/>
        <v>0</v>
      </c>
      <c r="GY361" s="74">
        <f t="shared" si="10149"/>
        <v>0</v>
      </c>
      <c r="GZ361" s="74">
        <f t="shared" si="10149"/>
        <v>0</v>
      </c>
      <c r="HA361" s="74">
        <f t="shared" si="10149"/>
        <v>0</v>
      </c>
      <c r="HB361" s="74">
        <f t="shared" si="10149"/>
        <v>0</v>
      </c>
      <c r="HC361" s="74">
        <f t="shared" si="10149"/>
        <v>0</v>
      </c>
      <c r="HD361" s="74">
        <f t="shared" si="10149"/>
        <v>0</v>
      </c>
      <c r="HE361" s="74">
        <f t="shared" si="10149"/>
        <v>0</v>
      </c>
      <c r="HF361" s="74">
        <f t="shared" si="10149"/>
        <v>0</v>
      </c>
      <c r="HG361" s="74">
        <f t="shared" si="10149"/>
        <v>0</v>
      </c>
      <c r="HH361" s="74">
        <f t="shared" si="10149"/>
        <v>0</v>
      </c>
      <c r="HI361" s="792">
        <f t="shared" si="10149"/>
        <v>0</v>
      </c>
      <c r="HJ361" s="74">
        <f t="shared" si="10149"/>
        <v>0</v>
      </c>
      <c r="HK361" s="792">
        <f t="shared" si="10149"/>
        <v>0</v>
      </c>
      <c r="HL361" s="74">
        <f t="shared" si="10149"/>
        <v>0</v>
      </c>
      <c r="HM361" s="792">
        <f t="shared" si="10149"/>
        <v>0</v>
      </c>
      <c r="HN361" s="74">
        <f t="shared" si="10149"/>
        <v>0</v>
      </c>
      <c r="HO361" s="792">
        <f t="shared" si="10149"/>
        <v>0</v>
      </c>
      <c r="HP361" s="74">
        <f t="shared" si="10149"/>
        <v>0</v>
      </c>
      <c r="HQ361" s="792">
        <f t="shared" si="10149"/>
        <v>0</v>
      </c>
      <c r="HR361" s="74">
        <f t="shared" si="10149"/>
        <v>0</v>
      </c>
      <c r="HS361" s="792">
        <f t="shared" si="10149"/>
        <v>0</v>
      </c>
      <c r="HT361" s="74">
        <f t="shared" si="10149"/>
        <v>0</v>
      </c>
      <c r="HU361" s="792">
        <f t="shared" si="10149"/>
        <v>0</v>
      </c>
      <c r="HV361" s="74">
        <f t="shared" si="10149"/>
        <v>0</v>
      </c>
      <c r="HW361" s="792">
        <f t="shared" si="10149"/>
        <v>0</v>
      </c>
      <c r="HX361" s="74">
        <f t="shared" si="10149"/>
        <v>0</v>
      </c>
      <c r="HY361" s="792">
        <f t="shared" si="10149"/>
        <v>0</v>
      </c>
      <c r="HZ361" s="74">
        <f t="shared" si="10149"/>
        <v>0</v>
      </c>
      <c r="IA361" s="792">
        <f t="shared" si="10149"/>
        <v>0</v>
      </c>
      <c r="IB361" s="74">
        <f t="shared" si="10149"/>
        <v>0</v>
      </c>
      <c r="IC361" s="792">
        <f t="shared" si="10149"/>
        <v>0</v>
      </c>
      <c r="ID361" s="74">
        <f t="shared" si="10149"/>
        <v>0</v>
      </c>
      <c r="IE361" s="792">
        <f t="shared" si="10149"/>
        <v>0</v>
      </c>
      <c r="IF361" s="841">
        <f t="shared" si="10149"/>
        <v>0</v>
      </c>
      <c r="IG361" s="263">
        <f t="shared" si="10149"/>
        <v>0</v>
      </c>
      <c r="IH361" s="842">
        <f t="shared" si="10149"/>
        <v>0</v>
      </c>
      <c r="II361" s="74">
        <f t="shared" si="10149"/>
        <v>0</v>
      </c>
      <c r="IJ361" s="74">
        <f t="shared" si="10149"/>
        <v>0</v>
      </c>
      <c r="IK361" s="74">
        <f t="shared" si="10149"/>
        <v>0</v>
      </c>
      <c r="IL361" s="74">
        <f t="shared" si="10149"/>
        <v>0</v>
      </c>
      <c r="IM361" s="74">
        <f t="shared" si="10149"/>
        <v>0</v>
      </c>
      <c r="IN361" s="74">
        <f t="shared" si="10149"/>
        <v>0</v>
      </c>
      <c r="IO361" s="74">
        <f t="shared" si="10149"/>
        <v>0</v>
      </c>
      <c r="IP361" s="74">
        <f t="shared" si="10149"/>
        <v>0</v>
      </c>
      <c r="IQ361" s="74">
        <f t="shared" si="10149"/>
        <v>0</v>
      </c>
      <c r="IR361" s="74">
        <f t="shared" si="10149"/>
        <v>0</v>
      </c>
      <c r="IS361" s="74">
        <f t="shared" si="10149"/>
        <v>0</v>
      </c>
      <c r="IT361" s="74">
        <f t="shared" si="10149"/>
        <v>0</v>
      </c>
      <c r="IU361" s="74">
        <f t="shared" si="10149"/>
        <v>0</v>
      </c>
      <c r="IV361" s="74">
        <f t="shared" si="10149"/>
        <v>0</v>
      </c>
      <c r="IW361" s="74">
        <f t="shared" si="10149"/>
        <v>0</v>
      </c>
      <c r="IX361" s="74">
        <f t="shared" si="10149"/>
        <v>0</v>
      </c>
      <c r="IY361" s="74">
        <f t="shared" si="10149"/>
        <v>0</v>
      </c>
      <c r="IZ361" s="74">
        <f t="shared" si="10149"/>
        <v>0</v>
      </c>
      <c r="JA361" s="74">
        <f t="shared" ref="JA361:JC361" si="10150">SUM(JA362)</f>
        <v>0</v>
      </c>
      <c r="JB361" s="74">
        <f t="shared" si="10150"/>
        <v>0</v>
      </c>
      <c r="JC361" s="74">
        <f t="shared" si="10150"/>
        <v>0</v>
      </c>
      <c r="JD361" s="74">
        <f t="shared" ref="JD361:JR361" si="10151">SUM(JD362)</f>
        <v>0</v>
      </c>
      <c r="JE361" s="74">
        <f t="shared" si="10151"/>
        <v>0</v>
      </c>
      <c r="JF361" s="74">
        <f t="shared" si="10151"/>
        <v>0</v>
      </c>
      <c r="JG361" s="74">
        <f t="shared" si="10151"/>
        <v>0</v>
      </c>
      <c r="JH361" s="74">
        <f t="shared" si="10151"/>
        <v>0</v>
      </c>
      <c r="JI361" s="74">
        <f t="shared" si="10151"/>
        <v>0</v>
      </c>
      <c r="JJ361" s="74">
        <f t="shared" si="10151"/>
        <v>0</v>
      </c>
      <c r="JK361" s="74">
        <f t="shared" si="10151"/>
        <v>0</v>
      </c>
      <c r="JL361" s="74">
        <f t="shared" si="10151"/>
        <v>0</v>
      </c>
      <c r="JM361" s="74">
        <f t="shared" si="10151"/>
        <v>0</v>
      </c>
      <c r="JN361" s="74">
        <f t="shared" si="10151"/>
        <v>0</v>
      </c>
      <c r="JO361" s="74">
        <f t="shared" si="10151"/>
        <v>0</v>
      </c>
      <c r="JP361" s="74">
        <f t="shared" si="10151"/>
        <v>0</v>
      </c>
      <c r="JQ361" s="74">
        <f t="shared" si="10151"/>
        <v>0</v>
      </c>
      <c r="JR361" s="74">
        <f t="shared" si="10151"/>
        <v>0</v>
      </c>
      <c r="JS361" s="74">
        <f>SUM(JS362)</f>
        <v>0</v>
      </c>
      <c r="JT361" s="382">
        <f>SUM(JT362)</f>
        <v>0</v>
      </c>
      <c r="JU361" s="665"/>
      <c r="JV361" s="524"/>
      <c r="JW361" s="525"/>
      <c r="JX361" s="548">
        <f>SUM(JX362)</f>
        <v>0</v>
      </c>
      <c r="JY361" s="548">
        <f>SUM(JY362)</f>
        <v>0</v>
      </c>
      <c r="JZ361" s="581">
        <f>GP361</f>
        <v>0</v>
      </c>
      <c r="KA361" s="581">
        <f t="shared" si="9104"/>
        <v>0</v>
      </c>
      <c r="KB361" s="548">
        <f>JX361+JY361+JZ361+KA361</f>
        <v>0</v>
      </c>
      <c r="KC361" s="709">
        <f t="shared" si="9101"/>
        <v>0</v>
      </c>
      <c r="KD361" s="36"/>
      <c r="KE361" s="36"/>
      <c r="KF361" s="36"/>
      <c r="KG361" s="36"/>
      <c r="KH361" s="36"/>
      <c r="KI361" s="36"/>
      <c r="KJ361" s="36"/>
      <c r="KK361" s="36"/>
    </row>
    <row r="362" spans="1:297" s="10" customFormat="1" ht="12.75" hidden="1" customHeight="1">
      <c r="A362" s="86" t="s">
        <v>1040</v>
      </c>
      <c r="B362" s="77" t="s">
        <v>215</v>
      </c>
      <c r="C362" s="74">
        <v>0</v>
      </c>
      <c r="D362" s="549">
        <v>0</v>
      </c>
      <c r="E362" s="675">
        <v>0</v>
      </c>
      <c r="F362" s="549">
        <v>0</v>
      </c>
      <c r="G362" s="675">
        <v>0</v>
      </c>
      <c r="H362" s="549">
        <v>0</v>
      </c>
      <c r="I362" s="675">
        <v>0</v>
      </c>
      <c r="J362" s="549">
        <v>0</v>
      </c>
      <c r="K362" s="675">
        <v>0</v>
      </c>
      <c r="L362" s="549">
        <v>0</v>
      </c>
      <c r="M362" s="675">
        <v>0</v>
      </c>
      <c r="N362" s="549">
        <v>0</v>
      </c>
      <c r="O362" s="675">
        <v>0</v>
      </c>
      <c r="P362" s="549">
        <v>0</v>
      </c>
      <c r="Q362" s="675">
        <v>0</v>
      </c>
      <c r="R362" s="549">
        <v>0</v>
      </c>
      <c r="S362" s="675">
        <v>0</v>
      </c>
      <c r="T362" s="549">
        <v>0</v>
      </c>
      <c r="U362" s="675">
        <v>0</v>
      </c>
      <c r="V362" s="549">
        <v>0</v>
      </c>
      <c r="W362" s="675">
        <v>0</v>
      </c>
      <c r="X362" s="549">
        <v>0</v>
      </c>
      <c r="Y362" s="675">
        <v>0</v>
      </c>
      <c r="Z362" s="549">
        <v>0</v>
      </c>
      <c r="AA362" s="675">
        <v>0</v>
      </c>
      <c r="AB362" s="549">
        <v>0</v>
      </c>
      <c r="AC362" s="675">
        <v>0</v>
      </c>
      <c r="AD362" s="549">
        <v>0</v>
      </c>
      <c r="AE362" s="675">
        <v>0</v>
      </c>
      <c r="AF362" s="549">
        <v>0</v>
      </c>
      <c r="AG362" s="675">
        <v>0</v>
      </c>
      <c r="AH362" s="549">
        <v>0</v>
      </c>
      <c r="AI362" s="675">
        <v>0</v>
      </c>
      <c r="AJ362" s="549">
        <v>0</v>
      </c>
      <c r="AK362" s="675">
        <v>0</v>
      </c>
      <c r="AL362" s="549">
        <v>0</v>
      </c>
      <c r="AM362" s="675">
        <v>0</v>
      </c>
      <c r="AN362" s="549">
        <v>0</v>
      </c>
      <c r="AO362" s="675">
        <v>0</v>
      </c>
      <c r="AP362" s="549">
        <v>0</v>
      </c>
      <c r="AQ362" s="675">
        <v>0</v>
      </c>
      <c r="AR362" s="549">
        <v>0</v>
      </c>
      <c r="AS362" s="675">
        <v>0</v>
      </c>
      <c r="AT362" s="549">
        <v>0</v>
      </c>
      <c r="AU362" s="675">
        <v>0</v>
      </c>
      <c r="AV362" s="549">
        <v>0</v>
      </c>
      <c r="AW362" s="675">
        <v>0</v>
      </c>
      <c r="AX362" s="549">
        <v>0</v>
      </c>
      <c r="AY362" s="675">
        <v>0</v>
      </c>
      <c r="AZ362" s="549">
        <v>0</v>
      </c>
      <c r="BA362" s="675">
        <v>0</v>
      </c>
      <c r="BB362" s="549">
        <v>0</v>
      </c>
      <c r="BC362" s="675">
        <v>0</v>
      </c>
      <c r="BD362" s="549">
        <v>0</v>
      </c>
      <c r="BE362" s="675">
        <v>0</v>
      </c>
      <c r="BF362" s="549">
        <v>0</v>
      </c>
      <c r="BG362" s="675">
        <v>0</v>
      </c>
      <c r="BH362" s="549">
        <v>0</v>
      </c>
      <c r="BI362" s="675">
        <v>0</v>
      </c>
      <c r="BJ362" s="549">
        <v>0</v>
      </c>
      <c r="BK362" s="675">
        <v>0</v>
      </c>
      <c r="BL362" s="549">
        <v>0</v>
      </c>
      <c r="BM362" s="675">
        <v>0</v>
      </c>
      <c r="BN362" s="549">
        <v>0</v>
      </c>
      <c r="BO362" s="675">
        <v>0</v>
      </c>
      <c r="BP362" s="549">
        <v>0</v>
      </c>
      <c r="BQ362" s="675">
        <v>0</v>
      </c>
      <c r="BR362" s="549">
        <v>0</v>
      </c>
      <c r="BS362" s="675">
        <v>0</v>
      </c>
      <c r="BT362" s="549">
        <v>0</v>
      </c>
      <c r="BU362" s="675">
        <v>0</v>
      </c>
      <c r="BV362" s="549">
        <v>0</v>
      </c>
      <c r="BW362" s="675">
        <v>0</v>
      </c>
      <c r="BX362" s="549">
        <v>0</v>
      </c>
      <c r="BY362" s="675">
        <v>0</v>
      </c>
      <c r="BZ362" s="549">
        <v>0</v>
      </c>
      <c r="CA362" s="675">
        <v>0</v>
      </c>
      <c r="CB362" s="549">
        <v>0</v>
      </c>
      <c r="CC362" s="675">
        <v>0</v>
      </c>
      <c r="CD362" s="549">
        <v>0</v>
      </c>
      <c r="CE362" s="675">
        <v>0</v>
      </c>
      <c r="CF362" s="549">
        <v>0</v>
      </c>
      <c r="CG362" s="675">
        <v>0</v>
      </c>
      <c r="CH362" s="549">
        <v>0</v>
      </c>
      <c r="CI362" s="675">
        <v>0</v>
      </c>
      <c r="CJ362" s="549">
        <v>0</v>
      </c>
      <c r="CK362" s="675">
        <v>0</v>
      </c>
      <c r="CL362" s="549">
        <v>0</v>
      </c>
      <c r="CM362" s="675">
        <v>0</v>
      </c>
      <c r="CN362" s="549">
        <v>0</v>
      </c>
      <c r="CO362" s="675">
        <v>0</v>
      </c>
      <c r="CP362" s="549">
        <v>0</v>
      </c>
      <c r="CQ362" s="675">
        <v>0</v>
      </c>
      <c r="CR362" s="549">
        <v>0</v>
      </c>
      <c r="CS362" s="675">
        <v>0</v>
      </c>
      <c r="CT362" s="549">
        <v>0</v>
      </c>
      <c r="CU362" s="675">
        <v>0</v>
      </c>
      <c r="CV362" s="549">
        <v>0</v>
      </c>
      <c r="CW362" s="675">
        <v>0</v>
      </c>
      <c r="CX362" s="549">
        <v>0</v>
      </c>
      <c r="CY362" s="675">
        <v>0</v>
      </c>
      <c r="CZ362" s="549">
        <v>0</v>
      </c>
      <c r="DA362" s="675">
        <v>0</v>
      </c>
      <c r="DB362" s="549">
        <v>0</v>
      </c>
      <c r="DC362" s="675">
        <v>0</v>
      </c>
      <c r="DD362" s="549">
        <v>0</v>
      </c>
      <c r="DE362" s="675">
        <v>0</v>
      </c>
      <c r="DF362" s="549">
        <v>0</v>
      </c>
      <c r="DG362" s="675">
        <v>0</v>
      </c>
      <c r="DH362" s="549">
        <v>0</v>
      </c>
      <c r="DI362" s="675">
        <v>0</v>
      </c>
      <c r="DJ362" s="549">
        <v>0</v>
      </c>
      <c r="DK362" s="675">
        <v>0</v>
      </c>
      <c r="DL362" s="549">
        <v>0</v>
      </c>
      <c r="DM362" s="675">
        <v>0</v>
      </c>
      <c r="DN362" s="549">
        <v>0</v>
      </c>
      <c r="DO362" s="675">
        <v>0</v>
      </c>
      <c r="DP362" s="549">
        <v>0</v>
      </c>
      <c r="DQ362" s="675">
        <v>0</v>
      </c>
      <c r="DR362" s="549">
        <v>0</v>
      </c>
      <c r="DS362" s="675">
        <v>0</v>
      </c>
      <c r="DT362" s="549">
        <v>0</v>
      </c>
      <c r="DU362" s="675">
        <v>0</v>
      </c>
      <c r="DV362" s="549">
        <v>0</v>
      </c>
      <c r="DW362" s="675">
        <v>0</v>
      </c>
      <c r="DX362" s="549">
        <v>0</v>
      </c>
      <c r="DY362" s="675">
        <v>0</v>
      </c>
      <c r="DZ362" s="549">
        <v>0</v>
      </c>
      <c r="EA362" s="675">
        <v>0</v>
      </c>
      <c r="EB362" s="549">
        <v>0</v>
      </c>
      <c r="EC362" s="675">
        <v>0</v>
      </c>
      <c r="ED362" s="549">
        <v>0</v>
      </c>
      <c r="EE362" s="675">
        <v>0</v>
      </c>
      <c r="EF362" s="549">
        <v>0</v>
      </c>
      <c r="EG362" s="675">
        <v>0</v>
      </c>
      <c r="EH362" s="549">
        <v>0</v>
      </c>
      <c r="EI362" s="675">
        <v>0</v>
      </c>
      <c r="EJ362" s="549">
        <v>0</v>
      </c>
      <c r="EK362" s="675">
        <v>0</v>
      </c>
      <c r="EL362" s="549">
        <v>0</v>
      </c>
      <c r="EM362" s="675">
        <v>0</v>
      </c>
      <c r="EN362" s="549">
        <v>0</v>
      </c>
      <c r="EO362" s="675">
        <v>0</v>
      </c>
      <c r="EP362" s="549">
        <v>0</v>
      </c>
      <c r="EQ362" s="675">
        <v>0</v>
      </c>
      <c r="ER362" s="549">
        <v>0</v>
      </c>
      <c r="ES362" s="675">
        <v>0</v>
      </c>
      <c r="ET362" s="549">
        <v>0</v>
      </c>
      <c r="EU362" s="675">
        <v>0</v>
      </c>
      <c r="EV362" s="549">
        <v>0</v>
      </c>
      <c r="EW362" s="675">
        <v>0</v>
      </c>
      <c r="EX362" s="549">
        <v>0</v>
      </c>
      <c r="EY362" s="675">
        <v>0</v>
      </c>
      <c r="EZ362" s="549">
        <v>0</v>
      </c>
      <c r="FA362" s="675">
        <v>0</v>
      </c>
      <c r="FB362" s="549">
        <v>0</v>
      </c>
      <c r="FC362" s="675">
        <v>0</v>
      </c>
      <c r="FD362" s="549">
        <v>0</v>
      </c>
      <c r="FE362" s="675">
        <v>0</v>
      </c>
      <c r="FF362" s="549">
        <v>0</v>
      </c>
      <c r="FG362" s="675">
        <v>0</v>
      </c>
      <c r="FH362" s="549">
        <v>0</v>
      </c>
      <c r="FI362" s="675">
        <v>0</v>
      </c>
      <c r="FJ362" s="549">
        <v>0</v>
      </c>
      <c r="FK362" s="675">
        <v>0</v>
      </c>
      <c r="FL362" s="549">
        <v>0</v>
      </c>
      <c r="FM362" s="675">
        <v>0</v>
      </c>
      <c r="FN362" s="549">
        <v>0</v>
      </c>
      <c r="FO362" s="675">
        <v>0</v>
      </c>
      <c r="FP362" s="549">
        <v>0</v>
      </c>
      <c r="FQ362" s="675">
        <v>0</v>
      </c>
      <c r="FR362" s="549">
        <v>0</v>
      </c>
      <c r="FS362" s="675">
        <v>0</v>
      </c>
      <c r="FT362" s="549">
        <v>0</v>
      </c>
      <c r="FU362" s="675">
        <v>0</v>
      </c>
      <c r="FV362" s="549">
        <v>0</v>
      </c>
      <c r="FW362" s="675">
        <v>0</v>
      </c>
      <c r="FX362" s="549">
        <v>0</v>
      </c>
      <c r="FY362" s="675">
        <v>0</v>
      </c>
      <c r="FZ362" s="549">
        <v>0</v>
      </c>
      <c r="GA362" s="675">
        <v>0</v>
      </c>
      <c r="GB362" s="549">
        <v>0</v>
      </c>
      <c r="GC362" s="675">
        <v>0</v>
      </c>
      <c r="GD362" s="549">
        <v>0</v>
      </c>
      <c r="GE362" s="675">
        <v>0</v>
      </c>
      <c r="GF362" s="549">
        <v>0</v>
      </c>
      <c r="GG362" s="675">
        <v>0</v>
      </c>
      <c r="GH362" s="549">
        <v>0</v>
      </c>
      <c r="GI362" s="675">
        <v>0</v>
      </c>
      <c r="GJ362" s="549">
        <v>0</v>
      </c>
      <c r="GK362" s="675">
        <v>0</v>
      </c>
      <c r="GL362" s="549">
        <v>0</v>
      </c>
      <c r="GM362" s="675">
        <v>0</v>
      </c>
      <c r="GN362" s="549">
        <v>0</v>
      </c>
      <c r="GO362" s="675">
        <v>0</v>
      </c>
      <c r="GP362" s="549">
        <f>+D362+F362+H362+J362+L362+N362+P362+R362+T362+V362+X362+Z362+AB362+AF362+AD362+AH362+AJ362+AL362+AN362+AP362+AR362+AT362+AV362+AX362+AZ362+BB362+BD362+BF362+BH362+BJ362+BL362+BN362+BP362+BR362+BT362+BV362+BX362+BZ362+CB362+CD362+CF362+CH362+CJ362+CL362+CN362+CP362+CR362+CT362+CV362+CX362+CZ362+DB362+DD362+DF362+DH362+DT362+EX362+DJ362+DL362+DN362+DP362+DR362+EJ362+EB362+DZ362+DX362+DV362+ED362+EF362+EH362+EL362+EN362+EP362+EV362+ET362+ER362+EZ362+FB362+FD362+GL362+FF362+FJ362+FL362+GJ362+FT362+FR362+FP362+FN362+FH362+GH362+GF362+GD362+GB362+FZ362+FX362+FV362+GN362</f>
        <v>0</v>
      </c>
      <c r="GQ362" s="675">
        <f>+E362+G362+I362+K362+M362+O362+Q362+S362+U362+W362+Y362+AA362+AC362+AE362+AG362+AI362+AK362+AM362+AO362+AQ362+AS362+AU362+AW362+AY362+BA362+BC362+BE362+BG362+BI362+BK362+BM362+BO362+BQ362+BS362+BU362+BW362+BY362+CA362+CC362+CE362+CG362+CI362+CK362+CM362+CO362+CQ362+CS362+CU362+CW362+CY362+DA362+DC362+DE362+DG362+DI362+DU362+EY362+DK362+DM362+DO362+DQ362+DS362+EK362+EC362+EA362+DY362+DW362+EI362+EG362+EE362+EM362+EO362+EQ362+EW362+EU362+ES362+FA362+FC362+FE362+GM362+FG362+FK362+FM362+FO362+FQ362+FS362+FU362+GK362+FI362+GI362+GG362+GE362+GC362+GA362+FY362+FW362+GO362</f>
        <v>0</v>
      </c>
      <c r="GR362" s="74">
        <f>C362+GP362+GQ362</f>
        <v>0</v>
      </c>
      <c r="GS362" s="74">
        <f>SUM(GU362:GV362)+GP362+GQ362+GW362+GX362+GY362+GZ362+HA362+HB362+HC362+HD362+HE362+HF362</f>
        <v>0</v>
      </c>
      <c r="GT362" s="568">
        <f>SUM(GU362:HF362)+GQ362+GP362</f>
        <v>0</v>
      </c>
      <c r="GU362" s="275">
        <v>0</v>
      </c>
      <c r="GV362" s="275">
        <v>0</v>
      </c>
      <c r="GW362" s="588">
        <v>0</v>
      </c>
      <c r="GX362" s="588">
        <v>0</v>
      </c>
      <c r="GY362" s="275">
        <v>0</v>
      </c>
      <c r="GZ362" s="275">
        <v>0</v>
      </c>
      <c r="HA362" s="275">
        <v>0</v>
      </c>
      <c r="HB362" s="275">
        <v>0</v>
      </c>
      <c r="HC362" s="275">
        <v>0</v>
      </c>
      <c r="HD362" s="275">
        <v>0</v>
      </c>
      <c r="HE362" s="275">
        <v>0</v>
      </c>
      <c r="HF362" s="275">
        <v>0</v>
      </c>
      <c r="HG362" s="74">
        <f>SUM(HH362:IE362)+GP362+GQ362</f>
        <v>0</v>
      </c>
      <c r="HH362" s="89">
        <v>0</v>
      </c>
      <c r="HI362" s="817">
        <v>0</v>
      </c>
      <c r="HJ362" s="89">
        <v>0</v>
      </c>
      <c r="HK362" s="817">
        <v>0</v>
      </c>
      <c r="HL362" s="89">
        <v>0</v>
      </c>
      <c r="HM362" s="817">
        <v>0</v>
      </c>
      <c r="HN362" s="89">
        <v>0</v>
      </c>
      <c r="HO362" s="817">
        <v>0</v>
      </c>
      <c r="HP362" s="89">
        <v>0</v>
      </c>
      <c r="HQ362" s="817">
        <v>0</v>
      </c>
      <c r="HR362" s="89">
        <v>0</v>
      </c>
      <c r="HS362" s="817">
        <v>0</v>
      </c>
      <c r="HT362" s="89">
        <v>0</v>
      </c>
      <c r="HU362" s="817">
        <v>0</v>
      </c>
      <c r="HV362" s="89">
        <v>0</v>
      </c>
      <c r="HW362" s="817">
        <v>0</v>
      </c>
      <c r="HX362" s="89">
        <v>0</v>
      </c>
      <c r="HY362" s="817">
        <v>0</v>
      </c>
      <c r="HZ362" s="89">
        <v>0</v>
      </c>
      <c r="IA362" s="817">
        <v>0</v>
      </c>
      <c r="IB362" s="89">
        <v>0</v>
      </c>
      <c r="IC362" s="817">
        <v>0</v>
      </c>
      <c r="ID362" s="89">
        <v>0</v>
      </c>
      <c r="IE362" s="817">
        <v>0</v>
      </c>
      <c r="IF362" s="841">
        <f t="shared" ref="IF362" si="10152">SUM(II362,IL362,IO362,IR362,IU362,IX362,JA362,JD362,JG362,JJ362,JM362,JP362)</f>
        <v>0</v>
      </c>
      <c r="IG362" s="263">
        <f t="shared" ref="IG362" si="10153">SUM(IJ362,IM362,IP362,IS362,IV362,IY362,JB362,JE362,JH362,JK362,JN362,JQ362)</f>
        <v>0</v>
      </c>
      <c r="IH362" s="842">
        <f t="shared" ref="IH362" si="10154">SUM(IK362,IN362,IQ362,IT362,IW362,IZ362,JC362,JF362,JI362,JL362,JO362,JR362)</f>
        <v>0</v>
      </c>
      <c r="II362" s="89">
        <v>0</v>
      </c>
      <c r="IJ362" s="89">
        <v>0</v>
      </c>
      <c r="IK362" s="89">
        <v>0</v>
      </c>
      <c r="IL362" s="89">
        <v>0</v>
      </c>
      <c r="IM362" s="89">
        <v>0</v>
      </c>
      <c r="IN362" s="89">
        <v>0</v>
      </c>
      <c r="IO362" s="89">
        <v>0</v>
      </c>
      <c r="IP362" s="89">
        <v>0</v>
      </c>
      <c r="IQ362" s="89">
        <v>0</v>
      </c>
      <c r="IR362" s="89">
        <v>0</v>
      </c>
      <c r="IS362" s="89">
        <v>0</v>
      </c>
      <c r="IT362" s="89">
        <v>0</v>
      </c>
      <c r="IU362" s="89">
        <v>0</v>
      </c>
      <c r="IV362" s="89">
        <v>0</v>
      </c>
      <c r="IW362" s="89">
        <v>0</v>
      </c>
      <c r="IX362" s="89">
        <v>0</v>
      </c>
      <c r="IY362" s="89">
        <v>0</v>
      </c>
      <c r="IZ362" s="89">
        <v>0</v>
      </c>
      <c r="JA362" s="89">
        <v>0</v>
      </c>
      <c r="JB362" s="89">
        <v>0</v>
      </c>
      <c r="JC362" s="89">
        <v>0</v>
      </c>
      <c r="JD362" s="89">
        <v>0</v>
      </c>
      <c r="JE362" s="89">
        <v>0</v>
      </c>
      <c r="JF362" s="89">
        <v>0</v>
      </c>
      <c r="JG362" s="89">
        <v>0</v>
      </c>
      <c r="JH362" s="89">
        <v>0</v>
      </c>
      <c r="JI362" s="89">
        <v>0</v>
      </c>
      <c r="JJ362" s="89">
        <v>0</v>
      </c>
      <c r="JK362" s="89">
        <v>0</v>
      </c>
      <c r="JL362" s="89">
        <v>0</v>
      </c>
      <c r="JM362" s="89">
        <v>0</v>
      </c>
      <c r="JN362" s="89">
        <v>0</v>
      </c>
      <c r="JO362" s="89">
        <v>0</v>
      </c>
      <c r="JP362" s="89">
        <v>0</v>
      </c>
      <c r="JQ362" s="89">
        <v>0</v>
      </c>
      <c r="JR362" s="89">
        <v>0</v>
      </c>
      <c r="JS362" s="74">
        <f>HG362-IF362</f>
        <v>0</v>
      </c>
      <c r="JT362" s="382">
        <f>GS362-IF362</f>
        <v>0</v>
      </c>
      <c r="JU362" s="665"/>
      <c r="JV362" s="524"/>
      <c r="JW362" s="525"/>
      <c r="JX362" s="548">
        <f>SUM(HH362,HJ362,HL362,HN362,HP362,HR362,HT362,HV362,HX362,HZ362,IB362,ID362)</f>
        <v>0</v>
      </c>
      <c r="JY362" s="548">
        <f>SUM(HI362,HK362,HM362,HO362,HQ362,HS362,HU362,HW362,HY362,IA362,IC362,IE362)</f>
        <v>0</v>
      </c>
      <c r="JZ362" s="581">
        <f t="shared" si="9103"/>
        <v>0</v>
      </c>
      <c r="KA362" s="581">
        <f t="shared" si="9104"/>
        <v>0</v>
      </c>
      <c r="KB362" s="548">
        <f>JX362+JY362+JZ362+KA362</f>
        <v>0</v>
      </c>
      <c r="KC362" s="709">
        <f t="shared" si="9101"/>
        <v>0</v>
      </c>
      <c r="KD362" s="57"/>
      <c r="KE362" s="57"/>
      <c r="KF362" s="57"/>
      <c r="KG362" s="57"/>
      <c r="KH362" s="57"/>
      <c r="KI362" s="57"/>
      <c r="KJ362" s="57"/>
      <c r="KK362" s="57"/>
    </row>
    <row r="363" spans="1:297" s="10" customFormat="1" ht="12.75" hidden="1" customHeight="1">
      <c r="A363" s="86"/>
      <c r="B363" s="77"/>
      <c r="C363" s="74"/>
      <c r="D363" s="549"/>
      <c r="E363" s="675"/>
      <c r="F363" s="549"/>
      <c r="G363" s="675"/>
      <c r="H363" s="549"/>
      <c r="I363" s="675"/>
      <c r="J363" s="549"/>
      <c r="K363" s="675"/>
      <c r="L363" s="549"/>
      <c r="M363" s="675"/>
      <c r="N363" s="549"/>
      <c r="O363" s="675"/>
      <c r="P363" s="549"/>
      <c r="Q363" s="675"/>
      <c r="R363" s="549"/>
      <c r="S363" s="675"/>
      <c r="T363" s="549"/>
      <c r="U363" s="675"/>
      <c r="V363" s="549"/>
      <c r="W363" s="675"/>
      <c r="X363" s="549"/>
      <c r="Y363" s="675"/>
      <c r="Z363" s="549"/>
      <c r="AA363" s="675"/>
      <c r="AB363" s="549"/>
      <c r="AC363" s="675"/>
      <c r="AD363" s="549"/>
      <c r="AE363" s="675"/>
      <c r="AF363" s="549"/>
      <c r="AG363" s="675"/>
      <c r="AH363" s="549"/>
      <c r="AI363" s="675"/>
      <c r="AJ363" s="549"/>
      <c r="AK363" s="675"/>
      <c r="AL363" s="549"/>
      <c r="AM363" s="675"/>
      <c r="AN363" s="549"/>
      <c r="AO363" s="675"/>
      <c r="AP363" s="549"/>
      <c r="AQ363" s="675"/>
      <c r="AR363" s="549"/>
      <c r="AS363" s="675"/>
      <c r="AT363" s="549"/>
      <c r="AU363" s="675"/>
      <c r="AV363" s="549"/>
      <c r="AW363" s="675"/>
      <c r="AX363" s="549"/>
      <c r="AY363" s="675"/>
      <c r="AZ363" s="549"/>
      <c r="BA363" s="675"/>
      <c r="BB363" s="549"/>
      <c r="BC363" s="675"/>
      <c r="BD363" s="549"/>
      <c r="BE363" s="675"/>
      <c r="BF363" s="549"/>
      <c r="BG363" s="675"/>
      <c r="BH363" s="549"/>
      <c r="BI363" s="675"/>
      <c r="BJ363" s="549"/>
      <c r="BK363" s="675"/>
      <c r="BL363" s="549"/>
      <c r="BM363" s="675"/>
      <c r="BN363" s="549"/>
      <c r="BO363" s="675"/>
      <c r="BP363" s="549"/>
      <c r="BQ363" s="675"/>
      <c r="BR363" s="549"/>
      <c r="BS363" s="675"/>
      <c r="BT363" s="549"/>
      <c r="BU363" s="675"/>
      <c r="BV363" s="549"/>
      <c r="BW363" s="675"/>
      <c r="BX363" s="549"/>
      <c r="BY363" s="675"/>
      <c r="BZ363" s="549"/>
      <c r="CA363" s="675"/>
      <c r="CB363" s="549"/>
      <c r="CC363" s="675"/>
      <c r="CD363" s="549"/>
      <c r="CE363" s="675"/>
      <c r="CF363" s="549"/>
      <c r="CG363" s="675"/>
      <c r="CH363" s="549"/>
      <c r="CI363" s="675"/>
      <c r="CJ363" s="549"/>
      <c r="CK363" s="675"/>
      <c r="CL363" s="549"/>
      <c r="CM363" s="675"/>
      <c r="CN363" s="549"/>
      <c r="CO363" s="675"/>
      <c r="CP363" s="549"/>
      <c r="CQ363" s="675"/>
      <c r="CR363" s="549"/>
      <c r="CS363" s="675"/>
      <c r="CT363" s="549"/>
      <c r="CU363" s="675"/>
      <c r="CV363" s="549"/>
      <c r="CW363" s="675"/>
      <c r="CX363" s="549"/>
      <c r="CY363" s="675"/>
      <c r="CZ363" s="549"/>
      <c r="DA363" s="675"/>
      <c r="DB363" s="549"/>
      <c r="DC363" s="675"/>
      <c r="DD363" s="549"/>
      <c r="DE363" s="675"/>
      <c r="DF363" s="549"/>
      <c r="DG363" s="675"/>
      <c r="DH363" s="549"/>
      <c r="DI363" s="675"/>
      <c r="DJ363" s="549"/>
      <c r="DK363" s="675"/>
      <c r="DL363" s="549"/>
      <c r="DM363" s="675"/>
      <c r="DN363" s="549"/>
      <c r="DO363" s="675"/>
      <c r="DP363" s="549"/>
      <c r="DQ363" s="675"/>
      <c r="DR363" s="549"/>
      <c r="DS363" s="675"/>
      <c r="DT363" s="549"/>
      <c r="DU363" s="675"/>
      <c r="DV363" s="549"/>
      <c r="DW363" s="675"/>
      <c r="DX363" s="549"/>
      <c r="DY363" s="675"/>
      <c r="DZ363" s="549"/>
      <c r="EA363" s="675"/>
      <c r="EB363" s="549"/>
      <c r="EC363" s="675"/>
      <c r="ED363" s="549"/>
      <c r="EE363" s="675"/>
      <c r="EF363" s="549"/>
      <c r="EG363" s="675"/>
      <c r="EH363" s="549"/>
      <c r="EI363" s="675"/>
      <c r="EJ363" s="549"/>
      <c r="EK363" s="675"/>
      <c r="EL363" s="549"/>
      <c r="EM363" s="675"/>
      <c r="EN363" s="549"/>
      <c r="EO363" s="675"/>
      <c r="EP363" s="549"/>
      <c r="EQ363" s="675"/>
      <c r="ER363" s="549"/>
      <c r="ES363" s="675"/>
      <c r="ET363" s="549"/>
      <c r="EU363" s="675"/>
      <c r="EV363" s="549"/>
      <c r="EW363" s="675"/>
      <c r="EX363" s="549"/>
      <c r="EY363" s="675"/>
      <c r="EZ363" s="549"/>
      <c r="FA363" s="675"/>
      <c r="FB363" s="549"/>
      <c r="FC363" s="675"/>
      <c r="FD363" s="549"/>
      <c r="FE363" s="675"/>
      <c r="FF363" s="549"/>
      <c r="FG363" s="675"/>
      <c r="FH363" s="549"/>
      <c r="FI363" s="675"/>
      <c r="FJ363" s="549"/>
      <c r="FK363" s="675"/>
      <c r="FL363" s="549"/>
      <c r="FM363" s="675"/>
      <c r="FN363" s="549"/>
      <c r="FO363" s="675"/>
      <c r="FP363" s="549"/>
      <c r="FQ363" s="675"/>
      <c r="FR363" s="549"/>
      <c r="FS363" s="675"/>
      <c r="FT363" s="549"/>
      <c r="FU363" s="675"/>
      <c r="FV363" s="549"/>
      <c r="FW363" s="675"/>
      <c r="FX363" s="549"/>
      <c r="FY363" s="675"/>
      <c r="FZ363" s="549"/>
      <c r="GA363" s="675"/>
      <c r="GB363" s="549"/>
      <c r="GC363" s="675"/>
      <c r="GD363" s="549"/>
      <c r="GE363" s="675"/>
      <c r="GF363" s="549"/>
      <c r="GG363" s="675"/>
      <c r="GH363" s="549"/>
      <c r="GI363" s="675"/>
      <c r="GJ363" s="549"/>
      <c r="GK363" s="675"/>
      <c r="GL363" s="549"/>
      <c r="GM363" s="675"/>
      <c r="GN363" s="549"/>
      <c r="GO363" s="675"/>
      <c r="GP363" s="549"/>
      <c r="GQ363" s="675"/>
      <c r="GR363" s="74"/>
      <c r="GS363" s="74"/>
      <c r="GT363" s="568"/>
      <c r="GU363" s="89"/>
      <c r="GV363" s="89"/>
      <c r="GW363" s="568"/>
      <c r="GX363" s="568"/>
      <c r="GY363" s="89"/>
      <c r="GZ363" s="89"/>
      <c r="HA363" s="89"/>
      <c r="HB363" s="89"/>
      <c r="HC363" s="89"/>
      <c r="HD363" s="89"/>
      <c r="HE363" s="89"/>
      <c r="HF363" s="89"/>
      <c r="HG363" s="74"/>
      <c r="HH363" s="89"/>
      <c r="HI363" s="817"/>
      <c r="HJ363" s="89"/>
      <c r="HK363" s="817"/>
      <c r="HL363" s="89"/>
      <c r="HM363" s="817"/>
      <c r="HN363" s="89"/>
      <c r="HO363" s="817"/>
      <c r="HP363" s="89"/>
      <c r="HQ363" s="817"/>
      <c r="HR363" s="89"/>
      <c r="HS363" s="817"/>
      <c r="HT363" s="89"/>
      <c r="HU363" s="817"/>
      <c r="HV363" s="89"/>
      <c r="HW363" s="817"/>
      <c r="HX363" s="89"/>
      <c r="HY363" s="817"/>
      <c r="HZ363" s="89"/>
      <c r="IA363" s="817"/>
      <c r="IB363" s="89"/>
      <c r="IC363" s="817"/>
      <c r="ID363" s="89"/>
      <c r="IE363" s="817"/>
      <c r="IF363" s="703"/>
      <c r="IG363" s="282"/>
      <c r="IH363" s="858"/>
      <c r="II363" s="89"/>
      <c r="IJ363" s="89"/>
      <c r="IK363" s="89"/>
      <c r="IL363" s="89"/>
      <c r="IM363" s="89"/>
      <c r="IN363" s="89"/>
      <c r="IO363" s="89"/>
      <c r="IP363" s="89"/>
      <c r="IQ363" s="89"/>
      <c r="IR363" s="89"/>
      <c r="IS363" s="89"/>
      <c r="IT363" s="89"/>
      <c r="IU363" s="89"/>
      <c r="IV363" s="89"/>
      <c r="IW363" s="89"/>
      <c r="IX363" s="89"/>
      <c r="IY363" s="89"/>
      <c r="IZ363" s="89"/>
      <c r="JA363" s="89"/>
      <c r="JB363" s="89"/>
      <c r="JC363" s="89"/>
      <c r="JD363" s="89"/>
      <c r="JE363" s="89"/>
      <c r="JF363" s="89"/>
      <c r="JG363" s="89"/>
      <c r="JH363" s="89"/>
      <c r="JI363" s="89"/>
      <c r="JJ363" s="89"/>
      <c r="JK363" s="89"/>
      <c r="JL363" s="89"/>
      <c r="JM363" s="89"/>
      <c r="JN363" s="89"/>
      <c r="JO363" s="89"/>
      <c r="JP363" s="89"/>
      <c r="JQ363" s="89"/>
      <c r="JR363" s="89"/>
      <c r="JS363" s="74"/>
      <c r="JT363" s="382"/>
      <c r="JU363" s="665"/>
      <c r="JV363" s="524"/>
      <c r="JW363" s="525"/>
      <c r="JX363" s="548"/>
      <c r="JY363" s="548"/>
      <c r="JZ363" s="581">
        <f t="shared" si="9103"/>
        <v>0</v>
      </c>
      <c r="KA363" s="581">
        <f t="shared" si="9104"/>
        <v>0</v>
      </c>
      <c r="KB363" s="548">
        <f t="shared" si="10095"/>
        <v>0</v>
      </c>
      <c r="KC363" s="709">
        <f t="shared" si="9101"/>
        <v>0</v>
      </c>
      <c r="KD363" s="36"/>
      <c r="KE363" s="36"/>
      <c r="KF363" s="36"/>
      <c r="KG363" s="36"/>
      <c r="KH363" s="36"/>
      <c r="KI363" s="36"/>
      <c r="KJ363" s="36"/>
      <c r="KK363" s="36"/>
    </row>
    <row r="364" spans="1:297" s="32" customFormat="1" ht="13.5" customHeight="1">
      <c r="A364" s="92" t="s">
        <v>240</v>
      </c>
      <c r="B364" s="93"/>
      <c r="C364" s="93">
        <f t="shared" ref="C364:AS364" si="10155">SUM(C366,C378,C437,C530,C541,C505)</f>
        <v>3352400</v>
      </c>
      <c r="D364" s="552">
        <f t="shared" si="10155"/>
        <v>0</v>
      </c>
      <c r="E364" s="680">
        <f t="shared" si="10155"/>
        <v>0</v>
      </c>
      <c r="F364" s="552">
        <f t="shared" si="10155"/>
        <v>13000</v>
      </c>
      <c r="G364" s="680">
        <f t="shared" si="10155"/>
        <v>-13000</v>
      </c>
      <c r="H364" s="552">
        <f t="shared" si="10155"/>
        <v>0</v>
      </c>
      <c r="I364" s="680">
        <f t="shared" si="10155"/>
        <v>0</v>
      </c>
      <c r="J364" s="552">
        <f t="shared" si="10155"/>
        <v>0</v>
      </c>
      <c r="K364" s="680">
        <f t="shared" si="10155"/>
        <v>0</v>
      </c>
      <c r="L364" s="552">
        <f t="shared" si="10155"/>
        <v>0</v>
      </c>
      <c r="M364" s="680">
        <f t="shared" si="10155"/>
        <v>0</v>
      </c>
      <c r="N364" s="552">
        <f t="shared" si="10155"/>
        <v>0</v>
      </c>
      <c r="O364" s="680">
        <f t="shared" si="10155"/>
        <v>0</v>
      </c>
      <c r="P364" s="552">
        <f t="shared" si="10155"/>
        <v>3724</v>
      </c>
      <c r="Q364" s="680">
        <f t="shared" si="10155"/>
        <v>-3724</v>
      </c>
      <c r="R364" s="552">
        <f t="shared" si="10155"/>
        <v>0</v>
      </c>
      <c r="S364" s="680">
        <f t="shared" si="10155"/>
        <v>0</v>
      </c>
      <c r="T364" s="552">
        <f t="shared" si="10155"/>
        <v>0</v>
      </c>
      <c r="U364" s="680">
        <f t="shared" si="10155"/>
        <v>0</v>
      </c>
      <c r="V364" s="552">
        <f t="shared" si="10155"/>
        <v>48700</v>
      </c>
      <c r="W364" s="680">
        <f t="shared" si="10155"/>
        <v>-48700</v>
      </c>
      <c r="X364" s="552">
        <f t="shared" si="10155"/>
        <v>10000</v>
      </c>
      <c r="Y364" s="680">
        <f t="shared" si="10155"/>
        <v>-10000</v>
      </c>
      <c r="Z364" s="552">
        <f t="shared" si="10155"/>
        <v>0</v>
      </c>
      <c r="AA364" s="680">
        <f t="shared" si="10155"/>
        <v>0</v>
      </c>
      <c r="AB364" s="552">
        <f t="shared" si="10155"/>
        <v>0</v>
      </c>
      <c r="AC364" s="680">
        <f t="shared" si="10155"/>
        <v>0</v>
      </c>
      <c r="AD364" s="552">
        <f t="shared" si="10155"/>
        <v>7000</v>
      </c>
      <c r="AE364" s="680">
        <f t="shared" si="10155"/>
        <v>-7000</v>
      </c>
      <c r="AF364" s="552">
        <f t="shared" si="10155"/>
        <v>20000</v>
      </c>
      <c r="AG364" s="680">
        <f t="shared" si="10155"/>
        <v>-20000</v>
      </c>
      <c r="AH364" s="552">
        <f t="shared" si="10155"/>
        <v>123000</v>
      </c>
      <c r="AI364" s="680">
        <f t="shared" si="10155"/>
        <v>-123000</v>
      </c>
      <c r="AJ364" s="552">
        <f t="shared" si="10155"/>
        <v>0</v>
      </c>
      <c r="AK364" s="680">
        <f t="shared" si="10155"/>
        <v>0</v>
      </c>
      <c r="AL364" s="552">
        <f t="shared" si="10155"/>
        <v>0</v>
      </c>
      <c r="AM364" s="680">
        <f t="shared" si="10155"/>
        <v>0</v>
      </c>
      <c r="AN364" s="552">
        <f t="shared" si="10155"/>
        <v>0</v>
      </c>
      <c r="AO364" s="680">
        <f t="shared" si="10155"/>
        <v>0</v>
      </c>
      <c r="AP364" s="552">
        <f t="shared" si="10155"/>
        <v>0</v>
      </c>
      <c r="AQ364" s="680">
        <f t="shared" si="10155"/>
        <v>0</v>
      </c>
      <c r="AR364" s="552">
        <f t="shared" si="10155"/>
        <v>0</v>
      </c>
      <c r="AS364" s="680">
        <f t="shared" si="10155"/>
        <v>0</v>
      </c>
      <c r="AT364" s="552">
        <f t="shared" ref="AT364:AU364" si="10156">SUM(AT366,AT378,AT437,AT530,AT541,AT505)</f>
        <v>0</v>
      </c>
      <c r="AU364" s="680">
        <f t="shared" si="10156"/>
        <v>0</v>
      </c>
      <c r="AV364" s="552">
        <f t="shared" ref="AV364:AW364" si="10157">SUM(AV366,AV378,AV437,AV530,AV541,AV505)</f>
        <v>0</v>
      </c>
      <c r="AW364" s="680">
        <f t="shared" si="10157"/>
        <v>0</v>
      </c>
      <c r="AX364" s="552">
        <f t="shared" ref="AX364:AY364" si="10158">SUM(AX366,AX378,AX437,AX530,AX541,AX505)</f>
        <v>0</v>
      </c>
      <c r="AY364" s="680">
        <f t="shared" si="10158"/>
        <v>0</v>
      </c>
      <c r="AZ364" s="552">
        <f t="shared" ref="AZ364:BA364" si="10159">SUM(AZ366,AZ378,AZ437,AZ530,AZ541,AZ505)</f>
        <v>35000</v>
      </c>
      <c r="BA364" s="680">
        <f t="shared" si="10159"/>
        <v>-35000</v>
      </c>
      <c r="BB364" s="552">
        <f t="shared" ref="BB364:BC364" si="10160">SUM(BB366,BB378,BB437,BB530,BB541,BB505)</f>
        <v>0</v>
      </c>
      <c r="BC364" s="680">
        <f t="shared" si="10160"/>
        <v>0</v>
      </c>
      <c r="BD364" s="552">
        <f t="shared" ref="BD364:BE364" si="10161">SUM(BD366,BD378,BD437,BD530,BD541,BD505)</f>
        <v>32000</v>
      </c>
      <c r="BE364" s="680">
        <f t="shared" si="10161"/>
        <v>-32000</v>
      </c>
      <c r="BF364" s="552">
        <f t="shared" ref="BF364:BG364" si="10162">SUM(BF366,BF378,BF437,BF530,BF541,BF505)</f>
        <v>39000</v>
      </c>
      <c r="BG364" s="680">
        <f t="shared" si="10162"/>
        <v>-39000</v>
      </c>
      <c r="BH364" s="552">
        <f t="shared" ref="BH364:BI364" si="10163">SUM(BH366,BH378,BH437,BH530,BH541,BH505)</f>
        <v>27000</v>
      </c>
      <c r="BI364" s="680">
        <f t="shared" si="10163"/>
        <v>-27000</v>
      </c>
      <c r="BJ364" s="552">
        <f t="shared" ref="BJ364:BK364" si="10164">SUM(BJ366,BJ378,BJ437,BJ530,BJ541,BJ505)</f>
        <v>0</v>
      </c>
      <c r="BK364" s="680">
        <f t="shared" si="10164"/>
        <v>0</v>
      </c>
      <c r="BL364" s="552">
        <f t="shared" ref="BL364:BS364" si="10165">SUM(BL366,BL378,BL437,BL530,BL541,BL505)</f>
        <v>6599</v>
      </c>
      <c r="BM364" s="680">
        <f t="shared" si="10165"/>
        <v>-6599</v>
      </c>
      <c r="BN364" s="552">
        <f t="shared" si="10165"/>
        <v>5000</v>
      </c>
      <c r="BO364" s="680">
        <f t="shared" si="10165"/>
        <v>-5000</v>
      </c>
      <c r="BP364" s="552">
        <f t="shared" si="10165"/>
        <v>20000</v>
      </c>
      <c r="BQ364" s="680">
        <f t="shared" si="10165"/>
        <v>-20000</v>
      </c>
      <c r="BR364" s="552">
        <f t="shared" si="10165"/>
        <v>0</v>
      </c>
      <c r="BS364" s="680">
        <f t="shared" si="10165"/>
        <v>0</v>
      </c>
      <c r="BT364" s="552">
        <f t="shared" ref="BT364:BU364" si="10166">SUM(BT366,BT378,BT437,BT530,BT541,BT505)</f>
        <v>0</v>
      </c>
      <c r="BU364" s="680">
        <f t="shared" si="10166"/>
        <v>0</v>
      </c>
      <c r="BV364" s="552">
        <f t="shared" ref="BV364:BW364" si="10167">SUM(BV366,BV378,BV437,BV530,BV541,BV505)</f>
        <v>0</v>
      </c>
      <c r="BW364" s="680">
        <f t="shared" si="10167"/>
        <v>0</v>
      </c>
      <c r="BX364" s="552">
        <f t="shared" ref="BX364:BY364" si="10168">SUM(BX366,BX378,BX437,BX530,BX541,BX505)</f>
        <v>0</v>
      </c>
      <c r="BY364" s="680">
        <f t="shared" si="10168"/>
        <v>0</v>
      </c>
      <c r="BZ364" s="552">
        <f t="shared" ref="BZ364:CA364" si="10169">SUM(BZ366,BZ378,BZ437,BZ530,BZ541,BZ505)</f>
        <v>0</v>
      </c>
      <c r="CA364" s="680">
        <f t="shared" si="10169"/>
        <v>-1775</v>
      </c>
      <c r="CB364" s="552">
        <f t="shared" ref="CB364:CE364" si="10170">SUM(CB366,CB378,CB437,CB530,CB541,CB505)</f>
        <v>15000</v>
      </c>
      <c r="CC364" s="680">
        <f t="shared" si="10170"/>
        <v>-15000</v>
      </c>
      <c r="CD364" s="552">
        <f t="shared" si="10170"/>
        <v>0</v>
      </c>
      <c r="CE364" s="680">
        <f t="shared" si="10170"/>
        <v>0</v>
      </c>
      <c r="CF364" s="552">
        <f t="shared" ref="CF364:CQ364" si="10171">SUM(CF366,CF378,CF437,CF530,CF541,CF505)</f>
        <v>0</v>
      </c>
      <c r="CG364" s="680">
        <f t="shared" si="10171"/>
        <v>0</v>
      </c>
      <c r="CH364" s="552">
        <f t="shared" si="10171"/>
        <v>13000</v>
      </c>
      <c r="CI364" s="680">
        <f t="shared" si="10171"/>
        <v>-13000</v>
      </c>
      <c r="CJ364" s="552">
        <f t="shared" si="10171"/>
        <v>0</v>
      </c>
      <c r="CK364" s="680">
        <f t="shared" si="10171"/>
        <v>-299968</v>
      </c>
      <c r="CL364" s="552">
        <f t="shared" si="10171"/>
        <v>18000</v>
      </c>
      <c r="CM364" s="680">
        <f t="shared" si="10171"/>
        <v>-18000</v>
      </c>
      <c r="CN364" s="552">
        <f t="shared" si="10171"/>
        <v>0</v>
      </c>
      <c r="CO364" s="680">
        <f t="shared" si="10171"/>
        <v>0</v>
      </c>
      <c r="CP364" s="552">
        <f t="shared" si="10171"/>
        <v>20655</v>
      </c>
      <c r="CQ364" s="680">
        <f t="shared" si="10171"/>
        <v>-20655</v>
      </c>
      <c r="CR364" s="552">
        <f t="shared" ref="CR364:CY364" si="10172">SUM(CR366,CR378,CR437,CR530,CR541,CR505)</f>
        <v>0</v>
      </c>
      <c r="CS364" s="680">
        <f t="shared" si="10172"/>
        <v>0</v>
      </c>
      <c r="CT364" s="552">
        <f t="shared" si="10172"/>
        <v>0</v>
      </c>
      <c r="CU364" s="680">
        <f t="shared" si="10172"/>
        <v>0</v>
      </c>
      <c r="CV364" s="552">
        <f t="shared" si="10172"/>
        <v>0</v>
      </c>
      <c r="CW364" s="680">
        <f t="shared" si="10172"/>
        <v>0</v>
      </c>
      <c r="CX364" s="552">
        <f t="shared" si="10172"/>
        <v>0</v>
      </c>
      <c r="CY364" s="680">
        <f t="shared" si="10172"/>
        <v>0</v>
      </c>
      <c r="CZ364" s="552">
        <f t="shared" ref="CZ364:FE364" si="10173">SUM(CZ366,CZ378,CZ437,CZ530,CZ541,CZ505)</f>
        <v>39000</v>
      </c>
      <c r="DA364" s="680">
        <f t="shared" si="10173"/>
        <v>-39000</v>
      </c>
      <c r="DB364" s="552">
        <f t="shared" si="10173"/>
        <v>0</v>
      </c>
      <c r="DC364" s="680">
        <f t="shared" si="10173"/>
        <v>0</v>
      </c>
      <c r="DD364" s="552">
        <f t="shared" si="10173"/>
        <v>0</v>
      </c>
      <c r="DE364" s="680">
        <f t="shared" si="10173"/>
        <v>0</v>
      </c>
      <c r="DF364" s="552">
        <f t="shared" si="10173"/>
        <v>0</v>
      </c>
      <c r="DG364" s="680">
        <f t="shared" si="10173"/>
        <v>0</v>
      </c>
      <c r="DH364" s="552">
        <f t="shared" si="10173"/>
        <v>21000</v>
      </c>
      <c r="DI364" s="680">
        <f t="shared" si="10173"/>
        <v>-21000</v>
      </c>
      <c r="DJ364" s="552">
        <f t="shared" si="10173"/>
        <v>12000</v>
      </c>
      <c r="DK364" s="680">
        <f t="shared" si="10173"/>
        <v>-12000</v>
      </c>
      <c r="DL364" s="552">
        <f t="shared" si="10173"/>
        <v>0</v>
      </c>
      <c r="DM364" s="680">
        <f t="shared" si="10173"/>
        <v>0</v>
      </c>
      <c r="DN364" s="552">
        <f t="shared" si="10173"/>
        <v>0</v>
      </c>
      <c r="DO364" s="680">
        <f t="shared" si="10173"/>
        <v>0</v>
      </c>
      <c r="DP364" s="552">
        <f t="shared" si="10173"/>
        <v>0</v>
      </c>
      <c r="DQ364" s="680">
        <f t="shared" si="10173"/>
        <v>-54600</v>
      </c>
      <c r="DR364" s="552">
        <f t="shared" si="10173"/>
        <v>0</v>
      </c>
      <c r="DS364" s="680">
        <f t="shared" si="10173"/>
        <v>0</v>
      </c>
      <c r="DT364" s="552">
        <f t="shared" si="10173"/>
        <v>0</v>
      </c>
      <c r="DU364" s="680">
        <f t="shared" si="10173"/>
        <v>0</v>
      </c>
      <c r="DV364" s="552">
        <f t="shared" si="10173"/>
        <v>0</v>
      </c>
      <c r="DW364" s="680">
        <f t="shared" si="10173"/>
        <v>0</v>
      </c>
      <c r="DX364" s="552">
        <f t="shared" si="10173"/>
        <v>0</v>
      </c>
      <c r="DY364" s="680">
        <f t="shared" si="10173"/>
        <v>0</v>
      </c>
      <c r="DZ364" s="552">
        <f t="shared" ref="DZ364:FA364" si="10174">SUM(DZ366,DZ378,DZ437,DZ530,DZ541,DZ505)</f>
        <v>0</v>
      </c>
      <c r="EA364" s="680">
        <f t="shared" si="10174"/>
        <v>0</v>
      </c>
      <c r="EB364" s="552">
        <f t="shared" si="10174"/>
        <v>3660</v>
      </c>
      <c r="EC364" s="680">
        <f t="shared" si="10174"/>
        <v>-3660</v>
      </c>
      <c r="ED364" s="552">
        <f t="shared" si="10174"/>
        <v>0</v>
      </c>
      <c r="EE364" s="680">
        <f t="shared" si="10174"/>
        <v>0</v>
      </c>
      <c r="EF364" s="552">
        <f t="shared" si="10174"/>
        <v>0</v>
      </c>
      <c r="EG364" s="680">
        <f t="shared" si="10174"/>
        <v>0</v>
      </c>
      <c r="EH364" s="552">
        <f t="shared" ref="EH364:EM364" si="10175">SUM(EH366,EH378,EH437,EH530,EH541,EH505)</f>
        <v>0</v>
      </c>
      <c r="EI364" s="680">
        <f t="shared" si="10175"/>
        <v>0</v>
      </c>
      <c r="EJ364" s="552">
        <f t="shared" si="10175"/>
        <v>52500</v>
      </c>
      <c r="EK364" s="680">
        <f t="shared" si="10175"/>
        <v>-52500</v>
      </c>
      <c r="EL364" s="552">
        <f t="shared" si="10175"/>
        <v>19500</v>
      </c>
      <c r="EM364" s="680">
        <f t="shared" si="10175"/>
        <v>-19500</v>
      </c>
      <c r="EN364" s="552">
        <f t="shared" si="10174"/>
        <v>0</v>
      </c>
      <c r="EO364" s="680">
        <f t="shared" si="10174"/>
        <v>0</v>
      </c>
      <c r="EP364" s="552">
        <f t="shared" si="10174"/>
        <v>0</v>
      </c>
      <c r="EQ364" s="680">
        <f t="shared" si="10174"/>
        <v>0</v>
      </c>
      <c r="ER364" s="552">
        <f t="shared" si="10174"/>
        <v>0</v>
      </c>
      <c r="ES364" s="680">
        <f t="shared" si="10174"/>
        <v>0</v>
      </c>
      <c r="ET364" s="552">
        <f t="shared" si="10174"/>
        <v>11000</v>
      </c>
      <c r="EU364" s="680">
        <f t="shared" si="10174"/>
        <v>-11000</v>
      </c>
      <c r="EV364" s="552">
        <f t="shared" ref="EV364:EW364" si="10176">SUM(EV366,EV378,EV437,EV530,EV541,EV505)</f>
        <v>1803</v>
      </c>
      <c r="EW364" s="680">
        <f t="shared" si="10176"/>
        <v>-1803</v>
      </c>
      <c r="EX364" s="552">
        <f t="shared" si="10174"/>
        <v>0</v>
      </c>
      <c r="EY364" s="680">
        <f t="shared" si="10174"/>
        <v>0</v>
      </c>
      <c r="EZ364" s="552">
        <f t="shared" si="10174"/>
        <v>15400</v>
      </c>
      <c r="FA364" s="680">
        <f t="shared" si="10174"/>
        <v>-15400</v>
      </c>
      <c r="FB364" s="552">
        <f t="shared" si="10173"/>
        <v>0</v>
      </c>
      <c r="FC364" s="680">
        <f t="shared" si="10173"/>
        <v>0</v>
      </c>
      <c r="FD364" s="552">
        <f t="shared" si="10173"/>
        <v>10600</v>
      </c>
      <c r="FE364" s="680">
        <f t="shared" si="10173"/>
        <v>-10600</v>
      </c>
      <c r="FF364" s="552">
        <f t="shared" ref="FF364:FG364" si="10177">SUM(FF366,FF378,FF437,FF530,FF541,FF505)</f>
        <v>1800</v>
      </c>
      <c r="FG364" s="680">
        <f t="shared" si="10177"/>
        <v>-2940</v>
      </c>
      <c r="FH364" s="552">
        <f t="shared" ref="FH364:FI364" si="10178">SUM(FH366,FH378,FH437,FH530,FH541,FH505)</f>
        <v>0</v>
      </c>
      <c r="FI364" s="680">
        <f t="shared" si="10178"/>
        <v>0</v>
      </c>
      <c r="FJ364" s="552">
        <f t="shared" ref="FJ364:FK364" si="10179">SUM(FJ366,FJ378,FJ437,FJ530,FJ541,FJ505)</f>
        <v>5000</v>
      </c>
      <c r="FK364" s="680">
        <f t="shared" si="10179"/>
        <v>-5000</v>
      </c>
      <c r="FL364" s="552">
        <f t="shared" ref="FL364:FM364" si="10180">SUM(FL366,FL378,FL437,FL530,FL541,FL505)</f>
        <v>41500</v>
      </c>
      <c r="FM364" s="680">
        <f t="shared" si="10180"/>
        <v>-41500</v>
      </c>
      <c r="FN364" s="552">
        <f t="shared" ref="FN364:FO364" si="10181">SUM(FN366,FN378,FN437,FN530,FN541,FN505)</f>
        <v>0</v>
      </c>
      <c r="FO364" s="680">
        <f t="shared" si="10181"/>
        <v>0</v>
      </c>
      <c r="FP364" s="552">
        <f t="shared" ref="FP364:FQ364" si="10182">SUM(FP366,FP378,FP437,FP530,FP541,FP505)</f>
        <v>0</v>
      </c>
      <c r="FQ364" s="680">
        <f t="shared" si="10182"/>
        <v>0</v>
      </c>
      <c r="FR364" s="552">
        <f t="shared" ref="FR364:FS364" si="10183">SUM(FR366,FR378,FR437,FR530,FR541,FR505)</f>
        <v>68715</v>
      </c>
      <c r="FS364" s="680">
        <f t="shared" si="10183"/>
        <v>-68715</v>
      </c>
      <c r="FT364" s="552">
        <f t="shared" ref="FT364:FU364" si="10184">SUM(FT366,FT378,FT437,FT530,FT541,FT505)</f>
        <v>10857</v>
      </c>
      <c r="FU364" s="680">
        <f t="shared" si="10184"/>
        <v>-10857</v>
      </c>
      <c r="FV364" s="552">
        <f t="shared" ref="FV364:GK364" si="10185">SUM(FV366,FV378,FV437,FV530,FV541,FV505)</f>
        <v>0</v>
      </c>
      <c r="FW364" s="680">
        <f t="shared" si="10185"/>
        <v>0</v>
      </c>
      <c r="FX364" s="552">
        <f t="shared" si="10185"/>
        <v>6703</v>
      </c>
      <c r="FY364" s="680">
        <f t="shared" si="10185"/>
        <v>-6703</v>
      </c>
      <c r="FZ364" s="552">
        <f t="shared" ref="FZ364:GI364" si="10186">SUM(FZ366,FZ378,FZ437,FZ530,FZ541,FZ505)</f>
        <v>0</v>
      </c>
      <c r="GA364" s="680">
        <f t="shared" si="10186"/>
        <v>0</v>
      </c>
      <c r="GB364" s="552">
        <f t="shared" si="10186"/>
        <v>0</v>
      </c>
      <c r="GC364" s="680">
        <f t="shared" si="10186"/>
        <v>0</v>
      </c>
      <c r="GD364" s="552">
        <f t="shared" si="10186"/>
        <v>0</v>
      </c>
      <c r="GE364" s="680">
        <f t="shared" si="10186"/>
        <v>0</v>
      </c>
      <c r="GF364" s="552">
        <f t="shared" si="10186"/>
        <v>0</v>
      </c>
      <c r="GG364" s="680">
        <f t="shared" si="10186"/>
        <v>0</v>
      </c>
      <c r="GH364" s="552">
        <f t="shared" si="10186"/>
        <v>0</v>
      </c>
      <c r="GI364" s="680">
        <f t="shared" si="10186"/>
        <v>0</v>
      </c>
      <c r="GJ364" s="552">
        <f t="shared" si="10185"/>
        <v>0</v>
      </c>
      <c r="GK364" s="680">
        <f t="shared" si="10185"/>
        <v>0</v>
      </c>
      <c r="GL364" s="552">
        <f t="shared" ref="GL364:GM364" si="10187">SUM(GL366,GL378,GL437,GL530,GL541,GL505)</f>
        <v>0</v>
      </c>
      <c r="GM364" s="680">
        <f t="shared" si="10187"/>
        <v>0</v>
      </c>
      <c r="GN364" s="552">
        <f t="shared" ref="GN364:GO364" si="10188">SUM(GN366,GN378,GN437,GN530,GN541,GN505)</f>
        <v>0</v>
      </c>
      <c r="GO364" s="680">
        <f t="shared" si="10188"/>
        <v>0</v>
      </c>
      <c r="GP364" s="552">
        <f>SUM(GP366,GP378,GP437,GP530,GP541,GP505)</f>
        <v>777716</v>
      </c>
      <c r="GQ364" s="680">
        <f t="shared" ref="GQ364:HW364" si="10189">SUM(GQ366,GQ378,GQ437,GQ530,GQ541,GQ505)</f>
        <v>-1135199</v>
      </c>
      <c r="GR364" s="93">
        <f t="shared" si="10189"/>
        <v>2994917</v>
      </c>
      <c r="GS364" s="93">
        <f>SUM(GS366,GS378,GS437,GS530,GS541,GS505)</f>
        <v>2901085</v>
      </c>
      <c r="GT364" s="552">
        <f>SUM(GT366,GT378,GT437,GT530,GT541,GT505)</f>
        <v>2994917</v>
      </c>
      <c r="GU364" s="93">
        <f t="shared" si="10189"/>
        <v>504319</v>
      </c>
      <c r="GV364" s="93">
        <f t="shared" si="10189"/>
        <v>392162</v>
      </c>
      <c r="GW364" s="552">
        <f t="shared" si="10189"/>
        <v>434060</v>
      </c>
      <c r="GX364" s="552">
        <f t="shared" si="10189"/>
        <v>408859</v>
      </c>
      <c r="GY364" s="93">
        <f t="shared" si="10189"/>
        <v>287460</v>
      </c>
      <c r="GZ364" s="93">
        <f t="shared" si="10189"/>
        <v>278460</v>
      </c>
      <c r="HA364" s="93">
        <f t="shared" si="10189"/>
        <v>286559</v>
      </c>
      <c r="HB364" s="93">
        <f t="shared" si="10189"/>
        <v>261936</v>
      </c>
      <c r="HC364" s="93">
        <f t="shared" si="10189"/>
        <v>231754</v>
      </c>
      <c r="HD364" s="93">
        <f t="shared" si="10189"/>
        <v>172999</v>
      </c>
      <c r="HE364" s="93">
        <f t="shared" si="10189"/>
        <v>93832</v>
      </c>
      <c r="HF364" s="93">
        <f t="shared" si="10189"/>
        <v>0</v>
      </c>
      <c r="HG364" s="93">
        <f>SUM(HG366,HG378,HG437,HG530,HG541,HG505)</f>
        <v>3048896.7</v>
      </c>
      <c r="HH364" s="93">
        <f t="shared" ref="HH364:HI364" si="10190">SUM(HH366,HH378,HH437,HH530,HH541,HH505)</f>
        <v>504319</v>
      </c>
      <c r="HI364" s="818">
        <f t="shared" si="10190"/>
        <v>0</v>
      </c>
      <c r="HJ364" s="93">
        <f t="shared" si="10189"/>
        <v>241285.56000000003</v>
      </c>
      <c r="HK364" s="818">
        <f t="shared" si="10189"/>
        <v>0</v>
      </c>
      <c r="HL364" s="93">
        <f t="shared" si="10189"/>
        <v>407222.70999999996</v>
      </c>
      <c r="HM364" s="818">
        <f t="shared" si="10189"/>
        <v>0</v>
      </c>
      <c r="HN364" s="93">
        <f t="shared" si="10189"/>
        <v>337644.68</v>
      </c>
      <c r="HO364" s="818">
        <f t="shared" si="10189"/>
        <v>0</v>
      </c>
      <c r="HP364" s="93">
        <f t="shared" si="10189"/>
        <v>309197.21000000002</v>
      </c>
      <c r="HQ364" s="818">
        <f t="shared" si="10189"/>
        <v>0</v>
      </c>
      <c r="HR364" s="93">
        <f t="shared" si="10189"/>
        <v>207062.11</v>
      </c>
      <c r="HS364" s="818">
        <f t="shared" si="10189"/>
        <v>0</v>
      </c>
      <c r="HT364" s="93">
        <f t="shared" si="10189"/>
        <v>163836.46</v>
      </c>
      <c r="HU364" s="818">
        <f t="shared" si="10189"/>
        <v>0</v>
      </c>
      <c r="HV364" s="93">
        <f t="shared" si="10189"/>
        <v>323491.06</v>
      </c>
      <c r="HW364" s="818">
        <f t="shared" si="10189"/>
        <v>0</v>
      </c>
      <c r="HX364" s="93">
        <f t="shared" ref="HX364:HY364" si="10191">SUM(HX366,HX378,HX437,HX530,HX541,HX505)</f>
        <v>364730.17</v>
      </c>
      <c r="HY364" s="818">
        <f t="shared" si="10191"/>
        <v>0</v>
      </c>
      <c r="HZ364" s="93">
        <f t="shared" ref="HZ364:IA364" si="10192">SUM(HZ366,HZ378,HZ437,HZ530,HZ541,HZ505)</f>
        <v>190107.74</v>
      </c>
      <c r="IA364" s="818">
        <f t="shared" si="10192"/>
        <v>0</v>
      </c>
      <c r="IB364" s="93">
        <f t="shared" ref="IB364:IC364" si="10193">SUM(IB366,IB378,IB437,IB530,IB541,IB505)</f>
        <v>0</v>
      </c>
      <c r="IC364" s="818">
        <f t="shared" si="10193"/>
        <v>0</v>
      </c>
      <c r="ID364" s="93">
        <f t="shared" ref="ID364:JC364" si="10194">SUM(ID366,ID378,ID437,ID530,ID541,ID505)</f>
        <v>0</v>
      </c>
      <c r="IE364" s="818">
        <f t="shared" si="10194"/>
        <v>0</v>
      </c>
      <c r="IF364" s="859">
        <f>SUM(IF366,IF378,IF437,IF530,IF541,IF505)</f>
        <v>2575585.3199999998</v>
      </c>
      <c r="IG364" s="283">
        <f t="shared" si="10194"/>
        <v>2575585.3199999998</v>
      </c>
      <c r="IH364" s="860">
        <f t="shared" si="10194"/>
        <v>2575585.3199999998</v>
      </c>
      <c r="II364" s="93">
        <f t="shared" si="10194"/>
        <v>83195.87000000001</v>
      </c>
      <c r="IJ364" s="93">
        <f t="shared" si="10194"/>
        <v>83195.87000000001</v>
      </c>
      <c r="IK364" s="93">
        <f t="shared" si="10194"/>
        <v>83195.87000000001</v>
      </c>
      <c r="IL364" s="93">
        <f t="shared" si="10194"/>
        <v>218632.95999999999</v>
      </c>
      <c r="IM364" s="93">
        <f t="shared" si="10194"/>
        <v>218632.95999999999</v>
      </c>
      <c r="IN364" s="93">
        <f t="shared" si="10194"/>
        <v>218632.95999999999</v>
      </c>
      <c r="IO364" s="93">
        <f t="shared" si="10194"/>
        <v>168100.84</v>
      </c>
      <c r="IP364" s="93">
        <f t="shared" si="10194"/>
        <v>168100.84</v>
      </c>
      <c r="IQ364" s="93">
        <f t="shared" si="10194"/>
        <v>168100.84</v>
      </c>
      <c r="IR364" s="93">
        <f t="shared" si="10194"/>
        <v>180573.02</v>
      </c>
      <c r="IS364" s="93">
        <f t="shared" si="10194"/>
        <v>180573.02</v>
      </c>
      <c r="IT364" s="93">
        <f t="shared" si="10194"/>
        <v>180573.02</v>
      </c>
      <c r="IU364" s="93">
        <f t="shared" si="10194"/>
        <v>353072.43</v>
      </c>
      <c r="IV364" s="93">
        <f t="shared" si="10194"/>
        <v>353072.43</v>
      </c>
      <c r="IW364" s="93">
        <f t="shared" si="10194"/>
        <v>353072.43</v>
      </c>
      <c r="IX364" s="93">
        <f t="shared" si="10194"/>
        <v>248490.30000000005</v>
      </c>
      <c r="IY364" s="93">
        <f t="shared" si="10194"/>
        <v>248490.30000000005</v>
      </c>
      <c r="IZ364" s="93">
        <f t="shared" si="10194"/>
        <v>248490.30000000005</v>
      </c>
      <c r="JA364" s="93">
        <f t="shared" si="10194"/>
        <v>200515.94999999998</v>
      </c>
      <c r="JB364" s="93">
        <f t="shared" si="10194"/>
        <v>200515.94999999998</v>
      </c>
      <c r="JC364" s="93">
        <f t="shared" si="10194"/>
        <v>200515.94999999998</v>
      </c>
      <c r="JD364" s="93">
        <f t="shared" ref="JD364:JF364" si="10195">SUM(JD366,JD378,JD437,JD530,JD541,JD505)</f>
        <v>566680.63</v>
      </c>
      <c r="JE364" s="93">
        <f t="shared" si="10195"/>
        <v>566680.63</v>
      </c>
      <c r="JF364" s="93">
        <f t="shared" si="10195"/>
        <v>566680.63</v>
      </c>
      <c r="JG364" s="93">
        <f t="shared" ref="JG364:JI364" si="10196">SUM(JG366,JG378,JG437,JG530,JG541,JG505)</f>
        <v>297811.78999999998</v>
      </c>
      <c r="JH364" s="93">
        <f t="shared" si="10196"/>
        <v>297811.78999999998</v>
      </c>
      <c r="JI364" s="93">
        <f t="shared" si="10196"/>
        <v>297811.78999999998</v>
      </c>
      <c r="JJ364" s="93">
        <f t="shared" ref="JJ364:JL364" si="10197">SUM(JJ366,JJ378,JJ437,JJ530,JJ541,JJ505)</f>
        <v>258511.53000000003</v>
      </c>
      <c r="JK364" s="93">
        <f t="shared" si="10197"/>
        <v>258511.53000000003</v>
      </c>
      <c r="JL364" s="93">
        <f t="shared" si="10197"/>
        <v>258511.53000000003</v>
      </c>
      <c r="JM364" s="93">
        <f t="shared" ref="JM364:JO364" si="10198">SUM(JM366,JM378,JM437,JM530,JM541,JM505)</f>
        <v>0</v>
      </c>
      <c r="JN364" s="93">
        <f t="shared" si="10198"/>
        <v>0</v>
      </c>
      <c r="JO364" s="93">
        <f t="shared" si="10198"/>
        <v>0</v>
      </c>
      <c r="JP364" s="93">
        <f t="shared" ref="JP364:JT364" si="10199">SUM(JP366,JP378,JP437,JP530,JP541,JP505)</f>
        <v>0</v>
      </c>
      <c r="JQ364" s="93">
        <f t="shared" si="10199"/>
        <v>0</v>
      </c>
      <c r="JR364" s="93">
        <f t="shared" si="10199"/>
        <v>0</v>
      </c>
      <c r="JS364" s="93">
        <f t="shared" si="10199"/>
        <v>473311.37999999989</v>
      </c>
      <c r="JT364" s="659">
        <f t="shared" si="10199"/>
        <v>325499.68000000005</v>
      </c>
      <c r="JU364" s="665"/>
      <c r="JV364" s="524"/>
      <c r="JW364" s="525"/>
      <c r="JX364" s="552">
        <f>SUM(JX366,JX378,JX437,JX530,JX541,JX505)</f>
        <v>3048896.7</v>
      </c>
      <c r="JY364" s="552">
        <f t="shared" ref="JY364:KB364" si="10200">SUM(JY366,JY378,JY437,JY530,JY541,JY505)</f>
        <v>0</v>
      </c>
      <c r="JZ364" s="552">
        <f t="shared" si="10200"/>
        <v>777716</v>
      </c>
      <c r="KA364" s="552">
        <f t="shared" si="10200"/>
        <v>-1135199</v>
      </c>
      <c r="KB364" s="552">
        <f t="shared" si="10200"/>
        <v>3048896.7</v>
      </c>
      <c r="KC364" s="709">
        <f t="shared" si="9101"/>
        <v>0</v>
      </c>
      <c r="KD364" s="36"/>
      <c r="KE364" s="36"/>
      <c r="KF364" s="36"/>
      <c r="KG364" s="36"/>
      <c r="KH364" s="36"/>
      <c r="KI364" s="36"/>
      <c r="KJ364" s="36"/>
      <c r="KK364" s="36"/>
    </row>
    <row r="365" spans="1:297" s="10" customFormat="1">
      <c r="A365" s="86"/>
      <c r="B365" s="77"/>
      <c r="C365" s="74"/>
      <c r="D365" s="549"/>
      <c r="E365" s="675"/>
      <c r="F365" s="549"/>
      <c r="G365" s="675"/>
      <c r="H365" s="549"/>
      <c r="I365" s="675"/>
      <c r="J365" s="549"/>
      <c r="K365" s="675"/>
      <c r="L365" s="549"/>
      <c r="M365" s="675"/>
      <c r="N365" s="549"/>
      <c r="O365" s="675"/>
      <c r="P365" s="549"/>
      <c r="Q365" s="675"/>
      <c r="R365" s="549"/>
      <c r="S365" s="675"/>
      <c r="T365" s="549"/>
      <c r="U365" s="675"/>
      <c r="V365" s="549"/>
      <c r="W365" s="675"/>
      <c r="X365" s="549"/>
      <c r="Y365" s="675"/>
      <c r="Z365" s="549"/>
      <c r="AA365" s="675"/>
      <c r="AB365" s="549"/>
      <c r="AC365" s="675"/>
      <c r="AD365" s="549"/>
      <c r="AE365" s="675"/>
      <c r="AF365" s="549"/>
      <c r="AG365" s="675"/>
      <c r="AH365" s="549"/>
      <c r="AI365" s="675"/>
      <c r="AJ365" s="549"/>
      <c r="AK365" s="675"/>
      <c r="AL365" s="549"/>
      <c r="AM365" s="675"/>
      <c r="AN365" s="549"/>
      <c r="AO365" s="675"/>
      <c r="AP365" s="549"/>
      <c r="AQ365" s="675"/>
      <c r="AR365" s="549"/>
      <c r="AS365" s="675"/>
      <c r="AT365" s="549"/>
      <c r="AU365" s="675"/>
      <c r="AV365" s="549"/>
      <c r="AW365" s="675"/>
      <c r="AX365" s="549"/>
      <c r="AY365" s="675"/>
      <c r="AZ365" s="549"/>
      <c r="BA365" s="675"/>
      <c r="BB365" s="549"/>
      <c r="BC365" s="675"/>
      <c r="BD365" s="549"/>
      <c r="BE365" s="675"/>
      <c r="BF365" s="549"/>
      <c r="BG365" s="675"/>
      <c r="BH365" s="549"/>
      <c r="BI365" s="675"/>
      <c r="BJ365" s="549"/>
      <c r="BK365" s="675"/>
      <c r="BL365" s="549"/>
      <c r="BM365" s="675"/>
      <c r="BN365" s="549"/>
      <c r="BO365" s="675"/>
      <c r="BP365" s="549"/>
      <c r="BQ365" s="675"/>
      <c r="BR365" s="549"/>
      <c r="BS365" s="675"/>
      <c r="BT365" s="549"/>
      <c r="BU365" s="675"/>
      <c r="BV365" s="549"/>
      <c r="BW365" s="675"/>
      <c r="BX365" s="549"/>
      <c r="BY365" s="675"/>
      <c r="BZ365" s="549"/>
      <c r="CA365" s="675"/>
      <c r="CB365" s="549"/>
      <c r="CC365" s="675"/>
      <c r="CD365" s="549"/>
      <c r="CE365" s="675"/>
      <c r="CF365" s="549"/>
      <c r="CG365" s="675"/>
      <c r="CH365" s="549"/>
      <c r="CI365" s="675"/>
      <c r="CJ365" s="549"/>
      <c r="CK365" s="675"/>
      <c r="CL365" s="549"/>
      <c r="CM365" s="675"/>
      <c r="CN365" s="549"/>
      <c r="CO365" s="675"/>
      <c r="CP365" s="549"/>
      <c r="CQ365" s="675"/>
      <c r="CR365" s="549"/>
      <c r="CS365" s="675"/>
      <c r="CT365" s="549"/>
      <c r="CU365" s="675"/>
      <c r="CV365" s="549"/>
      <c r="CW365" s="675"/>
      <c r="CX365" s="549"/>
      <c r="CY365" s="675"/>
      <c r="CZ365" s="549"/>
      <c r="DA365" s="675"/>
      <c r="DB365" s="549"/>
      <c r="DC365" s="675"/>
      <c r="DD365" s="549"/>
      <c r="DE365" s="675"/>
      <c r="DF365" s="549"/>
      <c r="DG365" s="675"/>
      <c r="DH365" s="549"/>
      <c r="DI365" s="675"/>
      <c r="DJ365" s="549"/>
      <c r="DK365" s="675"/>
      <c r="DL365" s="549"/>
      <c r="DM365" s="675"/>
      <c r="DN365" s="549"/>
      <c r="DO365" s="675"/>
      <c r="DP365" s="549"/>
      <c r="DQ365" s="675"/>
      <c r="DR365" s="549"/>
      <c r="DS365" s="675"/>
      <c r="DT365" s="549"/>
      <c r="DU365" s="675"/>
      <c r="DV365" s="549"/>
      <c r="DW365" s="675"/>
      <c r="DX365" s="549"/>
      <c r="DY365" s="675"/>
      <c r="DZ365" s="549"/>
      <c r="EA365" s="675"/>
      <c r="EB365" s="549"/>
      <c r="EC365" s="675"/>
      <c r="ED365" s="549"/>
      <c r="EE365" s="675"/>
      <c r="EF365" s="549"/>
      <c r="EG365" s="675"/>
      <c r="EH365" s="549"/>
      <c r="EI365" s="675"/>
      <c r="EJ365" s="549"/>
      <c r="EK365" s="675"/>
      <c r="EL365" s="549"/>
      <c r="EM365" s="675"/>
      <c r="EN365" s="549"/>
      <c r="EO365" s="675"/>
      <c r="EP365" s="549"/>
      <c r="EQ365" s="675"/>
      <c r="ER365" s="549"/>
      <c r="ES365" s="675"/>
      <c r="ET365" s="549"/>
      <c r="EU365" s="675"/>
      <c r="EV365" s="549"/>
      <c r="EW365" s="675"/>
      <c r="EX365" s="549"/>
      <c r="EY365" s="675"/>
      <c r="EZ365" s="549"/>
      <c r="FA365" s="675"/>
      <c r="FB365" s="549"/>
      <c r="FC365" s="675"/>
      <c r="FD365" s="549"/>
      <c r="FE365" s="675"/>
      <c r="FF365" s="549"/>
      <c r="FG365" s="675"/>
      <c r="FH365" s="549"/>
      <c r="FI365" s="675"/>
      <c r="FJ365" s="549"/>
      <c r="FK365" s="675"/>
      <c r="FL365" s="549"/>
      <c r="FM365" s="675"/>
      <c r="FN365" s="549"/>
      <c r="FO365" s="675"/>
      <c r="FP365" s="549"/>
      <c r="FQ365" s="675"/>
      <c r="FR365" s="549"/>
      <c r="FS365" s="675"/>
      <c r="FT365" s="549"/>
      <c r="FU365" s="675"/>
      <c r="FV365" s="549"/>
      <c r="FW365" s="675"/>
      <c r="FX365" s="549"/>
      <c r="FY365" s="675"/>
      <c r="FZ365" s="549"/>
      <c r="GA365" s="675"/>
      <c r="GB365" s="549"/>
      <c r="GC365" s="675"/>
      <c r="GD365" s="549"/>
      <c r="GE365" s="675"/>
      <c r="GF365" s="549"/>
      <c r="GG365" s="675"/>
      <c r="GH365" s="549"/>
      <c r="GI365" s="675"/>
      <c r="GJ365" s="549"/>
      <c r="GK365" s="675"/>
      <c r="GL365" s="549"/>
      <c r="GM365" s="675"/>
      <c r="GN365" s="549"/>
      <c r="GO365" s="675"/>
      <c r="GP365" s="549"/>
      <c r="GQ365" s="675"/>
      <c r="GR365" s="74"/>
      <c r="GS365" s="74"/>
      <c r="GT365" s="549"/>
      <c r="GU365" s="73"/>
      <c r="GV365" s="73"/>
      <c r="GW365" s="549"/>
      <c r="GX365" s="549"/>
      <c r="GY365" s="73"/>
      <c r="GZ365" s="73"/>
      <c r="HA365" s="73"/>
      <c r="HB365" s="73"/>
      <c r="HC365" s="73"/>
      <c r="HD365" s="73"/>
      <c r="HE365" s="73"/>
      <c r="HF365" s="73"/>
      <c r="HG365" s="74"/>
      <c r="HH365" s="73"/>
      <c r="HI365" s="815"/>
      <c r="HJ365" s="73"/>
      <c r="HK365" s="815"/>
      <c r="HL365" s="73"/>
      <c r="HM365" s="815"/>
      <c r="HN365" s="73"/>
      <c r="HO365" s="815"/>
      <c r="HP365" s="73"/>
      <c r="HQ365" s="815"/>
      <c r="HR365" s="73"/>
      <c r="HS365" s="815"/>
      <c r="HT365" s="73"/>
      <c r="HU365" s="815"/>
      <c r="HV365" s="73"/>
      <c r="HW365" s="815"/>
      <c r="HX365" s="73"/>
      <c r="HY365" s="815"/>
      <c r="HZ365" s="73"/>
      <c r="IA365" s="815"/>
      <c r="IB365" s="73"/>
      <c r="IC365" s="815"/>
      <c r="ID365" s="73"/>
      <c r="IE365" s="815"/>
      <c r="IF365" s="841"/>
      <c r="IG365" s="263"/>
      <c r="IH365" s="842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  <c r="JD365" s="73"/>
      <c r="JE365" s="73"/>
      <c r="JF365" s="73"/>
      <c r="JG365" s="73"/>
      <c r="JH365" s="73"/>
      <c r="JI365" s="73"/>
      <c r="JJ365" s="73"/>
      <c r="JK365" s="73"/>
      <c r="JL365" s="73"/>
      <c r="JM365" s="73"/>
      <c r="JN365" s="73"/>
      <c r="JO365" s="73"/>
      <c r="JP365" s="73"/>
      <c r="JQ365" s="73"/>
      <c r="JR365" s="73"/>
      <c r="JS365" s="74"/>
      <c r="JT365" s="382"/>
      <c r="JU365" s="665"/>
      <c r="JV365" s="524"/>
      <c r="JW365" s="525"/>
      <c r="JX365" s="549"/>
      <c r="JY365" s="549"/>
      <c r="JZ365" s="581">
        <f t="shared" si="9103"/>
        <v>0</v>
      </c>
      <c r="KA365" s="581">
        <f t="shared" si="9104"/>
        <v>0</v>
      </c>
      <c r="KB365" s="549"/>
      <c r="KC365" s="709">
        <f t="shared" si="9101"/>
        <v>0</v>
      </c>
      <c r="KD365" s="36"/>
      <c r="KE365" s="36"/>
      <c r="KF365" s="36"/>
      <c r="KG365" s="36"/>
      <c r="KH365" s="36"/>
      <c r="KI365" s="36"/>
      <c r="KJ365" s="36"/>
      <c r="KK365" s="36"/>
    </row>
    <row r="366" spans="1:297" s="7" customFormat="1" ht="15" customHeight="1">
      <c r="A366" s="80" t="s">
        <v>241</v>
      </c>
      <c r="B366" s="74" t="s">
        <v>50</v>
      </c>
      <c r="C366" s="74">
        <f t="shared" ref="C366:AS366" si="10201">SUM(C368,C371)+C373+C375</f>
        <v>718500</v>
      </c>
      <c r="D366" s="549">
        <f t="shared" si="10201"/>
        <v>0</v>
      </c>
      <c r="E366" s="675">
        <f t="shared" si="10201"/>
        <v>0</v>
      </c>
      <c r="F366" s="549">
        <f t="shared" si="10201"/>
        <v>0</v>
      </c>
      <c r="G366" s="675">
        <f t="shared" si="10201"/>
        <v>0</v>
      </c>
      <c r="H366" s="549">
        <f t="shared" si="10201"/>
        <v>0</v>
      </c>
      <c r="I366" s="675">
        <f t="shared" si="10201"/>
        <v>0</v>
      </c>
      <c r="J366" s="549">
        <f t="shared" si="10201"/>
        <v>0</v>
      </c>
      <c r="K366" s="675">
        <f t="shared" si="10201"/>
        <v>0</v>
      </c>
      <c r="L366" s="549">
        <f t="shared" si="10201"/>
        <v>0</v>
      </c>
      <c r="M366" s="675">
        <f t="shared" si="10201"/>
        <v>0</v>
      </c>
      <c r="N366" s="549">
        <f t="shared" si="10201"/>
        <v>0</v>
      </c>
      <c r="O366" s="675">
        <f t="shared" si="10201"/>
        <v>0</v>
      </c>
      <c r="P366" s="549">
        <f t="shared" si="10201"/>
        <v>0</v>
      </c>
      <c r="Q366" s="675">
        <f t="shared" si="10201"/>
        <v>0</v>
      </c>
      <c r="R366" s="549">
        <f t="shared" si="10201"/>
        <v>0</v>
      </c>
      <c r="S366" s="675">
        <f t="shared" si="10201"/>
        <v>0</v>
      </c>
      <c r="T366" s="549">
        <f t="shared" si="10201"/>
        <v>0</v>
      </c>
      <c r="U366" s="675">
        <f t="shared" si="10201"/>
        <v>0</v>
      </c>
      <c r="V366" s="549">
        <f t="shared" si="10201"/>
        <v>0</v>
      </c>
      <c r="W366" s="675">
        <f t="shared" si="10201"/>
        <v>0</v>
      </c>
      <c r="X366" s="549">
        <f t="shared" si="10201"/>
        <v>0</v>
      </c>
      <c r="Y366" s="675">
        <f t="shared" si="10201"/>
        <v>0</v>
      </c>
      <c r="Z366" s="549">
        <f t="shared" si="10201"/>
        <v>0</v>
      </c>
      <c r="AA366" s="675">
        <f t="shared" si="10201"/>
        <v>0</v>
      </c>
      <c r="AB366" s="549">
        <f t="shared" si="10201"/>
        <v>0</v>
      </c>
      <c r="AC366" s="675">
        <f t="shared" si="10201"/>
        <v>0</v>
      </c>
      <c r="AD366" s="549">
        <f t="shared" si="10201"/>
        <v>0</v>
      </c>
      <c r="AE366" s="675">
        <f t="shared" si="10201"/>
        <v>0</v>
      </c>
      <c r="AF366" s="549">
        <f t="shared" si="10201"/>
        <v>0</v>
      </c>
      <c r="AG366" s="675">
        <f t="shared" si="10201"/>
        <v>0</v>
      </c>
      <c r="AH366" s="549">
        <f t="shared" si="10201"/>
        <v>0</v>
      </c>
      <c r="AI366" s="675">
        <f t="shared" si="10201"/>
        <v>0</v>
      </c>
      <c r="AJ366" s="549">
        <f t="shared" si="10201"/>
        <v>0</v>
      </c>
      <c r="AK366" s="675">
        <f t="shared" si="10201"/>
        <v>0</v>
      </c>
      <c r="AL366" s="549">
        <f t="shared" si="10201"/>
        <v>0</v>
      </c>
      <c r="AM366" s="675">
        <f t="shared" si="10201"/>
        <v>0</v>
      </c>
      <c r="AN366" s="549">
        <f t="shared" si="10201"/>
        <v>0</v>
      </c>
      <c r="AO366" s="675">
        <f t="shared" si="10201"/>
        <v>0</v>
      </c>
      <c r="AP366" s="549">
        <f t="shared" si="10201"/>
        <v>0</v>
      </c>
      <c r="AQ366" s="675">
        <f t="shared" si="10201"/>
        <v>0</v>
      </c>
      <c r="AR366" s="549">
        <f t="shared" si="10201"/>
        <v>0</v>
      </c>
      <c r="AS366" s="675">
        <f t="shared" si="10201"/>
        <v>0</v>
      </c>
      <c r="AT366" s="549">
        <f t="shared" ref="AT366:AU366" si="10202">SUM(AT368,AT371)+AT373+AT375</f>
        <v>0</v>
      </c>
      <c r="AU366" s="675">
        <f t="shared" si="10202"/>
        <v>0</v>
      </c>
      <c r="AV366" s="549">
        <f t="shared" ref="AV366:AW366" si="10203">SUM(AV368,AV371)+AV373+AV375</f>
        <v>0</v>
      </c>
      <c r="AW366" s="675">
        <f t="shared" si="10203"/>
        <v>0</v>
      </c>
      <c r="AX366" s="549">
        <f t="shared" ref="AX366:AY366" si="10204">SUM(AX368,AX371)+AX373+AX375</f>
        <v>0</v>
      </c>
      <c r="AY366" s="675">
        <f t="shared" si="10204"/>
        <v>0</v>
      </c>
      <c r="AZ366" s="549">
        <f t="shared" ref="AZ366:BA366" si="10205">SUM(AZ368,AZ371)+AZ373+AZ375</f>
        <v>0</v>
      </c>
      <c r="BA366" s="675">
        <f t="shared" si="10205"/>
        <v>0</v>
      </c>
      <c r="BB366" s="549">
        <f t="shared" ref="BB366:BC366" si="10206">SUM(BB368,BB371)+BB373+BB375</f>
        <v>0</v>
      </c>
      <c r="BC366" s="675">
        <f t="shared" si="10206"/>
        <v>0</v>
      </c>
      <c r="BD366" s="549">
        <f t="shared" ref="BD366:BE366" si="10207">SUM(BD368,BD371)+BD373+BD375</f>
        <v>0</v>
      </c>
      <c r="BE366" s="675">
        <f t="shared" si="10207"/>
        <v>0</v>
      </c>
      <c r="BF366" s="549">
        <f t="shared" ref="BF366:BG366" si="10208">SUM(BF368,BF371)+BF373+BF375</f>
        <v>0</v>
      </c>
      <c r="BG366" s="675">
        <f t="shared" si="10208"/>
        <v>0</v>
      </c>
      <c r="BH366" s="549">
        <f t="shared" ref="BH366:BI366" si="10209">SUM(BH368,BH371)+BH373+BH375</f>
        <v>0</v>
      </c>
      <c r="BI366" s="675">
        <f t="shared" si="10209"/>
        <v>0</v>
      </c>
      <c r="BJ366" s="549">
        <f t="shared" ref="BJ366:BK366" si="10210">SUM(BJ368,BJ371)+BJ373+BJ375</f>
        <v>0</v>
      </c>
      <c r="BK366" s="675">
        <f t="shared" si="10210"/>
        <v>0</v>
      </c>
      <c r="BL366" s="549">
        <f t="shared" ref="BL366:BS366" si="10211">SUM(BL368,BL371)+BL373+BL375</f>
        <v>3417</v>
      </c>
      <c r="BM366" s="675">
        <f t="shared" si="10211"/>
        <v>0</v>
      </c>
      <c r="BN366" s="549">
        <f t="shared" si="10211"/>
        <v>0</v>
      </c>
      <c r="BO366" s="675">
        <f t="shared" si="10211"/>
        <v>0</v>
      </c>
      <c r="BP366" s="549">
        <f t="shared" si="10211"/>
        <v>0</v>
      </c>
      <c r="BQ366" s="675">
        <f t="shared" si="10211"/>
        <v>0</v>
      </c>
      <c r="BR366" s="549">
        <f t="shared" si="10211"/>
        <v>0</v>
      </c>
      <c r="BS366" s="675">
        <f t="shared" si="10211"/>
        <v>0</v>
      </c>
      <c r="BT366" s="549">
        <f t="shared" ref="BT366:BU366" si="10212">SUM(BT368,BT371)+BT373+BT375</f>
        <v>0</v>
      </c>
      <c r="BU366" s="675">
        <f t="shared" si="10212"/>
        <v>0</v>
      </c>
      <c r="BV366" s="549">
        <f t="shared" ref="BV366:BW366" si="10213">SUM(BV368,BV371)+BV373+BV375</f>
        <v>0</v>
      </c>
      <c r="BW366" s="675">
        <f t="shared" si="10213"/>
        <v>0</v>
      </c>
      <c r="BX366" s="549">
        <f t="shared" ref="BX366:BY366" si="10214">SUM(BX368,BX371)+BX373+BX375</f>
        <v>0</v>
      </c>
      <c r="BY366" s="675">
        <f t="shared" si="10214"/>
        <v>0</v>
      </c>
      <c r="BZ366" s="549">
        <f t="shared" ref="BZ366:CA366" si="10215">SUM(BZ368,BZ371)+BZ373+BZ375</f>
        <v>0</v>
      </c>
      <c r="CA366" s="675">
        <f t="shared" si="10215"/>
        <v>0</v>
      </c>
      <c r="CB366" s="549">
        <f t="shared" ref="CB366:CE366" si="10216">SUM(CB368,CB371)+CB373+CB375</f>
        <v>0</v>
      </c>
      <c r="CC366" s="675">
        <f t="shared" si="10216"/>
        <v>0</v>
      </c>
      <c r="CD366" s="549">
        <f t="shared" si="10216"/>
        <v>0</v>
      </c>
      <c r="CE366" s="675">
        <f t="shared" si="10216"/>
        <v>0</v>
      </c>
      <c r="CF366" s="549">
        <f t="shared" ref="CF366:CQ366" si="10217">SUM(CF368,CF371)+CF373+CF375</f>
        <v>0</v>
      </c>
      <c r="CG366" s="675">
        <f t="shared" si="10217"/>
        <v>0</v>
      </c>
      <c r="CH366" s="549">
        <f t="shared" si="10217"/>
        <v>0</v>
      </c>
      <c r="CI366" s="675">
        <f t="shared" si="10217"/>
        <v>0</v>
      </c>
      <c r="CJ366" s="549">
        <f t="shared" si="10217"/>
        <v>0</v>
      </c>
      <c r="CK366" s="675">
        <f t="shared" si="10217"/>
        <v>0</v>
      </c>
      <c r="CL366" s="549">
        <f t="shared" si="10217"/>
        <v>0</v>
      </c>
      <c r="CM366" s="675">
        <f t="shared" si="10217"/>
        <v>0</v>
      </c>
      <c r="CN366" s="549">
        <f t="shared" si="10217"/>
        <v>0</v>
      </c>
      <c r="CO366" s="675">
        <f t="shared" si="10217"/>
        <v>0</v>
      </c>
      <c r="CP366" s="549">
        <f t="shared" si="10217"/>
        <v>20655</v>
      </c>
      <c r="CQ366" s="675">
        <f t="shared" si="10217"/>
        <v>-20655</v>
      </c>
      <c r="CR366" s="549">
        <f t="shared" ref="CR366:CY366" si="10218">SUM(CR368,CR371)+CR373+CR375</f>
        <v>0</v>
      </c>
      <c r="CS366" s="675">
        <f t="shared" si="10218"/>
        <v>0</v>
      </c>
      <c r="CT366" s="549">
        <f t="shared" si="10218"/>
        <v>0</v>
      </c>
      <c r="CU366" s="675">
        <f t="shared" si="10218"/>
        <v>0</v>
      </c>
      <c r="CV366" s="549">
        <f t="shared" si="10218"/>
        <v>0</v>
      </c>
      <c r="CW366" s="675">
        <f t="shared" si="10218"/>
        <v>0</v>
      </c>
      <c r="CX366" s="549">
        <f t="shared" si="10218"/>
        <v>0</v>
      </c>
      <c r="CY366" s="675">
        <f t="shared" si="10218"/>
        <v>0</v>
      </c>
      <c r="CZ366" s="549">
        <f t="shared" ref="CZ366:DI366" si="10219">SUM(CZ368,CZ371)+CZ373+CZ375</f>
        <v>0</v>
      </c>
      <c r="DA366" s="675">
        <f t="shared" si="10219"/>
        <v>0</v>
      </c>
      <c r="DB366" s="549">
        <f t="shared" si="10219"/>
        <v>0</v>
      </c>
      <c r="DC366" s="675">
        <f t="shared" si="10219"/>
        <v>0</v>
      </c>
      <c r="DD366" s="549">
        <f t="shared" si="10219"/>
        <v>0</v>
      </c>
      <c r="DE366" s="675">
        <f t="shared" si="10219"/>
        <v>0</v>
      </c>
      <c r="DF366" s="549">
        <f t="shared" si="10219"/>
        <v>0</v>
      </c>
      <c r="DG366" s="675">
        <f t="shared" si="10219"/>
        <v>0</v>
      </c>
      <c r="DH366" s="549">
        <f t="shared" si="10219"/>
        <v>0</v>
      </c>
      <c r="DI366" s="675">
        <f t="shared" si="10219"/>
        <v>0</v>
      </c>
      <c r="DJ366" s="549">
        <f t="shared" ref="DJ366:DY366" si="10220">SUM(DJ368,DJ371)+DJ373+DJ375</f>
        <v>0</v>
      </c>
      <c r="DK366" s="675">
        <f t="shared" si="10220"/>
        <v>0</v>
      </c>
      <c r="DL366" s="549">
        <f t="shared" si="10220"/>
        <v>0</v>
      </c>
      <c r="DM366" s="675">
        <f t="shared" si="10220"/>
        <v>0</v>
      </c>
      <c r="DN366" s="549">
        <f t="shared" si="10220"/>
        <v>0</v>
      </c>
      <c r="DO366" s="675">
        <f t="shared" si="10220"/>
        <v>0</v>
      </c>
      <c r="DP366" s="549">
        <f t="shared" si="10220"/>
        <v>0</v>
      </c>
      <c r="DQ366" s="675">
        <f t="shared" si="10220"/>
        <v>0</v>
      </c>
      <c r="DR366" s="549">
        <f t="shared" si="10220"/>
        <v>0</v>
      </c>
      <c r="DS366" s="675">
        <f t="shared" si="10220"/>
        <v>0</v>
      </c>
      <c r="DT366" s="549">
        <f t="shared" si="10220"/>
        <v>0</v>
      </c>
      <c r="DU366" s="675">
        <f t="shared" si="10220"/>
        <v>0</v>
      </c>
      <c r="DV366" s="549">
        <f t="shared" si="10220"/>
        <v>0</v>
      </c>
      <c r="DW366" s="675">
        <f t="shared" si="10220"/>
        <v>0</v>
      </c>
      <c r="DX366" s="549">
        <f t="shared" si="10220"/>
        <v>0</v>
      </c>
      <c r="DY366" s="675">
        <f t="shared" si="10220"/>
        <v>0</v>
      </c>
      <c r="DZ366" s="549">
        <f t="shared" ref="DZ366:EU366" si="10221">SUM(DZ368,DZ371)+DZ373+DZ375</f>
        <v>0</v>
      </c>
      <c r="EA366" s="675">
        <f t="shared" si="10221"/>
        <v>0</v>
      </c>
      <c r="EB366" s="549">
        <f t="shared" si="10221"/>
        <v>3660</v>
      </c>
      <c r="EC366" s="675">
        <f t="shared" si="10221"/>
        <v>-3660</v>
      </c>
      <c r="ED366" s="549">
        <f t="shared" si="10221"/>
        <v>0</v>
      </c>
      <c r="EE366" s="675">
        <f t="shared" si="10221"/>
        <v>0</v>
      </c>
      <c r="EF366" s="549">
        <f t="shared" si="10221"/>
        <v>0</v>
      </c>
      <c r="EG366" s="675">
        <f t="shared" si="10221"/>
        <v>0</v>
      </c>
      <c r="EH366" s="549">
        <f t="shared" ref="EH366:EM366" si="10222">SUM(EH368,EH371)+EH373+EH375</f>
        <v>0</v>
      </c>
      <c r="EI366" s="675">
        <f t="shared" si="10222"/>
        <v>0</v>
      </c>
      <c r="EJ366" s="549">
        <f t="shared" si="10222"/>
        <v>0</v>
      </c>
      <c r="EK366" s="675">
        <f t="shared" si="10222"/>
        <v>-52500</v>
      </c>
      <c r="EL366" s="549">
        <f t="shared" si="10222"/>
        <v>0</v>
      </c>
      <c r="EM366" s="675">
        <f t="shared" si="10222"/>
        <v>0</v>
      </c>
      <c r="EN366" s="549">
        <f t="shared" si="10221"/>
        <v>0</v>
      </c>
      <c r="EO366" s="675">
        <f t="shared" si="10221"/>
        <v>0</v>
      </c>
      <c r="EP366" s="549">
        <f t="shared" si="10221"/>
        <v>0</v>
      </c>
      <c r="EQ366" s="675">
        <f t="shared" si="10221"/>
        <v>0</v>
      </c>
      <c r="ER366" s="549">
        <f t="shared" si="10221"/>
        <v>0</v>
      </c>
      <c r="ES366" s="675">
        <f t="shared" si="10221"/>
        <v>0</v>
      </c>
      <c r="ET366" s="549">
        <f t="shared" si="10221"/>
        <v>0</v>
      </c>
      <c r="EU366" s="675">
        <f t="shared" si="10221"/>
        <v>0</v>
      </c>
      <c r="EV366" s="549">
        <f t="shared" ref="EV366:FE366" si="10223">SUM(EV368,EV371)+EV373+EV375</f>
        <v>0</v>
      </c>
      <c r="EW366" s="675">
        <f t="shared" si="10223"/>
        <v>0</v>
      </c>
      <c r="EX366" s="549">
        <f t="shared" si="10223"/>
        <v>0</v>
      </c>
      <c r="EY366" s="675">
        <f t="shared" si="10223"/>
        <v>0</v>
      </c>
      <c r="EZ366" s="549">
        <f t="shared" si="10223"/>
        <v>0</v>
      </c>
      <c r="FA366" s="675">
        <f t="shared" si="10223"/>
        <v>-15400</v>
      </c>
      <c r="FB366" s="549">
        <f t="shared" si="10223"/>
        <v>0</v>
      </c>
      <c r="FC366" s="675">
        <f t="shared" si="10223"/>
        <v>0</v>
      </c>
      <c r="FD366" s="549">
        <f t="shared" si="10223"/>
        <v>0</v>
      </c>
      <c r="FE366" s="675">
        <f t="shared" si="10223"/>
        <v>0</v>
      </c>
      <c r="FF366" s="549">
        <f t="shared" ref="FF366:FG366" si="10224">SUM(FF368,FF371)+FF373+FF375</f>
        <v>1800</v>
      </c>
      <c r="FG366" s="675">
        <f t="shared" si="10224"/>
        <v>0</v>
      </c>
      <c r="FH366" s="549">
        <f t="shared" ref="FH366:FI366" si="10225">SUM(FH368,FH371)+FH373+FH375</f>
        <v>0</v>
      </c>
      <c r="FI366" s="675">
        <f t="shared" si="10225"/>
        <v>0</v>
      </c>
      <c r="FJ366" s="549">
        <f t="shared" ref="FJ366:FK366" si="10226">SUM(FJ368,FJ371)+FJ373+FJ375</f>
        <v>0</v>
      </c>
      <c r="FK366" s="675">
        <f t="shared" si="10226"/>
        <v>0</v>
      </c>
      <c r="FL366" s="549">
        <f t="shared" ref="FL366:FM366" si="10227">SUM(FL368,FL371)+FL373+FL375</f>
        <v>0</v>
      </c>
      <c r="FM366" s="675">
        <f t="shared" si="10227"/>
        <v>0</v>
      </c>
      <c r="FN366" s="549">
        <f t="shared" ref="FN366:FO366" si="10228">SUM(FN368,FN371)+FN373+FN375</f>
        <v>0</v>
      </c>
      <c r="FO366" s="675">
        <f t="shared" si="10228"/>
        <v>0</v>
      </c>
      <c r="FP366" s="549">
        <f t="shared" ref="FP366:FQ366" si="10229">SUM(FP368,FP371)+FP373+FP375</f>
        <v>0</v>
      </c>
      <c r="FQ366" s="675">
        <f t="shared" si="10229"/>
        <v>0</v>
      </c>
      <c r="FR366" s="549">
        <f t="shared" ref="FR366:FS366" si="10230">SUM(FR368,FR371)+FR373+FR375</f>
        <v>0</v>
      </c>
      <c r="FS366" s="675">
        <f t="shared" si="10230"/>
        <v>0</v>
      </c>
      <c r="FT366" s="549">
        <f t="shared" ref="FT366:FU366" si="10231">SUM(FT368,FT371)+FT373+FT375</f>
        <v>0</v>
      </c>
      <c r="FU366" s="675">
        <f t="shared" si="10231"/>
        <v>0</v>
      </c>
      <c r="FV366" s="549">
        <f t="shared" ref="FV366:GK366" si="10232">SUM(FV368,FV371)+FV373+FV375</f>
        <v>0</v>
      </c>
      <c r="FW366" s="675">
        <f t="shared" si="10232"/>
        <v>0</v>
      </c>
      <c r="FX366" s="549">
        <f t="shared" si="10232"/>
        <v>0</v>
      </c>
      <c r="FY366" s="675">
        <f t="shared" si="10232"/>
        <v>0</v>
      </c>
      <c r="FZ366" s="549">
        <f t="shared" ref="FZ366:GI366" si="10233">SUM(FZ368,FZ371)+FZ373+FZ375</f>
        <v>0</v>
      </c>
      <c r="GA366" s="675">
        <f t="shared" si="10233"/>
        <v>0</v>
      </c>
      <c r="GB366" s="549">
        <f t="shared" si="10233"/>
        <v>0</v>
      </c>
      <c r="GC366" s="675">
        <f t="shared" si="10233"/>
        <v>0</v>
      </c>
      <c r="GD366" s="549">
        <f t="shared" si="10233"/>
        <v>0</v>
      </c>
      <c r="GE366" s="675">
        <f t="shared" si="10233"/>
        <v>0</v>
      </c>
      <c r="GF366" s="549">
        <f t="shared" si="10233"/>
        <v>0</v>
      </c>
      <c r="GG366" s="675">
        <f t="shared" si="10233"/>
        <v>0</v>
      </c>
      <c r="GH366" s="549">
        <f t="shared" si="10233"/>
        <v>0</v>
      </c>
      <c r="GI366" s="675">
        <f t="shared" si="10233"/>
        <v>0</v>
      </c>
      <c r="GJ366" s="549">
        <f t="shared" si="10232"/>
        <v>0</v>
      </c>
      <c r="GK366" s="675">
        <f t="shared" si="10232"/>
        <v>0</v>
      </c>
      <c r="GL366" s="549">
        <f t="shared" ref="GL366:GM366" si="10234">SUM(GL368,GL371)+GL373+GL375</f>
        <v>0</v>
      </c>
      <c r="GM366" s="675">
        <f t="shared" si="10234"/>
        <v>0</v>
      </c>
      <c r="GN366" s="549">
        <f t="shared" ref="GN366:GO366" si="10235">SUM(GN368,GN371)+GN373+GN375</f>
        <v>0</v>
      </c>
      <c r="GO366" s="675">
        <f t="shared" si="10235"/>
        <v>0</v>
      </c>
      <c r="GP366" s="549">
        <f t="shared" ref="GP366:HM366" si="10236">SUM(GP368,GP371)+GP373+GP375</f>
        <v>29532</v>
      </c>
      <c r="GQ366" s="675">
        <f t="shared" si="10236"/>
        <v>-92215</v>
      </c>
      <c r="GR366" s="74">
        <f t="shared" si="10236"/>
        <v>655817</v>
      </c>
      <c r="GS366" s="74">
        <f t="shared" si="10236"/>
        <v>568803</v>
      </c>
      <c r="GT366" s="74">
        <f t="shared" si="10236"/>
        <v>655817</v>
      </c>
      <c r="GU366" s="74">
        <f t="shared" si="10236"/>
        <v>57190</v>
      </c>
      <c r="GV366" s="74">
        <f t="shared" si="10236"/>
        <v>87015</v>
      </c>
      <c r="GW366" s="74">
        <f t="shared" si="10236"/>
        <v>57181</v>
      </c>
      <c r="GX366" s="74">
        <f t="shared" si="10236"/>
        <v>57181</v>
      </c>
      <c r="GY366" s="74">
        <f t="shared" si="10236"/>
        <v>57181</v>
      </c>
      <c r="GZ366" s="74">
        <f t="shared" si="10236"/>
        <v>57181</v>
      </c>
      <c r="HA366" s="74">
        <f t="shared" si="10236"/>
        <v>57181</v>
      </c>
      <c r="HB366" s="74">
        <f t="shared" si="10236"/>
        <v>87014</v>
      </c>
      <c r="HC366" s="74">
        <f t="shared" si="10236"/>
        <v>57181</v>
      </c>
      <c r="HD366" s="74">
        <f t="shared" si="10236"/>
        <v>57181</v>
      </c>
      <c r="HE366" s="74">
        <f t="shared" si="10236"/>
        <v>87014</v>
      </c>
      <c r="HF366" s="74">
        <f t="shared" si="10236"/>
        <v>0</v>
      </c>
      <c r="HG366" s="74">
        <f t="shared" si="10236"/>
        <v>709797.7</v>
      </c>
      <c r="HH366" s="74">
        <f t="shared" si="10236"/>
        <v>57190</v>
      </c>
      <c r="HI366" s="792">
        <f t="shared" si="10236"/>
        <v>0</v>
      </c>
      <c r="HJ366" s="74">
        <f t="shared" si="10236"/>
        <v>66160.89</v>
      </c>
      <c r="HK366" s="792">
        <f t="shared" si="10236"/>
        <v>0</v>
      </c>
      <c r="HL366" s="74">
        <f t="shared" si="10236"/>
        <v>57181</v>
      </c>
      <c r="HM366" s="792">
        <f t="shared" si="10236"/>
        <v>0</v>
      </c>
      <c r="HN366" s="74">
        <f t="shared" ref="HN366:HO366" si="10237">SUM(HN368,HN371)+HN373+HN375</f>
        <v>57181</v>
      </c>
      <c r="HO366" s="792">
        <f t="shared" si="10237"/>
        <v>0</v>
      </c>
      <c r="HP366" s="74">
        <f t="shared" ref="HP366:HQ366" si="10238">SUM(HP368,HP371)+HP373+HP375</f>
        <v>57181</v>
      </c>
      <c r="HQ366" s="792">
        <f t="shared" si="10238"/>
        <v>0</v>
      </c>
      <c r="HR366" s="74">
        <f t="shared" ref="HR366:HS366" si="10239">SUM(HR368,HR371)+HR373+HR375</f>
        <v>57181</v>
      </c>
      <c r="HS366" s="792">
        <f t="shared" si="10239"/>
        <v>0</v>
      </c>
      <c r="HT366" s="74">
        <f t="shared" ref="HT366:HU366" si="10240">SUM(HT368,HT371)+HT373+HT375</f>
        <v>57181</v>
      </c>
      <c r="HU366" s="792">
        <f t="shared" si="10240"/>
        <v>0</v>
      </c>
      <c r="HV366" s="74">
        <f t="shared" ref="HV366:HW366" si="10241">SUM(HV368,HV371)+HV373+HV375</f>
        <v>120639.65</v>
      </c>
      <c r="HW366" s="792">
        <f t="shared" si="10241"/>
        <v>0</v>
      </c>
      <c r="HX366" s="74">
        <f t="shared" ref="HX366:HY366" si="10242">SUM(HX368,HX371)+HX373+HX375</f>
        <v>113079.47</v>
      </c>
      <c r="HY366" s="792">
        <f t="shared" si="10242"/>
        <v>0</v>
      </c>
      <c r="HZ366" s="74">
        <f t="shared" ref="HZ366:IA366" si="10243">SUM(HZ368,HZ371)+HZ373+HZ375</f>
        <v>66822.69</v>
      </c>
      <c r="IA366" s="792">
        <f t="shared" si="10243"/>
        <v>0</v>
      </c>
      <c r="IB366" s="74">
        <f t="shared" ref="IB366:IC366" si="10244">SUM(IB368,IB371)+IB373+IB375</f>
        <v>0</v>
      </c>
      <c r="IC366" s="792">
        <f t="shared" si="10244"/>
        <v>0</v>
      </c>
      <c r="ID366" s="74">
        <f t="shared" ref="ID366:JT366" si="10245">SUM(ID368,ID371)+ID373+ID375</f>
        <v>0</v>
      </c>
      <c r="IE366" s="792">
        <f t="shared" si="10245"/>
        <v>0</v>
      </c>
      <c r="IF366" s="841">
        <f>SUM(IF368,IF371)+IF373+IF375</f>
        <v>485675.62</v>
      </c>
      <c r="IG366" s="263">
        <f t="shared" si="10245"/>
        <v>485675.62</v>
      </c>
      <c r="IH366" s="842">
        <f t="shared" si="10245"/>
        <v>485675.62</v>
      </c>
      <c r="II366" s="74">
        <f t="shared" ref="II366:IK366" si="10246">SUM(II368,II371)+II373+II375</f>
        <v>34183.14</v>
      </c>
      <c r="IJ366" s="74">
        <f t="shared" si="10246"/>
        <v>34183.14</v>
      </c>
      <c r="IK366" s="74">
        <f t="shared" si="10246"/>
        <v>34183.14</v>
      </c>
      <c r="IL366" s="74">
        <f t="shared" ref="IL366:IN366" si="10247">SUM(IL368,IL371)+IL373+IL375</f>
        <v>46647.39</v>
      </c>
      <c r="IM366" s="74">
        <f t="shared" si="10247"/>
        <v>46647.39</v>
      </c>
      <c r="IN366" s="74">
        <f t="shared" si="10247"/>
        <v>46647.39</v>
      </c>
      <c r="IO366" s="74">
        <f t="shared" ref="IO366:IQ366" si="10248">SUM(IO368,IO371)+IO373+IO375</f>
        <v>18633.75</v>
      </c>
      <c r="IP366" s="74">
        <f t="shared" si="10248"/>
        <v>18633.75</v>
      </c>
      <c r="IQ366" s="74">
        <f t="shared" si="10248"/>
        <v>18633.75</v>
      </c>
      <c r="IR366" s="74">
        <f t="shared" ref="IR366:IT366" si="10249">SUM(IR368,IR371)+IR373+IR375</f>
        <v>52670.819999999992</v>
      </c>
      <c r="IS366" s="74">
        <f t="shared" si="10249"/>
        <v>52670.819999999992</v>
      </c>
      <c r="IT366" s="74">
        <f t="shared" si="10249"/>
        <v>52670.819999999992</v>
      </c>
      <c r="IU366" s="74">
        <f t="shared" ref="IU366:IW366" si="10250">SUM(IU368,IU371)+IU373+IU375</f>
        <v>50829.820000000007</v>
      </c>
      <c r="IV366" s="74">
        <f t="shared" si="10250"/>
        <v>50829.820000000007</v>
      </c>
      <c r="IW366" s="74">
        <f t="shared" si="10250"/>
        <v>50829.820000000007</v>
      </c>
      <c r="IX366" s="74">
        <f t="shared" ref="IX366:IZ366" si="10251">SUM(IX368,IX371)+IX373+IX375</f>
        <v>45745.010000000009</v>
      </c>
      <c r="IY366" s="74">
        <f t="shared" si="10251"/>
        <v>45745.010000000009</v>
      </c>
      <c r="IZ366" s="74">
        <f t="shared" si="10251"/>
        <v>45745.010000000009</v>
      </c>
      <c r="JA366" s="74">
        <f t="shared" ref="JA366:JC366" si="10252">SUM(JA368,JA371)+JA373+JA375</f>
        <v>48550.939999999973</v>
      </c>
      <c r="JB366" s="74">
        <f t="shared" si="10252"/>
        <v>48550.939999999973</v>
      </c>
      <c r="JC366" s="74">
        <f t="shared" si="10252"/>
        <v>48550.939999999973</v>
      </c>
      <c r="JD366" s="74">
        <f t="shared" ref="JD366:JF366" si="10253">SUM(JD368,JD371)+JD373+JD375</f>
        <v>63497.620000000024</v>
      </c>
      <c r="JE366" s="74">
        <f t="shared" si="10253"/>
        <v>63497.620000000024</v>
      </c>
      <c r="JF366" s="74">
        <f t="shared" si="10253"/>
        <v>63497.620000000024</v>
      </c>
      <c r="JG366" s="74">
        <f t="shared" ref="JG366:JI366" si="10254">SUM(JG368,JG371)+JG373+JG375</f>
        <v>63350.460000000021</v>
      </c>
      <c r="JH366" s="74">
        <f t="shared" si="10254"/>
        <v>63350.460000000021</v>
      </c>
      <c r="JI366" s="74">
        <f t="shared" si="10254"/>
        <v>63350.460000000021</v>
      </c>
      <c r="JJ366" s="74">
        <f t="shared" ref="JJ366:JL366" si="10255">SUM(JJ368,JJ371)+JJ373+JJ375</f>
        <v>61566.669999999984</v>
      </c>
      <c r="JK366" s="74">
        <f t="shared" si="10255"/>
        <v>61566.669999999984</v>
      </c>
      <c r="JL366" s="74">
        <f t="shared" si="10255"/>
        <v>61566.669999999984</v>
      </c>
      <c r="JM366" s="74">
        <f t="shared" ref="JM366:JO366" si="10256">SUM(JM368,JM371)+JM373+JM375</f>
        <v>0</v>
      </c>
      <c r="JN366" s="74">
        <f t="shared" si="10256"/>
        <v>0</v>
      </c>
      <c r="JO366" s="74">
        <f t="shared" si="10256"/>
        <v>0</v>
      </c>
      <c r="JP366" s="74">
        <f t="shared" si="10245"/>
        <v>0</v>
      </c>
      <c r="JQ366" s="74">
        <f t="shared" si="10245"/>
        <v>0</v>
      </c>
      <c r="JR366" s="74">
        <f t="shared" si="10245"/>
        <v>0</v>
      </c>
      <c r="JS366" s="74">
        <f t="shared" si="10245"/>
        <v>224122.07999999993</v>
      </c>
      <c r="JT366" s="102">
        <f t="shared" si="10245"/>
        <v>83127.37999999999</v>
      </c>
      <c r="JU366" s="665"/>
      <c r="JV366" s="524"/>
      <c r="JW366" s="525"/>
      <c r="JX366" s="549">
        <f>SUM(JX368,JX371)+JX373+JX375</f>
        <v>709797.7</v>
      </c>
      <c r="JY366" s="549">
        <f>SUM(JY368,JY371)+JY373+JY375</f>
        <v>0</v>
      </c>
      <c r="JZ366" s="581">
        <f t="shared" si="9103"/>
        <v>29532</v>
      </c>
      <c r="KA366" s="581">
        <f t="shared" si="9104"/>
        <v>-92215</v>
      </c>
      <c r="KB366" s="549">
        <f t="shared" ref="KB366:KB432" si="10257">JX366</f>
        <v>709797.7</v>
      </c>
      <c r="KC366" s="709">
        <f t="shared" si="9101"/>
        <v>0</v>
      </c>
      <c r="KD366" s="36"/>
      <c r="KE366" s="36"/>
      <c r="KF366" s="36"/>
      <c r="KG366" s="36"/>
      <c r="KH366" s="36"/>
      <c r="KI366" s="36"/>
      <c r="KJ366" s="36"/>
      <c r="KK366" s="36"/>
    </row>
    <row r="367" spans="1:297" ht="13.5" customHeight="1">
      <c r="A367" s="86"/>
      <c r="B367" s="77"/>
      <c r="C367" s="78"/>
      <c r="D367" s="564"/>
      <c r="E367" s="677"/>
      <c r="F367" s="564"/>
      <c r="G367" s="677"/>
      <c r="H367" s="564"/>
      <c r="I367" s="677"/>
      <c r="J367" s="564"/>
      <c r="K367" s="677"/>
      <c r="L367" s="564"/>
      <c r="M367" s="677"/>
      <c r="N367" s="564"/>
      <c r="O367" s="677"/>
      <c r="P367" s="564"/>
      <c r="Q367" s="677"/>
      <c r="R367" s="564"/>
      <c r="S367" s="677"/>
      <c r="T367" s="564"/>
      <c r="U367" s="677"/>
      <c r="V367" s="564"/>
      <c r="W367" s="677"/>
      <c r="X367" s="564"/>
      <c r="Y367" s="677"/>
      <c r="Z367" s="564"/>
      <c r="AA367" s="677"/>
      <c r="AB367" s="564"/>
      <c r="AC367" s="677"/>
      <c r="AD367" s="564"/>
      <c r="AE367" s="677"/>
      <c r="AF367" s="564"/>
      <c r="AG367" s="677"/>
      <c r="AH367" s="564"/>
      <c r="AI367" s="677"/>
      <c r="AJ367" s="564"/>
      <c r="AK367" s="677"/>
      <c r="AL367" s="564"/>
      <c r="AM367" s="677"/>
      <c r="AN367" s="564"/>
      <c r="AO367" s="677"/>
      <c r="AP367" s="564"/>
      <c r="AQ367" s="677"/>
      <c r="AR367" s="564"/>
      <c r="AS367" s="677"/>
      <c r="AT367" s="564"/>
      <c r="AU367" s="677"/>
      <c r="AV367" s="564"/>
      <c r="AW367" s="677"/>
      <c r="AX367" s="564"/>
      <c r="AY367" s="677"/>
      <c r="AZ367" s="564"/>
      <c r="BA367" s="677"/>
      <c r="BB367" s="564"/>
      <c r="BC367" s="677"/>
      <c r="BD367" s="564"/>
      <c r="BE367" s="677"/>
      <c r="BF367" s="564"/>
      <c r="BG367" s="677"/>
      <c r="BH367" s="564"/>
      <c r="BI367" s="677"/>
      <c r="BJ367" s="564"/>
      <c r="BK367" s="677"/>
      <c r="BL367" s="564"/>
      <c r="BM367" s="677"/>
      <c r="BN367" s="564"/>
      <c r="BO367" s="677"/>
      <c r="BP367" s="564"/>
      <c r="BQ367" s="677"/>
      <c r="BR367" s="564"/>
      <c r="BS367" s="677"/>
      <c r="BT367" s="564"/>
      <c r="BU367" s="677"/>
      <c r="BV367" s="564"/>
      <c r="BW367" s="677"/>
      <c r="BX367" s="564"/>
      <c r="BY367" s="677"/>
      <c r="BZ367" s="564"/>
      <c r="CA367" s="677"/>
      <c r="CB367" s="564"/>
      <c r="CC367" s="677"/>
      <c r="CD367" s="564"/>
      <c r="CE367" s="677"/>
      <c r="CF367" s="564"/>
      <c r="CG367" s="677"/>
      <c r="CH367" s="564"/>
      <c r="CI367" s="677"/>
      <c r="CJ367" s="564"/>
      <c r="CK367" s="677"/>
      <c r="CL367" s="564"/>
      <c r="CM367" s="677"/>
      <c r="CN367" s="564"/>
      <c r="CO367" s="677"/>
      <c r="CP367" s="564"/>
      <c r="CQ367" s="677"/>
      <c r="CR367" s="564"/>
      <c r="CS367" s="677"/>
      <c r="CT367" s="564"/>
      <c r="CU367" s="677"/>
      <c r="CV367" s="564"/>
      <c r="CW367" s="677"/>
      <c r="CX367" s="564"/>
      <c r="CY367" s="677"/>
      <c r="CZ367" s="564"/>
      <c r="DA367" s="677"/>
      <c r="DB367" s="564"/>
      <c r="DC367" s="677"/>
      <c r="DD367" s="564"/>
      <c r="DE367" s="677"/>
      <c r="DF367" s="564"/>
      <c r="DG367" s="677"/>
      <c r="DH367" s="564"/>
      <c r="DI367" s="677"/>
      <c r="DJ367" s="564"/>
      <c r="DK367" s="677"/>
      <c r="DL367" s="564"/>
      <c r="DM367" s="677"/>
      <c r="DN367" s="564"/>
      <c r="DO367" s="677"/>
      <c r="DP367" s="564"/>
      <c r="DQ367" s="677"/>
      <c r="DR367" s="564"/>
      <c r="DS367" s="677"/>
      <c r="DT367" s="564"/>
      <c r="DU367" s="677"/>
      <c r="DV367" s="564"/>
      <c r="DW367" s="677"/>
      <c r="DX367" s="564"/>
      <c r="DY367" s="677"/>
      <c r="DZ367" s="564"/>
      <c r="EA367" s="677"/>
      <c r="EB367" s="564"/>
      <c r="EC367" s="677"/>
      <c r="ED367" s="564"/>
      <c r="EE367" s="677"/>
      <c r="EF367" s="564"/>
      <c r="EG367" s="677"/>
      <c r="EH367" s="564"/>
      <c r="EI367" s="677"/>
      <c r="EJ367" s="564"/>
      <c r="EK367" s="677"/>
      <c r="EL367" s="564"/>
      <c r="EM367" s="677"/>
      <c r="EN367" s="564"/>
      <c r="EO367" s="677"/>
      <c r="EP367" s="564"/>
      <c r="EQ367" s="677"/>
      <c r="ER367" s="564"/>
      <c r="ES367" s="677"/>
      <c r="ET367" s="564"/>
      <c r="EU367" s="677"/>
      <c r="EV367" s="564"/>
      <c r="EW367" s="677"/>
      <c r="EX367" s="564"/>
      <c r="EY367" s="677"/>
      <c r="EZ367" s="564"/>
      <c r="FA367" s="677"/>
      <c r="FB367" s="564"/>
      <c r="FC367" s="677"/>
      <c r="FD367" s="564"/>
      <c r="FE367" s="677"/>
      <c r="FF367" s="564"/>
      <c r="FG367" s="677"/>
      <c r="FH367" s="564"/>
      <c r="FI367" s="677"/>
      <c r="FJ367" s="564"/>
      <c r="FK367" s="677"/>
      <c r="FL367" s="564"/>
      <c r="FM367" s="677"/>
      <c r="FN367" s="564"/>
      <c r="FO367" s="677"/>
      <c r="FP367" s="564"/>
      <c r="FQ367" s="677"/>
      <c r="FR367" s="564"/>
      <c r="FS367" s="677"/>
      <c r="FT367" s="564"/>
      <c r="FU367" s="677"/>
      <c r="FV367" s="564"/>
      <c r="FW367" s="677"/>
      <c r="FX367" s="564"/>
      <c r="FY367" s="677"/>
      <c r="FZ367" s="564"/>
      <c r="GA367" s="677"/>
      <c r="GB367" s="564"/>
      <c r="GC367" s="677"/>
      <c r="GD367" s="564"/>
      <c r="GE367" s="677"/>
      <c r="GF367" s="564"/>
      <c r="GG367" s="677"/>
      <c r="GH367" s="564"/>
      <c r="GI367" s="677"/>
      <c r="GJ367" s="564"/>
      <c r="GK367" s="677"/>
      <c r="GL367" s="564"/>
      <c r="GM367" s="677"/>
      <c r="GN367" s="564"/>
      <c r="GO367" s="677"/>
      <c r="GP367" s="564"/>
      <c r="GQ367" s="677"/>
      <c r="GR367" s="78"/>
      <c r="GS367" s="78"/>
      <c r="GT367" s="564"/>
      <c r="GU367" s="87"/>
      <c r="GV367" s="87"/>
      <c r="GW367" s="564"/>
      <c r="GX367" s="564"/>
      <c r="GY367" s="87"/>
      <c r="GZ367" s="87"/>
      <c r="HA367" s="87"/>
      <c r="HB367" s="87"/>
      <c r="HC367" s="87"/>
      <c r="HD367" s="87"/>
      <c r="HE367" s="87"/>
      <c r="HF367" s="87"/>
      <c r="HG367" s="78"/>
      <c r="HH367" s="87"/>
      <c r="HI367" s="816"/>
      <c r="HJ367" s="87"/>
      <c r="HK367" s="816"/>
      <c r="HL367" s="87"/>
      <c r="HM367" s="816"/>
      <c r="HN367" s="87"/>
      <c r="HO367" s="816"/>
      <c r="HP367" s="87"/>
      <c r="HQ367" s="816"/>
      <c r="HR367" s="87"/>
      <c r="HS367" s="816"/>
      <c r="HT367" s="87"/>
      <c r="HU367" s="816"/>
      <c r="HV367" s="87"/>
      <c r="HW367" s="816"/>
      <c r="HX367" s="87"/>
      <c r="HY367" s="816"/>
      <c r="HZ367" s="87"/>
      <c r="IA367" s="816"/>
      <c r="IB367" s="87"/>
      <c r="IC367" s="816"/>
      <c r="ID367" s="87"/>
      <c r="IE367" s="816"/>
      <c r="IF367" s="851"/>
      <c r="IG367" s="280"/>
      <c r="IH367" s="852"/>
      <c r="II367" s="87"/>
      <c r="IJ367" s="87"/>
      <c r="IK367" s="87"/>
      <c r="IL367" s="87"/>
      <c r="IM367" s="87"/>
      <c r="IN367" s="87"/>
      <c r="IO367" s="87"/>
      <c r="IP367" s="87"/>
      <c r="IQ367" s="87"/>
      <c r="IR367" s="87"/>
      <c r="IS367" s="87"/>
      <c r="IT367" s="87"/>
      <c r="IU367" s="87"/>
      <c r="IV367" s="87"/>
      <c r="IW367" s="87"/>
      <c r="IX367" s="87"/>
      <c r="IY367" s="87"/>
      <c r="IZ367" s="87"/>
      <c r="JA367" s="87"/>
      <c r="JB367" s="87"/>
      <c r="JC367" s="87"/>
      <c r="JD367" s="87"/>
      <c r="JE367" s="87"/>
      <c r="JF367" s="87"/>
      <c r="JG367" s="87"/>
      <c r="JH367" s="87"/>
      <c r="JI367" s="87"/>
      <c r="JJ367" s="87"/>
      <c r="JK367" s="87"/>
      <c r="JL367" s="87"/>
      <c r="JM367" s="87"/>
      <c r="JN367" s="87"/>
      <c r="JO367" s="87"/>
      <c r="JP367" s="87"/>
      <c r="JQ367" s="87"/>
      <c r="JR367" s="87"/>
      <c r="JS367" s="78"/>
      <c r="JT367" s="658"/>
      <c r="JU367" s="665"/>
      <c r="JV367" s="524"/>
      <c r="JW367" s="525"/>
      <c r="JX367" s="564"/>
      <c r="JY367" s="564"/>
      <c r="JZ367" s="581">
        <f t="shared" si="9103"/>
        <v>0</v>
      </c>
      <c r="KA367" s="581">
        <f t="shared" si="9104"/>
        <v>0</v>
      </c>
      <c r="KB367" s="564">
        <f t="shared" si="10257"/>
        <v>0</v>
      </c>
      <c r="KC367" s="709">
        <f t="shared" si="9101"/>
        <v>0</v>
      </c>
      <c r="KD367" s="36"/>
      <c r="KE367" s="36"/>
      <c r="KF367" s="36"/>
      <c r="KG367" s="36"/>
      <c r="KH367" s="36"/>
      <c r="KI367" s="36"/>
      <c r="KJ367" s="36"/>
      <c r="KK367" s="36"/>
    </row>
    <row r="368" spans="1:297" s="8" customFormat="1">
      <c r="A368" s="80" t="s">
        <v>242</v>
      </c>
      <c r="B368" s="79" t="s">
        <v>52</v>
      </c>
      <c r="C368" s="78">
        <f>SUM(C369)</f>
        <v>629000</v>
      </c>
      <c r="D368" s="564">
        <f t="shared" ref="D368:AZ368" si="10258">SUM(D369:D369)</f>
        <v>0</v>
      </c>
      <c r="E368" s="677">
        <f t="shared" ref="E368:GO368" si="10259">SUM(E369:E369)</f>
        <v>0</v>
      </c>
      <c r="F368" s="564">
        <f t="shared" si="10258"/>
        <v>0</v>
      </c>
      <c r="G368" s="677">
        <f t="shared" si="10259"/>
        <v>0</v>
      </c>
      <c r="H368" s="564">
        <f t="shared" si="10258"/>
        <v>0</v>
      </c>
      <c r="I368" s="677">
        <f t="shared" si="10259"/>
        <v>0</v>
      </c>
      <c r="J368" s="564">
        <f t="shared" si="10258"/>
        <v>0</v>
      </c>
      <c r="K368" s="677">
        <f t="shared" si="10259"/>
        <v>0</v>
      </c>
      <c r="L368" s="564">
        <f t="shared" si="10258"/>
        <v>0</v>
      </c>
      <c r="M368" s="677">
        <f t="shared" si="10259"/>
        <v>0</v>
      </c>
      <c r="N368" s="564">
        <f t="shared" si="10258"/>
        <v>0</v>
      </c>
      <c r="O368" s="677">
        <f t="shared" si="10259"/>
        <v>0</v>
      </c>
      <c r="P368" s="564">
        <f t="shared" si="10258"/>
        <v>0</v>
      </c>
      <c r="Q368" s="677">
        <f t="shared" si="10259"/>
        <v>0</v>
      </c>
      <c r="R368" s="564">
        <f t="shared" si="10258"/>
        <v>0</v>
      </c>
      <c r="S368" s="677">
        <f t="shared" si="10259"/>
        <v>0</v>
      </c>
      <c r="T368" s="564">
        <f t="shared" si="10258"/>
        <v>0</v>
      </c>
      <c r="U368" s="677">
        <f t="shared" si="10259"/>
        <v>0</v>
      </c>
      <c r="V368" s="564">
        <f t="shared" si="10258"/>
        <v>0</v>
      </c>
      <c r="W368" s="677">
        <f t="shared" si="10259"/>
        <v>0</v>
      </c>
      <c r="X368" s="564">
        <f t="shared" si="10258"/>
        <v>0</v>
      </c>
      <c r="Y368" s="677">
        <f t="shared" si="10259"/>
        <v>0</v>
      </c>
      <c r="Z368" s="564">
        <f t="shared" si="10258"/>
        <v>0</v>
      </c>
      <c r="AA368" s="677">
        <f t="shared" si="10259"/>
        <v>0</v>
      </c>
      <c r="AB368" s="564">
        <f t="shared" si="10258"/>
        <v>0</v>
      </c>
      <c r="AC368" s="677">
        <f t="shared" si="10259"/>
        <v>0</v>
      </c>
      <c r="AD368" s="564">
        <f t="shared" si="10258"/>
        <v>0</v>
      </c>
      <c r="AE368" s="677">
        <f t="shared" si="10259"/>
        <v>0</v>
      </c>
      <c r="AF368" s="564">
        <f t="shared" si="10258"/>
        <v>0</v>
      </c>
      <c r="AG368" s="677">
        <f t="shared" si="10259"/>
        <v>0</v>
      </c>
      <c r="AH368" s="564">
        <f t="shared" si="10258"/>
        <v>0</v>
      </c>
      <c r="AI368" s="677">
        <f t="shared" si="10259"/>
        <v>0</v>
      </c>
      <c r="AJ368" s="564">
        <f t="shared" si="10258"/>
        <v>0</v>
      </c>
      <c r="AK368" s="677">
        <f t="shared" si="10259"/>
        <v>0</v>
      </c>
      <c r="AL368" s="564">
        <f t="shared" si="10258"/>
        <v>0</v>
      </c>
      <c r="AM368" s="677">
        <f t="shared" si="10259"/>
        <v>0</v>
      </c>
      <c r="AN368" s="564">
        <f t="shared" si="10258"/>
        <v>0</v>
      </c>
      <c r="AO368" s="677">
        <f t="shared" si="10259"/>
        <v>0</v>
      </c>
      <c r="AP368" s="564">
        <f t="shared" si="10258"/>
        <v>0</v>
      </c>
      <c r="AQ368" s="677">
        <f t="shared" si="10259"/>
        <v>0</v>
      </c>
      <c r="AR368" s="564">
        <f t="shared" si="10258"/>
        <v>0</v>
      </c>
      <c r="AS368" s="677">
        <f t="shared" si="10259"/>
        <v>0</v>
      </c>
      <c r="AT368" s="564">
        <f t="shared" si="10258"/>
        <v>0</v>
      </c>
      <c r="AU368" s="677">
        <f t="shared" si="10259"/>
        <v>0</v>
      </c>
      <c r="AV368" s="564">
        <f t="shared" si="10258"/>
        <v>0</v>
      </c>
      <c r="AW368" s="677">
        <f t="shared" si="10259"/>
        <v>0</v>
      </c>
      <c r="AX368" s="564">
        <f t="shared" si="10258"/>
        <v>0</v>
      </c>
      <c r="AY368" s="677">
        <f t="shared" si="10259"/>
        <v>0</v>
      </c>
      <c r="AZ368" s="564">
        <f t="shared" si="10258"/>
        <v>0</v>
      </c>
      <c r="BA368" s="677">
        <f t="shared" si="10259"/>
        <v>0</v>
      </c>
      <c r="BB368" s="564">
        <f t="shared" ref="BB368" si="10260">SUM(BB369:BB369)</f>
        <v>0</v>
      </c>
      <c r="BC368" s="677">
        <f t="shared" si="10259"/>
        <v>0</v>
      </c>
      <c r="BD368" s="564">
        <f t="shared" ref="BD368" si="10261">SUM(BD369:BD369)</f>
        <v>0</v>
      </c>
      <c r="BE368" s="677">
        <f t="shared" si="10259"/>
        <v>0</v>
      </c>
      <c r="BF368" s="564">
        <f t="shared" ref="BF368" si="10262">SUM(BF369:BF369)</f>
        <v>0</v>
      </c>
      <c r="BG368" s="677">
        <f t="shared" si="10259"/>
        <v>0</v>
      </c>
      <c r="BH368" s="564">
        <f t="shared" ref="BH368" si="10263">SUM(BH369:BH369)</f>
        <v>0</v>
      </c>
      <c r="BI368" s="677">
        <f t="shared" si="10259"/>
        <v>0</v>
      </c>
      <c r="BJ368" s="564">
        <f t="shared" ref="BJ368" si="10264">SUM(BJ369:BJ369)</f>
        <v>0</v>
      </c>
      <c r="BK368" s="677">
        <f t="shared" si="10259"/>
        <v>0</v>
      </c>
      <c r="BL368" s="564">
        <f t="shared" ref="BL368" si="10265">SUM(BL369:BL369)</f>
        <v>0</v>
      </c>
      <c r="BM368" s="677">
        <f t="shared" si="10259"/>
        <v>0</v>
      </c>
      <c r="BN368" s="564">
        <f t="shared" ref="BN368" si="10266">SUM(BN369:BN369)</f>
        <v>0</v>
      </c>
      <c r="BO368" s="677">
        <f t="shared" si="10259"/>
        <v>0</v>
      </c>
      <c r="BP368" s="564">
        <f t="shared" ref="BP368" si="10267">SUM(BP369:BP369)</f>
        <v>0</v>
      </c>
      <c r="BQ368" s="677">
        <f t="shared" si="10259"/>
        <v>0</v>
      </c>
      <c r="BR368" s="564">
        <f t="shared" ref="BR368" si="10268">SUM(BR369:BR369)</f>
        <v>0</v>
      </c>
      <c r="BS368" s="677">
        <f t="shared" si="10259"/>
        <v>0</v>
      </c>
      <c r="BT368" s="564">
        <f t="shared" ref="BT368:GN368" si="10269">SUM(BT369:BT369)</f>
        <v>0</v>
      </c>
      <c r="BU368" s="677">
        <f t="shared" si="10259"/>
        <v>0</v>
      </c>
      <c r="BV368" s="564">
        <f t="shared" si="10269"/>
        <v>0</v>
      </c>
      <c r="BW368" s="677">
        <f t="shared" si="10259"/>
        <v>0</v>
      </c>
      <c r="BX368" s="564">
        <f t="shared" si="10269"/>
        <v>0</v>
      </c>
      <c r="BY368" s="677">
        <f t="shared" si="10259"/>
        <v>0</v>
      </c>
      <c r="BZ368" s="564">
        <f t="shared" si="10269"/>
        <v>0</v>
      </c>
      <c r="CA368" s="677">
        <f t="shared" si="10259"/>
        <v>0</v>
      </c>
      <c r="CB368" s="564">
        <f t="shared" si="10269"/>
        <v>0</v>
      </c>
      <c r="CC368" s="677">
        <f t="shared" si="10259"/>
        <v>0</v>
      </c>
      <c r="CD368" s="564">
        <f t="shared" si="10269"/>
        <v>0</v>
      </c>
      <c r="CE368" s="677">
        <f t="shared" si="10259"/>
        <v>0</v>
      </c>
      <c r="CF368" s="564">
        <f t="shared" si="10269"/>
        <v>0</v>
      </c>
      <c r="CG368" s="677">
        <f t="shared" si="10259"/>
        <v>0</v>
      </c>
      <c r="CH368" s="564">
        <f t="shared" si="10269"/>
        <v>0</v>
      </c>
      <c r="CI368" s="677">
        <f t="shared" si="10259"/>
        <v>0</v>
      </c>
      <c r="CJ368" s="564">
        <f t="shared" si="10269"/>
        <v>0</v>
      </c>
      <c r="CK368" s="677">
        <f t="shared" si="10259"/>
        <v>0</v>
      </c>
      <c r="CL368" s="564">
        <f t="shared" si="10269"/>
        <v>0</v>
      </c>
      <c r="CM368" s="677">
        <f t="shared" si="10259"/>
        <v>0</v>
      </c>
      <c r="CN368" s="564">
        <f t="shared" si="10269"/>
        <v>0</v>
      </c>
      <c r="CO368" s="677">
        <f t="shared" si="10259"/>
        <v>0</v>
      </c>
      <c r="CP368" s="564">
        <f t="shared" si="10269"/>
        <v>20655</v>
      </c>
      <c r="CQ368" s="677">
        <f t="shared" si="10259"/>
        <v>0</v>
      </c>
      <c r="CR368" s="564">
        <f t="shared" si="10269"/>
        <v>0</v>
      </c>
      <c r="CS368" s="677">
        <f t="shared" si="10259"/>
        <v>0</v>
      </c>
      <c r="CT368" s="564">
        <f t="shared" si="10269"/>
        <v>0</v>
      </c>
      <c r="CU368" s="677">
        <f t="shared" si="10259"/>
        <v>0</v>
      </c>
      <c r="CV368" s="564">
        <f t="shared" si="10269"/>
        <v>0</v>
      </c>
      <c r="CW368" s="677">
        <f t="shared" si="10259"/>
        <v>0</v>
      </c>
      <c r="CX368" s="564">
        <f t="shared" si="10269"/>
        <v>0</v>
      </c>
      <c r="CY368" s="677">
        <f t="shared" si="10259"/>
        <v>0</v>
      </c>
      <c r="CZ368" s="564">
        <f t="shared" si="10269"/>
        <v>0</v>
      </c>
      <c r="DA368" s="677">
        <f t="shared" si="10259"/>
        <v>0</v>
      </c>
      <c r="DB368" s="564">
        <f t="shared" si="10269"/>
        <v>0</v>
      </c>
      <c r="DC368" s="677">
        <f t="shared" si="10259"/>
        <v>0</v>
      </c>
      <c r="DD368" s="564">
        <f t="shared" si="10269"/>
        <v>0</v>
      </c>
      <c r="DE368" s="677">
        <f t="shared" si="10259"/>
        <v>0</v>
      </c>
      <c r="DF368" s="564">
        <f t="shared" si="10269"/>
        <v>0</v>
      </c>
      <c r="DG368" s="677">
        <f t="shared" si="10259"/>
        <v>0</v>
      </c>
      <c r="DH368" s="564">
        <f t="shared" si="10269"/>
        <v>0</v>
      </c>
      <c r="DI368" s="677">
        <f t="shared" si="10259"/>
        <v>0</v>
      </c>
      <c r="DJ368" s="564">
        <f t="shared" si="10269"/>
        <v>0</v>
      </c>
      <c r="DK368" s="677">
        <f t="shared" si="10259"/>
        <v>0</v>
      </c>
      <c r="DL368" s="564">
        <f t="shared" si="10269"/>
        <v>0</v>
      </c>
      <c r="DM368" s="677">
        <f t="shared" si="10259"/>
        <v>0</v>
      </c>
      <c r="DN368" s="564">
        <f t="shared" si="10269"/>
        <v>0</v>
      </c>
      <c r="DO368" s="677">
        <f t="shared" si="10259"/>
        <v>0</v>
      </c>
      <c r="DP368" s="564">
        <f t="shared" si="10269"/>
        <v>0</v>
      </c>
      <c r="DQ368" s="677">
        <f t="shared" si="10259"/>
        <v>0</v>
      </c>
      <c r="DR368" s="564">
        <f t="shared" si="10269"/>
        <v>0</v>
      </c>
      <c r="DS368" s="677">
        <f t="shared" si="10259"/>
        <v>0</v>
      </c>
      <c r="DT368" s="564">
        <f t="shared" si="10269"/>
        <v>0</v>
      </c>
      <c r="DU368" s="677">
        <f t="shared" si="10259"/>
        <v>0</v>
      </c>
      <c r="DV368" s="564">
        <f t="shared" si="10269"/>
        <v>0</v>
      </c>
      <c r="DW368" s="677">
        <f t="shared" si="10259"/>
        <v>0</v>
      </c>
      <c r="DX368" s="564">
        <f t="shared" si="10269"/>
        <v>0</v>
      </c>
      <c r="DY368" s="677">
        <f t="shared" si="10259"/>
        <v>0</v>
      </c>
      <c r="DZ368" s="564">
        <f t="shared" si="10269"/>
        <v>0</v>
      </c>
      <c r="EA368" s="677">
        <f t="shared" si="10259"/>
        <v>0</v>
      </c>
      <c r="EB368" s="564">
        <f t="shared" si="10269"/>
        <v>3660</v>
      </c>
      <c r="EC368" s="677">
        <f t="shared" si="10259"/>
        <v>0</v>
      </c>
      <c r="ED368" s="564">
        <f t="shared" si="10269"/>
        <v>0</v>
      </c>
      <c r="EE368" s="677">
        <f t="shared" si="10259"/>
        <v>0</v>
      </c>
      <c r="EF368" s="564">
        <f t="shared" si="10269"/>
        <v>0</v>
      </c>
      <c r="EG368" s="677">
        <f t="shared" si="10259"/>
        <v>0</v>
      </c>
      <c r="EH368" s="564">
        <f t="shared" si="10269"/>
        <v>0</v>
      </c>
      <c r="EI368" s="677">
        <f t="shared" si="10259"/>
        <v>0</v>
      </c>
      <c r="EJ368" s="564">
        <f t="shared" si="10269"/>
        <v>0</v>
      </c>
      <c r="EK368" s="677">
        <f t="shared" si="10259"/>
        <v>-52500</v>
      </c>
      <c r="EL368" s="564">
        <f t="shared" si="10269"/>
        <v>0</v>
      </c>
      <c r="EM368" s="677">
        <f t="shared" si="10259"/>
        <v>0</v>
      </c>
      <c r="EN368" s="564">
        <f t="shared" si="10269"/>
        <v>0</v>
      </c>
      <c r="EO368" s="677">
        <f t="shared" si="10259"/>
        <v>0</v>
      </c>
      <c r="EP368" s="564">
        <f t="shared" si="10269"/>
        <v>0</v>
      </c>
      <c r="EQ368" s="677">
        <f t="shared" si="10259"/>
        <v>0</v>
      </c>
      <c r="ER368" s="564">
        <f t="shared" si="10269"/>
        <v>0</v>
      </c>
      <c r="ES368" s="677">
        <f t="shared" si="10259"/>
        <v>0</v>
      </c>
      <c r="ET368" s="564">
        <f t="shared" si="10269"/>
        <v>0</v>
      </c>
      <c r="EU368" s="677">
        <f t="shared" si="10259"/>
        <v>0</v>
      </c>
      <c r="EV368" s="564">
        <f t="shared" si="10269"/>
        <v>0</v>
      </c>
      <c r="EW368" s="677">
        <f t="shared" si="10259"/>
        <v>0</v>
      </c>
      <c r="EX368" s="564">
        <f t="shared" si="10269"/>
        <v>0</v>
      </c>
      <c r="EY368" s="677">
        <f t="shared" si="10259"/>
        <v>0</v>
      </c>
      <c r="EZ368" s="564">
        <f t="shared" si="10269"/>
        <v>0</v>
      </c>
      <c r="FA368" s="677">
        <f t="shared" si="10259"/>
        <v>0</v>
      </c>
      <c r="FB368" s="564">
        <f t="shared" si="10269"/>
        <v>0</v>
      </c>
      <c r="FC368" s="677">
        <f t="shared" si="10259"/>
        <v>0</v>
      </c>
      <c r="FD368" s="564">
        <f t="shared" si="10269"/>
        <v>0</v>
      </c>
      <c r="FE368" s="677">
        <f t="shared" si="10259"/>
        <v>0</v>
      </c>
      <c r="FF368" s="564">
        <f t="shared" si="10269"/>
        <v>0</v>
      </c>
      <c r="FG368" s="677">
        <f t="shared" si="10259"/>
        <v>0</v>
      </c>
      <c r="FH368" s="564">
        <f t="shared" si="10269"/>
        <v>0</v>
      </c>
      <c r="FI368" s="677">
        <f t="shared" si="10259"/>
        <v>0</v>
      </c>
      <c r="FJ368" s="564">
        <f t="shared" si="10269"/>
        <v>0</v>
      </c>
      <c r="FK368" s="677">
        <f t="shared" si="10259"/>
        <v>0</v>
      </c>
      <c r="FL368" s="564">
        <f t="shared" si="10269"/>
        <v>0</v>
      </c>
      <c r="FM368" s="677">
        <f t="shared" si="10259"/>
        <v>0</v>
      </c>
      <c r="FN368" s="564">
        <f t="shared" si="10269"/>
        <v>0</v>
      </c>
      <c r="FO368" s="677">
        <f t="shared" si="10259"/>
        <v>0</v>
      </c>
      <c r="FP368" s="564">
        <f t="shared" si="10269"/>
        <v>0</v>
      </c>
      <c r="FQ368" s="677">
        <f t="shared" si="10259"/>
        <v>0</v>
      </c>
      <c r="FR368" s="564">
        <f t="shared" si="10269"/>
        <v>0</v>
      </c>
      <c r="FS368" s="677">
        <f t="shared" si="10259"/>
        <v>0</v>
      </c>
      <c r="FT368" s="564">
        <f t="shared" si="10269"/>
        <v>0</v>
      </c>
      <c r="FU368" s="677">
        <f t="shared" si="10259"/>
        <v>0</v>
      </c>
      <c r="FV368" s="564">
        <f t="shared" si="10269"/>
        <v>0</v>
      </c>
      <c r="FW368" s="677">
        <f t="shared" si="10259"/>
        <v>0</v>
      </c>
      <c r="FX368" s="564">
        <f t="shared" si="10269"/>
        <v>0</v>
      </c>
      <c r="FY368" s="677">
        <f t="shared" si="10259"/>
        <v>0</v>
      </c>
      <c r="FZ368" s="564">
        <f t="shared" si="10269"/>
        <v>0</v>
      </c>
      <c r="GA368" s="677">
        <f t="shared" si="10259"/>
        <v>0</v>
      </c>
      <c r="GB368" s="564">
        <f t="shared" si="10269"/>
        <v>0</v>
      </c>
      <c r="GC368" s="677">
        <f t="shared" si="10259"/>
        <v>0</v>
      </c>
      <c r="GD368" s="564">
        <f t="shared" si="10269"/>
        <v>0</v>
      </c>
      <c r="GE368" s="677">
        <f t="shared" si="10259"/>
        <v>0</v>
      </c>
      <c r="GF368" s="564">
        <f t="shared" si="10269"/>
        <v>0</v>
      </c>
      <c r="GG368" s="677">
        <f t="shared" si="10259"/>
        <v>0</v>
      </c>
      <c r="GH368" s="564">
        <f t="shared" si="10269"/>
        <v>0</v>
      </c>
      <c r="GI368" s="677">
        <f t="shared" si="10259"/>
        <v>0</v>
      </c>
      <c r="GJ368" s="564">
        <f t="shared" si="10269"/>
        <v>0</v>
      </c>
      <c r="GK368" s="677">
        <f t="shared" si="10259"/>
        <v>0</v>
      </c>
      <c r="GL368" s="564">
        <f t="shared" si="10269"/>
        <v>0</v>
      </c>
      <c r="GM368" s="677">
        <f t="shared" si="10259"/>
        <v>0</v>
      </c>
      <c r="GN368" s="564">
        <f t="shared" si="10269"/>
        <v>0</v>
      </c>
      <c r="GO368" s="677">
        <f t="shared" si="10259"/>
        <v>0</v>
      </c>
      <c r="GP368" s="564">
        <f>SUM(GP369:GP369)</f>
        <v>24315</v>
      </c>
      <c r="GQ368" s="677">
        <f>SUM(GQ369:GQ369)</f>
        <v>-52500</v>
      </c>
      <c r="GR368" s="78">
        <f>SUM(GR369:GR369)</f>
        <v>600815</v>
      </c>
      <c r="GS368" s="78">
        <f>SUM(GS369:GS369)</f>
        <v>543634</v>
      </c>
      <c r="GT368" s="564">
        <f t="shared" ref="GT368:HF368" si="10270">SUM(GT369:GT369)</f>
        <v>600815</v>
      </c>
      <c r="GU368" s="78">
        <f t="shared" si="10270"/>
        <v>57190</v>
      </c>
      <c r="GV368" s="78">
        <f t="shared" si="10270"/>
        <v>57181</v>
      </c>
      <c r="GW368" s="564">
        <f t="shared" si="10270"/>
        <v>57181</v>
      </c>
      <c r="GX368" s="564">
        <f t="shared" si="10270"/>
        <v>57181</v>
      </c>
      <c r="GY368" s="78">
        <f t="shared" si="10270"/>
        <v>57181</v>
      </c>
      <c r="GZ368" s="78">
        <f t="shared" si="10270"/>
        <v>57181</v>
      </c>
      <c r="HA368" s="78">
        <f t="shared" si="10270"/>
        <v>57181</v>
      </c>
      <c r="HB368" s="78">
        <f t="shared" si="10270"/>
        <v>57181</v>
      </c>
      <c r="HC368" s="78">
        <f t="shared" si="10270"/>
        <v>57181</v>
      </c>
      <c r="HD368" s="78">
        <f t="shared" si="10270"/>
        <v>57181</v>
      </c>
      <c r="HE368" s="78">
        <f t="shared" si="10270"/>
        <v>57181</v>
      </c>
      <c r="HF368" s="78">
        <f t="shared" si="10270"/>
        <v>0</v>
      </c>
      <c r="HG368" s="78">
        <f>SUM(HG369:HG369)</f>
        <v>654795.69999999995</v>
      </c>
      <c r="HH368" s="78">
        <f t="shared" ref="HH368:II368" si="10271">SUM(HH369:HH369)</f>
        <v>57190</v>
      </c>
      <c r="HI368" s="811">
        <f t="shared" si="10271"/>
        <v>0</v>
      </c>
      <c r="HJ368" s="78">
        <f t="shared" si="10271"/>
        <v>57181</v>
      </c>
      <c r="HK368" s="811">
        <f t="shared" si="10271"/>
        <v>0</v>
      </c>
      <c r="HL368" s="78">
        <f t="shared" si="10271"/>
        <v>57181</v>
      </c>
      <c r="HM368" s="811">
        <f t="shared" si="10271"/>
        <v>0</v>
      </c>
      <c r="HN368" s="78">
        <f t="shared" si="10271"/>
        <v>57181</v>
      </c>
      <c r="HO368" s="811">
        <f t="shared" si="10271"/>
        <v>0</v>
      </c>
      <c r="HP368" s="78">
        <f t="shared" si="10271"/>
        <v>57181</v>
      </c>
      <c r="HQ368" s="811">
        <f t="shared" si="10271"/>
        <v>0</v>
      </c>
      <c r="HR368" s="78">
        <f t="shared" si="10271"/>
        <v>57181</v>
      </c>
      <c r="HS368" s="811">
        <f t="shared" si="10271"/>
        <v>0</v>
      </c>
      <c r="HT368" s="78">
        <f t="shared" si="10271"/>
        <v>57181</v>
      </c>
      <c r="HU368" s="811">
        <f t="shared" si="10271"/>
        <v>0</v>
      </c>
      <c r="HV368" s="78">
        <f t="shared" si="10271"/>
        <v>109694.62</v>
      </c>
      <c r="HW368" s="811">
        <f t="shared" si="10271"/>
        <v>0</v>
      </c>
      <c r="HX368" s="78">
        <f t="shared" si="10271"/>
        <v>90844.38</v>
      </c>
      <c r="HY368" s="811">
        <f t="shared" si="10271"/>
        <v>0</v>
      </c>
      <c r="HZ368" s="78">
        <f t="shared" si="10271"/>
        <v>53980.7</v>
      </c>
      <c r="IA368" s="811">
        <f t="shared" si="10271"/>
        <v>0</v>
      </c>
      <c r="IB368" s="78">
        <f t="shared" si="10271"/>
        <v>0</v>
      </c>
      <c r="IC368" s="811">
        <f t="shared" si="10271"/>
        <v>0</v>
      </c>
      <c r="ID368" s="78">
        <f t="shared" si="10271"/>
        <v>0</v>
      </c>
      <c r="IE368" s="811">
        <f t="shared" si="10271"/>
        <v>0</v>
      </c>
      <c r="IF368" s="851">
        <f>SUM(IF369:IF369)</f>
        <v>465750.7</v>
      </c>
      <c r="IG368" s="280">
        <f>SUM(IG369:IG369)</f>
        <v>465750.7</v>
      </c>
      <c r="IH368" s="852">
        <f t="shared" si="10271"/>
        <v>465750.7</v>
      </c>
      <c r="II368" s="78">
        <f t="shared" si="10271"/>
        <v>34183.14</v>
      </c>
      <c r="IJ368" s="78">
        <f>SUM(IJ369:IJ369)</f>
        <v>34183.14</v>
      </c>
      <c r="IK368" s="78">
        <f>SUM(IK369:IK369)</f>
        <v>34183.14</v>
      </c>
      <c r="IL368" s="78">
        <f t="shared" ref="IL368:JP368" si="10272">SUM(IL369:IL369)</f>
        <v>37667.5</v>
      </c>
      <c r="IM368" s="78">
        <f>SUM(IM369:IM369)</f>
        <v>37667.5</v>
      </c>
      <c r="IN368" s="78">
        <f>SUM(IN369:IN369)</f>
        <v>37667.5</v>
      </c>
      <c r="IO368" s="78">
        <f t="shared" si="10272"/>
        <v>18633.75</v>
      </c>
      <c r="IP368" s="78">
        <f>SUM(IP369:IP369)</f>
        <v>18633.75</v>
      </c>
      <c r="IQ368" s="78">
        <f>SUM(IQ369:IQ369)</f>
        <v>18633.75</v>
      </c>
      <c r="IR368" s="78">
        <f t="shared" si="10272"/>
        <v>52670.819999999992</v>
      </c>
      <c r="IS368" s="78">
        <f>SUM(IS369:IS369)</f>
        <v>52670.819999999992</v>
      </c>
      <c r="IT368" s="78">
        <f>SUM(IT369:IT369)</f>
        <v>52670.819999999992</v>
      </c>
      <c r="IU368" s="78">
        <f t="shared" si="10272"/>
        <v>50829.820000000007</v>
      </c>
      <c r="IV368" s="78">
        <f>SUM(IV369:IV369)</f>
        <v>50829.820000000007</v>
      </c>
      <c r="IW368" s="78">
        <f>SUM(IW369:IW369)</f>
        <v>50829.820000000007</v>
      </c>
      <c r="IX368" s="78">
        <f t="shared" si="10272"/>
        <v>45745.010000000009</v>
      </c>
      <c r="IY368" s="78">
        <f>SUM(IY369:IY369)</f>
        <v>45745.010000000009</v>
      </c>
      <c r="IZ368" s="78">
        <f>SUM(IZ369:IZ369)</f>
        <v>45745.010000000009</v>
      </c>
      <c r="JA368" s="78">
        <f t="shared" si="10272"/>
        <v>48550.939999999973</v>
      </c>
      <c r="JB368" s="78">
        <f>SUM(JB369:JB369)</f>
        <v>48550.939999999973</v>
      </c>
      <c r="JC368" s="78">
        <f>SUM(JC369:JC369)</f>
        <v>48550.939999999973</v>
      </c>
      <c r="JD368" s="78">
        <f t="shared" si="10272"/>
        <v>52552.590000000026</v>
      </c>
      <c r="JE368" s="78">
        <f>SUM(JE369:JE369)</f>
        <v>52552.590000000026</v>
      </c>
      <c r="JF368" s="78">
        <f>SUM(JF369:JF369)</f>
        <v>52552.590000000026</v>
      </c>
      <c r="JG368" s="78">
        <f t="shared" si="10272"/>
        <v>63350.460000000021</v>
      </c>
      <c r="JH368" s="78">
        <f>SUM(JH369:JH369)</f>
        <v>63350.460000000021</v>
      </c>
      <c r="JI368" s="78">
        <f>SUM(JI369:JI369)</f>
        <v>63350.460000000021</v>
      </c>
      <c r="JJ368" s="78">
        <f t="shared" si="10272"/>
        <v>61566.669999999984</v>
      </c>
      <c r="JK368" s="78">
        <f>SUM(JK369:JK369)</f>
        <v>61566.669999999984</v>
      </c>
      <c r="JL368" s="78">
        <f>SUM(JL369:JL369)</f>
        <v>61566.669999999984</v>
      </c>
      <c r="JM368" s="78">
        <f t="shared" si="10272"/>
        <v>0</v>
      </c>
      <c r="JN368" s="78">
        <f>SUM(JN369:JN369)</f>
        <v>0</v>
      </c>
      <c r="JO368" s="78">
        <f>SUM(JO369:JO369)</f>
        <v>0</v>
      </c>
      <c r="JP368" s="78">
        <f t="shared" si="10272"/>
        <v>0</v>
      </c>
      <c r="JQ368" s="78">
        <f>SUM(JQ369:JQ369)</f>
        <v>0</v>
      </c>
      <c r="JR368" s="78">
        <f>SUM(JR369:JR369)</f>
        <v>0</v>
      </c>
      <c r="JS368" s="74">
        <f>SUM(JS369)</f>
        <v>189044.99999999994</v>
      </c>
      <c r="JT368" s="382">
        <f>SUM(JT369)</f>
        <v>77883.299999999988</v>
      </c>
      <c r="JU368" s="665"/>
      <c r="JV368" s="524"/>
      <c r="JW368" s="525"/>
      <c r="JX368" s="549">
        <f>SUM(JX369:JX369)</f>
        <v>654795.69999999995</v>
      </c>
      <c r="JY368" s="549">
        <f>SUM(JY369:JY369)</f>
        <v>0</v>
      </c>
      <c r="JZ368" s="581">
        <f t="shared" si="9103"/>
        <v>24315</v>
      </c>
      <c r="KA368" s="581">
        <f t="shared" si="9104"/>
        <v>-52500</v>
      </c>
      <c r="KB368" s="549">
        <f t="shared" si="10257"/>
        <v>654795.69999999995</v>
      </c>
      <c r="KC368" s="709">
        <f t="shared" ref="KC368:KC434" si="10273">HG368-KB368</f>
        <v>0</v>
      </c>
      <c r="KD368" s="36"/>
      <c r="KE368" s="36"/>
      <c r="KF368" s="36"/>
      <c r="KG368" s="36"/>
      <c r="KH368" s="36"/>
      <c r="KI368" s="36"/>
      <c r="KJ368" s="36"/>
      <c r="KK368" s="36"/>
    </row>
    <row r="369" spans="1:297" s="10" customFormat="1">
      <c r="A369" s="86" t="s">
        <v>925</v>
      </c>
      <c r="B369" s="77" t="s">
        <v>56</v>
      </c>
      <c r="C369" s="74">
        <v>629000</v>
      </c>
      <c r="D369" s="549">
        <v>0</v>
      </c>
      <c r="E369" s="675">
        <v>0</v>
      </c>
      <c r="F369" s="549">
        <v>0</v>
      </c>
      <c r="G369" s="675">
        <v>0</v>
      </c>
      <c r="H369" s="549">
        <v>0</v>
      </c>
      <c r="I369" s="675">
        <v>0</v>
      </c>
      <c r="J369" s="549">
        <v>0</v>
      </c>
      <c r="K369" s="675">
        <v>0</v>
      </c>
      <c r="L369" s="549">
        <v>0</v>
      </c>
      <c r="M369" s="675">
        <v>0</v>
      </c>
      <c r="N369" s="549">
        <v>0</v>
      </c>
      <c r="O369" s="675">
        <v>0</v>
      </c>
      <c r="P369" s="549">
        <v>0</v>
      </c>
      <c r="Q369" s="675">
        <v>0</v>
      </c>
      <c r="R369" s="549">
        <v>0</v>
      </c>
      <c r="S369" s="675">
        <v>0</v>
      </c>
      <c r="T369" s="549">
        <v>0</v>
      </c>
      <c r="U369" s="675">
        <v>0</v>
      </c>
      <c r="V369" s="549">
        <v>0</v>
      </c>
      <c r="W369" s="675">
        <v>0</v>
      </c>
      <c r="X369" s="549">
        <v>0</v>
      </c>
      <c r="Y369" s="675">
        <v>0</v>
      </c>
      <c r="Z369" s="549">
        <v>0</v>
      </c>
      <c r="AA369" s="675">
        <v>0</v>
      </c>
      <c r="AB369" s="549">
        <v>0</v>
      </c>
      <c r="AC369" s="675">
        <v>0</v>
      </c>
      <c r="AD369" s="549">
        <v>0</v>
      </c>
      <c r="AE369" s="675">
        <v>0</v>
      </c>
      <c r="AF369" s="549">
        <v>0</v>
      </c>
      <c r="AG369" s="675">
        <v>0</v>
      </c>
      <c r="AH369" s="549">
        <v>0</v>
      </c>
      <c r="AI369" s="675">
        <v>0</v>
      </c>
      <c r="AJ369" s="549">
        <v>0</v>
      </c>
      <c r="AK369" s="675">
        <v>0</v>
      </c>
      <c r="AL369" s="549">
        <v>0</v>
      </c>
      <c r="AM369" s="675">
        <v>0</v>
      </c>
      <c r="AN369" s="549">
        <v>0</v>
      </c>
      <c r="AO369" s="675">
        <v>0</v>
      </c>
      <c r="AP369" s="549">
        <v>0</v>
      </c>
      <c r="AQ369" s="675">
        <v>0</v>
      </c>
      <c r="AR369" s="549">
        <v>0</v>
      </c>
      <c r="AS369" s="675">
        <v>0</v>
      </c>
      <c r="AT369" s="549">
        <v>0</v>
      </c>
      <c r="AU369" s="675">
        <v>0</v>
      </c>
      <c r="AV369" s="549">
        <v>0</v>
      </c>
      <c r="AW369" s="675">
        <v>0</v>
      </c>
      <c r="AX369" s="549">
        <v>0</v>
      </c>
      <c r="AY369" s="675">
        <v>0</v>
      </c>
      <c r="AZ369" s="549">
        <v>0</v>
      </c>
      <c r="BA369" s="675">
        <v>0</v>
      </c>
      <c r="BB369" s="549">
        <v>0</v>
      </c>
      <c r="BC369" s="675">
        <v>0</v>
      </c>
      <c r="BD369" s="549">
        <v>0</v>
      </c>
      <c r="BE369" s="675">
        <v>0</v>
      </c>
      <c r="BF369" s="549">
        <v>0</v>
      </c>
      <c r="BG369" s="675">
        <v>0</v>
      </c>
      <c r="BH369" s="549">
        <v>0</v>
      </c>
      <c r="BI369" s="675">
        <v>0</v>
      </c>
      <c r="BJ369" s="549">
        <v>0</v>
      </c>
      <c r="BK369" s="675">
        <v>0</v>
      </c>
      <c r="BL369" s="549">
        <v>0</v>
      </c>
      <c r="BM369" s="675">
        <v>0</v>
      </c>
      <c r="BN369" s="549">
        <v>0</v>
      </c>
      <c r="BO369" s="675">
        <v>0</v>
      </c>
      <c r="BP369" s="549">
        <v>0</v>
      </c>
      <c r="BQ369" s="675">
        <v>0</v>
      </c>
      <c r="BR369" s="549">
        <v>0</v>
      </c>
      <c r="BS369" s="675">
        <v>0</v>
      </c>
      <c r="BT369" s="549">
        <v>0</v>
      </c>
      <c r="BU369" s="675">
        <v>0</v>
      </c>
      <c r="BV369" s="549">
        <v>0</v>
      </c>
      <c r="BW369" s="675">
        <v>0</v>
      </c>
      <c r="BX369" s="549">
        <v>0</v>
      </c>
      <c r="BY369" s="675">
        <v>0</v>
      </c>
      <c r="BZ369" s="549">
        <v>0</v>
      </c>
      <c r="CA369" s="675">
        <v>0</v>
      </c>
      <c r="CB369" s="549">
        <v>0</v>
      </c>
      <c r="CC369" s="675">
        <v>0</v>
      </c>
      <c r="CD369" s="549">
        <v>0</v>
      </c>
      <c r="CE369" s="675">
        <v>0</v>
      </c>
      <c r="CF369" s="549">
        <v>0</v>
      </c>
      <c r="CG369" s="675">
        <v>0</v>
      </c>
      <c r="CH369" s="549">
        <v>0</v>
      </c>
      <c r="CI369" s="675">
        <v>0</v>
      </c>
      <c r="CJ369" s="549">
        <v>0</v>
      </c>
      <c r="CK369" s="675">
        <v>0</v>
      </c>
      <c r="CL369" s="549">
        <v>0</v>
      </c>
      <c r="CM369" s="675">
        <v>0</v>
      </c>
      <c r="CN369" s="549">
        <v>0</v>
      </c>
      <c r="CO369" s="675">
        <v>0</v>
      </c>
      <c r="CP369" s="549">
        <v>20655</v>
      </c>
      <c r="CQ369" s="675">
        <v>0</v>
      </c>
      <c r="CR369" s="549">
        <v>0</v>
      </c>
      <c r="CS369" s="675">
        <v>0</v>
      </c>
      <c r="CT369" s="549">
        <v>0</v>
      </c>
      <c r="CU369" s="675">
        <v>0</v>
      </c>
      <c r="CV369" s="549">
        <v>0</v>
      </c>
      <c r="CW369" s="675">
        <v>0</v>
      </c>
      <c r="CX369" s="549">
        <v>0</v>
      </c>
      <c r="CY369" s="675">
        <v>0</v>
      </c>
      <c r="CZ369" s="549">
        <v>0</v>
      </c>
      <c r="DA369" s="675">
        <v>0</v>
      </c>
      <c r="DB369" s="549">
        <v>0</v>
      </c>
      <c r="DC369" s="675">
        <v>0</v>
      </c>
      <c r="DD369" s="549">
        <v>0</v>
      </c>
      <c r="DE369" s="675">
        <v>0</v>
      </c>
      <c r="DF369" s="549">
        <v>0</v>
      </c>
      <c r="DG369" s="675">
        <v>0</v>
      </c>
      <c r="DH369" s="549">
        <v>0</v>
      </c>
      <c r="DI369" s="675">
        <v>0</v>
      </c>
      <c r="DJ369" s="549">
        <v>0</v>
      </c>
      <c r="DK369" s="675">
        <v>0</v>
      </c>
      <c r="DL369" s="549">
        <v>0</v>
      </c>
      <c r="DM369" s="675">
        <v>0</v>
      </c>
      <c r="DN369" s="549">
        <v>0</v>
      </c>
      <c r="DO369" s="675">
        <v>0</v>
      </c>
      <c r="DP369" s="549">
        <v>0</v>
      </c>
      <c r="DQ369" s="675">
        <v>0</v>
      </c>
      <c r="DR369" s="549">
        <v>0</v>
      </c>
      <c r="DS369" s="675">
        <v>0</v>
      </c>
      <c r="DT369" s="549">
        <v>0</v>
      </c>
      <c r="DU369" s="675">
        <v>0</v>
      </c>
      <c r="DV369" s="549">
        <v>0</v>
      </c>
      <c r="DW369" s="675">
        <v>0</v>
      </c>
      <c r="DX369" s="549">
        <v>0</v>
      </c>
      <c r="DY369" s="675">
        <v>0</v>
      </c>
      <c r="DZ369" s="549">
        <v>0</v>
      </c>
      <c r="EA369" s="675">
        <v>0</v>
      </c>
      <c r="EB369" s="549">
        <v>3660</v>
      </c>
      <c r="EC369" s="675">
        <v>0</v>
      </c>
      <c r="ED369" s="549">
        <v>0</v>
      </c>
      <c r="EE369" s="675">
        <v>0</v>
      </c>
      <c r="EF369" s="549">
        <v>0</v>
      </c>
      <c r="EG369" s="675">
        <v>0</v>
      </c>
      <c r="EH369" s="549">
        <v>0</v>
      </c>
      <c r="EI369" s="675">
        <v>0</v>
      </c>
      <c r="EJ369" s="549">
        <v>0</v>
      </c>
      <c r="EK369" s="675">
        <v>-52500</v>
      </c>
      <c r="EL369" s="549">
        <v>0</v>
      </c>
      <c r="EM369" s="675">
        <v>0</v>
      </c>
      <c r="EN369" s="549">
        <v>0</v>
      </c>
      <c r="EO369" s="675">
        <v>0</v>
      </c>
      <c r="EP369" s="549">
        <v>0</v>
      </c>
      <c r="EQ369" s="675">
        <v>0</v>
      </c>
      <c r="ER369" s="549">
        <v>0</v>
      </c>
      <c r="ES369" s="675">
        <v>0</v>
      </c>
      <c r="ET369" s="549">
        <v>0</v>
      </c>
      <c r="EU369" s="675">
        <v>0</v>
      </c>
      <c r="EV369" s="549">
        <v>0</v>
      </c>
      <c r="EW369" s="675">
        <v>0</v>
      </c>
      <c r="EX369" s="549">
        <v>0</v>
      </c>
      <c r="EY369" s="675">
        <v>0</v>
      </c>
      <c r="EZ369" s="549">
        <v>0</v>
      </c>
      <c r="FA369" s="675">
        <v>0</v>
      </c>
      <c r="FB369" s="549">
        <v>0</v>
      </c>
      <c r="FC369" s="675">
        <v>0</v>
      </c>
      <c r="FD369" s="549">
        <v>0</v>
      </c>
      <c r="FE369" s="675">
        <v>0</v>
      </c>
      <c r="FF369" s="549">
        <v>0</v>
      </c>
      <c r="FG369" s="675">
        <v>0</v>
      </c>
      <c r="FH369" s="549">
        <v>0</v>
      </c>
      <c r="FI369" s="675">
        <v>0</v>
      </c>
      <c r="FJ369" s="549">
        <v>0</v>
      </c>
      <c r="FK369" s="675">
        <v>0</v>
      </c>
      <c r="FL369" s="549">
        <v>0</v>
      </c>
      <c r="FM369" s="675">
        <v>0</v>
      </c>
      <c r="FN369" s="549">
        <v>0</v>
      </c>
      <c r="FO369" s="675">
        <v>0</v>
      </c>
      <c r="FP369" s="549">
        <v>0</v>
      </c>
      <c r="FQ369" s="675">
        <v>0</v>
      </c>
      <c r="FR369" s="549">
        <v>0</v>
      </c>
      <c r="FS369" s="675">
        <v>0</v>
      </c>
      <c r="FT369" s="549">
        <v>0</v>
      </c>
      <c r="FU369" s="675">
        <v>0</v>
      </c>
      <c r="FV369" s="549">
        <v>0</v>
      </c>
      <c r="FW369" s="675">
        <v>0</v>
      </c>
      <c r="FX369" s="549">
        <v>0</v>
      </c>
      <c r="FY369" s="675">
        <v>0</v>
      </c>
      <c r="FZ369" s="549">
        <v>0</v>
      </c>
      <c r="GA369" s="675">
        <v>0</v>
      </c>
      <c r="GB369" s="549">
        <v>0</v>
      </c>
      <c r="GC369" s="675">
        <v>0</v>
      </c>
      <c r="GD369" s="549">
        <v>0</v>
      </c>
      <c r="GE369" s="675">
        <v>0</v>
      </c>
      <c r="GF369" s="549">
        <v>0</v>
      </c>
      <c r="GG369" s="675">
        <v>0</v>
      </c>
      <c r="GH369" s="549">
        <v>0</v>
      </c>
      <c r="GI369" s="675">
        <v>0</v>
      </c>
      <c r="GJ369" s="549">
        <v>0</v>
      </c>
      <c r="GK369" s="675">
        <v>0</v>
      </c>
      <c r="GL369" s="549">
        <v>0</v>
      </c>
      <c r="GM369" s="675">
        <v>0</v>
      </c>
      <c r="GN369" s="549">
        <v>0</v>
      </c>
      <c r="GO369" s="675">
        <v>0</v>
      </c>
      <c r="GP369" s="549">
        <f>+D369+F369+H369+J369+L369+N369+P369+R369+T369+V369+X369+Z369+AB369+AF369+AD369+AH369+AJ369+AL369+AN369+AP369+AR369+AT369+AV369+AX369+AZ369+BB369+BD369+BF369+BH369+BJ369+BL369+BN369+BP369+BR369+BT369+BV369+BX369+BZ369+CB369+CD369+CF369+CH369+CJ369+CL369+CN369+CP369+CR369+CT369+CV369+CX369+CZ369+DB369+DD369+DF369+DH369+DT369+EX369+DJ369+DL369+DN369+DP369+DR369+EJ369+EB369+DZ369+DX369+DV369+ED369+EF369+EH369+EL369+EN369+EP369+EV369+ET369+ER369+EZ369+FB369+FD369+GL369+FF369+FJ369+FL369+GJ369+FT369+FR369+FP369+FN369+FH369+GH369+GF369+GD369+GB369+FZ369+FX369+FV369+GN369</f>
        <v>24315</v>
      </c>
      <c r="GQ369" s="675">
        <f>+E369+G369+I369+K369+M369+O369+Q369+S369+U369+W369+Y369+AA369+AC369+AE369+AG369+AI369+AK369+AM369+AO369+AQ369+AS369+AU369+AW369+AY369+BA369+BC369+BE369+BG369+BI369+BK369+BM369+BO369+BQ369+BS369+BU369+BW369+BY369+CA369+CC369+CE369+CG369+CI369+CK369+CM369+CO369+CQ369+CS369+CU369+CW369+CY369+DA369+DC369+DE369+DG369+DI369+DU369+EY369+DK369+DM369+DO369+DQ369+DS369+EK369+EC369+EA369+DY369+DW369+EI369+EG369+EE369+EM369+EO369+EQ369+EW369+EU369+ES369+FA369+FC369+FE369+GM369+FG369+FK369+FM369+FO369+FQ369+FS369+FU369+GK369+FI369+GI369+GG369+GE369+GC369+GA369+FY369+FW369+GO369</f>
        <v>-52500</v>
      </c>
      <c r="GR369" s="74">
        <f>C369+GP369+GQ369</f>
        <v>600815</v>
      </c>
      <c r="GS369" s="74">
        <f>SUM(GU369:HD369)+GP369+GQ369</f>
        <v>543634</v>
      </c>
      <c r="GT369" s="568">
        <f>SUM(GU369:HF369)+GQ369+GP369</f>
        <v>600815</v>
      </c>
      <c r="GU369" s="275">
        <v>57190</v>
      </c>
      <c r="GV369" s="275">
        <v>57181</v>
      </c>
      <c r="GW369" s="275">
        <v>57181</v>
      </c>
      <c r="GX369" s="275">
        <v>57181</v>
      </c>
      <c r="GY369" s="275">
        <v>57181</v>
      </c>
      <c r="GZ369" s="275">
        <v>57181</v>
      </c>
      <c r="HA369" s="275">
        <v>57181</v>
      </c>
      <c r="HB369" s="275">
        <v>57181</v>
      </c>
      <c r="HC369" s="275">
        <v>57181</v>
      </c>
      <c r="HD369" s="275">
        <v>57181</v>
      </c>
      <c r="HE369" s="275">
        <v>57181</v>
      </c>
      <c r="HF369" s="275">
        <v>0</v>
      </c>
      <c r="HG369" s="74">
        <f>SUM(HH369:IE369)</f>
        <v>654795.69999999995</v>
      </c>
      <c r="HH369" s="89">
        <v>57190</v>
      </c>
      <c r="HI369" s="817">
        <v>0</v>
      </c>
      <c r="HJ369" s="89">
        <v>57181</v>
      </c>
      <c r="HK369" s="817">
        <v>0</v>
      </c>
      <c r="HL369" s="89">
        <v>57181</v>
      </c>
      <c r="HM369" s="817">
        <v>0</v>
      </c>
      <c r="HN369" s="89">
        <v>57181</v>
      </c>
      <c r="HO369" s="817">
        <v>0</v>
      </c>
      <c r="HP369" s="89">
        <v>57181</v>
      </c>
      <c r="HQ369" s="817">
        <v>0</v>
      </c>
      <c r="HR369" s="89">
        <v>57181</v>
      </c>
      <c r="HS369" s="817">
        <v>0</v>
      </c>
      <c r="HT369" s="89">
        <v>57181</v>
      </c>
      <c r="HU369" s="817">
        <v>0</v>
      </c>
      <c r="HV369" s="89">
        <f>57181+52513.62</f>
        <v>109694.62</v>
      </c>
      <c r="HW369" s="817">
        <v>0</v>
      </c>
      <c r="HX369" s="89">
        <v>90844.38</v>
      </c>
      <c r="HY369" s="817">
        <v>0</v>
      </c>
      <c r="HZ369" s="89">
        <v>53980.7</v>
      </c>
      <c r="IA369" s="817">
        <v>0</v>
      </c>
      <c r="IB369" s="89">
        <v>0</v>
      </c>
      <c r="IC369" s="817">
        <v>0</v>
      </c>
      <c r="ID369" s="89">
        <v>0</v>
      </c>
      <c r="IE369" s="817">
        <v>0</v>
      </c>
      <c r="IF369" s="841">
        <f t="shared" ref="IF369" si="10274">SUM(II369,IL369,IO369,IR369,IU369,IX369,JA369,JD369,JG369,JJ369,JM369,JP369)</f>
        <v>465750.7</v>
      </c>
      <c r="IG369" s="263">
        <f t="shared" ref="IG369" si="10275">SUM(IJ369,IM369,IP369,IS369,IV369,IY369,JB369,JE369,JH369,JK369,JN369,JQ369)</f>
        <v>465750.7</v>
      </c>
      <c r="IH369" s="842">
        <f t="shared" ref="IH369" si="10276">SUM(IK369,IN369,IQ369,IT369,IW369,IZ369,JC369,JF369,JI369,JL369,JO369,JR369)</f>
        <v>465750.7</v>
      </c>
      <c r="II369" s="89">
        <v>34183.14</v>
      </c>
      <c r="IJ369" s="89">
        <f t="shared" ref="IJ369" si="10277">II369</f>
        <v>34183.14</v>
      </c>
      <c r="IK369" s="89">
        <f t="shared" ref="IK369" si="10278">IJ369</f>
        <v>34183.14</v>
      </c>
      <c r="IL369" s="89">
        <f>71850.64-34183.14</f>
        <v>37667.5</v>
      </c>
      <c r="IM369" s="89">
        <f t="shared" ref="IM369" si="10279">IL369</f>
        <v>37667.5</v>
      </c>
      <c r="IN369" s="89">
        <f t="shared" ref="IN369" si="10280">IM369</f>
        <v>37667.5</v>
      </c>
      <c r="IO369" s="89">
        <f>90484.39-71850.64</f>
        <v>18633.75</v>
      </c>
      <c r="IP369" s="89">
        <f t="shared" ref="IP369" si="10281">IO369</f>
        <v>18633.75</v>
      </c>
      <c r="IQ369" s="89">
        <f t="shared" ref="IQ369" si="10282">IP369</f>
        <v>18633.75</v>
      </c>
      <c r="IR369" s="89">
        <f>143155.21-90484.39</f>
        <v>52670.819999999992</v>
      </c>
      <c r="IS369" s="89">
        <f t="shared" ref="IS369" si="10283">IR369</f>
        <v>52670.819999999992</v>
      </c>
      <c r="IT369" s="89">
        <f t="shared" ref="IT369" si="10284">IS369</f>
        <v>52670.819999999992</v>
      </c>
      <c r="IU369" s="89">
        <f>193985.03-143155.21</f>
        <v>50829.820000000007</v>
      </c>
      <c r="IV369" s="89">
        <f t="shared" ref="IV369" si="10285">IU369</f>
        <v>50829.820000000007</v>
      </c>
      <c r="IW369" s="89">
        <f t="shared" ref="IW369" si="10286">IV369</f>
        <v>50829.820000000007</v>
      </c>
      <c r="IX369" s="89">
        <f>239730.04-193985.03</f>
        <v>45745.010000000009</v>
      </c>
      <c r="IY369" s="89">
        <f t="shared" ref="IY369" si="10287">IX369</f>
        <v>45745.010000000009</v>
      </c>
      <c r="IZ369" s="89">
        <f t="shared" ref="IZ369" si="10288">IY369</f>
        <v>45745.010000000009</v>
      </c>
      <c r="JA369" s="89">
        <f>288280.98-239730.04</f>
        <v>48550.939999999973</v>
      </c>
      <c r="JB369" s="89">
        <f t="shared" ref="JB369" si="10289">JA369</f>
        <v>48550.939999999973</v>
      </c>
      <c r="JC369" s="89">
        <f t="shared" ref="JC369" si="10290">JB369</f>
        <v>48550.939999999973</v>
      </c>
      <c r="JD369" s="89">
        <f>340833.57-288280.98</f>
        <v>52552.590000000026</v>
      </c>
      <c r="JE369" s="89">
        <f t="shared" ref="JE369" si="10291">JD369</f>
        <v>52552.590000000026</v>
      </c>
      <c r="JF369" s="89">
        <f t="shared" ref="JF369" si="10292">JE369</f>
        <v>52552.590000000026</v>
      </c>
      <c r="JG369" s="89">
        <f>404184.03-340833.57</f>
        <v>63350.460000000021</v>
      </c>
      <c r="JH369" s="89">
        <f t="shared" ref="JH369" si="10293">JG369</f>
        <v>63350.460000000021</v>
      </c>
      <c r="JI369" s="89">
        <f t="shared" ref="JI369" si="10294">JH369</f>
        <v>63350.460000000021</v>
      </c>
      <c r="JJ369" s="89">
        <f>465750.7-404184.03</f>
        <v>61566.669999999984</v>
      </c>
      <c r="JK369" s="89">
        <f t="shared" ref="JK369" si="10295">JJ369</f>
        <v>61566.669999999984</v>
      </c>
      <c r="JL369" s="89">
        <f t="shared" ref="JL369" si="10296">JK369</f>
        <v>61566.669999999984</v>
      </c>
      <c r="JM369" s="89">
        <v>0</v>
      </c>
      <c r="JN369" s="89">
        <f t="shared" ref="JN369" si="10297">JM369</f>
        <v>0</v>
      </c>
      <c r="JO369" s="89">
        <f t="shared" ref="JO369" si="10298">JN369</f>
        <v>0</v>
      </c>
      <c r="JP369" s="89">
        <v>0</v>
      </c>
      <c r="JQ369" s="89">
        <f t="shared" ref="JQ369:JR369" si="10299">JP369</f>
        <v>0</v>
      </c>
      <c r="JR369" s="89">
        <f t="shared" si="10299"/>
        <v>0</v>
      </c>
      <c r="JS369" s="74">
        <f>HG369-IF369</f>
        <v>189044.99999999994</v>
      </c>
      <c r="JT369" s="382">
        <f>GS369-IF369</f>
        <v>77883.299999999988</v>
      </c>
      <c r="JU369" s="665"/>
      <c r="JV369" s="524"/>
      <c r="JW369" s="525"/>
      <c r="JX369" s="549">
        <f>SUM(HH369,HJ369,HL369,HN369,HP369,HR369,HT369,HV369,HX369,HZ369,IB369,ID369)</f>
        <v>654795.69999999995</v>
      </c>
      <c r="JY369" s="549">
        <f>SUM(HI369,HK369,HM369,HO369,HQ369,HS369,HU369,HW369,HY369,IA369,IC369,IE369)</f>
        <v>0</v>
      </c>
      <c r="JZ369" s="581">
        <f t="shared" ref="JZ369:JZ435" si="10300">GP369</f>
        <v>24315</v>
      </c>
      <c r="KA369" s="581">
        <f t="shared" ref="KA369:KA435" si="10301">GQ369</f>
        <v>-52500</v>
      </c>
      <c r="KB369" s="549">
        <f t="shared" si="10257"/>
        <v>654795.69999999995</v>
      </c>
      <c r="KC369" s="709">
        <f t="shared" si="10273"/>
        <v>0</v>
      </c>
      <c r="KD369" s="36"/>
      <c r="KE369" s="36"/>
      <c r="KF369" s="36"/>
      <c r="KG369" s="36"/>
      <c r="KH369" s="36"/>
      <c r="KI369" s="36"/>
      <c r="KJ369" s="36"/>
      <c r="KK369" s="36"/>
    </row>
    <row r="370" spans="1:297" s="10" customFormat="1">
      <c r="A370" s="91"/>
      <c r="B370" s="77"/>
      <c r="C370" s="74"/>
      <c r="D370" s="549"/>
      <c r="E370" s="675"/>
      <c r="F370" s="549"/>
      <c r="G370" s="675"/>
      <c r="H370" s="549"/>
      <c r="I370" s="675"/>
      <c r="J370" s="549"/>
      <c r="K370" s="675"/>
      <c r="L370" s="549"/>
      <c r="M370" s="675"/>
      <c r="N370" s="549"/>
      <c r="O370" s="675"/>
      <c r="P370" s="549"/>
      <c r="Q370" s="675"/>
      <c r="R370" s="549"/>
      <c r="S370" s="675"/>
      <c r="T370" s="549"/>
      <c r="U370" s="675"/>
      <c r="V370" s="549"/>
      <c r="W370" s="675"/>
      <c r="X370" s="549"/>
      <c r="Y370" s="675"/>
      <c r="Z370" s="549"/>
      <c r="AA370" s="675"/>
      <c r="AB370" s="549"/>
      <c r="AC370" s="675"/>
      <c r="AD370" s="549"/>
      <c r="AE370" s="675"/>
      <c r="AF370" s="549"/>
      <c r="AG370" s="675"/>
      <c r="AH370" s="549"/>
      <c r="AI370" s="675"/>
      <c r="AJ370" s="549"/>
      <c r="AK370" s="675"/>
      <c r="AL370" s="549"/>
      <c r="AM370" s="675"/>
      <c r="AN370" s="549"/>
      <c r="AO370" s="675"/>
      <c r="AP370" s="549"/>
      <c r="AQ370" s="675"/>
      <c r="AR370" s="549"/>
      <c r="AS370" s="675"/>
      <c r="AT370" s="549"/>
      <c r="AU370" s="675"/>
      <c r="AV370" s="549"/>
      <c r="AW370" s="675"/>
      <c r="AX370" s="549"/>
      <c r="AY370" s="675"/>
      <c r="AZ370" s="549"/>
      <c r="BA370" s="675"/>
      <c r="BB370" s="549"/>
      <c r="BC370" s="675"/>
      <c r="BD370" s="549"/>
      <c r="BE370" s="675"/>
      <c r="BF370" s="549"/>
      <c r="BG370" s="675"/>
      <c r="BH370" s="549"/>
      <c r="BI370" s="675"/>
      <c r="BJ370" s="549"/>
      <c r="BK370" s="675"/>
      <c r="BL370" s="549"/>
      <c r="BM370" s="675"/>
      <c r="BN370" s="549"/>
      <c r="BO370" s="675"/>
      <c r="BP370" s="549"/>
      <c r="BQ370" s="675"/>
      <c r="BR370" s="549"/>
      <c r="BS370" s="675"/>
      <c r="BT370" s="549"/>
      <c r="BU370" s="675"/>
      <c r="BV370" s="549"/>
      <c r="BW370" s="675"/>
      <c r="BX370" s="549"/>
      <c r="BY370" s="675"/>
      <c r="BZ370" s="549"/>
      <c r="CA370" s="675"/>
      <c r="CB370" s="549"/>
      <c r="CC370" s="675"/>
      <c r="CD370" s="549"/>
      <c r="CE370" s="675"/>
      <c r="CF370" s="549"/>
      <c r="CG370" s="675"/>
      <c r="CH370" s="549"/>
      <c r="CI370" s="675"/>
      <c r="CJ370" s="549"/>
      <c r="CK370" s="675"/>
      <c r="CL370" s="549"/>
      <c r="CM370" s="675"/>
      <c r="CN370" s="549"/>
      <c r="CO370" s="675"/>
      <c r="CP370" s="549"/>
      <c r="CQ370" s="675"/>
      <c r="CR370" s="549"/>
      <c r="CS370" s="675"/>
      <c r="CT370" s="549"/>
      <c r="CU370" s="675"/>
      <c r="CV370" s="549"/>
      <c r="CW370" s="675"/>
      <c r="CX370" s="549"/>
      <c r="CY370" s="675"/>
      <c r="CZ370" s="549"/>
      <c r="DA370" s="675"/>
      <c r="DB370" s="549"/>
      <c r="DC370" s="675"/>
      <c r="DD370" s="549"/>
      <c r="DE370" s="675"/>
      <c r="DF370" s="549"/>
      <c r="DG370" s="675"/>
      <c r="DH370" s="549"/>
      <c r="DI370" s="675"/>
      <c r="DJ370" s="549"/>
      <c r="DK370" s="675"/>
      <c r="DL370" s="549"/>
      <c r="DM370" s="675"/>
      <c r="DN370" s="549"/>
      <c r="DO370" s="675"/>
      <c r="DP370" s="549"/>
      <c r="DQ370" s="675"/>
      <c r="DR370" s="549"/>
      <c r="DS370" s="675"/>
      <c r="DT370" s="549"/>
      <c r="DU370" s="675"/>
      <c r="DV370" s="549"/>
      <c r="DW370" s="675"/>
      <c r="DX370" s="549"/>
      <c r="DY370" s="675"/>
      <c r="DZ370" s="549"/>
      <c r="EA370" s="675"/>
      <c r="EB370" s="549"/>
      <c r="EC370" s="675"/>
      <c r="ED370" s="549"/>
      <c r="EE370" s="675"/>
      <c r="EF370" s="549"/>
      <c r="EG370" s="675"/>
      <c r="EH370" s="549"/>
      <c r="EI370" s="675"/>
      <c r="EJ370" s="549"/>
      <c r="EK370" s="675"/>
      <c r="EL370" s="549"/>
      <c r="EM370" s="675"/>
      <c r="EN370" s="549"/>
      <c r="EO370" s="675"/>
      <c r="EP370" s="549"/>
      <c r="EQ370" s="675"/>
      <c r="ER370" s="549"/>
      <c r="ES370" s="675"/>
      <c r="ET370" s="549"/>
      <c r="EU370" s="675"/>
      <c r="EV370" s="549"/>
      <c r="EW370" s="675"/>
      <c r="EX370" s="549"/>
      <c r="EY370" s="675"/>
      <c r="EZ370" s="549"/>
      <c r="FA370" s="675"/>
      <c r="FB370" s="549"/>
      <c r="FC370" s="675"/>
      <c r="FD370" s="549"/>
      <c r="FE370" s="675"/>
      <c r="FF370" s="549"/>
      <c r="FG370" s="675"/>
      <c r="FH370" s="549"/>
      <c r="FI370" s="675"/>
      <c r="FJ370" s="549"/>
      <c r="FK370" s="675"/>
      <c r="FL370" s="549"/>
      <c r="FM370" s="675"/>
      <c r="FN370" s="549"/>
      <c r="FO370" s="675"/>
      <c r="FP370" s="549"/>
      <c r="FQ370" s="675"/>
      <c r="FR370" s="549"/>
      <c r="FS370" s="675"/>
      <c r="FT370" s="549"/>
      <c r="FU370" s="675"/>
      <c r="FV370" s="549"/>
      <c r="FW370" s="675"/>
      <c r="FX370" s="549"/>
      <c r="FY370" s="675"/>
      <c r="FZ370" s="549"/>
      <c r="GA370" s="675"/>
      <c r="GB370" s="549"/>
      <c r="GC370" s="675"/>
      <c r="GD370" s="549"/>
      <c r="GE370" s="675"/>
      <c r="GF370" s="549"/>
      <c r="GG370" s="675"/>
      <c r="GH370" s="549"/>
      <c r="GI370" s="675"/>
      <c r="GJ370" s="549"/>
      <c r="GK370" s="675"/>
      <c r="GL370" s="549"/>
      <c r="GM370" s="675"/>
      <c r="GN370" s="549"/>
      <c r="GO370" s="675"/>
      <c r="GP370" s="549"/>
      <c r="GQ370" s="675"/>
      <c r="GR370" s="74"/>
      <c r="GS370" s="74"/>
      <c r="GT370" s="549"/>
      <c r="GU370" s="73"/>
      <c r="GV370" s="73"/>
      <c r="GW370" s="549"/>
      <c r="GX370" s="549"/>
      <c r="GY370" s="73"/>
      <c r="GZ370" s="73"/>
      <c r="HA370" s="73"/>
      <c r="HB370" s="73"/>
      <c r="HC370" s="73"/>
      <c r="HD370" s="73"/>
      <c r="HE370" s="73"/>
      <c r="HF370" s="73"/>
      <c r="HG370" s="74"/>
      <c r="HH370" s="73"/>
      <c r="HI370" s="815"/>
      <c r="HJ370" s="73"/>
      <c r="HK370" s="815"/>
      <c r="HL370" s="73"/>
      <c r="HM370" s="815"/>
      <c r="HN370" s="73"/>
      <c r="HO370" s="815"/>
      <c r="HP370" s="73"/>
      <c r="HQ370" s="815"/>
      <c r="HR370" s="73"/>
      <c r="HS370" s="815"/>
      <c r="HT370" s="73"/>
      <c r="HU370" s="815"/>
      <c r="HV370" s="73"/>
      <c r="HW370" s="815"/>
      <c r="HX370" s="73"/>
      <c r="HY370" s="815"/>
      <c r="HZ370" s="73"/>
      <c r="IA370" s="815"/>
      <c r="IB370" s="73"/>
      <c r="IC370" s="815"/>
      <c r="ID370" s="73"/>
      <c r="IE370" s="815"/>
      <c r="IF370" s="841"/>
      <c r="IG370" s="263"/>
      <c r="IH370" s="842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  <c r="JD370" s="73"/>
      <c r="JE370" s="73"/>
      <c r="JF370" s="73"/>
      <c r="JG370" s="73"/>
      <c r="JH370" s="73"/>
      <c r="JI370" s="73"/>
      <c r="JJ370" s="73"/>
      <c r="JK370" s="73"/>
      <c r="JL370" s="73"/>
      <c r="JM370" s="73"/>
      <c r="JN370" s="73"/>
      <c r="JO370" s="73"/>
      <c r="JP370" s="73"/>
      <c r="JQ370" s="73"/>
      <c r="JR370" s="73"/>
      <c r="JS370" s="74"/>
      <c r="JT370" s="382"/>
      <c r="JU370" s="665"/>
      <c r="JV370" s="524"/>
      <c r="JW370" s="525"/>
      <c r="JX370" s="549"/>
      <c r="JY370" s="549"/>
      <c r="JZ370" s="581">
        <f t="shared" si="10300"/>
        <v>0</v>
      </c>
      <c r="KA370" s="581">
        <f t="shared" si="10301"/>
        <v>0</v>
      </c>
      <c r="KB370" s="549">
        <f t="shared" si="10257"/>
        <v>0</v>
      </c>
      <c r="KC370" s="709">
        <f t="shared" si="10273"/>
        <v>0</v>
      </c>
      <c r="KD370" s="36"/>
      <c r="KE370" s="36"/>
      <c r="KF370" s="36"/>
      <c r="KG370" s="36"/>
      <c r="KH370" s="36"/>
      <c r="KI370" s="36"/>
      <c r="KJ370" s="36"/>
      <c r="KK370" s="36"/>
    </row>
    <row r="371" spans="1:297" s="10" customFormat="1">
      <c r="A371" s="86" t="s">
        <v>243</v>
      </c>
      <c r="B371" s="77" t="s">
        <v>66</v>
      </c>
      <c r="C371" s="74">
        <v>89500</v>
      </c>
      <c r="D371" s="549">
        <v>0</v>
      </c>
      <c r="E371" s="675">
        <v>0</v>
      </c>
      <c r="F371" s="549">
        <v>0</v>
      </c>
      <c r="G371" s="675">
        <v>0</v>
      </c>
      <c r="H371" s="549">
        <v>0</v>
      </c>
      <c r="I371" s="675">
        <v>0</v>
      </c>
      <c r="J371" s="549">
        <v>0</v>
      </c>
      <c r="K371" s="675">
        <v>0</v>
      </c>
      <c r="L371" s="549">
        <v>0</v>
      </c>
      <c r="M371" s="675">
        <v>0</v>
      </c>
      <c r="N371" s="549">
        <v>0</v>
      </c>
      <c r="O371" s="675">
        <v>0</v>
      </c>
      <c r="P371" s="549">
        <v>0</v>
      </c>
      <c r="Q371" s="675">
        <v>0</v>
      </c>
      <c r="R371" s="549">
        <v>0</v>
      </c>
      <c r="S371" s="675">
        <v>0</v>
      </c>
      <c r="T371" s="549">
        <v>0</v>
      </c>
      <c r="U371" s="675">
        <v>0</v>
      </c>
      <c r="V371" s="549">
        <v>0</v>
      </c>
      <c r="W371" s="675">
        <v>0</v>
      </c>
      <c r="X371" s="549">
        <v>0</v>
      </c>
      <c r="Y371" s="675">
        <v>0</v>
      </c>
      <c r="Z371" s="549">
        <v>0</v>
      </c>
      <c r="AA371" s="675">
        <v>0</v>
      </c>
      <c r="AB371" s="549">
        <v>0</v>
      </c>
      <c r="AC371" s="675">
        <v>0</v>
      </c>
      <c r="AD371" s="549">
        <v>0</v>
      </c>
      <c r="AE371" s="675">
        <v>0</v>
      </c>
      <c r="AF371" s="549">
        <v>0</v>
      </c>
      <c r="AG371" s="675">
        <v>0</v>
      </c>
      <c r="AH371" s="549">
        <v>0</v>
      </c>
      <c r="AI371" s="675">
        <v>0</v>
      </c>
      <c r="AJ371" s="549">
        <v>0</v>
      </c>
      <c r="AK371" s="675">
        <v>0</v>
      </c>
      <c r="AL371" s="549">
        <v>0</v>
      </c>
      <c r="AM371" s="675">
        <v>0</v>
      </c>
      <c r="AN371" s="549">
        <v>0</v>
      </c>
      <c r="AO371" s="675">
        <v>0</v>
      </c>
      <c r="AP371" s="549">
        <v>0</v>
      </c>
      <c r="AQ371" s="675">
        <v>0</v>
      </c>
      <c r="AR371" s="549">
        <v>0</v>
      </c>
      <c r="AS371" s="675">
        <v>0</v>
      </c>
      <c r="AT371" s="549">
        <v>0</v>
      </c>
      <c r="AU371" s="675">
        <v>0</v>
      </c>
      <c r="AV371" s="549">
        <v>0</v>
      </c>
      <c r="AW371" s="675">
        <v>0</v>
      </c>
      <c r="AX371" s="549">
        <v>0</v>
      </c>
      <c r="AY371" s="675">
        <v>0</v>
      </c>
      <c r="AZ371" s="549">
        <v>0</v>
      </c>
      <c r="BA371" s="675">
        <v>0</v>
      </c>
      <c r="BB371" s="549">
        <v>0</v>
      </c>
      <c r="BC371" s="675">
        <v>0</v>
      </c>
      <c r="BD371" s="549">
        <v>0</v>
      </c>
      <c r="BE371" s="675">
        <v>0</v>
      </c>
      <c r="BF371" s="549">
        <v>0</v>
      </c>
      <c r="BG371" s="675">
        <v>0</v>
      </c>
      <c r="BH371" s="549">
        <v>0</v>
      </c>
      <c r="BI371" s="675">
        <v>0</v>
      </c>
      <c r="BJ371" s="549">
        <v>0</v>
      </c>
      <c r="BK371" s="675">
        <v>0</v>
      </c>
      <c r="BL371" s="549">
        <v>0</v>
      </c>
      <c r="BM371" s="675">
        <v>0</v>
      </c>
      <c r="BN371" s="549">
        <v>0</v>
      </c>
      <c r="BO371" s="675">
        <v>0</v>
      </c>
      <c r="BP371" s="549">
        <v>0</v>
      </c>
      <c r="BQ371" s="675">
        <v>0</v>
      </c>
      <c r="BR371" s="549">
        <v>0</v>
      </c>
      <c r="BS371" s="675">
        <v>0</v>
      </c>
      <c r="BT371" s="549">
        <v>0</v>
      </c>
      <c r="BU371" s="675">
        <v>0</v>
      </c>
      <c r="BV371" s="549">
        <v>0</v>
      </c>
      <c r="BW371" s="675">
        <v>0</v>
      </c>
      <c r="BX371" s="549">
        <v>0</v>
      </c>
      <c r="BY371" s="675">
        <v>0</v>
      </c>
      <c r="BZ371" s="549">
        <v>0</v>
      </c>
      <c r="CA371" s="675">
        <v>0</v>
      </c>
      <c r="CB371" s="549">
        <v>0</v>
      </c>
      <c r="CC371" s="675">
        <v>0</v>
      </c>
      <c r="CD371" s="549">
        <v>0</v>
      </c>
      <c r="CE371" s="675">
        <v>0</v>
      </c>
      <c r="CF371" s="549">
        <v>0</v>
      </c>
      <c r="CG371" s="675">
        <v>0</v>
      </c>
      <c r="CH371" s="549">
        <v>0</v>
      </c>
      <c r="CI371" s="675">
        <v>0</v>
      </c>
      <c r="CJ371" s="549">
        <v>0</v>
      </c>
      <c r="CK371" s="675">
        <v>0</v>
      </c>
      <c r="CL371" s="549">
        <v>0</v>
      </c>
      <c r="CM371" s="675">
        <v>0</v>
      </c>
      <c r="CN371" s="549">
        <v>0</v>
      </c>
      <c r="CO371" s="675">
        <v>0</v>
      </c>
      <c r="CP371" s="549">
        <v>0</v>
      </c>
      <c r="CQ371" s="675">
        <v>-20655</v>
      </c>
      <c r="CR371" s="549">
        <v>0</v>
      </c>
      <c r="CS371" s="675">
        <v>0</v>
      </c>
      <c r="CT371" s="549">
        <v>0</v>
      </c>
      <c r="CU371" s="675">
        <v>0</v>
      </c>
      <c r="CV371" s="549">
        <v>0</v>
      </c>
      <c r="CW371" s="675">
        <v>0</v>
      </c>
      <c r="CX371" s="549">
        <v>0</v>
      </c>
      <c r="CY371" s="675">
        <v>0</v>
      </c>
      <c r="CZ371" s="549">
        <v>0</v>
      </c>
      <c r="DA371" s="675">
        <v>0</v>
      </c>
      <c r="DB371" s="549">
        <v>0</v>
      </c>
      <c r="DC371" s="675">
        <v>0</v>
      </c>
      <c r="DD371" s="549">
        <v>0</v>
      </c>
      <c r="DE371" s="675">
        <v>0</v>
      </c>
      <c r="DF371" s="549">
        <v>0</v>
      </c>
      <c r="DG371" s="675">
        <v>0</v>
      </c>
      <c r="DH371" s="549">
        <v>0</v>
      </c>
      <c r="DI371" s="675">
        <v>0</v>
      </c>
      <c r="DJ371" s="549">
        <v>0</v>
      </c>
      <c r="DK371" s="675">
        <v>0</v>
      </c>
      <c r="DL371" s="549">
        <v>0</v>
      </c>
      <c r="DM371" s="675">
        <v>0</v>
      </c>
      <c r="DN371" s="549">
        <v>0</v>
      </c>
      <c r="DO371" s="675">
        <v>0</v>
      </c>
      <c r="DP371" s="549">
        <v>0</v>
      </c>
      <c r="DQ371" s="675">
        <v>0</v>
      </c>
      <c r="DR371" s="549">
        <v>0</v>
      </c>
      <c r="DS371" s="675">
        <v>0</v>
      </c>
      <c r="DT371" s="549">
        <v>0</v>
      </c>
      <c r="DU371" s="675">
        <v>0</v>
      </c>
      <c r="DV371" s="549">
        <v>0</v>
      </c>
      <c r="DW371" s="675">
        <v>0</v>
      </c>
      <c r="DX371" s="549">
        <v>0</v>
      </c>
      <c r="DY371" s="675">
        <v>0</v>
      </c>
      <c r="DZ371" s="549">
        <v>0</v>
      </c>
      <c r="EA371" s="675">
        <v>0</v>
      </c>
      <c r="EB371" s="549">
        <v>0</v>
      </c>
      <c r="EC371" s="675">
        <v>-3660</v>
      </c>
      <c r="ED371" s="549">
        <v>0</v>
      </c>
      <c r="EE371" s="675">
        <v>0</v>
      </c>
      <c r="EF371" s="549">
        <v>0</v>
      </c>
      <c r="EG371" s="675">
        <v>0</v>
      </c>
      <c r="EH371" s="549">
        <v>0</v>
      </c>
      <c r="EI371" s="675">
        <v>0</v>
      </c>
      <c r="EJ371" s="549">
        <v>0</v>
      </c>
      <c r="EK371" s="675">
        <v>0</v>
      </c>
      <c r="EL371" s="549">
        <v>0</v>
      </c>
      <c r="EM371" s="675">
        <v>0</v>
      </c>
      <c r="EN371" s="549">
        <v>0</v>
      </c>
      <c r="EO371" s="675">
        <v>0</v>
      </c>
      <c r="EP371" s="549">
        <v>0</v>
      </c>
      <c r="EQ371" s="675">
        <v>0</v>
      </c>
      <c r="ER371" s="549">
        <v>0</v>
      </c>
      <c r="ES371" s="675">
        <v>0</v>
      </c>
      <c r="ET371" s="549">
        <v>0</v>
      </c>
      <c r="EU371" s="675">
        <v>0</v>
      </c>
      <c r="EV371" s="549">
        <v>0</v>
      </c>
      <c r="EW371" s="675">
        <v>0</v>
      </c>
      <c r="EX371" s="549">
        <v>0</v>
      </c>
      <c r="EY371" s="675">
        <v>0</v>
      </c>
      <c r="EZ371" s="549">
        <v>0</v>
      </c>
      <c r="FA371" s="675">
        <v>-15400</v>
      </c>
      <c r="FB371" s="549">
        <v>0</v>
      </c>
      <c r="FC371" s="675">
        <v>0</v>
      </c>
      <c r="FD371" s="549">
        <v>0</v>
      </c>
      <c r="FE371" s="675">
        <v>0</v>
      </c>
      <c r="FF371" s="549">
        <v>0</v>
      </c>
      <c r="FG371" s="675">
        <v>0</v>
      </c>
      <c r="FH371" s="549">
        <v>0</v>
      </c>
      <c r="FI371" s="675">
        <v>0</v>
      </c>
      <c r="FJ371" s="549">
        <v>0</v>
      </c>
      <c r="FK371" s="675">
        <v>0</v>
      </c>
      <c r="FL371" s="549">
        <v>0</v>
      </c>
      <c r="FM371" s="675">
        <v>0</v>
      </c>
      <c r="FN371" s="549">
        <v>0</v>
      </c>
      <c r="FO371" s="675">
        <v>0</v>
      </c>
      <c r="FP371" s="549">
        <v>0</v>
      </c>
      <c r="FQ371" s="675">
        <v>0</v>
      </c>
      <c r="FR371" s="549">
        <v>0</v>
      </c>
      <c r="FS371" s="675">
        <v>0</v>
      </c>
      <c r="FT371" s="549">
        <v>0</v>
      </c>
      <c r="FU371" s="675">
        <v>0</v>
      </c>
      <c r="FV371" s="549">
        <v>0</v>
      </c>
      <c r="FW371" s="675">
        <v>0</v>
      </c>
      <c r="FX371" s="549">
        <v>0</v>
      </c>
      <c r="FY371" s="675">
        <v>0</v>
      </c>
      <c r="FZ371" s="549">
        <v>0</v>
      </c>
      <c r="GA371" s="675">
        <v>0</v>
      </c>
      <c r="GB371" s="549">
        <v>0</v>
      </c>
      <c r="GC371" s="675">
        <v>0</v>
      </c>
      <c r="GD371" s="549">
        <v>0</v>
      </c>
      <c r="GE371" s="675">
        <v>0</v>
      </c>
      <c r="GF371" s="549">
        <v>0</v>
      </c>
      <c r="GG371" s="675">
        <v>0</v>
      </c>
      <c r="GH371" s="549">
        <v>0</v>
      </c>
      <c r="GI371" s="675">
        <v>0</v>
      </c>
      <c r="GJ371" s="549">
        <v>0</v>
      </c>
      <c r="GK371" s="675">
        <v>0</v>
      </c>
      <c r="GL371" s="549">
        <v>0</v>
      </c>
      <c r="GM371" s="675">
        <v>0</v>
      </c>
      <c r="GN371" s="549">
        <v>0</v>
      </c>
      <c r="GO371" s="675">
        <v>0</v>
      </c>
      <c r="GP371" s="549">
        <f>+D371+F371+H371+J371+L371+N371+P371+R371+T371+V371+X371+Z371+AB371+AF371+AD371+AH371+AJ371+AL371+AN371+AP371+AR371+AT371+AV371+AX371+AZ371+BB371+BD371+BF371+BH371+BJ371+BL371+BN371+BP371+BR371+BT371+BV371+BX371+BZ371+CB371+CD371+CF371+CH371+CJ371+CL371+CN371+CP371+CR371+CT371+CV371+CX371+CZ371+DB371+DD371+DF371+DH371+DT371+EX371+DJ371+DL371+DN371+DP371+DR371+EJ371+EB371+DZ371+DX371+DV371+ED371+EF371+EH371+EL371+EN371+EP371+EV371+ET371+ER371+EZ371+FB371+FD371+GL371+FF371+FJ371+FL371+GJ371+FT371+FR371+FP371+FN371+FH371+GH371+GF371+GD371+GB371+FZ371+FX371+FV371</f>
        <v>0</v>
      </c>
      <c r="GQ371" s="675">
        <f>+E371+G371+I371+K371+M371+O371+Q371+S371+U371+W371+Y371+AA371+AC371+AE371+AG371+AI371+AK371+AM371+AO371+AQ371+AS371+AU371+AW371+AY371+BA371+BC371+BE371+BG371+BI371+BK371+BM371+BO371+BQ371+BS371+BU371+BW371+BY371+CA371+CC371+CE371+CG371+CI371+CK371+CM371+CO371+CQ371+CS371+CU371+CW371+CY371+DA371+DC371+DE371+DG371+DI371+DU371+EY371+DK371+DM371+DO371+DQ371+DS371+EK371+EC371+EA371+DY371+DW371+EI371+EG371+EE371+EM371+EO371+EQ371+EW371+EU371+ES371+FA371+FC371+FE371+GM371+FG371+FK371+FM371+FO371+FQ371+FS371+FU371+GK371+FI371+GI371+GG371+GE371+GC371+GA371+FY371+FW371</f>
        <v>-39715</v>
      </c>
      <c r="GR371" s="74">
        <f>C371+GP371+GQ371</f>
        <v>49785</v>
      </c>
      <c r="GS371" s="74">
        <f>SUM(GU371:HC371)+GP371+GQ371</f>
        <v>19952</v>
      </c>
      <c r="GT371" s="568">
        <f>SUM(GU371:HF371)+GQ371+GP371</f>
        <v>49785</v>
      </c>
      <c r="GU371" s="275"/>
      <c r="GV371" s="831">
        <v>29834</v>
      </c>
      <c r="GW371" s="588"/>
      <c r="GX371" s="588"/>
      <c r="GY371" s="275"/>
      <c r="GZ371" s="275"/>
      <c r="HA371" s="275"/>
      <c r="HB371" s="831">
        <v>29833</v>
      </c>
      <c r="HC371" s="275"/>
      <c r="HD371" s="275"/>
      <c r="HE371" s="275">
        <v>29833</v>
      </c>
      <c r="HF371" s="275">
        <v>0</v>
      </c>
      <c r="HG371" s="74">
        <f>SUM(HH371:IE371)</f>
        <v>49784.999999999993</v>
      </c>
      <c r="HH371" s="89">
        <v>0</v>
      </c>
      <c r="HI371" s="817">
        <v>0</v>
      </c>
      <c r="HJ371" s="89">
        <v>8979.89</v>
      </c>
      <c r="HK371" s="817">
        <v>0</v>
      </c>
      <c r="HL371" s="89">
        <v>0</v>
      </c>
      <c r="HM371" s="817">
        <v>0</v>
      </c>
      <c r="HN371" s="89">
        <v>0</v>
      </c>
      <c r="HO371" s="817">
        <v>0</v>
      </c>
      <c r="HP371" s="89">
        <v>0</v>
      </c>
      <c r="HQ371" s="817">
        <v>0</v>
      </c>
      <c r="HR371" s="89">
        <v>0</v>
      </c>
      <c r="HS371" s="817">
        <v>0</v>
      </c>
      <c r="HT371" s="89">
        <v>0</v>
      </c>
      <c r="HU371" s="817">
        <v>0</v>
      </c>
      <c r="HV371" s="89">
        <v>10945.03</v>
      </c>
      <c r="HW371" s="817">
        <v>0</v>
      </c>
      <c r="HX371" s="89">
        <v>22235.09</v>
      </c>
      <c r="HY371" s="817">
        <v>0</v>
      </c>
      <c r="HZ371" s="89">
        <f>49785-42160.01</f>
        <v>7624.989999999998</v>
      </c>
      <c r="IA371" s="817">
        <v>0</v>
      </c>
      <c r="IB371" s="89">
        <v>0</v>
      </c>
      <c r="IC371" s="817">
        <v>0</v>
      </c>
      <c r="ID371" s="89">
        <v>0</v>
      </c>
      <c r="IE371" s="817">
        <v>0</v>
      </c>
      <c r="IF371" s="841">
        <f t="shared" ref="IF371" si="10302">SUM(II371,IL371,IO371,IR371,IU371,IX371,JA371,JD371,JG371,JJ371,JM371,JP371)</f>
        <v>19924.919999999998</v>
      </c>
      <c r="IG371" s="263">
        <f t="shared" ref="IG371" si="10303">SUM(IJ371,IM371,IP371,IS371,IV371,IY371,JB371,JE371,JH371,JK371,JN371,JQ371)</f>
        <v>19924.919999999998</v>
      </c>
      <c r="IH371" s="842">
        <f t="shared" ref="IH371" si="10304">SUM(IK371,IN371,IQ371,IT371,IW371,IZ371,JC371,JF371,JI371,JL371,JO371,JR371)</f>
        <v>19924.919999999998</v>
      </c>
      <c r="II371" s="89">
        <v>0</v>
      </c>
      <c r="IJ371" s="89">
        <f t="shared" ref="IJ371" si="10305">II371</f>
        <v>0</v>
      </c>
      <c r="IK371" s="89">
        <f t="shared" ref="IK371" si="10306">IJ371</f>
        <v>0</v>
      </c>
      <c r="IL371" s="89">
        <v>8979.89</v>
      </c>
      <c r="IM371" s="89">
        <f t="shared" ref="IM371" si="10307">IL371</f>
        <v>8979.89</v>
      </c>
      <c r="IN371" s="89">
        <f t="shared" ref="IN371" si="10308">IM371</f>
        <v>8979.89</v>
      </c>
      <c r="IO371" s="89">
        <v>0</v>
      </c>
      <c r="IP371" s="89">
        <f t="shared" ref="IP371" si="10309">IO371</f>
        <v>0</v>
      </c>
      <c r="IQ371" s="89">
        <f t="shared" ref="IQ371" si="10310">IP371</f>
        <v>0</v>
      </c>
      <c r="IR371" s="89">
        <v>0</v>
      </c>
      <c r="IS371" s="89">
        <f t="shared" ref="IS371" si="10311">IR371</f>
        <v>0</v>
      </c>
      <c r="IT371" s="89">
        <f t="shared" ref="IT371" si="10312">IS371</f>
        <v>0</v>
      </c>
      <c r="IU371" s="89">
        <v>0</v>
      </c>
      <c r="IV371" s="89">
        <f t="shared" ref="IV371" si="10313">IU371</f>
        <v>0</v>
      </c>
      <c r="IW371" s="89">
        <f t="shared" ref="IW371" si="10314">IV371</f>
        <v>0</v>
      </c>
      <c r="IX371" s="89">
        <v>0</v>
      </c>
      <c r="IY371" s="89">
        <f t="shared" ref="IY371" si="10315">IX371</f>
        <v>0</v>
      </c>
      <c r="IZ371" s="89">
        <f t="shared" ref="IZ371" si="10316">IY371</f>
        <v>0</v>
      </c>
      <c r="JA371" s="89">
        <f>8979.89-8979.89</f>
        <v>0</v>
      </c>
      <c r="JB371" s="89">
        <f t="shared" ref="JB371" si="10317">JA371</f>
        <v>0</v>
      </c>
      <c r="JC371" s="89">
        <f t="shared" ref="JC371" si="10318">JB371</f>
        <v>0</v>
      </c>
      <c r="JD371" s="89">
        <f>19924.92-8979.89</f>
        <v>10945.029999999999</v>
      </c>
      <c r="JE371" s="89">
        <f t="shared" ref="JE371" si="10319">JD371</f>
        <v>10945.029999999999</v>
      </c>
      <c r="JF371" s="89">
        <f t="shared" ref="JF371" si="10320">JE371</f>
        <v>10945.029999999999</v>
      </c>
      <c r="JG371" s="89">
        <v>0</v>
      </c>
      <c r="JH371" s="89">
        <f t="shared" ref="JH371" si="10321">JG371</f>
        <v>0</v>
      </c>
      <c r="JI371" s="89">
        <f t="shared" ref="JI371" si="10322">JH371</f>
        <v>0</v>
      </c>
      <c r="JJ371" s="89">
        <v>0</v>
      </c>
      <c r="JK371" s="89">
        <f t="shared" ref="JK371" si="10323">JJ371</f>
        <v>0</v>
      </c>
      <c r="JL371" s="89">
        <f t="shared" ref="JL371" si="10324">JK371</f>
        <v>0</v>
      </c>
      <c r="JM371" s="89">
        <v>0</v>
      </c>
      <c r="JN371" s="89">
        <f t="shared" ref="JN371" si="10325">JM371</f>
        <v>0</v>
      </c>
      <c r="JO371" s="89">
        <f t="shared" ref="JO371" si="10326">JN371</f>
        <v>0</v>
      </c>
      <c r="JP371" s="89">
        <v>0</v>
      </c>
      <c r="JQ371" s="89">
        <f t="shared" ref="JQ371:JR371" si="10327">JP371</f>
        <v>0</v>
      </c>
      <c r="JR371" s="89">
        <f t="shared" si="10327"/>
        <v>0</v>
      </c>
      <c r="JS371" s="74">
        <f>HG371-IF371</f>
        <v>29860.079999999994</v>
      </c>
      <c r="JT371" s="382">
        <f>GS371-IF371</f>
        <v>27.080000000001746</v>
      </c>
      <c r="JU371" s="665"/>
      <c r="JV371" s="524"/>
      <c r="JW371" s="525"/>
      <c r="JX371" s="549">
        <f>SUM(HH371,HJ371,HL371,HN371,HP371,HR371,HT371,HV371,HX371,HZ371,IB371,ID371)</f>
        <v>49784.999999999993</v>
      </c>
      <c r="JY371" s="549">
        <f>SUM(HI371,HK371,HM371,HO371,HQ371,HS371,HU371,HW371,HY371,IA371,IC371,IE371)</f>
        <v>0</v>
      </c>
      <c r="JZ371" s="581">
        <f t="shared" si="10300"/>
        <v>0</v>
      </c>
      <c r="KA371" s="581">
        <f t="shared" si="10301"/>
        <v>-39715</v>
      </c>
      <c r="KB371" s="549">
        <f t="shared" si="10257"/>
        <v>49784.999999999993</v>
      </c>
      <c r="KC371" s="709">
        <f t="shared" si="10273"/>
        <v>0</v>
      </c>
      <c r="KD371" s="36"/>
      <c r="KE371" s="36"/>
      <c r="KF371" s="36"/>
      <c r="KG371" s="36"/>
      <c r="KH371" s="36"/>
      <c r="KI371" s="36"/>
      <c r="KJ371" s="36"/>
      <c r="KK371" s="36"/>
    </row>
    <row r="372" spans="1:297" s="10" customFormat="1" hidden="1">
      <c r="A372" s="86"/>
      <c r="B372" s="77"/>
      <c r="C372" s="74"/>
      <c r="D372" s="549"/>
      <c r="E372" s="675"/>
      <c r="F372" s="549"/>
      <c r="G372" s="675"/>
      <c r="H372" s="549"/>
      <c r="I372" s="675"/>
      <c r="J372" s="549"/>
      <c r="K372" s="675"/>
      <c r="L372" s="549"/>
      <c r="M372" s="675"/>
      <c r="N372" s="549"/>
      <c r="O372" s="675"/>
      <c r="P372" s="549"/>
      <c r="Q372" s="675"/>
      <c r="R372" s="549"/>
      <c r="S372" s="675"/>
      <c r="T372" s="549"/>
      <c r="U372" s="675"/>
      <c r="V372" s="549"/>
      <c r="W372" s="675"/>
      <c r="X372" s="549"/>
      <c r="Y372" s="675"/>
      <c r="Z372" s="549"/>
      <c r="AA372" s="675"/>
      <c r="AB372" s="549"/>
      <c r="AC372" s="675"/>
      <c r="AD372" s="549"/>
      <c r="AE372" s="675"/>
      <c r="AF372" s="549"/>
      <c r="AG372" s="675"/>
      <c r="AH372" s="549"/>
      <c r="AI372" s="675"/>
      <c r="AJ372" s="549"/>
      <c r="AK372" s="675"/>
      <c r="AL372" s="549"/>
      <c r="AM372" s="675"/>
      <c r="AN372" s="549"/>
      <c r="AO372" s="675"/>
      <c r="AP372" s="549"/>
      <c r="AQ372" s="675"/>
      <c r="AR372" s="549"/>
      <c r="AS372" s="675"/>
      <c r="AT372" s="549"/>
      <c r="AU372" s="675"/>
      <c r="AV372" s="549"/>
      <c r="AW372" s="675"/>
      <c r="AX372" s="549"/>
      <c r="AY372" s="675"/>
      <c r="AZ372" s="549"/>
      <c r="BA372" s="675"/>
      <c r="BB372" s="549"/>
      <c r="BC372" s="675"/>
      <c r="BD372" s="549"/>
      <c r="BE372" s="675"/>
      <c r="BF372" s="549"/>
      <c r="BG372" s="675"/>
      <c r="BH372" s="549"/>
      <c r="BI372" s="675"/>
      <c r="BJ372" s="549"/>
      <c r="BK372" s="675"/>
      <c r="BL372" s="549"/>
      <c r="BM372" s="675"/>
      <c r="BN372" s="549"/>
      <c r="BO372" s="675"/>
      <c r="BP372" s="549"/>
      <c r="BQ372" s="675"/>
      <c r="BR372" s="549"/>
      <c r="BS372" s="675"/>
      <c r="BT372" s="549"/>
      <c r="BU372" s="675"/>
      <c r="BV372" s="549"/>
      <c r="BW372" s="675"/>
      <c r="BX372" s="549"/>
      <c r="BY372" s="675"/>
      <c r="BZ372" s="549"/>
      <c r="CA372" s="675"/>
      <c r="CB372" s="549"/>
      <c r="CC372" s="675"/>
      <c r="CD372" s="549"/>
      <c r="CE372" s="675"/>
      <c r="CF372" s="549"/>
      <c r="CG372" s="675"/>
      <c r="CH372" s="549"/>
      <c r="CI372" s="675"/>
      <c r="CJ372" s="549"/>
      <c r="CK372" s="675"/>
      <c r="CL372" s="549"/>
      <c r="CM372" s="675"/>
      <c r="CN372" s="549"/>
      <c r="CO372" s="675"/>
      <c r="CP372" s="549"/>
      <c r="CQ372" s="675"/>
      <c r="CR372" s="549"/>
      <c r="CS372" s="675"/>
      <c r="CT372" s="549"/>
      <c r="CU372" s="675"/>
      <c r="CV372" s="549"/>
      <c r="CW372" s="675"/>
      <c r="CX372" s="549"/>
      <c r="CY372" s="675"/>
      <c r="CZ372" s="549"/>
      <c r="DA372" s="675"/>
      <c r="DB372" s="549"/>
      <c r="DC372" s="675"/>
      <c r="DD372" s="549"/>
      <c r="DE372" s="675"/>
      <c r="DF372" s="549"/>
      <c r="DG372" s="675"/>
      <c r="DH372" s="549"/>
      <c r="DI372" s="675"/>
      <c r="DJ372" s="549"/>
      <c r="DK372" s="675"/>
      <c r="DL372" s="549"/>
      <c r="DM372" s="675"/>
      <c r="DN372" s="549"/>
      <c r="DO372" s="675"/>
      <c r="DP372" s="549"/>
      <c r="DQ372" s="675"/>
      <c r="DR372" s="549"/>
      <c r="DS372" s="675"/>
      <c r="DT372" s="549"/>
      <c r="DU372" s="675"/>
      <c r="DV372" s="549"/>
      <c r="DW372" s="675"/>
      <c r="DX372" s="549"/>
      <c r="DY372" s="675"/>
      <c r="DZ372" s="549"/>
      <c r="EA372" s="675"/>
      <c r="EB372" s="549"/>
      <c r="EC372" s="675"/>
      <c r="ED372" s="549"/>
      <c r="EE372" s="675"/>
      <c r="EF372" s="549"/>
      <c r="EG372" s="675"/>
      <c r="EH372" s="549"/>
      <c r="EI372" s="675"/>
      <c r="EJ372" s="549"/>
      <c r="EK372" s="675"/>
      <c r="EL372" s="549"/>
      <c r="EM372" s="675"/>
      <c r="EN372" s="549"/>
      <c r="EO372" s="675"/>
      <c r="EP372" s="549"/>
      <c r="EQ372" s="675"/>
      <c r="ER372" s="549"/>
      <c r="ES372" s="675"/>
      <c r="ET372" s="549"/>
      <c r="EU372" s="675"/>
      <c r="EV372" s="549"/>
      <c r="EW372" s="675"/>
      <c r="EX372" s="549"/>
      <c r="EY372" s="675"/>
      <c r="EZ372" s="549"/>
      <c r="FA372" s="675"/>
      <c r="FB372" s="549"/>
      <c r="FC372" s="675"/>
      <c r="FD372" s="549"/>
      <c r="FE372" s="675"/>
      <c r="FF372" s="549"/>
      <c r="FG372" s="675"/>
      <c r="FH372" s="549"/>
      <c r="FI372" s="675"/>
      <c r="FJ372" s="549"/>
      <c r="FK372" s="675"/>
      <c r="FL372" s="549"/>
      <c r="FM372" s="675"/>
      <c r="FN372" s="549"/>
      <c r="FO372" s="675"/>
      <c r="FP372" s="549"/>
      <c r="FQ372" s="675"/>
      <c r="FR372" s="549"/>
      <c r="FS372" s="675"/>
      <c r="FT372" s="549"/>
      <c r="FU372" s="675"/>
      <c r="FV372" s="549"/>
      <c r="FW372" s="675"/>
      <c r="FX372" s="549"/>
      <c r="FY372" s="675"/>
      <c r="FZ372" s="549"/>
      <c r="GA372" s="675"/>
      <c r="GB372" s="549"/>
      <c r="GC372" s="675"/>
      <c r="GD372" s="549"/>
      <c r="GE372" s="675"/>
      <c r="GF372" s="549"/>
      <c r="GG372" s="675"/>
      <c r="GH372" s="549"/>
      <c r="GI372" s="675"/>
      <c r="GJ372" s="549"/>
      <c r="GK372" s="675"/>
      <c r="GL372" s="549"/>
      <c r="GM372" s="675"/>
      <c r="GN372" s="549"/>
      <c r="GO372" s="675"/>
      <c r="GP372" s="549"/>
      <c r="GQ372" s="675"/>
      <c r="GR372" s="74"/>
      <c r="GS372" s="74"/>
      <c r="GT372" s="568"/>
      <c r="GU372" s="275"/>
      <c r="GV372" s="275"/>
      <c r="GW372" s="587"/>
      <c r="GX372" s="587"/>
      <c r="GY372" s="275"/>
      <c r="GZ372" s="275"/>
      <c r="HA372" s="275"/>
      <c r="HB372" s="275"/>
      <c r="HC372" s="275"/>
      <c r="HD372" s="275"/>
      <c r="HE372" s="275"/>
      <c r="HF372" s="275"/>
      <c r="HG372" s="74"/>
      <c r="HH372" s="89"/>
      <c r="HI372" s="817"/>
      <c r="HJ372" s="89"/>
      <c r="HK372" s="817"/>
      <c r="HL372" s="89"/>
      <c r="HM372" s="817"/>
      <c r="HN372" s="89"/>
      <c r="HO372" s="817"/>
      <c r="HP372" s="89"/>
      <c r="HQ372" s="817"/>
      <c r="HR372" s="89"/>
      <c r="HS372" s="817"/>
      <c r="HT372" s="89"/>
      <c r="HU372" s="817"/>
      <c r="HV372" s="89"/>
      <c r="HW372" s="817"/>
      <c r="HX372" s="89"/>
      <c r="HY372" s="817"/>
      <c r="HZ372" s="89"/>
      <c r="IA372" s="817"/>
      <c r="IB372" s="89"/>
      <c r="IC372" s="817"/>
      <c r="ID372" s="89"/>
      <c r="IE372" s="817"/>
      <c r="IF372" s="841"/>
      <c r="IG372" s="263"/>
      <c r="IH372" s="842"/>
      <c r="II372" s="89"/>
      <c r="IJ372" s="89"/>
      <c r="IK372" s="89"/>
      <c r="IL372" s="89"/>
      <c r="IM372" s="89"/>
      <c r="IN372" s="89"/>
      <c r="IO372" s="89"/>
      <c r="IP372" s="89"/>
      <c r="IQ372" s="89"/>
      <c r="IR372" s="89"/>
      <c r="IS372" s="89"/>
      <c r="IT372" s="89"/>
      <c r="IU372" s="89"/>
      <c r="IV372" s="89"/>
      <c r="IW372" s="89"/>
      <c r="IX372" s="89"/>
      <c r="IY372" s="89"/>
      <c r="IZ372" s="89"/>
      <c r="JA372" s="89"/>
      <c r="JB372" s="89"/>
      <c r="JC372" s="89"/>
      <c r="JD372" s="89"/>
      <c r="JE372" s="89"/>
      <c r="JF372" s="89"/>
      <c r="JG372" s="89"/>
      <c r="JH372" s="89"/>
      <c r="JI372" s="89"/>
      <c r="JJ372" s="89"/>
      <c r="JK372" s="89"/>
      <c r="JL372" s="89"/>
      <c r="JM372" s="89"/>
      <c r="JN372" s="89"/>
      <c r="JO372" s="89"/>
      <c r="JP372" s="89"/>
      <c r="JQ372" s="89"/>
      <c r="JR372" s="89"/>
      <c r="JS372" s="74"/>
      <c r="JT372" s="382"/>
      <c r="JU372" s="665"/>
      <c r="JV372" s="524"/>
      <c r="JW372" s="525"/>
      <c r="JX372" s="549"/>
      <c r="JY372" s="549"/>
      <c r="JZ372" s="581">
        <f t="shared" si="10300"/>
        <v>0</v>
      </c>
      <c r="KA372" s="581">
        <f t="shared" si="10301"/>
        <v>0</v>
      </c>
      <c r="KB372" s="549">
        <f t="shared" si="10257"/>
        <v>0</v>
      </c>
      <c r="KC372" s="709">
        <f t="shared" si="10273"/>
        <v>0</v>
      </c>
      <c r="KD372" s="36"/>
      <c r="KE372" s="36"/>
      <c r="KF372" s="36"/>
      <c r="KG372" s="36"/>
      <c r="KH372" s="36"/>
      <c r="KI372" s="36"/>
      <c r="KJ372" s="36"/>
      <c r="KK372" s="36"/>
    </row>
    <row r="373" spans="1:297" s="10" customFormat="1" ht="12.75" hidden="1" customHeight="1">
      <c r="A373" s="86" t="s">
        <v>1051</v>
      </c>
      <c r="B373" s="77" t="s">
        <v>66</v>
      </c>
      <c r="C373" s="74">
        <v>0</v>
      </c>
      <c r="D373" s="549">
        <v>0</v>
      </c>
      <c r="E373" s="675">
        <v>0</v>
      </c>
      <c r="F373" s="549">
        <v>0</v>
      </c>
      <c r="G373" s="675">
        <v>0</v>
      </c>
      <c r="H373" s="549">
        <v>0</v>
      </c>
      <c r="I373" s="675">
        <v>0</v>
      </c>
      <c r="J373" s="549">
        <v>0</v>
      </c>
      <c r="K373" s="675">
        <v>0</v>
      </c>
      <c r="L373" s="549">
        <v>0</v>
      </c>
      <c r="M373" s="675">
        <v>0</v>
      </c>
      <c r="N373" s="549">
        <v>0</v>
      </c>
      <c r="O373" s="675">
        <v>0</v>
      </c>
      <c r="P373" s="549">
        <v>0</v>
      </c>
      <c r="Q373" s="675">
        <v>0</v>
      </c>
      <c r="R373" s="549">
        <v>0</v>
      </c>
      <c r="S373" s="675">
        <v>0</v>
      </c>
      <c r="T373" s="549">
        <v>0</v>
      </c>
      <c r="U373" s="675">
        <v>0</v>
      </c>
      <c r="V373" s="549">
        <v>0</v>
      </c>
      <c r="W373" s="675">
        <v>0</v>
      </c>
      <c r="X373" s="549">
        <v>0</v>
      </c>
      <c r="Y373" s="675">
        <v>0</v>
      </c>
      <c r="Z373" s="549">
        <v>0</v>
      </c>
      <c r="AA373" s="675">
        <v>0</v>
      </c>
      <c r="AB373" s="549">
        <v>0</v>
      </c>
      <c r="AC373" s="675">
        <v>0</v>
      </c>
      <c r="AD373" s="549">
        <v>0</v>
      </c>
      <c r="AE373" s="675">
        <v>0</v>
      </c>
      <c r="AF373" s="549">
        <v>0</v>
      </c>
      <c r="AG373" s="675">
        <v>0</v>
      </c>
      <c r="AH373" s="549">
        <v>0</v>
      </c>
      <c r="AI373" s="675">
        <v>0</v>
      </c>
      <c r="AJ373" s="549">
        <v>0</v>
      </c>
      <c r="AK373" s="675">
        <v>0</v>
      </c>
      <c r="AL373" s="549">
        <v>0</v>
      </c>
      <c r="AM373" s="675">
        <v>0</v>
      </c>
      <c r="AN373" s="549">
        <v>0</v>
      </c>
      <c r="AO373" s="675">
        <v>0</v>
      </c>
      <c r="AP373" s="549">
        <v>0</v>
      </c>
      <c r="AQ373" s="675">
        <v>0</v>
      </c>
      <c r="AR373" s="549">
        <v>0</v>
      </c>
      <c r="AS373" s="675">
        <v>0</v>
      </c>
      <c r="AT373" s="549">
        <v>0</v>
      </c>
      <c r="AU373" s="675">
        <v>0</v>
      </c>
      <c r="AV373" s="549">
        <v>0</v>
      </c>
      <c r="AW373" s="675">
        <v>0</v>
      </c>
      <c r="AX373" s="549">
        <v>0</v>
      </c>
      <c r="AY373" s="675">
        <v>0</v>
      </c>
      <c r="AZ373" s="549">
        <v>0</v>
      </c>
      <c r="BA373" s="675">
        <v>0</v>
      </c>
      <c r="BB373" s="549">
        <v>0</v>
      </c>
      <c r="BC373" s="675">
        <v>0</v>
      </c>
      <c r="BD373" s="549">
        <v>0</v>
      </c>
      <c r="BE373" s="675">
        <v>0</v>
      </c>
      <c r="BF373" s="549">
        <v>0</v>
      </c>
      <c r="BG373" s="675">
        <v>0</v>
      </c>
      <c r="BH373" s="549">
        <v>0</v>
      </c>
      <c r="BI373" s="675">
        <v>0</v>
      </c>
      <c r="BJ373" s="549">
        <v>0</v>
      </c>
      <c r="BK373" s="675">
        <v>0</v>
      </c>
      <c r="BL373" s="549">
        <v>0</v>
      </c>
      <c r="BM373" s="675">
        <v>0</v>
      </c>
      <c r="BN373" s="549">
        <v>0</v>
      </c>
      <c r="BO373" s="675">
        <v>0</v>
      </c>
      <c r="BP373" s="549">
        <v>0</v>
      </c>
      <c r="BQ373" s="675">
        <v>0</v>
      </c>
      <c r="BR373" s="549">
        <v>0</v>
      </c>
      <c r="BS373" s="675">
        <v>0</v>
      </c>
      <c r="BT373" s="549">
        <v>0</v>
      </c>
      <c r="BU373" s="675">
        <v>0</v>
      </c>
      <c r="BV373" s="549">
        <v>0</v>
      </c>
      <c r="BW373" s="675">
        <v>0</v>
      </c>
      <c r="BX373" s="549">
        <v>0</v>
      </c>
      <c r="BY373" s="675">
        <v>0</v>
      </c>
      <c r="BZ373" s="549">
        <v>0</v>
      </c>
      <c r="CA373" s="675">
        <v>0</v>
      </c>
      <c r="CB373" s="549">
        <v>0</v>
      </c>
      <c r="CC373" s="675">
        <v>0</v>
      </c>
      <c r="CD373" s="549">
        <v>0</v>
      </c>
      <c r="CE373" s="675">
        <v>0</v>
      </c>
      <c r="CF373" s="549">
        <v>0</v>
      </c>
      <c r="CG373" s="675">
        <v>0</v>
      </c>
      <c r="CH373" s="549">
        <v>0</v>
      </c>
      <c r="CI373" s="675">
        <v>0</v>
      </c>
      <c r="CJ373" s="549">
        <v>0</v>
      </c>
      <c r="CK373" s="675">
        <v>0</v>
      </c>
      <c r="CL373" s="549">
        <v>0</v>
      </c>
      <c r="CM373" s="675">
        <v>0</v>
      </c>
      <c r="CN373" s="549">
        <v>0</v>
      </c>
      <c r="CO373" s="675">
        <v>0</v>
      </c>
      <c r="CP373" s="549">
        <v>0</v>
      </c>
      <c r="CQ373" s="675">
        <v>0</v>
      </c>
      <c r="CR373" s="549">
        <v>0</v>
      </c>
      <c r="CS373" s="675">
        <v>0</v>
      </c>
      <c r="CT373" s="549">
        <v>0</v>
      </c>
      <c r="CU373" s="675">
        <v>0</v>
      </c>
      <c r="CV373" s="549">
        <v>0</v>
      </c>
      <c r="CW373" s="675">
        <v>0</v>
      </c>
      <c r="CX373" s="549">
        <v>0</v>
      </c>
      <c r="CY373" s="675">
        <v>0</v>
      </c>
      <c r="CZ373" s="549">
        <v>0</v>
      </c>
      <c r="DA373" s="675">
        <v>0</v>
      </c>
      <c r="DB373" s="549">
        <v>0</v>
      </c>
      <c r="DC373" s="675">
        <v>0</v>
      </c>
      <c r="DD373" s="549">
        <v>0</v>
      </c>
      <c r="DE373" s="675">
        <v>0</v>
      </c>
      <c r="DF373" s="549">
        <v>0</v>
      </c>
      <c r="DG373" s="675">
        <v>0</v>
      </c>
      <c r="DH373" s="549">
        <v>0</v>
      </c>
      <c r="DI373" s="675">
        <v>0</v>
      </c>
      <c r="DJ373" s="549">
        <v>0</v>
      </c>
      <c r="DK373" s="675">
        <v>0</v>
      </c>
      <c r="DL373" s="549">
        <v>0</v>
      </c>
      <c r="DM373" s="675">
        <v>0</v>
      </c>
      <c r="DN373" s="549">
        <v>0</v>
      </c>
      <c r="DO373" s="675">
        <v>0</v>
      </c>
      <c r="DP373" s="549">
        <v>0</v>
      </c>
      <c r="DQ373" s="675">
        <v>0</v>
      </c>
      <c r="DR373" s="549">
        <v>0</v>
      </c>
      <c r="DS373" s="675">
        <v>0</v>
      </c>
      <c r="DT373" s="549">
        <v>0</v>
      </c>
      <c r="DU373" s="675">
        <v>0</v>
      </c>
      <c r="DV373" s="549">
        <v>0</v>
      </c>
      <c r="DW373" s="675">
        <v>0</v>
      </c>
      <c r="DX373" s="549">
        <v>0</v>
      </c>
      <c r="DY373" s="675">
        <v>0</v>
      </c>
      <c r="DZ373" s="549">
        <v>0</v>
      </c>
      <c r="EA373" s="675">
        <v>0</v>
      </c>
      <c r="EB373" s="549">
        <v>0</v>
      </c>
      <c r="EC373" s="675">
        <v>0</v>
      </c>
      <c r="ED373" s="549">
        <v>0</v>
      </c>
      <c r="EE373" s="675">
        <v>0</v>
      </c>
      <c r="EF373" s="549">
        <v>0</v>
      </c>
      <c r="EG373" s="675">
        <v>0</v>
      </c>
      <c r="EH373" s="549">
        <v>0</v>
      </c>
      <c r="EI373" s="675">
        <v>0</v>
      </c>
      <c r="EJ373" s="549">
        <v>0</v>
      </c>
      <c r="EK373" s="675">
        <v>0</v>
      </c>
      <c r="EL373" s="549">
        <v>0</v>
      </c>
      <c r="EM373" s="675">
        <v>0</v>
      </c>
      <c r="EN373" s="549">
        <v>0</v>
      </c>
      <c r="EO373" s="675">
        <v>0</v>
      </c>
      <c r="EP373" s="549">
        <v>0</v>
      </c>
      <c r="EQ373" s="675">
        <v>0</v>
      </c>
      <c r="ER373" s="549">
        <v>0</v>
      </c>
      <c r="ES373" s="675">
        <v>0</v>
      </c>
      <c r="ET373" s="549">
        <v>0</v>
      </c>
      <c r="EU373" s="675">
        <v>0</v>
      </c>
      <c r="EV373" s="549">
        <v>0</v>
      </c>
      <c r="EW373" s="675">
        <v>0</v>
      </c>
      <c r="EX373" s="549">
        <v>0</v>
      </c>
      <c r="EY373" s="675">
        <v>0</v>
      </c>
      <c r="EZ373" s="549">
        <v>0</v>
      </c>
      <c r="FA373" s="675">
        <v>0</v>
      </c>
      <c r="FB373" s="549">
        <v>0</v>
      </c>
      <c r="FC373" s="675">
        <v>0</v>
      </c>
      <c r="FD373" s="549">
        <v>0</v>
      </c>
      <c r="FE373" s="675">
        <v>0</v>
      </c>
      <c r="FF373" s="549">
        <v>0</v>
      </c>
      <c r="FG373" s="675">
        <v>0</v>
      </c>
      <c r="FH373" s="549">
        <v>0</v>
      </c>
      <c r="FI373" s="675">
        <v>0</v>
      </c>
      <c r="FJ373" s="549">
        <v>0</v>
      </c>
      <c r="FK373" s="675">
        <v>0</v>
      </c>
      <c r="FL373" s="549">
        <v>0</v>
      </c>
      <c r="FM373" s="675">
        <v>0</v>
      </c>
      <c r="FN373" s="549">
        <v>0</v>
      </c>
      <c r="FO373" s="675">
        <v>0</v>
      </c>
      <c r="FP373" s="549">
        <v>0</v>
      </c>
      <c r="FQ373" s="675">
        <v>0</v>
      </c>
      <c r="FR373" s="549">
        <v>0</v>
      </c>
      <c r="FS373" s="675">
        <v>0</v>
      </c>
      <c r="FT373" s="549">
        <v>0</v>
      </c>
      <c r="FU373" s="675">
        <v>0</v>
      </c>
      <c r="FV373" s="549">
        <v>0</v>
      </c>
      <c r="FW373" s="675">
        <v>0</v>
      </c>
      <c r="FX373" s="549">
        <v>0</v>
      </c>
      <c r="FY373" s="675">
        <v>0</v>
      </c>
      <c r="FZ373" s="549">
        <v>0</v>
      </c>
      <c r="GA373" s="675">
        <v>0</v>
      </c>
      <c r="GB373" s="549">
        <v>0</v>
      </c>
      <c r="GC373" s="675">
        <v>0</v>
      </c>
      <c r="GD373" s="549">
        <v>0</v>
      </c>
      <c r="GE373" s="675">
        <v>0</v>
      </c>
      <c r="GF373" s="549">
        <v>0</v>
      </c>
      <c r="GG373" s="675">
        <v>0</v>
      </c>
      <c r="GH373" s="549">
        <v>0</v>
      </c>
      <c r="GI373" s="675">
        <v>0</v>
      </c>
      <c r="GJ373" s="549">
        <v>0</v>
      </c>
      <c r="GK373" s="675">
        <v>0</v>
      </c>
      <c r="GL373" s="549">
        <v>0</v>
      </c>
      <c r="GM373" s="675">
        <v>0</v>
      </c>
      <c r="GN373" s="549">
        <v>0</v>
      </c>
      <c r="GO373" s="675">
        <v>0</v>
      </c>
      <c r="GP373" s="549">
        <f>+D373+F373+H373+J373+L373+N373+P373+R373+T373+V373+X373+Z373+AB373+AD373+AH373+AJ373+AL373+AN373+AP373+AR373+AT373+AV373+AX373+AZ373+BB373+BD373+BF373+BH373+BJ373+BL373+BN373+BP373+BR373+BT373+BV373+BX373+BZ373+CB373+CD373+CF373+CH373+CJ373+CL373+CN373+CP373+CR373+CT373+CV373+CX373+CZ373+DB373+DD373+DF373+DH373+DT373+EX373+DJ373+DL373+DN373+DP373+DR373+EJ373+EB373+DZ373+DX373+DV373+ED373+EF373+EH373+EL373+EN373+EP373+EV373+ET373+ER373+EZ373+FB373+FD373+GL373</f>
        <v>0</v>
      </c>
      <c r="GQ373" s="675">
        <f>+E373+G373+I373+K373+M373+O373+Q373+S373+U373+W373+Y373+AA373+AC373+AE373+AI373+AK373+AM373+AO373+AQ373+AS373+AU373+AW373+AY373+BA373+BC373+BE373+BG373+BI373+BK373+BM373+BO373+BQ373+BS373+BU373+BW373+BY373+CA373+CC373+CE373+CG373+CI373+CK373+CM373+CO373+CQ373+CS373+CU373+CW373+CY373+DA373+DC373+DE373+DG373+DI373+DU373+EY373+DK373+DM373+DO373+DQ373+DS373+EK373+EC373+EA373+DY373+DW373+EI373+EG373+EE373+EM373+EO373+EQ373+EW373+EU373+ES373+FA373+FC373+FE373+GM373</f>
        <v>0</v>
      </c>
      <c r="GR373" s="74">
        <f>C373+GP373+GQ373</f>
        <v>0</v>
      </c>
      <c r="GS373" s="74">
        <f t="shared" ref="GS373" si="10328">GU373</f>
        <v>0</v>
      </c>
      <c r="GT373" s="568">
        <f>SUM(GU373:HF373)+GQ373+GP373</f>
        <v>0</v>
      </c>
      <c r="GU373" s="831">
        <v>0</v>
      </c>
      <c r="GV373" s="275">
        <v>0</v>
      </c>
      <c r="GW373" s="588">
        <v>0</v>
      </c>
      <c r="GX373" s="588">
        <v>0</v>
      </c>
      <c r="GY373" s="275">
        <v>0</v>
      </c>
      <c r="GZ373" s="275">
        <v>0</v>
      </c>
      <c r="HA373" s="275">
        <v>0</v>
      </c>
      <c r="HB373" s="275">
        <v>0</v>
      </c>
      <c r="HC373" s="275">
        <v>0</v>
      </c>
      <c r="HD373" s="275">
        <v>0</v>
      </c>
      <c r="HE373" s="275"/>
      <c r="HF373" s="275"/>
      <c r="HG373" s="74">
        <f>SUM(HH373:IE373)</f>
        <v>0</v>
      </c>
      <c r="HH373" s="89">
        <v>0</v>
      </c>
      <c r="HI373" s="817">
        <v>0</v>
      </c>
      <c r="HJ373" s="89">
        <v>0</v>
      </c>
      <c r="HK373" s="817">
        <v>0</v>
      </c>
      <c r="HL373" s="89">
        <v>0</v>
      </c>
      <c r="HM373" s="817">
        <v>0</v>
      </c>
      <c r="HN373" s="89">
        <v>0</v>
      </c>
      <c r="HO373" s="817">
        <v>0</v>
      </c>
      <c r="HP373" s="89">
        <v>0</v>
      </c>
      <c r="HQ373" s="817">
        <v>0</v>
      </c>
      <c r="HR373" s="89">
        <v>0</v>
      </c>
      <c r="HS373" s="817">
        <v>0</v>
      </c>
      <c r="HT373" s="89">
        <v>0</v>
      </c>
      <c r="HU373" s="817">
        <v>0</v>
      </c>
      <c r="HV373" s="89">
        <v>0</v>
      </c>
      <c r="HW373" s="817">
        <v>0</v>
      </c>
      <c r="HX373" s="89">
        <v>0</v>
      </c>
      <c r="HY373" s="817">
        <v>0</v>
      </c>
      <c r="HZ373" s="89">
        <v>0</v>
      </c>
      <c r="IA373" s="817">
        <v>0</v>
      </c>
      <c r="IB373" s="89">
        <v>0</v>
      </c>
      <c r="IC373" s="817">
        <v>0</v>
      </c>
      <c r="ID373" s="89">
        <v>0</v>
      </c>
      <c r="IE373" s="817">
        <v>0</v>
      </c>
      <c r="IF373" s="841">
        <f t="shared" ref="IF373" si="10329">SUM(II373,IL373,IO373,IR373,IU373,IX373,JA373,JD373,JG373,JJ373,JM373,JP373)</f>
        <v>0</v>
      </c>
      <c r="IG373" s="263">
        <f t="shared" ref="IG373" si="10330">SUM(IJ373,IM373,IP373,IS373,IV373,IY373,JB373,JE373,JH373,JK373,JN373,JQ373)</f>
        <v>0</v>
      </c>
      <c r="IH373" s="842">
        <f t="shared" ref="IH373" si="10331">SUM(IK373,IN373,IQ373,IT373,IW373,IZ373,JC373,JF373,JI373,JL373,JO373,JR373)</f>
        <v>0</v>
      </c>
      <c r="II373" s="89">
        <v>0</v>
      </c>
      <c r="IJ373" s="89">
        <v>0</v>
      </c>
      <c r="IK373" s="89">
        <v>0</v>
      </c>
      <c r="IL373" s="89">
        <v>0</v>
      </c>
      <c r="IM373" s="89">
        <v>0</v>
      </c>
      <c r="IN373" s="89">
        <v>0</v>
      </c>
      <c r="IO373" s="89">
        <v>0</v>
      </c>
      <c r="IP373" s="89">
        <v>0</v>
      </c>
      <c r="IQ373" s="89">
        <v>0</v>
      </c>
      <c r="IR373" s="89">
        <v>0</v>
      </c>
      <c r="IS373" s="89">
        <v>0</v>
      </c>
      <c r="IT373" s="89">
        <v>0</v>
      </c>
      <c r="IU373" s="89">
        <v>0</v>
      </c>
      <c r="IV373" s="89">
        <v>0</v>
      </c>
      <c r="IW373" s="89">
        <v>0</v>
      </c>
      <c r="IX373" s="89">
        <v>0</v>
      </c>
      <c r="IY373" s="89">
        <v>0</v>
      </c>
      <c r="IZ373" s="89">
        <v>0</v>
      </c>
      <c r="JA373" s="89">
        <v>0</v>
      </c>
      <c r="JB373" s="89">
        <v>0</v>
      </c>
      <c r="JC373" s="89">
        <v>0</v>
      </c>
      <c r="JD373" s="89">
        <v>0</v>
      </c>
      <c r="JE373" s="89">
        <v>0</v>
      </c>
      <c r="JF373" s="89">
        <v>0</v>
      </c>
      <c r="JG373" s="89">
        <v>0</v>
      </c>
      <c r="JH373" s="89">
        <v>0</v>
      </c>
      <c r="JI373" s="89">
        <v>0</v>
      </c>
      <c r="JJ373" s="89">
        <v>0</v>
      </c>
      <c r="JK373" s="89">
        <v>0</v>
      </c>
      <c r="JL373" s="89">
        <v>0</v>
      </c>
      <c r="JM373" s="89">
        <v>0</v>
      </c>
      <c r="JN373" s="89">
        <v>0</v>
      </c>
      <c r="JO373" s="89">
        <v>0</v>
      </c>
      <c r="JP373" s="89">
        <v>0</v>
      </c>
      <c r="JQ373" s="89">
        <v>0</v>
      </c>
      <c r="JR373" s="89">
        <v>0</v>
      </c>
      <c r="JS373" s="74">
        <f>HG373-IF373</f>
        <v>0</v>
      </c>
      <c r="JT373" s="382">
        <f>GS373-IF373</f>
        <v>0</v>
      </c>
      <c r="JU373" s="665"/>
      <c r="JV373" s="524"/>
      <c r="JW373" s="525"/>
      <c r="JX373" s="549">
        <f>SUM(HH373,HJ373,HL373,HN373,HP373,HR373,HT373,HV373,HX373,HZ373,IB373,ID373)</f>
        <v>0</v>
      </c>
      <c r="JY373" s="549">
        <f>SUM(HI373,HK373,HM373,HO373,HQ373,HS373,HU373,HW373,HY373,IA373,IC373,IE373)</f>
        <v>0</v>
      </c>
      <c r="JZ373" s="581">
        <f t="shared" si="10300"/>
        <v>0</v>
      </c>
      <c r="KA373" s="581">
        <f t="shared" si="10301"/>
        <v>0</v>
      </c>
      <c r="KB373" s="549">
        <f t="shared" si="10257"/>
        <v>0</v>
      </c>
      <c r="KC373" s="709">
        <f t="shared" si="10273"/>
        <v>0</v>
      </c>
      <c r="KD373" s="36"/>
      <c r="KE373" s="36"/>
      <c r="KF373" s="36"/>
      <c r="KG373" s="36"/>
      <c r="KH373" s="36"/>
      <c r="KI373" s="36"/>
      <c r="KJ373" s="36"/>
      <c r="KK373" s="36"/>
    </row>
    <row r="374" spans="1:297" s="10" customFormat="1" ht="12.75" customHeight="1">
      <c r="A374" s="86"/>
      <c r="B374" s="77"/>
      <c r="C374" s="74"/>
      <c r="D374" s="549"/>
      <c r="E374" s="675"/>
      <c r="F374" s="549"/>
      <c r="G374" s="675"/>
      <c r="H374" s="549"/>
      <c r="I374" s="675"/>
      <c r="J374" s="549"/>
      <c r="K374" s="675"/>
      <c r="L374" s="549"/>
      <c r="M374" s="675"/>
      <c r="N374" s="549"/>
      <c r="O374" s="675"/>
      <c r="P374" s="549"/>
      <c r="Q374" s="675"/>
      <c r="R374" s="549"/>
      <c r="S374" s="675"/>
      <c r="T374" s="549"/>
      <c r="U374" s="675"/>
      <c r="V374" s="549"/>
      <c r="W374" s="675"/>
      <c r="X374" s="549"/>
      <c r="Y374" s="675"/>
      <c r="Z374" s="549"/>
      <c r="AA374" s="675"/>
      <c r="AB374" s="549"/>
      <c r="AC374" s="675"/>
      <c r="AD374" s="549"/>
      <c r="AE374" s="675"/>
      <c r="AF374" s="549"/>
      <c r="AG374" s="675"/>
      <c r="AH374" s="549"/>
      <c r="AI374" s="675"/>
      <c r="AJ374" s="549"/>
      <c r="AK374" s="675"/>
      <c r="AL374" s="549"/>
      <c r="AM374" s="675"/>
      <c r="AN374" s="549"/>
      <c r="AO374" s="675"/>
      <c r="AP374" s="549"/>
      <c r="AQ374" s="675"/>
      <c r="AR374" s="549"/>
      <c r="AS374" s="675"/>
      <c r="AT374" s="549"/>
      <c r="AU374" s="675"/>
      <c r="AV374" s="549"/>
      <c r="AW374" s="675"/>
      <c r="AX374" s="549"/>
      <c r="AY374" s="675"/>
      <c r="AZ374" s="549"/>
      <c r="BA374" s="675"/>
      <c r="BB374" s="549"/>
      <c r="BC374" s="675"/>
      <c r="BD374" s="549"/>
      <c r="BE374" s="675"/>
      <c r="BF374" s="549"/>
      <c r="BG374" s="675"/>
      <c r="BH374" s="549"/>
      <c r="BI374" s="675"/>
      <c r="BJ374" s="549"/>
      <c r="BK374" s="675"/>
      <c r="BL374" s="549"/>
      <c r="BM374" s="675"/>
      <c r="BN374" s="549"/>
      <c r="BO374" s="675"/>
      <c r="BP374" s="549"/>
      <c r="BQ374" s="675"/>
      <c r="BR374" s="549"/>
      <c r="BS374" s="675"/>
      <c r="BT374" s="549"/>
      <c r="BU374" s="675"/>
      <c r="BV374" s="549"/>
      <c r="BW374" s="675"/>
      <c r="BX374" s="549"/>
      <c r="BY374" s="675"/>
      <c r="BZ374" s="549"/>
      <c r="CA374" s="675"/>
      <c r="CB374" s="549"/>
      <c r="CC374" s="675"/>
      <c r="CD374" s="549"/>
      <c r="CE374" s="675"/>
      <c r="CF374" s="549"/>
      <c r="CG374" s="675"/>
      <c r="CH374" s="549"/>
      <c r="CI374" s="675"/>
      <c r="CJ374" s="549"/>
      <c r="CK374" s="675"/>
      <c r="CL374" s="549"/>
      <c r="CM374" s="675"/>
      <c r="CN374" s="549"/>
      <c r="CO374" s="675"/>
      <c r="CP374" s="549"/>
      <c r="CQ374" s="675"/>
      <c r="CR374" s="549"/>
      <c r="CS374" s="675"/>
      <c r="CT374" s="549"/>
      <c r="CU374" s="675"/>
      <c r="CV374" s="549"/>
      <c r="CW374" s="675"/>
      <c r="CX374" s="549"/>
      <c r="CY374" s="675"/>
      <c r="CZ374" s="549"/>
      <c r="DA374" s="675"/>
      <c r="DB374" s="549"/>
      <c r="DC374" s="675"/>
      <c r="DD374" s="549"/>
      <c r="DE374" s="675"/>
      <c r="DF374" s="549"/>
      <c r="DG374" s="675"/>
      <c r="DH374" s="549"/>
      <c r="DI374" s="675"/>
      <c r="DJ374" s="549"/>
      <c r="DK374" s="675"/>
      <c r="DL374" s="549"/>
      <c r="DM374" s="675"/>
      <c r="DN374" s="549"/>
      <c r="DO374" s="675"/>
      <c r="DP374" s="549"/>
      <c r="DQ374" s="675"/>
      <c r="DR374" s="549"/>
      <c r="DS374" s="675"/>
      <c r="DT374" s="549"/>
      <c r="DU374" s="675"/>
      <c r="DV374" s="549"/>
      <c r="DW374" s="675"/>
      <c r="DX374" s="549"/>
      <c r="DY374" s="675"/>
      <c r="DZ374" s="549"/>
      <c r="EA374" s="675"/>
      <c r="EB374" s="549"/>
      <c r="EC374" s="675"/>
      <c r="ED374" s="549"/>
      <c r="EE374" s="675"/>
      <c r="EF374" s="549"/>
      <c r="EG374" s="675"/>
      <c r="EH374" s="549"/>
      <c r="EI374" s="675"/>
      <c r="EJ374" s="549"/>
      <c r="EK374" s="675"/>
      <c r="EL374" s="549"/>
      <c r="EM374" s="675"/>
      <c r="EN374" s="549"/>
      <c r="EO374" s="675"/>
      <c r="EP374" s="549"/>
      <c r="EQ374" s="675"/>
      <c r="ER374" s="549"/>
      <c r="ES374" s="675"/>
      <c r="ET374" s="549"/>
      <c r="EU374" s="675"/>
      <c r="EV374" s="549"/>
      <c r="EW374" s="675"/>
      <c r="EX374" s="549"/>
      <c r="EY374" s="675"/>
      <c r="EZ374" s="549"/>
      <c r="FA374" s="675"/>
      <c r="FB374" s="549"/>
      <c r="FC374" s="675"/>
      <c r="FD374" s="549"/>
      <c r="FE374" s="675"/>
      <c r="FF374" s="549"/>
      <c r="FG374" s="675"/>
      <c r="FH374" s="549"/>
      <c r="FI374" s="675"/>
      <c r="FJ374" s="549"/>
      <c r="FK374" s="675"/>
      <c r="FL374" s="549"/>
      <c r="FM374" s="675"/>
      <c r="FN374" s="549"/>
      <c r="FO374" s="675"/>
      <c r="FP374" s="549"/>
      <c r="FQ374" s="675"/>
      <c r="FR374" s="549"/>
      <c r="FS374" s="675"/>
      <c r="FT374" s="549"/>
      <c r="FU374" s="675"/>
      <c r="FV374" s="549"/>
      <c r="FW374" s="675"/>
      <c r="FX374" s="549"/>
      <c r="FY374" s="675"/>
      <c r="FZ374" s="549"/>
      <c r="GA374" s="675"/>
      <c r="GB374" s="549"/>
      <c r="GC374" s="675"/>
      <c r="GD374" s="549"/>
      <c r="GE374" s="675"/>
      <c r="GF374" s="549"/>
      <c r="GG374" s="675"/>
      <c r="GH374" s="549"/>
      <c r="GI374" s="675"/>
      <c r="GJ374" s="549"/>
      <c r="GK374" s="675"/>
      <c r="GL374" s="549"/>
      <c r="GM374" s="675"/>
      <c r="GN374" s="549"/>
      <c r="GO374" s="675"/>
      <c r="GP374" s="549"/>
      <c r="GQ374" s="675"/>
      <c r="GR374" s="74"/>
      <c r="GS374" s="74"/>
      <c r="GT374" s="568"/>
      <c r="GU374" s="275"/>
      <c r="GV374" s="275"/>
      <c r="GW374" s="588"/>
      <c r="GX374" s="588"/>
      <c r="GY374" s="275"/>
      <c r="GZ374" s="275"/>
      <c r="HA374" s="275"/>
      <c r="HB374" s="275"/>
      <c r="HC374" s="275"/>
      <c r="HD374" s="275"/>
      <c r="HE374" s="275"/>
      <c r="HF374" s="275"/>
      <c r="HG374" s="74"/>
      <c r="HH374" s="89"/>
      <c r="HI374" s="817"/>
      <c r="HJ374" s="89"/>
      <c r="HK374" s="817"/>
      <c r="HL374" s="89"/>
      <c r="HM374" s="817"/>
      <c r="HN374" s="89"/>
      <c r="HO374" s="817"/>
      <c r="HP374" s="89"/>
      <c r="HQ374" s="817"/>
      <c r="HR374" s="89"/>
      <c r="HS374" s="817"/>
      <c r="HT374" s="89"/>
      <c r="HU374" s="817"/>
      <c r="HV374" s="89"/>
      <c r="HW374" s="817"/>
      <c r="HX374" s="89"/>
      <c r="HY374" s="817"/>
      <c r="HZ374" s="89"/>
      <c r="IA374" s="817"/>
      <c r="IB374" s="89"/>
      <c r="IC374" s="817"/>
      <c r="ID374" s="89"/>
      <c r="IE374" s="817"/>
      <c r="IF374" s="841"/>
      <c r="IG374" s="263"/>
      <c r="IH374" s="842"/>
      <c r="II374" s="89"/>
      <c r="IJ374" s="89"/>
      <c r="IK374" s="89"/>
      <c r="IL374" s="89"/>
      <c r="IM374" s="89"/>
      <c r="IN374" s="89"/>
      <c r="IO374" s="89"/>
      <c r="IP374" s="89"/>
      <c r="IQ374" s="89"/>
      <c r="IR374" s="89"/>
      <c r="IS374" s="89"/>
      <c r="IT374" s="89"/>
      <c r="IU374" s="89"/>
      <c r="IV374" s="89"/>
      <c r="IW374" s="89"/>
      <c r="IX374" s="89"/>
      <c r="IY374" s="89"/>
      <c r="IZ374" s="89"/>
      <c r="JA374" s="89"/>
      <c r="JB374" s="89"/>
      <c r="JC374" s="89"/>
      <c r="JD374" s="89"/>
      <c r="JE374" s="89"/>
      <c r="JF374" s="89"/>
      <c r="JG374" s="89"/>
      <c r="JH374" s="89"/>
      <c r="JI374" s="89"/>
      <c r="JJ374" s="89"/>
      <c r="JK374" s="89"/>
      <c r="JL374" s="89"/>
      <c r="JM374" s="89"/>
      <c r="JN374" s="89"/>
      <c r="JO374" s="89"/>
      <c r="JP374" s="89"/>
      <c r="JQ374" s="89"/>
      <c r="JR374" s="89"/>
      <c r="JS374" s="74"/>
      <c r="JT374" s="382"/>
      <c r="JU374" s="665"/>
      <c r="JV374" s="524"/>
      <c r="JW374" s="525"/>
      <c r="JX374" s="549"/>
      <c r="JY374" s="549"/>
      <c r="JZ374" s="581">
        <f t="shared" si="10300"/>
        <v>0</v>
      </c>
      <c r="KA374" s="581">
        <f t="shared" si="10301"/>
        <v>0</v>
      </c>
      <c r="KB374" s="549">
        <f t="shared" si="10257"/>
        <v>0</v>
      </c>
      <c r="KC374" s="709">
        <f t="shared" si="10273"/>
        <v>0</v>
      </c>
      <c r="KD374" s="36"/>
      <c r="KE374" s="36"/>
      <c r="KF374" s="36"/>
      <c r="KG374" s="36"/>
      <c r="KH374" s="36"/>
      <c r="KI374" s="36"/>
      <c r="KJ374" s="36"/>
      <c r="KK374" s="36"/>
    </row>
    <row r="375" spans="1:297" s="10" customFormat="1" ht="12.75" customHeight="1">
      <c r="A375" s="80" t="s">
        <v>1052</v>
      </c>
      <c r="B375" s="77"/>
      <c r="C375" s="74">
        <f>C376</f>
        <v>0</v>
      </c>
      <c r="D375" s="549">
        <f t="shared" ref="D375:HG375" si="10332">D376</f>
        <v>0</v>
      </c>
      <c r="E375" s="675">
        <f t="shared" si="10332"/>
        <v>0</v>
      </c>
      <c r="F375" s="549">
        <f t="shared" si="10332"/>
        <v>0</v>
      </c>
      <c r="G375" s="675">
        <f t="shared" si="10332"/>
        <v>0</v>
      </c>
      <c r="H375" s="549">
        <f t="shared" si="10332"/>
        <v>0</v>
      </c>
      <c r="I375" s="675">
        <f t="shared" si="10332"/>
        <v>0</v>
      </c>
      <c r="J375" s="549">
        <f t="shared" si="10332"/>
        <v>0</v>
      </c>
      <c r="K375" s="675">
        <f t="shared" si="10332"/>
        <v>0</v>
      </c>
      <c r="L375" s="549">
        <f t="shared" si="10332"/>
        <v>0</v>
      </c>
      <c r="M375" s="675">
        <f t="shared" si="10332"/>
        <v>0</v>
      </c>
      <c r="N375" s="549">
        <f t="shared" si="10332"/>
        <v>0</v>
      </c>
      <c r="O375" s="675">
        <f t="shared" si="10332"/>
        <v>0</v>
      </c>
      <c r="P375" s="549">
        <f t="shared" si="10332"/>
        <v>0</v>
      </c>
      <c r="Q375" s="675">
        <f t="shared" si="10332"/>
        <v>0</v>
      </c>
      <c r="R375" s="549">
        <f t="shared" si="10332"/>
        <v>0</v>
      </c>
      <c r="S375" s="675">
        <f t="shared" si="10332"/>
        <v>0</v>
      </c>
      <c r="T375" s="549">
        <f t="shared" si="10332"/>
        <v>0</v>
      </c>
      <c r="U375" s="675">
        <f t="shared" si="10332"/>
        <v>0</v>
      </c>
      <c r="V375" s="549">
        <f t="shared" si="10332"/>
        <v>0</v>
      </c>
      <c r="W375" s="675">
        <f t="shared" si="10332"/>
        <v>0</v>
      </c>
      <c r="X375" s="549">
        <f t="shared" si="10332"/>
        <v>0</v>
      </c>
      <c r="Y375" s="675">
        <f t="shared" si="10332"/>
        <v>0</v>
      </c>
      <c r="Z375" s="549">
        <f t="shared" si="10332"/>
        <v>0</v>
      </c>
      <c r="AA375" s="675">
        <f t="shared" si="10332"/>
        <v>0</v>
      </c>
      <c r="AB375" s="549">
        <f t="shared" si="10332"/>
        <v>0</v>
      </c>
      <c r="AC375" s="675">
        <f t="shared" si="10332"/>
        <v>0</v>
      </c>
      <c r="AD375" s="549">
        <f t="shared" si="10332"/>
        <v>0</v>
      </c>
      <c r="AE375" s="675">
        <f t="shared" si="10332"/>
        <v>0</v>
      </c>
      <c r="AF375" s="549">
        <f t="shared" si="10332"/>
        <v>0</v>
      </c>
      <c r="AG375" s="675">
        <f t="shared" si="10332"/>
        <v>0</v>
      </c>
      <c r="AH375" s="549">
        <f t="shared" si="10332"/>
        <v>0</v>
      </c>
      <c r="AI375" s="675">
        <f t="shared" si="10332"/>
        <v>0</v>
      </c>
      <c r="AJ375" s="549">
        <f t="shared" si="10332"/>
        <v>0</v>
      </c>
      <c r="AK375" s="675">
        <f t="shared" si="10332"/>
        <v>0</v>
      </c>
      <c r="AL375" s="549">
        <f t="shared" si="10332"/>
        <v>0</v>
      </c>
      <c r="AM375" s="675">
        <f t="shared" si="10332"/>
        <v>0</v>
      </c>
      <c r="AN375" s="549">
        <f t="shared" si="10332"/>
        <v>0</v>
      </c>
      <c r="AO375" s="675">
        <f t="shared" si="10332"/>
        <v>0</v>
      </c>
      <c r="AP375" s="549">
        <f t="shared" si="10332"/>
        <v>0</v>
      </c>
      <c r="AQ375" s="675">
        <f t="shared" si="10332"/>
        <v>0</v>
      </c>
      <c r="AR375" s="549">
        <f t="shared" si="10332"/>
        <v>0</v>
      </c>
      <c r="AS375" s="675">
        <f t="shared" si="10332"/>
        <v>0</v>
      </c>
      <c r="AT375" s="549">
        <f t="shared" si="10332"/>
        <v>0</v>
      </c>
      <c r="AU375" s="675">
        <f t="shared" si="10332"/>
        <v>0</v>
      </c>
      <c r="AV375" s="549">
        <f t="shared" si="10332"/>
        <v>0</v>
      </c>
      <c r="AW375" s="675">
        <f t="shared" si="10332"/>
        <v>0</v>
      </c>
      <c r="AX375" s="549">
        <f t="shared" si="10332"/>
        <v>0</v>
      </c>
      <c r="AY375" s="675">
        <f t="shared" si="10332"/>
        <v>0</v>
      </c>
      <c r="AZ375" s="549">
        <f t="shared" si="10332"/>
        <v>0</v>
      </c>
      <c r="BA375" s="675">
        <f t="shared" si="10332"/>
        <v>0</v>
      </c>
      <c r="BB375" s="549">
        <f t="shared" si="10332"/>
        <v>0</v>
      </c>
      <c r="BC375" s="675">
        <f t="shared" si="10332"/>
        <v>0</v>
      </c>
      <c r="BD375" s="549">
        <f t="shared" si="10332"/>
        <v>0</v>
      </c>
      <c r="BE375" s="675">
        <f t="shared" si="10332"/>
        <v>0</v>
      </c>
      <c r="BF375" s="549">
        <f t="shared" si="10332"/>
        <v>0</v>
      </c>
      <c r="BG375" s="675">
        <f t="shared" si="10332"/>
        <v>0</v>
      </c>
      <c r="BH375" s="549">
        <f t="shared" si="10332"/>
        <v>0</v>
      </c>
      <c r="BI375" s="675">
        <f t="shared" si="10332"/>
        <v>0</v>
      </c>
      <c r="BJ375" s="549">
        <f t="shared" si="10332"/>
        <v>0</v>
      </c>
      <c r="BK375" s="675">
        <f t="shared" si="10332"/>
        <v>0</v>
      </c>
      <c r="BL375" s="549">
        <f t="shared" si="10332"/>
        <v>3417</v>
      </c>
      <c r="BM375" s="675">
        <f t="shared" si="10332"/>
        <v>0</v>
      </c>
      <c r="BN375" s="549">
        <f t="shared" si="10332"/>
        <v>0</v>
      </c>
      <c r="BO375" s="675">
        <f t="shared" si="10332"/>
        <v>0</v>
      </c>
      <c r="BP375" s="549">
        <f t="shared" si="10332"/>
        <v>0</v>
      </c>
      <c r="BQ375" s="675">
        <f t="shared" si="10332"/>
        <v>0</v>
      </c>
      <c r="BR375" s="549">
        <f t="shared" si="10332"/>
        <v>0</v>
      </c>
      <c r="BS375" s="675">
        <f t="shared" si="10332"/>
        <v>0</v>
      </c>
      <c r="BT375" s="549">
        <f t="shared" si="10332"/>
        <v>0</v>
      </c>
      <c r="BU375" s="675">
        <f t="shared" si="10332"/>
        <v>0</v>
      </c>
      <c r="BV375" s="549">
        <f t="shared" si="10332"/>
        <v>0</v>
      </c>
      <c r="BW375" s="675">
        <f t="shared" si="10332"/>
        <v>0</v>
      </c>
      <c r="BX375" s="549">
        <f t="shared" si="10332"/>
        <v>0</v>
      </c>
      <c r="BY375" s="675">
        <f t="shared" si="10332"/>
        <v>0</v>
      </c>
      <c r="BZ375" s="549">
        <f t="shared" si="10332"/>
        <v>0</v>
      </c>
      <c r="CA375" s="675">
        <f t="shared" si="10332"/>
        <v>0</v>
      </c>
      <c r="CB375" s="549">
        <f t="shared" si="10332"/>
        <v>0</v>
      </c>
      <c r="CC375" s="675">
        <f t="shared" si="10332"/>
        <v>0</v>
      </c>
      <c r="CD375" s="549">
        <f t="shared" si="10332"/>
        <v>0</v>
      </c>
      <c r="CE375" s="675">
        <f t="shared" si="10332"/>
        <v>0</v>
      </c>
      <c r="CF375" s="549">
        <f t="shared" si="10332"/>
        <v>0</v>
      </c>
      <c r="CG375" s="675">
        <f t="shared" si="10332"/>
        <v>0</v>
      </c>
      <c r="CH375" s="549">
        <f t="shared" si="10332"/>
        <v>0</v>
      </c>
      <c r="CI375" s="675">
        <f t="shared" si="10332"/>
        <v>0</v>
      </c>
      <c r="CJ375" s="549">
        <f t="shared" si="10332"/>
        <v>0</v>
      </c>
      <c r="CK375" s="675">
        <f t="shared" si="10332"/>
        <v>0</v>
      </c>
      <c r="CL375" s="549">
        <f t="shared" si="10332"/>
        <v>0</v>
      </c>
      <c r="CM375" s="675">
        <f t="shared" si="10332"/>
        <v>0</v>
      </c>
      <c r="CN375" s="549">
        <f t="shared" si="10332"/>
        <v>0</v>
      </c>
      <c r="CO375" s="675">
        <f t="shared" si="10332"/>
        <v>0</v>
      </c>
      <c r="CP375" s="549">
        <f t="shared" si="10332"/>
        <v>0</v>
      </c>
      <c r="CQ375" s="675">
        <f t="shared" si="10332"/>
        <v>0</v>
      </c>
      <c r="CR375" s="549">
        <f t="shared" si="10332"/>
        <v>0</v>
      </c>
      <c r="CS375" s="675">
        <f t="shared" si="10332"/>
        <v>0</v>
      </c>
      <c r="CT375" s="549">
        <f t="shared" si="10332"/>
        <v>0</v>
      </c>
      <c r="CU375" s="675">
        <f t="shared" si="10332"/>
        <v>0</v>
      </c>
      <c r="CV375" s="549">
        <f t="shared" si="10332"/>
        <v>0</v>
      </c>
      <c r="CW375" s="675">
        <f t="shared" si="10332"/>
        <v>0</v>
      </c>
      <c r="CX375" s="549">
        <f t="shared" si="10332"/>
        <v>0</v>
      </c>
      <c r="CY375" s="675">
        <f t="shared" si="10332"/>
        <v>0</v>
      </c>
      <c r="CZ375" s="549">
        <f t="shared" si="10332"/>
        <v>0</v>
      </c>
      <c r="DA375" s="675">
        <f t="shared" si="10332"/>
        <v>0</v>
      </c>
      <c r="DB375" s="549">
        <f t="shared" si="10332"/>
        <v>0</v>
      </c>
      <c r="DC375" s="675">
        <f t="shared" si="10332"/>
        <v>0</v>
      </c>
      <c r="DD375" s="549">
        <f t="shared" si="10332"/>
        <v>0</v>
      </c>
      <c r="DE375" s="675">
        <f t="shared" si="10332"/>
        <v>0</v>
      </c>
      <c r="DF375" s="549">
        <f t="shared" si="10332"/>
        <v>0</v>
      </c>
      <c r="DG375" s="675">
        <f t="shared" si="10332"/>
        <v>0</v>
      </c>
      <c r="DH375" s="549">
        <f t="shared" si="10332"/>
        <v>0</v>
      </c>
      <c r="DI375" s="675">
        <f t="shared" si="10332"/>
        <v>0</v>
      </c>
      <c r="DJ375" s="549">
        <f t="shared" si="10332"/>
        <v>0</v>
      </c>
      <c r="DK375" s="675">
        <f t="shared" si="10332"/>
        <v>0</v>
      </c>
      <c r="DL375" s="549">
        <f t="shared" si="10332"/>
        <v>0</v>
      </c>
      <c r="DM375" s="675">
        <f t="shared" si="10332"/>
        <v>0</v>
      </c>
      <c r="DN375" s="549">
        <f t="shared" si="10332"/>
        <v>0</v>
      </c>
      <c r="DO375" s="675">
        <f t="shared" si="10332"/>
        <v>0</v>
      </c>
      <c r="DP375" s="549">
        <f t="shared" si="10332"/>
        <v>0</v>
      </c>
      <c r="DQ375" s="675">
        <f t="shared" si="10332"/>
        <v>0</v>
      </c>
      <c r="DR375" s="549">
        <f t="shared" si="10332"/>
        <v>0</v>
      </c>
      <c r="DS375" s="675">
        <f t="shared" si="10332"/>
        <v>0</v>
      </c>
      <c r="DT375" s="549">
        <f t="shared" si="10332"/>
        <v>0</v>
      </c>
      <c r="DU375" s="675">
        <f t="shared" si="10332"/>
        <v>0</v>
      </c>
      <c r="DV375" s="549">
        <f t="shared" si="10332"/>
        <v>0</v>
      </c>
      <c r="DW375" s="675">
        <f t="shared" si="10332"/>
        <v>0</v>
      </c>
      <c r="DX375" s="549">
        <f t="shared" si="10332"/>
        <v>0</v>
      </c>
      <c r="DY375" s="675">
        <f t="shared" si="10332"/>
        <v>0</v>
      </c>
      <c r="DZ375" s="549">
        <f t="shared" si="10332"/>
        <v>0</v>
      </c>
      <c r="EA375" s="675">
        <f t="shared" si="10332"/>
        <v>0</v>
      </c>
      <c r="EB375" s="549">
        <f t="shared" si="10332"/>
        <v>0</v>
      </c>
      <c r="EC375" s="675">
        <f t="shared" si="10332"/>
        <v>0</v>
      </c>
      <c r="ED375" s="549">
        <f t="shared" si="10332"/>
        <v>0</v>
      </c>
      <c r="EE375" s="675">
        <f t="shared" si="10332"/>
        <v>0</v>
      </c>
      <c r="EF375" s="549">
        <f t="shared" si="10332"/>
        <v>0</v>
      </c>
      <c r="EG375" s="675">
        <f t="shared" si="10332"/>
        <v>0</v>
      </c>
      <c r="EH375" s="549">
        <f t="shared" si="10332"/>
        <v>0</v>
      </c>
      <c r="EI375" s="675">
        <f t="shared" si="10332"/>
        <v>0</v>
      </c>
      <c r="EJ375" s="549">
        <f t="shared" si="10332"/>
        <v>0</v>
      </c>
      <c r="EK375" s="675">
        <f t="shared" si="10332"/>
        <v>0</v>
      </c>
      <c r="EL375" s="549">
        <f t="shared" si="10332"/>
        <v>0</v>
      </c>
      <c r="EM375" s="675">
        <f t="shared" si="10332"/>
        <v>0</v>
      </c>
      <c r="EN375" s="549">
        <f t="shared" si="10332"/>
        <v>0</v>
      </c>
      <c r="EO375" s="675">
        <f t="shared" si="10332"/>
        <v>0</v>
      </c>
      <c r="EP375" s="549">
        <f t="shared" si="10332"/>
        <v>0</v>
      </c>
      <c r="EQ375" s="675">
        <f t="shared" si="10332"/>
        <v>0</v>
      </c>
      <c r="ER375" s="549">
        <f t="shared" si="10332"/>
        <v>0</v>
      </c>
      <c r="ES375" s="675">
        <f t="shared" si="10332"/>
        <v>0</v>
      </c>
      <c r="ET375" s="549">
        <f t="shared" si="10332"/>
        <v>0</v>
      </c>
      <c r="EU375" s="675">
        <f t="shared" si="10332"/>
        <v>0</v>
      </c>
      <c r="EV375" s="549">
        <f t="shared" si="10332"/>
        <v>0</v>
      </c>
      <c r="EW375" s="675">
        <f t="shared" si="10332"/>
        <v>0</v>
      </c>
      <c r="EX375" s="549">
        <f t="shared" si="10332"/>
        <v>0</v>
      </c>
      <c r="EY375" s="675">
        <f t="shared" si="10332"/>
        <v>0</v>
      </c>
      <c r="EZ375" s="549">
        <f t="shared" si="10332"/>
        <v>0</v>
      </c>
      <c r="FA375" s="675">
        <f t="shared" si="10332"/>
        <v>0</v>
      </c>
      <c r="FB375" s="549">
        <f t="shared" si="10332"/>
        <v>0</v>
      </c>
      <c r="FC375" s="675">
        <f t="shared" si="10332"/>
        <v>0</v>
      </c>
      <c r="FD375" s="549">
        <f t="shared" si="10332"/>
        <v>0</v>
      </c>
      <c r="FE375" s="675">
        <f t="shared" si="10332"/>
        <v>0</v>
      </c>
      <c r="FF375" s="549">
        <f t="shared" si="10332"/>
        <v>1800</v>
      </c>
      <c r="FG375" s="675">
        <f t="shared" si="10332"/>
        <v>0</v>
      </c>
      <c r="FH375" s="549">
        <f t="shared" si="10332"/>
        <v>0</v>
      </c>
      <c r="FI375" s="675">
        <f t="shared" si="10332"/>
        <v>0</v>
      </c>
      <c r="FJ375" s="549">
        <f t="shared" si="10332"/>
        <v>0</v>
      </c>
      <c r="FK375" s="675">
        <f t="shared" si="10332"/>
        <v>0</v>
      </c>
      <c r="FL375" s="549">
        <f t="shared" si="10332"/>
        <v>0</v>
      </c>
      <c r="FM375" s="675">
        <f t="shared" si="10332"/>
        <v>0</v>
      </c>
      <c r="FN375" s="549">
        <f t="shared" si="10332"/>
        <v>0</v>
      </c>
      <c r="FO375" s="675">
        <f t="shared" si="10332"/>
        <v>0</v>
      </c>
      <c r="FP375" s="549">
        <f t="shared" si="10332"/>
        <v>0</v>
      </c>
      <c r="FQ375" s="675">
        <f t="shared" si="10332"/>
        <v>0</v>
      </c>
      <c r="FR375" s="549">
        <f t="shared" si="10332"/>
        <v>0</v>
      </c>
      <c r="FS375" s="675">
        <f t="shared" si="10332"/>
        <v>0</v>
      </c>
      <c r="FT375" s="549">
        <f t="shared" si="10332"/>
        <v>0</v>
      </c>
      <c r="FU375" s="675">
        <f t="shared" si="10332"/>
        <v>0</v>
      </c>
      <c r="FV375" s="549">
        <f t="shared" si="10332"/>
        <v>0</v>
      </c>
      <c r="FW375" s="675">
        <f t="shared" si="10332"/>
        <v>0</v>
      </c>
      <c r="FX375" s="549">
        <f t="shared" si="10332"/>
        <v>0</v>
      </c>
      <c r="FY375" s="675">
        <f t="shared" si="10332"/>
        <v>0</v>
      </c>
      <c r="FZ375" s="549">
        <f t="shared" si="10332"/>
        <v>0</v>
      </c>
      <c r="GA375" s="675">
        <f t="shared" si="10332"/>
        <v>0</v>
      </c>
      <c r="GB375" s="549">
        <f t="shared" si="10332"/>
        <v>0</v>
      </c>
      <c r="GC375" s="675">
        <f t="shared" si="10332"/>
        <v>0</v>
      </c>
      <c r="GD375" s="549">
        <f t="shared" si="10332"/>
        <v>0</v>
      </c>
      <c r="GE375" s="675">
        <f t="shared" si="10332"/>
        <v>0</v>
      </c>
      <c r="GF375" s="549">
        <f t="shared" si="10332"/>
        <v>0</v>
      </c>
      <c r="GG375" s="675">
        <f t="shared" si="10332"/>
        <v>0</v>
      </c>
      <c r="GH375" s="549">
        <f t="shared" si="10332"/>
        <v>0</v>
      </c>
      <c r="GI375" s="675">
        <f t="shared" si="10332"/>
        <v>0</v>
      </c>
      <c r="GJ375" s="549">
        <f t="shared" si="10332"/>
        <v>0</v>
      </c>
      <c r="GK375" s="675">
        <f t="shared" si="10332"/>
        <v>0</v>
      </c>
      <c r="GL375" s="549">
        <f t="shared" si="10332"/>
        <v>0</v>
      </c>
      <c r="GM375" s="675">
        <f t="shared" si="10332"/>
        <v>0</v>
      </c>
      <c r="GN375" s="549">
        <f t="shared" si="10332"/>
        <v>0</v>
      </c>
      <c r="GO375" s="675">
        <f t="shared" si="10332"/>
        <v>0</v>
      </c>
      <c r="GP375" s="549">
        <f t="shared" si="10332"/>
        <v>5217</v>
      </c>
      <c r="GQ375" s="675">
        <f t="shared" si="10332"/>
        <v>0</v>
      </c>
      <c r="GR375" s="74">
        <f t="shared" si="10332"/>
        <v>5217</v>
      </c>
      <c r="GS375" s="74">
        <f t="shared" si="10332"/>
        <v>5217</v>
      </c>
      <c r="GT375" s="74">
        <f t="shared" si="10332"/>
        <v>5217</v>
      </c>
      <c r="GU375" s="74">
        <f t="shared" si="10332"/>
        <v>0</v>
      </c>
      <c r="GV375" s="74">
        <f t="shared" si="10332"/>
        <v>0</v>
      </c>
      <c r="GW375" s="74">
        <f t="shared" si="10332"/>
        <v>0</v>
      </c>
      <c r="GX375" s="74">
        <f t="shared" si="10332"/>
        <v>0</v>
      </c>
      <c r="GY375" s="74">
        <f t="shared" si="10332"/>
        <v>0</v>
      </c>
      <c r="GZ375" s="74">
        <f t="shared" si="10332"/>
        <v>0</v>
      </c>
      <c r="HA375" s="74">
        <f t="shared" si="10332"/>
        <v>0</v>
      </c>
      <c r="HB375" s="74">
        <f t="shared" si="10332"/>
        <v>0</v>
      </c>
      <c r="HC375" s="74">
        <f t="shared" si="10332"/>
        <v>0</v>
      </c>
      <c r="HD375" s="74">
        <f t="shared" si="10332"/>
        <v>0</v>
      </c>
      <c r="HE375" s="74">
        <f t="shared" si="10332"/>
        <v>0</v>
      </c>
      <c r="HF375" s="74">
        <f t="shared" si="10332"/>
        <v>0</v>
      </c>
      <c r="HG375" s="74">
        <f t="shared" si="10332"/>
        <v>5217</v>
      </c>
      <c r="HH375" s="74">
        <f t="shared" ref="HH375:JT375" si="10333">HH376</f>
        <v>0</v>
      </c>
      <c r="HI375" s="792">
        <f t="shared" si="10333"/>
        <v>0</v>
      </c>
      <c r="HJ375" s="74">
        <f t="shared" si="10333"/>
        <v>0</v>
      </c>
      <c r="HK375" s="792">
        <f t="shared" si="10333"/>
        <v>0</v>
      </c>
      <c r="HL375" s="74">
        <f t="shared" si="10333"/>
        <v>0</v>
      </c>
      <c r="HM375" s="792">
        <f t="shared" si="10333"/>
        <v>0</v>
      </c>
      <c r="HN375" s="74">
        <f t="shared" si="10333"/>
        <v>0</v>
      </c>
      <c r="HO375" s="792">
        <f t="shared" si="10333"/>
        <v>0</v>
      </c>
      <c r="HP375" s="74">
        <f t="shared" si="10333"/>
        <v>0</v>
      </c>
      <c r="HQ375" s="792">
        <f t="shared" si="10333"/>
        <v>0</v>
      </c>
      <c r="HR375" s="74">
        <f t="shared" si="10333"/>
        <v>0</v>
      </c>
      <c r="HS375" s="792">
        <f t="shared" si="10333"/>
        <v>0</v>
      </c>
      <c r="HT375" s="74">
        <f t="shared" si="10333"/>
        <v>0</v>
      </c>
      <c r="HU375" s="792">
        <f t="shared" si="10333"/>
        <v>0</v>
      </c>
      <c r="HV375" s="74">
        <f t="shared" si="10333"/>
        <v>0</v>
      </c>
      <c r="HW375" s="792">
        <f t="shared" si="10333"/>
        <v>0</v>
      </c>
      <c r="HX375" s="74">
        <f t="shared" si="10333"/>
        <v>0</v>
      </c>
      <c r="HY375" s="792">
        <f t="shared" si="10333"/>
        <v>0</v>
      </c>
      <c r="HZ375" s="74">
        <f t="shared" si="10333"/>
        <v>5217</v>
      </c>
      <c r="IA375" s="792">
        <f t="shared" si="10333"/>
        <v>0</v>
      </c>
      <c r="IB375" s="74">
        <f t="shared" si="10333"/>
        <v>0</v>
      </c>
      <c r="IC375" s="792">
        <f t="shared" si="10333"/>
        <v>0</v>
      </c>
      <c r="ID375" s="74">
        <f t="shared" si="10333"/>
        <v>0</v>
      </c>
      <c r="IE375" s="792">
        <f t="shared" si="10333"/>
        <v>0</v>
      </c>
      <c r="IF375" s="841">
        <f t="shared" si="10333"/>
        <v>0</v>
      </c>
      <c r="IG375" s="263">
        <f t="shared" si="10333"/>
        <v>0</v>
      </c>
      <c r="IH375" s="842">
        <f t="shared" si="10333"/>
        <v>0</v>
      </c>
      <c r="II375" s="74">
        <f t="shared" si="10333"/>
        <v>0</v>
      </c>
      <c r="IJ375" s="74">
        <f t="shared" si="10333"/>
        <v>0</v>
      </c>
      <c r="IK375" s="74">
        <f t="shared" si="10333"/>
        <v>0</v>
      </c>
      <c r="IL375" s="74">
        <f t="shared" si="10333"/>
        <v>0</v>
      </c>
      <c r="IM375" s="74">
        <f t="shared" si="10333"/>
        <v>0</v>
      </c>
      <c r="IN375" s="74">
        <f t="shared" si="10333"/>
        <v>0</v>
      </c>
      <c r="IO375" s="74">
        <f t="shared" si="10333"/>
        <v>0</v>
      </c>
      <c r="IP375" s="74">
        <f t="shared" si="10333"/>
        <v>0</v>
      </c>
      <c r="IQ375" s="74">
        <f t="shared" si="10333"/>
        <v>0</v>
      </c>
      <c r="IR375" s="74">
        <f t="shared" si="10333"/>
        <v>0</v>
      </c>
      <c r="IS375" s="74">
        <f t="shared" si="10333"/>
        <v>0</v>
      </c>
      <c r="IT375" s="74">
        <f t="shared" si="10333"/>
        <v>0</v>
      </c>
      <c r="IU375" s="74">
        <f t="shared" si="10333"/>
        <v>0</v>
      </c>
      <c r="IV375" s="74">
        <f t="shared" si="10333"/>
        <v>0</v>
      </c>
      <c r="IW375" s="74">
        <f t="shared" si="10333"/>
        <v>0</v>
      </c>
      <c r="IX375" s="74">
        <f t="shared" si="10333"/>
        <v>0</v>
      </c>
      <c r="IY375" s="74">
        <f t="shared" si="10333"/>
        <v>0</v>
      </c>
      <c r="IZ375" s="74">
        <f t="shared" si="10333"/>
        <v>0</v>
      </c>
      <c r="JA375" s="74">
        <f t="shared" si="10333"/>
        <v>0</v>
      </c>
      <c r="JB375" s="74">
        <f t="shared" si="10333"/>
        <v>0</v>
      </c>
      <c r="JC375" s="74">
        <f t="shared" si="10333"/>
        <v>0</v>
      </c>
      <c r="JD375" s="74">
        <f t="shared" si="10333"/>
        <v>0</v>
      </c>
      <c r="JE375" s="74">
        <f t="shared" si="10333"/>
        <v>0</v>
      </c>
      <c r="JF375" s="74">
        <f t="shared" si="10333"/>
        <v>0</v>
      </c>
      <c r="JG375" s="74">
        <f t="shared" si="10333"/>
        <v>0</v>
      </c>
      <c r="JH375" s="74">
        <f t="shared" si="10333"/>
        <v>0</v>
      </c>
      <c r="JI375" s="74">
        <f t="shared" si="10333"/>
        <v>0</v>
      </c>
      <c r="JJ375" s="74">
        <f t="shared" si="10333"/>
        <v>0</v>
      </c>
      <c r="JK375" s="74">
        <f t="shared" si="10333"/>
        <v>0</v>
      </c>
      <c r="JL375" s="74">
        <f t="shared" si="10333"/>
        <v>0</v>
      </c>
      <c r="JM375" s="74">
        <f t="shared" si="10333"/>
        <v>0</v>
      </c>
      <c r="JN375" s="74">
        <f t="shared" si="10333"/>
        <v>0</v>
      </c>
      <c r="JO375" s="74">
        <f t="shared" si="10333"/>
        <v>0</v>
      </c>
      <c r="JP375" s="74">
        <f t="shared" si="10333"/>
        <v>0</v>
      </c>
      <c r="JQ375" s="74">
        <f t="shared" si="10333"/>
        <v>0</v>
      </c>
      <c r="JR375" s="74">
        <f t="shared" si="10333"/>
        <v>0</v>
      </c>
      <c r="JS375" s="74">
        <f t="shared" si="10333"/>
        <v>5217</v>
      </c>
      <c r="JT375" s="102">
        <f t="shared" si="10333"/>
        <v>5217</v>
      </c>
      <c r="JU375" s="665"/>
      <c r="JV375" s="524"/>
      <c r="JW375" s="525"/>
      <c r="JX375" s="549">
        <f>JX376</f>
        <v>5217</v>
      </c>
      <c r="JY375" s="549">
        <f>JY376</f>
        <v>0</v>
      </c>
      <c r="JZ375" s="581">
        <f t="shared" si="10300"/>
        <v>5217</v>
      </c>
      <c r="KA375" s="581">
        <f t="shared" si="10301"/>
        <v>0</v>
      </c>
      <c r="KB375" s="549">
        <f t="shared" si="10257"/>
        <v>5217</v>
      </c>
      <c r="KC375" s="709">
        <f t="shared" si="10273"/>
        <v>0</v>
      </c>
      <c r="KD375" s="36"/>
      <c r="KE375" s="36"/>
      <c r="KF375" s="36"/>
      <c r="KG375" s="36"/>
      <c r="KH375" s="36"/>
      <c r="KI375" s="36"/>
      <c r="KJ375" s="36"/>
      <c r="KK375" s="36"/>
    </row>
    <row r="376" spans="1:297" s="10" customFormat="1" ht="12.75" customHeight="1">
      <c r="A376" s="86" t="s">
        <v>1339</v>
      </c>
      <c r="B376" s="77" t="s">
        <v>66</v>
      </c>
      <c r="C376" s="74">
        <v>0</v>
      </c>
      <c r="D376" s="549">
        <v>0</v>
      </c>
      <c r="E376" s="675">
        <v>0</v>
      </c>
      <c r="F376" s="549">
        <v>0</v>
      </c>
      <c r="G376" s="675">
        <v>0</v>
      </c>
      <c r="H376" s="549">
        <v>0</v>
      </c>
      <c r="I376" s="675">
        <v>0</v>
      </c>
      <c r="J376" s="549">
        <v>0</v>
      </c>
      <c r="K376" s="675">
        <v>0</v>
      </c>
      <c r="L376" s="549">
        <v>0</v>
      </c>
      <c r="M376" s="675">
        <v>0</v>
      </c>
      <c r="N376" s="549">
        <v>0</v>
      </c>
      <c r="O376" s="675">
        <v>0</v>
      </c>
      <c r="P376" s="549">
        <v>0</v>
      </c>
      <c r="Q376" s="675">
        <v>0</v>
      </c>
      <c r="R376" s="549">
        <v>0</v>
      </c>
      <c r="S376" s="675">
        <v>0</v>
      </c>
      <c r="T376" s="549">
        <v>0</v>
      </c>
      <c r="U376" s="675">
        <v>0</v>
      </c>
      <c r="V376" s="549">
        <v>0</v>
      </c>
      <c r="W376" s="675">
        <v>0</v>
      </c>
      <c r="X376" s="549">
        <v>0</v>
      </c>
      <c r="Y376" s="675">
        <v>0</v>
      </c>
      <c r="Z376" s="549">
        <v>0</v>
      </c>
      <c r="AA376" s="675">
        <v>0</v>
      </c>
      <c r="AB376" s="549">
        <v>0</v>
      </c>
      <c r="AC376" s="675">
        <v>0</v>
      </c>
      <c r="AD376" s="549">
        <v>0</v>
      </c>
      <c r="AE376" s="675">
        <v>0</v>
      </c>
      <c r="AF376" s="549">
        <v>0</v>
      </c>
      <c r="AG376" s="675">
        <v>0</v>
      </c>
      <c r="AH376" s="549">
        <v>0</v>
      </c>
      <c r="AI376" s="675">
        <v>0</v>
      </c>
      <c r="AJ376" s="549">
        <v>0</v>
      </c>
      <c r="AK376" s="675">
        <v>0</v>
      </c>
      <c r="AL376" s="549">
        <v>0</v>
      </c>
      <c r="AM376" s="675">
        <v>0</v>
      </c>
      <c r="AN376" s="549">
        <v>0</v>
      </c>
      <c r="AO376" s="675">
        <v>0</v>
      </c>
      <c r="AP376" s="549">
        <v>0</v>
      </c>
      <c r="AQ376" s="675">
        <v>0</v>
      </c>
      <c r="AR376" s="549">
        <v>0</v>
      </c>
      <c r="AS376" s="675">
        <v>0</v>
      </c>
      <c r="AT376" s="549">
        <v>0</v>
      </c>
      <c r="AU376" s="675">
        <v>0</v>
      </c>
      <c r="AV376" s="549">
        <v>0</v>
      </c>
      <c r="AW376" s="675">
        <v>0</v>
      </c>
      <c r="AX376" s="549">
        <v>0</v>
      </c>
      <c r="AY376" s="675">
        <v>0</v>
      </c>
      <c r="AZ376" s="549">
        <v>0</v>
      </c>
      <c r="BA376" s="675">
        <v>0</v>
      </c>
      <c r="BB376" s="549">
        <v>0</v>
      </c>
      <c r="BC376" s="675">
        <v>0</v>
      </c>
      <c r="BD376" s="549">
        <v>0</v>
      </c>
      <c r="BE376" s="675">
        <v>0</v>
      </c>
      <c r="BF376" s="549">
        <v>0</v>
      </c>
      <c r="BG376" s="675">
        <v>0</v>
      </c>
      <c r="BH376" s="549">
        <v>0</v>
      </c>
      <c r="BI376" s="675">
        <v>0</v>
      </c>
      <c r="BJ376" s="549">
        <v>0</v>
      </c>
      <c r="BK376" s="675">
        <v>0</v>
      </c>
      <c r="BL376" s="549">
        <v>3417</v>
      </c>
      <c r="BM376" s="675">
        <v>0</v>
      </c>
      <c r="BN376" s="549">
        <v>0</v>
      </c>
      <c r="BO376" s="675">
        <v>0</v>
      </c>
      <c r="BP376" s="549">
        <v>0</v>
      </c>
      <c r="BQ376" s="675">
        <v>0</v>
      </c>
      <c r="BR376" s="549">
        <v>0</v>
      </c>
      <c r="BS376" s="675">
        <v>0</v>
      </c>
      <c r="BT376" s="549">
        <v>0</v>
      </c>
      <c r="BU376" s="675">
        <v>0</v>
      </c>
      <c r="BV376" s="549">
        <v>0</v>
      </c>
      <c r="BW376" s="675">
        <v>0</v>
      </c>
      <c r="BX376" s="549">
        <v>0</v>
      </c>
      <c r="BY376" s="675">
        <v>0</v>
      </c>
      <c r="BZ376" s="549">
        <v>0</v>
      </c>
      <c r="CA376" s="675">
        <v>0</v>
      </c>
      <c r="CB376" s="549">
        <v>0</v>
      </c>
      <c r="CC376" s="675">
        <v>0</v>
      </c>
      <c r="CD376" s="549">
        <v>0</v>
      </c>
      <c r="CE376" s="675">
        <v>0</v>
      </c>
      <c r="CF376" s="549">
        <v>0</v>
      </c>
      <c r="CG376" s="675">
        <v>0</v>
      </c>
      <c r="CH376" s="549">
        <v>0</v>
      </c>
      <c r="CI376" s="675">
        <v>0</v>
      </c>
      <c r="CJ376" s="549">
        <v>0</v>
      </c>
      <c r="CK376" s="675">
        <v>0</v>
      </c>
      <c r="CL376" s="549">
        <v>0</v>
      </c>
      <c r="CM376" s="675">
        <v>0</v>
      </c>
      <c r="CN376" s="549">
        <v>0</v>
      </c>
      <c r="CO376" s="675">
        <v>0</v>
      </c>
      <c r="CP376" s="549">
        <v>0</v>
      </c>
      <c r="CQ376" s="675">
        <v>0</v>
      </c>
      <c r="CR376" s="549">
        <v>0</v>
      </c>
      <c r="CS376" s="675">
        <v>0</v>
      </c>
      <c r="CT376" s="549">
        <v>0</v>
      </c>
      <c r="CU376" s="675">
        <v>0</v>
      </c>
      <c r="CV376" s="549">
        <v>0</v>
      </c>
      <c r="CW376" s="675">
        <v>0</v>
      </c>
      <c r="CX376" s="549">
        <v>0</v>
      </c>
      <c r="CY376" s="675">
        <v>0</v>
      </c>
      <c r="CZ376" s="549">
        <v>0</v>
      </c>
      <c r="DA376" s="675">
        <v>0</v>
      </c>
      <c r="DB376" s="549">
        <v>0</v>
      </c>
      <c r="DC376" s="675">
        <v>0</v>
      </c>
      <c r="DD376" s="549">
        <v>0</v>
      </c>
      <c r="DE376" s="675">
        <v>0</v>
      </c>
      <c r="DF376" s="549">
        <v>0</v>
      </c>
      <c r="DG376" s="675">
        <v>0</v>
      </c>
      <c r="DH376" s="549">
        <v>0</v>
      </c>
      <c r="DI376" s="675">
        <v>0</v>
      </c>
      <c r="DJ376" s="549">
        <v>0</v>
      </c>
      <c r="DK376" s="675">
        <v>0</v>
      </c>
      <c r="DL376" s="549">
        <v>0</v>
      </c>
      <c r="DM376" s="675">
        <v>0</v>
      </c>
      <c r="DN376" s="549">
        <v>0</v>
      </c>
      <c r="DO376" s="675">
        <v>0</v>
      </c>
      <c r="DP376" s="549">
        <v>0</v>
      </c>
      <c r="DQ376" s="675">
        <v>0</v>
      </c>
      <c r="DR376" s="549">
        <v>0</v>
      </c>
      <c r="DS376" s="675">
        <v>0</v>
      </c>
      <c r="DT376" s="549">
        <v>0</v>
      </c>
      <c r="DU376" s="675">
        <v>0</v>
      </c>
      <c r="DV376" s="549">
        <v>0</v>
      </c>
      <c r="DW376" s="675">
        <v>0</v>
      </c>
      <c r="DX376" s="549">
        <v>0</v>
      </c>
      <c r="DY376" s="675">
        <v>0</v>
      </c>
      <c r="DZ376" s="549">
        <v>0</v>
      </c>
      <c r="EA376" s="675">
        <v>0</v>
      </c>
      <c r="EB376" s="549">
        <v>0</v>
      </c>
      <c r="EC376" s="675">
        <v>0</v>
      </c>
      <c r="ED376" s="549">
        <v>0</v>
      </c>
      <c r="EE376" s="675">
        <v>0</v>
      </c>
      <c r="EF376" s="549">
        <v>0</v>
      </c>
      <c r="EG376" s="675">
        <v>0</v>
      </c>
      <c r="EH376" s="549">
        <v>0</v>
      </c>
      <c r="EI376" s="675">
        <v>0</v>
      </c>
      <c r="EJ376" s="549">
        <v>0</v>
      </c>
      <c r="EK376" s="675">
        <v>0</v>
      </c>
      <c r="EL376" s="549">
        <v>0</v>
      </c>
      <c r="EM376" s="675">
        <v>0</v>
      </c>
      <c r="EN376" s="549">
        <v>0</v>
      </c>
      <c r="EO376" s="675">
        <v>0</v>
      </c>
      <c r="EP376" s="549">
        <v>0</v>
      </c>
      <c r="EQ376" s="675">
        <v>0</v>
      </c>
      <c r="ER376" s="549">
        <v>0</v>
      </c>
      <c r="ES376" s="675">
        <v>0</v>
      </c>
      <c r="ET376" s="549">
        <v>0</v>
      </c>
      <c r="EU376" s="675">
        <v>0</v>
      </c>
      <c r="EV376" s="549">
        <v>0</v>
      </c>
      <c r="EW376" s="675">
        <v>0</v>
      </c>
      <c r="EX376" s="549">
        <v>0</v>
      </c>
      <c r="EY376" s="675">
        <v>0</v>
      </c>
      <c r="EZ376" s="549">
        <v>0</v>
      </c>
      <c r="FA376" s="675">
        <v>0</v>
      </c>
      <c r="FB376" s="549">
        <v>0</v>
      </c>
      <c r="FC376" s="675">
        <v>0</v>
      </c>
      <c r="FD376" s="549">
        <v>0</v>
      </c>
      <c r="FE376" s="675">
        <v>0</v>
      </c>
      <c r="FF376" s="549">
        <v>1800</v>
      </c>
      <c r="FG376" s="675">
        <v>0</v>
      </c>
      <c r="FH376" s="549">
        <v>0</v>
      </c>
      <c r="FI376" s="675">
        <v>0</v>
      </c>
      <c r="FJ376" s="549">
        <v>0</v>
      </c>
      <c r="FK376" s="675">
        <v>0</v>
      </c>
      <c r="FL376" s="549">
        <v>0</v>
      </c>
      <c r="FM376" s="675">
        <v>0</v>
      </c>
      <c r="FN376" s="549">
        <v>0</v>
      </c>
      <c r="FO376" s="675">
        <v>0</v>
      </c>
      <c r="FP376" s="549">
        <v>0</v>
      </c>
      <c r="FQ376" s="675">
        <v>0</v>
      </c>
      <c r="FR376" s="549">
        <v>0</v>
      </c>
      <c r="FS376" s="675">
        <v>0</v>
      </c>
      <c r="FT376" s="549">
        <v>0</v>
      </c>
      <c r="FU376" s="675">
        <v>0</v>
      </c>
      <c r="FV376" s="549">
        <v>0</v>
      </c>
      <c r="FW376" s="675">
        <v>0</v>
      </c>
      <c r="FX376" s="549">
        <v>0</v>
      </c>
      <c r="FY376" s="675">
        <v>0</v>
      </c>
      <c r="FZ376" s="549">
        <v>0</v>
      </c>
      <c r="GA376" s="675">
        <v>0</v>
      </c>
      <c r="GB376" s="549">
        <v>0</v>
      </c>
      <c r="GC376" s="675">
        <v>0</v>
      </c>
      <c r="GD376" s="549">
        <v>0</v>
      </c>
      <c r="GE376" s="675">
        <v>0</v>
      </c>
      <c r="GF376" s="549">
        <v>0</v>
      </c>
      <c r="GG376" s="675">
        <v>0</v>
      </c>
      <c r="GH376" s="549">
        <v>0</v>
      </c>
      <c r="GI376" s="675">
        <v>0</v>
      </c>
      <c r="GJ376" s="549">
        <v>0</v>
      </c>
      <c r="GK376" s="675">
        <v>0</v>
      </c>
      <c r="GL376" s="549">
        <v>0</v>
      </c>
      <c r="GM376" s="675">
        <v>0</v>
      </c>
      <c r="GN376" s="549">
        <v>0</v>
      </c>
      <c r="GO376" s="675">
        <v>0</v>
      </c>
      <c r="GP376" s="549">
        <f>+D376+F376+H376+J376+L376+N376+P376+R376+T376+V376+X376+Z376+AB376+AD376+AH376+AJ376+AL376+AN376+AP376+AR376+AT376+AV376+AX376+AZ376+BB376+BD376+BF376+BH376+BJ376+BL376+BN376+BP376+BR376+BT376+BV376+BX376+BZ376+CB376+CD376+CF376+CH376+CJ376+CL376+CN376+CP376+CR376+CT376+CV376+CX376+CZ376+DB376+DD376+DF376+DH376+DT376+EX376+DJ376+DL376+DN376+DP376+DR376+EJ376+EB376+DZ376+DX376+DV376+ED376+EF376+EH376+EL376+EN376+EP376+EV376+ET376+ER376+EZ376+FB376+FD376+GL376+FF376+FH376+FJ376+FL376+FN376+FP376+FR376+FT376+FV376+FX376+FZ376+GB376+GD376+GF376+GH376+GJ376+GN376</f>
        <v>5217</v>
      </c>
      <c r="GQ376" s="675">
        <f>+E376+G376+I376+K376+M376+O376+Q376+S376+U376+W376+Y376+AA376+AC376+AE376+AI376+AK376+AM376+AO376+AQ376+AS376+AU376+AW376+AY376+BA376+BC376+BE376+BG376+BI376+BK376+BM376+BO376+BQ376+BS376+BU376+BW376+BY376+CA376+CC376+CE376+CG376+CI376+CK376+CM376+CO376+CQ376+CS376+CU376+CW376+CY376+DA376+DC376+DE376+DG376+DI376+DU376+EY376+DK376+DM376+DO376+DQ376+DS376+EK376+EC376+EA376+DY376+DW376+EI376+EG376+EE376+EM376+EO376+EQ376+EW376+EU376+ES376+FA376+FC376+FE376+GM376</f>
        <v>0</v>
      </c>
      <c r="GR376" s="74">
        <f>C376+GP376+GQ376</f>
        <v>5217</v>
      </c>
      <c r="GS376" s="74">
        <f>SUM(GU376:HD376)+GP376+GQ376</f>
        <v>5217</v>
      </c>
      <c r="GT376" s="568">
        <f>SUM(GU376:HF376)+GQ376+GP376</f>
        <v>5217</v>
      </c>
      <c r="GU376" s="275">
        <v>0</v>
      </c>
      <c r="GV376" s="275"/>
      <c r="GW376" s="588">
        <v>0</v>
      </c>
      <c r="GX376" s="588"/>
      <c r="GY376" s="275"/>
      <c r="GZ376" s="275"/>
      <c r="HA376" s="275"/>
      <c r="HB376" s="275"/>
      <c r="HC376" s="275">
        <v>0</v>
      </c>
      <c r="HD376" s="275"/>
      <c r="HE376" s="275"/>
      <c r="HF376" s="275"/>
      <c r="HG376" s="74">
        <f>SUM(HH376:IE376)</f>
        <v>5217</v>
      </c>
      <c r="HH376" s="89">
        <v>0</v>
      </c>
      <c r="HI376" s="817">
        <v>0</v>
      </c>
      <c r="HJ376" s="89">
        <v>0</v>
      </c>
      <c r="HK376" s="817">
        <v>0</v>
      </c>
      <c r="HL376" s="89">
        <v>0</v>
      </c>
      <c r="HM376" s="817">
        <v>0</v>
      </c>
      <c r="HN376" s="89">
        <v>0</v>
      </c>
      <c r="HO376" s="817">
        <v>0</v>
      </c>
      <c r="HP376" s="89">
        <v>0</v>
      </c>
      <c r="HQ376" s="817">
        <v>0</v>
      </c>
      <c r="HR376" s="89">
        <v>0</v>
      </c>
      <c r="HS376" s="817">
        <v>0</v>
      </c>
      <c r="HT376" s="89">
        <v>0</v>
      </c>
      <c r="HU376" s="817">
        <v>0</v>
      </c>
      <c r="HV376" s="89">
        <v>0</v>
      </c>
      <c r="HW376" s="817">
        <v>0</v>
      </c>
      <c r="HX376" s="89">
        <v>0</v>
      </c>
      <c r="HY376" s="817">
        <v>0</v>
      </c>
      <c r="HZ376" s="89">
        <v>5217</v>
      </c>
      <c r="IA376" s="817">
        <v>0</v>
      </c>
      <c r="IB376" s="89">
        <v>0</v>
      </c>
      <c r="IC376" s="817">
        <v>0</v>
      </c>
      <c r="ID376" s="89">
        <v>0</v>
      </c>
      <c r="IE376" s="817">
        <v>0</v>
      </c>
      <c r="IF376" s="841">
        <f t="shared" ref="IF376" si="10334">SUM(II376,IL376,IO376,IR376,IU376,IX376,JA376,JD376,JG376,JJ376,JM376,JP376)</f>
        <v>0</v>
      </c>
      <c r="IG376" s="263">
        <f t="shared" ref="IG376" si="10335">SUM(IJ376,IM376,IP376,IS376,IV376,IY376,JB376,JE376,JH376,JK376,JN376,JQ376)</f>
        <v>0</v>
      </c>
      <c r="IH376" s="842">
        <f t="shared" ref="IH376" si="10336">SUM(IK376,IN376,IQ376,IT376,IW376,IZ376,JC376,JF376,JI376,JL376,JO376,JR376)</f>
        <v>0</v>
      </c>
      <c r="II376" s="89">
        <v>0</v>
      </c>
      <c r="IJ376" s="89">
        <v>0</v>
      </c>
      <c r="IK376" s="89">
        <v>0</v>
      </c>
      <c r="IL376" s="89">
        <v>0</v>
      </c>
      <c r="IM376" s="89">
        <v>0</v>
      </c>
      <c r="IN376" s="89">
        <v>0</v>
      </c>
      <c r="IO376" s="89">
        <v>0</v>
      </c>
      <c r="IP376" s="89">
        <v>0</v>
      </c>
      <c r="IQ376" s="89">
        <v>0</v>
      </c>
      <c r="IR376" s="89">
        <v>0</v>
      </c>
      <c r="IS376" s="89">
        <v>0</v>
      </c>
      <c r="IT376" s="89">
        <v>0</v>
      </c>
      <c r="IU376" s="89">
        <v>0</v>
      </c>
      <c r="IV376" s="89">
        <v>0</v>
      </c>
      <c r="IW376" s="89">
        <v>0</v>
      </c>
      <c r="IX376" s="89">
        <v>0</v>
      </c>
      <c r="IY376" s="89">
        <v>0</v>
      </c>
      <c r="IZ376" s="89">
        <v>0</v>
      </c>
      <c r="JA376" s="89">
        <v>0</v>
      </c>
      <c r="JB376" s="89">
        <v>0</v>
      </c>
      <c r="JC376" s="89">
        <v>0</v>
      </c>
      <c r="JD376" s="89">
        <v>0</v>
      </c>
      <c r="JE376" s="89">
        <v>0</v>
      </c>
      <c r="JF376" s="89">
        <v>0</v>
      </c>
      <c r="JG376" s="89">
        <v>0</v>
      </c>
      <c r="JH376" s="89">
        <v>0</v>
      </c>
      <c r="JI376" s="89">
        <v>0</v>
      </c>
      <c r="JJ376" s="89">
        <v>0</v>
      </c>
      <c r="JK376" s="89">
        <v>0</v>
      </c>
      <c r="JL376" s="89">
        <v>0</v>
      </c>
      <c r="JM376" s="89">
        <v>0</v>
      </c>
      <c r="JN376" s="89">
        <v>0</v>
      </c>
      <c r="JO376" s="89">
        <v>0</v>
      </c>
      <c r="JP376" s="89">
        <v>0</v>
      </c>
      <c r="JQ376" s="89">
        <v>0</v>
      </c>
      <c r="JR376" s="89">
        <v>0</v>
      </c>
      <c r="JS376" s="74">
        <f>HG376-IF376</f>
        <v>5217</v>
      </c>
      <c r="JT376" s="382">
        <f>GS376-IF376</f>
        <v>5217</v>
      </c>
      <c r="JU376" s="665"/>
      <c r="JV376" s="524"/>
      <c r="JW376" s="525"/>
      <c r="JX376" s="549">
        <f>SUM(HH376,HJ376,HL376,HN376,HP376,HR376,HT376,HV376,HX376,HZ376,IB376,ID376)</f>
        <v>5217</v>
      </c>
      <c r="JY376" s="549">
        <f>SUM(HI376,HK376,HM376,HO376,HQ376,HS376,HU376,HW376,HY376,IA376,IC376,IE376)</f>
        <v>0</v>
      </c>
      <c r="JZ376" s="581">
        <f t="shared" si="10300"/>
        <v>5217</v>
      </c>
      <c r="KA376" s="581">
        <f t="shared" si="10301"/>
        <v>0</v>
      </c>
      <c r="KB376" s="549">
        <f t="shared" si="10257"/>
        <v>5217</v>
      </c>
      <c r="KC376" s="709">
        <f t="shared" si="10273"/>
        <v>0</v>
      </c>
      <c r="KD376" s="36"/>
      <c r="KE376" s="36"/>
      <c r="KF376" s="36"/>
      <c r="KG376" s="36"/>
      <c r="KH376" s="36"/>
      <c r="KI376" s="36"/>
      <c r="KJ376" s="36"/>
      <c r="KK376" s="36"/>
    </row>
    <row r="377" spans="1:297" s="10" customFormat="1" ht="12.75" customHeight="1">
      <c r="A377" s="86"/>
      <c r="B377" s="77"/>
      <c r="C377" s="74"/>
      <c r="D377" s="549"/>
      <c r="E377" s="675"/>
      <c r="F377" s="549"/>
      <c r="G377" s="675"/>
      <c r="H377" s="549"/>
      <c r="I377" s="675"/>
      <c r="J377" s="549"/>
      <c r="K377" s="675"/>
      <c r="L377" s="549"/>
      <c r="M377" s="675"/>
      <c r="N377" s="549"/>
      <c r="O377" s="675"/>
      <c r="P377" s="549"/>
      <c r="Q377" s="675"/>
      <c r="R377" s="549"/>
      <c r="S377" s="675"/>
      <c r="T377" s="549"/>
      <c r="U377" s="675"/>
      <c r="V377" s="549"/>
      <c r="W377" s="675"/>
      <c r="X377" s="549"/>
      <c r="Y377" s="675"/>
      <c r="Z377" s="549"/>
      <c r="AA377" s="675"/>
      <c r="AB377" s="549"/>
      <c r="AC377" s="675"/>
      <c r="AD377" s="549"/>
      <c r="AE377" s="675"/>
      <c r="AF377" s="549"/>
      <c r="AG377" s="675"/>
      <c r="AH377" s="549"/>
      <c r="AI377" s="675"/>
      <c r="AJ377" s="549"/>
      <c r="AK377" s="675"/>
      <c r="AL377" s="549"/>
      <c r="AM377" s="675"/>
      <c r="AN377" s="549"/>
      <c r="AO377" s="675"/>
      <c r="AP377" s="549"/>
      <c r="AQ377" s="675"/>
      <c r="AR377" s="549"/>
      <c r="AS377" s="675"/>
      <c r="AT377" s="549"/>
      <c r="AU377" s="675"/>
      <c r="AV377" s="549"/>
      <c r="AW377" s="675"/>
      <c r="AX377" s="549"/>
      <c r="AY377" s="675"/>
      <c r="AZ377" s="549"/>
      <c r="BA377" s="675"/>
      <c r="BB377" s="549"/>
      <c r="BC377" s="675"/>
      <c r="BD377" s="549"/>
      <c r="BE377" s="675"/>
      <c r="BF377" s="549"/>
      <c r="BG377" s="675"/>
      <c r="BH377" s="549"/>
      <c r="BI377" s="675"/>
      <c r="BJ377" s="549"/>
      <c r="BK377" s="675"/>
      <c r="BL377" s="549"/>
      <c r="BM377" s="675"/>
      <c r="BN377" s="549"/>
      <c r="BO377" s="675"/>
      <c r="BP377" s="549"/>
      <c r="BQ377" s="675"/>
      <c r="BR377" s="549"/>
      <c r="BS377" s="675"/>
      <c r="BT377" s="549"/>
      <c r="BU377" s="675"/>
      <c r="BV377" s="549"/>
      <c r="BW377" s="675"/>
      <c r="BX377" s="549"/>
      <c r="BY377" s="675"/>
      <c r="BZ377" s="549"/>
      <c r="CA377" s="675"/>
      <c r="CB377" s="549"/>
      <c r="CC377" s="675"/>
      <c r="CD377" s="549"/>
      <c r="CE377" s="675"/>
      <c r="CF377" s="549"/>
      <c r="CG377" s="675"/>
      <c r="CH377" s="549"/>
      <c r="CI377" s="675"/>
      <c r="CJ377" s="549"/>
      <c r="CK377" s="675"/>
      <c r="CL377" s="549"/>
      <c r="CM377" s="675"/>
      <c r="CN377" s="549"/>
      <c r="CO377" s="675"/>
      <c r="CP377" s="549"/>
      <c r="CQ377" s="675"/>
      <c r="CR377" s="549"/>
      <c r="CS377" s="675"/>
      <c r="CT377" s="549"/>
      <c r="CU377" s="675"/>
      <c r="CV377" s="549"/>
      <c r="CW377" s="675"/>
      <c r="CX377" s="549"/>
      <c r="CY377" s="675"/>
      <c r="CZ377" s="549"/>
      <c r="DA377" s="675"/>
      <c r="DB377" s="549"/>
      <c r="DC377" s="675"/>
      <c r="DD377" s="549"/>
      <c r="DE377" s="675"/>
      <c r="DF377" s="549"/>
      <c r="DG377" s="675"/>
      <c r="DH377" s="549"/>
      <c r="DI377" s="675"/>
      <c r="DJ377" s="549"/>
      <c r="DK377" s="675"/>
      <c r="DL377" s="549"/>
      <c r="DM377" s="675"/>
      <c r="DN377" s="549"/>
      <c r="DO377" s="675"/>
      <c r="DP377" s="549"/>
      <c r="DQ377" s="675"/>
      <c r="DR377" s="549"/>
      <c r="DS377" s="675"/>
      <c r="DT377" s="549"/>
      <c r="DU377" s="675"/>
      <c r="DV377" s="549"/>
      <c r="DW377" s="675"/>
      <c r="DX377" s="549"/>
      <c r="DY377" s="675"/>
      <c r="DZ377" s="549"/>
      <c r="EA377" s="675"/>
      <c r="EB377" s="549"/>
      <c r="EC377" s="675"/>
      <c r="ED377" s="549"/>
      <c r="EE377" s="675"/>
      <c r="EF377" s="549"/>
      <c r="EG377" s="675"/>
      <c r="EH377" s="549"/>
      <c r="EI377" s="675"/>
      <c r="EJ377" s="549"/>
      <c r="EK377" s="675"/>
      <c r="EL377" s="549"/>
      <c r="EM377" s="675"/>
      <c r="EN377" s="549"/>
      <c r="EO377" s="675"/>
      <c r="EP377" s="549"/>
      <c r="EQ377" s="675"/>
      <c r="ER377" s="549"/>
      <c r="ES377" s="675"/>
      <c r="ET377" s="549"/>
      <c r="EU377" s="675"/>
      <c r="EV377" s="549"/>
      <c r="EW377" s="675"/>
      <c r="EX377" s="549"/>
      <c r="EY377" s="675"/>
      <c r="EZ377" s="549"/>
      <c r="FA377" s="675"/>
      <c r="FB377" s="549"/>
      <c r="FC377" s="675"/>
      <c r="FD377" s="549"/>
      <c r="FE377" s="675"/>
      <c r="FF377" s="549"/>
      <c r="FG377" s="675"/>
      <c r="FH377" s="549"/>
      <c r="FI377" s="675"/>
      <c r="FJ377" s="549"/>
      <c r="FK377" s="675"/>
      <c r="FL377" s="549"/>
      <c r="FM377" s="675"/>
      <c r="FN377" s="549"/>
      <c r="FO377" s="675"/>
      <c r="FP377" s="549"/>
      <c r="FQ377" s="675"/>
      <c r="FR377" s="549"/>
      <c r="FS377" s="675"/>
      <c r="FT377" s="549"/>
      <c r="FU377" s="675"/>
      <c r="FV377" s="549"/>
      <c r="FW377" s="675"/>
      <c r="FX377" s="549"/>
      <c r="FY377" s="675"/>
      <c r="FZ377" s="549"/>
      <c r="GA377" s="675"/>
      <c r="GB377" s="549"/>
      <c r="GC377" s="675"/>
      <c r="GD377" s="549"/>
      <c r="GE377" s="675"/>
      <c r="GF377" s="549"/>
      <c r="GG377" s="675"/>
      <c r="GH377" s="549"/>
      <c r="GI377" s="675"/>
      <c r="GJ377" s="549"/>
      <c r="GK377" s="675"/>
      <c r="GL377" s="549"/>
      <c r="GM377" s="675"/>
      <c r="GN377" s="549"/>
      <c r="GO377" s="675"/>
      <c r="GP377" s="549"/>
      <c r="GQ377" s="675"/>
      <c r="GR377" s="74"/>
      <c r="GS377" s="74"/>
      <c r="GT377" s="568"/>
      <c r="GU377" s="275"/>
      <c r="GV377" s="275"/>
      <c r="GW377" s="587"/>
      <c r="GX377" s="587"/>
      <c r="GY377" s="275"/>
      <c r="GZ377" s="275"/>
      <c r="HA377" s="275"/>
      <c r="HB377" s="275"/>
      <c r="HC377" s="275"/>
      <c r="HD377" s="275"/>
      <c r="HE377" s="275"/>
      <c r="HF377" s="275"/>
      <c r="HG377" s="74"/>
      <c r="HH377" s="89"/>
      <c r="HI377" s="817"/>
      <c r="HJ377" s="89"/>
      <c r="HK377" s="817"/>
      <c r="HL377" s="89"/>
      <c r="HM377" s="817"/>
      <c r="HN377" s="89"/>
      <c r="HO377" s="817"/>
      <c r="HP377" s="89"/>
      <c r="HQ377" s="817"/>
      <c r="HR377" s="89"/>
      <c r="HS377" s="817"/>
      <c r="HT377" s="89"/>
      <c r="HU377" s="817"/>
      <c r="HV377" s="89"/>
      <c r="HW377" s="817"/>
      <c r="HX377" s="89"/>
      <c r="HY377" s="817"/>
      <c r="HZ377" s="89"/>
      <c r="IA377" s="817"/>
      <c r="IB377" s="89"/>
      <c r="IC377" s="817"/>
      <c r="ID377" s="89"/>
      <c r="IE377" s="817"/>
      <c r="IF377" s="841"/>
      <c r="IG377" s="263"/>
      <c r="IH377" s="842"/>
      <c r="II377" s="89"/>
      <c r="IJ377" s="89"/>
      <c r="IK377" s="89"/>
      <c r="IL377" s="89"/>
      <c r="IM377" s="89"/>
      <c r="IN377" s="89"/>
      <c r="IO377" s="89"/>
      <c r="IP377" s="89"/>
      <c r="IQ377" s="89"/>
      <c r="IR377" s="89"/>
      <c r="IS377" s="89"/>
      <c r="IT377" s="89"/>
      <c r="IU377" s="89"/>
      <c r="IV377" s="89"/>
      <c r="IW377" s="89"/>
      <c r="IX377" s="89"/>
      <c r="IY377" s="89"/>
      <c r="IZ377" s="89"/>
      <c r="JA377" s="89"/>
      <c r="JB377" s="89"/>
      <c r="JC377" s="89"/>
      <c r="JD377" s="89"/>
      <c r="JE377" s="89"/>
      <c r="JF377" s="89"/>
      <c r="JG377" s="89"/>
      <c r="JH377" s="89"/>
      <c r="JI377" s="89"/>
      <c r="JJ377" s="89"/>
      <c r="JK377" s="89"/>
      <c r="JL377" s="89"/>
      <c r="JM377" s="89"/>
      <c r="JN377" s="89"/>
      <c r="JO377" s="89"/>
      <c r="JP377" s="89"/>
      <c r="JQ377" s="89"/>
      <c r="JR377" s="89"/>
      <c r="JS377" s="74"/>
      <c r="JT377" s="382"/>
      <c r="JU377" s="665"/>
      <c r="JV377" s="524"/>
      <c r="JW377" s="525"/>
      <c r="JX377" s="549"/>
      <c r="JY377" s="549"/>
      <c r="JZ377" s="581">
        <f t="shared" si="10300"/>
        <v>0</v>
      </c>
      <c r="KA377" s="581">
        <f t="shared" si="10301"/>
        <v>0</v>
      </c>
      <c r="KB377" s="549">
        <f t="shared" si="10257"/>
        <v>0</v>
      </c>
      <c r="KC377" s="709">
        <f t="shared" si="10273"/>
        <v>0</v>
      </c>
      <c r="KD377" s="36"/>
      <c r="KE377" s="36"/>
      <c r="KF377" s="36"/>
      <c r="KG377" s="36"/>
      <c r="KH377" s="36"/>
      <c r="KI377" s="36"/>
      <c r="KJ377" s="36"/>
      <c r="KK377" s="36"/>
    </row>
    <row r="378" spans="1:297" s="10" customFormat="1">
      <c r="A378" s="80" t="s">
        <v>244</v>
      </c>
      <c r="B378" s="72" t="s">
        <v>81</v>
      </c>
      <c r="C378" s="74">
        <f t="shared" ref="C378:BN378" si="10337">SUM(C386,C395,C397,C411,C419)+C401+C406+C380+C427</f>
        <v>722600</v>
      </c>
      <c r="D378" s="74">
        <f t="shared" ref="D378:E378" si="10338">SUM(D386,D395,D397,D411,D419)+D401+D406+D380+D427</f>
        <v>0</v>
      </c>
      <c r="E378" s="74">
        <f t="shared" si="10338"/>
        <v>0</v>
      </c>
      <c r="F378" s="74">
        <f t="shared" ref="F378:G378" si="10339">SUM(F386,F395,F397,F411,F419)+F401+F406+F380+F427</f>
        <v>13000</v>
      </c>
      <c r="G378" s="74">
        <f t="shared" si="10339"/>
        <v>0</v>
      </c>
      <c r="H378" s="74">
        <f t="shared" ref="H378:I378" si="10340">SUM(H386,H395,H397,H411,H419)+H401+H406+H380+H427</f>
        <v>0</v>
      </c>
      <c r="I378" s="74">
        <f t="shared" si="10340"/>
        <v>0</v>
      </c>
      <c r="J378" s="74">
        <f t="shared" ref="J378:K378" si="10341">SUM(J386,J395,J397,J411,J419)+J401+J406+J380+J427</f>
        <v>0</v>
      </c>
      <c r="K378" s="74">
        <f t="shared" si="10341"/>
        <v>0</v>
      </c>
      <c r="L378" s="74">
        <f t="shared" ref="L378:M378" si="10342">SUM(L386,L395,L397,L411,L419)+L401+L406+L380+L427</f>
        <v>0</v>
      </c>
      <c r="M378" s="74">
        <f t="shared" si="10342"/>
        <v>0</v>
      </c>
      <c r="N378" s="74">
        <f t="shared" ref="N378:O378" si="10343">SUM(N386,N395,N397,N411,N419)+N401+N406+N380+N427</f>
        <v>0</v>
      </c>
      <c r="O378" s="74">
        <f t="shared" si="10343"/>
        <v>0</v>
      </c>
      <c r="P378" s="74">
        <f t="shared" ref="P378:Q378" si="10344">SUM(P386,P395,P397,P411,P419)+P401+P406+P380+P427</f>
        <v>0</v>
      </c>
      <c r="Q378" s="74">
        <f t="shared" si="10344"/>
        <v>0</v>
      </c>
      <c r="R378" s="74">
        <f t="shared" ref="R378:S378" si="10345">SUM(R386,R395,R397,R411,R419)+R401+R406+R380+R427</f>
        <v>0</v>
      </c>
      <c r="S378" s="74">
        <f t="shared" si="10345"/>
        <v>0</v>
      </c>
      <c r="T378" s="74">
        <f t="shared" ref="T378:U378" si="10346">SUM(T386,T395,T397,T411,T419)+T401+T406+T380+T427</f>
        <v>0</v>
      </c>
      <c r="U378" s="74">
        <f t="shared" si="10346"/>
        <v>0</v>
      </c>
      <c r="V378" s="74">
        <f t="shared" ref="V378:W378" si="10347">SUM(V386,V395,V397,V411,V419)+V401+V406+V380+V427</f>
        <v>45700</v>
      </c>
      <c r="W378" s="74">
        <f t="shared" si="10347"/>
        <v>0</v>
      </c>
      <c r="X378" s="74">
        <f t="shared" ref="X378:Y378" si="10348">SUM(X386,X395,X397,X411,X419)+X401+X406+X380+X427</f>
        <v>10000</v>
      </c>
      <c r="Y378" s="74">
        <f t="shared" si="10348"/>
        <v>-10000</v>
      </c>
      <c r="Z378" s="74">
        <f t="shared" ref="Z378:AA378" si="10349">SUM(Z386,Z395,Z397,Z411,Z419)+Z401+Z406+Z380+Z427</f>
        <v>0</v>
      </c>
      <c r="AA378" s="74">
        <f t="shared" si="10349"/>
        <v>0</v>
      </c>
      <c r="AB378" s="74">
        <f t="shared" ref="AB378:AC378" si="10350">SUM(AB386,AB395,AB397,AB411,AB419)+AB401+AB406+AB380+AB427</f>
        <v>0</v>
      </c>
      <c r="AC378" s="74">
        <f t="shared" si="10350"/>
        <v>0</v>
      </c>
      <c r="AD378" s="74">
        <f t="shared" ref="AD378:AE378" si="10351">SUM(AD386,AD395,AD397,AD411,AD419)+AD401+AD406+AD380+AD427</f>
        <v>4000</v>
      </c>
      <c r="AE378" s="74">
        <f t="shared" si="10351"/>
        <v>0</v>
      </c>
      <c r="AF378" s="74">
        <f t="shared" ref="AF378:AG378" si="10352">SUM(AF386,AF395,AF397,AF411,AF419)+AF401+AF406+AF380+AF427</f>
        <v>20000</v>
      </c>
      <c r="AG378" s="74">
        <f t="shared" si="10352"/>
        <v>-10000</v>
      </c>
      <c r="AH378" s="74">
        <f t="shared" ref="AH378:AI378" si="10353">SUM(AH386,AH395,AH397,AH411,AH419)+AH401+AH406+AH380+AH427</f>
        <v>0</v>
      </c>
      <c r="AI378" s="74">
        <f t="shared" si="10353"/>
        <v>0</v>
      </c>
      <c r="AJ378" s="74">
        <f t="shared" ref="AJ378:AK378" si="10354">SUM(AJ386,AJ395,AJ397,AJ411,AJ419)+AJ401+AJ406+AJ380+AJ427</f>
        <v>0</v>
      </c>
      <c r="AK378" s="74">
        <f t="shared" si="10354"/>
        <v>0</v>
      </c>
      <c r="AL378" s="74">
        <f t="shared" ref="AL378:AM378" si="10355">SUM(AL386,AL395,AL397,AL411,AL419)+AL401+AL406+AL380+AL427</f>
        <v>0</v>
      </c>
      <c r="AM378" s="74">
        <f t="shared" si="10355"/>
        <v>0</v>
      </c>
      <c r="AN378" s="74">
        <f t="shared" ref="AN378:AO378" si="10356">SUM(AN386,AN395,AN397,AN411,AN419)+AN401+AN406+AN380+AN427</f>
        <v>0</v>
      </c>
      <c r="AO378" s="74">
        <f t="shared" si="10356"/>
        <v>0</v>
      </c>
      <c r="AP378" s="74">
        <f t="shared" ref="AP378:AQ378" si="10357">SUM(AP386,AP395,AP397,AP411,AP419)+AP401+AP406+AP380+AP427</f>
        <v>0</v>
      </c>
      <c r="AQ378" s="74">
        <f t="shared" si="10357"/>
        <v>0</v>
      </c>
      <c r="AR378" s="74">
        <f t="shared" ref="AR378:AS378" si="10358">SUM(AR386,AR395,AR397,AR411,AR419)+AR401+AR406+AR380+AR427</f>
        <v>0</v>
      </c>
      <c r="AS378" s="74">
        <f t="shared" si="10358"/>
        <v>0</v>
      </c>
      <c r="AT378" s="74">
        <f t="shared" ref="AT378:AU378" si="10359">SUM(AT386,AT395,AT397,AT411,AT419)+AT401+AT406+AT380+AT427</f>
        <v>0</v>
      </c>
      <c r="AU378" s="74">
        <f t="shared" si="10359"/>
        <v>0</v>
      </c>
      <c r="AV378" s="74">
        <f t="shared" ref="AV378:AW378" si="10360">SUM(AV386,AV395,AV397,AV411,AV419)+AV401+AV406+AV380+AV427</f>
        <v>0</v>
      </c>
      <c r="AW378" s="74">
        <f t="shared" si="10360"/>
        <v>0</v>
      </c>
      <c r="AX378" s="74">
        <f t="shared" ref="AX378:AY378" si="10361">SUM(AX386,AX395,AX397,AX411,AX419)+AX401+AX406+AX380+AX427</f>
        <v>0</v>
      </c>
      <c r="AY378" s="74">
        <f t="shared" si="10361"/>
        <v>0</v>
      </c>
      <c r="AZ378" s="74">
        <f t="shared" si="10337"/>
        <v>5000</v>
      </c>
      <c r="BA378" s="74">
        <f t="shared" si="10337"/>
        <v>-16000</v>
      </c>
      <c r="BB378" s="74">
        <f t="shared" si="10337"/>
        <v>0</v>
      </c>
      <c r="BC378" s="74">
        <f t="shared" si="10337"/>
        <v>0</v>
      </c>
      <c r="BD378" s="74">
        <f t="shared" si="10337"/>
        <v>32000</v>
      </c>
      <c r="BE378" s="74">
        <f t="shared" si="10337"/>
        <v>0</v>
      </c>
      <c r="BF378" s="74">
        <f t="shared" si="10337"/>
        <v>0</v>
      </c>
      <c r="BG378" s="74">
        <f t="shared" si="10337"/>
        <v>0</v>
      </c>
      <c r="BH378" s="74">
        <f t="shared" si="10337"/>
        <v>0</v>
      </c>
      <c r="BI378" s="74">
        <f t="shared" si="10337"/>
        <v>0</v>
      </c>
      <c r="BJ378" s="74">
        <f t="shared" si="10337"/>
        <v>0</v>
      </c>
      <c r="BK378" s="74">
        <f t="shared" si="10337"/>
        <v>0</v>
      </c>
      <c r="BL378" s="74">
        <f t="shared" si="10337"/>
        <v>3182</v>
      </c>
      <c r="BM378" s="74">
        <f t="shared" si="10337"/>
        <v>0</v>
      </c>
      <c r="BN378" s="74">
        <f t="shared" si="10337"/>
        <v>5000</v>
      </c>
      <c r="BO378" s="74">
        <f t="shared" ref="BO378" si="10362">SUM(BO386,BO395,BO397,BO411,BO419)+BO401+BO406+BO380+BO427</f>
        <v>0</v>
      </c>
      <c r="BP378" s="74">
        <f t="shared" ref="BP378:BQ378" si="10363">SUM(BP386,BP395,BP397,BP411,BP419)+BP401+BP406+BP380+BP427</f>
        <v>15000</v>
      </c>
      <c r="BQ378" s="74">
        <f t="shared" si="10363"/>
        <v>0</v>
      </c>
      <c r="BR378" s="74">
        <f t="shared" ref="BR378:BS378" si="10364">SUM(BR386,BR395,BR397,BR411,BR419)+BR401+BR406+BR380+BR427</f>
        <v>0</v>
      </c>
      <c r="BS378" s="74">
        <f t="shared" si="10364"/>
        <v>0</v>
      </c>
      <c r="BT378" s="74">
        <f t="shared" ref="BT378:BU378" si="10365">SUM(BT386,BT395,BT397,BT411,BT419)+BT401+BT406+BT380+BT427</f>
        <v>0</v>
      </c>
      <c r="BU378" s="74">
        <f t="shared" si="10365"/>
        <v>0</v>
      </c>
      <c r="BV378" s="74">
        <f t="shared" ref="BV378:BW378" si="10366">SUM(BV386,BV395,BV397,BV411,BV419)+BV401+BV406+BV380+BV427</f>
        <v>0</v>
      </c>
      <c r="BW378" s="74">
        <f t="shared" si="10366"/>
        <v>0</v>
      </c>
      <c r="BX378" s="74">
        <f t="shared" ref="BX378:BY378" si="10367">SUM(BX386,BX395,BX397,BX411,BX419)+BX401+BX406+BX380+BX427</f>
        <v>0</v>
      </c>
      <c r="BY378" s="74">
        <f t="shared" si="10367"/>
        <v>0</v>
      </c>
      <c r="BZ378" s="74">
        <f t="shared" ref="BZ378:CA378" si="10368">SUM(BZ386,BZ395,BZ397,BZ411,BZ419)+BZ401+BZ406+BZ380+BZ427</f>
        <v>0</v>
      </c>
      <c r="CA378" s="74">
        <f t="shared" si="10368"/>
        <v>-1775</v>
      </c>
      <c r="CB378" s="74">
        <f t="shared" ref="CB378:DZ378" si="10369">SUM(CB386,CB395,CB397,CB411,CB419)+CB401+CB406+CB380+CB427</f>
        <v>15000</v>
      </c>
      <c r="CC378" s="74">
        <f t="shared" si="10369"/>
        <v>0</v>
      </c>
      <c r="CD378" s="74">
        <f t="shared" si="10369"/>
        <v>0</v>
      </c>
      <c r="CE378" s="74">
        <f t="shared" si="10369"/>
        <v>0</v>
      </c>
      <c r="CF378" s="74">
        <f t="shared" si="10369"/>
        <v>0</v>
      </c>
      <c r="CG378" s="74">
        <f t="shared" si="10369"/>
        <v>0</v>
      </c>
      <c r="CH378" s="74">
        <f t="shared" si="10369"/>
        <v>10000</v>
      </c>
      <c r="CI378" s="74">
        <f t="shared" si="10369"/>
        <v>-3000</v>
      </c>
      <c r="CJ378" s="74">
        <f t="shared" si="10369"/>
        <v>0</v>
      </c>
      <c r="CK378" s="74">
        <f t="shared" si="10369"/>
        <v>-50000</v>
      </c>
      <c r="CL378" s="74">
        <f t="shared" si="10369"/>
        <v>7000</v>
      </c>
      <c r="CM378" s="74">
        <f t="shared" si="10369"/>
        <v>-10000</v>
      </c>
      <c r="CN378" s="74">
        <f t="shared" si="10369"/>
        <v>0</v>
      </c>
      <c r="CO378" s="74">
        <f t="shared" si="10369"/>
        <v>0</v>
      </c>
      <c r="CP378" s="74">
        <f t="shared" si="10369"/>
        <v>0</v>
      </c>
      <c r="CQ378" s="74">
        <f t="shared" si="10369"/>
        <v>0</v>
      </c>
      <c r="CR378" s="74">
        <f t="shared" si="10369"/>
        <v>0</v>
      </c>
      <c r="CS378" s="74">
        <f t="shared" si="10369"/>
        <v>0</v>
      </c>
      <c r="CT378" s="74">
        <f t="shared" si="10369"/>
        <v>0</v>
      </c>
      <c r="CU378" s="74">
        <f t="shared" si="10369"/>
        <v>0</v>
      </c>
      <c r="CV378" s="74">
        <f t="shared" si="10369"/>
        <v>0</v>
      </c>
      <c r="CW378" s="74">
        <f t="shared" si="10369"/>
        <v>0</v>
      </c>
      <c r="CX378" s="74">
        <f t="shared" si="10369"/>
        <v>0</v>
      </c>
      <c r="CY378" s="74">
        <f t="shared" si="10369"/>
        <v>0</v>
      </c>
      <c r="CZ378" s="74">
        <f t="shared" si="10369"/>
        <v>20000</v>
      </c>
      <c r="DA378" s="74">
        <f t="shared" si="10369"/>
        <v>0</v>
      </c>
      <c r="DB378" s="74">
        <f t="shared" si="10369"/>
        <v>0</v>
      </c>
      <c r="DC378" s="74">
        <f t="shared" si="10369"/>
        <v>0</v>
      </c>
      <c r="DD378" s="74">
        <f t="shared" si="10369"/>
        <v>0</v>
      </c>
      <c r="DE378" s="74">
        <f t="shared" si="10369"/>
        <v>0</v>
      </c>
      <c r="DF378" s="74">
        <f t="shared" si="10369"/>
        <v>0</v>
      </c>
      <c r="DG378" s="74">
        <f t="shared" si="10369"/>
        <v>0</v>
      </c>
      <c r="DH378" s="74">
        <f t="shared" si="10369"/>
        <v>13000</v>
      </c>
      <c r="DI378" s="74">
        <f t="shared" si="10369"/>
        <v>-20000</v>
      </c>
      <c r="DJ378" s="74">
        <f t="shared" si="10369"/>
        <v>10000</v>
      </c>
      <c r="DK378" s="74">
        <f t="shared" si="10369"/>
        <v>-4000</v>
      </c>
      <c r="DL378" s="74">
        <f t="shared" si="10369"/>
        <v>0</v>
      </c>
      <c r="DM378" s="74">
        <f t="shared" si="10369"/>
        <v>0</v>
      </c>
      <c r="DN378" s="74">
        <f t="shared" si="10369"/>
        <v>0</v>
      </c>
      <c r="DO378" s="74">
        <f t="shared" si="10369"/>
        <v>0</v>
      </c>
      <c r="DP378" s="74">
        <f t="shared" si="10369"/>
        <v>0</v>
      </c>
      <c r="DQ378" s="74">
        <f t="shared" si="10369"/>
        <v>-6000</v>
      </c>
      <c r="DR378" s="74">
        <f t="shared" si="10369"/>
        <v>0</v>
      </c>
      <c r="DS378" s="74">
        <f t="shared" si="10369"/>
        <v>0</v>
      </c>
      <c r="DT378" s="74">
        <f t="shared" si="10369"/>
        <v>0</v>
      </c>
      <c r="DU378" s="74">
        <f t="shared" si="10369"/>
        <v>0</v>
      </c>
      <c r="DV378" s="74">
        <f t="shared" si="10369"/>
        <v>0</v>
      </c>
      <c r="DW378" s="74">
        <f t="shared" si="10369"/>
        <v>0</v>
      </c>
      <c r="DX378" s="74">
        <f t="shared" si="10369"/>
        <v>0</v>
      </c>
      <c r="DY378" s="74">
        <f t="shared" si="10369"/>
        <v>0</v>
      </c>
      <c r="DZ378" s="74">
        <f t="shared" si="10369"/>
        <v>0</v>
      </c>
      <c r="EA378" s="74">
        <f t="shared" ref="EA378" si="10370">SUM(EA386,EA395,EA397,EA411,EA419)+EA401+EA406+EA380+EA427</f>
        <v>0</v>
      </c>
      <c r="EB378" s="74">
        <f t="shared" ref="EB378:GL378" si="10371">SUM(EB386,EB395,EB397,EB411,EB419)+EB401+EB406+EB380+EB427</f>
        <v>0</v>
      </c>
      <c r="EC378" s="74">
        <f t="shared" si="10371"/>
        <v>0</v>
      </c>
      <c r="ED378" s="74">
        <f t="shared" si="10371"/>
        <v>0</v>
      </c>
      <c r="EE378" s="74">
        <f t="shared" si="10371"/>
        <v>0</v>
      </c>
      <c r="EF378" s="74">
        <f t="shared" si="10371"/>
        <v>0</v>
      </c>
      <c r="EG378" s="74">
        <f t="shared" si="10371"/>
        <v>0</v>
      </c>
      <c r="EH378" s="74">
        <f t="shared" si="10371"/>
        <v>0</v>
      </c>
      <c r="EI378" s="74">
        <f t="shared" si="10371"/>
        <v>0</v>
      </c>
      <c r="EJ378" s="74">
        <f t="shared" si="10371"/>
        <v>0</v>
      </c>
      <c r="EK378" s="74">
        <f t="shared" si="10371"/>
        <v>0</v>
      </c>
      <c r="EL378" s="74">
        <f t="shared" si="10371"/>
        <v>5000</v>
      </c>
      <c r="EM378" s="74">
        <f t="shared" si="10371"/>
        <v>-19000</v>
      </c>
      <c r="EN378" s="74">
        <f t="shared" si="10371"/>
        <v>0</v>
      </c>
      <c r="EO378" s="74">
        <f t="shared" si="10371"/>
        <v>0</v>
      </c>
      <c r="EP378" s="74">
        <f t="shared" si="10371"/>
        <v>0</v>
      </c>
      <c r="EQ378" s="74">
        <f t="shared" si="10371"/>
        <v>0</v>
      </c>
      <c r="ER378" s="74">
        <f t="shared" si="10371"/>
        <v>0</v>
      </c>
      <c r="ES378" s="74">
        <f t="shared" si="10371"/>
        <v>0</v>
      </c>
      <c r="ET378" s="74">
        <f t="shared" si="10371"/>
        <v>3000</v>
      </c>
      <c r="EU378" s="74">
        <f t="shared" si="10371"/>
        <v>0</v>
      </c>
      <c r="EV378" s="74">
        <f t="shared" si="10371"/>
        <v>1803</v>
      </c>
      <c r="EW378" s="74">
        <f t="shared" si="10371"/>
        <v>0</v>
      </c>
      <c r="EX378" s="74">
        <f t="shared" si="10371"/>
        <v>0</v>
      </c>
      <c r="EY378" s="74">
        <f t="shared" si="10371"/>
        <v>0</v>
      </c>
      <c r="EZ378" s="74">
        <f t="shared" si="10371"/>
        <v>0</v>
      </c>
      <c r="FA378" s="74">
        <f t="shared" si="10371"/>
        <v>0</v>
      </c>
      <c r="FB378" s="74">
        <f t="shared" si="10371"/>
        <v>0</v>
      </c>
      <c r="FC378" s="74">
        <f t="shared" si="10371"/>
        <v>0</v>
      </c>
      <c r="FD378" s="74">
        <f t="shared" si="10371"/>
        <v>5000</v>
      </c>
      <c r="FE378" s="74">
        <f t="shared" si="10371"/>
        <v>0</v>
      </c>
      <c r="FF378" s="74">
        <f t="shared" si="10371"/>
        <v>0</v>
      </c>
      <c r="FG378" s="74">
        <f t="shared" si="10371"/>
        <v>0</v>
      </c>
      <c r="FH378" s="74">
        <f t="shared" si="10371"/>
        <v>0</v>
      </c>
      <c r="FI378" s="74">
        <f t="shared" si="10371"/>
        <v>0</v>
      </c>
      <c r="FJ378" s="74">
        <f t="shared" si="10371"/>
        <v>5000</v>
      </c>
      <c r="FK378" s="74">
        <f t="shared" si="10371"/>
        <v>0</v>
      </c>
      <c r="FL378" s="74">
        <f t="shared" si="10371"/>
        <v>24000</v>
      </c>
      <c r="FM378" s="74">
        <f t="shared" si="10371"/>
        <v>-28000</v>
      </c>
      <c r="FN378" s="74">
        <f t="shared" si="10371"/>
        <v>0</v>
      </c>
      <c r="FO378" s="74">
        <f t="shared" si="10371"/>
        <v>0</v>
      </c>
      <c r="FP378" s="74">
        <f t="shared" si="10371"/>
        <v>0</v>
      </c>
      <c r="FQ378" s="74">
        <f t="shared" si="10371"/>
        <v>0</v>
      </c>
      <c r="FR378" s="74">
        <f t="shared" si="10371"/>
        <v>43715</v>
      </c>
      <c r="FS378" s="74">
        <f t="shared" si="10371"/>
        <v>-12015</v>
      </c>
      <c r="FT378" s="74">
        <f t="shared" si="10371"/>
        <v>0</v>
      </c>
      <c r="FU378" s="74">
        <f t="shared" si="10371"/>
        <v>0</v>
      </c>
      <c r="FV378" s="74">
        <f t="shared" si="10371"/>
        <v>0</v>
      </c>
      <c r="FW378" s="74">
        <f t="shared" si="10371"/>
        <v>0</v>
      </c>
      <c r="FX378" s="74">
        <f t="shared" si="10371"/>
        <v>4703</v>
      </c>
      <c r="FY378" s="74">
        <f t="shared" si="10371"/>
        <v>0</v>
      </c>
      <c r="FZ378" s="74">
        <f t="shared" si="10371"/>
        <v>0</v>
      </c>
      <c r="GA378" s="74">
        <f t="shared" si="10371"/>
        <v>0</v>
      </c>
      <c r="GB378" s="74">
        <f t="shared" si="10371"/>
        <v>0</v>
      </c>
      <c r="GC378" s="74">
        <f t="shared" si="10371"/>
        <v>0</v>
      </c>
      <c r="GD378" s="74">
        <f t="shared" si="10371"/>
        <v>0</v>
      </c>
      <c r="GE378" s="74">
        <f t="shared" si="10371"/>
        <v>0</v>
      </c>
      <c r="GF378" s="74">
        <f t="shared" si="10371"/>
        <v>0</v>
      </c>
      <c r="GG378" s="74">
        <f t="shared" si="10371"/>
        <v>0</v>
      </c>
      <c r="GH378" s="74">
        <f t="shared" si="10371"/>
        <v>0</v>
      </c>
      <c r="GI378" s="74">
        <f t="shared" si="10371"/>
        <v>0</v>
      </c>
      <c r="GJ378" s="74">
        <f t="shared" si="10371"/>
        <v>0</v>
      </c>
      <c r="GK378" s="74">
        <f t="shared" si="10371"/>
        <v>0</v>
      </c>
      <c r="GL378" s="74">
        <f t="shared" si="10371"/>
        <v>0</v>
      </c>
      <c r="GM378" s="74">
        <f t="shared" ref="GM378" si="10372">SUM(GM386,GM395,GM397,GM411,GM419)+GM401+GM406+GM380+GM427</f>
        <v>0</v>
      </c>
      <c r="GN378" s="74">
        <f t="shared" ref="GN378:IY378" si="10373">SUM(GN386,GN395,GN397,GN411,GN419)+GN401+GN406+GN380+GN427</f>
        <v>0</v>
      </c>
      <c r="GO378" s="74">
        <f t="shared" si="10373"/>
        <v>0</v>
      </c>
      <c r="GP378" s="74">
        <f t="shared" si="10373"/>
        <v>320103</v>
      </c>
      <c r="GQ378" s="74">
        <f t="shared" si="10373"/>
        <v>-189790</v>
      </c>
      <c r="GR378" s="74">
        <f t="shared" si="10373"/>
        <v>852913</v>
      </c>
      <c r="GS378" s="74">
        <f t="shared" si="10373"/>
        <v>846095</v>
      </c>
      <c r="GT378" s="74">
        <f t="shared" si="10373"/>
        <v>852913</v>
      </c>
      <c r="GU378" s="74">
        <f t="shared" si="10373"/>
        <v>191411</v>
      </c>
      <c r="GV378" s="74">
        <f t="shared" si="10373"/>
        <v>46167</v>
      </c>
      <c r="GW378" s="74">
        <f t="shared" si="10373"/>
        <v>47667</v>
      </c>
      <c r="GX378" s="74">
        <f t="shared" si="10373"/>
        <v>99900</v>
      </c>
      <c r="GY378" s="74">
        <f t="shared" si="10373"/>
        <v>36167</v>
      </c>
      <c r="GZ378" s="74">
        <f t="shared" si="10373"/>
        <v>52167</v>
      </c>
      <c r="HA378" s="74">
        <f t="shared" si="10373"/>
        <v>89900</v>
      </c>
      <c r="HB378" s="74">
        <f t="shared" si="10373"/>
        <v>46167</v>
      </c>
      <c r="HC378" s="74">
        <f t="shared" si="10373"/>
        <v>75818</v>
      </c>
      <c r="HD378" s="74">
        <f t="shared" si="10373"/>
        <v>30418</v>
      </c>
      <c r="HE378" s="74">
        <f t="shared" si="10373"/>
        <v>6818</v>
      </c>
      <c r="HF378" s="74">
        <f t="shared" si="10373"/>
        <v>0</v>
      </c>
      <c r="HG378" s="74">
        <f t="shared" si="10373"/>
        <v>852912.5</v>
      </c>
      <c r="HH378" s="74">
        <f t="shared" ref="HH378:HI378" si="10374">SUM(HH386,HH395,HH397,HH411,HH419)+HH401+HH406+HH380+HH427</f>
        <v>191411</v>
      </c>
      <c r="HI378" s="74">
        <f t="shared" si="10374"/>
        <v>0</v>
      </c>
      <c r="HJ378" s="74">
        <f t="shared" ref="HJ378:HK378" si="10375">SUM(HJ386,HJ395,HJ397,HJ411,HJ419)+HJ401+HJ406+HJ380+HJ427</f>
        <v>37167</v>
      </c>
      <c r="HK378" s="74">
        <f t="shared" si="10375"/>
        <v>0</v>
      </c>
      <c r="HL378" s="74">
        <f t="shared" ref="HL378:HM378" si="10376">SUM(HL386,HL395,HL397,HL411,HL419)+HL401+HL406+HL380+HL427</f>
        <v>82743.3</v>
      </c>
      <c r="HM378" s="74">
        <f t="shared" si="10376"/>
        <v>0</v>
      </c>
      <c r="HN378" s="74">
        <f t="shared" ref="HN378:HO378" si="10377">SUM(HN386,HN395,HN397,HN411,HN419)+HN401+HN406+HN380+HN427</f>
        <v>136023</v>
      </c>
      <c r="HO378" s="74">
        <f t="shared" si="10377"/>
        <v>0</v>
      </c>
      <c r="HP378" s="74">
        <f t="shared" ref="HP378:HQ378" si="10378">SUM(HP386,HP395,HP397,HP411,HP419)+HP401+HP406+HP380+HP427</f>
        <v>40167</v>
      </c>
      <c r="HQ378" s="74">
        <f t="shared" si="10378"/>
        <v>0</v>
      </c>
      <c r="HR378" s="74">
        <f t="shared" ref="HR378:HS378" si="10379">SUM(HR386,HR395,HR397,HR411,HR419)+HR401+HR406+HR380+HR427</f>
        <v>46649.11</v>
      </c>
      <c r="HS378" s="74">
        <f t="shared" si="10379"/>
        <v>0</v>
      </c>
      <c r="HT378" s="74">
        <f t="shared" ref="HT378:HU378" si="10380">SUM(HT386,HT395,HT397,HT411,HT419)+HT401+HT406+HT380+HT427</f>
        <v>101886.98</v>
      </c>
      <c r="HU378" s="74">
        <f t="shared" si="10380"/>
        <v>0</v>
      </c>
      <c r="HV378" s="74">
        <f t="shared" ref="HV378:HW378" si="10381">SUM(HV386,HV395,HV397,HV411,HV419)+HV401+HV406+HV380+HV427</f>
        <v>70334.41</v>
      </c>
      <c r="HW378" s="74">
        <f t="shared" si="10381"/>
        <v>0</v>
      </c>
      <c r="HX378" s="74">
        <f t="shared" ref="HX378:HY378" si="10382">SUM(HX386,HX395,HX397,HX411,HX419)+HX401+HX406+HX380+HX427</f>
        <v>66391.7</v>
      </c>
      <c r="HY378" s="74">
        <f t="shared" si="10382"/>
        <v>0</v>
      </c>
      <c r="HZ378" s="74">
        <f t="shared" ref="HZ378:IA378" si="10383">SUM(HZ386,HZ395,HZ397,HZ411,HZ419)+HZ401+HZ406+HZ380+HZ427</f>
        <v>80139</v>
      </c>
      <c r="IA378" s="74">
        <f t="shared" si="10383"/>
        <v>0</v>
      </c>
      <c r="IB378" s="74">
        <f t="shared" ref="IB378:IC378" si="10384">SUM(IB386,IB395,IB397,IB411,IB419)+IB401+IB406+IB380+IB427</f>
        <v>0</v>
      </c>
      <c r="IC378" s="74">
        <f t="shared" si="10384"/>
        <v>0</v>
      </c>
      <c r="ID378" s="74">
        <f t="shared" si="10373"/>
        <v>0</v>
      </c>
      <c r="IE378" s="74">
        <f t="shared" si="10373"/>
        <v>0</v>
      </c>
      <c r="IF378" s="841">
        <f t="shared" si="10373"/>
        <v>751587.32</v>
      </c>
      <c r="IG378" s="263">
        <f t="shared" si="10373"/>
        <v>751587.32</v>
      </c>
      <c r="IH378" s="842">
        <f t="shared" si="10373"/>
        <v>751587.32</v>
      </c>
      <c r="II378" s="74">
        <f t="shared" si="10373"/>
        <v>14000.77</v>
      </c>
      <c r="IJ378" s="74">
        <f t="shared" si="10373"/>
        <v>14000.77</v>
      </c>
      <c r="IK378" s="74">
        <f t="shared" si="10373"/>
        <v>14000.77</v>
      </c>
      <c r="IL378" s="74">
        <f t="shared" si="10373"/>
        <v>100315.45</v>
      </c>
      <c r="IM378" s="74">
        <f t="shared" si="10373"/>
        <v>100315.45</v>
      </c>
      <c r="IN378" s="74">
        <f t="shared" si="10373"/>
        <v>100315.45</v>
      </c>
      <c r="IO378" s="74">
        <f t="shared" si="10373"/>
        <v>96915.28</v>
      </c>
      <c r="IP378" s="74">
        <f t="shared" si="10373"/>
        <v>96915.28</v>
      </c>
      <c r="IQ378" s="74">
        <f t="shared" si="10373"/>
        <v>96915.28</v>
      </c>
      <c r="IR378" s="74">
        <f t="shared" si="10373"/>
        <v>60349.67</v>
      </c>
      <c r="IS378" s="74">
        <f t="shared" si="10373"/>
        <v>60349.67</v>
      </c>
      <c r="IT378" s="74">
        <f t="shared" si="10373"/>
        <v>60349.67</v>
      </c>
      <c r="IU378" s="74">
        <f t="shared" si="10373"/>
        <v>86480.4</v>
      </c>
      <c r="IV378" s="74">
        <f t="shared" si="10373"/>
        <v>86480.4</v>
      </c>
      <c r="IW378" s="74">
        <f t="shared" si="10373"/>
        <v>86480.4</v>
      </c>
      <c r="IX378" s="74">
        <f t="shared" si="10373"/>
        <v>63603.140000000007</v>
      </c>
      <c r="IY378" s="74">
        <f t="shared" si="10373"/>
        <v>63603.140000000007</v>
      </c>
      <c r="IZ378" s="74">
        <f t="shared" ref="IZ378" si="10385">SUM(IZ386,IZ395,IZ397,IZ411,IZ419)+IZ401+IZ406+IZ380+IZ427</f>
        <v>63603.140000000007</v>
      </c>
      <c r="JA378" s="74">
        <f t="shared" ref="JA378:JC378" si="10386">SUM(JA386,JA395,JA397,JA411,JA419)+JA401+JA406+JA380+JA427</f>
        <v>43363.58</v>
      </c>
      <c r="JB378" s="74">
        <f t="shared" si="10386"/>
        <v>43363.58</v>
      </c>
      <c r="JC378" s="74">
        <f t="shared" si="10386"/>
        <v>43363.58</v>
      </c>
      <c r="JD378" s="74">
        <f t="shared" ref="JD378:JF378" si="10387">SUM(JD386,JD395,JD397,JD411,JD419)+JD401+JD406+JD380+JD427</f>
        <v>127956.61</v>
      </c>
      <c r="JE378" s="74">
        <f t="shared" si="10387"/>
        <v>127956.61</v>
      </c>
      <c r="JF378" s="74">
        <f t="shared" si="10387"/>
        <v>127956.61</v>
      </c>
      <c r="JG378" s="74">
        <f t="shared" ref="JG378:JI378" si="10388">SUM(JG386,JG395,JG397,JG411,JG419)+JG401+JG406+JG380+JG427</f>
        <v>60878.09</v>
      </c>
      <c r="JH378" s="74">
        <f t="shared" si="10388"/>
        <v>60878.09</v>
      </c>
      <c r="JI378" s="74">
        <f t="shared" si="10388"/>
        <v>60878.09</v>
      </c>
      <c r="JJ378" s="74">
        <f t="shared" ref="JJ378:JL378" si="10389">SUM(JJ386,JJ395,JJ397,JJ411,JJ419)+JJ401+JJ406+JJ380+JJ427</f>
        <v>97724.330000000016</v>
      </c>
      <c r="JK378" s="74">
        <f t="shared" si="10389"/>
        <v>97724.330000000016</v>
      </c>
      <c r="JL378" s="74">
        <f t="shared" si="10389"/>
        <v>97724.330000000016</v>
      </c>
      <c r="JM378" s="74">
        <f t="shared" ref="JM378:JO378" si="10390">SUM(JM386,JM395,JM397,JM411,JM419)+JM401+JM406+JM380+JM427</f>
        <v>0</v>
      </c>
      <c r="JN378" s="74">
        <f t="shared" si="10390"/>
        <v>0</v>
      </c>
      <c r="JO378" s="74">
        <f t="shared" si="10390"/>
        <v>0</v>
      </c>
      <c r="JP378" s="74">
        <f t="shared" ref="JP378:KB378" si="10391">SUM(JP386,JP395,JP397,JP411,JP419)+JP401+JP406+JP380+JP427</f>
        <v>0</v>
      </c>
      <c r="JQ378" s="74">
        <f t="shared" si="10391"/>
        <v>0</v>
      </c>
      <c r="JR378" s="74">
        <f t="shared" si="10391"/>
        <v>0</v>
      </c>
      <c r="JS378" s="74">
        <f t="shared" si="10391"/>
        <v>101325.18</v>
      </c>
      <c r="JT378" s="74">
        <f t="shared" si="10391"/>
        <v>94507.68</v>
      </c>
      <c r="JU378" s="74">
        <f t="shared" si="10391"/>
        <v>0</v>
      </c>
      <c r="JV378" s="74">
        <f t="shared" si="10391"/>
        <v>0</v>
      </c>
      <c r="JW378" s="74">
        <f t="shared" si="10391"/>
        <v>0</v>
      </c>
      <c r="JX378" s="74">
        <f t="shared" si="10391"/>
        <v>852912.5</v>
      </c>
      <c r="JY378" s="74">
        <f t="shared" si="10391"/>
        <v>0</v>
      </c>
      <c r="JZ378" s="74">
        <f t="shared" si="10391"/>
        <v>320103</v>
      </c>
      <c r="KA378" s="74">
        <f t="shared" si="10391"/>
        <v>-189790</v>
      </c>
      <c r="KB378" s="74">
        <f t="shared" si="10391"/>
        <v>852912.5</v>
      </c>
      <c r="KC378" s="709">
        <f>HG378-KB378</f>
        <v>0</v>
      </c>
      <c r="KD378" s="36"/>
      <c r="KE378" s="36"/>
      <c r="KF378" s="36"/>
      <c r="KG378" s="36"/>
      <c r="KH378" s="36"/>
      <c r="KI378" s="36"/>
      <c r="KJ378" s="36"/>
      <c r="KK378" s="36"/>
    </row>
    <row r="379" spans="1:297" s="10" customFormat="1">
      <c r="A379" s="80"/>
      <c r="B379" s="72"/>
      <c r="C379" s="74"/>
      <c r="D379" s="549"/>
      <c r="E379" s="675"/>
      <c r="F379" s="549"/>
      <c r="G379" s="675"/>
      <c r="H379" s="549"/>
      <c r="I379" s="675"/>
      <c r="J379" s="549"/>
      <c r="K379" s="675"/>
      <c r="L379" s="549"/>
      <c r="M379" s="675"/>
      <c r="N379" s="549"/>
      <c r="O379" s="675"/>
      <c r="P379" s="549"/>
      <c r="Q379" s="675"/>
      <c r="R379" s="549"/>
      <c r="S379" s="675"/>
      <c r="T379" s="549"/>
      <c r="U379" s="675"/>
      <c r="V379" s="549"/>
      <c r="W379" s="675"/>
      <c r="X379" s="549"/>
      <c r="Y379" s="675"/>
      <c r="Z379" s="549"/>
      <c r="AA379" s="675"/>
      <c r="AB379" s="549"/>
      <c r="AC379" s="675"/>
      <c r="AD379" s="549"/>
      <c r="AE379" s="675"/>
      <c r="AF379" s="549"/>
      <c r="AG379" s="675"/>
      <c r="AH379" s="549"/>
      <c r="AI379" s="675"/>
      <c r="AJ379" s="549"/>
      <c r="AK379" s="675"/>
      <c r="AL379" s="549"/>
      <c r="AM379" s="675"/>
      <c r="AN379" s="549"/>
      <c r="AO379" s="675"/>
      <c r="AP379" s="549"/>
      <c r="AQ379" s="675"/>
      <c r="AR379" s="549"/>
      <c r="AS379" s="675"/>
      <c r="AT379" s="549"/>
      <c r="AU379" s="675"/>
      <c r="AV379" s="549"/>
      <c r="AW379" s="675"/>
      <c r="AX379" s="549"/>
      <c r="AY379" s="675"/>
      <c r="AZ379" s="549"/>
      <c r="BA379" s="675"/>
      <c r="BB379" s="549"/>
      <c r="BC379" s="675"/>
      <c r="BD379" s="549"/>
      <c r="BE379" s="675"/>
      <c r="BF379" s="549"/>
      <c r="BG379" s="675"/>
      <c r="BH379" s="549"/>
      <c r="BI379" s="675"/>
      <c r="BJ379" s="549"/>
      <c r="BK379" s="675"/>
      <c r="BL379" s="549"/>
      <c r="BM379" s="675"/>
      <c r="BN379" s="549"/>
      <c r="BO379" s="675"/>
      <c r="BP379" s="549"/>
      <c r="BQ379" s="675"/>
      <c r="BR379" s="549"/>
      <c r="BS379" s="675"/>
      <c r="BT379" s="549"/>
      <c r="BU379" s="675"/>
      <c r="BV379" s="549"/>
      <c r="BW379" s="675"/>
      <c r="BX379" s="549"/>
      <c r="BY379" s="675"/>
      <c r="BZ379" s="549"/>
      <c r="CA379" s="675"/>
      <c r="CB379" s="549"/>
      <c r="CC379" s="675"/>
      <c r="CD379" s="549"/>
      <c r="CE379" s="675"/>
      <c r="CF379" s="549"/>
      <c r="CG379" s="675"/>
      <c r="CH379" s="549"/>
      <c r="CI379" s="675"/>
      <c r="CJ379" s="549"/>
      <c r="CK379" s="675"/>
      <c r="CL379" s="549"/>
      <c r="CM379" s="675"/>
      <c r="CN379" s="549"/>
      <c r="CO379" s="675"/>
      <c r="CP379" s="549"/>
      <c r="CQ379" s="675"/>
      <c r="CR379" s="549"/>
      <c r="CS379" s="675"/>
      <c r="CT379" s="549"/>
      <c r="CU379" s="675"/>
      <c r="CV379" s="549"/>
      <c r="CW379" s="675"/>
      <c r="CX379" s="549"/>
      <c r="CY379" s="675"/>
      <c r="CZ379" s="549"/>
      <c r="DA379" s="675"/>
      <c r="DB379" s="549"/>
      <c r="DC379" s="675"/>
      <c r="DD379" s="549"/>
      <c r="DE379" s="675"/>
      <c r="DF379" s="549"/>
      <c r="DG379" s="675"/>
      <c r="DH379" s="549"/>
      <c r="DI379" s="675"/>
      <c r="DJ379" s="549"/>
      <c r="DK379" s="675"/>
      <c r="DL379" s="549"/>
      <c r="DM379" s="675"/>
      <c r="DN379" s="549"/>
      <c r="DO379" s="675"/>
      <c r="DP379" s="549"/>
      <c r="DQ379" s="675"/>
      <c r="DR379" s="549"/>
      <c r="DS379" s="675"/>
      <c r="DT379" s="549"/>
      <c r="DU379" s="675"/>
      <c r="DV379" s="549"/>
      <c r="DW379" s="675"/>
      <c r="DX379" s="549"/>
      <c r="DY379" s="675"/>
      <c r="DZ379" s="549"/>
      <c r="EA379" s="675"/>
      <c r="EB379" s="549"/>
      <c r="EC379" s="675"/>
      <c r="ED379" s="549"/>
      <c r="EE379" s="675"/>
      <c r="EF379" s="549"/>
      <c r="EG379" s="675"/>
      <c r="EH379" s="549"/>
      <c r="EI379" s="675"/>
      <c r="EJ379" s="549"/>
      <c r="EK379" s="675"/>
      <c r="EL379" s="549"/>
      <c r="EM379" s="675"/>
      <c r="EN379" s="549"/>
      <c r="EO379" s="675"/>
      <c r="EP379" s="549"/>
      <c r="EQ379" s="675"/>
      <c r="ER379" s="549"/>
      <c r="ES379" s="675"/>
      <c r="ET379" s="549"/>
      <c r="EU379" s="675"/>
      <c r="EV379" s="549"/>
      <c r="EW379" s="675"/>
      <c r="EX379" s="549"/>
      <c r="EY379" s="675"/>
      <c r="EZ379" s="549"/>
      <c r="FA379" s="675"/>
      <c r="FB379" s="549"/>
      <c r="FC379" s="675"/>
      <c r="FD379" s="549"/>
      <c r="FE379" s="675"/>
      <c r="FF379" s="549"/>
      <c r="FG379" s="675"/>
      <c r="FH379" s="549"/>
      <c r="FI379" s="675"/>
      <c r="FJ379" s="549"/>
      <c r="FK379" s="675"/>
      <c r="FL379" s="549"/>
      <c r="FM379" s="675"/>
      <c r="FN379" s="549"/>
      <c r="FO379" s="675"/>
      <c r="FP379" s="549"/>
      <c r="FQ379" s="675"/>
      <c r="FR379" s="549"/>
      <c r="FS379" s="675"/>
      <c r="FT379" s="549"/>
      <c r="FU379" s="675"/>
      <c r="FV379" s="549"/>
      <c r="FW379" s="675"/>
      <c r="FX379" s="549"/>
      <c r="FY379" s="675"/>
      <c r="FZ379" s="549"/>
      <c r="GA379" s="675"/>
      <c r="GB379" s="549"/>
      <c r="GC379" s="675"/>
      <c r="GD379" s="549"/>
      <c r="GE379" s="675"/>
      <c r="GF379" s="549"/>
      <c r="GG379" s="675"/>
      <c r="GH379" s="549"/>
      <c r="GI379" s="675"/>
      <c r="GJ379" s="549"/>
      <c r="GK379" s="675"/>
      <c r="GL379" s="549"/>
      <c r="GM379" s="675"/>
      <c r="GN379" s="549"/>
      <c r="GO379" s="675"/>
      <c r="GP379" s="549"/>
      <c r="GQ379" s="675"/>
      <c r="GR379" s="74"/>
      <c r="GS379" s="74"/>
      <c r="GT379" s="549"/>
      <c r="GU379" s="74"/>
      <c r="GV379" s="74"/>
      <c r="GW379" s="549"/>
      <c r="GX379" s="549"/>
      <c r="GY379" s="74"/>
      <c r="GZ379" s="74"/>
      <c r="HA379" s="74"/>
      <c r="HB379" s="74"/>
      <c r="HC379" s="74"/>
      <c r="HD379" s="74"/>
      <c r="HE379" s="74"/>
      <c r="HF379" s="74"/>
      <c r="HG379" s="74"/>
      <c r="HH379" s="74"/>
      <c r="HI379" s="792"/>
      <c r="HJ379" s="74"/>
      <c r="HK379" s="792"/>
      <c r="HL379" s="74"/>
      <c r="HM379" s="792"/>
      <c r="HN379" s="74"/>
      <c r="HO379" s="792"/>
      <c r="HP379" s="74"/>
      <c r="HQ379" s="792"/>
      <c r="HR379" s="74"/>
      <c r="HS379" s="792"/>
      <c r="HT379" s="74"/>
      <c r="HU379" s="792"/>
      <c r="HV379" s="74"/>
      <c r="HW379" s="792"/>
      <c r="HX379" s="74"/>
      <c r="HY379" s="792"/>
      <c r="HZ379" s="74"/>
      <c r="IA379" s="792"/>
      <c r="IB379" s="74"/>
      <c r="IC379" s="792"/>
      <c r="ID379" s="74"/>
      <c r="IE379" s="792"/>
      <c r="IF379" s="841"/>
      <c r="IG379" s="263"/>
      <c r="IH379" s="842"/>
      <c r="II379" s="74"/>
      <c r="IJ379" s="74"/>
      <c r="IK379" s="74"/>
      <c r="IL379" s="74"/>
      <c r="IM379" s="74"/>
      <c r="IN379" s="74"/>
      <c r="IO379" s="74"/>
      <c r="IP379" s="74"/>
      <c r="IQ379" s="74"/>
      <c r="IR379" s="74"/>
      <c r="IS379" s="74"/>
      <c r="IT379" s="74"/>
      <c r="IU379" s="74"/>
      <c r="IV379" s="74"/>
      <c r="IW379" s="74"/>
      <c r="IX379" s="74"/>
      <c r="IY379" s="74"/>
      <c r="IZ379" s="74"/>
      <c r="JA379" s="74"/>
      <c r="JB379" s="74"/>
      <c r="JC379" s="74"/>
      <c r="JD379" s="74"/>
      <c r="JE379" s="74"/>
      <c r="JF379" s="74"/>
      <c r="JG379" s="74"/>
      <c r="JH379" s="74"/>
      <c r="JI379" s="74"/>
      <c r="JJ379" s="74"/>
      <c r="JK379" s="74"/>
      <c r="JL379" s="74"/>
      <c r="JM379" s="74"/>
      <c r="JN379" s="74"/>
      <c r="JO379" s="74"/>
      <c r="JP379" s="74"/>
      <c r="JQ379" s="74"/>
      <c r="JR379" s="74"/>
      <c r="JS379" s="74"/>
      <c r="JT379" s="382"/>
      <c r="JU379" s="665"/>
      <c r="JV379" s="524"/>
      <c r="JW379" s="525"/>
      <c r="JX379" s="549"/>
      <c r="JY379" s="549"/>
      <c r="JZ379" s="581">
        <f t="shared" si="10300"/>
        <v>0</v>
      </c>
      <c r="KA379" s="581">
        <f t="shared" si="10301"/>
        <v>0</v>
      </c>
      <c r="KB379" s="549">
        <f t="shared" si="10257"/>
        <v>0</v>
      </c>
      <c r="KC379" s="709">
        <f t="shared" si="10273"/>
        <v>0</v>
      </c>
      <c r="KD379" s="36"/>
      <c r="KE379" s="36"/>
      <c r="KF379" s="36"/>
      <c r="KG379" s="36"/>
      <c r="KH379" s="36"/>
      <c r="KI379" s="36"/>
      <c r="KJ379" s="36"/>
      <c r="KK379" s="36"/>
    </row>
    <row r="380" spans="1:297" s="8" customFormat="1">
      <c r="A380" s="80" t="s">
        <v>497</v>
      </c>
      <c r="B380" s="72" t="s">
        <v>85</v>
      </c>
      <c r="C380" s="74">
        <f t="shared" ref="C380:E380" si="10392">SUM(C381:C384)</f>
        <v>25000</v>
      </c>
      <c r="D380" s="549">
        <f t="shared" si="10392"/>
        <v>0</v>
      </c>
      <c r="E380" s="675">
        <f t="shared" si="10392"/>
        <v>0</v>
      </c>
      <c r="F380" s="549">
        <f t="shared" ref="F380:G380" si="10393">SUM(F381:F384)</f>
        <v>1000</v>
      </c>
      <c r="G380" s="675">
        <f t="shared" si="10393"/>
        <v>0</v>
      </c>
      <c r="H380" s="549">
        <f t="shared" ref="H380:I380" si="10394">SUM(H381:H384)</f>
        <v>0</v>
      </c>
      <c r="I380" s="675">
        <f t="shared" si="10394"/>
        <v>0</v>
      </c>
      <c r="J380" s="549">
        <f t="shared" ref="J380:K380" si="10395">SUM(J381:J384)</f>
        <v>0</v>
      </c>
      <c r="K380" s="675">
        <f t="shared" si="10395"/>
        <v>0</v>
      </c>
      <c r="L380" s="549">
        <f t="shared" ref="L380:M380" si="10396">SUM(L381:L384)</f>
        <v>0</v>
      </c>
      <c r="M380" s="675">
        <f t="shared" si="10396"/>
        <v>0</v>
      </c>
      <c r="N380" s="549">
        <f t="shared" ref="N380:O380" si="10397">SUM(N381:N384)</f>
        <v>0</v>
      </c>
      <c r="O380" s="675">
        <f t="shared" si="10397"/>
        <v>0</v>
      </c>
      <c r="P380" s="549">
        <f t="shared" ref="P380:Q380" si="10398">SUM(P381:P384)</f>
        <v>0</v>
      </c>
      <c r="Q380" s="675">
        <f t="shared" si="10398"/>
        <v>0</v>
      </c>
      <c r="R380" s="549">
        <f t="shared" ref="R380:S380" si="10399">SUM(R381:R384)</f>
        <v>0</v>
      </c>
      <c r="S380" s="675">
        <f t="shared" si="10399"/>
        <v>0</v>
      </c>
      <c r="T380" s="549">
        <f t="shared" ref="T380:U380" si="10400">SUM(T381:T384)</f>
        <v>0</v>
      </c>
      <c r="U380" s="675">
        <f t="shared" si="10400"/>
        <v>0</v>
      </c>
      <c r="V380" s="549">
        <f t="shared" ref="V380:W380" si="10401">SUM(V381:V384)</f>
        <v>7000</v>
      </c>
      <c r="W380" s="675">
        <f t="shared" si="10401"/>
        <v>0</v>
      </c>
      <c r="X380" s="549">
        <f t="shared" ref="X380:Y380" si="10402">SUM(X381:X384)</f>
        <v>0</v>
      </c>
      <c r="Y380" s="675">
        <f t="shared" si="10402"/>
        <v>0</v>
      </c>
      <c r="Z380" s="549">
        <f t="shared" ref="Z380:AA380" si="10403">SUM(Z381:Z384)</f>
        <v>0</v>
      </c>
      <c r="AA380" s="675">
        <f t="shared" si="10403"/>
        <v>0</v>
      </c>
      <c r="AB380" s="549">
        <f t="shared" ref="AB380:AC380" si="10404">SUM(AB381:AB384)</f>
        <v>0</v>
      </c>
      <c r="AC380" s="675">
        <f t="shared" si="10404"/>
        <v>0</v>
      </c>
      <c r="AD380" s="549">
        <f t="shared" ref="AD380:AE380" si="10405">SUM(AD381:AD384)</f>
        <v>0</v>
      </c>
      <c r="AE380" s="675">
        <f t="shared" si="10405"/>
        <v>0</v>
      </c>
      <c r="AF380" s="549">
        <f t="shared" ref="AF380:AI380" si="10406">SUM(AF381:AF384)</f>
        <v>0</v>
      </c>
      <c r="AG380" s="675">
        <f t="shared" si="10406"/>
        <v>0</v>
      </c>
      <c r="AH380" s="549">
        <f t="shared" si="10406"/>
        <v>0</v>
      </c>
      <c r="AI380" s="675">
        <f t="shared" si="10406"/>
        <v>0</v>
      </c>
      <c r="AJ380" s="549">
        <f t="shared" ref="AJ380:AK380" si="10407">SUM(AJ381:AJ384)</f>
        <v>0</v>
      </c>
      <c r="AK380" s="675">
        <f t="shared" si="10407"/>
        <v>0</v>
      </c>
      <c r="AL380" s="549">
        <f t="shared" ref="AL380:AM380" si="10408">SUM(AL381:AL384)</f>
        <v>0</v>
      </c>
      <c r="AM380" s="675">
        <f t="shared" si="10408"/>
        <v>0</v>
      </c>
      <c r="AN380" s="549">
        <f t="shared" ref="AN380:AO380" si="10409">SUM(AN381:AN384)</f>
        <v>0</v>
      </c>
      <c r="AO380" s="675">
        <f t="shared" si="10409"/>
        <v>0</v>
      </c>
      <c r="AP380" s="549">
        <f t="shared" ref="AP380:AQ380" si="10410">SUM(AP381:AP384)</f>
        <v>0</v>
      </c>
      <c r="AQ380" s="675">
        <f t="shared" si="10410"/>
        <v>0</v>
      </c>
      <c r="AR380" s="549">
        <f t="shared" ref="AR380:AS380" si="10411">SUM(AR381:AR384)</f>
        <v>0</v>
      </c>
      <c r="AS380" s="675">
        <f t="shared" si="10411"/>
        <v>0</v>
      </c>
      <c r="AT380" s="549">
        <f t="shared" ref="AT380:AU380" si="10412">SUM(AT381:AT384)</f>
        <v>0</v>
      </c>
      <c r="AU380" s="675">
        <f t="shared" si="10412"/>
        <v>0</v>
      </c>
      <c r="AV380" s="549">
        <f t="shared" ref="AV380:AW380" si="10413">SUM(AV381:AV384)</f>
        <v>0</v>
      </c>
      <c r="AW380" s="675">
        <f t="shared" si="10413"/>
        <v>0</v>
      </c>
      <c r="AX380" s="549">
        <f t="shared" ref="AX380:AY380" si="10414">SUM(AX381:AX384)</f>
        <v>0</v>
      </c>
      <c r="AY380" s="675">
        <f t="shared" si="10414"/>
        <v>0</v>
      </c>
      <c r="AZ380" s="549">
        <f t="shared" ref="AZ380:BA380" si="10415">SUM(AZ381:AZ384)</f>
        <v>0</v>
      </c>
      <c r="BA380" s="675">
        <f t="shared" si="10415"/>
        <v>0</v>
      </c>
      <c r="BB380" s="549">
        <f t="shared" ref="BB380:BC380" si="10416">SUM(BB381:BB384)</f>
        <v>0</v>
      </c>
      <c r="BC380" s="675">
        <f t="shared" si="10416"/>
        <v>0</v>
      </c>
      <c r="BD380" s="549">
        <f t="shared" ref="BD380:BE380" si="10417">SUM(BD381:BD384)</f>
        <v>0</v>
      </c>
      <c r="BE380" s="675">
        <f t="shared" si="10417"/>
        <v>0</v>
      </c>
      <c r="BF380" s="549">
        <f t="shared" ref="BF380:BG380" si="10418">SUM(BF381:BF384)</f>
        <v>0</v>
      </c>
      <c r="BG380" s="675">
        <f t="shared" si="10418"/>
        <v>0</v>
      </c>
      <c r="BH380" s="549">
        <f t="shared" ref="BH380:BI380" si="10419">SUM(BH381:BH384)</f>
        <v>0</v>
      </c>
      <c r="BI380" s="675">
        <f t="shared" si="10419"/>
        <v>0</v>
      </c>
      <c r="BJ380" s="549">
        <f t="shared" ref="BJ380:BK380" si="10420">SUM(BJ381:BJ384)</f>
        <v>0</v>
      </c>
      <c r="BK380" s="675">
        <f t="shared" si="10420"/>
        <v>0</v>
      </c>
      <c r="BL380" s="549">
        <f t="shared" ref="BL380:BS380" si="10421">SUM(BL381:BL384)</f>
        <v>0</v>
      </c>
      <c r="BM380" s="675">
        <f t="shared" si="10421"/>
        <v>0</v>
      </c>
      <c r="BN380" s="549">
        <f t="shared" si="10421"/>
        <v>0</v>
      </c>
      <c r="BO380" s="675">
        <f t="shared" si="10421"/>
        <v>0</v>
      </c>
      <c r="BP380" s="549">
        <f t="shared" si="10421"/>
        <v>0</v>
      </c>
      <c r="BQ380" s="675">
        <f t="shared" si="10421"/>
        <v>0</v>
      </c>
      <c r="BR380" s="549">
        <f t="shared" si="10421"/>
        <v>0</v>
      </c>
      <c r="BS380" s="675">
        <f t="shared" si="10421"/>
        <v>0</v>
      </c>
      <c r="BT380" s="549">
        <f t="shared" ref="BT380:BU380" si="10422">SUM(BT381:BT384)</f>
        <v>0</v>
      </c>
      <c r="BU380" s="675">
        <f t="shared" si="10422"/>
        <v>0</v>
      </c>
      <c r="BV380" s="549">
        <f t="shared" ref="BV380:BW380" si="10423">SUM(BV381:BV384)</f>
        <v>0</v>
      </c>
      <c r="BW380" s="675">
        <f t="shared" si="10423"/>
        <v>0</v>
      </c>
      <c r="BX380" s="549">
        <f t="shared" ref="BX380:BY380" si="10424">SUM(BX381:BX384)</f>
        <v>0</v>
      </c>
      <c r="BY380" s="675">
        <f t="shared" si="10424"/>
        <v>0</v>
      </c>
      <c r="BZ380" s="549">
        <f t="shared" ref="BZ380:CA380" si="10425">SUM(BZ381:BZ384)</f>
        <v>0</v>
      </c>
      <c r="CA380" s="675">
        <f t="shared" si="10425"/>
        <v>0</v>
      </c>
      <c r="CB380" s="549">
        <f t="shared" ref="CB380:CE380" si="10426">SUM(CB381:CB384)</f>
        <v>0</v>
      </c>
      <c r="CC380" s="675">
        <f t="shared" si="10426"/>
        <v>0</v>
      </c>
      <c r="CD380" s="549">
        <f t="shared" si="10426"/>
        <v>0</v>
      </c>
      <c r="CE380" s="675">
        <f t="shared" si="10426"/>
        <v>0</v>
      </c>
      <c r="CF380" s="549">
        <f t="shared" ref="CF380:CQ380" si="10427">SUM(CF381:CF384)</f>
        <v>0</v>
      </c>
      <c r="CG380" s="675">
        <f t="shared" si="10427"/>
        <v>0</v>
      </c>
      <c r="CH380" s="549">
        <f t="shared" si="10427"/>
        <v>0</v>
      </c>
      <c r="CI380" s="675">
        <f t="shared" si="10427"/>
        <v>0</v>
      </c>
      <c r="CJ380" s="549">
        <f t="shared" si="10427"/>
        <v>0</v>
      </c>
      <c r="CK380" s="675">
        <f t="shared" si="10427"/>
        <v>0</v>
      </c>
      <c r="CL380" s="549">
        <f t="shared" si="10427"/>
        <v>0</v>
      </c>
      <c r="CM380" s="675">
        <f t="shared" si="10427"/>
        <v>0</v>
      </c>
      <c r="CN380" s="549">
        <f t="shared" si="10427"/>
        <v>0</v>
      </c>
      <c r="CO380" s="675">
        <f t="shared" si="10427"/>
        <v>0</v>
      </c>
      <c r="CP380" s="549">
        <f t="shared" si="10427"/>
        <v>0</v>
      </c>
      <c r="CQ380" s="675">
        <f t="shared" si="10427"/>
        <v>0</v>
      </c>
      <c r="CR380" s="549">
        <f t="shared" ref="CR380:CY380" si="10428">SUM(CR381:CR384)</f>
        <v>0</v>
      </c>
      <c r="CS380" s="675">
        <f t="shared" si="10428"/>
        <v>0</v>
      </c>
      <c r="CT380" s="549">
        <f t="shared" si="10428"/>
        <v>0</v>
      </c>
      <c r="CU380" s="675">
        <f t="shared" si="10428"/>
        <v>0</v>
      </c>
      <c r="CV380" s="549">
        <f t="shared" si="10428"/>
        <v>0</v>
      </c>
      <c r="CW380" s="675">
        <f t="shared" si="10428"/>
        <v>0</v>
      </c>
      <c r="CX380" s="549">
        <f t="shared" si="10428"/>
        <v>0</v>
      </c>
      <c r="CY380" s="675">
        <f t="shared" si="10428"/>
        <v>0</v>
      </c>
      <c r="CZ380" s="549">
        <f t="shared" ref="CZ380:DI380" si="10429">SUM(CZ381:CZ384)</f>
        <v>0</v>
      </c>
      <c r="DA380" s="675">
        <f t="shared" si="10429"/>
        <v>0</v>
      </c>
      <c r="DB380" s="549">
        <f t="shared" si="10429"/>
        <v>0</v>
      </c>
      <c r="DC380" s="675">
        <f t="shared" si="10429"/>
        <v>0</v>
      </c>
      <c r="DD380" s="549">
        <f t="shared" si="10429"/>
        <v>0</v>
      </c>
      <c r="DE380" s="675">
        <f t="shared" si="10429"/>
        <v>0</v>
      </c>
      <c r="DF380" s="549">
        <f t="shared" si="10429"/>
        <v>0</v>
      </c>
      <c r="DG380" s="675">
        <f t="shared" si="10429"/>
        <v>0</v>
      </c>
      <c r="DH380" s="549">
        <f t="shared" si="10429"/>
        <v>0</v>
      </c>
      <c r="DI380" s="675">
        <f t="shared" si="10429"/>
        <v>0</v>
      </c>
      <c r="DJ380" s="549">
        <f t="shared" ref="DJ380:DY380" si="10430">SUM(DJ381:DJ384)</f>
        <v>0</v>
      </c>
      <c r="DK380" s="675">
        <f t="shared" si="10430"/>
        <v>0</v>
      </c>
      <c r="DL380" s="549">
        <f t="shared" si="10430"/>
        <v>0</v>
      </c>
      <c r="DM380" s="675">
        <f t="shared" si="10430"/>
        <v>0</v>
      </c>
      <c r="DN380" s="549">
        <f t="shared" si="10430"/>
        <v>0</v>
      </c>
      <c r="DO380" s="675">
        <f t="shared" si="10430"/>
        <v>0</v>
      </c>
      <c r="DP380" s="549">
        <f t="shared" si="10430"/>
        <v>0</v>
      </c>
      <c r="DQ380" s="675">
        <f t="shared" si="10430"/>
        <v>0</v>
      </c>
      <c r="DR380" s="549">
        <f t="shared" si="10430"/>
        <v>0</v>
      </c>
      <c r="DS380" s="675">
        <f t="shared" si="10430"/>
        <v>0</v>
      </c>
      <c r="DT380" s="549">
        <f t="shared" si="10430"/>
        <v>0</v>
      </c>
      <c r="DU380" s="675">
        <f t="shared" si="10430"/>
        <v>0</v>
      </c>
      <c r="DV380" s="549">
        <f t="shared" si="10430"/>
        <v>0</v>
      </c>
      <c r="DW380" s="675">
        <f t="shared" si="10430"/>
        <v>0</v>
      </c>
      <c r="DX380" s="549">
        <f t="shared" si="10430"/>
        <v>0</v>
      </c>
      <c r="DY380" s="675">
        <f t="shared" si="10430"/>
        <v>0</v>
      </c>
      <c r="DZ380" s="549">
        <f t="shared" ref="DZ380:EU380" si="10431">SUM(DZ381:DZ384)</f>
        <v>0</v>
      </c>
      <c r="EA380" s="675">
        <f t="shared" si="10431"/>
        <v>0</v>
      </c>
      <c r="EB380" s="549">
        <f t="shared" si="10431"/>
        <v>0</v>
      </c>
      <c r="EC380" s="675">
        <f t="shared" si="10431"/>
        <v>0</v>
      </c>
      <c r="ED380" s="549">
        <f t="shared" si="10431"/>
        <v>0</v>
      </c>
      <c r="EE380" s="675">
        <f t="shared" si="10431"/>
        <v>0</v>
      </c>
      <c r="EF380" s="549">
        <f t="shared" si="10431"/>
        <v>0</v>
      </c>
      <c r="EG380" s="675">
        <f t="shared" si="10431"/>
        <v>0</v>
      </c>
      <c r="EH380" s="549">
        <f t="shared" ref="EH380:EM380" si="10432">SUM(EH381:EH384)</f>
        <v>0</v>
      </c>
      <c r="EI380" s="675">
        <f t="shared" si="10432"/>
        <v>0</v>
      </c>
      <c r="EJ380" s="549">
        <f t="shared" si="10432"/>
        <v>0</v>
      </c>
      <c r="EK380" s="675">
        <f t="shared" si="10432"/>
        <v>0</v>
      </c>
      <c r="EL380" s="549">
        <f t="shared" si="10432"/>
        <v>0</v>
      </c>
      <c r="EM380" s="675">
        <f t="shared" si="10432"/>
        <v>-5000</v>
      </c>
      <c r="EN380" s="549">
        <f t="shared" si="10431"/>
        <v>0</v>
      </c>
      <c r="EO380" s="675">
        <f t="shared" si="10431"/>
        <v>0</v>
      </c>
      <c r="EP380" s="549">
        <f t="shared" si="10431"/>
        <v>0</v>
      </c>
      <c r="EQ380" s="675">
        <f t="shared" si="10431"/>
        <v>0</v>
      </c>
      <c r="ER380" s="549">
        <f t="shared" si="10431"/>
        <v>0</v>
      </c>
      <c r="ES380" s="675">
        <f t="shared" si="10431"/>
        <v>0</v>
      </c>
      <c r="ET380" s="549">
        <f t="shared" si="10431"/>
        <v>0</v>
      </c>
      <c r="EU380" s="675">
        <f t="shared" si="10431"/>
        <v>0</v>
      </c>
      <c r="EV380" s="549">
        <f t="shared" ref="EV380:FE380" si="10433">SUM(EV381:EV384)</f>
        <v>0</v>
      </c>
      <c r="EW380" s="675">
        <f t="shared" si="10433"/>
        <v>0</v>
      </c>
      <c r="EX380" s="549">
        <f t="shared" si="10433"/>
        <v>0</v>
      </c>
      <c r="EY380" s="675">
        <f t="shared" si="10433"/>
        <v>0</v>
      </c>
      <c r="EZ380" s="549">
        <f t="shared" si="10433"/>
        <v>0</v>
      </c>
      <c r="FA380" s="675">
        <f t="shared" si="10433"/>
        <v>0</v>
      </c>
      <c r="FB380" s="549">
        <f t="shared" si="10433"/>
        <v>0</v>
      </c>
      <c r="FC380" s="675">
        <f t="shared" si="10433"/>
        <v>0</v>
      </c>
      <c r="FD380" s="549">
        <f t="shared" si="10433"/>
        <v>0</v>
      </c>
      <c r="FE380" s="675">
        <f t="shared" si="10433"/>
        <v>0</v>
      </c>
      <c r="FF380" s="549">
        <f t="shared" ref="FF380:FG380" si="10434">SUM(FF381:FF384)</f>
        <v>0</v>
      </c>
      <c r="FG380" s="675">
        <f t="shared" si="10434"/>
        <v>0</v>
      </c>
      <c r="FH380" s="549">
        <f t="shared" ref="FH380:FI380" si="10435">SUM(FH381:FH384)</f>
        <v>0</v>
      </c>
      <c r="FI380" s="675">
        <f t="shared" si="10435"/>
        <v>0</v>
      </c>
      <c r="FJ380" s="549">
        <f t="shared" ref="FJ380:FK380" si="10436">SUM(FJ381:FJ384)</f>
        <v>0</v>
      </c>
      <c r="FK380" s="675">
        <f t="shared" si="10436"/>
        <v>0</v>
      </c>
      <c r="FL380" s="549">
        <f t="shared" ref="FL380:FM380" si="10437">SUM(FL381:FL384)</f>
        <v>0</v>
      </c>
      <c r="FM380" s="675">
        <f t="shared" si="10437"/>
        <v>-3000</v>
      </c>
      <c r="FN380" s="549">
        <f t="shared" ref="FN380:FO380" si="10438">SUM(FN381:FN384)</f>
        <v>0</v>
      </c>
      <c r="FO380" s="675">
        <f t="shared" si="10438"/>
        <v>0</v>
      </c>
      <c r="FP380" s="549">
        <f t="shared" ref="FP380:FQ380" si="10439">SUM(FP381:FP384)</f>
        <v>0</v>
      </c>
      <c r="FQ380" s="675">
        <f t="shared" si="10439"/>
        <v>0</v>
      </c>
      <c r="FR380" s="549">
        <f t="shared" ref="FR380:FS380" si="10440">SUM(FR381:FR384)</f>
        <v>0</v>
      </c>
      <c r="FS380" s="675">
        <f t="shared" si="10440"/>
        <v>0</v>
      </c>
      <c r="FT380" s="549">
        <f t="shared" ref="FT380:FU380" si="10441">SUM(FT381:FT384)</f>
        <v>0</v>
      </c>
      <c r="FU380" s="675">
        <f t="shared" si="10441"/>
        <v>0</v>
      </c>
      <c r="FV380" s="549">
        <f t="shared" ref="FV380:GK380" si="10442">SUM(FV381:FV384)</f>
        <v>0</v>
      </c>
      <c r="FW380" s="675">
        <f t="shared" si="10442"/>
        <v>0</v>
      </c>
      <c r="FX380" s="549">
        <f t="shared" si="10442"/>
        <v>0</v>
      </c>
      <c r="FY380" s="675">
        <f t="shared" si="10442"/>
        <v>0</v>
      </c>
      <c r="FZ380" s="549">
        <f t="shared" ref="FZ380:GI380" si="10443">SUM(FZ381:FZ384)</f>
        <v>0</v>
      </c>
      <c r="GA380" s="675">
        <f t="shared" si="10443"/>
        <v>0</v>
      </c>
      <c r="GB380" s="549">
        <f t="shared" si="10443"/>
        <v>0</v>
      </c>
      <c r="GC380" s="675">
        <f t="shared" si="10443"/>
        <v>0</v>
      </c>
      <c r="GD380" s="549">
        <f t="shared" si="10443"/>
        <v>0</v>
      </c>
      <c r="GE380" s="675">
        <f t="shared" si="10443"/>
        <v>0</v>
      </c>
      <c r="GF380" s="549">
        <f t="shared" si="10443"/>
        <v>0</v>
      </c>
      <c r="GG380" s="675">
        <f t="shared" si="10443"/>
        <v>0</v>
      </c>
      <c r="GH380" s="549">
        <f t="shared" si="10443"/>
        <v>0</v>
      </c>
      <c r="GI380" s="675">
        <f t="shared" si="10443"/>
        <v>0</v>
      </c>
      <c r="GJ380" s="549">
        <f t="shared" si="10442"/>
        <v>0</v>
      </c>
      <c r="GK380" s="675">
        <f t="shared" si="10442"/>
        <v>0</v>
      </c>
      <c r="GL380" s="549">
        <f t="shared" ref="GL380:GM380" si="10444">SUM(GL381:GL384)</f>
        <v>0</v>
      </c>
      <c r="GM380" s="675">
        <f t="shared" si="10444"/>
        <v>0</v>
      </c>
      <c r="GN380" s="549">
        <f t="shared" ref="GN380:GO380" si="10445">SUM(GN381:GN384)</f>
        <v>0</v>
      </c>
      <c r="GO380" s="675">
        <f t="shared" si="10445"/>
        <v>0</v>
      </c>
      <c r="GP380" s="549">
        <f t="shared" ref="GP380:HM380" si="10446">SUM(GP381:GP384)</f>
        <v>8000</v>
      </c>
      <c r="GQ380" s="675">
        <f>SUM(GQ381:GQ384)</f>
        <v>-8000</v>
      </c>
      <c r="GR380" s="74">
        <f t="shared" si="10446"/>
        <v>25000</v>
      </c>
      <c r="GS380" s="74">
        <f t="shared" si="10446"/>
        <v>25000</v>
      </c>
      <c r="GT380" s="74">
        <f t="shared" si="10446"/>
        <v>25000</v>
      </c>
      <c r="GU380" s="74">
        <f t="shared" si="10446"/>
        <v>8334</v>
      </c>
      <c r="GV380" s="74">
        <f t="shared" si="10446"/>
        <v>0</v>
      </c>
      <c r="GW380" s="74">
        <f t="shared" si="10446"/>
        <v>0</v>
      </c>
      <c r="GX380" s="74">
        <f t="shared" si="10446"/>
        <v>8333</v>
      </c>
      <c r="GY380" s="74">
        <f t="shared" si="10446"/>
        <v>0</v>
      </c>
      <c r="GZ380" s="74">
        <f t="shared" si="10446"/>
        <v>0</v>
      </c>
      <c r="HA380" s="74">
        <f t="shared" si="10446"/>
        <v>8333</v>
      </c>
      <c r="HB380" s="74">
        <f t="shared" si="10446"/>
        <v>0</v>
      </c>
      <c r="HC380" s="74">
        <f t="shared" si="10446"/>
        <v>0</v>
      </c>
      <c r="HD380" s="74">
        <f t="shared" si="10446"/>
        <v>0</v>
      </c>
      <c r="HE380" s="74">
        <f t="shared" si="10446"/>
        <v>0</v>
      </c>
      <c r="HF380" s="74">
        <f t="shared" si="10446"/>
        <v>0</v>
      </c>
      <c r="HG380" s="74">
        <f t="shared" si="10446"/>
        <v>25000</v>
      </c>
      <c r="HH380" s="74">
        <f t="shared" si="10446"/>
        <v>8334</v>
      </c>
      <c r="HI380" s="792">
        <f t="shared" si="10446"/>
        <v>0</v>
      </c>
      <c r="HJ380" s="74">
        <f t="shared" si="10446"/>
        <v>1000</v>
      </c>
      <c r="HK380" s="792">
        <f t="shared" si="10446"/>
        <v>0</v>
      </c>
      <c r="HL380" s="74">
        <f t="shared" si="10446"/>
        <v>7000</v>
      </c>
      <c r="HM380" s="792">
        <f t="shared" si="10446"/>
        <v>0</v>
      </c>
      <c r="HN380" s="74">
        <f t="shared" ref="HN380:HO380" si="10447">SUM(HN381:HN384)</f>
        <v>8333</v>
      </c>
      <c r="HO380" s="792">
        <f t="shared" si="10447"/>
        <v>0</v>
      </c>
      <c r="HP380" s="74">
        <f t="shared" ref="HP380:HQ380" si="10448">SUM(HP381:HP384)</f>
        <v>0</v>
      </c>
      <c r="HQ380" s="792">
        <f t="shared" si="10448"/>
        <v>0</v>
      </c>
      <c r="HR380" s="74">
        <f t="shared" ref="HR380:HS380" si="10449">SUM(HR381:HR384)</f>
        <v>0</v>
      </c>
      <c r="HS380" s="792">
        <f t="shared" si="10449"/>
        <v>0</v>
      </c>
      <c r="HT380" s="74">
        <f t="shared" ref="HT380:HU380" si="10450">SUM(HT381:HT384)</f>
        <v>4000</v>
      </c>
      <c r="HU380" s="792">
        <f t="shared" si="10450"/>
        <v>0</v>
      </c>
      <c r="HV380" s="74">
        <f t="shared" ref="HV380:HW380" si="10451">SUM(HV381:HV384)</f>
        <v>4000</v>
      </c>
      <c r="HW380" s="792">
        <f t="shared" si="10451"/>
        <v>0</v>
      </c>
      <c r="HX380" s="74">
        <f t="shared" ref="HX380:HY380" si="10452">SUM(HX381:HX384)</f>
        <v>-4667</v>
      </c>
      <c r="HY380" s="792">
        <f t="shared" si="10452"/>
        <v>0</v>
      </c>
      <c r="HZ380" s="74">
        <f t="shared" ref="HZ380:IA380" si="10453">SUM(HZ381:HZ384)</f>
        <v>-3000</v>
      </c>
      <c r="IA380" s="792">
        <f t="shared" si="10453"/>
        <v>0</v>
      </c>
      <c r="IB380" s="74">
        <f t="shared" ref="IB380:IC380" si="10454">SUM(IB381:IB384)</f>
        <v>0</v>
      </c>
      <c r="IC380" s="792">
        <f t="shared" si="10454"/>
        <v>0</v>
      </c>
      <c r="ID380" s="74">
        <f t="shared" ref="ID380:JR380" si="10455">SUM(ID381:ID384)</f>
        <v>0</v>
      </c>
      <c r="IE380" s="792">
        <f t="shared" si="10455"/>
        <v>0</v>
      </c>
      <c r="IF380" s="841">
        <f>SUM(IF381:IF384)</f>
        <v>21544.5</v>
      </c>
      <c r="IG380" s="263">
        <f>SUM(IG381:IG384)</f>
        <v>21544.5</v>
      </c>
      <c r="IH380" s="842">
        <f>SUM(IH381:IH384)</f>
        <v>21544.5</v>
      </c>
      <c r="II380" s="74">
        <f t="shared" ref="II380:IK380" si="10456">SUM(II381:II384)</f>
        <v>2497</v>
      </c>
      <c r="IJ380" s="74">
        <f t="shared" si="10456"/>
        <v>2497</v>
      </c>
      <c r="IK380" s="74">
        <f t="shared" si="10456"/>
        <v>2497</v>
      </c>
      <c r="IL380" s="74">
        <f t="shared" ref="IL380:IN380" si="10457">SUM(IL381:IL384)</f>
        <v>1675</v>
      </c>
      <c r="IM380" s="74">
        <f t="shared" si="10457"/>
        <v>1675</v>
      </c>
      <c r="IN380" s="74">
        <f t="shared" si="10457"/>
        <v>1675</v>
      </c>
      <c r="IO380" s="74">
        <f t="shared" ref="IO380:IQ380" si="10458">SUM(IO381:IO384)</f>
        <v>7395</v>
      </c>
      <c r="IP380" s="74">
        <f t="shared" si="10458"/>
        <v>7395</v>
      </c>
      <c r="IQ380" s="74">
        <f t="shared" si="10458"/>
        <v>7395</v>
      </c>
      <c r="IR380" s="74">
        <f t="shared" ref="IR380:IT380" si="10459">SUM(IR381:IR384)</f>
        <v>1354</v>
      </c>
      <c r="IS380" s="74">
        <f t="shared" si="10459"/>
        <v>1354</v>
      </c>
      <c r="IT380" s="74">
        <f t="shared" si="10459"/>
        <v>1354</v>
      </c>
      <c r="IU380" s="74">
        <f t="shared" ref="IU380:IW380" si="10460">SUM(IU381:IU384)</f>
        <v>1409</v>
      </c>
      <c r="IV380" s="74">
        <f t="shared" si="10460"/>
        <v>1409</v>
      </c>
      <c r="IW380" s="74">
        <f t="shared" si="10460"/>
        <v>1409</v>
      </c>
      <c r="IX380" s="74">
        <f t="shared" ref="IX380:IZ380" si="10461">SUM(IX381:IX384)</f>
        <v>730</v>
      </c>
      <c r="IY380" s="74">
        <f t="shared" si="10461"/>
        <v>730</v>
      </c>
      <c r="IZ380" s="74">
        <f t="shared" si="10461"/>
        <v>730</v>
      </c>
      <c r="JA380" s="74">
        <f t="shared" ref="JA380:JC380" si="10462">SUM(JA381:JA384)</f>
        <v>1650</v>
      </c>
      <c r="JB380" s="74">
        <f t="shared" si="10462"/>
        <v>1650</v>
      </c>
      <c r="JC380" s="74">
        <f t="shared" si="10462"/>
        <v>1650</v>
      </c>
      <c r="JD380" s="74">
        <f t="shared" ref="JD380:JF380" si="10463">SUM(JD381:JD384)</f>
        <v>3549.5</v>
      </c>
      <c r="JE380" s="74">
        <f t="shared" si="10463"/>
        <v>3549.5</v>
      </c>
      <c r="JF380" s="74">
        <f t="shared" si="10463"/>
        <v>3549.5</v>
      </c>
      <c r="JG380" s="74">
        <f t="shared" ref="JG380:JI380" si="10464">SUM(JG381:JG384)</f>
        <v>660</v>
      </c>
      <c r="JH380" s="74">
        <f t="shared" si="10464"/>
        <v>660</v>
      </c>
      <c r="JI380" s="74">
        <f t="shared" si="10464"/>
        <v>660</v>
      </c>
      <c r="JJ380" s="74">
        <f t="shared" ref="JJ380:JL380" si="10465">SUM(JJ381:JJ384)</f>
        <v>625</v>
      </c>
      <c r="JK380" s="74">
        <f t="shared" si="10465"/>
        <v>625</v>
      </c>
      <c r="JL380" s="74">
        <f t="shared" si="10465"/>
        <v>625</v>
      </c>
      <c r="JM380" s="74">
        <f t="shared" ref="JM380:JO380" si="10466">SUM(JM381:JM384)</f>
        <v>0</v>
      </c>
      <c r="JN380" s="74">
        <f t="shared" si="10466"/>
        <v>0</v>
      </c>
      <c r="JO380" s="74">
        <f t="shared" si="10466"/>
        <v>0</v>
      </c>
      <c r="JP380" s="74">
        <f t="shared" si="10455"/>
        <v>0</v>
      </c>
      <c r="JQ380" s="74">
        <f t="shared" si="10455"/>
        <v>0</v>
      </c>
      <c r="JR380" s="74">
        <f t="shared" si="10455"/>
        <v>0</v>
      </c>
      <c r="JS380" s="74">
        <f>SUM(JS381:JS384)</f>
        <v>3455.5</v>
      </c>
      <c r="JT380" s="102">
        <f>SUM(JT381:JT384)</f>
        <v>3455.5</v>
      </c>
      <c r="JU380" s="665"/>
      <c r="JV380" s="524"/>
      <c r="JW380" s="525"/>
      <c r="JX380" s="549">
        <f>SUM(JX381:JX384)</f>
        <v>25000</v>
      </c>
      <c r="JY380" s="549">
        <f>SUM(JY381:JY384)</f>
        <v>0</v>
      </c>
      <c r="JZ380" s="581">
        <f t="shared" si="10300"/>
        <v>8000</v>
      </c>
      <c r="KA380" s="581">
        <f t="shared" si="10301"/>
        <v>-8000</v>
      </c>
      <c r="KB380" s="549">
        <f t="shared" si="10257"/>
        <v>25000</v>
      </c>
      <c r="KC380" s="709">
        <f t="shared" si="10273"/>
        <v>0</v>
      </c>
      <c r="KD380" s="36"/>
      <c r="KE380" s="36"/>
      <c r="KF380" s="36"/>
      <c r="KG380" s="36"/>
      <c r="KH380" s="36"/>
      <c r="KI380" s="36"/>
      <c r="KJ380" s="36"/>
      <c r="KK380" s="36"/>
    </row>
    <row r="381" spans="1:297" s="10" customFormat="1" ht="12.75" hidden="1" customHeight="1">
      <c r="A381" s="86" t="s">
        <v>1054</v>
      </c>
      <c r="B381" s="77" t="s">
        <v>90</v>
      </c>
      <c r="C381" s="74">
        <v>0</v>
      </c>
      <c r="D381" s="549">
        <v>0</v>
      </c>
      <c r="E381" s="675">
        <v>0</v>
      </c>
      <c r="F381" s="549">
        <v>0</v>
      </c>
      <c r="G381" s="675">
        <v>0</v>
      </c>
      <c r="H381" s="549">
        <v>0</v>
      </c>
      <c r="I381" s="675">
        <v>0</v>
      </c>
      <c r="J381" s="549">
        <v>0</v>
      </c>
      <c r="K381" s="675">
        <v>0</v>
      </c>
      <c r="L381" s="549">
        <v>0</v>
      </c>
      <c r="M381" s="675">
        <v>0</v>
      </c>
      <c r="N381" s="549">
        <v>0</v>
      </c>
      <c r="O381" s="675">
        <v>0</v>
      </c>
      <c r="P381" s="549">
        <v>0</v>
      </c>
      <c r="Q381" s="675">
        <v>0</v>
      </c>
      <c r="R381" s="549">
        <v>0</v>
      </c>
      <c r="S381" s="675">
        <v>0</v>
      </c>
      <c r="T381" s="549">
        <v>0</v>
      </c>
      <c r="U381" s="675">
        <v>0</v>
      </c>
      <c r="V381" s="549">
        <v>0</v>
      </c>
      <c r="W381" s="675">
        <v>0</v>
      </c>
      <c r="X381" s="549">
        <v>0</v>
      </c>
      <c r="Y381" s="675">
        <v>0</v>
      </c>
      <c r="Z381" s="549">
        <v>0</v>
      </c>
      <c r="AA381" s="675">
        <v>0</v>
      </c>
      <c r="AB381" s="549">
        <v>0</v>
      </c>
      <c r="AC381" s="675">
        <v>0</v>
      </c>
      <c r="AD381" s="549">
        <v>0</v>
      </c>
      <c r="AE381" s="675">
        <v>0</v>
      </c>
      <c r="AF381" s="549">
        <v>0</v>
      </c>
      <c r="AG381" s="675">
        <v>0</v>
      </c>
      <c r="AH381" s="549">
        <v>0</v>
      </c>
      <c r="AI381" s="675">
        <v>0</v>
      </c>
      <c r="AJ381" s="549">
        <v>0</v>
      </c>
      <c r="AK381" s="675">
        <v>0</v>
      </c>
      <c r="AL381" s="549">
        <v>0</v>
      </c>
      <c r="AM381" s="675">
        <v>0</v>
      </c>
      <c r="AN381" s="549">
        <v>0</v>
      </c>
      <c r="AO381" s="675">
        <v>0</v>
      </c>
      <c r="AP381" s="549">
        <v>0</v>
      </c>
      <c r="AQ381" s="675">
        <v>0</v>
      </c>
      <c r="AR381" s="549">
        <v>0</v>
      </c>
      <c r="AS381" s="675">
        <v>0</v>
      </c>
      <c r="AT381" s="549">
        <v>0</v>
      </c>
      <c r="AU381" s="675">
        <v>0</v>
      </c>
      <c r="AV381" s="549">
        <v>0</v>
      </c>
      <c r="AW381" s="675">
        <v>0</v>
      </c>
      <c r="AX381" s="549">
        <v>0</v>
      </c>
      <c r="AY381" s="675">
        <v>0</v>
      </c>
      <c r="AZ381" s="549">
        <v>0</v>
      </c>
      <c r="BA381" s="675">
        <v>0</v>
      </c>
      <c r="BB381" s="549">
        <v>0</v>
      </c>
      <c r="BC381" s="675">
        <v>0</v>
      </c>
      <c r="BD381" s="549">
        <v>0</v>
      </c>
      <c r="BE381" s="675">
        <v>0</v>
      </c>
      <c r="BF381" s="549">
        <v>0</v>
      </c>
      <c r="BG381" s="675">
        <v>0</v>
      </c>
      <c r="BH381" s="549">
        <v>0</v>
      </c>
      <c r="BI381" s="675">
        <v>0</v>
      </c>
      <c r="BJ381" s="549">
        <v>0</v>
      </c>
      <c r="BK381" s="675">
        <v>0</v>
      </c>
      <c r="BL381" s="549">
        <v>0</v>
      </c>
      <c r="BM381" s="675">
        <v>0</v>
      </c>
      <c r="BN381" s="549">
        <v>0</v>
      </c>
      <c r="BO381" s="675">
        <v>0</v>
      </c>
      <c r="BP381" s="549">
        <v>0</v>
      </c>
      <c r="BQ381" s="675">
        <v>0</v>
      </c>
      <c r="BR381" s="549">
        <v>0</v>
      </c>
      <c r="BS381" s="675">
        <v>0</v>
      </c>
      <c r="BT381" s="549">
        <v>0</v>
      </c>
      <c r="BU381" s="675">
        <v>0</v>
      </c>
      <c r="BV381" s="549">
        <v>0</v>
      </c>
      <c r="BW381" s="675">
        <v>0</v>
      </c>
      <c r="BX381" s="549">
        <v>0</v>
      </c>
      <c r="BY381" s="675">
        <v>0</v>
      </c>
      <c r="BZ381" s="549">
        <v>0</v>
      </c>
      <c r="CA381" s="675">
        <v>0</v>
      </c>
      <c r="CB381" s="549">
        <v>0</v>
      </c>
      <c r="CC381" s="675">
        <v>0</v>
      </c>
      <c r="CD381" s="549">
        <v>0</v>
      </c>
      <c r="CE381" s="675">
        <v>0</v>
      </c>
      <c r="CF381" s="549">
        <v>0</v>
      </c>
      <c r="CG381" s="675">
        <v>0</v>
      </c>
      <c r="CH381" s="549">
        <v>0</v>
      </c>
      <c r="CI381" s="675">
        <v>0</v>
      </c>
      <c r="CJ381" s="549">
        <v>0</v>
      </c>
      <c r="CK381" s="675">
        <v>0</v>
      </c>
      <c r="CL381" s="549">
        <v>0</v>
      </c>
      <c r="CM381" s="675">
        <v>0</v>
      </c>
      <c r="CN381" s="549">
        <v>0</v>
      </c>
      <c r="CO381" s="675">
        <v>0</v>
      </c>
      <c r="CP381" s="549">
        <v>0</v>
      </c>
      <c r="CQ381" s="675">
        <v>0</v>
      </c>
      <c r="CR381" s="549">
        <v>0</v>
      </c>
      <c r="CS381" s="675">
        <v>0</v>
      </c>
      <c r="CT381" s="549">
        <v>0</v>
      </c>
      <c r="CU381" s="675">
        <v>0</v>
      </c>
      <c r="CV381" s="549">
        <v>0</v>
      </c>
      <c r="CW381" s="675">
        <v>0</v>
      </c>
      <c r="CX381" s="549">
        <v>0</v>
      </c>
      <c r="CY381" s="675">
        <v>0</v>
      </c>
      <c r="CZ381" s="549">
        <v>0</v>
      </c>
      <c r="DA381" s="675">
        <v>0</v>
      </c>
      <c r="DB381" s="549">
        <v>0</v>
      </c>
      <c r="DC381" s="675">
        <v>0</v>
      </c>
      <c r="DD381" s="549">
        <v>0</v>
      </c>
      <c r="DE381" s="675">
        <v>0</v>
      </c>
      <c r="DF381" s="549">
        <v>0</v>
      </c>
      <c r="DG381" s="675">
        <v>0</v>
      </c>
      <c r="DH381" s="549">
        <v>0</v>
      </c>
      <c r="DI381" s="675">
        <v>0</v>
      </c>
      <c r="DJ381" s="549">
        <v>0</v>
      </c>
      <c r="DK381" s="675">
        <v>0</v>
      </c>
      <c r="DL381" s="549">
        <v>0</v>
      </c>
      <c r="DM381" s="675">
        <v>0</v>
      </c>
      <c r="DN381" s="549">
        <v>0</v>
      </c>
      <c r="DO381" s="675">
        <v>0</v>
      </c>
      <c r="DP381" s="549">
        <v>0</v>
      </c>
      <c r="DQ381" s="675">
        <v>0</v>
      </c>
      <c r="DR381" s="549">
        <v>0</v>
      </c>
      <c r="DS381" s="675">
        <v>0</v>
      </c>
      <c r="DT381" s="549">
        <v>0</v>
      </c>
      <c r="DU381" s="675">
        <v>0</v>
      </c>
      <c r="DV381" s="549">
        <v>0</v>
      </c>
      <c r="DW381" s="675">
        <v>0</v>
      </c>
      <c r="DX381" s="549">
        <v>0</v>
      </c>
      <c r="DY381" s="675">
        <v>0</v>
      </c>
      <c r="DZ381" s="549">
        <v>0</v>
      </c>
      <c r="EA381" s="675">
        <v>0</v>
      </c>
      <c r="EB381" s="549">
        <v>0</v>
      </c>
      <c r="EC381" s="675">
        <v>0</v>
      </c>
      <c r="ED381" s="549">
        <v>0</v>
      </c>
      <c r="EE381" s="675">
        <v>0</v>
      </c>
      <c r="EF381" s="549">
        <v>0</v>
      </c>
      <c r="EG381" s="675">
        <v>0</v>
      </c>
      <c r="EH381" s="549">
        <v>0</v>
      </c>
      <c r="EI381" s="675">
        <v>0</v>
      </c>
      <c r="EJ381" s="549">
        <v>0</v>
      </c>
      <c r="EK381" s="675">
        <v>0</v>
      </c>
      <c r="EL381" s="549">
        <v>0</v>
      </c>
      <c r="EM381" s="675">
        <v>0</v>
      </c>
      <c r="EN381" s="549">
        <v>0</v>
      </c>
      <c r="EO381" s="675">
        <v>0</v>
      </c>
      <c r="EP381" s="549">
        <v>0</v>
      </c>
      <c r="EQ381" s="675">
        <v>0</v>
      </c>
      <c r="ER381" s="549">
        <v>0</v>
      </c>
      <c r="ES381" s="675">
        <v>0</v>
      </c>
      <c r="ET381" s="549">
        <v>0</v>
      </c>
      <c r="EU381" s="675">
        <v>0</v>
      </c>
      <c r="EV381" s="549">
        <v>0</v>
      </c>
      <c r="EW381" s="675">
        <v>0</v>
      </c>
      <c r="EX381" s="549">
        <v>0</v>
      </c>
      <c r="EY381" s="675">
        <v>0</v>
      </c>
      <c r="EZ381" s="549">
        <v>0</v>
      </c>
      <c r="FA381" s="675">
        <v>0</v>
      </c>
      <c r="FB381" s="549">
        <v>0</v>
      </c>
      <c r="FC381" s="675">
        <v>0</v>
      </c>
      <c r="FD381" s="549">
        <v>0</v>
      </c>
      <c r="FE381" s="675">
        <v>0</v>
      </c>
      <c r="FF381" s="549">
        <v>0</v>
      </c>
      <c r="FG381" s="675">
        <v>0</v>
      </c>
      <c r="FH381" s="549">
        <v>0</v>
      </c>
      <c r="FI381" s="675">
        <v>0</v>
      </c>
      <c r="FJ381" s="549">
        <v>0</v>
      </c>
      <c r="FK381" s="675">
        <v>0</v>
      </c>
      <c r="FL381" s="549">
        <v>0</v>
      </c>
      <c r="FM381" s="675">
        <v>0</v>
      </c>
      <c r="FN381" s="549">
        <v>0</v>
      </c>
      <c r="FO381" s="675">
        <v>0</v>
      </c>
      <c r="FP381" s="549">
        <v>0</v>
      </c>
      <c r="FQ381" s="675">
        <v>0</v>
      </c>
      <c r="FR381" s="549">
        <v>0</v>
      </c>
      <c r="FS381" s="675">
        <v>0</v>
      </c>
      <c r="FT381" s="549">
        <v>0</v>
      </c>
      <c r="FU381" s="675">
        <v>0</v>
      </c>
      <c r="FV381" s="549">
        <v>0</v>
      </c>
      <c r="FW381" s="675">
        <v>0</v>
      </c>
      <c r="FX381" s="549">
        <v>0</v>
      </c>
      <c r="FY381" s="675">
        <v>0</v>
      </c>
      <c r="FZ381" s="549">
        <v>0</v>
      </c>
      <c r="GA381" s="675">
        <v>0</v>
      </c>
      <c r="GB381" s="549">
        <v>0</v>
      </c>
      <c r="GC381" s="675">
        <v>0</v>
      </c>
      <c r="GD381" s="549">
        <v>0</v>
      </c>
      <c r="GE381" s="675">
        <v>0</v>
      </c>
      <c r="GF381" s="549">
        <v>0</v>
      </c>
      <c r="GG381" s="675">
        <v>0</v>
      </c>
      <c r="GH381" s="549">
        <v>0</v>
      </c>
      <c r="GI381" s="675">
        <v>0</v>
      </c>
      <c r="GJ381" s="549">
        <v>0</v>
      </c>
      <c r="GK381" s="675">
        <v>0</v>
      </c>
      <c r="GL381" s="549">
        <v>0</v>
      </c>
      <c r="GM381" s="675">
        <v>0</v>
      </c>
      <c r="GN381" s="549">
        <v>0</v>
      </c>
      <c r="GO381" s="675">
        <v>0</v>
      </c>
      <c r="GP381" s="549">
        <f>+D381+F381+H381+J381+L381+N381+P381+R381+T381+V381+X381+Z381+AB381+AD381+AH381+AJ381+AL381+AN381+AP381+AR381+AT381+AV381+AX381+AZ381+BB381+BD381+BF381+BH381+BJ381+BL381+BN381+BP381+BR381+BT381+BV381+BX381+BZ381+CB381+CD381+CF381+CH381+CJ381+CL381+CN381+CP381+CR381+CT381+CV381+CX381+CZ381+DB381+DD381+DF381+DH381+DT381+EX381+DJ381+DL381+DN381+DP381+DR381+EJ381+EB381+DZ381+DX381+DV381+ED381+EF381+EH381+EL381+EN381+EP381+EV381+ET381+ER381+EZ381+FB381+FD381+GL381+FF381+FJ381+FL381+GJ381+FT381+FR381+FP381+FN381+FH381</f>
        <v>0</v>
      </c>
      <c r="GQ381" s="675">
        <f>+E381+G381+I381+K381+M381+O381+Q381+S381+U381+W381+Y381+AA381+AC381+AE381+AI381+AK381+AM381+AO381+AQ381+AS381+AU381+AW381+AY381+BA381+BC381+BE381+BG381+BI381+BK381+BM381+BO381+BQ381+BS381+BU381+BW381+BY381+CA381+CC381+CE381+CG381+CI381+CK381+CM381+CO381+CQ381+CS381+CU381+CW381+CY381+DA381+DC381+DE381+DG381+DI381+DU381+EY381+DK381+DM381+DO381+DQ381+DS381+EK381+EC381+EA381+DY381+DW381+EI381+EG381+EE381+EM381+EO381+EQ381+EW381+EU381+ES381+FA381+FC381+FE381+GM381+FG381+FK381+FM381+FO381+FQ381+FS381+FU381+GK381+FI381</f>
        <v>0</v>
      </c>
      <c r="GR381" s="74">
        <f>C381+GP381+GQ381</f>
        <v>0</v>
      </c>
      <c r="GS381" s="74">
        <f t="shared" ref="GS381:GS383" si="10467">SUM(GU381:HE381)+GP381+GQ381</f>
        <v>0</v>
      </c>
      <c r="GT381" s="568">
        <f t="shared" ref="GT381:GT384" si="10468">SUM(GU381:HF381)+GQ381+GP381</f>
        <v>0</v>
      </c>
      <c r="GU381" s="275">
        <v>0</v>
      </c>
      <c r="GV381" s="275"/>
      <c r="GW381" s="588"/>
      <c r="GX381" s="588"/>
      <c r="GY381" s="275"/>
      <c r="GZ381" s="275"/>
      <c r="HA381" s="275"/>
      <c r="HB381" s="275">
        <v>0</v>
      </c>
      <c r="HC381" s="275"/>
      <c r="HD381" s="275"/>
      <c r="HE381" s="275"/>
      <c r="HF381" s="275"/>
      <c r="HG381" s="74">
        <f>SUM(HH381:IE381)</f>
        <v>0</v>
      </c>
      <c r="HH381" s="89">
        <v>0</v>
      </c>
      <c r="HI381" s="817">
        <v>0</v>
      </c>
      <c r="HJ381" s="89">
        <v>0</v>
      </c>
      <c r="HK381" s="817">
        <v>0</v>
      </c>
      <c r="HL381" s="89">
        <v>0</v>
      </c>
      <c r="HM381" s="817">
        <v>0</v>
      </c>
      <c r="HN381" s="89">
        <v>0</v>
      </c>
      <c r="HO381" s="817">
        <v>0</v>
      </c>
      <c r="HP381" s="89">
        <v>0</v>
      </c>
      <c r="HQ381" s="817">
        <v>0</v>
      </c>
      <c r="HR381" s="89">
        <v>0</v>
      </c>
      <c r="HS381" s="817">
        <v>0</v>
      </c>
      <c r="HT381" s="89">
        <v>0</v>
      </c>
      <c r="HU381" s="817">
        <v>0</v>
      </c>
      <c r="HV381" s="89">
        <v>0</v>
      </c>
      <c r="HW381" s="817">
        <v>0</v>
      </c>
      <c r="HX381" s="89">
        <v>0</v>
      </c>
      <c r="HY381" s="817">
        <v>0</v>
      </c>
      <c r="HZ381" s="89">
        <v>0</v>
      </c>
      <c r="IA381" s="817">
        <v>0</v>
      </c>
      <c r="IB381" s="89">
        <v>0</v>
      </c>
      <c r="IC381" s="817">
        <v>0</v>
      </c>
      <c r="ID381" s="89">
        <v>0</v>
      </c>
      <c r="IE381" s="817">
        <v>0</v>
      </c>
      <c r="IF381" s="841">
        <f t="shared" ref="IF381:IF384" si="10469">SUM(II381,IL381,IO381,IR381,IU381,IX381,JA381,JD381,JG381,JJ381,JM381,JP381)</f>
        <v>0</v>
      </c>
      <c r="IG381" s="263">
        <f t="shared" ref="IG381:IG384" si="10470">SUM(IJ381,IM381,IP381,IS381,IV381,IY381,JB381,JE381,JH381,JK381,JN381,JQ381)</f>
        <v>0</v>
      </c>
      <c r="IH381" s="842">
        <f t="shared" ref="IH381:IH384" si="10471">SUM(IK381,IN381,IQ381,IT381,IW381,IZ381,JC381,JF381,JI381,JL381,JO381,JR381)</f>
        <v>0</v>
      </c>
      <c r="II381" s="89">
        <v>0</v>
      </c>
      <c r="IJ381" s="89">
        <f t="shared" ref="IJ381:IJ384" si="10472">II381</f>
        <v>0</v>
      </c>
      <c r="IK381" s="89">
        <f t="shared" ref="IK381:IK384" si="10473">IJ381</f>
        <v>0</v>
      </c>
      <c r="IL381" s="89">
        <v>0</v>
      </c>
      <c r="IM381" s="89">
        <f t="shared" ref="IM381:IM384" si="10474">IL381</f>
        <v>0</v>
      </c>
      <c r="IN381" s="89">
        <f t="shared" ref="IN381:IN384" si="10475">IM381</f>
        <v>0</v>
      </c>
      <c r="IO381" s="89">
        <v>0</v>
      </c>
      <c r="IP381" s="89">
        <f t="shared" ref="IP381:IP384" si="10476">IO381</f>
        <v>0</v>
      </c>
      <c r="IQ381" s="89">
        <f t="shared" ref="IQ381:IQ384" si="10477">IP381</f>
        <v>0</v>
      </c>
      <c r="IR381" s="89">
        <v>0</v>
      </c>
      <c r="IS381" s="89">
        <f t="shared" ref="IS381:IS384" si="10478">IR381</f>
        <v>0</v>
      </c>
      <c r="IT381" s="89">
        <f t="shared" ref="IT381:IT384" si="10479">IS381</f>
        <v>0</v>
      </c>
      <c r="IU381" s="89">
        <v>0</v>
      </c>
      <c r="IV381" s="89">
        <f t="shared" ref="IV381:IV384" si="10480">IU381</f>
        <v>0</v>
      </c>
      <c r="IW381" s="89">
        <f t="shared" ref="IW381:IW384" si="10481">IV381</f>
        <v>0</v>
      </c>
      <c r="IX381" s="89">
        <v>0</v>
      </c>
      <c r="IY381" s="89">
        <f t="shared" ref="IY381:IY384" si="10482">IX381</f>
        <v>0</v>
      </c>
      <c r="IZ381" s="89">
        <f t="shared" ref="IZ381:IZ384" si="10483">IY381</f>
        <v>0</v>
      </c>
      <c r="JA381" s="89">
        <v>0</v>
      </c>
      <c r="JB381" s="89">
        <f t="shared" ref="JB381:JB384" si="10484">JA381</f>
        <v>0</v>
      </c>
      <c r="JC381" s="89">
        <f t="shared" ref="JC381:JC384" si="10485">JB381</f>
        <v>0</v>
      </c>
      <c r="JD381" s="89">
        <v>0</v>
      </c>
      <c r="JE381" s="89">
        <f t="shared" ref="JE381:JE384" si="10486">JD381</f>
        <v>0</v>
      </c>
      <c r="JF381" s="89">
        <f t="shared" ref="JF381:JF384" si="10487">JE381</f>
        <v>0</v>
      </c>
      <c r="JG381" s="89">
        <v>0</v>
      </c>
      <c r="JH381" s="89">
        <f t="shared" ref="JH381:JH384" si="10488">JG381</f>
        <v>0</v>
      </c>
      <c r="JI381" s="89">
        <f t="shared" ref="JI381:JI384" si="10489">JH381</f>
        <v>0</v>
      </c>
      <c r="JJ381" s="89">
        <v>0</v>
      </c>
      <c r="JK381" s="89">
        <f t="shared" ref="JK381:JK384" si="10490">JJ381</f>
        <v>0</v>
      </c>
      <c r="JL381" s="89">
        <f t="shared" ref="JL381:JL384" si="10491">JK381</f>
        <v>0</v>
      </c>
      <c r="JM381" s="89">
        <v>0</v>
      </c>
      <c r="JN381" s="89">
        <f t="shared" ref="JN381:JN384" si="10492">JM381</f>
        <v>0</v>
      </c>
      <c r="JO381" s="89">
        <f t="shared" ref="JO381:JO384" si="10493">JN381</f>
        <v>0</v>
      </c>
      <c r="JP381" s="89">
        <v>0</v>
      </c>
      <c r="JQ381" s="89">
        <f t="shared" ref="JQ381:JR381" si="10494">JP381</f>
        <v>0</v>
      </c>
      <c r="JR381" s="89">
        <f t="shared" si="10494"/>
        <v>0</v>
      </c>
      <c r="JS381" s="74">
        <f>HG381-IF381</f>
        <v>0</v>
      </c>
      <c r="JT381" s="382">
        <f>GS381-IF381</f>
        <v>0</v>
      </c>
      <c r="JU381" s="665"/>
      <c r="JV381" s="524"/>
      <c r="JW381" s="525"/>
      <c r="JX381" s="549">
        <f t="shared" ref="JX381:JY384" si="10495">SUM(HH381,HJ381,HL381,HN381,HP381,HR381,HT381,HV381,HX381,HZ381,IB381,ID381)</f>
        <v>0</v>
      </c>
      <c r="JY381" s="549">
        <f t="shared" si="10495"/>
        <v>0</v>
      </c>
      <c r="JZ381" s="581">
        <f t="shared" si="10300"/>
        <v>0</v>
      </c>
      <c r="KA381" s="581">
        <f t="shared" si="10301"/>
        <v>0</v>
      </c>
      <c r="KB381" s="549">
        <f t="shared" si="10257"/>
        <v>0</v>
      </c>
      <c r="KC381" s="709">
        <f t="shared" si="10273"/>
        <v>0</v>
      </c>
      <c r="KD381" s="36"/>
      <c r="KE381" s="36"/>
      <c r="KF381" s="36"/>
      <c r="KG381" s="36"/>
      <c r="KH381" s="36"/>
      <c r="KI381" s="36"/>
      <c r="KJ381" s="36"/>
      <c r="KK381" s="36"/>
    </row>
    <row r="382" spans="1:297" s="10" customFormat="1" ht="12.75" hidden="1" customHeight="1">
      <c r="A382" s="86" t="s">
        <v>1055</v>
      </c>
      <c r="B382" s="77" t="s">
        <v>90</v>
      </c>
      <c r="C382" s="74">
        <v>0</v>
      </c>
      <c r="D382" s="549">
        <v>0</v>
      </c>
      <c r="E382" s="675">
        <v>0</v>
      </c>
      <c r="F382" s="549">
        <v>0</v>
      </c>
      <c r="G382" s="675">
        <v>0</v>
      </c>
      <c r="H382" s="549">
        <v>0</v>
      </c>
      <c r="I382" s="675">
        <v>0</v>
      </c>
      <c r="J382" s="549">
        <v>0</v>
      </c>
      <c r="K382" s="675">
        <v>0</v>
      </c>
      <c r="L382" s="549">
        <v>0</v>
      </c>
      <c r="M382" s="675">
        <v>0</v>
      </c>
      <c r="N382" s="549">
        <v>0</v>
      </c>
      <c r="O382" s="675">
        <v>0</v>
      </c>
      <c r="P382" s="549">
        <v>0</v>
      </c>
      <c r="Q382" s="675">
        <v>0</v>
      </c>
      <c r="R382" s="549">
        <v>0</v>
      </c>
      <c r="S382" s="675">
        <v>0</v>
      </c>
      <c r="T382" s="549">
        <v>0</v>
      </c>
      <c r="U382" s="675">
        <v>0</v>
      </c>
      <c r="V382" s="549">
        <v>0</v>
      </c>
      <c r="W382" s="675">
        <v>0</v>
      </c>
      <c r="X382" s="549">
        <v>0</v>
      </c>
      <c r="Y382" s="675">
        <v>0</v>
      </c>
      <c r="Z382" s="549">
        <v>0</v>
      </c>
      <c r="AA382" s="675">
        <v>0</v>
      </c>
      <c r="AB382" s="549">
        <v>0</v>
      </c>
      <c r="AC382" s="675">
        <v>0</v>
      </c>
      <c r="AD382" s="549">
        <v>0</v>
      </c>
      <c r="AE382" s="675">
        <v>0</v>
      </c>
      <c r="AF382" s="549">
        <v>0</v>
      </c>
      <c r="AG382" s="675">
        <v>0</v>
      </c>
      <c r="AH382" s="549">
        <v>0</v>
      </c>
      <c r="AI382" s="675">
        <v>0</v>
      </c>
      <c r="AJ382" s="549">
        <v>0</v>
      </c>
      <c r="AK382" s="675">
        <v>0</v>
      </c>
      <c r="AL382" s="549">
        <v>0</v>
      </c>
      <c r="AM382" s="675">
        <v>0</v>
      </c>
      <c r="AN382" s="549">
        <v>0</v>
      </c>
      <c r="AO382" s="675">
        <v>0</v>
      </c>
      <c r="AP382" s="549">
        <v>0</v>
      </c>
      <c r="AQ382" s="675">
        <v>0</v>
      </c>
      <c r="AR382" s="549">
        <v>0</v>
      </c>
      <c r="AS382" s="675">
        <v>0</v>
      </c>
      <c r="AT382" s="549">
        <v>0</v>
      </c>
      <c r="AU382" s="675">
        <v>0</v>
      </c>
      <c r="AV382" s="549">
        <v>0</v>
      </c>
      <c r="AW382" s="675">
        <v>0</v>
      </c>
      <c r="AX382" s="549">
        <v>0</v>
      </c>
      <c r="AY382" s="675">
        <v>0</v>
      </c>
      <c r="AZ382" s="549">
        <v>0</v>
      </c>
      <c r="BA382" s="675">
        <v>0</v>
      </c>
      <c r="BB382" s="549">
        <v>0</v>
      </c>
      <c r="BC382" s="675">
        <v>0</v>
      </c>
      <c r="BD382" s="549">
        <v>0</v>
      </c>
      <c r="BE382" s="675">
        <v>0</v>
      </c>
      <c r="BF382" s="549">
        <v>0</v>
      </c>
      <c r="BG382" s="675">
        <v>0</v>
      </c>
      <c r="BH382" s="549">
        <v>0</v>
      </c>
      <c r="BI382" s="675">
        <v>0</v>
      </c>
      <c r="BJ382" s="549">
        <v>0</v>
      </c>
      <c r="BK382" s="675">
        <v>0</v>
      </c>
      <c r="BL382" s="549">
        <v>0</v>
      </c>
      <c r="BM382" s="675">
        <v>0</v>
      </c>
      <c r="BN382" s="549">
        <v>0</v>
      </c>
      <c r="BO382" s="675">
        <v>0</v>
      </c>
      <c r="BP382" s="549">
        <v>0</v>
      </c>
      <c r="BQ382" s="675">
        <v>0</v>
      </c>
      <c r="BR382" s="549">
        <v>0</v>
      </c>
      <c r="BS382" s="675">
        <v>0</v>
      </c>
      <c r="BT382" s="549">
        <v>0</v>
      </c>
      <c r="BU382" s="675">
        <v>0</v>
      </c>
      <c r="BV382" s="549">
        <v>0</v>
      </c>
      <c r="BW382" s="675">
        <v>0</v>
      </c>
      <c r="BX382" s="549">
        <v>0</v>
      </c>
      <c r="BY382" s="675">
        <v>0</v>
      </c>
      <c r="BZ382" s="549">
        <v>0</v>
      </c>
      <c r="CA382" s="675">
        <v>0</v>
      </c>
      <c r="CB382" s="549">
        <v>0</v>
      </c>
      <c r="CC382" s="675">
        <v>0</v>
      </c>
      <c r="CD382" s="549">
        <v>0</v>
      </c>
      <c r="CE382" s="675">
        <v>0</v>
      </c>
      <c r="CF382" s="549">
        <v>0</v>
      </c>
      <c r="CG382" s="675">
        <v>0</v>
      </c>
      <c r="CH382" s="549">
        <v>0</v>
      </c>
      <c r="CI382" s="675">
        <v>0</v>
      </c>
      <c r="CJ382" s="549">
        <v>0</v>
      </c>
      <c r="CK382" s="675">
        <v>0</v>
      </c>
      <c r="CL382" s="549">
        <v>0</v>
      </c>
      <c r="CM382" s="675">
        <v>0</v>
      </c>
      <c r="CN382" s="549">
        <v>0</v>
      </c>
      <c r="CO382" s="675">
        <v>0</v>
      </c>
      <c r="CP382" s="549">
        <v>0</v>
      </c>
      <c r="CQ382" s="675">
        <v>0</v>
      </c>
      <c r="CR382" s="549">
        <v>0</v>
      </c>
      <c r="CS382" s="675">
        <v>0</v>
      </c>
      <c r="CT382" s="549">
        <v>0</v>
      </c>
      <c r="CU382" s="675">
        <v>0</v>
      </c>
      <c r="CV382" s="549">
        <v>0</v>
      </c>
      <c r="CW382" s="675">
        <v>0</v>
      </c>
      <c r="CX382" s="549">
        <v>0</v>
      </c>
      <c r="CY382" s="675">
        <v>0</v>
      </c>
      <c r="CZ382" s="549">
        <v>0</v>
      </c>
      <c r="DA382" s="675">
        <v>0</v>
      </c>
      <c r="DB382" s="549">
        <v>0</v>
      </c>
      <c r="DC382" s="675">
        <v>0</v>
      </c>
      <c r="DD382" s="549">
        <v>0</v>
      </c>
      <c r="DE382" s="675">
        <v>0</v>
      </c>
      <c r="DF382" s="549">
        <v>0</v>
      </c>
      <c r="DG382" s="675">
        <v>0</v>
      </c>
      <c r="DH382" s="549">
        <v>0</v>
      </c>
      <c r="DI382" s="675">
        <v>0</v>
      </c>
      <c r="DJ382" s="549">
        <v>0</v>
      </c>
      <c r="DK382" s="675">
        <v>0</v>
      </c>
      <c r="DL382" s="549">
        <v>0</v>
      </c>
      <c r="DM382" s="675">
        <v>0</v>
      </c>
      <c r="DN382" s="549">
        <v>0</v>
      </c>
      <c r="DO382" s="675">
        <v>0</v>
      </c>
      <c r="DP382" s="549">
        <v>0</v>
      </c>
      <c r="DQ382" s="675">
        <v>0</v>
      </c>
      <c r="DR382" s="549">
        <v>0</v>
      </c>
      <c r="DS382" s="675">
        <v>0</v>
      </c>
      <c r="DT382" s="549">
        <v>0</v>
      </c>
      <c r="DU382" s="675">
        <v>0</v>
      </c>
      <c r="DV382" s="549">
        <v>0</v>
      </c>
      <c r="DW382" s="675">
        <v>0</v>
      </c>
      <c r="DX382" s="549">
        <v>0</v>
      </c>
      <c r="DY382" s="675">
        <v>0</v>
      </c>
      <c r="DZ382" s="549">
        <v>0</v>
      </c>
      <c r="EA382" s="675">
        <v>0</v>
      </c>
      <c r="EB382" s="549">
        <v>0</v>
      </c>
      <c r="EC382" s="675">
        <v>0</v>
      </c>
      <c r="ED382" s="549">
        <v>0</v>
      </c>
      <c r="EE382" s="675">
        <v>0</v>
      </c>
      <c r="EF382" s="549">
        <v>0</v>
      </c>
      <c r="EG382" s="675">
        <v>0</v>
      </c>
      <c r="EH382" s="549">
        <v>0</v>
      </c>
      <c r="EI382" s="675">
        <v>0</v>
      </c>
      <c r="EJ382" s="549">
        <v>0</v>
      </c>
      <c r="EK382" s="675">
        <v>0</v>
      </c>
      <c r="EL382" s="549">
        <v>0</v>
      </c>
      <c r="EM382" s="675">
        <v>0</v>
      </c>
      <c r="EN382" s="549">
        <v>0</v>
      </c>
      <c r="EO382" s="675">
        <v>0</v>
      </c>
      <c r="EP382" s="549">
        <v>0</v>
      </c>
      <c r="EQ382" s="675">
        <v>0</v>
      </c>
      <c r="ER382" s="549">
        <v>0</v>
      </c>
      <c r="ES382" s="675">
        <v>0</v>
      </c>
      <c r="ET382" s="549">
        <v>0</v>
      </c>
      <c r="EU382" s="675">
        <v>0</v>
      </c>
      <c r="EV382" s="549">
        <v>0</v>
      </c>
      <c r="EW382" s="675">
        <v>0</v>
      </c>
      <c r="EX382" s="549">
        <v>0</v>
      </c>
      <c r="EY382" s="675">
        <v>0</v>
      </c>
      <c r="EZ382" s="549">
        <v>0</v>
      </c>
      <c r="FA382" s="675">
        <v>0</v>
      </c>
      <c r="FB382" s="549">
        <v>0</v>
      </c>
      <c r="FC382" s="675">
        <v>0</v>
      </c>
      <c r="FD382" s="549">
        <v>0</v>
      </c>
      <c r="FE382" s="675">
        <v>0</v>
      </c>
      <c r="FF382" s="549">
        <v>0</v>
      </c>
      <c r="FG382" s="675">
        <v>0</v>
      </c>
      <c r="FH382" s="549">
        <v>0</v>
      </c>
      <c r="FI382" s="675">
        <v>0</v>
      </c>
      <c r="FJ382" s="549">
        <v>0</v>
      </c>
      <c r="FK382" s="675">
        <v>0</v>
      </c>
      <c r="FL382" s="549">
        <v>0</v>
      </c>
      <c r="FM382" s="675">
        <v>0</v>
      </c>
      <c r="FN382" s="549">
        <v>0</v>
      </c>
      <c r="FO382" s="675">
        <v>0</v>
      </c>
      <c r="FP382" s="549">
        <v>0</v>
      </c>
      <c r="FQ382" s="675">
        <v>0</v>
      </c>
      <c r="FR382" s="549">
        <v>0</v>
      </c>
      <c r="FS382" s="675">
        <v>0</v>
      </c>
      <c r="FT382" s="549">
        <v>0</v>
      </c>
      <c r="FU382" s="675">
        <v>0</v>
      </c>
      <c r="FV382" s="549">
        <v>0</v>
      </c>
      <c r="FW382" s="675">
        <v>0</v>
      </c>
      <c r="FX382" s="549">
        <v>0</v>
      </c>
      <c r="FY382" s="675">
        <v>0</v>
      </c>
      <c r="FZ382" s="549">
        <v>0</v>
      </c>
      <c r="GA382" s="675">
        <v>0</v>
      </c>
      <c r="GB382" s="549">
        <v>0</v>
      </c>
      <c r="GC382" s="675">
        <v>0</v>
      </c>
      <c r="GD382" s="549">
        <v>0</v>
      </c>
      <c r="GE382" s="675">
        <v>0</v>
      </c>
      <c r="GF382" s="549">
        <v>0</v>
      </c>
      <c r="GG382" s="675">
        <v>0</v>
      </c>
      <c r="GH382" s="549">
        <v>0</v>
      </c>
      <c r="GI382" s="675">
        <v>0</v>
      </c>
      <c r="GJ382" s="549">
        <v>0</v>
      </c>
      <c r="GK382" s="675">
        <v>0</v>
      </c>
      <c r="GL382" s="549">
        <v>0</v>
      </c>
      <c r="GM382" s="675">
        <v>0</v>
      </c>
      <c r="GN382" s="549">
        <v>0</v>
      </c>
      <c r="GO382" s="675">
        <v>0</v>
      </c>
      <c r="GP382" s="549">
        <f>+D382+F382+H382+J382+L382+N382+P382+R382+T382+V382+X382+Z382+AB382+AD382+AH382+AJ382+AL382+AN382+AP382+AR382+AT382+AV382+AX382+AZ382+BB382+BD382+BF382+BH382+BJ382+BL382+BN382+BP382+BR382+BT382+BV382+BX382+BZ382+CB382+CD382+CF382+CH382+CJ382+CL382+CN382+CP382+CR382+CT382+CV382+CX382+CZ382+DB382+DD382+DF382+DH382+DT382+EX382+DJ382+DL382+DN382+DP382+DR382+EJ382+EB382+DZ382+DX382+DV382+ED382+EF382+EH382+EL382+EN382+EP382+EV382+ET382+ER382+EZ382+FB382+FD382+GL382+FF382+FJ382+FL382+GJ382+FT382+FR382+FP382+FN382+FH382</f>
        <v>0</v>
      </c>
      <c r="GQ382" s="675">
        <f>+E382+G382+I382+K382+M382+O382+Q382+S382+U382+W382+Y382+AA382+AC382+AE382+AI382+AK382+AM382+AO382+AQ382+AS382+AU382+AW382+AY382+BA382+BC382+BE382+BG382+BI382+BK382+BM382+BO382+BQ382+BS382+BU382+BW382+BY382+CA382+CC382+CE382+CG382+CI382+CK382+CM382+CO382+CQ382+CS382+CU382+CW382+CY382+DA382+DC382+DE382+DG382+DI382+DU382+EY382+DK382+DM382+DO382+DQ382+DS382+EK382+EC382+EA382+DY382+DW382+EI382+EG382+EE382+EM382+EO382+EQ382+EW382+EU382+ES382+FA382+FC382+FE382+GM382+FG382+FK382+FM382+FO382+FQ382+FS382+FU382+GK382+FI382</f>
        <v>0</v>
      </c>
      <c r="GR382" s="74">
        <f>C382+GP382+GQ382</f>
        <v>0</v>
      </c>
      <c r="GS382" s="74">
        <f t="shared" si="10467"/>
        <v>0</v>
      </c>
      <c r="GT382" s="568">
        <f t="shared" si="10468"/>
        <v>0</v>
      </c>
      <c r="GU382" s="275">
        <v>0</v>
      </c>
      <c r="GV382" s="275"/>
      <c r="GW382" s="588"/>
      <c r="GX382" s="588"/>
      <c r="GY382" s="275"/>
      <c r="GZ382" s="275"/>
      <c r="HA382" s="275">
        <v>0</v>
      </c>
      <c r="HB382" s="275"/>
      <c r="HC382" s="275"/>
      <c r="HD382" s="275"/>
      <c r="HE382" s="275"/>
      <c r="HF382" s="275"/>
      <c r="HG382" s="74">
        <f>SUM(HH382:IE382)</f>
        <v>0</v>
      </c>
      <c r="HH382" s="89">
        <v>0</v>
      </c>
      <c r="HI382" s="817">
        <v>0</v>
      </c>
      <c r="HJ382" s="89">
        <v>0</v>
      </c>
      <c r="HK382" s="817">
        <v>0</v>
      </c>
      <c r="HL382" s="89">
        <v>0</v>
      </c>
      <c r="HM382" s="817">
        <v>0</v>
      </c>
      <c r="HN382" s="89">
        <v>0</v>
      </c>
      <c r="HO382" s="817">
        <v>0</v>
      </c>
      <c r="HP382" s="89">
        <v>0</v>
      </c>
      <c r="HQ382" s="817">
        <v>0</v>
      </c>
      <c r="HR382" s="89">
        <v>0</v>
      </c>
      <c r="HS382" s="817">
        <v>0</v>
      </c>
      <c r="HT382" s="89">
        <v>0</v>
      </c>
      <c r="HU382" s="817">
        <v>0</v>
      </c>
      <c r="HV382" s="89">
        <v>0</v>
      </c>
      <c r="HW382" s="817">
        <v>0</v>
      </c>
      <c r="HX382" s="89">
        <v>0</v>
      </c>
      <c r="HY382" s="817">
        <v>0</v>
      </c>
      <c r="HZ382" s="89">
        <v>0</v>
      </c>
      <c r="IA382" s="817">
        <v>0</v>
      </c>
      <c r="IB382" s="89">
        <v>0</v>
      </c>
      <c r="IC382" s="817">
        <v>0</v>
      </c>
      <c r="ID382" s="89">
        <v>0</v>
      </c>
      <c r="IE382" s="817">
        <v>0</v>
      </c>
      <c r="IF382" s="841">
        <f t="shared" si="10469"/>
        <v>0</v>
      </c>
      <c r="IG382" s="263">
        <f t="shared" si="10470"/>
        <v>0</v>
      </c>
      <c r="IH382" s="842">
        <f t="shared" si="10471"/>
        <v>0</v>
      </c>
      <c r="II382" s="89">
        <v>0</v>
      </c>
      <c r="IJ382" s="89">
        <f t="shared" si="10472"/>
        <v>0</v>
      </c>
      <c r="IK382" s="89">
        <f t="shared" si="10473"/>
        <v>0</v>
      </c>
      <c r="IL382" s="89">
        <v>0</v>
      </c>
      <c r="IM382" s="89">
        <f t="shared" si="10474"/>
        <v>0</v>
      </c>
      <c r="IN382" s="89">
        <f t="shared" si="10475"/>
        <v>0</v>
      </c>
      <c r="IO382" s="89">
        <v>0</v>
      </c>
      <c r="IP382" s="89">
        <f t="shared" si="10476"/>
        <v>0</v>
      </c>
      <c r="IQ382" s="89">
        <f t="shared" si="10477"/>
        <v>0</v>
      </c>
      <c r="IR382" s="89">
        <v>0</v>
      </c>
      <c r="IS382" s="89">
        <f t="shared" si="10478"/>
        <v>0</v>
      </c>
      <c r="IT382" s="89">
        <f t="shared" si="10479"/>
        <v>0</v>
      </c>
      <c r="IU382" s="89">
        <v>0</v>
      </c>
      <c r="IV382" s="89">
        <f t="shared" si="10480"/>
        <v>0</v>
      </c>
      <c r="IW382" s="89">
        <f t="shared" si="10481"/>
        <v>0</v>
      </c>
      <c r="IX382" s="89">
        <v>0</v>
      </c>
      <c r="IY382" s="89">
        <f t="shared" si="10482"/>
        <v>0</v>
      </c>
      <c r="IZ382" s="89">
        <f t="shared" si="10483"/>
        <v>0</v>
      </c>
      <c r="JA382" s="89">
        <v>0</v>
      </c>
      <c r="JB382" s="89">
        <f t="shared" si="10484"/>
        <v>0</v>
      </c>
      <c r="JC382" s="89">
        <f t="shared" si="10485"/>
        <v>0</v>
      </c>
      <c r="JD382" s="89">
        <v>0</v>
      </c>
      <c r="JE382" s="89">
        <f t="shared" si="10486"/>
        <v>0</v>
      </c>
      <c r="JF382" s="89">
        <f t="shared" si="10487"/>
        <v>0</v>
      </c>
      <c r="JG382" s="89">
        <v>0</v>
      </c>
      <c r="JH382" s="89">
        <f t="shared" si="10488"/>
        <v>0</v>
      </c>
      <c r="JI382" s="89">
        <f t="shared" si="10489"/>
        <v>0</v>
      </c>
      <c r="JJ382" s="89">
        <v>0</v>
      </c>
      <c r="JK382" s="89">
        <f t="shared" si="10490"/>
        <v>0</v>
      </c>
      <c r="JL382" s="89">
        <f t="shared" si="10491"/>
        <v>0</v>
      </c>
      <c r="JM382" s="89">
        <v>0</v>
      </c>
      <c r="JN382" s="89">
        <f t="shared" si="10492"/>
        <v>0</v>
      </c>
      <c r="JO382" s="89">
        <f t="shared" si="10493"/>
        <v>0</v>
      </c>
      <c r="JP382" s="89">
        <v>0</v>
      </c>
      <c r="JQ382" s="89">
        <f t="shared" ref="JQ382:JR382" si="10496">JP382</f>
        <v>0</v>
      </c>
      <c r="JR382" s="89">
        <f t="shared" si="10496"/>
        <v>0</v>
      </c>
      <c r="JS382" s="74">
        <f>HG382-IF382</f>
        <v>0</v>
      </c>
      <c r="JT382" s="382">
        <f>GS382-IF382</f>
        <v>0</v>
      </c>
      <c r="JU382" s="665"/>
      <c r="JV382" s="524"/>
      <c r="JW382" s="525"/>
      <c r="JX382" s="549">
        <f t="shared" si="10495"/>
        <v>0</v>
      </c>
      <c r="JY382" s="549">
        <f t="shared" si="10495"/>
        <v>0</v>
      </c>
      <c r="JZ382" s="581">
        <f t="shared" si="10300"/>
        <v>0</v>
      </c>
      <c r="KA382" s="581">
        <f t="shared" si="10301"/>
        <v>0</v>
      </c>
      <c r="KB382" s="549">
        <f t="shared" si="10257"/>
        <v>0</v>
      </c>
      <c r="KC382" s="709">
        <f t="shared" si="10273"/>
        <v>0</v>
      </c>
      <c r="KD382" s="36"/>
      <c r="KE382" s="36"/>
      <c r="KF382" s="36"/>
      <c r="KG382" s="36"/>
      <c r="KH382" s="36"/>
      <c r="KI382" s="36"/>
      <c r="KJ382" s="36"/>
      <c r="KK382" s="36"/>
    </row>
    <row r="383" spans="1:297" s="10" customFormat="1" ht="12.75" hidden="1" customHeight="1">
      <c r="A383" s="86" t="s">
        <v>1053</v>
      </c>
      <c r="B383" s="77" t="s">
        <v>90</v>
      </c>
      <c r="C383" s="74">
        <v>0</v>
      </c>
      <c r="D383" s="549">
        <v>0</v>
      </c>
      <c r="E383" s="675">
        <v>0</v>
      </c>
      <c r="F383" s="549">
        <v>0</v>
      </c>
      <c r="G383" s="675">
        <v>0</v>
      </c>
      <c r="H383" s="549">
        <v>0</v>
      </c>
      <c r="I383" s="675">
        <v>0</v>
      </c>
      <c r="J383" s="549">
        <v>0</v>
      </c>
      <c r="K383" s="675">
        <v>0</v>
      </c>
      <c r="L383" s="549">
        <v>0</v>
      </c>
      <c r="M383" s="675">
        <v>0</v>
      </c>
      <c r="N383" s="549">
        <v>0</v>
      </c>
      <c r="O383" s="675">
        <v>0</v>
      </c>
      <c r="P383" s="549">
        <v>0</v>
      </c>
      <c r="Q383" s="675">
        <v>0</v>
      </c>
      <c r="R383" s="549">
        <v>0</v>
      </c>
      <c r="S383" s="675">
        <v>0</v>
      </c>
      <c r="T383" s="549">
        <v>0</v>
      </c>
      <c r="U383" s="675">
        <v>0</v>
      </c>
      <c r="V383" s="549">
        <v>0</v>
      </c>
      <c r="W383" s="675">
        <v>0</v>
      </c>
      <c r="X383" s="549">
        <v>0</v>
      </c>
      <c r="Y383" s="675">
        <v>0</v>
      </c>
      <c r="Z383" s="549">
        <v>0</v>
      </c>
      <c r="AA383" s="675">
        <v>0</v>
      </c>
      <c r="AB383" s="549">
        <v>0</v>
      </c>
      <c r="AC383" s="675">
        <v>0</v>
      </c>
      <c r="AD383" s="549">
        <v>0</v>
      </c>
      <c r="AE383" s="675">
        <v>0</v>
      </c>
      <c r="AF383" s="549">
        <v>0</v>
      </c>
      <c r="AG383" s="675">
        <v>0</v>
      </c>
      <c r="AH383" s="549">
        <v>0</v>
      </c>
      <c r="AI383" s="675">
        <v>0</v>
      </c>
      <c r="AJ383" s="549">
        <v>0</v>
      </c>
      <c r="AK383" s="675">
        <v>0</v>
      </c>
      <c r="AL383" s="549">
        <v>0</v>
      </c>
      <c r="AM383" s="675">
        <v>0</v>
      </c>
      <c r="AN383" s="549">
        <v>0</v>
      </c>
      <c r="AO383" s="675">
        <v>0</v>
      </c>
      <c r="AP383" s="549">
        <v>0</v>
      </c>
      <c r="AQ383" s="675">
        <v>0</v>
      </c>
      <c r="AR383" s="549">
        <v>0</v>
      </c>
      <c r="AS383" s="675">
        <v>0</v>
      </c>
      <c r="AT383" s="549">
        <v>0</v>
      </c>
      <c r="AU383" s="675">
        <v>0</v>
      </c>
      <c r="AV383" s="549">
        <v>0</v>
      </c>
      <c r="AW383" s="675">
        <v>0</v>
      </c>
      <c r="AX383" s="549">
        <v>0</v>
      </c>
      <c r="AY383" s="675">
        <v>0</v>
      </c>
      <c r="AZ383" s="549">
        <v>0</v>
      </c>
      <c r="BA383" s="675">
        <v>0</v>
      </c>
      <c r="BB383" s="549">
        <v>0</v>
      </c>
      <c r="BC383" s="675">
        <v>0</v>
      </c>
      <c r="BD383" s="549">
        <v>0</v>
      </c>
      <c r="BE383" s="675">
        <v>0</v>
      </c>
      <c r="BF383" s="549">
        <v>0</v>
      </c>
      <c r="BG383" s="675">
        <v>0</v>
      </c>
      <c r="BH383" s="549">
        <v>0</v>
      </c>
      <c r="BI383" s="675">
        <v>0</v>
      </c>
      <c r="BJ383" s="549">
        <v>0</v>
      </c>
      <c r="BK383" s="675">
        <v>0</v>
      </c>
      <c r="BL383" s="549">
        <v>0</v>
      </c>
      <c r="BM383" s="675">
        <v>0</v>
      </c>
      <c r="BN383" s="549">
        <v>0</v>
      </c>
      <c r="BO383" s="675">
        <v>0</v>
      </c>
      <c r="BP383" s="549">
        <v>0</v>
      </c>
      <c r="BQ383" s="675">
        <v>0</v>
      </c>
      <c r="BR383" s="549">
        <v>0</v>
      </c>
      <c r="BS383" s="675">
        <v>0</v>
      </c>
      <c r="BT383" s="549">
        <v>0</v>
      </c>
      <c r="BU383" s="675">
        <v>0</v>
      </c>
      <c r="BV383" s="549">
        <v>0</v>
      </c>
      <c r="BW383" s="675">
        <v>0</v>
      </c>
      <c r="BX383" s="549">
        <v>0</v>
      </c>
      <c r="BY383" s="675">
        <v>0</v>
      </c>
      <c r="BZ383" s="549">
        <v>0</v>
      </c>
      <c r="CA383" s="675">
        <v>0</v>
      </c>
      <c r="CB383" s="549">
        <v>0</v>
      </c>
      <c r="CC383" s="675">
        <v>0</v>
      </c>
      <c r="CD383" s="549">
        <v>0</v>
      </c>
      <c r="CE383" s="675">
        <v>0</v>
      </c>
      <c r="CF383" s="549">
        <v>0</v>
      </c>
      <c r="CG383" s="675">
        <v>0</v>
      </c>
      <c r="CH383" s="549">
        <v>0</v>
      </c>
      <c r="CI383" s="675">
        <v>0</v>
      </c>
      <c r="CJ383" s="549">
        <v>0</v>
      </c>
      <c r="CK383" s="675">
        <v>0</v>
      </c>
      <c r="CL383" s="549">
        <v>0</v>
      </c>
      <c r="CM383" s="675">
        <v>0</v>
      </c>
      <c r="CN383" s="549">
        <v>0</v>
      </c>
      <c r="CO383" s="675">
        <v>0</v>
      </c>
      <c r="CP383" s="549">
        <v>0</v>
      </c>
      <c r="CQ383" s="675">
        <v>0</v>
      </c>
      <c r="CR383" s="549">
        <v>0</v>
      </c>
      <c r="CS383" s="675">
        <v>0</v>
      </c>
      <c r="CT383" s="549">
        <v>0</v>
      </c>
      <c r="CU383" s="675">
        <v>0</v>
      </c>
      <c r="CV383" s="549">
        <v>0</v>
      </c>
      <c r="CW383" s="675">
        <v>0</v>
      </c>
      <c r="CX383" s="549">
        <v>0</v>
      </c>
      <c r="CY383" s="675">
        <v>0</v>
      </c>
      <c r="CZ383" s="549">
        <v>0</v>
      </c>
      <c r="DA383" s="675">
        <v>0</v>
      </c>
      <c r="DB383" s="549">
        <v>0</v>
      </c>
      <c r="DC383" s="675">
        <v>0</v>
      </c>
      <c r="DD383" s="549">
        <v>0</v>
      </c>
      <c r="DE383" s="675">
        <v>0</v>
      </c>
      <c r="DF383" s="549">
        <v>0</v>
      </c>
      <c r="DG383" s="675">
        <v>0</v>
      </c>
      <c r="DH383" s="549">
        <v>0</v>
      </c>
      <c r="DI383" s="675">
        <v>0</v>
      </c>
      <c r="DJ383" s="549">
        <v>0</v>
      </c>
      <c r="DK383" s="675">
        <v>0</v>
      </c>
      <c r="DL383" s="549">
        <v>0</v>
      </c>
      <c r="DM383" s="675">
        <v>0</v>
      </c>
      <c r="DN383" s="549">
        <v>0</v>
      </c>
      <c r="DO383" s="675">
        <v>0</v>
      </c>
      <c r="DP383" s="549">
        <v>0</v>
      </c>
      <c r="DQ383" s="675">
        <v>0</v>
      </c>
      <c r="DR383" s="549">
        <v>0</v>
      </c>
      <c r="DS383" s="675">
        <v>0</v>
      </c>
      <c r="DT383" s="549">
        <v>0</v>
      </c>
      <c r="DU383" s="675">
        <v>0</v>
      </c>
      <c r="DV383" s="549">
        <v>0</v>
      </c>
      <c r="DW383" s="675">
        <v>0</v>
      </c>
      <c r="DX383" s="549">
        <v>0</v>
      </c>
      <c r="DY383" s="675">
        <v>0</v>
      </c>
      <c r="DZ383" s="549">
        <v>0</v>
      </c>
      <c r="EA383" s="675">
        <v>0</v>
      </c>
      <c r="EB383" s="549">
        <v>0</v>
      </c>
      <c r="EC383" s="675">
        <v>0</v>
      </c>
      <c r="ED383" s="549">
        <v>0</v>
      </c>
      <c r="EE383" s="675">
        <v>0</v>
      </c>
      <c r="EF383" s="549">
        <v>0</v>
      </c>
      <c r="EG383" s="675">
        <v>0</v>
      </c>
      <c r="EH383" s="549">
        <v>0</v>
      </c>
      <c r="EI383" s="675">
        <v>0</v>
      </c>
      <c r="EJ383" s="549">
        <v>0</v>
      </c>
      <c r="EK383" s="675">
        <v>0</v>
      </c>
      <c r="EL383" s="549">
        <v>0</v>
      </c>
      <c r="EM383" s="675">
        <v>0</v>
      </c>
      <c r="EN383" s="549">
        <v>0</v>
      </c>
      <c r="EO383" s="675">
        <v>0</v>
      </c>
      <c r="EP383" s="549">
        <v>0</v>
      </c>
      <c r="EQ383" s="675">
        <v>0</v>
      </c>
      <c r="ER383" s="549">
        <v>0</v>
      </c>
      <c r="ES383" s="675">
        <v>0</v>
      </c>
      <c r="ET383" s="549">
        <v>0</v>
      </c>
      <c r="EU383" s="675">
        <v>0</v>
      </c>
      <c r="EV383" s="549">
        <v>0</v>
      </c>
      <c r="EW383" s="675">
        <v>0</v>
      </c>
      <c r="EX383" s="549">
        <v>0</v>
      </c>
      <c r="EY383" s="675">
        <v>0</v>
      </c>
      <c r="EZ383" s="549">
        <v>0</v>
      </c>
      <c r="FA383" s="675">
        <v>0</v>
      </c>
      <c r="FB383" s="549">
        <v>0</v>
      </c>
      <c r="FC383" s="675">
        <v>0</v>
      </c>
      <c r="FD383" s="549">
        <v>0</v>
      </c>
      <c r="FE383" s="675">
        <v>0</v>
      </c>
      <c r="FF383" s="549">
        <v>0</v>
      </c>
      <c r="FG383" s="675">
        <v>0</v>
      </c>
      <c r="FH383" s="549">
        <v>0</v>
      </c>
      <c r="FI383" s="675">
        <v>0</v>
      </c>
      <c r="FJ383" s="549">
        <v>0</v>
      </c>
      <c r="FK383" s="675">
        <v>0</v>
      </c>
      <c r="FL383" s="549">
        <v>0</v>
      </c>
      <c r="FM383" s="675">
        <v>0</v>
      </c>
      <c r="FN383" s="549">
        <v>0</v>
      </c>
      <c r="FO383" s="675">
        <v>0</v>
      </c>
      <c r="FP383" s="549">
        <v>0</v>
      </c>
      <c r="FQ383" s="675">
        <v>0</v>
      </c>
      <c r="FR383" s="549">
        <v>0</v>
      </c>
      <c r="FS383" s="675">
        <v>0</v>
      </c>
      <c r="FT383" s="549">
        <v>0</v>
      </c>
      <c r="FU383" s="675">
        <v>0</v>
      </c>
      <c r="FV383" s="549">
        <v>0</v>
      </c>
      <c r="FW383" s="675">
        <v>0</v>
      </c>
      <c r="FX383" s="549">
        <v>0</v>
      </c>
      <c r="FY383" s="675">
        <v>0</v>
      </c>
      <c r="FZ383" s="549">
        <v>0</v>
      </c>
      <c r="GA383" s="675">
        <v>0</v>
      </c>
      <c r="GB383" s="549">
        <v>0</v>
      </c>
      <c r="GC383" s="675">
        <v>0</v>
      </c>
      <c r="GD383" s="549">
        <v>0</v>
      </c>
      <c r="GE383" s="675">
        <v>0</v>
      </c>
      <c r="GF383" s="549">
        <v>0</v>
      </c>
      <c r="GG383" s="675">
        <v>0</v>
      </c>
      <c r="GH383" s="549">
        <v>0</v>
      </c>
      <c r="GI383" s="675">
        <v>0</v>
      </c>
      <c r="GJ383" s="549">
        <v>0</v>
      </c>
      <c r="GK383" s="675">
        <v>0</v>
      </c>
      <c r="GL383" s="549">
        <v>0</v>
      </c>
      <c r="GM383" s="675">
        <v>0</v>
      </c>
      <c r="GN383" s="549">
        <v>0</v>
      </c>
      <c r="GO383" s="675">
        <v>0</v>
      </c>
      <c r="GP383" s="549">
        <f>+D383+F383+H383+J383+L383+N383+P383+R383+T383+V383+X383+Z383+AB383+AD383+AH383+AJ383+AL383+AN383+AP383+AR383+AT383+AV383+AX383+AZ383+BB383+BD383+BF383+BH383+BJ383+BL383+BN383+BP383+BR383+BT383+BV383+BX383+BZ383+CB383+CD383+CF383+CH383+CJ383+CL383+CN383+CP383+CR383+CT383+CV383+CX383+CZ383+DB383+DD383+DF383+DH383+DT383+EX383+DJ383+DL383+DN383+DP383+DR383+EJ383+EB383+DZ383+DX383+DV383+ED383+EF383+EH383+EL383+EN383+EP383+EV383+ET383+ER383+EZ383+FB383+FD383+GL383+FF383+FJ383+FL383+GJ383+FT383+FR383+FP383+FN383+FH383</f>
        <v>0</v>
      </c>
      <c r="GQ383" s="675">
        <f>+E383+G383+I383+K383+M383+O383+Q383+S383+U383+W383+Y383+AA383+AC383+AE383+AI383+AK383+AM383+AO383+AQ383+AS383+AU383+AW383+AY383+BA383+BC383+BE383+BG383+BI383+BK383+BM383+BO383+BQ383+BS383+BU383+BW383+BY383+CA383+CC383+CE383+CG383+CI383+CK383+CM383+CO383+CQ383+CS383+CU383+CW383+CY383+DA383+DC383+DE383+DG383+DI383+DU383+EY383+DK383+DM383+DO383+DQ383+DS383+EK383+EC383+EA383+DY383+DW383+EI383+EG383+EE383+EM383+EO383+EQ383+EW383+EU383+ES383+FA383+FC383+FE383+GM383+FG383+FK383+FM383+FO383+FQ383+FS383+FU383+GK383+FI383</f>
        <v>0</v>
      </c>
      <c r="GR383" s="74">
        <f>C383+GP383+GQ383</f>
        <v>0</v>
      </c>
      <c r="GS383" s="74">
        <f t="shared" si="10467"/>
        <v>0</v>
      </c>
      <c r="GT383" s="568">
        <f t="shared" si="10468"/>
        <v>0</v>
      </c>
      <c r="GU383" s="275"/>
      <c r="GV383" s="832">
        <v>0</v>
      </c>
      <c r="GW383" s="588"/>
      <c r="GX383" s="833">
        <f>5000-5000</f>
        <v>0</v>
      </c>
      <c r="GY383" s="275"/>
      <c r="GZ383" s="275"/>
      <c r="HA383" s="275"/>
      <c r="HB383" s="834">
        <v>0</v>
      </c>
      <c r="HC383" s="275"/>
      <c r="HD383" s="275">
        <v>0</v>
      </c>
      <c r="HE383" s="275"/>
      <c r="HF383" s="275"/>
      <c r="HG383" s="74">
        <f>SUM(HH383:IE383)</f>
        <v>0</v>
      </c>
      <c r="HH383" s="89">
        <v>0</v>
      </c>
      <c r="HI383" s="817">
        <v>0</v>
      </c>
      <c r="HJ383" s="89">
        <v>0</v>
      </c>
      <c r="HK383" s="817">
        <v>0</v>
      </c>
      <c r="HL383" s="89">
        <v>0</v>
      </c>
      <c r="HM383" s="817">
        <v>0</v>
      </c>
      <c r="HN383" s="89">
        <v>0</v>
      </c>
      <c r="HO383" s="817">
        <v>0</v>
      </c>
      <c r="HP383" s="89">
        <v>0</v>
      </c>
      <c r="HQ383" s="817">
        <v>0</v>
      </c>
      <c r="HR383" s="89">
        <v>0</v>
      </c>
      <c r="HS383" s="817">
        <v>0</v>
      </c>
      <c r="HT383" s="89">
        <v>0</v>
      </c>
      <c r="HU383" s="817">
        <v>0</v>
      </c>
      <c r="HV383" s="89">
        <v>0</v>
      </c>
      <c r="HW383" s="817">
        <v>0</v>
      </c>
      <c r="HX383" s="89">
        <v>0</v>
      </c>
      <c r="HY383" s="817">
        <v>0</v>
      </c>
      <c r="HZ383" s="89">
        <v>0</v>
      </c>
      <c r="IA383" s="817">
        <v>0</v>
      </c>
      <c r="IB383" s="89">
        <v>0</v>
      </c>
      <c r="IC383" s="817">
        <v>0</v>
      </c>
      <c r="ID383" s="89">
        <v>0</v>
      </c>
      <c r="IE383" s="817">
        <v>0</v>
      </c>
      <c r="IF383" s="841">
        <f t="shared" si="10469"/>
        <v>0</v>
      </c>
      <c r="IG383" s="263">
        <f t="shared" si="10470"/>
        <v>0</v>
      </c>
      <c r="IH383" s="842">
        <f t="shared" si="10471"/>
        <v>0</v>
      </c>
      <c r="II383" s="89">
        <v>0</v>
      </c>
      <c r="IJ383" s="89">
        <f t="shared" si="10472"/>
        <v>0</v>
      </c>
      <c r="IK383" s="89">
        <f t="shared" si="10473"/>
        <v>0</v>
      </c>
      <c r="IL383" s="89">
        <v>0</v>
      </c>
      <c r="IM383" s="89">
        <f t="shared" si="10474"/>
        <v>0</v>
      </c>
      <c r="IN383" s="89">
        <f t="shared" si="10475"/>
        <v>0</v>
      </c>
      <c r="IO383" s="89">
        <v>0</v>
      </c>
      <c r="IP383" s="89">
        <f t="shared" si="10476"/>
        <v>0</v>
      </c>
      <c r="IQ383" s="89">
        <f t="shared" si="10477"/>
        <v>0</v>
      </c>
      <c r="IR383" s="89">
        <v>0</v>
      </c>
      <c r="IS383" s="89">
        <f t="shared" si="10478"/>
        <v>0</v>
      </c>
      <c r="IT383" s="89">
        <f t="shared" si="10479"/>
        <v>0</v>
      </c>
      <c r="IU383" s="89">
        <v>0</v>
      </c>
      <c r="IV383" s="89">
        <f t="shared" si="10480"/>
        <v>0</v>
      </c>
      <c r="IW383" s="89">
        <f t="shared" si="10481"/>
        <v>0</v>
      </c>
      <c r="IX383" s="89">
        <v>0</v>
      </c>
      <c r="IY383" s="89">
        <f t="shared" si="10482"/>
        <v>0</v>
      </c>
      <c r="IZ383" s="89">
        <f t="shared" si="10483"/>
        <v>0</v>
      </c>
      <c r="JA383" s="89">
        <v>0</v>
      </c>
      <c r="JB383" s="89">
        <f t="shared" si="10484"/>
        <v>0</v>
      </c>
      <c r="JC383" s="89">
        <f t="shared" si="10485"/>
        <v>0</v>
      </c>
      <c r="JD383" s="89">
        <v>0</v>
      </c>
      <c r="JE383" s="89">
        <f t="shared" si="10486"/>
        <v>0</v>
      </c>
      <c r="JF383" s="89">
        <f t="shared" si="10487"/>
        <v>0</v>
      </c>
      <c r="JG383" s="89">
        <v>0</v>
      </c>
      <c r="JH383" s="89">
        <f t="shared" si="10488"/>
        <v>0</v>
      </c>
      <c r="JI383" s="89">
        <f t="shared" si="10489"/>
        <v>0</v>
      </c>
      <c r="JJ383" s="89">
        <v>0</v>
      </c>
      <c r="JK383" s="89">
        <f t="shared" si="10490"/>
        <v>0</v>
      </c>
      <c r="JL383" s="89">
        <f t="shared" si="10491"/>
        <v>0</v>
      </c>
      <c r="JM383" s="89">
        <v>0</v>
      </c>
      <c r="JN383" s="89">
        <f t="shared" si="10492"/>
        <v>0</v>
      </c>
      <c r="JO383" s="89">
        <f t="shared" si="10493"/>
        <v>0</v>
      </c>
      <c r="JP383" s="89">
        <v>0</v>
      </c>
      <c r="JQ383" s="89">
        <f t="shared" ref="JQ383:JR383" si="10497">JP383</f>
        <v>0</v>
      </c>
      <c r="JR383" s="89">
        <f t="shared" si="10497"/>
        <v>0</v>
      </c>
      <c r="JS383" s="74">
        <f>HG383-IF383</f>
        <v>0</v>
      </c>
      <c r="JT383" s="382">
        <f>GS383-IF383</f>
        <v>0</v>
      </c>
      <c r="JU383" s="665"/>
      <c r="JV383" s="524"/>
      <c r="JW383" s="525"/>
      <c r="JX383" s="549">
        <f t="shared" si="10495"/>
        <v>0</v>
      </c>
      <c r="JY383" s="549">
        <f t="shared" si="10495"/>
        <v>0</v>
      </c>
      <c r="JZ383" s="581">
        <f t="shared" si="10300"/>
        <v>0</v>
      </c>
      <c r="KA383" s="581">
        <f t="shared" si="10301"/>
        <v>0</v>
      </c>
      <c r="KB383" s="549">
        <f t="shared" si="10257"/>
        <v>0</v>
      </c>
      <c r="KC383" s="709">
        <f t="shared" si="10273"/>
        <v>0</v>
      </c>
      <c r="KD383" s="36"/>
      <c r="KE383" s="36"/>
      <c r="KF383" s="36"/>
      <c r="KG383" s="36"/>
      <c r="KH383" s="36"/>
      <c r="KI383" s="36"/>
      <c r="KJ383" s="36"/>
      <c r="KK383" s="36"/>
    </row>
    <row r="384" spans="1:297" s="10" customFormat="1">
      <c r="A384" s="86" t="s">
        <v>498</v>
      </c>
      <c r="B384" s="77" t="s">
        <v>90</v>
      </c>
      <c r="C384" s="74">
        <v>25000</v>
      </c>
      <c r="D384" s="549">
        <v>0</v>
      </c>
      <c r="E384" s="675">
        <v>0</v>
      </c>
      <c r="F384" s="549">
        <v>1000</v>
      </c>
      <c r="G384" s="675">
        <v>0</v>
      </c>
      <c r="H384" s="549">
        <v>0</v>
      </c>
      <c r="I384" s="675">
        <v>0</v>
      </c>
      <c r="J384" s="549">
        <v>0</v>
      </c>
      <c r="K384" s="675">
        <v>0</v>
      </c>
      <c r="L384" s="549">
        <v>0</v>
      </c>
      <c r="M384" s="675">
        <v>0</v>
      </c>
      <c r="N384" s="549">
        <v>0</v>
      </c>
      <c r="O384" s="675">
        <v>0</v>
      </c>
      <c r="P384" s="549">
        <v>0</v>
      </c>
      <c r="Q384" s="675">
        <v>0</v>
      </c>
      <c r="R384" s="549">
        <v>0</v>
      </c>
      <c r="S384" s="675">
        <v>0</v>
      </c>
      <c r="T384" s="549">
        <v>0</v>
      </c>
      <c r="U384" s="675">
        <v>0</v>
      </c>
      <c r="V384" s="549">
        <v>7000</v>
      </c>
      <c r="W384" s="675">
        <v>0</v>
      </c>
      <c r="X384" s="549">
        <v>0</v>
      </c>
      <c r="Y384" s="675">
        <v>0</v>
      </c>
      <c r="Z384" s="549">
        <v>0</v>
      </c>
      <c r="AA384" s="675">
        <v>0</v>
      </c>
      <c r="AB384" s="549">
        <v>0</v>
      </c>
      <c r="AC384" s="675">
        <v>0</v>
      </c>
      <c r="AD384" s="549">
        <v>0</v>
      </c>
      <c r="AE384" s="675">
        <v>0</v>
      </c>
      <c r="AF384" s="549">
        <v>0</v>
      </c>
      <c r="AG384" s="675">
        <v>0</v>
      </c>
      <c r="AH384" s="549">
        <v>0</v>
      </c>
      <c r="AI384" s="675">
        <v>0</v>
      </c>
      <c r="AJ384" s="549">
        <v>0</v>
      </c>
      <c r="AK384" s="675">
        <v>0</v>
      </c>
      <c r="AL384" s="549">
        <v>0</v>
      </c>
      <c r="AM384" s="675">
        <v>0</v>
      </c>
      <c r="AN384" s="549">
        <v>0</v>
      </c>
      <c r="AO384" s="675">
        <v>0</v>
      </c>
      <c r="AP384" s="549">
        <v>0</v>
      </c>
      <c r="AQ384" s="675">
        <v>0</v>
      </c>
      <c r="AR384" s="549">
        <v>0</v>
      </c>
      <c r="AS384" s="675">
        <v>0</v>
      </c>
      <c r="AT384" s="549">
        <v>0</v>
      </c>
      <c r="AU384" s="675">
        <v>0</v>
      </c>
      <c r="AV384" s="549">
        <v>0</v>
      </c>
      <c r="AW384" s="675">
        <v>0</v>
      </c>
      <c r="AX384" s="549">
        <v>0</v>
      </c>
      <c r="AY384" s="675">
        <v>0</v>
      </c>
      <c r="AZ384" s="549">
        <v>0</v>
      </c>
      <c r="BA384" s="675">
        <v>0</v>
      </c>
      <c r="BB384" s="549">
        <v>0</v>
      </c>
      <c r="BC384" s="675">
        <v>0</v>
      </c>
      <c r="BD384" s="549">
        <v>0</v>
      </c>
      <c r="BE384" s="675">
        <v>0</v>
      </c>
      <c r="BF384" s="549">
        <v>0</v>
      </c>
      <c r="BG384" s="675">
        <v>0</v>
      </c>
      <c r="BH384" s="549">
        <v>0</v>
      </c>
      <c r="BI384" s="675">
        <v>0</v>
      </c>
      <c r="BJ384" s="549">
        <v>0</v>
      </c>
      <c r="BK384" s="675">
        <v>0</v>
      </c>
      <c r="BL384" s="549">
        <v>0</v>
      </c>
      <c r="BM384" s="675">
        <v>0</v>
      </c>
      <c r="BN384" s="549">
        <v>0</v>
      </c>
      <c r="BO384" s="675">
        <v>0</v>
      </c>
      <c r="BP384" s="549">
        <v>0</v>
      </c>
      <c r="BQ384" s="675">
        <v>0</v>
      </c>
      <c r="BR384" s="549">
        <v>0</v>
      </c>
      <c r="BS384" s="675">
        <v>0</v>
      </c>
      <c r="BT384" s="549">
        <v>0</v>
      </c>
      <c r="BU384" s="675">
        <v>0</v>
      </c>
      <c r="BV384" s="549">
        <v>0</v>
      </c>
      <c r="BW384" s="675">
        <v>0</v>
      </c>
      <c r="BX384" s="549">
        <v>0</v>
      </c>
      <c r="BY384" s="675">
        <v>0</v>
      </c>
      <c r="BZ384" s="549">
        <v>0</v>
      </c>
      <c r="CA384" s="675">
        <v>0</v>
      </c>
      <c r="CB384" s="549">
        <v>0</v>
      </c>
      <c r="CC384" s="675">
        <v>0</v>
      </c>
      <c r="CD384" s="549">
        <v>0</v>
      </c>
      <c r="CE384" s="675">
        <v>0</v>
      </c>
      <c r="CF384" s="549">
        <v>0</v>
      </c>
      <c r="CG384" s="675">
        <v>0</v>
      </c>
      <c r="CH384" s="549">
        <v>0</v>
      </c>
      <c r="CI384" s="675">
        <v>0</v>
      </c>
      <c r="CJ384" s="549">
        <v>0</v>
      </c>
      <c r="CK384" s="675">
        <v>0</v>
      </c>
      <c r="CL384" s="549">
        <v>0</v>
      </c>
      <c r="CM384" s="675">
        <v>0</v>
      </c>
      <c r="CN384" s="549">
        <v>0</v>
      </c>
      <c r="CO384" s="675">
        <v>0</v>
      </c>
      <c r="CP384" s="549">
        <v>0</v>
      </c>
      <c r="CQ384" s="675">
        <v>0</v>
      </c>
      <c r="CR384" s="549">
        <v>0</v>
      </c>
      <c r="CS384" s="675">
        <v>0</v>
      </c>
      <c r="CT384" s="549">
        <v>0</v>
      </c>
      <c r="CU384" s="675">
        <v>0</v>
      </c>
      <c r="CV384" s="549">
        <v>0</v>
      </c>
      <c r="CW384" s="675">
        <v>0</v>
      </c>
      <c r="CX384" s="549">
        <v>0</v>
      </c>
      <c r="CY384" s="675">
        <v>0</v>
      </c>
      <c r="CZ384" s="549">
        <v>0</v>
      </c>
      <c r="DA384" s="675">
        <v>0</v>
      </c>
      <c r="DB384" s="549">
        <v>0</v>
      </c>
      <c r="DC384" s="675">
        <v>0</v>
      </c>
      <c r="DD384" s="549">
        <v>0</v>
      </c>
      <c r="DE384" s="675">
        <v>0</v>
      </c>
      <c r="DF384" s="549">
        <v>0</v>
      </c>
      <c r="DG384" s="675">
        <v>0</v>
      </c>
      <c r="DH384" s="549">
        <v>0</v>
      </c>
      <c r="DI384" s="675">
        <v>0</v>
      </c>
      <c r="DJ384" s="549">
        <v>0</v>
      </c>
      <c r="DK384" s="675">
        <v>0</v>
      </c>
      <c r="DL384" s="549">
        <v>0</v>
      </c>
      <c r="DM384" s="675">
        <v>0</v>
      </c>
      <c r="DN384" s="549">
        <v>0</v>
      </c>
      <c r="DO384" s="675">
        <v>0</v>
      </c>
      <c r="DP384" s="549">
        <v>0</v>
      </c>
      <c r="DQ384" s="675">
        <v>0</v>
      </c>
      <c r="DR384" s="549">
        <v>0</v>
      </c>
      <c r="DS384" s="675">
        <v>0</v>
      </c>
      <c r="DT384" s="549">
        <v>0</v>
      </c>
      <c r="DU384" s="675">
        <v>0</v>
      </c>
      <c r="DV384" s="549">
        <v>0</v>
      </c>
      <c r="DW384" s="675">
        <v>0</v>
      </c>
      <c r="DX384" s="549">
        <v>0</v>
      </c>
      <c r="DY384" s="675">
        <v>0</v>
      </c>
      <c r="DZ384" s="549">
        <v>0</v>
      </c>
      <c r="EA384" s="675">
        <v>0</v>
      </c>
      <c r="EB384" s="549">
        <v>0</v>
      </c>
      <c r="EC384" s="675">
        <v>0</v>
      </c>
      <c r="ED384" s="549">
        <v>0</v>
      </c>
      <c r="EE384" s="675">
        <v>0</v>
      </c>
      <c r="EF384" s="549">
        <v>0</v>
      </c>
      <c r="EG384" s="675">
        <v>0</v>
      </c>
      <c r="EH384" s="549">
        <v>0</v>
      </c>
      <c r="EI384" s="675">
        <v>0</v>
      </c>
      <c r="EJ384" s="549">
        <v>0</v>
      </c>
      <c r="EK384" s="675">
        <v>0</v>
      </c>
      <c r="EL384" s="549">
        <v>0</v>
      </c>
      <c r="EM384" s="675">
        <v>-5000</v>
      </c>
      <c r="EN384" s="549">
        <v>0</v>
      </c>
      <c r="EO384" s="675">
        <v>0</v>
      </c>
      <c r="EP384" s="549">
        <v>0</v>
      </c>
      <c r="EQ384" s="675">
        <v>0</v>
      </c>
      <c r="ER384" s="549">
        <v>0</v>
      </c>
      <c r="ES384" s="675">
        <v>0</v>
      </c>
      <c r="ET384" s="549">
        <v>0</v>
      </c>
      <c r="EU384" s="675">
        <v>0</v>
      </c>
      <c r="EV384" s="549">
        <v>0</v>
      </c>
      <c r="EW384" s="675">
        <v>0</v>
      </c>
      <c r="EX384" s="549">
        <v>0</v>
      </c>
      <c r="EY384" s="675">
        <v>0</v>
      </c>
      <c r="EZ384" s="549">
        <v>0</v>
      </c>
      <c r="FA384" s="675">
        <v>0</v>
      </c>
      <c r="FB384" s="549">
        <v>0</v>
      </c>
      <c r="FC384" s="675">
        <v>0</v>
      </c>
      <c r="FD384" s="549">
        <v>0</v>
      </c>
      <c r="FE384" s="675">
        <v>0</v>
      </c>
      <c r="FF384" s="549">
        <v>0</v>
      </c>
      <c r="FG384" s="675">
        <v>0</v>
      </c>
      <c r="FH384" s="549">
        <v>0</v>
      </c>
      <c r="FI384" s="675">
        <v>0</v>
      </c>
      <c r="FJ384" s="549">
        <v>0</v>
      </c>
      <c r="FK384" s="675">
        <v>0</v>
      </c>
      <c r="FL384" s="549">
        <v>0</v>
      </c>
      <c r="FM384" s="675">
        <v>-3000</v>
      </c>
      <c r="FN384" s="549">
        <v>0</v>
      </c>
      <c r="FO384" s="675">
        <v>0</v>
      </c>
      <c r="FP384" s="549">
        <v>0</v>
      </c>
      <c r="FQ384" s="675">
        <v>0</v>
      </c>
      <c r="FR384" s="549">
        <v>0</v>
      </c>
      <c r="FS384" s="675">
        <v>0</v>
      </c>
      <c r="FT384" s="549">
        <v>0</v>
      </c>
      <c r="FU384" s="675">
        <v>0</v>
      </c>
      <c r="FV384" s="549">
        <v>0</v>
      </c>
      <c r="FW384" s="675">
        <v>0</v>
      </c>
      <c r="FX384" s="549">
        <v>0</v>
      </c>
      <c r="FY384" s="675">
        <v>0</v>
      </c>
      <c r="FZ384" s="549">
        <v>0</v>
      </c>
      <c r="GA384" s="675">
        <v>0</v>
      </c>
      <c r="GB384" s="549">
        <v>0</v>
      </c>
      <c r="GC384" s="675">
        <v>0</v>
      </c>
      <c r="GD384" s="549">
        <v>0</v>
      </c>
      <c r="GE384" s="675">
        <v>0</v>
      </c>
      <c r="GF384" s="549">
        <v>0</v>
      </c>
      <c r="GG384" s="675">
        <v>0</v>
      </c>
      <c r="GH384" s="549">
        <v>0</v>
      </c>
      <c r="GI384" s="675">
        <v>0</v>
      </c>
      <c r="GJ384" s="549">
        <v>0</v>
      </c>
      <c r="GK384" s="675">
        <v>0</v>
      </c>
      <c r="GL384" s="549">
        <v>0</v>
      </c>
      <c r="GM384" s="675">
        <v>0</v>
      </c>
      <c r="GN384" s="549">
        <v>0</v>
      </c>
      <c r="GO384" s="675">
        <v>0</v>
      </c>
      <c r="GP384" s="549">
        <f>+D384+F384+H384+J384+L384+N384+P384+R384+T384+V384+X384+Z384+AB384+AF384+AD384+AH384+AJ384+AL384+AN384+AP384+AR384+AT384+AV384+AX384+AZ384+BB384+BD384+BF384+BH384+BJ384+BL384+BN384+BP384+BR384+BT384+BV384+BX384+BZ384+CB384+CD384+CF384+CH384+CJ384+CL384+CN384+CP384+CR384+CT384+CV384+CX384+CZ384+DB384+DD384+DF384+DH384+DT384+EX384+DJ384+DL384+DN384+DP384+DR384+EJ384+EB384+DZ384+DX384+DV384+ED384+EF384+EH384+EL384+EN384+EP384+EV384+ET384+ER384+EZ384+FB384+FD384+GL384+FF384+FJ384+FL384+GJ384+FT384+FR384+FP384+FN384+FH384+GH384+GF384+GD384+GB384+FZ384+FX384+FV384+GN384</f>
        <v>8000</v>
      </c>
      <c r="GQ384" s="675">
        <f>+E384+G384+I384+K384+M384+O384+Q384+S384+U384+W384+Y384+AA384+AC384+AE384+AG384+AI384+AK384+AM384+AO384+AQ384+AS384+AU384+AW384+AY384+BA384+BC384+BE384+BG384+BI384+BK384+BM384+BO384+BQ384+BS384+BU384+BW384+BY384+CA384+CC384+CE384+CG384+CI384+CK384+CM384+CO384+CQ384+CS384+CU384+CW384+CY384+DA384+DC384+DE384+DG384+DI384+DU384+EY384+DK384+DM384+DO384+DQ384+DS384+EK384+EC384+EA384+DY384+DW384+EI384+EG384+EE384+EM384+EO384+EQ384+EW384+EU384+ES384+FA384+FC384+FE384+GM384+FG384+FK384+FM384+FO384+FQ384+FS384+FU384+GK384+FI384+GI384+GG384+GE384+GC384+GA384+FY384+FW384+GO384</f>
        <v>-8000</v>
      </c>
      <c r="GR384" s="74">
        <f>C384+GP384+GQ384</f>
        <v>25000</v>
      </c>
      <c r="GS384" s="74">
        <f>SUM(GU384:HD384)+GP384+GQ384</f>
        <v>25000</v>
      </c>
      <c r="GT384" s="568">
        <f t="shared" si="10468"/>
        <v>25000</v>
      </c>
      <c r="GU384" s="275">
        <v>8334</v>
      </c>
      <c r="GV384" s="275"/>
      <c r="GW384" s="275"/>
      <c r="GX384" s="275">
        <v>8333</v>
      </c>
      <c r="GY384" s="275"/>
      <c r="GZ384" s="275"/>
      <c r="HA384" s="275">
        <v>8333</v>
      </c>
      <c r="HB384" s="275"/>
      <c r="HC384" s="275"/>
      <c r="HD384" s="275"/>
      <c r="HE384" s="275"/>
      <c r="HF384" s="275">
        <v>0</v>
      </c>
      <c r="HG384" s="74">
        <f>SUM(HH384:IE384)</f>
        <v>25000</v>
      </c>
      <c r="HH384" s="89">
        <v>8334</v>
      </c>
      <c r="HI384" s="817">
        <v>0</v>
      </c>
      <c r="HJ384" s="89">
        <v>1000</v>
      </c>
      <c r="HK384" s="817">
        <v>0</v>
      </c>
      <c r="HL384" s="89">
        <v>7000</v>
      </c>
      <c r="HM384" s="817">
        <v>0</v>
      </c>
      <c r="HN384" s="89">
        <v>8333</v>
      </c>
      <c r="HO384" s="817">
        <v>0</v>
      </c>
      <c r="HP384" s="89">
        <v>0</v>
      </c>
      <c r="HQ384" s="817">
        <v>0</v>
      </c>
      <c r="HR384" s="89">
        <v>0</v>
      </c>
      <c r="HS384" s="817">
        <v>0</v>
      </c>
      <c r="HT384" s="89">
        <v>4000</v>
      </c>
      <c r="HU384" s="817">
        <v>0</v>
      </c>
      <c r="HV384" s="89">
        <v>4000</v>
      </c>
      <c r="HW384" s="817">
        <v>0</v>
      </c>
      <c r="HX384" s="89">
        <v>-4667</v>
      </c>
      <c r="HY384" s="817">
        <v>0</v>
      </c>
      <c r="HZ384" s="89">
        <v>-3000</v>
      </c>
      <c r="IA384" s="817">
        <v>0</v>
      </c>
      <c r="IB384" s="89">
        <v>0</v>
      </c>
      <c r="IC384" s="817">
        <v>0</v>
      </c>
      <c r="ID384" s="89">
        <v>0</v>
      </c>
      <c r="IE384" s="817">
        <v>0</v>
      </c>
      <c r="IF384" s="841">
        <f t="shared" si="10469"/>
        <v>21544.5</v>
      </c>
      <c r="IG384" s="263">
        <f t="shared" si="10470"/>
        <v>21544.5</v>
      </c>
      <c r="IH384" s="842">
        <f t="shared" si="10471"/>
        <v>21544.5</v>
      </c>
      <c r="II384" s="89">
        <v>2497</v>
      </c>
      <c r="IJ384" s="89">
        <f t="shared" si="10472"/>
        <v>2497</v>
      </c>
      <c r="IK384" s="89">
        <f t="shared" si="10473"/>
        <v>2497</v>
      </c>
      <c r="IL384" s="89">
        <f>4172-2497</f>
        <v>1675</v>
      </c>
      <c r="IM384" s="89">
        <f t="shared" si="10474"/>
        <v>1675</v>
      </c>
      <c r="IN384" s="89">
        <f t="shared" si="10475"/>
        <v>1675</v>
      </c>
      <c r="IO384" s="89">
        <f>11567-4172</f>
        <v>7395</v>
      </c>
      <c r="IP384" s="89">
        <f t="shared" si="10476"/>
        <v>7395</v>
      </c>
      <c r="IQ384" s="89">
        <f t="shared" si="10477"/>
        <v>7395</v>
      </c>
      <c r="IR384" s="89">
        <f>12921-11567</f>
        <v>1354</v>
      </c>
      <c r="IS384" s="89">
        <f t="shared" si="10478"/>
        <v>1354</v>
      </c>
      <c r="IT384" s="89">
        <f t="shared" si="10479"/>
        <v>1354</v>
      </c>
      <c r="IU384" s="89">
        <f>14330-12921</f>
        <v>1409</v>
      </c>
      <c r="IV384" s="89">
        <f t="shared" si="10480"/>
        <v>1409</v>
      </c>
      <c r="IW384" s="89">
        <f t="shared" si="10481"/>
        <v>1409</v>
      </c>
      <c r="IX384" s="89">
        <f>15060-14330</f>
        <v>730</v>
      </c>
      <c r="IY384" s="89">
        <f t="shared" si="10482"/>
        <v>730</v>
      </c>
      <c r="IZ384" s="89">
        <f t="shared" si="10483"/>
        <v>730</v>
      </c>
      <c r="JA384" s="89">
        <f>16710-15060</f>
        <v>1650</v>
      </c>
      <c r="JB384" s="89">
        <f t="shared" si="10484"/>
        <v>1650</v>
      </c>
      <c r="JC384" s="89">
        <f t="shared" si="10485"/>
        <v>1650</v>
      </c>
      <c r="JD384" s="89">
        <f>20259.5-16710</f>
        <v>3549.5</v>
      </c>
      <c r="JE384" s="89">
        <f t="shared" si="10486"/>
        <v>3549.5</v>
      </c>
      <c r="JF384" s="89">
        <f t="shared" si="10487"/>
        <v>3549.5</v>
      </c>
      <c r="JG384" s="837">
        <f>20919.5-20259.5</f>
        <v>660</v>
      </c>
      <c r="JH384" s="89">
        <f t="shared" si="10488"/>
        <v>660</v>
      </c>
      <c r="JI384" s="89">
        <f t="shared" si="10489"/>
        <v>660</v>
      </c>
      <c r="JJ384" s="89">
        <f>21544.5-20919.5</f>
        <v>625</v>
      </c>
      <c r="JK384" s="89">
        <f t="shared" si="10490"/>
        <v>625</v>
      </c>
      <c r="JL384" s="89">
        <f t="shared" si="10491"/>
        <v>625</v>
      </c>
      <c r="JM384" s="89">
        <v>0</v>
      </c>
      <c r="JN384" s="89">
        <f t="shared" si="10492"/>
        <v>0</v>
      </c>
      <c r="JO384" s="89">
        <f t="shared" si="10493"/>
        <v>0</v>
      </c>
      <c r="JP384" s="89">
        <v>0</v>
      </c>
      <c r="JQ384" s="89">
        <f t="shared" ref="JQ384:JR384" si="10498">JP384</f>
        <v>0</v>
      </c>
      <c r="JR384" s="89">
        <f t="shared" si="10498"/>
        <v>0</v>
      </c>
      <c r="JS384" s="74">
        <f>HG384-IF384</f>
        <v>3455.5</v>
      </c>
      <c r="JT384" s="382">
        <f>GS384-IF384</f>
        <v>3455.5</v>
      </c>
      <c r="JU384" s="665"/>
      <c r="JV384" s="524"/>
      <c r="JW384" s="525"/>
      <c r="JX384" s="549">
        <f t="shared" si="10495"/>
        <v>25000</v>
      </c>
      <c r="JY384" s="549">
        <f t="shared" si="10495"/>
        <v>0</v>
      </c>
      <c r="JZ384" s="581">
        <f t="shared" si="10300"/>
        <v>8000</v>
      </c>
      <c r="KA384" s="581">
        <f t="shared" si="10301"/>
        <v>-8000</v>
      </c>
      <c r="KB384" s="549">
        <f t="shared" si="10257"/>
        <v>25000</v>
      </c>
      <c r="KC384" s="709">
        <f t="shared" si="10273"/>
        <v>0</v>
      </c>
      <c r="KD384" s="36"/>
      <c r="KE384" s="36"/>
      <c r="KF384" s="36"/>
      <c r="KG384" s="36"/>
      <c r="KH384" s="36"/>
      <c r="KI384" s="36"/>
      <c r="KJ384" s="36"/>
      <c r="KK384" s="36"/>
    </row>
    <row r="385" spans="1:297" s="10" customFormat="1">
      <c r="A385" s="91"/>
      <c r="B385" s="77"/>
      <c r="C385" s="74"/>
      <c r="D385" s="549"/>
      <c r="E385" s="675"/>
      <c r="F385" s="549"/>
      <c r="G385" s="675"/>
      <c r="H385" s="549"/>
      <c r="I385" s="675"/>
      <c r="J385" s="549"/>
      <c r="K385" s="675"/>
      <c r="L385" s="549"/>
      <c r="M385" s="675"/>
      <c r="N385" s="549"/>
      <c r="O385" s="675"/>
      <c r="P385" s="549"/>
      <c r="Q385" s="675"/>
      <c r="R385" s="549"/>
      <c r="S385" s="675"/>
      <c r="T385" s="549"/>
      <c r="U385" s="675"/>
      <c r="V385" s="549"/>
      <c r="W385" s="675"/>
      <c r="X385" s="549"/>
      <c r="Y385" s="675"/>
      <c r="Z385" s="549"/>
      <c r="AA385" s="675"/>
      <c r="AB385" s="549"/>
      <c r="AC385" s="675"/>
      <c r="AD385" s="549"/>
      <c r="AE385" s="675"/>
      <c r="AF385" s="549"/>
      <c r="AG385" s="675"/>
      <c r="AH385" s="549"/>
      <c r="AI385" s="675"/>
      <c r="AJ385" s="549"/>
      <c r="AK385" s="675"/>
      <c r="AL385" s="549"/>
      <c r="AM385" s="675"/>
      <c r="AN385" s="549"/>
      <c r="AO385" s="675"/>
      <c r="AP385" s="549"/>
      <c r="AQ385" s="675"/>
      <c r="AR385" s="549"/>
      <c r="AS385" s="675"/>
      <c r="AT385" s="549"/>
      <c r="AU385" s="675"/>
      <c r="AV385" s="549"/>
      <c r="AW385" s="675"/>
      <c r="AX385" s="549"/>
      <c r="AY385" s="675"/>
      <c r="AZ385" s="549"/>
      <c r="BA385" s="675"/>
      <c r="BB385" s="549"/>
      <c r="BC385" s="675"/>
      <c r="BD385" s="549"/>
      <c r="BE385" s="675"/>
      <c r="BF385" s="549"/>
      <c r="BG385" s="675"/>
      <c r="BH385" s="549"/>
      <c r="BI385" s="675"/>
      <c r="BJ385" s="549"/>
      <c r="BK385" s="675"/>
      <c r="BL385" s="549"/>
      <c r="BM385" s="675"/>
      <c r="BN385" s="549"/>
      <c r="BO385" s="675"/>
      <c r="BP385" s="549"/>
      <c r="BQ385" s="675"/>
      <c r="BR385" s="549"/>
      <c r="BS385" s="675"/>
      <c r="BT385" s="549"/>
      <c r="BU385" s="675"/>
      <c r="BV385" s="549"/>
      <c r="BW385" s="675"/>
      <c r="BX385" s="549"/>
      <c r="BY385" s="675"/>
      <c r="BZ385" s="549"/>
      <c r="CA385" s="675"/>
      <c r="CB385" s="549"/>
      <c r="CC385" s="675"/>
      <c r="CD385" s="549"/>
      <c r="CE385" s="675"/>
      <c r="CF385" s="549"/>
      <c r="CG385" s="675"/>
      <c r="CH385" s="549"/>
      <c r="CI385" s="675"/>
      <c r="CJ385" s="549"/>
      <c r="CK385" s="675"/>
      <c r="CL385" s="549"/>
      <c r="CM385" s="675"/>
      <c r="CN385" s="549"/>
      <c r="CO385" s="675"/>
      <c r="CP385" s="549"/>
      <c r="CQ385" s="675"/>
      <c r="CR385" s="549"/>
      <c r="CS385" s="675"/>
      <c r="CT385" s="549"/>
      <c r="CU385" s="675"/>
      <c r="CV385" s="549"/>
      <c r="CW385" s="675"/>
      <c r="CX385" s="549"/>
      <c r="CY385" s="675"/>
      <c r="CZ385" s="549"/>
      <c r="DA385" s="675"/>
      <c r="DB385" s="549"/>
      <c r="DC385" s="675"/>
      <c r="DD385" s="549"/>
      <c r="DE385" s="675"/>
      <c r="DF385" s="549"/>
      <c r="DG385" s="675"/>
      <c r="DH385" s="549"/>
      <c r="DI385" s="675"/>
      <c r="DJ385" s="549"/>
      <c r="DK385" s="675"/>
      <c r="DL385" s="549"/>
      <c r="DM385" s="675"/>
      <c r="DN385" s="549"/>
      <c r="DO385" s="675"/>
      <c r="DP385" s="549"/>
      <c r="DQ385" s="675"/>
      <c r="DR385" s="549"/>
      <c r="DS385" s="675"/>
      <c r="DT385" s="549"/>
      <c r="DU385" s="675"/>
      <c r="DV385" s="549"/>
      <c r="DW385" s="675"/>
      <c r="DX385" s="549"/>
      <c r="DY385" s="675"/>
      <c r="DZ385" s="549"/>
      <c r="EA385" s="675"/>
      <c r="EB385" s="549"/>
      <c r="EC385" s="675"/>
      <c r="ED385" s="549"/>
      <c r="EE385" s="675"/>
      <c r="EF385" s="549"/>
      <c r="EG385" s="675"/>
      <c r="EH385" s="549"/>
      <c r="EI385" s="675"/>
      <c r="EJ385" s="549"/>
      <c r="EK385" s="675"/>
      <c r="EL385" s="549"/>
      <c r="EM385" s="675"/>
      <c r="EN385" s="549"/>
      <c r="EO385" s="675"/>
      <c r="EP385" s="549"/>
      <c r="EQ385" s="675"/>
      <c r="ER385" s="549"/>
      <c r="ES385" s="675"/>
      <c r="ET385" s="549"/>
      <c r="EU385" s="675"/>
      <c r="EV385" s="549"/>
      <c r="EW385" s="675"/>
      <c r="EX385" s="549"/>
      <c r="EY385" s="675"/>
      <c r="EZ385" s="549"/>
      <c r="FA385" s="675"/>
      <c r="FB385" s="549"/>
      <c r="FC385" s="675"/>
      <c r="FD385" s="549"/>
      <c r="FE385" s="675"/>
      <c r="FF385" s="549"/>
      <c r="FG385" s="675"/>
      <c r="FH385" s="549"/>
      <c r="FI385" s="675"/>
      <c r="FJ385" s="549"/>
      <c r="FK385" s="675"/>
      <c r="FL385" s="549"/>
      <c r="FM385" s="675"/>
      <c r="FN385" s="549"/>
      <c r="FO385" s="675"/>
      <c r="FP385" s="549"/>
      <c r="FQ385" s="675"/>
      <c r="FR385" s="549"/>
      <c r="FS385" s="675"/>
      <c r="FT385" s="549"/>
      <c r="FU385" s="675"/>
      <c r="FV385" s="549"/>
      <c r="FW385" s="675"/>
      <c r="FX385" s="549"/>
      <c r="FY385" s="675"/>
      <c r="FZ385" s="549"/>
      <c r="GA385" s="675"/>
      <c r="GB385" s="549"/>
      <c r="GC385" s="675"/>
      <c r="GD385" s="549"/>
      <c r="GE385" s="675"/>
      <c r="GF385" s="549"/>
      <c r="GG385" s="675"/>
      <c r="GH385" s="549"/>
      <c r="GI385" s="675"/>
      <c r="GJ385" s="549"/>
      <c r="GK385" s="675"/>
      <c r="GL385" s="549"/>
      <c r="GM385" s="675"/>
      <c r="GN385" s="549"/>
      <c r="GO385" s="675"/>
      <c r="GP385" s="549"/>
      <c r="GQ385" s="675"/>
      <c r="GR385" s="74"/>
      <c r="GS385" s="74"/>
      <c r="GT385" s="549"/>
      <c r="GU385" s="73"/>
      <c r="GV385" s="73"/>
      <c r="GW385" s="549"/>
      <c r="GX385" s="549"/>
      <c r="GY385" s="73"/>
      <c r="GZ385" s="73"/>
      <c r="HA385" s="73"/>
      <c r="HB385" s="73"/>
      <c r="HC385" s="73"/>
      <c r="HD385" s="73"/>
      <c r="HE385" s="73"/>
      <c r="HF385" s="73"/>
      <c r="HG385" s="74"/>
      <c r="HH385" s="73"/>
      <c r="HI385" s="815"/>
      <c r="HJ385" s="73"/>
      <c r="HK385" s="815"/>
      <c r="HL385" s="73"/>
      <c r="HM385" s="815"/>
      <c r="HN385" s="73"/>
      <c r="HO385" s="815"/>
      <c r="HP385" s="73"/>
      <c r="HQ385" s="815"/>
      <c r="HR385" s="73"/>
      <c r="HS385" s="815"/>
      <c r="HT385" s="73"/>
      <c r="HU385" s="815"/>
      <c r="HV385" s="73"/>
      <c r="HW385" s="815"/>
      <c r="HX385" s="73"/>
      <c r="HY385" s="815"/>
      <c r="HZ385" s="73"/>
      <c r="IA385" s="815"/>
      <c r="IB385" s="73"/>
      <c r="IC385" s="815"/>
      <c r="ID385" s="73"/>
      <c r="IE385" s="815"/>
      <c r="IF385" s="841"/>
      <c r="IG385" s="263"/>
      <c r="IH385" s="842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  <c r="JD385" s="73"/>
      <c r="JE385" s="73"/>
      <c r="JF385" s="73"/>
      <c r="JG385" s="73"/>
      <c r="JH385" s="73"/>
      <c r="JI385" s="73"/>
      <c r="JJ385" s="73"/>
      <c r="JK385" s="73"/>
      <c r="JL385" s="73"/>
      <c r="JM385" s="73"/>
      <c r="JN385" s="73"/>
      <c r="JO385" s="73"/>
      <c r="JP385" s="73"/>
      <c r="JQ385" s="73"/>
      <c r="JR385" s="73"/>
      <c r="JS385" s="74"/>
      <c r="JT385" s="382"/>
      <c r="JU385" s="665"/>
      <c r="JV385" s="524"/>
      <c r="JW385" s="525"/>
      <c r="JX385" s="549"/>
      <c r="JY385" s="549"/>
      <c r="JZ385" s="581">
        <f t="shared" si="10300"/>
        <v>0</v>
      </c>
      <c r="KA385" s="581">
        <f t="shared" si="10301"/>
        <v>0</v>
      </c>
      <c r="KB385" s="549">
        <f t="shared" si="10257"/>
        <v>0</v>
      </c>
      <c r="KC385" s="709">
        <f t="shared" si="10273"/>
        <v>0</v>
      </c>
      <c r="KD385" s="36"/>
      <c r="KE385" s="36"/>
      <c r="KF385" s="36"/>
      <c r="KG385" s="36"/>
      <c r="KH385" s="36"/>
      <c r="KI385" s="36"/>
      <c r="KJ385" s="36"/>
      <c r="KK385" s="36"/>
    </row>
    <row r="386" spans="1:297" s="8" customFormat="1">
      <c r="A386" s="80" t="s">
        <v>245</v>
      </c>
      <c r="B386" s="72" t="s">
        <v>85</v>
      </c>
      <c r="C386" s="74">
        <f t="shared" ref="C386:E386" si="10499">SUM(C387:C393)</f>
        <v>1000</v>
      </c>
      <c r="D386" s="549">
        <f t="shared" si="10499"/>
        <v>0</v>
      </c>
      <c r="E386" s="675">
        <f t="shared" si="10499"/>
        <v>0</v>
      </c>
      <c r="F386" s="549">
        <f t="shared" ref="F386:G386" si="10500">SUM(F387:F393)</f>
        <v>12000</v>
      </c>
      <c r="G386" s="675">
        <f t="shared" si="10500"/>
        <v>0</v>
      </c>
      <c r="H386" s="549">
        <f t="shared" ref="H386:I386" si="10501">SUM(H387:H393)</f>
        <v>0</v>
      </c>
      <c r="I386" s="675">
        <f t="shared" si="10501"/>
        <v>0</v>
      </c>
      <c r="J386" s="549">
        <f t="shared" ref="J386:K386" si="10502">SUM(J387:J393)</f>
        <v>0</v>
      </c>
      <c r="K386" s="675">
        <f t="shared" si="10502"/>
        <v>0</v>
      </c>
      <c r="L386" s="549">
        <f t="shared" ref="L386:M386" si="10503">SUM(L387:L393)</f>
        <v>0</v>
      </c>
      <c r="M386" s="675">
        <f t="shared" si="10503"/>
        <v>0</v>
      </c>
      <c r="N386" s="549">
        <f t="shared" ref="N386:O386" si="10504">SUM(N387:N393)</f>
        <v>0</v>
      </c>
      <c r="O386" s="675">
        <f t="shared" si="10504"/>
        <v>0</v>
      </c>
      <c r="P386" s="549">
        <f t="shared" ref="P386:Q386" si="10505">SUM(P387:P393)</f>
        <v>0</v>
      </c>
      <c r="Q386" s="675">
        <f t="shared" si="10505"/>
        <v>0</v>
      </c>
      <c r="R386" s="549">
        <f t="shared" ref="R386:S386" si="10506">SUM(R387:R393)</f>
        <v>0</v>
      </c>
      <c r="S386" s="675">
        <f t="shared" si="10506"/>
        <v>0</v>
      </c>
      <c r="T386" s="549">
        <f t="shared" ref="T386:AM386" si="10507">SUM(T387:T393)</f>
        <v>0</v>
      </c>
      <c r="U386" s="675">
        <f t="shared" si="10507"/>
        <v>0</v>
      </c>
      <c r="V386" s="549">
        <f t="shared" si="10507"/>
        <v>0</v>
      </c>
      <c r="W386" s="675">
        <f t="shared" si="10507"/>
        <v>0</v>
      </c>
      <c r="X386" s="549">
        <f t="shared" si="10507"/>
        <v>0</v>
      </c>
      <c r="Y386" s="675">
        <f t="shared" si="10507"/>
        <v>0</v>
      </c>
      <c r="Z386" s="549">
        <f t="shared" si="10507"/>
        <v>0</v>
      </c>
      <c r="AA386" s="675">
        <f t="shared" si="10507"/>
        <v>0</v>
      </c>
      <c r="AB386" s="549">
        <f t="shared" si="10507"/>
        <v>0</v>
      </c>
      <c r="AC386" s="675">
        <f t="shared" si="10507"/>
        <v>0</v>
      </c>
      <c r="AD386" s="549">
        <f t="shared" ref="AD386:AK386" si="10508">SUM(AD387:AD393)</f>
        <v>0</v>
      </c>
      <c r="AE386" s="675">
        <f t="shared" si="10508"/>
        <v>0</v>
      </c>
      <c r="AF386" s="549">
        <f t="shared" si="10508"/>
        <v>20000</v>
      </c>
      <c r="AG386" s="675">
        <f t="shared" si="10508"/>
        <v>0</v>
      </c>
      <c r="AH386" s="549">
        <f t="shared" si="10508"/>
        <v>0</v>
      </c>
      <c r="AI386" s="675">
        <f t="shared" si="10508"/>
        <v>0</v>
      </c>
      <c r="AJ386" s="549">
        <f t="shared" si="10508"/>
        <v>0</v>
      </c>
      <c r="AK386" s="675">
        <f t="shared" si="10508"/>
        <v>0</v>
      </c>
      <c r="AL386" s="549">
        <f t="shared" si="10507"/>
        <v>0</v>
      </c>
      <c r="AM386" s="675">
        <f t="shared" si="10507"/>
        <v>0</v>
      </c>
      <c r="AN386" s="549">
        <f t="shared" ref="AN386:AS386" si="10509">SUM(AN387:AN393)</f>
        <v>0</v>
      </c>
      <c r="AO386" s="675">
        <f t="shared" si="10509"/>
        <v>0</v>
      </c>
      <c r="AP386" s="549">
        <f t="shared" si="10509"/>
        <v>0</v>
      </c>
      <c r="AQ386" s="675">
        <f t="shared" si="10509"/>
        <v>0</v>
      </c>
      <c r="AR386" s="549">
        <f t="shared" si="10509"/>
        <v>0</v>
      </c>
      <c r="AS386" s="675">
        <f t="shared" si="10509"/>
        <v>0</v>
      </c>
      <c r="AT386" s="549">
        <f t="shared" ref="AT386:AU386" si="10510">SUM(AT387:AT393)</f>
        <v>0</v>
      </c>
      <c r="AU386" s="675">
        <f t="shared" si="10510"/>
        <v>0</v>
      </c>
      <c r="AV386" s="549">
        <f t="shared" ref="AV386:AW386" si="10511">SUM(AV387:AV393)</f>
        <v>0</v>
      </c>
      <c r="AW386" s="675">
        <f t="shared" si="10511"/>
        <v>0</v>
      </c>
      <c r="AX386" s="549">
        <f t="shared" ref="AX386:AY386" si="10512">SUM(AX387:AX393)</f>
        <v>0</v>
      </c>
      <c r="AY386" s="675">
        <f t="shared" si="10512"/>
        <v>0</v>
      </c>
      <c r="AZ386" s="549">
        <f t="shared" ref="AZ386:BA386" si="10513">SUM(AZ387:AZ393)</f>
        <v>0</v>
      </c>
      <c r="BA386" s="675">
        <f t="shared" si="10513"/>
        <v>0</v>
      </c>
      <c r="BB386" s="549">
        <f t="shared" ref="BB386:BC386" si="10514">SUM(BB387:BB393)</f>
        <v>0</v>
      </c>
      <c r="BC386" s="675">
        <f t="shared" si="10514"/>
        <v>0</v>
      </c>
      <c r="BD386" s="549">
        <f t="shared" ref="BD386:BE386" si="10515">SUM(BD387:BD393)</f>
        <v>32000</v>
      </c>
      <c r="BE386" s="675">
        <f t="shared" si="10515"/>
        <v>0</v>
      </c>
      <c r="BF386" s="549">
        <f t="shared" ref="BF386:BG386" si="10516">SUM(BF387:BF393)</f>
        <v>0</v>
      </c>
      <c r="BG386" s="675">
        <f t="shared" si="10516"/>
        <v>0</v>
      </c>
      <c r="BH386" s="549">
        <f t="shared" ref="BH386:BI386" si="10517">SUM(BH387:BH393)</f>
        <v>0</v>
      </c>
      <c r="BI386" s="675">
        <f t="shared" si="10517"/>
        <v>0</v>
      </c>
      <c r="BJ386" s="549">
        <f t="shared" ref="BJ386:BK386" si="10518">SUM(BJ387:BJ393)</f>
        <v>0</v>
      </c>
      <c r="BK386" s="675">
        <f t="shared" si="10518"/>
        <v>0</v>
      </c>
      <c r="BL386" s="549">
        <f t="shared" ref="BL386:BS386" si="10519">SUM(BL387:BL393)</f>
        <v>0</v>
      </c>
      <c r="BM386" s="675">
        <f t="shared" si="10519"/>
        <v>0</v>
      </c>
      <c r="BN386" s="549">
        <f t="shared" si="10519"/>
        <v>0</v>
      </c>
      <c r="BO386" s="675">
        <f t="shared" si="10519"/>
        <v>0</v>
      </c>
      <c r="BP386" s="549">
        <f t="shared" si="10519"/>
        <v>0</v>
      </c>
      <c r="BQ386" s="675">
        <f t="shared" si="10519"/>
        <v>0</v>
      </c>
      <c r="BR386" s="549">
        <f t="shared" si="10519"/>
        <v>0</v>
      </c>
      <c r="BS386" s="675">
        <f t="shared" si="10519"/>
        <v>0</v>
      </c>
      <c r="BT386" s="549">
        <f t="shared" ref="BT386:BU386" si="10520">SUM(BT387:BT393)</f>
        <v>0</v>
      </c>
      <c r="BU386" s="675">
        <f t="shared" si="10520"/>
        <v>0</v>
      </c>
      <c r="BV386" s="549">
        <f t="shared" ref="BV386:BW386" si="10521">SUM(BV387:BV393)</f>
        <v>0</v>
      </c>
      <c r="BW386" s="675">
        <f t="shared" si="10521"/>
        <v>0</v>
      </c>
      <c r="BX386" s="549">
        <f t="shared" ref="BX386:BY386" si="10522">SUM(BX387:BX393)</f>
        <v>0</v>
      </c>
      <c r="BY386" s="675">
        <f t="shared" si="10522"/>
        <v>0</v>
      </c>
      <c r="BZ386" s="549">
        <f t="shared" ref="BZ386:CA386" si="10523">SUM(BZ387:BZ393)</f>
        <v>0</v>
      </c>
      <c r="CA386" s="675">
        <f t="shared" si="10523"/>
        <v>0</v>
      </c>
      <c r="CB386" s="549">
        <f t="shared" ref="CB386:CE386" si="10524">SUM(CB387:CB393)</f>
        <v>0</v>
      </c>
      <c r="CC386" s="675">
        <f t="shared" si="10524"/>
        <v>0</v>
      </c>
      <c r="CD386" s="549">
        <f t="shared" si="10524"/>
        <v>0</v>
      </c>
      <c r="CE386" s="675">
        <f t="shared" si="10524"/>
        <v>0</v>
      </c>
      <c r="CF386" s="549">
        <f t="shared" ref="CF386:CQ386" si="10525">SUM(CF387:CF393)</f>
        <v>0</v>
      </c>
      <c r="CG386" s="675">
        <f t="shared" si="10525"/>
        <v>0</v>
      </c>
      <c r="CH386" s="549">
        <f t="shared" si="10525"/>
        <v>0</v>
      </c>
      <c r="CI386" s="675">
        <f t="shared" si="10525"/>
        <v>0</v>
      </c>
      <c r="CJ386" s="549">
        <f t="shared" si="10525"/>
        <v>0</v>
      </c>
      <c r="CK386" s="675">
        <f t="shared" si="10525"/>
        <v>0</v>
      </c>
      <c r="CL386" s="549">
        <f t="shared" si="10525"/>
        <v>0</v>
      </c>
      <c r="CM386" s="675">
        <f t="shared" si="10525"/>
        <v>0</v>
      </c>
      <c r="CN386" s="549">
        <f t="shared" si="10525"/>
        <v>0</v>
      </c>
      <c r="CO386" s="675">
        <f t="shared" si="10525"/>
        <v>0</v>
      </c>
      <c r="CP386" s="549">
        <f t="shared" si="10525"/>
        <v>0</v>
      </c>
      <c r="CQ386" s="675">
        <f t="shared" si="10525"/>
        <v>0</v>
      </c>
      <c r="CR386" s="549">
        <f t="shared" ref="CR386:CY386" si="10526">SUM(CR387:CR393)</f>
        <v>0</v>
      </c>
      <c r="CS386" s="675">
        <f t="shared" si="10526"/>
        <v>0</v>
      </c>
      <c r="CT386" s="549">
        <f t="shared" si="10526"/>
        <v>0</v>
      </c>
      <c r="CU386" s="675">
        <f t="shared" si="10526"/>
        <v>0</v>
      </c>
      <c r="CV386" s="549">
        <f t="shared" si="10526"/>
        <v>0</v>
      </c>
      <c r="CW386" s="675">
        <f t="shared" si="10526"/>
        <v>0</v>
      </c>
      <c r="CX386" s="549">
        <f t="shared" si="10526"/>
        <v>0</v>
      </c>
      <c r="CY386" s="675">
        <f t="shared" si="10526"/>
        <v>0</v>
      </c>
      <c r="CZ386" s="549">
        <f t="shared" ref="CZ386:GT386" si="10527">SUM(CZ387:CZ393)</f>
        <v>0</v>
      </c>
      <c r="DA386" s="675">
        <f t="shared" si="10527"/>
        <v>0</v>
      </c>
      <c r="DB386" s="549">
        <f t="shared" si="10527"/>
        <v>0</v>
      </c>
      <c r="DC386" s="675">
        <f t="shared" si="10527"/>
        <v>0</v>
      </c>
      <c r="DD386" s="549">
        <f t="shared" si="10527"/>
        <v>0</v>
      </c>
      <c r="DE386" s="675">
        <f t="shared" si="10527"/>
        <v>0</v>
      </c>
      <c r="DF386" s="549">
        <f t="shared" si="10527"/>
        <v>0</v>
      </c>
      <c r="DG386" s="675">
        <f t="shared" si="10527"/>
        <v>0</v>
      </c>
      <c r="DH386" s="549">
        <f t="shared" si="10527"/>
        <v>0</v>
      </c>
      <c r="DI386" s="675">
        <f t="shared" si="10527"/>
        <v>0</v>
      </c>
      <c r="DJ386" s="549">
        <f t="shared" si="10527"/>
        <v>0</v>
      </c>
      <c r="DK386" s="675">
        <f t="shared" si="10527"/>
        <v>0</v>
      </c>
      <c r="DL386" s="549">
        <f t="shared" si="10527"/>
        <v>0</v>
      </c>
      <c r="DM386" s="675">
        <f t="shared" si="10527"/>
        <v>0</v>
      </c>
      <c r="DN386" s="549">
        <f t="shared" si="10527"/>
        <v>0</v>
      </c>
      <c r="DO386" s="675">
        <f t="shared" si="10527"/>
        <v>0</v>
      </c>
      <c r="DP386" s="549">
        <f t="shared" si="10527"/>
        <v>0</v>
      </c>
      <c r="DQ386" s="675">
        <f t="shared" si="10527"/>
        <v>0</v>
      </c>
      <c r="DR386" s="549">
        <f t="shared" si="10527"/>
        <v>0</v>
      </c>
      <c r="DS386" s="675">
        <f t="shared" si="10527"/>
        <v>0</v>
      </c>
      <c r="DT386" s="549">
        <f t="shared" si="10527"/>
        <v>0</v>
      </c>
      <c r="DU386" s="675">
        <f t="shared" si="10527"/>
        <v>0</v>
      </c>
      <c r="DV386" s="549">
        <f t="shared" si="10527"/>
        <v>0</v>
      </c>
      <c r="DW386" s="675">
        <f t="shared" si="10527"/>
        <v>0</v>
      </c>
      <c r="DX386" s="549">
        <f t="shared" si="10527"/>
        <v>0</v>
      </c>
      <c r="DY386" s="675">
        <f t="shared" si="10527"/>
        <v>0</v>
      </c>
      <c r="DZ386" s="549">
        <f t="shared" ref="DZ386:FA386" si="10528">SUM(DZ387:DZ393)</f>
        <v>0</v>
      </c>
      <c r="EA386" s="675">
        <f t="shared" si="10528"/>
        <v>0</v>
      </c>
      <c r="EB386" s="549">
        <f t="shared" si="10528"/>
        <v>0</v>
      </c>
      <c r="EC386" s="675">
        <f t="shared" si="10528"/>
        <v>0</v>
      </c>
      <c r="ED386" s="549">
        <f t="shared" si="10528"/>
        <v>0</v>
      </c>
      <c r="EE386" s="675">
        <f t="shared" si="10528"/>
        <v>0</v>
      </c>
      <c r="EF386" s="549">
        <f t="shared" si="10528"/>
        <v>0</v>
      </c>
      <c r="EG386" s="675">
        <f t="shared" si="10528"/>
        <v>0</v>
      </c>
      <c r="EH386" s="549">
        <f t="shared" ref="EH386:EM386" si="10529">SUM(EH387:EH393)</f>
        <v>0</v>
      </c>
      <c r="EI386" s="675">
        <f t="shared" si="10529"/>
        <v>0</v>
      </c>
      <c r="EJ386" s="549">
        <f t="shared" si="10529"/>
        <v>0</v>
      </c>
      <c r="EK386" s="675">
        <f t="shared" si="10529"/>
        <v>0</v>
      </c>
      <c r="EL386" s="549">
        <f t="shared" si="10529"/>
        <v>0</v>
      </c>
      <c r="EM386" s="675">
        <f t="shared" si="10529"/>
        <v>0</v>
      </c>
      <c r="EN386" s="549">
        <f t="shared" si="10528"/>
        <v>0</v>
      </c>
      <c r="EO386" s="675">
        <f t="shared" si="10528"/>
        <v>0</v>
      </c>
      <c r="EP386" s="549">
        <f t="shared" si="10528"/>
        <v>0</v>
      </c>
      <c r="EQ386" s="675">
        <f t="shared" si="10528"/>
        <v>0</v>
      </c>
      <c r="ER386" s="549">
        <f t="shared" si="10528"/>
        <v>0</v>
      </c>
      <c r="ES386" s="675">
        <f t="shared" si="10528"/>
        <v>0</v>
      </c>
      <c r="ET386" s="549">
        <f t="shared" si="10528"/>
        <v>0</v>
      </c>
      <c r="EU386" s="675">
        <f t="shared" si="10528"/>
        <v>0</v>
      </c>
      <c r="EV386" s="549">
        <f t="shared" ref="EV386:EW386" si="10530">SUM(EV387:EV393)</f>
        <v>0</v>
      </c>
      <c r="EW386" s="675">
        <f t="shared" si="10530"/>
        <v>0</v>
      </c>
      <c r="EX386" s="549">
        <f t="shared" si="10528"/>
        <v>0</v>
      </c>
      <c r="EY386" s="675">
        <f t="shared" si="10528"/>
        <v>0</v>
      </c>
      <c r="EZ386" s="549">
        <f t="shared" si="10528"/>
        <v>0</v>
      </c>
      <c r="FA386" s="675">
        <f t="shared" si="10528"/>
        <v>0</v>
      </c>
      <c r="FB386" s="549">
        <f t="shared" si="10527"/>
        <v>0</v>
      </c>
      <c r="FC386" s="675">
        <f t="shared" si="10527"/>
        <v>0</v>
      </c>
      <c r="FD386" s="549">
        <f t="shared" si="10527"/>
        <v>0</v>
      </c>
      <c r="FE386" s="675">
        <f t="shared" si="10527"/>
        <v>0</v>
      </c>
      <c r="FF386" s="549">
        <f t="shared" ref="FF386:FG386" si="10531">SUM(FF387:FF393)</f>
        <v>0</v>
      </c>
      <c r="FG386" s="675">
        <f t="shared" si="10531"/>
        <v>0</v>
      </c>
      <c r="FH386" s="549">
        <f t="shared" ref="FH386:FI386" si="10532">SUM(FH387:FH393)</f>
        <v>0</v>
      </c>
      <c r="FI386" s="675">
        <f t="shared" si="10532"/>
        <v>0</v>
      </c>
      <c r="FJ386" s="549">
        <f t="shared" ref="FJ386:FK386" si="10533">SUM(FJ387:FJ393)</f>
        <v>0</v>
      </c>
      <c r="FK386" s="675">
        <f t="shared" si="10533"/>
        <v>0</v>
      </c>
      <c r="FL386" s="549">
        <f t="shared" ref="FL386:FM386" si="10534">SUM(FL387:FL393)</f>
        <v>0</v>
      </c>
      <c r="FM386" s="675">
        <f t="shared" si="10534"/>
        <v>0</v>
      </c>
      <c r="FN386" s="549">
        <f t="shared" ref="FN386:FO386" si="10535">SUM(FN387:FN393)</f>
        <v>0</v>
      </c>
      <c r="FO386" s="675">
        <f t="shared" si="10535"/>
        <v>0</v>
      </c>
      <c r="FP386" s="549">
        <f t="shared" ref="FP386:FQ386" si="10536">SUM(FP387:FP393)</f>
        <v>0</v>
      </c>
      <c r="FQ386" s="675">
        <f t="shared" si="10536"/>
        <v>0</v>
      </c>
      <c r="FR386" s="549">
        <f t="shared" ref="FR386:FS386" si="10537">SUM(FR387:FR393)</f>
        <v>1715</v>
      </c>
      <c r="FS386" s="675">
        <f t="shared" si="10537"/>
        <v>-1715</v>
      </c>
      <c r="FT386" s="549">
        <f t="shared" ref="FT386:FU386" si="10538">SUM(FT387:FT393)</f>
        <v>0</v>
      </c>
      <c r="FU386" s="675">
        <f t="shared" si="10538"/>
        <v>0</v>
      </c>
      <c r="FV386" s="549">
        <f t="shared" ref="FV386:GK386" si="10539">SUM(FV387:FV393)</f>
        <v>0</v>
      </c>
      <c r="FW386" s="675">
        <f t="shared" si="10539"/>
        <v>0</v>
      </c>
      <c r="FX386" s="549">
        <f t="shared" si="10539"/>
        <v>0</v>
      </c>
      <c r="FY386" s="675">
        <f t="shared" si="10539"/>
        <v>0</v>
      </c>
      <c r="FZ386" s="549">
        <f t="shared" ref="FZ386:GI386" si="10540">SUM(FZ387:FZ393)</f>
        <v>0</v>
      </c>
      <c r="GA386" s="675">
        <f t="shared" si="10540"/>
        <v>0</v>
      </c>
      <c r="GB386" s="549">
        <f t="shared" si="10540"/>
        <v>0</v>
      </c>
      <c r="GC386" s="675">
        <f t="shared" si="10540"/>
        <v>0</v>
      </c>
      <c r="GD386" s="549">
        <f t="shared" si="10540"/>
        <v>0</v>
      </c>
      <c r="GE386" s="675">
        <f t="shared" si="10540"/>
        <v>0</v>
      </c>
      <c r="GF386" s="549">
        <f t="shared" si="10540"/>
        <v>0</v>
      </c>
      <c r="GG386" s="675">
        <f t="shared" si="10540"/>
        <v>0</v>
      </c>
      <c r="GH386" s="549">
        <f t="shared" si="10540"/>
        <v>0</v>
      </c>
      <c r="GI386" s="675">
        <f t="shared" si="10540"/>
        <v>0</v>
      </c>
      <c r="GJ386" s="549">
        <f t="shared" si="10539"/>
        <v>0</v>
      </c>
      <c r="GK386" s="675">
        <f t="shared" si="10539"/>
        <v>0</v>
      </c>
      <c r="GL386" s="549">
        <f t="shared" ref="GL386:GM386" si="10541">SUM(GL387:GL393)</f>
        <v>0</v>
      </c>
      <c r="GM386" s="675">
        <f t="shared" si="10541"/>
        <v>0</v>
      </c>
      <c r="GN386" s="549">
        <f t="shared" ref="GN386:GO386" si="10542">SUM(GN387:GN393)</f>
        <v>0</v>
      </c>
      <c r="GO386" s="675">
        <f t="shared" si="10542"/>
        <v>0</v>
      </c>
      <c r="GP386" s="549">
        <f>SUM(GP387:GP393)</f>
        <v>65715</v>
      </c>
      <c r="GQ386" s="675">
        <f t="shared" si="10527"/>
        <v>-1715</v>
      </c>
      <c r="GR386" s="74">
        <f t="shared" si="10527"/>
        <v>65000</v>
      </c>
      <c r="GS386" s="74">
        <f t="shared" si="10527"/>
        <v>65000</v>
      </c>
      <c r="GT386" s="549">
        <f t="shared" si="10527"/>
        <v>65000</v>
      </c>
      <c r="GU386" s="74">
        <f t="shared" ref="GU386:HF386" si="10543">SUM(GU387:GU393)</f>
        <v>500</v>
      </c>
      <c r="GV386" s="74">
        <f t="shared" si="10543"/>
        <v>0</v>
      </c>
      <c r="GW386" s="549">
        <f t="shared" si="10543"/>
        <v>500</v>
      </c>
      <c r="GX386" s="549">
        <f t="shared" si="10543"/>
        <v>0</v>
      </c>
      <c r="GY386" s="74">
        <f t="shared" si="10543"/>
        <v>0</v>
      </c>
      <c r="GZ386" s="74">
        <f t="shared" si="10543"/>
        <v>0</v>
      </c>
      <c r="HA386" s="74">
        <f t="shared" si="10543"/>
        <v>0</v>
      </c>
      <c r="HB386" s="74">
        <f t="shared" si="10543"/>
        <v>0</v>
      </c>
      <c r="HC386" s="74">
        <f t="shared" si="10543"/>
        <v>0</v>
      </c>
      <c r="HD386" s="74">
        <f t="shared" si="10543"/>
        <v>0</v>
      </c>
      <c r="HE386" s="74">
        <f t="shared" si="10543"/>
        <v>0</v>
      </c>
      <c r="HF386" s="74">
        <f t="shared" si="10543"/>
        <v>0</v>
      </c>
      <c r="HG386" s="74">
        <f>SUM(HG387:HG393)</f>
        <v>65000</v>
      </c>
      <c r="HH386" s="74">
        <f t="shared" ref="HH386:HI386" si="10544">SUM(HH387:HH393)</f>
        <v>500</v>
      </c>
      <c r="HI386" s="792">
        <f t="shared" si="10544"/>
        <v>0</v>
      </c>
      <c r="HJ386" s="74">
        <f t="shared" ref="HJ386:HK386" si="10545">SUM(HJ387:HJ393)</f>
        <v>0</v>
      </c>
      <c r="HK386" s="792">
        <f t="shared" si="10545"/>
        <v>0</v>
      </c>
      <c r="HL386" s="74">
        <f t="shared" ref="HL386:HM386" si="10546">SUM(HL387:HL393)</f>
        <v>0</v>
      </c>
      <c r="HM386" s="792">
        <f t="shared" si="10546"/>
        <v>0</v>
      </c>
      <c r="HN386" s="74">
        <f t="shared" ref="HN386:HO386" si="10547">SUM(HN387:HN393)</f>
        <v>32000</v>
      </c>
      <c r="HO386" s="792">
        <f t="shared" si="10547"/>
        <v>0</v>
      </c>
      <c r="HP386" s="74">
        <f t="shared" ref="HP386:HQ386" si="10548">SUM(HP387:HP393)</f>
        <v>0</v>
      </c>
      <c r="HQ386" s="792">
        <f t="shared" si="10548"/>
        <v>0</v>
      </c>
      <c r="HR386" s="74">
        <f t="shared" ref="HR386:HS386" si="10549">SUM(HR387:HR393)</f>
        <v>0</v>
      </c>
      <c r="HS386" s="792">
        <f t="shared" si="10549"/>
        <v>0</v>
      </c>
      <c r="HT386" s="74">
        <f t="shared" ref="HT386:HU386" si="10550">SUM(HT387:HT393)</f>
        <v>32000</v>
      </c>
      <c r="HU386" s="792">
        <f t="shared" si="10550"/>
        <v>0</v>
      </c>
      <c r="HV386" s="74">
        <f t="shared" ref="HV386:HW386" si="10551">SUM(HV387:HV393)</f>
        <v>0</v>
      </c>
      <c r="HW386" s="792">
        <f t="shared" si="10551"/>
        <v>0</v>
      </c>
      <c r="HX386" s="74">
        <f t="shared" ref="HX386:HY386" si="10552">SUM(HX387:HX393)</f>
        <v>0</v>
      </c>
      <c r="HY386" s="792">
        <f t="shared" si="10552"/>
        <v>0</v>
      </c>
      <c r="HZ386" s="74">
        <f t="shared" ref="HZ386:IA386" si="10553">SUM(HZ387:HZ393)</f>
        <v>500</v>
      </c>
      <c r="IA386" s="792">
        <f t="shared" si="10553"/>
        <v>0</v>
      </c>
      <c r="IB386" s="74">
        <f t="shared" ref="IB386:IC386" si="10554">SUM(IB387:IB393)</f>
        <v>0</v>
      </c>
      <c r="IC386" s="792">
        <f t="shared" si="10554"/>
        <v>0</v>
      </c>
      <c r="ID386" s="74">
        <f t="shared" ref="ID386:IN386" si="10555">SUM(ID387:ID393)</f>
        <v>0</v>
      </c>
      <c r="IE386" s="792">
        <f t="shared" si="10555"/>
        <v>0</v>
      </c>
      <c r="IF386" s="841">
        <f>SUM(IF387:IF393)</f>
        <v>63285</v>
      </c>
      <c r="IG386" s="263">
        <f>SUM(IG387:IG393)</f>
        <v>63285</v>
      </c>
      <c r="IH386" s="842">
        <f>SUM(IH387:IH393)</f>
        <v>63285</v>
      </c>
      <c r="II386" s="74">
        <f t="shared" ref="II386:IK386" si="10556">SUM(II387:II393)</f>
        <v>0</v>
      </c>
      <c r="IJ386" s="74">
        <f t="shared" si="10556"/>
        <v>0</v>
      </c>
      <c r="IK386" s="74">
        <f t="shared" si="10556"/>
        <v>0</v>
      </c>
      <c r="IL386" s="74">
        <f t="shared" si="10555"/>
        <v>0</v>
      </c>
      <c r="IM386" s="74">
        <f t="shared" si="10555"/>
        <v>0</v>
      </c>
      <c r="IN386" s="74">
        <f t="shared" si="10555"/>
        <v>0</v>
      </c>
      <c r="IO386" s="74">
        <f t="shared" ref="IO386:IQ386" si="10557">SUM(IO387:IO393)</f>
        <v>0</v>
      </c>
      <c r="IP386" s="74">
        <f t="shared" si="10557"/>
        <v>0</v>
      </c>
      <c r="IQ386" s="74">
        <f t="shared" si="10557"/>
        <v>0</v>
      </c>
      <c r="IR386" s="74">
        <f t="shared" ref="IR386:IT386" si="10558">SUM(IR387:IR393)</f>
        <v>17244</v>
      </c>
      <c r="IS386" s="74">
        <f t="shared" si="10558"/>
        <v>17244</v>
      </c>
      <c r="IT386" s="74">
        <f t="shared" si="10558"/>
        <v>17244</v>
      </c>
      <c r="IU386" s="74">
        <f t="shared" ref="IU386:IW386" si="10559">SUM(IU387:IU393)</f>
        <v>14041</v>
      </c>
      <c r="IV386" s="74">
        <f t="shared" si="10559"/>
        <v>14041</v>
      </c>
      <c r="IW386" s="74">
        <f t="shared" si="10559"/>
        <v>14041</v>
      </c>
      <c r="IX386" s="74">
        <f t="shared" ref="IX386:IZ386" si="10560">SUM(IX387:IX393)</f>
        <v>0</v>
      </c>
      <c r="IY386" s="74">
        <f t="shared" si="10560"/>
        <v>0</v>
      </c>
      <c r="IZ386" s="74">
        <f t="shared" si="10560"/>
        <v>0</v>
      </c>
      <c r="JA386" s="74">
        <f t="shared" ref="JA386:JC386" si="10561">SUM(JA387:JA393)</f>
        <v>0</v>
      </c>
      <c r="JB386" s="74">
        <f t="shared" si="10561"/>
        <v>0</v>
      </c>
      <c r="JC386" s="74">
        <f t="shared" si="10561"/>
        <v>0</v>
      </c>
      <c r="JD386" s="74">
        <f t="shared" ref="JD386:JF386" si="10562">SUM(JD387:JD393)</f>
        <v>32000</v>
      </c>
      <c r="JE386" s="74">
        <f t="shared" si="10562"/>
        <v>32000</v>
      </c>
      <c r="JF386" s="74">
        <f t="shared" si="10562"/>
        <v>32000</v>
      </c>
      <c r="JG386" s="74">
        <f t="shared" ref="JG386:JI386" si="10563">SUM(JG387:JG393)</f>
        <v>0</v>
      </c>
      <c r="JH386" s="74">
        <f t="shared" si="10563"/>
        <v>0</v>
      </c>
      <c r="JI386" s="74">
        <f t="shared" si="10563"/>
        <v>0</v>
      </c>
      <c r="JJ386" s="74">
        <f t="shared" ref="JJ386:JL386" si="10564">SUM(JJ387:JJ393)</f>
        <v>0</v>
      </c>
      <c r="JK386" s="74">
        <f t="shared" si="10564"/>
        <v>0</v>
      </c>
      <c r="JL386" s="74">
        <f t="shared" si="10564"/>
        <v>0</v>
      </c>
      <c r="JM386" s="74">
        <f t="shared" ref="JM386:JO386" si="10565">SUM(JM387:JM393)</f>
        <v>0</v>
      </c>
      <c r="JN386" s="74">
        <f t="shared" si="10565"/>
        <v>0</v>
      </c>
      <c r="JO386" s="74">
        <f t="shared" si="10565"/>
        <v>0</v>
      </c>
      <c r="JP386" s="74">
        <f t="shared" ref="JP386:JR386" si="10566">SUM(JP387:JP393)</f>
        <v>0</v>
      </c>
      <c r="JQ386" s="74">
        <f t="shared" si="10566"/>
        <v>0</v>
      </c>
      <c r="JR386" s="74">
        <f t="shared" si="10566"/>
        <v>0</v>
      </c>
      <c r="JS386" s="74">
        <f>SUM(JS387:JS393)</f>
        <v>1715</v>
      </c>
      <c r="JT386" s="382">
        <f>SUM(JT387:JT393)</f>
        <v>1715</v>
      </c>
      <c r="JU386" s="665"/>
      <c r="JV386" s="524"/>
      <c r="JW386" s="525"/>
      <c r="JX386" s="549">
        <f>SUM(JX387:JX393)</f>
        <v>65000</v>
      </c>
      <c r="JY386" s="549">
        <f>SUM(JY387:JY393)</f>
        <v>0</v>
      </c>
      <c r="JZ386" s="581">
        <f t="shared" si="10300"/>
        <v>65715</v>
      </c>
      <c r="KA386" s="581">
        <f t="shared" si="10301"/>
        <v>-1715</v>
      </c>
      <c r="KB386" s="549">
        <f t="shared" si="10257"/>
        <v>65000</v>
      </c>
      <c r="KC386" s="709">
        <f t="shared" si="10273"/>
        <v>0</v>
      </c>
      <c r="KD386" s="36"/>
      <c r="KE386" s="36"/>
      <c r="KF386" s="36"/>
      <c r="KG386" s="36"/>
      <c r="KH386" s="36"/>
      <c r="KI386" s="36"/>
      <c r="KJ386" s="36"/>
      <c r="KK386" s="36"/>
    </row>
    <row r="387" spans="1:297" s="10" customFormat="1" ht="12.75" hidden="1" customHeight="1">
      <c r="A387" s="86" t="s">
        <v>480</v>
      </c>
      <c r="B387" s="77" t="s">
        <v>90</v>
      </c>
      <c r="C387" s="74">
        <v>0</v>
      </c>
      <c r="D387" s="549">
        <v>0</v>
      </c>
      <c r="E387" s="675">
        <v>0</v>
      </c>
      <c r="F387" s="549">
        <v>0</v>
      </c>
      <c r="G387" s="675">
        <v>0</v>
      </c>
      <c r="H387" s="549">
        <v>0</v>
      </c>
      <c r="I387" s="675">
        <v>0</v>
      </c>
      <c r="J387" s="549">
        <v>0</v>
      </c>
      <c r="K387" s="675">
        <v>0</v>
      </c>
      <c r="L387" s="549">
        <v>0</v>
      </c>
      <c r="M387" s="675">
        <v>0</v>
      </c>
      <c r="N387" s="549">
        <v>0</v>
      </c>
      <c r="O387" s="675">
        <v>0</v>
      </c>
      <c r="P387" s="549">
        <v>0</v>
      </c>
      <c r="Q387" s="675">
        <v>0</v>
      </c>
      <c r="R387" s="549">
        <v>0</v>
      </c>
      <c r="S387" s="675">
        <v>0</v>
      </c>
      <c r="T387" s="549">
        <v>0</v>
      </c>
      <c r="U387" s="675">
        <v>0</v>
      </c>
      <c r="V387" s="549">
        <v>0</v>
      </c>
      <c r="W387" s="675">
        <v>0</v>
      </c>
      <c r="X387" s="549">
        <v>0</v>
      </c>
      <c r="Y387" s="675">
        <v>0</v>
      </c>
      <c r="Z387" s="549">
        <v>0</v>
      </c>
      <c r="AA387" s="675">
        <v>0</v>
      </c>
      <c r="AB387" s="549">
        <v>0</v>
      </c>
      <c r="AC387" s="675">
        <v>0</v>
      </c>
      <c r="AD387" s="549">
        <v>0</v>
      </c>
      <c r="AE387" s="675">
        <v>0</v>
      </c>
      <c r="AF387" s="549">
        <v>0</v>
      </c>
      <c r="AG387" s="675">
        <v>0</v>
      </c>
      <c r="AH387" s="549">
        <v>0</v>
      </c>
      <c r="AI387" s="675">
        <v>0</v>
      </c>
      <c r="AJ387" s="549">
        <v>0</v>
      </c>
      <c r="AK387" s="675">
        <v>0</v>
      </c>
      <c r="AL387" s="549">
        <v>0</v>
      </c>
      <c r="AM387" s="675">
        <v>0</v>
      </c>
      <c r="AN387" s="549">
        <v>0</v>
      </c>
      <c r="AO387" s="675">
        <v>0</v>
      </c>
      <c r="AP387" s="549">
        <v>0</v>
      </c>
      <c r="AQ387" s="675">
        <v>0</v>
      </c>
      <c r="AR387" s="549">
        <v>0</v>
      </c>
      <c r="AS387" s="675">
        <v>0</v>
      </c>
      <c r="AT387" s="549">
        <v>0</v>
      </c>
      <c r="AU387" s="675">
        <v>0</v>
      </c>
      <c r="AV387" s="549">
        <v>0</v>
      </c>
      <c r="AW387" s="675">
        <v>0</v>
      </c>
      <c r="AX387" s="549">
        <v>0</v>
      </c>
      <c r="AY387" s="675">
        <v>0</v>
      </c>
      <c r="AZ387" s="549">
        <v>0</v>
      </c>
      <c r="BA387" s="675">
        <v>0</v>
      </c>
      <c r="BB387" s="549">
        <v>0</v>
      </c>
      <c r="BC387" s="675">
        <v>0</v>
      </c>
      <c r="BD387" s="549">
        <v>0</v>
      </c>
      <c r="BE387" s="675">
        <v>0</v>
      </c>
      <c r="BF387" s="549">
        <v>0</v>
      </c>
      <c r="BG387" s="675">
        <v>0</v>
      </c>
      <c r="BH387" s="549">
        <v>0</v>
      </c>
      <c r="BI387" s="675">
        <v>0</v>
      </c>
      <c r="BJ387" s="549">
        <v>0</v>
      </c>
      <c r="BK387" s="675">
        <v>0</v>
      </c>
      <c r="BL387" s="549">
        <v>0</v>
      </c>
      <c r="BM387" s="675">
        <v>0</v>
      </c>
      <c r="BN387" s="549">
        <v>0</v>
      </c>
      <c r="BO387" s="675">
        <v>0</v>
      </c>
      <c r="BP387" s="549">
        <v>0</v>
      </c>
      <c r="BQ387" s="675">
        <v>0</v>
      </c>
      <c r="BR387" s="549">
        <v>0</v>
      </c>
      <c r="BS387" s="675">
        <v>0</v>
      </c>
      <c r="BT387" s="549">
        <v>0</v>
      </c>
      <c r="BU387" s="675">
        <v>0</v>
      </c>
      <c r="BV387" s="549">
        <v>0</v>
      </c>
      <c r="BW387" s="675">
        <v>0</v>
      </c>
      <c r="BX387" s="549">
        <v>0</v>
      </c>
      <c r="BY387" s="675">
        <v>0</v>
      </c>
      <c r="BZ387" s="549">
        <v>0</v>
      </c>
      <c r="CA387" s="675">
        <v>0</v>
      </c>
      <c r="CB387" s="549">
        <v>0</v>
      </c>
      <c r="CC387" s="675">
        <v>0</v>
      </c>
      <c r="CD387" s="549">
        <v>0</v>
      </c>
      <c r="CE387" s="675">
        <v>0</v>
      </c>
      <c r="CF387" s="549">
        <v>0</v>
      </c>
      <c r="CG387" s="675">
        <v>0</v>
      </c>
      <c r="CH387" s="549">
        <v>0</v>
      </c>
      <c r="CI387" s="675">
        <v>0</v>
      </c>
      <c r="CJ387" s="549">
        <v>0</v>
      </c>
      <c r="CK387" s="675">
        <v>0</v>
      </c>
      <c r="CL387" s="549">
        <v>0</v>
      </c>
      <c r="CM387" s="675">
        <v>0</v>
      </c>
      <c r="CN387" s="549">
        <v>0</v>
      </c>
      <c r="CO387" s="675">
        <v>0</v>
      </c>
      <c r="CP387" s="549">
        <v>0</v>
      </c>
      <c r="CQ387" s="675">
        <v>0</v>
      </c>
      <c r="CR387" s="549">
        <v>0</v>
      </c>
      <c r="CS387" s="675">
        <v>0</v>
      </c>
      <c r="CT387" s="549">
        <v>0</v>
      </c>
      <c r="CU387" s="675">
        <v>0</v>
      </c>
      <c r="CV387" s="549">
        <v>0</v>
      </c>
      <c r="CW387" s="675">
        <v>0</v>
      </c>
      <c r="CX387" s="549">
        <v>0</v>
      </c>
      <c r="CY387" s="675">
        <v>0</v>
      </c>
      <c r="CZ387" s="549">
        <v>0</v>
      </c>
      <c r="DA387" s="675">
        <v>0</v>
      </c>
      <c r="DB387" s="549">
        <v>0</v>
      </c>
      <c r="DC387" s="675">
        <v>0</v>
      </c>
      <c r="DD387" s="549">
        <v>0</v>
      </c>
      <c r="DE387" s="675">
        <v>0</v>
      </c>
      <c r="DF387" s="549">
        <v>0</v>
      </c>
      <c r="DG387" s="675">
        <v>0</v>
      </c>
      <c r="DH387" s="549">
        <v>0</v>
      </c>
      <c r="DI387" s="675">
        <v>0</v>
      </c>
      <c r="DJ387" s="549">
        <v>0</v>
      </c>
      <c r="DK387" s="675">
        <v>0</v>
      </c>
      <c r="DL387" s="549">
        <v>0</v>
      </c>
      <c r="DM387" s="675">
        <v>0</v>
      </c>
      <c r="DN387" s="549">
        <v>0</v>
      </c>
      <c r="DO387" s="675">
        <v>0</v>
      </c>
      <c r="DP387" s="549">
        <v>0</v>
      </c>
      <c r="DQ387" s="675">
        <v>0</v>
      </c>
      <c r="DR387" s="549">
        <v>0</v>
      </c>
      <c r="DS387" s="675">
        <v>0</v>
      </c>
      <c r="DT387" s="549">
        <v>0</v>
      </c>
      <c r="DU387" s="675">
        <v>0</v>
      </c>
      <c r="DV387" s="549">
        <v>0</v>
      </c>
      <c r="DW387" s="675">
        <v>0</v>
      </c>
      <c r="DX387" s="549">
        <v>0</v>
      </c>
      <c r="DY387" s="675">
        <v>0</v>
      </c>
      <c r="DZ387" s="549">
        <v>0</v>
      </c>
      <c r="EA387" s="675">
        <v>0</v>
      </c>
      <c r="EB387" s="549">
        <v>0</v>
      </c>
      <c r="EC387" s="675">
        <v>0</v>
      </c>
      <c r="ED387" s="549">
        <v>0</v>
      </c>
      <c r="EE387" s="675">
        <v>0</v>
      </c>
      <c r="EF387" s="549">
        <v>0</v>
      </c>
      <c r="EG387" s="675">
        <v>0</v>
      </c>
      <c r="EH387" s="549">
        <v>0</v>
      </c>
      <c r="EI387" s="675">
        <v>0</v>
      </c>
      <c r="EJ387" s="549">
        <v>0</v>
      </c>
      <c r="EK387" s="675">
        <v>0</v>
      </c>
      <c r="EL387" s="549">
        <v>0</v>
      </c>
      <c r="EM387" s="675">
        <v>0</v>
      </c>
      <c r="EN387" s="549">
        <v>0</v>
      </c>
      <c r="EO387" s="675">
        <v>0</v>
      </c>
      <c r="EP387" s="549">
        <v>0</v>
      </c>
      <c r="EQ387" s="675">
        <v>0</v>
      </c>
      <c r="ER387" s="549">
        <v>0</v>
      </c>
      <c r="ES387" s="675">
        <v>0</v>
      </c>
      <c r="ET387" s="549">
        <v>0</v>
      </c>
      <c r="EU387" s="675">
        <v>0</v>
      </c>
      <c r="EV387" s="549">
        <v>0</v>
      </c>
      <c r="EW387" s="675">
        <v>0</v>
      </c>
      <c r="EX387" s="549">
        <v>0</v>
      </c>
      <c r="EY387" s="675">
        <v>0</v>
      </c>
      <c r="EZ387" s="549">
        <v>0</v>
      </c>
      <c r="FA387" s="675">
        <v>0</v>
      </c>
      <c r="FB387" s="549">
        <v>0</v>
      </c>
      <c r="FC387" s="675">
        <v>0</v>
      </c>
      <c r="FD387" s="549">
        <v>0</v>
      </c>
      <c r="FE387" s="675">
        <v>0</v>
      </c>
      <c r="FF387" s="549">
        <v>0</v>
      </c>
      <c r="FG387" s="675">
        <v>0</v>
      </c>
      <c r="FH387" s="549">
        <v>0</v>
      </c>
      <c r="FI387" s="675">
        <v>0</v>
      </c>
      <c r="FJ387" s="549">
        <v>0</v>
      </c>
      <c r="FK387" s="675">
        <v>0</v>
      </c>
      <c r="FL387" s="549">
        <v>0</v>
      </c>
      <c r="FM387" s="675">
        <v>0</v>
      </c>
      <c r="FN387" s="549">
        <v>0</v>
      </c>
      <c r="FO387" s="675">
        <v>0</v>
      </c>
      <c r="FP387" s="549">
        <v>0</v>
      </c>
      <c r="FQ387" s="675">
        <v>0</v>
      </c>
      <c r="FR387" s="549">
        <v>0</v>
      </c>
      <c r="FS387" s="675">
        <v>0</v>
      </c>
      <c r="FT387" s="549">
        <v>0</v>
      </c>
      <c r="FU387" s="675">
        <v>0</v>
      </c>
      <c r="FV387" s="549">
        <v>0</v>
      </c>
      <c r="FW387" s="675">
        <v>0</v>
      </c>
      <c r="FX387" s="549">
        <v>0</v>
      </c>
      <c r="FY387" s="675">
        <v>0</v>
      </c>
      <c r="FZ387" s="549">
        <v>0</v>
      </c>
      <c r="GA387" s="675">
        <v>0</v>
      </c>
      <c r="GB387" s="549">
        <v>0</v>
      </c>
      <c r="GC387" s="675">
        <v>0</v>
      </c>
      <c r="GD387" s="549">
        <v>0</v>
      </c>
      <c r="GE387" s="675">
        <v>0</v>
      </c>
      <c r="GF387" s="549">
        <v>0</v>
      </c>
      <c r="GG387" s="675">
        <v>0</v>
      </c>
      <c r="GH387" s="549">
        <v>0</v>
      </c>
      <c r="GI387" s="675">
        <v>0</v>
      </c>
      <c r="GJ387" s="549">
        <v>0</v>
      </c>
      <c r="GK387" s="675">
        <v>0</v>
      </c>
      <c r="GL387" s="549">
        <v>0</v>
      </c>
      <c r="GM387" s="675">
        <v>0</v>
      </c>
      <c r="GN387" s="549">
        <v>0</v>
      </c>
      <c r="GO387" s="675">
        <v>0</v>
      </c>
      <c r="GP387" s="549">
        <f t="shared" ref="GP387:GP393" si="10567">+D387+F387+H387+J387+L387+N387+P387+R387+T387+V387+X387+Z387+AB387+AF387+AD387+AH387+AJ387+AL387+AN387+AP387+AR387+AT387+AV387+AX387+AZ387+BB387+BD387+BF387+BH387+BJ387+BL387+BN387+BP387+BR387+BT387+BV387+BX387+BZ387+CB387+CD387+CF387+CH387+CJ387+CL387+CN387+CP387+CR387+CT387+CV387+CX387+CZ387+DB387+DD387+DF387+DH387+DT387+EX387+DJ387+DL387+DN387+DP387+DR387+EJ387+EB387+DZ387+DX387+DV387+ED387+EF387+EH387+EL387+EN387+EP387+EV387+ET387+ER387+EZ387+FB387+FD387+GL387+FF387+FJ387+FL387+GJ387+FT387+FR387+FP387+FN387+FH387+GH387+GF387+GD387+GB387+FZ387+FX387+FV387+GN387</f>
        <v>0</v>
      </c>
      <c r="GQ387" s="675">
        <f t="shared" ref="GQ387:GQ393" si="10568">+E387+G387+I387+K387+M387+O387+Q387+S387+U387+W387+Y387+AA387+AC387+AE387+AG387+AI387+AK387+AM387+AO387+AQ387+AS387+AU387+AW387+AY387+BA387+BC387+BE387+BG387+BI387+BK387+BM387+BO387+BQ387+BS387+BU387+BW387+BY387+CA387+CC387+CE387+CG387+CI387+CK387+CM387+CO387+CQ387+CS387+CU387+CW387+CY387+DA387+DC387+DE387+DG387+DI387+DU387+EY387+DK387+DM387+DO387+DQ387+DS387+EK387+EC387+EA387+DY387+DW387+EI387+EG387+EE387+EM387+EO387+EQ387+EW387+EU387+ES387+FA387+FC387+FE387+GM387+FG387+FK387+FM387+FO387+FQ387+FS387+FU387+GK387+FI387+GI387+GG387+GE387+GC387+GA387+FY387+FW387+GO387</f>
        <v>0</v>
      </c>
      <c r="GR387" s="74">
        <f t="shared" ref="GR387:GR393" si="10569">C387+GP387+GQ387</f>
        <v>0</v>
      </c>
      <c r="GS387" s="74">
        <f t="shared" ref="GS387:GS393" si="10570">SUM(GU387:GV387)+GP387+GQ387+GW387+GX387+GY387+GZ387+HA387+HB387+HC387+HD387+HE387+HF387</f>
        <v>0</v>
      </c>
      <c r="GT387" s="568">
        <f t="shared" ref="GT387:GT393" si="10571">SUM(GU387:HF387)+GQ387+GP387</f>
        <v>0</v>
      </c>
      <c r="GU387" s="275"/>
      <c r="GV387" s="275"/>
      <c r="GW387" s="275"/>
      <c r="GX387" s="275"/>
      <c r="GY387" s="275"/>
      <c r="GZ387" s="275"/>
      <c r="HA387" s="275"/>
      <c r="HB387" s="275"/>
      <c r="HC387" s="275"/>
      <c r="HD387" s="275"/>
      <c r="HE387" s="275"/>
      <c r="HF387" s="275">
        <v>0</v>
      </c>
      <c r="HG387" s="74">
        <f t="shared" ref="HG387:HG393" si="10572">SUM(HH387:IE387)</f>
        <v>0</v>
      </c>
      <c r="HH387" s="89">
        <v>0</v>
      </c>
      <c r="HI387" s="817">
        <v>0</v>
      </c>
      <c r="HJ387" s="89">
        <v>0</v>
      </c>
      <c r="HK387" s="817">
        <v>0</v>
      </c>
      <c r="HL387" s="89">
        <v>0</v>
      </c>
      <c r="HM387" s="817">
        <v>0</v>
      </c>
      <c r="HN387" s="89">
        <v>0</v>
      </c>
      <c r="HO387" s="817">
        <v>0</v>
      </c>
      <c r="HP387" s="89">
        <v>0</v>
      </c>
      <c r="HQ387" s="817">
        <v>0</v>
      </c>
      <c r="HR387" s="89">
        <v>0</v>
      </c>
      <c r="HS387" s="817">
        <v>0</v>
      </c>
      <c r="HT387" s="89">
        <v>0</v>
      </c>
      <c r="HU387" s="817">
        <v>0</v>
      </c>
      <c r="HV387" s="89">
        <v>0</v>
      </c>
      <c r="HW387" s="817">
        <v>0</v>
      </c>
      <c r="HX387" s="89">
        <v>0</v>
      </c>
      <c r="HY387" s="817">
        <v>0</v>
      </c>
      <c r="HZ387" s="89">
        <v>0</v>
      </c>
      <c r="IA387" s="817">
        <v>0</v>
      </c>
      <c r="IB387" s="89">
        <v>0</v>
      </c>
      <c r="IC387" s="817">
        <v>0</v>
      </c>
      <c r="ID387" s="89">
        <v>0</v>
      </c>
      <c r="IE387" s="817">
        <v>0</v>
      </c>
      <c r="IF387" s="841">
        <f t="shared" ref="IF387:IF393" si="10573">SUM(II387,IL387,IO387,IR387,IU387,IX387,JA387,JD387,JG387,JJ387,JM387,JP387)</f>
        <v>0</v>
      </c>
      <c r="IG387" s="263">
        <f t="shared" ref="IG387:IG393" si="10574">SUM(IJ387,IM387,IP387,IS387,IV387,IY387,JB387,JE387,JH387,JK387,JN387,JQ387)</f>
        <v>0</v>
      </c>
      <c r="IH387" s="842">
        <f t="shared" ref="IH387:IH393" si="10575">SUM(IK387,IN387,IQ387,IT387,IW387,IZ387,JC387,JF387,JI387,JL387,JO387,JR387)</f>
        <v>0</v>
      </c>
      <c r="II387" s="89">
        <v>0</v>
      </c>
      <c r="IJ387" s="89">
        <f t="shared" ref="IJ387:IJ393" si="10576">II387</f>
        <v>0</v>
      </c>
      <c r="IK387" s="89">
        <f t="shared" ref="IK387:IK393" si="10577">IJ387</f>
        <v>0</v>
      </c>
      <c r="IL387" s="89">
        <v>0</v>
      </c>
      <c r="IM387" s="89">
        <f t="shared" ref="IM387:IM393" si="10578">IL387</f>
        <v>0</v>
      </c>
      <c r="IN387" s="89">
        <f t="shared" ref="IN387:IN393" si="10579">IM387</f>
        <v>0</v>
      </c>
      <c r="IO387" s="89">
        <v>0</v>
      </c>
      <c r="IP387" s="89">
        <f t="shared" ref="IP387:IP393" si="10580">IO387</f>
        <v>0</v>
      </c>
      <c r="IQ387" s="89">
        <f t="shared" ref="IQ387:IQ393" si="10581">IP387</f>
        <v>0</v>
      </c>
      <c r="IR387" s="89">
        <v>0</v>
      </c>
      <c r="IS387" s="89">
        <f t="shared" ref="IS387:IS393" si="10582">IR387</f>
        <v>0</v>
      </c>
      <c r="IT387" s="89">
        <f t="shared" ref="IT387:IT393" si="10583">IS387</f>
        <v>0</v>
      </c>
      <c r="IU387" s="89">
        <v>0</v>
      </c>
      <c r="IV387" s="89">
        <f t="shared" ref="IV387:IV393" si="10584">IU387</f>
        <v>0</v>
      </c>
      <c r="IW387" s="89">
        <f t="shared" ref="IW387:IW393" si="10585">IV387</f>
        <v>0</v>
      </c>
      <c r="IX387" s="89">
        <v>0</v>
      </c>
      <c r="IY387" s="89">
        <f t="shared" ref="IY387:IY393" si="10586">IX387</f>
        <v>0</v>
      </c>
      <c r="IZ387" s="89">
        <f t="shared" ref="IZ387:IZ393" si="10587">IY387</f>
        <v>0</v>
      </c>
      <c r="JA387" s="89">
        <v>0</v>
      </c>
      <c r="JB387" s="89">
        <f t="shared" ref="JB387:JB393" si="10588">JA387</f>
        <v>0</v>
      </c>
      <c r="JC387" s="89">
        <f t="shared" ref="JC387:JC393" si="10589">JB387</f>
        <v>0</v>
      </c>
      <c r="JD387" s="89">
        <v>0</v>
      </c>
      <c r="JE387" s="89">
        <f t="shared" ref="JE387:JE393" si="10590">JD387</f>
        <v>0</v>
      </c>
      <c r="JF387" s="89">
        <f t="shared" ref="JF387:JF393" si="10591">JE387</f>
        <v>0</v>
      </c>
      <c r="JG387" s="89">
        <v>0</v>
      </c>
      <c r="JH387" s="89">
        <f t="shared" ref="JH387:JH393" si="10592">JG387</f>
        <v>0</v>
      </c>
      <c r="JI387" s="89">
        <f t="shared" ref="JI387:JI393" si="10593">JH387</f>
        <v>0</v>
      </c>
      <c r="JJ387" s="89">
        <v>0</v>
      </c>
      <c r="JK387" s="89">
        <f t="shared" ref="JK387:JK393" si="10594">JJ387</f>
        <v>0</v>
      </c>
      <c r="JL387" s="89">
        <f t="shared" ref="JL387:JL393" si="10595">JK387</f>
        <v>0</v>
      </c>
      <c r="JM387" s="89">
        <v>0</v>
      </c>
      <c r="JN387" s="89">
        <f t="shared" ref="JN387:JN393" si="10596">JM387</f>
        <v>0</v>
      </c>
      <c r="JO387" s="89">
        <f t="shared" ref="JO387:JO393" si="10597">JN387</f>
        <v>0</v>
      </c>
      <c r="JP387" s="89">
        <v>0</v>
      </c>
      <c r="JQ387" s="89">
        <f t="shared" ref="JQ387:JR387" si="10598">JP387</f>
        <v>0</v>
      </c>
      <c r="JR387" s="89">
        <f t="shared" si="10598"/>
        <v>0</v>
      </c>
      <c r="JS387" s="74">
        <f t="shared" ref="JS387:JS393" si="10599">HG387-IF387</f>
        <v>0</v>
      </c>
      <c r="JT387" s="382">
        <f t="shared" ref="JT387:JT393" si="10600">GS387-IF387</f>
        <v>0</v>
      </c>
      <c r="JU387" s="665"/>
      <c r="JV387" s="524"/>
      <c r="JW387" s="525"/>
      <c r="JX387" s="549">
        <f t="shared" ref="JX387:JX393" si="10601">SUM(HH387,HJ387,HL387,HN387,HP387,HR387,HT387,HV387,HX387,HZ387,IB387,ID387)</f>
        <v>0</v>
      </c>
      <c r="JY387" s="549">
        <f t="shared" ref="JY387:JY393" si="10602">SUM(HI387,HK387,HM387,HO387,HQ387,HS387,HU387,HW387,HY387,IA387,IC387,IE387)</f>
        <v>0</v>
      </c>
      <c r="JZ387" s="581">
        <f t="shared" si="10300"/>
        <v>0</v>
      </c>
      <c r="KA387" s="581">
        <f t="shared" si="10301"/>
        <v>0</v>
      </c>
      <c r="KB387" s="549">
        <f t="shared" si="10257"/>
        <v>0</v>
      </c>
      <c r="KC387" s="709">
        <f t="shared" si="10273"/>
        <v>0</v>
      </c>
      <c r="KD387" s="36"/>
      <c r="KE387" s="36"/>
      <c r="KF387" s="36"/>
      <c r="KG387" s="36"/>
      <c r="KH387" s="36"/>
      <c r="KI387" s="36"/>
      <c r="KJ387" s="36"/>
      <c r="KK387" s="36"/>
    </row>
    <row r="388" spans="1:297" s="10" customFormat="1" hidden="1">
      <c r="A388" s="86" t="s">
        <v>481</v>
      </c>
      <c r="B388" s="77" t="s">
        <v>90</v>
      </c>
      <c r="C388" s="74">
        <v>0</v>
      </c>
      <c r="D388" s="549">
        <v>0</v>
      </c>
      <c r="E388" s="675">
        <v>0</v>
      </c>
      <c r="F388" s="549">
        <v>0</v>
      </c>
      <c r="G388" s="675">
        <v>0</v>
      </c>
      <c r="H388" s="549">
        <v>0</v>
      </c>
      <c r="I388" s="675">
        <v>0</v>
      </c>
      <c r="J388" s="549">
        <v>0</v>
      </c>
      <c r="K388" s="675">
        <v>0</v>
      </c>
      <c r="L388" s="549">
        <v>0</v>
      </c>
      <c r="M388" s="675">
        <v>0</v>
      </c>
      <c r="N388" s="549">
        <v>0</v>
      </c>
      <c r="O388" s="675">
        <v>0</v>
      </c>
      <c r="P388" s="549">
        <v>0</v>
      </c>
      <c r="Q388" s="675">
        <v>0</v>
      </c>
      <c r="R388" s="549">
        <v>0</v>
      </c>
      <c r="S388" s="675">
        <v>0</v>
      </c>
      <c r="T388" s="549">
        <v>0</v>
      </c>
      <c r="U388" s="675">
        <v>0</v>
      </c>
      <c r="V388" s="549">
        <v>0</v>
      </c>
      <c r="W388" s="675">
        <v>0</v>
      </c>
      <c r="X388" s="549">
        <v>0</v>
      </c>
      <c r="Y388" s="675">
        <v>0</v>
      </c>
      <c r="Z388" s="549">
        <v>0</v>
      </c>
      <c r="AA388" s="675">
        <v>0</v>
      </c>
      <c r="AB388" s="549">
        <v>0</v>
      </c>
      <c r="AC388" s="675">
        <v>0</v>
      </c>
      <c r="AD388" s="549">
        <v>0</v>
      </c>
      <c r="AE388" s="675">
        <v>0</v>
      </c>
      <c r="AF388" s="549">
        <v>0</v>
      </c>
      <c r="AG388" s="675">
        <v>0</v>
      </c>
      <c r="AH388" s="549">
        <v>0</v>
      </c>
      <c r="AI388" s="675">
        <v>0</v>
      </c>
      <c r="AJ388" s="549">
        <v>0</v>
      </c>
      <c r="AK388" s="675">
        <v>0</v>
      </c>
      <c r="AL388" s="549">
        <v>0</v>
      </c>
      <c r="AM388" s="675">
        <v>0</v>
      </c>
      <c r="AN388" s="549">
        <v>0</v>
      </c>
      <c r="AO388" s="675">
        <v>0</v>
      </c>
      <c r="AP388" s="549">
        <v>0</v>
      </c>
      <c r="AQ388" s="675">
        <v>0</v>
      </c>
      <c r="AR388" s="549">
        <v>0</v>
      </c>
      <c r="AS388" s="675">
        <v>0</v>
      </c>
      <c r="AT388" s="549">
        <v>0</v>
      </c>
      <c r="AU388" s="675">
        <v>0</v>
      </c>
      <c r="AV388" s="549">
        <v>0</v>
      </c>
      <c r="AW388" s="675">
        <v>0</v>
      </c>
      <c r="AX388" s="549">
        <v>0</v>
      </c>
      <c r="AY388" s="675">
        <v>0</v>
      </c>
      <c r="AZ388" s="549">
        <v>0</v>
      </c>
      <c r="BA388" s="675">
        <v>0</v>
      </c>
      <c r="BB388" s="549">
        <v>0</v>
      </c>
      <c r="BC388" s="675">
        <v>0</v>
      </c>
      <c r="BD388" s="549">
        <v>0</v>
      </c>
      <c r="BE388" s="675">
        <v>0</v>
      </c>
      <c r="BF388" s="549">
        <v>0</v>
      </c>
      <c r="BG388" s="675">
        <v>0</v>
      </c>
      <c r="BH388" s="549">
        <v>0</v>
      </c>
      <c r="BI388" s="675">
        <v>0</v>
      </c>
      <c r="BJ388" s="549">
        <v>0</v>
      </c>
      <c r="BK388" s="675">
        <v>0</v>
      </c>
      <c r="BL388" s="549">
        <v>0</v>
      </c>
      <c r="BM388" s="675">
        <v>0</v>
      </c>
      <c r="BN388" s="549">
        <v>0</v>
      </c>
      <c r="BO388" s="675">
        <v>0</v>
      </c>
      <c r="BP388" s="549">
        <v>0</v>
      </c>
      <c r="BQ388" s="675">
        <v>0</v>
      </c>
      <c r="BR388" s="549">
        <v>0</v>
      </c>
      <c r="BS388" s="675">
        <v>0</v>
      </c>
      <c r="BT388" s="549">
        <v>0</v>
      </c>
      <c r="BU388" s="675">
        <v>0</v>
      </c>
      <c r="BV388" s="549">
        <v>0</v>
      </c>
      <c r="BW388" s="675">
        <v>0</v>
      </c>
      <c r="BX388" s="549">
        <v>0</v>
      </c>
      <c r="BY388" s="675">
        <v>0</v>
      </c>
      <c r="BZ388" s="549">
        <v>0</v>
      </c>
      <c r="CA388" s="675">
        <v>0</v>
      </c>
      <c r="CB388" s="549">
        <v>0</v>
      </c>
      <c r="CC388" s="675">
        <v>0</v>
      </c>
      <c r="CD388" s="549">
        <v>0</v>
      </c>
      <c r="CE388" s="675">
        <v>0</v>
      </c>
      <c r="CF388" s="549">
        <v>0</v>
      </c>
      <c r="CG388" s="675">
        <v>0</v>
      </c>
      <c r="CH388" s="549">
        <v>0</v>
      </c>
      <c r="CI388" s="675">
        <v>0</v>
      </c>
      <c r="CJ388" s="549">
        <v>0</v>
      </c>
      <c r="CK388" s="675">
        <v>0</v>
      </c>
      <c r="CL388" s="549">
        <v>0</v>
      </c>
      <c r="CM388" s="675">
        <v>0</v>
      </c>
      <c r="CN388" s="549">
        <v>0</v>
      </c>
      <c r="CO388" s="675">
        <v>0</v>
      </c>
      <c r="CP388" s="549">
        <v>0</v>
      </c>
      <c r="CQ388" s="675">
        <v>0</v>
      </c>
      <c r="CR388" s="549">
        <v>0</v>
      </c>
      <c r="CS388" s="675">
        <v>0</v>
      </c>
      <c r="CT388" s="549">
        <v>0</v>
      </c>
      <c r="CU388" s="675">
        <v>0</v>
      </c>
      <c r="CV388" s="549">
        <v>0</v>
      </c>
      <c r="CW388" s="675">
        <v>0</v>
      </c>
      <c r="CX388" s="549">
        <v>0</v>
      </c>
      <c r="CY388" s="675">
        <v>0</v>
      </c>
      <c r="CZ388" s="549">
        <v>0</v>
      </c>
      <c r="DA388" s="675">
        <v>0</v>
      </c>
      <c r="DB388" s="549">
        <v>0</v>
      </c>
      <c r="DC388" s="675">
        <v>0</v>
      </c>
      <c r="DD388" s="549">
        <v>0</v>
      </c>
      <c r="DE388" s="675">
        <v>0</v>
      </c>
      <c r="DF388" s="549">
        <v>0</v>
      </c>
      <c r="DG388" s="675">
        <v>0</v>
      </c>
      <c r="DH388" s="549">
        <v>0</v>
      </c>
      <c r="DI388" s="675">
        <v>0</v>
      </c>
      <c r="DJ388" s="549">
        <v>0</v>
      </c>
      <c r="DK388" s="675">
        <v>0</v>
      </c>
      <c r="DL388" s="549">
        <v>0</v>
      </c>
      <c r="DM388" s="675">
        <v>0</v>
      </c>
      <c r="DN388" s="549">
        <v>0</v>
      </c>
      <c r="DO388" s="675">
        <v>0</v>
      </c>
      <c r="DP388" s="549">
        <v>0</v>
      </c>
      <c r="DQ388" s="675">
        <v>0</v>
      </c>
      <c r="DR388" s="549">
        <v>0</v>
      </c>
      <c r="DS388" s="675">
        <v>0</v>
      </c>
      <c r="DT388" s="549">
        <v>0</v>
      </c>
      <c r="DU388" s="675">
        <v>0</v>
      </c>
      <c r="DV388" s="549">
        <v>0</v>
      </c>
      <c r="DW388" s="675">
        <v>0</v>
      </c>
      <c r="DX388" s="549">
        <v>0</v>
      </c>
      <c r="DY388" s="675">
        <v>0</v>
      </c>
      <c r="DZ388" s="549">
        <v>0</v>
      </c>
      <c r="EA388" s="675">
        <v>0</v>
      </c>
      <c r="EB388" s="549">
        <v>0</v>
      </c>
      <c r="EC388" s="675">
        <v>0</v>
      </c>
      <c r="ED388" s="549">
        <v>0</v>
      </c>
      <c r="EE388" s="675">
        <v>0</v>
      </c>
      <c r="EF388" s="549">
        <v>0</v>
      </c>
      <c r="EG388" s="675">
        <v>0</v>
      </c>
      <c r="EH388" s="549">
        <v>0</v>
      </c>
      <c r="EI388" s="675">
        <v>0</v>
      </c>
      <c r="EJ388" s="549">
        <v>0</v>
      </c>
      <c r="EK388" s="675">
        <v>0</v>
      </c>
      <c r="EL388" s="549">
        <v>0</v>
      </c>
      <c r="EM388" s="675">
        <v>0</v>
      </c>
      <c r="EN388" s="549">
        <v>0</v>
      </c>
      <c r="EO388" s="675">
        <v>0</v>
      </c>
      <c r="EP388" s="549">
        <v>0</v>
      </c>
      <c r="EQ388" s="675">
        <v>0</v>
      </c>
      <c r="ER388" s="549">
        <v>0</v>
      </c>
      <c r="ES388" s="675">
        <v>0</v>
      </c>
      <c r="ET388" s="549">
        <v>0</v>
      </c>
      <c r="EU388" s="675">
        <v>0</v>
      </c>
      <c r="EV388" s="549">
        <v>0</v>
      </c>
      <c r="EW388" s="675">
        <v>0</v>
      </c>
      <c r="EX388" s="549">
        <v>0</v>
      </c>
      <c r="EY388" s="675">
        <v>0</v>
      </c>
      <c r="EZ388" s="549">
        <v>0</v>
      </c>
      <c r="FA388" s="675">
        <v>0</v>
      </c>
      <c r="FB388" s="549">
        <v>0</v>
      </c>
      <c r="FC388" s="675">
        <v>0</v>
      </c>
      <c r="FD388" s="549">
        <v>0</v>
      </c>
      <c r="FE388" s="675">
        <v>0</v>
      </c>
      <c r="FF388" s="549">
        <v>0</v>
      </c>
      <c r="FG388" s="675">
        <v>0</v>
      </c>
      <c r="FH388" s="549">
        <v>0</v>
      </c>
      <c r="FI388" s="675">
        <v>0</v>
      </c>
      <c r="FJ388" s="549">
        <v>0</v>
      </c>
      <c r="FK388" s="675">
        <v>0</v>
      </c>
      <c r="FL388" s="549">
        <v>0</v>
      </c>
      <c r="FM388" s="675">
        <v>0</v>
      </c>
      <c r="FN388" s="549">
        <v>0</v>
      </c>
      <c r="FO388" s="675">
        <v>0</v>
      </c>
      <c r="FP388" s="549">
        <v>0</v>
      </c>
      <c r="FQ388" s="675">
        <v>0</v>
      </c>
      <c r="FR388" s="549">
        <v>0</v>
      </c>
      <c r="FS388" s="675">
        <v>0</v>
      </c>
      <c r="FT388" s="549">
        <v>0</v>
      </c>
      <c r="FU388" s="675">
        <v>0</v>
      </c>
      <c r="FV388" s="549">
        <v>0</v>
      </c>
      <c r="FW388" s="675">
        <v>0</v>
      </c>
      <c r="FX388" s="549">
        <v>0</v>
      </c>
      <c r="FY388" s="675">
        <v>0</v>
      </c>
      <c r="FZ388" s="549">
        <v>0</v>
      </c>
      <c r="GA388" s="675">
        <v>0</v>
      </c>
      <c r="GB388" s="549">
        <v>0</v>
      </c>
      <c r="GC388" s="675">
        <v>0</v>
      </c>
      <c r="GD388" s="549">
        <v>0</v>
      </c>
      <c r="GE388" s="675">
        <v>0</v>
      </c>
      <c r="GF388" s="549">
        <v>0</v>
      </c>
      <c r="GG388" s="675">
        <v>0</v>
      </c>
      <c r="GH388" s="549">
        <v>0</v>
      </c>
      <c r="GI388" s="675">
        <v>0</v>
      </c>
      <c r="GJ388" s="549">
        <v>0</v>
      </c>
      <c r="GK388" s="675">
        <v>0</v>
      </c>
      <c r="GL388" s="549">
        <v>0</v>
      </c>
      <c r="GM388" s="675">
        <v>0</v>
      </c>
      <c r="GN388" s="549">
        <v>0</v>
      </c>
      <c r="GO388" s="675">
        <v>0</v>
      </c>
      <c r="GP388" s="549">
        <f t="shared" si="10567"/>
        <v>0</v>
      </c>
      <c r="GQ388" s="675">
        <f t="shared" si="10568"/>
        <v>0</v>
      </c>
      <c r="GR388" s="74">
        <f t="shared" si="10569"/>
        <v>0</v>
      </c>
      <c r="GS388" s="74">
        <f t="shared" si="10570"/>
        <v>0</v>
      </c>
      <c r="GT388" s="568">
        <f t="shared" si="10571"/>
        <v>0</v>
      </c>
      <c r="GU388" s="275"/>
      <c r="GV388" s="275"/>
      <c r="GW388" s="275"/>
      <c r="GX388" s="275"/>
      <c r="GY388" s="275"/>
      <c r="GZ388" s="275"/>
      <c r="HA388" s="275"/>
      <c r="HB388" s="275"/>
      <c r="HC388" s="275"/>
      <c r="HD388" s="275"/>
      <c r="HE388" s="275"/>
      <c r="HF388" s="275">
        <v>0</v>
      </c>
      <c r="HG388" s="74">
        <f t="shared" si="10572"/>
        <v>0</v>
      </c>
      <c r="HH388" s="89">
        <v>0</v>
      </c>
      <c r="HI388" s="817">
        <v>0</v>
      </c>
      <c r="HJ388" s="89">
        <v>0</v>
      </c>
      <c r="HK388" s="817">
        <v>0</v>
      </c>
      <c r="HL388" s="89">
        <v>0</v>
      </c>
      <c r="HM388" s="817">
        <v>0</v>
      </c>
      <c r="HN388" s="89">
        <v>0</v>
      </c>
      <c r="HO388" s="817">
        <v>0</v>
      </c>
      <c r="HP388" s="89">
        <v>0</v>
      </c>
      <c r="HQ388" s="817">
        <v>0</v>
      </c>
      <c r="HR388" s="89">
        <v>0</v>
      </c>
      <c r="HS388" s="817">
        <v>0</v>
      </c>
      <c r="HT388" s="89">
        <v>0</v>
      </c>
      <c r="HU388" s="817">
        <v>0</v>
      </c>
      <c r="HV388" s="89">
        <v>0</v>
      </c>
      <c r="HW388" s="817">
        <v>0</v>
      </c>
      <c r="HX388" s="89">
        <v>0</v>
      </c>
      <c r="HY388" s="817">
        <v>0</v>
      </c>
      <c r="HZ388" s="89">
        <v>0</v>
      </c>
      <c r="IA388" s="817">
        <v>0</v>
      </c>
      <c r="IB388" s="89">
        <v>0</v>
      </c>
      <c r="IC388" s="817">
        <v>0</v>
      </c>
      <c r="ID388" s="89">
        <v>0</v>
      </c>
      <c r="IE388" s="817">
        <v>0</v>
      </c>
      <c r="IF388" s="841">
        <f t="shared" si="10573"/>
        <v>0</v>
      </c>
      <c r="IG388" s="263">
        <f t="shared" si="10574"/>
        <v>0</v>
      </c>
      <c r="IH388" s="842">
        <f t="shared" si="10575"/>
        <v>0</v>
      </c>
      <c r="II388" s="89">
        <v>0</v>
      </c>
      <c r="IJ388" s="89">
        <f t="shared" si="10576"/>
        <v>0</v>
      </c>
      <c r="IK388" s="89">
        <f t="shared" si="10577"/>
        <v>0</v>
      </c>
      <c r="IL388" s="89">
        <v>0</v>
      </c>
      <c r="IM388" s="89">
        <f t="shared" si="10578"/>
        <v>0</v>
      </c>
      <c r="IN388" s="89">
        <f t="shared" si="10579"/>
        <v>0</v>
      </c>
      <c r="IO388" s="89">
        <v>0</v>
      </c>
      <c r="IP388" s="89">
        <f t="shared" si="10580"/>
        <v>0</v>
      </c>
      <c r="IQ388" s="89">
        <f t="shared" si="10581"/>
        <v>0</v>
      </c>
      <c r="IR388" s="89">
        <v>0</v>
      </c>
      <c r="IS388" s="89">
        <f t="shared" si="10582"/>
        <v>0</v>
      </c>
      <c r="IT388" s="89">
        <f t="shared" si="10583"/>
        <v>0</v>
      </c>
      <c r="IU388" s="89">
        <v>0</v>
      </c>
      <c r="IV388" s="89">
        <f t="shared" si="10584"/>
        <v>0</v>
      </c>
      <c r="IW388" s="89">
        <f t="shared" si="10585"/>
        <v>0</v>
      </c>
      <c r="IX388" s="89">
        <v>0</v>
      </c>
      <c r="IY388" s="89">
        <f t="shared" si="10586"/>
        <v>0</v>
      </c>
      <c r="IZ388" s="89">
        <f t="shared" si="10587"/>
        <v>0</v>
      </c>
      <c r="JA388" s="89">
        <v>0</v>
      </c>
      <c r="JB388" s="89">
        <f t="shared" si="10588"/>
        <v>0</v>
      </c>
      <c r="JC388" s="89">
        <f t="shared" si="10589"/>
        <v>0</v>
      </c>
      <c r="JD388" s="89">
        <v>0</v>
      </c>
      <c r="JE388" s="89">
        <f t="shared" si="10590"/>
        <v>0</v>
      </c>
      <c r="JF388" s="89">
        <f t="shared" si="10591"/>
        <v>0</v>
      </c>
      <c r="JG388" s="89">
        <v>0</v>
      </c>
      <c r="JH388" s="89">
        <f t="shared" si="10592"/>
        <v>0</v>
      </c>
      <c r="JI388" s="89">
        <f t="shared" si="10593"/>
        <v>0</v>
      </c>
      <c r="JJ388" s="89">
        <v>0</v>
      </c>
      <c r="JK388" s="89">
        <f t="shared" si="10594"/>
        <v>0</v>
      </c>
      <c r="JL388" s="89">
        <f t="shared" si="10595"/>
        <v>0</v>
      </c>
      <c r="JM388" s="89">
        <v>0</v>
      </c>
      <c r="JN388" s="89">
        <f t="shared" si="10596"/>
        <v>0</v>
      </c>
      <c r="JO388" s="89">
        <f t="shared" si="10597"/>
        <v>0</v>
      </c>
      <c r="JP388" s="89">
        <v>0</v>
      </c>
      <c r="JQ388" s="89">
        <f t="shared" ref="JQ388:JR388" si="10603">JP388</f>
        <v>0</v>
      </c>
      <c r="JR388" s="89">
        <f t="shared" si="10603"/>
        <v>0</v>
      </c>
      <c r="JS388" s="74">
        <f t="shared" si="10599"/>
        <v>0</v>
      </c>
      <c r="JT388" s="382">
        <f t="shared" si="10600"/>
        <v>0</v>
      </c>
      <c r="JU388" s="665"/>
      <c r="JV388" s="524"/>
      <c r="JW388" s="525"/>
      <c r="JX388" s="549">
        <f t="shared" si="10601"/>
        <v>0</v>
      </c>
      <c r="JY388" s="549">
        <f t="shared" si="10602"/>
        <v>0</v>
      </c>
      <c r="JZ388" s="581">
        <f t="shared" si="10300"/>
        <v>0</v>
      </c>
      <c r="KA388" s="581">
        <f t="shared" si="10301"/>
        <v>0</v>
      </c>
      <c r="KB388" s="549">
        <f t="shared" si="10257"/>
        <v>0</v>
      </c>
      <c r="KC388" s="709">
        <f t="shared" si="10273"/>
        <v>0</v>
      </c>
      <c r="KD388" s="36"/>
      <c r="KE388" s="36"/>
      <c r="KF388" s="36"/>
      <c r="KG388" s="36"/>
      <c r="KH388" s="36"/>
      <c r="KI388" s="36"/>
      <c r="KJ388" s="36"/>
      <c r="KK388" s="36"/>
    </row>
    <row r="389" spans="1:297" s="10" customFormat="1">
      <c r="A389" s="86" t="s">
        <v>482</v>
      </c>
      <c r="B389" s="77" t="s">
        <v>90</v>
      </c>
      <c r="C389" s="74">
        <v>1000</v>
      </c>
      <c r="D389" s="549">
        <v>0</v>
      </c>
      <c r="E389" s="675">
        <v>0</v>
      </c>
      <c r="F389" s="549">
        <v>0</v>
      </c>
      <c r="G389" s="675">
        <v>0</v>
      </c>
      <c r="H389" s="549">
        <v>0</v>
      </c>
      <c r="I389" s="675">
        <v>0</v>
      </c>
      <c r="J389" s="549">
        <v>0</v>
      </c>
      <c r="K389" s="675">
        <v>0</v>
      </c>
      <c r="L389" s="549">
        <v>0</v>
      </c>
      <c r="M389" s="675">
        <v>0</v>
      </c>
      <c r="N389" s="549">
        <v>0</v>
      </c>
      <c r="O389" s="675">
        <v>0</v>
      </c>
      <c r="P389" s="549">
        <v>0</v>
      </c>
      <c r="Q389" s="675">
        <v>0</v>
      </c>
      <c r="R389" s="549">
        <v>0</v>
      </c>
      <c r="S389" s="675">
        <v>0</v>
      </c>
      <c r="T389" s="549">
        <v>0</v>
      </c>
      <c r="U389" s="675">
        <v>0</v>
      </c>
      <c r="V389" s="549">
        <v>0</v>
      </c>
      <c r="W389" s="675">
        <v>0</v>
      </c>
      <c r="X389" s="549">
        <v>0</v>
      </c>
      <c r="Y389" s="675">
        <v>0</v>
      </c>
      <c r="Z389" s="549">
        <v>0</v>
      </c>
      <c r="AA389" s="675">
        <v>0</v>
      </c>
      <c r="AB389" s="549">
        <v>0</v>
      </c>
      <c r="AC389" s="675">
        <v>0</v>
      </c>
      <c r="AD389" s="549">
        <v>0</v>
      </c>
      <c r="AE389" s="675">
        <v>0</v>
      </c>
      <c r="AF389" s="549">
        <v>0</v>
      </c>
      <c r="AG389" s="675">
        <v>0</v>
      </c>
      <c r="AH389" s="549">
        <v>0</v>
      </c>
      <c r="AI389" s="675">
        <v>0</v>
      </c>
      <c r="AJ389" s="549">
        <v>0</v>
      </c>
      <c r="AK389" s="675">
        <v>0</v>
      </c>
      <c r="AL389" s="549">
        <v>0</v>
      </c>
      <c r="AM389" s="675">
        <v>0</v>
      </c>
      <c r="AN389" s="549">
        <v>0</v>
      </c>
      <c r="AO389" s="675">
        <v>0</v>
      </c>
      <c r="AP389" s="549">
        <v>0</v>
      </c>
      <c r="AQ389" s="675">
        <v>0</v>
      </c>
      <c r="AR389" s="549">
        <v>0</v>
      </c>
      <c r="AS389" s="675">
        <v>0</v>
      </c>
      <c r="AT389" s="549">
        <v>0</v>
      </c>
      <c r="AU389" s="675">
        <v>0</v>
      </c>
      <c r="AV389" s="549">
        <v>0</v>
      </c>
      <c r="AW389" s="675">
        <v>0</v>
      </c>
      <c r="AX389" s="549">
        <v>0</v>
      </c>
      <c r="AY389" s="675">
        <v>0</v>
      </c>
      <c r="AZ389" s="549">
        <v>0</v>
      </c>
      <c r="BA389" s="675">
        <v>0</v>
      </c>
      <c r="BB389" s="549">
        <v>0</v>
      </c>
      <c r="BC389" s="675">
        <v>0</v>
      </c>
      <c r="BD389" s="549">
        <v>0</v>
      </c>
      <c r="BE389" s="675">
        <v>0</v>
      </c>
      <c r="BF389" s="549">
        <v>0</v>
      </c>
      <c r="BG389" s="675">
        <v>0</v>
      </c>
      <c r="BH389" s="549">
        <v>0</v>
      </c>
      <c r="BI389" s="675">
        <v>0</v>
      </c>
      <c r="BJ389" s="549">
        <v>0</v>
      </c>
      <c r="BK389" s="675">
        <v>0</v>
      </c>
      <c r="BL389" s="549">
        <v>0</v>
      </c>
      <c r="BM389" s="675">
        <v>0</v>
      </c>
      <c r="BN389" s="549">
        <v>0</v>
      </c>
      <c r="BO389" s="675">
        <v>0</v>
      </c>
      <c r="BP389" s="549">
        <v>0</v>
      </c>
      <c r="BQ389" s="675">
        <v>0</v>
      </c>
      <c r="BR389" s="549">
        <v>0</v>
      </c>
      <c r="BS389" s="675">
        <v>0</v>
      </c>
      <c r="BT389" s="549">
        <v>0</v>
      </c>
      <c r="BU389" s="675">
        <v>0</v>
      </c>
      <c r="BV389" s="549">
        <v>0</v>
      </c>
      <c r="BW389" s="675">
        <v>0</v>
      </c>
      <c r="BX389" s="549">
        <v>0</v>
      </c>
      <c r="BY389" s="675">
        <v>0</v>
      </c>
      <c r="BZ389" s="549">
        <v>0</v>
      </c>
      <c r="CA389" s="675">
        <v>0</v>
      </c>
      <c r="CB389" s="549">
        <v>0</v>
      </c>
      <c r="CC389" s="675">
        <v>0</v>
      </c>
      <c r="CD389" s="549">
        <v>0</v>
      </c>
      <c r="CE389" s="675">
        <v>0</v>
      </c>
      <c r="CF389" s="549">
        <v>0</v>
      </c>
      <c r="CG389" s="675">
        <v>0</v>
      </c>
      <c r="CH389" s="549">
        <v>0</v>
      </c>
      <c r="CI389" s="675">
        <v>0</v>
      </c>
      <c r="CJ389" s="549">
        <v>0</v>
      </c>
      <c r="CK389" s="675">
        <v>0</v>
      </c>
      <c r="CL389" s="549">
        <v>0</v>
      </c>
      <c r="CM389" s="675">
        <v>0</v>
      </c>
      <c r="CN389" s="549">
        <v>0</v>
      </c>
      <c r="CO389" s="675">
        <v>0</v>
      </c>
      <c r="CP389" s="549">
        <v>0</v>
      </c>
      <c r="CQ389" s="675">
        <v>0</v>
      </c>
      <c r="CR389" s="549">
        <v>0</v>
      </c>
      <c r="CS389" s="675">
        <v>0</v>
      </c>
      <c r="CT389" s="549">
        <v>0</v>
      </c>
      <c r="CU389" s="675">
        <v>0</v>
      </c>
      <c r="CV389" s="549">
        <v>0</v>
      </c>
      <c r="CW389" s="675">
        <v>0</v>
      </c>
      <c r="CX389" s="549">
        <v>0</v>
      </c>
      <c r="CY389" s="675">
        <v>0</v>
      </c>
      <c r="CZ389" s="549">
        <v>0</v>
      </c>
      <c r="DA389" s="675">
        <v>0</v>
      </c>
      <c r="DB389" s="549">
        <v>0</v>
      </c>
      <c r="DC389" s="675">
        <v>0</v>
      </c>
      <c r="DD389" s="549">
        <v>0</v>
      </c>
      <c r="DE389" s="675">
        <v>0</v>
      </c>
      <c r="DF389" s="549">
        <v>0</v>
      </c>
      <c r="DG389" s="675">
        <v>0</v>
      </c>
      <c r="DH389" s="549">
        <v>0</v>
      </c>
      <c r="DI389" s="675">
        <v>0</v>
      </c>
      <c r="DJ389" s="549">
        <v>0</v>
      </c>
      <c r="DK389" s="675">
        <v>0</v>
      </c>
      <c r="DL389" s="549">
        <v>0</v>
      </c>
      <c r="DM389" s="675">
        <v>0</v>
      </c>
      <c r="DN389" s="549">
        <v>0</v>
      </c>
      <c r="DO389" s="675">
        <v>0</v>
      </c>
      <c r="DP389" s="549">
        <v>0</v>
      </c>
      <c r="DQ389" s="675">
        <v>0</v>
      </c>
      <c r="DR389" s="549">
        <v>0</v>
      </c>
      <c r="DS389" s="675">
        <v>0</v>
      </c>
      <c r="DT389" s="549">
        <v>0</v>
      </c>
      <c r="DU389" s="675">
        <v>0</v>
      </c>
      <c r="DV389" s="549">
        <v>0</v>
      </c>
      <c r="DW389" s="675">
        <v>0</v>
      </c>
      <c r="DX389" s="549">
        <v>0</v>
      </c>
      <c r="DY389" s="675">
        <v>0</v>
      </c>
      <c r="DZ389" s="549">
        <v>0</v>
      </c>
      <c r="EA389" s="675">
        <v>0</v>
      </c>
      <c r="EB389" s="549">
        <v>0</v>
      </c>
      <c r="EC389" s="675">
        <v>0</v>
      </c>
      <c r="ED389" s="549">
        <v>0</v>
      </c>
      <c r="EE389" s="675">
        <v>0</v>
      </c>
      <c r="EF389" s="549">
        <v>0</v>
      </c>
      <c r="EG389" s="675">
        <v>0</v>
      </c>
      <c r="EH389" s="549">
        <v>0</v>
      </c>
      <c r="EI389" s="675">
        <v>0</v>
      </c>
      <c r="EJ389" s="549">
        <v>0</v>
      </c>
      <c r="EK389" s="675">
        <v>0</v>
      </c>
      <c r="EL389" s="549">
        <v>0</v>
      </c>
      <c r="EM389" s="675">
        <v>0</v>
      </c>
      <c r="EN389" s="549">
        <v>0</v>
      </c>
      <c r="EO389" s="675">
        <v>0</v>
      </c>
      <c r="EP389" s="549">
        <v>0</v>
      </c>
      <c r="EQ389" s="675">
        <v>0</v>
      </c>
      <c r="ER389" s="549">
        <v>0</v>
      </c>
      <c r="ES389" s="675">
        <v>0</v>
      </c>
      <c r="ET389" s="549">
        <v>0</v>
      </c>
      <c r="EU389" s="675">
        <v>0</v>
      </c>
      <c r="EV389" s="549">
        <v>0</v>
      </c>
      <c r="EW389" s="675">
        <v>0</v>
      </c>
      <c r="EX389" s="549">
        <v>0</v>
      </c>
      <c r="EY389" s="675">
        <v>0</v>
      </c>
      <c r="EZ389" s="549">
        <v>0</v>
      </c>
      <c r="FA389" s="675">
        <v>0</v>
      </c>
      <c r="FB389" s="549">
        <v>0</v>
      </c>
      <c r="FC389" s="675">
        <v>0</v>
      </c>
      <c r="FD389" s="549">
        <v>0</v>
      </c>
      <c r="FE389" s="675">
        <v>0</v>
      </c>
      <c r="FF389" s="549">
        <v>0</v>
      </c>
      <c r="FG389" s="675">
        <v>0</v>
      </c>
      <c r="FH389" s="549">
        <v>0</v>
      </c>
      <c r="FI389" s="675">
        <v>0</v>
      </c>
      <c r="FJ389" s="549">
        <v>0</v>
      </c>
      <c r="FK389" s="675">
        <v>0</v>
      </c>
      <c r="FL389" s="549">
        <v>0</v>
      </c>
      <c r="FM389" s="675">
        <v>0</v>
      </c>
      <c r="FN389" s="549">
        <v>0</v>
      </c>
      <c r="FO389" s="675">
        <v>0</v>
      </c>
      <c r="FP389" s="549">
        <v>0</v>
      </c>
      <c r="FQ389" s="675">
        <v>0</v>
      </c>
      <c r="FR389" s="549">
        <v>0</v>
      </c>
      <c r="FS389" s="675">
        <v>-1000</v>
      </c>
      <c r="FT389" s="549">
        <v>0</v>
      </c>
      <c r="FU389" s="675">
        <v>0</v>
      </c>
      <c r="FV389" s="549">
        <v>0</v>
      </c>
      <c r="FW389" s="675">
        <v>0</v>
      </c>
      <c r="FX389" s="549">
        <v>0</v>
      </c>
      <c r="FY389" s="675">
        <v>0</v>
      </c>
      <c r="FZ389" s="549">
        <v>0</v>
      </c>
      <c r="GA389" s="675">
        <v>0</v>
      </c>
      <c r="GB389" s="549">
        <v>0</v>
      </c>
      <c r="GC389" s="675">
        <v>0</v>
      </c>
      <c r="GD389" s="549">
        <v>0</v>
      </c>
      <c r="GE389" s="675">
        <v>0</v>
      </c>
      <c r="GF389" s="549">
        <v>0</v>
      </c>
      <c r="GG389" s="675">
        <v>0</v>
      </c>
      <c r="GH389" s="549">
        <v>0</v>
      </c>
      <c r="GI389" s="675">
        <v>0</v>
      </c>
      <c r="GJ389" s="549">
        <v>0</v>
      </c>
      <c r="GK389" s="675">
        <v>0</v>
      </c>
      <c r="GL389" s="549">
        <v>0</v>
      </c>
      <c r="GM389" s="675">
        <v>0</v>
      </c>
      <c r="GN389" s="549">
        <v>0</v>
      </c>
      <c r="GO389" s="675">
        <v>0</v>
      </c>
      <c r="GP389" s="549">
        <f t="shared" si="10567"/>
        <v>0</v>
      </c>
      <c r="GQ389" s="675">
        <f t="shared" si="10568"/>
        <v>-1000</v>
      </c>
      <c r="GR389" s="74">
        <f t="shared" si="10569"/>
        <v>0</v>
      </c>
      <c r="GS389" s="74">
        <f t="shared" ref="GS389:GS392" si="10604">SUM(GU389:HD389)+GP389+GQ389</f>
        <v>0</v>
      </c>
      <c r="GT389" s="568">
        <f t="shared" si="10571"/>
        <v>0</v>
      </c>
      <c r="GU389" s="275">
        <v>500</v>
      </c>
      <c r="GV389" s="275"/>
      <c r="GW389" s="275">
        <v>500</v>
      </c>
      <c r="GX389" s="275"/>
      <c r="GY389" s="275"/>
      <c r="GZ389" s="275"/>
      <c r="HA389" s="275"/>
      <c r="HB389" s="275"/>
      <c r="HC389" s="275"/>
      <c r="HD389" s="275"/>
      <c r="HE389" s="275"/>
      <c r="HF389" s="275">
        <v>0</v>
      </c>
      <c r="HG389" s="74">
        <f t="shared" si="10572"/>
        <v>0</v>
      </c>
      <c r="HH389" s="89">
        <v>500</v>
      </c>
      <c r="HI389" s="817">
        <v>0</v>
      </c>
      <c r="HJ389" s="89">
        <v>0</v>
      </c>
      <c r="HK389" s="817">
        <v>0</v>
      </c>
      <c r="HL389" s="89">
        <v>0</v>
      </c>
      <c r="HM389" s="817">
        <v>0</v>
      </c>
      <c r="HN389" s="89">
        <v>0</v>
      </c>
      <c r="HO389" s="817">
        <v>0</v>
      </c>
      <c r="HP389" s="89">
        <v>0</v>
      </c>
      <c r="HQ389" s="817">
        <v>0</v>
      </c>
      <c r="HR389" s="89">
        <v>0</v>
      </c>
      <c r="HS389" s="817">
        <v>0</v>
      </c>
      <c r="HT389" s="89">
        <v>0</v>
      </c>
      <c r="HU389" s="817">
        <v>0</v>
      </c>
      <c r="HV389" s="89">
        <v>0</v>
      </c>
      <c r="HW389" s="817">
        <v>0</v>
      </c>
      <c r="HX389" s="89">
        <v>0</v>
      </c>
      <c r="HY389" s="817">
        <v>0</v>
      </c>
      <c r="HZ389" s="89">
        <v>-500</v>
      </c>
      <c r="IA389" s="817">
        <v>0</v>
      </c>
      <c r="IB389" s="89">
        <v>0</v>
      </c>
      <c r="IC389" s="817">
        <v>0</v>
      </c>
      <c r="ID389" s="89">
        <v>0</v>
      </c>
      <c r="IE389" s="817">
        <v>0</v>
      </c>
      <c r="IF389" s="841">
        <f t="shared" si="10573"/>
        <v>0</v>
      </c>
      <c r="IG389" s="263">
        <f t="shared" si="10574"/>
        <v>0</v>
      </c>
      <c r="IH389" s="842">
        <f t="shared" si="10575"/>
        <v>0</v>
      </c>
      <c r="II389" s="89">
        <v>0</v>
      </c>
      <c r="IJ389" s="89">
        <f t="shared" si="10576"/>
        <v>0</v>
      </c>
      <c r="IK389" s="89">
        <f t="shared" si="10577"/>
        <v>0</v>
      </c>
      <c r="IL389" s="89">
        <v>0</v>
      </c>
      <c r="IM389" s="89">
        <f t="shared" si="10578"/>
        <v>0</v>
      </c>
      <c r="IN389" s="89">
        <f t="shared" si="10579"/>
        <v>0</v>
      </c>
      <c r="IO389" s="89">
        <v>0</v>
      </c>
      <c r="IP389" s="89">
        <f t="shared" si="10580"/>
        <v>0</v>
      </c>
      <c r="IQ389" s="89">
        <f t="shared" si="10581"/>
        <v>0</v>
      </c>
      <c r="IR389" s="89">
        <v>0</v>
      </c>
      <c r="IS389" s="89">
        <f t="shared" si="10582"/>
        <v>0</v>
      </c>
      <c r="IT389" s="89">
        <f t="shared" si="10583"/>
        <v>0</v>
      </c>
      <c r="IU389" s="89">
        <v>0</v>
      </c>
      <c r="IV389" s="89">
        <f t="shared" si="10584"/>
        <v>0</v>
      </c>
      <c r="IW389" s="89">
        <f t="shared" si="10585"/>
        <v>0</v>
      </c>
      <c r="IX389" s="89">
        <v>0</v>
      </c>
      <c r="IY389" s="89">
        <f t="shared" si="10586"/>
        <v>0</v>
      </c>
      <c r="IZ389" s="89">
        <f t="shared" si="10587"/>
        <v>0</v>
      </c>
      <c r="JA389" s="89">
        <v>0</v>
      </c>
      <c r="JB389" s="89">
        <f t="shared" si="10588"/>
        <v>0</v>
      </c>
      <c r="JC389" s="89">
        <f t="shared" si="10589"/>
        <v>0</v>
      </c>
      <c r="JD389" s="89">
        <v>0</v>
      </c>
      <c r="JE389" s="89">
        <f t="shared" si="10590"/>
        <v>0</v>
      </c>
      <c r="JF389" s="89">
        <f t="shared" si="10591"/>
        <v>0</v>
      </c>
      <c r="JG389" s="89">
        <v>0</v>
      </c>
      <c r="JH389" s="89">
        <f t="shared" si="10592"/>
        <v>0</v>
      </c>
      <c r="JI389" s="89">
        <f t="shared" si="10593"/>
        <v>0</v>
      </c>
      <c r="JJ389" s="89">
        <v>0</v>
      </c>
      <c r="JK389" s="89">
        <f t="shared" si="10594"/>
        <v>0</v>
      </c>
      <c r="JL389" s="89">
        <f t="shared" si="10595"/>
        <v>0</v>
      </c>
      <c r="JM389" s="89">
        <v>0</v>
      </c>
      <c r="JN389" s="89">
        <f t="shared" si="10596"/>
        <v>0</v>
      </c>
      <c r="JO389" s="89">
        <f t="shared" si="10597"/>
        <v>0</v>
      </c>
      <c r="JP389" s="89">
        <v>0</v>
      </c>
      <c r="JQ389" s="89">
        <f t="shared" ref="JQ389:JR389" si="10605">JP389</f>
        <v>0</v>
      </c>
      <c r="JR389" s="89">
        <f t="shared" si="10605"/>
        <v>0</v>
      </c>
      <c r="JS389" s="74">
        <f t="shared" si="10599"/>
        <v>0</v>
      </c>
      <c r="JT389" s="382">
        <f t="shared" si="10600"/>
        <v>0</v>
      </c>
      <c r="JU389" s="665"/>
      <c r="JV389" s="524"/>
      <c r="JW389" s="525"/>
      <c r="JX389" s="549">
        <f t="shared" si="10601"/>
        <v>0</v>
      </c>
      <c r="JY389" s="549">
        <f t="shared" si="10602"/>
        <v>0</v>
      </c>
      <c r="JZ389" s="581">
        <f t="shared" si="10300"/>
        <v>0</v>
      </c>
      <c r="KA389" s="581">
        <f t="shared" si="10301"/>
        <v>-1000</v>
      </c>
      <c r="KB389" s="549">
        <f t="shared" si="10257"/>
        <v>0</v>
      </c>
      <c r="KC389" s="709">
        <f t="shared" si="10273"/>
        <v>0</v>
      </c>
      <c r="KD389" s="36"/>
      <c r="KE389" s="36"/>
      <c r="KF389" s="36"/>
      <c r="KG389" s="36"/>
      <c r="KH389" s="36"/>
      <c r="KI389" s="36"/>
      <c r="KJ389" s="36"/>
      <c r="KK389" s="36"/>
    </row>
    <row r="390" spans="1:297" s="10" customFormat="1" hidden="1">
      <c r="A390" s="86" t="s">
        <v>246</v>
      </c>
      <c r="B390" s="77" t="s">
        <v>90</v>
      </c>
      <c r="C390" s="74">
        <v>0</v>
      </c>
      <c r="D390" s="549">
        <v>0</v>
      </c>
      <c r="E390" s="675">
        <v>0</v>
      </c>
      <c r="F390" s="549">
        <v>0</v>
      </c>
      <c r="G390" s="675">
        <v>0</v>
      </c>
      <c r="H390" s="549">
        <v>0</v>
      </c>
      <c r="I390" s="675">
        <v>0</v>
      </c>
      <c r="J390" s="549">
        <v>0</v>
      </c>
      <c r="K390" s="675">
        <v>0</v>
      </c>
      <c r="L390" s="549">
        <v>0</v>
      </c>
      <c r="M390" s="675">
        <v>0</v>
      </c>
      <c r="N390" s="549">
        <v>0</v>
      </c>
      <c r="O390" s="675">
        <v>0</v>
      </c>
      <c r="P390" s="549">
        <v>0</v>
      </c>
      <c r="Q390" s="675">
        <v>0</v>
      </c>
      <c r="R390" s="549">
        <v>0</v>
      </c>
      <c r="S390" s="675">
        <v>0</v>
      </c>
      <c r="T390" s="549">
        <v>0</v>
      </c>
      <c r="U390" s="675">
        <v>0</v>
      </c>
      <c r="V390" s="549">
        <v>0</v>
      </c>
      <c r="W390" s="675">
        <v>0</v>
      </c>
      <c r="X390" s="549">
        <v>0</v>
      </c>
      <c r="Y390" s="675">
        <v>0</v>
      </c>
      <c r="Z390" s="549">
        <v>0</v>
      </c>
      <c r="AA390" s="675">
        <v>0</v>
      </c>
      <c r="AB390" s="549">
        <v>0</v>
      </c>
      <c r="AC390" s="675">
        <v>0</v>
      </c>
      <c r="AD390" s="549">
        <v>0</v>
      </c>
      <c r="AE390" s="675">
        <v>0</v>
      </c>
      <c r="AF390" s="549">
        <v>0</v>
      </c>
      <c r="AG390" s="675">
        <v>0</v>
      </c>
      <c r="AH390" s="549">
        <v>0</v>
      </c>
      <c r="AI390" s="675">
        <v>0</v>
      </c>
      <c r="AJ390" s="549">
        <v>0</v>
      </c>
      <c r="AK390" s="675">
        <v>0</v>
      </c>
      <c r="AL390" s="549">
        <v>0</v>
      </c>
      <c r="AM390" s="675">
        <v>0</v>
      </c>
      <c r="AN390" s="549">
        <v>0</v>
      </c>
      <c r="AO390" s="675">
        <v>0</v>
      </c>
      <c r="AP390" s="549">
        <v>0</v>
      </c>
      <c r="AQ390" s="675">
        <v>0</v>
      </c>
      <c r="AR390" s="549">
        <v>0</v>
      </c>
      <c r="AS390" s="675">
        <v>0</v>
      </c>
      <c r="AT390" s="549">
        <v>0</v>
      </c>
      <c r="AU390" s="675">
        <v>0</v>
      </c>
      <c r="AV390" s="549">
        <v>0</v>
      </c>
      <c r="AW390" s="675">
        <v>0</v>
      </c>
      <c r="AX390" s="549">
        <v>0</v>
      </c>
      <c r="AY390" s="675">
        <v>0</v>
      </c>
      <c r="AZ390" s="549">
        <v>0</v>
      </c>
      <c r="BA390" s="675">
        <v>0</v>
      </c>
      <c r="BB390" s="549">
        <v>0</v>
      </c>
      <c r="BC390" s="675">
        <v>0</v>
      </c>
      <c r="BD390" s="549">
        <v>0</v>
      </c>
      <c r="BE390" s="675">
        <v>0</v>
      </c>
      <c r="BF390" s="549">
        <v>0</v>
      </c>
      <c r="BG390" s="675">
        <v>0</v>
      </c>
      <c r="BH390" s="549">
        <v>0</v>
      </c>
      <c r="BI390" s="675">
        <v>0</v>
      </c>
      <c r="BJ390" s="549">
        <v>0</v>
      </c>
      <c r="BK390" s="675">
        <v>0</v>
      </c>
      <c r="BL390" s="549">
        <v>0</v>
      </c>
      <c r="BM390" s="675">
        <v>0</v>
      </c>
      <c r="BN390" s="549">
        <v>0</v>
      </c>
      <c r="BO390" s="675">
        <v>0</v>
      </c>
      <c r="BP390" s="549">
        <v>0</v>
      </c>
      <c r="BQ390" s="675">
        <v>0</v>
      </c>
      <c r="BR390" s="549">
        <v>0</v>
      </c>
      <c r="BS390" s="675">
        <v>0</v>
      </c>
      <c r="BT390" s="549">
        <v>0</v>
      </c>
      <c r="BU390" s="675">
        <v>0</v>
      </c>
      <c r="BV390" s="549">
        <v>0</v>
      </c>
      <c r="BW390" s="675">
        <v>0</v>
      </c>
      <c r="BX390" s="549">
        <v>0</v>
      </c>
      <c r="BY390" s="675">
        <v>0</v>
      </c>
      <c r="BZ390" s="549">
        <v>0</v>
      </c>
      <c r="CA390" s="675">
        <v>0</v>
      </c>
      <c r="CB390" s="549">
        <v>0</v>
      </c>
      <c r="CC390" s="675">
        <v>0</v>
      </c>
      <c r="CD390" s="549">
        <v>0</v>
      </c>
      <c r="CE390" s="675">
        <v>0</v>
      </c>
      <c r="CF390" s="549">
        <v>0</v>
      </c>
      <c r="CG390" s="675">
        <v>0</v>
      </c>
      <c r="CH390" s="549">
        <v>0</v>
      </c>
      <c r="CI390" s="675">
        <v>0</v>
      </c>
      <c r="CJ390" s="549">
        <v>0</v>
      </c>
      <c r="CK390" s="675">
        <v>0</v>
      </c>
      <c r="CL390" s="549">
        <v>0</v>
      </c>
      <c r="CM390" s="675">
        <v>0</v>
      </c>
      <c r="CN390" s="549">
        <v>0</v>
      </c>
      <c r="CO390" s="675">
        <v>0</v>
      </c>
      <c r="CP390" s="549">
        <v>0</v>
      </c>
      <c r="CQ390" s="675">
        <v>0</v>
      </c>
      <c r="CR390" s="549">
        <v>0</v>
      </c>
      <c r="CS390" s="675">
        <v>0</v>
      </c>
      <c r="CT390" s="549">
        <v>0</v>
      </c>
      <c r="CU390" s="675">
        <v>0</v>
      </c>
      <c r="CV390" s="549">
        <v>0</v>
      </c>
      <c r="CW390" s="675">
        <v>0</v>
      </c>
      <c r="CX390" s="549">
        <v>0</v>
      </c>
      <c r="CY390" s="675">
        <v>0</v>
      </c>
      <c r="CZ390" s="549">
        <v>0</v>
      </c>
      <c r="DA390" s="675">
        <v>0</v>
      </c>
      <c r="DB390" s="549">
        <v>0</v>
      </c>
      <c r="DC390" s="675">
        <v>0</v>
      </c>
      <c r="DD390" s="549">
        <v>0</v>
      </c>
      <c r="DE390" s="675">
        <v>0</v>
      </c>
      <c r="DF390" s="549">
        <v>0</v>
      </c>
      <c r="DG390" s="675">
        <v>0</v>
      </c>
      <c r="DH390" s="549">
        <v>0</v>
      </c>
      <c r="DI390" s="675">
        <v>0</v>
      </c>
      <c r="DJ390" s="549">
        <v>0</v>
      </c>
      <c r="DK390" s="675">
        <v>0</v>
      </c>
      <c r="DL390" s="549">
        <v>0</v>
      </c>
      <c r="DM390" s="675">
        <v>0</v>
      </c>
      <c r="DN390" s="549">
        <v>0</v>
      </c>
      <c r="DO390" s="675">
        <v>0</v>
      </c>
      <c r="DP390" s="549">
        <v>0</v>
      </c>
      <c r="DQ390" s="675">
        <v>0</v>
      </c>
      <c r="DR390" s="549">
        <v>0</v>
      </c>
      <c r="DS390" s="675">
        <v>0</v>
      </c>
      <c r="DT390" s="549">
        <v>0</v>
      </c>
      <c r="DU390" s="675">
        <v>0</v>
      </c>
      <c r="DV390" s="549">
        <v>0</v>
      </c>
      <c r="DW390" s="675">
        <v>0</v>
      </c>
      <c r="DX390" s="549">
        <v>0</v>
      </c>
      <c r="DY390" s="675">
        <v>0</v>
      </c>
      <c r="DZ390" s="549">
        <v>0</v>
      </c>
      <c r="EA390" s="675">
        <v>0</v>
      </c>
      <c r="EB390" s="549">
        <v>0</v>
      </c>
      <c r="EC390" s="675">
        <v>0</v>
      </c>
      <c r="ED390" s="549">
        <v>0</v>
      </c>
      <c r="EE390" s="675">
        <v>0</v>
      </c>
      <c r="EF390" s="549">
        <v>0</v>
      </c>
      <c r="EG390" s="675">
        <v>0</v>
      </c>
      <c r="EH390" s="549">
        <v>0</v>
      </c>
      <c r="EI390" s="675">
        <v>0</v>
      </c>
      <c r="EJ390" s="549">
        <v>0</v>
      </c>
      <c r="EK390" s="675">
        <v>0</v>
      </c>
      <c r="EL390" s="549">
        <v>0</v>
      </c>
      <c r="EM390" s="675">
        <v>0</v>
      </c>
      <c r="EN390" s="549">
        <v>0</v>
      </c>
      <c r="EO390" s="675">
        <v>0</v>
      </c>
      <c r="EP390" s="549">
        <v>0</v>
      </c>
      <c r="EQ390" s="675">
        <v>0</v>
      </c>
      <c r="ER390" s="549">
        <v>0</v>
      </c>
      <c r="ES390" s="675">
        <v>0</v>
      </c>
      <c r="ET390" s="549">
        <v>0</v>
      </c>
      <c r="EU390" s="675">
        <v>0</v>
      </c>
      <c r="EV390" s="549">
        <v>0</v>
      </c>
      <c r="EW390" s="675">
        <v>0</v>
      </c>
      <c r="EX390" s="549">
        <v>0</v>
      </c>
      <c r="EY390" s="675">
        <v>0</v>
      </c>
      <c r="EZ390" s="549">
        <v>0</v>
      </c>
      <c r="FA390" s="675">
        <v>0</v>
      </c>
      <c r="FB390" s="549">
        <v>0</v>
      </c>
      <c r="FC390" s="675">
        <v>0</v>
      </c>
      <c r="FD390" s="549">
        <v>0</v>
      </c>
      <c r="FE390" s="675">
        <v>0</v>
      </c>
      <c r="FF390" s="549">
        <v>0</v>
      </c>
      <c r="FG390" s="675">
        <v>0</v>
      </c>
      <c r="FH390" s="549">
        <v>0</v>
      </c>
      <c r="FI390" s="675">
        <v>0</v>
      </c>
      <c r="FJ390" s="549">
        <v>0</v>
      </c>
      <c r="FK390" s="675">
        <v>0</v>
      </c>
      <c r="FL390" s="549">
        <v>0</v>
      </c>
      <c r="FM390" s="675">
        <v>0</v>
      </c>
      <c r="FN390" s="549">
        <v>0</v>
      </c>
      <c r="FO390" s="675">
        <v>0</v>
      </c>
      <c r="FP390" s="549">
        <v>0</v>
      </c>
      <c r="FQ390" s="675">
        <v>0</v>
      </c>
      <c r="FR390" s="549">
        <v>0</v>
      </c>
      <c r="FS390" s="675">
        <v>0</v>
      </c>
      <c r="FT390" s="549">
        <v>0</v>
      </c>
      <c r="FU390" s="675">
        <v>0</v>
      </c>
      <c r="FV390" s="549">
        <v>0</v>
      </c>
      <c r="FW390" s="675">
        <v>0</v>
      </c>
      <c r="FX390" s="549">
        <v>0</v>
      </c>
      <c r="FY390" s="675">
        <v>0</v>
      </c>
      <c r="FZ390" s="549">
        <v>0</v>
      </c>
      <c r="GA390" s="675">
        <v>0</v>
      </c>
      <c r="GB390" s="549">
        <v>0</v>
      </c>
      <c r="GC390" s="675">
        <v>0</v>
      </c>
      <c r="GD390" s="549">
        <v>0</v>
      </c>
      <c r="GE390" s="675">
        <v>0</v>
      </c>
      <c r="GF390" s="549">
        <v>0</v>
      </c>
      <c r="GG390" s="675">
        <v>0</v>
      </c>
      <c r="GH390" s="549">
        <v>0</v>
      </c>
      <c r="GI390" s="675">
        <v>0</v>
      </c>
      <c r="GJ390" s="549">
        <v>0</v>
      </c>
      <c r="GK390" s="675">
        <v>0</v>
      </c>
      <c r="GL390" s="549">
        <v>0</v>
      </c>
      <c r="GM390" s="675">
        <v>0</v>
      </c>
      <c r="GN390" s="549">
        <v>0</v>
      </c>
      <c r="GO390" s="675">
        <v>0</v>
      </c>
      <c r="GP390" s="549">
        <f t="shared" si="10567"/>
        <v>0</v>
      </c>
      <c r="GQ390" s="675">
        <f t="shared" si="10568"/>
        <v>0</v>
      </c>
      <c r="GR390" s="74">
        <f t="shared" si="10569"/>
        <v>0</v>
      </c>
      <c r="GS390" s="74">
        <f t="shared" si="10604"/>
        <v>0</v>
      </c>
      <c r="GT390" s="568">
        <f t="shared" si="10571"/>
        <v>0</v>
      </c>
      <c r="GU390" s="275"/>
      <c r="GV390" s="275"/>
      <c r="GW390" s="275"/>
      <c r="GX390" s="275"/>
      <c r="GY390" s="275"/>
      <c r="GZ390" s="275"/>
      <c r="HA390" s="275"/>
      <c r="HB390" s="275"/>
      <c r="HC390" s="275"/>
      <c r="HD390" s="275"/>
      <c r="HE390" s="275"/>
      <c r="HF390" s="275">
        <v>0</v>
      </c>
      <c r="HG390" s="74">
        <f t="shared" si="10572"/>
        <v>0</v>
      </c>
      <c r="HH390" s="89">
        <v>0</v>
      </c>
      <c r="HI390" s="817">
        <v>0</v>
      </c>
      <c r="HJ390" s="89">
        <v>0</v>
      </c>
      <c r="HK390" s="817">
        <v>0</v>
      </c>
      <c r="HL390" s="89">
        <v>0</v>
      </c>
      <c r="HM390" s="817">
        <v>0</v>
      </c>
      <c r="HN390" s="89">
        <v>0</v>
      </c>
      <c r="HO390" s="817">
        <v>0</v>
      </c>
      <c r="HP390" s="89">
        <v>0</v>
      </c>
      <c r="HQ390" s="817">
        <v>0</v>
      </c>
      <c r="HR390" s="89">
        <v>0</v>
      </c>
      <c r="HS390" s="817">
        <v>0</v>
      </c>
      <c r="HT390" s="89">
        <v>0</v>
      </c>
      <c r="HU390" s="817">
        <v>0</v>
      </c>
      <c r="HV390" s="89">
        <v>0</v>
      </c>
      <c r="HW390" s="817">
        <v>0</v>
      </c>
      <c r="HX390" s="89">
        <v>0</v>
      </c>
      <c r="HY390" s="817">
        <v>0</v>
      </c>
      <c r="HZ390" s="89">
        <v>0</v>
      </c>
      <c r="IA390" s="817">
        <v>0</v>
      </c>
      <c r="IB390" s="89">
        <v>0</v>
      </c>
      <c r="IC390" s="817">
        <v>0</v>
      </c>
      <c r="ID390" s="89">
        <v>0</v>
      </c>
      <c r="IE390" s="817">
        <v>0</v>
      </c>
      <c r="IF390" s="841">
        <f t="shared" si="10573"/>
        <v>0</v>
      </c>
      <c r="IG390" s="263">
        <f t="shared" si="10574"/>
        <v>0</v>
      </c>
      <c r="IH390" s="842">
        <f t="shared" si="10575"/>
        <v>0</v>
      </c>
      <c r="II390" s="89">
        <v>0</v>
      </c>
      <c r="IJ390" s="89">
        <f t="shared" si="10576"/>
        <v>0</v>
      </c>
      <c r="IK390" s="89">
        <f t="shared" si="10577"/>
        <v>0</v>
      </c>
      <c r="IL390" s="89">
        <v>0</v>
      </c>
      <c r="IM390" s="89">
        <f t="shared" si="10578"/>
        <v>0</v>
      </c>
      <c r="IN390" s="89">
        <f t="shared" si="10579"/>
        <v>0</v>
      </c>
      <c r="IO390" s="89">
        <v>0</v>
      </c>
      <c r="IP390" s="89">
        <f t="shared" si="10580"/>
        <v>0</v>
      </c>
      <c r="IQ390" s="89">
        <f t="shared" si="10581"/>
        <v>0</v>
      </c>
      <c r="IR390" s="89">
        <v>0</v>
      </c>
      <c r="IS390" s="89">
        <f t="shared" si="10582"/>
        <v>0</v>
      </c>
      <c r="IT390" s="89">
        <f t="shared" si="10583"/>
        <v>0</v>
      </c>
      <c r="IU390" s="89">
        <v>0</v>
      </c>
      <c r="IV390" s="89">
        <f t="shared" si="10584"/>
        <v>0</v>
      </c>
      <c r="IW390" s="89">
        <f t="shared" si="10585"/>
        <v>0</v>
      </c>
      <c r="IX390" s="89">
        <v>0</v>
      </c>
      <c r="IY390" s="89">
        <f t="shared" si="10586"/>
        <v>0</v>
      </c>
      <c r="IZ390" s="89">
        <f t="shared" si="10587"/>
        <v>0</v>
      </c>
      <c r="JA390" s="89">
        <v>0</v>
      </c>
      <c r="JB390" s="89">
        <f t="shared" si="10588"/>
        <v>0</v>
      </c>
      <c r="JC390" s="89">
        <f t="shared" si="10589"/>
        <v>0</v>
      </c>
      <c r="JD390" s="89">
        <v>0</v>
      </c>
      <c r="JE390" s="89">
        <f t="shared" si="10590"/>
        <v>0</v>
      </c>
      <c r="JF390" s="89">
        <f t="shared" si="10591"/>
        <v>0</v>
      </c>
      <c r="JG390" s="89">
        <v>0</v>
      </c>
      <c r="JH390" s="89">
        <f t="shared" si="10592"/>
        <v>0</v>
      </c>
      <c r="JI390" s="89">
        <f t="shared" si="10593"/>
        <v>0</v>
      </c>
      <c r="JJ390" s="89">
        <v>0</v>
      </c>
      <c r="JK390" s="89">
        <f t="shared" si="10594"/>
        <v>0</v>
      </c>
      <c r="JL390" s="89">
        <f t="shared" si="10595"/>
        <v>0</v>
      </c>
      <c r="JM390" s="89">
        <v>0</v>
      </c>
      <c r="JN390" s="89">
        <f t="shared" si="10596"/>
        <v>0</v>
      </c>
      <c r="JO390" s="89">
        <f t="shared" si="10597"/>
        <v>0</v>
      </c>
      <c r="JP390" s="89">
        <v>0</v>
      </c>
      <c r="JQ390" s="89">
        <f t="shared" ref="JQ390:JR390" si="10606">JP390</f>
        <v>0</v>
      </c>
      <c r="JR390" s="89">
        <f t="shared" si="10606"/>
        <v>0</v>
      </c>
      <c r="JS390" s="74">
        <f t="shared" si="10599"/>
        <v>0</v>
      </c>
      <c r="JT390" s="382">
        <f t="shared" si="10600"/>
        <v>0</v>
      </c>
      <c r="JU390" s="665"/>
      <c r="JV390" s="524"/>
      <c r="JW390" s="525"/>
      <c r="JX390" s="549">
        <f t="shared" si="10601"/>
        <v>0</v>
      </c>
      <c r="JY390" s="549">
        <f t="shared" si="10602"/>
        <v>0</v>
      </c>
      <c r="JZ390" s="581">
        <f t="shared" si="10300"/>
        <v>0</v>
      </c>
      <c r="KA390" s="581">
        <f t="shared" si="10301"/>
        <v>0</v>
      </c>
      <c r="KB390" s="549">
        <f t="shared" si="10257"/>
        <v>0</v>
      </c>
      <c r="KC390" s="709">
        <f t="shared" si="10273"/>
        <v>0</v>
      </c>
      <c r="KD390" s="36"/>
      <c r="KE390" s="36"/>
      <c r="KF390" s="36"/>
      <c r="KG390" s="36"/>
      <c r="KH390" s="36"/>
      <c r="KI390" s="36"/>
      <c r="KJ390" s="36"/>
      <c r="KK390" s="36"/>
    </row>
    <row r="391" spans="1:297" s="10" customFormat="1" hidden="1">
      <c r="A391" s="86" t="s">
        <v>247</v>
      </c>
      <c r="B391" s="77" t="s">
        <v>92</v>
      </c>
      <c r="C391" s="74">
        <v>0</v>
      </c>
      <c r="D391" s="549">
        <v>0</v>
      </c>
      <c r="E391" s="675">
        <v>0</v>
      </c>
      <c r="F391" s="549">
        <v>0</v>
      </c>
      <c r="G391" s="675">
        <v>0</v>
      </c>
      <c r="H391" s="549">
        <v>0</v>
      </c>
      <c r="I391" s="675">
        <v>0</v>
      </c>
      <c r="J391" s="549">
        <v>0</v>
      </c>
      <c r="K391" s="675">
        <v>0</v>
      </c>
      <c r="L391" s="549">
        <v>0</v>
      </c>
      <c r="M391" s="675">
        <v>0</v>
      </c>
      <c r="N391" s="549">
        <v>0</v>
      </c>
      <c r="O391" s="675">
        <v>0</v>
      </c>
      <c r="P391" s="549">
        <v>0</v>
      </c>
      <c r="Q391" s="675">
        <v>0</v>
      </c>
      <c r="R391" s="549">
        <v>0</v>
      </c>
      <c r="S391" s="675">
        <v>0</v>
      </c>
      <c r="T391" s="549">
        <v>0</v>
      </c>
      <c r="U391" s="675">
        <v>0</v>
      </c>
      <c r="V391" s="549">
        <v>0</v>
      </c>
      <c r="W391" s="675">
        <v>0</v>
      </c>
      <c r="X391" s="549">
        <v>0</v>
      </c>
      <c r="Y391" s="675">
        <v>0</v>
      </c>
      <c r="Z391" s="549">
        <v>0</v>
      </c>
      <c r="AA391" s="675">
        <v>0</v>
      </c>
      <c r="AB391" s="549">
        <v>0</v>
      </c>
      <c r="AC391" s="675">
        <v>0</v>
      </c>
      <c r="AD391" s="549">
        <v>0</v>
      </c>
      <c r="AE391" s="675">
        <v>0</v>
      </c>
      <c r="AF391" s="549">
        <v>0</v>
      </c>
      <c r="AG391" s="675">
        <v>0</v>
      </c>
      <c r="AH391" s="549">
        <v>0</v>
      </c>
      <c r="AI391" s="675">
        <v>0</v>
      </c>
      <c r="AJ391" s="549">
        <v>0</v>
      </c>
      <c r="AK391" s="675">
        <v>0</v>
      </c>
      <c r="AL391" s="549">
        <v>0</v>
      </c>
      <c r="AM391" s="675">
        <v>0</v>
      </c>
      <c r="AN391" s="549">
        <v>0</v>
      </c>
      <c r="AO391" s="675">
        <v>0</v>
      </c>
      <c r="AP391" s="549">
        <v>0</v>
      </c>
      <c r="AQ391" s="675">
        <v>0</v>
      </c>
      <c r="AR391" s="549">
        <v>0</v>
      </c>
      <c r="AS391" s="675">
        <v>0</v>
      </c>
      <c r="AT391" s="549">
        <v>0</v>
      </c>
      <c r="AU391" s="675">
        <v>0</v>
      </c>
      <c r="AV391" s="549">
        <v>0</v>
      </c>
      <c r="AW391" s="675">
        <v>0</v>
      </c>
      <c r="AX391" s="549">
        <v>0</v>
      </c>
      <c r="AY391" s="675">
        <v>0</v>
      </c>
      <c r="AZ391" s="549">
        <v>0</v>
      </c>
      <c r="BA391" s="675">
        <v>0</v>
      </c>
      <c r="BB391" s="549">
        <v>0</v>
      </c>
      <c r="BC391" s="675">
        <v>0</v>
      </c>
      <c r="BD391" s="549">
        <v>0</v>
      </c>
      <c r="BE391" s="675">
        <v>0</v>
      </c>
      <c r="BF391" s="549">
        <v>0</v>
      </c>
      <c r="BG391" s="675">
        <v>0</v>
      </c>
      <c r="BH391" s="549">
        <v>0</v>
      </c>
      <c r="BI391" s="675">
        <v>0</v>
      </c>
      <c r="BJ391" s="549">
        <v>0</v>
      </c>
      <c r="BK391" s="675">
        <v>0</v>
      </c>
      <c r="BL391" s="549">
        <v>0</v>
      </c>
      <c r="BM391" s="675">
        <v>0</v>
      </c>
      <c r="BN391" s="549">
        <v>0</v>
      </c>
      <c r="BO391" s="675">
        <v>0</v>
      </c>
      <c r="BP391" s="549">
        <v>0</v>
      </c>
      <c r="BQ391" s="675">
        <v>0</v>
      </c>
      <c r="BR391" s="549">
        <v>0</v>
      </c>
      <c r="BS391" s="675">
        <v>0</v>
      </c>
      <c r="BT391" s="549">
        <v>0</v>
      </c>
      <c r="BU391" s="675">
        <v>0</v>
      </c>
      <c r="BV391" s="549">
        <v>0</v>
      </c>
      <c r="BW391" s="675">
        <v>0</v>
      </c>
      <c r="BX391" s="549">
        <v>0</v>
      </c>
      <c r="BY391" s="675">
        <v>0</v>
      </c>
      <c r="BZ391" s="549">
        <v>0</v>
      </c>
      <c r="CA391" s="675">
        <v>0</v>
      </c>
      <c r="CB391" s="549">
        <v>0</v>
      </c>
      <c r="CC391" s="675">
        <v>0</v>
      </c>
      <c r="CD391" s="549">
        <v>0</v>
      </c>
      <c r="CE391" s="675">
        <v>0</v>
      </c>
      <c r="CF391" s="549">
        <v>0</v>
      </c>
      <c r="CG391" s="675">
        <v>0</v>
      </c>
      <c r="CH391" s="549">
        <v>0</v>
      </c>
      <c r="CI391" s="675">
        <v>0</v>
      </c>
      <c r="CJ391" s="549">
        <v>0</v>
      </c>
      <c r="CK391" s="675">
        <v>0</v>
      </c>
      <c r="CL391" s="549">
        <v>0</v>
      </c>
      <c r="CM391" s="675">
        <v>0</v>
      </c>
      <c r="CN391" s="549">
        <v>0</v>
      </c>
      <c r="CO391" s="675">
        <v>0</v>
      </c>
      <c r="CP391" s="549">
        <v>0</v>
      </c>
      <c r="CQ391" s="675">
        <v>0</v>
      </c>
      <c r="CR391" s="549">
        <v>0</v>
      </c>
      <c r="CS391" s="675">
        <v>0</v>
      </c>
      <c r="CT391" s="549">
        <v>0</v>
      </c>
      <c r="CU391" s="675">
        <v>0</v>
      </c>
      <c r="CV391" s="549">
        <v>0</v>
      </c>
      <c r="CW391" s="675">
        <v>0</v>
      </c>
      <c r="CX391" s="549">
        <v>0</v>
      </c>
      <c r="CY391" s="675">
        <v>0</v>
      </c>
      <c r="CZ391" s="549">
        <v>0</v>
      </c>
      <c r="DA391" s="675">
        <v>0</v>
      </c>
      <c r="DB391" s="549">
        <v>0</v>
      </c>
      <c r="DC391" s="675">
        <v>0</v>
      </c>
      <c r="DD391" s="549">
        <v>0</v>
      </c>
      <c r="DE391" s="675">
        <v>0</v>
      </c>
      <c r="DF391" s="549">
        <v>0</v>
      </c>
      <c r="DG391" s="675">
        <v>0</v>
      </c>
      <c r="DH391" s="549">
        <v>0</v>
      </c>
      <c r="DI391" s="675">
        <v>0</v>
      </c>
      <c r="DJ391" s="549">
        <v>0</v>
      </c>
      <c r="DK391" s="675">
        <v>0</v>
      </c>
      <c r="DL391" s="549">
        <v>0</v>
      </c>
      <c r="DM391" s="675">
        <v>0</v>
      </c>
      <c r="DN391" s="549">
        <v>0</v>
      </c>
      <c r="DO391" s="675">
        <v>0</v>
      </c>
      <c r="DP391" s="549">
        <v>0</v>
      </c>
      <c r="DQ391" s="675">
        <v>0</v>
      </c>
      <c r="DR391" s="549">
        <v>0</v>
      </c>
      <c r="DS391" s="675">
        <v>0</v>
      </c>
      <c r="DT391" s="549">
        <v>0</v>
      </c>
      <c r="DU391" s="675">
        <v>0</v>
      </c>
      <c r="DV391" s="549">
        <v>0</v>
      </c>
      <c r="DW391" s="675">
        <v>0</v>
      </c>
      <c r="DX391" s="549">
        <v>0</v>
      </c>
      <c r="DY391" s="675">
        <v>0</v>
      </c>
      <c r="DZ391" s="549">
        <v>0</v>
      </c>
      <c r="EA391" s="675">
        <v>0</v>
      </c>
      <c r="EB391" s="549">
        <v>0</v>
      </c>
      <c r="EC391" s="675">
        <v>0</v>
      </c>
      <c r="ED391" s="549">
        <v>0</v>
      </c>
      <c r="EE391" s="675">
        <v>0</v>
      </c>
      <c r="EF391" s="549">
        <v>0</v>
      </c>
      <c r="EG391" s="675">
        <v>0</v>
      </c>
      <c r="EH391" s="549">
        <v>0</v>
      </c>
      <c r="EI391" s="675">
        <v>0</v>
      </c>
      <c r="EJ391" s="549">
        <v>0</v>
      </c>
      <c r="EK391" s="675">
        <v>0</v>
      </c>
      <c r="EL391" s="549">
        <v>0</v>
      </c>
      <c r="EM391" s="675">
        <v>0</v>
      </c>
      <c r="EN391" s="549">
        <v>0</v>
      </c>
      <c r="EO391" s="675">
        <v>0</v>
      </c>
      <c r="EP391" s="549">
        <v>0</v>
      </c>
      <c r="EQ391" s="675">
        <v>0</v>
      </c>
      <c r="ER391" s="549">
        <v>0</v>
      </c>
      <c r="ES391" s="675">
        <v>0</v>
      </c>
      <c r="ET391" s="549">
        <v>0</v>
      </c>
      <c r="EU391" s="675">
        <v>0</v>
      </c>
      <c r="EV391" s="549">
        <v>0</v>
      </c>
      <c r="EW391" s="675">
        <v>0</v>
      </c>
      <c r="EX391" s="549">
        <v>0</v>
      </c>
      <c r="EY391" s="675">
        <v>0</v>
      </c>
      <c r="EZ391" s="549">
        <v>0</v>
      </c>
      <c r="FA391" s="675">
        <v>0</v>
      </c>
      <c r="FB391" s="549">
        <v>0</v>
      </c>
      <c r="FC391" s="675">
        <v>0</v>
      </c>
      <c r="FD391" s="549">
        <v>0</v>
      </c>
      <c r="FE391" s="675">
        <v>0</v>
      </c>
      <c r="FF391" s="549">
        <v>0</v>
      </c>
      <c r="FG391" s="675">
        <v>0</v>
      </c>
      <c r="FH391" s="549">
        <v>0</v>
      </c>
      <c r="FI391" s="675">
        <v>0</v>
      </c>
      <c r="FJ391" s="549">
        <v>0</v>
      </c>
      <c r="FK391" s="675">
        <v>0</v>
      </c>
      <c r="FL391" s="549">
        <v>0</v>
      </c>
      <c r="FM391" s="675">
        <v>0</v>
      </c>
      <c r="FN391" s="549">
        <v>0</v>
      </c>
      <c r="FO391" s="675">
        <v>0</v>
      </c>
      <c r="FP391" s="549">
        <v>0</v>
      </c>
      <c r="FQ391" s="675">
        <v>0</v>
      </c>
      <c r="FR391" s="549">
        <v>0</v>
      </c>
      <c r="FS391" s="675">
        <v>0</v>
      </c>
      <c r="FT391" s="549">
        <v>0</v>
      </c>
      <c r="FU391" s="675">
        <v>0</v>
      </c>
      <c r="FV391" s="549">
        <v>0</v>
      </c>
      <c r="FW391" s="675">
        <v>0</v>
      </c>
      <c r="FX391" s="549">
        <v>0</v>
      </c>
      <c r="FY391" s="675">
        <v>0</v>
      </c>
      <c r="FZ391" s="549">
        <v>0</v>
      </c>
      <c r="GA391" s="675">
        <v>0</v>
      </c>
      <c r="GB391" s="549">
        <v>0</v>
      </c>
      <c r="GC391" s="675">
        <v>0</v>
      </c>
      <c r="GD391" s="549">
        <v>0</v>
      </c>
      <c r="GE391" s="675">
        <v>0</v>
      </c>
      <c r="GF391" s="549">
        <v>0</v>
      </c>
      <c r="GG391" s="675">
        <v>0</v>
      </c>
      <c r="GH391" s="549">
        <v>0</v>
      </c>
      <c r="GI391" s="675">
        <v>0</v>
      </c>
      <c r="GJ391" s="549">
        <v>0</v>
      </c>
      <c r="GK391" s="675">
        <v>0</v>
      </c>
      <c r="GL391" s="549">
        <v>0</v>
      </c>
      <c r="GM391" s="675">
        <v>0</v>
      </c>
      <c r="GN391" s="549">
        <v>0</v>
      </c>
      <c r="GO391" s="675">
        <v>0</v>
      </c>
      <c r="GP391" s="549">
        <f t="shared" si="10567"/>
        <v>0</v>
      </c>
      <c r="GQ391" s="675">
        <f t="shared" si="10568"/>
        <v>0</v>
      </c>
      <c r="GR391" s="74">
        <f t="shared" si="10569"/>
        <v>0</v>
      </c>
      <c r="GS391" s="74">
        <f t="shared" si="10604"/>
        <v>0</v>
      </c>
      <c r="GT391" s="568">
        <f t="shared" si="10571"/>
        <v>0</v>
      </c>
      <c r="GU391" s="275"/>
      <c r="GV391" s="275"/>
      <c r="GW391" s="275"/>
      <c r="GX391" s="275"/>
      <c r="GY391" s="275"/>
      <c r="GZ391" s="275"/>
      <c r="HA391" s="275"/>
      <c r="HB391" s="275"/>
      <c r="HC391" s="275"/>
      <c r="HD391" s="275"/>
      <c r="HE391" s="275"/>
      <c r="HF391" s="275">
        <v>0</v>
      </c>
      <c r="HG391" s="74">
        <f t="shared" si="10572"/>
        <v>0</v>
      </c>
      <c r="HH391" s="89">
        <v>0</v>
      </c>
      <c r="HI391" s="817">
        <v>0</v>
      </c>
      <c r="HJ391" s="89">
        <v>0</v>
      </c>
      <c r="HK391" s="817">
        <v>0</v>
      </c>
      <c r="HL391" s="89">
        <v>0</v>
      </c>
      <c r="HM391" s="817">
        <v>0</v>
      </c>
      <c r="HN391" s="89">
        <v>0</v>
      </c>
      <c r="HO391" s="817">
        <v>0</v>
      </c>
      <c r="HP391" s="89">
        <v>0</v>
      </c>
      <c r="HQ391" s="817">
        <v>0</v>
      </c>
      <c r="HR391" s="89">
        <v>0</v>
      </c>
      <c r="HS391" s="817">
        <v>0</v>
      </c>
      <c r="HT391" s="89">
        <v>0</v>
      </c>
      <c r="HU391" s="817">
        <v>0</v>
      </c>
      <c r="HV391" s="89">
        <v>0</v>
      </c>
      <c r="HW391" s="817">
        <v>0</v>
      </c>
      <c r="HX391" s="89">
        <v>0</v>
      </c>
      <c r="HY391" s="817">
        <v>0</v>
      </c>
      <c r="HZ391" s="89">
        <v>0</v>
      </c>
      <c r="IA391" s="817">
        <v>0</v>
      </c>
      <c r="IB391" s="89">
        <v>0</v>
      </c>
      <c r="IC391" s="817">
        <v>0</v>
      </c>
      <c r="ID391" s="89">
        <v>0</v>
      </c>
      <c r="IE391" s="817">
        <v>0</v>
      </c>
      <c r="IF391" s="841">
        <f t="shared" si="10573"/>
        <v>0</v>
      </c>
      <c r="IG391" s="263">
        <f t="shared" si="10574"/>
        <v>0</v>
      </c>
      <c r="IH391" s="842">
        <f t="shared" si="10575"/>
        <v>0</v>
      </c>
      <c r="II391" s="89">
        <v>0</v>
      </c>
      <c r="IJ391" s="89">
        <f t="shared" si="10576"/>
        <v>0</v>
      </c>
      <c r="IK391" s="89">
        <f t="shared" si="10577"/>
        <v>0</v>
      </c>
      <c r="IL391" s="89">
        <v>0</v>
      </c>
      <c r="IM391" s="89">
        <f t="shared" si="10578"/>
        <v>0</v>
      </c>
      <c r="IN391" s="89">
        <f t="shared" si="10579"/>
        <v>0</v>
      </c>
      <c r="IO391" s="89">
        <v>0</v>
      </c>
      <c r="IP391" s="89">
        <f t="shared" si="10580"/>
        <v>0</v>
      </c>
      <c r="IQ391" s="89">
        <f t="shared" si="10581"/>
        <v>0</v>
      </c>
      <c r="IR391" s="89">
        <v>0</v>
      </c>
      <c r="IS391" s="89">
        <f t="shared" si="10582"/>
        <v>0</v>
      </c>
      <c r="IT391" s="89">
        <f t="shared" si="10583"/>
        <v>0</v>
      </c>
      <c r="IU391" s="89">
        <v>0</v>
      </c>
      <c r="IV391" s="89">
        <f t="shared" si="10584"/>
        <v>0</v>
      </c>
      <c r="IW391" s="89">
        <f t="shared" si="10585"/>
        <v>0</v>
      </c>
      <c r="IX391" s="89">
        <v>0</v>
      </c>
      <c r="IY391" s="89">
        <f t="shared" si="10586"/>
        <v>0</v>
      </c>
      <c r="IZ391" s="89">
        <f t="shared" si="10587"/>
        <v>0</v>
      </c>
      <c r="JA391" s="89">
        <v>0</v>
      </c>
      <c r="JB391" s="89">
        <f t="shared" si="10588"/>
        <v>0</v>
      </c>
      <c r="JC391" s="89">
        <f t="shared" si="10589"/>
        <v>0</v>
      </c>
      <c r="JD391" s="89">
        <v>0</v>
      </c>
      <c r="JE391" s="89">
        <f t="shared" si="10590"/>
        <v>0</v>
      </c>
      <c r="JF391" s="89">
        <f t="shared" si="10591"/>
        <v>0</v>
      </c>
      <c r="JG391" s="89">
        <v>0</v>
      </c>
      <c r="JH391" s="89">
        <f t="shared" si="10592"/>
        <v>0</v>
      </c>
      <c r="JI391" s="89">
        <f t="shared" si="10593"/>
        <v>0</v>
      </c>
      <c r="JJ391" s="89">
        <v>0</v>
      </c>
      <c r="JK391" s="89">
        <f t="shared" si="10594"/>
        <v>0</v>
      </c>
      <c r="JL391" s="89">
        <f t="shared" si="10595"/>
        <v>0</v>
      </c>
      <c r="JM391" s="89">
        <v>0</v>
      </c>
      <c r="JN391" s="89">
        <f t="shared" si="10596"/>
        <v>0</v>
      </c>
      <c r="JO391" s="89">
        <f t="shared" si="10597"/>
        <v>0</v>
      </c>
      <c r="JP391" s="89">
        <v>0</v>
      </c>
      <c r="JQ391" s="89">
        <f t="shared" ref="JQ391:JR391" si="10607">JP391</f>
        <v>0</v>
      </c>
      <c r="JR391" s="89">
        <f t="shared" si="10607"/>
        <v>0</v>
      </c>
      <c r="JS391" s="74">
        <f t="shared" si="10599"/>
        <v>0</v>
      </c>
      <c r="JT391" s="382">
        <f t="shared" si="10600"/>
        <v>0</v>
      </c>
      <c r="JU391" s="665"/>
      <c r="JV391" s="524"/>
      <c r="JW391" s="525"/>
      <c r="JX391" s="549">
        <f t="shared" si="10601"/>
        <v>0</v>
      </c>
      <c r="JY391" s="549">
        <f t="shared" si="10602"/>
        <v>0</v>
      </c>
      <c r="JZ391" s="581">
        <f t="shared" si="10300"/>
        <v>0</v>
      </c>
      <c r="KA391" s="581">
        <f t="shared" si="10301"/>
        <v>0</v>
      </c>
      <c r="KB391" s="549">
        <f t="shared" si="10257"/>
        <v>0</v>
      </c>
      <c r="KC391" s="709">
        <f t="shared" si="10273"/>
        <v>0</v>
      </c>
      <c r="KD391" s="36"/>
      <c r="KE391" s="36"/>
      <c r="KF391" s="36"/>
      <c r="KG391" s="36"/>
      <c r="KH391" s="36"/>
      <c r="KI391" s="36"/>
      <c r="KJ391" s="36"/>
      <c r="KK391" s="36"/>
    </row>
    <row r="392" spans="1:297" s="10" customFormat="1">
      <c r="A392" s="86" t="s">
        <v>725</v>
      </c>
      <c r="B392" s="77"/>
      <c r="C392" s="74">
        <v>0</v>
      </c>
      <c r="D392" s="549">
        <v>0</v>
      </c>
      <c r="E392" s="675">
        <v>0</v>
      </c>
      <c r="F392" s="549">
        <v>12000</v>
      </c>
      <c r="G392" s="675">
        <v>0</v>
      </c>
      <c r="H392" s="549">
        <v>0</v>
      </c>
      <c r="I392" s="675">
        <v>0</v>
      </c>
      <c r="J392" s="549">
        <v>0</v>
      </c>
      <c r="K392" s="675">
        <v>0</v>
      </c>
      <c r="L392" s="549">
        <v>0</v>
      </c>
      <c r="M392" s="675">
        <v>0</v>
      </c>
      <c r="N392" s="549">
        <v>0</v>
      </c>
      <c r="O392" s="675">
        <v>0</v>
      </c>
      <c r="P392" s="549">
        <v>0</v>
      </c>
      <c r="Q392" s="675">
        <v>0</v>
      </c>
      <c r="R392" s="549">
        <v>0</v>
      </c>
      <c r="S392" s="675">
        <v>0</v>
      </c>
      <c r="T392" s="549">
        <v>0</v>
      </c>
      <c r="U392" s="675">
        <v>0</v>
      </c>
      <c r="V392" s="549">
        <v>0</v>
      </c>
      <c r="W392" s="675">
        <v>0</v>
      </c>
      <c r="X392" s="549">
        <v>0</v>
      </c>
      <c r="Y392" s="675">
        <v>0</v>
      </c>
      <c r="Z392" s="549">
        <v>0</v>
      </c>
      <c r="AA392" s="675">
        <v>0</v>
      </c>
      <c r="AB392" s="549">
        <v>0</v>
      </c>
      <c r="AC392" s="675">
        <v>0</v>
      </c>
      <c r="AD392" s="549">
        <v>0</v>
      </c>
      <c r="AE392" s="675">
        <v>0</v>
      </c>
      <c r="AF392" s="549">
        <v>20000</v>
      </c>
      <c r="AG392" s="675">
        <v>0</v>
      </c>
      <c r="AH392" s="549">
        <v>0</v>
      </c>
      <c r="AI392" s="675">
        <v>0</v>
      </c>
      <c r="AJ392" s="549">
        <v>0</v>
      </c>
      <c r="AK392" s="675">
        <v>0</v>
      </c>
      <c r="AL392" s="549">
        <v>0</v>
      </c>
      <c r="AM392" s="675">
        <v>0</v>
      </c>
      <c r="AN392" s="549">
        <v>0</v>
      </c>
      <c r="AO392" s="675">
        <v>0</v>
      </c>
      <c r="AP392" s="549">
        <v>0</v>
      </c>
      <c r="AQ392" s="675">
        <v>0</v>
      </c>
      <c r="AR392" s="549">
        <v>0</v>
      </c>
      <c r="AS392" s="675">
        <v>0</v>
      </c>
      <c r="AT392" s="549">
        <v>0</v>
      </c>
      <c r="AU392" s="675">
        <v>0</v>
      </c>
      <c r="AV392" s="549">
        <v>0</v>
      </c>
      <c r="AW392" s="675">
        <v>0</v>
      </c>
      <c r="AX392" s="549">
        <v>0</v>
      </c>
      <c r="AY392" s="675">
        <v>0</v>
      </c>
      <c r="AZ392" s="549">
        <v>0</v>
      </c>
      <c r="BA392" s="675">
        <v>0</v>
      </c>
      <c r="BB392" s="549">
        <v>0</v>
      </c>
      <c r="BC392" s="675">
        <v>0</v>
      </c>
      <c r="BD392" s="549">
        <v>32000</v>
      </c>
      <c r="BE392" s="675">
        <v>0</v>
      </c>
      <c r="BF392" s="549">
        <v>0</v>
      </c>
      <c r="BG392" s="675">
        <v>0</v>
      </c>
      <c r="BH392" s="549">
        <v>0</v>
      </c>
      <c r="BI392" s="675">
        <v>0</v>
      </c>
      <c r="BJ392" s="549">
        <v>0</v>
      </c>
      <c r="BK392" s="675">
        <v>0</v>
      </c>
      <c r="BL392" s="549">
        <v>0</v>
      </c>
      <c r="BM392" s="675">
        <v>0</v>
      </c>
      <c r="BN392" s="549">
        <v>0</v>
      </c>
      <c r="BO392" s="675">
        <v>0</v>
      </c>
      <c r="BP392" s="549">
        <v>0</v>
      </c>
      <c r="BQ392" s="675">
        <v>0</v>
      </c>
      <c r="BR392" s="549">
        <v>0</v>
      </c>
      <c r="BS392" s="675">
        <v>0</v>
      </c>
      <c r="BT392" s="549">
        <v>0</v>
      </c>
      <c r="BU392" s="675">
        <v>0</v>
      </c>
      <c r="BV392" s="549">
        <v>0</v>
      </c>
      <c r="BW392" s="675">
        <v>0</v>
      </c>
      <c r="BX392" s="549">
        <v>0</v>
      </c>
      <c r="BY392" s="675">
        <v>0</v>
      </c>
      <c r="BZ392" s="549">
        <v>0</v>
      </c>
      <c r="CA392" s="675">
        <v>0</v>
      </c>
      <c r="CB392" s="549">
        <v>0</v>
      </c>
      <c r="CC392" s="675">
        <v>0</v>
      </c>
      <c r="CD392" s="549">
        <v>0</v>
      </c>
      <c r="CE392" s="675">
        <v>0</v>
      </c>
      <c r="CF392" s="549">
        <v>0</v>
      </c>
      <c r="CG392" s="675">
        <v>0</v>
      </c>
      <c r="CH392" s="549">
        <v>0</v>
      </c>
      <c r="CI392" s="675">
        <v>0</v>
      </c>
      <c r="CJ392" s="549">
        <v>0</v>
      </c>
      <c r="CK392" s="675">
        <v>0</v>
      </c>
      <c r="CL392" s="549">
        <v>0</v>
      </c>
      <c r="CM392" s="675">
        <v>0</v>
      </c>
      <c r="CN392" s="549">
        <v>0</v>
      </c>
      <c r="CO392" s="675">
        <v>0</v>
      </c>
      <c r="CP392" s="549">
        <v>0</v>
      </c>
      <c r="CQ392" s="675">
        <v>0</v>
      </c>
      <c r="CR392" s="549">
        <v>0</v>
      </c>
      <c r="CS392" s="675">
        <v>0</v>
      </c>
      <c r="CT392" s="549">
        <v>0</v>
      </c>
      <c r="CU392" s="675">
        <v>0</v>
      </c>
      <c r="CV392" s="549">
        <v>0</v>
      </c>
      <c r="CW392" s="675">
        <v>0</v>
      </c>
      <c r="CX392" s="549">
        <v>0</v>
      </c>
      <c r="CY392" s="675">
        <v>0</v>
      </c>
      <c r="CZ392" s="549">
        <v>0</v>
      </c>
      <c r="DA392" s="675">
        <v>0</v>
      </c>
      <c r="DB392" s="549">
        <v>0</v>
      </c>
      <c r="DC392" s="675">
        <v>0</v>
      </c>
      <c r="DD392" s="549">
        <v>0</v>
      </c>
      <c r="DE392" s="675">
        <v>0</v>
      </c>
      <c r="DF392" s="549">
        <v>0</v>
      </c>
      <c r="DG392" s="675">
        <v>0</v>
      </c>
      <c r="DH392" s="549">
        <v>0</v>
      </c>
      <c r="DI392" s="675">
        <v>0</v>
      </c>
      <c r="DJ392" s="549">
        <v>0</v>
      </c>
      <c r="DK392" s="675">
        <v>0</v>
      </c>
      <c r="DL392" s="549">
        <v>0</v>
      </c>
      <c r="DM392" s="675">
        <v>0</v>
      </c>
      <c r="DN392" s="549">
        <v>0</v>
      </c>
      <c r="DO392" s="675">
        <v>0</v>
      </c>
      <c r="DP392" s="549">
        <v>0</v>
      </c>
      <c r="DQ392" s="675">
        <v>0</v>
      </c>
      <c r="DR392" s="549">
        <v>0</v>
      </c>
      <c r="DS392" s="675">
        <v>0</v>
      </c>
      <c r="DT392" s="549">
        <v>0</v>
      </c>
      <c r="DU392" s="675">
        <v>0</v>
      </c>
      <c r="DV392" s="549">
        <v>0</v>
      </c>
      <c r="DW392" s="675">
        <v>0</v>
      </c>
      <c r="DX392" s="549">
        <v>0</v>
      </c>
      <c r="DY392" s="675">
        <v>0</v>
      </c>
      <c r="DZ392" s="549">
        <v>0</v>
      </c>
      <c r="EA392" s="675">
        <v>0</v>
      </c>
      <c r="EB392" s="549">
        <v>0</v>
      </c>
      <c r="EC392" s="675">
        <v>0</v>
      </c>
      <c r="ED392" s="549">
        <v>0</v>
      </c>
      <c r="EE392" s="675">
        <v>0</v>
      </c>
      <c r="EF392" s="549">
        <v>0</v>
      </c>
      <c r="EG392" s="675">
        <v>0</v>
      </c>
      <c r="EH392" s="549">
        <v>0</v>
      </c>
      <c r="EI392" s="675">
        <v>0</v>
      </c>
      <c r="EJ392" s="549">
        <v>0</v>
      </c>
      <c r="EK392" s="675">
        <v>0</v>
      </c>
      <c r="EL392" s="549">
        <v>0</v>
      </c>
      <c r="EM392" s="675">
        <v>0</v>
      </c>
      <c r="EN392" s="549">
        <v>0</v>
      </c>
      <c r="EO392" s="675">
        <v>0</v>
      </c>
      <c r="EP392" s="549">
        <v>0</v>
      </c>
      <c r="EQ392" s="675">
        <v>0</v>
      </c>
      <c r="ER392" s="549">
        <v>0</v>
      </c>
      <c r="ES392" s="675">
        <v>0</v>
      </c>
      <c r="ET392" s="549">
        <v>0</v>
      </c>
      <c r="EU392" s="675">
        <v>0</v>
      </c>
      <c r="EV392" s="549">
        <v>0</v>
      </c>
      <c r="EW392" s="675">
        <v>0</v>
      </c>
      <c r="EX392" s="549">
        <v>0</v>
      </c>
      <c r="EY392" s="675">
        <v>0</v>
      </c>
      <c r="EZ392" s="549">
        <v>0</v>
      </c>
      <c r="FA392" s="675">
        <v>0</v>
      </c>
      <c r="FB392" s="549">
        <v>0</v>
      </c>
      <c r="FC392" s="675">
        <v>0</v>
      </c>
      <c r="FD392" s="549">
        <v>0</v>
      </c>
      <c r="FE392" s="675">
        <v>0</v>
      </c>
      <c r="FF392" s="549">
        <v>0</v>
      </c>
      <c r="FG392" s="675">
        <v>0</v>
      </c>
      <c r="FH392" s="549">
        <v>0</v>
      </c>
      <c r="FI392" s="675">
        <v>0</v>
      </c>
      <c r="FJ392" s="549">
        <v>0</v>
      </c>
      <c r="FK392" s="675">
        <v>0</v>
      </c>
      <c r="FL392" s="549">
        <v>0</v>
      </c>
      <c r="FM392" s="675">
        <v>0</v>
      </c>
      <c r="FN392" s="549">
        <v>0</v>
      </c>
      <c r="FO392" s="675">
        <v>0</v>
      </c>
      <c r="FP392" s="549">
        <v>0</v>
      </c>
      <c r="FQ392" s="675">
        <v>0</v>
      </c>
      <c r="FR392" s="549">
        <v>0</v>
      </c>
      <c r="FS392" s="675">
        <v>-715</v>
      </c>
      <c r="FT392" s="549">
        <v>0</v>
      </c>
      <c r="FU392" s="675">
        <v>0</v>
      </c>
      <c r="FV392" s="549">
        <v>0</v>
      </c>
      <c r="FW392" s="675">
        <v>0</v>
      </c>
      <c r="FX392" s="549">
        <v>0</v>
      </c>
      <c r="FY392" s="675">
        <v>0</v>
      </c>
      <c r="FZ392" s="549">
        <v>0</v>
      </c>
      <c r="GA392" s="675">
        <v>0</v>
      </c>
      <c r="GB392" s="549">
        <v>0</v>
      </c>
      <c r="GC392" s="675">
        <v>0</v>
      </c>
      <c r="GD392" s="549">
        <v>0</v>
      </c>
      <c r="GE392" s="675">
        <v>0</v>
      </c>
      <c r="GF392" s="549">
        <v>0</v>
      </c>
      <c r="GG392" s="675">
        <v>0</v>
      </c>
      <c r="GH392" s="549">
        <v>0</v>
      </c>
      <c r="GI392" s="675">
        <v>0</v>
      </c>
      <c r="GJ392" s="549">
        <v>0</v>
      </c>
      <c r="GK392" s="675">
        <v>0</v>
      </c>
      <c r="GL392" s="549">
        <v>0</v>
      </c>
      <c r="GM392" s="675">
        <v>0</v>
      </c>
      <c r="GN392" s="549">
        <v>0</v>
      </c>
      <c r="GO392" s="675">
        <v>0</v>
      </c>
      <c r="GP392" s="549">
        <f t="shared" si="10567"/>
        <v>64000</v>
      </c>
      <c r="GQ392" s="675">
        <f t="shared" si="10568"/>
        <v>-715</v>
      </c>
      <c r="GR392" s="74">
        <f t="shared" si="10569"/>
        <v>63285</v>
      </c>
      <c r="GS392" s="74">
        <f t="shared" si="10604"/>
        <v>63285</v>
      </c>
      <c r="GT392" s="568">
        <f t="shared" si="10571"/>
        <v>63285</v>
      </c>
      <c r="GU392" s="275"/>
      <c r="GV392" s="275"/>
      <c r="GW392" s="275"/>
      <c r="GX392" s="275"/>
      <c r="GY392" s="275"/>
      <c r="GZ392" s="275"/>
      <c r="HA392" s="275"/>
      <c r="HB392" s="275"/>
      <c r="HC392" s="275"/>
      <c r="HD392" s="275"/>
      <c r="HE392" s="275"/>
      <c r="HF392" s="275">
        <v>0</v>
      </c>
      <c r="HG392" s="74">
        <f t="shared" si="10572"/>
        <v>63285</v>
      </c>
      <c r="HH392" s="89">
        <v>0</v>
      </c>
      <c r="HI392" s="817">
        <v>0</v>
      </c>
      <c r="HJ392" s="89">
        <v>0</v>
      </c>
      <c r="HK392" s="817">
        <v>0</v>
      </c>
      <c r="HL392" s="89">
        <v>0</v>
      </c>
      <c r="HM392" s="817">
        <v>0</v>
      </c>
      <c r="HN392" s="89">
        <v>32000</v>
      </c>
      <c r="HO392" s="817">
        <v>0</v>
      </c>
      <c r="HP392" s="89">
        <v>0</v>
      </c>
      <c r="HQ392" s="817">
        <v>0</v>
      </c>
      <c r="HR392" s="89">
        <v>0</v>
      </c>
      <c r="HS392" s="817">
        <v>0</v>
      </c>
      <c r="HT392" s="89">
        <v>32000</v>
      </c>
      <c r="HU392" s="817">
        <v>0</v>
      </c>
      <c r="HV392" s="89">
        <v>0</v>
      </c>
      <c r="HW392" s="817">
        <v>0</v>
      </c>
      <c r="HX392" s="89">
        <v>0</v>
      </c>
      <c r="HY392" s="817">
        <v>0</v>
      </c>
      <c r="HZ392" s="89">
        <v>-715</v>
      </c>
      <c r="IA392" s="817">
        <v>0</v>
      </c>
      <c r="IB392" s="89">
        <v>0</v>
      </c>
      <c r="IC392" s="817">
        <v>0</v>
      </c>
      <c r="ID392" s="89">
        <v>0</v>
      </c>
      <c r="IE392" s="817">
        <v>0</v>
      </c>
      <c r="IF392" s="841">
        <f t="shared" si="10573"/>
        <v>63285</v>
      </c>
      <c r="IG392" s="263">
        <f t="shared" si="10574"/>
        <v>63285</v>
      </c>
      <c r="IH392" s="842">
        <f t="shared" si="10575"/>
        <v>63285</v>
      </c>
      <c r="II392" s="89">
        <v>0</v>
      </c>
      <c r="IJ392" s="89">
        <f t="shared" si="10576"/>
        <v>0</v>
      </c>
      <c r="IK392" s="89">
        <f t="shared" si="10577"/>
        <v>0</v>
      </c>
      <c r="IL392" s="89">
        <v>0</v>
      </c>
      <c r="IM392" s="89">
        <f t="shared" si="10578"/>
        <v>0</v>
      </c>
      <c r="IN392" s="89">
        <f t="shared" si="10579"/>
        <v>0</v>
      </c>
      <c r="IO392" s="89">
        <v>0</v>
      </c>
      <c r="IP392" s="89">
        <f t="shared" si="10580"/>
        <v>0</v>
      </c>
      <c r="IQ392" s="89">
        <f t="shared" si="10581"/>
        <v>0</v>
      </c>
      <c r="IR392" s="89">
        <v>17244</v>
      </c>
      <c r="IS392" s="89">
        <f t="shared" si="10582"/>
        <v>17244</v>
      </c>
      <c r="IT392" s="89">
        <f t="shared" si="10583"/>
        <v>17244</v>
      </c>
      <c r="IU392" s="89">
        <f>31285-17244</f>
        <v>14041</v>
      </c>
      <c r="IV392" s="89">
        <f t="shared" si="10584"/>
        <v>14041</v>
      </c>
      <c r="IW392" s="89">
        <f t="shared" si="10585"/>
        <v>14041</v>
      </c>
      <c r="IX392" s="89">
        <v>0</v>
      </c>
      <c r="IY392" s="89">
        <f t="shared" si="10586"/>
        <v>0</v>
      </c>
      <c r="IZ392" s="89">
        <f t="shared" si="10587"/>
        <v>0</v>
      </c>
      <c r="JA392" s="89">
        <f>31285-31285</f>
        <v>0</v>
      </c>
      <c r="JB392" s="89">
        <f t="shared" si="10588"/>
        <v>0</v>
      </c>
      <c r="JC392" s="89">
        <f t="shared" si="10589"/>
        <v>0</v>
      </c>
      <c r="JD392" s="89">
        <f>63285-31285</f>
        <v>32000</v>
      </c>
      <c r="JE392" s="89">
        <f t="shared" si="10590"/>
        <v>32000</v>
      </c>
      <c r="JF392" s="89">
        <f t="shared" si="10591"/>
        <v>32000</v>
      </c>
      <c r="JG392" s="89">
        <v>0</v>
      </c>
      <c r="JH392" s="89">
        <f t="shared" si="10592"/>
        <v>0</v>
      </c>
      <c r="JI392" s="89">
        <f t="shared" si="10593"/>
        <v>0</v>
      </c>
      <c r="JJ392" s="89">
        <v>0</v>
      </c>
      <c r="JK392" s="89">
        <f t="shared" si="10594"/>
        <v>0</v>
      </c>
      <c r="JL392" s="89">
        <f t="shared" si="10595"/>
        <v>0</v>
      </c>
      <c r="JM392" s="89">
        <v>0</v>
      </c>
      <c r="JN392" s="89">
        <f t="shared" si="10596"/>
        <v>0</v>
      </c>
      <c r="JO392" s="89">
        <f t="shared" si="10597"/>
        <v>0</v>
      </c>
      <c r="JP392" s="89">
        <v>0</v>
      </c>
      <c r="JQ392" s="89">
        <f t="shared" ref="JQ392:JR392" si="10608">JP392</f>
        <v>0</v>
      </c>
      <c r="JR392" s="89">
        <f t="shared" si="10608"/>
        <v>0</v>
      </c>
      <c r="JS392" s="74">
        <f t="shared" si="10599"/>
        <v>0</v>
      </c>
      <c r="JT392" s="382">
        <f t="shared" si="10600"/>
        <v>0</v>
      </c>
      <c r="JU392" s="665"/>
      <c r="JV392" s="524"/>
      <c r="JW392" s="525"/>
      <c r="JX392" s="549">
        <f t="shared" si="10601"/>
        <v>63285</v>
      </c>
      <c r="JY392" s="549">
        <f t="shared" si="10602"/>
        <v>0</v>
      </c>
      <c r="JZ392" s="581">
        <f t="shared" si="10300"/>
        <v>64000</v>
      </c>
      <c r="KA392" s="581">
        <f t="shared" si="10301"/>
        <v>-715</v>
      </c>
      <c r="KB392" s="549">
        <f t="shared" si="10257"/>
        <v>63285</v>
      </c>
      <c r="KC392" s="709">
        <f t="shared" si="10273"/>
        <v>0</v>
      </c>
      <c r="KD392" s="36"/>
      <c r="KE392" s="36"/>
      <c r="KF392" s="36"/>
      <c r="KG392" s="36"/>
      <c r="KH392" s="36"/>
      <c r="KI392" s="36"/>
      <c r="KJ392" s="36"/>
      <c r="KK392" s="36"/>
    </row>
    <row r="393" spans="1:297" s="10" customFormat="1" ht="12.75" customHeight="1">
      <c r="A393" s="86" t="s">
        <v>248</v>
      </c>
      <c r="B393" s="77" t="s">
        <v>93</v>
      </c>
      <c r="C393" s="74">
        <v>0</v>
      </c>
      <c r="D393" s="549">
        <v>0</v>
      </c>
      <c r="E393" s="675">
        <v>0</v>
      </c>
      <c r="F393" s="549">
        <v>0</v>
      </c>
      <c r="G393" s="675">
        <v>0</v>
      </c>
      <c r="H393" s="549">
        <v>0</v>
      </c>
      <c r="I393" s="675">
        <v>0</v>
      </c>
      <c r="J393" s="549">
        <v>0</v>
      </c>
      <c r="K393" s="675">
        <v>0</v>
      </c>
      <c r="L393" s="549">
        <v>0</v>
      </c>
      <c r="M393" s="675">
        <v>0</v>
      </c>
      <c r="N393" s="549">
        <v>0</v>
      </c>
      <c r="O393" s="675">
        <v>0</v>
      </c>
      <c r="P393" s="549">
        <v>0</v>
      </c>
      <c r="Q393" s="675">
        <v>0</v>
      </c>
      <c r="R393" s="549">
        <v>0</v>
      </c>
      <c r="S393" s="675">
        <v>0</v>
      </c>
      <c r="T393" s="549">
        <v>0</v>
      </c>
      <c r="U393" s="675">
        <v>0</v>
      </c>
      <c r="V393" s="549">
        <v>0</v>
      </c>
      <c r="W393" s="675">
        <v>0</v>
      </c>
      <c r="X393" s="549">
        <v>0</v>
      </c>
      <c r="Y393" s="675">
        <v>0</v>
      </c>
      <c r="Z393" s="549">
        <v>0</v>
      </c>
      <c r="AA393" s="675">
        <v>0</v>
      </c>
      <c r="AB393" s="549">
        <v>0</v>
      </c>
      <c r="AC393" s="675">
        <v>0</v>
      </c>
      <c r="AD393" s="549">
        <v>0</v>
      </c>
      <c r="AE393" s="675">
        <v>0</v>
      </c>
      <c r="AF393" s="549">
        <v>0</v>
      </c>
      <c r="AG393" s="675">
        <v>0</v>
      </c>
      <c r="AH393" s="549">
        <v>0</v>
      </c>
      <c r="AI393" s="675">
        <v>0</v>
      </c>
      <c r="AJ393" s="549">
        <v>0</v>
      </c>
      <c r="AK393" s="675">
        <v>0</v>
      </c>
      <c r="AL393" s="549">
        <v>0</v>
      </c>
      <c r="AM393" s="675">
        <v>0</v>
      </c>
      <c r="AN393" s="549">
        <v>0</v>
      </c>
      <c r="AO393" s="675">
        <v>0</v>
      </c>
      <c r="AP393" s="549">
        <v>0</v>
      </c>
      <c r="AQ393" s="675">
        <v>0</v>
      </c>
      <c r="AR393" s="549">
        <v>0</v>
      </c>
      <c r="AS393" s="675">
        <v>0</v>
      </c>
      <c r="AT393" s="549">
        <v>0</v>
      </c>
      <c r="AU393" s="675">
        <v>0</v>
      </c>
      <c r="AV393" s="549">
        <v>0</v>
      </c>
      <c r="AW393" s="675">
        <v>0</v>
      </c>
      <c r="AX393" s="549">
        <v>0</v>
      </c>
      <c r="AY393" s="675">
        <v>0</v>
      </c>
      <c r="AZ393" s="549">
        <v>0</v>
      </c>
      <c r="BA393" s="675">
        <v>0</v>
      </c>
      <c r="BB393" s="549">
        <v>0</v>
      </c>
      <c r="BC393" s="675">
        <v>0</v>
      </c>
      <c r="BD393" s="549">
        <v>0</v>
      </c>
      <c r="BE393" s="675">
        <v>0</v>
      </c>
      <c r="BF393" s="549">
        <v>0</v>
      </c>
      <c r="BG393" s="675">
        <v>0</v>
      </c>
      <c r="BH393" s="549">
        <v>0</v>
      </c>
      <c r="BI393" s="675">
        <v>0</v>
      </c>
      <c r="BJ393" s="549">
        <v>0</v>
      </c>
      <c r="BK393" s="675">
        <v>0</v>
      </c>
      <c r="BL393" s="549">
        <v>0</v>
      </c>
      <c r="BM393" s="675">
        <v>0</v>
      </c>
      <c r="BN393" s="549">
        <v>0</v>
      </c>
      <c r="BO393" s="675">
        <v>0</v>
      </c>
      <c r="BP393" s="549">
        <v>0</v>
      </c>
      <c r="BQ393" s="675">
        <v>0</v>
      </c>
      <c r="BR393" s="549">
        <v>0</v>
      </c>
      <c r="BS393" s="675">
        <v>0</v>
      </c>
      <c r="BT393" s="549">
        <v>0</v>
      </c>
      <c r="BU393" s="675">
        <v>0</v>
      </c>
      <c r="BV393" s="549">
        <v>0</v>
      </c>
      <c r="BW393" s="675">
        <v>0</v>
      </c>
      <c r="BX393" s="549">
        <v>0</v>
      </c>
      <c r="BY393" s="675">
        <v>0</v>
      </c>
      <c r="BZ393" s="549">
        <v>0</v>
      </c>
      <c r="CA393" s="675">
        <v>0</v>
      </c>
      <c r="CB393" s="549">
        <v>0</v>
      </c>
      <c r="CC393" s="675">
        <v>0</v>
      </c>
      <c r="CD393" s="549">
        <v>0</v>
      </c>
      <c r="CE393" s="675">
        <v>0</v>
      </c>
      <c r="CF393" s="549">
        <v>0</v>
      </c>
      <c r="CG393" s="675">
        <v>0</v>
      </c>
      <c r="CH393" s="549">
        <v>0</v>
      </c>
      <c r="CI393" s="675">
        <v>0</v>
      </c>
      <c r="CJ393" s="549">
        <v>0</v>
      </c>
      <c r="CK393" s="675">
        <v>0</v>
      </c>
      <c r="CL393" s="549">
        <v>0</v>
      </c>
      <c r="CM393" s="675">
        <v>0</v>
      </c>
      <c r="CN393" s="549">
        <v>0</v>
      </c>
      <c r="CO393" s="675">
        <v>0</v>
      </c>
      <c r="CP393" s="549">
        <v>0</v>
      </c>
      <c r="CQ393" s="675">
        <v>0</v>
      </c>
      <c r="CR393" s="549">
        <v>0</v>
      </c>
      <c r="CS393" s="675">
        <v>0</v>
      </c>
      <c r="CT393" s="549">
        <v>0</v>
      </c>
      <c r="CU393" s="675">
        <v>0</v>
      </c>
      <c r="CV393" s="549">
        <v>0</v>
      </c>
      <c r="CW393" s="675">
        <v>0</v>
      </c>
      <c r="CX393" s="549">
        <v>0</v>
      </c>
      <c r="CY393" s="675">
        <v>0</v>
      </c>
      <c r="CZ393" s="549">
        <v>0</v>
      </c>
      <c r="DA393" s="675">
        <v>0</v>
      </c>
      <c r="DB393" s="549">
        <v>0</v>
      </c>
      <c r="DC393" s="675">
        <v>0</v>
      </c>
      <c r="DD393" s="549">
        <v>0</v>
      </c>
      <c r="DE393" s="675">
        <v>0</v>
      </c>
      <c r="DF393" s="549">
        <v>0</v>
      </c>
      <c r="DG393" s="675">
        <v>0</v>
      </c>
      <c r="DH393" s="549">
        <v>0</v>
      </c>
      <c r="DI393" s="675">
        <v>0</v>
      </c>
      <c r="DJ393" s="549">
        <v>0</v>
      </c>
      <c r="DK393" s="675">
        <v>0</v>
      </c>
      <c r="DL393" s="549">
        <v>0</v>
      </c>
      <c r="DM393" s="675">
        <v>0</v>
      </c>
      <c r="DN393" s="549">
        <v>0</v>
      </c>
      <c r="DO393" s="675">
        <v>0</v>
      </c>
      <c r="DP393" s="549">
        <v>0</v>
      </c>
      <c r="DQ393" s="675">
        <v>0</v>
      </c>
      <c r="DR393" s="549">
        <v>0</v>
      </c>
      <c r="DS393" s="675">
        <v>0</v>
      </c>
      <c r="DT393" s="549">
        <v>0</v>
      </c>
      <c r="DU393" s="675">
        <v>0</v>
      </c>
      <c r="DV393" s="549">
        <v>0</v>
      </c>
      <c r="DW393" s="675">
        <v>0</v>
      </c>
      <c r="DX393" s="549">
        <v>0</v>
      </c>
      <c r="DY393" s="675">
        <v>0</v>
      </c>
      <c r="DZ393" s="549">
        <v>0</v>
      </c>
      <c r="EA393" s="675">
        <v>0</v>
      </c>
      <c r="EB393" s="549">
        <v>0</v>
      </c>
      <c r="EC393" s="675">
        <v>0</v>
      </c>
      <c r="ED393" s="549">
        <v>0</v>
      </c>
      <c r="EE393" s="675">
        <v>0</v>
      </c>
      <c r="EF393" s="549">
        <v>0</v>
      </c>
      <c r="EG393" s="675">
        <v>0</v>
      </c>
      <c r="EH393" s="549">
        <v>0</v>
      </c>
      <c r="EI393" s="675">
        <v>0</v>
      </c>
      <c r="EJ393" s="549">
        <v>0</v>
      </c>
      <c r="EK393" s="675">
        <v>0</v>
      </c>
      <c r="EL393" s="549">
        <v>0</v>
      </c>
      <c r="EM393" s="675">
        <v>0</v>
      </c>
      <c r="EN393" s="549">
        <v>0</v>
      </c>
      <c r="EO393" s="675">
        <v>0</v>
      </c>
      <c r="EP393" s="549">
        <v>0</v>
      </c>
      <c r="EQ393" s="675">
        <v>0</v>
      </c>
      <c r="ER393" s="549">
        <v>0</v>
      </c>
      <c r="ES393" s="675">
        <v>0</v>
      </c>
      <c r="ET393" s="549">
        <v>0</v>
      </c>
      <c r="EU393" s="675">
        <v>0</v>
      </c>
      <c r="EV393" s="549">
        <v>0</v>
      </c>
      <c r="EW393" s="675">
        <v>0</v>
      </c>
      <c r="EX393" s="549">
        <v>0</v>
      </c>
      <c r="EY393" s="675">
        <v>0</v>
      </c>
      <c r="EZ393" s="549">
        <v>0</v>
      </c>
      <c r="FA393" s="675">
        <v>0</v>
      </c>
      <c r="FB393" s="549">
        <v>0</v>
      </c>
      <c r="FC393" s="675">
        <v>0</v>
      </c>
      <c r="FD393" s="549">
        <v>0</v>
      </c>
      <c r="FE393" s="675">
        <v>0</v>
      </c>
      <c r="FF393" s="549">
        <v>0</v>
      </c>
      <c r="FG393" s="675">
        <v>0</v>
      </c>
      <c r="FH393" s="549">
        <v>0</v>
      </c>
      <c r="FI393" s="675">
        <v>0</v>
      </c>
      <c r="FJ393" s="549">
        <v>0</v>
      </c>
      <c r="FK393" s="675">
        <v>0</v>
      </c>
      <c r="FL393" s="549">
        <v>0</v>
      </c>
      <c r="FM393" s="675">
        <v>0</v>
      </c>
      <c r="FN393" s="549">
        <v>0</v>
      </c>
      <c r="FO393" s="675">
        <v>0</v>
      </c>
      <c r="FP393" s="549">
        <v>0</v>
      </c>
      <c r="FQ393" s="675">
        <v>0</v>
      </c>
      <c r="FR393" s="549">
        <v>1715</v>
      </c>
      <c r="FS393" s="675">
        <v>0</v>
      </c>
      <c r="FT393" s="549">
        <v>0</v>
      </c>
      <c r="FU393" s="675">
        <v>0</v>
      </c>
      <c r="FV393" s="549">
        <v>0</v>
      </c>
      <c r="FW393" s="675">
        <v>0</v>
      </c>
      <c r="FX393" s="549">
        <v>0</v>
      </c>
      <c r="FY393" s="675">
        <v>0</v>
      </c>
      <c r="FZ393" s="549">
        <v>0</v>
      </c>
      <c r="GA393" s="675">
        <v>0</v>
      </c>
      <c r="GB393" s="549">
        <v>0</v>
      </c>
      <c r="GC393" s="675">
        <v>0</v>
      </c>
      <c r="GD393" s="549">
        <v>0</v>
      </c>
      <c r="GE393" s="675">
        <v>0</v>
      </c>
      <c r="GF393" s="549">
        <v>0</v>
      </c>
      <c r="GG393" s="675">
        <v>0</v>
      </c>
      <c r="GH393" s="549">
        <v>0</v>
      </c>
      <c r="GI393" s="675">
        <v>0</v>
      </c>
      <c r="GJ393" s="549">
        <v>0</v>
      </c>
      <c r="GK393" s="675">
        <v>0</v>
      </c>
      <c r="GL393" s="549">
        <v>0</v>
      </c>
      <c r="GM393" s="675">
        <v>0</v>
      </c>
      <c r="GN393" s="549">
        <v>0</v>
      </c>
      <c r="GO393" s="675">
        <v>0</v>
      </c>
      <c r="GP393" s="549">
        <f t="shared" si="10567"/>
        <v>1715</v>
      </c>
      <c r="GQ393" s="675">
        <f t="shared" si="10568"/>
        <v>0</v>
      </c>
      <c r="GR393" s="74">
        <f t="shared" si="10569"/>
        <v>1715</v>
      </c>
      <c r="GS393" s="74">
        <f t="shared" si="10570"/>
        <v>1715</v>
      </c>
      <c r="GT393" s="568">
        <f t="shared" si="10571"/>
        <v>1715</v>
      </c>
      <c r="GU393" s="275"/>
      <c r="GV393" s="275"/>
      <c r="GW393" s="275"/>
      <c r="GX393" s="275"/>
      <c r="GY393" s="275"/>
      <c r="GZ393" s="275"/>
      <c r="HA393" s="275"/>
      <c r="HB393" s="275"/>
      <c r="HC393" s="275"/>
      <c r="HD393" s="275"/>
      <c r="HE393" s="275"/>
      <c r="HF393" s="275">
        <v>0</v>
      </c>
      <c r="HG393" s="74">
        <f t="shared" si="10572"/>
        <v>1715</v>
      </c>
      <c r="HH393" s="89">
        <v>0</v>
      </c>
      <c r="HI393" s="817">
        <v>0</v>
      </c>
      <c r="HJ393" s="89">
        <v>0</v>
      </c>
      <c r="HK393" s="817">
        <v>0</v>
      </c>
      <c r="HL393" s="89">
        <v>0</v>
      </c>
      <c r="HM393" s="817">
        <v>0</v>
      </c>
      <c r="HN393" s="89">
        <v>0</v>
      </c>
      <c r="HO393" s="817">
        <v>0</v>
      </c>
      <c r="HP393" s="89">
        <v>0</v>
      </c>
      <c r="HQ393" s="817">
        <v>0</v>
      </c>
      <c r="HR393" s="89">
        <v>0</v>
      </c>
      <c r="HS393" s="817">
        <v>0</v>
      </c>
      <c r="HT393" s="89">
        <v>0</v>
      </c>
      <c r="HU393" s="817">
        <v>0</v>
      </c>
      <c r="HV393" s="89">
        <v>0</v>
      </c>
      <c r="HW393" s="817">
        <v>0</v>
      </c>
      <c r="HX393" s="89">
        <v>0</v>
      </c>
      <c r="HY393" s="817">
        <v>0</v>
      </c>
      <c r="HZ393" s="89">
        <v>1715</v>
      </c>
      <c r="IA393" s="817">
        <v>0</v>
      </c>
      <c r="IB393" s="89">
        <v>0</v>
      </c>
      <c r="IC393" s="817">
        <v>0</v>
      </c>
      <c r="ID393" s="89">
        <v>0</v>
      </c>
      <c r="IE393" s="817">
        <v>0</v>
      </c>
      <c r="IF393" s="841">
        <f t="shared" si="10573"/>
        <v>0</v>
      </c>
      <c r="IG393" s="263">
        <f t="shared" si="10574"/>
        <v>0</v>
      </c>
      <c r="IH393" s="842">
        <f t="shared" si="10575"/>
        <v>0</v>
      </c>
      <c r="II393" s="89">
        <v>0</v>
      </c>
      <c r="IJ393" s="89">
        <f t="shared" si="10576"/>
        <v>0</v>
      </c>
      <c r="IK393" s="89">
        <f t="shared" si="10577"/>
        <v>0</v>
      </c>
      <c r="IL393" s="89">
        <v>0</v>
      </c>
      <c r="IM393" s="89">
        <f t="shared" si="10578"/>
        <v>0</v>
      </c>
      <c r="IN393" s="89">
        <f t="shared" si="10579"/>
        <v>0</v>
      </c>
      <c r="IO393" s="89">
        <v>0</v>
      </c>
      <c r="IP393" s="89">
        <f t="shared" si="10580"/>
        <v>0</v>
      </c>
      <c r="IQ393" s="89">
        <f t="shared" si="10581"/>
        <v>0</v>
      </c>
      <c r="IR393" s="89">
        <v>0</v>
      </c>
      <c r="IS393" s="89">
        <f t="shared" si="10582"/>
        <v>0</v>
      </c>
      <c r="IT393" s="89">
        <f t="shared" si="10583"/>
        <v>0</v>
      </c>
      <c r="IU393" s="89">
        <v>0</v>
      </c>
      <c r="IV393" s="89">
        <f t="shared" si="10584"/>
        <v>0</v>
      </c>
      <c r="IW393" s="89">
        <f t="shared" si="10585"/>
        <v>0</v>
      </c>
      <c r="IX393" s="89">
        <v>0</v>
      </c>
      <c r="IY393" s="89">
        <f t="shared" si="10586"/>
        <v>0</v>
      </c>
      <c r="IZ393" s="89">
        <f t="shared" si="10587"/>
        <v>0</v>
      </c>
      <c r="JA393" s="89">
        <v>0</v>
      </c>
      <c r="JB393" s="89">
        <f t="shared" si="10588"/>
        <v>0</v>
      </c>
      <c r="JC393" s="89">
        <f t="shared" si="10589"/>
        <v>0</v>
      </c>
      <c r="JD393" s="89">
        <v>0</v>
      </c>
      <c r="JE393" s="89">
        <f t="shared" si="10590"/>
        <v>0</v>
      </c>
      <c r="JF393" s="89">
        <f t="shared" si="10591"/>
        <v>0</v>
      </c>
      <c r="JG393" s="89">
        <v>0</v>
      </c>
      <c r="JH393" s="89">
        <f t="shared" si="10592"/>
        <v>0</v>
      </c>
      <c r="JI393" s="89">
        <f t="shared" si="10593"/>
        <v>0</v>
      </c>
      <c r="JJ393" s="89">
        <v>0</v>
      </c>
      <c r="JK393" s="89">
        <f t="shared" si="10594"/>
        <v>0</v>
      </c>
      <c r="JL393" s="89">
        <f t="shared" si="10595"/>
        <v>0</v>
      </c>
      <c r="JM393" s="89">
        <v>0</v>
      </c>
      <c r="JN393" s="89">
        <f t="shared" si="10596"/>
        <v>0</v>
      </c>
      <c r="JO393" s="89">
        <f t="shared" si="10597"/>
        <v>0</v>
      </c>
      <c r="JP393" s="89">
        <v>0</v>
      </c>
      <c r="JQ393" s="89">
        <f t="shared" ref="JQ393:JR393" si="10609">JP393</f>
        <v>0</v>
      </c>
      <c r="JR393" s="89">
        <f t="shared" si="10609"/>
        <v>0</v>
      </c>
      <c r="JS393" s="74">
        <f t="shared" si="10599"/>
        <v>1715</v>
      </c>
      <c r="JT393" s="382">
        <f t="shared" si="10600"/>
        <v>1715</v>
      </c>
      <c r="JU393" s="665"/>
      <c r="JV393" s="524"/>
      <c r="JW393" s="525"/>
      <c r="JX393" s="549">
        <f t="shared" si="10601"/>
        <v>1715</v>
      </c>
      <c r="JY393" s="549">
        <f t="shared" si="10602"/>
        <v>0</v>
      </c>
      <c r="JZ393" s="581">
        <f t="shared" si="10300"/>
        <v>1715</v>
      </c>
      <c r="KA393" s="581">
        <f t="shared" si="10301"/>
        <v>0</v>
      </c>
      <c r="KB393" s="549">
        <f t="shared" si="10257"/>
        <v>1715</v>
      </c>
      <c r="KC393" s="709">
        <f t="shared" si="10273"/>
        <v>0</v>
      </c>
      <c r="KD393" s="36"/>
      <c r="KE393" s="36"/>
      <c r="KF393" s="36"/>
      <c r="KG393" s="36"/>
      <c r="KH393" s="36"/>
      <c r="KI393" s="36"/>
      <c r="KJ393" s="36"/>
      <c r="KK393" s="36"/>
    </row>
    <row r="394" spans="1:297" s="10" customFormat="1">
      <c r="A394" s="86"/>
      <c r="B394" s="77"/>
      <c r="C394" s="74"/>
      <c r="D394" s="549"/>
      <c r="E394" s="675"/>
      <c r="F394" s="549"/>
      <c r="G394" s="675"/>
      <c r="H394" s="549"/>
      <c r="I394" s="675"/>
      <c r="J394" s="549"/>
      <c r="K394" s="675"/>
      <c r="L394" s="549"/>
      <c r="M394" s="675"/>
      <c r="N394" s="549"/>
      <c r="O394" s="675"/>
      <c r="P394" s="549"/>
      <c r="Q394" s="675"/>
      <c r="R394" s="549"/>
      <c r="S394" s="675"/>
      <c r="T394" s="549"/>
      <c r="U394" s="675"/>
      <c r="V394" s="549"/>
      <c r="W394" s="675"/>
      <c r="X394" s="549"/>
      <c r="Y394" s="675"/>
      <c r="Z394" s="549"/>
      <c r="AA394" s="675"/>
      <c r="AB394" s="549"/>
      <c r="AC394" s="675"/>
      <c r="AD394" s="549"/>
      <c r="AE394" s="675"/>
      <c r="AF394" s="549"/>
      <c r="AG394" s="675"/>
      <c r="AH394" s="549"/>
      <c r="AI394" s="675"/>
      <c r="AJ394" s="549"/>
      <c r="AK394" s="675"/>
      <c r="AL394" s="549"/>
      <c r="AM394" s="675"/>
      <c r="AN394" s="549"/>
      <c r="AO394" s="675"/>
      <c r="AP394" s="549"/>
      <c r="AQ394" s="675"/>
      <c r="AR394" s="549"/>
      <c r="AS394" s="675"/>
      <c r="AT394" s="549"/>
      <c r="AU394" s="675"/>
      <c r="AV394" s="549"/>
      <c r="AW394" s="675"/>
      <c r="AX394" s="549"/>
      <c r="AY394" s="675"/>
      <c r="AZ394" s="549"/>
      <c r="BA394" s="675"/>
      <c r="BB394" s="549"/>
      <c r="BC394" s="675"/>
      <c r="BD394" s="549"/>
      <c r="BE394" s="675"/>
      <c r="BF394" s="549"/>
      <c r="BG394" s="675"/>
      <c r="BH394" s="549"/>
      <c r="BI394" s="675"/>
      <c r="BJ394" s="549"/>
      <c r="BK394" s="675"/>
      <c r="BL394" s="549"/>
      <c r="BM394" s="675"/>
      <c r="BN394" s="549"/>
      <c r="BO394" s="675"/>
      <c r="BP394" s="549"/>
      <c r="BQ394" s="675"/>
      <c r="BR394" s="549"/>
      <c r="BS394" s="675"/>
      <c r="BT394" s="549"/>
      <c r="BU394" s="675"/>
      <c r="BV394" s="549"/>
      <c r="BW394" s="675"/>
      <c r="BX394" s="549"/>
      <c r="BY394" s="675"/>
      <c r="BZ394" s="549"/>
      <c r="CA394" s="675"/>
      <c r="CB394" s="549"/>
      <c r="CC394" s="675"/>
      <c r="CD394" s="549"/>
      <c r="CE394" s="675"/>
      <c r="CF394" s="549"/>
      <c r="CG394" s="675"/>
      <c r="CH394" s="549"/>
      <c r="CI394" s="675"/>
      <c r="CJ394" s="549"/>
      <c r="CK394" s="675"/>
      <c r="CL394" s="549"/>
      <c r="CM394" s="675"/>
      <c r="CN394" s="549"/>
      <c r="CO394" s="675"/>
      <c r="CP394" s="549"/>
      <c r="CQ394" s="675"/>
      <c r="CR394" s="549"/>
      <c r="CS394" s="675"/>
      <c r="CT394" s="549"/>
      <c r="CU394" s="675"/>
      <c r="CV394" s="549"/>
      <c r="CW394" s="675"/>
      <c r="CX394" s="549"/>
      <c r="CY394" s="675"/>
      <c r="CZ394" s="549"/>
      <c r="DA394" s="675"/>
      <c r="DB394" s="549"/>
      <c r="DC394" s="675"/>
      <c r="DD394" s="549"/>
      <c r="DE394" s="675"/>
      <c r="DF394" s="549"/>
      <c r="DG394" s="675"/>
      <c r="DH394" s="549"/>
      <c r="DI394" s="675"/>
      <c r="DJ394" s="549"/>
      <c r="DK394" s="675"/>
      <c r="DL394" s="549"/>
      <c r="DM394" s="675"/>
      <c r="DN394" s="549"/>
      <c r="DO394" s="675"/>
      <c r="DP394" s="549"/>
      <c r="DQ394" s="675"/>
      <c r="DR394" s="549"/>
      <c r="DS394" s="675"/>
      <c r="DT394" s="549"/>
      <c r="DU394" s="675"/>
      <c r="DV394" s="549"/>
      <c r="DW394" s="675"/>
      <c r="DX394" s="549"/>
      <c r="DY394" s="675"/>
      <c r="DZ394" s="549"/>
      <c r="EA394" s="675"/>
      <c r="EB394" s="549"/>
      <c r="EC394" s="675"/>
      <c r="ED394" s="549"/>
      <c r="EE394" s="675"/>
      <c r="EF394" s="549"/>
      <c r="EG394" s="675"/>
      <c r="EH394" s="549"/>
      <c r="EI394" s="675"/>
      <c r="EJ394" s="549"/>
      <c r="EK394" s="675"/>
      <c r="EL394" s="549"/>
      <c r="EM394" s="675"/>
      <c r="EN394" s="549"/>
      <c r="EO394" s="675"/>
      <c r="EP394" s="549"/>
      <c r="EQ394" s="675"/>
      <c r="ER394" s="549"/>
      <c r="ES394" s="675"/>
      <c r="ET394" s="549"/>
      <c r="EU394" s="675"/>
      <c r="EV394" s="549"/>
      <c r="EW394" s="675"/>
      <c r="EX394" s="549"/>
      <c r="EY394" s="675"/>
      <c r="EZ394" s="549"/>
      <c r="FA394" s="675"/>
      <c r="FB394" s="549"/>
      <c r="FC394" s="675"/>
      <c r="FD394" s="549"/>
      <c r="FE394" s="675"/>
      <c r="FF394" s="549"/>
      <c r="FG394" s="675"/>
      <c r="FH394" s="549"/>
      <c r="FI394" s="675"/>
      <c r="FJ394" s="549"/>
      <c r="FK394" s="675"/>
      <c r="FL394" s="549"/>
      <c r="FM394" s="675"/>
      <c r="FN394" s="549"/>
      <c r="FO394" s="675"/>
      <c r="FP394" s="549"/>
      <c r="FQ394" s="675"/>
      <c r="FR394" s="549"/>
      <c r="FS394" s="675"/>
      <c r="FT394" s="549"/>
      <c r="FU394" s="675"/>
      <c r="FV394" s="549"/>
      <c r="FW394" s="675"/>
      <c r="FX394" s="549"/>
      <c r="FY394" s="675"/>
      <c r="FZ394" s="549"/>
      <c r="GA394" s="675"/>
      <c r="GB394" s="549"/>
      <c r="GC394" s="675"/>
      <c r="GD394" s="549"/>
      <c r="GE394" s="675"/>
      <c r="GF394" s="549"/>
      <c r="GG394" s="675"/>
      <c r="GH394" s="549"/>
      <c r="GI394" s="675"/>
      <c r="GJ394" s="549"/>
      <c r="GK394" s="675"/>
      <c r="GL394" s="549"/>
      <c r="GM394" s="675"/>
      <c r="GN394" s="549"/>
      <c r="GO394" s="675"/>
      <c r="GP394" s="549"/>
      <c r="GQ394" s="675"/>
      <c r="GR394" s="74"/>
      <c r="GS394" s="74"/>
      <c r="GT394" s="549"/>
      <c r="GU394" s="73"/>
      <c r="GV394" s="73"/>
      <c r="GW394" s="549"/>
      <c r="GX394" s="549"/>
      <c r="GY394" s="73"/>
      <c r="GZ394" s="73"/>
      <c r="HA394" s="73"/>
      <c r="HB394" s="73"/>
      <c r="HC394" s="73"/>
      <c r="HD394" s="73"/>
      <c r="HE394" s="73"/>
      <c r="HF394" s="73"/>
      <c r="HG394" s="74"/>
      <c r="HH394" s="89"/>
      <c r="HI394" s="817"/>
      <c r="HJ394" s="89"/>
      <c r="HK394" s="817"/>
      <c r="HL394" s="89"/>
      <c r="HM394" s="817"/>
      <c r="HN394" s="89"/>
      <c r="HO394" s="817"/>
      <c r="HP394" s="89"/>
      <c r="HQ394" s="817"/>
      <c r="HR394" s="89"/>
      <c r="HS394" s="817"/>
      <c r="HT394" s="89"/>
      <c r="HU394" s="817"/>
      <c r="HV394" s="89"/>
      <c r="HW394" s="817"/>
      <c r="HX394" s="89"/>
      <c r="HY394" s="817"/>
      <c r="HZ394" s="89"/>
      <c r="IA394" s="817"/>
      <c r="IB394" s="89"/>
      <c r="IC394" s="817"/>
      <c r="ID394" s="89"/>
      <c r="IE394" s="817"/>
      <c r="IF394" s="703"/>
      <c r="IG394" s="282"/>
      <c r="IH394" s="858"/>
      <c r="II394" s="89"/>
      <c r="IJ394" s="89"/>
      <c r="IK394" s="89"/>
      <c r="IL394" s="89"/>
      <c r="IM394" s="89"/>
      <c r="IN394" s="89"/>
      <c r="IO394" s="89"/>
      <c r="IP394" s="89"/>
      <c r="IQ394" s="89"/>
      <c r="IR394" s="89"/>
      <c r="IS394" s="89"/>
      <c r="IT394" s="89"/>
      <c r="IU394" s="89"/>
      <c r="IV394" s="89"/>
      <c r="IW394" s="89"/>
      <c r="IX394" s="89"/>
      <c r="IY394" s="89"/>
      <c r="IZ394" s="89"/>
      <c r="JA394" s="89"/>
      <c r="JB394" s="89"/>
      <c r="JC394" s="89"/>
      <c r="JD394" s="89"/>
      <c r="JE394" s="89"/>
      <c r="JF394" s="89"/>
      <c r="JG394" s="89"/>
      <c r="JH394" s="89"/>
      <c r="JI394" s="89"/>
      <c r="JJ394" s="89"/>
      <c r="JK394" s="89"/>
      <c r="JL394" s="89"/>
      <c r="JM394" s="89"/>
      <c r="JN394" s="89"/>
      <c r="JO394" s="89"/>
      <c r="JP394" s="89"/>
      <c r="JQ394" s="89"/>
      <c r="JR394" s="89"/>
      <c r="JS394" s="74"/>
      <c r="JT394" s="382"/>
      <c r="JU394" s="665"/>
      <c r="JV394" s="524"/>
      <c r="JW394" s="525"/>
      <c r="JX394" s="549"/>
      <c r="JY394" s="549"/>
      <c r="JZ394" s="581">
        <f t="shared" si="10300"/>
        <v>0</v>
      </c>
      <c r="KA394" s="581">
        <f t="shared" si="10301"/>
        <v>0</v>
      </c>
      <c r="KB394" s="549">
        <f t="shared" si="10257"/>
        <v>0</v>
      </c>
      <c r="KC394" s="709">
        <f t="shared" si="10273"/>
        <v>0</v>
      </c>
      <c r="KD394" s="36"/>
      <c r="KE394" s="36"/>
      <c r="KF394" s="36"/>
      <c r="KG394" s="36"/>
      <c r="KH394" s="36"/>
      <c r="KI394" s="36"/>
      <c r="KJ394" s="36"/>
      <c r="KK394" s="36"/>
    </row>
    <row r="395" spans="1:297" s="8" customFormat="1">
      <c r="A395" s="80" t="s">
        <v>249</v>
      </c>
      <c r="B395" s="72" t="s">
        <v>94</v>
      </c>
      <c r="C395" s="74">
        <v>75000</v>
      </c>
      <c r="D395" s="549">
        <v>0</v>
      </c>
      <c r="E395" s="675">
        <v>0</v>
      </c>
      <c r="F395" s="549">
        <v>0</v>
      </c>
      <c r="G395" s="675">
        <v>0</v>
      </c>
      <c r="H395" s="549">
        <v>0</v>
      </c>
      <c r="I395" s="675">
        <v>0</v>
      </c>
      <c r="J395" s="549">
        <v>0</v>
      </c>
      <c r="K395" s="675">
        <v>0</v>
      </c>
      <c r="L395" s="549">
        <v>0</v>
      </c>
      <c r="M395" s="675">
        <v>0</v>
      </c>
      <c r="N395" s="549">
        <v>0</v>
      </c>
      <c r="O395" s="675">
        <v>0</v>
      </c>
      <c r="P395" s="549">
        <v>0</v>
      </c>
      <c r="Q395" s="675">
        <v>0</v>
      </c>
      <c r="R395" s="549">
        <v>0</v>
      </c>
      <c r="S395" s="675">
        <v>0</v>
      </c>
      <c r="T395" s="549">
        <v>0</v>
      </c>
      <c r="U395" s="675">
        <v>0</v>
      </c>
      <c r="V395" s="549">
        <v>30000</v>
      </c>
      <c r="W395" s="675">
        <v>0</v>
      </c>
      <c r="X395" s="549">
        <v>0</v>
      </c>
      <c r="Y395" s="675">
        <v>0</v>
      </c>
      <c r="Z395" s="549">
        <v>0</v>
      </c>
      <c r="AA395" s="675">
        <v>0</v>
      </c>
      <c r="AB395" s="549">
        <v>0</v>
      </c>
      <c r="AC395" s="675">
        <v>0</v>
      </c>
      <c r="AD395" s="549">
        <v>0</v>
      </c>
      <c r="AE395" s="675">
        <v>0</v>
      </c>
      <c r="AF395" s="549">
        <v>0</v>
      </c>
      <c r="AG395" s="675">
        <v>0</v>
      </c>
      <c r="AH395" s="549">
        <v>0</v>
      </c>
      <c r="AI395" s="675">
        <v>0</v>
      </c>
      <c r="AJ395" s="549">
        <v>0</v>
      </c>
      <c r="AK395" s="675">
        <v>0</v>
      </c>
      <c r="AL395" s="549">
        <v>0</v>
      </c>
      <c r="AM395" s="675">
        <v>0</v>
      </c>
      <c r="AN395" s="549">
        <v>0</v>
      </c>
      <c r="AO395" s="675">
        <v>0</v>
      </c>
      <c r="AP395" s="549">
        <v>0</v>
      </c>
      <c r="AQ395" s="675">
        <v>0</v>
      </c>
      <c r="AR395" s="549">
        <v>0</v>
      </c>
      <c r="AS395" s="675">
        <v>0</v>
      </c>
      <c r="AT395" s="549">
        <v>0</v>
      </c>
      <c r="AU395" s="675">
        <v>0</v>
      </c>
      <c r="AV395" s="549">
        <v>0</v>
      </c>
      <c r="AW395" s="675">
        <v>0</v>
      </c>
      <c r="AX395" s="549">
        <v>0</v>
      </c>
      <c r="AY395" s="675">
        <v>0</v>
      </c>
      <c r="AZ395" s="549">
        <v>0</v>
      </c>
      <c r="BA395" s="675">
        <v>0</v>
      </c>
      <c r="BB395" s="549">
        <v>0</v>
      </c>
      <c r="BC395" s="675">
        <v>0</v>
      </c>
      <c r="BD395" s="549">
        <v>0</v>
      </c>
      <c r="BE395" s="675">
        <v>0</v>
      </c>
      <c r="BF395" s="549">
        <v>0</v>
      </c>
      <c r="BG395" s="675">
        <v>0</v>
      </c>
      <c r="BH395" s="549">
        <v>0</v>
      </c>
      <c r="BI395" s="675">
        <v>0</v>
      </c>
      <c r="BJ395" s="549">
        <v>0</v>
      </c>
      <c r="BK395" s="675">
        <v>0</v>
      </c>
      <c r="BL395" s="549">
        <v>0</v>
      </c>
      <c r="BM395" s="675">
        <v>0</v>
      </c>
      <c r="BN395" s="549">
        <v>0</v>
      </c>
      <c r="BO395" s="675">
        <v>0</v>
      </c>
      <c r="BP395" s="549">
        <v>0</v>
      </c>
      <c r="BQ395" s="675">
        <v>0</v>
      </c>
      <c r="BR395" s="549">
        <v>0</v>
      </c>
      <c r="BS395" s="675">
        <v>0</v>
      </c>
      <c r="BT395" s="549">
        <v>0</v>
      </c>
      <c r="BU395" s="675">
        <v>0</v>
      </c>
      <c r="BV395" s="549">
        <v>0</v>
      </c>
      <c r="BW395" s="675">
        <v>0</v>
      </c>
      <c r="BX395" s="549">
        <v>0</v>
      </c>
      <c r="BY395" s="675">
        <v>0</v>
      </c>
      <c r="BZ395" s="549">
        <v>0</v>
      </c>
      <c r="CA395" s="675">
        <v>0</v>
      </c>
      <c r="CB395" s="549">
        <v>0</v>
      </c>
      <c r="CC395" s="675">
        <v>0</v>
      </c>
      <c r="CD395" s="549">
        <v>0</v>
      </c>
      <c r="CE395" s="675">
        <v>0</v>
      </c>
      <c r="CF395" s="549">
        <v>0</v>
      </c>
      <c r="CG395" s="675">
        <v>0</v>
      </c>
      <c r="CH395" s="549">
        <v>0</v>
      </c>
      <c r="CI395" s="675">
        <v>0</v>
      </c>
      <c r="CJ395" s="549">
        <v>0</v>
      </c>
      <c r="CK395" s="675">
        <v>0</v>
      </c>
      <c r="CL395" s="549">
        <v>0</v>
      </c>
      <c r="CM395" s="675">
        <v>0</v>
      </c>
      <c r="CN395" s="549">
        <v>0</v>
      </c>
      <c r="CO395" s="675">
        <v>0</v>
      </c>
      <c r="CP395" s="549">
        <v>0</v>
      </c>
      <c r="CQ395" s="675">
        <v>0</v>
      </c>
      <c r="CR395" s="549">
        <v>0</v>
      </c>
      <c r="CS395" s="675">
        <v>0</v>
      </c>
      <c r="CT395" s="549">
        <v>0</v>
      </c>
      <c r="CU395" s="675">
        <v>0</v>
      </c>
      <c r="CV395" s="549">
        <v>0</v>
      </c>
      <c r="CW395" s="675">
        <v>0</v>
      </c>
      <c r="CX395" s="549">
        <v>0</v>
      </c>
      <c r="CY395" s="675">
        <v>0</v>
      </c>
      <c r="CZ395" s="549">
        <v>0</v>
      </c>
      <c r="DA395" s="675">
        <v>0</v>
      </c>
      <c r="DB395" s="549">
        <v>0</v>
      </c>
      <c r="DC395" s="675">
        <v>0</v>
      </c>
      <c r="DD395" s="549">
        <v>0</v>
      </c>
      <c r="DE395" s="675">
        <v>0</v>
      </c>
      <c r="DF395" s="549">
        <v>0</v>
      </c>
      <c r="DG395" s="675">
        <v>0</v>
      </c>
      <c r="DH395" s="549">
        <v>0</v>
      </c>
      <c r="DI395" s="675">
        <v>-3000</v>
      </c>
      <c r="DJ395" s="549">
        <v>0</v>
      </c>
      <c r="DK395" s="675">
        <v>0</v>
      </c>
      <c r="DL395" s="549">
        <v>0</v>
      </c>
      <c r="DM395" s="675">
        <v>0</v>
      </c>
      <c r="DN395" s="549">
        <v>0</v>
      </c>
      <c r="DO395" s="675">
        <v>0</v>
      </c>
      <c r="DP395" s="549">
        <v>0</v>
      </c>
      <c r="DQ395" s="675">
        <v>-6000</v>
      </c>
      <c r="DR395" s="549">
        <v>0</v>
      </c>
      <c r="DS395" s="675">
        <v>0</v>
      </c>
      <c r="DT395" s="549">
        <v>0</v>
      </c>
      <c r="DU395" s="675">
        <v>0</v>
      </c>
      <c r="DV395" s="549">
        <v>0</v>
      </c>
      <c r="DW395" s="675">
        <v>0</v>
      </c>
      <c r="DX395" s="549">
        <v>0</v>
      </c>
      <c r="DY395" s="675">
        <v>0</v>
      </c>
      <c r="DZ395" s="549">
        <v>0</v>
      </c>
      <c r="EA395" s="675">
        <v>0</v>
      </c>
      <c r="EB395" s="549">
        <v>0</v>
      </c>
      <c r="EC395" s="675">
        <v>0</v>
      </c>
      <c r="ED395" s="549">
        <v>0</v>
      </c>
      <c r="EE395" s="675">
        <v>0</v>
      </c>
      <c r="EF395" s="549">
        <v>0</v>
      </c>
      <c r="EG395" s="675">
        <v>0</v>
      </c>
      <c r="EH395" s="549">
        <v>0</v>
      </c>
      <c r="EI395" s="675">
        <v>0</v>
      </c>
      <c r="EJ395" s="549">
        <v>0</v>
      </c>
      <c r="EK395" s="675">
        <v>0</v>
      </c>
      <c r="EL395" s="549">
        <v>0</v>
      </c>
      <c r="EM395" s="675">
        <v>-2000</v>
      </c>
      <c r="EN395" s="549">
        <v>0</v>
      </c>
      <c r="EO395" s="675">
        <v>0</v>
      </c>
      <c r="EP395" s="549">
        <v>0</v>
      </c>
      <c r="EQ395" s="675">
        <v>0</v>
      </c>
      <c r="ER395" s="549">
        <v>0</v>
      </c>
      <c r="ES395" s="675">
        <v>0</v>
      </c>
      <c r="ET395" s="549">
        <v>0</v>
      </c>
      <c r="EU395" s="675">
        <v>0</v>
      </c>
      <c r="EV395" s="549">
        <v>0</v>
      </c>
      <c r="EW395" s="675">
        <v>0</v>
      </c>
      <c r="EX395" s="549">
        <v>0</v>
      </c>
      <c r="EY395" s="675">
        <v>0</v>
      </c>
      <c r="EZ395" s="549">
        <v>0</v>
      </c>
      <c r="FA395" s="675">
        <v>0</v>
      </c>
      <c r="FB395" s="549">
        <v>0</v>
      </c>
      <c r="FC395" s="675">
        <v>0</v>
      </c>
      <c r="FD395" s="549">
        <v>0</v>
      </c>
      <c r="FE395" s="675">
        <v>0</v>
      </c>
      <c r="FF395" s="549">
        <v>0</v>
      </c>
      <c r="FG395" s="675">
        <v>0</v>
      </c>
      <c r="FH395" s="549">
        <v>0</v>
      </c>
      <c r="FI395" s="675">
        <v>0</v>
      </c>
      <c r="FJ395" s="549">
        <v>0</v>
      </c>
      <c r="FK395" s="675">
        <v>0</v>
      </c>
      <c r="FL395" s="549">
        <v>2000</v>
      </c>
      <c r="FM395" s="675">
        <v>0</v>
      </c>
      <c r="FN395" s="549">
        <v>0</v>
      </c>
      <c r="FO395" s="675">
        <v>0</v>
      </c>
      <c r="FP395" s="549">
        <v>0</v>
      </c>
      <c r="FQ395" s="675">
        <v>0</v>
      </c>
      <c r="FR395" s="549">
        <v>0</v>
      </c>
      <c r="FS395" s="675">
        <v>-10000</v>
      </c>
      <c r="FT395" s="549">
        <v>0</v>
      </c>
      <c r="FU395" s="675">
        <v>0</v>
      </c>
      <c r="FV395" s="549">
        <v>0</v>
      </c>
      <c r="FW395" s="675">
        <v>0</v>
      </c>
      <c r="FX395" s="549">
        <v>0</v>
      </c>
      <c r="FY395" s="675">
        <v>0</v>
      </c>
      <c r="FZ395" s="549">
        <v>0</v>
      </c>
      <c r="GA395" s="675">
        <v>0</v>
      </c>
      <c r="GB395" s="549">
        <v>0</v>
      </c>
      <c r="GC395" s="675">
        <v>0</v>
      </c>
      <c r="GD395" s="549">
        <v>0</v>
      </c>
      <c r="GE395" s="675">
        <v>0</v>
      </c>
      <c r="GF395" s="549">
        <v>0</v>
      </c>
      <c r="GG395" s="675">
        <v>0</v>
      </c>
      <c r="GH395" s="549">
        <v>0</v>
      </c>
      <c r="GI395" s="675">
        <v>0</v>
      </c>
      <c r="GJ395" s="549">
        <v>0</v>
      </c>
      <c r="GK395" s="675">
        <v>0</v>
      </c>
      <c r="GL395" s="549">
        <v>0</v>
      </c>
      <c r="GM395" s="675">
        <v>0</v>
      </c>
      <c r="GN395" s="549">
        <v>0</v>
      </c>
      <c r="GO395" s="675">
        <v>0</v>
      </c>
      <c r="GP395" s="549">
        <f>+D395+F395+H395+J395+L395+N395+P395+R395+T395+V395+X395+Z395+AB395+AF395+AD395+AH395+AJ395+AL395+AN395+AP395+AR395+AT395+AV395+AX395+AZ395+BB395+BD395+BF395+BH395+BJ395+BL395+BN395+BP395+BR395+BT395+BV395+BX395+BZ395+CB395+CD395+CF395+CH395+CJ395+CL395+CN395+CP395+CR395+CT395+CV395+CX395+CZ395+DB395+DD395+DF395+DH395+DT395+EX395+DJ395+DL395+DN395+DP395+DR395+EJ395+EB395+DZ395+DX395+DV395+ED395+EF395+EH395+EL395+EN395+EP395+EV395+ET395+ER395+EZ395+FB395+FD395+GL395+FF395+FJ395+FL395+GJ395+FT395+FR395+FP395+FN395+FH395+GH395+GF395+GD395+GB395+FZ395+FX395+FV395+GN395</f>
        <v>32000</v>
      </c>
      <c r="GQ395" s="675">
        <f>+E395+G395+I395+K395+M395+O395+Q395+S395+U395+W395+Y395+AA395+AC395+AE395+AG395+AI395+AK395+AM395+AO395+AQ395+AS395+AU395+AW395+AY395+BA395+BC395+BE395+BG395+BI395+BK395+BM395+BO395+BQ395+BS395+BU395+BW395+BY395+CA395+CC395+CE395+CG395+CI395+CK395+CM395+CO395+CQ395+CS395+CU395+CW395+CY395+DA395+DC395+DE395+DG395+DI395+DU395+EY395+DK395+DM395+DO395+DQ395+DS395+EK395+EC395+EA395+DY395+DW395+EI395+EG395+EE395+EM395+EO395+EQ395+EW395+EU395+ES395+FA395+FC395+FE395+GM395+FG395+FK395+FM395+FO395+FQ395+FS395+FU395+GK395+FI395+GI395+GG395+GE395+GC395+GA395+FY395+FW395+GO395</f>
        <v>-21000</v>
      </c>
      <c r="GR395" s="74">
        <f>C395+GP395+GQ395</f>
        <v>86000</v>
      </c>
      <c r="GS395" s="74">
        <f>SUM(GU395:HD395)+GP395+GQ395</f>
        <v>79182</v>
      </c>
      <c r="GT395" s="568">
        <f>SUM(GU395:HF395)+GQ395+GP395</f>
        <v>86000</v>
      </c>
      <c r="GU395" s="275">
        <v>6820</v>
      </c>
      <c r="GV395" s="275">
        <v>6818</v>
      </c>
      <c r="GW395" s="275">
        <v>6818</v>
      </c>
      <c r="GX395" s="275">
        <v>6818</v>
      </c>
      <c r="GY395" s="275">
        <v>6818</v>
      </c>
      <c r="GZ395" s="275">
        <v>6818</v>
      </c>
      <c r="HA395" s="275">
        <v>6818</v>
      </c>
      <c r="HB395" s="275">
        <v>6818</v>
      </c>
      <c r="HC395" s="275">
        <v>6818</v>
      </c>
      <c r="HD395" s="275">
        <v>6818</v>
      </c>
      <c r="HE395" s="275">
        <v>6818</v>
      </c>
      <c r="HF395" s="275"/>
      <c r="HG395" s="74">
        <f>SUM(HH395:IE395)</f>
        <v>86000</v>
      </c>
      <c r="HH395" s="89">
        <v>6820</v>
      </c>
      <c r="HI395" s="817">
        <v>0</v>
      </c>
      <c r="HJ395" s="89">
        <v>6818</v>
      </c>
      <c r="HK395" s="817">
        <v>0</v>
      </c>
      <c r="HL395" s="89">
        <v>36818</v>
      </c>
      <c r="HM395" s="817">
        <v>0</v>
      </c>
      <c r="HN395" s="89">
        <v>6818</v>
      </c>
      <c r="HO395" s="817">
        <v>0</v>
      </c>
      <c r="HP395" s="89">
        <v>6818</v>
      </c>
      <c r="HQ395" s="817">
        <v>0</v>
      </c>
      <c r="HR395" s="89">
        <v>6818</v>
      </c>
      <c r="HS395" s="817">
        <v>0</v>
      </c>
      <c r="HT395" s="89">
        <v>6818</v>
      </c>
      <c r="HU395" s="817">
        <v>0</v>
      </c>
      <c r="HV395" s="89">
        <v>3818</v>
      </c>
      <c r="HW395" s="817">
        <v>0</v>
      </c>
      <c r="HX395" s="89">
        <v>-1182</v>
      </c>
      <c r="HY395" s="817">
        <v>0</v>
      </c>
      <c r="HZ395" s="89">
        <f>86000-80364</f>
        <v>5636</v>
      </c>
      <c r="IA395" s="817">
        <v>0</v>
      </c>
      <c r="IB395" s="89">
        <v>0</v>
      </c>
      <c r="IC395" s="817">
        <v>0</v>
      </c>
      <c r="ID395" s="89">
        <v>0</v>
      </c>
      <c r="IE395" s="817">
        <v>0</v>
      </c>
      <c r="IF395" s="841">
        <f>SUM(II395,IL395,IO395,IR395,IU395,IX395,JA395,JD395,JG395,JJ395,JM395,JP395)</f>
        <v>78792.13</v>
      </c>
      <c r="IG395" s="263">
        <f>SUM(IJ395,IM395,IP395,IS395,IV395,IY395,JB395,JE395,JH395,JK395,JN395,JQ395)</f>
        <v>78792.13</v>
      </c>
      <c r="IH395" s="842">
        <f>SUM(IK395,IN395,IQ395,IT395,IW395,IZ395,JC395,JF395,JI395,JL395,JO395,JR395)</f>
        <v>78792.13</v>
      </c>
      <c r="II395" s="89">
        <v>150</v>
      </c>
      <c r="IJ395" s="89">
        <f t="shared" ref="IJ395" si="10610">II395</f>
        <v>150</v>
      </c>
      <c r="IK395" s="89">
        <f t="shared" ref="IK395" si="10611">IJ395</f>
        <v>150</v>
      </c>
      <c r="IL395" s="89">
        <f>3090-150</f>
        <v>2940</v>
      </c>
      <c r="IM395" s="89">
        <f t="shared" ref="IM395" si="10612">IL395</f>
        <v>2940</v>
      </c>
      <c r="IN395" s="89">
        <f t="shared" ref="IN395" si="10613">IM395</f>
        <v>2940</v>
      </c>
      <c r="IO395" s="89">
        <f>45745-3090</f>
        <v>42655</v>
      </c>
      <c r="IP395" s="89">
        <f t="shared" ref="IP395" si="10614">IO395</f>
        <v>42655</v>
      </c>
      <c r="IQ395" s="89">
        <f t="shared" ref="IQ395" si="10615">IP395</f>
        <v>42655</v>
      </c>
      <c r="IR395" s="89">
        <f>52620-45745</f>
        <v>6875</v>
      </c>
      <c r="IS395" s="89">
        <f t="shared" ref="IS395" si="10616">IR395</f>
        <v>6875</v>
      </c>
      <c r="IT395" s="89">
        <f t="shared" ref="IT395" si="10617">IS395</f>
        <v>6875</v>
      </c>
      <c r="IU395" s="89">
        <f>57786.13-52620</f>
        <v>5166.1299999999974</v>
      </c>
      <c r="IV395" s="89">
        <f t="shared" ref="IV395" si="10618">IU395</f>
        <v>5166.1299999999974</v>
      </c>
      <c r="IW395" s="89">
        <f t="shared" ref="IW395" si="10619">IV395</f>
        <v>5166.1299999999974</v>
      </c>
      <c r="IX395" s="89">
        <f>63262.13-57786.13</f>
        <v>5476</v>
      </c>
      <c r="IY395" s="89">
        <f t="shared" ref="IY395" si="10620">IX395</f>
        <v>5476</v>
      </c>
      <c r="IZ395" s="89">
        <f t="shared" ref="IZ395" si="10621">IY395</f>
        <v>5476</v>
      </c>
      <c r="JA395" s="89">
        <f>68051.13-63262.13</f>
        <v>4789.0000000000073</v>
      </c>
      <c r="JB395" s="89">
        <f t="shared" ref="JB395" si="10622">JA395</f>
        <v>4789.0000000000073</v>
      </c>
      <c r="JC395" s="89">
        <f t="shared" ref="JC395" si="10623">JB395</f>
        <v>4789.0000000000073</v>
      </c>
      <c r="JD395" s="89">
        <f>74297.13-68051.13</f>
        <v>6246</v>
      </c>
      <c r="JE395" s="89">
        <f t="shared" ref="JE395" si="10624">JD395</f>
        <v>6246</v>
      </c>
      <c r="JF395" s="89">
        <f t="shared" ref="JF395" si="10625">JE395</f>
        <v>6246</v>
      </c>
      <c r="JG395" s="89">
        <f>76297.13-74297.13</f>
        <v>2000</v>
      </c>
      <c r="JH395" s="89">
        <f t="shared" ref="JH395" si="10626">JG395</f>
        <v>2000</v>
      </c>
      <c r="JI395" s="89">
        <f t="shared" ref="JI395" si="10627">JH395</f>
        <v>2000</v>
      </c>
      <c r="JJ395" s="89">
        <f>78792.13-76297.13</f>
        <v>2495</v>
      </c>
      <c r="JK395" s="89">
        <f t="shared" ref="JK395" si="10628">JJ395</f>
        <v>2495</v>
      </c>
      <c r="JL395" s="89">
        <f t="shared" ref="JL395" si="10629">JK395</f>
        <v>2495</v>
      </c>
      <c r="JM395" s="89">
        <v>0</v>
      </c>
      <c r="JN395" s="89">
        <f t="shared" ref="JN395" si="10630">JM395</f>
        <v>0</v>
      </c>
      <c r="JO395" s="89">
        <f t="shared" ref="JO395" si="10631">JN395</f>
        <v>0</v>
      </c>
      <c r="JP395" s="89">
        <v>0</v>
      </c>
      <c r="JQ395" s="89">
        <f t="shared" ref="JQ395:JR395" si="10632">JP395</f>
        <v>0</v>
      </c>
      <c r="JR395" s="89">
        <f t="shared" si="10632"/>
        <v>0</v>
      </c>
      <c r="JS395" s="74">
        <f>HG395-IF395</f>
        <v>7207.8699999999953</v>
      </c>
      <c r="JT395" s="382">
        <f>GS395-IF395</f>
        <v>389.86999999999534</v>
      </c>
      <c r="JU395" s="665"/>
      <c r="JV395" s="524"/>
      <c r="JW395" s="525"/>
      <c r="JX395" s="549">
        <f>SUM(HH395,HJ395,HL395,HN395,HP395,HR395,HT395,HV395,HX395,HZ395,IB395,ID395)</f>
        <v>86000</v>
      </c>
      <c r="JY395" s="549">
        <f>SUM(HI395,HK395,HM395,HO395,HQ395,HS395,HU395,HW395,HY395,IA395,IC395,IE395)</f>
        <v>0</v>
      </c>
      <c r="JZ395" s="581">
        <f t="shared" si="10300"/>
        <v>32000</v>
      </c>
      <c r="KA395" s="581">
        <f t="shared" si="10301"/>
        <v>-21000</v>
      </c>
      <c r="KB395" s="549">
        <f t="shared" si="10257"/>
        <v>86000</v>
      </c>
      <c r="KC395" s="709">
        <f t="shared" si="10273"/>
        <v>0</v>
      </c>
      <c r="KD395" s="36"/>
      <c r="KE395" s="36"/>
      <c r="KF395" s="36"/>
      <c r="KG395" s="36"/>
      <c r="KH395" s="36"/>
      <c r="KI395" s="36"/>
      <c r="KJ395" s="36"/>
      <c r="KK395" s="36"/>
    </row>
    <row r="396" spans="1:297" s="10" customFormat="1">
      <c r="A396" s="86"/>
      <c r="B396" s="77"/>
      <c r="C396" s="74"/>
      <c r="D396" s="549"/>
      <c r="E396" s="675"/>
      <c r="F396" s="549"/>
      <c r="G396" s="675"/>
      <c r="H396" s="549"/>
      <c r="I396" s="675"/>
      <c r="J396" s="549"/>
      <c r="K396" s="675"/>
      <c r="L396" s="549"/>
      <c r="M396" s="675"/>
      <c r="N396" s="549"/>
      <c r="O396" s="675"/>
      <c r="P396" s="549"/>
      <c r="Q396" s="675"/>
      <c r="R396" s="549"/>
      <c r="S396" s="675"/>
      <c r="T396" s="549"/>
      <c r="U396" s="675"/>
      <c r="V396" s="549"/>
      <c r="W396" s="675"/>
      <c r="X396" s="549"/>
      <c r="Y396" s="675"/>
      <c r="Z396" s="549"/>
      <c r="AA396" s="675"/>
      <c r="AB396" s="549"/>
      <c r="AC396" s="675"/>
      <c r="AD396" s="549"/>
      <c r="AE396" s="675"/>
      <c r="AF396" s="549"/>
      <c r="AG396" s="675"/>
      <c r="AH396" s="549"/>
      <c r="AI396" s="675"/>
      <c r="AJ396" s="549"/>
      <c r="AK396" s="675"/>
      <c r="AL396" s="549"/>
      <c r="AM396" s="675"/>
      <c r="AN396" s="549"/>
      <c r="AO396" s="675"/>
      <c r="AP396" s="549"/>
      <c r="AQ396" s="675"/>
      <c r="AR396" s="549"/>
      <c r="AS396" s="675"/>
      <c r="AT396" s="549"/>
      <c r="AU396" s="675"/>
      <c r="AV396" s="549"/>
      <c r="AW396" s="675"/>
      <c r="AX396" s="549"/>
      <c r="AY396" s="675"/>
      <c r="AZ396" s="549"/>
      <c r="BA396" s="675"/>
      <c r="BB396" s="549"/>
      <c r="BC396" s="675"/>
      <c r="BD396" s="549"/>
      <c r="BE396" s="675"/>
      <c r="BF396" s="549"/>
      <c r="BG396" s="675"/>
      <c r="BH396" s="549"/>
      <c r="BI396" s="675"/>
      <c r="BJ396" s="549"/>
      <c r="BK396" s="675"/>
      <c r="BL396" s="549"/>
      <c r="BM396" s="675"/>
      <c r="BN396" s="549"/>
      <c r="BO396" s="675"/>
      <c r="BP396" s="549"/>
      <c r="BQ396" s="675"/>
      <c r="BR396" s="549"/>
      <c r="BS396" s="675"/>
      <c r="BT396" s="549"/>
      <c r="BU396" s="675"/>
      <c r="BV396" s="549"/>
      <c r="BW396" s="675"/>
      <c r="BX396" s="549"/>
      <c r="BY396" s="675"/>
      <c r="BZ396" s="549"/>
      <c r="CA396" s="675"/>
      <c r="CB396" s="549"/>
      <c r="CC396" s="675"/>
      <c r="CD396" s="549"/>
      <c r="CE396" s="675"/>
      <c r="CF396" s="549"/>
      <c r="CG396" s="675"/>
      <c r="CH396" s="549"/>
      <c r="CI396" s="675"/>
      <c r="CJ396" s="549"/>
      <c r="CK396" s="675"/>
      <c r="CL396" s="549"/>
      <c r="CM396" s="675"/>
      <c r="CN396" s="549"/>
      <c r="CO396" s="675"/>
      <c r="CP396" s="549"/>
      <c r="CQ396" s="675"/>
      <c r="CR396" s="549"/>
      <c r="CS396" s="675"/>
      <c r="CT396" s="549"/>
      <c r="CU396" s="675"/>
      <c r="CV396" s="549"/>
      <c r="CW396" s="675"/>
      <c r="CX396" s="549"/>
      <c r="CY396" s="675"/>
      <c r="CZ396" s="549"/>
      <c r="DA396" s="675"/>
      <c r="DB396" s="549"/>
      <c r="DC396" s="675"/>
      <c r="DD396" s="549"/>
      <c r="DE396" s="675"/>
      <c r="DF396" s="549"/>
      <c r="DG396" s="675"/>
      <c r="DH396" s="549"/>
      <c r="DI396" s="675"/>
      <c r="DJ396" s="549"/>
      <c r="DK396" s="675"/>
      <c r="DL396" s="549"/>
      <c r="DM396" s="675"/>
      <c r="DN396" s="549"/>
      <c r="DO396" s="675"/>
      <c r="DP396" s="549"/>
      <c r="DQ396" s="675"/>
      <c r="DR396" s="549"/>
      <c r="DS396" s="675"/>
      <c r="DT396" s="549"/>
      <c r="DU396" s="675"/>
      <c r="DV396" s="549"/>
      <c r="DW396" s="675"/>
      <c r="DX396" s="549"/>
      <c r="DY396" s="675"/>
      <c r="DZ396" s="549"/>
      <c r="EA396" s="675"/>
      <c r="EB396" s="549"/>
      <c r="EC396" s="675"/>
      <c r="ED396" s="549"/>
      <c r="EE396" s="675"/>
      <c r="EF396" s="549"/>
      <c r="EG396" s="675"/>
      <c r="EH396" s="549"/>
      <c r="EI396" s="675"/>
      <c r="EJ396" s="549"/>
      <c r="EK396" s="675"/>
      <c r="EL396" s="549"/>
      <c r="EM396" s="675"/>
      <c r="EN396" s="549"/>
      <c r="EO396" s="675"/>
      <c r="EP396" s="549"/>
      <c r="EQ396" s="675"/>
      <c r="ER396" s="549"/>
      <c r="ES396" s="675"/>
      <c r="ET396" s="549"/>
      <c r="EU396" s="675"/>
      <c r="EV396" s="549"/>
      <c r="EW396" s="675"/>
      <c r="EX396" s="549"/>
      <c r="EY396" s="675"/>
      <c r="EZ396" s="549"/>
      <c r="FA396" s="675"/>
      <c r="FB396" s="549"/>
      <c r="FC396" s="675"/>
      <c r="FD396" s="549"/>
      <c r="FE396" s="675"/>
      <c r="FF396" s="549"/>
      <c r="FG396" s="675"/>
      <c r="FH396" s="549"/>
      <c r="FI396" s="675"/>
      <c r="FJ396" s="549"/>
      <c r="FK396" s="675"/>
      <c r="FL396" s="549"/>
      <c r="FM396" s="675"/>
      <c r="FN396" s="549"/>
      <c r="FO396" s="675"/>
      <c r="FP396" s="549"/>
      <c r="FQ396" s="675"/>
      <c r="FR396" s="549"/>
      <c r="FS396" s="675"/>
      <c r="FT396" s="549"/>
      <c r="FU396" s="675"/>
      <c r="FV396" s="549"/>
      <c r="FW396" s="675"/>
      <c r="FX396" s="549"/>
      <c r="FY396" s="675"/>
      <c r="FZ396" s="549"/>
      <c r="GA396" s="675"/>
      <c r="GB396" s="549"/>
      <c r="GC396" s="675"/>
      <c r="GD396" s="549"/>
      <c r="GE396" s="675"/>
      <c r="GF396" s="549"/>
      <c r="GG396" s="675"/>
      <c r="GH396" s="549"/>
      <c r="GI396" s="675"/>
      <c r="GJ396" s="549"/>
      <c r="GK396" s="675"/>
      <c r="GL396" s="549"/>
      <c r="GM396" s="675"/>
      <c r="GN396" s="549"/>
      <c r="GO396" s="675"/>
      <c r="GP396" s="549"/>
      <c r="GQ396" s="675"/>
      <c r="GR396" s="74"/>
      <c r="GS396" s="74"/>
      <c r="GT396" s="549"/>
      <c r="GU396" s="73"/>
      <c r="GV396" s="73"/>
      <c r="GW396" s="549"/>
      <c r="GX396" s="549"/>
      <c r="GY396" s="73"/>
      <c r="GZ396" s="73"/>
      <c r="HA396" s="73"/>
      <c r="HB396" s="73"/>
      <c r="HC396" s="73"/>
      <c r="HD396" s="73"/>
      <c r="HE396" s="73"/>
      <c r="HF396" s="73"/>
      <c r="HG396" s="74"/>
      <c r="HH396" s="73"/>
      <c r="HI396" s="815"/>
      <c r="HJ396" s="73"/>
      <c r="HK396" s="815"/>
      <c r="HL396" s="73"/>
      <c r="HM396" s="815"/>
      <c r="HN396" s="73"/>
      <c r="HO396" s="815"/>
      <c r="HP396" s="73"/>
      <c r="HQ396" s="815"/>
      <c r="HR396" s="73"/>
      <c r="HS396" s="815"/>
      <c r="HT396" s="73"/>
      <c r="HU396" s="815"/>
      <c r="HV396" s="73"/>
      <c r="HW396" s="815"/>
      <c r="HX396" s="73"/>
      <c r="HY396" s="815"/>
      <c r="HZ396" s="73"/>
      <c r="IA396" s="815"/>
      <c r="IB396" s="73"/>
      <c r="IC396" s="815"/>
      <c r="ID396" s="73"/>
      <c r="IE396" s="815"/>
      <c r="IF396" s="841"/>
      <c r="IG396" s="263"/>
      <c r="IH396" s="842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  <c r="JD396" s="73"/>
      <c r="JE396" s="73"/>
      <c r="JF396" s="73"/>
      <c r="JG396" s="73"/>
      <c r="JH396" s="73"/>
      <c r="JI396" s="73"/>
      <c r="JJ396" s="73"/>
      <c r="JK396" s="73"/>
      <c r="JL396" s="73"/>
      <c r="JM396" s="73"/>
      <c r="JN396" s="73"/>
      <c r="JO396" s="73"/>
      <c r="JP396" s="73"/>
      <c r="JQ396" s="73"/>
      <c r="JR396" s="73"/>
      <c r="JS396" s="74"/>
      <c r="JT396" s="382"/>
      <c r="JU396" s="665"/>
      <c r="JV396" s="524"/>
      <c r="JW396" s="525"/>
      <c r="JX396" s="549"/>
      <c r="JY396" s="549"/>
      <c r="JZ396" s="581">
        <f t="shared" si="10300"/>
        <v>0</v>
      </c>
      <c r="KA396" s="581">
        <f t="shared" si="10301"/>
        <v>0</v>
      </c>
      <c r="KB396" s="549">
        <f t="shared" si="10257"/>
        <v>0</v>
      </c>
      <c r="KC396" s="709">
        <f t="shared" si="10273"/>
        <v>0</v>
      </c>
      <c r="KD396" s="36"/>
      <c r="KE396" s="36"/>
      <c r="KF396" s="36"/>
      <c r="KG396" s="36"/>
      <c r="KH396" s="36"/>
      <c r="KI396" s="36"/>
      <c r="KJ396" s="36"/>
      <c r="KK396" s="36"/>
    </row>
    <row r="397" spans="1:297" s="8" customFormat="1">
      <c r="A397" s="80" t="s">
        <v>250</v>
      </c>
      <c r="B397" s="72" t="s">
        <v>235</v>
      </c>
      <c r="C397" s="74">
        <f t="shared" ref="C397" si="10633">SUM(C398:C399)</f>
        <v>18000</v>
      </c>
      <c r="D397" s="549">
        <f t="shared" ref="D397:E397" si="10634">SUM(D398:D399)</f>
        <v>0</v>
      </c>
      <c r="E397" s="675">
        <f t="shared" si="10634"/>
        <v>0</v>
      </c>
      <c r="F397" s="549">
        <f t="shared" ref="F397:G397" si="10635">SUM(F398:F399)</f>
        <v>0</v>
      </c>
      <c r="G397" s="675">
        <f t="shared" si="10635"/>
        <v>0</v>
      </c>
      <c r="H397" s="549">
        <f t="shared" ref="H397:I397" si="10636">SUM(H398:H399)</f>
        <v>0</v>
      </c>
      <c r="I397" s="675">
        <f t="shared" si="10636"/>
        <v>0</v>
      </c>
      <c r="J397" s="549">
        <f t="shared" ref="J397:K397" si="10637">SUM(J398:J399)</f>
        <v>0</v>
      </c>
      <c r="K397" s="675">
        <f t="shared" si="10637"/>
        <v>0</v>
      </c>
      <c r="L397" s="549">
        <f t="shared" ref="L397:M397" si="10638">SUM(L398:L399)</f>
        <v>0</v>
      </c>
      <c r="M397" s="675">
        <f t="shared" si="10638"/>
        <v>0</v>
      </c>
      <c r="N397" s="549">
        <f t="shared" ref="N397:O397" si="10639">SUM(N398:N399)</f>
        <v>0</v>
      </c>
      <c r="O397" s="675">
        <f t="shared" si="10639"/>
        <v>0</v>
      </c>
      <c r="P397" s="549">
        <f t="shared" ref="P397:Q397" si="10640">SUM(P398:P399)</f>
        <v>0</v>
      </c>
      <c r="Q397" s="675">
        <f t="shared" si="10640"/>
        <v>0</v>
      </c>
      <c r="R397" s="549">
        <f t="shared" ref="R397:S397" si="10641">SUM(R398:R399)</f>
        <v>0</v>
      </c>
      <c r="S397" s="675">
        <f t="shared" si="10641"/>
        <v>0</v>
      </c>
      <c r="T397" s="549">
        <f t="shared" ref="T397:AM397" si="10642">SUM(T398:T399)</f>
        <v>0</v>
      </c>
      <c r="U397" s="675">
        <f t="shared" si="10642"/>
        <v>0</v>
      </c>
      <c r="V397" s="549">
        <f t="shared" si="10642"/>
        <v>8700</v>
      </c>
      <c r="W397" s="675">
        <f t="shared" si="10642"/>
        <v>0</v>
      </c>
      <c r="X397" s="549">
        <f t="shared" si="10642"/>
        <v>0</v>
      </c>
      <c r="Y397" s="675">
        <f t="shared" si="10642"/>
        <v>0</v>
      </c>
      <c r="Z397" s="549">
        <f t="shared" si="10642"/>
        <v>0</v>
      </c>
      <c r="AA397" s="675">
        <f t="shared" si="10642"/>
        <v>0</v>
      </c>
      <c r="AB397" s="549">
        <f t="shared" si="10642"/>
        <v>0</v>
      </c>
      <c r="AC397" s="675">
        <f t="shared" si="10642"/>
        <v>0</v>
      </c>
      <c r="AD397" s="549">
        <f t="shared" ref="AD397:AK397" si="10643">SUM(AD398:AD399)</f>
        <v>0</v>
      </c>
      <c r="AE397" s="675">
        <f t="shared" si="10643"/>
        <v>0</v>
      </c>
      <c r="AF397" s="549">
        <f t="shared" si="10643"/>
        <v>0</v>
      </c>
      <c r="AG397" s="675">
        <f t="shared" si="10643"/>
        <v>0</v>
      </c>
      <c r="AH397" s="549">
        <f t="shared" si="10643"/>
        <v>0</v>
      </c>
      <c r="AI397" s="675">
        <f t="shared" si="10643"/>
        <v>0</v>
      </c>
      <c r="AJ397" s="549">
        <f t="shared" si="10643"/>
        <v>0</v>
      </c>
      <c r="AK397" s="675">
        <f t="shared" si="10643"/>
        <v>0</v>
      </c>
      <c r="AL397" s="549">
        <f t="shared" si="10642"/>
        <v>0</v>
      </c>
      <c r="AM397" s="675">
        <f t="shared" si="10642"/>
        <v>0</v>
      </c>
      <c r="AN397" s="549">
        <f t="shared" ref="AN397:AS397" si="10644">SUM(AN398:AN399)</f>
        <v>0</v>
      </c>
      <c r="AO397" s="675">
        <f t="shared" si="10644"/>
        <v>0</v>
      </c>
      <c r="AP397" s="549">
        <f t="shared" si="10644"/>
        <v>0</v>
      </c>
      <c r="AQ397" s="675">
        <f t="shared" si="10644"/>
        <v>0</v>
      </c>
      <c r="AR397" s="549">
        <f t="shared" si="10644"/>
        <v>0</v>
      </c>
      <c r="AS397" s="675">
        <f t="shared" si="10644"/>
        <v>0</v>
      </c>
      <c r="AT397" s="549">
        <f t="shared" ref="AT397:AU397" si="10645">SUM(AT398:AT399)</f>
        <v>0</v>
      </c>
      <c r="AU397" s="675">
        <f t="shared" si="10645"/>
        <v>0</v>
      </c>
      <c r="AV397" s="549">
        <f t="shared" ref="AV397:AW397" si="10646">SUM(AV398:AV399)</f>
        <v>0</v>
      </c>
      <c r="AW397" s="675">
        <f t="shared" si="10646"/>
        <v>0</v>
      </c>
      <c r="AX397" s="549">
        <f t="shared" ref="AX397:AY397" si="10647">SUM(AX398:AX399)</f>
        <v>0</v>
      </c>
      <c r="AY397" s="675">
        <f t="shared" si="10647"/>
        <v>0</v>
      </c>
      <c r="AZ397" s="549">
        <f t="shared" ref="AZ397:BA397" si="10648">SUM(AZ398:AZ399)</f>
        <v>0</v>
      </c>
      <c r="BA397" s="675">
        <f t="shared" si="10648"/>
        <v>-6000</v>
      </c>
      <c r="BB397" s="549">
        <f t="shared" ref="BB397:BC397" si="10649">SUM(BB398:BB399)</f>
        <v>0</v>
      </c>
      <c r="BC397" s="675">
        <f t="shared" si="10649"/>
        <v>0</v>
      </c>
      <c r="BD397" s="549">
        <f t="shared" ref="BD397:BE397" si="10650">SUM(BD398:BD399)</f>
        <v>0</v>
      </c>
      <c r="BE397" s="675">
        <f t="shared" si="10650"/>
        <v>0</v>
      </c>
      <c r="BF397" s="549">
        <f t="shared" ref="BF397:BG397" si="10651">SUM(BF398:BF399)</f>
        <v>0</v>
      </c>
      <c r="BG397" s="675">
        <f t="shared" si="10651"/>
        <v>0</v>
      </c>
      <c r="BH397" s="549">
        <f t="shared" ref="BH397:BI397" si="10652">SUM(BH398:BH399)</f>
        <v>0</v>
      </c>
      <c r="BI397" s="675">
        <f t="shared" si="10652"/>
        <v>0</v>
      </c>
      <c r="BJ397" s="549">
        <f t="shared" ref="BJ397:BK397" si="10653">SUM(BJ398:BJ399)</f>
        <v>0</v>
      </c>
      <c r="BK397" s="675">
        <f t="shared" si="10653"/>
        <v>0</v>
      </c>
      <c r="BL397" s="549">
        <f t="shared" ref="BL397:BS397" si="10654">SUM(BL398:BL399)</f>
        <v>0</v>
      </c>
      <c r="BM397" s="675">
        <f t="shared" si="10654"/>
        <v>0</v>
      </c>
      <c r="BN397" s="549">
        <f t="shared" si="10654"/>
        <v>0</v>
      </c>
      <c r="BO397" s="675">
        <f t="shared" si="10654"/>
        <v>0</v>
      </c>
      <c r="BP397" s="549">
        <f t="shared" si="10654"/>
        <v>0</v>
      </c>
      <c r="BQ397" s="675">
        <f t="shared" si="10654"/>
        <v>0</v>
      </c>
      <c r="BR397" s="549">
        <f t="shared" si="10654"/>
        <v>0</v>
      </c>
      <c r="BS397" s="675">
        <f t="shared" si="10654"/>
        <v>0</v>
      </c>
      <c r="BT397" s="549">
        <f t="shared" ref="BT397:BU397" si="10655">SUM(BT398:BT399)</f>
        <v>0</v>
      </c>
      <c r="BU397" s="675">
        <f t="shared" si="10655"/>
        <v>0</v>
      </c>
      <c r="BV397" s="549">
        <f t="shared" ref="BV397:BW397" si="10656">SUM(BV398:BV399)</f>
        <v>0</v>
      </c>
      <c r="BW397" s="675">
        <f t="shared" si="10656"/>
        <v>0</v>
      </c>
      <c r="BX397" s="549">
        <f t="shared" ref="BX397:BY397" si="10657">SUM(BX398:BX399)</f>
        <v>0</v>
      </c>
      <c r="BY397" s="675">
        <f t="shared" si="10657"/>
        <v>0</v>
      </c>
      <c r="BZ397" s="549">
        <f t="shared" ref="BZ397:CA397" si="10658">SUM(BZ398:BZ399)</f>
        <v>0</v>
      </c>
      <c r="CA397" s="675">
        <f t="shared" si="10658"/>
        <v>0</v>
      </c>
      <c r="CB397" s="549">
        <f t="shared" ref="CB397:CE397" si="10659">SUM(CB398:CB399)</f>
        <v>0</v>
      </c>
      <c r="CC397" s="675">
        <f t="shared" si="10659"/>
        <v>0</v>
      </c>
      <c r="CD397" s="549">
        <f t="shared" si="10659"/>
        <v>0</v>
      </c>
      <c r="CE397" s="675">
        <f t="shared" si="10659"/>
        <v>0</v>
      </c>
      <c r="CF397" s="549">
        <f t="shared" ref="CF397:CQ397" si="10660">SUM(CF398:CF399)</f>
        <v>0</v>
      </c>
      <c r="CG397" s="675">
        <f t="shared" si="10660"/>
        <v>0</v>
      </c>
      <c r="CH397" s="549">
        <f t="shared" si="10660"/>
        <v>0</v>
      </c>
      <c r="CI397" s="675">
        <f t="shared" si="10660"/>
        <v>0</v>
      </c>
      <c r="CJ397" s="549">
        <f t="shared" si="10660"/>
        <v>0</v>
      </c>
      <c r="CK397" s="675">
        <f t="shared" si="10660"/>
        <v>0</v>
      </c>
      <c r="CL397" s="549">
        <f t="shared" si="10660"/>
        <v>0</v>
      </c>
      <c r="CM397" s="675">
        <f t="shared" si="10660"/>
        <v>0</v>
      </c>
      <c r="CN397" s="549">
        <f t="shared" si="10660"/>
        <v>0</v>
      </c>
      <c r="CO397" s="675">
        <f t="shared" si="10660"/>
        <v>0</v>
      </c>
      <c r="CP397" s="549">
        <f t="shared" si="10660"/>
        <v>0</v>
      </c>
      <c r="CQ397" s="675">
        <f t="shared" si="10660"/>
        <v>0</v>
      </c>
      <c r="CR397" s="549">
        <f t="shared" ref="CR397:CY397" si="10661">SUM(CR398:CR399)</f>
        <v>0</v>
      </c>
      <c r="CS397" s="675">
        <f t="shared" si="10661"/>
        <v>0</v>
      </c>
      <c r="CT397" s="549">
        <f t="shared" si="10661"/>
        <v>0</v>
      </c>
      <c r="CU397" s="675">
        <f t="shared" si="10661"/>
        <v>0</v>
      </c>
      <c r="CV397" s="549">
        <f t="shared" si="10661"/>
        <v>0</v>
      </c>
      <c r="CW397" s="675">
        <f t="shared" si="10661"/>
        <v>0</v>
      </c>
      <c r="CX397" s="549">
        <f t="shared" si="10661"/>
        <v>0</v>
      </c>
      <c r="CY397" s="675">
        <f t="shared" si="10661"/>
        <v>0</v>
      </c>
      <c r="CZ397" s="549">
        <f t="shared" ref="CZ397:DG397" si="10662">SUM(CZ398:CZ399)</f>
        <v>0</v>
      </c>
      <c r="DA397" s="675">
        <f t="shared" si="10662"/>
        <v>0</v>
      </c>
      <c r="DB397" s="549">
        <f t="shared" si="10662"/>
        <v>0</v>
      </c>
      <c r="DC397" s="675">
        <f t="shared" si="10662"/>
        <v>0</v>
      </c>
      <c r="DD397" s="549">
        <f t="shared" si="10662"/>
        <v>0</v>
      </c>
      <c r="DE397" s="675">
        <f t="shared" si="10662"/>
        <v>0</v>
      </c>
      <c r="DF397" s="549">
        <f t="shared" si="10662"/>
        <v>0</v>
      </c>
      <c r="DG397" s="675">
        <f t="shared" si="10662"/>
        <v>0</v>
      </c>
      <c r="DH397" s="549">
        <f t="shared" ref="DH397:HG397" si="10663">SUM(DH398:DH399)</f>
        <v>0</v>
      </c>
      <c r="DI397" s="675">
        <f t="shared" si="10663"/>
        <v>0</v>
      </c>
      <c r="DJ397" s="549">
        <f t="shared" si="10663"/>
        <v>0</v>
      </c>
      <c r="DK397" s="675">
        <f t="shared" si="10663"/>
        <v>0</v>
      </c>
      <c r="DL397" s="549">
        <f t="shared" si="10663"/>
        <v>0</v>
      </c>
      <c r="DM397" s="675">
        <f t="shared" si="10663"/>
        <v>0</v>
      </c>
      <c r="DN397" s="549">
        <f t="shared" si="10663"/>
        <v>0</v>
      </c>
      <c r="DO397" s="675">
        <f t="shared" si="10663"/>
        <v>0</v>
      </c>
      <c r="DP397" s="549">
        <f t="shared" si="10663"/>
        <v>0</v>
      </c>
      <c r="DQ397" s="675">
        <f t="shared" si="10663"/>
        <v>0</v>
      </c>
      <c r="DR397" s="549">
        <f t="shared" si="10663"/>
        <v>0</v>
      </c>
      <c r="DS397" s="675">
        <f t="shared" si="10663"/>
        <v>0</v>
      </c>
      <c r="DT397" s="549">
        <f t="shared" si="10663"/>
        <v>0</v>
      </c>
      <c r="DU397" s="675">
        <f t="shared" si="10663"/>
        <v>0</v>
      </c>
      <c r="DV397" s="549">
        <f t="shared" si="10663"/>
        <v>0</v>
      </c>
      <c r="DW397" s="675">
        <f t="shared" si="10663"/>
        <v>0</v>
      </c>
      <c r="DX397" s="549">
        <f t="shared" si="10663"/>
        <v>0</v>
      </c>
      <c r="DY397" s="675">
        <f t="shared" si="10663"/>
        <v>0</v>
      </c>
      <c r="DZ397" s="549">
        <f t="shared" ref="DZ397:FA397" si="10664">SUM(DZ398:DZ399)</f>
        <v>0</v>
      </c>
      <c r="EA397" s="675">
        <f t="shared" si="10664"/>
        <v>0</v>
      </c>
      <c r="EB397" s="549">
        <f t="shared" si="10664"/>
        <v>0</v>
      </c>
      <c r="EC397" s="675">
        <f t="shared" si="10664"/>
        <v>0</v>
      </c>
      <c r="ED397" s="549">
        <f t="shared" si="10664"/>
        <v>0</v>
      </c>
      <c r="EE397" s="675">
        <f t="shared" si="10664"/>
        <v>0</v>
      </c>
      <c r="EF397" s="549">
        <f t="shared" si="10664"/>
        <v>0</v>
      </c>
      <c r="EG397" s="675">
        <f t="shared" si="10664"/>
        <v>0</v>
      </c>
      <c r="EH397" s="549">
        <f t="shared" ref="EH397:EM397" si="10665">SUM(EH398:EH399)</f>
        <v>0</v>
      </c>
      <c r="EI397" s="675">
        <f t="shared" si="10665"/>
        <v>0</v>
      </c>
      <c r="EJ397" s="549">
        <f t="shared" si="10665"/>
        <v>0</v>
      </c>
      <c r="EK397" s="675">
        <f t="shared" si="10665"/>
        <v>0</v>
      </c>
      <c r="EL397" s="549">
        <f t="shared" si="10665"/>
        <v>0</v>
      </c>
      <c r="EM397" s="675">
        <f t="shared" si="10665"/>
        <v>-2000</v>
      </c>
      <c r="EN397" s="549">
        <f t="shared" si="10664"/>
        <v>0</v>
      </c>
      <c r="EO397" s="675">
        <f t="shared" si="10664"/>
        <v>0</v>
      </c>
      <c r="EP397" s="549">
        <f t="shared" si="10664"/>
        <v>0</v>
      </c>
      <c r="EQ397" s="675">
        <f t="shared" si="10664"/>
        <v>0</v>
      </c>
      <c r="ER397" s="549">
        <f t="shared" si="10664"/>
        <v>0</v>
      </c>
      <c r="ES397" s="675">
        <f t="shared" si="10664"/>
        <v>0</v>
      </c>
      <c r="ET397" s="549">
        <f t="shared" si="10664"/>
        <v>3000</v>
      </c>
      <c r="EU397" s="675">
        <f t="shared" si="10664"/>
        <v>0</v>
      </c>
      <c r="EV397" s="549">
        <f t="shared" ref="EV397:EW397" si="10666">SUM(EV398:EV399)</f>
        <v>0</v>
      </c>
      <c r="EW397" s="675">
        <f t="shared" si="10666"/>
        <v>0</v>
      </c>
      <c r="EX397" s="549">
        <f t="shared" si="10664"/>
        <v>0</v>
      </c>
      <c r="EY397" s="675">
        <f t="shared" si="10664"/>
        <v>0</v>
      </c>
      <c r="EZ397" s="549">
        <f t="shared" si="10664"/>
        <v>0</v>
      </c>
      <c r="FA397" s="675">
        <f t="shared" si="10664"/>
        <v>0</v>
      </c>
      <c r="FB397" s="549">
        <f t="shared" si="10663"/>
        <v>0</v>
      </c>
      <c r="FC397" s="675">
        <f t="shared" si="10663"/>
        <v>0</v>
      </c>
      <c r="FD397" s="549">
        <f t="shared" si="10663"/>
        <v>0</v>
      </c>
      <c r="FE397" s="675">
        <f t="shared" si="10663"/>
        <v>0</v>
      </c>
      <c r="FF397" s="549">
        <f t="shared" ref="FF397:FG397" si="10667">SUM(FF398:FF399)</f>
        <v>0</v>
      </c>
      <c r="FG397" s="675">
        <f t="shared" si="10667"/>
        <v>0</v>
      </c>
      <c r="FH397" s="549">
        <f t="shared" ref="FH397:FI397" si="10668">SUM(FH398:FH399)</f>
        <v>0</v>
      </c>
      <c r="FI397" s="675">
        <f t="shared" si="10668"/>
        <v>0</v>
      </c>
      <c r="FJ397" s="549">
        <f t="shared" ref="FJ397:FK397" si="10669">SUM(FJ398:FJ399)</f>
        <v>0</v>
      </c>
      <c r="FK397" s="675">
        <f t="shared" si="10669"/>
        <v>0</v>
      </c>
      <c r="FL397" s="549">
        <f t="shared" ref="FL397:FM397" si="10670">SUM(FL398:FL399)</f>
        <v>0</v>
      </c>
      <c r="FM397" s="675">
        <f t="shared" si="10670"/>
        <v>0</v>
      </c>
      <c r="FN397" s="549">
        <f t="shared" ref="FN397:FO397" si="10671">SUM(FN398:FN399)</f>
        <v>0</v>
      </c>
      <c r="FO397" s="675">
        <f t="shared" si="10671"/>
        <v>0</v>
      </c>
      <c r="FP397" s="549">
        <f t="shared" ref="FP397:FQ397" si="10672">SUM(FP398:FP399)</f>
        <v>0</v>
      </c>
      <c r="FQ397" s="675">
        <f t="shared" si="10672"/>
        <v>0</v>
      </c>
      <c r="FR397" s="549">
        <f t="shared" ref="FR397:FS397" si="10673">SUM(FR398:FR399)</f>
        <v>0</v>
      </c>
      <c r="FS397" s="675">
        <f t="shared" si="10673"/>
        <v>0</v>
      </c>
      <c r="FT397" s="549">
        <f t="shared" ref="FT397:FU397" si="10674">SUM(FT398:FT399)</f>
        <v>0</v>
      </c>
      <c r="FU397" s="675">
        <f t="shared" si="10674"/>
        <v>0</v>
      </c>
      <c r="FV397" s="549">
        <f t="shared" ref="FV397:GK397" si="10675">SUM(FV398:FV399)</f>
        <v>0</v>
      </c>
      <c r="FW397" s="675">
        <f t="shared" si="10675"/>
        <v>0</v>
      </c>
      <c r="FX397" s="549">
        <f t="shared" si="10675"/>
        <v>0</v>
      </c>
      <c r="FY397" s="675">
        <f t="shared" si="10675"/>
        <v>0</v>
      </c>
      <c r="FZ397" s="549">
        <f t="shared" ref="FZ397:GI397" si="10676">SUM(FZ398:FZ399)</f>
        <v>0</v>
      </c>
      <c r="GA397" s="675">
        <f t="shared" si="10676"/>
        <v>0</v>
      </c>
      <c r="GB397" s="549">
        <f t="shared" si="10676"/>
        <v>0</v>
      </c>
      <c r="GC397" s="675">
        <f t="shared" si="10676"/>
        <v>0</v>
      </c>
      <c r="GD397" s="549">
        <f t="shared" si="10676"/>
        <v>0</v>
      </c>
      <c r="GE397" s="675">
        <f t="shared" si="10676"/>
        <v>0</v>
      </c>
      <c r="GF397" s="549">
        <f t="shared" si="10676"/>
        <v>0</v>
      </c>
      <c r="GG397" s="675">
        <f t="shared" si="10676"/>
        <v>0</v>
      </c>
      <c r="GH397" s="549">
        <f t="shared" si="10676"/>
        <v>0</v>
      </c>
      <c r="GI397" s="675">
        <f t="shared" si="10676"/>
        <v>0</v>
      </c>
      <c r="GJ397" s="549">
        <f t="shared" si="10675"/>
        <v>0</v>
      </c>
      <c r="GK397" s="675">
        <f t="shared" si="10675"/>
        <v>0</v>
      </c>
      <c r="GL397" s="549">
        <f t="shared" ref="GL397:GM397" si="10677">SUM(GL398:GL399)</f>
        <v>0</v>
      </c>
      <c r="GM397" s="675">
        <f t="shared" si="10677"/>
        <v>0</v>
      </c>
      <c r="GN397" s="549">
        <f t="shared" ref="GN397:GO397" si="10678">SUM(GN398:GN399)</f>
        <v>0</v>
      </c>
      <c r="GO397" s="675">
        <f t="shared" si="10678"/>
        <v>0</v>
      </c>
      <c r="GP397" s="549">
        <f t="shared" si="10663"/>
        <v>11700</v>
      </c>
      <c r="GQ397" s="675">
        <f t="shared" si="10663"/>
        <v>-8000</v>
      </c>
      <c r="GR397" s="74">
        <f t="shared" si="10663"/>
        <v>21700</v>
      </c>
      <c r="GS397" s="74">
        <f t="shared" si="10663"/>
        <v>21700</v>
      </c>
      <c r="GT397" s="549">
        <f t="shared" si="10663"/>
        <v>21700</v>
      </c>
      <c r="GU397" s="74">
        <f t="shared" si="10663"/>
        <v>6000</v>
      </c>
      <c r="GV397" s="74">
        <f t="shared" si="10663"/>
        <v>0</v>
      </c>
      <c r="GW397" s="549">
        <f t="shared" si="10663"/>
        <v>6000</v>
      </c>
      <c r="GX397" s="549">
        <f t="shared" si="10663"/>
        <v>0</v>
      </c>
      <c r="GY397" s="74">
        <f t="shared" si="10663"/>
        <v>0</v>
      </c>
      <c r="GZ397" s="74">
        <f t="shared" si="10663"/>
        <v>6000</v>
      </c>
      <c r="HA397" s="74">
        <f t="shared" si="10663"/>
        <v>0</v>
      </c>
      <c r="HB397" s="74">
        <f t="shared" si="10663"/>
        <v>0</v>
      </c>
      <c r="HC397" s="74">
        <f t="shared" si="10663"/>
        <v>0</v>
      </c>
      <c r="HD397" s="74">
        <f t="shared" si="10663"/>
        <v>0</v>
      </c>
      <c r="HE397" s="74">
        <f t="shared" si="10663"/>
        <v>0</v>
      </c>
      <c r="HF397" s="74">
        <f t="shared" si="10663"/>
        <v>0</v>
      </c>
      <c r="HG397" s="74">
        <f t="shared" si="10663"/>
        <v>21700</v>
      </c>
      <c r="HH397" s="74">
        <f t="shared" ref="HH397:HI397" si="10679">SUM(HH398:HH399)</f>
        <v>6000</v>
      </c>
      <c r="HI397" s="792">
        <f t="shared" si="10679"/>
        <v>0</v>
      </c>
      <c r="HJ397" s="74">
        <f t="shared" ref="HJ397:HK397" si="10680">SUM(HJ398:HJ399)</f>
        <v>0</v>
      </c>
      <c r="HK397" s="792">
        <f t="shared" si="10680"/>
        <v>0</v>
      </c>
      <c r="HL397" s="74">
        <f t="shared" ref="HL397:HM397" si="10681">SUM(HL398:HL399)</f>
        <v>576.29999999999995</v>
      </c>
      <c r="HM397" s="792">
        <f t="shared" si="10681"/>
        <v>0</v>
      </c>
      <c r="HN397" s="74">
        <f t="shared" ref="HN397:HO397" si="10682">SUM(HN398:HN399)</f>
        <v>14123</v>
      </c>
      <c r="HO397" s="792">
        <f t="shared" si="10682"/>
        <v>0</v>
      </c>
      <c r="HP397" s="74">
        <f t="shared" ref="HP397:HQ397" si="10683">SUM(HP398:HP399)</f>
        <v>-6000</v>
      </c>
      <c r="HQ397" s="792">
        <f t="shared" si="10683"/>
        <v>0</v>
      </c>
      <c r="HR397" s="74">
        <f t="shared" ref="HR397:HS397" si="10684">SUM(HR398:HR399)</f>
        <v>0</v>
      </c>
      <c r="HS397" s="792">
        <f t="shared" si="10684"/>
        <v>0</v>
      </c>
      <c r="HT397" s="74">
        <f t="shared" ref="HT397:HU397" si="10685">SUM(HT398:HT399)</f>
        <v>6000</v>
      </c>
      <c r="HU397" s="792">
        <f t="shared" si="10685"/>
        <v>0</v>
      </c>
      <c r="HV397" s="74">
        <f t="shared" ref="HV397:HW397" si="10686">SUM(HV398:HV399)</f>
        <v>0</v>
      </c>
      <c r="HW397" s="792">
        <f t="shared" si="10686"/>
        <v>0</v>
      </c>
      <c r="HX397" s="74">
        <f t="shared" ref="HX397:HY397" si="10687">SUM(HX398:HX399)</f>
        <v>1000.7</v>
      </c>
      <c r="HY397" s="792">
        <f t="shared" si="10687"/>
        <v>0</v>
      </c>
      <c r="HZ397" s="74">
        <f t="shared" ref="HZ397:IA397" si="10688">SUM(HZ398:HZ399)</f>
        <v>0</v>
      </c>
      <c r="IA397" s="792">
        <f t="shared" si="10688"/>
        <v>0</v>
      </c>
      <c r="IB397" s="74">
        <f t="shared" ref="IB397:IC397" si="10689">SUM(IB398:IB399)</f>
        <v>0</v>
      </c>
      <c r="IC397" s="792">
        <f t="shared" si="10689"/>
        <v>0</v>
      </c>
      <c r="ID397" s="74">
        <f t="shared" ref="ID397:IN397" si="10690">SUM(ID398:ID399)</f>
        <v>0</v>
      </c>
      <c r="IE397" s="792">
        <f t="shared" si="10690"/>
        <v>0</v>
      </c>
      <c r="IF397" s="841">
        <f t="shared" si="10690"/>
        <v>20573.900000000001</v>
      </c>
      <c r="IG397" s="263">
        <f t="shared" si="10690"/>
        <v>20573.900000000001</v>
      </c>
      <c r="IH397" s="842">
        <f t="shared" si="10690"/>
        <v>20573.900000000001</v>
      </c>
      <c r="II397" s="74">
        <f t="shared" si="10690"/>
        <v>0</v>
      </c>
      <c r="IJ397" s="74">
        <f t="shared" si="10690"/>
        <v>0</v>
      </c>
      <c r="IK397" s="74">
        <f t="shared" si="10690"/>
        <v>0</v>
      </c>
      <c r="IL397" s="74">
        <f t="shared" si="10690"/>
        <v>5578.8</v>
      </c>
      <c r="IM397" s="74">
        <f t="shared" si="10690"/>
        <v>5578.8</v>
      </c>
      <c r="IN397" s="74">
        <f t="shared" si="10690"/>
        <v>5578.8</v>
      </c>
      <c r="IO397" s="74">
        <f t="shared" ref="IO397:JC397" si="10691">SUM(IO398:IO399)</f>
        <v>997.5</v>
      </c>
      <c r="IP397" s="74">
        <f t="shared" si="10691"/>
        <v>997.5</v>
      </c>
      <c r="IQ397" s="74">
        <f t="shared" si="10691"/>
        <v>997.5</v>
      </c>
      <c r="IR397" s="74">
        <f t="shared" si="10691"/>
        <v>0</v>
      </c>
      <c r="IS397" s="74">
        <f t="shared" si="10691"/>
        <v>0</v>
      </c>
      <c r="IT397" s="74">
        <f t="shared" si="10691"/>
        <v>0</v>
      </c>
      <c r="IU397" s="74">
        <f t="shared" si="10691"/>
        <v>2599.9999999999991</v>
      </c>
      <c r="IV397" s="74">
        <f t="shared" si="10691"/>
        <v>2599.9999999999991</v>
      </c>
      <c r="IW397" s="74">
        <f t="shared" si="10691"/>
        <v>2599.9999999999991</v>
      </c>
      <c r="IX397" s="74">
        <f t="shared" si="10691"/>
        <v>0</v>
      </c>
      <c r="IY397" s="74">
        <f t="shared" si="10691"/>
        <v>0</v>
      </c>
      <c r="IZ397" s="74">
        <f t="shared" si="10691"/>
        <v>0</v>
      </c>
      <c r="JA397" s="74">
        <f t="shared" si="10691"/>
        <v>1500</v>
      </c>
      <c r="JB397" s="74">
        <f t="shared" si="10691"/>
        <v>1500</v>
      </c>
      <c r="JC397" s="74">
        <f t="shared" si="10691"/>
        <v>1500</v>
      </c>
      <c r="JD397" s="74">
        <f t="shared" ref="JD397:JF397" si="10692">SUM(JD398:JD399)</f>
        <v>620</v>
      </c>
      <c r="JE397" s="74">
        <f t="shared" si="10692"/>
        <v>620</v>
      </c>
      <c r="JF397" s="74">
        <f t="shared" si="10692"/>
        <v>620</v>
      </c>
      <c r="JG397" s="74">
        <f t="shared" ref="JG397:JI397" si="10693">SUM(JG398:JG399)</f>
        <v>5120</v>
      </c>
      <c r="JH397" s="74">
        <f t="shared" si="10693"/>
        <v>5120</v>
      </c>
      <c r="JI397" s="74">
        <f t="shared" si="10693"/>
        <v>5120</v>
      </c>
      <c r="JJ397" s="74">
        <f t="shared" ref="JJ397:JL397" si="10694">SUM(JJ398:JJ399)</f>
        <v>4157.6000000000022</v>
      </c>
      <c r="JK397" s="74">
        <f t="shared" si="10694"/>
        <v>4157.6000000000022</v>
      </c>
      <c r="JL397" s="74">
        <f t="shared" si="10694"/>
        <v>4157.6000000000022</v>
      </c>
      <c r="JM397" s="74">
        <f t="shared" ref="JM397:JO397" si="10695">SUM(JM398:JM399)</f>
        <v>0</v>
      </c>
      <c r="JN397" s="74">
        <f t="shared" si="10695"/>
        <v>0</v>
      </c>
      <c r="JO397" s="74">
        <f t="shared" si="10695"/>
        <v>0</v>
      </c>
      <c r="JP397" s="74">
        <f t="shared" ref="JP397:JY397" si="10696">SUM(JP398:JP399)</f>
        <v>0</v>
      </c>
      <c r="JQ397" s="74">
        <f t="shared" si="10696"/>
        <v>0</v>
      </c>
      <c r="JR397" s="74">
        <f t="shared" si="10696"/>
        <v>0</v>
      </c>
      <c r="JS397" s="74">
        <f>SUM(JS398:JS399)</f>
        <v>1126.0999999999985</v>
      </c>
      <c r="JT397" s="102">
        <f>SUM(JT398:JT399)</f>
        <v>1126.0999999999985</v>
      </c>
      <c r="JU397" s="665"/>
      <c r="JV397" s="524"/>
      <c r="JW397" s="525"/>
      <c r="JX397" s="549">
        <f>SUM(JX398:JX399)</f>
        <v>21700</v>
      </c>
      <c r="JY397" s="549">
        <f t="shared" si="10696"/>
        <v>0</v>
      </c>
      <c r="JZ397" s="581">
        <f t="shared" si="10300"/>
        <v>11700</v>
      </c>
      <c r="KA397" s="581">
        <f t="shared" si="10301"/>
        <v>-8000</v>
      </c>
      <c r="KB397" s="549">
        <f t="shared" si="10257"/>
        <v>21700</v>
      </c>
      <c r="KC397" s="709">
        <f t="shared" si="10273"/>
        <v>0</v>
      </c>
      <c r="KD397" s="36"/>
      <c r="KE397" s="36"/>
      <c r="KF397" s="36"/>
      <c r="KG397" s="36"/>
      <c r="KH397" s="36"/>
      <c r="KI397" s="36"/>
      <c r="KJ397" s="36"/>
      <c r="KK397" s="36"/>
    </row>
    <row r="398" spans="1:297" s="10" customFormat="1" hidden="1">
      <c r="A398" s="86" t="s">
        <v>727</v>
      </c>
      <c r="B398" s="77" t="s">
        <v>96</v>
      </c>
      <c r="C398" s="74">
        <v>0</v>
      </c>
      <c r="D398" s="549">
        <v>0</v>
      </c>
      <c r="E398" s="675">
        <v>0</v>
      </c>
      <c r="F398" s="549">
        <v>0</v>
      </c>
      <c r="G398" s="675">
        <v>0</v>
      </c>
      <c r="H398" s="549">
        <v>0</v>
      </c>
      <c r="I398" s="675">
        <v>0</v>
      </c>
      <c r="J398" s="549">
        <v>0</v>
      </c>
      <c r="K398" s="675">
        <v>0</v>
      </c>
      <c r="L398" s="549">
        <v>0</v>
      </c>
      <c r="M398" s="675">
        <v>0</v>
      </c>
      <c r="N398" s="549">
        <v>0</v>
      </c>
      <c r="O398" s="675">
        <v>0</v>
      </c>
      <c r="P398" s="549">
        <v>0</v>
      </c>
      <c r="Q398" s="675">
        <v>0</v>
      </c>
      <c r="R398" s="549">
        <v>0</v>
      </c>
      <c r="S398" s="675">
        <v>0</v>
      </c>
      <c r="T398" s="549">
        <v>0</v>
      </c>
      <c r="U398" s="675">
        <v>0</v>
      </c>
      <c r="V398" s="549">
        <v>0</v>
      </c>
      <c r="W398" s="675">
        <v>0</v>
      </c>
      <c r="X398" s="549">
        <v>0</v>
      </c>
      <c r="Y398" s="675">
        <v>0</v>
      </c>
      <c r="Z398" s="549">
        <v>0</v>
      </c>
      <c r="AA398" s="675">
        <v>0</v>
      </c>
      <c r="AB398" s="549">
        <v>0</v>
      </c>
      <c r="AC398" s="675">
        <v>0</v>
      </c>
      <c r="AD398" s="549">
        <v>0</v>
      </c>
      <c r="AE398" s="675">
        <v>0</v>
      </c>
      <c r="AF398" s="549">
        <v>0</v>
      </c>
      <c r="AG398" s="675">
        <v>0</v>
      </c>
      <c r="AH398" s="549">
        <v>0</v>
      </c>
      <c r="AI398" s="675">
        <v>0</v>
      </c>
      <c r="AJ398" s="549">
        <v>0</v>
      </c>
      <c r="AK398" s="675">
        <v>0</v>
      </c>
      <c r="AL398" s="549">
        <v>0</v>
      </c>
      <c r="AM398" s="675">
        <v>0</v>
      </c>
      <c r="AN398" s="549">
        <v>0</v>
      </c>
      <c r="AO398" s="675">
        <v>0</v>
      </c>
      <c r="AP398" s="549">
        <v>0</v>
      </c>
      <c r="AQ398" s="675">
        <v>0</v>
      </c>
      <c r="AR398" s="549">
        <v>0</v>
      </c>
      <c r="AS398" s="675">
        <v>0</v>
      </c>
      <c r="AT398" s="549">
        <v>0</v>
      </c>
      <c r="AU398" s="675">
        <v>0</v>
      </c>
      <c r="AV398" s="549">
        <v>0</v>
      </c>
      <c r="AW398" s="675">
        <v>0</v>
      </c>
      <c r="AX398" s="549">
        <v>0</v>
      </c>
      <c r="AY398" s="675">
        <v>0</v>
      </c>
      <c r="AZ398" s="549">
        <v>0</v>
      </c>
      <c r="BA398" s="675">
        <v>0</v>
      </c>
      <c r="BB398" s="549">
        <v>0</v>
      </c>
      <c r="BC398" s="675">
        <v>0</v>
      </c>
      <c r="BD398" s="549">
        <v>0</v>
      </c>
      <c r="BE398" s="675">
        <v>0</v>
      </c>
      <c r="BF398" s="549">
        <v>0</v>
      </c>
      <c r="BG398" s="675">
        <v>0</v>
      </c>
      <c r="BH398" s="549">
        <v>0</v>
      </c>
      <c r="BI398" s="675">
        <v>0</v>
      </c>
      <c r="BJ398" s="549">
        <v>0</v>
      </c>
      <c r="BK398" s="675">
        <v>0</v>
      </c>
      <c r="BL398" s="549">
        <v>0</v>
      </c>
      <c r="BM398" s="675">
        <v>0</v>
      </c>
      <c r="BN398" s="549">
        <v>0</v>
      </c>
      <c r="BO398" s="675">
        <v>0</v>
      </c>
      <c r="BP398" s="549">
        <v>0</v>
      </c>
      <c r="BQ398" s="675">
        <v>0</v>
      </c>
      <c r="BR398" s="549">
        <v>0</v>
      </c>
      <c r="BS398" s="675">
        <v>0</v>
      </c>
      <c r="BT398" s="549">
        <v>0</v>
      </c>
      <c r="BU398" s="675">
        <v>0</v>
      </c>
      <c r="BV398" s="549">
        <v>0</v>
      </c>
      <c r="BW398" s="675">
        <v>0</v>
      </c>
      <c r="BX398" s="549">
        <v>0</v>
      </c>
      <c r="BY398" s="675">
        <v>0</v>
      </c>
      <c r="BZ398" s="549">
        <v>0</v>
      </c>
      <c r="CA398" s="675">
        <v>0</v>
      </c>
      <c r="CB398" s="549">
        <v>0</v>
      </c>
      <c r="CC398" s="675">
        <v>0</v>
      </c>
      <c r="CD398" s="549">
        <v>0</v>
      </c>
      <c r="CE398" s="675">
        <v>0</v>
      </c>
      <c r="CF398" s="549">
        <v>0</v>
      </c>
      <c r="CG398" s="675">
        <v>0</v>
      </c>
      <c r="CH398" s="549">
        <v>0</v>
      </c>
      <c r="CI398" s="675">
        <v>0</v>
      </c>
      <c r="CJ398" s="549">
        <v>0</v>
      </c>
      <c r="CK398" s="675">
        <v>0</v>
      </c>
      <c r="CL398" s="549">
        <v>0</v>
      </c>
      <c r="CM398" s="675">
        <v>0</v>
      </c>
      <c r="CN398" s="549">
        <v>0</v>
      </c>
      <c r="CO398" s="675">
        <v>0</v>
      </c>
      <c r="CP398" s="549">
        <v>0</v>
      </c>
      <c r="CQ398" s="675">
        <v>0</v>
      </c>
      <c r="CR398" s="549">
        <v>0</v>
      </c>
      <c r="CS398" s="675">
        <v>0</v>
      </c>
      <c r="CT398" s="549">
        <v>0</v>
      </c>
      <c r="CU398" s="675">
        <v>0</v>
      </c>
      <c r="CV398" s="549">
        <v>0</v>
      </c>
      <c r="CW398" s="675">
        <v>0</v>
      </c>
      <c r="CX398" s="549">
        <v>0</v>
      </c>
      <c r="CY398" s="675">
        <v>0</v>
      </c>
      <c r="CZ398" s="549">
        <v>0</v>
      </c>
      <c r="DA398" s="675">
        <v>0</v>
      </c>
      <c r="DB398" s="549">
        <v>0</v>
      </c>
      <c r="DC398" s="675">
        <v>0</v>
      </c>
      <c r="DD398" s="549">
        <v>0</v>
      </c>
      <c r="DE398" s="675">
        <v>0</v>
      </c>
      <c r="DF398" s="549">
        <v>0</v>
      </c>
      <c r="DG398" s="675">
        <v>0</v>
      </c>
      <c r="DH398" s="549">
        <v>0</v>
      </c>
      <c r="DI398" s="675">
        <v>0</v>
      </c>
      <c r="DJ398" s="549">
        <v>0</v>
      </c>
      <c r="DK398" s="675">
        <v>0</v>
      </c>
      <c r="DL398" s="549">
        <v>0</v>
      </c>
      <c r="DM398" s="675">
        <v>0</v>
      </c>
      <c r="DN398" s="549">
        <v>0</v>
      </c>
      <c r="DO398" s="675">
        <v>0</v>
      </c>
      <c r="DP398" s="549">
        <v>0</v>
      </c>
      <c r="DQ398" s="675">
        <v>0</v>
      </c>
      <c r="DR398" s="549">
        <v>0</v>
      </c>
      <c r="DS398" s="675">
        <v>0</v>
      </c>
      <c r="DT398" s="549">
        <v>0</v>
      </c>
      <c r="DU398" s="675">
        <v>0</v>
      </c>
      <c r="DV398" s="549">
        <v>0</v>
      </c>
      <c r="DW398" s="675">
        <v>0</v>
      </c>
      <c r="DX398" s="549">
        <v>0</v>
      </c>
      <c r="DY398" s="675">
        <v>0</v>
      </c>
      <c r="DZ398" s="549">
        <v>0</v>
      </c>
      <c r="EA398" s="675">
        <v>0</v>
      </c>
      <c r="EB398" s="549">
        <v>0</v>
      </c>
      <c r="EC398" s="675">
        <v>0</v>
      </c>
      <c r="ED398" s="549">
        <v>0</v>
      </c>
      <c r="EE398" s="675">
        <v>0</v>
      </c>
      <c r="EF398" s="549">
        <v>0</v>
      </c>
      <c r="EG398" s="675">
        <v>0</v>
      </c>
      <c r="EH398" s="549">
        <v>0</v>
      </c>
      <c r="EI398" s="675">
        <v>0</v>
      </c>
      <c r="EJ398" s="549">
        <v>0</v>
      </c>
      <c r="EK398" s="675">
        <v>0</v>
      </c>
      <c r="EL398" s="549">
        <v>0</v>
      </c>
      <c r="EM398" s="675">
        <v>0</v>
      </c>
      <c r="EN398" s="549">
        <v>0</v>
      </c>
      <c r="EO398" s="675">
        <v>0</v>
      </c>
      <c r="EP398" s="549">
        <v>0</v>
      </c>
      <c r="EQ398" s="675">
        <v>0</v>
      </c>
      <c r="ER398" s="549">
        <v>0</v>
      </c>
      <c r="ES398" s="675">
        <v>0</v>
      </c>
      <c r="ET398" s="549">
        <v>0</v>
      </c>
      <c r="EU398" s="675">
        <v>0</v>
      </c>
      <c r="EV398" s="549">
        <v>0</v>
      </c>
      <c r="EW398" s="675">
        <v>0</v>
      </c>
      <c r="EX398" s="549">
        <v>0</v>
      </c>
      <c r="EY398" s="675">
        <v>0</v>
      </c>
      <c r="EZ398" s="549">
        <v>0</v>
      </c>
      <c r="FA398" s="675">
        <v>0</v>
      </c>
      <c r="FB398" s="549">
        <v>0</v>
      </c>
      <c r="FC398" s="675">
        <v>0</v>
      </c>
      <c r="FD398" s="549">
        <v>0</v>
      </c>
      <c r="FE398" s="675">
        <v>0</v>
      </c>
      <c r="FF398" s="549">
        <v>0</v>
      </c>
      <c r="FG398" s="675">
        <v>0</v>
      </c>
      <c r="FH398" s="549">
        <v>0</v>
      </c>
      <c r="FI398" s="675">
        <v>0</v>
      </c>
      <c r="FJ398" s="549">
        <v>0</v>
      </c>
      <c r="FK398" s="675">
        <v>0</v>
      </c>
      <c r="FL398" s="549">
        <v>0</v>
      </c>
      <c r="FM398" s="675">
        <v>0</v>
      </c>
      <c r="FN398" s="549">
        <v>0</v>
      </c>
      <c r="FO398" s="675">
        <v>0</v>
      </c>
      <c r="FP398" s="549">
        <v>0</v>
      </c>
      <c r="FQ398" s="675">
        <v>0</v>
      </c>
      <c r="FR398" s="549">
        <v>0</v>
      </c>
      <c r="FS398" s="675">
        <v>0</v>
      </c>
      <c r="FT398" s="549">
        <v>0</v>
      </c>
      <c r="FU398" s="675">
        <v>0</v>
      </c>
      <c r="FV398" s="549">
        <v>0</v>
      </c>
      <c r="FW398" s="675">
        <v>0</v>
      </c>
      <c r="FX398" s="549">
        <v>0</v>
      </c>
      <c r="FY398" s="675">
        <v>0</v>
      </c>
      <c r="FZ398" s="549">
        <v>0</v>
      </c>
      <c r="GA398" s="675">
        <v>0</v>
      </c>
      <c r="GB398" s="549">
        <v>0</v>
      </c>
      <c r="GC398" s="675">
        <v>0</v>
      </c>
      <c r="GD398" s="549">
        <v>0</v>
      </c>
      <c r="GE398" s="675">
        <v>0</v>
      </c>
      <c r="GF398" s="549">
        <v>0</v>
      </c>
      <c r="GG398" s="675">
        <v>0</v>
      </c>
      <c r="GH398" s="549">
        <v>0</v>
      </c>
      <c r="GI398" s="675">
        <v>0</v>
      </c>
      <c r="GJ398" s="549">
        <v>0</v>
      </c>
      <c r="GK398" s="675">
        <v>0</v>
      </c>
      <c r="GL398" s="549">
        <v>0</v>
      </c>
      <c r="GM398" s="675">
        <v>0</v>
      </c>
      <c r="GN398" s="549">
        <v>0</v>
      </c>
      <c r="GO398" s="675">
        <v>0</v>
      </c>
      <c r="GP398" s="549">
        <f t="shared" ref="GP398:GP399" si="10697">+D398+F398+H398+J398+L398+N398+P398+R398+T398+V398+X398+Z398+AB398+AF398+AD398+AH398+AJ398+AL398+AN398+AP398+AR398+AT398+AV398+AX398+AZ398+BB398+BD398+BF398+BH398+BJ398+BL398+BN398+BP398+BR398+BT398+BV398+BX398+BZ398+CB398+CD398+CF398+CH398+CJ398+CL398+CN398+CP398+CR398+CT398+CV398+CX398+CZ398+DB398+DD398+DF398+DH398+DT398+EX398+DJ398+DL398+DN398+DP398+DR398+EJ398+EB398+DZ398+DX398+DV398+ED398+EF398+EH398+EL398+EN398+EP398+EV398+ET398+ER398+EZ398+FB398+FD398+GL398+FF398+FJ398+FL398+GJ398+FT398+FR398+FP398+FN398+FH398+GH398+GF398+GD398+GB398+FZ398+FX398+FV398+GN398</f>
        <v>0</v>
      </c>
      <c r="GQ398" s="675">
        <f t="shared" ref="GQ398:GQ399" si="10698">+E398+G398+I398+K398+M398+O398+Q398+S398+U398+W398+Y398+AA398+AC398+AE398+AG398+AI398+AK398+AM398+AO398+AQ398+AS398+AU398+AW398+AY398+BA398+BC398+BE398+BG398+BI398+BK398+BM398+BO398+BQ398+BS398+BU398+BW398+BY398+CA398+CC398+CE398+CG398+CI398+CK398+CM398+CO398+CQ398+CS398+CU398+CW398+CY398+DA398+DC398+DE398+DG398+DI398+DU398+EY398+DK398+DM398+DO398+DQ398+DS398+EK398+EC398+EA398+DY398+DW398+EI398+EG398+EE398+EM398+EO398+EQ398+EW398+EU398+ES398+FA398+FC398+FE398+GM398+FG398+FK398+FM398+FO398+FQ398+FS398+FU398+GK398+FI398+GI398+GG398+GE398+GC398+GA398+FY398+FW398+GO398</f>
        <v>0</v>
      </c>
      <c r="GR398" s="74">
        <f>C398+GP398+GQ398</f>
        <v>0</v>
      </c>
      <c r="GS398" s="74">
        <f t="shared" ref="GS398" si="10699">SUM(GU398:GV398)+GP398+GQ398+GW398+GX398+GY398+GZ398+HA398+HB398+HC398+HD398+HE398+HF398</f>
        <v>0</v>
      </c>
      <c r="GT398" s="568">
        <f t="shared" ref="GT398:GT399" si="10700">SUM(GU398:HF398)+GQ398+GP398</f>
        <v>0</v>
      </c>
      <c r="GU398" s="493"/>
      <c r="GV398" s="493"/>
      <c r="GW398" s="589"/>
      <c r="GX398" s="589"/>
      <c r="GY398" s="493"/>
      <c r="GZ398" s="493"/>
      <c r="HA398" s="493"/>
      <c r="HB398" s="493"/>
      <c r="HC398" s="493"/>
      <c r="HD398" s="493"/>
      <c r="HE398" s="493"/>
      <c r="HF398" s="275"/>
      <c r="HG398" s="74">
        <f>SUM(HH398:IE398)</f>
        <v>0</v>
      </c>
      <c r="HH398" s="89">
        <v>0</v>
      </c>
      <c r="HI398" s="817">
        <v>0</v>
      </c>
      <c r="HJ398" s="89">
        <v>0</v>
      </c>
      <c r="HK398" s="817">
        <v>0</v>
      </c>
      <c r="HL398" s="89">
        <v>0</v>
      </c>
      <c r="HM398" s="817">
        <v>0</v>
      </c>
      <c r="HN398" s="89">
        <v>0</v>
      </c>
      <c r="HO398" s="817">
        <v>0</v>
      </c>
      <c r="HP398" s="89">
        <v>0</v>
      </c>
      <c r="HQ398" s="817">
        <v>0</v>
      </c>
      <c r="HR398" s="89">
        <v>0</v>
      </c>
      <c r="HS398" s="817">
        <v>0</v>
      </c>
      <c r="HT398" s="89">
        <v>0</v>
      </c>
      <c r="HU398" s="817">
        <v>0</v>
      </c>
      <c r="HV398" s="89">
        <v>0</v>
      </c>
      <c r="HW398" s="817">
        <v>0</v>
      </c>
      <c r="HX398" s="89">
        <v>0</v>
      </c>
      <c r="HY398" s="817">
        <v>0</v>
      </c>
      <c r="HZ398" s="89">
        <v>0</v>
      </c>
      <c r="IA398" s="817">
        <v>0</v>
      </c>
      <c r="IB398" s="89">
        <v>0</v>
      </c>
      <c r="IC398" s="817">
        <v>0</v>
      </c>
      <c r="ID398" s="89">
        <v>0</v>
      </c>
      <c r="IE398" s="817">
        <v>0</v>
      </c>
      <c r="IF398" s="841">
        <f t="shared" ref="IF398:IF399" si="10701">SUM(II398,IL398,IO398,IR398,IU398,IX398,JA398,JD398,JG398,JJ398,JM398,JP398)</f>
        <v>0</v>
      </c>
      <c r="IG398" s="263">
        <f t="shared" ref="IG398:IG399" si="10702">SUM(IJ398,IM398,IP398,IS398,IV398,IY398,JB398,JE398,JH398,JK398,JN398,JQ398)</f>
        <v>0</v>
      </c>
      <c r="IH398" s="842">
        <f t="shared" ref="IH398:IH399" si="10703">SUM(IK398,IN398,IQ398,IT398,IW398,IZ398,JC398,JF398,JI398,JL398,JO398,JR398)</f>
        <v>0</v>
      </c>
      <c r="II398" s="89">
        <v>0</v>
      </c>
      <c r="IJ398" s="89">
        <f t="shared" ref="IJ398:IJ399" si="10704">II398</f>
        <v>0</v>
      </c>
      <c r="IK398" s="89">
        <f t="shared" ref="IK398:IK399" si="10705">IJ398</f>
        <v>0</v>
      </c>
      <c r="IL398" s="89">
        <v>0</v>
      </c>
      <c r="IM398" s="89">
        <f t="shared" ref="IM398:IM399" si="10706">IL398</f>
        <v>0</v>
      </c>
      <c r="IN398" s="89">
        <f t="shared" ref="IN398:IN399" si="10707">IM398</f>
        <v>0</v>
      </c>
      <c r="IO398" s="89">
        <v>0</v>
      </c>
      <c r="IP398" s="89">
        <f t="shared" ref="IP398:IP399" si="10708">IO398</f>
        <v>0</v>
      </c>
      <c r="IQ398" s="89">
        <f t="shared" ref="IQ398:IQ399" si="10709">IP398</f>
        <v>0</v>
      </c>
      <c r="IR398" s="89">
        <v>0</v>
      </c>
      <c r="IS398" s="89">
        <f t="shared" ref="IS398:IS399" si="10710">IR398</f>
        <v>0</v>
      </c>
      <c r="IT398" s="89">
        <f t="shared" ref="IT398:IT399" si="10711">IS398</f>
        <v>0</v>
      </c>
      <c r="IU398" s="89">
        <v>0</v>
      </c>
      <c r="IV398" s="89">
        <f t="shared" ref="IV398:IV399" si="10712">IU398</f>
        <v>0</v>
      </c>
      <c r="IW398" s="89">
        <f t="shared" ref="IW398:IW399" si="10713">IV398</f>
        <v>0</v>
      </c>
      <c r="IX398" s="89">
        <v>0</v>
      </c>
      <c r="IY398" s="89">
        <f t="shared" ref="IY398:IY399" si="10714">IX398</f>
        <v>0</v>
      </c>
      <c r="IZ398" s="89">
        <f t="shared" ref="IZ398:IZ399" si="10715">IY398</f>
        <v>0</v>
      </c>
      <c r="JA398" s="89">
        <v>0</v>
      </c>
      <c r="JB398" s="89">
        <f t="shared" ref="JB398:JB399" si="10716">JA398</f>
        <v>0</v>
      </c>
      <c r="JC398" s="89">
        <f t="shared" ref="JC398:JC399" si="10717">JB398</f>
        <v>0</v>
      </c>
      <c r="JD398" s="89">
        <v>0</v>
      </c>
      <c r="JE398" s="89">
        <f t="shared" ref="JE398:JE399" si="10718">JD398</f>
        <v>0</v>
      </c>
      <c r="JF398" s="89">
        <f t="shared" ref="JF398:JF399" si="10719">JE398</f>
        <v>0</v>
      </c>
      <c r="JG398" s="89">
        <v>0</v>
      </c>
      <c r="JH398" s="89">
        <f t="shared" ref="JH398:JH399" si="10720">JG398</f>
        <v>0</v>
      </c>
      <c r="JI398" s="89">
        <f t="shared" ref="JI398:JI399" si="10721">JH398</f>
        <v>0</v>
      </c>
      <c r="JJ398" s="89">
        <v>0</v>
      </c>
      <c r="JK398" s="89">
        <f t="shared" ref="JK398:JK399" si="10722">JJ398</f>
        <v>0</v>
      </c>
      <c r="JL398" s="89">
        <f t="shared" ref="JL398:JL399" si="10723">JK398</f>
        <v>0</v>
      </c>
      <c r="JM398" s="89">
        <v>0</v>
      </c>
      <c r="JN398" s="89">
        <f t="shared" ref="JN398:JN399" si="10724">JM398</f>
        <v>0</v>
      </c>
      <c r="JO398" s="89">
        <f t="shared" ref="JO398:JO399" si="10725">JN398</f>
        <v>0</v>
      </c>
      <c r="JP398" s="89">
        <v>0</v>
      </c>
      <c r="JQ398" s="89">
        <f t="shared" ref="JQ398:JR398" si="10726">JP398</f>
        <v>0</v>
      </c>
      <c r="JR398" s="89">
        <f t="shared" si="10726"/>
        <v>0</v>
      </c>
      <c r="JS398" s="74">
        <f>HG398-IF398</f>
        <v>0</v>
      </c>
      <c r="JT398" s="382">
        <f>GS398-IF398</f>
        <v>0</v>
      </c>
      <c r="JU398" s="665"/>
      <c r="JV398" s="524"/>
      <c r="JW398" s="525"/>
      <c r="JX398" s="549">
        <f>SUM(HH398,HJ398,HL398,HN398,HP398,HR398,HT398,HV398,HX398,HZ398,IB398,ID398)</f>
        <v>0</v>
      </c>
      <c r="JY398" s="549">
        <f>SUM(HI398,HK398,HM398,HO398,HQ398,HS398,HU398,HW398,HY398,IA398,IC398,IE398)</f>
        <v>0</v>
      </c>
      <c r="JZ398" s="581">
        <f t="shared" si="10300"/>
        <v>0</v>
      </c>
      <c r="KA398" s="581">
        <f t="shared" si="10301"/>
        <v>0</v>
      </c>
      <c r="KB398" s="549">
        <f t="shared" si="10257"/>
        <v>0</v>
      </c>
      <c r="KC398" s="709">
        <f t="shared" si="10273"/>
        <v>0</v>
      </c>
      <c r="KD398" s="36"/>
      <c r="KE398" s="36"/>
      <c r="KF398" s="36"/>
      <c r="KG398" s="36"/>
      <c r="KH398" s="36"/>
      <c r="KI398" s="36"/>
      <c r="KJ398" s="36"/>
      <c r="KK398" s="36"/>
    </row>
    <row r="399" spans="1:297" s="10" customFormat="1">
      <c r="A399" s="557" t="s">
        <v>926</v>
      </c>
      <c r="B399" s="77"/>
      <c r="C399" s="74">
        <v>18000</v>
      </c>
      <c r="D399" s="549">
        <v>0</v>
      </c>
      <c r="E399" s="675">
        <v>0</v>
      </c>
      <c r="F399" s="549">
        <v>0</v>
      </c>
      <c r="G399" s="675">
        <v>0</v>
      </c>
      <c r="H399" s="549">
        <v>0</v>
      </c>
      <c r="I399" s="675">
        <v>0</v>
      </c>
      <c r="J399" s="549">
        <v>0</v>
      </c>
      <c r="K399" s="675">
        <v>0</v>
      </c>
      <c r="L399" s="549">
        <v>0</v>
      </c>
      <c r="M399" s="675">
        <v>0</v>
      </c>
      <c r="N399" s="549">
        <v>0</v>
      </c>
      <c r="O399" s="675">
        <v>0</v>
      </c>
      <c r="P399" s="549">
        <v>0</v>
      </c>
      <c r="Q399" s="675">
        <v>0</v>
      </c>
      <c r="R399" s="549">
        <v>0</v>
      </c>
      <c r="S399" s="675">
        <v>0</v>
      </c>
      <c r="T399" s="549">
        <v>0</v>
      </c>
      <c r="U399" s="675">
        <v>0</v>
      </c>
      <c r="V399" s="549">
        <v>8700</v>
      </c>
      <c r="W399" s="675">
        <v>0</v>
      </c>
      <c r="X399" s="549">
        <v>0</v>
      </c>
      <c r="Y399" s="675">
        <v>0</v>
      </c>
      <c r="Z399" s="549">
        <v>0</v>
      </c>
      <c r="AA399" s="675">
        <v>0</v>
      </c>
      <c r="AB399" s="549">
        <v>0</v>
      </c>
      <c r="AC399" s="675">
        <v>0</v>
      </c>
      <c r="AD399" s="549">
        <v>0</v>
      </c>
      <c r="AE399" s="675">
        <v>0</v>
      </c>
      <c r="AF399" s="549">
        <v>0</v>
      </c>
      <c r="AG399" s="675">
        <v>0</v>
      </c>
      <c r="AH399" s="549">
        <v>0</v>
      </c>
      <c r="AI399" s="675">
        <v>0</v>
      </c>
      <c r="AJ399" s="549">
        <v>0</v>
      </c>
      <c r="AK399" s="675">
        <v>0</v>
      </c>
      <c r="AL399" s="549">
        <v>0</v>
      </c>
      <c r="AM399" s="675">
        <v>0</v>
      </c>
      <c r="AN399" s="549">
        <v>0</v>
      </c>
      <c r="AO399" s="675">
        <v>0</v>
      </c>
      <c r="AP399" s="549">
        <v>0</v>
      </c>
      <c r="AQ399" s="675">
        <v>0</v>
      </c>
      <c r="AR399" s="549">
        <v>0</v>
      </c>
      <c r="AS399" s="675">
        <v>0</v>
      </c>
      <c r="AT399" s="549">
        <v>0</v>
      </c>
      <c r="AU399" s="675">
        <v>0</v>
      </c>
      <c r="AV399" s="549">
        <v>0</v>
      </c>
      <c r="AW399" s="675">
        <v>0</v>
      </c>
      <c r="AX399" s="549">
        <v>0</v>
      </c>
      <c r="AY399" s="675">
        <v>0</v>
      </c>
      <c r="AZ399" s="549">
        <v>0</v>
      </c>
      <c r="BA399" s="675">
        <v>-6000</v>
      </c>
      <c r="BB399" s="549">
        <v>0</v>
      </c>
      <c r="BC399" s="675">
        <v>0</v>
      </c>
      <c r="BD399" s="549">
        <v>0</v>
      </c>
      <c r="BE399" s="675">
        <v>0</v>
      </c>
      <c r="BF399" s="549">
        <v>0</v>
      </c>
      <c r="BG399" s="675">
        <v>0</v>
      </c>
      <c r="BH399" s="549">
        <v>0</v>
      </c>
      <c r="BI399" s="675">
        <v>0</v>
      </c>
      <c r="BJ399" s="549">
        <v>0</v>
      </c>
      <c r="BK399" s="675">
        <v>0</v>
      </c>
      <c r="BL399" s="549">
        <v>0</v>
      </c>
      <c r="BM399" s="675">
        <v>0</v>
      </c>
      <c r="BN399" s="549">
        <v>0</v>
      </c>
      <c r="BO399" s="675">
        <v>0</v>
      </c>
      <c r="BP399" s="549">
        <v>0</v>
      </c>
      <c r="BQ399" s="675">
        <v>0</v>
      </c>
      <c r="BR399" s="549">
        <v>0</v>
      </c>
      <c r="BS399" s="675">
        <v>0</v>
      </c>
      <c r="BT399" s="549">
        <v>0</v>
      </c>
      <c r="BU399" s="675">
        <v>0</v>
      </c>
      <c r="BV399" s="549">
        <v>0</v>
      </c>
      <c r="BW399" s="675">
        <v>0</v>
      </c>
      <c r="BX399" s="549">
        <v>0</v>
      </c>
      <c r="BY399" s="675">
        <v>0</v>
      </c>
      <c r="BZ399" s="549">
        <v>0</v>
      </c>
      <c r="CA399" s="675">
        <v>0</v>
      </c>
      <c r="CB399" s="549">
        <v>0</v>
      </c>
      <c r="CC399" s="675">
        <v>0</v>
      </c>
      <c r="CD399" s="549">
        <v>0</v>
      </c>
      <c r="CE399" s="675">
        <v>0</v>
      </c>
      <c r="CF399" s="549">
        <v>0</v>
      </c>
      <c r="CG399" s="675">
        <v>0</v>
      </c>
      <c r="CH399" s="549">
        <v>0</v>
      </c>
      <c r="CI399" s="675">
        <v>0</v>
      </c>
      <c r="CJ399" s="549">
        <v>0</v>
      </c>
      <c r="CK399" s="675">
        <v>0</v>
      </c>
      <c r="CL399" s="549">
        <v>0</v>
      </c>
      <c r="CM399" s="675">
        <v>0</v>
      </c>
      <c r="CN399" s="549">
        <v>0</v>
      </c>
      <c r="CO399" s="675">
        <v>0</v>
      </c>
      <c r="CP399" s="549">
        <v>0</v>
      </c>
      <c r="CQ399" s="675">
        <v>0</v>
      </c>
      <c r="CR399" s="549">
        <v>0</v>
      </c>
      <c r="CS399" s="675">
        <v>0</v>
      </c>
      <c r="CT399" s="549">
        <v>0</v>
      </c>
      <c r="CU399" s="675">
        <v>0</v>
      </c>
      <c r="CV399" s="549">
        <v>0</v>
      </c>
      <c r="CW399" s="675">
        <v>0</v>
      </c>
      <c r="CX399" s="549">
        <v>0</v>
      </c>
      <c r="CY399" s="675">
        <v>0</v>
      </c>
      <c r="CZ399" s="549">
        <v>0</v>
      </c>
      <c r="DA399" s="675">
        <v>0</v>
      </c>
      <c r="DB399" s="549">
        <v>0</v>
      </c>
      <c r="DC399" s="675">
        <v>0</v>
      </c>
      <c r="DD399" s="549">
        <v>0</v>
      </c>
      <c r="DE399" s="675">
        <v>0</v>
      </c>
      <c r="DF399" s="549">
        <v>0</v>
      </c>
      <c r="DG399" s="675">
        <v>0</v>
      </c>
      <c r="DH399" s="549">
        <v>0</v>
      </c>
      <c r="DI399" s="675">
        <v>0</v>
      </c>
      <c r="DJ399" s="549">
        <v>0</v>
      </c>
      <c r="DK399" s="675">
        <v>0</v>
      </c>
      <c r="DL399" s="549">
        <v>0</v>
      </c>
      <c r="DM399" s="675">
        <v>0</v>
      </c>
      <c r="DN399" s="549">
        <v>0</v>
      </c>
      <c r="DO399" s="675">
        <v>0</v>
      </c>
      <c r="DP399" s="549">
        <v>0</v>
      </c>
      <c r="DQ399" s="675">
        <v>0</v>
      </c>
      <c r="DR399" s="549">
        <v>0</v>
      </c>
      <c r="DS399" s="675">
        <v>0</v>
      </c>
      <c r="DT399" s="549">
        <v>0</v>
      </c>
      <c r="DU399" s="675">
        <v>0</v>
      </c>
      <c r="DV399" s="549">
        <v>0</v>
      </c>
      <c r="DW399" s="675">
        <v>0</v>
      </c>
      <c r="DX399" s="549">
        <v>0</v>
      </c>
      <c r="DY399" s="675">
        <v>0</v>
      </c>
      <c r="DZ399" s="549">
        <v>0</v>
      </c>
      <c r="EA399" s="675">
        <v>0</v>
      </c>
      <c r="EB399" s="549">
        <v>0</v>
      </c>
      <c r="EC399" s="675">
        <v>0</v>
      </c>
      <c r="ED399" s="549">
        <v>0</v>
      </c>
      <c r="EE399" s="675">
        <v>0</v>
      </c>
      <c r="EF399" s="549">
        <v>0</v>
      </c>
      <c r="EG399" s="675">
        <v>0</v>
      </c>
      <c r="EH399" s="549">
        <v>0</v>
      </c>
      <c r="EI399" s="675">
        <v>0</v>
      </c>
      <c r="EJ399" s="549">
        <v>0</v>
      </c>
      <c r="EK399" s="675">
        <v>0</v>
      </c>
      <c r="EL399" s="549">
        <v>0</v>
      </c>
      <c r="EM399" s="675">
        <v>-2000</v>
      </c>
      <c r="EN399" s="549">
        <v>0</v>
      </c>
      <c r="EO399" s="675">
        <v>0</v>
      </c>
      <c r="EP399" s="549">
        <v>0</v>
      </c>
      <c r="EQ399" s="675">
        <v>0</v>
      </c>
      <c r="ER399" s="549">
        <v>0</v>
      </c>
      <c r="ES399" s="675">
        <v>0</v>
      </c>
      <c r="ET399" s="549">
        <v>3000</v>
      </c>
      <c r="EU399" s="675">
        <v>0</v>
      </c>
      <c r="EV399" s="549">
        <v>0</v>
      </c>
      <c r="EW399" s="675">
        <v>0</v>
      </c>
      <c r="EX399" s="549">
        <v>0</v>
      </c>
      <c r="EY399" s="675">
        <v>0</v>
      </c>
      <c r="EZ399" s="549">
        <v>0</v>
      </c>
      <c r="FA399" s="675">
        <v>0</v>
      </c>
      <c r="FB399" s="549">
        <v>0</v>
      </c>
      <c r="FC399" s="675">
        <v>0</v>
      </c>
      <c r="FD399" s="549">
        <v>0</v>
      </c>
      <c r="FE399" s="675">
        <v>0</v>
      </c>
      <c r="FF399" s="549">
        <v>0</v>
      </c>
      <c r="FG399" s="675">
        <v>0</v>
      </c>
      <c r="FH399" s="549">
        <v>0</v>
      </c>
      <c r="FI399" s="675">
        <v>0</v>
      </c>
      <c r="FJ399" s="549">
        <v>0</v>
      </c>
      <c r="FK399" s="675">
        <v>0</v>
      </c>
      <c r="FL399" s="549">
        <v>0</v>
      </c>
      <c r="FM399" s="675">
        <v>0</v>
      </c>
      <c r="FN399" s="549">
        <v>0</v>
      </c>
      <c r="FO399" s="675">
        <v>0</v>
      </c>
      <c r="FP399" s="549">
        <v>0</v>
      </c>
      <c r="FQ399" s="675">
        <v>0</v>
      </c>
      <c r="FR399" s="549">
        <v>0</v>
      </c>
      <c r="FS399" s="675">
        <v>0</v>
      </c>
      <c r="FT399" s="549">
        <v>0</v>
      </c>
      <c r="FU399" s="675">
        <v>0</v>
      </c>
      <c r="FV399" s="549">
        <v>0</v>
      </c>
      <c r="FW399" s="675">
        <v>0</v>
      </c>
      <c r="FX399" s="549">
        <v>0</v>
      </c>
      <c r="FY399" s="675">
        <v>0</v>
      </c>
      <c r="FZ399" s="549">
        <v>0</v>
      </c>
      <c r="GA399" s="675">
        <v>0</v>
      </c>
      <c r="GB399" s="549">
        <v>0</v>
      </c>
      <c r="GC399" s="675">
        <v>0</v>
      </c>
      <c r="GD399" s="549">
        <v>0</v>
      </c>
      <c r="GE399" s="675">
        <v>0</v>
      </c>
      <c r="GF399" s="549">
        <v>0</v>
      </c>
      <c r="GG399" s="675">
        <v>0</v>
      </c>
      <c r="GH399" s="549">
        <v>0</v>
      </c>
      <c r="GI399" s="675">
        <v>0</v>
      </c>
      <c r="GJ399" s="549">
        <v>0</v>
      </c>
      <c r="GK399" s="675">
        <v>0</v>
      </c>
      <c r="GL399" s="549">
        <v>0</v>
      </c>
      <c r="GM399" s="675">
        <v>0</v>
      </c>
      <c r="GN399" s="549">
        <v>0</v>
      </c>
      <c r="GO399" s="675">
        <v>0</v>
      </c>
      <c r="GP399" s="549">
        <f t="shared" si="10697"/>
        <v>11700</v>
      </c>
      <c r="GQ399" s="675">
        <f t="shared" si="10698"/>
        <v>-8000</v>
      </c>
      <c r="GR399" s="74">
        <f>C399+GP399+GQ399</f>
        <v>21700</v>
      </c>
      <c r="GS399" s="74">
        <f>SUM(GU399:HD399)+GP399+GQ399</f>
        <v>21700</v>
      </c>
      <c r="GT399" s="568">
        <f t="shared" si="10700"/>
        <v>21700</v>
      </c>
      <c r="GU399" s="493">
        <v>6000</v>
      </c>
      <c r="GV399" s="493"/>
      <c r="GW399" s="493">
        <v>6000</v>
      </c>
      <c r="GX399" s="493"/>
      <c r="GY399" s="493"/>
      <c r="GZ399" s="493">
        <v>6000</v>
      </c>
      <c r="HA399" s="493"/>
      <c r="HB399" s="493"/>
      <c r="HC399" s="493"/>
      <c r="HD399" s="493"/>
      <c r="HE399" s="493"/>
      <c r="HF399" s="275"/>
      <c r="HG399" s="74">
        <f>SUM(HH399:IE399)</f>
        <v>21700</v>
      </c>
      <c r="HH399" s="89">
        <v>6000</v>
      </c>
      <c r="HI399" s="817">
        <v>0</v>
      </c>
      <c r="HJ399" s="89">
        <v>0</v>
      </c>
      <c r="HK399" s="817">
        <v>0</v>
      </c>
      <c r="HL399" s="89">
        <v>576.29999999999995</v>
      </c>
      <c r="HM399" s="817">
        <v>0</v>
      </c>
      <c r="HN399" s="89">
        <v>14123</v>
      </c>
      <c r="HO399" s="817">
        <v>0</v>
      </c>
      <c r="HP399" s="89">
        <v>-6000</v>
      </c>
      <c r="HQ399" s="817">
        <v>0</v>
      </c>
      <c r="HR399" s="89">
        <v>0</v>
      </c>
      <c r="HS399" s="817">
        <v>0</v>
      </c>
      <c r="HT399" s="837">
        <v>6000</v>
      </c>
      <c r="HU399" s="817">
        <v>0</v>
      </c>
      <c r="HV399" s="89">
        <v>0</v>
      </c>
      <c r="HW399" s="817">
        <v>0</v>
      </c>
      <c r="HX399" s="89">
        <v>1000.7</v>
      </c>
      <c r="HY399" s="817">
        <v>0</v>
      </c>
      <c r="HZ399" s="89">
        <v>0</v>
      </c>
      <c r="IA399" s="817">
        <v>0</v>
      </c>
      <c r="IB399" s="89">
        <v>0</v>
      </c>
      <c r="IC399" s="817">
        <v>0</v>
      </c>
      <c r="ID399" s="89">
        <v>0</v>
      </c>
      <c r="IE399" s="817">
        <v>0</v>
      </c>
      <c r="IF399" s="841">
        <f t="shared" si="10701"/>
        <v>20573.900000000001</v>
      </c>
      <c r="IG399" s="263">
        <f t="shared" si="10702"/>
        <v>20573.900000000001</v>
      </c>
      <c r="IH399" s="842">
        <f t="shared" si="10703"/>
        <v>20573.900000000001</v>
      </c>
      <c r="II399" s="89">
        <v>0</v>
      </c>
      <c r="IJ399" s="89">
        <f t="shared" si="10704"/>
        <v>0</v>
      </c>
      <c r="IK399" s="89">
        <f t="shared" si="10705"/>
        <v>0</v>
      </c>
      <c r="IL399" s="89">
        <v>5578.8</v>
      </c>
      <c r="IM399" s="89">
        <f t="shared" si="10706"/>
        <v>5578.8</v>
      </c>
      <c r="IN399" s="89">
        <f t="shared" si="10707"/>
        <v>5578.8</v>
      </c>
      <c r="IO399" s="89">
        <f>6576.3-5578.8</f>
        <v>997.5</v>
      </c>
      <c r="IP399" s="89">
        <f t="shared" si="10708"/>
        <v>997.5</v>
      </c>
      <c r="IQ399" s="89">
        <f t="shared" si="10709"/>
        <v>997.5</v>
      </c>
      <c r="IR399" s="89">
        <v>0</v>
      </c>
      <c r="IS399" s="89">
        <f t="shared" si="10710"/>
        <v>0</v>
      </c>
      <c r="IT399" s="89">
        <f t="shared" si="10711"/>
        <v>0</v>
      </c>
      <c r="IU399" s="89">
        <f>9176.3-6576.3</f>
        <v>2599.9999999999991</v>
      </c>
      <c r="IV399" s="89">
        <f t="shared" si="10712"/>
        <v>2599.9999999999991</v>
      </c>
      <c r="IW399" s="89">
        <f t="shared" si="10713"/>
        <v>2599.9999999999991</v>
      </c>
      <c r="IX399" s="89">
        <v>0</v>
      </c>
      <c r="IY399" s="89">
        <f t="shared" si="10714"/>
        <v>0</v>
      </c>
      <c r="IZ399" s="89">
        <f t="shared" si="10715"/>
        <v>0</v>
      </c>
      <c r="JA399" s="89">
        <f>10676.3-9176.3</f>
        <v>1500</v>
      </c>
      <c r="JB399" s="89">
        <f t="shared" si="10716"/>
        <v>1500</v>
      </c>
      <c r="JC399" s="89">
        <f t="shared" si="10717"/>
        <v>1500</v>
      </c>
      <c r="JD399" s="89">
        <f>11296.3-10676.3</f>
        <v>620</v>
      </c>
      <c r="JE399" s="89">
        <f t="shared" si="10718"/>
        <v>620</v>
      </c>
      <c r="JF399" s="89">
        <f t="shared" si="10719"/>
        <v>620</v>
      </c>
      <c r="JG399" s="89">
        <f>16416.3-11296.3</f>
        <v>5120</v>
      </c>
      <c r="JH399" s="89">
        <f t="shared" si="10720"/>
        <v>5120</v>
      </c>
      <c r="JI399" s="89">
        <f t="shared" si="10721"/>
        <v>5120</v>
      </c>
      <c r="JJ399" s="89">
        <f>20573.9-16416.3</f>
        <v>4157.6000000000022</v>
      </c>
      <c r="JK399" s="89">
        <f t="shared" si="10722"/>
        <v>4157.6000000000022</v>
      </c>
      <c r="JL399" s="89">
        <f t="shared" si="10723"/>
        <v>4157.6000000000022</v>
      </c>
      <c r="JM399" s="89">
        <v>0</v>
      </c>
      <c r="JN399" s="89">
        <f t="shared" si="10724"/>
        <v>0</v>
      </c>
      <c r="JO399" s="89">
        <f t="shared" si="10725"/>
        <v>0</v>
      </c>
      <c r="JP399" s="89">
        <v>0</v>
      </c>
      <c r="JQ399" s="89">
        <f t="shared" ref="JQ399:JR399" si="10727">JP399</f>
        <v>0</v>
      </c>
      <c r="JR399" s="89">
        <f t="shared" si="10727"/>
        <v>0</v>
      </c>
      <c r="JS399" s="263">
        <f>HG399-IF399</f>
        <v>1126.0999999999985</v>
      </c>
      <c r="JT399" s="382">
        <f>GS399-IF399</f>
        <v>1126.0999999999985</v>
      </c>
      <c r="JU399" s="665"/>
      <c r="JV399" s="524"/>
      <c r="JW399" s="525"/>
      <c r="JX399" s="549">
        <f>SUM(HH399,HJ399,HL399,HN399,HP399,HR399,HT399,HV399,HX399,HZ399,IB399,ID399)</f>
        <v>21700</v>
      </c>
      <c r="JY399" s="549">
        <f>SUM(HI399,HK399,HM399,HO399,HQ399,HS399,HU399,HW399,HY399,IA399,IC399,IE399)</f>
        <v>0</v>
      </c>
      <c r="JZ399" s="581">
        <f t="shared" si="10300"/>
        <v>11700</v>
      </c>
      <c r="KA399" s="581">
        <f t="shared" si="10301"/>
        <v>-8000</v>
      </c>
      <c r="KB399" s="549">
        <f t="shared" si="10257"/>
        <v>21700</v>
      </c>
      <c r="KC399" s="709">
        <f t="shared" si="10273"/>
        <v>0</v>
      </c>
      <c r="KD399" s="36"/>
      <c r="KE399" s="36"/>
      <c r="KF399" s="36"/>
      <c r="KG399" s="36"/>
      <c r="KH399" s="36"/>
      <c r="KI399" s="36"/>
      <c r="KJ399" s="36"/>
      <c r="KK399" s="36"/>
    </row>
    <row r="400" spans="1:297" s="10" customFormat="1">
      <c r="A400" s="86"/>
      <c r="B400" s="77"/>
      <c r="C400" s="74"/>
      <c r="D400" s="549"/>
      <c r="E400" s="675"/>
      <c r="F400" s="549"/>
      <c r="G400" s="675"/>
      <c r="H400" s="549"/>
      <c r="I400" s="675"/>
      <c r="J400" s="549"/>
      <c r="K400" s="675"/>
      <c r="L400" s="549"/>
      <c r="M400" s="675"/>
      <c r="N400" s="549"/>
      <c r="O400" s="675"/>
      <c r="P400" s="549"/>
      <c r="Q400" s="675"/>
      <c r="R400" s="549"/>
      <c r="S400" s="675"/>
      <c r="T400" s="549"/>
      <c r="U400" s="675"/>
      <c r="V400" s="549"/>
      <c r="W400" s="675"/>
      <c r="X400" s="549"/>
      <c r="Y400" s="675"/>
      <c r="Z400" s="549"/>
      <c r="AA400" s="675"/>
      <c r="AB400" s="549"/>
      <c r="AC400" s="675"/>
      <c r="AD400" s="549"/>
      <c r="AE400" s="675"/>
      <c r="AF400" s="549"/>
      <c r="AG400" s="675"/>
      <c r="AH400" s="549"/>
      <c r="AI400" s="675"/>
      <c r="AJ400" s="549"/>
      <c r="AK400" s="675"/>
      <c r="AL400" s="549"/>
      <c r="AM400" s="675"/>
      <c r="AN400" s="549"/>
      <c r="AO400" s="675"/>
      <c r="AP400" s="549"/>
      <c r="AQ400" s="675"/>
      <c r="AR400" s="549"/>
      <c r="AS400" s="675"/>
      <c r="AT400" s="549"/>
      <c r="AU400" s="675"/>
      <c r="AV400" s="549"/>
      <c r="AW400" s="675"/>
      <c r="AX400" s="549"/>
      <c r="AY400" s="675"/>
      <c r="AZ400" s="549"/>
      <c r="BA400" s="675"/>
      <c r="BB400" s="549"/>
      <c r="BC400" s="675"/>
      <c r="BD400" s="549"/>
      <c r="BE400" s="675"/>
      <c r="BF400" s="549"/>
      <c r="BG400" s="675"/>
      <c r="BH400" s="549"/>
      <c r="BI400" s="675"/>
      <c r="BJ400" s="549"/>
      <c r="BK400" s="675"/>
      <c r="BL400" s="549"/>
      <c r="BM400" s="675"/>
      <c r="BN400" s="549"/>
      <c r="BO400" s="675"/>
      <c r="BP400" s="549"/>
      <c r="BQ400" s="675"/>
      <c r="BR400" s="549"/>
      <c r="BS400" s="675"/>
      <c r="BT400" s="549"/>
      <c r="BU400" s="675"/>
      <c r="BV400" s="549"/>
      <c r="BW400" s="675"/>
      <c r="BX400" s="549"/>
      <c r="BY400" s="675"/>
      <c r="BZ400" s="549"/>
      <c r="CA400" s="675"/>
      <c r="CB400" s="549"/>
      <c r="CC400" s="675"/>
      <c r="CD400" s="549"/>
      <c r="CE400" s="675"/>
      <c r="CF400" s="549"/>
      <c r="CG400" s="675"/>
      <c r="CH400" s="549"/>
      <c r="CI400" s="675"/>
      <c r="CJ400" s="549"/>
      <c r="CK400" s="675"/>
      <c r="CL400" s="549"/>
      <c r="CM400" s="675"/>
      <c r="CN400" s="549"/>
      <c r="CO400" s="675"/>
      <c r="CP400" s="549"/>
      <c r="CQ400" s="675"/>
      <c r="CR400" s="549"/>
      <c r="CS400" s="675"/>
      <c r="CT400" s="549"/>
      <c r="CU400" s="675"/>
      <c r="CV400" s="549"/>
      <c r="CW400" s="675"/>
      <c r="CX400" s="549"/>
      <c r="CY400" s="675"/>
      <c r="CZ400" s="549"/>
      <c r="DA400" s="675"/>
      <c r="DB400" s="549"/>
      <c r="DC400" s="675"/>
      <c r="DD400" s="549"/>
      <c r="DE400" s="675"/>
      <c r="DF400" s="549"/>
      <c r="DG400" s="675"/>
      <c r="DH400" s="549"/>
      <c r="DI400" s="675"/>
      <c r="DJ400" s="549"/>
      <c r="DK400" s="675"/>
      <c r="DL400" s="549"/>
      <c r="DM400" s="675"/>
      <c r="DN400" s="549"/>
      <c r="DO400" s="675"/>
      <c r="DP400" s="549"/>
      <c r="DQ400" s="675"/>
      <c r="DR400" s="549"/>
      <c r="DS400" s="675"/>
      <c r="DT400" s="549"/>
      <c r="DU400" s="675"/>
      <c r="DV400" s="549"/>
      <c r="DW400" s="675"/>
      <c r="DX400" s="549"/>
      <c r="DY400" s="675"/>
      <c r="DZ400" s="549"/>
      <c r="EA400" s="675"/>
      <c r="EB400" s="549"/>
      <c r="EC400" s="675"/>
      <c r="ED400" s="549"/>
      <c r="EE400" s="675"/>
      <c r="EF400" s="549"/>
      <c r="EG400" s="675"/>
      <c r="EH400" s="549"/>
      <c r="EI400" s="675"/>
      <c r="EJ400" s="549"/>
      <c r="EK400" s="675"/>
      <c r="EL400" s="549"/>
      <c r="EM400" s="675"/>
      <c r="EN400" s="549"/>
      <c r="EO400" s="675"/>
      <c r="EP400" s="549"/>
      <c r="EQ400" s="675"/>
      <c r="ER400" s="549"/>
      <c r="ES400" s="675"/>
      <c r="ET400" s="549"/>
      <c r="EU400" s="675"/>
      <c r="EV400" s="549"/>
      <c r="EW400" s="675"/>
      <c r="EX400" s="549"/>
      <c r="EY400" s="675"/>
      <c r="EZ400" s="549"/>
      <c r="FA400" s="675"/>
      <c r="FB400" s="549"/>
      <c r="FC400" s="675"/>
      <c r="FD400" s="549"/>
      <c r="FE400" s="675"/>
      <c r="FF400" s="549"/>
      <c r="FG400" s="675"/>
      <c r="FH400" s="549"/>
      <c r="FI400" s="675"/>
      <c r="FJ400" s="549"/>
      <c r="FK400" s="675"/>
      <c r="FL400" s="549"/>
      <c r="FM400" s="675"/>
      <c r="FN400" s="549"/>
      <c r="FO400" s="675"/>
      <c r="FP400" s="549"/>
      <c r="FQ400" s="675"/>
      <c r="FR400" s="549"/>
      <c r="FS400" s="675"/>
      <c r="FT400" s="549"/>
      <c r="FU400" s="675"/>
      <c r="FV400" s="549"/>
      <c r="FW400" s="675"/>
      <c r="FX400" s="549"/>
      <c r="FY400" s="675"/>
      <c r="FZ400" s="549"/>
      <c r="GA400" s="675"/>
      <c r="GB400" s="549"/>
      <c r="GC400" s="675"/>
      <c r="GD400" s="549"/>
      <c r="GE400" s="675"/>
      <c r="GF400" s="549"/>
      <c r="GG400" s="675"/>
      <c r="GH400" s="549"/>
      <c r="GI400" s="675"/>
      <c r="GJ400" s="549"/>
      <c r="GK400" s="675"/>
      <c r="GL400" s="549"/>
      <c r="GM400" s="675"/>
      <c r="GN400" s="549"/>
      <c r="GO400" s="675"/>
      <c r="GP400" s="549"/>
      <c r="GQ400" s="675"/>
      <c r="GR400" s="74"/>
      <c r="GS400" s="74"/>
      <c r="GT400" s="568"/>
      <c r="GU400" s="89"/>
      <c r="GV400" s="89"/>
      <c r="GW400" s="568"/>
      <c r="GX400" s="568"/>
      <c r="GY400" s="89"/>
      <c r="GZ400" s="89"/>
      <c r="HA400" s="89"/>
      <c r="HB400" s="89"/>
      <c r="HC400" s="89"/>
      <c r="HD400" s="89"/>
      <c r="HE400" s="89"/>
      <c r="HF400" s="89"/>
      <c r="HG400" s="74"/>
      <c r="HH400" s="89"/>
      <c r="HI400" s="817"/>
      <c r="HJ400" s="89"/>
      <c r="HK400" s="817"/>
      <c r="HL400" s="89"/>
      <c r="HM400" s="817"/>
      <c r="HN400" s="89"/>
      <c r="HO400" s="817"/>
      <c r="HP400" s="89"/>
      <c r="HQ400" s="817"/>
      <c r="HR400" s="89"/>
      <c r="HS400" s="817"/>
      <c r="HT400" s="89"/>
      <c r="HU400" s="817"/>
      <c r="HV400" s="89"/>
      <c r="HW400" s="817"/>
      <c r="HX400" s="89"/>
      <c r="HY400" s="817"/>
      <c r="HZ400" s="89"/>
      <c r="IA400" s="817"/>
      <c r="IB400" s="89"/>
      <c r="IC400" s="817"/>
      <c r="ID400" s="89"/>
      <c r="IE400" s="817"/>
      <c r="IF400" s="841"/>
      <c r="IG400" s="263"/>
      <c r="IH400" s="842"/>
      <c r="II400" s="89"/>
      <c r="IJ400" s="89"/>
      <c r="IK400" s="89"/>
      <c r="IL400" s="89"/>
      <c r="IM400" s="89"/>
      <c r="IN400" s="89"/>
      <c r="IO400" s="89"/>
      <c r="IP400" s="89"/>
      <c r="IQ400" s="89"/>
      <c r="IR400" s="89"/>
      <c r="IS400" s="89"/>
      <c r="IT400" s="89"/>
      <c r="IU400" s="89"/>
      <c r="IV400" s="89"/>
      <c r="IW400" s="89"/>
      <c r="IX400" s="89"/>
      <c r="IY400" s="89"/>
      <c r="IZ400" s="89"/>
      <c r="JA400" s="89"/>
      <c r="JB400" s="89"/>
      <c r="JC400" s="89"/>
      <c r="JD400" s="89"/>
      <c r="JE400" s="89"/>
      <c r="JF400" s="89"/>
      <c r="JG400" s="89"/>
      <c r="JH400" s="89"/>
      <c r="JI400" s="89"/>
      <c r="JJ400" s="89"/>
      <c r="JK400" s="89"/>
      <c r="JL400" s="89"/>
      <c r="JM400" s="89"/>
      <c r="JN400" s="89"/>
      <c r="JO400" s="89"/>
      <c r="JP400" s="89"/>
      <c r="JQ400" s="89"/>
      <c r="JR400" s="89"/>
      <c r="JS400" s="74"/>
      <c r="JT400" s="382"/>
      <c r="JU400" s="665"/>
      <c r="JV400" s="524"/>
      <c r="JW400" s="525"/>
      <c r="JX400" s="549"/>
      <c r="JY400" s="549"/>
      <c r="JZ400" s="581">
        <f t="shared" si="10300"/>
        <v>0</v>
      </c>
      <c r="KA400" s="581">
        <f t="shared" si="10301"/>
        <v>0</v>
      </c>
      <c r="KB400" s="549">
        <f t="shared" si="10257"/>
        <v>0</v>
      </c>
      <c r="KC400" s="709">
        <f t="shared" si="10273"/>
        <v>0</v>
      </c>
      <c r="KD400" s="36"/>
      <c r="KE400" s="36"/>
      <c r="KF400" s="36"/>
      <c r="KG400" s="36"/>
      <c r="KH400" s="36"/>
      <c r="KI400" s="36"/>
      <c r="KJ400" s="36"/>
      <c r="KK400" s="36"/>
    </row>
    <row r="401" spans="1:297" s="8" customFormat="1">
      <c r="A401" s="80" t="s">
        <v>473</v>
      </c>
      <c r="B401" s="72"/>
      <c r="C401" s="74">
        <f t="shared" ref="C401" si="10728">SUM(C402:C404)</f>
        <v>258600</v>
      </c>
      <c r="D401" s="549">
        <f t="shared" ref="D401:E401" si="10729">SUM(D402:D404)</f>
        <v>0</v>
      </c>
      <c r="E401" s="675">
        <f t="shared" si="10729"/>
        <v>0</v>
      </c>
      <c r="F401" s="549">
        <f t="shared" ref="F401:G401" si="10730">SUM(F402:F404)</f>
        <v>0</v>
      </c>
      <c r="G401" s="675">
        <f t="shared" si="10730"/>
        <v>0</v>
      </c>
      <c r="H401" s="549">
        <f t="shared" ref="H401:I401" si="10731">SUM(H402:H404)</f>
        <v>0</v>
      </c>
      <c r="I401" s="675">
        <f t="shared" si="10731"/>
        <v>0</v>
      </c>
      <c r="J401" s="549">
        <f t="shared" ref="J401:K401" si="10732">SUM(J402:J404)</f>
        <v>0</v>
      </c>
      <c r="K401" s="675">
        <f t="shared" si="10732"/>
        <v>0</v>
      </c>
      <c r="L401" s="549">
        <f t="shared" ref="L401:M401" si="10733">SUM(L402:L404)</f>
        <v>0</v>
      </c>
      <c r="M401" s="675">
        <f t="shared" si="10733"/>
        <v>0</v>
      </c>
      <c r="N401" s="549">
        <f t="shared" ref="N401:O401" si="10734">SUM(N402:N404)</f>
        <v>0</v>
      </c>
      <c r="O401" s="675">
        <f t="shared" si="10734"/>
        <v>0</v>
      </c>
      <c r="P401" s="549">
        <f t="shared" ref="P401:Q401" si="10735">SUM(P402:P404)</f>
        <v>0</v>
      </c>
      <c r="Q401" s="675">
        <f t="shared" si="10735"/>
        <v>0</v>
      </c>
      <c r="R401" s="549">
        <f t="shared" ref="R401:S401" si="10736">SUM(R402:R404)</f>
        <v>0</v>
      </c>
      <c r="S401" s="675">
        <f t="shared" si="10736"/>
        <v>0</v>
      </c>
      <c r="T401" s="549">
        <f t="shared" ref="T401:U401" si="10737">SUM(T402:T404)</f>
        <v>0</v>
      </c>
      <c r="U401" s="675">
        <f t="shared" si="10737"/>
        <v>0</v>
      </c>
      <c r="V401" s="549">
        <f t="shared" ref="V401:W401" si="10738">SUM(V402:V404)</f>
        <v>0</v>
      </c>
      <c r="W401" s="675">
        <f t="shared" si="10738"/>
        <v>0</v>
      </c>
      <c r="X401" s="549">
        <f t="shared" ref="X401:Y401" si="10739">SUM(X402:X404)</f>
        <v>0</v>
      </c>
      <c r="Y401" s="675">
        <f t="shared" si="10739"/>
        <v>0</v>
      </c>
      <c r="Z401" s="549">
        <f t="shared" ref="Z401:AA401" si="10740">SUM(Z402:Z404)</f>
        <v>0</v>
      </c>
      <c r="AA401" s="675">
        <f t="shared" si="10740"/>
        <v>0</v>
      </c>
      <c r="AB401" s="549">
        <f t="shared" ref="AB401:AC401" si="10741">SUM(AB402:AB404)</f>
        <v>0</v>
      </c>
      <c r="AC401" s="675">
        <f t="shared" si="10741"/>
        <v>0</v>
      </c>
      <c r="AD401" s="549">
        <f t="shared" ref="AD401:AK401" si="10742">SUM(AD402:AD404)</f>
        <v>4000</v>
      </c>
      <c r="AE401" s="675">
        <f t="shared" si="10742"/>
        <v>0</v>
      </c>
      <c r="AF401" s="549">
        <f t="shared" si="10742"/>
        <v>0</v>
      </c>
      <c r="AG401" s="675">
        <f t="shared" si="10742"/>
        <v>0</v>
      </c>
      <c r="AH401" s="549">
        <f t="shared" si="10742"/>
        <v>0</v>
      </c>
      <c r="AI401" s="675">
        <f t="shared" si="10742"/>
        <v>0</v>
      </c>
      <c r="AJ401" s="549">
        <f t="shared" si="10742"/>
        <v>0</v>
      </c>
      <c r="AK401" s="675">
        <f t="shared" si="10742"/>
        <v>0</v>
      </c>
      <c r="AL401" s="549">
        <f t="shared" ref="AL401:AM401" si="10743">SUM(AL402:AL404)</f>
        <v>0</v>
      </c>
      <c r="AM401" s="675">
        <f t="shared" si="10743"/>
        <v>0</v>
      </c>
      <c r="AN401" s="549">
        <f t="shared" ref="AN401:AS401" si="10744">SUM(AN402:AN404)</f>
        <v>0</v>
      </c>
      <c r="AO401" s="675">
        <f t="shared" si="10744"/>
        <v>0</v>
      </c>
      <c r="AP401" s="549">
        <f t="shared" si="10744"/>
        <v>0</v>
      </c>
      <c r="AQ401" s="675">
        <f t="shared" si="10744"/>
        <v>0</v>
      </c>
      <c r="AR401" s="549">
        <f t="shared" si="10744"/>
        <v>0</v>
      </c>
      <c r="AS401" s="675">
        <f t="shared" si="10744"/>
        <v>0</v>
      </c>
      <c r="AT401" s="549">
        <f t="shared" ref="AT401:AU401" si="10745">SUM(AT402:AT404)</f>
        <v>0</v>
      </c>
      <c r="AU401" s="675">
        <f t="shared" si="10745"/>
        <v>0</v>
      </c>
      <c r="AV401" s="549">
        <f t="shared" ref="AV401:AW401" si="10746">SUM(AV402:AV404)</f>
        <v>0</v>
      </c>
      <c r="AW401" s="675">
        <f t="shared" si="10746"/>
        <v>0</v>
      </c>
      <c r="AX401" s="549">
        <f t="shared" ref="AX401:AY401" si="10747">SUM(AX402:AX404)</f>
        <v>0</v>
      </c>
      <c r="AY401" s="675">
        <f t="shared" si="10747"/>
        <v>0</v>
      </c>
      <c r="AZ401" s="549">
        <f t="shared" ref="AZ401:BA401" si="10748">SUM(AZ402:AZ404)</f>
        <v>0</v>
      </c>
      <c r="BA401" s="675">
        <f t="shared" si="10748"/>
        <v>0</v>
      </c>
      <c r="BB401" s="549">
        <f t="shared" ref="BB401:BC401" si="10749">SUM(BB402:BB404)</f>
        <v>0</v>
      </c>
      <c r="BC401" s="675">
        <f t="shared" si="10749"/>
        <v>0</v>
      </c>
      <c r="BD401" s="549">
        <f t="shared" ref="BD401:BE401" si="10750">SUM(BD402:BD404)</f>
        <v>0</v>
      </c>
      <c r="BE401" s="675">
        <f t="shared" si="10750"/>
        <v>0</v>
      </c>
      <c r="BF401" s="549">
        <f t="shared" ref="BF401:BG401" si="10751">SUM(BF402:BF404)</f>
        <v>0</v>
      </c>
      <c r="BG401" s="675">
        <f t="shared" si="10751"/>
        <v>0</v>
      </c>
      <c r="BH401" s="549">
        <f t="shared" ref="BH401:BI401" si="10752">SUM(BH402:BH404)</f>
        <v>0</v>
      </c>
      <c r="BI401" s="675">
        <f t="shared" si="10752"/>
        <v>0</v>
      </c>
      <c r="BJ401" s="549">
        <f t="shared" ref="BJ401:BK401" si="10753">SUM(BJ402:BJ404)</f>
        <v>0</v>
      </c>
      <c r="BK401" s="675">
        <f t="shared" si="10753"/>
        <v>0</v>
      </c>
      <c r="BL401" s="549">
        <f t="shared" ref="BL401:BS401" si="10754">SUM(BL402:BL404)</f>
        <v>0</v>
      </c>
      <c r="BM401" s="675">
        <f t="shared" si="10754"/>
        <v>0</v>
      </c>
      <c r="BN401" s="549">
        <f t="shared" si="10754"/>
        <v>0</v>
      </c>
      <c r="BO401" s="675">
        <f t="shared" si="10754"/>
        <v>0</v>
      </c>
      <c r="BP401" s="549">
        <f t="shared" si="10754"/>
        <v>5000</v>
      </c>
      <c r="BQ401" s="675">
        <f t="shared" si="10754"/>
        <v>0</v>
      </c>
      <c r="BR401" s="549">
        <f t="shared" si="10754"/>
        <v>0</v>
      </c>
      <c r="BS401" s="675">
        <f t="shared" si="10754"/>
        <v>0</v>
      </c>
      <c r="BT401" s="549">
        <f t="shared" ref="BT401:BU401" si="10755">SUM(BT402:BT404)</f>
        <v>0</v>
      </c>
      <c r="BU401" s="675">
        <f t="shared" si="10755"/>
        <v>0</v>
      </c>
      <c r="BV401" s="549">
        <f t="shared" ref="BV401:BW401" si="10756">SUM(BV402:BV404)</f>
        <v>0</v>
      </c>
      <c r="BW401" s="675">
        <f t="shared" si="10756"/>
        <v>0</v>
      </c>
      <c r="BX401" s="549">
        <f t="shared" ref="BX401:BY401" si="10757">SUM(BX402:BX404)</f>
        <v>0</v>
      </c>
      <c r="BY401" s="675">
        <f t="shared" si="10757"/>
        <v>0</v>
      </c>
      <c r="BZ401" s="549">
        <f t="shared" ref="BZ401:CA401" si="10758">SUM(BZ402:BZ404)</f>
        <v>0</v>
      </c>
      <c r="CA401" s="675">
        <f t="shared" si="10758"/>
        <v>0</v>
      </c>
      <c r="CB401" s="549">
        <f t="shared" ref="CB401:CE401" si="10759">SUM(CB402:CB404)</f>
        <v>15000</v>
      </c>
      <c r="CC401" s="675">
        <f t="shared" si="10759"/>
        <v>0</v>
      </c>
      <c r="CD401" s="549">
        <f t="shared" si="10759"/>
        <v>0</v>
      </c>
      <c r="CE401" s="675">
        <f t="shared" si="10759"/>
        <v>0</v>
      </c>
      <c r="CF401" s="549">
        <f t="shared" ref="CF401:CQ401" si="10760">SUM(CF402:CF404)</f>
        <v>0</v>
      </c>
      <c r="CG401" s="675">
        <f t="shared" si="10760"/>
        <v>0</v>
      </c>
      <c r="CH401" s="549">
        <f t="shared" si="10760"/>
        <v>5000</v>
      </c>
      <c r="CI401" s="675">
        <f t="shared" si="10760"/>
        <v>0</v>
      </c>
      <c r="CJ401" s="549">
        <f t="shared" si="10760"/>
        <v>0</v>
      </c>
      <c r="CK401" s="675">
        <f t="shared" si="10760"/>
        <v>0</v>
      </c>
      <c r="CL401" s="549">
        <f t="shared" si="10760"/>
        <v>0</v>
      </c>
      <c r="CM401" s="675">
        <f t="shared" si="10760"/>
        <v>0</v>
      </c>
      <c r="CN401" s="549">
        <f t="shared" si="10760"/>
        <v>0</v>
      </c>
      <c r="CO401" s="675">
        <f t="shared" si="10760"/>
        <v>0</v>
      </c>
      <c r="CP401" s="549">
        <f t="shared" si="10760"/>
        <v>0</v>
      </c>
      <c r="CQ401" s="675">
        <f t="shared" si="10760"/>
        <v>0</v>
      </c>
      <c r="CR401" s="549">
        <f t="shared" ref="CR401:CY401" si="10761">SUM(CR402:CR404)</f>
        <v>0</v>
      </c>
      <c r="CS401" s="675">
        <f t="shared" si="10761"/>
        <v>0</v>
      </c>
      <c r="CT401" s="549">
        <f t="shared" si="10761"/>
        <v>0</v>
      </c>
      <c r="CU401" s="675">
        <f t="shared" si="10761"/>
        <v>0</v>
      </c>
      <c r="CV401" s="549">
        <f t="shared" si="10761"/>
        <v>0</v>
      </c>
      <c r="CW401" s="675">
        <f t="shared" si="10761"/>
        <v>0</v>
      </c>
      <c r="CX401" s="549">
        <f t="shared" si="10761"/>
        <v>0</v>
      </c>
      <c r="CY401" s="675">
        <f t="shared" si="10761"/>
        <v>0</v>
      </c>
      <c r="CZ401" s="549">
        <f t="shared" ref="CZ401:DG401" si="10762">SUM(CZ402:CZ404)</f>
        <v>15000</v>
      </c>
      <c r="DA401" s="675">
        <f t="shared" si="10762"/>
        <v>0</v>
      </c>
      <c r="DB401" s="549">
        <f t="shared" si="10762"/>
        <v>0</v>
      </c>
      <c r="DC401" s="675">
        <f t="shared" si="10762"/>
        <v>0</v>
      </c>
      <c r="DD401" s="549">
        <f t="shared" si="10762"/>
        <v>0</v>
      </c>
      <c r="DE401" s="675">
        <f t="shared" si="10762"/>
        <v>0</v>
      </c>
      <c r="DF401" s="549">
        <f t="shared" si="10762"/>
        <v>0</v>
      </c>
      <c r="DG401" s="675">
        <f t="shared" si="10762"/>
        <v>0</v>
      </c>
      <c r="DH401" s="549">
        <f t="shared" ref="DH401:DY401" si="10763">SUM(DH402:DH404)</f>
        <v>5000</v>
      </c>
      <c r="DI401" s="675">
        <f t="shared" si="10763"/>
        <v>0</v>
      </c>
      <c r="DJ401" s="549">
        <f t="shared" si="10763"/>
        <v>5000</v>
      </c>
      <c r="DK401" s="675">
        <f t="shared" si="10763"/>
        <v>0</v>
      </c>
      <c r="DL401" s="549">
        <f t="shared" si="10763"/>
        <v>0</v>
      </c>
      <c r="DM401" s="675">
        <f t="shared" si="10763"/>
        <v>0</v>
      </c>
      <c r="DN401" s="549">
        <f t="shared" si="10763"/>
        <v>0</v>
      </c>
      <c r="DO401" s="675">
        <f t="shared" si="10763"/>
        <v>0</v>
      </c>
      <c r="DP401" s="549">
        <f t="shared" si="10763"/>
        <v>0</v>
      </c>
      <c r="DQ401" s="675">
        <f t="shared" si="10763"/>
        <v>0</v>
      </c>
      <c r="DR401" s="549">
        <f t="shared" si="10763"/>
        <v>0</v>
      </c>
      <c r="DS401" s="675">
        <f t="shared" si="10763"/>
        <v>0</v>
      </c>
      <c r="DT401" s="549">
        <f t="shared" si="10763"/>
        <v>0</v>
      </c>
      <c r="DU401" s="675">
        <f t="shared" si="10763"/>
        <v>0</v>
      </c>
      <c r="DV401" s="549">
        <f t="shared" si="10763"/>
        <v>0</v>
      </c>
      <c r="DW401" s="675">
        <f t="shared" si="10763"/>
        <v>0</v>
      </c>
      <c r="DX401" s="549">
        <f t="shared" si="10763"/>
        <v>0</v>
      </c>
      <c r="DY401" s="675">
        <f t="shared" si="10763"/>
        <v>0</v>
      </c>
      <c r="DZ401" s="549">
        <f t="shared" ref="DZ401:FA401" si="10764">SUM(DZ402:DZ404)</f>
        <v>0</v>
      </c>
      <c r="EA401" s="675">
        <f t="shared" si="10764"/>
        <v>0</v>
      </c>
      <c r="EB401" s="549">
        <f t="shared" si="10764"/>
        <v>0</v>
      </c>
      <c r="EC401" s="675">
        <f t="shared" si="10764"/>
        <v>0</v>
      </c>
      <c r="ED401" s="549">
        <f t="shared" si="10764"/>
        <v>0</v>
      </c>
      <c r="EE401" s="675">
        <f t="shared" si="10764"/>
        <v>0</v>
      </c>
      <c r="EF401" s="549">
        <f t="shared" si="10764"/>
        <v>0</v>
      </c>
      <c r="EG401" s="675">
        <f t="shared" si="10764"/>
        <v>0</v>
      </c>
      <c r="EH401" s="549">
        <f t="shared" ref="EH401:EM401" si="10765">SUM(EH402:EH404)</f>
        <v>0</v>
      </c>
      <c r="EI401" s="675">
        <f t="shared" si="10765"/>
        <v>0</v>
      </c>
      <c r="EJ401" s="549">
        <f t="shared" si="10765"/>
        <v>0</v>
      </c>
      <c r="EK401" s="675">
        <f t="shared" si="10765"/>
        <v>0</v>
      </c>
      <c r="EL401" s="549">
        <f t="shared" si="10765"/>
        <v>0</v>
      </c>
      <c r="EM401" s="675">
        <f t="shared" si="10765"/>
        <v>0</v>
      </c>
      <c r="EN401" s="549">
        <f t="shared" si="10764"/>
        <v>0</v>
      </c>
      <c r="EO401" s="675">
        <f t="shared" si="10764"/>
        <v>0</v>
      </c>
      <c r="EP401" s="549">
        <f t="shared" si="10764"/>
        <v>0</v>
      </c>
      <c r="EQ401" s="675">
        <f t="shared" si="10764"/>
        <v>0</v>
      </c>
      <c r="ER401" s="549">
        <f t="shared" si="10764"/>
        <v>0</v>
      </c>
      <c r="ES401" s="675">
        <f t="shared" si="10764"/>
        <v>0</v>
      </c>
      <c r="ET401" s="549">
        <f t="shared" si="10764"/>
        <v>0</v>
      </c>
      <c r="EU401" s="675">
        <f t="shared" si="10764"/>
        <v>0</v>
      </c>
      <c r="EV401" s="549">
        <f t="shared" ref="EV401:EW401" si="10766">SUM(EV402:EV404)</f>
        <v>0</v>
      </c>
      <c r="EW401" s="675">
        <f t="shared" si="10766"/>
        <v>0</v>
      </c>
      <c r="EX401" s="549">
        <f t="shared" si="10764"/>
        <v>0</v>
      </c>
      <c r="EY401" s="675">
        <f t="shared" si="10764"/>
        <v>0</v>
      </c>
      <c r="EZ401" s="549">
        <f t="shared" si="10764"/>
        <v>0</v>
      </c>
      <c r="FA401" s="675">
        <f t="shared" si="10764"/>
        <v>0</v>
      </c>
      <c r="FB401" s="549">
        <f t="shared" ref="FB401:FC401" si="10767">SUM(FB402:FB404)</f>
        <v>0</v>
      </c>
      <c r="FC401" s="675">
        <f t="shared" si="10767"/>
        <v>0</v>
      </c>
      <c r="FD401" s="549">
        <f t="shared" ref="FD401:FE401" si="10768">SUM(FD402:FD404)</f>
        <v>0</v>
      </c>
      <c r="FE401" s="675">
        <f t="shared" si="10768"/>
        <v>0</v>
      </c>
      <c r="FF401" s="549">
        <f t="shared" ref="FF401:FG401" si="10769">SUM(FF402:FF404)</f>
        <v>0</v>
      </c>
      <c r="FG401" s="675">
        <f t="shared" si="10769"/>
        <v>0</v>
      </c>
      <c r="FH401" s="549">
        <f t="shared" ref="FH401:FI401" si="10770">SUM(FH402:FH404)</f>
        <v>0</v>
      </c>
      <c r="FI401" s="675">
        <f t="shared" si="10770"/>
        <v>0</v>
      </c>
      <c r="FJ401" s="549">
        <f t="shared" ref="FJ401:FK401" si="10771">SUM(FJ402:FJ404)</f>
        <v>0</v>
      </c>
      <c r="FK401" s="675">
        <f t="shared" si="10771"/>
        <v>0</v>
      </c>
      <c r="FL401" s="549">
        <f t="shared" ref="FL401:FM401" si="10772">SUM(FL402:FL404)</f>
        <v>10000</v>
      </c>
      <c r="FM401" s="675">
        <f t="shared" si="10772"/>
        <v>-15000</v>
      </c>
      <c r="FN401" s="549">
        <f t="shared" ref="FN401:FO401" si="10773">SUM(FN402:FN404)</f>
        <v>0</v>
      </c>
      <c r="FO401" s="675">
        <f t="shared" si="10773"/>
        <v>0</v>
      </c>
      <c r="FP401" s="549">
        <f t="shared" ref="FP401:FQ401" si="10774">SUM(FP402:FP404)</f>
        <v>0</v>
      </c>
      <c r="FQ401" s="675">
        <f t="shared" si="10774"/>
        <v>0</v>
      </c>
      <c r="FR401" s="549">
        <f t="shared" ref="FR401:FS401" si="10775">SUM(FR402:FR404)</f>
        <v>18000</v>
      </c>
      <c r="FS401" s="675">
        <f t="shared" si="10775"/>
        <v>0</v>
      </c>
      <c r="FT401" s="549">
        <f t="shared" ref="FT401:FU401" si="10776">SUM(FT402:FT404)</f>
        <v>0</v>
      </c>
      <c r="FU401" s="675">
        <f t="shared" si="10776"/>
        <v>0</v>
      </c>
      <c r="FV401" s="549">
        <f t="shared" ref="FV401:GK401" si="10777">SUM(FV402:FV404)</f>
        <v>0</v>
      </c>
      <c r="FW401" s="675">
        <f t="shared" si="10777"/>
        <v>0</v>
      </c>
      <c r="FX401" s="549">
        <f t="shared" si="10777"/>
        <v>0</v>
      </c>
      <c r="FY401" s="675">
        <f t="shared" si="10777"/>
        <v>0</v>
      </c>
      <c r="FZ401" s="549">
        <f t="shared" ref="FZ401:GI401" si="10778">SUM(FZ402:FZ404)</f>
        <v>0</v>
      </c>
      <c r="GA401" s="675">
        <f t="shared" si="10778"/>
        <v>0</v>
      </c>
      <c r="GB401" s="549">
        <f t="shared" si="10778"/>
        <v>0</v>
      </c>
      <c r="GC401" s="675">
        <f t="shared" si="10778"/>
        <v>0</v>
      </c>
      <c r="GD401" s="549">
        <f t="shared" si="10778"/>
        <v>0</v>
      </c>
      <c r="GE401" s="675">
        <f t="shared" si="10778"/>
        <v>0</v>
      </c>
      <c r="GF401" s="549">
        <f t="shared" si="10778"/>
        <v>0</v>
      </c>
      <c r="GG401" s="675">
        <f t="shared" si="10778"/>
        <v>0</v>
      </c>
      <c r="GH401" s="549">
        <f t="shared" si="10778"/>
        <v>0</v>
      </c>
      <c r="GI401" s="675">
        <f t="shared" si="10778"/>
        <v>0</v>
      </c>
      <c r="GJ401" s="549">
        <f t="shared" si="10777"/>
        <v>0</v>
      </c>
      <c r="GK401" s="675">
        <f t="shared" si="10777"/>
        <v>0</v>
      </c>
      <c r="GL401" s="549">
        <f t="shared" ref="GL401:GM401" si="10779">SUM(GL402:GL404)</f>
        <v>0</v>
      </c>
      <c r="GM401" s="675">
        <f t="shared" si="10779"/>
        <v>0</v>
      </c>
      <c r="GN401" s="549">
        <f t="shared" ref="GN401:GO401" si="10780">SUM(GN402:GN404)</f>
        <v>0</v>
      </c>
      <c r="GO401" s="675">
        <f t="shared" si="10780"/>
        <v>0</v>
      </c>
      <c r="GP401" s="549">
        <f>SUM(GP402:GP404)</f>
        <v>82000</v>
      </c>
      <c r="GQ401" s="675">
        <f t="shared" ref="GQ401:IE401" si="10781">SUM(GQ402:GQ404)</f>
        <v>-15000</v>
      </c>
      <c r="GR401" s="74">
        <f>SUM(GR402:GR404)</f>
        <v>325600</v>
      </c>
      <c r="GS401" s="74">
        <f>SUM(GS402:GS404)</f>
        <v>325600</v>
      </c>
      <c r="GT401" s="549">
        <f>SUM(GT402:GT404)</f>
        <v>325600</v>
      </c>
      <c r="GU401" s="74">
        <f>SUM(GU402:GU404)</f>
        <v>48266</v>
      </c>
      <c r="GV401" s="74">
        <f t="shared" ref="GV401:HF401" si="10782">SUM(GV402:GV404)</f>
        <v>11737</v>
      </c>
      <c r="GW401" s="549">
        <f t="shared" si="10782"/>
        <v>11737</v>
      </c>
      <c r="GX401" s="549">
        <f t="shared" si="10782"/>
        <v>48262</v>
      </c>
      <c r="GY401" s="74">
        <f t="shared" si="10782"/>
        <v>11737</v>
      </c>
      <c r="GZ401" s="74">
        <f t="shared" si="10782"/>
        <v>11737</v>
      </c>
      <c r="HA401" s="74">
        <f t="shared" si="10782"/>
        <v>48262</v>
      </c>
      <c r="HB401" s="74">
        <f t="shared" si="10782"/>
        <v>11737</v>
      </c>
      <c r="HC401" s="74">
        <f t="shared" si="10782"/>
        <v>45825</v>
      </c>
      <c r="HD401" s="74">
        <f t="shared" si="10782"/>
        <v>9300</v>
      </c>
      <c r="HE401" s="74">
        <f t="shared" si="10782"/>
        <v>0</v>
      </c>
      <c r="HF401" s="74">
        <f t="shared" si="10782"/>
        <v>0</v>
      </c>
      <c r="HG401" s="74">
        <f>SUM(HG402:HG404)</f>
        <v>325600</v>
      </c>
      <c r="HH401" s="74">
        <f t="shared" ref="HH401:HI401" si="10783">SUM(HH402:HH404)</f>
        <v>48266</v>
      </c>
      <c r="HI401" s="792">
        <f t="shared" si="10783"/>
        <v>0</v>
      </c>
      <c r="HJ401" s="74">
        <f t="shared" ref="HJ401:HK401" si="10784">SUM(HJ402:HJ404)</f>
        <v>11737</v>
      </c>
      <c r="HK401" s="792">
        <f t="shared" si="10784"/>
        <v>0</v>
      </c>
      <c r="HL401" s="74">
        <f t="shared" ref="HL401:HM401" si="10785">SUM(HL402:HL404)</f>
        <v>15737</v>
      </c>
      <c r="HM401" s="792">
        <f t="shared" si="10785"/>
        <v>0</v>
      </c>
      <c r="HN401" s="74">
        <f t="shared" ref="HN401:HO401" si="10786">SUM(HN402:HN404)</f>
        <v>48262</v>
      </c>
      <c r="HO401" s="792">
        <f t="shared" si="10786"/>
        <v>0</v>
      </c>
      <c r="HP401" s="74">
        <f t="shared" ref="HP401:HQ401" si="10787">SUM(HP402:HP404)</f>
        <v>11737</v>
      </c>
      <c r="HQ401" s="792">
        <f t="shared" si="10787"/>
        <v>0</v>
      </c>
      <c r="HR401" s="74">
        <f t="shared" ref="HR401:HS401" si="10788">SUM(HR402:HR404)</f>
        <v>36737</v>
      </c>
      <c r="HS401" s="792">
        <f t="shared" si="10788"/>
        <v>0</v>
      </c>
      <c r="HT401" s="74">
        <f t="shared" ref="HT401:HU401" si="10789">SUM(HT402:HT404)</f>
        <v>50231.31</v>
      </c>
      <c r="HU401" s="792">
        <f t="shared" si="10789"/>
        <v>0</v>
      </c>
      <c r="HV401" s="74">
        <f t="shared" ref="HV401:HW401" si="10790">SUM(HV402:HV404)</f>
        <v>32330.690000000002</v>
      </c>
      <c r="HW401" s="792">
        <f t="shared" si="10790"/>
        <v>0</v>
      </c>
      <c r="HX401" s="74">
        <f t="shared" ref="HX401:HY401" si="10791">SUM(HX402:HX404)</f>
        <v>48262</v>
      </c>
      <c r="HY401" s="792">
        <f t="shared" si="10791"/>
        <v>0</v>
      </c>
      <c r="HZ401" s="74">
        <f t="shared" ref="HZ401:IA401" si="10792">SUM(HZ402:HZ404)</f>
        <v>22300</v>
      </c>
      <c r="IA401" s="792">
        <f t="shared" si="10792"/>
        <v>0</v>
      </c>
      <c r="IB401" s="74">
        <f t="shared" ref="IB401:IC401" si="10793">SUM(IB402:IB404)</f>
        <v>0</v>
      </c>
      <c r="IC401" s="792">
        <f t="shared" si="10793"/>
        <v>0</v>
      </c>
      <c r="ID401" s="74">
        <f t="shared" si="10781"/>
        <v>0</v>
      </c>
      <c r="IE401" s="792">
        <f t="shared" si="10781"/>
        <v>0</v>
      </c>
      <c r="IF401" s="841">
        <f t="shared" ref="IF401:JT401" si="10794">SUM(IF402:IF404)</f>
        <v>314124.55</v>
      </c>
      <c r="IG401" s="263">
        <f t="shared" si="10794"/>
        <v>314124.55</v>
      </c>
      <c r="IH401" s="842">
        <f t="shared" si="10794"/>
        <v>314124.55</v>
      </c>
      <c r="II401" s="74">
        <f t="shared" si="10794"/>
        <v>6566</v>
      </c>
      <c r="IJ401" s="74">
        <f t="shared" si="10794"/>
        <v>6566</v>
      </c>
      <c r="IK401" s="74">
        <f t="shared" si="10794"/>
        <v>6566</v>
      </c>
      <c r="IL401" s="74">
        <f t="shared" si="10794"/>
        <v>32373.75</v>
      </c>
      <c r="IM401" s="74">
        <f t="shared" si="10794"/>
        <v>32373.75</v>
      </c>
      <c r="IN401" s="74">
        <f t="shared" si="10794"/>
        <v>32373.75</v>
      </c>
      <c r="IO401" s="74">
        <f t="shared" si="10794"/>
        <v>23245</v>
      </c>
      <c r="IP401" s="74">
        <f t="shared" si="10794"/>
        <v>23245</v>
      </c>
      <c r="IQ401" s="74">
        <f t="shared" si="10794"/>
        <v>23245</v>
      </c>
      <c r="IR401" s="74">
        <f t="shared" si="10794"/>
        <v>21474</v>
      </c>
      <c r="IS401" s="74">
        <f t="shared" si="10794"/>
        <v>21474</v>
      </c>
      <c r="IT401" s="74">
        <f t="shared" si="10794"/>
        <v>21474</v>
      </c>
      <c r="IU401" s="74">
        <f t="shared" si="10794"/>
        <v>34250.800000000003</v>
      </c>
      <c r="IV401" s="74">
        <f t="shared" si="10794"/>
        <v>34250.800000000003</v>
      </c>
      <c r="IW401" s="74">
        <f t="shared" si="10794"/>
        <v>34250.800000000003</v>
      </c>
      <c r="IX401" s="74">
        <f t="shared" si="10794"/>
        <v>36504</v>
      </c>
      <c r="IY401" s="74">
        <f t="shared" si="10794"/>
        <v>36504</v>
      </c>
      <c r="IZ401" s="74">
        <f t="shared" si="10794"/>
        <v>36504</v>
      </c>
      <c r="JA401" s="74">
        <f t="shared" si="10794"/>
        <v>22119.5</v>
      </c>
      <c r="JB401" s="74">
        <f t="shared" si="10794"/>
        <v>22119.5</v>
      </c>
      <c r="JC401" s="74">
        <f t="shared" si="10794"/>
        <v>22119.5</v>
      </c>
      <c r="JD401" s="74">
        <f t="shared" si="10794"/>
        <v>45751</v>
      </c>
      <c r="JE401" s="74">
        <f t="shared" si="10794"/>
        <v>45751</v>
      </c>
      <c r="JF401" s="74">
        <f t="shared" si="10794"/>
        <v>45751</v>
      </c>
      <c r="JG401" s="74">
        <f t="shared" si="10794"/>
        <v>33449</v>
      </c>
      <c r="JH401" s="74">
        <f t="shared" si="10794"/>
        <v>33449</v>
      </c>
      <c r="JI401" s="74">
        <f t="shared" si="10794"/>
        <v>33449</v>
      </c>
      <c r="JJ401" s="74">
        <f t="shared" si="10794"/>
        <v>58391.5</v>
      </c>
      <c r="JK401" s="74">
        <f t="shared" si="10794"/>
        <v>58391.5</v>
      </c>
      <c r="JL401" s="74">
        <f t="shared" si="10794"/>
        <v>58391.5</v>
      </c>
      <c r="JM401" s="74">
        <f t="shared" si="10794"/>
        <v>0</v>
      </c>
      <c r="JN401" s="74">
        <f t="shared" si="10794"/>
        <v>0</v>
      </c>
      <c r="JO401" s="74">
        <f t="shared" si="10794"/>
        <v>0</v>
      </c>
      <c r="JP401" s="74">
        <f t="shared" si="10794"/>
        <v>0</v>
      </c>
      <c r="JQ401" s="74">
        <f t="shared" si="10794"/>
        <v>0</v>
      </c>
      <c r="JR401" s="74">
        <f t="shared" si="10794"/>
        <v>0</v>
      </c>
      <c r="JS401" s="74">
        <f t="shared" si="10794"/>
        <v>11475.449999999997</v>
      </c>
      <c r="JT401" s="382">
        <f t="shared" si="10794"/>
        <v>11475.449999999997</v>
      </c>
      <c r="JU401" s="665"/>
      <c r="JV401" s="524"/>
      <c r="JW401" s="525"/>
      <c r="JX401" s="549">
        <f>SUM(JX402:JX404)</f>
        <v>325600</v>
      </c>
      <c r="JY401" s="549">
        <f>SUM(JY402:JY404)</f>
        <v>0</v>
      </c>
      <c r="JZ401" s="581">
        <f t="shared" si="10300"/>
        <v>82000</v>
      </c>
      <c r="KA401" s="581">
        <f t="shared" si="10301"/>
        <v>-15000</v>
      </c>
      <c r="KB401" s="549">
        <f t="shared" si="10257"/>
        <v>325600</v>
      </c>
      <c r="KC401" s="709">
        <f t="shared" si="10273"/>
        <v>0</v>
      </c>
      <c r="KD401" s="36"/>
      <c r="KE401" s="36"/>
      <c r="KF401" s="36"/>
      <c r="KG401" s="36"/>
      <c r="KH401" s="36"/>
      <c r="KI401" s="36"/>
      <c r="KJ401" s="36"/>
      <c r="KK401" s="36"/>
    </row>
    <row r="402" spans="1:297" s="10" customFormat="1">
      <c r="A402" s="86" t="s">
        <v>483</v>
      </c>
      <c r="B402" s="77"/>
      <c r="C402" s="74">
        <v>93000</v>
      </c>
      <c r="D402" s="549">
        <v>0</v>
      </c>
      <c r="E402" s="675">
        <v>0</v>
      </c>
      <c r="F402" s="549">
        <v>0</v>
      </c>
      <c r="G402" s="675">
        <v>0</v>
      </c>
      <c r="H402" s="549">
        <v>0</v>
      </c>
      <c r="I402" s="675">
        <v>0</v>
      </c>
      <c r="J402" s="549">
        <v>0</v>
      </c>
      <c r="K402" s="675">
        <v>0</v>
      </c>
      <c r="L402" s="549">
        <v>0</v>
      </c>
      <c r="M402" s="675">
        <v>0</v>
      </c>
      <c r="N402" s="549">
        <v>0</v>
      </c>
      <c r="O402" s="675">
        <v>0</v>
      </c>
      <c r="P402" s="549">
        <v>0</v>
      </c>
      <c r="Q402" s="675">
        <v>0</v>
      </c>
      <c r="R402" s="549">
        <v>0</v>
      </c>
      <c r="S402" s="675">
        <v>0</v>
      </c>
      <c r="T402" s="549">
        <v>0</v>
      </c>
      <c r="U402" s="675">
        <v>0</v>
      </c>
      <c r="V402" s="549">
        <v>0</v>
      </c>
      <c r="W402" s="675">
        <v>0</v>
      </c>
      <c r="X402" s="549">
        <v>0</v>
      </c>
      <c r="Y402" s="675">
        <v>0</v>
      </c>
      <c r="Z402" s="549">
        <v>0</v>
      </c>
      <c r="AA402" s="675">
        <v>0</v>
      </c>
      <c r="AB402" s="549">
        <v>0</v>
      </c>
      <c r="AC402" s="675">
        <v>0</v>
      </c>
      <c r="AD402" s="549">
        <v>0</v>
      </c>
      <c r="AE402" s="675">
        <v>0</v>
      </c>
      <c r="AF402" s="549">
        <v>0</v>
      </c>
      <c r="AG402" s="675">
        <v>0</v>
      </c>
      <c r="AH402" s="549">
        <v>0</v>
      </c>
      <c r="AI402" s="675">
        <v>0</v>
      </c>
      <c r="AJ402" s="549">
        <v>0</v>
      </c>
      <c r="AK402" s="675">
        <v>0</v>
      </c>
      <c r="AL402" s="549">
        <v>0</v>
      </c>
      <c r="AM402" s="675">
        <v>0</v>
      </c>
      <c r="AN402" s="549">
        <v>0</v>
      </c>
      <c r="AO402" s="675">
        <v>0</v>
      </c>
      <c r="AP402" s="549">
        <v>0</v>
      </c>
      <c r="AQ402" s="675">
        <v>0</v>
      </c>
      <c r="AR402" s="549">
        <v>0</v>
      </c>
      <c r="AS402" s="675">
        <v>0</v>
      </c>
      <c r="AT402" s="549">
        <v>0</v>
      </c>
      <c r="AU402" s="675">
        <v>0</v>
      </c>
      <c r="AV402" s="549">
        <v>0</v>
      </c>
      <c r="AW402" s="675">
        <v>0</v>
      </c>
      <c r="AX402" s="549">
        <v>0</v>
      </c>
      <c r="AY402" s="675">
        <v>0</v>
      </c>
      <c r="AZ402" s="549">
        <v>0</v>
      </c>
      <c r="BA402" s="675">
        <v>0</v>
      </c>
      <c r="BB402" s="549">
        <v>0</v>
      </c>
      <c r="BC402" s="675">
        <v>0</v>
      </c>
      <c r="BD402" s="549">
        <v>0</v>
      </c>
      <c r="BE402" s="675">
        <v>0</v>
      </c>
      <c r="BF402" s="549">
        <v>0</v>
      </c>
      <c r="BG402" s="675">
        <v>0</v>
      </c>
      <c r="BH402" s="549">
        <v>0</v>
      </c>
      <c r="BI402" s="675">
        <v>0</v>
      </c>
      <c r="BJ402" s="549">
        <v>0</v>
      </c>
      <c r="BK402" s="675">
        <v>0</v>
      </c>
      <c r="BL402" s="549">
        <v>0</v>
      </c>
      <c r="BM402" s="675">
        <v>0</v>
      </c>
      <c r="BN402" s="549">
        <v>0</v>
      </c>
      <c r="BO402" s="675">
        <v>0</v>
      </c>
      <c r="BP402" s="549">
        <v>5000</v>
      </c>
      <c r="BQ402" s="675">
        <v>0</v>
      </c>
      <c r="BR402" s="549">
        <v>0</v>
      </c>
      <c r="BS402" s="675">
        <v>0</v>
      </c>
      <c r="BT402" s="549">
        <v>0</v>
      </c>
      <c r="BU402" s="675">
        <v>0</v>
      </c>
      <c r="BV402" s="549">
        <v>0</v>
      </c>
      <c r="BW402" s="675">
        <v>0</v>
      </c>
      <c r="BX402" s="549">
        <v>0</v>
      </c>
      <c r="BY402" s="675">
        <v>0</v>
      </c>
      <c r="BZ402" s="549">
        <v>0</v>
      </c>
      <c r="CA402" s="675">
        <v>0</v>
      </c>
      <c r="CB402" s="549">
        <v>0</v>
      </c>
      <c r="CC402" s="675">
        <v>0</v>
      </c>
      <c r="CD402" s="549">
        <v>0</v>
      </c>
      <c r="CE402" s="675">
        <v>0</v>
      </c>
      <c r="CF402" s="549">
        <v>0</v>
      </c>
      <c r="CG402" s="675">
        <v>0</v>
      </c>
      <c r="CH402" s="549">
        <v>0</v>
      </c>
      <c r="CI402" s="675">
        <v>0</v>
      </c>
      <c r="CJ402" s="549">
        <v>0</v>
      </c>
      <c r="CK402" s="675">
        <v>0</v>
      </c>
      <c r="CL402" s="549">
        <v>0</v>
      </c>
      <c r="CM402" s="675">
        <v>0</v>
      </c>
      <c r="CN402" s="549">
        <v>0</v>
      </c>
      <c r="CO402" s="675">
        <v>0</v>
      </c>
      <c r="CP402" s="549">
        <v>0</v>
      </c>
      <c r="CQ402" s="675">
        <v>0</v>
      </c>
      <c r="CR402" s="549">
        <v>0</v>
      </c>
      <c r="CS402" s="675">
        <v>0</v>
      </c>
      <c r="CT402" s="549">
        <v>0</v>
      </c>
      <c r="CU402" s="675">
        <v>0</v>
      </c>
      <c r="CV402" s="549">
        <v>0</v>
      </c>
      <c r="CW402" s="675">
        <v>0</v>
      </c>
      <c r="CX402" s="549">
        <v>0</v>
      </c>
      <c r="CY402" s="675">
        <v>0</v>
      </c>
      <c r="CZ402" s="549">
        <v>5000</v>
      </c>
      <c r="DA402" s="675">
        <v>0</v>
      </c>
      <c r="DB402" s="549">
        <v>0</v>
      </c>
      <c r="DC402" s="675">
        <v>0</v>
      </c>
      <c r="DD402" s="549">
        <v>0</v>
      </c>
      <c r="DE402" s="675">
        <v>0</v>
      </c>
      <c r="DF402" s="549">
        <v>0</v>
      </c>
      <c r="DG402" s="675">
        <v>0</v>
      </c>
      <c r="DH402" s="549">
        <v>5000</v>
      </c>
      <c r="DI402" s="675">
        <v>0</v>
      </c>
      <c r="DJ402" s="549">
        <v>5000</v>
      </c>
      <c r="DK402" s="675">
        <v>0</v>
      </c>
      <c r="DL402" s="549">
        <v>0</v>
      </c>
      <c r="DM402" s="675">
        <v>0</v>
      </c>
      <c r="DN402" s="549">
        <v>0</v>
      </c>
      <c r="DO402" s="675">
        <v>0</v>
      </c>
      <c r="DP402" s="549">
        <v>0</v>
      </c>
      <c r="DQ402" s="675">
        <v>0</v>
      </c>
      <c r="DR402" s="549">
        <v>0</v>
      </c>
      <c r="DS402" s="675">
        <v>0</v>
      </c>
      <c r="DT402" s="549">
        <v>0</v>
      </c>
      <c r="DU402" s="675">
        <v>0</v>
      </c>
      <c r="DV402" s="549">
        <v>0</v>
      </c>
      <c r="DW402" s="675">
        <v>0</v>
      </c>
      <c r="DX402" s="549">
        <v>0</v>
      </c>
      <c r="DY402" s="675">
        <v>0</v>
      </c>
      <c r="DZ402" s="549">
        <v>0</v>
      </c>
      <c r="EA402" s="675">
        <v>0</v>
      </c>
      <c r="EB402" s="549">
        <v>0</v>
      </c>
      <c r="EC402" s="675">
        <v>0</v>
      </c>
      <c r="ED402" s="549">
        <v>0</v>
      </c>
      <c r="EE402" s="675">
        <v>0</v>
      </c>
      <c r="EF402" s="549">
        <v>0</v>
      </c>
      <c r="EG402" s="675">
        <v>0</v>
      </c>
      <c r="EH402" s="549">
        <v>0</v>
      </c>
      <c r="EI402" s="675">
        <v>0</v>
      </c>
      <c r="EJ402" s="549">
        <v>0</v>
      </c>
      <c r="EK402" s="675">
        <v>0</v>
      </c>
      <c r="EL402" s="549">
        <v>0</v>
      </c>
      <c r="EM402" s="675">
        <v>0</v>
      </c>
      <c r="EN402" s="549">
        <v>0</v>
      </c>
      <c r="EO402" s="675">
        <v>0</v>
      </c>
      <c r="EP402" s="549">
        <v>0</v>
      </c>
      <c r="EQ402" s="675">
        <v>0</v>
      </c>
      <c r="ER402" s="549">
        <v>0</v>
      </c>
      <c r="ES402" s="675">
        <v>0</v>
      </c>
      <c r="ET402" s="549">
        <v>0</v>
      </c>
      <c r="EU402" s="675">
        <v>0</v>
      </c>
      <c r="EV402" s="549">
        <v>0</v>
      </c>
      <c r="EW402" s="675">
        <v>0</v>
      </c>
      <c r="EX402" s="549">
        <v>0</v>
      </c>
      <c r="EY402" s="675">
        <v>0</v>
      </c>
      <c r="EZ402" s="549">
        <v>0</v>
      </c>
      <c r="FA402" s="675">
        <v>0</v>
      </c>
      <c r="FB402" s="549">
        <v>0</v>
      </c>
      <c r="FC402" s="675">
        <v>0</v>
      </c>
      <c r="FD402" s="549">
        <v>0</v>
      </c>
      <c r="FE402" s="675">
        <v>0</v>
      </c>
      <c r="FF402" s="549">
        <v>0</v>
      </c>
      <c r="FG402" s="675">
        <v>0</v>
      </c>
      <c r="FH402" s="549">
        <v>0</v>
      </c>
      <c r="FI402" s="675">
        <v>0</v>
      </c>
      <c r="FJ402" s="549">
        <v>0</v>
      </c>
      <c r="FK402" s="675">
        <v>0</v>
      </c>
      <c r="FL402" s="549">
        <v>5000</v>
      </c>
      <c r="FM402" s="675">
        <v>0</v>
      </c>
      <c r="FN402" s="549">
        <v>0</v>
      </c>
      <c r="FO402" s="675">
        <v>0</v>
      </c>
      <c r="FP402" s="549">
        <v>0</v>
      </c>
      <c r="FQ402" s="675">
        <v>0</v>
      </c>
      <c r="FR402" s="549">
        <v>18000</v>
      </c>
      <c r="FS402" s="675">
        <v>0</v>
      </c>
      <c r="FT402" s="549">
        <v>0</v>
      </c>
      <c r="FU402" s="675">
        <v>0</v>
      </c>
      <c r="FV402" s="549">
        <v>0</v>
      </c>
      <c r="FW402" s="675">
        <v>0</v>
      </c>
      <c r="FX402" s="549">
        <v>0</v>
      </c>
      <c r="FY402" s="675">
        <v>0</v>
      </c>
      <c r="FZ402" s="549">
        <v>0</v>
      </c>
      <c r="GA402" s="675">
        <v>0</v>
      </c>
      <c r="GB402" s="549">
        <v>0</v>
      </c>
      <c r="GC402" s="675">
        <v>0</v>
      </c>
      <c r="GD402" s="549">
        <v>0</v>
      </c>
      <c r="GE402" s="675">
        <v>0</v>
      </c>
      <c r="GF402" s="549">
        <v>0</v>
      </c>
      <c r="GG402" s="675">
        <v>0</v>
      </c>
      <c r="GH402" s="549">
        <v>0</v>
      </c>
      <c r="GI402" s="675">
        <v>0</v>
      </c>
      <c r="GJ402" s="549">
        <v>0</v>
      </c>
      <c r="GK402" s="675">
        <v>0</v>
      </c>
      <c r="GL402" s="549">
        <v>0</v>
      </c>
      <c r="GM402" s="675">
        <v>0</v>
      </c>
      <c r="GN402" s="549">
        <v>0</v>
      </c>
      <c r="GO402" s="675">
        <v>0</v>
      </c>
      <c r="GP402" s="549">
        <f t="shared" ref="GP402:GP404" si="10795">+D402+F402+H402+J402+L402+N402+P402+R402+T402+V402+X402+Z402+AB402+AF402+AD402+AH402+AJ402+AL402+AN402+AP402+AR402+AT402+AV402+AX402+AZ402+BB402+BD402+BF402+BH402+BJ402+BL402+BN402+BP402+BR402+BT402+BV402+BX402+BZ402+CB402+CD402+CF402+CH402+CJ402+CL402+CN402+CP402+CR402+CT402+CV402+CX402+CZ402+DB402+DD402+DF402+DH402+DT402+EX402+DJ402+DL402+DN402+DP402+DR402+EJ402+EB402+DZ402+DX402+DV402+ED402+EF402+EH402+EL402+EN402+EP402+EV402+ET402+ER402+EZ402+FB402+FD402+GL402+FF402+FJ402+FL402+GJ402+FT402+FR402+FP402+FN402+FH402+GH402+GF402+GD402+GB402+FZ402+FX402+FV402+GN402</f>
        <v>43000</v>
      </c>
      <c r="GQ402" s="675">
        <f t="shared" ref="GQ402:GQ404" si="10796">+E402+G402+I402+K402+M402+O402+Q402+S402+U402+W402+Y402+AA402+AC402+AE402+AG402+AI402+AK402+AM402+AO402+AQ402+AS402+AU402+AW402+AY402+BA402+BC402+BE402+BG402+BI402+BK402+BM402+BO402+BQ402+BS402+BU402+BW402+BY402+CA402+CC402+CE402+CG402+CI402+CK402+CM402+CO402+CQ402+CS402+CU402+CW402+CY402+DA402+DC402+DE402+DG402+DI402+DU402+EY402+DK402+DM402+DO402+DQ402+DS402+EK402+EC402+EA402+DY402+DW402+EI402+EG402+EE402+EM402+EO402+EQ402+EW402+EU402+ES402+FA402+FC402+FE402+GM402+FG402+FK402+FM402+FO402+FQ402+FS402+FU402+GK402+FI402+GI402+GG402+GE402+GC402+GA402+FY402+FW402+GO402</f>
        <v>0</v>
      </c>
      <c r="GR402" s="74">
        <f>C402+GP402+GQ402</f>
        <v>136000</v>
      </c>
      <c r="GS402" s="74">
        <f t="shared" ref="GS402:GS404" si="10797">SUM(GU402:HD402)+GP402+GQ402</f>
        <v>136000</v>
      </c>
      <c r="GT402" s="568">
        <f t="shared" ref="GT402:GT404" si="10798">SUM(GU402:HF402)+GQ402+GP402</f>
        <v>136000</v>
      </c>
      <c r="GU402" s="275">
        <v>9300</v>
      </c>
      <c r="GV402" s="275">
        <v>9300</v>
      </c>
      <c r="GW402" s="275">
        <v>9300</v>
      </c>
      <c r="GX402" s="275">
        <v>9300</v>
      </c>
      <c r="GY402" s="275">
        <v>9300</v>
      </c>
      <c r="GZ402" s="275">
        <v>9300</v>
      </c>
      <c r="HA402" s="275">
        <v>9300</v>
      </c>
      <c r="HB402" s="275">
        <v>9300</v>
      </c>
      <c r="HC402" s="275">
        <v>9300</v>
      </c>
      <c r="HD402" s="275">
        <v>9300</v>
      </c>
      <c r="HE402" s="275"/>
      <c r="HF402" s="275"/>
      <c r="HG402" s="74">
        <f>SUM(HH402:IE402)</f>
        <v>136000</v>
      </c>
      <c r="HH402" s="89">
        <v>9300</v>
      </c>
      <c r="HI402" s="817">
        <v>0</v>
      </c>
      <c r="HJ402" s="89">
        <v>9300</v>
      </c>
      <c r="HK402" s="817">
        <v>0</v>
      </c>
      <c r="HL402" s="89">
        <v>9300</v>
      </c>
      <c r="HM402" s="817">
        <v>0</v>
      </c>
      <c r="HN402" s="89">
        <v>9300</v>
      </c>
      <c r="HO402" s="817">
        <v>0</v>
      </c>
      <c r="HP402" s="89">
        <v>9300</v>
      </c>
      <c r="HQ402" s="817">
        <v>0</v>
      </c>
      <c r="HR402" s="89">
        <v>14300</v>
      </c>
      <c r="HS402" s="817">
        <v>0</v>
      </c>
      <c r="HT402" s="89">
        <v>14300</v>
      </c>
      <c r="HU402" s="817">
        <v>0</v>
      </c>
      <c r="HV402" s="89">
        <v>19300</v>
      </c>
      <c r="HW402" s="817">
        <v>0</v>
      </c>
      <c r="HX402" s="89">
        <v>9300</v>
      </c>
      <c r="HY402" s="817">
        <v>0</v>
      </c>
      <c r="HZ402" s="89">
        <v>32300</v>
      </c>
      <c r="IA402" s="817">
        <v>0</v>
      </c>
      <c r="IB402" s="89">
        <v>0</v>
      </c>
      <c r="IC402" s="817">
        <v>0</v>
      </c>
      <c r="ID402" s="89">
        <v>0</v>
      </c>
      <c r="IE402" s="817">
        <v>0</v>
      </c>
      <c r="IF402" s="841">
        <f t="shared" ref="IF402:IF404" si="10799">SUM(II402,IL402,IO402,IR402,IU402,IX402,JA402,JD402,JG402,JJ402,JM402,JP402)</f>
        <v>134180.25</v>
      </c>
      <c r="IG402" s="263">
        <f t="shared" ref="IG402:IG404" si="10800">SUM(IJ402,IM402,IP402,IS402,IV402,IY402,JB402,JE402,JH402,JK402,JN402,JQ402)</f>
        <v>134180.25</v>
      </c>
      <c r="IH402" s="842">
        <f t="shared" ref="IH402:IH404" si="10801">SUM(IK402,IN402,IQ402,IT402,IW402,IZ402,JC402,JF402,JI402,JL402,JO402,JR402)</f>
        <v>134180.25</v>
      </c>
      <c r="II402" s="89">
        <v>6566</v>
      </c>
      <c r="IJ402" s="89">
        <f t="shared" ref="IJ402:IJ404" si="10802">II402</f>
        <v>6566</v>
      </c>
      <c r="IK402" s="89">
        <f t="shared" ref="IK402:IK404" si="10803">IJ402</f>
        <v>6566</v>
      </c>
      <c r="IL402" s="89">
        <f>16489.75-6566</f>
        <v>9923.75</v>
      </c>
      <c r="IM402" s="89">
        <f t="shared" ref="IM402:IM404" si="10804">IL402</f>
        <v>9923.75</v>
      </c>
      <c r="IN402" s="89">
        <f t="shared" ref="IN402:IN404" si="10805">IM402</f>
        <v>9923.75</v>
      </c>
      <c r="IO402" s="89">
        <f>21272.75-16489.75</f>
        <v>4783</v>
      </c>
      <c r="IP402" s="89">
        <f t="shared" ref="IP402:IP404" si="10806">IO402</f>
        <v>4783</v>
      </c>
      <c r="IQ402" s="89">
        <f t="shared" ref="IQ402:IQ404" si="10807">IP402</f>
        <v>4783</v>
      </c>
      <c r="IR402" s="89">
        <f>31254.75-21272.75</f>
        <v>9982</v>
      </c>
      <c r="IS402" s="89">
        <f t="shared" ref="IS402:IS404" si="10808">IR402</f>
        <v>9982</v>
      </c>
      <c r="IT402" s="89">
        <f t="shared" ref="IT402:IT404" si="10809">IS402</f>
        <v>9982</v>
      </c>
      <c r="IU402" s="89">
        <f>43321.75-31254.75</f>
        <v>12067</v>
      </c>
      <c r="IV402" s="89">
        <f t="shared" ref="IV402:IV404" si="10810">IU402</f>
        <v>12067</v>
      </c>
      <c r="IW402" s="89">
        <f t="shared" ref="IW402:IW404" si="10811">IV402</f>
        <v>12067</v>
      </c>
      <c r="IX402" s="89">
        <f>57561.75-43321.75</f>
        <v>14240</v>
      </c>
      <c r="IY402" s="89">
        <f t="shared" ref="IY402:IY404" si="10812">IX402</f>
        <v>14240</v>
      </c>
      <c r="IZ402" s="89">
        <f t="shared" ref="IZ402:IZ404" si="10813">IY402</f>
        <v>14240</v>
      </c>
      <c r="JA402" s="89">
        <f>68440.75-57561.75</f>
        <v>10879</v>
      </c>
      <c r="JB402" s="89">
        <f t="shared" ref="JB402:JB404" si="10814">JA402</f>
        <v>10879</v>
      </c>
      <c r="JC402" s="89">
        <f t="shared" ref="JC402:JC404" si="10815">JB402</f>
        <v>10879</v>
      </c>
      <c r="JD402" s="89">
        <f>89823.25-68440.75</f>
        <v>21382.5</v>
      </c>
      <c r="JE402" s="89">
        <f t="shared" ref="JE402:JE404" si="10816">JD402</f>
        <v>21382.5</v>
      </c>
      <c r="JF402" s="89">
        <f t="shared" ref="JF402:JF404" si="10817">JE402</f>
        <v>21382.5</v>
      </c>
      <c r="JG402" s="89">
        <f>100925.25-89823.25</f>
        <v>11102</v>
      </c>
      <c r="JH402" s="89">
        <f t="shared" ref="JH402:JH404" si="10818">JG402</f>
        <v>11102</v>
      </c>
      <c r="JI402" s="89">
        <f t="shared" ref="JI402:JI404" si="10819">JH402</f>
        <v>11102</v>
      </c>
      <c r="JJ402" s="89">
        <f>134180.25-100925.25</f>
        <v>33255</v>
      </c>
      <c r="JK402" s="89">
        <f t="shared" ref="JK402:JK404" si="10820">JJ402</f>
        <v>33255</v>
      </c>
      <c r="JL402" s="89">
        <f t="shared" ref="JL402:JL404" si="10821">JK402</f>
        <v>33255</v>
      </c>
      <c r="JM402" s="89">
        <v>0</v>
      </c>
      <c r="JN402" s="89">
        <f t="shared" ref="JN402:JN404" si="10822">JM402</f>
        <v>0</v>
      </c>
      <c r="JO402" s="89">
        <f t="shared" ref="JO402:JO404" si="10823">JN402</f>
        <v>0</v>
      </c>
      <c r="JP402" s="89">
        <v>0</v>
      </c>
      <c r="JQ402" s="89">
        <f t="shared" ref="JQ402:JR402" si="10824">JP402</f>
        <v>0</v>
      </c>
      <c r="JR402" s="89">
        <f t="shared" si="10824"/>
        <v>0</v>
      </c>
      <c r="JS402" s="74">
        <f>HG402-IF402</f>
        <v>1819.75</v>
      </c>
      <c r="JT402" s="382">
        <f>GS402-IF402</f>
        <v>1819.75</v>
      </c>
      <c r="JU402" s="665"/>
      <c r="JV402" s="524"/>
      <c r="JW402" s="525"/>
      <c r="JX402" s="549">
        <f t="shared" ref="JX402:JY404" si="10825">SUM(HH402,HJ402,HL402,HN402,HP402,HR402,HT402,HV402,HX402,HZ402,IB402,ID402)</f>
        <v>136000</v>
      </c>
      <c r="JY402" s="549">
        <f t="shared" si="10825"/>
        <v>0</v>
      </c>
      <c r="JZ402" s="581">
        <f t="shared" si="10300"/>
        <v>43000</v>
      </c>
      <c r="KA402" s="581">
        <f t="shared" si="10301"/>
        <v>0</v>
      </c>
      <c r="KB402" s="549">
        <f t="shared" si="10257"/>
        <v>136000</v>
      </c>
      <c r="KC402" s="709">
        <f t="shared" si="10273"/>
        <v>0</v>
      </c>
      <c r="KD402" s="36"/>
      <c r="KE402" s="36"/>
      <c r="KF402" s="36"/>
      <c r="KG402" s="36"/>
      <c r="KH402" s="36"/>
      <c r="KI402" s="36"/>
      <c r="KJ402" s="36"/>
      <c r="KK402" s="36"/>
    </row>
    <row r="403" spans="1:297" s="10" customFormat="1">
      <c r="A403" s="86" t="s">
        <v>484</v>
      </c>
      <c r="B403" s="77"/>
      <c r="C403" s="74">
        <v>146100</v>
      </c>
      <c r="D403" s="549">
        <v>0</v>
      </c>
      <c r="E403" s="675">
        <v>0</v>
      </c>
      <c r="F403" s="549">
        <v>0</v>
      </c>
      <c r="G403" s="675">
        <v>0</v>
      </c>
      <c r="H403" s="549">
        <v>0</v>
      </c>
      <c r="I403" s="675">
        <v>0</v>
      </c>
      <c r="J403" s="549">
        <v>0</v>
      </c>
      <c r="K403" s="675">
        <v>0</v>
      </c>
      <c r="L403" s="549">
        <v>0</v>
      </c>
      <c r="M403" s="675">
        <v>0</v>
      </c>
      <c r="N403" s="549">
        <v>0</v>
      </c>
      <c r="O403" s="675">
        <v>0</v>
      </c>
      <c r="P403" s="549">
        <v>0</v>
      </c>
      <c r="Q403" s="675">
        <v>0</v>
      </c>
      <c r="R403" s="549">
        <v>0</v>
      </c>
      <c r="S403" s="675">
        <v>0</v>
      </c>
      <c r="T403" s="549">
        <v>0</v>
      </c>
      <c r="U403" s="675">
        <v>0</v>
      </c>
      <c r="V403" s="549">
        <v>0</v>
      </c>
      <c r="W403" s="675">
        <v>0</v>
      </c>
      <c r="X403" s="549">
        <v>0</v>
      </c>
      <c r="Y403" s="675">
        <v>0</v>
      </c>
      <c r="Z403" s="549">
        <v>0</v>
      </c>
      <c r="AA403" s="675">
        <v>0</v>
      </c>
      <c r="AB403" s="549">
        <v>0</v>
      </c>
      <c r="AC403" s="675">
        <v>0</v>
      </c>
      <c r="AD403" s="549">
        <v>4000</v>
      </c>
      <c r="AE403" s="675">
        <v>0</v>
      </c>
      <c r="AF403" s="549">
        <v>0</v>
      </c>
      <c r="AG403" s="675">
        <v>0</v>
      </c>
      <c r="AH403" s="549">
        <v>0</v>
      </c>
      <c r="AI403" s="675">
        <v>0</v>
      </c>
      <c r="AJ403" s="549">
        <v>0</v>
      </c>
      <c r="AK403" s="675">
        <v>0</v>
      </c>
      <c r="AL403" s="549">
        <v>0</v>
      </c>
      <c r="AM403" s="675">
        <v>0</v>
      </c>
      <c r="AN403" s="549">
        <v>0</v>
      </c>
      <c r="AO403" s="675">
        <v>0</v>
      </c>
      <c r="AP403" s="549">
        <v>0</v>
      </c>
      <c r="AQ403" s="675">
        <v>0</v>
      </c>
      <c r="AR403" s="549">
        <v>0</v>
      </c>
      <c r="AS403" s="675">
        <v>0</v>
      </c>
      <c r="AT403" s="549">
        <v>0</v>
      </c>
      <c r="AU403" s="675">
        <v>0</v>
      </c>
      <c r="AV403" s="549">
        <v>0</v>
      </c>
      <c r="AW403" s="675">
        <v>0</v>
      </c>
      <c r="AX403" s="549">
        <v>0</v>
      </c>
      <c r="AY403" s="675">
        <v>0</v>
      </c>
      <c r="AZ403" s="549">
        <v>0</v>
      </c>
      <c r="BA403" s="675">
        <v>0</v>
      </c>
      <c r="BB403" s="549">
        <v>0</v>
      </c>
      <c r="BC403" s="675">
        <v>0</v>
      </c>
      <c r="BD403" s="549">
        <v>0</v>
      </c>
      <c r="BE403" s="675">
        <v>0</v>
      </c>
      <c r="BF403" s="549">
        <v>0</v>
      </c>
      <c r="BG403" s="675">
        <v>0</v>
      </c>
      <c r="BH403" s="549">
        <v>0</v>
      </c>
      <c r="BI403" s="675">
        <v>0</v>
      </c>
      <c r="BJ403" s="549">
        <v>0</v>
      </c>
      <c r="BK403" s="675">
        <v>0</v>
      </c>
      <c r="BL403" s="549">
        <v>0</v>
      </c>
      <c r="BM403" s="675">
        <v>0</v>
      </c>
      <c r="BN403" s="549">
        <v>0</v>
      </c>
      <c r="BO403" s="675">
        <v>0</v>
      </c>
      <c r="BP403" s="549">
        <v>0</v>
      </c>
      <c r="BQ403" s="675">
        <v>0</v>
      </c>
      <c r="BR403" s="549">
        <v>0</v>
      </c>
      <c r="BS403" s="675">
        <v>0</v>
      </c>
      <c r="BT403" s="549">
        <v>0</v>
      </c>
      <c r="BU403" s="675">
        <v>0</v>
      </c>
      <c r="BV403" s="549">
        <v>0</v>
      </c>
      <c r="BW403" s="675">
        <v>0</v>
      </c>
      <c r="BX403" s="549">
        <v>0</v>
      </c>
      <c r="BY403" s="675">
        <v>0</v>
      </c>
      <c r="BZ403" s="549">
        <v>0</v>
      </c>
      <c r="CA403" s="675">
        <v>0</v>
      </c>
      <c r="CB403" s="549">
        <v>15000</v>
      </c>
      <c r="CC403" s="675">
        <v>0</v>
      </c>
      <c r="CD403" s="549">
        <v>0</v>
      </c>
      <c r="CE403" s="675">
        <v>0</v>
      </c>
      <c r="CF403" s="549">
        <v>0</v>
      </c>
      <c r="CG403" s="675">
        <v>0</v>
      </c>
      <c r="CH403" s="549">
        <v>0</v>
      </c>
      <c r="CI403" s="675">
        <v>0</v>
      </c>
      <c r="CJ403" s="549">
        <v>0</v>
      </c>
      <c r="CK403" s="675">
        <v>0</v>
      </c>
      <c r="CL403" s="549">
        <v>0</v>
      </c>
      <c r="CM403" s="675">
        <v>0</v>
      </c>
      <c r="CN403" s="549">
        <v>0</v>
      </c>
      <c r="CO403" s="675">
        <v>0</v>
      </c>
      <c r="CP403" s="549">
        <v>0</v>
      </c>
      <c r="CQ403" s="675">
        <v>0</v>
      </c>
      <c r="CR403" s="549">
        <v>0</v>
      </c>
      <c r="CS403" s="675">
        <v>0</v>
      </c>
      <c r="CT403" s="549">
        <v>0</v>
      </c>
      <c r="CU403" s="675">
        <v>0</v>
      </c>
      <c r="CV403" s="549">
        <v>0</v>
      </c>
      <c r="CW403" s="675">
        <v>0</v>
      </c>
      <c r="CX403" s="549">
        <v>0</v>
      </c>
      <c r="CY403" s="675">
        <v>0</v>
      </c>
      <c r="CZ403" s="549">
        <v>0</v>
      </c>
      <c r="DA403" s="675">
        <v>0</v>
      </c>
      <c r="DB403" s="549">
        <v>0</v>
      </c>
      <c r="DC403" s="675">
        <v>0</v>
      </c>
      <c r="DD403" s="549">
        <v>0</v>
      </c>
      <c r="DE403" s="675">
        <v>0</v>
      </c>
      <c r="DF403" s="549">
        <v>0</v>
      </c>
      <c r="DG403" s="675">
        <v>0</v>
      </c>
      <c r="DH403" s="549">
        <v>0</v>
      </c>
      <c r="DI403" s="675">
        <v>0</v>
      </c>
      <c r="DJ403" s="549">
        <v>0</v>
      </c>
      <c r="DK403" s="675">
        <v>0</v>
      </c>
      <c r="DL403" s="549">
        <v>0</v>
      </c>
      <c r="DM403" s="675">
        <v>0</v>
      </c>
      <c r="DN403" s="549">
        <v>0</v>
      </c>
      <c r="DO403" s="675">
        <v>0</v>
      </c>
      <c r="DP403" s="549">
        <v>0</v>
      </c>
      <c r="DQ403" s="675">
        <v>0</v>
      </c>
      <c r="DR403" s="549">
        <v>0</v>
      </c>
      <c r="DS403" s="675">
        <v>0</v>
      </c>
      <c r="DT403" s="549">
        <v>0</v>
      </c>
      <c r="DU403" s="675">
        <v>0</v>
      </c>
      <c r="DV403" s="549">
        <v>0</v>
      </c>
      <c r="DW403" s="675">
        <v>0</v>
      </c>
      <c r="DX403" s="549">
        <v>0</v>
      </c>
      <c r="DY403" s="675">
        <v>0</v>
      </c>
      <c r="DZ403" s="549">
        <v>0</v>
      </c>
      <c r="EA403" s="675">
        <v>0</v>
      </c>
      <c r="EB403" s="549">
        <v>0</v>
      </c>
      <c r="EC403" s="675">
        <v>0</v>
      </c>
      <c r="ED403" s="549">
        <v>0</v>
      </c>
      <c r="EE403" s="675">
        <v>0</v>
      </c>
      <c r="EF403" s="549">
        <v>0</v>
      </c>
      <c r="EG403" s="675">
        <v>0</v>
      </c>
      <c r="EH403" s="549">
        <v>0</v>
      </c>
      <c r="EI403" s="675">
        <v>0</v>
      </c>
      <c r="EJ403" s="549">
        <v>0</v>
      </c>
      <c r="EK403" s="675">
        <v>0</v>
      </c>
      <c r="EL403" s="549">
        <v>0</v>
      </c>
      <c r="EM403" s="675">
        <v>0</v>
      </c>
      <c r="EN403" s="549">
        <v>0</v>
      </c>
      <c r="EO403" s="675">
        <v>0</v>
      </c>
      <c r="EP403" s="549">
        <v>0</v>
      </c>
      <c r="EQ403" s="675">
        <v>0</v>
      </c>
      <c r="ER403" s="549">
        <v>0</v>
      </c>
      <c r="ES403" s="675">
        <v>0</v>
      </c>
      <c r="ET403" s="549">
        <v>0</v>
      </c>
      <c r="EU403" s="675">
        <v>0</v>
      </c>
      <c r="EV403" s="549">
        <v>0</v>
      </c>
      <c r="EW403" s="675">
        <v>0</v>
      </c>
      <c r="EX403" s="549">
        <v>0</v>
      </c>
      <c r="EY403" s="675">
        <v>0</v>
      </c>
      <c r="EZ403" s="549">
        <v>0</v>
      </c>
      <c r="FA403" s="675">
        <v>0</v>
      </c>
      <c r="FB403" s="549">
        <v>0</v>
      </c>
      <c r="FC403" s="675">
        <v>0</v>
      </c>
      <c r="FD403" s="549">
        <v>0</v>
      </c>
      <c r="FE403" s="675">
        <v>0</v>
      </c>
      <c r="FF403" s="549">
        <v>0</v>
      </c>
      <c r="FG403" s="675">
        <v>0</v>
      </c>
      <c r="FH403" s="549">
        <v>0</v>
      </c>
      <c r="FI403" s="675">
        <v>0</v>
      </c>
      <c r="FJ403" s="549">
        <v>0</v>
      </c>
      <c r="FK403" s="675">
        <v>0</v>
      </c>
      <c r="FL403" s="549">
        <v>0</v>
      </c>
      <c r="FM403" s="675">
        <v>-15000</v>
      </c>
      <c r="FN403" s="549">
        <v>0</v>
      </c>
      <c r="FO403" s="675">
        <v>0</v>
      </c>
      <c r="FP403" s="549">
        <v>0</v>
      </c>
      <c r="FQ403" s="675">
        <v>0</v>
      </c>
      <c r="FR403" s="549">
        <v>0</v>
      </c>
      <c r="FS403" s="675">
        <v>0</v>
      </c>
      <c r="FT403" s="549">
        <v>0</v>
      </c>
      <c r="FU403" s="675">
        <v>0</v>
      </c>
      <c r="FV403" s="549">
        <v>0</v>
      </c>
      <c r="FW403" s="675">
        <v>0</v>
      </c>
      <c r="FX403" s="549">
        <v>0</v>
      </c>
      <c r="FY403" s="675">
        <v>0</v>
      </c>
      <c r="FZ403" s="549">
        <v>0</v>
      </c>
      <c r="GA403" s="675">
        <v>0</v>
      </c>
      <c r="GB403" s="549">
        <v>0</v>
      </c>
      <c r="GC403" s="675">
        <v>0</v>
      </c>
      <c r="GD403" s="549">
        <v>0</v>
      </c>
      <c r="GE403" s="675">
        <v>0</v>
      </c>
      <c r="GF403" s="549">
        <v>0</v>
      </c>
      <c r="GG403" s="675">
        <v>0</v>
      </c>
      <c r="GH403" s="549">
        <v>0</v>
      </c>
      <c r="GI403" s="675">
        <v>0</v>
      </c>
      <c r="GJ403" s="549">
        <v>0</v>
      </c>
      <c r="GK403" s="675">
        <v>0</v>
      </c>
      <c r="GL403" s="549">
        <v>0</v>
      </c>
      <c r="GM403" s="675">
        <v>0</v>
      </c>
      <c r="GN403" s="549">
        <v>0</v>
      </c>
      <c r="GO403" s="675">
        <v>0</v>
      </c>
      <c r="GP403" s="549">
        <f t="shared" si="10795"/>
        <v>19000</v>
      </c>
      <c r="GQ403" s="675">
        <f t="shared" si="10796"/>
        <v>-15000</v>
      </c>
      <c r="GR403" s="74">
        <f>C403+GP403+GQ403</f>
        <v>150100</v>
      </c>
      <c r="GS403" s="74">
        <f t="shared" si="10797"/>
        <v>150100</v>
      </c>
      <c r="GT403" s="568">
        <f t="shared" si="10798"/>
        <v>150100</v>
      </c>
      <c r="GU403" s="275">
        <v>36525</v>
      </c>
      <c r="GV403" s="275"/>
      <c r="GW403" s="275"/>
      <c r="GX403" s="275">
        <v>36525</v>
      </c>
      <c r="GY403" s="275"/>
      <c r="GZ403" s="275"/>
      <c r="HA403" s="275">
        <v>36525</v>
      </c>
      <c r="HB403" s="275"/>
      <c r="HC403" s="275">
        <v>36525</v>
      </c>
      <c r="HD403" s="275"/>
      <c r="HE403" s="275"/>
      <c r="HF403" s="275"/>
      <c r="HG403" s="74">
        <f>SUM(HH403:IE403)</f>
        <v>150100</v>
      </c>
      <c r="HH403" s="89">
        <v>36525</v>
      </c>
      <c r="HI403" s="817">
        <v>0</v>
      </c>
      <c r="HJ403" s="89">
        <v>0</v>
      </c>
      <c r="HK403" s="817">
        <v>0</v>
      </c>
      <c r="HL403" s="89">
        <v>4000</v>
      </c>
      <c r="HM403" s="817">
        <v>0</v>
      </c>
      <c r="HN403" s="89">
        <v>36525</v>
      </c>
      <c r="HO403" s="817">
        <v>0</v>
      </c>
      <c r="HP403" s="89">
        <v>0</v>
      </c>
      <c r="HQ403" s="817">
        <v>0</v>
      </c>
      <c r="HR403" s="89">
        <v>15000</v>
      </c>
      <c r="HS403" s="817">
        <v>0</v>
      </c>
      <c r="HT403" s="89">
        <v>23494.31</v>
      </c>
      <c r="HU403" s="817">
        <v>0</v>
      </c>
      <c r="HV403" s="89">
        <v>13030.69</v>
      </c>
      <c r="HW403" s="817">
        <v>0</v>
      </c>
      <c r="HX403" s="89">
        <v>36525</v>
      </c>
      <c r="HY403" s="817">
        <v>0</v>
      </c>
      <c r="HZ403" s="89">
        <v>-15000</v>
      </c>
      <c r="IA403" s="817">
        <v>0</v>
      </c>
      <c r="IB403" s="89">
        <v>0</v>
      </c>
      <c r="IC403" s="817">
        <v>0</v>
      </c>
      <c r="ID403" s="89">
        <v>0</v>
      </c>
      <c r="IE403" s="817">
        <v>0</v>
      </c>
      <c r="IF403" s="841">
        <f t="shared" si="10799"/>
        <v>142475</v>
      </c>
      <c r="IG403" s="263">
        <f t="shared" si="10800"/>
        <v>142475</v>
      </c>
      <c r="IH403" s="842">
        <f t="shared" si="10801"/>
        <v>142475</v>
      </c>
      <c r="II403" s="89">
        <v>0</v>
      </c>
      <c r="IJ403" s="89">
        <f t="shared" si="10802"/>
        <v>0</v>
      </c>
      <c r="IK403" s="89">
        <f t="shared" si="10803"/>
        <v>0</v>
      </c>
      <c r="IL403" s="89">
        <v>22450</v>
      </c>
      <c r="IM403" s="89">
        <f t="shared" si="10804"/>
        <v>22450</v>
      </c>
      <c r="IN403" s="89">
        <f t="shared" si="10805"/>
        <v>22450</v>
      </c>
      <c r="IO403" s="89">
        <f>40150-22450</f>
        <v>17700</v>
      </c>
      <c r="IP403" s="89">
        <f t="shared" si="10806"/>
        <v>17700</v>
      </c>
      <c r="IQ403" s="89">
        <f t="shared" si="10807"/>
        <v>17700</v>
      </c>
      <c r="IR403" s="89">
        <f>47950-40150</f>
        <v>7800</v>
      </c>
      <c r="IS403" s="89">
        <f t="shared" si="10808"/>
        <v>7800</v>
      </c>
      <c r="IT403" s="89">
        <f t="shared" si="10809"/>
        <v>7800</v>
      </c>
      <c r="IU403" s="89">
        <f>64850-47950</f>
        <v>16900</v>
      </c>
      <c r="IV403" s="89">
        <f t="shared" si="10810"/>
        <v>16900</v>
      </c>
      <c r="IW403" s="89">
        <f t="shared" si="10811"/>
        <v>16900</v>
      </c>
      <c r="IX403" s="89">
        <f>83275-64850</f>
        <v>18425</v>
      </c>
      <c r="IY403" s="89">
        <f t="shared" si="10812"/>
        <v>18425</v>
      </c>
      <c r="IZ403" s="89">
        <f t="shared" si="10813"/>
        <v>18425</v>
      </c>
      <c r="JA403" s="89">
        <f>91575-83275</f>
        <v>8300</v>
      </c>
      <c r="JB403" s="89">
        <f t="shared" si="10814"/>
        <v>8300</v>
      </c>
      <c r="JC403" s="89">
        <f t="shared" si="10815"/>
        <v>8300</v>
      </c>
      <c r="JD403" s="89">
        <f>107575-91575</f>
        <v>16000</v>
      </c>
      <c r="JE403" s="89">
        <f t="shared" si="10816"/>
        <v>16000</v>
      </c>
      <c r="JF403" s="89">
        <f t="shared" si="10817"/>
        <v>16000</v>
      </c>
      <c r="JG403" s="89">
        <f>125375-107575</f>
        <v>17800</v>
      </c>
      <c r="JH403" s="89">
        <f t="shared" si="10818"/>
        <v>17800</v>
      </c>
      <c r="JI403" s="89">
        <f t="shared" si="10819"/>
        <v>17800</v>
      </c>
      <c r="JJ403" s="89">
        <f>142475-125375</f>
        <v>17100</v>
      </c>
      <c r="JK403" s="89">
        <f t="shared" si="10820"/>
        <v>17100</v>
      </c>
      <c r="JL403" s="89">
        <f t="shared" si="10821"/>
        <v>17100</v>
      </c>
      <c r="JM403" s="89">
        <v>0</v>
      </c>
      <c r="JN403" s="89">
        <f t="shared" si="10822"/>
        <v>0</v>
      </c>
      <c r="JO403" s="89">
        <f t="shared" si="10823"/>
        <v>0</v>
      </c>
      <c r="JP403" s="89">
        <v>0</v>
      </c>
      <c r="JQ403" s="89">
        <f t="shared" ref="JQ403:JR403" si="10826">JP403</f>
        <v>0</v>
      </c>
      <c r="JR403" s="89">
        <f t="shared" si="10826"/>
        <v>0</v>
      </c>
      <c r="JS403" s="74">
        <f>HG403-IF403</f>
        <v>7625</v>
      </c>
      <c r="JT403" s="382">
        <f>GS403-IF403</f>
        <v>7625</v>
      </c>
      <c r="JU403" s="665"/>
      <c r="JV403" s="524"/>
      <c r="JW403" s="525"/>
      <c r="JX403" s="549">
        <f t="shared" si="10825"/>
        <v>150100</v>
      </c>
      <c r="JY403" s="549">
        <f t="shared" si="10825"/>
        <v>0</v>
      </c>
      <c r="JZ403" s="581">
        <f t="shared" si="10300"/>
        <v>19000</v>
      </c>
      <c r="KA403" s="581">
        <f t="shared" si="10301"/>
        <v>-15000</v>
      </c>
      <c r="KB403" s="549">
        <f t="shared" si="10257"/>
        <v>150100</v>
      </c>
      <c r="KC403" s="709">
        <f t="shared" si="10273"/>
        <v>0</v>
      </c>
      <c r="KD403" s="36"/>
      <c r="KE403" s="36"/>
      <c r="KF403" s="36"/>
      <c r="KG403" s="36"/>
      <c r="KH403" s="36"/>
      <c r="KI403" s="36"/>
      <c r="KJ403" s="36"/>
      <c r="KK403" s="36"/>
    </row>
    <row r="404" spans="1:297" s="10" customFormat="1">
      <c r="A404" s="86" t="s">
        <v>472</v>
      </c>
      <c r="B404" s="77"/>
      <c r="C404" s="74">
        <v>19500</v>
      </c>
      <c r="D404" s="549">
        <v>0</v>
      </c>
      <c r="E404" s="675">
        <v>0</v>
      </c>
      <c r="F404" s="549">
        <v>0</v>
      </c>
      <c r="G404" s="675">
        <v>0</v>
      </c>
      <c r="H404" s="549">
        <v>0</v>
      </c>
      <c r="I404" s="675">
        <v>0</v>
      </c>
      <c r="J404" s="549">
        <v>0</v>
      </c>
      <c r="K404" s="675">
        <v>0</v>
      </c>
      <c r="L404" s="549">
        <v>0</v>
      </c>
      <c r="M404" s="675">
        <v>0</v>
      </c>
      <c r="N404" s="549">
        <v>0</v>
      </c>
      <c r="O404" s="675">
        <v>0</v>
      </c>
      <c r="P404" s="549">
        <v>0</v>
      </c>
      <c r="Q404" s="675">
        <v>0</v>
      </c>
      <c r="R404" s="549">
        <v>0</v>
      </c>
      <c r="S404" s="675">
        <v>0</v>
      </c>
      <c r="T404" s="549">
        <v>0</v>
      </c>
      <c r="U404" s="675">
        <v>0</v>
      </c>
      <c r="V404" s="549">
        <v>0</v>
      </c>
      <c r="W404" s="675">
        <v>0</v>
      </c>
      <c r="X404" s="549">
        <v>0</v>
      </c>
      <c r="Y404" s="675">
        <v>0</v>
      </c>
      <c r="Z404" s="549">
        <v>0</v>
      </c>
      <c r="AA404" s="675">
        <v>0</v>
      </c>
      <c r="AB404" s="549">
        <v>0</v>
      </c>
      <c r="AC404" s="675">
        <v>0</v>
      </c>
      <c r="AD404" s="549">
        <v>0</v>
      </c>
      <c r="AE404" s="675">
        <v>0</v>
      </c>
      <c r="AF404" s="549">
        <v>0</v>
      </c>
      <c r="AG404" s="675">
        <v>0</v>
      </c>
      <c r="AH404" s="549">
        <v>0</v>
      </c>
      <c r="AI404" s="675">
        <v>0</v>
      </c>
      <c r="AJ404" s="549">
        <v>0</v>
      </c>
      <c r="AK404" s="675">
        <v>0</v>
      </c>
      <c r="AL404" s="549">
        <v>0</v>
      </c>
      <c r="AM404" s="675">
        <v>0</v>
      </c>
      <c r="AN404" s="549">
        <v>0</v>
      </c>
      <c r="AO404" s="675">
        <v>0</v>
      </c>
      <c r="AP404" s="549">
        <v>0</v>
      </c>
      <c r="AQ404" s="675">
        <v>0</v>
      </c>
      <c r="AR404" s="549">
        <v>0</v>
      </c>
      <c r="AS404" s="675">
        <v>0</v>
      </c>
      <c r="AT404" s="549">
        <v>0</v>
      </c>
      <c r="AU404" s="675">
        <v>0</v>
      </c>
      <c r="AV404" s="549">
        <v>0</v>
      </c>
      <c r="AW404" s="675">
        <v>0</v>
      </c>
      <c r="AX404" s="549">
        <v>0</v>
      </c>
      <c r="AY404" s="675">
        <v>0</v>
      </c>
      <c r="AZ404" s="549">
        <v>0</v>
      </c>
      <c r="BA404" s="675">
        <v>0</v>
      </c>
      <c r="BB404" s="549">
        <v>0</v>
      </c>
      <c r="BC404" s="675">
        <v>0</v>
      </c>
      <c r="BD404" s="549">
        <v>0</v>
      </c>
      <c r="BE404" s="675">
        <v>0</v>
      </c>
      <c r="BF404" s="549">
        <v>0</v>
      </c>
      <c r="BG404" s="675">
        <v>0</v>
      </c>
      <c r="BH404" s="549">
        <v>0</v>
      </c>
      <c r="BI404" s="675">
        <v>0</v>
      </c>
      <c r="BJ404" s="549">
        <v>0</v>
      </c>
      <c r="BK404" s="675">
        <v>0</v>
      </c>
      <c r="BL404" s="549">
        <v>0</v>
      </c>
      <c r="BM404" s="675">
        <v>0</v>
      </c>
      <c r="BN404" s="549">
        <v>0</v>
      </c>
      <c r="BO404" s="675">
        <v>0</v>
      </c>
      <c r="BP404" s="549">
        <v>0</v>
      </c>
      <c r="BQ404" s="675">
        <v>0</v>
      </c>
      <c r="BR404" s="549">
        <v>0</v>
      </c>
      <c r="BS404" s="675">
        <v>0</v>
      </c>
      <c r="BT404" s="549">
        <v>0</v>
      </c>
      <c r="BU404" s="675">
        <v>0</v>
      </c>
      <c r="BV404" s="549">
        <v>0</v>
      </c>
      <c r="BW404" s="675">
        <v>0</v>
      </c>
      <c r="BX404" s="549">
        <v>0</v>
      </c>
      <c r="BY404" s="675">
        <v>0</v>
      </c>
      <c r="BZ404" s="549">
        <v>0</v>
      </c>
      <c r="CA404" s="675">
        <v>0</v>
      </c>
      <c r="CB404" s="549">
        <v>0</v>
      </c>
      <c r="CC404" s="675">
        <v>0</v>
      </c>
      <c r="CD404" s="549">
        <v>0</v>
      </c>
      <c r="CE404" s="675">
        <v>0</v>
      </c>
      <c r="CF404" s="549">
        <v>0</v>
      </c>
      <c r="CG404" s="675">
        <v>0</v>
      </c>
      <c r="CH404" s="549">
        <v>5000</v>
      </c>
      <c r="CI404" s="675">
        <v>0</v>
      </c>
      <c r="CJ404" s="549">
        <v>0</v>
      </c>
      <c r="CK404" s="675">
        <v>0</v>
      </c>
      <c r="CL404" s="549">
        <v>0</v>
      </c>
      <c r="CM404" s="675">
        <v>0</v>
      </c>
      <c r="CN404" s="549">
        <v>0</v>
      </c>
      <c r="CO404" s="675">
        <v>0</v>
      </c>
      <c r="CP404" s="549">
        <v>0</v>
      </c>
      <c r="CQ404" s="675">
        <v>0</v>
      </c>
      <c r="CR404" s="549">
        <v>0</v>
      </c>
      <c r="CS404" s="675">
        <v>0</v>
      </c>
      <c r="CT404" s="549">
        <v>0</v>
      </c>
      <c r="CU404" s="675">
        <v>0</v>
      </c>
      <c r="CV404" s="549">
        <v>0</v>
      </c>
      <c r="CW404" s="675">
        <v>0</v>
      </c>
      <c r="CX404" s="549">
        <v>0</v>
      </c>
      <c r="CY404" s="675">
        <v>0</v>
      </c>
      <c r="CZ404" s="549">
        <v>10000</v>
      </c>
      <c r="DA404" s="675">
        <v>0</v>
      </c>
      <c r="DB404" s="549">
        <v>0</v>
      </c>
      <c r="DC404" s="675">
        <v>0</v>
      </c>
      <c r="DD404" s="549">
        <v>0</v>
      </c>
      <c r="DE404" s="675">
        <v>0</v>
      </c>
      <c r="DF404" s="549">
        <v>0</v>
      </c>
      <c r="DG404" s="675">
        <v>0</v>
      </c>
      <c r="DH404" s="549">
        <v>0</v>
      </c>
      <c r="DI404" s="675">
        <v>0</v>
      </c>
      <c r="DJ404" s="549">
        <v>0</v>
      </c>
      <c r="DK404" s="675">
        <v>0</v>
      </c>
      <c r="DL404" s="549">
        <v>0</v>
      </c>
      <c r="DM404" s="675">
        <v>0</v>
      </c>
      <c r="DN404" s="549">
        <v>0</v>
      </c>
      <c r="DO404" s="675">
        <v>0</v>
      </c>
      <c r="DP404" s="549">
        <v>0</v>
      </c>
      <c r="DQ404" s="675">
        <v>0</v>
      </c>
      <c r="DR404" s="549">
        <v>0</v>
      </c>
      <c r="DS404" s="675">
        <v>0</v>
      </c>
      <c r="DT404" s="549">
        <v>0</v>
      </c>
      <c r="DU404" s="675">
        <v>0</v>
      </c>
      <c r="DV404" s="549">
        <v>0</v>
      </c>
      <c r="DW404" s="675">
        <v>0</v>
      </c>
      <c r="DX404" s="549">
        <v>0</v>
      </c>
      <c r="DY404" s="675">
        <v>0</v>
      </c>
      <c r="DZ404" s="549">
        <v>0</v>
      </c>
      <c r="EA404" s="675">
        <v>0</v>
      </c>
      <c r="EB404" s="549">
        <v>0</v>
      </c>
      <c r="EC404" s="675">
        <v>0</v>
      </c>
      <c r="ED404" s="549">
        <v>0</v>
      </c>
      <c r="EE404" s="675">
        <v>0</v>
      </c>
      <c r="EF404" s="549">
        <v>0</v>
      </c>
      <c r="EG404" s="675">
        <v>0</v>
      </c>
      <c r="EH404" s="549">
        <v>0</v>
      </c>
      <c r="EI404" s="675">
        <v>0</v>
      </c>
      <c r="EJ404" s="549">
        <v>0</v>
      </c>
      <c r="EK404" s="675">
        <v>0</v>
      </c>
      <c r="EL404" s="549">
        <v>0</v>
      </c>
      <c r="EM404" s="675">
        <v>0</v>
      </c>
      <c r="EN404" s="549">
        <v>0</v>
      </c>
      <c r="EO404" s="675">
        <v>0</v>
      </c>
      <c r="EP404" s="549">
        <v>0</v>
      </c>
      <c r="EQ404" s="675">
        <v>0</v>
      </c>
      <c r="ER404" s="549">
        <v>0</v>
      </c>
      <c r="ES404" s="675">
        <v>0</v>
      </c>
      <c r="ET404" s="549">
        <v>0</v>
      </c>
      <c r="EU404" s="675">
        <v>0</v>
      </c>
      <c r="EV404" s="549">
        <v>0</v>
      </c>
      <c r="EW404" s="675">
        <v>0</v>
      </c>
      <c r="EX404" s="549">
        <v>0</v>
      </c>
      <c r="EY404" s="675">
        <v>0</v>
      </c>
      <c r="EZ404" s="549">
        <v>0</v>
      </c>
      <c r="FA404" s="675">
        <v>0</v>
      </c>
      <c r="FB404" s="549">
        <v>0</v>
      </c>
      <c r="FC404" s="675">
        <v>0</v>
      </c>
      <c r="FD404" s="549">
        <v>0</v>
      </c>
      <c r="FE404" s="675">
        <v>0</v>
      </c>
      <c r="FF404" s="549">
        <v>0</v>
      </c>
      <c r="FG404" s="675">
        <v>0</v>
      </c>
      <c r="FH404" s="549">
        <v>0</v>
      </c>
      <c r="FI404" s="675">
        <v>0</v>
      </c>
      <c r="FJ404" s="549">
        <v>0</v>
      </c>
      <c r="FK404" s="675">
        <v>0</v>
      </c>
      <c r="FL404" s="549">
        <v>5000</v>
      </c>
      <c r="FM404" s="675">
        <v>0</v>
      </c>
      <c r="FN404" s="549">
        <v>0</v>
      </c>
      <c r="FO404" s="675">
        <v>0</v>
      </c>
      <c r="FP404" s="549">
        <v>0</v>
      </c>
      <c r="FQ404" s="675">
        <v>0</v>
      </c>
      <c r="FR404" s="549">
        <v>0</v>
      </c>
      <c r="FS404" s="675">
        <v>0</v>
      </c>
      <c r="FT404" s="549">
        <v>0</v>
      </c>
      <c r="FU404" s="675">
        <v>0</v>
      </c>
      <c r="FV404" s="549">
        <v>0</v>
      </c>
      <c r="FW404" s="675">
        <v>0</v>
      </c>
      <c r="FX404" s="549">
        <v>0</v>
      </c>
      <c r="FY404" s="675">
        <v>0</v>
      </c>
      <c r="FZ404" s="549">
        <v>0</v>
      </c>
      <c r="GA404" s="675">
        <v>0</v>
      </c>
      <c r="GB404" s="549">
        <v>0</v>
      </c>
      <c r="GC404" s="675">
        <v>0</v>
      </c>
      <c r="GD404" s="549">
        <v>0</v>
      </c>
      <c r="GE404" s="675">
        <v>0</v>
      </c>
      <c r="GF404" s="549">
        <v>0</v>
      </c>
      <c r="GG404" s="675">
        <v>0</v>
      </c>
      <c r="GH404" s="549">
        <v>0</v>
      </c>
      <c r="GI404" s="675">
        <v>0</v>
      </c>
      <c r="GJ404" s="549">
        <v>0</v>
      </c>
      <c r="GK404" s="675">
        <v>0</v>
      </c>
      <c r="GL404" s="549">
        <v>0</v>
      </c>
      <c r="GM404" s="675">
        <v>0</v>
      </c>
      <c r="GN404" s="549">
        <v>0</v>
      </c>
      <c r="GO404" s="675">
        <v>0</v>
      </c>
      <c r="GP404" s="549">
        <f t="shared" si="10795"/>
        <v>20000</v>
      </c>
      <c r="GQ404" s="675">
        <f t="shared" si="10796"/>
        <v>0</v>
      </c>
      <c r="GR404" s="74">
        <f>C404+GP404+GQ404</f>
        <v>39500</v>
      </c>
      <c r="GS404" s="74">
        <f t="shared" si="10797"/>
        <v>39500</v>
      </c>
      <c r="GT404" s="568">
        <f t="shared" si="10798"/>
        <v>39500</v>
      </c>
      <c r="GU404" s="275">
        <v>2441</v>
      </c>
      <c r="GV404" s="275">
        <v>2437</v>
      </c>
      <c r="GW404" s="275">
        <v>2437</v>
      </c>
      <c r="GX404" s="275">
        <v>2437</v>
      </c>
      <c r="GY404" s="275">
        <v>2437</v>
      </c>
      <c r="GZ404" s="275">
        <v>2437</v>
      </c>
      <c r="HA404" s="275">
        <v>2437</v>
      </c>
      <c r="HB404" s="275">
        <v>2437</v>
      </c>
      <c r="HC404" s="275"/>
      <c r="HD404" s="275"/>
      <c r="HE404" s="275"/>
      <c r="HF404" s="275"/>
      <c r="HG404" s="74">
        <f>SUM(HH404:IE404)</f>
        <v>39500</v>
      </c>
      <c r="HH404" s="89">
        <v>2441</v>
      </c>
      <c r="HI404" s="817">
        <v>0</v>
      </c>
      <c r="HJ404" s="89">
        <v>2437</v>
      </c>
      <c r="HK404" s="817">
        <v>0</v>
      </c>
      <c r="HL404" s="89">
        <v>2437</v>
      </c>
      <c r="HM404" s="817">
        <v>0</v>
      </c>
      <c r="HN404" s="89">
        <v>2437</v>
      </c>
      <c r="HO404" s="817">
        <v>0</v>
      </c>
      <c r="HP404" s="89">
        <v>2437</v>
      </c>
      <c r="HQ404" s="817">
        <v>0</v>
      </c>
      <c r="HR404" s="89">
        <v>7437</v>
      </c>
      <c r="HS404" s="817">
        <v>0</v>
      </c>
      <c r="HT404" s="89">
        <v>12437</v>
      </c>
      <c r="HU404" s="817">
        <v>0</v>
      </c>
      <c r="HV404" s="89">
        <v>0</v>
      </c>
      <c r="HW404" s="817">
        <v>0</v>
      </c>
      <c r="HX404" s="89">
        <v>2437</v>
      </c>
      <c r="HY404" s="817">
        <v>0</v>
      </c>
      <c r="HZ404" s="89">
        <v>5000</v>
      </c>
      <c r="IA404" s="817">
        <v>0</v>
      </c>
      <c r="IB404" s="89">
        <v>0</v>
      </c>
      <c r="IC404" s="817">
        <v>0</v>
      </c>
      <c r="ID404" s="89">
        <v>0</v>
      </c>
      <c r="IE404" s="817">
        <v>0</v>
      </c>
      <c r="IF404" s="841">
        <f t="shared" si="10799"/>
        <v>37469.300000000003</v>
      </c>
      <c r="IG404" s="263">
        <f t="shared" si="10800"/>
        <v>37469.300000000003</v>
      </c>
      <c r="IH404" s="842">
        <f t="shared" si="10801"/>
        <v>37469.300000000003</v>
      </c>
      <c r="II404" s="89">
        <v>0</v>
      </c>
      <c r="IJ404" s="89">
        <f t="shared" si="10802"/>
        <v>0</v>
      </c>
      <c r="IK404" s="89">
        <f t="shared" si="10803"/>
        <v>0</v>
      </c>
      <c r="IL404" s="89">
        <v>0</v>
      </c>
      <c r="IM404" s="89">
        <f t="shared" si="10804"/>
        <v>0</v>
      </c>
      <c r="IN404" s="89">
        <f t="shared" si="10805"/>
        <v>0</v>
      </c>
      <c r="IO404" s="89">
        <v>762</v>
      </c>
      <c r="IP404" s="89">
        <f t="shared" si="10806"/>
        <v>762</v>
      </c>
      <c r="IQ404" s="89">
        <f t="shared" si="10807"/>
        <v>762</v>
      </c>
      <c r="IR404" s="89">
        <f>4454-762</f>
        <v>3692</v>
      </c>
      <c r="IS404" s="89">
        <f t="shared" si="10808"/>
        <v>3692</v>
      </c>
      <c r="IT404" s="89">
        <f t="shared" si="10809"/>
        <v>3692</v>
      </c>
      <c r="IU404" s="89">
        <f>9737.8-4454</f>
        <v>5283.7999999999993</v>
      </c>
      <c r="IV404" s="89">
        <f t="shared" si="10810"/>
        <v>5283.7999999999993</v>
      </c>
      <c r="IW404" s="89">
        <f t="shared" si="10811"/>
        <v>5283.7999999999993</v>
      </c>
      <c r="IX404" s="89">
        <f>13576.8-9737.8</f>
        <v>3839</v>
      </c>
      <c r="IY404" s="89">
        <f t="shared" si="10812"/>
        <v>3839</v>
      </c>
      <c r="IZ404" s="89">
        <f t="shared" si="10813"/>
        <v>3839</v>
      </c>
      <c r="JA404" s="89">
        <f>16517.3-13576.8</f>
        <v>2940.5</v>
      </c>
      <c r="JB404" s="89">
        <f t="shared" si="10814"/>
        <v>2940.5</v>
      </c>
      <c r="JC404" s="89">
        <f t="shared" si="10815"/>
        <v>2940.5</v>
      </c>
      <c r="JD404" s="89">
        <f>24885.8-16517.3</f>
        <v>8368.5</v>
      </c>
      <c r="JE404" s="89">
        <f t="shared" si="10816"/>
        <v>8368.5</v>
      </c>
      <c r="JF404" s="89">
        <f t="shared" si="10817"/>
        <v>8368.5</v>
      </c>
      <c r="JG404" s="89">
        <f>29432.8-24885.8</f>
        <v>4547</v>
      </c>
      <c r="JH404" s="89">
        <f t="shared" si="10818"/>
        <v>4547</v>
      </c>
      <c r="JI404" s="89">
        <f t="shared" si="10819"/>
        <v>4547</v>
      </c>
      <c r="JJ404" s="89">
        <f>37469.3-29432.8</f>
        <v>8036.5000000000036</v>
      </c>
      <c r="JK404" s="89">
        <f t="shared" si="10820"/>
        <v>8036.5000000000036</v>
      </c>
      <c r="JL404" s="89">
        <f t="shared" si="10821"/>
        <v>8036.5000000000036</v>
      </c>
      <c r="JM404" s="89">
        <v>0</v>
      </c>
      <c r="JN404" s="89">
        <f t="shared" si="10822"/>
        <v>0</v>
      </c>
      <c r="JO404" s="89">
        <f t="shared" si="10823"/>
        <v>0</v>
      </c>
      <c r="JP404" s="89">
        <v>0</v>
      </c>
      <c r="JQ404" s="89">
        <f t="shared" ref="JQ404:JR404" si="10827">JP404</f>
        <v>0</v>
      </c>
      <c r="JR404" s="89">
        <f t="shared" si="10827"/>
        <v>0</v>
      </c>
      <c r="JS404" s="74">
        <f>HG404-IF404</f>
        <v>2030.6999999999971</v>
      </c>
      <c r="JT404" s="382">
        <f>GS404-IF404</f>
        <v>2030.6999999999971</v>
      </c>
      <c r="JU404" s="665"/>
      <c r="JV404" s="524"/>
      <c r="JW404" s="525"/>
      <c r="JX404" s="549">
        <f t="shared" si="10825"/>
        <v>39500</v>
      </c>
      <c r="JY404" s="549">
        <f t="shared" si="10825"/>
        <v>0</v>
      </c>
      <c r="JZ404" s="581">
        <f t="shared" si="10300"/>
        <v>20000</v>
      </c>
      <c r="KA404" s="581">
        <f t="shared" si="10301"/>
        <v>0</v>
      </c>
      <c r="KB404" s="549">
        <f t="shared" si="10257"/>
        <v>39500</v>
      </c>
      <c r="KC404" s="709">
        <f t="shared" si="10273"/>
        <v>0</v>
      </c>
      <c r="KD404" s="36"/>
      <c r="KE404" s="36"/>
      <c r="KF404" s="36"/>
      <c r="KG404" s="36"/>
      <c r="KH404" s="36"/>
      <c r="KI404" s="36"/>
      <c r="KJ404" s="36"/>
      <c r="KK404" s="36"/>
    </row>
    <row r="405" spans="1:297" s="10" customFormat="1">
      <c r="A405" s="86"/>
      <c r="B405" s="77"/>
      <c r="C405" s="74"/>
      <c r="D405" s="549"/>
      <c r="E405" s="675"/>
      <c r="F405" s="549"/>
      <c r="G405" s="675"/>
      <c r="H405" s="549"/>
      <c r="I405" s="675"/>
      <c r="J405" s="549"/>
      <c r="K405" s="675"/>
      <c r="L405" s="549"/>
      <c r="M405" s="675"/>
      <c r="N405" s="549"/>
      <c r="O405" s="675"/>
      <c r="P405" s="549"/>
      <c r="Q405" s="675"/>
      <c r="R405" s="549"/>
      <c r="S405" s="675"/>
      <c r="T405" s="549"/>
      <c r="U405" s="675"/>
      <c r="V405" s="549"/>
      <c r="W405" s="675"/>
      <c r="X405" s="549"/>
      <c r="Y405" s="675"/>
      <c r="Z405" s="549"/>
      <c r="AA405" s="675"/>
      <c r="AB405" s="549"/>
      <c r="AC405" s="675"/>
      <c r="AD405" s="549"/>
      <c r="AE405" s="675"/>
      <c r="AF405" s="549"/>
      <c r="AG405" s="675"/>
      <c r="AH405" s="549"/>
      <c r="AI405" s="675"/>
      <c r="AJ405" s="549"/>
      <c r="AK405" s="675"/>
      <c r="AL405" s="549"/>
      <c r="AM405" s="675"/>
      <c r="AN405" s="549"/>
      <c r="AO405" s="675"/>
      <c r="AP405" s="549"/>
      <c r="AQ405" s="675"/>
      <c r="AR405" s="549"/>
      <c r="AS405" s="675"/>
      <c r="AT405" s="549"/>
      <c r="AU405" s="675"/>
      <c r="AV405" s="549"/>
      <c r="AW405" s="675"/>
      <c r="AX405" s="549"/>
      <c r="AY405" s="675"/>
      <c r="AZ405" s="549"/>
      <c r="BA405" s="675"/>
      <c r="BB405" s="549"/>
      <c r="BC405" s="675"/>
      <c r="BD405" s="549"/>
      <c r="BE405" s="675"/>
      <c r="BF405" s="549"/>
      <c r="BG405" s="675"/>
      <c r="BH405" s="549"/>
      <c r="BI405" s="675"/>
      <c r="BJ405" s="549"/>
      <c r="BK405" s="675"/>
      <c r="BL405" s="549"/>
      <c r="BM405" s="675"/>
      <c r="BN405" s="549"/>
      <c r="BO405" s="675"/>
      <c r="BP405" s="549"/>
      <c r="BQ405" s="675"/>
      <c r="BR405" s="549"/>
      <c r="BS405" s="675"/>
      <c r="BT405" s="549"/>
      <c r="BU405" s="675"/>
      <c r="BV405" s="549"/>
      <c r="BW405" s="675"/>
      <c r="BX405" s="549"/>
      <c r="BY405" s="675"/>
      <c r="BZ405" s="549"/>
      <c r="CA405" s="675"/>
      <c r="CB405" s="549"/>
      <c r="CC405" s="675"/>
      <c r="CD405" s="549"/>
      <c r="CE405" s="675"/>
      <c r="CF405" s="549"/>
      <c r="CG405" s="675"/>
      <c r="CH405" s="549"/>
      <c r="CI405" s="675"/>
      <c r="CJ405" s="549"/>
      <c r="CK405" s="675"/>
      <c r="CL405" s="549"/>
      <c r="CM405" s="675"/>
      <c r="CN405" s="549"/>
      <c r="CO405" s="675"/>
      <c r="CP405" s="549"/>
      <c r="CQ405" s="675"/>
      <c r="CR405" s="549"/>
      <c r="CS405" s="675"/>
      <c r="CT405" s="549"/>
      <c r="CU405" s="675"/>
      <c r="CV405" s="549"/>
      <c r="CW405" s="675"/>
      <c r="CX405" s="549"/>
      <c r="CY405" s="675"/>
      <c r="CZ405" s="549"/>
      <c r="DA405" s="675"/>
      <c r="DB405" s="549"/>
      <c r="DC405" s="675"/>
      <c r="DD405" s="549"/>
      <c r="DE405" s="675"/>
      <c r="DF405" s="549"/>
      <c r="DG405" s="675"/>
      <c r="DH405" s="549"/>
      <c r="DI405" s="675"/>
      <c r="DJ405" s="549"/>
      <c r="DK405" s="675"/>
      <c r="DL405" s="549"/>
      <c r="DM405" s="675"/>
      <c r="DN405" s="549"/>
      <c r="DO405" s="675"/>
      <c r="DP405" s="549"/>
      <c r="DQ405" s="675"/>
      <c r="DR405" s="549"/>
      <c r="DS405" s="675"/>
      <c r="DT405" s="549"/>
      <c r="DU405" s="675"/>
      <c r="DV405" s="549"/>
      <c r="DW405" s="675"/>
      <c r="DX405" s="549"/>
      <c r="DY405" s="675"/>
      <c r="DZ405" s="549"/>
      <c r="EA405" s="675"/>
      <c r="EB405" s="549"/>
      <c r="EC405" s="675"/>
      <c r="ED405" s="549"/>
      <c r="EE405" s="675"/>
      <c r="EF405" s="549"/>
      <c r="EG405" s="675"/>
      <c r="EH405" s="549"/>
      <c r="EI405" s="675"/>
      <c r="EJ405" s="549"/>
      <c r="EK405" s="675"/>
      <c r="EL405" s="549"/>
      <c r="EM405" s="675"/>
      <c r="EN405" s="549"/>
      <c r="EO405" s="675"/>
      <c r="EP405" s="549"/>
      <c r="EQ405" s="675"/>
      <c r="ER405" s="549"/>
      <c r="ES405" s="675"/>
      <c r="ET405" s="549"/>
      <c r="EU405" s="675"/>
      <c r="EV405" s="549"/>
      <c r="EW405" s="675"/>
      <c r="EX405" s="549"/>
      <c r="EY405" s="675"/>
      <c r="EZ405" s="549"/>
      <c r="FA405" s="675"/>
      <c r="FB405" s="549"/>
      <c r="FC405" s="675"/>
      <c r="FD405" s="549"/>
      <c r="FE405" s="675"/>
      <c r="FF405" s="549"/>
      <c r="FG405" s="675"/>
      <c r="FH405" s="549"/>
      <c r="FI405" s="675"/>
      <c r="FJ405" s="549"/>
      <c r="FK405" s="675"/>
      <c r="FL405" s="549"/>
      <c r="FM405" s="675"/>
      <c r="FN405" s="549"/>
      <c r="FO405" s="675"/>
      <c r="FP405" s="549"/>
      <c r="FQ405" s="675"/>
      <c r="FR405" s="549"/>
      <c r="FS405" s="675"/>
      <c r="FT405" s="549"/>
      <c r="FU405" s="675"/>
      <c r="FV405" s="549"/>
      <c r="FW405" s="675"/>
      <c r="FX405" s="549"/>
      <c r="FY405" s="675"/>
      <c r="FZ405" s="549"/>
      <c r="GA405" s="675"/>
      <c r="GB405" s="549"/>
      <c r="GC405" s="675"/>
      <c r="GD405" s="549"/>
      <c r="GE405" s="675"/>
      <c r="GF405" s="549"/>
      <c r="GG405" s="675"/>
      <c r="GH405" s="549"/>
      <c r="GI405" s="675"/>
      <c r="GJ405" s="549"/>
      <c r="GK405" s="675"/>
      <c r="GL405" s="549"/>
      <c r="GM405" s="675"/>
      <c r="GN405" s="549"/>
      <c r="GO405" s="675"/>
      <c r="GP405" s="549"/>
      <c r="GQ405" s="675"/>
      <c r="GR405" s="74"/>
      <c r="GS405" s="74"/>
      <c r="GT405" s="568"/>
      <c r="GU405" s="89"/>
      <c r="GV405" s="89"/>
      <c r="GW405" s="568"/>
      <c r="GX405" s="568"/>
      <c r="GY405" s="89"/>
      <c r="GZ405" s="89"/>
      <c r="HA405" s="89"/>
      <c r="HB405" s="89"/>
      <c r="HC405" s="89"/>
      <c r="HD405" s="89"/>
      <c r="HE405" s="89"/>
      <c r="HF405" s="89"/>
      <c r="HG405" s="74"/>
      <c r="HH405" s="89"/>
      <c r="HI405" s="817"/>
      <c r="HJ405" s="89"/>
      <c r="HK405" s="817"/>
      <c r="HL405" s="89"/>
      <c r="HM405" s="817"/>
      <c r="HN405" s="89"/>
      <c r="HO405" s="817"/>
      <c r="HP405" s="89"/>
      <c r="HQ405" s="817"/>
      <c r="HR405" s="89"/>
      <c r="HS405" s="817"/>
      <c r="HT405" s="89"/>
      <c r="HU405" s="817"/>
      <c r="HV405" s="89"/>
      <c r="HW405" s="817"/>
      <c r="HX405" s="89"/>
      <c r="HY405" s="817"/>
      <c r="HZ405" s="89"/>
      <c r="IA405" s="817"/>
      <c r="IB405" s="89"/>
      <c r="IC405" s="817"/>
      <c r="ID405" s="89"/>
      <c r="IE405" s="817"/>
      <c r="IF405" s="841"/>
      <c r="IG405" s="263"/>
      <c r="IH405" s="842"/>
      <c r="II405" s="89"/>
      <c r="IJ405" s="89"/>
      <c r="IK405" s="89"/>
      <c r="IL405" s="89"/>
      <c r="IM405" s="89"/>
      <c r="IN405" s="89"/>
      <c r="IO405" s="89"/>
      <c r="IP405" s="89"/>
      <c r="IQ405" s="89"/>
      <c r="IR405" s="89"/>
      <c r="IS405" s="89"/>
      <c r="IT405" s="89"/>
      <c r="IU405" s="89"/>
      <c r="IV405" s="89"/>
      <c r="IW405" s="89"/>
      <c r="IX405" s="89"/>
      <c r="IY405" s="89"/>
      <c r="IZ405" s="89"/>
      <c r="JA405" s="89"/>
      <c r="JB405" s="89"/>
      <c r="JC405" s="89"/>
      <c r="JD405" s="89"/>
      <c r="JE405" s="89"/>
      <c r="JF405" s="89"/>
      <c r="JG405" s="89"/>
      <c r="JH405" s="89"/>
      <c r="JI405" s="89"/>
      <c r="JJ405" s="89"/>
      <c r="JK405" s="89"/>
      <c r="JL405" s="89"/>
      <c r="JM405" s="89"/>
      <c r="JN405" s="89"/>
      <c r="JO405" s="89"/>
      <c r="JP405" s="89"/>
      <c r="JQ405" s="89"/>
      <c r="JR405" s="89"/>
      <c r="JS405" s="74"/>
      <c r="JT405" s="382"/>
      <c r="JU405" s="665"/>
      <c r="JV405" s="524"/>
      <c r="JW405" s="525"/>
      <c r="JX405" s="549"/>
      <c r="JY405" s="549"/>
      <c r="JZ405" s="581">
        <f t="shared" si="10300"/>
        <v>0</v>
      </c>
      <c r="KA405" s="581">
        <f t="shared" si="10301"/>
        <v>0</v>
      </c>
      <c r="KB405" s="549">
        <f t="shared" si="10257"/>
        <v>0</v>
      </c>
      <c r="KC405" s="709">
        <f t="shared" si="10273"/>
        <v>0</v>
      </c>
      <c r="KD405" s="36"/>
      <c r="KE405" s="36"/>
      <c r="KF405" s="36"/>
      <c r="KG405" s="36"/>
      <c r="KH405" s="36"/>
      <c r="KI405" s="36"/>
      <c r="KJ405" s="36"/>
      <c r="KK405" s="36"/>
    </row>
    <row r="406" spans="1:297" s="8" customFormat="1">
      <c r="A406" s="80" t="s">
        <v>485</v>
      </c>
      <c r="B406" s="72"/>
      <c r="C406" s="74">
        <f t="shared" ref="C406" si="10828">SUM(C407:C409)</f>
        <v>130000</v>
      </c>
      <c r="D406" s="549">
        <f t="shared" ref="D406:E406" si="10829">SUM(D407:D409)</f>
        <v>0</v>
      </c>
      <c r="E406" s="675">
        <f t="shared" si="10829"/>
        <v>0</v>
      </c>
      <c r="F406" s="549">
        <f t="shared" ref="F406:G406" si="10830">SUM(F407:F409)</f>
        <v>0</v>
      </c>
      <c r="G406" s="675">
        <f t="shared" si="10830"/>
        <v>0</v>
      </c>
      <c r="H406" s="549">
        <f t="shared" ref="H406:I406" si="10831">SUM(H407:H409)</f>
        <v>0</v>
      </c>
      <c r="I406" s="675">
        <f t="shared" si="10831"/>
        <v>0</v>
      </c>
      <c r="J406" s="549">
        <f t="shared" ref="J406:K406" si="10832">SUM(J407:J409)</f>
        <v>0</v>
      </c>
      <c r="K406" s="675">
        <f t="shared" si="10832"/>
        <v>0</v>
      </c>
      <c r="L406" s="549">
        <f t="shared" ref="L406:M406" si="10833">SUM(L407:L409)</f>
        <v>0</v>
      </c>
      <c r="M406" s="675">
        <f t="shared" si="10833"/>
        <v>0</v>
      </c>
      <c r="N406" s="549">
        <f t="shared" ref="N406:O406" si="10834">SUM(N407:N409)</f>
        <v>0</v>
      </c>
      <c r="O406" s="675">
        <f t="shared" si="10834"/>
        <v>0</v>
      </c>
      <c r="P406" s="549">
        <f t="shared" ref="P406:Q406" si="10835">SUM(P407:P409)</f>
        <v>0</v>
      </c>
      <c r="Q406" s="675">
        <f t="shared" si="10835"/>
        <v>0</v>
      </c>
      <c r="R406" s="549">
        <f t="shared" ref="R406:S406" si="10836">SUM(R407:R409)</f>
        <v>0</v>
      </c>
      <c r="S406" s="675">
        <f t="shared" si="10836"/>
        <v>0</v>
      </c>
      <c r="T406" s="549">
        <f t="shared" ref="T406:AM406" si="10837">SUM(T407:T409)</f>
        <v>0</v>
      </c>
      <c r="U406" s="675">
        <f t="shared" si="10837"/>
        <v>0</v>
      </c>
      <c r="V406" s="549">
        <f t="shared" si="10837"/>
        <v>0</v>
      </c>
      <c r="W406" s="675">
        <f t="shared" si="10837"/>
        <v>0</v>
      </c>
      <c r="X406" s="549">
        <f t="shared" si="10837"/>
        <v>10000</v>
      </c>
      <c r="Y406" s="675">
        <f t="shared" si="10837"/>
        <v>0</v>
      </c>
      <c r="Z406" s="549">
        <f t="shared" si="10837"/>
        <v>0</v>
      </c>
      <c r="AA406" s="675">
        <f t="shared" si="10837"/>
        <v>0</v>
      </c>
      <c r="AB406" s="549">
        <f t="shared" si="10837"/>
        <v>0</v>
      </c>
      <c r="AC406" s="675">
        <f t="shared" si="10837"/>
        <v>0</v>
      </c>
      <c r="AD406" s="549">
        <f t="shared" ref="AD406:AK406" si="10838">SUM(AD407:AD409)</f>
        <v>0</v>
      </c>
      <c r="AE406" s="675">
        <f t="shared" si="10838"/>
        <v>0</v>
      </c>
      <c r="AF406" s="549">
        <f t="shared" si="10838"/>
        <v>0</v>
      </c>
      <c r="AG406" s="675">
        <f t="shared" si="10838"/>
        <v>0</v>
      </c>
      <c r="AH406" s="549">
        <f t="shared" si="10838"/>
        <v>0</v>
      </c>
      <c r="AI406" s="675">
        <f t="shared" si="10838"/>
        <v>0</v>
      </c>
      <c r="AJ406" s="549">
        <f t="shared" si="10838"/>
        <v>0</v>
      </c>
      <c r="AK406" s="675">
        <f t="shared" si="10838"/>
        <v>0</v>
      </c>
      <c r="AL406" s="549">
        <f t="shared" si="10837"/>
        <v>0</v>
      </c>
      <c r="AM406" s="675">
        <f t="shared" si="10837"/>
        <v>0</v>
      </c>
      <c r="AN406" s="549">
        <f t="shared" ref="AN406:AS406" si="10839">SUM(AN407:AN409)</f>
        <v>0</v>
      </c>
      <c r="AO406" s="675">
        <f t="shared" si="10839"/>
        <v>0</v>
      </c>
      <c r="AP406" s="549">
        <f t="shared" si="10839"/>
        <v>0</v>
      </c>
      <c r="AQ406" s="675">
        <f t="shared" si="10839"/>
        <v>0</v>
      </c>
      <c r="AR406" s="549">
        <f t="shared" si="10839"/>
        <v>0</v>
      </c>
      <c r="AS406" s="675">
        <f t="shared" si="10839"/>
        <v>0</v>
      </c>
      <c r="AT406" s="549">
        <f t="shared" ref="AT406:AU406" si="10840">SUM(AT407:AT409)</f>
        <v>0</v>
      </c>
      <c r="AU406" s="675">
        <f t="shared" si="10840"/>
        <v>0</v>
      </c>
      <c r="AV406" s="549">
        <f t="shared" ref="AV406:AW406" si="10841">SUM(AV407:AV409)</f>
        <v>0</v>
      </c>
      <c r="AW406" s="675">
        <f t="shared" si="10841"/>
        <v>0</v>
      </c>
      <c r="AX406" s="549">
        <f t="shared" ref="AX406:AY406" si="10842">SUM(AX407:AX409)</f>
        <v>0</v>
      </c>
      <c r="AY406" s="675">
        <f t="shared" si="10842"/>
        <v>0</v>
      </c>
      <c r="AZ406" s="549">
        <f t="shared" ref="AZ406:BA406" si="10843">SUM(AZ407:AZ409)</f>
        <v>0</v>
      </c>
      <c r="BA406" s="675">
        <f t="shared" si="10843"/>
        <v>0</v>
      </c>
      <c r="BB406" s="549">
        <f t="shared" ref="BB406:BC406" si="10844">SUM(BB407:BB409)</f>
        <v>0</v>
      </c>
      <c r="BC406" s="675">
        <f t="shared" si="10844"/>
        <v>0</v>
      </c>
      <c r="BD406" s="549">
        <f t="shared" ref="BD406:BE406" si="10845">SUM(BD407:BD409)</f>
        <v>0</v>
      </c>
      <c r="BE406" s="675">
        <f t="shared" si="10845"/>
        <v>0</v>
      </c>
      <c r="BF406" s="549">
        <f t="shared" ref="BF406:BG406" si="10846">SUM(BF407:BF409)</f>
        <v>0</v>
      </c>
      <c r="BG406" s="675">
        <f t="shared" si="10846"/>
        <v>0</v>
      </c>
      <c r="BH406" s="549">
        <f t="shared" ref="BH406:BI406" si="10847">SUM(BH407:BH409)</f>
        <v>0</v>
      </c>
      <c r="BI406" s="675">
        <f t="shared" si="10847"/>
        <v>0</v>
      </c>
      <c r="BJ406" s="549">
        <f t="shared" ref="BJ406:BK406" si="10848">SUM(BJ407:BJ409)</f>
        <v>0</v>
      </c>
      <c r="BK406" s="675">
        <f t="shared" si="10848"/>
        <v>0</v>
      </c>
      <c r="BL406" s="549">
        <f t="shared" ref="BL406:BS406" si="10849">SUM(BL407:BL409)</f>
        <v>0</v>
      </c>
      <c r="BM406" s="675">
        <f t="shared" si="10849"/>
        <v>0</v>
      </c>
      <c r="BN406" s="549">
        <f t="shared" si="10849"/>
        <v>5000</v>
      </c>
      <c r="BO406" s="675">
        <f t="shared" si="10849"/>
        <v>0</v>
      </c>
      <c r="BP406" s="549">
        <f t="shared" si="10849"/>
        <v>10000</v>
      </c>
      <c r="BQ406" s="675">
        <f t="shared" si="10849"/>
        <v>0</v>
      </c>
      <c r="BR406" s="549">
        <f t="shared" si="10849"/>
        <v>0</v>
      </c>
      <c r="BS406" s="675">
        <f t="shared" si="10849"/>
        <v>0</v>
      </c>
      <c r="BT406" s="549">
        <f t="shared" ref="BT406:BU406" si="10850">SUM(BT407:BT409)</f>
        <v>0</v>
      </c>
      <c r="BU406" s="675">
        <f t="shared" si="10850"/>
        <v>0</v>
      </c>
      <c r="BV406" s="549">
        <f t="shared" ref="BV406:BW406" si="10851">SUM(BV407:BV409)</f>
        <v>0</v>
      </c>
      <c r="BW406" s="675">
        <f t="shared" si="10851"/>
        <v>0</v>
      </c>
      <c r="BX406" s="549">
        <f t="shared" ref="BX406:BY406" si="10852">SUM(BX407:BX409)</f>
        <v>0</v>
      </c>
      <c r="BY406" s="675">
        <f t="shared" si="10852"/>
        <v>0</v>
      </c>
      <c r="BZ406" s="549">
        <f t="shared" ref="BZ406:CA406" si="10853">SUM(BZ407:BZ409)</f>
        <v>0</v>
      </c>
      <c r="CA406" s="675">
        <f t="shared" si="10853"/>
        <v>0</v>
      </c>
      <c r="CB406" s="549">
        <f t="shared" ref="CB406:CE406" si="10854">SUM(CB407:CB409)</f>
        <v>0</v>
      </c>
      <c r="CC406" s="675">
        <f t="shared" si="10854"/>
        <v>0</v>
      </c>
      <c r="CD406" s="549">
        <f t="shared" si="10854"/>
        <v>0</v>
      </c>
      <c r="CE406" s="675">
        <f t="shared" si="10854"/>
        <v>0</v>
      </c>
      <c r="CF406" s="549">
        <f t="shared" ref="CF406:CQ406" si="10855">SUM(CF407:CF409)</f>
        <v>0</v>
      </c>
      <c r="CG406" s="675">
        <f t="shared" si="10855"/>
        <v>0</v>
      </c>
      <c r="CH406" s="549">
        <f t="shared" si="10855"/>
        <v>5000</v>
      </c>
      <c r="CI406" s="675">
        <f t="shared" si="10855"/>
        <v>0</v>
      </c>
      <c r="CJ406" s="549">
        <f t="shared" si="10855"/>
        <v>0</v>
      </c>
      <c r="CK406" s="675">
        <f t="shared" si="10855"/>
        <v>0</v>
      </c>
      <c r="CL406" s="549">
        <f t="shared" si="10855"/>
        <v>0</v>
      </c>
      <c r="CM406" s="675">
        <f t="shared" si="10855"/>
        <v>0</v>
      </c>
      <c r="CN406" s="549">
        <f t="shared" si="10855"/>
        <v>0</v>
      </c>
      <c r="CO406" s="675">
        <f t="shared" si="10855"/>
        <v>0</v>
      </c>
      <c r="CP406" s="549">
        <f t="shared" si="10855"/>
        <v>0</v>
      </c>
      <c r="CQ406" s="675">
        <f t="shared" si="10855"/>
        <v>0</v>
      </c>
      <c r="CR406" s="549">
        <f t="shared" ref="CR406:CY406" si="10856">SUM(CR407:CR409)</f>
        <v>0</v>
      </c>
      <c r="CS406" s="675">
        <f t="shared" si="10856"/>
        <v>0</v>
      </c>
      <c r="CT406" s="549">
        <f t="shared" si="10856"/>
        <v>0</v>
      </c>
      <c r="CU406" s="675">
        <f t="shared" si="10856"/>
        <v>0</v>
      </c>
      <c r="CV406" s="549">
        <f t="shared" si="10856"/>
        <v>0</v>
      </c>
      <c r="CW406" s="675">
        <f t="shared" si="10856"/>
        <v>0</v>
      </c>
      <c r="CX406" s="549">
        <f t="shared" si="10856"/>
        <v>0</v>
      </c>
      <c r="CY406" s="675">
        <f t="shared" si="10856"/>
        <v>0</v>
      </c>
      <c r="CZ406" s="549">
        <f t="shared" ref="CZ406:DI406" si="10857">SUM(CZ407:CZ409)</f>
        <v>5000</v>
      </c>
      <c r="DA406" s="675">
        <f t="shared" si="10857"/>
        <v>0</v>
      </c>
      <c r="DB406" s="549">
        <f t="shared" si="10857"/>
        <v>0</v>
      </c>
      <c r="DC406" s="675">
        <f t="shared" si="10857"/>
        <v>0</v>
      </c>
      <c r="DD406" s="549">
        <f t="shared" si="10857"/>
        <v>0</v>
      </c>
      <c r="DE406" s="675">
        <f t="shared" si="10857"/>
        <v>0</v>
      </c>
      <c r="DF406" s="549">
        <f t="shared" si="10857"/>
        <v>0</v>
      </c>
      <c r="DG406" s="675">
        <f t="shared" si="10857"/>
        <v>0</v>
      </c>
      <c r="DH406" s="549">
        <f t="shared" si="10857"/>
        <v>8000</v>
      </c>
      <c r="DI406" s="675">
        <f t="shared" si="10857"/>
        <v>0</v>
      </c>
      <c r="DJ406" s="549">
        <f t="shared" ref="DJ406:DY406" si="10858">SUM(DJ407:DJ409)</f>
        <v>5000</v>
      </c>
      <c r="DK406" s="675">
        <f t="shared" si="10858"/>
        <v>0</v>
      </c>
      <c r="DL406" s="549">
        <f t="shared" si="10858"/>
        <v>0</v>
      </c>
      <c r="DM406" s="675">
        <f t="shared" si="10858"/>
        <v>0</v>
      </c>
      <c r="DN406" s="549">
        <f t="shared" si="10858"/>
        <v>0</v>
      </c>
      <c r="DO406" s="675">
        <f t="shared" si="10858"/>
        <v>0</v>
      </c>
      <c r="DP406" s="549">
        <f t="shared" si="10858"/>
        <v>0</v>
      </c>
      <c r="DQ406" s="675">
        <f t="shared" si="10858"/>
        <v>0</v>
      </c>
      <c r="DR406" s="549">
        <f t="shared" si="10858"/>
        <v>0</v>
      </c>
      <c r="DS406" s="675">
        <f t="shared" si="10858"/>
        <v>0</v>
      </c>
      <c r="DT406" s="549">
        <f t="shared" si="10858"/>
        <v>0</v>
      </c>
      <c r="DU406" s="675">
        <f t="shared" si="10858"/>
        <v>0</v>
      </c>
      <c r="DV406" s="549">
        <f t="shared" si="10858"/>
        <v>0</v>
      </c>
      <c r="DW406" s="675">
        <f t="shared" si="10858"/>
        <v>0</v>
      </c>
      <c r="DX406" s="549">
        <f t="shared" si="10858"/>
        <v>0</v>
      </c>
      <c r="DY406" s="675">
        <f t="shared" si="10858"/>
        <v>0</v>
      </c>
      <c r="DZ406" s="549">
        <f t="shared" ref="DZ406:EU406" si="10859">SUM(DZ407:DZ409)</f>
        <v>0</v>
      </c>
      <c r="EA406" s="675">
        <f t="shared" si="10859"/>
        <v>0</v>
      </c>
      <c r="EB406" s="549">
        <f t="shared" si="10859"/>
        <v>0</v>
      </c>
      <c r="EC406" s="675">
        <f t="shared" si="10859"/>
        <v>0</v>
      </c>
      <c r="ED406" s="549">
        <f t="shared" si="10859"/>
        <v>0</v>
      </c>
      <c r="EE406" s="675">
        <f t="shared" si="10859"/>
        <v>0</v>
      </c>
      <c r="EF406" s="549">
        <f t="shared" si="10859"/>
        <v>0</v>
      </c>
      <c r="EG406" s="675">
        <f t="shared" si="10859"/>
        <v>0</v>
      </c>
      <c r="EH406" s="549">
        <f t="shared" ref="EH406:EM406" si="10860">SUM(EH407:EH409)</f>
        <v>0</v>
      </c>
      <c r="EI406" s="675">
        <f t="shared" si="10860"/>
        <v>0</v>
      </c>
      <c r="EJ406" s="549">
        <f t="shared" si="10860"/>
        <v>0</v>
      </c>
      <c r="EK406" s="675">
        <f t="shared" si="10860"/>
        <v>0</v>
      </c>
      <c r="EL406" s="549">
        <f t="shared" si="10860"/>
        <v>0</v>
      </c>
      <c r="EM406" s="675">
        <f t="shared" si="10860"/>
        <v>0</v>
      </c>
      <c r="EN406" s="549">
        <f t="shared" si="10859"/>
        <v>0</v>
      </c>
      <c r="EO406" s="675">
        <f t="shared" si="10859"/>
        <v>0</v>
      </c>
      <c r="EP406" s="549">
        <f t="shared" si="10859"/>
        <v>0</v>
      </c>
      <c r="EQ406" s="675">
        <f t="shared" si="10859"/>
        <v>0</v>
      </c>
      <c r="ER406" s="549">
        <f t="shared" si="10859"/>
        <v>0</v>
      </c>
      <c r="ES406" s="675">
        <f t="shared" si="10859"/>
        <v>0</v>
      </c>
      <c r="ET406" s="549">
        <f t="shared" si="10859"/>
        <v>0</v>
      </c>
      <c r="EU406" s="675">
        <f t="shared" si="10859"/>
        <v>0</v>
      </c>
      <c r="EV406" s="549">
        <f t="shared" ref="EV406:HS406" si="10861">SUM(EV407:EV409)</f>
        <v>0</v>
      </c>
      <c r="EW406" s="675">
        <f t="shared" si="10861"/>
        <v>0</v>
      </c>
      <c r="EX406" s="549">
        <f t="shared" si="10861"/>
        <v>0</v>
      </c>
      <c r="EY406" s="675">
        <f t="shared" si="10861"/>
        <v>0</v>
      </c>
      <c r="EZ406" s="549">
        <f t="shared" si="10861"/>
        <v>0</v>
      </c>
      <c r="FA406" s="675">
        <f t="shared" si="10861"/>
        <v>0</v>
      </c>
      <c r="FB406" s="549">
        <f t="shared" si="10861"/>
        <v>0</v>
      </c>
      <c r="FC406" s="675">
        <f t="shared" si="10861"/>
        <v>0</v>
      </c>
      <c r="FD406" s="549">
        <f t="shared" si="10861"/>
        <v>0</v>
      </c>
      <c r="FE406" s="675">
        <f t="shared" si="10861"/>
        <v>0</v>
      </c>
      <c r="FF406" s="549">
        <f t="shared" ref="FF406:FG406" si="10862">SUM(FF407:FF409)</f>
        <v>0</v>
      </c>
      <c r="FG406" s="675">
        <f t="shared" si="10862"/>
        <v>0</v>
      </c>
      <c r="FH406" s="549">
        <f t="shared" ref="FH406:FI406" si="10863">SUM(FH407:FH409)</f>
        <v>0</v>
      </c>
      <c r="FI406" s="675">
        <f t="shared" si="10863"/>
        <v>0</v>
      </c>
      <c r="FJ406" s="549">
        <f t="shared" ref="FJ406:FK406" si="10864">SUM(FJ407:FJ409)</f>
        <v>5000</v>
      </c>
      <c r="FK406" s="675">
        <f t="shared" si="10864"/>
        <v>0</v>
      </c>
      <c r="FL406" s="549">
        <f t="shared" ref="FL406:FM406" si="10865">SUM(FL407:FL409)</f>
        <v>5000</v>
      </c>
      <c r="FM406" s="675">
        <f t="shared" si="10865"/>
        <v>0</v>
      </c>
      <c r="FN406" s="549">
        <f t="shared" ref="FN406:FO406" si="10866">SUM(FN407:FN409)</f>
        <v>0</v>
      </c>
      <c r="FO406" s="675">
        <f t="shared" si="10866"/>
        <v>0</v>
      </c>
      <c r="FP406" s="549">
        <f t="shared" ref="FP406:FQ406" si="10867">SUM(FP407:FP409)</f>
        <v>0</v>
      </c>
      <c r="FQ406" s="675">
        <f t="shared" si="10867"/>
        <v>0</v>
      </c>
      <c r="FR406" s="549">
        <f t="shared" ref="FR406:FS406" si="10868">SUM(FR407:FR409)</f>
        <v>2000</v>
      </c>
      <c r="FS406" s="675">
        <f t="shared" si="10868"/>
        <v>0</v>
      </c>
      <c r="FT406" s="549">
        <f t="shared" ref="FT406:FU406" si="10869">SUM(FT407:FT409)</f>
        <v>0</v>
      </c>
      <c r="FU406" s="675">
        <f t="shared" si="10869"/>
        <v>0</v>
      </c>
      <c r="FV406" s="549">
        <f t="shared" ref="FV406:GK406" si="10870">SUM(FV407:FV409)</f>
        <v>0</v>
      </c>
      <c r="FW406" s="675">
        <f t="shared" si="10870"/>
        <v>0</v>
      </c>
      <c r="FX406" s="549">
        <f t="shared" si="10870"/>
        <v>0</v>
      </c>
      <c r="FY406" s="675">
        <f t="shared" si="10870"/>
        <v>0</v>
      </c>
      <c r="FZ406" s="549">
        <f t="shared" ref="FZ406:GI406" si="10871">SUM(FZ407:FZ409)</f>
        <v>0</v>
      </c>
      <c r="GA406" s="675">
        <f t="shared" si="10871"/>
        <v>0</v>
      </c>
      <c r="GB406" s="549">
        <f t="shared" si="10871"/>
        <v>0</v>
      </c>
      <c r="GC406" s="675">
        <f t="shared" si="10871"/>
        <v>0</v>
      </c>
      <c r="GD406" s="549">
        <f t="shared" si="10871"/>
        <v>0</v>
      </c>
      <c r="GE406" s="675">
        <f t="shared" si="10871"/>
        <v>0</v>
      </c>
      <c r="GF406" s="549">
        <f t="shared" si="10871"/>
        <v>0</v>
      </c>
      <c r="GG406" s="675">
        <f t="shared" si="10871"/>
        <v>0</v>
      </c>
      <c r="GH406" s="549">
        <f t="shared" si="10871"/>
        <v>0</v>
      </c>
      <c r="GI406" s="675">
        <f t="shared" si="10871"/>
        <v>0</v>
      </c>
      <c r="GJ406" s="549">
        <f t="shared" si="10870"/>
        <v>0</v>
      </c>
      <c r="GK406" s="675">
        <f t="shared" si="10870"/>
        <v>0</v>
      </c>
      <c r="GL406" s="549">
        <f t="shared" ref="GL406:GM406" si="10872">SUM(GL407:GL409)</f>
        <v>0</v>
      </c>
      <c r="GM406" s="675">
        <f t="shared" si="10872"/>
        <v>0</v>
      </c>
      <c r="GN406" s="549">
        <f t="shared" ref="GN406:GO406" si="10873">SUM(GN407:GN409)</f>
        <v>0</v>
      </c>
      <c r="GO406" s="675">
        <f t="shared" si="10873"/>
        <v>0</v>
      </c>
      <c r="GP406" s="549">
        <f>SUM(GP407:GP409)</f>
        <v>60000</v>
      </c>
      <c r="GQ406" s="675">
        <f t="shared" si="10861"/>
        <v>0</v>
      </c>
      <c r="GR406" s="74">
        <f t="shared" si="10861"/>
        <v>190000</v>
      </c>
      <c r="GS406" s="74">
        <f t="shared" si="10861"/>
        <v>190000</v>
      </c>
      <c r="GT406" s="549">
        <f t="shared" si="10861"/>
        <v>190000</v>
      </c>
      <c r="GU406" s="74">
        <f t="shared" si="10861"/>
        <v>18991</v>
      </c>
      <c r="GV406" s="74">
        <f t="shared" si="10861"/>
        <v>10112</v>
      </c>
      <c r="GW406" s="549">
        <f t="shared" si="10861"/>
        <v>10112</v>
      </c>
      <c r="GX406" s="549">
        <f t="shared" si="10861"/>
        <v>18987</v>
      </c>
      <c r="GY406" s="74">
        <f t="shared" si="10861"/>
        <v>10112</v>
      </c>
      <c r="GZ406" s="74">
        <f t="shared" si="10861"/>
        <v>10112</v>
      </c>
      <c r="HA406" s="74">
        <f t="shared" si="10861"/>
        <v>18987</v>
      </c>
      <c r="HB406" s="74">
        <f t="shared" si="10861"/>
        <v>10112</v>
      </c>
      <c r="HC406" s="74">
        <f t="shared" si="10861"/>
        <v>15675</v>
      </c>
      <c r="HD406" s="74">
        <f t="shared" si="10861"/>
        <v>6800</v>
      </c>
      <c r="HE406" s="74">
        <f t="shared" si="10861"/>
        <v>0</v>
      </c>
      <c r="HF406" s="74">
        <f t="shared" si="10861"/>
        <v>0</v>
      </c>
      <c r="HG406" s="74">
        <f t="shared" si="10861"/>
        <v>190000</v>
      </c>
      <c r="HH406" s="74">
        <f t="shared" si="10861"/>
        <v>18991</v>
      </c>
      <c r="HI406" s="792">
        <f t="shared" si="10861"/>
        <v>0</v>
      </c>
      <c r="HJ406" s="74">
        <f t="shared" si="10861"/>
        <v>10112</v>
      </c>
      <c r="HK406" s="792">
        <f t="shared" si="10861"/>
        <v>0</v>
      </c>
      <c r="HL406" s="74">
        <f t="shared" si="10861"/>
        <v>20112</v>
      </c>
      <c r="HM406" s="792">
        <f t="shared" si="10861"/>
        <v>0</v>
      </c>
      <c r="HN406" s="74">
        <f t="shared" si="10861"/>
        <v>18987</v>
      </c>
      <c r="HO406" s="792">
        <f t="shared" si="10861"/>
        <v>0</v>
      </c>
      <c r="HP406" s="74">
        <f t="shared" si="10861"/>
        <v>25112</v>
      </c>
      <c r="HQ406" s="792">
        <f t="shared" si="10861"/>
        <v>0</v>
      </c>
      <c r="HR406" s="74">
        <f t="shared" si="10861"/>
        <v>3312</v>
      </c>
      <c r="HS406" s="792">
        <f t="shared" si="10861"/>
        <v>0</v>
      </c>
      <c r="HT406" s="74">
        <f t="shared" ref="HT406:HU406" si="10874">SUM(HT407:HT409)</f>
        <v>22213.279999999999</v>
      </c>
      <c r="HU406" s="792">
        <f t="shared" si="10874"/>
        <v>0</v>
      </c>
      <c r="HV406" s="74">
        <f t="shared" ref="HV406:HW406" si="10875">SUM(HV407:HV409)</f>
        <v>33685.72</v>
      </c>
      <c r="HW406" s="792">
        <f t="shared" si="10875"/>
        <v>0</v>
      </c>
      <c r="HX406" s="74">
        <f t="shared" ref="HX406:HY406" si="10876">SUM(HX407:HX409)</f>
        <v>18675</v>
      </c>
      <c r="HY406" s="792">
        <f t="shared" si="10876"/>
        <v>0</v>
      </c>
      <c r="HZ406" s="74">
        <f t="shared" ref="HZ406:IA406" si="10877">SUM(HZ407:HZ409)</f>
        <v>18800</v>
      </c>
      <c r="IA406" s="792">
        <f t="shared" si="10877"/>
        <v>0</v>
      </c>
      <c r="IB406" s="74">
        <f t="shared" ref="IB406:IC406" si="10878">SUM(IB407:IB409)</f>
        <v>0</v>
      </c>
      <c r="IC406" s="792">
        <f t="shared" si="10878"/>
        <v>0</v>
      </c>
      <c r="ID406" s="74">
        <f t="shared" ref="ID406:IZ406" si="10879">SUM(ID407:ID409)</f>
        <v>0</v>
      </c>
      <c r="IE406" s="792">
        <f t="shared" si="10879"/>
        <v>0</v>
      </c>
      <c r="IF406" s="841">
        <f>SUM(IF407:IF409)</f>
        <v>161880.62</v>
      </c>
      <c r="IG406" s="263">
        <f>SUM(IG407:IG409)</f>
        <v>161880.62</v>
      </c>
      <c r="IH406" s="842">
        <f>SUM(IH407:IH409)</f>
        <v>161880.62</v>
      </c>
      <c r="II406" s="74">
        <f t="shared" ref="II406:IK406" si="10880">SUM(II407:II409)</f>
        <v>2977.37</v>
      </c>
      <c r="IJ406" s="74">
        <f t="shared" si="10880"/>
        <v>2977.37</v>
      </c>
      <c r="IK406" s="74">
        <f t="shared" si="10880"/>
        <v>2977.37</v>
      </c>
      <c r="IL406" s="74">
        <f t="shared" si="10879"/>
        <v>10836.73</v>
      </c>
      <c r="IM406" s="74">
        <f t="shared" si="10879"/>
        <v>10836.73</v>
      </c>
      <c r="IN406" s="74">
        <f t="shared" si="10879"/>
        <v>10836.73</v>
      </c>
      <c r="IO406" s="74">
        <f t="shared" si="10879"/>
        <v>19779.330000000002</v>
      </c>
      <c r="IP406" s="74">
        <f t="shared" si="10879"/>
        <v>19779.330000000002</v>
      </c>
      <c r="IQ406" s="74">
        <f t="shared" si="10879"/>
        <v>19779.330000000002</v>
      </c>
      <c r="IR406" s="74">
        <f t="shared" si="10879"/>
        <v>11857.869999999999</v>
      </c>
      <c r="IS406" s="74">
        <f t="shared" si="10879"/>
        <v>11857.869999999999</v>
      </c>
      <c r="IT406" s="74">
        <f t="shared" si="10879"/>
        <v>11857.869999999999</v>
      </c>
      <c r="IU406" s="74">
        <f t="shared" si="10879"/>
        <v>22408.73</v>
      </c>
      <c r="IV406" s="74">
        <f t="shared" si="10879"/>
        <v>22408.73</v>
      </c>
      <c r="IW406" s="74">
        <f t="shared" si="10879"/>
        <v>22408.73</v>
      </c>
      <c r="IX406" s="74">
        <f t="shared" si="10879"/>
        <v>14592.230000000003</v>
      </c>
      <c r="IY406" s="74">
        <f t="shared" si="10879"/>
        <v>14592.230000000003</v>
      </c>
      <c r="IZ406" s="74">
        <f t="shared" si="10879"/>
        <v>14592.230000000003</v>
      </c>
      <c r="JA406" s="74">
        <f t="shared" ref="JA406:JC406" si="10881">SUM(JA407:JA409)</f>
        <v>10718.319999999996</v>
      </c>
      <c r="JB406" s="74">
        <f t="shared" si="10881"/>
        <v>10718.319999999996</v>
      </c>
      <c r="JC406" s="74">
        <f t="shared" si="10881"/>
        <v>10718.319999999996</v>
      </c>
      <c r="JD406" s="74">
        <f t="shared" ref="JD406:JF406" si="10882">SUM(JD407:JD409)</f>
        <v>32653.350000000002</v>
      </c>
      <c r="JE406" s="74">
        <f t="shared" si="10882"/>
        <v>32653.350000000002</v>
      </c>
      <c r="JF406" s="74">
        <f t="shared" si="10882"/>
        <v>32653.350000000002</v>
      </c>
      <c r="JG406" s="74">
        <f t="shared" ref="JG406:JI406" si="10883">SUM(JG407:JG409)</f>
        <v>12324.189999999995</v>
      </c>
      <c r="JH406" s="74">
        <f t="shared" si="10883"/>
        <v>12324.189999999995</v>
      </c>
      <c r="JI406" s="74">
        <f t="shared" si="10883"/>
        <v>12324.189999999995</v>
      </c>
      <c r="JJ406" s="74">
        <f t="shared" ref="JJ406:JL406" si="10884">SUM(JJ407:JJ409)</f>
        <v>23732.500000000007</v>
      </c>
      <c r="JK406" s="74">
        <f t="shared" si="10884"/>
        <v>23732.500000000007</v>
      </c>
      <c r="JL406" s="74">
        <f t="shared" si="10884"/>
        <v>23732.500000000007</v>
      </c>
      <c r="JM406" s="74">
        <f t="shared" ref="JM406:JO406" si="10885">SUM(JM407:JM409)</f>
        <v>0</v>
      </c>
      <c r="JN406" s="74">
        <f t="shared" si="10885"/>
        <v>0</v>
      </c>
      <c r="JO406" s="74">
        <f t="shared" si="10885"/>
        <v>0</v>
      </c>
      <c r="JP406" s="74">
        <f t="shared" ref="JP406:JY406" si="10886">SUM(JP407:JP409)</f>
        <v>0</v>
      </c>
      <c r="JQ406" s="74">
        <f t="shared" si="10886"/>
        <v>0</v>
      </c>
      <c r="JR406" s="74">
        <f t="shared" si="10886"/>
        <v>0</v>
      </c>
      <c r="JS406" s="74">
        <f>SUM(JS407:JS409)</f>
        <v>28119.379999999997</v>
      </c>
      <c r="JT406" s="102">
        <f>SUM(JT407:JT409)</f>
        <v>28119.379999999997</v>
      </c>
      <c r="JU406" s="665"/>
      <c r="JV406" s="524"/>
      <c r="JW406" s="525"/>
      <c r="JX406" s="549">
        <f>SUM(JX407:JX409)</f>
        <v>190000</v>
      </c>
      <c r="JY406" s="549">
        <f t="shared" si="10886"/>
        <v>0</v>
      </c>
      <c r="JZ406" s="581">
        <f t="shared" si="10300"/>
        <v>60000</v>
      </c>
      <c r="KA406" s="581">
        <f t="shared" si="10301"/>
        <v>0</v>
      </c>
      <c r="KB406" s="549">
        <f t="shared" si="10257"/>
        <v>190000</v>
      </c>
      <c r="KC406" s="709">
        <f t="shared" si="10273"/>
        <v>0</v>
      </c>
      <c r="KD406" s="36"/>
      <c r="KE406" s="36"/>
      <c r="KF406" s="36"/>
      <c r="KG406" s="36"/>
      <c r="KH406" s="36"/>
      <c r="KI406" s="36"/>
      <c r="KJ406" s="36"/>
      <c r="KK406" s="36"/>
    </row>
    <row r="407" spans="1:297" s="10" customFormat="1">
      <c r="A407" s="86" t="s">
        <v>486</v>
      </c>
      <c r="B407" s="77"/>
      <c r="C407" s="74">
        <v>68000</v>
      </c>
      <c r="D407" s="549">
        <v>0</v>
      </c>
      <c r="E407" s="675">
        <v>0</v>
      </c>
      <c r="F407" s="549">
        <v>0</v>
      </c>
      <c r="G407" s="675">
        <v>0</v>
      </c>
      <c r="H407" s="549">
        <v>0</v>
      </c>
      <c r="I407" s="675">
        <v>0</v>
      </c>
      <c r="J407" s="549">
        <v>0</v>
      </c>
      <c r="K407" s="675">
        <v>0</v>
      </c>
      <c r="L407" s="549">
        <v>0</v>
      </c>
      <c r="M407" s="675">
        <v>0</v>
      </c>
      <c r="N407" s="549">
        <v>0</v>
      </c>
      <c r="O407" s="675">
        <v>0</v>
      </c>
      <c r="P407" s="549">
        <v>0</v>
      </c>
      <c r="Q407" s="675">
        <v>0</v>
      </c>
      <c r="R407" s="549">
        <v>0</v>
      </c>
      <c r="S407" s="675">
        <v>0</v>
      </c>
      <c r="T407" s="549">
        <v>0</v>
      </c>
      <c r="U407" s="675">
        <v>0</v>
      </c>
      <c r="V407" s="549">
        <v>0</v>
      </c>
      <c r="W407" s="675">
        <v>0</v>
      </c>
      <c r="X407" s="549">
        <v>0</v>
      </c>
      <c r="Y407" s="675">
        <v>0</v>
      </c>
      <c r="Z407" s="549">
        <v>0</v>
      </c>
      <c r="AA407" s="675">
        <v>0</v>
      </c>
      <c r="AB407" s="549">
        <v>0</v>
      </c>
      <c r="AC407" s="675">
        <v>0</v>
      </c>
      <c r="AD407" s="549">
        <v>0</v>
      </c>
      <c r="AE407" s="675">
        <v>0</v>
      </c>
      <c r="AF407" s="549">
        <v>0</v>
      </c>
      <c r="AG407" s="675">
        <v>0</v>
      </c>
      <c r="AH407" s="549">
        <v>0</v>
      </c>
      <c r="AI407" s="675">
        <v>0</v>
      </c>
      <c r="AJ407" s="549">
        <v>0</v>
      </c>
      <c r="AK407" s="675">
        <v>0</v>
      </c>
      <c r="AL407" s="549">
        <v>0</v>
      </c>
      <c r="AM407" s="675">
        <v>0</v>
      </c>
      <c r="AN407" s="549">
        <v>0</v>
      </c>
      <c r="AO407" s="675">
        <v>0</v>
      </c>
      <c r="AP407" s="549">
        <v>0</v>
      </c>
      <c r="AQ407" s="675">
        <v>0</v>
      </c>
      <c r="AR407" s="549">
        <v>0</v>
      </c>
      <c r="AS407" s="675">
        <v>0</v>
      </c>
      <c r="AT407" s="549">
        <v>0</v>
      </c>
      <c r="AU407" s="675">
        <v>0</v>
      </c>
      <c r="AV407" s="549">
        <v>0</v>
      </c>
      <c r="AW407" s="675">
        <v>0</v>
      </c>
      <c r="AX407" s="549">
        <v>0</v>
      </c>
      <c r="AY407" s="675">
        <v>0</v>
      </c>
      <c r="AZ407" s="549">
        <v>0</v>
      </c>
      <c r="BA407" s="675">
        <v>0</v>
      </c>
      <c r="BB407" s="549">
        <v>0</v>
      </c>
      <c r="BC407" s="675">
        <v>0</v>
      </c>
      <c r="BD407" s="549">
        <v>0</v>
      </c>
      <c r="BE407" s="675">
        <v>0</v>
      </c>
      <c r="BF407" s="549">
        <v>0</v>
      </c>
      <c r="BG407" s="675">
        <v>0</v>
      </c>
      <c r="BH407" s="549">
        <v>0</v>
      </c>
      <c r="BI407" s="675">
        <v>0</v>
      </c>
      <c r="BJ407" s="549">
        <v>0</v>
      </c>
      <c r="BK407" s="675">
        <v>0</v>
      </c>
      <c r="BL407" s="549">
        <v>0</v>
      </c>
      <c r="BM407" s="675">
        <v>0</v>
      </c>
      <c r="BN407" s="549">
        <v>0</v>
      </c>
      <c r="BO407" s="675">
        <v>0</v>
      </c>
      <c r="BP407" s="549">
        <v>0</v>
      </c>
      <c r="BQ407" s="675">
        <v>0</v>
      </c>
      <c r="BR407" s="549">
        <v>0</v>
      </c>
      <c r="BS407" s="675">
        <v>0</v>
      </c>
      <c r="BT407" s="549">
        <v>0</v>
      </c>
      <c r="BU407" s="675">
        <v>0</v>
      </c>
      <c r="BV407" s="549">
        <v>0</v>
      </c>
      <c r="BW407" s="675">
        <v>0</v>
      </c>
      <c r="BX407" s="549">
        <v>0</v>
      </c>
      <c r="BY407" s="675">
        <v>0</v>
      </c>
      <c r="BZ407" s="549">
        <v>0</v>
      </c>
      <c r="CA407" s="675">
        <v>0</v>
      </c>
      <c r="CB407" s="549">
        <v>0</v>
      </c>
      <c r="CC407" s="675">
        <v>0</v>
      </c>
      <c r="CD407" s="549">
        <v>0</v>
      </c>
      <c r="CE407" s="675">
        <v>0</v>
      </c>
      <c r="CF407" s="549">
        <v>0</v>
      </c>
      <c r="CG407" s="675">
        <v>0</v>
      </c>
      <c r="CH407" s="549">
        <v>0</v>
      </c>
      <c r="CI407" s="675">
        <v>0</v>
      </c>
      <c r="CJ407" s="549">
        <v>0</v>
      </c>
      <c r="CK407" s="675">
        <v>0</v>
      </c>
      <c r="CL407" s="549">
        <v>0</v>
      </c>
      <c r="CM407" s="675">
        <v>0</v>
      </c>
      <c r="CN407" s="549">
        <v>0</v>
      </c>
      <c r="CO407" s="675">
        <v>0</v>
      </c>
      <c r="CP407" s="549">
        <v>0</v>
      </c>
      <c r="CQ407" s="675">
        <v>0</v>
      </c>
      <c r="CR407" s="549">
        <v>0</v>
      </c>
      <c r="CS407" s="675">
        <v>0</v>
      </c>
      <c r="CT407" s="549">
        <v>0</v>
      </c>
      <c r="CU407" s="675">
        <v>0</v>
      </c>
      <c r="CV407" s="549">
        <v>0</v>
      </c>
      <c r="CW407" s="675">
        <v>0</v>
      </c>
      <c r="CX407" s="549">
        <v>0</v>
      </c>
      <c r="CY407" s="675">
        <v>0</v>
      </c>
      <c r="CZ407" s="549">
        <v>0</v>
      </c>
      <c r="DA407" s="675">
        <v>0</v>
      </c>
      <c r="DB407" s="549">
        <v>0</v>
      </c>
      <c r="DC407" s="675">
        <v>0</v>
      </c>
      <c r="DD407" s="549">
        <v>0</v>
      </c>
      <c r="DE407" s="675">
        <v>0</v>
      </c>
      <c r="DF407" s="549">
        <v>0</v>
      </c>
      <c r="DG407" s="675">
        <v>0</v>
      </c>
      <c r="DH407" s="549">
        <v>0</v>
      </c>
      <c r="DI407" s="675">
        <v>0</v>
      </c>
      <c r="DJ407" s="549">
        <v>0</v>
      </c>
      <c r="DK407" s="675">
        <v>0</v>
      </c>
      <c r="DL407" s="549">
        <v>0</v>
      </c>
      <c r="DM407" s="675">
        <v>0</v>
      </c>
      <c r="DN407" s="549">
        <v>0</v>
      </c>
      <c r="DO407" s="675">
        <v>0</v>
      </c>
      <c r="DP407" s="549">
        <v>0</v>
      </c>
      <c r="DQ407" s="675">
        <v>0</v>
      </c>
      <c r="DR407" s="549">
        <v>0</v>
      </c>
      <c r="DS407" s="675">
        <v>0</v>
      </c>
      <c r="DT407" s="549">
        <v>0</v>
      </c>
      <c r="DU407" s="675">
        <v>0</v>
      </c>
      <c r="DV407" s="549">
        <v>0</v>
      </c>
      <c r="DW407" s="675">
        <v>0</v>
      </c>
      <c r="DX407" s="549">
        <v>0</v>
      </c>
      <c r="DY407" s="675">
        <v>0</v>
      </c>
      <c r="DZ407" s="549">
        <v>0</v>
      </c>
      <c r="EA407" s="675">
        <v>0</v>
      </c>
      <c r="EB407" s="549">
        <v>0</v>
      </c>
      <c r="EC407" s="675">
        <v>0</v>
      </c>
      <c r="ED407" s="549">
        <v>0</v>
      </c>
      <c r="EE407" s="675">
        <v>0</v>
      </c>
      <c r="EF407" s="549">
        <v>0</v>
      </c>
      <c r="EG407" s="675">
        <v>0</v>
      </c>
      <c r="EH407" s="549">
        <v>0</v>
      </c>
      <c r="EI407" s="675">
        <v>0</v>
      </c>
      <c r="EJ407" s="549">
        <v>0</v>
      </c>
      <c r="EK407" s="675">
        <v>0</v>
      </c>
      <c r="EL407" s="549">
        <v>0</v>
      </c>
      <c r="EM407" s="675">
        <v>0</v>
      </c>
      <c r="EN407" s="549">
        <v>0</v>
      </c>
      <c r="EO407" s="675">
        <v>0</v>
      </c>
      <c r="EP407" s="549">
        <v>0</v>
      </c>
      <c r="EQ407" s="675">
        <v>0</v>
      </c>
      <c r="ER407" s="549">
        <v>0</v>
      </c>
      <c r="ES407" s="675">
        <v>0</v>
      </c>
      <c r="ET407" s="549">
        <v>0</v>
      </c>
      <c r="EU407" s="675">
        <v>0</v>
      </c>
      <c r="EV407" s="549">
        <v>0</v>
      </c>
      <c r="EW407" s="675">
        <v>0</v>
      </c>
      <c r="EX407" s="549">
        <v>0</v>
      </c>
      <c r="EY407" s="675">
        <v>0</v>
      </c>
      <c r="EZ407" s="549">
        <v>0</v>
      </c>
      <c r="FA407" s="675">
        <v>0</v>
      </c>
      <c r="FB407" s="549">
        <v>0</v>
      </c>
      <c r="FC407" s="675">
        <v>0</v>
      </c>
      <c r="FD407" s="549">
        <v>0</v>
      </c>
      <c r="FE407" s="675">
        <v>0</v>
      </c>
      <c r="FF407" s="549">
        <v>0</v>
      </c>
      <c r="FG407" s="675">
        <v>0</v>
      </c>
      <c r="FH407" s="549">
        <v>0</v>
      </c>
      <c r="FI407" s="675">
        <v>0</v>
      </c>
      <c r="FJ407" s="549">
        <v>0</v>
      </c>
      <c r="FK407" s="675">
        <v>0</v>
      </c>
      <c r="FL407" s="549">
        <v>0</v>
      </c>
      <c r="FM407" s="675">
        <v>0</v>
      </c>
      <c r="FN407" s="549">
        <v>0</v>
      </c>
      <c r="FO407" s="675">
        <v>0</v>
      </c>
      <c r="FP407" s="549">
        <v>0</v>
      </c>
      <c r="FQ407" s="675">
        <v>0</v>
      </c>
      <c r="FR407" s="549">
        <v>0</v>
      </c>
      <c r="FS407" s="675">
        <v>0</v>
      </c>
      <c r="FT407" s="549">
        <v>0</v>
      </c>
      <c r="FU407" s="675">
        <v>0</v>
      </c>
      <c r="FV407" s="549">
        <v>0</v>
      </c>
      <c r="FW407" s="675">
        <v>0</v>
      </c>
      <c r="FX407" s="549">
        <v>0</v>
      </c>
      <c r="FY407" s="675">
        <v>0</v>
      </c>
      <c r="FZ407" s="549">
        <v>0</v>
      </c>
      <c r="GA407" s="675">
        <v>0</v>
      </c>
      <c r="GB407" s="549">
        <v>0</v>
      </c>
      <c r="GC407" s="675">
        <v>0</v>
      </c>
      <c r="GD407" s="549">
        <v>0</v>
      </c>
      <c r="GE407" s="675">
        <v>0</v>
      </c>
      <c r="GF407" s="549">
        <v>0</v>
      </c>
      <c r="GG407" s="675">
        <v>0</v>
      </c>
      <c r="GH407" s="549">
        <v>0</v>
      </c>
      <c r="GI407" s="675">
        <v>0</v>
      </c>
      <c r="GJ407" s="549">
        <v>0</v>
      </c>
      <c r="GK407" s="675">
        <v>0</v>
      </c>
      <c r="GL407" s="549">
        <v>0</v>
      </c>
      <c r="GM407" s="675">
        <v>0</v>
      </c>
      <c r="GN407" s="549">
        <v>0</v>
      </c>
      <c r="GO407" s="675">
        <v>0</v>
      </c>
      <c r="GP407" s="549">
        <f t="shared" ref="GP407:GP409" si="10887">+D407+F407+H407+J407+L407+N407+P407+R407+T407+V407+X407+Z407+AB407+AF407+AD407+AH407+AJ407+AL407+AN407+AP407+AR407+AT407+AV407+AX407+AZ407+BB407+BD407+BF407+BH407+BJ407+BL407+BN407+BP407+BR407+BT407+BV407+BX407+BZ407+CB407+CD407+CF407+CH407+CJ407+CL407+CN407+CP407+CR407+CT407+CV407+CX407+CZ407+DB407+DD407+DF407+DH407+DT407+EX407+DJ407+DL407+DN407+DP407+DR407+EJ407+EB407+DZ407+DX407+DV407+ED407+EF407+EH407+EL407+EN407+EP407+EV407+ET407+ER407+EZ407+FB407+FD407+GL407+FF407+FJ407+FL407+GJ407+FT407+FR407+FP407+FN407+FH407+GH407+GF407+GD407+GB407+FZ407+FX407+FV407+GN407</f>
        <v>0</v>
      </c>
      <c r="GQ407" s="675">
        <f t="shared" ref="GQ407:GQ409" si="10888">+E407+G407+I407+K407+M407+O407+Q407+S407+U407+W407+Y407+AA407+AC407+AE407+AG407+AI407+AK407+AM407+AO407+AQ407+AS407+AU407+AW407+AY407+BA407+BC407+BE407+BG407+BI407+BK407+BM407+BO407+BQ407+BS407+BU407+BW407+BY407+CA407+CC407+CE407+CG407+CI407+CK407+CM407+CO407+CQ407+CS407+CU407+CW407+CY407+DA407+DC407+DE407+DG407+DI407+DU407+EY407+DK407+DM407+DO407+DQ407+DS407+EK407+EC407+EA407+DY407+DW407+EI407+EG407+EE407+EM407+EO407+EQ407+EW407+EU407+ES407+FA407+FC407+FE407+GM407+FG407+FK407+FM407+FO407+FQ407+FS407+FU407+GK407+FI407+GI407+GG407+GE407+GC407+GA407+FY407+FW407+GO407</f>
        <v>0</v>
      </c>
      <c r="GR407" s="74">
        <f>C407+GP407+GQ407</f>
        <v>68000</v>
      </c>
      <c r="GS407" s="74">
        <f t="shared" ref="GS407:GS409" si="10889">SUM(GU407:HD407)+GP407+GQ407</f>
        <v>68000</v>
      </c>
      <c r="GT407" s="568">
        <f t="shared" ref="GT407:GT409" si="10890">SUM(GU407:HF407)+GQ407+GP407</f>
        <v>68000</v>
      </c>
      <c r="GU407" s="275">
        <v>6800</v>
      </c>
      <c r="GV407" s="275">
        <v>6800</v>
      </c>
      <c r="GW407" s="275">
        <v>6800</v>
      </c>
      <c r="GX407" s="275">
        <v>6800</v>
      </c>
      <c r="GY407" s="275">
        <v>6800</v>
      </c>
      <c r="GZ407" s="275">
        <v>6800</v>
      </c>
      <c r="HA407" s="275">
        <v>6800</v>
      </c>
      <c r="HB407" s="275">
        <v>6800</v>
      </c>
      <c r="HC407" s="275">
        <v>6800</v>
      </c>
      <c r="HD407" s="275">
        <v>6800</v>
      </c>
      <c r="HE407" s="275"/>
      <c r="HF407" s="275"/>
      <c r="HG407" s="74">
        <f>SUM(HH407:IE407)</f>
        <v>68000</v>
      </c>
      <c r="HH407" s="89">
        <v>6800</v>
      </c>
      <c r="HI407" s="817">
        <v>0</v>
      </c>
      <c r="HJ407" s="89">
        <v>6800</v>
      </c>
      <c r="HK407" s="817">
        <v>0</v>
      </c>
      <c r="HL407" s="89">
        <v>6800</v>
      </c>
      <c r="HM407" s="817">
        <v>0</v>
      </c>
      <c r="HN407" s="89">
        <v>6800</v>
      </c>
      <c r="HO407" s="817">
        <v>0</v>
      </c>
      <c r="HP407" s="89">
        <v>6800</v>
      </c>
      <c r="HQ407" s="817">
        <v>0</v>
      </c>
      <c r="HR407" s="89">
        <v>0</v>
      </c>
      <c r="HS407" s="817">
        <v>0</v>
      </c>
      <c r="HT407" s="89">
        <v>13600</v>
      </c>
      <c r="HU407" s="817">
        <v>0</v>
      </c>
      <c r="HV407" s="89">
        <v>6800</v>
      </c>
      <c r="HW407" s="817">
        <v>0</v>
      </c>
      <c r="HX407" s="89">
        <v>6800</v>
      </c>
      <c r="HY407" s="817">
        <v>0</v>
      </c>
      <c r="HZ407" s="89">
        <v>6800</v>
      </c>
      <c r="IA407" s="817">
        <v>0</v>
      </c>
      <c r="IB407" s="89">
        <v>0</v>
      </c>
      <c r="IC407" s="817">
        <v>0</v>
      </c>
      <c r="ID407" s="89">
        <v>0</v>
      </c>
      <c r="IE407" s="817">
        <v>0</v>
      </c>
      <c r="IF407" s="841">
        <f t="shared" ref="IF407:IF409" si="10891">SUM(II407,IL407,IO407,IR407,IU407,IX407,JA407,JD407,JG407,JJ407,JM407,JP407)</f>
        <v>59256.65</v>
      </c>
      <c r="IG407" s="263">
        <f t="shared" ref="IG407:IG409" si="10892">SUM(IJ407,IM407,IP407,IS407,IV407,IY407,JB407,JE407,JH407,JK407,JN407,JQ407)</f>
        <v>59256.65</v>
      </c>
      <c r="IH407" s="842">
        <f t="shared" ref="IH407:IH409" si="10893">SUM(IK407,IN407,IQ407,IT407,IW407,IZ407,JC407,JF407,JI407,JL407,JO407,JR407)</f>
        <v>59256.65</v>
      </c>
      <c r="II407" s="89">
        <v>2977.37</v>
      </c>
      <c r="IJ407" s="89">
        <f t="shared" ref="IJ407:IJ409" si="10894">II407</f>
        <v>2977.37</v>
      </c>
      <c r="IK407" s="89">
        <f t="shared" ref="IK407:IK409" si="10895">IJ407</f>
        <v>2977.37</v>
      </c>
      <c r="IL407" s="89">
        <f>8354.6-2977.37</f>
        <v>5377.2300000000005</v>
      </c>
      <c r="IM407" s="89">
        <f t="shared" ref="IM407:IM409" si="10896">IL407</f>
        <v>5377.2300000000005</v>
      </c>
      <c r="IN407" s="89">
        <f t="shared" ref="IN407:IN409" si="10897">IM407</f>
        <v>5377.2300000000005</v>
      </c>
      <c r="IO407" s="89">
        <f>12836.44-8354.6</f>
        <v>4481.84</v>
      </c>
      <c r="IP407" s="89">
        <f t="shared" ref="IP407:IP409" si="10898">IO407</f>
        <v>4481.84</v>
      </c>
      <c r="IQ407" s="89">
        <f t="shared" ref="IQ407:IQ409" si="10899">IP407</f>
        <v>4481.84</v>
      </c>
      <c r="IR407" s="89">
        <f>16394.89-12836.44</f>
        <v>3558.4499999999989</v>
      </c>
      <c r="IS407" s="89">
        <f t="shared" ref="IS407:IS409" si="10900">IR407</f>
        <v>3558.4499999999989</v>
      </c>
      <c r="IT407" s="89">
        <f t="shared" ref="IT407:IT409" si="10901">IS407</f>
        <v>3558.4499999999989</v>
      </c>
      <c r="IU407" s="89">
        <f>21576.79-16394.89</f>
        <v>5181.9000000000015</v>
      </c>
      <c r="IV407" s="89">
        <f t="shared" ref="IV407:IV409" si="10902">IU407</f>
        <v>5181.9000000000015</v>
      </c>
      <c r="IW407" s="89">
        <f t="shared" ref="IW407:IW409" si="10903">IV407</f>
        <v>5181.9000000000015</v>
      </c>
      <c r="IX407" s="89">
        <f>26684.02-21576.79</f>
        <v>5107.2299999999996</v>
      </c>
      <c r="IY407" s="89">
        <f t="shared" ref="IY407:IY409" si="10904">IX407</f>
        <v>5107.2299999999996</v>
      </c>
      <c r="IZ407" s="89">
        <f t="shared" ref="IZ407:IZ409" si="10905">IY407</f>
        <v>5107.2299999999996</v>
      </c>
      <c r="JA407" s="89">
        <f>30851.16-26684.02</f>
        <v>4167.1399999999994</v>
      </c>
      <c r="JB407" s="89">
        <f t="shared" ref="JB407:JB409" si="10906">JA407</f>
        <v>4167.1399999999994</v>
      </c>
      <c r="JC407" s="89">
        <f t="shared" ref="JC407:JC409" si="10907">JB407</f>
        <v>4167.1399999999994</v>
      </c>
      <c r="JD407" s="89">
        <f>40645.14-30851.16</f>
        <v>9793.98</v>
      </c>
      <c r="JE407" s="89">
        <f t="shared" ref="JE407:JE409" si="10908">JD407</f>
        <v>9793.98</v>
      </c>
      <c r="JF407" s="89">
        <f t="shared" ref="JF407:JF409" si="10909">JE407</f>
        <v>9793.98</v>
      </c>
      <c r="JG407" s="89">
        <f>46217.53-40645.14</f>
        <v>5572.3899999999994</v>
      </c>
      <c r="JH407" s="89">
        <f t="shared" ref="JH407:JH409" si="10910">JG407</f>
        <v>5572.3899999999994</v>
      </c>
      <c r="JI407" s="89">
        <f t="shared" ref="JI407:JI409" si="10911">JH407</f>
        <v>5572.3899999999994</v>
      </c>
      <c r="JJ407" s="89">
        <f>59256.65-46217.53</f>
        <v>13039.120000000003</v>
      </c>
      <c r="JK407" s="89">
        <f t="shared" ref="JK407:JK409" si="10912">JJ407</f>
        <v>13039.120000000003</v>
      </c>
      <c r="JL407" s="89">
        <f t="shared" ref="JL407:JL409" si="10913">JK407</f>
        <v>13039.120000000003</v>
      </c>
      <c r="JM407" s="89">
        <v>0</v>
      </c>
      <c r="JN407" s="89">
        <f t="shared" ref="JN407:JN409" si="10914">JM407</f>
        <v>0</v>
      </c>
      <c r="JO407" s="89">
        <f t="shared" ref="JO407:JO409" si="10915">JN407</f>
        <v>0</v>
      </c>
      <c r="JP407" s="89">
        <v>0</v>
      </c>
      <c r="JQ407" s="89">
        <f t="shared" ref="JQ407:JR407" si="10916">JP407</f>
        <v>0</v>
      </c>
      <c r="JR407" s="89">
        <f t="shared" si="10916"/>
        <v>0</v>
      </c>
      <c r="JS407" s="74">
        <f>HG407-IF407</f>
        <v>8743.3499999999985</v>
      </c>
      <c r="JT407" s="382">
        <f>GS407-IF407</f>
        <v>8743.3499999999985</v>
      </c>
      <c r="JU407" s="665"/>
      <c r="JV407" s="524"/>
      <c r="JW407" s="525"/>
      <c r="JX407" s="549">
        <f>SUM(HH407,HJ407,HL407,HN407,HP407,HR407,HT407,HV407,HX407,HZ407,IB407,ID407)</f>
        <v>68000</v>
      </c>
      <c r="JY407" s="549">
        <f t="shared" ref="JX407:JY409" si="10917">SUM(HI407,HK407,HM407,HO407,HQ407,HS407,HU407,HW407,HY407,IA407,IC407,IE407)</f>
        <v>0</v>
      </c>
      <c r="JZ407" s="581">
        <f t="shared" si="10300"/>
        <v>0</v>
      </c>
      <c r="KA407" s="581">
        <f t="shared" si="10301"/>
        <v>0</v>
      </c>
      <c r="KB407" s="549">
        <f t="shared" si="10257"/>
        <v>68000</v>
      </c>
      <c r="KC407" s="709">
        <f>HG407-KB407</f>
        <v>0</v>
      </c>
      <c r="KD407" s="36"/>
      <c r="KE407" s="36"/>
      <c r="KF407" s="36"/>
      <c r="KG407" s="36"/>
      <c r="KH407" s="36"/>
      <c r="KI407" s="36"/>
      <c r="KJ407" s="36"/>
      <c r="KK407" s="36"/>
    </row>
    <row r="408" spans="1:297" s="10" customFormat="1">
      <c r="A408" s="86" t="s">
        <v>487</v>
      </c>
      <c r="B408" s="77"/>
      <c r="C408" s="74">
        <v>35500</v>
      </c>
      <c r="D408" s="549">
        <v>0</v>
      </c>
      <c r="E408" s="675">
        <v>0</v>
      </c>
      <c r="F408" s="549">
        <v>0</v>
      </c>
      <c r="G408" s="675">
        <v>0</v>
      </c>
      <c r="H408" s="549">
        <v>0</v>
      </c>
      <c r="I408" s="675">
        <v>0</v>
      </c>
      <c r="J408" s="549">
        <v>0</v>
      </c>
      <c r="K408" s="675">
        <v>0</v>
      </c>
      <c r="L408" s="549">
        <v>0</v>
      </c>
      <c r="M408" s="675">
        <v>0</v>
      </c>
      <c r="N408" s="549">
        <v>0</v>
      </c>
      <c r="O408" s="675">
        <v>0</v>
      </c>
      <c r="P408" s="549">
        <v>0</v>
      </c>
      <c r="Q408" s="675">
        <v>0</v>
      </c>
      <c r="R408" s="549">
        <v>0</v>
      </c>
      <c r="S408" s="675">
        <v>0</v>
      </c>
      <c r="T408" s="549">
        <v>0</v>
      </c>
      <c r="U408" s="675">
        <v>0</v>
      </c>
      <c r="V408" s="549">
        <v>0</v>
      </c>
      <c r="W408" s="675">
        <v>0</v>
      </c>
      <c r="X408" s="549">
        <v>10000</v>
      </c>
      <c r="Y408" s="675">
        <v>0</v>
      </c>
      <c r="Z408" s="549">
        <v>0</v>
      </c>
      <c r="AA408" s="675">
        <v>0</v>
      </c>
      <c r="AB408" s="549">
        <v>0</v>
      </c>
      <c r="AC408" s="675">
        <v>0</v>
      </c>
      <c r="AD408" s="549">
        <v>0</v>
      </c>
      <c r="AE408" s="675">
        <v>0</v>
      </c>
      <c r="AF408" s="549">
        <v>0</v>
      </c>
      <c r="AG408" s="675">
        <v>0</v>
      </c>
      <c r="AH408" s="549">
        <v>0</v>
      </c>
      <c r="AI408" s="675">
        <v>0</v>
      </c>
      <c r="AJ408" s="549">
        <v>0</v>
      </c>
      <c r="AK408" s="675">
        <v>0</v>
      </c>
      <c r="AL408" s="549">
        <v>0</v>
      </c>
      <c r="AM408" s="675">
        <v>0</v>
      </c>
      <c r="AN408" s="549">
        <v>0</v>
      </c>
      <c r="AO408" s="675">
        <v>0</v>
      </c>
      <c r="AP408" s="549">
        <v>0</v>
      </c>
      <c r="AQ408" s="675">
        <v>0</v>
      </c>
      <c r="AR408" s="549">
        <v>0</v>
      </c>
      <c r="AS408" s="675">
        <v>0</v>
      </c>
      <c r="AT408" s="549">
        <v>0</v>
      </c>
      <c r="AU408" s="675">
        <v>0</v>
      </c>
      <c r="AV408" s="549">
        <v>0</v>
      </c>
      <c r="AW408" s="675">
        <v>0</v>
      </c>
      <c r="AX408" s="549">
        <v>0</v>
      </c>
      <c r="AY408" s="675">
        <v>0</v>
      </c>
      <c r="AZ408" s="549">
        <v>0</v>
      </c>
      <c r="BA408" s="675">
        <v>0</v>
      </c>
      <c r="BB408" s="549">
        <v>0</v>
      </c>
      <c r="BC408" s="675">
        <v>0</v>
      </c>
      <c r="BD408" s="549">
        <v>0</v>
      </c>
      <c r="BE408" s="675">
        <v>0</v>
      </c>
      <c r="BF408" s="549">
        <v>0</v>
      </c>
      <c r="BG408" s="675">
        <v>0</v>
      </c>
      <c r="BH408" s="549">
        <v>0</v>
      </c>
      <c r="BI408" s="675">
        <v>0</v>
      </c>
      <c r="BJ408" s="549">
        <v>0</v>
      </c>
      <c r="BK408" s="675">
        <v>0</v>
      </c>
      <c r="BL408" s="549">
        <v>0</v>
      </c>
      <c r="BM408" s="675">
        <v>0</v>
      </c>
      <c r="BN408" s="549">
        <v>0</v>
      </c>
      <c r="BO408" s="675">
        <v>0</v>
      </c>
      <c r="BP408" s="549">
        <v>10000</v>
      </c>
      <c r="BQ408" s="675">
        <v>0</v>
      </c>
      <c r="BR408" s="549">
        <v>0</v>
      </c>
      <c r="BS408" s="675">
        <v>0</v>
      </c>
      <c r="BT408" s="549">
        <v>0</v>
      </c>
      <c r="BU408" s="675">
        <v>0</v>
      </c>
      <c r="BV408" s="549">
        <v>0</v>
      </c>
      <c r="BW408" s="675">
        <v>0</v>
      </c>
      <c r="BX408" s="549">
        <v>0</v>
      </c>
      <c r="BY408" s="675">
        <v>0</v>
      </c>
      <c r="BZ408" s="549">
        <v>0</v>
      </c>
      <c r="CA408" s="675">
        <v>0</v>
      </c>
      <c r="CB408" s="549">
        <v>0</v>
      </c>
      <c r="CC408" s="675">
        <v>0</v>
      </c>
      <c r="CD408" s="549">
        <v>0</v>
      </c>
      <c r="CE408" s="675">
        <v>0</v>
      </c>
      <c r="CF408" s="549">
        <v>0</v>
      </c>
      <c r="CG408" s="675">
        <v>0</v>
      </c>
      <c r="CH408" s="549">
        <v>0</v>
      </c>
      <c r="CI408" s="675">
        <v>0</v>
      </c>
      <c r="CJ408" s="549">
        <v>0</v>
      </c>
      <c r="CK408" s="675">
        <v>0</v>
      </c>
      <c r="CL408" s="549">
        <v>0</v>
      </c>
      <c r="CM408" s="675">
        <v>0</v>
      </c>
      <c r="CN408" s="549">
        <v>0</v>
      </c>
      <c r="CO408" s="675">
        <v>0</v>
      </c>
      <c r="CP408" s="549">
        <v>0</v>
      </c>
      <c r="CQ408" s="675">
        <v>0</v>
      </c>
      <c r="CR408" s="549">
        <v>0</v>
      </c>
      <c r="CS408" s="675">
        <v>0</v>
      </c>
      <c r="CT408" s="549">
        <v>0</v>
      </c>
      <c r="CU408" s="675">
        <v>0</v>
      </c>
      <c r="CV408" s="549">
        <v>0</v>
      </c>
      <c r="CW408" s="675">
        <v>0</v>
      </c>
      <c r="CX408" s="549">
        <v>0</v>
      </c>
      <c r="CY408" s="675">
        <v>0</v>
      </c>
      <c r="CZ408" s="549">
        <v>0</v>
      </c>
      <c r="DA408" s="675">
        <v>0</v>
      </c>
      <c r="DB408" s="549">
        <v>0</v>
      </c>
      <c r="DC408" s="675">
        <v>0</v>
      </c>
      <c r="DD408" s="549">
        <v>0</v>
      </c>
      <c r="DE408" s="675">
        <v>0</v>
      </c>
      <c r="DF408" s="549">
        <v>0</v>
      </c>
      <c r="DG408" s="675">
        <v>0</v>
      </c>
      <c r="DH408" s="549">
        <v>0</v>
      </c>
      <c r="DI408" s="675">
        <v>0</v>
      </c>
      <c r="DJ408" s="549">
        <v>5000</v>
      </c>
      <c r="DK408" s="675">
        <v>0</v>
      </c>
      <c r="DL408" s="549">
        <v>0</v>
      </c>
      <c r="DM408" s="675">
        <v>0</v>
      </c>
      <c r="DN408" s="549">
        <v>0</v>
      </c>
      <c r="DO408" s="675">
        <v>0</v>
      </c>
      <c r="DP408" s="549">
        <v>0</v>
      </c>
      <c r="DQ408" s="675">
        <v>0</v>
      </c>
      <c r="DR408" s="549">
        <v>0</v>
      </c>
      <c r="DS408" s="675">
        <v>0</v>
      </c>
      <c r="DT408" s="549">
        <v>0</v>
      </c>
      <c r="DU408" s="675">
        <v>0</v>
      </c>
      <c r="DV408" s="549">
        <v>0</v>
      </c>
      <c r="DW408" s="675">
        <v>0</v>
      </c>
      <c r="DX408" s="549">
        <v>0</v>
      </c>
      <c r="DY408" s="675">
        <v>0</v>
      </c>
      <c r="DZ408" s="549">
        <v>0</v>
      </c>
      <c r="EA408" s="675">
        <v>0</v>
      </c>
      <c r="EB408" s="549">
        <v>0</v>
      </c>
      <c r="EC408" s="675">
        <v>0</v>
      </c>
      <c r="ED408" s="549">
        <v>0</v>
      </c>
      <c r="EE408" s="675">
        <v>0</v>
      </c>
      <c r="EF408" s="549">
        <v>0</v>
      </c>
      <c r="EG408" s="675">
        <v>0</v>
      </c>
      <c r="EH408" s="549">
        <v>0</v>
      </c>
      <c r="EI408" s="675">
        <v>0</v>
      </c>
      <c r="EJ408" s="549">
        <v>0</v>
      </c>
      <c r="EK408" s="675">
        <v>0</v>
      </c>
      <c r="EL408" s="549">
        <v>0</v>
      </c>
      <c r="EM408" s="675">
        <v>0</v>
      </c>
      <c r="EN408" s="549">
        <v>0</v>
      </c>
      <c r="EO408" s="675">
        <v>0</v>
      </c>
      <c r="EP408" s="549">
        <v>0</v>
      </c>
      <c r="EQ408" s="675">
        <v>0</v>
      </c>
      <c r="ER408" s="549">
        <v>0</v>
      </c>
      <c r="ES408" s="675">
        <v>0</v>
      </c>
      <c r="ET408" s="549">
        <v>0</v>
      </c>
      <c r="EU408" s="675">
        <v>0</v>
      </c>
      <c r="EV408" s="549">
        <v>0</v>
      </c>
      <c r="EW408" s="675">
        <v>0</v>
      </c>
      <c r="EX408" s="549">
        <v>0</v>
      </c>
      <c r="EY408" s="675">
        <v>0</v>
      </c>
      <c r="EZ408" s="549">
        <v>0</v>
      </c>
      <c r="FA408" s="675">
        <v>0</v>
      </c>
      <c r="FB408" s="549">
        <v>0</v>
      </c>
      <c r="FC408" s="675">
        <v>0</v>
      </c>
      <c r="FD408" s="549">
        <v>0</v>
      </c>
      <c r="FE408" s="675">
        <v>0</v>
      </c>
      <c r="FF408" s="549">
        <v>0</v>
      </c>
      <c r="FG408" s="675">
        <v>0</v>
      </c>
      <c r="FH408" s="549">
        <v>0</v>
      </c>
      <c r="FI408" s="675">
        <v>0</v>
      </c>
      <c r="FJ408" s="549">
        <v>0</v>
      </c>
      <c r="FK408" s="675">
        <v>0</v>
      </c>
      <c r="FL408" s="549">
        <v>0</v>
      </c>
      <c r="FM408" s="675">
        <v>0</v>
      </c>
      <c r="FN408" s="549">
        <v>0</v>
      </c>
      <c r="FO408" s="675">
        <v>0</v>
      </c>
      <c r="FP408" s="549">
        <v>0</v>
      </c>
      <c r="FQ408" s="675">
        <v>0</v>
      </c>
      <c r="FR408" s="549">
        <v>0</v>
      </c>
      <c r="FS408" s="675">
        <v>0</v>
      </c>
      <c r="FT408" s="549">
        <v>0</v>
      </c>
      <c r="FU408" s="675">
        <v>0</v>
      </c>
      <c r="FV408" s="549">
        <v>0</v>
      </c>
      <c r="FW408" s="675">
        <v>0</v>
      </c>
      <c r="FX408" s="549">
        <v>0</v>
      </c>
      <c r="FY408" s="675">
        <v>0</v>
      </c>
      <c r="FZ408" s="549">
        <v>0</v>
      </c>
      <c r="GA408" s="675">
        <v>0</v>
      </c>
      <c r="GB408" s="549">
        <v>0</v>
      </c>
      <c r="GC408" s="675">
        <v>0</v>
      </c>
      <c r="GD408" s="549">
        <v>0</v>
      </c>
      <c r="GE408" s="675">
        <v>0</v>
      </c>
      <c r="GF408" s="549">
        <v>0</v>
      </c>
      <c r="GG408" s="675">
        <v>0</v>
      </c>
      <c r="GH408" s="549">
        <v>0</v>
      </c>
      <c r="GI408" s="675">
        <v>0</v>
      </c>
      <c r="GJ408" s="549">
        <v>0</v>
      </c>
      <c r="GK408" s="675">
        <v>0</v>
      </c>
      <c r="GL408" s="549">
        <v>0</v>
      </c>
      <c r="GM408" s="675">
        <v>0</v>
      </c>
      <c r="GN408" s="549">
        <v>0</v>
      </c>
      <c r="GO408" s="675">
        <v>0</v>
      </c>
      <c r="GP408" s="549">
        <f t="shared" si="10887"/>
        <v>25000</v>
      </c>
      <c r="GQ408" s="675">
        <f t="shared" si="10888"/>
        <v>0</v>
      </c>
      <c r="GR408" s="74">
        <f>C408+GP408+GQ408</f>
        <v>60500</v>
      </c>
      <c r="GS408" s="74">
        <f t="shared" si="10889"/>
        <v>60500</v>
      </c>
      <c r="GT408" s="568">
        <f t="shared" si="10890"/>
        <v>60500</v>
      </c>
      <c r="GU408" s="275">
        <v>8875</v>
      </c>
      <c r="GV408" s="275"/>
      <c r="GW408" s="275"/>
      <c r="GX408" s="275">
        <v>8875</v>
      </c>
      <c r="GY408" s="275"/>
      <c r="GZ408" s="275"/>
      <c r="HA408" s="275">
        <v>8875</v>
      </c>
      <c r="HB408" s="275"/>
      <c r="HC408" s="275">
        <v>8875</v>
      </c>
      <c r="HD408" s="275"/>
      <c r="HE408" s="275"/>
      <c r="HF408" s="275"/>
      <c r="HG408" s="74">
        <f>SUM(HH408:IE408)</f>
        <v>60500</v>
      </c>
      <c r="HH408" s="89">
        <v>8875</v>
      </c>
      <c r="HI408" s="817">
        <v>0</v>
      </c>
      <c r="HJ408" s="89">
        <v>0</v>
      </c>
      <c r="HK408" s="817">
        <v>0</v>
      </c>
      <c r="HL408" s="89">
        <v>10000</v>
      </c>
      <c r="HM408" s="817">
        <v>0</v>
      </c>
      <c r="HN408" s="89">
        <v>8875</v>
      </c>
      <c r="HO408" s="817">
        <v>0</v>
      </c>
      <c r="HP408" s="89">
        <v>10000</v>
      </c>
      <c r="HQ408" s="817">
        <v>0</v>
      </c>
      <c r="HR408" s="89">
        <v>0</v>
      </c>
      <c r="HS408" s="817">
        <v>0</v>
      </c>
      <c r="HT408" s="837">
        <v>301.27999999999997</v>
      </c>
      <c r="HU408" s="817">
        <v>0</v>
      </c>
      <c r="HV408" s="89">
        <v>13573.72</v>
      </c>
      <c r="HW408" s="817">
        <v>0</v>
      </c>
      <c r="HX408" s="89">
        <v>8875</v>
      </c>
      <c r="HY408" s="817">
        <v>0</v>
      </c>
      <c r="HZ408" s="89">
        <v>0</v>
      </c>
      <c r="IA408" s="817">
        <v>0</v>
      </c>
      <c r="IB408" s="89">
        <v>0</v>
      </c>
      <c r="IC408" s="817">
        <v>0</v>
      </c>
      <c r="ID408" s="89">
        <v>0</v>
      </c>
      <c r="IE408" s="817">
        <v>0</v>
      </c>
      <c r="IF408" s="841">
        <f t="shared" si="10891"/>
        <v>51034.5</v>
      </c>
      <c r="IG408" s="263">
        <f t="shared" si="10892"/>
        <v>51034.5</v>
      </c>
      <c r="IH408" s="842">
        <f t="shared" si="10893"/>
        <v>51034.5</v>
      </c>
      <c r="II408" s="89">
        <v>0</v>
      </c>
      <c r="IJ408" s="89">
        <f t="shared" si="10894"/>
        <v>0</v>
      </c>
      <c r="IK408" s="89">
        <f t="shared" si="10895"/>
        <v>0</v>
      </c>
      <c r="IL408" s="89">
        <v>4698.96</v>
      </c>
      <c r="IM408" s="89">
        <f t="shared" si="10896"/>
        <v>4698.96</v>
      </c>
      <c r="IN408" s="89">
        <f t="shared" si="10897"/>
        <v>4698.96</v>
      </c>
      <c r="IO408" s="89">
        <f>15467.23-4698.96</f>
        <v>10768.27</v>
      </c>
      <c r="IP408" s="89">
        <f t="shared" si="10898"/>
        <v>10768.27</v>
      </c>
      <c r="IQ408" s="89">
        <f t="shared" si="10899"/>
        <v>10768.27</v>
      </c>
      <c r="IR408" s="89">
        <f>19178.96-15467.23</f>
        <v>3711.7299999999996</v>
      </c>
      <c r="IS408" s="89">
        <f t="shared" si="10900"/>
        <v>3711.7299999999996</v>
      </c>
      <c r="IT408" s="89">
        <f t="shared" si="10901"/>
        <v>3711.7299999999996</v>
      </c>
      <c r="IU408" s="89">
        <f>27412.28-19178.96</f>
        <v>8233.32</v>
      </c>
      <c r="IV408" s="89">
        <f t="shared" si="10902"/>
        <v>8233.32</v>
      </c>
      <c r="IW408" s="89">
        <f t="shared" si="10903"/>
        <v>8233.32</v>
      </c>
      <c r="IX408" s="89">
        <f>33868.98-27412.28</f>
        <v>6456.7000000000044</v>
      </c>
      <c r="IY408" s="89">
        <f t="shared" si="10904"/>
        <v>6456.7000000000044</v>
      </c>
      <c r="IZ408" s="89">
        <f t="shared" si="10905"/>
        <v>6456.7000000000044</v>
      </c>
      <c r="JA408" s="89">
        <f>38051.28-33868.98</f>
        <v>4182.2999999999956</v>
      </c>
      <c r="JB408" s="89">
        <f t="shared" si="10906"/>
        <v>4182.2999999999956</v>
      </c>
      <c r="JC408" s="89">
        <f t="shared" si="10907"/>
        <v>4182.2999999999956</v>
      </c>
      <c r="JD408" s="89">
        <f>42474.65-38051.28</f>
        <v>4423.3700000000026</v>
      </c>
      <c r="JE408" s="89">
        <f t="shared" si="10908"/>
        <v>4423.3700000000026</v>
      </c>
      <c r="JF408" s="89">
        <f t="shared" si="10909"/>
        <v>4423.3700000000026</v>
      </c>
      <c r="JG408" s="89">
        <f>46639.1-42474.65</f>
        <v>4164.4499999999971</v>
      </c>
      <c r="JH408" s="89">
        <f t="shared" si="10910"/>
        <v>4164.4499999999971</v>
      </c>
      <c r="JI408" s="89">
        <f t="shared" si="10911"/>
        <v>4164.4499999999971</v>
      </c>
      <c r="JJ408" s="89">
        <f>51034.5-46639.1</f>
        <v>4395.4000000000015</v>
      </c>
      <c r="JK408" s="89">
        <f t="shared" si="10912"/>
        <v>4395.4000000000015</v>
      </c>
      <c r="JL408" s="89">
        <f t="shared" si="10913"/>
        <v>4395.4000000000015</v>
      </c>
      <c r="JM408" s="89">
        <v>0</v>
      </c>
      <c r="JN408" s="89">
        <f t="shared" si="10914"/>
        <v>0</v>
      </c>
      <c r="JO408" s="89">
        <f t="shared" si="10915"/>
        <v>0</v>
      </c>
      <c r="JP408" s="89">
        <v>0</v>
      </c>
      <c r="JQ408" s="89">
        <f t="shared" ref="JQ408:JR408" si="10918">JP408</f>
        <v>0</v>
      </c>
      <c r="JR408" s="89">
        <f t="shared" si="10918"/>
        <v>0</v>
      </c>
      <c r="JS408" s="263">
        <f>HG408-IF408</f>
        <v>9465.5</v>
      </c>
      <c r="JT408" s="382">
        <f>GS408-IF408</f>
        <v>9465.5</v>
      </c>
      <c r="JU408" s="665"/>
      <c r="JV408" s="524"/>
      <c r="JW408" s="525"/>
      <c r="JX408" s="549">
        <f t="shared" si="10917"/>
        <v>60500</v>
      </c>
      <c r="JY408" s="549">
        <f t="shared" si="10917"/>
        <v>0</v>
      </c>
      <c r="JZ408" s="581">
        <f t="shared" si="10300"/>
        <v>25000</v>
      </c>
      <c r="KA408" s="581">
        <f t="shared" si="10301"/>
        <v>0</v>
      </c>
      <c r="KB408" s="549">
        <f t="shared" si="10257"/>
        <v>60500</v>
      </c>
      <c r="KC408" s="709">
        <f t="shared" si="10273"/>
        <v>0</v>
      </c>
      <c r="KD408" s="36"/>
      <c r="KE408" s="36"/>
      <c r="KF408" s="36"/>
      <c r="KG408" s="36"/>
      <c r="KH408" s="36"/>
      <c r="KI408" s="36"/>
      <c r="KJ408" s="36"/>
      <c r="KK408" s="36"/>
    </row>
    <row r="409" spans="1:297" s="10" customFormat="1">
      <c r="A409" s="86" t="s">
        <v>729</v>
      </c>
      <c r="B409" s="77"/>
      <c r="C409" s="74">
        <v>26500</v>
      </c>
      <c r="D409" s="549">
        <v>0</v>
      </c>
      <c r="E409" s="675">
        <v>0</v>
      </c>
      <c r="F409" s="549">
        <v>0</v>
      </c>
      <c r="G409" s="675">
        <v>0</v>
      </c>
      <c r="H409" s="549">
        <v>0</v>
      </c>
      <c r="I409" s="675">
        <v>0</v>
      </c>
      <c r="J409" s="549">
        <v>0</v>
      </c>
      <c r="K409" s="675">
        <v>0</v>
      </c>
      <c r="L409" s="549">
        <v>0</v>
      </c>
      <c r="M409" s="675">
        <v>0</v>
      </c>
      <c r="N409" s="549">
        <v>0</v>
      </c>
      <c r="O409" s="675">
        <v>0</v>
      </c>
      <c r="P409" s="549">
        <v>0</v>
      </c>
      <c r="Q409" s="675">
        <v>0</v>
      </c>
      <c r="R409" s="549">
        <v>0</v>
      </c>
      <c r="S409" s="675">
        <v>0</v>
      </c>
      <c r="T409" s="549">
        <v>0</v>
      </c>
      <c r="U409" s="675">
        <v>0</v>
      </c>
      <c r="V409" s="549">
        <v>0</v>
      </c>
      <c r="W409" s="675">
        <v>0</v>
      </c>
      <c r="X409" s="549">
        <v>0</v>
      </c>
      <c r="Y409" s="675">
        <v>0</v>
      </c>
      <c r="Z409" s="549">
        <v>0</v>
      </c>
      <c r="AA409" s="675">
        <v>0</v>
      </c>
      <c r="AB409" s="549">
        <v>0</v>
      </c>
      <c r="AC409" s="675">
        <v>0</v>
      </c>
      <c r="AD409" s="549">
        <v>0</v>
      </c>
      <c r="AE409" s="675">
        <v>0</v>
      </c>
      <c r="AF409" s="549">
        <v>0</v>
      </c>
      <c r="AG409" s="675">
        <v>0</v>
      </c>
      <c r="AH409" s="549">
        <v>0</v>
      </c>
      <c r="AI409" s="675">
        <v>0</v>
      </c>
      <c r="AJ409" s="549">
        <v>0</v>
      </c>
      <c r="AK409" s="675">
        <v>0</v>
      </c>
      <c r="AL409" s="549">
        <v>0</v>
      </c>
      <c r="AM409" s="675">
        <v>0</v>
      </c>
      <c r="AN409" s="549">
        <v>0</v>
      </c>
      <c r="AO409" s="675">
        <v>0</v>
      </c>
      <c r="AP409" s="549">
        <v>0</v>
      </c>
      <c r="AQ409" s="675">
        <v>0</v>
      </c>
      <c r="AR409" s="549">
        <v>0</v>
      </c>
      <c r="AS409" s="675">
        <v>0</v>
      </c>
      <c r="AT409" s="549">
        <v>0</v>
      </c>
      <c r="AU409" s="675">
        <v>0</v>
      </c>
      <c r="AV409" s="549">
        <v>0</v>
      </c>
      <c r="AW409" s="675">
        <v>0</v>
      </c>
      <c r="AX409" s="549">
        <v>0</v>
      </c>
      <c r="AY409" s="675">
        <v>0</v>
      </c>
      <c r="AZ409" s="549">
        <v>0</v>
      </c>
      <c r="BA409" s="675">
        <v>0</v>
      </c>
      <c r="BB409" s="549">
        <v>0</v>
      </c>
      <c r="BC409" s="675">
        <v>0</v>
      </c>
      <c r="BD409" s="549">
        <v>0</v>
      </c>
      <c r="BE409" s="675">
        <v>0</v>
      </c>
      <c r="BF409" s="549">
        <v>0</v>
      </c>
      <c r="BG409" s="675">
        <v>0</v>
      </c>
      <c r="BH409" s="549">
        <v>0</v>
      </c>
      <c r="BI409" s="675">
        <v>0</v>
      </c>
      <c r="BJ409" s="549">
        <v>0</v>
      </c>
      <c r="BK409" s="675">
        <v>0</v>
      </c>
      <c r="BL409" s="549">
        <v>0</v>
      </c>
      <c r="BM409" s="675">
        <v>0</v>
      </c>
      <c r="BN409" s="549">
        <v>5000</v>
      </c>
      <c r="BO409" s="675">
        <v>0</v>
      </c>
      <c r="BP409" s="549">
        <v>0</v>
      </c>
      <c r="BQ409" s="675">
        <v>0</v>
      </c>
      <c r="BR409" s="549">
        <v>0</v>
      </c>
      <c r="BS409" s="675">
        <v>0</v>
      </c>
      <c r="BT409" s="549">
        <v>0</v>
      </c>
      <c r="BU409" s="675">
        <v>0</v>
      </c>
      <c r="BV409" s="549">
        <v>0</v>
      </c>
      <c r="BW409" s="675">
        <v>0</v>
      </c>
      <c r="BX409" s="549">
        <v>0</v>
      </c>
      <c r="BY409" s="675">
        <v>0</v>
      </c>
      <c r="BZ409" s="549">
        <v>0</v>
      </c>
      <c r="CA409" s="675">
        <v>0</v>
      </c>
      <c r="CB409" s="549">
        <v>0</v>
      </c>
      <c r="CC409" s="675">
        <v>0</v>
      </c>
      <c r="CD409" s="549">
        <v>0</v>
      </c>
      <c r="CE409" s="675">
        <v>0</v>
      </c>
      <c r="CF409" s="549">
        <v>0</v>
      </c>
      <c r="CG409" s="675">
        <v>0</v>
      </c>
      <c r="CH409" s="549">
        <v>5000</v>
      </c>
      <c r="CI409" s="675">
        <v>0</v>
      </c>
      <c r="CJ409" s="549">
        <v>0</v>
      </c>
      <c r="CK409" s="675">
        <v>0</v>
      </c>
      <c r="CL409" s="549">
        <v>0</v>
      </c>
      <c r="CM409" s="675">
        <v>0</v>
      </c>
      <c r="CN409" s="549">
        <v>0</v>
      </c>
      <c r="CO409" s="675">
        <v>0</v>
      </c>
      <c r="CP409" s="549">
        <v>0</v>
      </c>
      <c r="CQ409" s="675">
        <v>0</v>
      </c>
      <c r="CR409" s="549">
        <v>0</v>
      </c>
      <c r="CS409" s="675">
        <v>0</v>
      </c>
      <c r="CT409" s="549">
        <v>0</v>
      </c>
      <c r="CU409" s="675">
        <v>0</v>
      </c>
      <c r="CV409" s="549">
        <v>0</v>
      </c>
      <c r="CW409" s="675">
        <v>0</v>
      </c>
      <c r="CX409" s="549">
        <v>0</v>
      </c>
      <c r="CY409" s="675">
        <v>0</v>
      </c>
      <c r="CZ409" s="549">
        <v>5000</v>
      </c>
      <c r="DA409" s="675">
        <v>0</v>
      </c>
      <c r="DB409" s="549">
        <v>0</v>
      </c>
      <c r="DC409" s="675">
        <v>0</v>
      </c>
      <c r="DD409" s="549">
        <v>0</v>
      </c>
      <c r="DE409" s="675">
        <v>0</v>
      </c>
      <c r="DF409" s="549">
        <v>0</v>
      </c>
      <c r="DG409" s="675">
        <v>0</v>
      </c>
      <c r="DH409" s="549">
        <v>8000</v>
      </c>
      <c r="DI409" s="675">
        <v>0</v>
      </c>
      <c r="DJ409" s="549">
        <v>0</v>
      </c>
      <c r="DK409" s="675">
        <v>0</v>
      </c>
      <c r="DL409" s="549">
        <v>0</v>
      </c>
      <c r="DM409" s="675">
        <v>0</v>
      </c>
      <c r="DN409" s="549">
        <v>0</v>
      </c>
      <c r="DO409" s="675">
        <v>0</v>
      </c>
      <c r="DP409" s="549">
        <v>0</v>
      </c>
      <c r="DQ409" s="675">
        <v>0</v>
      </c>
      <c r="DR409" s="549">
        <v>0</v>
      </c>
      <c r="DS409" s="675">
        <v>0</v>
      </c>
      <c r="DT409" s="549">
        <v>0</v>
      </c>
      <c r="DU409" s="675">
        <v>0</v>
      </c>
      <c r="DV409" s="549">
        <v>0</v>
      </c>
      <c r="DW409" s="675">
        <v>0</v>
      </c>
      <c r="DX409" s="549">
        <v>0</v>
      </c>
      <c r="DY409" s="675">
        <v>0</v>
      </c>
      <c r="DZ409" s="549">
        <v>0</v>
      </c>
      <c r="EA409" s="675">
        <v>0</v>
      </c>
      <c r="EB409" s="549">
        <v>0</v>
      </c>
      <c r="EC409" s="675">
        <v>0</v>
      </c>
      <c r="ED409" s="549">
        <v>0</v>
      </c>
      <c r="EE409" s="675">
        <v>0</v>
      </c>
      <c r="EF409" s="549">
        <v>0</v>
      </c>
      <c r="EG409" s="675">
        <v>0</v>
      </c>
      <c r="EH409" s="549">
        <v>0</v>
      </c>
      <c r="EI409" s="675">
        <v>0</v>
      </c>
      <c r="EJ409" s="549">
        <v>0</v>
      </c>
      <c r="EK409" s="675">
        <v>0</v>
      </c>
      <c r="EL409" s="549">
        <v>0</v>
      </c>
      <c r="EM409" s="675">
        <v>0</v>
      </c>
      <c r="EN409" s="549">
        <v>0</v>
      </c>
      <c r="EO409" s="675">
        <v>0</v>
      </c>
      <c r="EP409" s="549">
        <v>0</v>
      </c>
      <c r="EQ409" s="675">
        <v>0</v>
      </c>
      <c r="ER409" s="549">
        <v>0</v>
      </c>
      <c r="ES409" s="675">
        <v>0</v>
      </c>
      <c r="ET409" s="549">
        <v>0</v>
      </c>
      <c r="EU409" s="675">
        <v>0</v>
      </c>
      <c r="EV409" s="549">
        <v>0</v>
      </c>
      <c r="EW409" s="675">
        <v>0</v>
      </c>
      <c r="EX409" s="549">
        <v>0</v>
      </c>
      <c r="EY409" s="675">
        <v>0</v>
      </c>
      <c r="EZ409" s="549">
        <v>0</v>
      </c>
      <c r="FA409" s="675">
        <v>0</v>
      </c>
      <c r="FB409" s="549">
        <v>0</v>
      </c>
      <c r="FC409" s="675">
        <v>0</v>
      </c>
      <c r="FD409" s="549">
        <v>0</v>
      </c>
      <c r="FE409" s="675">
        <v>0</v>
      </c>
      <c r="FF409" s="549">
        <v>0</v>
      </c>
      <c r="FG409" s="675">
        <v>0</v>
      </c>
      <c r="FH409" s="549">
        <v>0</v>
      </c>
      <c r="FI409" s="675">
        <v>0</v>
      </c>
      <c r="FJ409" s="549">
        <v>5000</v>
      </c>
      <c r="FK409" s="675">
        <v>0</v>
      </c>
      <c r="FL409" s="549">
        <v>5000</v>
      </c>
      <c r="FM409" s="675">
        <v>0</v>
      </c>
      <c r="FN409" s="549">
        <v>0</v>
      </c>
      <c r="FO409" s="675">
        <v>0</v>
      </c>
      <c r="FP409" s="549">
        <v>0</v>
      </c>
      <c r="FQ409" s="675">
        <v>0</v>
      </c>
      <c r="FR409" s="549">
        <v>2000</v>
      </c>
      <c r="FS409" s="675">
        <v>0</v>
      </c>
      <c r="FT409" s="549">
        <v>0</v>
      </c>
      <c r="FU409" s="675">
        <v>0</v>
      </c>
      <c r="FV409" s="549">
        <v>0</v>
      </c>
      <c r="FW409" s="675">
        <v>0</v>
      </c>
      <c r="FX409" s="549">
        <v>0</v>
      </c>
      <c r="FY409" s="675">
        <v>0</v>
      </c>
      <c r="FZ409" s="549">
        <v>0</v>
      </c>
      <c r="GA409" s="675">
        <v>0</v>
      </c>
      <c r="GB409" s="549">
        <v>0</v>
      </c>
      <c r="GC409" s="675">
        <v>0</v>
      </c>
      <c r="GD409" s="549">
        <v>0</v>
      </c>
      <c r="GE409" s="675">
        <v>0</v>
      </c>
      <c r="GF409" s="549">
        <v>0</v>
      </c>
      <c r="GG409" s="675">
        <v>0</v>
      </c>
      <c r="GH409" s="549">
        <v>0</v>
      </c>
      <c r="GI409" s="675">
        <v>0</v>
      </c>
      <c r="GJ409" s="549">
        <v>0</v>
      </c>
      <c r="GK409" s="675">
        <v>0</v>
      </c>
      <c r="GL409" s="549">
        <v>0</v>
      </c>
      <c r="GM409" s="675">
        <v>0</v>
      </c>
      <c r="GN409" s="549">
        <v>0</v>
      </c>
      <c r="GO409" s="675">
        <v>0</v>
      </c>
      <c r="GP409" s="549">
        <f t="shared" si="10887"/>
        <v>35000</v>
      </c>
      <c r="GQ409" s="675">
        <f t="shared" si="10888"/>
        <v>0</v>
      </c>
      <c r="GR409" s="74">
        <f>C409+GP409+GQ409</f>
        <v>61500</v>
      </c>
      <c r="GS409" s="74">
        <f t="shared" si="10889"/>
        <v>61500</v>
      </c>
      <c r="GT409" s="568">
        <f t="shared" si="10890"/>
        <v>61500</v>
      </c>
      <c r="GU409" s="275">
        <v>3316</v>
      </c>
      <c r="GV409" s="275">
        <v>3312</v>
      </c>
      <c r="GW409" s="275">
        <v>3312</v>
      </c>
      <c r="GX409" s="275">
        <v>3312</v>
      </c>
      <c r="GY409" s="275">
        <v>3312</v>
      </c>
      <c r="GZ409" s="275">
        <v>3312</v>
      </c>
      <c r="HA409" s="275">
        <v>3312</v>
      </c>
      <c r="HB409" s="275">
        <v>3312</v>
      </c>
      <c r="HC409" s="275"/>
      <c r="HD409" s="275"/>
      <c r="HE409" s="275"/>
      <c r="HF409" s="275"/>
      <c r="HG409" s="74">
        <f>SUM(HH409:IE409)</f>
        <v>61500</v>
      </c>
      <c r="HH409" s="89">
        <v>3316</v>
      </c>
      <c r="HI409" s="817">
        <v>0</v>
      </c>
      <c r="HJ409" s="89">
        <v>3312</v>
      </c>
      <c r="HK409" s="817">
        <v>0</v>
      </c>
      <c r="HL409" s="89">
        <v>3312</v>
      </c>
      <c r="HM409" s="817">
        <v>0</v>
      </c>
      <c r="HN409" s="89">
        <v>3312</v>
      </c>
      <c r="HO409" s="817">
        <v>0</v>
      </c>
      <c r="HP409" s="89">
        <v>8312</v>
      </c>
      <c r="HQ409" s="817">
        <v>0</v>
      </c>
      <c r="HR409" s="89">
        <v>3312</v>
      </c>
      <c r="HS409" s="817">
        <v>0</v>
      </c>
      <c r="HT409" s="89">
        <v>8312</v>
      </c>
      <c r="HU409" s="817">
        <v>0</v>
      </c>
      <c r="HV409" s="89">
        <v>13312</v>
      </c>
      <c r="HW409" s="817">
        <v>0</v>
      </c>
      <c r="HX409" s="89">
        <v>3000</v>
      </c>
      <c r="HY409" s="817">
        <v>0</v>
      </c>
      <c r="HZ409" s="89">
        <f>61500-49500</f>
        <v>12000</v>
      </c>
      <c r="IA409" s="817">
        <v>0</v>
      </c>
      <c r="IB409" s="89">
        <v>0</v>
      </c>
      <c r="IC409" s="817">
        <v>0</v>
      </c>
      <c r="ID409" s="89">
        <v>0</v>
      </c>
      <c r="IE409" s="817">
        <v>0</v>
      </c>
      <c r="IF409" s="841">
        <f t="shared" si="10891"/>
        <v>51589.47</v>
      </c>
      <c r="IG409" s="263">
        <f t="shared" si="10892"/>
        <v>51589.47</v>
      </c>
      <c r="IH409" s="842">
        <f t="shared" si="10893"/>
        <v>51589.47</v>
      </c>
      <c r="II409" s="89">
        <v>0</v>
      </c>
      <c r="IJ409" s="89">
        <f t="shared" si="10894"/>
        <v>0</v>
      </c>
      <c r="IK409" s="89">
        <f t="shared" si="10895"/>
        <v>0</v>
      </c>
      <c r="IL409" s="89">
        <v>760.54</v>
      </c>
      <c r="IM409" s="89">
        <f t="shared" si="10896"/>
        <v>760.54</v>
      </c>
      <c r="IN409" s="89">
        <f t="shared" si="10897"/>
        <v>760.54</v>
      </c>
      <c r="IO409" s="89">
        <f>5289.76-760.54</f>
        <v>4529.22</v>
      </c>
      <c r="IP409" s="89">
        <f t="shared" si="10898"/>
        <v>4529.22</v>
      </c>
      <c r="IQ409" s="89">
        <f t="shared" si="10899"/>
        <v>4529.22</v>
      </c>
      <c r="IR409" s="89">
        <f>9877.45-5289.76</f>
        <v>4587.6900000000005</v>
      </c>
      <c r="IS409" s="89">
        <f t="shared" si="10900"/>
        <v>4587.6900000000005</v>
      </c>
      <c r="IT409" s="89">
        <f t="shared" si="10901"/>
        <v>4587.6900000000005</v>
      </c>
      <c r="IU409" s="89">
        <f>18870.96-9877.45</f>
        <v>8993.5099999999984</v>
      </c>
      <c r="IV409" s="89">
        <f t="shared" si="10902"/>
        <v>8993.5099999999984</v>
      </c>
      <c r="IW409" s="89">
        <f t="shared" si="10903"/>
        <v>8993.5099999999984</v>
      </c>
      <c r="IX409" s="89">
        <f>21899.26-18870.96</f>
        <v>3028.2999999999993</v>
      </c>
      <c r="IY409" s="89">
        <f t="shared" si="10904"/>
        <v>3028.2999999999993</v>
      </c>
      <c r="IZ409" s="89">
        <f t="shared" si="10905"/>
        <v>3028.2999999999993</v>
      </c>
      <c r="JA409" s="89">
        <f>24268.14-21899.26</f>
        <v>2368.880000000001</v>
      </c>
      <c r="JB409" s="89">
        <f t="shared" si="10906"/>
        <v>2368.880000000001</v>
      </c>
      <c r="JC409" s="89">
        <f t="shared" si="10907"/>
        <v>2368.880000000001</v>
      </c>
      <c r="JD409" s="89">
        <f>42704.14-24268.14</f>
        <v>18436</v>
      </c>
      <c r="JE409" s="89">
        <f t="shared" si="10908"/>
        <v>18436</v>
      </c>
      <c r="JF409" s="89">
        <f t="shared" si="10909"/>
        <v>18436</v>
      </c>
      <c r="JG409" s="89">
        <f>45291.49-42704.14</f>
        <v>2587.3499999999985</v>
      </c>
      <c r="JH409" s="89">
        <f t="shared" si="10910"/>
        <v>2587.3499999999985</v>
      </c>
      <c r="JI409" s="89">
        <f t="shared" si="10911"/>
        <v>2587.3499999999985</v>
      </c>
      <c r="JJ409" s="89">
        <f>51589.47-45291.49</f>
        <v>6297.9800000000032</v>
      </c>
      <c r="JK409" s="89">
        <f t="shared" si="10912"/>
        <v>6297.9800000000032</v>
      </c>
      <c r="JL409" s="89">
        <f t="shared" si="10913"/>
        <v>6297.9800000000032</v>
      </c>
      <c r="JM409" s="89">
        <v>0</v>
      </c>
      <c r="JN409" s="89">
        <f t="shared" si="10914"/>
        <v>0</v>
      </c>
      <c r="JO409" s="89">
        <f t="shared" si="10915"/>
        <v>0</v>
      </c>
      <c r="JP409" s="89">
        <v>0</v>
      </c>
      <c r="JQ409" s="89">
        <f t="shared" ref="JQ409:JR409" si="10919">JP409</f>
        <v>0</v>
      </c>
      <c r="JR409" s="89">
        <f t="shared" si="10919"/>
        <v>0</v>
      </c>
      <c r="JS409" s="74">
        <f>HG409-IF409</f>
        <v>9910.5299999999988</v>
      </c>
      <c r="JT409" s="382">
        <f>GS409-IF409</f>
        <v>9910.5299999999988</v>
      </c>
      <c r="JU409" s="665"/>
      <c r="JV409" s="524"/>
      <c r="JW409" s="525"/>
      <c r="JX409" s="549">
        <f t="shared" si="10917"/>
        <v>61500</v>
      </c>
      <c r="JY409" s="549">
        <f t="shared" si="10917"/>
        <v>0</v>
      </c>
      <c r="JZ409" s="581">
        <f t="shared" si="10300"/>
        <v>35000</v>
      </c>
      <c r="KA409" s="581">
        <f t="shared" si="10301"/>
        <v>0</v>
      </c>
      <c r="KB409" s="549">
        <f t="shared" si="10257"/>
        <v>61500</v>
      </c>
      <c r="KC409" s="709">
        <f t="shared" si="10273"/>
        <v>0</v>
      </c>
      <c r="KD409" s="36"/>
      <c r="KE409" s="36"/>
      <c r="KF409" s="36"/>
      <c r="KG409" s="36"/>
      <c r="KH409" s="36"/>
      <c r="KI409" s="36"/>
      <c r="KJ409" s="36"/>
      <c r="KK409" s="36"/>
    </row>
    <row r="410" spans="1:297" s="10" customFormat="1">
      <c r="A410" s="86"/>
      <c r="B410" s="77"/>
      <c r="C410" s="74"/>
      <c r="D410" s="549"/>
      <c r="E410" s="675"/>
      <c r="F410" s="549"/>
      <c r="G410" s="675"/>
      <c r="H410" s="549"/>
      <c r="I410" s="675"/>
      <c r="J410" s="549"/>
      <c r="K410" s="675"/>
      <c r="L410" s="549"/>
      <c r="M410" s="675"/>
      <c r="N410" s="549"/>
      <c r="O410" s="675"/>
      <c r="P410" s="549"/>
      <c r="Q410" s="675"/>
      <c r="R410" s="549"/>
      <c r="S410" s="675"/>
      <c r="T410" s="549"/>
      <c r="U410" s="675"/>
      <c r="V410" s="549"/>
      <c r="W410" s="675"/>
      <c r="X410" s="549"/>
      <c r="Y410" s="675"/>
      <c r="Z410" s="549"/>
      <c r="AA410" s="675"/>
      <c r="AB410" s="549"/>
      <c r="AC410" s="675"/>
      <c r="AD410" s="549"/>
      <c r="AE410" s="675"/>
      <c r="AF410" s="549"/>
      <c r="AG410" s="675"/>
      <c r="AH410" s="549"/>
      <c r="AI410" s="675"/>
      <c r="AJ410" s="549"/>
      <c r="AK410" s="675"/>
      <c r="AL410" s="549"/>
      <c r="AM410" s="675"/>
      <c r="AN410" s="549"/>
      <c r="AO410" s="675"/>
      <c r="AP410" s="549"/>
      <c r="AQ410" s="675"/>
      <c r="AR410" s="549"/>
      <c r="AS410" s="675"/>
      <c r="AT410" s="549"/>
      <c r="AU410" s="675"/>
      <c r="AV410" s="549"/>
      <c r="AW410" s="675"/>
      <c r="AX410" s="549"/>
      <c r="AY410" s="675"/>
      <c r="AZ410" s="549"/>
      <c r="BA410" s="675"/>
      <c r="BB410" s="549"/>
      <c r="BC410" s="675"/>
      <c r="BD410" s="549"/>
      <c r="BE410" s="675"/>
      <c r="BF410" s="549"/>
      <c r="BG410" s="675"/>
      <c r="BH410" s="549"/>
      <c r="BI410" s="675"/>
      <c r="BJ410" s="549"/>
      <c r="BK410" s="675"/>
      <c r="BL410" s="549"/>
      <c r="BM410" s="675"/>
      <c r="BN410" s="549"/>
      <c r="BO410" s="675"/>
      <c r="BP410" s="549"/>
      <c r="BQ410" s="675"/>
      <c r="BR410" s="549"/>
      <c r="BS410" s="675"/>
      <c r="BT410" s="549"/>
      <c r="BU410" s="675"/>
      <c r="BV410" s="549"/>
      <c r="BW410" s="675"/>
      <c r="BX410" s="549"/>
      <c r="BY410" s="675"/>
      <c r="BZ410" s="549"/>
      <c r="CA410" s="675"/>
      <c r="CB410" s="549"/>
      <c r="CC410" s="675"/>
      <c r="CD410" s="549"/>
      <c r="CE410" s="675"/>
      <c r="CF410" s="549"/>
      <c r="CG410" s="675"/>
      <c r="CH410" s="549"/>
      <c r="CI410" s="675"/>
      <c r="CJ410" s="549"/>
      <c r="CK410" s="675"/>
      <c r="CL410" s="549"/>
      <c r="CM410" s="675"/>
      <c r="CN410" s="549"/>
      <c r="CO410" s="675"/>
      <c r="CP410" s="549"/>
      <c r="CQ410" s="675"/>
      <c r="CR410" s="549"/>
      <c r="CS410" s="675"/>
      <c r="CT410" s="549"/>
      <c r="CU410" s="675"/>
      <c r="CV410" s="549"/>
      <c r="CW410" s="675"/>
      <c r="CX410" s="549"/>
      <c r="CY410" s="675"/>
      <c r="CZ410" s="549"/>
      <c r="DA410" s="675"/>
      <c r="DB410" s="549"/>
      <c r="DC410" s="675"/>
      <c r="DD410" s="549"/>
      <c r="DE410" s="675"/>
      <c r="DF410" s="549"/>
      <c r="DG410" s="675"/>
      <c r="DH410" s="549"/>
      <c r="DI410" s="675"/>
      <c r="DJ410" s="549"/>
      <c r="DK410" s="675"/>
      <c r="DL410" s="549"/>
      <c r="DM410" s="675"/>
      <c r="DN410" s="549"/>
      <c r="DO410" s="675"/>
      <c r="DP410" s="549"/>
      <c r="DQ410" s="675"/>
      <c r="DR410" s="549"/>
      <c r="DS410" s="675"/>
      <c r="DT410" s="549"/>
      <c r="DU410" s="675"/>
      <c r="DV410" s="549"/>
      <c r="DW410" s="675"/>
      <c r="DX410" s="549"/>
      <c r="DY410" s="675"/>
      <c r="DZ410" s="549"/>
      <c r="EA410" s="675"/>
      <c r="EB410" s="549"/>
      <c r="EC410" s="675"/>
      <c r="ED410" s="549"/>
      <c r="EE410" s="675"/>
      <c r="EF410" s="549"/>
      <c r="EG410" s="675"/>
      <c r="EH410" s="549"/>
      <c r="EI410" s="675"/>
      <c r="EJ410" s="549"/>
      <c r="EK410" s="675"/>
      <c r="EL410" s="549"/>
      <c r="EM410" s="675"/>
      <c r="EN410" s="549"/>
      <c r="EO410" s="675"/>
      <c r="EP410" s="549"/>
      <c r="EQ410" s="675"/>
      <c r="ER410" s="549"/>
      <c r="ES410" s="675"/>
      <c r="ET410" s="549"/>
      <c r="EU410" s="675"/>
      <c r="EV410" s="549"/>
      <c r="EW410" s="675"/>
      <c r="EX410" s="549"/>
      <c r="EY410" s="675"/>
      <c r="EZ410" s="549"/>
      <c r="FA410" s="675"/>
      <c r="FB410" s="549"/>
      <c r="FC410" s="675"/>
      <c r="FD410" s="549"/>
      <c r="FE410" s="675"/>
      <c r="FF410" s="549"/>
      <c r="FG410" s="675"/>
      <c r="FH410" s="549"/>
      <c r="FI410" s="675"/>
      <c r="FJ410" s="549"/>
      <c r="FK410" s="675"/>
      <c r="FL410" s="549"/>
      <c r="FM410" s="675"/>
      <c r="FN410" s="549"/>
      <c r="FO410" s="675"/>
      <c r="FP410" s="549"/>
      <c r="FQ410" s="675"/>
      <c r="FR410" s="549"/>
      <c r="FS410" s="675"/>
      <c r="FT410" s="549"/>
      <c r="FU410" s="675"/>
      <c r="FV410" s="549"/>
      <c r="FW410" s="675"/>
      <c r="FX410" s="549"/>
      <c r="FY410" s="675"/>
      <c r="FZ410" s="549"/>
      <c r="GA410" s="675"/>
      <c r="GB410" s="549"/>
      <c r="GC410" s="675"/>
      <c r="GD410" s="549"/>
      <c r="GE410" s="675"/>
      <c r="GF410" s="549"/>
      <c r="GG410" s="675"/>
      <c r="GH410" s="549"/>
      <c r="GI410" s="675"/>
      <c r="GJ410" s="549"/>
      <c r="GK410" s="675"/>
      <c r="GL410" s="549"/>
      <c r="GM410" s="675"/>
      <c r="GN410" s="549"/>
      <c r="GO410" s="675"/>
      <c r="GP410" s="549"/>
      <c r="GQ410" s="675"/>
      <c r="GR410" s="74"/>
      <c r="GS410" s="74"/>
      <c r="GT410" s="568"/>
      <c r="GU410" s="89"/>
      <c r="GV410" s="89"/>
      <c r="GW410" s="568"/>
      <c r="GX410" s="568"/>
      <c r="GY410" s="89"/>
      <c r="GZ410" s="89"/>
      <c r="HA410" s="89"/>
      <c r="HB410" s="89"/>
      <c r="HC410" s="89"/>
      <c r="HD410" s="89"/>
      <c r="HE410" s="89"/>
      <c r="HF410" s="89"/>
      <c r="HG410" s="74"/>
      <c r="HH410" s="89"/>
      <c r="HI410" s="817"/>
      <c r="HJ410" s="89"/>
      <c r="HK410" s="817"/>
      <c r="HL410" s="89"/>
      <c r="HM410" s="817"/>
      <c r="HN410" s="89"/>
      <c r="HO410" s="817"/>
      <c r="HP410" s="89"/>
      <c r="HQ410" s="817"/>
      <c r="HR410" s="89"/>
      <c r="HS410" s="817"/>
      <c r="HT410" s="89"/>
      <c r="HU410" s="817"/>
      <c r="HV410" s="89"/>
      <c r="HW410" s="817"/>
      <c r="HX410" s="89"/>
      <c r="HY410" s="817"/>
      <c r="HZ410" s="89"/>
      <c r="IA410" s="817"/>
      <c r="IB410" s="89"/>
      <c r="IC410" s="817"/>
      <c r="ID410" s="89"/>
      <c r="IE410" s="817"/>
      <c r="IF410" s="841"/>
      <c r="IG410" s="263"/>
      <c r="IH410" s="842"/>
      <c r="II410" s="89"/>
      <c r="IJ410" s="89"/>
      <c r="IK410" s="89"/>
      <c r="IL410" s="89"/>
      <c r="IM410" s="89"/>
      <c r="IN410" s="89"/>
      <c r="IO410" s="89"/>
      <c r="IP410" s="89"/>
      <c r="IQ410" s="89"/>
      <c r="IR410" s="89"/>
      <c r="IS410" s="89"/>
      <c r="IT410" s="89"/>
      <c r="IU410" s="89"/>
      <c r="IV410" s="89"/>
      <c r="IW410" s="89"/>
      <c r="IX410" s="89"/>
      <c r="IY410" s="89"/>
      <c r="IZ410" s="89"/>
      <c r="JA410" s="89"/>
      <c r="JB410" s="89"/>
      <c r="JC410" s="89"/>
      <c r="JD410" s="89"/>
      <c r="JE410" s="89"/>
      <c r="JF410" s="89"/>
      <c r="JG410" s="89"/>
      <c r="JH410" s="89"/>
      <c r="JI410" s="89"/>
      <c r="JJ410" s="89"/>
      <c r="JK410" s="89"/>
      <c r="JL410" s="89"/>
      <c r="JM410" s="89"/>
      <c r="JN410" s="89"/>
      <c r="JO410" s="89"/>
      <c r="JP410" s="89"/>
      <c r="JQ410" s="89"/>
      <c r="JR410" s="89"/>
      <c r="JS410" s="74"/>
      <c r="JT410" s="382"/>
      <c r="JU410" s="665"/>
      <c r="JV410" s="524"/>
      <c r="JW410" s="525"/>
      <c r="JX410" s="549"/>
      <c r="JY410" s="549"/>
      <c r="JZ410" s="581">
        <f t="shared" si="10300"/>
        <v>0</v>
      </c>
      <c r="KA410" s="581">
        <f t="shared" si="10301"/>
        <v>0</v>
      </c>
      <c r="KB410" s="549">
        <f t="shared" si="10257"/>
        <v>0</v>
      </c>
      <c r="KC410" s="709">
        <f t="shared" si="10273"/>
        <v>0</v>
      </c>
      <c r="KD410" s="36"/>
      <c r="KE410" s="36"/>
      <c r="KF410" s="36"/>
      <c r="KG410" s="36"/>
      <c r="KH410" s="36"/>
      <c r="KI410" s="36"/>
      <c r="KJ410" s="36"/>
      <c r="KK410" s="36"/>
    </row>
    <row r="411" spans="1:297" s="8" customFormat="1">
      <c r="A411" s="80" t="s">
        <v>251</v>
      </c>
      <c r="B411" s="72" t="s">
        <v>112</v>
      </c>
      <c r="C411" s="74">
        <f>SUM(C412:C414)</f>
        <v>100000</v>
      </c>
      <c r="D411" s="549">
        <f t="shared" ref="D411:E411" si="10920">SUM(D412:D414)</f>
        <v>0</v>
      </c>
      <c r="E411" s="675">
        <f t="shared" si="10920"/>
        <v>0</v>
      </c>
      <c r="F411" s="549">
        <f t="shared" ref="F411:G411" si="10921">SUM(F412:F414)</f>
        <v>0</v>
      </c>
      <c r="G411" s="675">
        <f t="shared" si="10921"/>
        <v>0</v>
      </c>
      <c r="H411" s="549">
        <f t="shared" ref="H411:I411" si="10922">SUM(H412:H414)</f>
        <v>0</v>
      </c>
      <c r="I411" s="675">
        <f t="shared" si="10922"/>
        <v>0</v>
      </c>
      <c r="J411" s="549">
        <f t="shared" ref="J411:K411" si="10923">SUM(J412:J414)</f>
        <v>0</v>
      </c>
      <c r="K411" s="675">
        <f t="shared" si="10923"/>
        <v>0</v>
      </c>
      <c r="L411" s="549">
        <f t="shared" ref="L411:M411" si="10924">SUM(L412:L414)</f>
        <v>0</v>
      </c>
      <c r="M411" s="675">
        <f t="shared" si="10924"/>
        <v>0</v>
      </c>
      <c r="N411" s="549">
        <f t="shared" ref="N411:O411" si="10925">SUM(N412:N414)</f>
        <v>0</v>
      </c>
      <c r="O411" s="675">
        <f t="shared" si="10925"/>
        <v>0</v>
      </c>
      <c r="P411" s="549">
        <f t="shared" ref="P411:Q411" si="10926">SUM(P412:P414)</f>
        <v>0</v>
      </c>
      <c r="Q411" s="675">
        <f t="shared" si="10926"/>
        <v>0</v>
      </c>
      <c r="R411" s="549">
        <f t="shared" ref="R411:S411" si="10927">SUM(R412:R414)</f>
        <v>0</v>
      </c>
      <c r="S411" s="675">
        <f t="shared" si="10927"/>
        <v>0</v>
      </c>
      <c r="T411" s="549">
        <f t="shared" ref="T411:U411" si="10928">SUM(T412:T414)</f>
        <v>0</v>
      </c>
      <c r="U411" s="675">
        <f t="shared" si="10928"/>
        <v>0</v>
      </c>
      <c r="V411" s="549">
        <f t="shared" ref="V411:W411" si="10929">SUM(V412:V414)</f>
        <v>0</v>
      </c>
      <c r="W411" s="675">
        <f t="shared" si="10929"/>
        <v>0</v>
      </c>
      <c r="X411" s="549">
        <f t="shared" ref="X411:Y411" si="10930">SUM(X412:X414)</f>
        <v>0</v>
      </c>
      <c r="Y411" s="675">
        <f t="shared" si="10930"/>
        <v>0</v>
      </c>
      <c r="Z411" s="549">
        <f t="shared" ref="Z411:AS411" si="10931">SUM(Z412:Z414)</f>
        <v>0</v>
      </c>
      <c r="AA411" s="675">
        <f t="shared" si="10931"/>
        <v>0</v>
      </c>
      <c r="AB411" s="549">
        <f t="shared" si="10931"/>
        <v>0</v>
      </c>
      <c r="AC411" s="675">
        <f t="shared" si="10931"/>
        <v>0</v>
      </c>
      <c r="AD411" s="549">
        <f t="shared" si="10931"/>
        <v>0</v>
      </c>
      <c r="AE411" s="675">
        <f t="shared" si="10931"/>
        <v>0</v>
      </c>
      <c r="AF411" s="549">
        <f t="shared" si="10931"/>
        <v>0</v>
      </c>
      <c r="AG411" s="675">
        <f t="shared" si="10931"/>
        <v>0</v>
      </c>
      <c r="AH411" s="549">
        <f t="shared" si="10931"/>
        <v>0</v>
      </c>
      <c r="AI411" s="675">
        <f t="shared" si="10931"/>
        <v>0</v>
      </c>
      <c r="AJ411" s="549">
        <f t="shared" si="10931"/>
        <v>0</v>
      </c>
      <c r="AK411" s="675">
        <f t="shared" si="10931"/>
        <v>0</v>
      </c>
      <c r="AL411" s="549">
        <f t="shared" si="10931"/>
        <v>0</v>
      </c>
      <c r="AM411" s="675">
        <f t="shared" si="10931"/>
        <v>0</v>
      </c>
      <c r="AN411" s="549">
        <f t="shared" si="10931"/>
        <v>0</v>
      </c>
      <c r="AO411" s="675">
        <f t="shared" si="10931"/>
        <v>0</v>
      </c>
      <c r="AP411" s="549">
        <f t="shared" si="10931"/>
        <v>0</v>
      </c>
      <c r="AQ411" s="675">
        <f t="shared" si="10931"/>
        <v>0</v>
      </c>
      <c r="AR411" s="549">
        <f t="shared" si="10931"/>
        <v>0</v>
      </c>
      <c r="AS411" s="675">
        <f t="shared" si="10931"/>
        <v>0</v>
      </c>
      <c r="AT411" s="549">
        <f t="shared" ref="AT411:AU411" si="10932">SUM(AT412:AT414)</f>
        <v>0</v>
      </c>
      <c r="AU411" s="675">
        <f t="shared" si="10932"/>
        <v>0</v>
      </c>
      <c r="AV411" s="549">
        <f t="shared" ref="AV411:AW411" si="10933">SUM(AV412:AV414)</f>
        <v>0</v>
      </c>
      <c r="AW411" s="675">
        <f t="shared" si="10933"/>
        <v>0</v>
      </c>
      <c r="AX411" s="549">
        <f t="shared" ref="AX411:AY411" si="10934">SUM(AX412:AX414)</f>
        <v>0</v>
      </c>
      <c r="AY411" s="675">
        <f t="shared" si="10934"/>
        <v>0</v>
      </c>
      <c r="AZ411" s="549">
        <f t="shared" ref="AZ411:BA411" si="10935">SUM(AZ412:AZ414)</f>
        <v>5000</v>
      </c>
      <c r="BA411" s="675">
        <f t="shared" si="10935"/>
        <v>0</v>
      </c>
      <c r="BB411" s="549">
        <f t="shared" ref="BB411:BC411" si="10936">SUM(BB412:BB414)</f>
        <v>0</v>
      </c>
      <c r="BC411" s="675">
        <f t="shared" si="10936"/>
        <v>0</v>
      </c>
      <c r="BD411" s="549">
        <f t="shared" ref="BD411:BE411" si="10937">SUM(BD412:BD414)</f>
        <v>0</v>
      </c>
      <c r="BE411" s="675">
        <f t="shared" si="10937"/>
        <v>0</v>
      </c>
      <c r="BF411" s="549">
        <f t="shared" ref="BF411:BG411" si="10938">SUM(BF412:BF414)</f>
        <v>0</v>
      </c>
      <c r="BG411" s="675">
        <f t="shared" si="10938"/>
        <v>0</v>
      </c>
      <c r="BH411" s="549">
        <f t="shared" ref="BH411:BI411" si="10939">SUM(BH412:BH414)</f>
        <v>0</v>
      </c>
      <c r="BI411" s="675">
        <f t="shared" si="10939"/>
        <v>0</v>
      </c>
      <c r="BJ411" s="549">
        <f t="shared" ref="BJ411:BK411" si="10940">SUM(BJ412:BJ414)</f>
        <v>0</v>
      </c>
      <c r="BK411" s="675">
        <f t="shared" si="10940"/>
        <v>0</v>
      </c>
      <c r="BL411" s="549">
        <f t="shared" ref="BL411:BS411" si="10941">SUM(BL412:BL414)</f>
        <v>0</v>
      </c>
      <c r="BM411" s="675">
        <f t="shared" si="10941"/>
        <v>0</v>
      </c>
      <c r="BN411" s="549">
        <f t="shared" si="10941"/>
        <v>0</v>
      </c>
      <c r="BO411" s="675">
        <f t="shared" si="10941"/>
        <v>0</v>
      </c>
      <c r="BP411" s="549">
        <f t="shared" si="10941"/>
        <v>0</v>
      </c>
      <c r="BQ411" s="675">
        <f t="shared" si="10941"/>
        <v>0</v>
      </c>
      <c r="BR411" s="549">
        <f t="shared" si="10941"/>
        <v>0</v>
      </c>
      <c r="BS411" s="675">
        <f t="shared" si="10941"/>
        <v>0</v>
      </c>
      <c r="BT411" s="549">
        <f t="shared" ref="BT411:BU411" si="10942">SUM(BT412:BT414)</f>
        <v>0</v>
      </c>
      <c r="BU411" s="675">
        <f t="shared" si="10942"/>
        <v>0</v>
      </c>
      <c r="BV411" s="549">
        <f t="shared" ref="BV411:BW411" si="10943">SUM(BV412:BV414)</f>
        <v>0</v>
      </c>
      <c r="BW411" s="675">
        <f t="shared" si="10943"/>
        <v>0</v>
      </c>
      <c r="BX411" s="549">
        <f t="shared" ref="BX411:BY411" si="10944">SUM(BX412:BX414)</f>
        <v>0</v>
      </c>
      <c r="BY411" s="675">
        <f t="shared" si="10944"/>
        <v>0</v>
      </c>
      <c r="BZ411" s="549">
        <f t="shared" ref="BZ411:CA411" si="10945">SUM(BZ412:BZ414)</f>
        <v>0</v>
      </c>
      <c r="CA411" s="675">
        <f t="shared" si="10945"/>
        <v>0</v>
      </c>
      <c r="CB411" s="549">
        <f t="shared" ref="CB411:CE411" si="10946">SUM(CB412:CB414)</f>
        <v>0</v>
      </c>
      <c r="CC411" s="675">
        <f t="shared" si="10946"/>
        <v>0</v>
      </c>
      <c r="CD411" s="549">
        <f t="shared" si="10946"/>
        <v>0</v>
      </c>
      <c r="CE411" s="675">
        <f t="shared" si="10946"/>
        <v>0</v>
      </c>
      <c r="CF411" s="549">
        <f t="shared" ref="CF411:CQ411" si="10947">SUM(CF412:CF414)</f>
        <v>0</v>
      </c>
      <c r="CG411" s="675">
        <f t="shared" si="10947"/>
        <v>0</v>
      </c>
      <c r="CH411" s="549">
        <f t="shared" si="10947"/>
        <v>0</v>
      </c>
      <c r="CI411" s="675">
        <f t="shared" si="10947"/>
        <v>-3000</v>
      </c>
      <c r="CJ411" s="549">
        <f t="shared" si="10947"/>
        <v>0</v>
      </c>
      <c r="CK411" s="675">
        <f t="shared" si="10947"/>
        <v>-25000</v>
      </c>
      <c r="CL411" s="549">
        <f t="shared" si="10947"/>
        <v>7000</v>
      </c>
      <c r="CM411" s="675">
        <f t="shared" si="10947"/>
        <v>0</v>
      </c>
      <c r="CN411" s="549">
        <f t="shared" si="10947"/>
        <v>0</v>
      </c>
      <c r="CO411" s="675">
        <f t="shared" si="10947"/>
        <v>0</v>
      </c>
      <c r="CP411" s="549">
        <f t="shared" si="10947"/>
        <v>0</v>
      </c>
      <c r="CQ411" s="675">
        <f t="shared" si="10947"/>
        <v>0</v>
      </c>
      <c r="CR411" s="549">
        <f t="shared" ref="CR411:CY411" si="10948">SUM(CR412:CR414)</f>
        <v>0</v>
      </c>
      <c r="CS411" s="675">
        <f t="shared" si="10948"/>
        <v>0</v>
      </c>
      <c r="CT411" s="549">
        <f t="shared" si="10948"/>
        <v>0</v>
      </c>
      <c r="CU411" s="675">
        <f t="shared" si="10948"/>
        <v>0</v>
      </c>
      <c r="CV411" s="549">
        <f t="shared" si="10948"/>
        <v>0</v>
      </c>
      <c r="CW411" s="675">
        <f t="shared" si="10948"/>
        <v>0</v>
      </c>
      <c r="CX411" s="549">
        <f t="shared" si="10948"/>
        <v>0</v>
      </c>
      <c r="CY411" s="675">
        <f t="shared" si="10948"/>
        <v>0</v>
      </c>
      <c r="CZ411" s="549">
        <f t="shared" ref="CZ411:DG411" si="10949">SUM(CZ412:CZ414)</f>
        <v>0</v>
      </c>
      <c r="DA411" s="675">
        <f t="shared" si="10949"/>
        <v>0</v>
      </c>
      <c r="DB411" s="549">
        <f t="shared" si="10949"/>
        <v>0</v>
      </c>
      <c r="DC411" s="675">
        <f t="shared" si="10949"/>
        <v>0</v>
      </c>
      <c r="DD411" s="549">
        <f t="shared" si="10949"/>
        <v>0</v>
      </c>
      <c r="DE411" s="675">
        <f t="shared" si="10949"/>
        <v>0</v>
      </c>
      <c r="DF411" s="549">
        <f t="shared" si="10949"/>
        <v>0</v>
      </c>
      <c r="DG411" s="675">
        <f t="shared" si="10949"/>
        <v>0</v>
      </c>
      <c r="DH411" s="549">
        <f t="shared" ref="DH411:DY411" si="10950">SUM(DH412:DH414)</f>
        <v>0</v>
      </c>
      <c r="DI411" s="675">
        <f t="shared" si="10950"/>
        <v>-5000</v>
      </c>
      <c r="DJ411" s="549">
        <f t="shared" si="10950"/>
        <v>0</v>
      </c>
      <c r="DK411" s="675">
        <f t="shared" si="10950"/>
        <v>0</v>
      </c>
      <c r="DL411" s="549">
        <f t="shared" si="10950"/>
        <v>0</v>
      </c>
      <c r="DM411" s="675">
        <f t="shared" si="10950"/>
        <v>0</v>
      </c>
      <c r="DN411" s="549">
        <f t="shared" si="10950"/>
        <v>0</v>
      </c>
      <c r="DO411" s="675">
        <f t="shared" si="10950"/>
        <v>0</v>
      </c>
      <c r="DP411" s="549">
        <f t="shared" si="10950"/>
        <v>0</v>
      </c>
      <c r="DQ411" s="675">
        <f t="shared" si="10950"/>
        <v>0</v>
      </c>
      <c r="DR411" s="549">
        <f t="shared" si="10950"/>
        <v>0</v>
      </c>
      <c r="DS411" s="675">
        <f t="shared" si="10950"/>
        <v>0</v>
      </c>
      <c r="DT411" s="549">
        <f t="shared" si="10950"/>
        <v>0</v>
      </c>
      <c r="DU411" s="675">
        <f t="shared" si="10950"/>
        <v>0</v>
      </c>
      <c r="DV411" s="549">
        <f t="shared" si="10950"/>
        <v>0</v>
      </c>
      <c r="DW411" s="675">
        <f t="shared" si="10950"/>
        <v>0</v>
      </c>
      <c r="DX411" s="549">
        <f t="shared" si="10950"/>
        <v>0</v>
      </c>
      <c r="DY411" s="675">
        <f t="shared" si="10950"/>
        <v>0</v>
      </c>
      <c r="DZ411" s="549">
        <f t="shared" ref="DZ411:FA411" si="10951">SUM(DZ412:DZ414)</f>
        <v>0</v>
      </c>
      <c r="EA411" s="675">
        <f t="shared" si="10951"/>
        <v>0</v>
      </c>
      <c r="EB411" s="549">
        <f t="shared" si="10951"/>
        <v>0</v>
      </c>
      <c r="EC411" s="675">
        <f t="shared" si="10951"/>
        <v>0</v>
      </c>
      <c r="ED411" s="549">
        <f t="shared" si="10951"/>
        <v>0</v>
      </c>
      <c r="EE411" s="675">
        <f t="shared" si="10951"/>
        <v>0</v>
      </c>
      <c r="EF411" s="549">
        <f t="shared" si="10951"/>
        <v>0</v>
      </c>
      <c r="EG411" s="675">
        <f t="shared" si="10951"/>
        <v>0</v>
      </c>
      <c r="EH411" s="549">
        <f t="shared" ref="EH411:EM411" si="10952">SUM(EH412:EH414)</f>
        <v>0</v>
      </c>
      <c r="EI411" s="675">
        <f t="shared" si="10952"/>
        <v>0</v>
      </c>
      <c r="EJ411" s="549">
        <f t="shared" si="10952"/>
        <v>0</v>
      </c>
      <c r="EK411" s="675">
        <f t="shared" si="10952"/>
        <v>0</v>
      </c>
      <c r="EL411" s="549">
        <f t="shared" si="10952"/>
        <v>5000</v>
      </c>
      <c r="EM411" s="675">
        <f t="shared" si="10952"/>
        <v>0</v>
      </c>
      <c r="EN411" s="549">
        <f t="shared" si="10951"/>
        <v>0</v>
      </c>
      <c r="EO411" s="675">
        <f t="shared" si="10951"/>
        <v>0</v>
      </c>
      <c r="EP411" s="549">
        <f t="shared" si="10951"/>
        <v>0</v>
      </c>
      <c r="EQ411" s="675">
        <f t="shared" si="10951"/>
        <v>0</v>
      </c>
      <c r="ER411" s="549">
        <f t="shared" si="10951"/>
        <v>0</v>
      </c>
      <c r="ES411" s="675">
        <f t="shared" si="10951"/>
        <v>0</v>
      </c>
      <c r="ET411" s="549">
        <f t="shared" si="10951"/>
        <v>0</v>
      </c>
      <c r="EU411" s="675">
        <f t="shared" si="10951"/>
        <v>0</v>
      </c>
      <c r="EV411" s="549">
        <f t="shared" ref="EV411:EW411" si="10953">SUM(EV412:EV414)</f>
        <v>0</v>
      </c>
      <c r="EW411" s="675">
        <f t="shared" si="10953"/>
        <v>0</v>
      </c>
      <c r="EX411" s="549">
        <f t="shared" si="10951"/>
        <v>0</v>
      </c>
      <c r="EY411" s="675">
        <f t="shared" si="10951"/>
        <v>0</v>
      </c>
      <c r="EZ411" s="549">
        <f t="shared" si="10951"/>
        <v>0</v>
      </c>
      <c r="FA411" s="675">
        <f t="shared" si="10951"/>
        <v>0</v>
      </c>
      <c r="FB411" s="549">
        <f t="shared" ref="FB411:FC411" si="10954">SUM(FB412:FB414)</f>
        <v>0</v>
      </c>
      <c r="FC411" s="675">
        <f t="shared" si="10954"/>
        <v>0</v>
      </c>
      <c r="FD411" s="549">
        <f t="shared" ref="FD411:FE411" si="10955">SUM(FD412:FD414)</f>
        <v>5000</v>
      </c>
      <c r="FE411" s="675">
        <f t="shared" si="10955"/>
        <v>0</v>
      </c>
      <c r="FF411" s="549">
        <f t="shared" ref="FF411:FG411" si="10956">SUM(FF412:FF414)</f>
        <v>0</v>
      </c>
      <c r="FG411" s="675">
        <f t="shared" si="10956"/>
        <v>0</v>
      </c>
      <c r="FH411" s="549">
        <f t="shared" ref="FH411:FI411" si="10957">SUM(FH412:FH414)</f>
        <v>0</v>
      </c>
      <c r="FI411" s="675">
        <f t="shared" si="10957"/>
        <v>0</v>
      </c>
      <c r="FJ411" s="549">
        <f t="shared" ref="FJ411:FK411" si="10958">SUM(FJ412:FJ414)</f>
        <v>0</v>
      </c>
      <c r="FK411" s="675">
        <f t="shared" si="10958"/>
        <v>0</v>
      </c>
      <c r="FL411" s="549">
        <f t="shared" ref="FL411:FM411" si="10959">SUM(FL412:FL414)</f>
        <v>5000</v>
      </c>
      <c r="FM411" s="675">
        <f t="shared" si="10959"/>
        <v>-10000</v>
      </c>
      <c r="FN411" s="549">
        <f t="shared" ref="FN411:FO411" si="10960">SUM(FN412:FN414)</f>
        <v>0</v>
      </c>
      <c r="FO411" s="675">
        <f t="shared" si="10960"/>
        <v>0</v>
      </c>
      <c r="FP411" s="549">
        <f t="shared" ref="FP411:FQ411" si="10961">SUM(FP412:FP414)</f>
        <v>0</v>
      </c>
      <c r="FQ411" s="675">
        <f t="shared" si="10961"/>
        <v>0</v>
      </c>
      <c r="FR411" s="549">
        <f t="shared" ref="FR411:FS411" si="10962">SUM(FR412:FR414)</f>
        <v>5000</v>
      </c>
      <c r="FS411" s="675">
        <f t="shared" si="10962"/>
        <v>-300</v>
      </c>
      <c r="FT411" s="549">
        <f t="shared" ref="FT411:FU411" si="10963">SUM(FT412:FT414)</f>
        <v>0</v>
      </c>
      <c r="FU411" s="675">
        <f t="shared" si="10963"/>
        <v>0</v>
      </c>
      <c r="FV411" s="549">
        <f t="shared" ref="FV411:GK411" si="10964">SUM(FV412:FV414)</f>
        <v>0</v>
      </c>
      <c r="FW411" s="675">
        <f t="shared" si="10964"/>
        <v>0</v>
      </c>
      <c r="FX411" s="549">
        <f t="shared" si="10964"/>
        <v>4703</v>
      </c>
      <c r="FY411" s="675">
        <f t="shared" si="10964"/>
        <v>0</v>
      </c>
      <c r="FZ411" s="549">
        <f t="shared" ref="FZ411:GI411" si="10965">SUM(FZ412:FZ414)</f>
        <v>0</v>
      </c>
      <c r="GA411" s="675">
        <f t="shared" si="10965"/>
        <v>0</v>
      </c>
      <c r="GB411" s="549">
        <f t="shared" si="10965"/>
        <v>0</v>
      </c>
      <c r="GC411" s="675">
        <f t="shared" si="10965"/>
        <v>0</v>
      </c>
      <c r="GD411" s="549">
        <f t="shared" si="10965"/>
        <v>0</v>
      </c>
      <c r="GE411" s="675">
        <f t="shared" si="10965"/>
        <v>0</v>
      </c>
      <c r="GF411" s="549">
        <f t="shared" si="10965"/>
        <v>0</v>
      </c>
      <c r="GG411" s="675">
        <f t="shared" si="10965"/>
        <v>0</v>
      </c>
      <c r="GH411" s="549">
        <f t="shared" si="10965"/>
        <v>0</v>
      </c>
      <c r="GI411" s="675">
        <f t="shared" si="10965"/>
        <v>0</v>
      </c>
      <c r="GJ411" s="549">
        <f t="shared" si="10964"/>
        <v>0</v>
      </c>
      <c r="GK411" s="675">
        <f t="shared" si="10964"/>
        <v>0</v>
      </c>
      <c r="GL411" s="549">
        <f t="shared" ref="GL411:GQ411" si="10966">SUM(GL412:GL414)</f>
        <v>0</v>
      </c>
      <c r="GM411" s="675">
        <f t="shared" si="10966"/>
        <v>0</v>
      </c>
      <c r="GN411" s="549">
        <f t="shared" ref="GN411:GO411" si="10967">SUM(GN412:GN414)</f>
        <v>0</v>
      </c>
      <c r="GO411" s="675">
        <f t="shared" si="10967"/>
        <v>0</v>
      </c>
      <c r="GP411" s="549">
        <f t="shared" si="10966"/>
        <v>36703</v>
      </c>
      <c r="GQ411" s="675">
        <f t="shared" si="10966"/>
        <v>-43300</v>
      </c>
      <c r="GR411" s="74">
        <f t="shared" ref="GR411:IZ411" si="10968">SUM(GR412:GR414)</f>
        <v>93403</v>
      </c>
      <c r="GS411" s="74">
        <f>SUM(GS412:GS414)</f>
        <v>93403</v>
      </c>
      <c r="GT411" s="549">
        <f>SUM(GT412:GT414)</f>
        <v>93403</v>
      </c>
      <c r="GU411" s="74">
        <f t="shared" si="10968"/>
        <v>95000</v>
      </c>
      <c r="GV411" s="74">
        <f t="shared" si="10968"/>
        <v>0</v>
      </c>
      <c r="GW411" s="549">
        <f t="shared" si="10968"/>
        <v>5000</v>
      </c>
      <c r="GX411" s="549">
        <f t="shared" si="10968"/>
        <v>0</v>
      </c>
      <c r="GY411" s="74">
        <f t="shared" si="10968"/>
        <v>0</v>
      </c>
      <c r="GZ411" s="74">
        <f t="shared" si="10968"/>
        <v>0</v>
      </c>
      <c r="HA411" s="74">
        <f t="shared" si="10968"/>
        <v>0</v>
      </c>
      <c r="HB411" s="74">
        <f t="shared" si="10968"/>
        <v>0</v>
      </c>
      <c r="HC411" s="74">
        <f t="shared" si="10968"/>
        <v>0</v>
      </c>
      <c r="HD411" s="74">
        <f t="shared" si="10968"/>
        <v>0</v>
      </c>
      <c r="HE411" s="74">
        <f t="shared" si="10968"/>
        <v>0</v>
      </c>
      <c r="HF411" s="74">
        <f t="shared" si="10968"/>
        <v>0</v>
      </c>
      <c r="HG411" s="74">
        <f>SUM(HG412:HG414)</f>
        <v>93403</v>
      </c>
      <c r="HH411" s="74">
        <f t="shared" ref="HH411:HI411" si="10969">SUM(HH412:HH414)</f>
        <v>95000</v>
      </c>
      <c r="HI411" s="792">
        <f t="shared" si="10969"/>
        <v>0</v>
      </c>
      <c r="HJ411" s="74">
        <f t="shared" ref="HJ411:HK411" si="10970">SUM(HJ412:HJ414)</f>
        <v>0</v>
      </c>
      <c r="HK411" s="792">
        <f t="shared" si="10970"/>
        <v>0</v>
      </c>
      <c r="HL411" s="74">
        <f t="shared" ref="HL411:HM411" si="10971">SUM(HL412:HL414)</f>
        <v>5000</v>
      </c>
      <c r="HM411" s="792">
        <f t="shared" si="10971"/>
        <v>0</v>
      </c>
      <c r="HN411" s="74">
        <f t="shared" ref="HN411:HO411" si="10972">SUM(HN412:HN414)</f>
        <v>0</v>
      </c>
      <c r="HO411" s="792">
        <f t="shared" si="10972"/>
        <v>0</v>
      </c>
      <c r="HP411" s="74">
        <f t="shared" ref="HP411:HQ411" si="10973">SUM(HP412:HP414)</f>
        <v>5000</v>
      </c>
      <c r="HQ411" s="792">
        <f t="shared" si="10973"/>
        <v>0</v>
      </c>
      <c r="HR411" s="74">
        <f t="shared" ref="HR411:HS411" si="10974">SUM(HR412:HR414)</f>
        <v>-3000</v>
      </c>
      <c r="HS411" s="792">
        <f t="shared" si="10974"/>
        <v>0</v>
      </c>
      <c r="HT411" s="74">
        <f t="shared" ref="HT411:HU411" si="10975">SUM(HT412:HT414)</f>
        <v>-18000</v>
      </c>
      <c r="HU411" s="792">
        <f t="shared" si="10975"/>
        <v>0</v>
      </c>
      <c r="HV411" s="74">
        <f t="shared" ref="HV411:HW411" si="10976">SUM(HV412:HV414)</f>
        <v>-5000</v>
      </c>
      <c r="HW411" s="792">
        <f t="shared" si="10976"/>
        <v>0</v>
      </c>
      <c r="HX411" s="74">
        <f t="shared" ref="HX411:HY411" si="10977">SUM(HX412:HX414)</f>
        <v>5000</v>
      </c>
      <c r="HY411" s="792">
        <f t="shared" si="10977"/>
        <v>0</v>
      </c>
      <c r="HZ411" s="74">
        <f t="shared" ref="HZ411:IA411" si="10978">SUM(HZ412:HZ414)</f>
        <v>9403</v>
      </c>
      <c r="IA411" s="792">
        <f t="shared" si="10978"/>
        <v>0</v>
      </c>
      <c r="IB411" s="74">
        <f t="shared" ref="IB411:IC411" si="10979">SUM(IB412:IB414)</f>
        <v>0</v>
      </c>
      <c r="IC411" s="792">
        <f t="shared" si="10979"/>
        <v>0</v>
      </c>
      <c r="ID411" s="74">
        <f t="shared" si="10968"/>
        <v>0</v>
      </c>
      <c r="IE411" s="792">
        <f t="shared" si="10968"/>
        <v>0</v>
      </c>
      <c r="IF411" s="841">
        <f>SUM(IF412:IF414)</f>
        <v>70440.790000000008</v>
      </c>
      <c r="IG411" s="263">
        <f>SUM(IG412:IG414)</f>
        <v>70440.790000000008</v>
      </c>
      <c r="IH411" s="842">
        <f>SUM(IH412:IH414)</f>
        <v>70440.790000000008</v>
      </c>
      <c r="II411" s="74">
        <f t="shared" ref="II411:IK411" si="10980">SUM(II412:II414)</f>
        <v>1810.4</v>
      </c>
      <c r="IJ411" s="74">
        <f t="shared" si="10980"/>
        <v>1810.4</v>
      </c>
      <c r="IK411" s="74">
        <f t="shared" si="10980"/>
        <v>1810.4</v>
      </c>
      <c r="IL411" s="74">
        <f t="shared" si="10968"/>
        <v>46654</v>
      </c>
      <c r="IM411" s="74">
        <f t="shared" si="10968"/>
        <v>46654</v>
      </c>
      <c r="IN411" s="74">
        <f t="shared" si="10968"/>
        <v>46654</v>
      </c>
      <c r="IO411" s="74">
        <f t="shared" si="10968"/>
        <v>2356.25</v>
      </c>
      <c r="IP411" s="74">
        <f t="shared" si="10968"/>
        <v>2356.25</v>
      </c>
      <c r="IQ411" s="74">
        <f t="shared" si="10968"/>
        <v>2356.25</v>
      </c>
      <c r="IR411" s="74">
        <f t="shared" si="10968"/>
        <v>623</v>
      </c>
      <c r="IS411" s="74">
        <f t="shared" si="10968"/>
        <v>623</v>
      </c>
      <c r="IT411" s="74">
        <f t="shared" si="10968"/>
        <v>623</v>
      </c>
      <c r="IU411" s="74">
        <f t="shared" si="10968"/>
        <v>3771.0500000000011</v>
      </c>
      <c r="IV411" s="74">
        <f t="shared" si="10968"/>
        <v>3771.0500000000011</v>
      </c>
      <c r="IW411" s="74">
        <f t="shared" si="10968"/>
        <v>3771.0500000000011</v>
      </c>
      <c r="IX411" s="74">
        <f t="shared" si="10968"/>
        <v>3655.9699999999993</v>
      </c>
      <c r="IY411" s="74">
        <f t="shared" si="10968"/>
        <v>3655.9699999999993</v>
      </c>
      <c r="IZ411" s="74">
        <f t="shared" si="10968"/>
        <v>3655.9699999999993</v>
      </c>
      <c r="JA411" s="74">
        <f t="shared" ref="JA411:JC411" si="10981">SUM(JA412:JA414)</f>
        <v>679.59000000000015</v>
      </c>
      <c r="JB411" s="74">
        <f t="shared" si="10981"/>
        <v>679.59000000000015</v>
      </c>
      <c r="JC411" s="74">
        <f t="shared" si="10981"/>
        <v>679.59000000000015</v>
      </c>
      <c r="JD411" s="74">
        <f t="shared" ref="JD411:JF411" si="10982">SUM(JD412:JD414)</f>
        <v>3708.8099999999995</v>
      </c>
      <c r="JE411" s="74">
        <f t="shared" si="10982"/>
        <v>3708.8099999999995</v>
      </c>
      <c r="JF411" s="74">
        <f t="shared" si="10982"/>
        <v>3708.8099999999995</v>
      </c>
      <c r="JG411" s="74">
        <f t="shared" ref="JG411:JI411" si="10983">SUM(JG412:JG414)</f>
        <v>4102.32</v>
      </c>
      <c r="JH411" s="74">
        <f t="shared" si="10983"/>
        <v>4102.32</v>
      </c>
      <c r="JI411" s="74">
        <f t="shared" si="10983"/>
        <v>4102.32</v>
      </c>
      <c r="JJ411" s="74">
        <f t="shared" ref="JJ411:JL411" si="10984">SUM(JJ412:JJ414)</f>
        <v>3079.4000000000015</v>
      </c>
      <c r="JK411" s="74">
        <f t="shared" si="10984"/>
        <v>3079.4000000000015</v>
      </c>
      <c r="JL411" s="74">
        <f t="shared" si="10984"/>
        <v>3079.4000000000015</v>
      </c>
      <c r="JM411" s="74">
        <f t="shared" ref="JM411:JO411" si="10985">SUM(JM412:JM414)</f>
        <v>0</v>
      </c>
      <c r="JN411" s="74">
        <f t="shared" si="10985"/>
        <v>0</v>
      </c>
      <c r="JO411" s="74">
        <f t="shared" si="10985"/>
        <v>0</v>
      </c>
      <c r="JP411" s="74">
        <f t="shared" ref="JP411:JY411" si="10986">SUM(JP412:JP414)</f>
        <v>0</v>
      </c>
      <c r="JQ411" s="74">
        <f t="shared" si="10986"/>
        <v>0</v>
      </c>
      <c r="JR411" s="74">
        <f t="shared" si="10986"/>
        <v>0</v>
      </c>
      <c r="JS411" s="74">
        <f>SUM(JS412:JS414)</f>
        <v>22962.21</v>
      </c>
      <c r="JT411" s="102">
        <f>SUM(JT412:JT414)</f>
        <v>22962.21</v>
      </c>
      <c r="JU411" s="665"/>
      <c r="JV411" s="524"/>
      <c r="JW411" s="525"/>
      <c r="JX411" s="549">
        <f>SUM(JX412:JX414)</f>
        <v>93403</v>
      </c>
      <c r="JY411" s="549">
        <f t="shared" si="10986"/>
        <v>0</v>
      </c>
      <c r="JZ411" s="581">
        <f t="shared" si="10300"/>
        <v>36703</v>
      </c>
      <c r="KA411" s="581">
        <f t="shared" si="10301"/>
        <v>-43300</v>
      </c>
      <c r="KB411" s="549">
        <f>JX411</f>
        <v>93403</v>
      </c>
      <c r="KC411" s="709">
        <f t="shared" si="10273"/>
        <v>0</v>
      </c>
      <c r="KD411" s="36"/>
      <c r="KE411" s="36"/>
      <c r="KF411" s="36"/>
      <c r="KG411" s="36"/>
      <c r="KH411" s="36"/>
      <c r="KI411" s="36"/>
      <c r="KJ411" s="36"/>
      <c r="KK411" s="36"/>
    </row>
    <row r="412" spans="1:297" s="10" customFormat="1" ht="12.75" hidden="1" customHeight="1">
      <c r="A412" s="86" t="s">
        <v>1058</v>
      </c>
      <c r="B412" s="77" t="s">
        <v>253</v>
      </c>
      <c r="C412" s="74">
        <v>0</v>
      </c>
      <c r="D412" s="549">
        <v>0</v>
      </c>
      <c r="E412" s="675">
        <v>0</v>
      </c>
      <c r="F412" s="549">
        <v>0</v>
      </c>
      <c r="G412" s="675">
        <v>0</v>
      </c>
      <c r="H412" s="549">
        <v>0</v>
      </c>
      <c r="I412" s="675">
        <v>0</v>
      </c>
      <c r="J412" s="549">
        <v>0</v>
      </c>
      <c r="K412" s="675">
        <v>0</v>
      </c>
      <c r="L412" s="549">
        <v>0</v>
      </c>
      <c r="M412" s="675">
        <v>0</v>
      </c>
      <c r="N412" s="549">
        <v>0</v>
      </c>
      <c r="O412" s="675">
        <v>0</v>
      </c>
      <c r="P412" s="549">
        <v>0</v>
      </c>
      <c r="Q412" s="675">
        <v>0</v>
      </c>
      <c r="R412" s="549">
        <v>0</v>
      </c>
      <c r="S412" s="675">
        <v>0</v>
      </c>
      <c r="T412" s="549">
        <v>0</v>
      </c>
      <c r="U412" s="675">
        <v>0</v>
      </c>
      <c r="V412" s="549">
        <v>0</v>
      </c>
      <c r="W412" s="675">
        <v>0</v>
      </c>
      <c r="X412" s="549">
        <v>0</v>
      </c>
      <c r="Y412" s="675">
        <v>0</v>
      </c>
      <c r="Z412" s="549">
        <v>0</v>
      </c>
      <c r="AA412" s="675">
        <v>0</v>
      </c>
      <c r="AB412" s="549">
        <v>0</v>
      </c>
      <c r="AC412" s="675">
        <v>0</v>
      </c>
      <c r="AD412" s="549">
        <v>0</v>
      </c>
      <c r="AE412" s="675">
        <v>0</v>
      </c>
      <c r="AF412" s="549">
        <v>0</v>
      </c>
      <c r="AG412" s="675">
        <v>0</v>
      </c>
      <c r="AH412" s="549">
        <v>0</v>
      </c>
      <c r="AI412" s="675">
        <v>0</v>
      </c>
      <c r="AJ412" s="549">
        <v>0</v>
      </c>
      <c r="AK412" s="675">
        <v>0</v>
      </c>
      <c r="AL412" s="549">
        <v>0</v>
      </c>
      <c r="AM412" s="675">
        <v>0</v>
      </c>
      <c r="AN412" s="549">
        <v>0</v>
      </c>
      <c r="AO412" s="675">
        <v>0</v>
      </c>
      <c r="AP412" s="549">
        <v>0</v>
      </c>
      <c r="AQ412" s="675">
        <v>0</v>
      </c>
      <c r="AR412" s="549">
        <v>0</v>
      </c>
      <c r="AS412" s="675">
        <v>0</v>
      </c>
      <c r="AT412" s="549">
        <v>0</v>
      </c>
      <c r="AU412" s="675">
        <v>0</v>
      </c>
      <c r="AV412" s="549">
        <v>0</v>
      </c>
      <c r="AW412" s="675">
        <v>0</v>
      </c>
      <c r="AX412" s="549">
        <v>0</v>
      </c>
      <c r="AY412" s="675">
        <v>0</v>
      </c>
      <c r="AZ412" s="549">
        <v>0</v>
      </c>
      <c r="BA412" s="675">
        <v>0</v>
      </c>
      <c r="BB412" s="549">
        <v>0</v>
      </c>
      <c r="BC412" s="675">
        <v>0</v>
      </c>
      <c r="BD412" s="549">
        <v>0</v>
      </c>
      <c r="BE412" s="675">
        <v>0</v>
      </c>
      <c r="BF412" s="549">
        <v>0</v>
      </c>
      <c r="BG412" s="675">
        <v>0</v>
      </c>
      <c r="BH412" s="549">
        <v>0</v>
      </c>
      <c r="BI412" s="675">
        <v>0</v>
      </c>
      <c r="BJ412" s="549">
        <v>0</v>
      </c>
      <c r="BK412" s="675">
        <v>0</v>
      </c>
      <c r="BL412" s="549">
        <v>0</v>
      </c>
      <c r="BM412" s="675">
        <v>0</v>
      </c>
      <c r="BN412" s="549">
        <v>0</v>
      </c>
      <c r="BO412" s="675">
        <v>0</v>
      </c>
      <c r="BP412" s="549">
        <v>0</v>
      </c>
      <c r="BQ412" s="675">
        <v>0</v>
      </c>
      <c r="BR412" s="549">
        <v>0</v>
      </c>
      <c r="BS412" s="675">
        <v>0</v>
      </c>
      <c r="BT412" s="549">
        <v>0</v>
      </c>
      <c r="BU412" s="675">
        <v>0</v>
      </c>
      <c r="BV412" s="549">
        <v>0</v>
      </c>
      <c r="BW412" s="675">
        <v>0</v>
      </c>
      <c r="BX412" s="549">
        <v>0</v>
      </c>
      <c r="BY412" s="675">
        <v>0</v>
      </c>
      <c r="BZ412" s="549">
        <v>0</v>
      </c>
      <c r="CA412" s="675">
        <v>0</v>
      </c>
      <c r="CB412" s="549">
        <v>0</v>
      </c>
      <c r="CC412" s="675">
        <v>0</v>
      </c>
      <c r="CD412" s="549">
        <v>0</v>
      </c>
      <c r="CE412" s="675">
        <v>0</v>
      </c>
      <c r="CF412" s="549">
        <v>0</v>
      </c>
      <c r="CG412" s="675">
        <v>0</v>
      </c>
      <c r="CH412" s="549">
        <v>0</v>
      </c>
      <c r="CI412" s="675">
        <v>0</v>
      </c>
      <c r="CJ412" s="549">
        <v>0</v>
      </c>
      <c r="CK412" s="675">
        <v>0</v>
      </c>
      <c r="CL412" s="549">
        <v>0</v>
      </c>
      <c r="CM412" s="675">
        <v>0</v>
      </c>
      <c r="CN412" s="549">
        <v>0</v>
      </c>
      <c r="CO412" s="675">
        <v>0</v>
      </c>
      <c r="CP412" s="549">
        <v>0</v>
      </c>
      <c r="CQ412" s="675">
        <v>0</v>
      </c>
      <c r="CR412" s="549">
        <v>0</v>
      </c>
      <c r="CS412" s="675">
        <v>0</v>
      </c>
      <c r="CT412" s="549">
        <v>0</v>
      </c>
      <c r="CU412" s="675">
        <v>0</v>
      </c>
      <c r="CV412" s="549">
        <v>0</v>
      </c>
      <c r="CW412" s="675">
        <v>0</v>
      </c>
      <c r="CX412" s="549">
        <v>0</v>
      </c>
      <c r="CY412" s="675">
        <v>0</v>
      </c>
      <c r="CZ412" s="549">
        <v>0</v>
      </c>
      <c r="DA412" s="675">
        <v>0</v>
      </c>
      <c r="DB412" s="549">
        <v>0</v>
      </c>
      <c r="DC412" s="675">
        <v>0</v>
      </c>
      <c r="DD412" s="549">
        <v>0</v>
      </c>
      <c r="DE412" s="675">
        <v>0</v>
      </c>
      <c r="DF412" s="549">
        <v>0</v>
      </c>
      <c r="DG412" s="675">
        <v>0</v>
      </c>
      <c r="DH412" s="549">
        <v>0</v>
      </c>
      <c r="DI412" s="675">
        <v>0</v>
      </c>
      <c r="DJ412" s="549">
        <v>0</v>
      </c>
      <c r="DK412" s="675">
        <v>0</v>
      </c>
      <c r="DL412" s="549">
        <v>0</v>
      </c>
      <c r="DM412" s="675">
        <v>0</v>
      </c>
      <c r="DN412" s="549">
        <v>0</v>
      </c>
      <c r="DO412" s="675">
        <v>0</v>
      </c>
      <c r="DP412" s="549">
        <v>0</v>
      </c>
      <c r="DQ412" s="675">
        <v>0</v>
      </c>
      <c r="DR412" s="549">
        <v>0</v>
      </c>
      <c r="DS412" s="675">
        <v>0</v>
      </c>
      <c r="DT412" s="549">
        <v>0</v>
      </c>
      <c r="DU412" s="675">
        <v>0</v>
      </c>
      <c r="DV412" s="549">
        <v>0</v>
      </c>
      <c r="DW412" s="675">
        <v>0</v>
      </c>
      <c r="DX412" s="549">
        <v>0</v>
      </c>
      <c r="DY412" s="675">
        <v>0</v>
      </c>
      <c r="DZ412" s="549">
        <v>0</v>
      </c>
      <c r="EA412" s="675">
        <v>0</v>
      </c>
      <c r="EB412" s="549">
        <v>0</v>
      </c>
      <c r="EC412" s="675">
        <v>0</v>
      </c>
      <c r="ED412" s="549">
        <v>0</v>
      </c>
      <c r="EE412" s="675">
        <v>0</v>
      </c>
      <c r="EF412" s="549">
        <v>0</v>
      </c>
      <c r="EG412" s="675">
        <v>0</v>
      </c>
      <c r="EH412" s="549">
        <v>0</v>
      </c>
      <c r="EI412" s="675">
        <v>0</v>
      </c>
      <c r="EJ412" s="549">
        <v>0</v>
      </c>
      <c r="EK412" s="675">
        <v>0</v>
      </c>
      <c r="EL412" s="549">
        <v>0</v>
      </c>
      <c r="EM412" s="675">
        <v>0</v>
      </c>
      <c r="EN412" s="549">
        <v>0</v>
      </c>
      <c r="EO412" s="675">
        <v>0</v>
      </c>
      <c r="EP412" s="549">
        <v>0</v>
      </c>
      <c r="EQ412" s="675">
        <v>0</v>
      </c>
      <c r="ER412" s="549">
        <v>0</v>
      </c>
      <c r="ES412" s="675">
        <v>0</v>
      </c>
      <c r="ET412" s="549">
        <v>0</v>
      </c>
      <c r="EU412" s="675">
        <v>0</v>
      </c>
      <c r="EV412" s="549">
        <v>0</v>
      </c>
      <c r="EW412" s="675">
        <v>0</v>
      </c>
      <c r="EX412" s="549">
        <v>0</v>
      </c>
      <c r="EY412" s="675">
        <v>0</v>
      </c>
      <c r="EZ412" s="549">
        <v>0</v>
      </c>
      <c r="FA412" s="675">
        <v>0</v>
      </c>
      <c r="FB412" s="549">
        <v>0</v>
      </c>
      <c r="FC412" s="675">
        <v>0</v>
      </c>
      <c r="FD412" s="549">
        <v>0</v>
      </c>
      <c r="FE412" s="675">
        <v>0</v>
      </c>
      <c r="FF412" s="549">
        <v>0</v>
      </c>
      <c r="FG412" s="675">
        <v>0</v>
      </c>
      <c r="FH412" s="549">
        <v>0</v>
      </c>
      <c r="FI412" s="675">
        <v>0</v>
      </c>
      <c r="FJ412" s="549">
        <v>0</v>
      </c>
      <c r="FK412" s="675">
        <v>0</v>
      </c>
      <c r="FL412" s="549">
        <v>0</v>
      </c>
      <c r="FM412" s="675">
        <v>0</v>
      </c>
      <c r="FN412" s="549">
        <v>0</v>
      </c>
      <c r="FO412" s="675">
        <v>0</v>
      </c>
      <c r="FP412" s="549">
        <v>0</v>
      </c>
      <c r="FQ412" s="675">
        <v>0</v>
      </c>
      <c r="FR412" s="549">
        <v>0</v>
      </c>
      <c r="FS412" s="675">
        <v>0</v>
      </c>
      <c r="FT412" s="549">
        <v>0</v>
      </c>
      <c r="FU412" s="675">
        <v>0</v>
      </c>
      <c r="FV412" s="549">
        <v>0</v>
      </c>
      <c r="FW412" s="675">
        <v>0</v>
      </c>
      <c r="FX412" s="549">
        <v>0</v>
      </c>
      <c r="FY412" s="675">
        <v>0</v>
      </c>
      <c r="FZ412" s="549">
        <v>0</v>
      </c>
      <c r="GA412" s="675">
        <v>0</v>
      </c>
      <c r="GB412" s="549">
        <v>0</v>
      </c>
      <c r="GC412" s="675">
        <v>0</v>
      </c>
      <c r="GD412" s="549">
        <v>0</v>
      </c>
      <c r="GE412" s="675">
        <v>0</v>
      </c>
      <c r="GF412" s="549">
        <v>0</v>
      </c>
      <c r="GG412" s="675">
        <v>0</v>
      </c>
      <c r="GH412" s="549">
        <v>0</v>
      </c>
      <c r="GI412" s="675">
        <v>0</v>
      </c>
      <c r="GJ412" s="549">
        <v>0</v>
      </c>
      <c r="GK412" s="675">
        <v>0</v>
      </c>
      <c r="GL412" s="549">
        <v>0</v>
      </c>
      <c r="GM412" s="675">
        <v>0</v>
      </c>
      <c r="GN412" s="549">
        <v>0</v>
      </c>
      <c r="GO412" s="675">
        <v>0</v>
      </c>
      <c r="GP412" s="549">
        <f>+D412+F412+H412+J412+L412+N412+P412+R412+T412+V412+X412+Z412+AB412+AD412+AH412+AJ412+AL412+AN412+AP412+AR412+AT412+AV412+AX412+AZ412+BB412+BD412+BF412+BH412+BJ412+BL412+BN412+BP412+BR412+BT412+BV412+BX412+BZ412+CB412+CD412+CF412+CH412+CJ412+CL412+CN412+CP412+CR412+CT412+CV412+CX412+CZ412+DB412+DD412+DF412+DH412+DT412+EX412+DJ412+DL412+DN412+DP412+DR412+EJ412+EB412+DZ412+DX412+DV412+ED412+EF412+EH412+EL412+EN412+EP412+EV412+ET412+ER412+EZ412+FB412+FD412+GL412</f>
        <v>0</v>
      </c>
      <c r="GQ412" s="675">
        <f>+E412+G412+I412+K412+M412+O412+Q412+S412+U412+W412+Y412+AA412+AC412+AE412+AI412+AK412+AM412+AO412+AQ412+AS412+AU412+AW412+AY412+BA412+BC412+BE412+BG412+BI412+BK412+BM412+BO412+BQ412+BS412+BU412+BW412+BY412+CA412+CC412+CE412+CG412+CI412+CK412+CM412+CO412+CQ412+CS412+CU412+CW412+CY412+DA412+DC412+DE412+DG412+DI412+DU412+EY412+DK412+DM412+DO412+DQ412+DS412+EK412+EC412+EA412+DY412+DW412+EI412+EG412+EE412+EM412+EO412+EQ412+EW412+EU412+ES412+FA412+FC412+FE412+GM412</f>
        <v>0</v>
      </c>
      <c r="GR412" s="74">
        <f>C412+GP412+GQ412</f>
        <v>0</v>
      </c>
      <c r="GS412" s="74">
        <f t="shared" ref="GS412" si="10987">GU412</f>
        <v>0</v>
      </c>
      <c r="GT412" s="568">
        <f>SUM(GU412:HF412)+GQ412+GP412</f>
        <v>0</v>
      </c>
      <c r="GU412" s="275"/>
      <c r="GV412" s="832">
        <v>0</v>
      </c>
      <c r="GW412" s="588"/>
      <c r="GX412" s="833">
        <f>1000-1000</f>
        <v>0</v>
      </c>
      <c r="GY412" s="275"/>
      <c r="GZ412" s="275"/>
      <c r="HA412" s="275"/>
      <c r="HB412" s="834">
        <v>0</v>
      </c>
      <c r="HC412" s="275"/>
      <c r="HD412" s="275">
        <v>0</v>
      </c>
      <c r="HE412" s="275"/>
      <c r="HF412" s="275"/>
      <c r="HG412" s="74">
        <f>SUM(HH412:IE412)</f>
        <v>0</v>
      </c>
      <c r="HH412" s="89">
        <v>0</v>
      </c>
      <c r="HI412" s="817">
        <v>0</v>
      </c>
      <c r="HJ412" s="89">
        <v>0</v>
      </c>
      <c r="HK412" s="817">
        <v>0</v>
      </c>
      <c r="HL412" s="89">
        <v>0</v>
      </c>
      <c r="HM412" s="817">
        <v>0</v>
      </c>
      <c r="HN412" s="89">
        <v>0</v>
      </c>
      <c r="HO412" s="817">
        <v>0</v>
      </c>
      <c r="HP412" s="89">
        <v>0</v>
      </c>
      <c r="HQ412" s="817">
        <v>0</v>
      </c>
      <c r="HR412" s="89">
        <v>0</v>
      </c>
      <c r="HS412" s="817">
        <v>0</v>
      </c>
      <c r="HT412" s="89">
        <v>0</v>
      </c>
      <c r="HU412" s="817">
        <v>0</v>
      </c>
      <c r="HV412" s="89">
        <v>0</v>
      </c>
      <c r="HW412" s="817">
        <v>0</v>
      </c>
      <c r="HX412" s="89">
        <v>0</v>
      </c>
      <c r="HY412" s="817">
        <v>0</v>
      </c>
      <c r="HZ412" s="89">
        <v>0</v>
      </c>
      <c r="IA412" s="817">
        <v>0</v>
      </c>
      <c r="IB412" s="89">
        <v>0</v>
      </c>
      <c r="IC412" s="817">
        <v>0</v>
      </c>
      <c r="ID412" s="89">
        <v>0</v>
      </c>
      <c r="IE412" s="817">
        <v>0</v>
      </c>
      <c r="IF412" s="841">
        <f t="shared" ref="IF412:IF414" si="10988">SUM(II412,IL412,IO412,IR412,IU412,IX412,JA412,JD412,JG412,JJ412,JM412,JP412)</f>
        <v>0</v>
      </c>
      <c r="IG412" s="263">
        <f t="shared" ref="IG412:IG414" si="10989">SUM(IJ412,IM412,IP412,IS412,IV412,IY412,JB412,JE412,JH412,JK412,JN412,JQ412)</f>
        <v>0</v>
      </c>
      <c r="IH412" s="842">
        <f t="shared" ref="IH412:IH414" si="10990">SUM(IK412,IN412,IQ412,IT412,IW412,IZ412,JC412,JF412,JI412,JL412,JO412,JR412)</f>
        <v>0</v>
      </c>
      <c r="II412" s="89">
        <v>0</v>
      </c>
      <c r="IJ412" s="89">
        <v>0</v>
      </c>
      <c r="IK412" s="89">
        <v>0</v>
      </c>
      <c r="IL412" s="89">
        <v>0</v>
      </c>
      <c r="IM412" s="89">
        <v>0</v>
      </c>
      <c r="IN412" s="89">
        <v>0</v>
      </c>
      <c r="IO412" s="89">
        <v>0</v>
      </c>
      <c r="IP412" s="89">
        <v>0</v>
      </c>
      <c r="IQ412" s="89">
        <v>0</v>
      </c>
      <c r="IR412" s="89">
        <v>0</v>
      </c>
      <c r="IS412" s="89">
        <v>0</v>
      </c>
      <c r="IT412" s="89">
        <v>0</v>
      </c>
      <c r="IU412" s="89">
        <v>0</v>
      </c>
      <c r="IV412" s="89">
        <v>0</v>
      </c>
      <c r="IW412" s="89">
        <v>0</v>
      </c>
      <c r="IX412" s="89">
        <v>0</v>
      </c>
      <c r="IY412" s="89">
        <v>0</v>
      </c>
      <c r="IZ412" s="89">
        <v>0</v>
      </c>
      <c r="JA412" s="89">
        <v>0</v>
      </c>
      <c r="JB412" s="89">
        <v>0</v>
      </c>
      <c r="JC412" s="89">
        <v>0</v>
      </c>
      <c r="JD412" s="89">
        <v>0</v>
      </c>
      <c r="JE412" s="89">
        <v>0</v>
      </c>
      <c r="JF412" s="89">
        <v>0</v>
      </c>
      <c r="JG412" s="89">
        <v>0</v>
      </c>
      <c r="JH412" s="89">
        <v>0</v>
      </c>
      <c r="JI412" s="89">
        <v>0</v>
      </c>
      <c r="JJ412" s="89">
        <v>0</v>
      </c>
      <c r="JK412" s="89">
        <v>0</v>
      </c>
      <c r="JL412" s="89">
        <v>0</v>
      </c>
      <c r="JM412" s="89">
        <v>0</v>
      </c>
      <c r="JN412" s="89">
        <v>0</v>
      </c>
      <c r="JO412" s="89">
        <v>0</v>
      </c>
      <c r="JP412" s="89">
        <v>0</v>
      </c>
      <c r="JQ412" s="89">
        <v>0</v>
      </c>
      <c r="JR412" s="89">
        <v>0</v>
      </c>
      <c r="JS412" s="74">
        <f>HG412-IF412</f>
        <v>0</v>
      </c>
      <c r="JT412" s="382">
        <f>GS412-IF412</f>
        <v>0</v>
      </c>
      <c r="JU412" s="665"/>
      <c r="JV412" s="524"/>
      <c r="JW412" s="525"/>
      <c r="JX412" s="549">
        <f t="shared" ref="JX412:JY414" si="10991">SUM(HH412,HJ412,HL412,HN412,HP412,HR412,HT412,HV412,HX412,HZ412,IB412,ID412)</f>
        <v>0</v>
      </c>
      <c r="JY412" s="549">
        <f t="shared" si="10991"/>
        <v>0</v>
      </c>
      <c r="JZ412" s="581">
        <f t="shared" si="10300"/>
        <v>0</v>
      </c>
      <c r="KA412" s="581">
        <f t="shared" si="10301"/>
        <v>0</v>
      </c>
      <c r="KB412" s="549">
        <f t="shared" si="10257"/>
        <v>0</v>
      </c>
      <c r="KC412" s="709">
        <f t="shared" si="10273"/>
        <v>0</v>
      </c>
      <c r="KD412" s="36"/>
      <c r="KE412" s="36"/>
      <c r="KF412" s="36"/>
      <c r="KG412" s="36"/>
      <c r="KH412" s="36"/>
      <c r="KI412" s="36"/>
      <c r="KJ412" s="36"/>
      <c r="KK412" s="36"/>
    </row>
    <row r="413" spans="1:297" s="10" customFormat="1">
      <c r="A413" s="86" t="s">
        <v>252</v>
      </c>
      <c r="B413" s="77" t="s">
        <v>253</v>
      </c>
      <c r="C413" s="74">
        <v>89300</v>
      </c>
      <c r="D413" s="549">
        <v>0</v>
      </c>
      <c r="E413" s="675">
        <v>0</v>
      </c>
      <c r="F413" s="549">
        <v>0</v>
      </c>
      <c r="G413" s="675">
        <v>0</v>
      </c>
      <c r="H413" s="549">
        <v>0</v>
      </c>
      <c r="I413" s="675">
        <v>0</v>
      </c>
      <c r="J413" s="549">
        <v>0</v>
      </c>
      <c r="K413" s="675">
        <v>0</v>
      </c>
      <c r="L413" s="549">
        <v>0</v>
      </c>
      <c r="M413" s="675">
        <v>0</v>
      </c>
      <c r="N413" s="549">
        <v>0</v>
      </c>
      <c r="O413" s="675">
        <v>0</v>
      </c>
      <c r="P413" s="549">
        <v>0</v>
      </c>
      <c r="Q413" s="675">
        <v>0</v>
      </c>
      <c r="R413" s="549">
        <v>0</v>
      </c>
      <c r="S413" s="675">
        <v>0</v>
      </c>
      <c r="T413" s="549">
        <v>0</v>
      </c>
      <c r="U413" s="675">
        <v>0</v>
      </c>
      <c r="V413" s="549">
        <v>0</v>
      </c>
      <c r="W413" s="675">
        <v>0</v>
      </c>
      <c r="X413" s="549">
        <v>0</v>
      </c>
      <c r="Y413" s="675">
        <v>0</v>
      </c>
      <c r="Z413" s="549">
        <v>0</v>
      </c>
      <c r="AA413" s="675">
        <v>0</v>
      </c>
      <c r="AB413" s="549">
        <v>0</v>
      </c>
      <c r="AC413" s="675">
        <v>0</v>
      </c>
      <c r="AD413" s="549">
        <v>0</v>
      </c>
      <c r="AE413" s="675">
        <v>0</v>
      </c>
      <c r="AF413" s="549">
        <v>0</v>
      </c>
      <c r="AG413" s="675">
        <v>0</v>
      </c>
      <c r="AH413" s="549">
        <v>0</v>
      </c>
      <c r="AI413" s="675">
        <v>0</v>
      </c>
      <c r="AJ413" s="549">
        <v>0</v>
      </c>
      <c r="AK413" s="675">
        <v>0</v>
      </c>
      <c r="AL413" s="549">
        <v>0</v>
      </c>
      <c r="AM413" s="675">
        <v>0</v>
      </c>
      <c r="AN413" s="549">
        <v>0</v>
      </c>
      <c r="AO413" s="675">
        <v>0</v>
      </c>
      <c r="AP413" s="549">
        <v>0</v>
      </c>
      <c r="AQ413" s="675">
        <v>0</v>
      </c>
      <c r="AR413" s="549">
        <v>0</v>
      </c>
      <c r="AS413" s="675">
        <v>0</v>
      </c>
      <c r="AT413" s="549">
        <v>0</v>
      </c>
      <c r="AU413" s="675">
        <v>0</v>
      </c>
      <c r="AV413" s="549">
        <v>0</v>
      </c>
      <c r="AW413" s="675">
        <v>0</v>
      </c>
      <c r="AX413" s="549">
        <v>0</v>
      </c>
      <c r="AY413" s="675">
        <v>0</v>
      </c>
      <c r="AZ413" s="549">
        <v>0</v>
      </c>
      <c r="BA413" s="675">
        <v>0</v>
      </c>
      <c r="BB413" s="549">
        <v>0</v>
      </c>
      <c r="BC413" s="675">
        <v>0</v>
      </c>
      <c r="BD413" s="549">
        <v>0</v>
      </c>
      <c r="BE413" s="675">
        <v>0</v>
      </c>
      <c r="BF413" s="549">
        <v>0</v>
      </c>
      <c r="BG413" s="675">
        <v>0</v>
      </c>
      <c r="BH413" s="549">
        <v>0</v>
      </c>
      <c r="BI413" s="675">
        <v>0</v>
      </c>
      <c r="BJ413" s="549">
        <v>0</v>
      </c>
      <c r="BK413" s="675">
        <v>0</v>
      </c>
      <c r="BL413" s="549">
        <v>0</v>
      </c>
      <c r="BM413" s="675">
        <v>0</v>
      </c>
      <c r="BN413" s="549">
        <v>0</v>
      </c>
      <c r="BO413" s="675">
        <v>0</v>
      </c>
      <c r="BP413" s="549">
        <v>0</v>
      </c>
      <c r="BQ413" s="675">
        <v>0</v>
      </c>
      <c r="BR413" s="549">
        <v>0</v>
      </c>
      <c r="BS413" s="675">
        <v>0</v>
      </c>
      <c r="BT413" s="549">
        <v>0</v>
      </c>
      <c r="BU413" s="675">
        <v>0</v>
      </c>
      <c r="BV413" s="549">
        <v>0</v>
      </c>
      <c r="BW413" s="675">
        <v>0</v>
      </c>
      <c r="BX413" s="549">
        <v>0</v>
      </c>
      <c r="BY413" s="675">
        <v>0</v>
      </c>
      <c r="BZ413" s="549">
        <v>0</v>
      </c>
      <c r="CA413" s="675">
        <v>0</v>
      </c>
      <c r="CB413" s="549">
        <v>0</v>
      </c>
      <c r="CC413" s="675">
        <v>0</v>
      </c>
      <c r="CD413" s="549">
        <v>0</v>
      </c>
      <c r="CE413" s="675">
        <v>0</v>
      </c>
      <c r="CF413" s="549">
        <v>0</v>
      </c>
      <c r="CG413" s="675">
        <v>0</v>
      </c>
      <c r="CH413" s="549">
        <v>0</v>
      </c>
      <c r="CI413" s="675">
        <v>-3000</v>
      </c>
      <c r="CJ413" s="549">
        <v>0</v>
      </c>
      <c r="CK413" s="675">
        <v>-25000</v>
      </c>
      <c r="CL413" s="549">
        <v>0</v>
      </c>
      <c r="CM413" s="675">
        <v>0</v>
      </c>
      <c r="CN413" s="549">
        <v>0</v>
      </c>
      <c r="CO413" s="675">
        <v>0</v>
      </c>
      <c r="CP413" s="549">
        <v>0</v>
      </c>
      <c r="CQ413" s="675">
        <v>0</v>
      </c>
      <c r="CR413" s="549">
        <v>0</v>
      </c>
      <c r="CS413" s="675">
        <v>0</v>
      </c>
      <c r="CT413" s="549">
        <v>0</v>
      </c>
      <c r="CU413" s="675">
        <v>0</v>
      </c>
      <c r="CV413" s="549">
        <v>0</v>
      </c>
      <c r="CW413" s="675">
        <v>0</v>
      </c>
      <c r="CX413" s="549">
        <v>0</v>
      </c>
      <c r="CY413" s="675">
        <v>0</v>
      </c>
      <c r="CZ413" s="549">
        <v>0</v>
      </c>
      <c r="DA413" s="675">
        <v>0</v>
      </c>
      <c r="DB413" s="549">
        <v>0</v>
      </c>
      <c r="DC413" s="675">
        <v>0</v>
      </c>
      <c r="DD413" s="549">
        <v>0</v>
      </c>
      <c r="DE413" s="675">
        <v>0</v>
      </c>
      <c r="DF413" s="549">
        <v>0</v>
      </c>
      <c r="DG413" s="675">
        <v>0</v>
      </c>
      <c r="DH413" s="549">
        <v>0</v>
      </c>
      <c r="DI413" s="675">
        <v>-5000</v>
      </c>
      <c r="DJ413" s="549">
        <v>0</v>
      </c>
      <c r="DK413" s="675">
        <v>0</v>
      </c>
      <c r="DL413" s="549">
        <v>0</v>
      </c>
      <c r="DM413" s="675">
        <v>0</v>
      </c>
      <c r="DN413" s="549">
        <v>0</v>
      </c>
      <c r="DO413" s="675">
        <v>0</v>
      </c>
      <c r="DP413" s="549">
        <v>0</v>
      </c>
      <c r="DQ413" s="675">
        <v>0</v>
      </c>
      <c r="DR413" s="549">
        <v>0</v>
      </c>
      <c r="DS413" s="675">
        <v>0</v>
      </c>
      <c r="DT413" s="549">
        <v>0</v>
      </c>
      <c r="DU413" s="675">
        <v>0</v>
      </c>
      <c r="DV413" s="549">
        <v>0</v>
      </c>
      <c r="DW413" s="675">
        <v>0</v>
      </c>
      <c r="DX413" s="549">
        <v>0</v>
      </c>
      <c r="DY413" s="675">
        <v>0</v>
      </c>
      <c r="DZ413" s="549">
        <v>0</v>
      </c>
      <c r="EA413" s="675">
        <v>0</v>
      </c>
      <c r="EB413" s="549">
        <v>0</v>
      </c>
      <c r="EC413" s="675">
        <v>0</v>
      </c>
      <c r="ED413" s="549">
        <v>0</v>
      </c>
      <c r="EE413" s="675">
        <v>0</v>
      </c>
      <c r="EF413" s="549">
        <v>0</v>
      </c>
      <c r="EG413" s="675">
        <v>0</v>
      </c>
      <c r="EH413" s="549">
        <v>0</v>
      </c>
      <c r="EI413" s="675">
        <v>0</v>
      </c>
      <c r="EJ413" s="549">
        <v>0</v>
      </c>
      <c r="EK413" s="675">
        <v>0</v>
      </c>
      <c r="EL413" s="549">
        <v>0</v>
      </c>
      <c r="EM413" s="675">
        <v>0</v>
      </c>
      <c r="EN413" s="549">
        <v>0</v>
      </c>
      <c r="EO413" s="675">
        <v>0</v>
      </c>
      <c r="EP413" s="549">
        <v>0</v>
      </c>
      <c r="EQ413" s="675">
        <v>0</v>
      </c>
      <c r="ER413" s="549">
        <v>0</v>
      </c>
      <c r="ES413" s="675">
        <v>0</v>
      </c>
      <c r="ET413" s="549">
        <v>0</v>
      </c>
      <c r="EU413" s="675">
        <v>0</v>
      </c>
      <c r="EV413" s="549">
        <v>0</v>
      </c>
      <c r="EW413" s="675">
        <v>0</v>
      </c>
      <c r="EX413" s="549">
        <v>0</v>
      </c>
      <c r="EY413" s="675">
        <v>0</v>
      </c>
      <c r="EZ413" s="549">
        <v>0</v>
      </c>
      <c r="FA413" s="675">
        <v>0</v>
      </c>
      <c r="FB413" s="549">
        <v>0</v>
      </c>
      <c r="FC413" s="675">
        <v>0</v>
      </c>
      <c r="FD413" s="549">
        <v>0</v>
      </c>
      <c r="FE413" s="675">
        <v>0</v>
      </c>
      <c r="FF413" s="549">
        <v>0</v>
      </c>
      <c r="FG413" s="675">
        <v>0</v>
      </c>
      <c r="FH413" s="549">
        <v>0</v>
      </c>
      <c r="FI413" s="675">
        <v>0</v>
      </c>
      <c r="FJ413" s="549">
        <v>0</v>
      </c>
      <c r="FK413" s="675">
        <v>0</v>
      </c>
      <c r="FL413" s="549">
        <v>0</v>
      </c>
      <c r="FM413" s="675">
        <v>-10000</v>
      </c>
      <c r="FN413" s="549">
        <v>0</v>
      </c>
      <c r="FO413" s="675">
        <v>0</v>
      </c>
      <c r="FP413" s="549">
        <v>0</v>
      </c>
      <c r="FQ413" s="675">
        <v>0</v>
      </c>
      <c r="FR413" s="549">
        <v>0</v>
      </c>
      <c r="FS413" s="675">
        <v>-300</v>
      </c>
      <c r="FT413" s="549">
        <v>0</v>
      </c>
      <c r="FU413" s="675">
        <v>0</v>
      </c>
      <c r="FV413" s="549">
        <v>0</v>
      </c>
      <c r="FW413" s="675">
        <v>0</v>
      </c>
      <c r="FX413" s="549">
        <v>4703</v>
      </c>
      <c r="FY413" s="675">
        <v>0</v>
      </c>
      <c r="FZ413" s="549">
        <v>0</v>
      </c>
      <c r="GA413" s="675">
        <v>0</v>
      </c>
      <c r="GB413" s="549">
        <v>0</v>
      </c>
      <c r="GC413" s="675">
        <v>0</v>
      </c>
      <c r="GD413" s="549">
        <v>0</v>
      </c>
      <c r="GE413" s="675">
        <v>0</v>
      </c>
      <c r="GF413" s="549">
        <v>0</v>
      </c>
      <c r="GG413" s="675">
        <v>0</v>
      </c>
      <c r="GH413" s="549">
        <v>0</v>
      </c>
      <c r="GI413" s="675">
        <v>0</v>
      </c>
      <c r="GJ413" s="549">
        <v>0</v>
      </c>
      <c r="GK413" s="675">
        <v>0</v>
      </c>
      <c r="GL413" s="549">
        <v>0</v>
      </c>
      <c r="GM413" s="675">
        <v>0</v>
      </c>
      <c r="GN413" s="549">
        <v>0</v>
      </c>
      <c r="GO413" s="675">
        <v>0</v>
      </c>
      <c r="GP413" s="549">
        <f t="shared" ref="GP413:GP414" si="10992">+D413+F413+H413+J413+L413+N413+P413+R413+T413+V413+X413+Z413+AB413+AF413+AD413+AH413+AJ413+AL413+AN413+AP413+AR413+AT413+AV413+AX413+AZ413+BB413+BD413+BF413+BH413+BJ413+BL413+BN413+BP413+BR413+BT413+BV413+BX413+BZ413+CB413+CD413+CF413+CH413+CJ413+CL413+CN413+CP413+CR413+CT413+CV413+CX413+CZ413+DB413+DD413+DF413+DH413+DT413+EX413+DJ413+DL413+DN413+DP413+DR413+EJ413+EB413+DZ413+DX413+DV413+ED413+EF413+EH413+EL413+EN413+EP413+EV413+ET413+ER413+EZ413+FB413+FD413+GL413+FF413+FJ413+FL413+GJ413+FT413+FR413+FP413+FN413+FH413+GH413+GF413+GD413+GB413+FZ413+FX413+FV413+GN413</f>
        <v>4703</v>
      </c>
      <c r="GQ413" s="675">
        <f t="shared" ref="GQ413:GQ414" si="10993">+E413+G413+I413+K413+M413+O413+Q413+S413+U413+W413+Y413+AA413+AC413+AE413+AG413+AI413+AK413+AM413+AO413+AQ413+AS413+AU413+AW413+AY413+BA413+BC413+BE413+BG413+BI413+BK413+BM413+BO413+BQ413+BS413+BU413+BW413+BY413+CA413+CC413+CE413+CG413+CI413+CK413+CM413+CO413+CQ413+CS413+CU413+CW413+CY413+DA413+DC413+DE413+DG413+DI413+DU413+EY413+DK413+DM413+DO413+DQ413+DS413+EK413+EC413+EA413+DY413+DW413+EI413+EG413+EE413+EM413+EO413+EQ413+EW413+EU413+ES413+FA413+FC413+FE413+GM413+FG413+FK413+FM413+FO413+FQ413+FS413+FU413+GK413+FI413+GI413+GG413+GE413+GC413+GA413+FY413+FW413+GO413</f>
        <v>-43300</v>
      </c>
      <c r="GR413" s="74">
        <f>C413+GP413+GQ413</f>
        <v>50703</v>
      </c>
      <c r="GS413" s="74">
        <f t="shared" ref="GS413:GS414" si="10994">SUM(GU413:HD413)+GP413+GQ413</f>
        <v>50703</v>
      </c>
      <c r="GT413" s="568">
        <f t="shared" ref="GT413:GT414" si="10995">SUM(GU413:HF413)+GQ413+GP413</f>
        <v>50703</v>
      </c>
      <c r="GU413" s="493">
        <v>89300</v>
      </c>
      <c r="GV413" s="493"/>
      <c r="GW413" s="589"/>
      <c r="GX413" s="589"/>
      <c r="GY413" s="493"/>
      <c r="GZ413" s="493"/>
      <c r="HA413" s="493"/>
      <c r="HB413" s="493"/>
      <c r="HC413" s="493"/>
      <c r="HD413" s="493"/>
      <c r="HE413" s="493"/>
      <c r="HF413" s="275"/>
      <c r="HG413" s="74">
        <f>SUM(HH413:IE413)</f>
        <v>50703</v>
      </c>
      <c r="HH413" s="89">
        <v>89300</v>
      </c>
      <c r="HI413" s="817">
        <v>0</v>
      </c>
      <c r="HJ413" s="89">
        <v>0</v>
      </c>
      <c r="HK413" s="817">
        <v>0</v>
      </c>
      <c r="HL413" s="89">
        <v>0</v>
      </c>
      <c r="HM413" s="817">
        <v>0</v>
      </c>
      <c r="HN413" s="89">
        <v>0</v>
      </c>
      <c r="HO413" s="817">
        <v>0</v>
      </c>
      <c r="HP413" s="89">
        <v>0</v>
      </c>
      <c r="HQ413" s="817">
        <v>0</v>
      </c>
      <c r="HR413" s="89">
        <v>-3000</v>
      </c>
      <c r="HS413" s="817">
        <v>0</v>
      </c>
      <c r="HT413" s="89">
        <v>-25000</v>
      </c>
      <c r="HU413" s="817">
        <v>0</v>
      </c>
      <c r="HV413" s="89">
        <v>-5000</v>
      </c>
      <c r="HW413" s="817">
        <v>0</v>
      </c>
      <c r="HX413" s="89">
        <v>0</v>
      </c>
      <c r="HY413" s="817">
        <v>0</v>
      </c>
      <c r="HZ413" s="89">
        <f>50703-56300</f>
        <v>-5597</v>
      </c>
      <c r="IA413" s="817">
        <v>0</v>
      </c>
      <c r="IB413" s="89">
        <v>0</v>
      </c>
      <c r="IC413" s="817">
        <v>0</v>
      </c>
      <c r="ID413" s="89">
        <v>0</v>
      </c>
      <c r="IE413" s="817">
        <v>0</v>
      </c>
      <c r="IF413" s="841">
        <f t="shared" si="10988"/>
        <v>45934</v>
      </c>
      <c r="IG413" s="263">
        <f t="shared" si="10989"/>
        <v>45934</v>
      </c>
      <c r="IH413" s="842">
        <f t="shared" si="10990"/>
        <v>45934</v>
      </c>
      <c r="II413" s="89">
        <v>0</v>
      </c>
      <c r="IJ413" s="89">
        <f t="shared" ref="IJ413:IJ414" si="10996">II413</f>
        <v>0</v>
      </c>
      <c r="IK413" s="89">
        <f t="shared" ref="IK413:IK414" si="10997">IJ413</f>
        <v>0</v>
      </c>
      <c r="IL413" s="89">
        <v>44075</v>
      </c>
      <c r="IM413" s="89">
        <f t="shared" ref="IM413:IM414" si="10998">IL413</f>
        <v>44075</v>
      </c>
      <c r="IN413" s="89">
        <f t="shared" ref="IN413:IN414" si="10999">IM413</f>
        <v>44075</v>
      </c>
      <c r="IO413" s="89">
        <v>0</v>
      </c>
      <c r="IP413" s="89">
        <f t="shared" ref="IP413:IP414" si="11000">IO413</f>
        <v>0</v>
      </c>
      <c r="IQ413" s="89">
        <f t="shared" ref="IQ413:IQ414" si="11001">IP413</f>
        <v>0</v>
      </c>
      <c r="IR413" s="89">
        <v>0</v>
      </c>
      <c r="IS413" s="89">
        <f t="shared" ref="IS413:IS414" si="11002">IR413</f>
        <v>0</v>
      </c>
      <c r="IT413" s="89">
        <f t="shared" ref="IT413:IT414" si="11003">IS413</f>
        <v>0</v>
      </c>
      <c r="IU413" s="89">
        <v>0</v>
      </c>
      <c r="IV413" s="89">
        <f t="shared" ref="IV413:IV414" si="11004">IU413</f>
        <v>0</v>
      </c>
      <c r="IW413" s="89">
        <f t="shared" ref="IW413:IW414" si="11005">IV413</f>
        <v>0</v>
      </c>
      <c r="IX413" s="89">
        <f>45934-44075</f>
        <v>1859</v>
      </c>
      <c r="IY413" s="89">
        <f t="shared" ref="IY413:IY414" si="11006">IX413</f>
        <v>1859</v>
      </c>
      <c r="IZ413" s="89">
        <f t="shared" ref="IZ413:IZ414" si="11007">IY413</f>
        <v>1859</v>
      </c>
      <c r="JA413" s="89">
        <f>45934-45934</f>
        <v>0</v>
      </c>
      <c r="JB413" s="89">
        <f t="shared" ref="JB413:JB414" si="11008">JA413</f>
        <v>0</v>
      </c>
      <c r="JC413" s="89">
        <f t="shared" ref="JC413:JC414" si="11009">JB413</f>
        <v>0</v>
      </c>
      <c r="JD413" s="89">
        <v>0</v>
      </c>
      <c r="JE413" s="89">
        <f t="shared" ref="JE413:JE414" si="11010">JD413</f>
        <v>0</v>
      </c>
      <c r="JF413" s="89">
        <f t="shared" ref="JF413:JF414" si="11011">JE413</f>
        <v>0</v>
      </c>
      <c r="JG413" s="89">
        <v>0</v>
      </c>
      <c r="JH413" s="89">
        <f t="shared" ref="JH413:JH414" si="11012">JG413</f>
        <v>0</v>
      </c>
      <c r="JI413" s="89">
        <f t="shared" ref="JI413:JI414" si="11013">JH413</f>
        <v>0</v>
      </c>
      <c r="JJ413" s="89">
        <v>0</v>
      </c>
      <c r="JK413" s="89">
        <f t="shared" ref="JK413:JK414" si="11014">JJ413</f>
        <v>0</v>
      </c>
      <c r="JL413" s="89">
        <f t="shared" ref="JL413:JL414" si="11015">JK413</f>
        <v>0</v>
      </c>
      <c r="JM413" s="89">
        <v>0</v>
      </c>
      <c r="JN413" s="89">
        <f t="shared" ref="JN413:JN414" si="11016">JM413</f>
        <v>0</v>
      </c>
      <c r="JO413" s="89">
        <f t="shared" ref="JO413:JO414" si="11017">JN413</f>
        <v>0</v>
      </c>
      <c r="JP413" s="89">
        <v>0</v>
      </c>
      <c r="JQ413" s="89">
        <f t="shared" ref="JQ413:JR413" si="11018">JP413</f>
        <v>0</v>
      </c>
      <c r="JR413" s="89">
        <f t="shared" si="11018"/>
        <v>0</v>
      </c>
      <c r="JS413" s="74">
        <f>HG413-IF413</f>
        <v>4769</v>
      </c>
      <c r="JT413" s="382">
        <f>GS413-IF413</f>
        <v>4769</v>
      </c>
      <c r="JU413" s="665"/>
      <c r="JV413" s="524"/>
      <c r="JW413" s="525"/>
      <c r="JX413" s="549">
        <f>SUM(HH413,HJ413,HL413,HN413,HP413,HR413,HT413,HV413,HX413,HZ413,IB413,ID413)</f>
        <v>50703</v>
      </c>
      <c r="JY413" s="549">
        <f t="shared" si="10991"/>
        <v>0</v>
      </c>
      <c r="JZ413" s="581">
        <f t="shared" si="10300"/>
        <v>4703</v>
      </c>
      <c r="KA413" s="581">
        <f t="shared" si="10301"/>
        <v>-43300</v>
      </c>
      <c r="KB413" s="549">
        <f>JX413</f>
        <v>50703</v>
      </c>
      <c r="KC413" s="709">
        <f>HG413-KB413</f>
        <v>0</v>
      </c>
      <c r="KD413" s="36"/>
      <c r="KE413" s="36"/>
      <c r="KF413" s="36"/>
      <c r="KG413" s="36"/>
      <c r="KH413" s="36"/>
      <c r="KI413" s="36"/>
      <c r="KJ413" s="36"/>
      <c r="KK413" s="36"/>
    </row>
    <row r="414" spans="1:297" s="10" customFormat="1">
      <c r="A414" s="86" t="s">
        <v>254</v>
      </c>
      <c r="B414" s="77" t="s">
        <v>114</v>
      </c>
      <c r="C414" s="74">
        <v>10700</v>
      </c>
      <c r="D414" s="549">
        <v>0</v>
      </c>
      <c r="E414" s="675">
        <v>0</v>
      </c>
      <c r="F414" s="549">
        <v>0</v>
      </c>
      <c r="G414" s="675">
        <v>0</v>
      </c>
      <c r="H414" s="549">
        <v>0</v>
      </c>
      <c r="I414" s="675">
        <v>0</v>
      </c>
      <c r="J414" s="549">
        <v>0</v>
      </c>
      <c r="K414" s="675">
        <v>0</v>
      </c>
      <c r="L414" s="549">
        <v>0</v>
      </c>
      <c r="M414" s="675">
        <v>0</v>
      </c>
      <c r="N414" s="549">
        <v>0</v>
      </c>
      <c r="O414" s="675">
        <v>0</v>
      </c>
      <c r="P414" s="549">
        <v>0</v>
      </c>
      <c r="Q414" s="675">
        <v>0</v>
      </c>
      <c r="R414" s="549">
        <v>0</v>
      </c>
      <c r="S414" s="675">
        <v>0</v>
      </c>
      <c r="T414" s="549">
        <v>0</v>
      </c>
      <c r="U414" s="675">
        <v>0</v>
      </c>
      <c r="V414" s="549">
        <v>0</v>
      </c>
      <c r="W414" s="675">
        <v>0</v>
      </c>
      <c r="X414" s="549">
        <v>0</v>
      </c>
      <c r="Y414" s="675">
        <v>0</v>
      </c>
      <c r="Z414" s="549">
        <v>0</v>
      </c>
      <c r="AA414" s="675">
        <v>0</v>
      </c>
      <c r="AB414" s="549">
        <v>0</v>
      </c>
      <c r="AC414" s="675">
        <v>0</v>
      </c>
      <c r="AD414" s="549">
        <v>0</v>
      </c>
      <c r="AE414" s="675">
        <v>0</v>
      </c>
      <c r="AF414" s="549">
        <v>0</v>
      </c>
      <c r="AG414" s="675">
        <v>0</v>
      </c>
      <c r="AH414" s="549">
        <v>0</v>
      </c>
      <c r="AI414" s="675">
        <v>0</v>
      </c>
      <c r="AJ414" s="549">
        <v>0</v>
      </c>
      <c r="AK414" s="675">
        <v>0</v>
      </c>
      <c r="AL414" s="549">
        <v>0</v>
      </c>
      <c r="AM414" s="675">
        <v>0</v>
      </c>
      <c r="AN414" s="549">
        <v>0</v>
      </c>
      <c r="AO414" s="675">
        <v>0</v>
      </c>
      <c r="AP414" s="549">
        <v>0</v>
      </c>
      <c r="AQ414" s="675">
        <v>0</v>
      </c>
      <c r="AR414" s="549">
        <v>0</v>
      </c>
      <c r="AS414" s="675">
        <v>0</v>
      </c>
      <c r="AT414" s="549">
        <v>0</v>
      </c>
      <c r="AU414" s="675">
        <v>0</v>
      </c>
      <c r="AV414" s="549">
        <v>0</v>
      </c>
      <c r="AW414" s="675">
        <v>0</v>
      </c>
      <c r="AX414" s="549">
        <v>0</v>
      </c>
      <c r="AY414" s="675">
        <v>0</v>
      </c>
      <c r="AZ414" s="549">
        <v>5000</v>
      </c>
      <c r="BA414" s="675">
        <v>0</v>
      </c>
      <c r="BB414" s="549">
        <v>0</v>
      </c>
      <c r="BC414" s="675">
        <v>0</v>
      </c>
      <c r="BD414" s="549">
        <v>0</v>
      </c>
      <c r="BE414" s="675">
        <v>0</v>
      </c>
      <c r="BF414" s="549">
        <v>0</v>
      </c>
      <c r="BG414" s="675">
        <v>0</v>
      </c>
      <c r="BH414" s="549">
        <v>0</v>
      </c>
      <c r="BI414" s="675">
        <v>0</v>
      </c>
      <c r="BJ414" s="549">
        <v>0</v>
      </c>
      <c r="BK414" s="675">
        <v>0</v>
      </c>
      <c r="BL414" s="549">
        <v>0</v>
      </c>
      <c r="BM414" s="675">
        <v>0</v>
      </c>
      <c r="BN414" s="549">
        <v>0</v>
      </c>
      <c r="BO414" s="675">
        <v>0</v>
      </c>
      <c r="BP414" s="549">
        <v>0</v>
      </c>
      <c r="BQ414" s="675">
        <v>0</v>
      </c>
      <c r="BR414" s="549">
        <v>0</v>
      </c>
      <c r="BS414" s="675">
        <v>0</v>
      </c>
      <c r="BT414" s="549">
        <v>0</v>
      </c>
      <c r="BU414" s="675">
        <v>0</v>
      </c>
      <c r="BV414" s="549">
        <v>0</v>
      </c>
      <c r="BW414" s="675">
        <v>0</v>
      </c>
      <c r="BX414" s="549">
        <v>0</v>
      </c>
      <c r="BY414" s="675">
        <v>0</v>
      </c>
      <c r="BZ414" s="549">
        <v>0</v>
      </c>
      <c r="CA414" s="675">
        <v>0</v>
      </c>
      <c r="CB414" s="549">
        <v>0</v>
      </c>
      <c r="CC414" s="675">
        <v>0</v>
      </c>
      <c r="CD414" s="549">
        <v>0</v>
      </c>
      <c r="CE414" s="675">
        <v>0</v>
      </c>
      <c r="CF414" s="549">
        <v>0</v>
      </c>
      <c r="CG414" s="675">
        <v>0</v>
      </c>
      <c r="CH414" s="549">
        <v>0</v>
      </c>
      <c r="CI414" s="675">
        <v>0</v>
      </c>
      <c r="CJ414" s="549">
        <v>0</v>
      </c>
      <c r="CK414" s="675">
        <v>0</v>
      </c>
      <c r="CL414" s="549">
        <v>7000</v>
      </c>
      <c r="CM414" s="675">
        <v>0</v>
      </c>
      <c r="CN414" s="549">
        <v>0</v>
      </c>
      <c r="CO414" s="675">
        <v>0</v>
      </c>
      <c r="CP414" s="549">
        <v>0</v>
      </c>
      <c r="CQ414" s="675">
        <v>0</v>
      </c>
      <c r="CR414" s="549">
        <v>0</v>
      </c>
      <c r="CS414" s="675">
        <v>0</v>
      </c>
      <c r="CT414" s="549">
        <v>0</v>
      </c>
      <c r="CU414" s="675">
        <v>0</v>
      </c>
      <c r="CV414" s="549">
        <v>0</v>
      </c>
      <c r="CW414" s="675">
        <v>0</v>
      </c>
      <c r="CX414" s="549">
        <v>0</v>
      </c>
      <c r="CY414" s="675">
        <v>0</v>
      </c>
      <c r="CZ414" s="549">
        <v>0</v>
      </c>
      <c r="DA414" s="675">
        <v>0</v>
      </c>
      <c r="DB414" s="549">
        <v>0</v>
      </c>
      <c r="DC414" s="675">
        <v>0</v>
      </c>
      <c r="DD414" s="549">
        <v>0</v>
      </c>
      <c r="DE414" s="675">
        <v>0</v>
      </c>
      <c r="DF414" s="549">
        <v>0</v>
      </c>
      <c r="DG414" s="675">
        <v>0</v>
      </c>
      <c r="DH414" s="549">
        <v>0</v>
      </c>
      <c r="DI414" s="675">
        <v>0</v>
      </c>
      <c r="DJ414" s="549">
        <v>0</v>
      </c>
      <c r="DK414" s="675">
        <v>0</v>
      </c>
      <c r="DL414" s="549">
        <v>0</v>
      </c>
      <c r="DM414" s="675">
        <v>0</v>
      </c>
      <c r="DN414" s="549">
        <v>0</v>
      </c>
      <c r="DO414" s="675">
        <v>0</v>
      </c>
      <c r="DP414" s="549">
        <v>0</v>
      </c>
      <c r="DQ414" s="675">
        <v>0</v>
      </c>
      <c r="DR414" s="549">
        <v>0</v>
      </c>
      <c r="DS414" s="675">
        <v>0</v>
      </c>
      <c r="DT414" s="549">
        <v>0</v>
      </c>
      <c r="DU414" s="675">
        <v>0</v>
      </c>
      <c r="DV414" s="549">
        <v>0</v>
      </c>
      <c r="DW414" s="675">
        <v>0</v>
      </c>
      <c r="DX414" s="549">
        <v>0</v>
      </c>
      <c r="DY414" s="675">
        <v>0</v>
      </c>
      <c r="DZ414" s="549">
        <v>0</v>
      </c>
      <c r="EA414" s="675">
        <v>0</v>
      </c>
      <c r="EB414" s="549">
        <v>0</v>
      </c>
      <c r="EC414" s="675">
        <v>0</v>
      </c>
      <c r="ED414" s="549">
        <v>0</v>
      </c>
      <c r="EE414" s="675">
        <v>0</v>
      </c>
      <c r="EF414" s="549">
        <v>0</v>
      </c>
      <c r="EG414" s="675">
        <v>0</v>
      </c>
      <c r="EH414" s="549">
        <v>0</v>
      </c>
      <c r="EI414" s="675">
        <v>0</v>
      </c>
      <c r="EJ414" s="549">
        <v>0</v>
      </c>
      <c r="EK414" s="675">
        <v>0</v>
      </c>
      <c r="EL414" s="549">
        <v>5000</v>
      </c>
      <c r="EM414" s="675">
        <v>0</v>
      </c>
      <c r="EN414" s="549">
        <v>0</v>
      </c>
      <c r="EO414" s="675">
        <v>0</v>
      </c>
      <c r="EP414" s="549">
        <v>0</v>
      </c>
      <c r="EQ414" s="675">
        <v>0</v>
      </c>
      <c r="ER414" s="549">
        <v>0</v>
      </c>
      <c r="ES414" s="675">
        <v>0</v>
      </c>
      <c r="ET414" s="549">
        <v>0</v>
      </c>
      <c r="EU414" s="675">
        <v>0</v>
      </c>
      <c r="EV414" s="549">
        <v>0</v>
      </c>
      <c r="EW414" s="675">
        <v>0</v>
      </c>
      <c r="EX414" s="549">
        <v>0</v>
      </c>
      <c r="EY414" s="675">
        <v>0</v>
      </c>
      <c r="EZ414" s="549">
        <v>0</v>
      </c>
      <c r="FA414" s="675">
        <v>0</v>
      </c>
      <c r="FB414" s="549">
        <v>0</v>
      </c>
      <c r="FC414" s="675">
        <v>0</v>
      </c>
      <c r="FD414" s="549">
        <v>5000</v>
      </c>
      <c r="FE414" s="675">
        <v>0</v>
      </c>
      <c r="FF414" s="549">
        <v>0</v>
      </c>
      <c r="FG414" s="675">
        <v>0</v>
      </c>
      <c r="FH414" s="549">
        <v>0</v>
      </c>
      <c r="FI414" s="675">
        <v>0</v>
      </c>
      <c r="FJ414" s="549">
        <v>0</v>
      </c>
      <c r="FK414" s="675">
        <v>0</v>
      </c>
      <c r="FL414" s="549">
        <v>5000</v>
      </c>
      <c r="FM414" s="675">
        <v>0</v>
      </c>
      <c r="FN414" s="549">
        <v>0</v>
      </c>
      <c r="FO414" s="675">
        <v>0</v>
      </c>
      <c r="FP414" s="549">
        <v>0</v>
      </c>
      <c r="FQ414" s="675">
        <v>0</v>
      </c>
      <c r="FR414" s="549">
        <v>5000</v>
      </c>
      <c r="FS414" s="675">
        <v>0</v>
      </c>
      <c r="FT414" s="549">
        <v>0</v>
      </c>
      <c r="FU414" s="675">
        <v>0</v>
      </c>
      <c r="FV414" s="549">
        <v>0</v>
      </c>
      <c r="FW414" s="675">
        <v>0</v>
      </c>
      <c r="FX414" s="549">
        <v>0</v>
      </c>
      <c r="FY414" s="675">
        <v>0</v>
      </c>
      <c r="FZ414" s="549">
        <v>0</v>
      </c>
      <c r="GA414" s="675">
        <v>0</v>
      </c>
      <c r="GB414" s="549">
        <v>0</v>
      </c>
      <c r="GC414" s="675">
        <v>0</v>
      </c>
      <c r="GD414" s="549">
        <v>0</v>
      </c>
      <c r="GE414" s="675">
        <v>0</v>
      </c>
      <c r="GF414" s="549">
        <v>0</v>
      </c>
      <c r="GG414" s="675">
        <v>0</v>
      </c>
      <c r="GH414" s="549">
        <v>0</v>
      </c>
      <c r="GI414" s="675">
        <v>0</v>
      </c>
      <c r="GJ414" s="549">
        <v>0</v>
      </c>
      <c r="GK414" s="675">
        <v>0</v>
      </c>
      <c r="GL414" s="549">
        <v>0</v>
      </c>
      <c r="GM414" s="675">
        <v>0</v>
      </c>
      <c r="GN414" s="549">
        <v>0</v>
      </c>
      <c r="GO414" s="675">
        <v>0</v>
      </c>
      <c r="GP414" s="549">
        <f t="shared" si="10992"/>
        <v>32000</v>
      </c>
      <c r="GQ414" s="675">
        <f t="shared" si="10993"/>
        <v>0</v>
      </c>
      <c r="GR414" s="74">
        <f>C414+GP414+GQ414</f>
        <v>42700</v>
      </c>
      <c r="GS414" s="74">
        <f t="shared" si="10994"/>
        <v>42700</v>
      </c>
      <c r="GT414" s="568">
        <f t="shared" si="10995"/>
        <v>42700</v>
      </c>
      <c r="GU414" s="493">
        <v>5700</v>
      </c>
      <c r="GV414" s="493"/>
      <c r="GW414" s="493">
        <v>5000</v>
      </c>
      <c r="GX414" s="493"/>
      <c r="GY414" s="493"/>
      <c r="GZ414" s="493"/>
      <c r="HA414" s="493"/>
      <c r="HB414" s="493"/>
      <c r="HC414" s="493"/>
      <c r="HD414" s="493"/>
      <c r="HE414" s="493"/>
      <c r="HF414" s="275">
        <v>0</v>
      </c>
      <c r="HG414" s="74">
        <f>SUM(HH414:IE414)</f>
        <v>42700</v>
      </c>
      <c r="HH414" s="89">
        <v>5700</v>
      </c>
      <c r="HI414" s="817">
        <v>0</v>
      </c>
      <c r="HJ414" s="89">
        <v>0</v>
      </c>
      <c r="HK414" s="817">
        <v>0</v>
      </c>
      <c r="HL414" s="89">
        <v>5000</v>
      </c>
      <c r="HM414" s="817">
        <v>0</v>
      </c>
      <c r="HN414" s="89">
        <v>0</v>
      </c>
      <c r="HO414" s="817">
        <v>0</v>
      </c>
      <c r="HP414" s="89">
        <v>5000</v>
      </c>
      <c r="HQ414" s="817">
        <v>0</v>
      </c>
      <c r="HR414" s="89">
        <v>0</v>
      </c>
      <c r="HS414" s="817">
        <v>0</v>
      </c>
      <c r="HT414" s="89">
        <v>7000</v>
      </c>
      <c r="HU414" s="817">
        <v>0</v>
      </c>
      <c r="HV414" s="89">
        <v>0</v>
      </c>
      <c r="HW414" s="817">
        <v>0</v>
      </c>
      <c r="HX414" s="89">
        <v>5000</v>
      </c>
      <c r="HY414" s="817">
        <v>0</v>
      </c>
      <c r="HZ414" s="89">
        <f>42700-27700</f>
        <v>15000</v>
      </c>
      <c r="IA414" s="817">
        <v>0</v>
      </c>
      <c r="IB414" s="89">
        <v>0</v>
      </c>
      <c r="IC414" s="817">
        <v>0</v>
      </c>
      <c r="ID414" s="89">
        <v>0</v>
      </c>
      <c r="IE414" s="817">
        <v>0</v>
      </c>
      <c r="IF414" s="841">
        <f t="shared" si="10988"/>
        <v>24506.79</v>
      </c>
      <c r="IG414" s="263">
        <f t="shared" si="10989"/>
        <v>24506.79</v>
      </c>
      <c r="IH414" s="842">
        <f t="shared" si="10990"/>
        <v>24506.79</v>
      </c>
      <c r="II414" s="89">
        <v>1810.4</v>
      </c>
      <c r="IJ414" s="89">
        <f t="shared" si="10996"/>
        <v>1810.4</v>
      </c>
      <c r="IK414" s="89">
        <f t="shared" si="10997"/>
        <v>1810.4</v>
      </c>
      <c r="IL414" s="89">
        <f>4389.4-1810.4</f>
        <v>2578.9999999999995</v>
      </c>
      <c r="IM414" s="89">
        <f t="shared" si="10998"/>
        <v>2578.9999999999995</v>
      </c>
      <c r="IN414" s="89">
        <f t="shared" si="10999"/>
        <v>2578.9999999999995</v>
      </c>
      <c r="IO414" s="89">
        <f>6745.65-4389.4</f>
        <v>2356.25</v>
      </c>
      <c r="IP414" s="89">
        <f t="shared" si="11000"/>
        <v>2356.25</v>
      </c>
      <c r="IQ414" s="89">
        <f t="shared" si="11001"/>
        <v>2356.25</v>
      </c>
      <c r="IR414" s="89">
        <f>7368.65-6745.65</f>
        <v>623</v>
      </c>
      <c r="IS414" s="89">
        <f t="shared" si="11002"/>
        <v>623</v>
      </c>
      <c r="IT414" s="89">
        <f t="shared" si="11003"/>
        <v>623</v>
      </c>
      <c r="IU414" s="89">
        <f>11139.7-7368.65</f>
        <v>3771.0500000000011</v>
      </c>
      <c r="IV414" s="89">
        <f t="shared" si="11004"/>
        <v>3771.0500000000011</v>
      </c>
      <c r="IW414" s="89">
        <f t="shared" si="11005"/>
        <v>3771.0500000000011</v>
      </c>
      <c r="IX414" s="89">
        <f>12936.67-11139.7</f>
        <v>1796.9699999999993</v>
      </c>
      <c r="IY414" s="89">
        <f t="shared" si="11006"/>
        <v>1796.9699999999993</v>
      </c>
      <c r="IZ414" s="89">
        <f t="shared" si="11007"/>
        <v>1796.9699999999993</v>
      </c>
      <c r="JA414" s="89">
        <f>13616.26-12936.67</f>
        <v>679.59000000000015</v>
      </c>
      <c r="JB414" s="89">
        <f t="shared" si="11008"/>
        <v>679.59000000000015</v>
      </c>
      <c r="JC414" s="89">
        <f t="shared" si="11009"/>
        <v>679.59000000000015</v>
      </c>
      <c r="JD414" s="89">
        <f>17325.07-13616.26</f>
        <v>3708.8099999999995</v>
      </c>
      <c r="JE414" s="89">
        <f t="shared" si="11010"/>
        <v>3708.8099999999995</v>
      </c>
      <c r="JF414" s="89">
        <f t="shared" si="11011"/>
        <v>3708.8099999999995</v>
      </c>
      <c r="JG414" s="89">
        <f>21427.39-17325.07</f>
        <v>4102.32</v>
      </c>
      <c r="JH414" s="89">
        <f t="shared" si="11012"/>
        <v>4102.32</v>
      </c>
      <c r="JI414" s="89">
        <f t="shared" si="11013"/>
        <v>4102.32</v>
      </c>
      <c r="JJ414" s="89">
        <f>24506.79-21427.39</f>
        <v>3079.4000000000015</v>
      </c>
      <c r="JK414" s="89">
        <f t="shared" si="11014"/>
        <v>3079.4000000000015</v>
      </c>
      <c r="JL414" s="89">
        <f t="shared" si="11015"/>
        <v>3079.4000000000015</v>
      </c>
      <c r="JM414" s="89">
        <v>0</v>
      </c>
      <c r="JN414" s="89">
        <f t="shared" si="11016"/>
        <v>0</v>
      </c>
      <c r="JO414" s="89">
        <f t="shared" si="11017"/>
        <v>0</v>
      </c>
      <c r="JP414" s="89">
        <v>0</v>
      </c>
      <c r="JQ414" s="89">
        <f t="shared" ref="JQ414:JR414" si="11019">JP414</f>
        <v>0</v>
      </c>
      <c r="JR414" s="89">
        <f t="shared" si="11019"/>
        <v>0</v>
      </c>
      <c r="JS414" s="74">
        <f>HG414-IF414</f>
        <v>18193.21</v>
      </c>
      <c r="JT414" s="382">
        <f>GS414-IF414</f>
        <v>18193.21</v>
      </c>
      <c r="JU414" s="665"/>
      <c r="JV414" s="524"/>
      <c r="JW414" s="525"/>
      <c r="JX414" s="549">
        <f t="shared" si="10991"/>
        <v>42700</v>
      </c>
      <c r="JY414" s="549">
        <f t="shared" si="10991"/>
        <v>0</v>
      </c>
      <c r="JZ414" s="581">
        <f t="shared" si="10300"/>
        <v>32000</v>
      </c>
      <c r="KA414" s="581">
        <f t="shared" si="10301"/>
        <v>0</v>
      </c>
      <c r="KB414" s="549">
        <f>JX414</f>
        <v>42700</v>
      </c>
      <c r="KC414" s="709">
        <f t="shared" si="10273"/>
        <v>0</v>
      </c>
      <c r="KD414" s="36"/>
      <c r="KE414" s="36"/>
      <c r="KF414" s="36"/>
      <c r="KG414" s="36"/>
      <c r="KH414" s="36"/>
      <c r="KI414" s="36"/>
      <c r="KJ414" s="36"/>
      <c r="KK414" s="36"/>
    </row>
    <row r="415" spans="1:297" s="10" customFormat="1">
      <c r="A415" s="86"/>
      <c r="B415" s="77"/>
      <c r="C415" s="74"/>
      <c r="D415" s="549"/>
      <c r="E415" s="675"/>
      <c r="F415" s="549"/>
      <c r="G415" s="675"/>
      <c r="H415" s="549"/>
      <c r="I415" s="675"/>
      <c r="J415" s="549"/>
      <c r="K415" s="675"/>
      <c r="L415" s="549"/>
      <c r="M415" s="675"/>
      <c r="N415" s="549"/>
      <c r="O415" s="675"/>
      <c r="P415" s="549"/>
      <c r="Q415" s="675"/>
      <c r="R415" s="549"/>
      <c r="S415" s="675"/>
      <c r="T415" s="549"/>
      <c r="U415" s="675"/>
      <c r="V415" s="549"/>
      <c r="W415" s="675"/>
      <c r="X415" s="549"/>
      <c r="Y415" s="675"/>
      <c r="Z415" s="549"/>
      <c r="AA415" s="675"/>
      <c r="AB415" s="549"/>
      <c r="AC415" s="675"/>
      <c r="AD415" s="549"/>
      <c r="AE415" s="675"/>
      <c r="AF415" s="549"/>
      <c r="AG415" s="675"/>
      <c r="AH415" s="549"/>
      <c r="AI415" s="675"/>
      <c r="AJ415" s="549"/>
      <c r="AK415" s="675"/>
      <c r="AL415" s="549"/>
      <c r="AM415" s="675"/>
      <c r="AN415" s="549"/>
      <c r="AO415" s="675"/>
      <c r="AP415" s="549"/>
      <c r="AQ415" s="675"/>
      <c r="AR415" s="549"/>
      <c r="AS415" s="675"/>
      <c r="AT415" s="549"/>
      <c r="AU415" s="675"/>
      <c r="AV415" s="549"/>
      <c r="AW415" s="675"/>
      <c r="AX415" s="549"/>
      <c r="AY415" s="675"/>
      <c r="AZ415" s="549"/>
      <c r="BA415" s="675"/>
      <c r="BB415" s="549"/>
      <c r="BC415" s="675"/>
      <c r="BD415" s="549"/>
      <c r="BE415" s="675"/>
      <c r="BF415" s="549"/>
      <c r="BG415" s="675"/>
      <c r="BH415" s="549"/>
      <c r="BI415" s="675"/>
      <c r="BJ415" s="549"/>
      <c r="BK415" s="675"/>
      <c r="BL415" s="549"/>
      <c r="BM415" s="675"/>
      <c r="BN415" s="549"/>
      <c r="BO415" s="675"/>
      <c r="BP415" s="549"/>
      <c r="BQ415" s="675"/>
      <c r="BR415" s="549"/>
      <c r="BS415" s="675"/>
      <c r="BT415" s="549"/>
      <c r="BU415" s="675"/>
      <c r="BV415" s="549"/>
      <c r="BW415" s="675"/>
      <c r="BX415" s="549"/>
      <c r="BY415" s="675"/>
      <c r="BZ415" s="549"/>
      <c r="CA415" s="675"/>
      <c r="CB415" s="549"/>
      <c r="CC415" s="675"/>
      <c r="CD415" s="549"/>
      <c r="CE415" s="675"/>
      <c r="CF415" s="549"/>
      <c r="CG415" s="675"/>
      <c r="CH415" s="549"/>
      <c r="CI415" s="675"/>
      <c r="CJ415" s="549"/>
      <c r="CK415" s="675"/>
      <c r="CL415" s="549"/>
      <c r="CM415" s="675"/>
      <c r="CN415" s="549"/>
      <c r="CO415" s="675"/>
      <c r="CP415" s="549"/>
      <c r="CQ415" s="675"/>
      <c r="CR415" s="549"/>
      <c r="CS415" s="675"/>
      <c r="CT415" s="549"/>
      <c r="CU415" s="675"/>
      <c r="CV415" s="549"/>
      <c r="CW415" s="675"/>
      <c r="CX415" s="549"/>
      <c r="CY415" s="675"/>
      <c r="CZ415" s="549"/>
      <c r="DA415" s="675"/>
      <c r="DB415" s="549"/>
      <c r="DC415" s="675"/>
      <c r="DD415" s="549"/>
      <c r="DE415" s="675"/>
      <c r="DF415" s="549"/>
      <c r="DG415" s="675"/>
      <c r="DH415" s="549"/>
      <c r="DI415" s="675"/>
      <c r="DJ415" s="549"/>
      <c r="DK415" s="675"/>
      <c r="DL415" s="549"/>
      <c r="DM415" s="675"/>
      <c r="DN415" s="549"/>
      <c r="DO415" s="675"/>
      <c r="DP415" s="549"/>
      <c r="DQ415" s="675"/>
      <c r="DR415" s="549"/>
      <c r="DS415" s="675"/>
      <c r="DT415" s="549"/>
      <c r="DU415" s="675"/>
      <c r="DV415" s="549"/>
      <c r="DW415" s="675"/>
      <c r="DX415" s="549"/>
      <c r="DY415" s="675"/>
      <c r="DZ415" s="549"/>
      <c r="EA415" s="675"/>
      <c r="EB415" s="549"/>
      <c r="EC415" s="675"/>
      <c r="ED415" s="549"/>
      <c r="EE415" s="675"/>
      <c r="EF415" s="549"/>
      <c r="EG415" s="675"/>
      <c r="EH415" s="549"/>
      <c r="EI415" s="675"/>
      <c r="EJ415" s="549"/>
      <c r="EK415" s="675"/>
      <c r="EL415" s="549"/>
      <c r="EM415" s="675"/>
      <c r="EN415" s="549"/>
      <c r="EO415" s="675"/>
      <c r="EP415" s="549"/>
      <c r="EQ415" s="675"/>
      <c r="ER415" s="549"/>
      <c r="ES415" s="675"/>
      <c r="ET415" s="549"/>
      <c r="EU415" s="675"/>
      <c r="EV415" s="549"/>
      <c r="EW415" s="675"/>
      <c r="EX415" s="549"/>
      <c r="EY415" s="675"/>
      <c r="EZ415" s="549"/>
      <c r="FA415" s="675"/>
      <c r="FB415" s="549"/>
      <c r="FC415" s="675"/>
      <c r="FD415" s="549"/>
      <c r="FE415" s="675"/>
      <c r="FF415" s="549"/>
      <c r="FG415" s="675"/>
      <c r="FH415" s="549"/>
      <c r="FI415" s="675"/>
      <c r="FJ415" s="549"/>
      <c r="FK415" s="675"/>
      <c r="FL415" s="549"/>
      <c r="FM415" s="675"/>
      <c r="FN415" s="549"/>
      <c r="FO415" s="675"/>
      <c r="FP415" s="549"/>
      <c r="FQ415" s="675"/>
      <c r="FR415" s="549"/>
      <c r="FS415" s="675"/>
      <c r="FT415" s="549"/>
      <c r="FU415" s="675"/>
      <c r="FV415" s="549"/>
      <c r="FW415" s="675"/>
      <c r="FX415" s="549"/>
      <c r="FY415" s="675"/>
      <c r="FZ415" s="549"/>
      <c r="GA415" s="675"/>
      <c r="GB415" s="549"/>
      <c r="GC415" s="675"/>
      <c r="GD415" s="549"/>
      <c r="GE415" s="675"/>
      <c r="GF415" s="549"/>
      <c r="GG415" s="675"/>
      <c r="GH415" s="549"/>
      <c r="GI415" s="675"/>
      <c r="GJ415" s="549"/>
      <c r="GK415" s="675"/>
      <c r="GL415" s="549"/>
      <c r="GM415" s="675"/>
      <c r="GN415" s="549"/>
      <c r="GO415" s="675"/>
      <c r="GP415" s="549"/>
      <c r="GQ415" s="675"/>
      <c r="GR415" s="74"/>
      <c r="GS415" s="74"/>
      <c r="GT415" s="549"/>
      <c r="GU415" s="73"/>
      <c r="GV415" s="73"/>
      <c r="GW415" s="549"/>
      <c r="GX415" s="549"/>
      <c r="GY415" s="73"/>
      <c r="GZ415" s="73"/>
      <c r="HA415" s="73"/>
      <c r="HB415" s="73"/>
      <c r="HC415" s="73"/>
      <c r="HD415" s="73"/>
      <c r="HE415" s="73"/>
      <c r="HF415" s="73"/>
      <c r="HG415" s="74"/>
      <c r="HH415" s="73"/>
      <c r="HI415" s="815"/>
      <c r="HJ415" s="73"/>
      <c r="HK415" s="815"/>
      <c r="HL415" s="73"/>
      <c r="HM415" s="815"/>
      <c r="HN415" s="73"/>
      <c r="HO415" s="815"/>
      <c r="HP415" s="73"/>
      <c r="HQ415" s="815"/>
      <c r="HR415" s="73"/>
      <c r="HS415" s="815"/>
      <c r="HT415" s="73"/>
      <c r="HU415" s="815"/>
      <c r="HV415" s="73"/>
      <c r="HW415" s="815"/>
      <c r="HX415" s="73"/>
      <c r="HY415" s="815"/>
      <c r="HZ415" s="73"/>
      <c r="IA415" s="815"/>
      <c r="IB415" s="73"/>
      <c r="IC415" s="815"/>
      <c r="ID415" s="73"/>
      <c r="IE415" s="815"/>
      <c r="IF415" s="841"/>
      <c r="IG415" s="263"/>
      <c r="IH415" s="842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  <c r="JD415" s="73"/>
      <c r="JE415" s="73"/>
      <c r="JF415" s="73"/>
      <c r="JG415" s="73"/>
      <c r="JH415" s="73"/>
      <c r="JI415" s="73"/>
      <c r="JJ415" s="73"/>
      <c r="JK415" s="73"/>
      <c r="JL415" s="73"/>
      <c r="JM415" s="73"/>
      <c r="JN415" s="73"/>
      <c r="JO415" s="73"/>
      <c r="JP415" s="73"/>
      <c r="JQ415" s="73"/>
      <c r="JR415" s="73"/>
      <c r="JS415" s="74"/>
      <c r="JT415" s="382"/>
      <c r="JU415" s="665"/>
      <c r="JV415" s="524"/>
      <c r="JW415" s="525"/>
      <c r="JX415" s="549"/>
      <c r="JY415" s="549"/>
      <c r="JZ415" s="581">
        <f t="shared" ref="JZ415:JZ417" si="11020">GP415</f>
        <v>0</v>
      </c>
      <c r="KA415" s="581">
        <f t="shared" ref="KA415:KA417" si="11021">GQ415</f>
        <v>0</v>
      </c>
      <c r="KB415" s="549">
        <f>JX415</f>
        <v>0</v>
      </c>
      <c r="KC415" s="709">
        <f t="shared" ref="KC415:KC417" si="11022">HG415-KB415</f>
        <v>0</v>
      </c>
      <c r="KD415" s="36"/>
      <c r="KE415" s="36"/>
      <c r="KF415" s="36"/>
      <c r="KG415" s="36"/>
      <c r="KH415" s="36"/>
      <c r="KI415" s="36"/>
      <c r="KJ415" s="36"/>
      <c r="KK415" s="36"/>
    </row>
    <row r="416" spans="1:297" s="8" customFormat="1" ht="12.75" hidden="1" customHeight="1">
      <c r="A416" s="80" t="s">
        <v>1151</v>
      </c>
      <c r="B416" s="72" t="s">
        <v>116</v>
      </c>
      <c r="C416" s="74">
        <f>C417</f>
        <v>0</v>
      </c>
      <c r="D416" s="549">
        <f t="shared" ref="D416:AZ416" si="11023">D417</f>
        <v>0</v>
      </c>
      <c r="E416" s="675">
        <f t="shared" ref="E416:GO416" si="11024">E417</f>
        <v>0</v>
      </c>
      <c r="F416" s="549">
        <f t="shared" si="11023"/>
        <v>0</v>
      </c>
      <c r="G416" s="675">
        <f t="shared" si="11024"/>
        <v>0</v>
      </c>
      <c r="H416" s="549">
        <f t="shared" si="11023"/>
        <v>0</v>
      </c>
      <c r="I416" s="675">
        <f t="shared" si="11024"/>
        <v>0</v>
      </c>
      <c r="J416" s="549">
        <f t="shared" si="11023"/>
        <v>0</v>
      </c>
      <c r="K416" s="675">
        <f t="shared" si="11024"/>
        <v>0</v>
      </c>
      <c r="L416" s="549">
        <f t="shared" si="11023"/>
        <v>0</v>
      </c>
      <c r="M416" s="675">
        <f t="shared" si="11024"/>
        <v>0</v>
      </c>
      <c r="N416" s="549">
        <f t="shared" si="11023"/>
        <v>0</v>
      </c>
      <c r="O416" s="675">
        <f t="shared" si="11024"/>
        <v>0</v>
      </c>
      <c r="P416" s="549">
        <f t="shared" si="11023"/>
        <v>0</v>
      </c>
      <c r="Q416" s="675">
        <f t="shared" si="11024"/>
        <v>0</v>
      </c>
      <c r="R416" s="549">
        <f t="shared" si="11023"/>
        <v>0</v>
      </c>
      <c r="S416" s="675">
        <f t="shared" si="11024"/>
        <v>0</v>
      </c>
      <c r="T416" s="549">
        <f t="shared" si="11023"/>
        <v>0</v>
      </c>
      <c r="U416" s="675">
        <f t="shared" si="11024"/>
        <v>0</v>
      </c>
      <c r="V416" s="549">
        <f t="shared" si="11023"/>
        <v>0</v>
      </c>
      <c r="W416" s="675">
        <f t="shared" si="11024"/>
        <v>0</v>
      </c>
      <c r="X416" s="549">
        <f t="shared" si="11023"/>
        <v>0</v>
      </c>
      <c r="Y416" s="675">
        <f t="shared" si="11024"/>
        <v>0</v>
      </c>
      <c r="Z416" s="549">
        <f t="shared" si="11023"/>
        <v>0</v>
      </c>
      <c r="AA416" s="675">
        <f t="shared" si="11024"/>
        <v>0</v>
      </c>
      <c r="AB416" s="549">
        <f t="shared" si="11023"/>
        <v>0</v>
      </c>
      <c r="AC416" s="675">
        <f t="shared" si="11024"/>
        <v>0</v>
      </c>
      <c r="AD416" s="549">
        <f t="shared" si="11023"/>
        <v>0</v>
      </c>
      <c r="AE416" s="675">
        <f t="shared" si="11024"/>
        <v>0</v>
      </c>
      <c r="AF416" s="549">
        <f t="shared" si="11023"/>
        <v>0</v>
      </c>
      <c r="AG416" s="675">
        <f t="shared" si="11024"/>
        <v>0</v>
      </c>
      <c r="AH416" s="549">
        <f t="shared" si="11023"/>
        <v>0</v>
      </c>
      <c r="AI416" s="675">
        <f t="shared" si="11024"/>
        <v>0</v>
      </c>
      <c r="AJ416" s="549">
        <f t="shared" si="11023"/>
        <v>0</v>
      </c>
      <c r="AK416" s="675">
        <f t="shared" si="11024"/>
        <v>0</v>
      </c>
      <c r="AL416" s="549">
        <f t="shared" si="11023"/>
        <v>0</v>
      </c>
      <c r="AM416" s="675">
        <f t="shared" si="11024"/>
        <v>0</v>
      </c>
      <c r="AN416" s="549">
        <f t="shared" si="11023"/>
        <v>0</v>
      </c>
      <c r="AO416" s="675">
        <f t="shared" si="11024"/>
        <v>0</v>
      </c>
      <c r="AP416" s="549">
        <f t="shared" si="11023"/>
        <v>0</v>
      </c>
      <c r="AQ416" s="675">
        <f t="shared" si="11024"/>
        <v>0</v>
      </c>
      <c r="AR416" s="549">
        <f t="shared" si="11023"/>
        <v>0</v>
      </c>
      <c r="AS416" s="675">
        <f t="shared" si="11024"/>
        <v>0</v>
      </c>
      <c r="AT416" s="549">
        <f t="shared" si="11023"/>
        <v>0</v>
      </c>
      <c r="AU416" s="675">
        <f t="shared" si="11024"/>
        <v>0</v>
      </c>
      <c r="AV416" s="549">
        <f t="shared" si="11023"/>
        <v>0</v>
      </c>
      <c r="AW416" s="675">
        <f t="shared" si="11024"/>
        <v>0</v>
      </c>
      <c r="AX416" s="549">
        <f t="shared" si="11023"/>
        <v>0</v>
      </c>
      <c r="AY416" s="675">
        <f t="shared" si="11024"/>
        <v>0</v>
      </c>
      <c r="AZ416" s="549">
        <f t="shared" si="11023"/>
        <v>0</v>
      </c>
      <c r="BA416" s="675">
        <f t="shared" si="11024"/>
        <v>0</v>
      </c>
      <c r="BB416" s="549">
        <f t="shared" ref="BB416" si="11025">BB417</f>
        <v>0</v>
      </c>
      <c r="BC416" s="675">
        <f t="shared" si="11024"/>
        <v>0</v>
      </c>
      <c r="BD416" s="549">
        <f t="shared" ref="BD416" si="11026">BD417</f>
        <v>0</v>
      </c>
      <c r="BE416" s="675">
        <f t="shared" si="11024"/>
        <v>0</v>
      </c>
      <c r="BF416" s="549">
        <f t="shared" ref="BF416" si="11027">BF417</f>
        <v>0</v>
      </c>
      <c r="BG416" s="675">
        <f t="shared" si="11024"/>
        <v>0</v>
      </c>
      <c r="BH416" s="549">
        <f t="shared" ref="BH416" si="11028">BH417</f>
        <v>0</v>
      </c>
      <c r="BI416" s="675">
        <f t="shared" si="11024"/>
        <v>0</v>
      </c>
      <c r="BJ416" s="549">
        <f t="shared" ref="BJ416" si="11029">BJ417</f>
        <v>0</v>
      </c>
      <c r="BK416" s="675">
        <f t="shared" si="11024"/>
        <v>0</v>
      </c>
      <c r="BL416" s="549">
        <f t="shared" ref="BL416" si="11030">BL417</f>
        <v>0</v>
      </c>
      <c r="BM416" s="675">
        <f t="shared" si="11024"/>
        <v>0</v>
      </c>
      <c r="BN416" s="549">
        <f t="shared" ref="BN416" si="11031">BN417</f>
        <v>0</v>
      </c>
      <c r="BO416" s="675">
        <f t="shared" si="11024"/>
        <v>0</v>
      </c>
      <c r="BP416" s="549">
        <f t="shared" ref="BP416" si="11032">BP417</f>
        <v>0</v>
      </c>
      <c r="BQ416" s="675">
        <f t="shared" si="11024"/>
        <v>0</v>
      </c>
      <c r="BR416" s="549">
        <f t="shared" ref="BR416" si="11033">BR417</f>
        <v>0</v>
      </c>
      <c r="BS416" s="675">
        <f t="shared" si="11024"/>
        <v>0</v>
      </c>
      <c r="BT416" s="549">
        <f t="shared" ref="BT416:GN416" si="11034">BT417</f>
        <v>0</v>
      </c>
      <c r="BU416" s="675">
        <f t="shared" si="11024"/>
        <v>0</v>
      </c>
      <c r="BV416" s="549">
        <f t="shared" si="11034"/>
        <v>0</v>
      </c>
      <c r="BW416" s="675">
        <f t="shared" si="11024"/>
        <v>0</v>
      </c>
      <c r="BX416" s="549">
        <f t="shared" si="11034"/>
        <v>0</v>
      </c>
      <c r="BY416" s="675">
        <f t="shared" si="11024"/>
        <v>0</v>
      </c>
      <c r="BZ416" s="549">
        <f t="shared" si="11034"/>
        <v>0</v>
      </c>
      <c r="CA416" s="675">
        <f t="shared" si="11024"/>
        <v>0</v>
      </c>
      <c r="CB416" s="549">
        <f t="shared" si="11034"/>
        <v>0</v>
      </c>
      <c r="CC416" s="675">
        <f t="shared" si="11024"/>
        <v>0</v>
      </c>
      <c r="CD416" s="549">
        <f t="shared" si="11034"/>
        <v>0</v>
      </c>
      <c r="CE416" s="675">
        <f t="shared" si="11024"/>
        <v>0</v>
      </c>
      <c r="CF416" s="549">
        <f t="shared" si="11034"/>
        <v>0</v>
      </c>
      <c r="CG416" s="675">
        <f t="shared" si="11024"/>
        <v>0</v>
      </c>
      <c r="CH416" s="549">
        <f t="shared" si="11034"/>
        <v>0</v>
      </c>
      <c r="CI416" s="675">
        <f t="shared" si="11024"/>
        <v>0</v>
      </c>
      <c r="CJ416" s="549">
        <f t="shared" si="11034"/>
        <v>0</v>
      </c>
      <c r="CK416" s="675">
        <f t="shared" si="11024"/>
        <v>0</v>
      </c>
      <c r="CL416" s="549">
        <f t="shared" si="11034"/>
        <v>0</v>
      </c>
      <c r="CM416" s="675">
        <f t="shared" si="11024"/>
        <v>0</v>
      </c>
      <c r="CN416" s="549">
        <f t="shared" si="11034"/>
        <v>0</v>
      </c>
      <c r="CO416" s="675">
        <f t="shared" si="11024"/>
        <v>0</v>
      </c>
      <c r="CP416" s="549">
        <f t="shared" si="11034"/>
        <v>0</v>
      </c>
      <c r="CQ416" s="675">
        <f t="shared" si="11024"/>
        <v>0</v>
      </c>
      <c r="CR416" s="549">
        <f t="shared" si="11034"/>
        <v>0</v>
      </c>
      <c r="CS416" s="675">
        <f t="shared" si="11024"/>
        <v>0</v>
      </c>
      <c r="CT416" s="549">
        <f t="shared" si="11034"/>
        <v>0</v>
      </c>
      <c r="CU416" s="675">
        <f t="shared" si="11024"/>
        <v>0</v>
      </c>
      <c r="CV416" s="549">
        <f t="shared" si="11034"/>
        <v>0</v>
      </c>
      <c r="CW416" s="675">
        <f t="shared" si="11024"/>
        <v>0</v>
      </c>
      <c r="CX416" s="549">
        <f t="shared" si="11034"/>
        <v>0</v>
      </c>
      <c r="CY416" s="675">
        <f t="shared" si="11024"/>
        <v>0</v>
      </c>
      <c r="CZ416" s="549">
        <f t="shared" si="11034"/>
        <v>0</v>
      </c>
      <c r="DA416" s="675">
        <f t="shared" si="11024"/>
        <v>0</v>
      </c>
      <c r="DB416" s="549">
        <f t="shared" si="11034"/>
        <v>0</v>
      </c>
      <c r="DC416" s="675">
        <f t="shared" si="11024"/>
        <v>0</v>
      </c>
      <c r="DD416" s="549">
        <f t="shared" si="11034"/>
        <v>0</v>
      </c>
      <c r="DE416" s="675">
        <f t="shared" si="11024"/>
        <v>0</v>
      </c>
      <c r="DF416" s="549">
        <f t="shared" si="11034"/>
        <v>0</v>
      </c>
      <c r="DG416" s="675">
        <f t="shared" si="11024"/>
        <v>0</v>
      </c>
      <c r="DH416" s="549">
        <f t="shared" si="11034"/>
        <v>0</v>
      </c>
      <c r="DI416" s="675">
        <f t="shared" si="11024"/>
        <v>0</v>
      </c>
      <c r="DJ416" s="549">
        <f t="shared" si="11034"/>
        <v>0</v>
      </c>
      <c r="DK416" s="675">
        <f t="shared" si="11024"/>
        <v>0</v>
      </c>
      <c r="DL416" s="549">
        <f t="shared" si="11034"/>
        <v>0</v>
      </c>
      <c r="DM416" s="675">
        <f t="shared" si="11024"/>
        <v>0</v>
      </c>
      <c r="DN416" s="549">
        <f t="shared" si="11034"/>
        <v>0</v>
      </c>
      <c r="DO416" s="675">
        <f t="shared" si="11024"/>
        <v>0</v>
      </c>
      <c r="DP416" s="549">
        <f t="shared" si="11034"/>
        <v>0</v>
      </c>
      <c r="DQ416" s="675">
        <f t="shared" si="11024"/>
        <v>0</v>
      </c>
      <c r="DR416" s="549">
        <f t="shared" si="11034"/>
        <v>0</v>
      </c>
      <c r="DS416" s="675">
        <f t="shared" si="11024"/>
        <v>0</v>
      </c>
      <c r="DT416" s="549">
        <f t="shared" si="11034"/>
        <v>0</v>
      </c>
      <c r="DU416" s="675">
        <f t="shared" si="11024"/>
        <v>0</v>
      </c>
      <c r="DV416" s="549">
        <f t="shared" si="11034"/>
        <v>0</v>
      </c>
      <c r="DW416" s="675">
        <f t="shared" si="11024"/>
        <v>0</v>
      </c>
      <c r="DX416" s="549">
        <f t="shared" si="11034"/>
        <v>0</v>
      </c>
      <c r="DY416" s="675">
        <f t="shared" si="11024"/>
        <v>0</v>
      </c>
      <c r="DZ416" s="549">
        <f t="shared" si="11034"/>
        <v>0</v>
      </c>
      <c r="EA416" s="675">
        <f t="shared" si="11024"/>
        <v>0</v>
      </c>
      <c r="EB416" s="549">
        <f t="shared" si="11034"/>
        <v>0</v>
      </c>
      <c r="EC416" s="675">
        <f t="shared" si="11024"/>
        <v>0</v>
      </c>
      <c r="ED416" s="549">
        <f t="shared" si="11034"/>
        <v>0</v>
      </c>
      <c r="EE416" s="675">
        <f t="shared" si="11024"/>
        <v>0</v>
      </c>
      <c r="EF416" s="549">
        <f t="shared" si="11034"/>
        <v>0</v>
      </c>
      <c r="EG416" s="675">
        <f t="shared" si="11024"/>
        <v>0</v>
      </c>
      <c r="EH416" s="549">
        <f t="shared" si="11034"/>
        <v>0</v>
      </c>
      <c r="EI416" s="675">
        <f t="shared" si="11024"/>
        <v>0</v>
      </c>
      <c r="EJ416" s="549">
        <f t="shared" si="11034"/>
        <v>0</v>
      </c>
      <c r="EK416" s="675">
        <f t="shared" si="11024"/>
        <v>0</v>
      </c>
      <c r="EL416" s="549">
        <f t="shared" si="11034"/>
        <v>0</v>
      </c>
      <c r="EM416" s="675">
        <f t="shared" si="11024"/>
        <v>0</v>
      </c>
      <c r="EN416" s="549">
        <f t="shared" si="11034"/>
        <v>0</v>
      </c>
      <c r="EO416" s="675">
        <f t="shared" si="11024"/>
        <v>0</v>
      </c>
      <c r="EP416" s="549">
        <f t="shared" si="11034"/>
        <v>0</v>
      </c>
      <c r="EQ416" s="675">
        <f t="shared" si="11024"/>
        <v>0</v>
      </c>
      <c r="ER416" s="549">
        <f t="shared" si="11034"/>
        <v>0</v>
      </c>
      <c r="ES416" s="675">
        <f t="shared" si="11024"/>
        <v>0</v>
      </c>
      <c r="ET416" s="549">
        <f t="shared" si="11034"/>
        <v>0</v>
      </c>
      <c r="EU416" s="675">
        <f t="shared" si="11024"/>
        <v>0</v>
      </c>
      <c r="EV416" s="549">
        <f t="shared" si="11034"/>
        <v>0</v>
      </c>
      <c r="EW416" s="675">
        <f t="shared" si="11024"/>
        <v>0</v>
      </c>
      <c r="EX416" s="549">
        <f t="shared" si="11034"/>
        <v>0</v>
      </c>
      <c r="EY416" s="675">
        <f t="shared" si="11024"/>
        <v>0</v>
      </c>
      <c r="EZ416" s="549">
        <f t="shared" si="11034"/>
        <v>0</v>
      </c>
      <c r="FA416" s="675">
        <f t="shared" si="11024"/>
        <v>0</v>
      </c>
      <c r="FB416" s="549">
        <f t="shared" si="11034"/>
        <v>0</v>
      </c>
      <c r="FC416" s="675">
        <f t="shared" si="11024"/>
        <v>0</v>
      </c>
      <c r="FD416" s="549">
        <f t="shared" si="11034"/>
        <v>0</v>
      </c>
      <c r="FE416" s="675">
        <f t="shared" si="11024"/>
        <v>0</v>
      </c>
      <c r="FF416" s="549">
        <f t="shared" si="11034"/>
        <v>0</v>
      </c>
      <c r="FG416" s="675">
        <f t="shared" si="11024"/>
        <v>0</v>
      </c>
      <c r="FH416" s="549">
        <f t="shared" si="11034"/>
        <v>0</v>
      </c>
      <c r="FI416" s="675">
        <f t="shared" si="11024"/>
        <v>0</v>
      </c>
      <c r="FJ416" s="549">
        <f t="shared" si="11034"/>
        <v>0</v>
      </c>
      <c r="FK416" s="675">
        <f t="shared" si="11024"/>
        <v>0</v>
      </c>
      <c r="FL416" s="549">
        <f t="shared" si="11034"/>
        <v>0</v>
      </c>
      <c r="FM416" s="675">
        <f t="shared" si="11024"/>
        <v>0</v>
      </c>
      <c r="FN416" s="549">
        <f t="shared" si="11034"/>
        <v>0</v>
      </c>
      <c r="FO416" s="675">
        <f t="shared" si="11024"/>
        <v>0</v>
      </c>
      <c r="FP416" s="549">
        <f t="shared" si="11034"/>
        <v>0</v>
      </c>
      <c r="FQ416" s="675">
        <f t="shared" si="11024"/>
        <v>0</v>
      </c>
      <c r="FR416" s="549">
        <f t="shared" si="11034"/>
        <v>0</v>
      </c>
      <c r="FS416" s="675">
        <f t="shared" si="11024"/>
        <v>0</v>
      </c>
      <c r="FT416" s="549">
        <f t="shared" si="11034"/>
        <v>0</v>
      </c>
      <c r="FU416" s="675">
        <f t="shared" si="11024"/>
        <v>0</v>
      </c>
      <c r="FV416" s="549">
        <f t="shared" si="11034"/>
        <v>0</v>
      </c>
      <c r="FW416" s="675">
        <f t="shared" si="11024"/>
        <v>0</v>
      </c>
      <c r="FX416" s="549">
        <f t="shared" si="11034"/>
        <v>0</v>
      </c>
      <c r="FY416" s="675">
        <f t="shared" si="11024"/>
        <v>0</v>
      </c>
      <c r="FZ416" s="549">
        <f t="shared" si="11034"/>
        <v>0</v>
      </c>
      <c r="GA416" s="675">
        <f t="shared" si="11024"/>
        <v>0</v>
      </c>
      <c r="GB416" s="549">
        <f t="shared" si="11034"/>
        <v>0</v>
      </c>
      <c r="GC416" s="675">
        <f t="shared" si="11024"/>
        <v>0</v>
      </c>
      <c r="GD416" s="549">
        <f t="shared" si="11034"/>
        <v>0</v>
      </c>
      <c r="GE416" s="675">
        <f t="shared" si="11024"/>
        <v>0</v>
      </c>
      <c r="GF416" s="549">
        <f t="shared" si="11034"/>
        <v>0</v>
      </c>
      <c r="GG416" s="675">
        <f t="shared" si="11024"/>
        <v>0</v>
      </c>
      <c r="GH416" s="549">
        <f t="shared" si="11034"/>
        <v>0</v>
      </c>
      <c r="GI416" s="675">
        <f t="shared" si="11024"/>
        <v>0</v>
      </c>
      <c r="GJ416" s="549">
        <f t="shared" si="11034"/>
        <v>0</v>
      </c>
      <c r="GK416" s="675">
        <f t="shared" si="11024"/>
        <v>0</v>
      </c>
      <c r="GL416" s="549">
        <f t="shared" si="11034"/>
        <v>0</v>
      </c>
      <c r="GM416" s="675">
        <f t="shared" si="11024"/>
        <v>0</v>
      </c>
      <c r="GN416" s="549">
        <f t="shared" si="11034"/>
        <v>0</v>
      </c>
      <c r="GO416" s="675">
        <f t="shared" si="11024"/>
        <v>0</v>
      </c>
      <c r="GP416" s="549">
        <f t="shared" ref="GP416:GS416" si="11035">GP417</f>
        <v>0</v>
      </c>
      <c r="GQ416" s="675">
        <f t="shared" si="11035"/>
        <v>0</v>
      </c>
      <c r="GR416" s="74">
        <f t="shared" si="11035"/>
        <v>0</v>
      </c>
      <c r="GS416" s="74">
        <f t="shared" si="11035"/>
        <v>0</v>
      </c>
      <c r="GT416" s="549">
        <f>GT417</f>
        <v>0</v>
      </c>
      <c r="GU416" s="74">
        <f>GU417</f>
        <v>0</v>
      </c>
      <c r="GV416" s="74">
        <f t="shared" ref="GV416:HF416" si="11036">GV417</f>
        <v>0</v>
      </c>
      <c r="GW416" s="74">
        <f t="shared" si="11036"/>
        <v>0</v>
      </c>
      <c r="GX416" s="74">
        <f t="shared" si="11036"/>
        <v>0</v>
      </c>
      <c r="GY416" s="74">
        <f t="shared" si="11036"/>
        <v>0</v>
      </c>
      <c r="GZ416" s="74">
        <f t="shared" si="11036"/>
        <v>0</v>
      </c>
      <c r="HA416" s="74">
        <f t="shared" si="11036"/>
        <v>0</v>
      </c>
      <c r="HB416" s="74">
        <f t="shared" si="11036"/>
        <v>0</v>
      </c>
      <c r="HC416" s="74">
        <f t="shared" si="11036"/>
        <v>0</v>
      </c>
      <c r="HD416" s="74">
        <f t="shared" si="11036"/>
        <v>0</v>
      </c>
      <c r="HE416" s="74">
        <f t="shared" si="11036"/>
        <v>0</v>
      </c>
      <c r="HF416" s="74">
        <f t="shared" si="11036"/>
        <v>0</v>
      </c>
      <c r="HG416" s="74">
        <f>SUM(HG417:HK417)</f>
        <v>0</v>
      </c>
      <c r="HH416" s="74">
        <f t="shared" ref="HH416:IE416" si="11037">HH417</f>
        <v>0</v>
      </c>
      <c r="HI416" s="792">
        <f t="shared" si="11037"/>
        <v>0</v>
      </c>
      <c r="HJ416" s="74">
        <f t="shared" si="11037"/>
        <v>0</v>
      </c>
      <c r="HK416" s="792">
        <f t="shared" si="11037"/>
        <v>0</v>
      </c>
      <c r="HL416" s="74">
        <f t="shared" si="11037"/>
        <v>0</v>
      </c>
      <c r="HM416" s="792">
        <f t="shared" si="11037"/>
        <v>0</v>
      </c>
      <c r="HN416" s="74">
        <f t="shared" si="11037"/>
        <v>0</v>
      </c>
      <c r="HO416" s="792">
        <f t="shared" si="11037"/>
        <v>0</v>
      </c>
      <c r="HP416" s="74">
        <f t="shared" si="11037"/>
        <v>0</v>
      </c>
      <c r="HQ416" s="792">
        <f t="shared" si="11037"/>
        <v>0</v>
      </c>
      <c r="HR416" s="74">
        <f t="shared" si="11037"/>
        <v>0</v>
      </c>
      <c r="HS416" s="792">
        <f t="shared" si="11037"/>
        <v>0</v>
      </c>
      <c r="HT416" s="74">
        <f t="shared" si="11037"/>
        <v>0</v>
      </c>
      <c r="HU416" s="792">
        <f t="shared" si="11037"/>
        <v>0</v>
      </c>
      <c r="HV416" s="74">
        <f t="shared" si="11037"/>
        <v>0</v>
      </c>
      <c r="HW416" s="792">
        <f t="shared" si="11037"/>
        <v>0</v>
      </c>
      <c r="HX416" s="74">
        <f t="shared" si="11037"/>
        <v>0</v>
      </c>
      <c r="HY416" s="792">
        <f t="shared" si="11037"/>
        <v>0</v>
      </c>
      <c r="HZ416" s="74">
        <f t="shared" si="11037"/>
        <v>0</v>
      </c>
      <c r="IA416" s="792">
        <f t="shared" si="11037"/>
        <v>0</v>
      </c>
      <c r="IB416" s="74">
        <f t="shared" si="11037"/>
        <v>0</v>
      </c>
      <c r="IC416" s="792">
        <f t="shared" si="11037"/>
        <v>0</v>
      </c>
      <c r="ID416" s="74">
        <f t="shared" si="11037"/>
        <v>0</v>
      </c>
      <c r="IE416" s="792">
        <f t="shared" si="11037"/>
        <v>0</v>
      </c>
      <c r="IF416" s="841">
        <f>SUM(IF417)</f>
        <v>0</v>
      </c>
      <c r="IG416" s="263">
        <f>SUM(IG417)</f>
        <v>0</v>
      </c>
      <c r="IH416" s="842">
        <f>SUM(IH417:IN417)</f>
        <v>0</v>
      </c>
      <c r="II416" s="74">
        <f t="shared" ref="II416:JR416" si="11038">II417</f>
        <v>0</v>
      </c>
      <c r="IJ416" s="74">
        <f t="shared" si="11038"/>
        <v>0</v>
      </c>
      <c r="IK416" s="74">
        <f t="shared" si="11038"/>
        <v>0</v>
      </c>
      <c r="IL416" s="74">
        <f t="shared" si="11038"/>
        <v>0</v>
      </c>
      <c r="IM416" s="74">
        <f t="shared" si="11038"/>
        <v>0</v>
      </c>
      <c r="IN416" s="74">
        <f t="shared" si="11038"/>
        <v>0</v>
      </c>
      <c r="IO416" s="74">
        <f t="shared" si="11038"/>
        <v>0</v>
      </c>
      <c r="IP416" s="74">
        <f t="shared" si="11038"/>
        <v>0</v>
      </c>
      <c r="IQ416" s="74">
        <f t="shared" si="11038"/>
        <v>0</v>
      </c>
      <c r="IR416" s="74">
        <f t="shared" si="11038"/>
        <v>0</v>
      </c>
      <c r="IS416" s="74">
        <f t="shared" si="11038"/>
        <v>0</v>
      </c>
      <c r="IT416" s="74">
        <f t="shared" si="11038"/>
        <v>0</v>
      </c>
      <c r="IU416" s="74">
        <f t="shared" si="11038"/>
        <v>0</v>
      </c>
      <c r="IV416" s="74">
        <f t="shared" si="11038"/>
        <v>0</v>
      </c>
      <c r="IW416" s="74">
        <f t="shared" si="11038"/>
        <v>0</v>
      </c>
      <c r="IX416" s="74">
        <f t="shared" si="11038"/>
        <v>0</v>
      </c>
      <c r="IY416" s="74">
        <f t="shared" si="11038"/>
        <v>0</v>
      </c>
      <c r="IZ416" s="74">
        <f t="shared" si="11038"/>
        <v>0</v>
      </c>
      <c r="JA416" s="74">
        <f t="shared" si="11038"/>
        <v>0</v>
      </c>
      <c r="JB416" s="74">
        <f t="shared" si="11038"/>
        <v>0</v>
      </c>
      <c r="JC416" s="74">
        <f t="shared" si="11038"/>
        <v>0</v>
      </c>
      <c r="JD416" s="74">
        <f t="shared" si="11038"/>
        <v>0</v>
      </c>
      <c r="JE416" s="74">
        <f t="shared" si="11038"/>
        <v>0</v>
      </c>
      <c r="JF416" s="74">
        <f t="shared" si="11038"/>
        <v>0</v>
      </c>
      <c r="JG416" s="74">
        <f t="shared" si="11038"/>
        <v>0</v>
      </c>
      <c r="JH416" s="74">
        <f t="shared" si="11038"/>
        <v>0</v>
      </c>
      <c r="JI416" s="74">
        <f t="shared" si="11038"/>
        <v>0</v>
      </c>
      <c r="JJ416" s="74">
        <f t="shared" si="11038"/>
        <v>0</v>
      </c>
      <c r="JK416" s="74">
        <f t="shared" si="11038"/>
        <v>0</v>
      </c>
      <c r="JL416" s="74">
        <f t="shared" si="11038"/>
        <v>0</v>
      </c>
      <c r="JM416" s="74">
        <f t="shared" si="11038"/>
        <v>0</v>
      </c>
      <c r="JN416" s="74">
        <f t="shared" si="11038"/>
        <v>0</v>
      </c>
      <c r="JO416" s="74">
        <f t="shared" si="11038"/>
        <v>0</v>
      </c>
      <c r="JP416" s="74">
        <f t="shared" si="11038"/>
        <v>0</v>
      </c>
      <c r="JQ416" s="74">
        <f t="shared" si="11038"/>
        <v>0</v>
      </c>
      <c r="JR416" s="74">
        <f t="shared" si="11038"/>
        <v>0</v>
      </c>
      <c r="JS416" s="74">
        <f t="shared" ref="JS416" si="11039">SUM(JS417:JS417)</f>
        <v>0</v>
      </c>
      <c r="JT416" s="382">
        <f>SUM(JT417)</f>
        <v>0</v>
      </c>
      <c r="JU416" s="665"/>
      <c r="JV416" s="524"/>
      <c r="JW416" s="525"/>
      <c r="JX416" s="549">
        <f>SUM(JX417)</f>
        <v>0</v>
      </c>
      <c r="JY416" s="549">
        <f>SUM(JY417:JY422)</f>
        <v>0</v>
      </c>
      <c r="JZ416" s="581">
        <f t="shared" si="11020"/>
        <v>0</v>
      </c>
      <c r="KA416" s="581">
        <f t="shared" si="11021"/>
        <v>0</v>
      </c>
      <c r="KB416" s="549">
        <f>JX416</f>
        <v>0</v>
      </c>
      <c r="KC416" s="709">
        <f t="shared" si="11022"/>
        <v>0</v>
      </c>
      <c r="KD416" s="36"/>
      <c r="KE416" s="36"/>
      <c r="KF416" s="36"/>
      <c r="KG416" s="36"/>
      <c r="KH416" s="36"/>
      <c r="KI416" s="36"/>
      <c r="KJ416" s="36"/>
      <c r="KK416" s="36"/>
    </row>
    <row r="417" spans="1:297" s="10" customFormat="1" ht="12.75" hidden="1" customHeight="1">
      <c r="A417" s="86" t="s">
        <v>1152</v>
      </c>
      <c r="B417" s="77" t="s">
        <v>117</v>
      </c>
      <c r="C417" s="74">
        <v>0</v>
      </c>
      <c r="D417" s="549">
        <v>0</v>
      </c>
      <c r="E417" s="675">
        <v>0</v>
      </c>
      <c r="F417" s="549">
        <v>0</v>
      </c>
      <c r="G417" s="675">
        <v>0</v>
      </c>
      <c r="H417" s="549">
        <v>0</v>
      </c>
      <c r="I417" s="675">
        <v>0</v>
      </c>
      <c r="J417" s="549">
        <v>0</v>
      </c>
      <c r="K417" s="675">
        <v>0</v>
      </c>
      <c r="L417" s="549">
        <v>0</v>
      </c>
      <c r="M417" s="675">
        <v>0</v>
      </c>
      <c r="N417" s="549">
        <v>0</v>
      </c>
      <c r="O417" s="675">
        <v>0</v>
      </c>
      <c r="P417" s="549">
        <v>0</v>
      </c>
      <c r="Q417" s="675">
        <v>0</v>
      </c>
      <c r="R417" s="549">
        <v>0</v>
      </c>
      <c r="S417" s="675">
        <v>0</v>
      </c>
      <c r="T417" s="549">
        <v>0</v>
      </c>
      <c r="U417" s="675">
        <v>0</v>
      </c>
      <c r="V417" s="549">
        <v>0</v>
      </c>
      <c r="W417" s="675">
        <v>0</v>
      </c>
      <c r="X417" s="549">
        <v>0</v>
      </c>
      <c r="Y417" s="675">
        <v>0</v>
      </c>
      <c r="Z417" s="549">
        <v>0</v>
      </c>
      <c r="AA417" s="675">
        <v>0</v>
      </c>
      <c r="AB417" s="549">
        <v>0</v>
      </c>
      <c r="AC417" s="675">
        <v>0</v>
      </c>
      <c r="AD417" s="549">
        <v>0</v>
      </c>
      <c r="AE417" s="675">
        <v>0</v>
      </c>
      <c r="AF417" s="549">
        <v>0</v>
      </c>
      <c r="AG417" s="675">
        <v>0</v>
      </c>
      <c r="AH417" s="549">
        <v>0</v>
      </c>
      <c r="AI417" s="675">
        <v>0</v>
      </c>
      <c r="AJ417" s="549">
        <v>0</v>
      </c>
      <c r="AK417" s="675">
        <v>0</v>
      </c>
      <c r="AL417" s="549">
        <v>0</v>
      </c>
      <c r="AM417" s="675">
        <v>0</v>
      </c>
      <c r="AN417" s="549">
        <v>0</v>
      </c>
      <c r="AO417" s="675">
        <v>0</v>
      </c>
      <c r="AP417" s="549">
        <v>0</v>
      </c>
      <c r="AQ417" s="675">
        <v>0</v>
      </c>
      <c r="AR417" s="549">
        <v>0</v>
      </c>
      <c r="AS417" s="675">
        <v>0</v>
      </c>
      <c r="AT417" s="549">
        <v>0</v>
      </c>
      <c r="AU417" s="675">
        <v>0</v>
      </c>
      <c r="AV417" s="549">
        <v>0</v>
      </c>
      <c r="AW417" s="675">
        <v>0</v>
      </c>
      <c r="AX417" s="549">
        <v>0</v>
      </c>
      <c r="AY417" s="675">
        <v>0</v>
      </c>
      <c r="AZ417" s="549">
        <v>0</v>
      </c>
      <c r="BA417" s="675">
        <v>0</v>
      </c>
      <c r="BB417" s="549">
        <v>0</v>
      </c>
      <c r="BC417" s="675">
        <v>0</v>
      </c>
      <c r="BD417" s="549">
        <v>0</v>
      </c>
      <c r="BE417" s="675">
        <v>0</v>
      </c>
      <c r="BF417" s="549">
        <v>0</v>
      </c>
      <c r="BG417" s="675">
        <v>0</v>
      </c>
      <c r="BH417" s="549">
        <v>0</v>
      </c>
      <c r="BI417" s="675">
        <v>0</v>
      </c>
      <c r="BJ417" s="549">
        <v>0</v>
      </c>
      <c r="BK417" s="675">
        <v>0</v>
      </c>
      <c r="BL417" s="549">
        <v>0</v>
      </c>
      <c r="BM417" s="675">
        <v>0</v>
      </c>
      <c r="BN417" s="549">
        <v>0</v>
      </c>
      <c r="BO417" s="675">
        <v>0</v>
      </c>
      <c r="BP417" s="549">
        <v>0</v>
      </c>
      <c r="BQ417" s="675">
        <v>0</v>
      </c>
      <c r="BR417" s="549">
        <v>0</v>
      </c>
      <c r="BS417" s="675">
        <v>0</v>
      </c>
      <c r="BT417" s="549">
        <v>0</v>
      </c>
      <c r="BU417" s="675">
        <v>0</v>
      </c>
      <c r="BV417" s="549">
        <v>0</v>
      </c>
      <c r="BW417" s="675">
        <v>0</v>
      </c>
      <c r="BX417" s="549">
        <v>0</v>
      </c>
      <c r="BY417" s="675">
        <v>0</v>
      </c>
      <c r="BZ417" s="549">
        <v>0</v>
      </c>
      <c r="CA417" s="675">
        <v>0</v>
      </c>
      <c r="CB417" s="549">
        <v>0</v>
      </c>
      <c r="CC417" s="675">
        <v>0</v>
      </c>
      <c r="CD417" s="549">
        <v>0</v>
      </c>
      <c r="CE417" s="675">
        <v>0</v>
      </c>
      <c r="CF417" s="549">
        <v>0</v>
      </c>
      <c r="CG417" s="675">
        <v>0</v>
      </c>
      <c r="CH417" s="549">
        <v>0</v>
      </c>
      <c r="CI417" s="675">
        <v>0</v>
      </c>
      <c r="CJ417" s="549">
        <v>0</v>
      </c>
      <c r="CK417" s="675">
        <v>0</v>
      </c>
      <c r="CL417" s="549">
        <v>0</v>
      </c>
      <c r="CM417" s="675">
        <v>0</v>
      </c>
      <c r="CN417" s="549">
        <v>0</v>
      </c>
      <c r="CO417" s="675">
        <v>0</v>
      </c>
      <c r="CP417" s="549">
        <v>0</v>
      </c>
      <c r="CQ417" s="675">
        <v>0</v>
      </c>
      <c r="CR417" s="549">
        <v>0</v>
      </c>
      <c r="CS417" s="675">
        <v>0</v>
      </c>
      <c r="CT417" s="549">
        <v>0</v>
      </c>
      <c r="CU417" s="675">
        <v>0</v>
      </c>
      <c r="CV417" s="549">
        <v>0</v>
      </c>
      <c r="CW417" s="675">
        <v>0</v>
      </c>
      <c r="CX417" s="549">
        <v>0</v>
      </c>
      <c r="CY417" s="675">
        <v>0</v>
      </c>
      <c r="CZ417" s="549">
        <v>0</v>
      </c>
      <c r="DA417" s="675">
        <v>0</v>
      </c>
      <c r="DB417" s="549">
        <v>0</v>
      </c>
      <c r="DC417" s="675">
        <v>0</v>
      </c>
      <c r="DD417" s="549">
        <v>0</v>
      </c>
      <c r="DE417" s="675">
        <v>0</v>
      </c>
      <c r="DF417" s="549">
        <v>0</v>
      </c>
      <c r="DG417" s="675">
        <v>0</v>
      </c>
      <c r="DH417" s="549">
        <v>0</v>
      </c>
      <c r="DI417" s="675">
        <v>0</v>
      </c>
      <c r="DJ417" s="549">
        <v>0</v>
      </c>
      <c r="DK417" s="675">
        <v>0</v>
      </c>
      <c r="DL417" s="549">
        <v>0</v>
      </c>
      <c r="DM417" s="675">
        <v>0</v>
      </c>
      <c r="DN417" s="549">
        <v>0</v>
      </c>
      <c r="DO417" s="675">
        <v>0</v>
      </c>
      <c r="DP417" s="549">
        <v>0</v>
      </c>
      <c r="DQ417" s="675">
        <v>0</v>
      </c>
      <c r="DR417" s="549">
        <v>0</v>
      </c>
      <c r="DS417" s="675">
        <v>0</v>
      </c>
      <c r="DT417" s="549">
        <v>0</v>
      </c>
      <c r="DU417" s="675">
        <v>0</v>
      </c>
      <c r="DV417" s="549">
        <v>0</v>
      </c>
      <c r="DW417" s="675">
        <v>0</v>
      </c>
      <c r="DX417" s="549">
        <v>0</v>
      </c>
      <c r="DY417" s="675">
        <v>0</v>
      </c>
      <c r="DZ417" s="549">
        <v>0</v>
      </c>
      <c r="EA417" s="675">
        <v>0</v>
      </c>
      <c r="EB417" s="549">
        <v>0</v>
      </c>
      <c r="EC417" s="675">
        <v>0</v>
      </c>
      <c r="ED417" s="549">
        <v>0</v>
      </c>
      <c r="EE417" s="675">
        <v>0</v>
      </c>
      <c r="EF417" s="549">
        <v>0</v>
      </c>
      <c r="EG417" s="675">
        <v>0</v>
      </c>
      <c r="EH417" s="549">
        <v>0</v>
      </c>
      <c r="EI417" s="675">
        <v>0</v>
      </c>
      <c r="EJ417" s="549">
        <v>0</v>
      </c>
      <c r="EK417" s="675">
        <v>0</v>
      </c>
      <c r="EL417" s="549">
        <v>0</v>
      </c>
      <c r="EM417" s="675">
        <v>0</v>
      </c>
      <c r="EN417" s="549">
        <v>0</v>
      </c>
      <c r="EO417" s="675">
        <v>0</v>
      </c>
      <c r="EP417" s="549">
        <v>0</v>
      </c>
      <c r="EQ417" s="675">
        <v>0</v>
      </c>
      <c r="ER417" s="549">
        <v>0</v>
      </c>
      <c r="ES417" s="675">
        <v>0</v>
      </c>
      <c r="ET417" s="549">
        <v>0</v>
      </c>
      <c r="EU417" s="675">
        <v>0</v>
      </c>
      <c r="EV417" s="549">
        <v>0</v>
      </c>
      <c r="EW417" s="675">
        <v>0</v>
      </c>
      <c r="EX417" s="549">
        <v>0</v>
      </c>
      <c r="EY417" s="675">
        <v>0</v>
      </c>
      <c r="EZ417" s="549">
        <v>0</v>
      </c>
      <c r="FA417" s="675">
        <v>0</v>
      </c>
      <c r="FB417" s="549">
        <v>0</v>
      </c>
      <c r="FC417" s="675">
        <v>0</v>
      </c>
      <c r="FD417" s="549">
        <v>0</v>
      </c>
      <c r="FE417" s="675">
        <v>0</v>
      </c>
      <c r="FF417" s="549">
        <v>0</v>
      </c>
      <c r="FG417" s="675">
        <v>0</v>
      </c>
      <c r="FH417" s="549">
        <v>0</v>
      </c>
      <c r="FI417" s="675">
        <v>0</v>
      </c>
      <c r="FJ417" s="549">
        <v>0</v>
      </c>
      <c r="FK417" s="675">
        <v>0</v>
      </c>
      <c r="FL417" s="549">
        <v>0</v>
      </c>
      <c r="FM417" s="675">
        <v>0</v>
      </c>
      <c r="FN417" s="549">
        <v>0</v>
      </c>
      <c r="FO417" s="675">
        <v>0</v>
      </c>
      <c r="FP417" s="549">
        <v>0</v>
      </c>
      <c r="FQ417" s="675">
        <v>0</v>
      </c>
      <c r="FR417" s="549">
        <v>0</v>
      </c>
      <c r="FS417" s="675">
        <v>0</v>
      </c>
      <c r="FT417" s="549">
        <v>0</v>
      </c>
      <c r="FU417" s="675">
        <v>0</v>
      </c>
      <c r="FV417" s="549">
        <v>0</v>
      </c>
      <c r="FW417" s="675">
        <v>0</v>
      </c>
      <c r="FX417" s="549">
        <v>0</v>
      </c>
      <c r="FY417" s="675">
        <v>0</v>
      </c>
      <c r="FZ417" s="549">
        <v>0</v>
      </c>
      <c r="GA417" s="675">
        <v>0</v>
      </c>
      <c r="GB417" s="549">
        <v>0</v>
      </c>
      <c r="GC417" s="675">
        <v>0</v>
      </c>
      <c r="GD417" s="549">
        <v>0</v>
      </c>
      <c r="GE417" s="675">
        <v>0</v>
      </c>
      <c r="GF417" s="549">
        <v>0</v>
      </c>
      <c r="GG417" s="675">
        <v>0</v>
      </c>
      <c r="GH417" s="549">
        <v>0</v>
      </c>
      <c r="GI417" s="675">
        <v>0</v>
      </c>
      <c r="GJ417" s="549">
        <v>0</v>
      </c>
      <c r="GK417" s="675">
        <v>0</v>
      </c>
      <c r="GL417" s="549">
        <v>0</v>
      </c>
      <c r="GM417" s="675">
        <v>0</v>
      </c>
      <c r="GN417" s="549">
        <v>0</v>
      </c>
      <c r="GO417" s="675">
        <v>0</v>
      </c>
      <c r="GP417" s="549">
        <f>+D417+F417+H417+J417+L417+N417+P417+R417+T417+V417+X417+Z417+AB417+AD417+AH417+AJ417+AL417+AN417+AP417+AR417+AT417+AV417+AX417+AZ417+BB417+BD417+BF417+BH417+BJ417+BL417+BN417+BP417+BR417+BT417+BV417+BX417+BZ417+CB417+CD417+CF417+CH417+CJ417+CL417+CN417+CP417+CR417+CT417+CV417+CX417+CZ417+DB417+DD417+DF417+DH417+DT417+EX417+DJ417+DL417+DN417+DP417+DR417+EJ417+EB417+DZ417+DX417+DV417+ED417+EF417+EH417+EL417+EN417+EP417+EV417+ET417+ER417+EZ417+FB417+FD417+GL417+FF417+FJ417+FL417+GJ417+FT417+FR417+FP417+FN417+FH417</f>
        <v>0</v>
      </c>
      <c r="GQ417" s="675">
        <f>+E417+G417+I417+K417+M417+O417+Q417+S417+U417+W417+Y417+AA417+AC417+AE417+AI417+AK417+AM417+AO417+AQ417+AS417+AU417+AW417+AY417+BA417+BC417+BE417+BG417+BI417+BK417+BM417+BO417+BQ417+BS417+BU417+BW417+BY417+CA417+CC417+CE417+CG417+CI417+CK417+CM417+CO417+CQ417+CS417+CU417+CW417+CY417+DA417+DC417+DE417+DG417+DI417+DU417+EY417+DK417+DM417+DO417+DQ417+DS417+EK417+EC417+EA417+DY417+DW417+EI417+EG417+EE417+EM417+EO417+EQ417+EW417+EU417+ES417+FA417+FC417+FE417+GM417+FG417+FK417+FM417+FO417+FQ417+FS417+FU417+GK417+FI417</f>
        <v>0</v>
      </c>
      <c r="GR417" s="74">
        <f>C417+GP417+GQ417</f>
        <v>0</v>
      </c>
      <c r="GS417" s="74">
        <f>SUM(GU417:HE417)+GP417+GQ417</f>
        <v>0</v>
      </c>
      <c r="GT417" s="568">
        <f>SUM(GU417:HF417)+GQ417+GP417</f>
        <v>0</v>
      </c>
      <c r="GU417" s="275">
        <v>0</v>
      </c>
      <c r="GV417" s="275">
        <v>0</v>
      </c>
      <c r="GW417" s="275">
        <v>0</v>
      </c>
      <c r="GX417" s="275">
        <v>0</v>
      </c>
      <c r="GY417" s="275">
        <v>0</v>
      </c>
      <c r="GZ417" s="275">
        <v>0</v>
      </c>
      <c r="HA417" s="275">
        <v>0</v>
      </c>
      <c r="HB417" s="275">
        <v>0</v>
      </c>
      <c r="HC417" s="275">
        <v>0</v>
      </c>
      <c r="HD417" s="275">
        <v>0</v>
      </c>
      <c r="HE417" s="275">
        <v>0</v>
      </c>
      <c r="HF417" s="275">
        <v>0</v>
      </c>
      <c r="HG417" s="74">
        <f t="shared" ref="HG417" si="11040">SUM(HH417:IE417)</f>
        <v>0</v>
      </c>
      <c r="HH417" s="89">
        <v>0</v>
      </c>
      <c r="HI417" s="817">
        <v>0</v>
      </c>
      <c r="HJ417" s="89">
        <v>0</v>
      </c>
      <c r="HK417" s="817">
        <v>0</v>
      </c>
      <c r="HL417" s="89">
        <v>0</v>
      </c>
      <c r="HM417" s="817">
        <v>0</v>
      </c>
      <c r="HN417" s="89">
        <v>0</v>
      </c>
      <c r="HO417" s="817">
        <v>0</v>
      </c>
      <c r="HP417" s="89">
        <v>0</v>
      </c>
      <c r="HQ417" s="817">
        <v>0</v>
      </c>
      <c r="HR417" s="89">
        <v>0</v>
      </c>
      <c r="HS417" s="817">
        <v>0</v>
      </c>
      <c r="HT417" s="89">
        <v>0</v>
      </c>
      <c r="HU417" s="817">
        <v>0</v>
      </c>
      <c r="HV417" s="89">
        <v>0</v>
      </c>
      <c r="HW417" s="817">
        <v>0</v>
      </c>
      <c r="HX417" s="89">
        <v>0</v>
      </c>
      <c r="HY417" s="817">
        <v>0</v>
      </c>
      <c r="HZ417" s="89">
        <v>0</v>
      </c>
      <c r="IA417" s="817">
        <v>0</v>
      </c>
      <c r="IB417" s="89">
        <v>0</v>
      </c>
      <c r="IC417" s="817">
        <v>0</v>
      </c>
      <c r="ID417" s="89">
        <v>0</v>
      </c>
      <c r="IE417" s="817">
        <v>0</v>
      </c>
      <c r="IF417" s="841">
        <f t="shared" ref="IF417" si="11041">SUM(II417,IL417,IO417,IR417,IU417,IX417,JA417,JD417,JG417,JJ417,JM417,JP417)</f>
        <v>0</v>
      </c>
      <c r="IG417" s="263">
        <f t="shared" ref="IG417" si="11042">SUM(IJ417,IM417,IP417,IS417,IV417,IY417,JB417,JE417,JH417,JK417,JN417,JQ417)</f>
        <v>0</v>
      </c>
      <c r="IH417" s="842">
        <f t="shared" ref="IH417" si="11043">SUM(IK417,IN417,IQ417,IT417,IW417,IZ417,JC417,JF417,JI417,JL417,JO417,JR417)</f>
        <v>0</v>
      </c>
      <c r="II417" s="89">
        <v>0</v>
      </c>
      <c r="IJ417" s="89">
        <f t="shared" ref="IJ417" si="11044">II417</f>
        <v>0</v>
      </c>
      <c r="IK417" s="89">
        <f t="shared" ref="IK417" si="11045">IJ417</f>
        <v>0</v>
      </c>
      <c r="IL417" s="89">
        <v>0</v>
      </c>
      <c r="IM417" s="89">
        <f t="shared" ref="IM417" si="11046">IL417</f>
        <v>0</v>
      </c>
      <c r="IN417" s="89">
        <f t="shared" ref="IN417" si="11047">IM417</f>
        <v>0</v>
      </c>
      <c r="IO417" s="89">
        <v>0</v>
      </c>
      <c r="IP417" s="89">
        <f t="shared" ref="IP417" si="11048">IO417</f>
        <v>0</v>
      </c>
      <c r="IQ417" s="89">
        <f t="shared" ref="IQ417" si="11049">IP417</f>
        <v>0</v>
      </c>
      <c r="IR417" s="89">
        <v>0</v>
      </c>
      <c r="IS417" s="89">
        <f t="shared" ref="IS417" si="11050">IR417</f>
        <v>0</v>
      </c>
      <c r="IT417" s="89">
        <f t="shared" ref="IT417" si="11051">IS417</f>
        <v>0</v>
      </c>
      <c r="IU417" s="89">
        <v>0</v>
      </c>
      <c r="IV417" s="89">
        <f t="shared" ref="IV417" si="11052">IU417</f>
        <v>0</v>
      </c>
      <c r="IW417" s="89">
        <f t="shared" ref="IW417" si="11053">IV417</f>
        <v>0</v>
      </c>
      <c r="IX417" s="89">
        <v>0</v>
      </c>
      <c r="IY417" s="89">
        <f t="shared" ref="IY417" si="11054">IX417</f>
        <v>0</v>
      </c>
      <c r="IZ417" s="89">
        <f t="shared" ref="IZ417" si="11055">IY417</f>
        <v>0</v>
      </c>
      <c r="JA417" s="89">
        <v>0</v>
      </c>
      <c r="JB417" s="89">
        <f t="shared" ref="JB417" si="11056">JA417</f>
        <v>0</v>
      </c>
      <c r="JC417" s="89">
        <f t="shared" ref="JC417" si="11057">JB417</f>
        <v>0</v>
      </c>
      <c r="JD417" s="89">
        <v>0</v>
      </c>
      <c r="JE417" s="89">
        <f t="shared" ref="JE417" si="11058">JD417</f>
        <v>0</v>
      </c>
      <c r="JF417" s="89">
        <f t="shared" ref="JF417" si="11059">JE417</f>
        <v>0</v>
      </c>
      <c r="JG417" s="89">
        <v>0</v>
      </c>
      <c r="JH417" s="89">
        <f t="shared" ref="JH417" si="11060">JG417</f>
        <v>0</v>
      </c>
      <c r="JI417" s="89">
        <f t="shared" ref="JI417" si="11061">JH417</f>
        <v>0</v>
      </c>
      <c r="JJ417" s="89">
        <v>0</v>
      </c>
      <c r="JK417" s="89">
        <f t="shared" ref="JK417" si="11062">JJ417</f>
        <v>0</v>
      </c>
      <c r="JL417" s="89">
        <f t="shared" ref="JL417" si="11063">JK417</f>
        <v>0</v>
      </c>
      <c r="JM417" s="89">
        <v>0</v>
      </c>
      <c r="JN417" s="89">
        <f t="shared" ref="JN417" si="11064">JM417</f>
        <v>0</v>
      </c>
      <c r="JO417" s="89">
        <f t="shared" ref="JO417" si="11065">JN417</f>
        <v>0</v>
      </c>
      <c r="JP417" s="89">
        <v>0</v>
      </c>
      <c r="JQ417" s="89">
        <f t="shared" ref="JQ417:JR417" si="11066">JP417</f>
        <v>0</v>
      </c>
      <c r="JR417" s="89">
        <f t="shared" si="11066"/>
        <v>0</v>
      </c>
      <c r="JS417" s="74">
        <f t="shared" ref="JS417" si="11067">HG417-IF417</f>
        <v>0</v>
      </c>
      <c r="JT417" s="382">
        <f t="shared" ref="JT417" si="11068">GS417-IF417</f>
        <v>0</v>
      </c>
      <c r="JU417" s="665"/>
      <c r="JV417" s="524"/>
      <c r="JW417" s="525"/>
      <c r="JX417" s="549">
        <f t="shared" ref="JX417" si="11069">SUM(HH417,HJ417,HL417,HN417,HP417,HR417,HT417,HV417,HX417,HZ417,IB417,ID417)</f>
        <v>0</v>
      </c>
      <c r="JY417" s="549">
        <f t="shared" ref="JY417" si="11070">SUM(HI417,HK417,HM417,HO417,HQ417,HS417,HU417,HW417,HY417,IA417,IC417,IE417)</f>
        <v>0</v>
      </c>
      <c r="JZ417" s="581">
        <f t="shared" si="11020"/>
        <v>0</v>
      </c>
      <c r="KA417" s="581">
        <f t="shared" si="11021"/>
        <v>0</v>
      </c>
      <c r="KB417" s="549">
        <f>JX417</f>
        <v>0</v>
      </c>
      <c r="KC417" s="709">
        <f t="shared" si="11022"/>
        <v>0</v>
      </c>
      <c r="KD417" s="36"/>
      <c r="KE417" s="36"/>
      <c r="KF417" s="36"/>
      <c r="KG417" s="36"/>
      <c r="KH417" s="36"/>
      <c r="KI417" s="36"/>
      <c r="KJ417" s="36"/>
      <c r="KK417" s="36"/>
    </row>
    <row r="418" spans="1:297" s="10" customFormat="1" ht="12.75" hidden="1" customHeight="1">
      <c r="A418" s="86"/>
      <c r="B418" s="77"/>
      <c r="C418" s="74"/>
      <c r="D418" s="549"/>
      <c r="E418" s="675"/>
      <c r="F418" s="549"/>
      <c r="G418" s="675"/>
      <c r="H418" s="549"/>
      <c r="I418" s="675"/>
      <c r="J418" s="549"/>
      <c r="K418" s="675"/>
      <c r="L418" s="549"/>
      <c r="M418" s="675"/>
      <c r="N418" s="549"/>
      <c r="O418" s="675"/>
      <c r="P418" s="549"/>
      <c r="Q418" s="675"/>
      <c r="R418" s="549"/>
      <c r="S418" s="675"/>
      <c r="T418" s="549"/>
      <c r="U418" s="675"/>
      <c r="V418" s="549"/>
      <c r="W418" s="675"/>
      <c r="X418" s="549"/>
      <c r="Y418" s="675"/>
      <c r="Z418" s="549"/>
      <c r="AA418" s="675"/>
      <c r="AB418" s="549"/>
      <c r="AC418" s="675"/>
      <c r="AD418" s="549"/>
      <c r="AE418" s="675"/>
      <c r="AF418" s="549"/>
      <c r="AG418" s="675"/>
      <c r="AH418" s="549"/>
      <c r="AI418" s="675"/>
      <c r="AJ418" s="549"/>
      <c r="AK418" s="675"/>
      <c r="AL418" s="549"/>
      <c r="AM418" s="675"/>
      <c r="AN418" s="549"/>
      <c r="AO418" s="675"/>
      <c r="AP418" s="549"/>
      <c r="AQ418" s="675"/>
      <c r="AR418" s="549"/>
      <c r="AS418" s="675"/>
      <c r="AT418" s="549"/>
      <c r="AU418" s="675"/>
      <c r="AV418" s="549"/>
      <c r="AW418" s="675"/>
      <c r="AX418" s="549"/>
      <c r="AY418" s="675"/>
      <c r="AZ418" s="549"/>
      <c r="BA418" s="675"/>
      <c r="BB418" s="549"/>
      <c r="BC418" s="675"/>
      <c r="BD418" s="549"/>
      <c r="BE418" s="675"/>
      <c r="BF418" s="549"/>
      <c r="BG418" s="675"/>
      <c r="BH418" s="549"/>
      <c r="BI418" s="675"/>
      <c r="BJ418" s="549"/>
      <c r="BK418" s="675"/>
      <c r="BL418" s="549"/>
      <c r="BM418" s="675"/>
      <c r="BN418" s="549"/>
      <c r="BO418" s="675"/>
      <c r="BP418" s="549"/>
      <c r="BQ418" s="675"/>
      <c r="BR418" s="549"/>
      <c r="BS418" s="675"/>
      <c r="BT418" s="549"/>
      <c r="BU418" s="675"/>
      <c r="BV418" s="549"/>
      <c r="BW418" s="675"/>
      <c r="BX418" s="549"/>
      <c r="BY418" s="675"/>
      <c r="BZ418" s="549"/>
      <c r="CA418" s="675"/>
      <c r="CB418" s="549"/>
      <c r="CC418" s="675"/>
      <c r="CD418" s="549"/>
      <c r="CE418" s="675"/>
      <c r="CF418" s="549"/>
      <c r="CG418" s="675"/>
      <c r="CH418" s="549"/>
      <c r="CI418" s="675"/>
      <c r="CJ418" s="549"/>
      <c r="CK418" s="675"/>
      <c r="CL418" s="549"/>
      <c r="CM418" s="675"/>
      <c r="CN418" s="549"/>
      <c r="CO418" s="675"/>
      <c r="CP418" s="549"/>
      <c r="CQ418" s="675"/>
      <c r="CR418" s="549"/>
      <c r="CS418" s="675"/>
      <c r="CT418" s="549"/>
      <c r="CU418" s="675"/>
      <c r="CV418" s="549"/>
      <c r="CW418" s="675"/>
      <c r="CX418" s="549"/>
      <c r="CY418" s="675"/>
      <c r="CZ418" s="549"/>
      <c r="DA418" s="675"/>
      <c r="DB418" s="549"/>
      <c r="DC418" s="675"/>
      <c r="DD418" s="549"/>
      <c r="DE418" s="675"/>
      <c r="DF418" s="549"/>
      <c r="DG418" s="675"/>
      <c r="DH418" s="549"/>
      <c r="DI418" s="675"/>
      <c r="DJ418" s="549"/>
      <c r="DK418" s="675"/>
      <c r="DL418" s="549"/>
      <c r="DM418" s="675"/>
      <c r="DN418" s="549"/>
      <c r="DO418" s="675"/>
      <c r="DP418" s="549"/>
      <c r="DQ418" s="675"/>
      <c r="DR418" s="549"/>
      <c r="DS418" s="675"/>
      <c r="DT418" s="549"/>
      <c r="DU418" s="675"/>
      <c r="DV418" s="549"/>
      <c r="DW418" s="675"/>
      <c r="DX418" s="549"/>
      <c r="DY418" s="675"/>
      <c r="DZ418" s="549"/>
      <c r="EA418" s="675"/>
      <c r="EB418" s="549"/>
      <c r="EC418" s="675"/>
      <c r="ED418" s="549"/>
      <c r="EE418" s="675"/>
      <c r="EF418" s="549"/>
      <c r="EG418" s="675"/>
      <c r="EH418" s="549"/>
      <c r="EI418" s="675"/>
      <c r="EJ418" s="549"/>
      <c r="EK418" s="675"/>
      <c r="EL418" s="549"/>
      <c r="EM418" s="675"/>
      <c r="EN418" s="549"/>
      <c r="EO418" s="675"/>
      <c r="EP418" s="549"/>
      <c r="EQ418" s="675"/>
      <c r="ER418" s="549"/>
      <c r="ES418" s="675"/>
      <c r="ET418" s="549"/>
      <c r="EU418" s="675"/>
      <c r="EV418" s="549"/>
      <c r="EW418" s="675"/>
      <c r="EX418" s="549"/>
      <c r="EY418" s="675"/>
      <c r="EZ418" s="549"/>
      <c r="FA418" s="675"/>
      <c r="FB418" s="549"/>
      <c r="FC418" s="675"/>
      <c r="FD418" s="549"/>
      <c r="FE418" s="675"/>
      <c r="FF418" s="549"/>
      <c r="FG418" s="675"/>
      <c r="FH418" s="549"/>
      <c r="FI418" s="675"/>
      <c r="FJ418" s="549"/>
      <c r="FK418" s="675"/>
      <c r="FL418" s="549"/>
      <c r="FM418" s="675"/>
      <c r="FN418" s="549"/>
      <c r="FO418" s="675"/>
      <c r="FP418" s="549"/>
      <c r="FQ418" s="675"/>
      <c r="FR418" s="549"/>
      <c r="FS418" s="675"/>
      <c r="FT418" s="549"/>
      <c r="FU418" s="675"/>
      <c r="FV418" s="549"/>
      <c r="FW418" s="675"/>
      <c r="FX418" s="549"/>
      <c r="FY418" s="675"/>
      <c r="FZ418" s="549"/>
      <c r="GA418" s="675"/>
      <c r="GB418" s="549"/>
      <c r="GC418" s="675"/>
      <c r="GD418" s="549"/>
      <c r="GE418" s="675"/>
      <c r="GF418" s="549"/>
      <c r="GG418" s="675"/>
      <c r="GH418" s="549"/>
      <c r="GI418" s="675"/>
      <c r="GJ418" s="549"/>
      <c r="GK418" s="675"/>
      <c r="GL418" s="549"/>
      <c r="GM418" s="675"/>
      <c r="GN418" s="549"/>
      <c r="GO418" s="675"/>
      <c r="GP418" s="549"/>
      <c r="GQ418" s="675"/>
      <c r="GR418" s="74"/>
      <c r="GS418" s="74"/>
      <c r="GT418" s="549"/>
      <c r="GU418" s="73"/>
      <c r="GV418" s="73"/>
      <c r="GW418" s="549"/>
      <c r="GX418" s="549"/>
      <c r="GY418" s="73"/>
      <c r="GZ418" s="73"/>
      <c r="HA418" s="73"/>
      <c r="HB418" s="73"/>
      <c r="HC418" s="73"/>
      <c r="HD418" s="73"/>
      <c r="HE418" s="73"/>
      <c r="HF418" s="73"/>
      <c r="HG418" s="74"/>
      <c r="HH418" s="73"/>
      <c r="HI418" s="815"/>
      <c r="HJ418" s="73"/>
      <c r="HK418" s="815"/>
      <c r="HL418" s="73"/>
      <c r="HM418" s="815"/>
      <c r="HN418" s="73"/>
      <c r="HO418" s="815"/>
      <c r="HP418" s="73"/>
      <c r="HQ418" s="815"/>
      <c r="HR418" s="73"/>
      <c r="HS418" s="815"/>
      <c r="HT418" s="73"/>
      <c r="HU418" s="815"/>
      <c r="HV418" s="73"/>
      <c r="HW418" s="815"/>
      <c r="HX418" s="73"/>
      <c r="HY418" s="815"/>
      <c r="HZ418" s="73"/>
      <c r="IA418" s="815"/>
      <c r="IB418" s="73"/>
      <c r="IC418" s="815"/>
      <c r="ID418" s="73"/>
      <c r="IE418" s="815"/>
      <c r="IF418" s="841"/>
      <c r="IG418" s="263"/>
      <c r="IH418" s="842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  <c r="JD418" s="73"/>
      <c r="JE418" s="73"/>
      <c r="JF418" s="73"/>
      <c r="JG418" s="73"/>
      <c r="JH418" s="73"/>
      <c r="JI418" s="73"/>
      <c r="JJ418" s="73"/>
      <c r="JK418" s="73"/>
      <c r="JL418" s="73"/>
      <c r="JM418" s="73"/>
      <c r="JN418" s="73"/>
      <c r="JO418" s="73"/>
      <c r="JP418" s="73"/>
      <c r="JQ418" s="73"/>
      <c r="JR418" s="73"/>
      <c r="JS418" s="74"/>
      <c r="JT418" s="382"/>
      <c r="JU418" s="665"/>
      <c r="JV418" s="524"/>
      <c r="JW418" s="525"/>
      <c r="JX418" s="549"/>
      <c r="JY418" s="549"/>
      <c r="JZ418" s="581">
        <f t="shared" si="10300"/>
        <v>0</v>
      </c>
      <c r="KA418" s="581">
        <f t="shared" si="10301"/>
        <v>0</v>
      </c>
      <c r="KB418" s="549">
        <f t="shared" si="10257"/>
        <v>0</v>
      </c>
      <c r="KC418" s="709">
        <f t="shared" si="10273"/>
        <v>0</v>
      </c>
      <c r="KD418" s="36"/>
      <c r="KE418" s="36"/>
      <c r="KF418" s="36"/>
      <c r="KG418" s="36"/>
      <c r="KH418" s="36"/>
      <c r="KI418" s="36"/>
      <c r="KJ418" s="36"/>
      <c r="KK418" s="36"/>
    </row>
    <row r="419" spans="1:297" s="8" customFormat="1">
      <c r="A419" s="80" t="s">
        <v>255</v>
      </c>
      <c r="B419" s="72" t="s">
        <v>116</v>
      </c>
      <c r="C419" s="74">
        <f t="shared" ref="C419:S419" si="11071">SUM(C420:C425)</f>
        <v>115000</v>
      </c>
      <c r="D419" s="549">
        <f t="shared" si="11071"/>
        <v>0</v>
      </c>
      <c r="E419" s="675">
        <f t="shared" si="11071"/>
        <v>0</v>
      </c>
      <c r="F419" s="549">
        <f t="shared" si="11071"/>
        <v>0</v>
      </c>
      <c r="G419" s="675">
        <f t="shared" si="11071"/>
        <v>0</v>
      </c>
      <c r="H419" s="549">
        <f t="shared" si="11071"/>
        <v>0</v>
      </c>
      <c r="I419" s="675">
        <f t="shared" si="11071"/>
        <v>0</v>
      </c>
      <c r="J419" s="549">
        <f t="shared" si="11071"/>
        <v>0</v>
      </c>
      <c r="K419" s="675">
        <f t="shared" si="11071"/>
        <v>0</v>
      </c>
      <c r="L419" s="549">
        <f t="shared" si="11071"/>
        <v>0</v>
      </c>
      <c r="M419" s="675">
        <f t="shared" si="11071"/>
        <v>0</v>
      </c>
      <c r="N419" s="549">
        <f t="shared" si="11071"/>
        <v>0</v>
      </c>
      <c r="O419" s="675">
        <f t="shared" si="11071"/>
        <v>0</v>
      </c>
      <c r="P419" s="549">
        <f t="shared" si="11071"/>
        <v>0</v>
      </c>
      <c r="Q419" s="675">
        <f t="shared" si="11071"/>
        <v>0</v>
      </c>
      <c r="R419" s="549">
        <f t="shared" si="11071"/>
        <v>0</v>
      </c>
      <c r="S419" s="675">
        <f t="shared" si="11071"/>
        <v>0</v>
      </c>
      <c r="T419" s="549">
        <f t="shared" ref="T419:AM419" si="11072">SUM(T420:T425)</f>
        <v>0</v>
      </c>
      <c r="U419" s="675">
        <f t="shared" si="11072"/>
        <v>0</v>
      </c>
      <c r="V419" s="549">
        <f t="shared" si="11072"/>
        <v>0</v>
      </c>
      <c r="W419" s="675">
        <f t="shared" si="11072"/>
        <v>0</v>
      </c>
      <c r="X419" s="549">
        <f t="shared" si="11072"/>
        <v>0</v>
      </c>
      <c r="Y419" s="675">
        <f t="shared" si="11072"/>
        <v>-10000</v>
      </c>
      <c r="Z419" s="549">
        <f t="shared" si="11072"/>
        <v>0</v>
      </c>
      <c r="AA419" s="675">
        <f t="shared" si="11072"/>
        <v>0</v>
      </c>
      <c r="AB419" s="549">
        <f t="shared" si="11072"/>
        <v>0</v>
      </c>
      <c r="AC419" s="675">
        <f t="shared" si="11072"/>
        <v>0</v>
      </c>
      <c r="AD419" s="549">
        <f t="shared" ref="AD419:AK419" si="11073">SUM(AD420:AD425)</f>
        <v>0</v>
      </c>
      <c r="AE419" s="675">
        <f t="shared" si="11073"/>
        <v>0</v>
      </c>
      <c r="AF419" s="549">
        <f t="shared" si="11073"/>
        <v>0</v>
      </c>
      <c r="AG419" s="675">
        <f t="shared" si="11073"/>
        <v>-10000</v>
      </c>
      <c r="AH419" s="549">
        <f t="shared" si="11073"/>
        <v>0</v>
      </c>
      <c r="AI419" s="675">
        <f t="shared" si="11073"/>
        <v>0</v>
      </c>
      <c r="AJ419" s="549">
        <f t="shared" si="11073"/>
        <v>0</v>
      </c>
      <c r="AK419" s="675">
        <f t="shared" si="11073"/>
        <v>0</v>
      </c>
      <c r="AL419" s="549">
        <f t="shared" si="11072"/>
        <v>0</v>
      </c>
      <c r="AM419" s="675">
        <f t="shared" si="11072"/>
        <v>0</v>
      </c>
      <c r="AN419" s="549">
        <f t="shared" ref="AN419:AS419" si="11074">SUM(AN420:AN425)</f>
        <v>0</v>
      </c>
      <c r="AO419" s="675">
        <f t="shared" si="11074"/>
        <v>0</v>
      </c>
      <c r="AP419" s="549">
        <f t="shared" si="11074"/>
        <v>0</v>
      </c>
      <c r="AQ419" s="675">
        <f t="shared" si="11074"/>
        <v>0</v>
      </c>
      <c r="AR419" s="549">
        <f t="shared" si="11074"/>
        <v>0</v>
      </c>
      <c r="AS419" s="675">
        <f t="shared" si="11074"/>
        <v>0</v>
      </c>
      <c r="AT419" s="549">
        <f t="shared" ref="AT419:AU419" si="11075">SUM(AT420:AT425)</f>
        <v>0</v>
      </c>
      <c r="AU419" s="675">
        <f t="shared" si="11075"/>
        <v>0</v>
      </c>
      <c r="AV419" s="549">
        <f t="shared" ref="AV419:AW419" si="11076">SUM(AV420:AV425)</f>
        <v>0</v>
      </c>
      <c r="AW419" s="675">
        <f t="shared" si="11076"/>
        <v>0</v>
      </c>
      <c r="AX419" s="549">
        <f t="shared" ref="AX419:AY419" si="11077">SUM(AX420:AX425)</f>
        <v>0</v>
      </c>
      <c r="AY419" s="675">
        <f t="shared" si="11077"/>
        <v>0</v>
      </c>
      <c r="AZ419" s="549">
        <f t="shared" ref="AZ419:BA419" si="11078">SUM(AZ420:AZ425)</f>
        <v>0</v>
      </c>
      <c r="BA419" s="675">
        <f t="shared" si="11078"/>
        <v>-10000</v>
      </c>
      <c r="BB419" s="549">
        <f t="shared" ref="BB419:BC419" si="11079">SUM(BB420:BB425)</f>
        <v>0</v>
      </c>
      <c r="BC419" s="675">
        <f t="shared" si="11079"/>
        <v>0</v>
      </c>
      <c r="BD419" s="549">
        <f t="shared" ref="BD419:BE419" si="11080">SUM(BD420:BD425)</f>
        <v>0</v>
      </c>
      <c r="BE419" s="675">
        <f t="shared" si="11080"/>
        <v>0</v>
      </c>
      <c r="BF419" s="549">
        <f t="shared" ref="BF419:BG419" si="11081">SUM(BF420:BF425)</f>
        <v>0</v>
      </c>
      <c r="BG419" s="675">
        <f t="shared" si="11081"/>
        <v>0</v>
      </c>
      <c r="BH419" s="549">
        <f t="shared" ref="BH419:BI419" si="11082">SUM(BH420:BH425)</f>
        <v>0</v>
      </c>
      <c r="BI419" s="675">
        <f t="shared" si="11082"/>
        <v>0</v>
      </c>
      <c r="BJ419" s="549">
        <f t="shared" ref="BJ419:BK419" si="11083">SUM(BJ420:BJ425)</f>
        <v>0</v>
      </c>
      <c r="BK419" s="675">
        <f t="shared" si="11083"/>
        <v>0</v>
      </c>
      <c r="BL419" s="549">
        <f t="shared" ref="BL419:BS419" si="11084">SUM(BL420:BL425)</f>
        <v>0</v>
      </c>
      <c r="BM419" s="675">
        <f t="shared" si="11084"/>
        <v>0</v>
      </c>
      <c r="BN419" s="549">
        <f t="shared" si="11084"/>
        <v>0</v>
      </c>
      <c r="BO419" s="675">
        <f t="shared" si="11084"/>
        <v>0</v>
      </c>
      <c r="BP419" s="549">
        <f t="shared" si="11084"/>
        <v>0</v>
      </c>
      <c r="BQ419" s="675">
        <f t="shared" si="11084"/>
        <v>0</v>
      </c>
      <c r="BR419" s="549">
        <f t="shared" si="11084"/>
        <v>0</v>
      </c>
      <c r="BS419" s="675">
        <f t="shared" si="11084"/>
        <v>0</v>
      </c>
      <c r="BT419" s="549">
        <f t="shared" ref="BT419:BU419" si="11085">SUM(BT420:BT425)</f>
        <v>0</v>
      </c>
      <c r="BU419" s="675">
        <f t="shared" si="11085"/>
        <v>0</v>
      </c>
      <c r="BV419" s="549">
        <f t="shared" ref="BV419:BW419" si="11086">SUM(BV420:BV425)</f>
        <v>0</v>
      </c>
      <c r="BW419" s="675">
        <f t="shared" si="11086"/>
        <v>0</v>
      </c>
      <c r="BX419" s="549">
        <f t="shared" ref="BX419:BY419" si="11087">SUM(BX420:BX425)</f>
        <v>0</v>
      </c>
      <c r="BY419" s="675">
        <f t="shared" si="11087"/>
        <v>0</v>
      </c>
      <c r="BZ419" s="549">
        <f t="shared" ref="BZ419:CA419" si="11088">SUM(BZ420:BZ425)</f>
        <v>0</v>
      </c>
      <c r="CA419" s="675">
        <f t="shared" si="11088"/>
        <v>0</v>
      </c>
      <c r="CB419" s="549">
        <f t="shared" ref="CB419:CE419" si="11089">SUM(CB420:CB425)</f>
        <v>0</v>
      </c>
      <c r="CC419" s="675">
        <f t="shared" si="11089"/>
        <v>0</v>
      </c>
      <c r="CD419" s="549">
        <f t="shared" si="11089"/>
        <v>0</v>
      </c>
      <c r="CE419" s="675">
        <f t="shared" si="11089"/>
        <v>0</v>
      </c>
      <c r="CF419" s="549">
        <f t="shared" ref="CF419:CQ419" si="11090">SUM(CF420:CF425)</f>
        <v>0</v>
      </c>
      <c r="CG419" s="675">
        <f t="shared" si="11090"/>
        <v>0</v>
      </c>
      <c r="CH419" s="549">
        <f t="shared" si="11090"/>
        <v>0</v>
      </c>
      <c r="CI419" s="675">
        <f t="shared" si="11090"/>
        <v>0</v>
      </c>
      <c r="CJ419" s="549">
        <f t="shared" si="11090"/>
        <v>0</v>
      </c>
      <c r="CK419" s="675">
        <f t="shared" si="11090"/>
        <v>-25000</v>
      </c>
      <c r="CL419" s="549">
        <f t="shared" si="11090"/>
        <v>0</v>
      </c>
      <c r="CM419" s="675">
        <f t="shared" si="11090"/>
        <v>-10000</v>
      </c>
      <c r="CN419" s="549">
        <f t="shared" si="11090"/>
        <v>0</v>
      </c>
      <c r="CO419" s="675">
        <f t="shared" si="11090"/>
        <v>0</v>
      </c>
      <c r="CP419" s="549">
        <f t="shared" si="11090"/>
        <v>0</v>
      </c>
      <c r="CQ419" s="675">
        <f t="shared" si="11090"/>
        <v>0</v>
      </c>
      <c r="CR419" s="549">
        <f t="shared" ref="CR419:CY419" si="11091">SUM(CR420:CR425)</f>
        <v>0</v>
      </c>
      <c r="CS419" s="675">
        <f t="shared" si="11091"/>
        <v>0</v>
      </c>
      <c r="CT419" s="549">
        <f t="shared" si="11091"/>
        <v>0</v>
      </c>
      <c r="CU419" s="675">
        <f t="shared" si="11091"/>
        <v>0</v>
      </c>
      <c r="CV419" s="549">
        <f t="shared" si="11091"/>
        <v>0</v>
      </c>
      <c r="CW419" s="675">
        <f t="shared" si="11091"/>
        <v>0</v>
      </c>
      <c r="CX419" s="549">
        <f t="shared" si="11091"/>
        <v>0</v>
      </c>
      <c r="CY419" s="675">
        <f t="shared" si="11091"/>
        <v>0</v>
      </c>
      <c r="CZ419" s="549">
        <f t="shared" ref="CZ419:GT419" si="11092">SUM(CZ420:CZ425)</f>
        <v>0</v>
      </c>
      <c r="DA419" s="675">
        <f t="shared" si="11092"/>
        <v>0</v>
      </c>
      <c r="DB419" s="549">
        <f t="shared" si="11092"/>
        <v>0</v>
      </c>
      <c r="DC419" s="675">
        <f t="shared" si="11092"/>
        <v>0</v>
      </c>
      <c r="DD419" s="549">
        <f t="shared" si="11092"/>
        <v>0</v>
      </c>
      <c r="DE419" s="675">
        <f t="shared" si="11092"/>
        <v>0</v>
      </c>
      <c r="DF419" s="549">
        <f t="shared" si="11092"/>
        <v>0</v>
      </c>
      <c r="DG419" s="675">
        <f t="shared" si="11092"/>
        <v>0</v>
      </c>
      <c r="DH419" s="549">
        <f t="shared" si="11092"/>
        <v>0</v>
      </c>
      <c r="DI419" s="675">
        <f t="shared" si="11092"/>
        <v>-12000</v>
      </c>
      <c r="DJ419" s="549">
        <f t="shared" si="11092"/>
        <v>0</v>
      </c>
      <c r="DK419" s="675">
        <f t="shared" si="11092"/>
        <v>-4000</v>
      </c>
      <c r="DL419" s="549">
        <f t="shared" si="11092"/>
        <v>0</v>
      </c>
      <c r="DM419" s="675">
        <f t="shared" si="11092"/>
        <v>0</v>
      </c>
      <c r="DN419" s="549">
        <f t="shared" si="11092"/>
        <v>0</v>
      </c>
      <c r="DO419" s="675">
        <f t="shared" si="11092"/>
        <v>0</v>
      </c>
      <c r="DP419" s="549">
        <f t="shared" si="11092"/>
        <v>0</v>
      </c>
      <c r="DQ419" s="675">
        <f t="shared" si="11092"/>
        <v>0</v>
      </c>
      <c r="DR419" s="549">
        <f t="shared" si="11092"/>
        <v>0</v>
      </c>
      <c r="DS419" s="675">
        <f t="shared" si="11092"/>
        <v>0</v>
      </c>
      <c r="DT419" s="549">
        <f t="shared" si="11092"/>
        <v>0</v>
      </c>
      <c r="DU419" s="675">
        <f t="shared" si="11092"/>
        <v>0</v>
      </c>
      <c r="DV419" s="549">
        <f t="shared" si="11092"/>
        <v>0</v>
      </c>
      <c r="DW419" s="675">
        <f t="shared" si="11092"/>
        <v>0</v>
      </c>
      <c r="DX419" s="549">
        <f t="shared" si="11092"/>
        <v>0</v>
      </c>
      <c r="DY419" s="675">
        <f t="shared" si="11092"/>
        <v>0</v>
      </c>
      <c r="DZ419" s="549">
        <f t="shared" ref="DZ419:FA419" si="11093">SUM(DZ420:DZ425)</f>
        <v>0</v>
      </c>
      <c r="EA419" s="675">
        <f t="shared" si="11093"/>
        <v>0</v>
      </c>
      <c r="EB419" s="549">
        <f t="shared" si="11093"/>
        <v>0</v>
      </c>
      <c r="EC419" s="675">
        <f t="shared" si="11093"/>
        <v>0</v>
      </c>
      <c r="ED419" s="549">
        <f t="shared" si="11093"/>
        <v>0</v>
      </c>
      <c r="EE419" s="675">
        <f t="shared" si="11093"/>
        <v>0</v>
      </c>
      <c r="EF419" s="549">
        <f t="shared" si="11093"/>
        <v>0</v>
      </c>
      <c r="EG419" s="675">
        <f t="shared" si="11093"/>
        <v>0</v>
      </c>
      <c r="EH419" s="549">
        <f t="shared" ref="EH419:EM419" si="11094">SUM(EH420:EH425)</f>
        <v>0</v>
      </c>
      <c r="EI419" s="675">
        <f t="shared" si="11094"/>
        <v>0</v>
      </c>
      <c r="EJ419" s="549">
        <f t="shared" si="11094"/>
        <v>0</v>
      </c>
      <c r="EK419" s="675">
        <f t="shared" si="11094"/>
        <v>0</v>
      </c>
      <c r="EL419" s="549">
        <f t="shared" si="11094"/>
        <v>0</v>
      </c>
      <c r="EM419" s="675">
        <f t="shared" si="11094"/>
        <v>-10000</v>
      </c>
      <c r="EN419" s="549">
        <f t="shared" si="11093"/>
        <v>0</v>
      </c>
      <c r="EO419" s="675">
        <f t="shared" si="11093"/>
        <v>0</v>
      </c>
      <c r="EP419" s="549">
        <f t="shared" si="11093"/>
        <v>0</v>
      </c>
      <c r="EQ419" s="675">
        <f t="shared" si="11093"/>
        <v>0</v>
      </c>
      <c r="ER419" s="549">
        <f t="shared" si="11093"/>
        <v>0</v>
      </c>
      <c r="ES419" s="675">
        <f t="shared" si="11093"/>
        <v>0</v>
      </c>
      <c r="ET419" s="549">
        <f t="shared" si="11093"/>
        <v>0</v>
      </c>
      <c r="EU419" s="675">
        <f t="shared" si="11093"/>
        <v>0</v>
      </c>
      <c r="EV419" s="549">
        <f t="shared" ref="EV419:EW419" si="11095">SUM(EV420:EV425)</f>
        <v>0</v>
      </c>
      <c r="EW419" s="675">
        <f t="shared" si="11095"/>
        <v>0</v>
      </c>
      <c r="EX419" s="549">
        <f t="shared" si="11093"/>
        <v>0</v>
      </c>
      <c r="EY419" s="675">
        <f t="shared" si="11093"/>
        <v>0</v>
      </c>
      <c r="EZ419" s="549">
        <f t="shared" si="11093"/>
        <v>0</v>
      </c>
      <c r="FA419" s="675">
        <f t="shared" si="11093"/>
        <v>0</v>
      </c>
      <c r="FB419" s="549">
        <f t="shared" si="11092"/>
        <v>0</v>
      </c>
      <c r="FC419" s="675">
        <f t="shared" si="11092"/>
        <v>0</v>
      </c>
      <c r="FD419" s="549">
        <f t="shared" si="11092"/>
        <v>0</v>
      </c>
      <c r="FE419" s="675">
        <f t="shared" si="11092"/>
        <v>0</v>
      </c>
      <c r="FF419" s="549">
        <f t="shared" ref="FF419:FG419" si="11096">SUM(FF420:FF425)</f>
        <v>0</v>
      </c>
      <c r="FG419" s="675">
        <f t="shared" si="11096"/>
        <v>0</v>
      </c>
      <c r="FH419" s="549">
        <f t="shared" ref="FH419:FI419" si="11097">SUM(FH420:FH425)</f>
        <v>0</v>
      </c>
      <c r="FI419" s="675">
        <f t="shared" si="11097"/>
        <v>0</v>
      </c>
      <c r="FJ419" s="549">
        <f t="shared" ref="FJ419:FK419" si="11098">SUM(FJ420:FJ425)</f>
        <v>0</v>
      </c>
      <c r="FK419" s="675">
        <f t="shared" si="11098"/>
        <v>0</v>
      </c>
      <c r="FL419" s="549">
        <f t="shared" ref="FL419:FM419" si="11099">SUM(FL420:FL425)</f>
        <v>2000</v>
      </c>
      <c r="FM419" s="675">
        <f t="shared" si="11099"/>
        <v>0</v>
      </c>
      <c r="FN419" s="549">
        <f t="shared" ref="FN419:FO419" si="11100">SUM(FN420:FN425)</f>
        <v>0</v>
      </c>
      <c r="FO419" s="675">
        <f t="shared" si="11100"/>
        <v>0</v>
      </c>
      <c r="FP419" s="549">
        <f t="shared" ref="FP419:FQ419" si="11101">SUM(FP420:FP425)</f>
        <v>0</v>
      </c>
      <c r="FQ419" s="675">
        <f t="shared" si="11101"/>
        <v>0</v>
      </c>
      <c r="FR419" s="549">
        <f t="shared" ref="FR419:FS419" si="11102">SUM(FR420:FR425)</f>
        <v>17000</v>
      </c>
      <c r="FS419" s="675">
        <f t="shared" si="11102"/>
        <v>0</v>
      </c>
      <c r="FT419" s="549">
        <f t="shared" ref="FT419:FU419" si="11103">SUM(FT420:FT425)</f>
        <v>0</v>
      </c>
      <c r="FU419" s="675">
        <f t="shared" si="11103"/>
        <v>0</v>
      </c>
      <c r="FV419" s="549">
        <f t="shared" ref="FV419:GK419" si="11104">SUM(FV420:FV425)</f>
        <v>0</v>
      </c>
      <c r="FW419" s="675">
        <f t="shared" si="11104"/>
        <v>0</v>
      </c>
      <c r="FX419" s="549">
        <f t="shared" si="11104"/>
        <v>0</v>
      </c>
      <c r="FY419" s="675">
        <f t="shared" si="11104"/>
        <v>0</v>
      </c>
      <c r="FZ419" s="549">
        <f t="shared" ref="FZ419:GI419" si="11105">SUM(FZ420:FZ425)</f>
        <v>0</v>
      </c>
      <c r="GA419" s="675">
        <f t="shared" si="11105"/>
        <v>0</v>
      </c>
      <c r="GB419" s="549">
        <f t="shared" si="11105"/>
        <v>0</v>
      </c>
      <c r="GC419" s="675">
        <f t="shared" si="11105"/>
        <v>0</v>
      </c>
      <c r="GD419" s="549">
        <f t="shared" si="11105"/>
        <v>0</v>
      </c>
      <c r="GE419" s="675">
        <f t="shared" si="11105"/>
        <v>0</v>
      </c>
      <c r="GF419" s="549">
        <f t="shared" si="11105"/>
        <v>0</v>
      </c>
      <c r="GG419" s="675">
        <f t="shared" si="11105"/>
        <v>0</v>
      </c>
      <c r="GH419" s="549">
        <f t="shared" si="11105"/>
        <v>0</v>
      </c>
      <c r="GI419" s="675">
        <f t="shared" si="11105"/>
        <v>0</v>
      </c>
      <c r="GJ419" s="549">
        <f t="shared" si="11104"/>
        <v>0</v>
      </c>
      <c r="GK419" s="675">
        <f t="shared" si="11104"/>
        <v>0</v>
      </c>
      <c r="GL419" s="549">
        <f t="shared" ref="GL419:GM419" si="11106">SUM(GL420:GL425)</f>
        <v>0</v>
      </c>
      <c r="GM419" s="675">
        <f t="shared" si="11106"/>
        <v>0</v>
      </c>
      <c r="GN419" s="549">
        <f t="shared" ref="GN419:GO419" si="11107">SUM(GN420:GN425)</f>
        <v>0</v>
      </c>
      <c r="GO419" s="675">
        <f t="shared" si="11107"/>
        <v>0</v>
      </c>
      <c r="GP419" s="549">
        <f t="shared" si="11092"/>
        <v>19000</v>
      </c>
      <c r="GQ419" s="675">
        <f>SUM(GQ420:GQ425)</f>
        <v>-91000</v>
      </c>
      <c r="GR419" s="74">
        <f t="shared" si="11092"/>
        <v>43000</v>
      </c>
      <c r="GS419" s="74">
        <f t="shared" si="11092"/>
        <v>43000</v>
      </c>
      <c r="GT419" s="549">
        <f t="shared" si="11092"/>
        <v>43000</v>
      </c>
      <c r="GU419" s="74">
        <f t="shared" ref="GU419:HF419" si="11108">SUM(GU420:GU425)</f>
        <v>7500</v>
      </c>
      <c r="GV419" s="74">
        <f t="shared" si="11108"/>
        <v>17500</v>
      </c>
      <c r="GW419" s="549">
        <f t="shared" si="11108"/>
        <v>7500</v>
      </c>
      <c r="GX419" s="549">
        <f t="shared" si="11108"/>
        <v>17500</v>
      </c>
      <c r="GY419" s="74">
        <f t="shared" si="11108"/>
        <v>7500</v>
      </c>
      <c r="GZ419" s="74">
        <f t="shared" si="11108"/>
        <v>17500</v>
      </c>
      <c r="HA419" s="74">
        <f t="shared" si="11108"/>
        <v>7500</v>
      </c>
      <c r="HB419" s="74">
        <f t="shared" si="11108"/>
        <v>17500</v>
      </c>
      <c r="HC419" s="74">
        <f t="shared" si="11108"/>
        <v>7500</v>
      </c>
      <c r="HD419" s="74">
        <f t="shared" si="11108"/>
        <v>7500</v>
      </c>
      <c r="HE419" s="74">
        <f t="shared" si="11108"/>
        <v>0</v>
      </c>
      <c r="HF419" s="74">
        <f t="shared" si="11108"/>
        <v>0</v>
      </c>
      <c r="HG419" s="74">
        <f>SUM(HG420:HG425)</f>
        <v>43000</v>
      </c>
      <c r="HH419" s="74">
        <f t="shared" ref="HH419:HI419" si="11109">SUM(HH420:HH425)</f>
        <v>7500</v>
      </c>
      <c r="HI419" s="792">
        <f t="shared" si="11109"/>
        <v>0</v>
      </c>
      <c r="HJ419" s="74">
        <f t="shared" ref="HJ419:HK419" si="11110">SUM(HJ420:HJ425)</f>
        <v>7500</v>
      </c>
      <c r="HK419" s="792">
        <f t="shared" si="11110"/>
        <v>0</v>
      </c>
      <c r="HL419" s="74">
        <f t="shared" ref="HL419:HM419" si="11111">SUM(HL420:HL425)</f>
        <v>-2500</v>
      </c>
      <c r="HM419" s="792">
        <f t="shared" si="11111"/>
        <v>0</v>
      </c>
      <c r="HN419" s="74">
        <f t="shared" ref="HN419:HO419" si="11112">SUM(HN420:HN425)</f>
        <v>7500</v>
      </c>
      <c r="HO419" s="792">
        <f t="shared" si="11112"/>
        <v>0</v>
      </c>
      <c r="HP419" s="74">
        <f t="shared" ref="HP419:HQ419" si="11113">SUM(HP420:HP425)</f>
        <v>-2500</v>
      </c>
      <c r="HQ419" s="792">
        <f t="shared" si="11113"/>
        <v>0</v>
      </c>
      <c r="HR419" s="74">
        <f t="shared" ref="HR419:HS419" si="11114">SUM(HR420:HR425)</f>
        <v>1375.61</v>
      </c>
      <c r="HS419" s="792">
        <f t="shared" si="11114"/>
        <v>0</v>
      </c>
      <c r="HT419" s="74">
        <f t="shared" ref="HT419:HU419" si="11115">SUM(HT420:HT425)</f>
        <v>-1375.61</v>
      </c>
      <c r="HU419" s="792">
        <f t="shared" si="11115"/>
        <v>0</v>
      </c>
      <c r="HV419" s="74">
        <f t="shared" ref="HV419:HW419" si="11116">SUM(HV420:HV425)</f>
        <v>1500</v>
      </c>
      <c r="HW419" s="792">
        <f t="shared" si="11116"/>
        <v>0</v>
      </c>
      <c r="HX419" s="74">
        <f t="shared" ref="HX419:HY419" si="11117">SUM(HX420:HX425)</f>
        <v>-2500</v>
      </c>
      <c r="HY419" s="792">
        <f t="shared" si="11117"/>
        <v>0</v>
      </c>
      <c r="HZ419" s="74">
        <f t="shared" ref="HZ419:IA419" si="11118">SUM(HZ420:HZ425)</f>
        <v>26500</v>
      </c>
      <c r="IA419" s="792">
        <f t="shared" si="11118"/>
        <v>0</v>
      </c>
      <c r="IB419" s="74">
        <f t="shared" ref="IB419:IC419" si="11119">SUM(IB420:IB425)</f>
        <v>0</v>
      </c>
      <c r="IC419" s="792">
        <f t="shared" si="11119"/>
        <v>0</v>
      </c>
      <c r="ID419" s="74">
        <f t="shared" ref="ID419:IL419" si="11120">SUM(ID420:ID425)</f>
        <v>0</v>
      </c>
      <c r="IE419" s="792">
        <f t="shared" si="11120"/>
        <v>0</v>
      </c>
      <c r="IF419" s="841">
        <f>SUM(IF420:IF425)</f>
        <v>19539.330000000002</v>
      </c>
      <c r="IG419" s="263">
        <f>SUM(IG420:IG425)</f>
        <v>19539.330000000002</v>
      </c>
      <c r="IH419" s="842">
        <f>SUM(IH420:IH425)</f>
        <v>19539.330000000002</v>
      </c>
      <c r="II419" s="74">
        <f t="shared" ref="II419" si="11121">SUM(II420:II425)</f>
        <v>0</v>
      </c>
      <c r="IJ419" s="74">
        <f>SUM(IJ420:IJ425)</f>
        <v>0</v>
      </c>
      <c r="IK419" s="74">
        <f>SUM(IK420:IK425)</f>
        <v>0</v>
      </c>
      <c r="IL419" s="74">
        <f t="shared" si="11120"/>
        <v>257.17</v>
      </c>
      <c r="IM419" s="74">
        <f>SUM(IM420:IM425)</f>
        <v>257.17</v>
      </c>
      <c r="IN419" s="74">
        <f>SUM(IN420:IN425)</f>
        <v>257.17</v>
      </c>
      <c r="IO419" s="74">
        <f t="shared" ref="IO419" si="11122">SUM(IO420:IO425)</f>
        <v>487.2</v>
      </c>
      <c r="IP419" s="74">
        <f>SUM(IP420:IP425)</f>
        <v>487.2</v>
      </c>
      <c r="IQ419" s="74">
        <f>SUM(IQ420:IQ425)</f>
        <v>487.2</v>
      </c>
      <c r="IR419" s="74">
        <f t="shared" ref="IR419" si="11123">SUM(IR420:IR425)</f>
        <v>921.80000000000007</v>
      </c>
      <c r="IS419" s="74">
        <f>SUM(IS420:IS425)</f>
        <v>921.80000000000007</v>
      </c>
      <c r="IT419" s="74">
        <f>SUM(IT420:IT425)</f>
        <v>921.80000000000007</v>
      </c>
      <c r="IU419" s="74">
        <f t="shared" ref="IU419" si="11124">SUM(IU420:IU425)</f>
        <v>2833.6899999999996</v>
      </c>
      <c r="IV419" s="74">
        <f>SUM(IV420:IV425)</f>
        <v>2833.6899999999996</v>
      </c>
      <c r="IW419" s="74">
        <f>SUM(IW420:IW425)</f>
        <v>2833.6899999999996</v>
      </c>
      <c r="IX419" s="74">
        <f t="shared" ref="IX419" si="11125">SUM(IX420:IX425)</f>
        <v>1238.4400000000005</v>
      </c>
      <c r="IY419" s="74">
        <f>SUM(IY420:IY425)</f>
        <v>1238.4400000000005</v>
      </c>
      <c r="IZ419" s="74">
        <f>SUM(IZ420:IZ425)</f>
        <v>1238.4400000000005</v>
      </c>
      <c r="JA419" s="74">
        <f t="shared" ref="JA419" si="11126">SUM(JA420:JA425)</f>
        <v>1907.17</v>
      </c>
      <c r="JB419" s="74">
        <f>SUM(JB420:JB425)</f>
        <v>1907.17</v>
      </c>
      <c r="JC419" s="74">
        <f>SUM(JC420:JC425)</f>
        <v>1907.17</v>
      </c>
      <c r="JD419" s="74">
        <f t="shared" ref="JD419" si="11127">SUM(JD420:JD425)</f>
        <v>3427.95</v>
      </c>
      <c r="JE419" s="74">
        <f>SUM(JE420:JE425)</f>
        <v>3427.95</v>
      </c>
      <c r="JF419" s="74">
        <f>SUM(JF420:JF425)</f>
        <v>3427.95</v>
      </c>
      <c r="JG419" s="74">
        <f t="shared" ref="JG419" si="11128">SUM(JG420:JG425)</f>
        <v>3222.58</v>
      </c>
      <c r="JH419" s="74">
        <f>SUM(JH420:JH425)</f>
        <v>3222.58</v>
      </c>
      <c r="JI419" s="74">
        <f>SUM(JI420:JI425)</f>
        <v>3222.58</v>
      </c>
      <c r="JJ419" s="74">
        <f t="shared" ref="JJ419" si="11129">SUM(JJ420:JJ425)</f>
        <v>5243.3300000000017</v>
      </c>
      <c r="JK419" s="74">
        <f>SUM(JK420:JK425)</f>
        <v>5243.3300000000017</v>
      </c>
      <c r="JL419" s="74">
        <f>SUM(JL420:JL425)</f>
        <v>5243.3300000000017</v>
      </c>
      <c r="JM419" s="74">
        <f t="shared" ref="JM419" si="11130">SUM(JM420:JM425)</f>
        <v>0</v>
      </c>
      <c r="JN419" s="74">
        <f>SUM(JN420:JN425)</f>
        <v>0</v>
      </c>
      <c r="JO419" s="74">
        <f>SUM(JO420:JO425)</f>
        <v>0</v>
      </c>
      <c r="JP419" s="74">
        <f t="shared" ref="JP419" si="11131">SUM(JP420:JP425)</f>
        <v>0</v>
      </c>
      <c r="JQ419" s="74">
        <f>SUM(JQ420:JQ425)</f>
        <v>0</v>
      </c>
      <c r="JR419" s="74">
        <f>SUM(JR420:JR425)</f>
        <v>0</v>
      </c>
      <c r="JS419" s="74">
        <f>SUM(JS420:JS425)</f>
        <v>23460.67</v>
      </c>
      <c r="JT419" s="382">
        <f>SUM(JT420:JT425)</f>
        <v>23460.67</v>
      </c>
      <c r="JU419" s="665"/>
      <c r="JV419" s="524"/>
      <c r="JW419" s="525"/>
      <c r="JX419" s="549">
        <f>SUM(JX420:JX425)</f>
        <v>43000</v>
      </c>
      <c r="JY419" s="549">
        <f>SUM(JY420:JY425)</f>
        <v>0</v>
      </c>
      <c r="JZ419" s="581">
        <f t="shared" si="10300"/>
        <v>19000</v>
      </c>
      <c r="KA419" s="581">
        <f t="shared" si="10301"/>
        <v>-91000</v>
      </c>
      <c r="KB419" s="549">
        <f>JX419</f>
        <v>43000</v>
      </c>
      <c r="KC419" s="709">
        <f t="shared" si="10273"/>
        <v>0</v>
      </c>
      <c r="KD419" s="36"/>
      <c r="KE419" s="36"/>
      <c r="KF419" s="36"/>
      <c r="KG419" s="36"/>
      <c r="KH419" s="36"/>
      <c r="KI419" s="36"/>
      <c r="KJ419" s="36"/>
      <c r="KK419" s="36"/>
    </row>
    <row r="420" spans="1:297" s="10" customFormat="1">
      <c r="A420" s="86" t="s">
        <v>256</v>
      </c>
      <c r="B420" s="77" t="s">
        <v>117</v>
      </c>
      <c r="C420" s="74">
        <v>40000</v>
      </c>
      <c r="D420" s="549">
        <v>0</v>
      </c>
      <c r="E420" s="675">
        <v>0</v>
      </c>
      <c r="F420" s="549">
        <v>0</v>
      </c>
      <c r="G420" s="675">
        <v>0</v>
      </c>
      <c r="H420" s="549">
        <v>0</v>
      </c>
      <c r="I420" s="675">
        <v>0</v>
      </c>
      <c r="J420" s="549">
        <v>0</v>
      </c>
      <c r="K420" s="675">
        <v>0</v>
      </c>
      <c r="L420" s="549">
        <v>0</v>
      </c>
      <c r="M420" s="675">
        <v>0</v>
      </c>
      <c r="N420" s="549">
        <v>0</v>
      </c>
      <c r="O420" s="675">
        <v>0</v>
      </c>
      <c r="P420" s="549">
        <v>0</v>
      </c>
      <c r="Q420" s="675">
        <v>0</v>
      </c>
      <c r="R420" s="549">
        <v>0</v>
      </c>
      <c r="S420" s="675">
        <v>0</v>
      </c>
      <c r="T420" s="549">
        <v>0</v>
      </c>
      <c r="U420" s="675">
        <v>0</v>
      </c>
      <c r="V420" s="549">
        <v>0</v>
      </c>
      <c r="W420" s="675">
        <v>0</v>
      </c>
      <c r="X420" s="549">
        <v>0</v>
      </c>
      <c r="Y420" s="675">
        <v>-10000</v>
      </c>
      <c r="Z420" s="549">
        <v>0</v>
      </c>
      <c r="AA420" s="675">
        <v>0</v>
      </c>
      <c r="AB420" s="549">
        <v>0</v>
      </c>
      <c r="AC420" s="675">
        <v>0</v>
      </c>
      <c r="AD420" s="549">
        <v>0</v>
      </c>
      <c r="AE420" s="675">
        <v>0</v>
      </c>
      <c r="AF420" s="549">
        <v>0</v>
      </c>
      <c r="AG420" s="675">
        <v>0</v>
      </c>
      <c r="AH420" s="549">
        <v>0</v>
      </c>
      <c r="AI420" s="675">
        <v>0</v>
      </c>
      <c r="AJ420" s="549">
        <v>0</v>
      </c>
      <c r="AK420" s="675">
        <v>0</v>
      </c>
      <c r="AL420" s="549">
        <v>0</v>
      </c>
      <c r="AM420" s="675">
        <v>0</v>
      </c>
      <c r="AN420" s="549">
        <v>0</v>
      </c>
      <c r="AO420" s="675">
        <v>0</v>
      </c>
      <c r="AP420" s="549">
        <v>0</v>
      </c>
      <c r="AQ420" s="675">
        <v>0</v>
      </c>
      <c r="AR420" s="549">
        <v>0</v>
      </c>
      <c r="AS420" s="675">
        <v>0</v>
      </c>
      <c r="AT420" s="549">
        <v>0</v>
      </c>
      <c r="AU420" s="675">
        <v>0</v>
      </c>
      <c r="AV420" s="549">
        <v>0</v>
      </c>
      <c r="AW420" s="675">
        <v>0</v>
      </c>
      <c r="AX420" s="549">
        <v>0</v>
      </c>
      <c r="AY420" s="675">
        <v>0</v>
      </c>
      <c r="AZ420" s="549">
        <v>0</v>
      </c>
      <c r="BA420" s="675">
        <v>0</v>
      </c>
      <c r="BB420" s="549">
        <v>0</v>
      </c>
      <c r="BC420" s="675">
        <v>0</v>
      </c>
      <c r="BD420" s="549">
        <v>0</v>
      </c>
      <c r="BE420" s="675">
        <v>0</v>
      </c>
      <c r="BF420" s="549">
        <v>0</v>
      </c>
      <c r="BG420" s="675">
        <v>0</v>
      </c>
      <c r="BH420" s="549">
        <v>0</v>
      </c>
      <c r="BI420" s="675">
        <v>0</v>
      </c>
      <c r="BJ420" s="549">
        <v>0</v>
      </c>
      <c r="BK420" s="675">
        <v>0</v>
      </c>
      <c r="BL420" s="549">
        <v>0</v>
      </c>
      <c r="BM420" s="675">
        <v>0</v>
      </c>
      <c r="BN420" s="549">
        <v>0</v>
      </c>
      <c r="BO420" s="675">
        <v>0</v>
      </c>
      <c r="BP420" s="549">
        <v>0</v>
      </c>
      <c r="BQ420" s="675">
        <v>0</v>
      </c>
      <c r="BR420" s="549">
        <v>0</v>
      </c>
      <c r="BS420" s="675">
        <v>0</v>
      </c>
      <c r="BT420" s="549">
        <v>0</v>
      </c>
      <c r="BU420" s="675">
        <v>0</v>
      </c>
      <c r="BV420" s="549">
        <v>0</v>
      </c>
      <c r="BW420" s="675">
        <v>0</v>
      </c>
      <c r="BX420" s="549">
        <v>0</v>
      </c>
      <c r="BY420" s="675">
        <v>0</v>
      </c>
      <c r="BZ420" s="549">
        <v>0</v>
      </c>
      <c r="CA420" s="675">
        <v>0</v>
      </c>
      <c r="CB420" s="549">
        <v>0</v>
      </c>
      <c r="CC420" s="675">
        <v>0</v>
      </c>
      <c r="CD420" s="549">
        <v>0</v>
      </c>
      <c r="CE420" s="675">
        <v>0</v>
      </c>
      <c r="CF420" s="549">
        <v>0</v>
      </c>
      <c r="CG420" s="675">
        <v>0</v>
      </c>
      <c r="CH420" s="549">
        <v>0</v>
      </c>
      <c r="CI420" s="675">
        <v>0</v>
      </c>
      <c r="CJ420" s="549">
        <v>0</v>
      </c>
      <c r="CK420" s="675">
        <v>-20000</v>
      </c>
      <c r="CL420" s="549">
        <v>0</v>
      </c>
      <c r="CM420" s="675">
        <v>0</v>
      </c>
      <c r="CN420" s="549">
        <v>0</v>
      </c>
      <c r="CO420" s="675">
        <v>0</v>
      </c>
      <c r="CP420" s="549">
        <v>0</v>
      </c>
      <c r="CQ420" s="675">
        <v>0</v>
      </c>
      <c r="CR420" s="549">
        <v>0</v>
      </c>
      <c r="CS420" s="675">
        <v>0</v>
      </c>
      <c r="CT420" s="549">
        <v>0</v>
      </c>
      <c r="CU420" s="675">
        <v>0</v>
      </c>
      <c r="CV420" s="549">
        <v>0</v>
      </c>
      <c r="CW420" s="675">
        <v>0</v>
      </c>
      <c r="CX420" s="549">
        <v>0</v>
      </c>
      <c r="CY420" s="675">
        <v>0</v>
      </c>
      <c r="CZ420" s="549">
        <v>0</v>
      </c>
      <c r="DA420" s="675">
        <v>0</v>
      </c>
      <c r="DB420" s="549">
        <v>0</v>
      </c>
      <c r="DC420" s="675">
        <v>0</v>
      </c>
      <c r="DD420" s="549">
        <v>0</v>
      </c>
      <c r="DE420" s="675">
        <v>0</v>
      </c>
      <c r="DF420" s="549">
        <v>0</v>
      </c>
      <c r="DG420" s="675">
        <v>0</v>
      </c>
      <c r="DH420" s="549">
        <v>0</v>
      </c>
      <c r="DI420" s="675">
        <v>-10000</v>
      </c>
      <c r="DJ420" s="549">
        <v>0</v>
      </c>
      <c r="DK420" s="675">
        <v>0</v>
      </c>
      <c r="DL420" s="549">
        <v>0</v>
      </c>
      <c r="DM420" s="675">
        <v>0</v>
      </c>
      <c r="DN420" s="549">
        <v>0</v>
      </c>
      <c r="DO420" s="675">
        <v>0</v>
      </c>
      <c r="DP420" s="549">
        <v>0</v>
      </c>
      <c r="DQ420" s="675">
        <v>0</v>
      </c>
      <c r="DR420" s="549">
        <v>0</v>
      </c>
      <c r="DS420" s="675">
        <v>0</v>
      </c>
      <c r="DT420" s="549">
        <v>0</v>
      </c>
      <c r="DU420" s="675">
        <v>0</v>
      </c>
      <c r="DV420" s="549">
        <v>0</v>
      </c>
      <c r="DW420" s="675">
        <v>0</v>
      </c>
      <c r="DX420" s="549">
        <v>0</v>
      </c>
      <c r="DY420" s="675">
        <v>0</v>
      </c>
      <c r="DZ420" s="549">
        <v>0</v>
      </c>
      <c r="EA420" s="675">
        <v>0</v>
      </c>
      <c r="EB420" s="549">
        <v>0</v>
      </c>
      <c r="EC420" s="675">
        <v>0</v>
      </c>
      <c r="ED420" s="549">
        <v>0</v>
      </c>
      <c r="EE420" s="675">
        <v>0</v>
      </c>
      <c r="EF420" s="549">
        <v>0</v>
      </c>
      <c r="EG420" s="675">
        <v>0</v>
      </c>
      <c r="EH420" s="549">
        <v>0</v>
      </c>
      <c r="EI420" s="675">
        <v>0</v>
      </c>
      <c r="EJ420" s="549">
        <v>0</v>
      </c>
      <c r="EK420" s="675">
        <v>0</v>
      </c>
      <c r="EL420" s="549">
        <v>0</v>
      </c>
      <c r="EM420" s="675">
        <v>0</v>
      </c>
      <c r="EN420" s="549">
        <v>0</v>
      </c>
      <c r="EO420" s="675">
        <v>0</v>
      </c>
      <c r="EP420" s="549">
        <v>0</v>
      </c>
      <c r="EQ420" s="675">
        <v>0</v>
      </c>
      <c r="ER420" s="549">
        <v>0</v>
      </c>
      <c r="ES420" s="675">
        <v>0</v>
      </c>
      <c r="ET420" s="549">
        <v>0</v>
      </c>
      <c r="EU420" s="675">
        <v>0</v>
      </c>
      <c r="EV420" s="549">
        <v>0</v>
      </c>
      <c r="EW420" s="675">
        <v>0</v>
      </c>
      <c r="EX420" s="549">
        <v>0</v>
      </c>
      <c r="EY420" s="675">
        <v>0</v>
      </c>
      <c r="EZ420" s="549">
        <v>0</v>
      </c>
      <c r="FA420" s="675">
        <v>0</v>
      </c>
      <c r="FB420" s="549">
        <v>0</v>
      </c>
      <c r="FC420" s="675">
        <v>0</v>
      </c>
      <c r="FD420" s="549">
        <v>0</v>
      </c>
      <c r="FE420" s="675">
        <v>0</v>
      </c>
      <c r="FF420" s="549">
        <v>0</v>
      </c>
      <c r="FG420" s="675">
        <v>0</v>
      </c>
      <c r="FH420" s="549">
        <v>0</v>
      </c>
      <c r="FI420" s="675">
        <v>0</v>
      </c>
      <c r="FJ420" s="549">
        <v>0</v>
      </c>
      <c r="FK420" s="675">
        <v>0</v>
      </c>
      <c r="FL420" s="549">
        <v>0</v>
      </c>
      <c r="FM420" s="675">
        <v>0</v>
      </c>
      <c r="FN420" s="549">
        <v>0</v>
      </c>
      <c r="FO420" s="675">
        <v>0</v>
      </c>
      <c r="FP420" s="549">
        <v>0</v>
      </c>
      <c r="FQ420" s="675">
        <v>0</v>
      </c>
      <c r="FR420" s="549">
        <v>0</v>
      </c>
      <c r="FS420" s="675">
        <v>0</v>
      </c>
      <c r="FT420" s="549">
        <v>0</v>
      </c>
      <c r="FU420" s="675">
        <v>0</v>
      </c>
      <c r="FV420" s="549">
        <v>0</v>
      </c>
      <c r="FW420" s="675">
        <v>0</v>
      </c>
      <c r="FX420" s="549">
        <v>0</v>
      </c>
      <c r="FY420" s="675">
        <v>0</v>
      </c>
      <c r="FZ420" s="549">
        <v>0</v>
      </c>
      <c r="GA420" s="675">
        <v>0</v>
      </c>
      <c r="GB420" s="549">
        <v>0</v>
      </c>
      <c r="GC420" s="675">
        <v>0</v>
      </c>
      <c r="GD420" s="549">
        <v>0</v>
      </c>
      <c r="GE420" s="675">
        <v>0</v>
      </c>
      <c r="GF420" s="549">
        <v>0</v>
      </c>
      <c r="GG420" s="675">
        <v>0</v>
      </c>
      <c r="GH420" s="549">
        <v>0</v>
      </c>
      <c r="GI420" s="675">
        <v>0</v>
      </c>
      <c r="GJ420" s="549">
        <v>0</v>
      </c>
      <c r="GK420" s="675">
        <v>0</v>
      </c>
      <c r="GL420" s="549">
        <v>0</v>
      </c>
      <c r="GM420" s="675">
        <v>0</v>
      </c>
      <c r="GN420" s="549">
        <v>0</v>
      </c>
      <c r="GO420" s="675">
        <v>0</v>
      </c>
      <c r="GP420" s="549">
        <f t="shared" ref="GP420:GP425" si="11132">+D420+F420+H420+J420+L420+N420+P420+R420+T420+V420+X420+Z420+AB420+AF420+AD420+AH420+AJ420+AL420+AN420+AP420+AR420+AT420+AV420+AX420+AZ420+BB420+BD420+BF420+BH420+BJ420+BL420+BN420+BP420+BR420+BT420+BV420+BX420+BZ420+CB420+CD420+CF420+CH420+CJ420+CL420+CN420+CP420+CR420+CT420+CV420+CX420+CZ420+DB420+DD420+DF420+DH420+DT420+EX420+DJ420+DL420+DN420+DP420+DR420+EJ420+EB420+DZ420+DX420+DV420+ED420+EF420+EH420+EL420+EN420+EP420+EV420+ET420+ER420+EZ420+FB420+FD420+GL420+FF420+FJ420+FL420+GJ420+FT420+FR420+FP420+FN420+FH420+GH420+GF420+GD420+GB420+FZ420+FX420+FV420+GN420</f>
        <v>0</v>
      </c>
      <c r="GQ420" s="675">
        <f t="shared" ref="GQ420:GQ425" si="11133">+E420+G420+I420+K420+M420+O420+Q420+S420+U420+W420+Y420+AA420+AC420+AE420+AG420+AI420+AK420+AM420+AO420+AQ420+AS420+AU420+AW420+AY420+BA420+BC420+BE420+BG420+BI420+BK420+BM420+BO420+BQ420+BS420+BU420+BW420+BY420+CA420+CC420+CE420+CG420+CI420+CK420+CM420+CO420+CQ420+CS420+CU420+CW420+CY420+DA420+DC420+DE420+DG420+DI420+DU420+EY420+DK420+DM420+DO420+DQ420+DS420+EK420+EC420+EA420+DY420+DW420+EI420+EG420+EE420+EM420+EO420+EQ420+EW420+EU420+ES420+FA420+FC420+FE420+GM420+FG420+FK420+FM420+FO420+FQ420+FS420+FU420+GK420+FI420+GI420+GG420+GE420+GC420+GA420+FY420+FW420+GO420</f>
        <v>-40000</v>
      </c>
      <c r="GR420" s="74">
        <f t="shared" ref="GR420:GR425" si="11134">C420+GP420+GQ420</f>
        <v>0</v>
      </c>
      <c r="GS420" s="74">
        <f t="shared" ref="GS420:GS425" si="11135">SUM(GU420:HD420)+GP420+GQ420</f>
        <v>0</v>
      </c>
      <c r="GT420" s="568">
        <f t="shared" ref="GT420:GT425" si="11136">SUM(GU420:HF420)+GQ420+GP420</f>
        <v>0</v>
      </c>
      <c r="GU420" s="275"/>
      <c r="GV420" s="275">
        <v>10000</v>
      </c>
      <c r="GW420" s="275"/>
      <c r="GX420" s="275">
        <v>10000</v>
      </c>
      <c r="GY420" s="275"/>
      <c r="GZ420" s="275">
        <v>10000</v>
      </c>
      <c r="HA420" s="275"/>
      <c r="HB420" s="275">
        <v>10000</v>
      </c>
      <c r="HC420" s="275"/>
      <c r="HD420" s="275"/>
      <c r="HE420" s="275">
        <v>0</v>
      </c>
      <c r="HF420" s="275">
        <v>0</v>
      </c>
      <c r="HG420" s="74">
        <f t="shared" ref="HG420:HG425" si="11137">SUM(HH420:IE420)</f>
        <v>0</v>
      </c>
      <c r="HH420" s="89">
        <v>0</v>
      </c>
      <c r="HI420" s="817">
        <v>0</v>
      </c>
      <c r="HJ420" s="89">
        <v>0</v>
      </c>
      <c r="HK420" s="817">
        <v>0</v>
      </c>
      <c r="HL420" s="89">
        <v>0</v>
      </c>
      <c r="HM420" s="817">
        <v>0</v>
      </c>
      <c r="HN420" s="89">
        <v>0</v>
      </c>
      <c r="HO420" s="817">
        <v>0</v>
      </c>
      <c r="HP420" s="89">
        <v>0</v>
      </c>
      <c r="HQ420" s="817">
        <v>0</v>
      </c>
      <c r="HR420" s="89">
        <v>0</v>
      </c>
      <c r="HS420" s="817">
        <v>0</v>
      </c>
      <c r="HT420" s="89">
        <v>0</v>
      </c>
      <c r="HU420" s="817">
        <v>0</v>
      </c>
      <c r="HV420" s="89">
        <v>0</v>
      </c>
      <c r="HW420" s="817">
        <v>0</v>
      </c>
      <c r="HX420" s="89">
        <v>0</v>
      </c>
      <c r="HY420" s="817">
        <v>0</v>
      </c>
      <c r="HZ420" s="89">
        <v>0</v>
      </c>
      <c r="IA420" s="817">
        <v>0</v>
      </c>
      <c r="IB420" s="89">
        <v>0</v>
      </c>
      <c r="IC420" s="817">
        <v>0</v>
      </c>
      <c r="ID420" s="89">
        <v>0</v>
      </c>
      <c r="IE420" s="817">
        <v>0</v>
      </c>
      <c r="IF420" s="841">
        <f t="shared" ref="IF420:IF425" si="11138">SUM(II420,IL420,IO420,IR420,IU420,IX420,JA420,JD420,JG420,JJ420,JM420,JP420)</f>
        <v>0</v>
      </c>
      <c r="IG420" s="263">
        <f t="shared" ref="IG420:IG425" si="11139">SUM(IJ420,IM420,IP420,IS420,IV420,IY420,JB420,JE420,JH420,JK420,JN420,JQ420)</f>
        <v>0</v>
      </c>
      <c r="IH420" s="842">
        <f t="shared" ref="IH420:IH425" si="11140">SUM(IK420,IN420,IQ420,IT420,IW420,IZ420,JC420,JF420,JI420,JL420,JO420,JR420)</f>
        <v>0</v>
      </c>
      <c r="II420" s="89">
        <v>0</v>
      </c>
      <c r="IJ420" s="89">
        <f t="shared" ref="IJ420:IJ425" si="11141">II420</f>
        <v>0</v>
      </c>
      <c r="IK420" s="89">
        <f t="shared" ref="IK420:IK425" si="11142">IJ420</f>
        <v>0</v>
      </c>
      <c r="IL420" s="89">
        <v>0</v>
      </c>
      <c r="IM420" s="89">
        <f t="shared" ref="IM420:IM425" si="11143">IL420</f>
        <v>0</v>
      </c>
      <c r="IN420" s="89">
        <f t="shared" ref="IN420:IN425" si="11144">IM420</f>
        <v>0</v>
      </c>
      <c r="IO420" s="89">
        <v>0</v>
      </c>
      <c r="IP420" s="89">
        <f t="shared" ref="IP420:IP425" si="11145">IO420</f>
        <v>0</v>
      </c>
      <c r="IQ420" s="89">
        <f t="shared" ref="IQ420:IQ425" si="11146">IP420</f>
        <v>0</v>
      </c>
      <c r="IR420" s="89">
        <v>0</v>
      </c>
      <c r="IS420" s="89">
        <f t="shared" ref="IS420:IS425" si="11147">IR420</f>
        <v>0</v>
      </c>
      <c r="IT420" s="89">
        <f t="shared" ref="IT420:IT425" si="11148">IS420</f>
        <v>0</v>
      </c>
      <c r="IU420" s="89">
        <v>0</v>
      </c>
      <c r="IV420" s="89">
        <f t="shared" ref="IV420:IV425" si="11149">IU420</f>
        <v>0</v>
      </c>
      <c r="IW420" s="89">
        <f t="shared" ref="IW420:IW425" si="11150">IV420</f>
        <v>0</v>
      </c>
      <c r="IX420" s="89">
        <v>0</v>
      </c>
      <c r="IY420" s="89">
        <f t="shared" ref="IY420:IY425" si="11151">IX420</f>
        <v>0</v>
      </c>
      <c r="IZ420" s="89">
        <f t="shared" ref="IZ420:IZ425" si="11152">IY420</f>
        <v>0</v>
      </c>
      <c r="JA420" s="89">
        <v>0</v>
      </c>
      <c r="JB420" s="89">
        <f t="shared" ref="JB420:JB425" si="11153">JA420</f>
        <v>0</v>
      </c>
      <c r="JC420" s="89">
        <f t="shared" ref="JC420:JC425" si="11154">JB420</f>
        <v>0</v>
      </c>
      <c r="JD420" s="89">
        <v>0</v>
      </c>
      <c r="JE420" s="89">
        <f t="shared" ref="JE420:JE425" si="11155">JD420</f>
        <v>0</v>
      </c>
      <c r="JF420" s="89">
        <f t="shared" ref="JF420:JF425" si="11156">JE420</f>
        <v>0</v>
      </c>
      <c r="JG420" s="89">
        <v>0</v>
      </c>
      <c r="JH420" s="89">
        <f t="shared" ref="JH420:JH425" si="11157">JG420</f>
        <v>0</v>
      </c>
      <c r="JI420" s="89">
        <f t="shared" ref="JI420:JI425" si="11158">JH420</f>
        <v>0</v>
      </c>
      <c r="JJ420" s="89">
        <v>0</v>
      </c>
      <c r="JK420" s="89">
        <f t="shared" ref="JK420:JK425" si="11159">JJ420</f>
        <v>0</v>
      </c>
      <c r="JL420" s="89">
        <f t="shared" ref="JL420:JL425" si="11160">JK420</f>
        <v>0</v>
      </c>
      <c r="JM420" s="89">
        <v>0</v>
      </c>
      <c r="JN420" s="89">
        <f t="shared" ref="JN420:JN425" si="11161">JM420</f>
        <v>0</v>
      </c>
      <c r="JO420" s="89">
        <f t="shared" ref="JO420:JO425" si="11162">JN420</f>
        <v>0</v>
      </c>
      <c r="JP420" s="89">
        <v>0</v>
      </c>
      <c r="JQ420" s="89">
        <f t="shared" ref="JQ420:JR420" si="11163">JP420</f>
        <v>0</v>
      </c>
      <c r="JR420" s="89">
        <f t="shared" si="11163"/>
        <v>0</v>
      </c>
      <c r="JS420" s="74">
        <f t="shared" ref="JS420:JS425" si="11164">HG420-IF420</f>
        <v>0</v>
      </c>
      <c r="JT420" s="382">
        <f t="shared" ref="JT420:JT425" si="11165">GS420-IF420</f>
        <v>0</v>
      </c>
      <c r="JU420" s="665"/>
      <c r="JV420" s="524"/>
      <c r="JW420" s="525"/>
      <c r="JX420" s="549">
        <f>SUM(HH420,HJ420,HL420,HN420,HP420,HR420,HT420,HV420,HX420,HZ420,IB420,ID420)</f>
        <v>0</v>
      </c>
      <c r="JY420" s="549">
        <f t="shared" ref="JX420:JY425" si="11166">SUM(HI420,HK420,HM420,HO420,HQ420,HS420,HU420,HW420,HY420,IA420,IC420,IE420)</f>
        <v>0</v>
      </c>
      <c r="JZ420" s="581">
        <f t="shared" si="10300"/>
        <v>0</v>
      </c>
      <c r="KA420" s="581">
        <f t="shared" si="10301"/>
        <v>-40000</v>
      </c>
      <c r="KB420" s="549">
        <f>JX420</f>
        <v>0</v>
      </c>
      <c r="KC420" s="709">
        <f t="shared" si="10273"/>
        <v>0</v>
      </c>
      <c r="KD420" s="36"/>
      <c r="KE420" s="36"/>
      <c r="KF420" s="36"/>
      <c r="KG420" s="36"/>
      <c r="KH420" s="36"/>
      <c r="KI420" s="36"/>
      <c r="KJ420" s="36"/>
      <c r="KK420" s="36"/>
    </row>
    <row r="421" spans="1:297" s="10" customFormat="1" ht="12.75" hidden="1" customHeight="1">
      <c r="A421" s="86" t="s">
        <v>257</v>
      </c>
      <c r="B421" s="77" t="s">
        <v>119</v>
      </c>
      <c r="C421" s="74">
        <v>0</v>
      </c>
      <c r="D421" s="549">
        <v>0</v>
      </c>
      <c r="E421" s="675">
        <v>0</v>
      </c>
      <c r="F421" s="549">
        <v>0</v>
      </c>
      <c r="G421" s="675">
        <v>0</v>
      </c>
      <c r="H421" s="549">
        <v>0</v>
      </c>
      <c r="I421" s="675">
        <v>0</v>
      </c>
      <c r="J421" s="549">
        <v>0</v>
      </c>
      <c r="K421" s="675">
        <v>0</v>
      </c>
      <c r="L421" s="549">
        <v>0</v>
      </c>
      <c r="M421" s="675">
        <v>0</v>
      </c>
      <c r="N421" s="549">
        <v>0</v>
      </c>
      <c r="O421" s="675">
        <v>0</v>
      </c>
      <c r="P421" s="549">
        <v>0</v>
      </c>
      <c r="Q421" s="675">
        <v>0</v>
      </c>
      <c r="R421" s="549">
        <v>0</v>
      </c>
      <c r="S421" s="675">
        <v>0</v>
      </c>
      <c r="T421" s="549">
        <v>0</v>
      </c>
      <c r="U421" s="675">
        <v>0</v>
      </c>
      <c r="V421" s="549">
        <v>0</v>
      </c>
      <c r="W421" s="675">
        <v>0</v>
      </c>
      <c r="X421" s="549">
        <v>0</v>
      </c>
      <c r="Y421" s="675">
        <v>0</v>
      </c>
      <c r="Z421" s="549">
        <v>0</v>
      </c>
      <c r="AA421" s="675">
        <v>0</v>
      </c>
      <c r="AB421" s="549">
        <v>0</v>
      </c>
      <c r="AC421" s="675">
        <v>0</v>
      </c>
      <c r="AD421" s="549">
        <v>0</v>
      </c>
      <c r="AE421" s="675">
        <v>0</v>
      </c>
      <c r="AF421" s="549">
        <v>0</v>
      </c>
      <c r="AG421" s="675">
        <v>0</v>
      </c>
      <c r="AH421" s="549">
        <v>0</v>
      </c>
      <c r="AI421" s="675">
        <v>0</v>
      </c>
      <c r="AJ421" s="549">
        <v>0</v>
      </c>
      <c r="AK421" s="675">
        <v>0</v>
      </c>
      <c r="AL421" s="549">
        <v>0</v>
      </c>
      <c r="AM421" s="675">
        <v>0</v>
      </c>
      <c r="AN421" s="549">
        <v>0</v>
      </c>
      <c r="AO421" s="675">
        <v>0</v>
      </c>
      <c r="AP421" s="549">
        <v>0</v>
      </c>
      <c r="AQ421" s="675">
        <v>0</v>
      </c>
      <c r="AR421" s="549">
        <v>0</v>
      </c>
      <c r="AS421" s="675">
        <v>0</v>
      </c>
      <c r="AT421" s="549">
        <v>0</v>
      </c>
      <c r="AU421" s="675">
        <v>0</v>
      </c>
      <c r="AV421" s="549">
        <v>0</v>
      </c>
      <c r="AW421" s="675">
        <v>0</v>
      </c>
      <c r="AX421" s="549">
        <v>0</v>
      </c>
      <c r="AY421" s="675">
        <v>0</v>
      </c>
      <c r="AZ421" s="549">
        <v>0</v>
      </c>
      <c r="BA421" s="675">
        <v>0</v>
      </c>
      <c r="BB421" s="549">
        <v>0</v>
      </c>
      <c r="BC421" s="675">
        <v>0</v>
      </c>
      <c r="BD421" s="549">
        <v>0</v>
      </c>
      <c r="BE421" s="675">
        <v>0</v>
      </c>
      <c r="BF421" s="549">
        <v>0</v>
      </c>
      <c r="BG421" s="675">
        <v>0</v>
      </c>
      <c r="BH421" s="549">
        <v>0</v>
      </c>
      <c r="BI421" s="675">
        <v>0</v>
      </c>
      <c r="BJ421" s="549">
        <v>0</v>
      </c>
      <c r="BK421" s="675">
        <v>0</v>
      </c>
      <c r="BL421" s="549">
        <v>0</v>
      </c>
      <c r="BM421" s="675">
        <v>0</v>
      </c>
      <c r="BN421" s="549">
        <v>0</v>
      </c>
      <c r="BO421" s="675">
        <v>0</v>
      </c>
      <c r="BP421" s="549">
        <v>0</v>
      </c>
      <c r="BQ421" s="675">
        <v>0</v>
      </c>
      <c r="BR421" s="549">
        <v>0</v>
      </c>
      <c r="BS421" s="675">
        <v>0</v>
      </c>
      <c r="BT421" s="549">
        <v>0</v>
      </c>
      <c r="BU421" s="675">
        <v>0</v>
      </c>
      <c r="BV421" s="549">
        <v>0</v>
      </c>
      <c r="BW421" s="675">
        <v>0</v>
      </c>
      <c r="BX421" s="549">
        <v>0</v>
      </c>
      <c r="BY421" s="675">
        <v>0</v>
      </c>
      <c r="BZ421" s="549">
        <v>0</v>
      </c>
      <c r="CA421" s="675">
        <v>0</v>
      </c>
      <c r="CB421" s="549">
        <v>0</v>
      </c>
      <c r="CC421" s="675">
        <v>0</v>
      </c>
      <c r="CD421" s="549">
        <v>0</v>
      </c>
      <c r="CE421" s="675">
        <v>0</v>
      </c>
      <c r="CF421" s="549">
        <v>0</v>
      </c>
      <c r="CG421" s="675">
        <v>0</v>
      </c>
      <c r="CH421" s="549">
        <v>0</v>
      </c>
      <c r="CI421" s="675">
        <v>0</v>
      </c>
      <c r="CJ421" s="549">
        <v>0</v>
      </c>
      <c r="CK421" s="675">
        <v>0</v>
      </c>
      <c r="CL421" s="549">
        <v>0</v>
      </c>
      <c r="CM421" s="675">
        <v>0</v>
      </c>
      <c r="CN421" s="549">
        <v>0</v>
      </c>
      <c r="CO421" s="675">
        <v>0</v>
      </c>
      <c r="CP421" s="549">
        <v>0</v>
      </c>
      <c r="CQ421" s="675">
        <v>0</v>
      </c>
      <c r="CR421" s="549">
        <v>0</v>
      </c>
      <c r="CS421" s="675">
        <v>0</v>
      </c>
      <c r="CT421" s="549">
        <v>0</v>
      </c>
      <c r="CU421" s="675">
        <v>0</v>
      </c>
      <c r="CV421" s="549">
        <v>0</v>
      </c>
      <c r="CW421" s="675">
        <v>0</v>
      </c>
      <c r="CX421" s="549">
        <v>0</v>
      </c>
      <c r="CY421" s="675">
        <v>0</v>
      </c>
      <c r="CZ421" s="549">
        <v>0</v>
      </c>
      <c r="DA421" s="675">
        <v>0</v>
      </c>
      <c r="DB421" s="549">
        <v>0</v>
      </c>
      <c r="DC421" s="675">
        <v>0</v>
      </c>
      <c r="DD421" s="549">
        <v>0</v>
      </c>
      <c r="DE421" s="675">
        <v>0</v>
      </c>
      <c r="DF421" s="549">
        <v>0</v>
      </c>
      <c r="DG421" s="675">
        <v>0</v>
      </c>
      <c r="DH421" s="549">
        <v>0</v>
      </c>
      <c r="DI421" s="675">
        <v>0</v>
      </c>
      <c r="DJ421" s="549">
        <v>0</v>
      </c>
      <c r="DK421" s="675">
        <v>0</v>
      </c>
      <c r="DL421" s="549">
        <v>0</v>
      </c>
      <c r="DM421" s="675">
        <v>0</v>
      </c>
      <c r="DN421" s="549">
        <v>0</v>
      </c>
      <c r="DO421" s="675">
        <v>0</v>
      </c>
      <c r="DP421" s="549">
        <v>0</v>
      </c>
      <c r="DQ421" s="675">
        <v>0</v>
      </c>
      <c r="DR421" s="549">
        <v>0</v>
      </c>
      <c r="DS421" s="675">
        <v>0</v>
      </c>
      <c r="DT421" s="549">
        <v>0</v>
      </c>
      <c r="DU421" s="675">
        <v>0</v>
      </c>
      <c r="DV421" s="549">
        <v>0</v>
      </c>
      <c r="DW421" s="675">
        <v>0</v>
      </c>
      <c r="DX421" s="549">
        <v>0</v>
      </c>
      <c r="DY421" s="675">
        <v>0</v>
      </c>
      <c r="DZ421" s="549">
        <v>0</v>
      </c>
      <c r="EA421" s="675">
        <v>0</v>
      </c>
      <c r="EB421" s="549">
        <v>0</v>
      </c>
      <c r="EC421" s="675">
        <v>0</v>
      </c>
      <c r="ED421" s="549">
        <v>0</v>
      </c>
      <c r="EE421" s="675">
        <v>0</v>
      </c>
      <c r="EF421" s="549">
        <v>0</v>
      </c>
      <c r="EG421" s="675">
        <v>0</v>
      </c>
      <c r="EH421" s="549">
        <v>0</v>
      </c>
      <c r="EI421" s="675">
        <v>0</v>
      </c>
      <c r="EJ421" s="549">
        <v>0</v>
      </c>
      <c r="EK421" s="675">
        <v>0</v>
      </c>
      <c r="EL421" s="549">
        <v>0</v>
      </c>
      <c r="EM421" s="675">
        <v>0</v>
      </c>
      <c r="EN421" s="549">
        <v>0</v>
      </c>
      <c r="EO421" s="675">
        <v>0</v>
      </c>
      <c r="EP421" s="549">
        <v>0</v>
      </c>
      <c r="EQ421" s="675">
        <v>0</v>
      </c>
      <c r="ER421" s="549">
        <v>0</v>
      </c>
      <c r="ES421" s="675">
        <v>0</v>
      </c>
      <c r="ET421" s="549">
        <v>0</v>
      </c>
      <c r="EU421" s="675">
        <v>0</v>
      </c>
      <c r="EV421" s="549">
        <v>0</v>
      </c>
      <c r="EW421" s="675">
        <v>0</v>
      </c>
      <c r="EX421" s="549">
        <v>0</v>
      </c>
      <c r="EY421" s="675">
        <v>0</v>
      </c>
      <c r="EZ421" s="549">
        <v>0</v>
      </c>
      <c r="FA421" s="675">
        <v>0</v>
      </c>
      <c r="FB421" s="549">
        <v>0</v>
      </c>
      <c r="FC421" s="675">
        <v>0</v>
      </c>
      <c r="FD421" s="549">
        <v>0</v>
      </c>
      <c r="FE421" s="675">
        <v>0</v>
      </c>
      <c r="FF421" s="549">
        <v>0</v>
      </c>
      <c r="FG421" s="675">
        <v>0</v>
      </c>
      <c r="FH421" s="549">
        <v>0</v>
      </c>
      <c r="FI421" s="675">
        <v>0</v>
      </c>
      <c r="FJ421" s="549">
        <v>0</v>
      </c>
      <c r="FK421" s="675">
        <v>0</v>
      </c>
      <c r="FL421" s="549">
        <v>0</v>
      </c>
      <c r="FM421" s="675">
        <v>0</v>
      </c>
      <c r="FN421" s="549">
        <v>0</v>
      </c>
      <c r="FO421" s="675">
        <v>0</v>
      </c>
      <c r="FP421" s="549">
        <v>0</v>
      </c>
      <c r="FQ421" s="675">
        <v>0</v>
      </c>
      <c r="FR421" s="549">
        <v>0</v>
      </c>
      <c r="FS421" s="675">
        <v>0</v>
      </c>
      <c r="FT421" s="549">
        <v>0</v>
      </c>
      <c r="FU421" s="675">
        <v>0</v>
      </c>
      <c r="FV421" s="549">
        <v>0</v>
      </c>
      <c r="FW421" s="675">
        <v>0</v>
      </c>
      <c r="FX421" s="549">
        <v>0</v>
      </c>
      <c r="FY421" s="675">
        <v>0</v>
      </c>
      <c r="FZ421" s="549">
        <v>0</v>
      </c>
      <c r="GA421" s="675">
        <v>0</v>
      </c>
      <c r="GB421" s="549">
        <v>0</v>
      </c>
      <c r="GC421" s="675">
        <v>0</v>
      </c>
      <c r="GD421" s="549">
        <v>0</v>
      </c>
      <c r="GE421" s="675">
        <v>0</v>
      </c>
      <c r="GF421" s="549">
        <v>0</v>
      </c>
      <c r="GG421" s="675">
        <v>0</v>
      </c>
      <c r="GH421" s="549">
        <v>0</v>
      </c>
      <c r="GI421" s="675">
        <v>0</v>
      </c>
      <c r="GJ421" s="549">
        <v>0</v>
      </c>
      <c r="GK421" s="675">
        <v>0</v>
      </c>
      <c r="GL421" s="549">
        <v>0</v>
      </c>
      <c r="GM421" s="675">
        <v>0</v>
      </c>
      <c r="GN421" s="549">
        <v>0</v>
      </c>
      <c r="GO421" s="675">
        <v>0</v>
      </c>
      <c r="GP421" s="549">
        <f t="shared" si="11132"/>
        <v>0</v>
      </c>
      <c r="GQ421" s="675">
        <f t="shared" si="11133"/>
        <v>0</v>
      </c>
      <c r="GR421" s="74">
        <f t="shared" si="11134"/>
        <v>0</v>
      </c>
      <c r="GS421" s="74">
        <f t="shared" si="11135"/>
        <v>0</v>
      </c>
      <c r="GT421" s="568">
        <f t="shared" si="11136"/>
        <v>0</v>
      </c>
      <c r="GU421" s="275"/>
      <c r="GV421" s="275"/>
      <c r="GW421" s="275"/>
      <c r="GX421" s="275"/>
      <c r="GY421" s="275"/>
      <c r="GZ421" s="275"/>
      <c r="HA421" s="275"/>
      <c r="HB421" s="275"/>
      <c r="HC421" s="275"/>
      <c r="HD421" s="275"/>
      <c r="HE421" s="275">
        <v>0</v>
      </c>
      <c r="HF421" s="275">
        <v>0</v>
      </c>
      <c r="HG421" s="74">
        <f t="shared" si="11137"/>
        <v>0</v>
      </c>
      <c r="HH421" s="89">
        <v>0</v>
      </c>
      <c r="HI421" s="817">
        <v>0</v>
      </c>
      <c r="HJ421" s="89">
        <v>0</v>
      </c>
      <c r="HK421" s="817">
        <v>0</v>
      </c>
      <c r="HL421" s="89">
        <v>0</v>
      </c>
      <c r="HM421" s="817">
        <v>0</v>
      </c>
      <c r="HN421" s="89">
        <v>0</v>
      </c>
      <c r="HO421" s="817">
        <v>0</v>
      </c>
      <c r="HP421" s="89">
        <v>0</v>
      </c>
      <c r="HQ421" s="817">
        <v>0</v>
      </c>
      <c r="HR421" s="89">
        <v>0</v>
      </c>
      <c r="HS421" s="817">
        <v>0</v>
      </c>
      <c r="HT421" s="89">
        <v>0</v>
      </c>
      <c r="HU421" s="817">
        <v>0</v>
      </c>
      <c r="HV421" s="89">
        <v>0</v>
      </c>
      <c r="HW421" s="817">
        <v>0</v>
      </c>
      <c r="HX421" s="89">
        <v>0</v>
      </c>
      <c r="HY421" s="817">
        <v>0</v>
      </c>
      <c r="HZ421" s="89">
        <v>0</v>
      </c>
      <c r="IA421" s="817">
        <v>0</v>
      </c>
      <c r="IB421" s="89">
        <v>0</v>
      </c>
      <c r="IC421" s="817">
        <v>0</v>
      </c>
      <c r="ID421" s="89">
        <v>0</v>
      </c>
      <c r="IE421" s="817">
        <v>0</v>
      </c>
      <c r="IF421" s="841">
        <f t="shared" si="11138"/>
        <v>0</v>
      </c>
      <c r="IG421" s="263">
        <f t="shared" si="11139"/>
        <v>0</v>
      </c>
      <c r="IH421" s="842">
        <f t="shared" si="11140"/>
        <v>0</v>
      </c>
      <c r="II421" s="89">
        <v>0</v>
      </c>
      <c r="IJ421" s="89">
        <f t="shared" si="11141"/>
        <v>0</v>
      </c>
      <c r="IK421" s="89">
        <f t="shared" si="11142"/>
        <v>0</v>
      </c>
      <c r="IL421" s="89">
        <v>0</v>
      </c>
      <c r="IM421" s="89">
        <f t="shared" si="11143"/>
        <v>0</v>
      </c>
      <c r="IN421" s="89">
        <f t="shared" si="11144"/>
        <v>0</v>
      </c>
      <c r="IO421" s="89">
        <v>0</v>
      </c>
      <c r="IP421" s="89">
        <f t="shared" si="11145"/>
        <v>0</v>
      </c>
      <c r="IQ421" s="89">
        <f t="shared" si="11146"/>
        <v>0</v>
      </c>
      <c r="IR421" s="89">
        <v>0</v>
      </c>
      <c r="IS421" s="89">
        <f t="shared" si="11147"/>
        <v>0</v>
      </c>
      <c r="IT421" s="89">
        <f t="shared" si="11148"/>
        <v>0</v>
      </c>
      <c r="IU421" s="89">
        <v>0</v>
      </c>
      <c r="IV421" s="89">
        <f t="shared" si="11149"/>
        <v>0</v>
      </c>
      <c r="IW421" s="89">
        <f t="shared" si="11150"/>
        <v>0</v>
      </c>
      <c r="IX421" s="89">
        <v>0</v>
      </c>
      <c r="IY421" s="89">
        <f t="shared" si="11151"/>
        <v>0</v>
      </c>
      <c r="IZ421" s="89">
        <f t="shared" si="11152"/>
        <v>0</v>
      </c>
      <c r="JA421" s="89">
        <v>0</v>
      </c>
      <c r="JB421" s="89">
        <f t="shared" si="11153"/>
        <v>0</v>
      </c>
      <c r="JC421" s="89">
        <f t="shared" si="11154"/>
        <v>0</v>
      </c>
      <c r="JD421" s="89">
        <v>0</v>
      </c>
      <c r="JE421" s="89">
        <f t="shared" si="11155"/>
        <v>0</v>
      </c>
      <c r="JF421" s="89">
        <f t="shared" si="11156"/>
        <v>0</v>
      </c>
      <c r="JG421" s="89">
        <v>0</v>
      </c>
      <c r="JH421" s="89">
        <f t="shared" si="11157"/>
        <v>0</v>
      </c>
      <c r="JI421" s="89">
        <f t="shared" si="11158"/>
        <v>0</v>
      </c>
      <c r="JJ421" s="89">
        <v>0</v>
      </c>
      <c r="JK421" s="89">
        <f t="shared" si="11159"/>
        <v>0</v>
      </c>
      <c r="JL421" s="89">
        <f t="shared" si="11160"/>
        <v>0</v>
      </c>
      <c r="JM421" s="89">
        <v>0</v>
      </c>
      <c r="JN421" s="89">
        <f t="shared" si="11161"/>
        <v>0</v>
      </c>
      <c r="JO421" s="89">
        <f t="shared" si="11162"/>
        <v>0</v>
      </c>
      <c r="JP421" s="89">
        <v>0</v>
      </c>
      <c r="JQ421" s="89">
        <f t="shared" ref="JQ421:JR421" si="11167">JP421</f>
        <v>0</v>
      </c>
      <c r="JR421" s="89">
        <f t="shared" si="11167"/>
        <v>0</v>
      </c>
      <c r="JS421" s="74">
        <f t="shared" si="11164"/>
        <v>0</v>
      </c>
      <c r="JT421" s="382">
        <f t="shared" si="11165"/>
        <v>0</v>
      </c>
      <c r="JU421" s="665"/>
      <c r="JV421" s="524"/>
      <c r="JW421" s="525"/>
      <c r="JX421" s="549">
        <f t="shared" si="11166"/>
        <v>0</v>
      </c>
      <c r="JY421" s="549">
        <f t="shared" si="11166"/>
        <v>0</v>
      </c>
      <c r="JZ421" s="581">
        <f t="shared" si="10300"/>
        <v>0</v>
      </c>
      <c r="KA421" s="581">
        <f t="shared" si="10301"/>
        <v>0</v>
      </c>
      <c r="KB421" s="549">
        <f t="shared" si="10257"/>
        <v>0</v>
      </c>
      <c r="KC421" s="709">
        <f t="shared" si="10273"/>
        <v>0</v>
      </c>
      <c r="KD421" s="36"/>
      <c r="KE421" s="36"/>
      <c r="KF421" s="36"/>
      <c r="KG421" s="36"/>
      <c r="KH421" s="36"/>
      <c r="KI421" s="36"/>
      <c r="KJ421" s="36"/>
      <c r="KK421" s="36"/>
    </row>
    <row r="422" spans="1:297" s="10" customFormat="1" ht="12.75" hidden="1" customHeight="1">
      <c r="A422" s="86" t="s">
        <v>488</v>
      </c>
      <c r="B422" s="77" t="s">
        <v>119</v>
      </c>
      <c r="C422" s="74">
        <v>0</v>
      </c>
      <c r="D422" s="549">
        <v>0</v>
      </c>
      <c r="E422" s="675">
        <v>0</v>
      </c>
      <c r="F422" s="549">
        <v>0</v>
      </c>
      <c r="G422" s="675">
        <v>0</v>
      </c>
      <c r="H422" s="549">
        <v>0</v>
      </c>
      <c r="I422" s="675">
        <v>0</v>
      </c>
      <c r="J422" s="549">
        <v>0</v>
      </c>
      <c r="K422" s="675">
        <v>0</v>
      </c>
      <c r="L422" s="549">
        <v>0</v>
      </c>
      <c r="M422" s="675">
        <v>0</v>
      </c>
      <c r="N422" s="549">
        <v>0</v>
      </c>
      <c r="O422" s="675">
        <v>0</v>
      </c>
      <c r="P422" s="549">
        <v>0</v>
      </c>
      <c r="Q422" s="675">
        <v>0</v>
      </c>
      <c r="R422" s="549">
        <v>0</v>
      </c>
      <c r="S422" s="675">
        <v>0</v>
      </c>
      <c r="T422" s="549">
        <v>0</v>
      </c>
      <c r="U422" s="675">
        <v>0</v>
      </c>
      <c r="V422" s="549">
        <v>0</v>
      </c>
      <c r="W422" s="675">
        <v>0</v>
      </c>
      <c r="X422" s="549">
        <v>0</v>
      </c>
      <c r="Y422" s="675">
        <v>0</v>
      </c>
      <c r="Z422" s="549">
        <v>0</v>
      </c>
      <c r="AA422" s="675">
        <v>0</v>
      </c>
      <c r="AB422" s="549">
        <v>0</v>
      </c>
      <c r="AC422" s="675">
        <v>0</v>
      </c>
      <c r="AD422" s="549">
        <v>0</v>
      </c>
      <c r="AE422" s="675">
        <v>0</v>
      </c>
      <c r="AF422" s="549">
        <v>0</v>
      </c>
      <c r="AG422" s="675">
        <v>0</v>
      </c>
      <c r="AH422" s="549">
        <v>0</v>
      </c>
      <c r="AI422" s="675">
        <v>0</v>
      </c>
      <c r="AJ422" s="549">
        <v>0</v>
      </c>
      <c r="AK422" s="675">
        <v>0</v>
      </c>
      <c r="AL422" s="549">
        <v>0</v>
      </c>
      <c r="AM422" s="675">
        <v>0</v>
      </c>
      <c r="AN422" s="549">
        <v>0</v>
      </c>
      <c r="AO422" s="675">
        <v>0</v>
      </c>
      <c r="AP422" s="549">
        <v>0</v>
      </c>
      <c r="AQ422" s="675">
        <v>0</v>
      </c>
      <c r="AR422" s="549">
        <v>0</v>
      </c>
      <c r="AS422" s="675">
        <v>0</v>
      </c>
      <c r="AT422" s="549">
        <v>0</v>
      </c>
      <c r="AU422" s="675">
        <v>0</v>
      </c>
      <c r="AV422" s="549">
        <v>0</v>
      </c>
      <c r="AW422" s="675">
        <v>0</v>
      </c>
      <c r="AX422" s="549">
        <v>0</v>
      </c>
      <c r="AY422" s="675">
        <v>0</v>
      </c>
      <c r="AZ422" s="549">
        <v>0</v>
      </c>
      <c r="BA422" s="675">
        <v>0</v>
      </c>
      <c r="BB422" s="549">
        <v>0</v>
      </c>
      <c r="BC422" s="675">
        <v>0</v>
      </c>
      <c r="BD422" s="549">
        <v>0</v>
      </c>
      <c r="BE422" s="675">
        <v>0</v>
      </c>
      <c r="BF422" s="549">
        <v>0</v>
      </c>
      <c r="BG422" s="675">
        <v>0</v>
      </c>
      <c r="BH422" s="549">
        <v>0</v>
      </c>
      <c r="BI422" s="675">
        <v>0</v>
      </c>
      <c r="BJ422" s="549">
        <v>0</v>
      </c>
      <c r="BK422" s="675">
        <v>0</v>
      </c>
      <c r="BL422" s="549">
        <v>0</v>
      </c>
      <c r="BM422" s="675">
        <v>0</v>
      </c>
      <c r="BN422" s="549">
        <v>0</v>
      </c>
      <c r="BO422" s="675">
        <v>0</v>
      </c>
      <c r="BP422" s="549">
        <v>0</v>
      </c>
      <c r="BQ422" s="675">
        <v>0</v>
      </c>
      <c r="BR422" s="549">
        <v>0</v>
      </c>
      <c r="BS422" s="675">
        <v>0</v>
      </c>
      <c r="BT422" s="549">
        <v>0</v>
      </c>
      <c r="BU422" s="675">
        <v>0</v>
      </c>
      <c r="BV422" s="549">
        <v>0</v>
      </c>
      <c r="BW422" s="675">
        <v>0</v>
      </c>
      <c r="BX422" s="549">
        <v>0</v>
      </c>
      <c r="BY422" s="675">
        <v>0</v>
      </c>
      <c r="BZ422" s="549">
        <v>0</v>
      </c>
      <c r="CA422" s="675">
        <v>0</v>
      </c>
      <c r="CB422" s="549">
        <v>0</v>
      </c>
      <c r="CC422" s="675">
        <v>0</v>
      </c>
      <c r="CD422" s="549">
        <v>0</v>
      </c>
      <c r="CE422" s="675">
        <v>0</v>
      </c>
      <c r="CF422" s="549">
        <v>0</v>
      </c>
      <c r="CG422" s="675">
        <v>0</v>
      </c>
      <c r="CH422" s="549">
        <v>0</v>
      </c>
      <c r="CI422" s="675">
        <v>0</v>
      </c>
      <c r="CJ422" s="549">
        <v>0</v>
      </c>
      <c r="CK422" s="675">
        <v>0</v>
      </c>
      <c r="CL422" s="549">
        <v>0</v>
      </c>
      <c r="CM422" s="675">
        <v>0</v>
      </c>
      <c r="CN422" s="549">
        <v>0</v>
      </c>
      <c r="CO422" s="675">
        <v>0</v>
      </c>
      <c r="CP422" s="549">
        <v>0</v>
      </c>
      <c r="CQ422" s="675">
        <v>0</v>
      </c>
      <c r="CR422" s="549">
        <v>0</v>
      </c>
      <c r="CS422" s="675">
        <v>0</v>
      </c>
      <c r="CT422" s="549">
        <v>0</v>
      </c>
      <c r="CU422" s="675">
        <v>0</v>
      </c>
      <c r="CV422" s="549">
        <v>0</v>
      </c>
      <c r="CW422" s="675">
        <v>0</v>
      </c>
      <c r="CX422" s="549">
        <v>0</v>
      </c>
      <c r="CY422" s="675">
        <v>0</v>
      </c>
      <c r="CZ422" s="549">
        <v>0</v>
      </c>
      <c r="DA422" s="675">
        <v>0</v>
      </c>
      <c r="DB422" s="549">
        <v>0</v>
      </c>
      <c r="DC422" s="675">
        <v>0</v>
      </c>
      <c r="DD422" s="549">
        <v>0</v>
      </c>
      <c r="DE422" s="675">
        <v>0</v>
      </c>
      <c r="DF422" s="549">
        <v>0</v>
      </c>
      <c r="DG422" s="675">
        <v>0</v>
      </c>
      <c r="DH422" s="549">
        <v>0</v>
      </c>
      <c r="DI422" s="675">
        <v>0</v>
      </c>
      <c r="DJ422" s="549">
        <v>0</v>
      </c>
      <c r="DK422" s="675">
        <v>0</v>
      </c>
      <c r="DL422" s="549">
        <v>0</v>
      </c>
      <c r="DM422" s="675">
        <v>0</v>
      </c>
      <c r="DN422" s="549">
        <v>0</v>
      </c>
      <c r="DO422" s="675">
        <v>0</v>
      </c>
      <c r="DP422" s="549">
        <v>0</v>
      </c>
      <c r="DQ422" s="675">
        <v>0</v>
      </c>
      <c r="DR422" s="549">
        <v>0</v>
      </c>
      <c r="DS422" s="675">
        <v>0</v>
      </c>
      <c r="DT422" s="549">
        <v>0</v>
      </c>
      <c r="DU422" s="675">
        <v>0</v>
      </c>
      <c r="DV422" s="549">
        <v>0</v>
      </c>
      <c r="DW422" s="675">
        <v>0</v>
      </c>
      <c r="DX422" s="549">
        <v>0</v>
      </c>
      <c r="DY422" s="675">
        <v>0</v>
      </c>
      <c r="DZ422" s="549">
        <v>0</v>
      </c>
      <c r="EA422" s="675">
        <v>0</v>
      </c>
      <c r="EB422" s="549">
        <v>0</v>
      </c>
      <c r="EC422" s="675">
        <v>0</v>
      </c>
      <c r="ED422" s="549">
        <v>0</v>
      </c>
      <c r="EE422" s="675">
        <v>0</v>
      </c>
      <c r="EF422" s="549">
        <v>0</v>
      </c>
      <c r="EG422" s="675">
        <v>0</v>
      </c>
      <c r="EH422" s="549">
        <v>0</v>
      </c>
      <c r="EI422" s="675">
        <v>0</v>
      </c>
      <c r="EJ422" s="549">
        <v>0</v>
      </c>
      <c r="EK422" s="675">
        <v>0</v>
      </c>
      <c r="EL422" s="549">
        <v>0</v>
      </c>
      <c r="EM422" s="675">
        <v>0</v>
      </c>
      <c r="EN422" s="549">
        <v>0</v>
      </c>
      <c r="EO422" s="675">
        <v>0</v>
      </c>
      <c r="EP422" s="549">
        <v>0</v>
      </c>
      <c r="EQ422" s="675">
        <v>0</v>
      </c>
      <c r="ER422" s="549">
        <v>0</v>
      </c>
      <c r="ES422" s="675">
        <v>0</v>
      </c>
      <c r="ET422" s="549">
        <v>0</v>
      </c>
      <c r="EU422" s="675">
        <v>0</v>
      </c>
      <c r="EV422" s="549">
        <v>0</v>
      </c>
      <c r="EW422" s="675">
        <v>0</v>
      </c>
      <c r="EX422" s="549">
        <v>0</v>
      </c>
      <c r="EY422" s="675">
        <v>0</v>
      </c>
      <c r="EZ422" s="549">
        <v>0</v>
      </c>
      <c r="FA422" s="675">
        <v>0</v>
      </c>
      <c r="FB422" s="549">
        <v>0</v>
      </c>
      <c r="FC422" s="675">
        <v>0</v>
      </c>
      <c r="FD422" s="549">
        <v>0</v>
      </c>
      <c r="FE422" s="675">
        <v>0</v>
      </c>
      <c r="FF422" s="549">
        <v>0</v>
      </c>
      <c r="FG422" s="675">
        <v>0</v>
      </c>
      <c r="FH422" s="549">
        <v>0</v>
      </c>
      <c r="FI422" s="675">
        <v>0</v>
      </c>
      <c r="FJ422" s="549">
        <v>0</v>
      </c>
      <c r="FK422" s="675">
        <v>0</v>
      </c>
      <c r="FL422" s="549">
        <v>0</v>
      </c>
      <c r="FM422" s="675">
        <v>0</v>
      </c>
      <c r="FN422" s="549">
        <v>0</v>
      </c>
      <c r="FO422" s="675">
        <v>0</v>
      </c>
      <c r="FP422" s="549">
        <v>0</v>
      </c>
      <c r="FQ422" s="675">
        <v>0</v>
      </c>
      <c r="FR422" s="549">
        <v>0</v>
      </c>
      <c r="FS422" s="675">
        <v>0</v>
      </c>
      <c r="FT422" s="549">
        <v>0</v>
      </c>
      <c r="FU422" s="675">
        <v>0</v>
      </c>
      <c r="FV422" s="549">
        <v>0</v>
      </c>
      <c r="FW422" s="675">
        <v>0</v>
      </c>
      <c r="FX422" s="549">
        <v>0</v>
      </c>
      <c r="FY422" s="675">
        <v>0</v>
      </c>
      <c r="FZ422" s="549">
        <v>0</v>
      </c>
      <c r="GA422" s="675">
        <v>0</v>
      </c>
      <c r="GB422" s="549">
        <v>0</v>
      </c>
      <c r="GC422" s="675">
        <v>0</v>
      </c>
      <c r="GD422" s="549">
        <v>0</v>
      </c>
      <c r="GE422" s="675">
        <v>0</v>
      </c>
      <c r="GF422" s="549">
        <v>0</v>
      </c>
      <c r="GG422" s="675">
        <v>0</v>
      </c>
      <c r="GH422" s="549">
        <v>0</v>
      </c>
      <c r="GI422" s="675">
        <v>0</v>
      </c>
      <c r="GJ422" s="549">
        <v>0</v>
      </c>
      <c r="GK422" s="675">
        <v>0</v>
      </c>
      <c r="GL422" s="549">
        <v>0</v>
      </c>
      <c r="GM422" s="675">
        <v>0</v>
      </c>
      <c r="GN422" s="549">
        <v>0</v>
      </c>
      <c r="GO422" s="675">
        <v>0</v>
      </c>
      <c r="GP422" s="549">
        <f t="shared" si="11132"/>
        <v>0</v>
      </c>
      <c r="GQ422" s="675">
        <f t="shared" si="11133"/>
        <v>0</v>
      </c>
      <c r="GR422" s="74">
        <f t="shared" si="11134"/>
        <v>0</v>
      </c>
      <c r="GS422" s="74">
        <f t="shared" si="11135"/>
        <v>0</v>
      </c>
      <c r="GT422" s="568">
        <f t="shared" si="11136"/>
        <v>0</v>
      </c>
      <c r="GU422" s="275"/>
      <c r="GV422" s="275"/>
      <c r="GW422" s="275"/>
      <c r="GX422" s="275"/>
      <c r="GY422" s="275"/>
      <c r="GZ422" s="275"/>
      <c r="HA422" s="275"/>
      <c r="HB422" s="275"/>
      <c r="HC422" s="275"/>
      <c r="HD422" s="275"/>
      <c r="HE422" s="275">
        <v>0</v>
      </c>
      <c r="HF422" s="275">
        <v>0</v>
      </c>
      <c r="HG422" s="74">
        <f t="shared" si="11137"/>
        <v>0</v>
      </c>
      <c r="HH422" s="89">
        <v>0</v>
      </c>
      <c r="HI422" s="817">
        <v>0</v>
      </c>
      <c r="HJ422" s="89">
        <v>0</v>
      </c>
      <c r="HK422" s="817">
        <v>0</v>
      </c>
      <c r="HL422" s="89">
        <v>0</v>
      </c>
      <c r="HM422" s="817">
        <v>0</v>
      </c>
      <c r="HN422" s="89">
        <v>0</v>
      </c>
      <c r="HO422" s="817">
        <v>0</v>
      </c>
      <c r="HP422" s="89">
        <v>0</v>
      </c>
      <c r="HQ422" s="817">
        <v>0</v>
      </c>
      <c r="HR422" s="89">
        <v>0</v>
      </c>
      <c r="HS422" s="817">
        <v>0</v>
      </c>
      <c r="HT422" s="89">
        <v>0</v>
      </c>
      <c r="HU422" s="817">
        <v>0</v>
      </c>
      <c r="HV422" s="89">
        <v>0</v>
      </c>
      <c r="HW422" s="817">
        <v>0</v>
      </c>
      <c r="HX422" s="89">
        <v>0</v>
      </c>
      <c r="HY422" s="817">
        <v>0</v>
      </c>
      <c r="HZ422" s="89">
        <v>0</v>
      </c>
      <c r="IA422" s="817">
        <v>0</v>
      </c>
      <c r="IB422" s="89">
        <v>0</v>
      </c>
      <c r="IC422" s="817">
        <v>0</v>
      </c>
      <c r="ID422" s="89">
        <v>0</v>
      </c>
      <c r="IE422" s="817">
        <v>0</v>
      </c>
      <c r="IF422" s="841">
        <f t="shared" si="11138"/>
        <v>0</v>
      </c>
      <c r="IG422" s="263">
        <f t="shared" si="11139"/>
        <v>0</v>
      </c>
      <c r="IH422" s="842">
        <f t="shared" si="11140"/>
        <v>0</v>
      </c>
      <c r="II422" s="89">
        <v>0</v>
      </c>
      <c r="IJ422" s="89">
        <f t="shared" si="11141"/>
        <v>0</v>
      </c>
      <c r="IK422" s="89">
        <f t="shared" si="11142"/>
        <v>0</v>
      </c>
      <c r="IL422" s="89">
        <v>0</v>
      </c>
      <c r="IM422" s="89">
        <f t="shared" si="11143"/>
        <v>0</v>
      </c>
      <c r="IN422" s="89">
        <f t="shared" si="11144"/>
        <v>0</v>
      </c>
      <c r="IO422" s="89">
        <v>0</v>
      </c>
      <c r="IP422" s="89">
        <f t="shared" si="11145"/>
        <v>0</v>
      </c>
      <c r="IQ422" s="89">
        <f t="shared" si="11146"/>
        <v>0</v>
      </c>
      <c r="IR422" s="89">
        <v>0</v>
      </c>
      <c r="IS422" s="89">
        <f t="shared" si="11147"/>
        <v>0</v>
      </c>
      <c r="IT422" s="89">
        <f t="shared" si="11148"/>
        <v>0</v>
      </c>
      <c r="IU422" s="89">
        <v>0</v>
      </c>
      <c r="IV422" s="89">
        <f t="shared" si="11149"/>
        <v>0</v>
      </c>
      <c r="IW422" s="89">
        <f t="shared" si="11150"/>
        <v>0</v>
      </c>
      <c r="IX422" s="89">
        <v>0</v>
      </c>
      <c r="IY422" s="89">
        <f t="shared" si="11151"/>
        <v>0</v>
      </c>
      <c r="IZ422" s="89">
        <f t="shared" si="11152"/>
        <v>0</v>
      </c>
      <c r="JA422" s="89">
        <v>0</v>
      </c>
      <c r="JB422" s="89">
        <f t="shared" si="11153"/>
        <v>0</v>
      </c>
      <c r="JC422" s="89">
        <f t="shared" si="11154"/>
        <v>0</v>
      </c>
      <c r="JD422" s="89">
        <v>0</v>
      </c>
      <c r="JE422" s="89">
        <f t="shared" si="11155"/>
        <v>0</v>
      </c>
      <c r="JF422" s="89">
        <f t="shared" si="11156"/>
        <v>0</v>
      </c>
      <c r="JG422" s="89">
        <v>0</v>
      </c>
      <c r="JH422" s="89">
        <f t="shared" si="11157"/>
        <v>0</v>
      </c>
      <c r="JI422" s="89">
        <f t="shared" si="11158"/>
        <v>0</v>
      </c>
      <c r="JJ422" s="89">
        <v>0</v>
      </c>
      <c r="JK422" s="89">
        <f t="shared" si="11159"/>
        <v>0</v>
      </c>
      <c r="JL422" s="89">
        <f t="shared" si="11160"/>
        <v>0</v>
      </c>
      <c r="JM422" s="89">
        <v>0</v>
      </c>
      <c r="JN422" s="89">
        <f t="shared" si="11161"/>
        <v>0</v>
      </c>
      <c r="JO422" s="89">
        <f t="shared" si="11162"/>
        <v>0</v>
      </c>
      <c r="JP422" s="89">
        <v>0</v>
      </c>
      <c r="JQ422" s="89">
        <f t="shared" ref="JQ422:JR422" si="11168">JP422</f>
        <v>0</v>
      </c>
      <c r="JR422" s="89">
        <f t="shared" si="11168"/>
        <v>0</v>
      </c>
      <c r="JS422" s="74">
        <f t="shared" si="11164"/>
        <v>0</v>
      </c>
      <c r="JT422" s="382">
        <f t="shared" si="11165"/>
        <v>0</v>
      </c>
      <c r="JU422" s="665"/>
      <c r="JV422" s="524"/>
      <c r="JW422" s="525"/>
      <c r="JX422" s="549">
        <f t="shared" si="11166"/>
        <v>0</v>
      </c>
      <c r="JY422" s="549">
        <f t="shared" si="11166"/>
        <v>0</v>
      </c>
      <c r="JZ422" s="581">
        <f t="shared" si="10300"/>
        <v>0</v>
      </c>
      <c r="KA422" s="581">
        <f t="shared" si="10301"/>
        <v>0</v>
      </c>
      <c r="KB422" s="549">
        <f t="shared" si="10257"/>
        <v>0</v>
      </c>
      <c r="KC422" s="709">
        <f t="shared" si="10273"/>
        <v>0</v>
      </c>
      <c r="KD422" s="36"/>
      <c r="KE422" s="36"/>
      <c r="KF422" s="36"/>
      <c r="KG422" s="36"/>
      <c r="KH422" s="36"/>
      <c r="KI422" s="36"/>
      <c r="KJ422" s="36"/>
      <c r="KK422" s="36"/>
    </row>
    <row r="423" spans="1:297" s="10" customFormat="1" ht="12.75" hidden="1" customHeight="1">
      <c r="A423" s="86" t="s">
        <v>1059</v>
      </c>
      <c r="B423" s="77" t="s">
        <v>119</v>
      </c>
      <c r="C423" s="74">
        <v>0</v>
      </c>
      <c r="D423" s="549">
        <v>0</v>
      </c>
      <c r="E423" s="675">
        <v>0</v>
      </c>
      <c r="F423" s="549">
        <v>0</v>
      </c>
      <c r="G423" s="675">
        <v>0</v>
      </c>
      <c r="H423" s="549">
        <v>0</v>
      </c>
      <c r="I423" s="675">
        <v>0</v>
      </c>
      <c r="J423" s="549">
        <v>0</v>
      </c>
      <c r="K423" s="675">
        <v>0</v>
      </c>
      <c r="L423" s="549">
        <v>0</v>
      </c>
      <c r="M423" s="675">
        <v>0</v>
      </c>
      <c r="N423" s="549">
        <v>0</v>
      </c>
      <c r="O423" s="675">
        <v>0</v>
      </c>
      <c r="P423" s="549">
        <v>0</v>
      </c>
      <c r="Q423" s="675">
        <v>0</v>
      </c>
      <c r="R423" s="549">
        <v>0</v>
      </c>
      <c r="S423" s="675">
        <v>0</v>
      </c>
      <c r="T423" s="549">
        <v>0</v>
      </c>
      <c r="U423" s="675">
        <v>0</v>
      </c>
      <c r="V423" s="549">
        <v>0</v>
      </c>
      <c r="W423" s="675">
        <v>0</v>
      </c>
      <c r="X423" s="549">
        <v>0</v>
      </c>
      <c r="Y423" s="675">
        <v>0</v>
      </c>
      <c r="Z423" s="549">
        <v>0</v>
      </c>
      <c r="AA423" s="675">
        <v>0</v>
      </c>
      <c r="AB423" s="549">
        <v>0</v>
      </c>
      <c r="AC423" s="675">
        <v>0</v>
      </c>
      <c r="AD423" s="549">
        <v>0</v>
      </c>
      <c r="AE423" s="675">
        <v>0</v>
      </c>
      <c r="AF423" s="549">
        <v>0</v>
      </c>
      <c r="AG423" s="675">
        <v>0</v>
      </c>
      <c r="AH423" s="549">
        <v>0</v>
      </c>
      <c r="AI423" s="675">
        <v>0</v>
      </c>
      <c r="AJ423" s="549">
        <v>0</v>
      </c>
      <c r="AK423" s="675">
        <v>0</v>
      </c>
      <c r="AL423" s="549">
        <v>0</v>
      </c>
      <c r="AM423" s="675">
        <v>0</v>
      </c>
      <c r="AN423" s="549">
        <v>0</v>
      </c>
      <c r="AO423" s="675">
        <v>0</v>
      </c>
      <c r="AP423" s="549">
        <v>0</v>
      </c>
      <c r="AQ423" s="675">
        <v>0</v>
      </c>
      <c r="AR423" s="549">
        <v>0</v>
      </c>
      <c r="AS423" s="675">
        <v>0</v>
      </c>
      <c r="AT423" s="549">
        <v>0</v>
      </c>
      <c r="AU423" s="675">
        <v>0</v>
      </c>
      <c r="AV423" s="549">
        <v>0</v>
      </c>
      <c r="AW423" s="675">
        <v>0</v>
      </c>
      <c r="AX423" s="549">
        <v>0</v>
      </c>
      <c r="AY423" s="675">
        <v>0</v>
      </c>
      <c r="AZ423" s="549">
        <v>0</v>
      </c>
      <c r="BA423" s="675">
        <v>0</v>
      </c>
      <c r="BB423" s="549">
        <v>0</v>
      </c>
      <c r="BC423" s="675">
        <v>0</v>
      </c>
      <c r="BD423" s="549">
        <v>0</v>
      </c>
      <c r="BE423" s="675">
        <v>0</v>
      </c>
      <c r="BF423" s="549">
        <v>0</v>
      </c>
      <c r="BG423" s="675">
        <v>0</v>
      </c>
      <c r="BH423" s="549">
        <v>0</v>
      </c>
      <c r="BI423" s="675">
        <v>0</v>
      </c>
      <c r="BJ423" s="549">
        <v>0</v>
      </c>
      <c r="BK423" s="675">
        <v>0</v>
      </c>
      <c r="BL423" s="549">
        <v>0</v>
      </c>
      <c r="BM423" s="675">
        <v>0</v>
      </c>
      <c r="BN423" s="549">
        <v>0</v>
      </c>
      <c r="BO423" s="675">
        <v>0</v>
      </c>
      <c r="BP423" s="549">
        <v>0</v>
      </c>
      <c r="BQ423" s="675">
        <v>0</v>
      </c>
      <c r="BR423" s="549">
        <v>0</v>
      </c>
      <c r="BS423" s="675">
        <v>0</v>
      </c>
      <c r="BT423" s="549">
        <v>0</v>
      </c>
      <c r="BU423" s="675">
        <v>0</v>
      </c>
      <c r="BV423" s="549">
        <v>0</v>
      </c>
      <c r="BW423" s="675">
        <v>0</v>
      </c>
      <c r="BX423" s="549">
        <v>0</v>
      </c>
      <c r="BY423" s="675">
        <v>0</v>
      </c>
      <c r="BZ423" s="549">
        <v>0</v>
      </c>
      <c r="CA423" s="675">
        <v>0</v>
      </c>
      <c r="CB423" s="549">
        <v>0</v>
      </c>
      <c r="CC423" s="675">
        <v>0</v>
      </c>
      <c r="CD423" s="549">
        <v>0</v>
      </c>
      <c r="CE423" s="675">
        <v>0</v>
      </c>
      <c r="CF423" s="549">
        <v>0</v>
      </c>
      <c r="CG423" s="675">
        <v>0</v>
      </c>
      <c r="CH423" s="549">
        <v>0</v>
      </c>
      <c r="CI423" s="675">
        <v>0</v>
      </c>
      <c r="CJ423" s="549">
        <v>0</v>
      </c>
      <c r="CK423" s="675">
        <v>0</v>
      </c>
      <c r="CL423" s="549">
        <v>0</v>
      </c>
      <c r="CM423" s="675">
        <v>0</v>
      </c>
      <c r="CN423" s="549">
        <v>0</v>
      </c>
      <c r="CO423" s="675">
        <v>0</v>
      </c>
      <c r="CP423" s="549">
        <v>0</v>
      </c>
      <c r="CQ423" s="675">
        <v>0</v>
      </c>
      <c r="CR423" s="549">
        <v>0</v>
      </c>
      <c r="CS423" s="675">
        <v>0</v>
      </c>
      <c r="CT423" s="549">
        <v>0</v>
      </c>
      <c r="CU423" s="675">
        <v>0</v>
      </c>
      <c r="CV423" s="549">
        <v>0</v>
      </c>
      <c r="CW423" s="675">
        <v>0</v>
      </c>
      <c r="CX423" s="549">
        <v>0</v>
      </c>
      <c r="CY423" s="675">
        <v>0</v>
      </c>
      <c r="CZ423" s="549">
        <v>0</v>
      </c>
      <c r="DA423" s="675">
        <v>0</v>
      </c>
      <c r="DB423" s="549">
        <v>0</v>
      </c>
      <c r="DC423" s="675">
        <v>0</v>
      </c>
      <c r="DD423" s="549">
        <v>0</v>
      </c>
      <c r="DE423" s="675">
        <v>0</v>
      </c>
      <c r="DF423" s="549">
        <v>0</v>
      </c>
      <c r="DG423" s="675">
        <v>0</v>
      </c>
      <c r="DH423" s="549">
        <v>0</v>
      </c>
      <c r="DI423" s="675">
        <v>0</v>
      </c>
      <c r="DJ423" s="549">
        <v>0</v>
      </c>
      <c r="DK423" s="675">
        <v>0</v>
      </c>
      <c r="DL423" s="549">
        <v>0</v>
      </c>
      <c r="DM423" s="675">
        <v>0</v>
      </c>
      <c r="DN423" s="549">
        <v>0</v>
      </c>
      <c r="DO423" s="675">
        <v>0</v>
      </c>
      <c r="DP423" s="549">
        <v>0</v>
      </c>
      <c r="DQ423" s="675">
        <v>0</v>
      </c>
      <c r="DR423" s="549">
        <v>0</v>
      </c>
      <c r="DS423" s="675">
        <v>0</v>
      </c>
      <c r="DT423" s="549">
        <v>0</v>
      </c>
      <c r="DU423" s="675">
        <v>0</v>
      </c>
      <c r="DV423" s="549">
        <v>0</v>
      </c>
      <c r="DW423" s="675">
        <v>0</v>
      </c>
      <c r="DX423" s="549">
        <v>0</v>
      </c>
      <c r="DY423" s="675">
        <v>0</v>
      </c>
      <c r="DZ423" s="549">
        <v>0</v>
      </c>
      <c r="EA423" s="675">
        <v>0</v>
      </c>
      <c r="EB423" s="549">
        <v>0</v>
      </c>
      <c r="EC423" s="675">
        <v>0</v>
      </c>
      <c r="ED423" s="549">
        <v>0</v>
      </c>
      <c r="EE423" s="675">
        <v>0</v>
      </c>
      <c r="EF423" s="549">
        <v>0</v>
      </c>
      <c r="EG423" s="675">
        <v>0</v>
      </c>
      <c r="EH423" s="549">
        <v>0</v>
      </c>
      <c r="EI423" s="675">
        <v>0</v>
      </c>
      <c r="EJ423" s="549">
        <v>0</v>
      </c>
      <c r="EK423" s="675">
        <v>0</v>
      </c>
      <c r="EL423" s="549">
        <v>0</v>
      </c>
      <c r="EM423" s="675">
        <v>0</v>
      </c>
      <c r="EN423" s="549">
        <v>0</v>
      </c>
      <c r="EO423" s="675">
        <v>0</v>
      </c>
      <c r="EP423" s="549">
        <v>0</v>
      </c>
      <c r="EQ423" s="675">
        <v>0</v>
      </c>
      <c r="ER423" s="549">
        <v>0</v>
      </c>
      <c r="ES423" s="675">
        <v>0</v>
      </c>
      <c r="ET423" s="549">
        <v>0</v>
      </c>
      <c r="EU423" s="675">
        <v>0</v>
      </c>
      <c r="EV423" s="549">
        <v>0</v>
      </c>
      <c r="EW423" s="675">
        <v>0</v>
      </c>
      <c r="EX423" s="549">
        <v>0</v>
      </c>
      <c r="EY423" s="675">
        <v>0</v>
      </c>
      <c r="EZ423" s="549">
        <v>0</v>
      </c>
      <c r="FA423" s="675">
        <v>0</v>
      </c>
      <c r="FB423" s="549">
        <v>0</v>
      </c>
      <c r="FC423" s="675">
        <v>0</v>
      </c>
      <c r="FD423" s="549">
        <v>0</v>
      </c>
      <c r="FE423" s="675">
        <v>0</v>
      </c>
      <c r="FF423" s="549">
        <v>0</v>
      </c>
      <c r="FG423" s="675">
        <v>0</v>
      </c>
      <c r="FH423" s="549">
        <v>0</v>
      </c>
      <c r="FI423" s="675">
        <v>0</v>
      </c>
      <c r="FJ423" s="549">
        <v>0</v>
      </c>
      <c r="FK423" s="675">
        <v>0</v>
      </c>
      <c r="FL423" s="549">
        <v>0</v>
      </c>
      <c r="FM423" s="675">
        <v>0</v>
      </c>
      <c r="FN423" s="549">
        <v>0</v>
      </c>
      <c r="FO423" s="675">
        <v>0</v>
      </c>
      <c r="FP423" s="549">
        <v>0</v>
      </c>
      <c r="FQ423" s="675">
        <v>0</v>
      </c>
      <c r="FR423" s="549">
        <v>0</v>
      </c>
      <c r="FS423" s="675">
        <v>0</v>
      </c>
      <c r="FT423" s="549">
        <v>0</v>
      </c>
      <c r="FU423" s="675">
        <v>0</v>
      </c>
      <c r="FV423" s="549">
        <v>0</v>
      </c>
      <c r="FW423" s="675">
        <v>0</v>
      </c>
      <c r="FX423" s="549">
        <v>0</v>
      </c>
      <c r="FY423" s="675">
        <v>0</v>
      </c>
      <c r="FZ423" s="549">
        <v>0</v>
      </c>
      <c r="GA423" s="675">
        <v>0</v>
      </c>
      <c r="GB423" s="549">
        <v>0</v>
      </c>
      <c r="GC423" s="675">
        <v>0</v>
      </c>
      <c r="GD423" s="549">
        <v>0</v>
      </c>
      <c r="GE423" s="675">
        <v>0</v>
      </c>
      <c r="GF423" s="549">
        <v>0</v>
      </c>
      <c r="GG423" s="675">
        <v>0</v>
      </c>
      <c r="GH423" s="549">
        <v>0</v>
      </c>
      <c r="GI423" s="675">
        <v>0</v>
      </c>
      <c r="GJ423" s="549">
        <v>0</v>
      </c>
      <c r="GK423" s="675">
        <v>0</v>
      </c>
      <c r="GL423" s="549">
        <v>0</v>
      </c>
      <c r="GM423" s="675">
        <v>0</v>
      </c>
      <c r="GN423" s="549">
        <v>0</v>
      </c>
      <c r="GO423" s="675">
        <v>0</v>
      </c>
      <c r="GP423" s="549">
        <f t="shared" si="11132"/>
        <v>0</v>
      </c>
      <c r="GQ423" s="675">
        <f t="shared" si="11133"/>
        <v>0</v>
      </c>
      <c r="GR423" s="74">
        <f t="shared" si="11134"/>
        <v>0</v>
      </c>
      <c r="GS423" s="74">
        <f t="shared" si="11135"/>
        <v>0</v>
      </c>
      <c r="GT423" s="568">
        <f t="shared" si="11136"/>
        <v>0</v>
      </c>
      <c r="GU423" s="275"/>
      <c r="GV423" s="275"/>
      <c r="GW423" s="275"/>
      <c r="GX423" s="275"/>
      <c r="GY423" s="275"/>
      <c r="GZ423" s="275"/>
      <c r="HA423" s="275"/>
      <c r="HB423" s="275"/>
      <c r="HC423" s="275"/>
      <c r="HD423" s="275"/>
      <c r="HE423" s="275">
        <v>0</v>
      </c>
      <c r="HF423" s="275">
        <v>0</v>
      </c>
      <c r="HG423" s="74">
        <f t="shared" si="11137"/>
        <v>0</v>
      </c>
      <c r="HH423" s="89">
        <v>0</v>
      </c>
      <c r="HI423" s="817">
        <v>0</v>
      </c>
      <c r="HJ423" s="89">
        <v>0</v>
      </c>
      <c r="HK423" s="817">
        <v>0</v>
      </c>
      <c r="HL423" s="89">
        <v>0</v>
      </c>
      <c r="HM423" s="817">
        <v>0</v>
      </c>
      <c r="HN423" s="89">
        <v>0</v>
      </c>
      <c r="HO423" s="817">
        <v>0</v>
      </c>
      <c r="HP423" s="89">
        <v>0</v>
      </c>
      <c r="HQ423" s="817">
        <v>0</v>
      </c>
      <c r="HR423" s="89">
        <v>0</v>
      </c>
      <c r="HS423" s="817">
        <v>0</v>
      </c>
      <c r="HT423" s="89">
        <v>0</v>
      </c>
      <c r="HU423" s="817">
        <v>0</v>
      </c>
      <c r="HV423" s="89">
        <v>0</v>
      </c>
      <c r="HW423" s="817">
        <v>0</v>
      </c>
      <c r="HX423" s="89">
        <v>0</v>
      </c>
      <c r="HY423" s="817">
        <v>0</v>
      </c>
      <c r="HZ423" s="89">
        <v>0</v>
      </c>
      <c r="IA423" s="817">
        <v>0</v>
      </c>
      <c r="IB423" s="89">
        <v>0</v>
      </c>
      <c r="IC423" s="817">
        <v>0</v>
      </c>
      <c r="ID423" s="89">
        <v>0</v>
      </c>
      <c r="IE423" s="817">
        <v>0</v>
      </c>
      <c r="IF423" s="841">
        <f t="shared" si="11138"/>
        <v>0</v>
      </c>
      <c r="IG423" s="263">
        <f t="shared" si="11139"/>
        <v>0</v>
      </c>
      <c r="IH423" s="842">
        <f t="shared" si="11140"/>
        <v>0</v>
      </c>
      <c r="II423" s="89">
        <v>0</v>
      </c>
      <c r="IJ423" s="89">
        <f t="shared" si="11141"/>
        <v>0</v>
      </c>
      <c r="IK423" s="89">
        <f t="shared" si="11142"/>
        <v>0</v>
      </c>
      <c r="IL423" s="89">
        <v>0</v>
      </c>
      <c r="IM423" s="89">
        <f t="shared" si="11143"/>
        <v>0</v>
      </c>
      <c r="IN423" s="89">
        <f t="shared" si="11144"/>
        <v>0</v>
      </c>
      <c r="IO423" s="89">
        <v>0</v>
      </c>
      <c r="IP423" s="89">
        <f t="shared" si="11145"/>
        <v>0</v>
      </c>
      <c r="IQ423" s="89">
        <f t="shared" si="11146"/>
        <v>0</v>
      </c>
      <c r="IR423" s="89">
        <v>0</v>
      </c>
      <c r="IS423" s="89">
        <f t="shared" si="11147"/>
        <v>0</v>
      </c>
      <c r="IT423" s="89">
        <f t="shared" si="11148"/>
        <v>0</v>
      </c>
      <c r="IU423" s="89">
        <v>0</v>
      </c>
      <c r="IV423" s="89">
        <f t="shared" si="11149"/>
        <v>0</v>
      </c>
      <c r="IW423" s="89">
        <f t="shared" si="11150"/>
        <v>0</v>
      </c>
      <c r="IX423" s="89">
        <v>0</v>
      </c>
      <c r="IY423" s="89">
        <f t="shared" si="11151"/>
        <v>0</v>
      </c>
      <c r="IZ423" s="89">
        <f t="shared" si="11152"/>
        <v>0</v>
      </c>
      <c r="JA423" s="89">
        <v>0</v>
      </c>
      <c r="JB423" s="89">
        <f t="shared" si="11153"/>
        <v>0</v>
      </c>
      <c r="JC423" s="89">
        <f t="shared" si="11154"/>
        <v>0</v>
      </c>
      <c r="JD423" s="89">
        <v>0</v>
      </c>
      <c r="JE423" s="89">
        <f t="shared" si="11155"/>
        <v>0</v>
      </c>
      <c r="JF423" s="89">
        <f t="shared" si="11156"/>
        <v>0</v>
      </c>
      <c r="JG423" s="89">
        <v>0</v>
      </c>
      <c r="JH423" s="89">
        <f t="shared" si="11157"/>
        <v>0</v>
      </c>
      <c r="JI423" s="89">
        <f t="shared" si="11158"/>
        <v>0</v>
      </c>
      <c r="JJ423" s="89">
        <v>0</v>
      </c>
      <c r="JK423" s="89">
        <f t="shared" si="11159"/>
        <v>0</v>
      </c>
      <c r="JL423" s="89">
        <f t="shared" si="11160"/>
        <v>0</v>
      </c>
      <c r="JM423" s="89">
        <v>0</v>
      </c>
      <c r="JN423" s="89">
        <f t="shared" si="11161"/>
        <v>0</v>
      </c>
      <c r="JO423" s="89">
        <f t="shared" si="11162"/>
        <v>0</v>
      </c>
      <c r="JP423" s="89">
        <v>0</v>
      </c>
      <c r="JQ423" s="89">
        <f t="shared" ref="JQ423:JR423" si="11169">JP423</f>
        <v>0</v>
      </c>
      <c r="JR423" s="89">
        <f t="shared" si="11169"/>
        <v>0</v>
      </c>
      <c r="JS423" s="74">
        <f t="shared" si="11164"/>
        <v>0</v>
      </c>
      <c r="JT423" s="382">
        <f t="shared" si="11165"/>
        <v>0</v>
      </c>
      <c r="JU423" s="665"/>
      <c r="JV423" s="524"/>
      <c r="JW423" s="525"/>
      <c r="JX423" s="549">
        <v>0</v>
      </c>
      <c r="JY423" s="549">
        <v>0</v>
      </c>
      <c r="JZ423" s="581">
        <f t="shared" si="10300"/>
        <v>0</v>
      </c>
      <c r="KA423" s="581">
        <f t="shared" si="10301"/>
        <v>0</v>
      </c>
      <c r="KB423" s="549">
        <f t="shared" si="10257"/>
        <v>0</v>
      </c>
      <c r="KC423" s="709">
        <f t="shared" si="10273"/>
        <v>0</v>
      </c>
      <c r="KD423" s="36"/>
      <c r="KE423" s="36"/>
      <c r="KF423" s="36"/>
      <c r="KG423" s="36"/>
      <c r="KH423" s="36"/>
      <c r="KI423" s="36"/>
      <c r="KJ423" s="36"/>
      <c r="KK423" s="36"/>
    </row>
    <row r="424" spans="1:297" s="10" customFormat="1" ht="12.75" hidden="1" customHeight="1">
      <c r="A424" s="86" t="s">
        <v>489</v>
      </c>
      <c r="B424" s="77" t="s">
        <v>119</v>
      </c>
      <c r="C424" s="74">
        <v>0</v>
      </c>
      <c r="D424" s="549">
        <v>0</v>
      </c>
      <c r="E424" s="675">
        <v>0</v>
      </c>
      <c r="F424" s="549">
        <v>0</v>
      </c>
      <c r="G424" s="675">
        <v>0</v>
      </c>
      <c r="H424" s="549">
        <v>0</v>
      </c>
      <c r="I424" s="675">
        <v>0</v>
      </c>
      <c r="J424" s="549">
        <v>0</v>
      </c>
      <c r="K424" s="675">
        <v>0</v>
      </c>
      <c r="L424" s="549">
        <v>0</v>
      </c>
      <c r="M424" s="675">
        <v>0</v>
      </c>
      <c r="N424" s="549">
        <v>0</v>
      </c>
      <c r="O424" s="675">
        <v>0</v>
      </c>
      <c r="P424" s="549">
        <v>0</v>
      </c>
      <c r="Q424" s="675">
        <v>0</v>
      </c>
      <c r="R424" s="549">
        <v>0</v>
      </c>
      <c r="S424" s="675">
        <v>0</v>
      </c>
      <c r="T424" s="549">
        <v>0</v>
      </c>
      <c r="U424" s="675">
        <v>0</v>
      </c>
      <c r="V424" s="549">
        <v>0</v>
      </c>
      <c r="W424" s="675">
        <v>0</v>
      </c>
      <c r="X424" s="549">
        <v>0</v>
      </c>
      <c r="Y424" s="675">
        <v>0</v>
      </c>
      <c r="Z424" s="549">
        <v>0</v>
      </c>
      <c r="AA424" s="675">
        <v>0</v>
      </c>
      <c r="AB424" s="549">
        <v>0</v>
      </c>
      <c r="AC424" s="675">
        <v>0</v>
      </c>
      <c r="AD424" s="549">
        <v>0</v>
      </c>
      <c r="AE424" s="675">
        <v>0</v>
      </c>
      <c r="AF424" s="549">
        <v>0</v>
      </c>
      <c r="AG424" s="675">
        <v>0</v>
      </c>
      <c r="AH424" s="549">
        <v>0</v>
      </c>
      <c r="AI424" s="675">
        <v>0</v>
      </c>
      <c r="AJ424" s="549">
        <v>0</v>
      </c>
      <c r="AK424" s="675">
        <v>0</v>
      </c>
      <c r="AL424" s="549">
        <v>0</v>
      </c>
      <c r="AM424" s="675">
        <v>0</v>
      </c>
      <c r="AN424" s="549">
        <v>0</v>
      </c>
      <c r="AO424" s="675">
        <v>0</v>
      </c>
      <c r="AP424" s="549">
        <v>0</v>
      </c>
      <c r="AQ424" s="675">
        <v>0</v>
      </c>
      <c r="AR424" s="549">
        <v>0</v>
      </c>
      <c r="AS424" s="675">
        <v>0</v>
      </c>
      <c r="AT424" s="549">
        <v>0</v>
      </c>
      <c r="AU424" s="675">
        <v>0</v>
      </c>
      <c r="AV424" s="549">
        <v>0</v>
      </c>
      <c r="AW424" s="675">
        <v>0</v>
      </c>
      <c r="AX424" s="549">
        <v>0</v>
      </c>
      <c r="AY424" s="675">
        <v>0</v>
      </c>
      <c r="AZ424" s="549">
        <v>0</v>
      </c>
      <c r="BA424" s="675">
        <v>0</v>
      </c>
      <c r="BB424" s="549">
        <v>0</v>
      </c>
      <c r="BC424" s="675">
        <v>0</v>
      </c>
      <c r="BD424" s="549">
        <v>0</v>
      </c>
      <c r="BE424" s="675">
        <v>0</v>
      </c>
      <c r="BF424" s="549">
        <v>0</v>
      </c>
      <c r="BG424" s="675">
        <v>0</v>
      </c>
      <c r="BH424" s="549">
        <v>0</v>
      </c>
      <c r="BI424" s="675">
        <v>0</v>
      </c>
      <c r="BJ424" s="549">
        <v>0</v>
      </c>
      <c r="BK424" s="675">
        <v>0</v>
      </c>
      <c r="BL424" s="549">
        <v>0</v>
      </c>
      <c r="BM424" s="675">
        <v>0</v>
      </c>
      <c r="BN424" s="549">
        <v>0</v>
      </c>
      <c r="BO424" s="675">
        <v>0</v>
      </c>
      <c r="BP424" s="549">
        <v>0</v>
      </c>
      <c r="BQ424" s="675">
        <v>0</v>
      </c>
      <c r="BR424" s="549">
        <v>0</v>
      </c>
      <c r="BS424" s="675">
        <v>0</v>
      </c>
      <c r="BT424" s="549">
        <v>0</v>
      </c>
      <c r="BU424" s="675">
        <v>0</v>
      </c>
      <c r="BV424" s="549">
        <v>0</v>
      </c>
      <c r="BW424" s="675">
        <v>0</v>
      </c>
      <c r="BX424" s="549">
        <v>0</v>
      </c>
      <c r="BY424" s="675">
        <v>0</v>
      </c>
      <c r="BZ424" s="549">
        <v>0</v>
      </c>
      <c r="CA424" s="675">
        <v>0</v>
      </c>
      <c r="CB424" s="549">
        <v>0</v>
      </c>
      <c r="CC424" s="675">
        <v>0</v>
      </c>
      <c r="CD424" s="549">
        <v>0</v>
      </c>
      <c r="CE424" s="675">
        <v>0</v>
      </c>
      <c r="CF424" s="549">
        <v>0</v>
      </c>
      <c r="CG424" s="675">
        <v>0</v>
      </c>
      <c r="CH424" s="549">
        <v>0</v>
      </c>
      <c r="CI424" s="675">
        <v>0</v>
      </c>
      <c r="CJ424" s="549">
        <v>0</v>
      </c>
      <c r="CK424" s="675">
        <v>0</v>
      </c>
      <c r="CL424" s="549">
        <v>0</v>
      </c>
      <c r="CM424" s="675">
        <v>0</v>
      </c>
      <c r="CN424" s="549">
        <v>0</v>
      </c>
      <c r="CO424" s="675">
        <v>0</v>
      </c>
      <c r="CP424" s="549">
        <v>0</v>
      </c>
      <c r="CQ424" s="675">
        <v>0</v>
      </c>
      <c r="CR424" s="549">
        <v>0</v>
      </c>
      <c r="CS424" s="675">
        <v>0</v>
      </c>
      <c r="CT424" s="549">
        <v>0</v>
      </c>
      <c r="CU424" s="675">
        <v>0</v>
      </c>
      <c r="CV424" s="549">
        <v>0</v>
      </c>
      <c r="CW424" s="675">
        <v>0</v>
      </c>
      <c r="CX424" s="549">
        <v>0</v>
      </c>
      <c r="CY424" s="675">
        <v>0</v>
      </c>
      <c r="CZ424" s="549">
        <v>0</v>
      </c>
      <c r="DA424" s="675">
        <v>0</v>
      </c>
      <c r="DB424" s="549">
        <v>0</v>
      </c>
      <c r="DC424" s="675">
        <v>0</v>
      </c>
      <c r="DD424" s="549">
        <v>0</v>
      </c>
      <c r="DE424" s="675">
        <v>0</v>
      </c>
      <c r="DF424" s="549">
        <v>0</v>
      </c>
      <c r="DG424" s="675">
        <v>0</v>
      </c>
      <c r="DH424" s="549">
        <v>0</v>
      </c>
      <c r="DI424" s="675">
        <v>0</v>
      </c>
      <c r="DJ424" s="549">
        <v>0</v>
      </c>
      <c r="DK424" s="675">
        <v>0</v>
      </c>
      <c r="DL424" s="549">
        <v>0</v>
      </c>
      <c r="DM424" s="675">
        <v>0</v>
      </c>
      <c r="DN424" s="549">
        <v>0</v>
      </c>
      <c r="DO424" s="675">
        <v>0</v>
      </c>
      <c r="DP424" s="549">
        <v>0</v>
      </c>
      <c r="DQ424" s="675">
        <v>0</v>
      </c>
      <c r="DR424" s="549">
        <v>0</v>
      </c>
      <c r="DS424" s="675">
        <v>0</v>
      </c>
      <c r="DT424" s="549">
        <v>0</v>
      </c>
      <c r="DU424" s="675">
        <v>0</v>
      </c>
      <c r="DV424" s="549">
        <v>0</v>
      </c>
      <c r="DW424" s="675">
        <v>0</v>
      </c>
      <c r="DX424" s="549">
        <v>0</v>
      </c>
      <c r="DY424" s="675">
        <v>0</v>
      </c>
      <c r="DZ424" s="549">
        <v>0</v>
      </c>
      <c r="EA424" s="675">
        <v>0</v>
      </c>
      <c r="EB424" s="549">
        <v>0</v>
      </c>
      <c r="EC424" s="675">
        <v>0</v>
      </c>
      <c r="ED424" s="549">
        <v>0</v>
      </c>
      <c r="EE424" s="675">
        <v>0</v>
      </c>
      <c r="EF424" s="549">
        <v>0</v>
      </c>
      <c r="EG424" s="675">
        <v>0</v>
      </c>
      <c r="EH424" s="549">
        <v>0</v>
      </c>
      <c r="EI424" s="675">
        <v>0</v>
      </c>
      <c r="EJ424" s="549">
        <v>0</v>
      </c>
      <c r="EK424" s="675">
        <v>0</v>
      </c>
      <c r="EL424" s="549">
        <v>0</v>
      </c>
      <c r="EM424" s="675">
        <v>0</v>
      </c>
      <c r="EN424" s="549">
        <v>0</v>
      </c>
      <c r="EO424" s="675">
        <v>0</v>
      </c>
      <c r="EP424" s="549">
        <v>0</v>
      </c>
      <c r="EQ424" s="675">
        <v>0</v>
      </c>
      <c r="ER424" s="549">
        <v>0</v>
      </c>
      <c r="ES424" s="675">
        <v>0</v>
      </c>
      <c r="ET424" s="549">
        <v>0</v>
      </c>
      <c r="EU424" s="675">
        <v>0</v>
      </c>
      <c r="EV424" s="549">
        <v>0</v>
      </c>
      <c r="EW424" s="675">
        <v>0</v>
      </c>
      <c r="EX424" s="549">
        <v>0</v>
      </c>
      <c r="EY424" s="675">
        <v>0</v>
      </c>
      <c r="EZ424" s="549">
        <v>0</v>
      </c>
      <c r="FA424" s="675">
        <v>0</v>
      </c>
      <c r="FB424" s="549">
        <v>0</v>
      </c>
      <c r="FC424" s="675">
        <v>0</v>
      </c>
      <c r="FD424" s="549">
        <v>0</v>
      </c>
      <c r="FE424" s="675">
        <v>0</v>
      </c>
      <c r="FF424" s="549">
        <v>0</v>
      </c>
      <c r="FG424" s="675">
        <v>0</v>
      </c>
      <c r="FH424" s="549">
        <v>0</v>
      </c>
      <c r="FI424" s="675">
        <v>0</v>
      </c>
      <c r="FJ424" s="549">
        <v>0</v>
      </c>
      <c r="FK424" s="675">
        <v>0</v>
      </c>
      <c r="FL424" s="549">
        <v>0</v>
      </c>
      <c r="FM424" s="675">
        <v>0</v>
      </c>
      <c r="FN424" s="549">
        <v>0</v>
      </c>
      <c r="FO424" s="675">
        <v>0</v>
      </c>
      <c r="FP424" s="549">
        <v>0</v>
      </c>
      <c r="FQ424" s="675">
        <v>0</v>
      </c>
      <c r="FR424" s="549">
        <v>0</v>
      </c>
      <c r="FS424" s="675">
        <v>0</v>
      </c>
      <c r="FT424" s="549">
        <v>0</v>
      </c>
      <c r="FU424" s="675">
        <v>0</v>
      </c>
      <c r="FV424" s="549">
        <v>0</v>
      </c>
      <c r="FW424" s="675">
        <v>0</v>
      </c>
      <c r="FX424" s="549">
        <v>0</v>
      </c>
      <c r="FY424" s="675">
        <v>0</v>
      </c>
      <c r="FZ424" s="549">
        <v>0</v>
      </c>
      <c r="GA424" s="675">
        <v>0</v>
      </c>
      <c r="GB424" s="549">
        <v>0</v>
      </c>
      <c r="GC424" s="675">
        <v>0</v>
      </c>
      <c r="GD424" s="549">
        <v>0</v>
      </c>
      <c r="GE424" s="675">
        <v>0</v>
      </c>
      <c r="GF424" s="549">
        <v>0</v>
      </c>
      <c r="GG424" s="675">
        <v>0</v>
      </c>
      <c r="GH424" s="549">
        <v>0</v>
      </c>
      <c r="GI424" s="675">
        <v>0</v>
      </c>
      <c r="GJ424" s="549">
        <v>0</v>
      </c>
      <c r="GK424" s="675">
        <v>0</v>
      </c>
      <c r="GL424" s="549">
        <v>0</v>
      </c>
      <c r="GM424" s="675">
        <v>0</v>
      </c>
      <c r="GN424" s="549">
        <v>0</v>
      </c>
      <c r="GO424" s="675">
        <v>0</v>
      </c>
      <c r="GP424" s="549">
        <f t="shared" si="11132"/>
        <v>0</v>
      </c>
      <c r="GQ424" s="675">
        <f t="shared" si="11133"/>
        <v>0</v>
      </c>
      <c r="GR424" s="74">
        <f t="shared" si="11134"/>
        <v>0</v>
      </c>
      <c r="GS424" s="74">
        <f t="shared" si="11135"/>
        <v>0</v>
      </c>
      <c r="GT424" s="568">
        <f t="shared" si="11136"/>
        <v>0</v>
      </c>
      <c r="GU424" s="275"/>
      <c r="GV424" s="275"/>
      <c r="GW424" s="275"/>
      <c r="GX424" s="275"/>
      <c r="GY424" s="275"/>
      <c r="GZ424" s="275"/>
      <c r="HA424" s="275"/>
      <c r="HB424" s="275"/>
      <c r="HC424" s="275"/>
      <c r="HD424" s="275"/>
      <c r="HE424" s="275">
        <v>0</v>
      </c>
      <c r="HF424" s="275">
        <v>0</v>
      </c>
      <c r="HG424" s="74">
        <f t="shared" si="11137"/>
        <v>0</v>
      </c>
      <c r="HH424" s="89">
        <v>0</v>
      </c>
      <c r="HI424" s="817">
        <v>0</v>
      </c>
      <c r="HJ424" s="89">
        <v>0</v>
      </c>
      <c r="HK424" s="817">
        <v>0</v>
      </c>
      <c r="HL424" s="89">
        <v>0</v>
      </c>
      <c r="HM424" s="817">
        <v>0</v>
      </c>
      <c r="HN424" s="89">
        <v>0</v>
      </c>
      <c r="HO424" s="817">
        <v>0</v>
      </c>
      <c r="HP424" s="89">
        <v>0</v>
      </c>
      <c r="HQ424" s="817">
        <v>0</v>
      </c>
      <c r="HR424" s="89">
        <v>0</v>
      </c>
      <c r="HS424" s="817">
        <v>0</v>
      </c>
      <c r="HT424" s="89">
        <v>0</v>
      </c>
      <c r="HU424" s="817">
        <v>0</v>
      </c>
      <c r="HV424" s="89">
        <v>0</v>
      </c>
      <c r="HW424" s="817">
        <v>0</v>
      </c>
      <c r="HX424" s="89">
        <v>0</v>
      </c>
      <c r="HY424" s="817">
        <v>0</v>
      </c>
      <c r="HZ424" s="89">
        <v>0</v>
      </c>
      <c r="IA424" s="817">
        <v>0</v>
      </c>
      <c r="IB424" s="89">
        <v>0</v>
      </c>
      <c r="IC424" s="817">
        <v>0</v>
      </c>
      <c r="ID424" s="89">
        <v>0</v>
      </c>
      <c r="IE424" s="817">
        <v>0</v>
      </c>
      <c r="IF424" s="841">
        <f t="shared" si="11138"/>
        <v>0</v>
      </c>
      <c r="IG424" s="263">
        <f t="shared" si="11139"/>
        <v>0</v>
      </c>
      <c r="IH424" s="842">
        <f t="shared" si="11140"/>
        <v>0</v>
      </c>
      <c r="II424" s="89">
        <v>0</v>
      </c>
      <c r="IJ424" s="89">
        <f t="shared" si="11141"/>
        <v>0</v>
      </c>
      <c r="IK424" s="89">
        <f t="shared" si="11142"/>
        <v>0</v>
      </c>
      <c r="IL424" s="89">
        <v>0</v>
      </c>
      <c r="IM424" s="89">
        <f t="shared" si="11143"/>
        <v>0</v>
      </c>
      <c r="IN424" s="89">
        <f t="shared" si="11144"/>
        <v>0</v>
      </c>
      <c r="IO424" s="89">
        <v>0</v>
      </c>
      <c r="IP424" s="89">
        <f t="shared" si="11145"/>
        <v>0</v>
      </c>
      <c r="IQ424" s="89">
        <f t="shared" si="11146"/>
        <v>0</v>
      </c>
      <c r="IR424" s="89">
        <v>0</v>
      </c>
      <c r="IS424" s="89">
        <f t="shared" si="11147"/>
        <v>0</v>
      </c>
      <c r="IT424" s="89">
        <f t="shared" si="11148"/>
        <v>0</v>
      </c>
      <c r="IU424" s="89">
        <v>0</v>
      </c>
      <c r="IV424" s="89">
        <f t="shared" si="11149"/>
        <v>0</v>
      </c>
      <c r="IW424" s="89">
        <f t="shared" si="11150"/>
        <v>0</v>
      </c>
      <c r="IX424" s="89">
        <v>0</v>
      </c>
      <c r="IY424" s="89">
        <f t="shared" si="11151"/>
        <v>0</v>
      </c>
      <c r="IZ424" s="89">
        <f t="shared" si="11152"/>
        <v>0</v>
      </c>
      <c r="JA424" s="89">
        <v>0</v>
      </c>
      <c r="JB424" s="89">
        <f t="shared" si="11153"/>
        <v>0</v>
      </c>
      <c r="JC424" s="89">
        <f t="shared" si="11154"/>
        <v>0</v>
      </c>
      <c r="JD424" s="89">
        <v>0</v>
      </c>
      <c r="JE424" s="89">
        <f t="shared" si="11155"/>
        <v>0</v>
      </c>
      <c r="JF424" s="89">
        <f t="shared" si="11156"/>
        <v>0</v>
      </c>
      <c r="JG424" s="89">
        <v>0</v>
      </c>
      <c r="JH424" s="89">
        <f t="shared" si="11157"/>
        <v>0</v>
      </c>
      <c r="JI424" s="89">
        <f t="shared" si="11158"/>
        <v>0</v>
      </c>
      <c r="JJ424" s="89">
        <v>0</v>
      </c>
      <c r="JK424" s="89">
        <f t="shared" si="11159"/>
        <v>0</v>
      </c>
      <c r="JL424" s="89">
        <f t="shared" si="11160"/>
        <v>0</v>
      </c>
      <c r="JM424" s="89">
        <v>0</v>
      </c>
      <c r="JN424" s="89">
        <f t="shared" si="11161"/>
        <v>0</v>
      </c>
      <c r="JO424" s="89">
        <f t="shared" si="11162"/>
        <v>0</v>
      </c>
      <c r="JP424" s="89">
        <v>0</v>
      </c>
      <c r="JQ424" s="89">
        <f t="shared" ref="JQ424:JR424" si="11170">JP424</f>
        <v>0</v>
      </c>
      <c r="JR424" s="89">
        <f t="shared" si="11170"/>
        <v>0</v>
      </c>
      <c r="JS424" s="74">
        <f t="shared" si="11164"/>
        <v>0</v>
      </c>
      <c r="JT424" s="382">
        <f t="shared" si="11165"/>
        <v>0</v>
      </c>
      <c r="JU424" s="665"/>
      <c r="JV424" s="524"/>
      <c r="JW424" s="525"/>
      <c r="JX424" s="549">
        <f t="shared" si="11166"/>
        <v>0</v>
      </c>
      <c r="JY424" s="549">
        <f t="shared" si="11166"/>
        <v>0</v>
      </c>
      <c r="JZ424" s="581">
        <f t="shared" si="10300"/>
        <v>0</v>
      </c>
      <c r="KA424" s="581">
        <f t="shared" si="10301"/>
        <v>0</v>
      </c>
      <c r="KB424" s="549">
        <f t="shared" si="10257"/>
        <v>0</v>
      </c>
      <c r="KC424" s="709">
        <f t="shared" si="10273"/>
        <v>0</v>
      </c>
      <c r="KD424" s="36"/>
      <c r="KE424" s="36"/>
      <c r="KF424" s="36"/>
      <c r="KG424" s="36"/>
      <c r="KH424" s="36"/>
      <c r="KI424" s="36"/>
      <c r="KJ424" s="36"/>
      <c r="KK424" s="36"/>
    </row>
    <row r="425" spans="1:297" s="10" customFormat="1">
      <c r="A425" s="86" t="s">
        <v>258</v>
      </c>
      <c r="B425" s="77" t="s">
        <v>123</v>
      </c>
      <c r="C425" s="74">
        <v>75000</v>
      </c>
      <c r="D425" s="549">
        <v>0</v>
      </c>
      <c r="E425" s="675">
        <v>0</v>
      </c>
      <c r="F425" s="549">
        <v>0</v>
      </c>
      <c r="G425" s="675">
        <v>0</v>
      </c>
      <c r="H425" s="549">
        <v>0</v>
      </c>
      <c r="I425" s="675">
        <v>0</v>
      </c>
      <c r="J425" s="549">
        <v>0</v>
      </c>
      <c r="K425" s="675">
        <v>0</v>
      </c>
      <c r="L425" s="549">
        <v>0</v>
      </c>
      <c r="M425" s="675">
        <v>0</v>
      </c>
      <c r="N425" s="549">
        <v>0</v>
      </c>
      <c r="O425" s="675">
        <v>0</v>
      </c>
      <c r="P425" s="549">
        <v>0</v>
      </c>
      <c r="Q425" s="675">
        <v>0</v>
      </c>
      <c r="R425" s="549">
        <v>0</v>
      </c>
      <c r="S425" s="675">
        <v>0</v>
      </c>
      <c r="T425" s="549">
        <v>0</v>
      </c>
      <c r="U425" s="675">
        <v>0</v>
      </c>
      <c r="V425" s="549">
        <v>0</v>
      </c>
      <c r="W425" s="675">
        <v>0</v>
      </c>
      <c r="X425" s="549">
        <v>0</v>
      </c>
      <c r="Y425" s="675">
        <v>0</v>
      </c>
      <c r="Z425" s="549">
        <v>0</v>
      </c>
      <c r="AA425" s="675">
        <v>0</v>
      </c>
      <c r="AB425" s="549">
        <v>0</v>
      </c>
      <c r="AC425" s="675">
        <v>0</v>
      </c>
      <c r="AD425" s="549">
        <v>0</v>
      </c>
      <c r="AE425" s="675">
        <v>0</v>
      </c>
      <c r="AF425" s="549">
        <v>0</v>
      </c>
      <c r="AG425" s="675">
        <v>-10000</v>
      </c>
      <c r="AH425" s="549">
        <v>0</v>
      </c>
      <c r="AI425" s="675">
        <v>0</v>
      </c>
      <c r="AJ425" s="549">
        <v>0</v>
      </c>
      <c r="AK425" s="675">
        <v>0</v>
      </c>
      <c r="AL425" s="549">
        <v>0</v>
      </c>
      <c r="AM425" s="675">
        <v>0</v>
      </c>
      <c r="AN425" s="549">
        <v>0</v>
      </c>
      <c r="AO425" s="675">
        <v>0</v>
      </c>
      <c r="AP425" s="549">
        <v>0</v>
      </c>
      <c r="AQ425" s="675">
        <v>0</v>
      </c>
      <c r="AR425" s="549">
        <v>0</v>
      </c>
      <c r="AS425" s="675">
        <v>0</v>
      </c>
      <c r="AT425" s="549">
        <v>0</v>
      </c>
      <c r="AU425" s="675">
        <v>0</v>
      </c>
      <c r="AV425" s="549">
        <v>0</v>
      </c>
      <c r="AW425" s="675">
        <v>0</v>
      </c>
      <c r="AX425" s="549">
        <v>0</v>
      </c>
      <c r="AY425" s="675">
        <v>0</v>
      </c>
      <c r="AZ425" s="549">
        <v>0</v>
      </c>
      <c r="BA425" s="675">
        <v>-10000</v>
      </c>
      <c r="BB425" s="549">
        <v>0</v>
      </c>
      <c r="BC425" s="675">
        <v>0</v>
      </c>
      <c r="BD425" s="549">
        <v>0</v>
      </c>
      <c r="BE425" s="675">
        <v>0</v>
      </c>
      <c r="BF425" s="549">
        <v>0</v>
      </c>
      <c r="BG425" s="675">
        <v>0</v>
      </c>
      <c r="BH425" s="549">
        <v>0</v>
      </c>
      <c r="BI425" s="675">
        <v>0</v>
      </c>
      <c r="BJ425" s="549">
        <v>0</v>
      </c>
      <c r="BK425" s="675">
        <v>0</v>
      </c>
      <c r="BL425" s="549">
        <v>0</v>
      </c>
      <c r="BM425" s="675">
        <v>0</v>
      </c>
      <c r="BN425" s="549">
        <v>0</v>
      </c>
      <c r="BO425" s="675">
        <v>0</v>
      </c>
      <c r="BP425" s="549">
        <v>0</v>
      </c>
      <c r="BQ425" s="675">
        <v>0</v>
      </c>
      <c r="BR425" s="549">
        <v>0</v>
      </c>
      <c r="BS425" s="675">
        <v>0</v>
      </c>
      <c r="BT425" s="549">
        <v>0</v>
      </c>
      <c r="BU425" s="675">
        <v>0</v>
      </c>
      <c r="BV425" s="549">
        <v>0</v>
      </c>
      <c r="BW425" s="675">
        <v>0</v>
      </c>
      <c r="BX425" s="549">
        <v>0</v>
      </c>
      <c r="BY425" s="675">
        <v>0</v>
      </c>
      <c r="BZ425" s="549">
        <v>0</v>
      </c>
      <c r="CA425" s="675">
        <v>0</v>
      </c>
      <c r="CB425" s="549">
        <v>0</v>
      </c>
      <c r="CC425" s="675">
        <v>0</v>
      </c>
      <c r="CD425" s="549">
        <v>0</v>
      </c>
      <c r="CE425" s="675">
        <v>0</v>
      </c>
      <c r="CF425" s="549">
        <v>0</v>
      </c>
      <c r="CG425" s="675">
        <v>0</v>
      </c>
      <c r="CH425" s="549">
        <v>0</v>
      </c>
      <c r="CI425" s="675">
        <v>0</v>
      </c>
      <c r="CJ425" s="549">
        <v>0</v>
      </c>
      <c r="CK425" s="675">
        <v>-5000</v>
      </c>
      <c r="CL425" s="549">
        <v>0</v>
      </c>
      <c r="CM425" s="675">
        <v>-10000</v>
      </c>
      <c r="CN425" s="549">
        <v>0</v>
      </c>
      <c r="CO425" s="675">
        <v>0</v>
      </c>
      <c r="CP425" s="549">
        <v>0</v>
      </c>
      <c r="CQ425" s="675">
        <v>0</v>
      </c>
      <c r="CR425" s="549">
        <v>0</v>
      </c>
      <c r="CS425" s="675">
        <v>0</v>
      </c>
      <c r="CT425" s="549">
        <v>0</v>
      </c>
      <c r="CU425" s="675">
        <v>0</v>
      </c>
      <c r="CV425" s="549">
        <v>0</v>
      </c>
      <c r="CW425" s="675">
        <v>0</v>
      </c>
      <c r="CX425" s="549">
        <v>0</v>
      </c>
      <c r="CY425" s="675">
        <v>0</v>
      </c>
      <c r="CZ425" s="549">
        <v>0</v>
      </c>
      <c r="DA425" s="675">
        <v>0</v>
      </c>
      <c r="DB425" s="549">
        <v>0</v>
      </c>
      <c r="DC425" s="675">
        <v>0</v>
      </c>
      <c r="DD425" s="549">
        <v>0</v>
      </c>
      <c r="DE425" s="675">
        <v>0</v>
      </c>
      <c r="DF425" s="549">
        <v>0</v>
      </c>
      <c r="DG425" s="675">
        <v>0</v>
      </c>
      <c r="DH425" s="549">
        <v>0</v>
      </c>
      <c r="DI425" s="675">
        <v>-2000</v>
      </c>
      <c r="DJ425" s="549">
        <v>0</v>
      </c>
      <c r="DK425" s="675">
        <v>-4000</v>
      </c>
      <c r="DL425" s="549">
        <v>0</v>
      </c>
      <c r="DM425" s="675">
        <v>0</v>
      </c>
      <c r="DN425" s="549">
        <v>0</v>
      </c>
      <c r="DO425" s="675">
        <v>0</v>
      </c>
      <c r="DP425" s="549">
        <v>0</v>
      </c>
      <c r="DQ425" s="675">
        <v>0</v>
      </c>
      <c r="DR425" s="549">
        <v>0</v>
      </c>
      <c r="DS425" s="675">
        <v>0</v>
      </c>
      <c r="DT425" s="549">
        <v>0</v>
      </c>
      <c r="DU425" s="675">
        <v>0</v>
      </c>
      <c r="DV425" s="549">
        <v>0</v>
      </c>
      <c r="DW425" s="675">
        <v>0</v>
      </c>
      <c r="DX425" s="549">
        <v>0</v>
      </c>
      <c r="DY425" s="675">
        <v>0</v>
      </c>
      <c r="DZ425" s="549">
        <v>0</v>
      </c>
      <c r="EA425" s="675">
        <v>0</v>
      </c>
      <c r="EB425" s="549">
        <v>0</v>
      </c>
      <c r="EC425" s="675">
        <v>0</v>
      </c>
      <c r="ED425" s="549">
        <v>0</v>
      </c>
      <c r="EE425" s="675">
        <v>0</v>
      </c>
      <c r="EF425" s="549">
        <v>0</v>
      </c>
      <c r="EG425" s="675">
        <v>0</v>
      </c>
      <c r="EH425" s="549">
        <v>0</v>
      </c>
      <c r="EI425" s="675">
        <v>0</v>
      </c>
      <c r="EJ425" s="549">
        <v>0</v>
      </c>
      <c r="EK425" s="675">
        <v>0</v>
      </c>
      <c r="EL425" s="549">
        <v>0</v>
      </c>
      <c r="EM425" s="675">
        <v>-10000</v>
      </c>
      <c r="EN425" s="549">
        <v>0</v>
      </c>
      <c r="EO425" s="675">
        <v>0</v>
      </c>
      <c r="EP425" s="549">
        <v>0</v>
      </c>
      <c r="EQ425" s="675">
        <v>0</v>
      </c>
      <c r="ER425" s="549">
        <v>0</v>
      </c>
      <c r="ES425" s="675">
        <v>0</v>
      </c>
      <c r="ET425" s="549">
        <v>0</v>
      </c>
      <c r="EU425" s="675">
        <v>0</v>
      </c>
      <c r="EV425" s="549">
        <v>0</v>
      </c>
      <c r="EW425" s="675">
        <v>0</v>
      </c>
      <c r="EX425" s="549">
        <v>0</v>
      </c>
      <c r="EY425" s="675">
        <v>0</v>
      </c>
      <c r="EZ425" s="549">
        <v>0</v>
      </c>
      <c r="FA425" s="675">
        <v>0</v>
      </c>
      <c r="FB425" s="549">
        <v>0</v>
      </c>
      <c r="FC425" s="675">
        <v>0</v>
      </c>
      <c r="FD425" s="549">
        <v>0</v>
      </c>
      <c r="FE425" s="675">
        <v>0</v>
      </c>
      <c r="FF425" s="549">
        <v>0</v>
      </c>
      <c r="FG425" s="675">
        <v>0</v>
      </c>
      <c r="FH425" s="549">
        <v>0</v>
      </c>
      <c r="FI425" s="675">
        <v>0</v>
      </c>
      <c r="FJ425" s="549">
        <v>0</v>
      </c>
      <c r="FK425" s="675">
        <v>0</v>
      </c>
      <c r="FL425" s="549">
        <v>2000</v>
      </c>
      <c r="FM425" s="675">
        <v>0</v>
      </c>
      <c r="FN425" s="549">
        <v>0</v>
      </c>
      <c r="FO425" s="675">
        <v>0</v>
      </c>
      <c r="FP425" s="549">
        <v>0</v>
      </c>
      <c r="FQ425" s="675">
        <v>0</v>
      </c>
      <c r="FR425" s="549">
        <v>17000</v>
      </c>
      <c r="FS425" s="675">
        <v>0</v>
      </c>
      <c r="FT425" s="549">
        <v>0</v>
      </c>
      <c r="FU425" s="675">
        <v>0</v>
      </c>
      <c r="FV425" s="549">
        <v>0</v>
      </c>
      <c r="FW425" s="675">
        <v>0</v>
      </c>
      <c r="FX425" s="549">
        <v>0</v>
      </c>
      <c r="FY425" s="675">
        <v>0</v>
      </c>
      <c r="FZ425" s="549">
        <v>0</v>
      </c>
      <c r="GA425" s="675">
        <v>0</v>
      </c>
      <c r="GB425" s="549">
        <v>0</v>
      </c>
      <c r="GC425" s="675">
        <v>0</v>
      </c>
      <c r="GD425" s="549">
        <v>0</v>
      </c>
      <c r="GE425" s="675">
        <v>0</v>
      </c>
      <c r="GF425" s="549">
        <v>0</v>
      </c>
      <c r="GG425" s="675">
        <v>0</v>
      </c>
      <c r="GH425" s="549">
        <v>0</v>
      </c>
      <c r="GI425" s="675">
        <v>0</v>
      </c>
      <c r="GJ425" s="549">
        <v>0</v>
      </c>
      <c r="GK425" s="675">
        <v>0</v>
      </c>
      <c r="GL425" s="549">
        <v>0</v>
      </c>
      <c r="GM425" s="675">
        <v>0</v>
      </c>
      <c r="GN425" s="549">
        <v>0</v>
      </c>
      <c r="GO425" s="675">
        <v>0</v>
      </c>
      <c r="GP425" s="549">
        <f t="shared" si="11132"/>
        <v>19000</v>
      </c>
      <c r="GQ425" s="675">
        <f t="shared" si="11133"/>
        <v>-51000</v>
      </c>
      <c r="GR425" s="74">
        <f t="shared" si="11134"/>
        <v>43000</v>
      </c>
      <c r="GS425" s="74">
        <f t="shared" si="11135"/>
        <v>43000</v>
      </c>
      <c r="GT425" s="568">
        <f t="shared" si="11136"/>
        <v>43000</v>
      </c>
      <c r="GU425" s="275">
        <v>7500</v>
      </c>
      <c r="GV425" s="275">
        <v>7500</v>
      </c>
      <c r="GW425" s="275">
        <v>7500</v>
      </c>
      <c r="GX425" s="275">
        <v>7500</v>
      </c>
      <c r="GY425" s="275">
        <v>7500</v>
      </c>
      <c r="GZ425" s="275">
        <v>7500</v>
      </c>
      <c r="HA425" s="275">
        <v>7500</v>
      </c>
      <c r="HB425" s="275">
        <v>7500</v>
      </c>
      <c r="HC425" s="275">
        <v>7500</v>
      </c>
      <c r="HD425" s="275">
        <v>7500</v>
      </c>
      <c r="HE425" s="835">
        <v>0</v>
      </c>
      <c r="HF425" s="275">
        <v>0</v>
      </c>
      <c r="HG425" s="74">
        <f t="shared" si="11137"/>
        <v>43000</v>
      </c>
      <c r="HH425" s="89">
        <v>7500</v>
      </c>
      <c r="HI425" s="817">
        <v>0</v>
      </c>
      <c r="HJ425" s="89">
        <v>7500</v>
      </c>
      <c r="HK425" s="817">
        <v>0</v>
      </c>
      <c r="HL425" s="89">
        <v>-2500</v>
      </c>
      <c r="HM425" s="817">
        <v>0</v>
      </c>
      <c r="HN425" s="89">
        <v>7500</v>
      </c>
      <c r="HO425" s="817">
        <v>0</v>
      </c>
      <c r="HP425" s="89">
        <v>-2500</v>
      </c>
      <c r="HQ425" s="817">
        <v>0</v>
      </c>
      <c r="HR425" s="89">
        <v>1375.61</v>
      </c>
      <c r="HS425" s="817">
        <v>0</v>
      </c>
      <c r="HT425" s="89">
        <v>-1375.61</v>
      </c>
      <c r="HU425" s="817">
        <v>0</v>
      </c>
      <c r="HV425" s="89">
        <v>1500</v>
      </c>
      <c r="HW425" s="817">
        <v>0</v>
      </c>
      <c r="HX425" s="89">
        <v>-2500</v>
      </c>
      <c r="HY425" s="817">
        <v>0</v>
      </c>
      <c r="HZ425" s="89">
        <f>43000-16500</f>
        <v>26500</v>
      </c>
      <c r="IA425" s="817">
        <v>0</v>
      </c>
      <c r="IB425" s="89">
        <v>0</v>
      </c>
      <c r="IC425" s="817">
        <v>0</v>
      </c>
      <c r="ID425" s="89">
        <v>0</v>
      </c>
      <c r="IE425" s="817">
        <v>0</v>
      </c>
      <c r="IF425" s="841">
        <f t="shared" si="11138"/>
        <v>19539.330000000002</v>
      </c>
      <c r="IG425" s="263">
        <f t="shared" si="11139"/>
        <v>19539.330000000002</v>
      </c>
      <c r="IH425" s="842">
        <f t="shared" si="11140"/>
        <v>19539.330000000002</v>
      </c>
      <c r="II425" s="89">
        <v>0</v>
      </c>
      <c r="IJ425" s="89">
        <f t="shared" si="11141"/>
        <v>0</v>
      </c>
      <c r="IK425" s="89">
        <f t="shared" si="11142"/>
        <v>0</v>
      </c>
      <c r="IL425" s="89">
        <v>257.17</v>
      </c>
      <c r="IM425" s="89">
        <f t="shared" si="11143"/>
        <v>257.17</v>
      </c>
      <c r="IN425" s="89">
        <f t="shared" si="11144"/>
        <v>257.17</v>
      </c>
      <c r="IO425" s="89">
        <f>744.37-257.17</f>
        <v>487.2</v>
      </c>
      <c r="IP425" s="89">
        <f t="shared" si="11145"/>
        <v>487.2</v>
      </c>
      <c r="IQ425" s="89">
        <f t="shared" si="11146"/>
        <v>487.2</v>
      </c>
      <c r="IR425" s="89">
        <f>1666.17-744.37</f>
        <v>921.80000000000007</v>
      </c>
      <c r="IS425" s="89">
        <f t="shared" si="11147"/>
        <v>921.80000000000007</v>
      </c>
      <c r="IT425" s="89">
        <f t="shared" si="11148"/>
        <v>921.80000000000007</v>
      </c>
      <c r="IU425" s="89">
        <f>4499.86-1666.17</f>
        <v>2833.6899999999996</v>
      </c>
      <c r="IV425" s="89">
        <f t="shared" si="11149"/>
        <v>2833.6899999999996</v>
      </c>
      <c r="IW425" s="89">
        <f t="shared" si="11150"/>
        <v>2833.6899999999996</v>
      </c>
      <c r="IX425" s="89">
        <f>5738.3-4499.86</f>
        <v>1238.4400000000005</v>
      </c>
      <c r="IY425" s="89">
        <f t="shared" si="11151"/>
        <v>1238.4400000000005</v>
      </c>
      <c r="IZ425" s="89">
        <f t="shared" si="11152"/>
        <v>1238.4400000000005</v>
      </c>
      <c r="JA425" s="89">
        <f>7645.47-5738.3</f>
        <v>1907.17</v>
      </c>
      <c r="JB425" s="89">
        <f t="shared" si="11153"/>
        <v>1907.17</v>
      </c>
      <c r="JC425" s="89">
        <f t="shared" si="11154"/>
        <v>1907.17</v>
      </c>
      <c r="JD425" s="89">
        <f>11073.42-7645.47</f>
        <v>3427.95</v>
      </c>
      <c r="JE425" s="89">
        <f t="shared" si="11155"/>
        <v>3427.95</v>
      </c>
      <c r="JF425" s="89">
        <f t="shared" si="11156"/>
        <v>3427.95</v>
      </c>
      <c r="JG425" s="89">
        <f>14296-11073.42</f>
        <v>3222.58</v>
      </c>
      <c r="JH425" s="89">
        <f t="shared" si="11157"/>
        <v>3222.58</v>
      </c>
      <c r="JI425" s="89">
        <f t="shared" si="11158"/>
        <v>3222.58</v>
      </c>
      <c r="JJ425" s="89">
        <f>19539.33-14296</f>
        <v>5243.3300000000017</v>
      </c>
      <c r="JK425" s="89">
        <f t="shared" si="11159"/>
        <v>5243.3300000000017</v>
      </c>
      <c r="JL425" s="89">
        <f t="shared" si="11160"/>
        <v>5243.3300000000017</v>
      </c>
      <c r="JM425" s="89">
        <v>0</v>
      </c>
      <c r="JN425" s="89">
        <f t="shared" si="11161"/>
        <v>0</v>
      </c>
      <c r="JO425" s="89">
        <f t="shared" si="11162"/>
        <v>0</v>
      </c>
      <c r="JP425" s="89">
        <v>0</v>
      </c>
      <c r="JQ425" s="89">
        <f t="shared" ref="JQ425:JR425" si="11171">JP425</f>
        <v>0</v>
      </c>
      <c r="JR425" s="89">
        <f t="shared" si="11171"/>
        <v>0</v>
      </c>
      <c r="JS425" s="74">
        <f t="shared" si="11164"/>
        <v>23460.67</v>
      </c>
      <c r="JT425" s="382">
        <f t="shared" si="11165"/>
        <v>23460.67</v>
      </c>
      <c r="JU425" s="665"/>
      <c r="JV425" s="524"/>
      <c r="JW425" s="525"/>
      <c r="JX425" s="549">
        <f t="shared" si="11166"/>
        <v>43000</v>
      </c>
      <c r="JY425" s="549">
        <f t="shared" si="11166"/>
        <v>0</v>
      </c>
      <c r="JZ425" s="581">
        <f t="shared" si="10300"/>
        <v>19000</v>
      </c>
      <c r="KA425" s="581">
        <f t="shared" si="10301"/>
        <v>-51000</v>
      </c>
      <c r="KB425" s="549">
        <f t="shared" si="10257"/>
        <v>43000</v>
      </c>
      <c r="KC425" s="709">
        <f t="shared" si="10273"/>
        <v>0</v>
      </c>
      <c r="KD425" s="36"/>
      <c r="KE425" s="36"/>
      <c r="KF425" s="36"/>
      <c r="KG425" s="36"/>
      <c r="KH425" s="36"/>
      <c r="KI425" s="36"/>
      <c r="KJ425" s="36"/>
      <c r="KK425" s="36"/>
    </row>
    <row r="426" spans="1:297" s="10" customFormat="1">
      <c r="A426" s="86"/>
      <c r="B426" s="77"/>
      <c r="C426" s="74"/>
      <c r="D426" s="549"/>
      <c r="E426" s="675"/>
      <c r="F426" s="549"/>
      <c r="G426" s="675"/>
      <c r="H426" s="549"/>
      <c r="I426" s="675"/>
      <c r="J426" s="549"/>
      <c r="K426" s="675"/>
      <c r="L426" s="549"/>
      <c r="M426" s="675"/>
      <c r="N426" s="549"/>
      <c r="O426" s="675"/>
      <c r="P426" s="549"/>
      <c r="Q426" s="675"/>
      <c r="R426" s="549"/>
      <c r="S426" s="675"/>
      <c r="T426" s="549"/>
      <c r="U426" s="675"/>
      <c r="V426" s="549"/>
      <c r="W426" s="675"/>
      <c r="X426" s="549"/>
      <c r="Y426" s="675"/>
      <c r="Z426" s="549"/>
      <c r="AA426" s="675"/>
      <c r="AB426" s="549"/>
      <c r="AC426" s="675"/>
      <c r="AD426" s="549"/>
      <c r="AE426" s="675"/>
      <c r="AF426" s="549"/>
      <c r="AG426" s="675"/>
      <c r="AH426" s="549"/>
      <c r="AI426" s="675"/>
      <c r="AJ426" s="549"/>
      <c r="AK426" s="675"/>
      <c r="AL426" s="549"/>
      <c r="AM426" s="675"/>
      <c r="AN426" s="549"/>
      <c r="AO426" s="675"/>
      <c r="AP426" s="549"/>
      <c r="AQ426" s="675"/>
      <c r="AR426" s="549"/>
      <c r="AS426" s="675"/>
      <c r="AT426" s="549"/>
      <c r="AU426" s="675"/>
      <c r="AV426" s="549"/>
      <c r="AW426" s="675"/>
      <c r="AX426" s="549"/>
      <c r="AY426" s="675"/>
      <c r="AZ426" s="549"/>
      <c r="BA426" s="675"/>
      <c r="BB426" s="549"/>
      <c r="BC426" s="675"/>
      <c r="BD426" s="549"/>
      <c r="BE426" s="675"/>
      <c r="BF426" s="549"/>
      <c r="BG426" s="675"/>
      <c r="BH426" s="549"/>
      <c r="BI426" s="675"/>
      <c r="BJ426" s="549"/>
      <c r="BK426" s="675"/>
      <c r="BL426" s="549"/>
      <c r="BM426" s="675"/>
      <c r="BN426" s="549"/>
      <c r="BO426" s="675"/>
      <c r="BP426" s="549"/>
      <c r="BQ426" s="675"/>
      <c r="BR426" s="549"/>
      <c r="BS426" s="675"/>
      <c r="BT426" s="549"/>
      <c r="BU426" s="675"/>
      <c r="BV426" s="549"/>
      <c r="BW426" s="675"/>
      <c r="BX426" s="549"/>
      <c r="BY426" s="675"/>
      <c r="BZ426" s="549"/>
      <c r="CA426" s="675"/>
      <c r="CB426" s="549"/>
      <c r="CC426" s="675"/>
      <c r="CD426" s="549"/>
      <c r="CE426" s="675"/>
      <c r="CF426" s="549"/>
      <c r="CG426" s="675"/>
      <c r="CH426" s="549"/>
      <c r="CI426" s="675"/>
      <c r="CJ426" s="549"/>
      <c r="CK426" s="675"/>
      <c r="CL426" s="549"/>
      <c r="CM426" s="675"/>
      <c r="CN426" s="549"/>
      <c r="CO426" s="675"/>
      <c r="CP426" s="549"/>
      <c r="CQ426" s="675"/>
      <c r="CR426" s="549"/>
      <c r="CS426" s="675"/>
      <c r="CT426" s="549"/>
      <c r="CU426" s="675"/>
      <c r="CV426" s="549"/>
      <c r="CW426" s="675"/>
      <c r="CX426" s="549"/>
      <c r="CY426" s="675"/>
      <c r="CZ426" s="549"/>
      <c r="DA426" s="675"/>
      <c r="DB426" s="549"/>
      <c r="DC426" s="675"/>
      <c r="DD426" s="549"/>
      <c r="DE426" s="675"/>
      <c r="DF426" s="549"/>
      <c r="DG426" s="675"/>
      <c r="DH426" s="549"/>
      <c r="DI426" s="675"/>
      <c r="DJ426" s="549"/>
      <c r="DK426" s="675"/>
      <c r="DL426" s="549"/>
      <c r="DM426" s="675"/>
      <c r="DN426" s="549"/>
      <c r="DO426" s="675"/>
      <c r="DP426" s="549"/>
      <c r="DQ426" s="675"/>
      <c r="DR426" s="549"/>
      <c r="DS426" s="675"/>
      <c r="DT426" s="549"/>
      <c r="DU426" s="675"/>
      <c r="DV426" s="549"/>
      <c r="DW426" s="675"/>
      <c r="DX426" s="549"/>
      <c r="DY426" s="675"/>
      <c r="DZ426" s="549"/>
      <c r="EA426" s="675"/>
      <c r="EB426" s="549"/>
      <c r="EC426" s="675"/>
      <c r="ED426" s="549"/>
      <c r="EE426" s="675"/>
      <c r="EF426" s="549"/>
      <c r="EG426" s="675"/>
      <c r="EH426" s="549"/>
      <c r="EI426" s="675"/>
      <c r="EJ426" s="549"/>
      <c r="EK426" s="675"/>
      <c r="EL426" s="549"/>
      <c r="EM426" s="675"/>
      <c r="EN426" s="549"/>
      <c r="EO426" s="675"/>
      <c r="EP426" s="549"/>
      <c r="EQ426" s="675"/>
      <c r="ER426" s="549"/>
      <c r="ES426" s="675"/>
      <c r="ET426" s="549"/>
      <c r="EU426" s="675"/>
      <c r="EV426" s="549"/>
      <c r="EW426" s="675"/>
      <c r="EX426" s="549"/>
      <c r="EY426" s="675"/>
      <c r="EZ426" s="549"/>
      <c r="FA426" s="675"/>
      <c r="FB426" s="549"/>
      <c r="FC426" s="675"/>
      <c r="FD426" s="549"/>
      <c r="FE426" s="675"/>
      <c r="FF426" s="549"/>
      <c r="FG426" s="675"/>
      <c r="FH426" s="549"/>
      <c r="FI426" s="675"/>
      <c r="FJ426" s="549"/>
      <c r="FK426" s="675"/>
      <c r="FL426" s="549"/>
      <c r="FM426" s="675"/>
      <c r="FN426" s="549"/>
      <c r="FO426" s="675"/>
      <c r="FP426" s="549"/>
      <c r="FQ426" s="675"/>
      <c r="FR426" s="549"/>
      <c r="FS426" s="675"/>
      <c r="FT426" s="549"/>
      <c r="FU426" s="675"/>
      <c r="FV426" s="549"/>
      <c r="FW426" s="675"/>
      <c r="FX426" s="549"/>
      <c r="FY426" s="675"/>
      <c r="FZ426" s="549"/>
      <c r="GA426" s="675"/>
      <c r="GB426" s="549"/>
      <c r="GC426" s="675"/>
      <c r="GD426" s="549"/>
      <c r="GE426" s="675"/>
      <c r="GF426" s="549"/>
      <c r="GG426" s="675"/>
      <c r="GH426" s="549"/>
      <c r="GI426" s="675"/>
      <c r="GJ426" s="549"/>
      <c r="GK426" s="675"/>
      <c r="GL426" s="549"/>
      <c r="GM426" s="675"/>
      <c r="GN426" s="549"/>
      <c r="GO426" s="675"/>
      <c r="GP426" s="549"/>
      <c r="GQ426" s="675"/>
      <c r="GR426" s="74"/>
      <c r="GS426" s="74"/>
      <c r="GT426" s="568"/>
      <c r="GU426" s="89"/>
      <c r="GV426" s="89"/>
      <c r="GW426" s="568"/>
      <c r="GX426" s="568"/>
      <c r="GY426" s="89"/>
      <c r="GZ426" s="89"/>
      <c r="HA426" s="89"/>
      <c r="HB426" s="89"/>
      <c r="HC426" s="89"/>
      <c r="HD426" s="89"/>
      <c r="HE426" s="89"/>
      <c r="HF426" s="89"/>
      <c r="HG426" s="74"/>
      <c r="HH426" s="89"/>
      <c r="HI426" s="817"/>
      <c r="HJ426" s="89"/>
      <c r="HK426" s="817"/>
      <c r="HL426" s="89"/>
      <c r="HM426" s="817"/>
      <c r="HN426" s="89"/>
      <c r="HO426" s="817"/>
      <c r="HP426" s="89"/>
      <c r="HQ426" s="817"/>
      <c r="HR426" s="89"/>
      <c r="HS426" s="817"/>
      <c r="HT426" s="89"/>
      <c r="HU426" s="817"/>
      <c r="HV426" s="89"/>
      <c r="HW426" s="817"/>
      <c r="HX426" s="89"/>
      <c r="HY426" s="817"/>
      <c r="HZ426" s="89"/>
      <c r="IA426" s="817"/>
      <c r="IB426" s="89"/>
      <c r="IC426" s="817"/>
      <c r="ID426" s="89"/>
      <c r="IE426" s="817"/>
      <c r="IF426" s="841"/>
      <c r="IG426" s="263"/>
      <c r="IH426" s="842"/>
      <c r="II426" s="89"/>
      <c r="IJ426" s="89"/>
      <c r="IK426" s="89"/>
      <c r="IL426" s="89"/>
      <c r="IM426" s="89"/>
      <c r="IN426" s="89"/>
      <c r="IO426" s="89"/>
      <c r="IP426" s="89"/>
      <c r="IQ426" s="89"/>
      <c r="IR426" s="89"/>
      <c r="IS426" s="89"/>
      <c r="IT426" s="89"/>
      <c r="IU426" s="89"/>
      <c r="IV426" s="89"/>
      <c r="IW426" s="89"/>
      <c r="IX426" s="89"/>
      <c r="IY426" s="89"/>
      <c r="IZ426" s="89"/>
      <c r="JA426" s="89"/>
      <c r="JB426" s="89"/>
      <c r="JC426" s="89"/>
      <c r="JD426" s="89"/>
      <c r="JE426" s="89"/>
      <c r="JF426" s="89"/>
      <c r="JG426" s="89"/>
      <c r="JH426" s="89"/>
      <c r="JI426" s="89"/>
      <c r="JJ426" s="89"/>
      <c r="JK426" s="89"/>
      <c r="JL426" s="89"/>
      <c r="JM426" s="89"/>
      <c r="JN426" s="89"/>
      <c r="JO426" s="89"/>
      <c r="JP426" s="89"/>
      <c r="JQ426" s="89"/>
      <c r="JR426" s="89"/>
      <c r="JS426" s="74"/>
      <c r="JT426" s="382"/>
      <c r="JU426" s="665"/>
      <c r="JV426" s="524"/>
      <c r="JW426" s="525"/>
      <c r="JX426" s="549"/>
      <c r="JY426" s="549"/>
      <c r="JZ426" s="581">
        <f t="shared" si="10300"/>
        <v>0</v>
      </c>
      <c r="KA426" s="581">
        <f t="shared" si="10301"/>
        <v>0</v>
      </c>
      <c r="KB426" s="549">
        <f t="shared" si="10257"/>
        <v>0</v>
      </c>
      <c r="KC426" s="709">
        <f t="shared" si="10273"/>
        <v>0</v>
      </c>
      <c r="KD426" s="36"/>
      <c r="KE426" s="36"/>
      <c r="KF426" s="36"/>
      <c r="KG426" s="36"/>
      <c r="KH426" s="36"/>
      <c r="KI426" s="36"/>
      <c r="KJ426" s="36"/>
      <c r="KK426" s="36"/>
    </row>
    <row r="427" spans="1:297" s="10" customFormat="1">
      <c r="A427" s="80" t="s">
        <v>687</v>
      </c>
      <c r="B427" s="77"/>
      <c r="C427" s="74">
        <f t="shared" ref="C427" si="11172">SUM(C428:C435)</f>
        <v>0</v>
      </c>
      <c r="D427" s="549">
        <f t="shared" ref="D427:E427" si="11173">SUM(D428:D435)</f>
        <v>0</v>
      </c>
      <c r="E427" s="675">
        <f t="shared" si="11173"/>
        <v>0</v>
      </c>
      <c r="F427" s="549">
        <f t="shared" ref="F427:G427" si="11174">SUM(F428:F435)</f>
        <v>0</v>
      </c>
      <c r="G427" s="675">
        <f t="shared" si="11174"/>
        <v>0</v>
      </c>
      <c r="H427" s="549">
        <f t="shared" ref="H427:I427" si="11175">SUM(H428:H435)</f>
        <v>0</v>
      </c>
      <c r="I427" s="675">
        <f t="shared" si="11175"/>
        <v>0</v>
      </c>
      <c r="J427" s="549">
        <f t="shared" ref="J427:K427" si="11176">SUM(J428:J435)</f>
        <v>0</v>
      </c>
      <c r="K427" s="675">
        <f t="shared" si="11176"/>
        <v>0</v>
      </c>
      <c r="L427" s="549">
        <f t="shared" ref="L427:M427" si="11177">SUM(L428:L435)</f>
        <v>0</v>
      </c>
      <c r="M427" s="675">
        <f t="shared" si="11177"/>
        <v>0</v>
      </c>
      <c r="N427" s="549">
        <f t="shared" ref="N427:O427" si="11178">SUM(N428:N435)</f>
        <v>0</v>
      </c>
      <c r="O427" s="675">
        <f t="shared" si="11178"/>
        <v>0</v>
      </c>
      <c r="P427" s="549">
        <f t="shared" ref="P427:Q427" si="11179">SUM(P428:P435)</f>
        <v>0</v>
      </c>
      <c r="Q427" s="675">
        <f t="shared" si="11179"/>
        <v>0</v>
      </c>
      <c r="R427" s="549">
        <f t="shared" ref="R427:S427" si="11180">SUM(R428:R435)</f>
        <v>0</v>
      </c>
      <c r="S427" s="675">
        <f t="shared" si="11180"/>
        <v>0</v>
      </c>
      <c r="T427" s="549">
        <f t="shared" ref="T427:AM427" si="11181">SUM(T428:T435)</f>
        <v>0</v>
      </c>
      <c r="U427" s="675">
        <f t="shared" si="11181"/>
        <v>0</v>
      </c>
      <c r="V427" s="549">
        <f t="shared" si="11181"/>
        <v>0</v>
      </c>
      <c r="W427" s="675">
        <f t="shared" si="11181"/>
        <v>0</v>
      </c>
      <c r="X427" s="549">
        <f t="shared" si="11181"/>
        <v>0</v>
      </c>
      <c r="Y427" s="675">
        <f t="shared" si="11181"/>
        <v>0</v>
      </c>
      <c r="Z427" s="549">
        <f t="shared" si="11181"/>
        <v>0</v>
      </c>
      <c r="AA427" s="675">
        <f t="shared" si="11181"/>
        <v>0</v>
      </c>
      <c r="AB427" s="549">
        <f t="shared" si="11181"/>
        <v>0</v>
      </c>
      <c r="AC427" s="675">
        <f t="shared" si="11181"/>
        <v>0</v>
      </c>
      <c r="AD427" s="549">
        <f t="shared" ref="AD427:AK427" si="11182">SUM(AD428:AD435)</f>
        <v>0</v>
      </c>
      <c r="AE427" s="675">
        <f t="shared" si="11182"/>
        <v>0</v>
      </c>
      <c r="AF427" s="549">
        <f t="shared" si="11182"/>
        <v>0</v>
      </c>
      <c r="AG427" s="675">
        <f t="shared" si="11182"/>
        <v>0</v>
      </c>
      <c r="AH427" s="549">
        <f t="shared" si="11182"/>
        <v>0</v>
      </c>
      <c r="AI427" s="675">
        <f t="shared" si="11182"/>
        <v>0</v>
      </c>
      <c r="AJ427" s="549">
        <f t="shared" si="11182"/>
        <v>0</v>
      </c>
      <c r="AK427" s="675">
        <f t="shared" si="11182"/>
        <v>0</v>
      </c>
      <c r="AL427" s="549">
        <f t="shared" si="11181"/>
        <v>0</v>
      </c>
      <c r="AM427" s="675">
        <f t="shared" si="11181"/>
        <v>0</v>
      </c>
      <c r="AN427" s="549">
        <f t="shared" ref="AN427:AS427" si="11183">SUM(AN428:AN435)</f>
        <v>0</v>
      </c>
      <c r="AO427" s="675">
        <f t="shared" si="11183"/>
        <v>0</v>
      </c>
      <c r="AP427" s="549">
        <f t="shared" si="11183"/>
        <v>0</v>
      </c>
      <c r="AQ427" s="675">
        <f t="shared" si="11183"/>
        <v>0</v>
      </c>
      <c r="AR427" s="549">
        <f t="shared" si="11183"/>
        <v>0</v>
      </c>
      <c r="AS427" s="675">
        <f t="shared" si="11183"/>
        <v>0</v>
      </c>
      <c r="AT427" s="549">
        <f t="shared" ref="AT427:AU427" si="11184">SUM(AT428:AT435)</f>
        <v>0</v>
      </c>
      <c r="AU427" s="675">
        <f t="shared" si="11184"/>
        <v>0</v>
      </c>
      <c r="AV427" s="549">
        <f t="shared" ref="AV427:AW427" si="11185">SUM(AV428:AV435)</f>
        <v>0</v>
      </c>
      <c r="AW427" s="675">
        <f t="shared" si="11185"/>
        <v>0</v>
      </c>
      <c r="AX427" s="549">
        <f t="shared" ref="AX427:AY427" si="11186">SUM(AX428:AX435)</f>
        <v>0</v>
      </c>
      <c r="AY427" s="675">
        <f t="shared" si="11186"/>
        <v>0</v>
      </c>
      <c r="AZ427" s="549">
        <f t="shared" ref="AZ427:BA427" si="11187">SUM(AZ428:AZ435)</f>
        <v>0</v>
      </c>
      <c r="BA427" s="675">
        <f t="shared" si="11187"/>
        <v>0</v>
      </c>
      <c r="BB427" s="549">
        <f t="shared" ref="BB427:BC427" si="11188">SUM(BB428:BB435)</f>
        <v>0</v>
      </c>
      <c r="BC427" s="675">
        <f t="shared" si="11188"/>
        <v>0</v>
      </c>
      <c r="BD427" s="549">
        <f t="shared" ref="BD427:BE427" si="11189">SUM(BD428:BD435)</f>
        <v>0</v>
      </c>
      <c r="BE427" s="675">
        <f t="shared" si="11189"/>
        <v>0</v>
      </c>
      <c r="BF427" s="549">
        <f t="shared" ref="BF427:BG427" si="11190">SUM(BF428:BF435)</f>
        <v>0</v>
      </c>
      <c r="BG427" s="675">
        <f t="shared" si="11190"/>
        <v>0</v>
      </c>
      <c r="BH427" s="549">
        <f t="shared" ref="BH427:BI427" si="11191">SUM(BH428:BH435)</f>
        <v>0</v>
      </c>
      <c r="BI427" s="675">
        <f t="shared" si="11191"/>
        <v>0</v>
      </c>
      <c r="BJ427" s="549">
        <f t="shared" ref="BJ427:BK427" si="11192">SUM(BJ428:BJ435)</f>
        <v>0</v>
      </c>
      <c r="BK427" s="675">
        <f t="shared" si="11192"/>
        <v>0</v>
      </c>
      <c r="BL427" s="549">
        <f t="shared" ref="BL427:BS427" si="11193">SUM(BL428:BL435)</f>
        <v>3182</v>
      </c>
      <c r="BM427" s="675">
        <f t="shared" si="11193"/>
        <v>0</v>
      </c>
      <c r="BN427" s="549">
        <f t="shared" si="11193"/>
        <v>0</v>
      </c>
      <c r="BO427" s="675">
        <f t="shared" si="11193"/>
        <v>0</v>
      </c>
      <c r="BP427" s="549">
        <f t="shared" si="11193"/>
        <v>0</v>
      </c>
      <c r="BQ427" s="675">
        <f t="shared" si="11193"/>
        <v>0</v>
      </c>
      <c r="BR427" s="549">
        <f t="shared" si="11193"/>
        <v>0</v>
      </c>
      <c r="BS427" s="675">
        <f t="shared" si="11193"/>
        <v>0</v>
      </c>
      <c r="BT427" s="549">
        <f t="shared" ref="BT427:BU427" si="11194">SUM(BT428:BT435)</f>
        <v>0</v>
      </c>
      <c r="BU427" s="675">
        <f t="shared" si="11194"/>
        <v>0</v>
      </c>
      <c r="BV427" s="549">
        <f t="shared" ref="BV427:BW427" si="11195">SUM(BV428:BV435)</f>
        <v>0</v>
      </c>
      <c r="BW427" s="675">
        <f t="shared" si="11195"/>
        <v>0</v>
      </c>
      <c r="BX427" s="549">
        <f t="shared" ref="BX427:BY427" si="11196">SUM(BX428:BX435)</f>
        <v>0</v>
      </c>
      <c r="BY427" s="675">
        <f t="shared" si="11196"/>
        <v>0</v>
      </c>
      <c r="BZ427" s="549">
        <f t="shared" ref="BZ427:CA427" si="11197">SUM(BZ428:BZ435)</f>
        <v>0</v>
      </c>
      <c r="CA427" s="675">
        <f t="shared" si="11197"/>
        <v>-1775</v>
      </c>
      <c r="CB427" s="549">
        <f t="shared" ref="CB427:CE427" si="11198">SUM(CB428:CB435)</f>
        <v>0</v>
      </c>
      <c r="CC427" s="675">
        <f t="shared" si="11198"/>
        <v>0</v>
      </c>
      <c r="CD427" s="549">
        <f t="shared" si="11198"/>
        <v>0</v>
      </c>
      <c r="CE427" s="675">
        <f t="shared" si="11198"/>
        <v>0</v>
      </c>
      <c r="CF427" s="549">
        <f t="shared" ref="CF427:CG427" si="11199">SUM(CF428:CF435)</f>
        <v>0</v>
      </c>
      <c r="CG427" s="675">
        <f t="shared" si="11199"/>
        <v>0</v>
      </c>
      <c r="CH427" s="549">
        <f t="shared" ref="CH427:CQ427" si="11200">SUM(CH428:CH435)</f>
        <v>0</v>
      </c>
      <c r="CI427" s="675">
        <f t="shared" si="11200"/>
        <v>0</v>
      </c>
      <c r="CJ427" s="549">
        <f t="shared" si="11200"/>
        <v>0</v>
      </c>
      <c r="CK427" s="675">
        <f t="shared" si="11200"/>
        <v>0</v>
      </c>
      <c r="CL427" s="549">
        <f t="shared" si="11200"/>
        <v>0</v>
      </c>
      <c r="CM427" s="675">
        <f t="shared" si="11200"/>
        <v>0</v>
      </c>
      <c r="CN427" s="549">
        <f t="shared" si="11200"/>
        <v>0</v>
      </c>
      <c r="CO427" s="675">
        <f t="shared" si="11200"/>
        <v>0</v>
      </c>
      <c r="CP427" s="549">
        <f t="shared" si="11200"/>
        <v>0</v>
      </c>
      <c r="CQ427" s="675">
        <f t="shared" si="11200"/>
        <v>0</v>
      </c>
      <c r="CR427" s="549">
        <f t="shared" ref="CR427:CY427" si="11201">SUM(CR428:CR435)</f>
        <v>0</v>
      </c>
      <c r="CS427" s="675">
        <f t="shared" si="11201"/>
        <v>0</v>
      </c>
      <c r="CT427" s="549">
        <f t="shared" si="11201"/>
        <v>0</v>
      </c>
      <c r="CU427" s="675">
        <f t="shared" si="11201"/>
        <v>0</v>
      </c>
      <c r="CV427" s="549">
        <f t="shared" si="11201"/>
        <v>0</v>
      </c>
      <c r="CW427" s="675">
        <f t="shared" si="11201"/>
        <v>0</v>
      </c>
      <c r="CX427" s="549">
        <f t="shared" si="11201"/>
        <v>0</v>
      </c>
      <c r="CY427" s="675">
        <f t="shared" si="11201"/>
        <v>0</v>
      </c>
      <c r="CZ427" s="549">
        <f t="shared" ref="CZ427:DI427" si="11202">SUM(CZ428:CZ435)</f>
        <v>0</v>
      </c>
      <c r="DA427" s="675">
        <f t="shared" si="11202"/>
        <v>0</v>
      </c>
      <c r="DB427" s="549">
        <f t="shared" si="11202"/>
        <v>0</v>
      </c>
      <c r="DC427" s="675">
        <f t="shared" si="11202"/>
        <v>0</v>
      </c>
      <c r="DD427" s="549">
        <f t="shared" si="11202"/>
        <v>0</v>
      </c>
      <c r="DE427" s="675">
        <f t="shared" si="11202"/>
        <v>0</v>
      </c>
      <c r="DF427" s="549">
        <f t="shared" si="11202"/>
        <v>0</v>
      </c>
      <c r="DG427" s="675">
        <f t="shared" si="11202"/>
        <v>0</v>
      </c>
      <c r="DH427" s="549">
        <f t="shared" si="11202"/>
        <v>0</v>
      </c>
      <c r="DI427" s="675">
        <f t="shared" si="11202"/>
        <v>0</v>
      </c>
      <c r="DJ427" s="549">
        <f t="shared" ref="DJ427:HS427" si="11203">SUM(DJ428:DJ435)</f>
        <v>0</v>
      </c>
      <c r="DK427" s="675">
        <f t="shared" si="11203"/>
        <v>0</v>
      </c>
      <c r="DL427" s="549">
        <f t="shared" si="11203"/>
        <v>0</v>
      </c>
      <c r="DM427" s="675">
        <f t="shared" si="11203"/>
        <v>0</v>
      </c>
      <c r="DN427" s="549">
        <f t="shared" ref="DN427:DW427" si="11204">SUM(DN428:DN435)</f>
        <v>0</v>
      </c>
      <c r="DO427" s="675">
        <f t="shared" si="11204"/>
        <v>0</v>
      </c>
      <c r="DP427" s="549">
        <f t="shared" si="11204"/>
        <v>0</v>
      </c>
      <c r="DQ427" s="675">
        <f t="shared" si="11204"/>
        <v>0</v>
      </c>
      <c r="DR427" s="549">
        <f t="shared" si="11204"/>
        <v>0</v>
      </c>
      <c r="DS427" s="675">
        <f t="shared" si="11204"/>
        <v>0</v>
      </c>
      <c r="DT427" s="549">
        <f t="shared" si="11204"/>
        <v>0</v>
      </c>
      <c r="DU427" s="675">
        <f t="shared" si="11204"/>
        <v>0</v>
      </c>
      <c r="DV427" s="549">
        <f t="shared" si="11204"/>
        <v>0</v>
      </c>
      <c r="DW427" s="675">
        <f t="shared" si="11204"/>
        <v>0</v>
      </c>
      <c r="DX427" s="549">
        <f t="shared" si="11203"/>
        <v>0</v>
      </c>
      <c r="DY427" s="675">
        <f t="shared" si="11203"/>
        <v>0</v>
      </c>
      <c r="DZ427" s="549">
        <f t="shared" ref="DZ427:FA427" si="11205">SUM(DZ428:DZ435)</f>
        <v>0</v>
      </c>
      <c r="EA427" s="675">
        <f t="shared" si="11205"/>
        <v>0</v>
      </c>
      <c r="EB427" s="549">
        <f t="shared" si="11205"/>
        <v>0</v>
      </c>
      <c r="EC427" s="675">
        <f t="shared" si="11205"/>
        <v>0</v>
      </c>
      <c r="ED427" s="549">
        <f t="shared" si="11205"/>
        <v>0</v>
      </c>
      <c r="EE427" s="675">
        <f t="shared" si="11205"/>
        <v>0</v>
      </c>
      <c r="EF427" s="549">
        <f t="shared" si="11205"/>
        <v>0</v>
      </c>
      <c r="EG427" s="675">
        <f t="shared" si="11205"/>
        <v>0</v>
      </c>
      <c r="EH427" s="549">
        <f t="shared" ref="EH427:EM427" si="11206">SUM(EH428:EH435)</f>
        <v>0</v>
      </c>
      <c r="EI427" s="675">
        <f t="shared" si="11206"/>
        <v>0</v>
      </c>
      <c r="EJ427" s="549">
        <f t="shared" si="11206"/>
        <v>0</v>
      </c>
      <c r="EK427" s="675">
        <f t="shared" si="11206"/>
        <v>0</v>
      </c>
      <c r="EL427" s="549">
        <f t="shared" si="11206"/>
        <v>0</v>
      </c>
      <c r="EM427" s="675">
        <f t="shared" si="11206"/>
        <v>0</v>
      </c>
      <c r="EN427" s="549">
        <f t="shared" si="11205"/>
        <v>0</v>
      </c>
      <c r="EO427" s="675">
        <f t="shared" si="11205"/>
        <v>0</v>
      </c>
      <c r="EP427" s="549">
        <f t="shared" si="11205"/>
        <v>0</v>
      </c>
      <c r="EQ427" s="675">
        <f t="shared" si="11205"/>
        <v>0</v>
      </c>
      <c r="ER427" s="549">
        <f t="shared" si="11205"/>
        <v>0</v>
      </c>
      <c r="ES427" s="675">
        <f t="shared" si="11205"/>
        <v>0</v>
      </c>
      <c r="ET427" s="549">
        <f t="shared" si="11205"/>
        <v>0</v>
      </c>
      <c r="EU427" s="675">
        <f t="shared" si="11205"/>
        <v>0</v>
      </c>
      <c r="EV427" s="549">
        <f t="shared" ref="EV427:EW427" si="11207">SUM(EV428:EV435)</f>
        <v>1803</v>
      </c>
      <c r="EW427" s="675">
        <f t="shared" si="11207"/>
        <v>0</v>
      </c>
      <c r="EX427" s="549">
        <f t="shared" si="11205"/>
        <v>0</v>
      </c>
      <c r="EY427" s="675">
        <f t="shared" si="11205"/>
        <v>0</v>
      </c>
      <c r="EZ427" s="549">
        <f t="shared" si="11205"/>
        <v>0</v>
      </c>
      <c r="FA427" s="675">
        <f t="shared" si="11205"/>
        <v>0</v>
      </c>
      <c r="FB427" s="549">
        <f t="shared" si="11203"/>
        <v>0</v>
      </c>
      <c r="FC427" s="675">
        <f t="shared" si="11203"/>
        <v>0</v>
      </c>
      <c r="FD427" s="549">
        <f t="shared" si="11203"/>
        <v>0</v>
      </c>
      <c r="FE427" s="675">
        <f t="shared" si="11203"/>
        <v>0</v>
      </c>
      <c r="FF427" s="549">
        <f t="shared" ref="FF427:FG427" si="11208">SUM(FF428:FF435)</f>
        <v>0</v>
      </c>
      <c r="FG427" s="675">
        <f t="shared" si="11208"/>
        <v>0</v>
      </c>
      <c r="FH427" s="549">
        <f t="shared" ref="FH427:FI427" si="11209">SUM(FH428:FH435)</f>
        <v>0</v>
      </c>
      <c r="FI427" s="675">
        <f t="shared" si="11209"/>
        <v>0</v>
      </c>
      <c r="FJ427" s="549">
        <f t="shared" ref="FJ427:FK427" si="11210">SUM(FJ428:FJ435)</f>
        <v>0</v>
      </c>
      <c r="FK427" s="675">
        <f t="shared" si="11210"/>
        <v>0</v>
      </c>
      <c r="FL427" s="549">
        <f t="shared" ref="FL427:FM427" si="11211">SUM(FL428:FL435)</f>
        <v>0</v>
      </c>
      <c r="FM427" s="675">
        <f t="shared" si="11211"/>
        <v>0</v>
      </c>
      <c r="FN427" s="549">
        <f t="shared" ref="FN427:FO427" si="11212">SUM(FN428:FN435)</f>
        <v>0</v>
      </c>
      <c r="FO427" s="675">
        <f t="shared" si="11212"/>
        <v>0</v>
      </c>
      <c r="FP427" s="549">
        <f t="shared" ref="FP427:FQ427" si="11213">SUM(FP428:FP435)</f>
        <v>0</v>
      </c>
      <c r="FQ427" s="675">
        <f t="shared" si="11213"/>
        <v>0</v>
      </c>
      <c r="FR427" s="549">
        <f t="shared" ref="FR427:FS427" si="11214">SUM(FR428:FR435)</f>
        <v>0</v>
      </c>
      <c r="FS427" s="675">
        <f t="shared" si="11214"/>
        <v>0</v>
      </c>
      <c r="FT427" s="549">
        <f t="shared" ref="FT427:FU427" si="11215">SUM(FT428:FT435)</f>
        <v>0</v>
      </c>
      <c r="FU427" s="675">
        <f t="shared" si="11215"/>
        <v>0</v>
      </c>
      <c r="FV427" s="549">
        <f t="shared" ref="FV427:GK427" si="11216">SUM(FV428:FV435)</f>
        <v>0</v>
      </c>
      <c r="FW427" s="675">
        <f t="shared" si="11216"/>
        <v>0</v>
      </c>
      <c r="FX427" s="549">
        <f t="shared" si="11216"/>
        <v>0</v>
      </c>
      <c r="FY427" s="675">
        <f t="shared" si="11216"/>
        <v>0</v>
      </c>
      <c r="FZ427" s="549">
        <f t="shared" ref="FZ427:GI427" si="11217">SUM(FZ428:FZ435)</f>
        <v>0</v>
      </c>
      <c r="GA427" s="675">
        <f t="shared" si="11217"/>
        <v>0</v>
      </c>
      <c r="GB427" s="549">
        <f t="shared" si="11217"/>
        <v>0</v>
      </c>
      <c r="GC427" s="675">
        <f t="shared" si="11217"/>
        <v>0</v>
      </c>
      <c r="GD427" s="549">
        <f t="shared" si="11217"/>
        <v>0</v>
      </c>
      <c r="GE427" s="675">
        <f t="shared" si="11217"/>
        <v>0</v>
      </c>
      <c r="GF427" s="549">
        <f t="shared" si="11217"/>
        <v>0</v>
      </c>
      <c r="GG427" s="675">
        <f t="shared" si="11217"/>
        <v>0</v>
      </c>
      <c r="GH427" s="549">
        <f t="shared" si="11217"/>
        <v>0</v>
      </c>
      <c r="GI427" s="675">
        <f t="shared" si="11217"/>
        <v>0</v>
      </c>
      <c r="GJ427" s="549">
        <f t="shared" si="11216"/>
        <v>0</v>
      </c>
      <c r="GK427" s="675">
        <f t="shared" si="11216"/>
        <v>0</v>
      </c>
      <c r="GL427" s="549">
        <f t="shared" ref="GL427:GM427" si="11218">SUM(GL428:GL435)</f>
        <v>0</v>
      </c>
      <c r="GM427" s="675">
        <f t="shared" si="11218"/>
        <v>0</v>
      </c>
      <c r="GN427" s="549">
        <f t="shared" ref="GN427:GO427" si="11219">SUM(GN428:GN435)</f>
        <v>0</v>
      </c>
      <c r="GO427" s="675">
        <f t="shared" si="11219"/>
        <v>0</v>
      </c>
      <c r="GP427" s="549">
        <f t="shared" si="11203"/>
        <v>4985</v>
      </c>
      <c r="GQ427" s="675">
        <f t="shared" si="11203"/>
        <v>-1775</v>
      </c>
      <c r="GR427" s="74">
        <f t="shared" si="11203"/>
        <v>3210</v>
      </c>
      <c r="GS427" s="74">
        <f>SUM(GS428:GS435)</f>
        <v>3210</v>
      </c>
      <c r="GT427" s="549">
        <f t="shared" si="11203"/>
        <v>3210</v>
      </c>
      <c r="GU427" s="74">
        <f t="shared" si="11203"/>
        <v>0</v>
      </c>
      <c r="GV427" s="74">
        <f t="shared" si="11203"/>
        <v>0</v>
      </c>
      <c r="GW427" s="549">
        <f t="shared" si="11203"/>
        <v>0</v>
      </c>
      <c r="GX427" s="549">
        <f t="shared" si="11203"/>
        <v>0</v>
      </c>
      <c r="GY427" s="74">
        <f t="shared" si="11203"/>
        <v>0</v>
      </c>
      <c r="GZ427" s="74">
        <f t="shared" si="11203"/>
        <v>0</v>
      </c>
      <c r="HA427" s="74">
        <f t="shared" si="11203"/>
        <v>0</v>
      </c>
      <c r="HB427" s="74">
        <f t="shared" si="11203"/>
        <v>0</v>
      </c>
      <c r="HC427" s="74">
        <f t="shared" si="11203"/>
        <v>0</v>
      </c>
      <c r="HD427" s="74">
        <f t="shared" si="11203"/>
        <v>0</v>
      </c>
      <c r="HE427" s="74">
        <f t="shared" si="11203"/>
        <v>0</v>
      </c>
      <c r="HF427" s="74">
        <f t="shared" si="11203"/>
        <v>0</v>
      </c>
      <c r="HG427" s="74">
        <f t="shared" si="11203"/>
        <v>3209.5</v>
      </c>
      <c r="HH427" s="74">
        <f t="shared" si="11203"/>
        <v>0</v>
      </c>
      <c r="HI427" s="792">
        <f t="shared" si="11203"/>
        <v>0</v>
      </c>
      <c r="HJ427" s="74">
        <f t="shared" si="11203"/>
        <v>0</v>
      </c>
      <c r="HK427" s="792">
        <f t="shared" si="11203"/>
        <v>0</v>
      </c>
      <c r="HL427" s="74">
        <f t="shared" si="11203"/>
        <v>0</v>
      </c>
      <c r="HM427" s="792">
        <f t="shared" si="11203"/>
        <v>0</v>
      </c>
      <c r="HN427" s="74">
        <f t="shared" si="11203"/>
        <v>0</v>
      </c>
      <c r="HO427" s="792">
        <f t="shared" si="11203"/>
        <v>0</v>
      </c>
      <c r="HP427" s="74">
        <f t="shared" si="11203"/>
        <v>0</v>
      </c>
      <c r="HQ427" s="792">
        <f t="shared" si="11203"/>
        <v>0</v>
      </c>
      <c r="HR427" s="74">
        <f t="shared" si="11203"/>
        <v>1406.5</v>
      </c>
      <c r="HS427" s="792">
        <f t="shared" si="11203"/>
        <v>0</v>
      </c>
      <c r="HT427" s="74">
        <f t="shared" ref="HT427:HU427" si="11220">SUM(HT428:HT435)</f>
        <v>0</v>
      </c>
      <c r="HU427" s="792">
        <f t="shared" si="11220"/>
        <v>0</v>
      </c>
      <c r="HV427" s="74">
        <f t="shared" ref="HV427:HW427" si="11221">SUM(HV428:HV435)</f>
        <v>0</v>
      </c>
      <c r="HW427" s="792">
        <f t="shared" si="11221"/>
        <v>0</v>
      </c>
      <c r="HX427" s="74">
        <f t="shared" ref="HX427:HY427" si="11222">SUM(HX428:HX435)</f>
        <v>1803</v>
      </c>
      <c r="HY427" s="792">
        <f t="shared" si="11222"/>
        <v>0</v>
      </c>
      <c r="HZ427" s="74">
        <f t="shared" ref="HZ427:IA427" si="11223">SUM(HZ428:HZ435)</f>
        <v>0</v>
      </c>
      <c r="IA427" s="792">
        <f t="shared" si="11223"/>
        <v>0</v>
      </c>
      <c r="IB427" s="74">
        <f t="shared" ref="IB427:IC427" si="11224">SUM(IB428:IB435)</f>
        <v>0</v>
      </c>
      <c r="IC427" s="792">
        <f t="shared" si="11224"/>
        <v>0</v>
      </c>
      <c r="ID427" s="74">
        <f t="shared" ref="ID427:IZ427" si="11225">SUM(ID428:ID435)</f>
        <v>0</v>
      </c>
      <c r="IE427" s="792">
        <f t="shared" si="11225"/>
        <v>0</v>
      </c>
      <c r="IF427" s="841">
        <f>SUM(IF428:IF435)</f>
        <v>1406.5</v>
      </c>
      <c r="IG427" s="263">
        <f t="shared" si="11225"/>
        <v>1406.5</v>
      </c>
      <c r="IH427" s="842">
        <f t="shared" si="11225"/>
        <v>1406.5</v>
      </c>
      <c r="II427" s="74">
        <f t="shared" si="11225"/>
        <v>0</v>
      </c>
      <c r="IJ427" s="74">
        <f t="shared" si="11225"/>
        <v>0</v>
      </c>
      <c r="IK427" s="74">
        <f t="shared" si="11225"/>
        <v>0</v>
      </c>
      <c r="IL427" s="74">
        <f t="shared" si="11225"/>
        <v>0</v>
      </c>
      <c r="IM427" s="74">
        <f t="shared" si="11225"/>
        <v>0</v>
      </c>
      <c r="IN427" s="74">
        <f t="shared" si="11225"/>
        <v>0</v>
      </c>
      <c r="IO427" s="74">
        <f t="shared" si="11225"/>
        <v>0</v>
      </c>
      <c r="IP427" s="74">
        <f t="shared" si="11225"/>
        <v>0</v>
      </c>
      <c r="IQ427" s="74">
        <f t="shared" si="11225"/>
        <v>0</v>
      </c>
      <c r="IR427" s="74">
        <f t="shared" si="11225"/>
        <v>0</v>
      </c>
      <c r="IS427" s="74">
        <f t="shared" si="11225"/>
        <v>0</v>
      </c>
      <c r="IT427" s="74">
        <f t="shared" si="11225"/>
        <v>0</v>
      </c>
      <c r="IU427" s="74">
        <f t="shared" si="11225"/>
        <v>0</v>
      </c>
      <c r="IV427" s="74">
        <f t="shared" si="11225"/>
        <v>0</v>
      </c>
      <c r="IW427" s="74">
        <f t="shared" si="11225"/>
        <v>0</v>
      </c>
      <c r="IX427" s="74">
        <f t="shared" si="11225"/>
        <v>1406.5</v>
      </c>
      <c r="IY427" s="74">
        <f t="shared" si="11225"/>
        <v>1406.5</v>
      </c>
      <c r="IZ427" s="74">
        <f t="shared" si="11225"/>
        <v>1406.5</v>
      </c>
      <c r="JA427" s="74">
        <f t="shared" ref="JA427:JC427" si="11226">SUM(JA428:JA435)</f>
        <v>0</v>
      </c>
      <c r="JB427" s="74">
        <f t="shared" si="11226"/>
        <v>0</v>
      </c>
      <c r="JC427" s="74">
        <f t="shared" si="11226"/>
        <v>0</v>
      </c>
      <c r="JD427" s="74">
        <f t="shared" ref="JD427:JF427" si="11227">SUM(JD428:JD435)</f>
        <v>0</v>
      </c>
      <c r="JE427" s="74">
        <f t="shared" si="11227"/>
        <v>0</v>
      </c>
      <c r="JF427" s="74">
        <f t="shared" si="11227"/>
        <v>0</v>
      </c>
      <c r="JG427" s="74">
        <f t="shared" ref="JG427:JI427" si="11228">SUM(JG428:JG435)</f>
        <v>0</v>
      </c>
      <c r="JH427" s="74">
        <f t="shared" si="11228"/>
        <v>0</v>
      </c>
      <c r="JI427" s="74">
        <f t="shared" si="11228"/>
        <v>0</v>
      </c>
      <c r="JJ427" s="74">
        <f t="shared" ref="JJ427:JL427" si="11229">SUM(JJ428:JJ435)</f>
        <v>0</v>
      </c>
      <c r="JK427" s="74">
        <f t="shared" si="11229"/>
        <v>0</v>
      </c>
      <c r="JL427" s="74">
        <f t="shared" si="11229"/>
        <v>0</v>
      </c>
      <c r="JM427" s="74">
        <f t="shared" ref="JM427:JO427" si="11230">SUM(JM428:JM435)</f>
        <v>0</v>
      </c>
      <c r="JN427" s="74">
        <f t="shared" si="11230"/>
        <v>0</v>
      </c>
      <c r="JO427" s="74">
        <f t="shared" si="11230"/>
        <v>0</v>
      </c>
      <c r="JP427" s="74">
        <f t="shared" ref="JP427:JY427" si="11231">SUM(JP428:JP435)</f>
        <v>0</v>
      </c>
      <c r="JQ427" s="74">
        <f t="shared" si="11231"/>
        <v>0</v>
      </c>
      <c r="JR427" s="74">
        <f t="shared" si="11231"/>
        <v>0</v>
      </c>
      <c r="JS427" s="74">
        <f>SUM(JS428:JS435)</f>
        <v>1803</v>
      </c>
      <c r="JT427" s="102">
        <f>SUM(JT428:JT435)</f>
        <v>1803.5</v>
      </c>
      <c r="JU427" s="665"/>
      <c r="JV427" s="524"/>
      <c r="JW427" s="525"/>
      <c r="JX427" s="549">
        <f t="shared" si="11231"/>
        <v>3209.5</v>
      </c>
      <c r="JY427" s="549">
        <f t="shared" si="11231"/>
        <v>0</v>
      </c>
      <c r="JZ427" s="581">
        <f t="shared" si="10300"/>
        <v>4985</v>
      </c>
      <c r="KA427" s="581">
        <f t="shared" si="10301"/>
        <v>-1775</v>
      </c>
      <c r="KB427" s="549">
        <f t="shared" si="10257"/>
        <v>3209.5</v>
      </c>
      <c r="KC427" s="709">
        <f t="shared" si="10273"/>
        <v>0</v>
      </c>
      <c r="KD427" s="36"/>
      <c r="KE427" s="36"/>
      <c r="KF427" s="36"/>
      <c r="KG427" s="36"/>
      <c r="KH427" s="36"/>
      <c r="KI427" s="36"/>
      <c r="KJ427" s="36"/>
      <c r="KK427" s="36"/>
    </row>
    <row r="428" spans="1:297" s="10" customFormat="1" ht="12.75" hidden="1" customHeight="1">
      <c r="A428" s="86" t="s">
        <v>783</v>
      </c>
      <c r="B428" s="77"/>
      <c r="C428" s="74">
        <v>0</v>
      </c>
      <c r="D428" s="549">
        <v>0</v>
      </c>
      <c r="E428" s="675">
        <v>0</v>
      </c>
      <c r="F428" s="549">
        <v>0</v>
      </c>
      <c r="G428" s="675">
        <v>0</v>
      </c>
      <c r="H428" s="549">
        <v>0</v>
      </c>
      <c r="I428" s="675">
        <v>0</v>
      </c>
      <c r="J428" s="549">
        <v>0</v>
      </c>
      <c r="K428" s="675">
        <v>0</v>
      </c>
      <c r="L428" s="549">
        <v>0</v>
      </c>
      <c r="M428" s="675">
        <v>0</v>
      </c>
      <c r="N428" s="549">
        <v>0</v>
      </c>
      <c r="O428" s="675">
        <v>0</v>
      </c>
      <c r="P428" s="549">
        <v>0</v>
      </c>
      <c r="Q428" s="675">
        <v>0</v>
      </c>
      <c r="R428" s="549">
        <v>0</v>
      </c>
      <c r="S428" s="675">
        <v>0</v>
      </c>
      <c r="T428" s="549">
        <v>0</v>
      </c>
      <c r="U428" s="675">
        <v>0</v>
      </c>
      <c r="V428" s="549">
        <v>0</v>
      </c>
      <c r="W428" s="675">
        <v>0</v>
      </c>
      <c r="X428" s="549">
        <v>0</v>
      </c>
      <c r="Y428" s="675">
        <v>0</v>
      </c>
      <c r="Z428" s="549">
        <v>0</v>
      </c>
      <c r="AA428" s="675">
        <v>0</v>
      </c>
      <c r="AB428" s="549">
        <v>0</v>
      </c>
      <c r="AC428" s="675">
        <v>0</v>
      </c>
      <c r="AD428" s="549">
        <v>0</v>
      </c>
      <c r="AE428" s="675">
        <v>0</v>
      </c>
      <c r="AF428" s="549">
        <v>0</v>
      </c>
      <c r="AG428" s="675">
        <v>0</v>
      </c>
      <c r="AH428" s="549">
        <v>0</v>
      </c>
      <c r="AI428" s="675">
        <v>0</v>
      </c>
      <c r="AJ428" s="549">
        <v>0</v>
      </c>
      <c r="AK428" s="675">
        <v>0</v>
      </c>
      <c r="AL428" s="549">
        <v>0</v>
      </c>
      <c r="AM428" s="675">
        <v>0</v>
      </c>
      <c r="AN428" s="549">
        <v>0</v>
      </c>
      <c r="AO428" s="675">
        <v>0</v>
      </c>
      <c r="AP428" s="549">
        <v>0</v>
      </c>
      <c r="AQ428" s="675">
        <v>0</v>
      </c>
      <c r="AR428" s="549">
        <v>0</v>
      </c>
      <c r="AS428" s="675">
        <v>0</v>
      </c>
      <c r="AT428" s="549">
        <v>0</v>
      </c>
      <c r="AU428" s="675">
        <v>0</v>
      </c>
      <c r="AV428" s="549">
        <v>0</v>
      </c>
      <c r="AW428" s="675">
        <v>0</v>
      </c>
      <c r="AX428" s="549">
        <v>0</v>
      </c>
      <c r="AY428" s="675">
        <v>0</v>
      </c>
      <c r="AZ428" s="549">
        <v>0</v>
      </c>
      <c r="BA428" s="675">
        <v>0</v>
      </c>
      <c r="BB428" s="549">
        <v>0</v>
      </c>
      <c r="BC428" s="675">
        <v>0</v>
      </c>
      <c r="BD428" s="549">
        <v>0</v>
      </c>
      <c r="BE428" s="675">
        <v>0</v>
      </c>
      <c r="BF428" s="549">
        <v>0</v>
      </c>
      <c r="BG428" s="675">
        <v>0</v>
      </c>
      <c r="BH428" s="549">
        <v>0</v>
      </c>
      <c r="BI428" s="675">
        <v>0</v>
      </c>
      <c r="BJ428" s="549">
        <v>0</v>
      </c>
      <c r="BK428" s="675">
        <v>0</v>
      </c>
      <c r="BL428" s="549">
        <v>0</v>
      </c>
      <c r="BM428" s="675">
        <v>0</v>
      </c>
      <c r="BN428" s="549">
        <v>0</v>
      </c>
      <c r="BO428" s="675">
        <v>0</v>
      </c>
      <c r="BP428" s="549">
        <v>0</v>
      </c>
      <c r="BQ428" s="675">
        <v>0</v>
      </c>
      <c r="BR428" s="549">
        <v>0</v>
      </c>
      <c r="BS428" s="675">
        <v>0</v>
      </c>
      <c r="BT428" s="549">
        <v>0</v>
      </c>
      <c r="BU428" s="675">
        <v>0</v>
      </c>
      <c r="BV428" s="549">
        <v>0</v>
      </c>
      <c r="BW428" s="675">
        <v>0</v>
      </c>
      <c r="BX428" s="549">
        <v>0</v>
      </c>
      <c r="BY428" s="675">
        <v>0</v>
      </c>
      <c r="BZ428" s="549">
        <v>0</v>
      </c>
      <c r="CA428" s="675">
        <v>0</v>
      </c>
      <c r="CB428" s="549">
        <v>0</v>
      </c>
      <c r="CC428" s="675">
        <v>0</v>
      </c>
      <c r="CD428" s="549">
        <v>0</v>
      </c>
      <c r="CE428" s="675">
        <v>0</v>
      </c>
      <c r="CF428" s="549">
        <v>0</v>
      </c>
      <c r="CG428" s="675">
        <v>0</v>
      </c>
      <c r="CH428" s="549">
        <v>0</v>
      </c>
      <c r="CI428" s="675">
        <v>0</v>
      </c>
      <c r="CJ428" s="549">
        <v>0</v>
      </c>
      <c r="CK428" s="675">
        <v>0</v>
      </c>
      <c r="CL428" s="549">
        <v>0</v>
      </c>
      <c r="CM428" s="675">
        <v>0</v>
      </c>
      <c r="CN428" s="549">
        <v>0</v>
      </c>
      <c r="CO428" s="675">
        <v>0</v>
      </c>
      <c r="CP428" s="549">
        <v>0</v>
      </c>
      <c r="CQ428" s="675">
        <v>0</v>
      </c>
      <c r="CR428" s="549">
        <v>0</v>
      </c>
      <c r="CS428" s="675">
        <v>0</v>
      </c>
      <c r="CT428" s="549">
        <v>0</v>
      </c>
      <c r="CU428" s="675">
        <v>0</v>
      </c>
      <c r="CV428" s="549">
        <v>0</v>
      </c>
      <c r="CW428" s="675">
        <v>0</v>
      </c>
      <c r="CX428" s="549">
        <v>0</v>
      </c>
      <c r="CY428" s="675">
        <v>0</v>
      </c>
      <c r="CZ428" s="549">
        <v>0</v>
      </c>
      <c r="DA428" s="675">
        <v>0</v>
      </c>
      <c r="DB428" s="549">
        <v>0</v>
      </c>
      <c r="DC428" s="675">
        <v>0</v>
      </c>
      <c r="DD428" s="549">
        <v>0</v>
      </c>
      <c r="DE428" s="675">
        <v>0</v>
      </c>
      <c r="DF428" s="549">
        <v>0</v>
      </c>
      <c r="DG428" s="675">
        <v>0</v>
      </c>
      <c r="DH428" s="549">
        <v>0</v>
      </c>
      <c r="DI428" s="675">
        <v>0</v>
      </c>
      <c r="DJ428" s="549">
        <v>0</v>
      </c>
      <c r="DK428" s="675">
        <v>0</v>
      </c>
      <c r="DL428" s="549">
        <v>0</v>
      </c>
      <c r="DM428" s="675">
        <v>0</v>
      </c>
      <c r="DN428" s="549">
        <v>0</v>
      </c>
      <c r="DO428" s="675">
        <v>0</v>
      </c>
      <c r="DP428" s="549">
        <v>0</v>
      </c>
      <c r="DQ428" s="675">
        <v>0</v>
      </c>
      <c r="DR428" s="549">
        <v>0</v>
      </c>
      <c r="DS428" s="675">
        <v>0</v>
      </c>
      <c r="DT428" s="549">
        <v>0</v>
      </c>
      <c r="DU428" s="675">
        <v>0</v>
      </c>
      <c r="DV428" s="549">
        <v>0</v>
      </c>
      <c r="DW428" s="675">
        <v>0</v>
      </c>
      <c r="DX428" s="549">
        <v>0</v>
      </c>
      <c r="DY428" s="675">
        <v>0</v>
      </c>
      <c r="DZ428" s="549">
        <v>0</v>
      </c>
      <c r="EA428" s="675">
        <v>0</v>
      </c>
      <c r="EB428" s="549">
        <v>0</v>
      </c>
      <c r="EC428" s="675">
        <v>0</v>
      </c>
      <c r="ED428" s="549">
        <v>0</v>
      </c>
      <c r="EE428" s="675">
        <v>0</v>
      </c>
      <c r="EF428" s="549">
        <v>0</v>
      </c>
      <c r="EG428" s="675">
        <v>0</v>
      </c>
      <c r="EH428" s="549">
        <v>0</v>
      </c>
      <c r="EI428" s="675">
        <v>0</v>
      </c>
      <c r="EJ428" s="549">
        <v>0</v>
      </c>
      <c r="EK428" s="675">
        <v>0</v>
      </c>
      <c r="EL428" s="549">
        <v>0</v>
      </c>
      <c r="EM428" s="675">
        <v>0</v>
      </c>
      <c r="EN428" s="549">
        <v>0</v>
      </c>
      <c r="EO428" s="675">
        <v>0</v>
      </c>
      <c r="EP428" s="549">
        <v>0</v>
      </c>
      <c r="EQ428" s="675">
        <v>0</v>
      </c>
      <c r="ER428" s="549">
        <v>0</v>
      </c>
      <c r="ES428" s="675">
        <v>0</v>
      </c>
      <c r="ET428" s="549">
        <v>0</v>
      </c>
      <c r="EU428" s="675">
        <v>0</v>
      </c>
      <c r="EV428" s="549">
        <v>0</v>
      </c>
      <c r="EW428" s="675">
        <v>0</v>
      </c>
      <c r="EX428" s="549">
        <v>0</v>
      </c>
      <c r="EY428" s="675">
        <v>0</v>
      </c>
      <c r="EZ428" s="549">
        <v>0</v>
      </c>
      <c r="FA428" s="675">
        <v>0</v>
      </c>
      <c r="FB428" s="549">
        <v>0</v>
      </c>
      <c r="FC428" s="675">
        <v>0</v>
      </c>
      <c r="FD428" s="549">
        <v>0</v>
      </c>
      <c r="FE428" s="675">
        <v>0</v>
      </c>
      <c r="FF428" s="549">
        <v>0</v>
      </c>
      <c r="FG428" s="675">
        <v>0</v>
      </c>
      <c r="FH428" s="549">
        <v>0</v>
      </c>
      <c r="FI428" s="675">
        <v>0</v>
      </c>
      <c r="FJ428" s="549">
        <v>0</v>
      </c>
      <c r="FK428" s="675">
        <v>0</v>
      </c>
      <c r="FL428" s="549">
        <v>0</v>
      </c>
      <c r="FM428" s="675">
        <v>0</v>
      </c>
      <c r="FN428" s="549">
        <v>0</v>
      </c>
      <c r="FO428" s="675">
        <v>0</v>
      </c>
      <c r="FP428" s="549">
        <v>0</v>
      </c>
      <c r="FQ428" s="675">
        <v>0</v>
      </c>
      <c r="FR428" s="549">
        <v>0</v>
      </c>
      <c r="FS428" s="675">
        <v>0</v>
      </c>
      <c r="FT428" s="549">
        <v>0</v>
      </c>
      <c r="FU428" s="675">
        <v>0</v>
      </c>
      <c r="FV428" s="549">
        <v>0</v>
      </c>
      <c r="FW428" s="675">
        <v>0</v>
      </c>
      <c r="FX428" s="549">
        <v>0</v>
      </c>
      <c r="FY428" s="675">
        <v>0</v>
      </c>
      <c r="FZ428" s="549">
        <v>0</v>
      </c>
      <c r="GA428" s="675">
        <v>0</v>
      </c>
      <c r="GB428" s="549">
        <v>0</v>
      </c>
      <c r="GC428" s="675">
        <v>0</v>
      </c>
      <c r="GD428" s="549">
        <v>0</v>
      </c>
      <c r="GE428" s="675">
        <v>0</v>
      </c>
      <c r="GF428" s="549">
        <v>0</v>
      </c>
      <c r="GG428" s="675">
        <v>0</v>
      </c>
      <c r="GH428" s="549">
        <v>0</v>
      </c>
      <c r="GI428" s="675">
        <v>0</v>
      </c>
      <c r="GJ428" s="549">
        <v>0</v>
      </c>
      <c r="GK428" s="675">
        <v>0</v>
      </c>
      <c r="GL428" s="549">
        <v>0</v>
      </c>
      <c r="GM428" s="675">
        <v>0</v>
      </c>
      <c r="GN428" s="549">
        <v>0</v>
      </c>
      <c r="GO428" s="675">
        <v>0</v>
      </c>
      <c r="GP428" s="549">
        <f>+D428+F428+H428+J428+L428+N428+P428+R428+T428+V428+X428+Z428+AB428+AD428+AH428+AJ428+AL428+AN428+AP428+AR428+AT428+AV428+AX428+AZ428+BB428+BD428+BF428+BH428+BJ428+BL428+BN428+BP428+BR428+BT428+BV428+BX428+BZ428+CB428+CD428+CF428+CH428+CJ428+CL428+CN428+CP428+CR428+CT428+CV428+CX428+CZ428+DB428+DD428+DF428+DH428+DT428+EX428+DJ428+DL428+DN428+DP428+DR428+EJ428+EB428+DZ428+DX428+DV428+ED428+EF428+EH428+EL428+EN428+EP428+EV428+ET428+ER428+EZ428+FB428+FD428+GL428</f>
        <v>0</v>
      </c>
      <c r="GQ428" s="675">
        <f>+E428+G428+I428+K428+M428+O428+Q428+S428+U428+W428+Y428+AA428+AC428+AE428+AI428+AK428+AM428+AO428+AQ428+AS428+AU428+AW428+AY428+BA428+BC428+BE428+BG428+BI428+BK428+BM428+BO428+BQ428+BS428+BU428+BW428+BY428+CA428+CC428+CE428+CG428+CI428+CK428+CM428+CO428+CQ428+CS428+CU428+CW428+CY428+DA428+DC428+DE428+DG428+DI428+DU428+EY428+DK428+DM428+DO428+DQ428+DS428+EK428+EC428+EA428+DY428+DW428+EI428+EG428+EE428+EM428+EO428+EQ428+EW428+EU428+ES428+FA428+FC428+FE428+GM428</f>
        <v>0</v>
      </c>
      <c r="GR428" s="74">
        <f t="shared" ref="GR428:GR435" si="11232">C428+GP428+GQ428</f>
        <v>0</v>
      </c>
      <c r="GS428" s="74">
        <f t="shared" ref="GS428" si="11233">GU428</f>
        <v>0</v>
      </c>
      <c r="GT428" s="568">
        <f t="shared" ref="GT428:GT435" si="11234">SUM(GU428:HF428)+GQ428+GP428</f>
        <v>0</v>
      </c>
      <c r="GU428" s="275">
        <v>0</v>
      </c>
      <c r="GV428" s="275">
        <v>0</v>
      </c>
      <c r="GW428" s="588">
        <v>0</v>
      </c>
      <c r="GX428" s="588">
        <v>0</v>
      </c>
      <c r="GY428" s="275">
        <v>0</v>
      </c>
      <c r="GZ428" s="275">
        <v>0</v>
      </c>
      <c r="HA428" s="275">
        <v>0</v>
      </c>
      <c r="HB428" s="275">
        <v>0</v>
      </c>
      <c r="HC428" s="275">
        <v>0</v>
      </c>
      <c r="HD428" s="275">
        <v>0</v>
      </c>
      <c r="HE428" s="275">
        <v>0</v>
      </c>
      <c r="HF428" s="275">
        <v>0</v>
      </c>
      <c r="HG428" s="74">
        <f t="shared" ref="HG428:HG435" si="11235">SUM(HH428:IE428)</f>
        <v>0</v>
      </c>
      <c r="HH428" s="89">
        <v>0</v>
      </c>
      <c r="HI428" s="817">
        <v>0</v>
      </c>
      <c r="HJ428" s="89">
        <v>0</v>
      </c>
      <c r="HK428" s="817">
        <v>0</v>
      </c>
      <c r="HL428" s="89">
        <v>0</v>
      </c>
      <c r="HM428" s="817">
        <v>0</v>
      </c>
      <c r="HN428" s="89">
        <v>0</v>
      </c>
      <c r="HO428" s="817">
        <v>0</v>
      </c>
      <c r="HP428" s="89">
        <v>0</v>
      </c>
      <c r="HQ428" s="817">
        <v>0</v>
      </c>
      <c r="HR428" s="89">
        <v>0</v>
      </c>
      <c r="HS428" s="817">
        <v>0</v>
      </c>
      <c r="HT428" s="89">
        <v>0</v>
      </c>
      <c r="HU428" s="817">
        <v>0</v>
      </c>
      <c r="HV428" s="89">
        <v>0</v>
      </c>
      <c r="HW428" s="817">
        <v>0</v>
      </c>
      <c r="HX428" s="89">
        <v>0</v>
      </c>
      <c r="HY428" s="817">
        <v>0</v>
      </c>
      <c r="HZ428" s="89">
        <v>0</v>
      </c>
      <c r="IA428" s="817">
        <v>0</v>
      </c>
      <c r="IB428" s="89">
        <v>0</v>
      </c>
      <c r="IC428" s="817">
        <v>0</v>
      </c>
      <c r="ID428" s="89">
        <v>0</v>
      </c>
      <c r="IE428" s="817">
        <v>0</v>
      </c>
      <c r="IF428" s="841">
        <f t="shared" ref="IF428:IF435" si="11236">SUM(II428,IL428,IO428,IR428,IU428,IX428,JA428,JD428,JG428,JJ428,JM428,JP428)</f>
        <v>0</v>
      </c>
      <c r="IG428" s="263">
        <f t="shared" ref="IG428:IG435" si="11237">SUM(IJ428,IM428,IP428,IS428,IV428,IY428,JB428,JE428,JH428,JK428,JN428,JQ428)</f>
        <v>0</v>
      </c>
      <c r="IH428" s="842">
        <f t="shared" ref="IH428:IH435" si="11238">SUM(IK428,IN428,IQ428,IT428,IW428,IZ428,JC428,JF428,JI428,JL428,JO428,JR428)</f>
        <v>0</v>
      </c>
      <c r="II428" s="89">
        <v>0</v>
      </c>
      <c r="IJ428" s="89">
        <v>0</v>
      </c>
      <c r="IK428" s="89">
        <v>0</v>
      </c>
      <c r="IL428" s="89">
        <v>0</v>
      </c>
      <c r="IM428" s="89">
        <v>0</v>
      </c>
      <c r="IN428" s="89">
        <v>0</v>
      </c>
      <c r="IO428" s="89">
        <v>0</v>
      </c>
      <c r="IP428" s="89">
        <v>0</v>
      </c>
      <c r="IQ428" s="89">
        <v>0</v>
      </c>
      <c r="IR428" s="89">
        <v>0</v>
      </c>
      <c r="IS428" s="89">
        <v>0</v>
      </c>
      <c r="IT428" s="89">
        <v>0</v>
      </c>
      <c r="IU428" s="89">
        <v>0</v>
      </c>
      <c r="IV428" s="89">
        <v>0</v>
      </c>
      <c r="IW428" s="89">
        <v>0</v>
      </c>
      <c r="IX428" s="89">
        <v>0</v>
      </c>
      <c r="IY428" s="89">
        <v>0</v>
      </c>
      <c r="IZ428" s="89">
        <v>0</v>
      </c>
      <c r="JA428" s="89">
        <v>0</v>
      </c>
      <c r="JB428" s="89">
        <v>0</v>
      </c>
      <c r="JC428" s="89">
        <v>0</v>
      </c>
      <c r="JD428" s="89">
        <v>0</v>
      </c>
      <c r="JE428" s="89">
        <v>0</v>
      </c>
      <c r="JF428" s="89">
        <v>0</v>
      </c>
      <c r="JG428" s="89">
        <v>0</v>
      </c>
      <c r="JH428" s="89">
        <v>0</v>
      </c>
      <c r="JI428" s="89">
        <v>0</v>
      </c>
      <c r="JJ428" s="89">
        <v>0</v>
      </c>
      <c r="JK428" s="89">
        <v>0</v>
      </c>
      <c r="JL428" s="89">
        <v>0</v>
      </c>
      <c r="JM428" s="89">
        <v>0</v>
      </c>
      <c r="JN428" s="89">
        <v>0</v>
      </c>
      <c r="JO428" s="89">
        <v>0</v>
      </c>
      <c r="JP428" s="89">
        <v>0</v>
      </c>
      <c r="JQ428" s="89">
        <v>0</v>
      </c>
      <c r="JR428" s="89">
        <v>0</v>
      </c>
      <c r="JS428" s="74">
        <f t="shared" ref="JS428:JS435" si="11239">HG428-IF428</f>
        <v>0</v>
      </c>
      <c r="JT428" s="382">
        <f t="shared" ref="JT428:JT435" si="11240">GS428-IF428</f>
        <v>0</v>
      </c>
      <c r="JU428" s="665"/>
      <c r="JV428" s="524"/>
      <c r="JW428" s="525"/>
      <c r="JX428" s="549">
        <f t="shared" ref="JX428:JY435" si="11241">SUM(HH428,HJ428,HL428,HN428,HP428,HR428,HT428,HV428,HX428,HZ428,IB428,ID428)</f>
        <v>0</v>
      </c>
      <c r="JY428" s="549">
        <f t="shared" si="11241"/>
        <v>0</v>
      </c>
      <c r="JZ428" s="581">
        <f t="shared" si="10300"/>
        <v>0</v>
      </c>
      <c r="KA428" s="581">
        <f t="shared" si="10301"/>
        <v>0</v>
      </c>
      <c r="KB428" s="549">
        <f t="shared" si="10257"/>
        <v>0</v>
      </c>
      <c r="KC428" s="709">
        <f t="shared" si="10273"/>
        <v>0</v>
      </c>
      <c r="KD428" s="36"/>
      <c r="KE428" s="36"/>
      <c r="KF428" s="36"/>
      <c r="KG428" s="36"/>
      <c r="KH428" s="36"/>
      <c r="KI428" s="36"/>
      <c r="KJ428" s="36"/>
      <c r="KK428" s="36"/>
    </row>
    <row r="429" spans="1:297" s="10" customFormat="1" ht="12.75" hidden="1" customHeight="1">
      <c r="A429" s="86" t="s">
        <v>784</v>
      </c>
      <c r="B429" s="77"/>
      <c r="C429" s="74">
        <v>0</v>
      </c>
      <c r="D429" s="549">
        <v>0</v>
      </c>
      <c r="E429" s="675">
        <v>0</v>
      </c>
      <c r="F429" s="549">
        <v>0</v>
      </c>
      <c r="G429" s="675">
        <v>0</v>
      </c>
      <c r="H429" s="549">
        <v>0</v>
      </c>
      <c r="I429" s="675">
        <v>0</v>
      </c>
      <c r="J429" s="549">
        <v>0</v>
      </c>
      <c r="K429" s="675">
        <v>0</v>
      </c>
      <c r="L429" s="549">
        <v>0</v>
      </c>
      <c r="M429" s="675">
        <v>0</v>
      </c>
      <c r="N429" s="549">
        <v>0</v>
      </c>
      <c r="O429" s="675">
        <v>0</v>
      </c>
      <c r="P429" s="549">
        <v>0</v>
      </c>
      <c r="Q429" s="675">
        <v>0</v>
      </c>
      <c r="R429" s="549">
        <v>0</v>
      </c>
      <c r="S429" s="675">
        <v>0</v>
      </c>
      <c r="T429" s="549">
        <v>0</v>
      </c>
      <c r="U429" s="675">
        <v>0</v>
      </c>
      <c r="V429" s="549">
        <v>0</v>
      </c>
      <c r="W429" s="675">
        <v>0</v>
      </c>
      <c r="X429" s="549">
        <v>0</v>
      </c>
      <c r="Y429" s="675">
        <v>0</v>
      </c>
      <c r="Z429" s="549">
        <v>0</v>
      </c>
      <c r="AA429" s="675">
        <v>0</v>
      </c>
      <c r="AB429" s="549">
        <v>0</v>
      </c>
      <c r="AC429" s="675">
        <v>0</v>
      </c>
      <c r="AD429" s="549">
        <v>0</v>
      </c>
      <c r="AE429" s="675">
        <v>0</v>
      </c>
      <c r="AF429" s="549">
        <v>0</v>
      </c>
      <c r="AG429" s="675">
        <v>0</v>
      </c>
      <c r="AH429" s="549">
        <v>0</v>
      </c>
      <c r="AI429" s="675">
        <v>0</v>
      </c>
      <c r="AJ429" s="549">
        <v>0</v>
      </c>
      <c r="AK429" s="675">
        <v>0</v>
      </c>
      <c r="AL429" s="549">
        <v>0</v>
      </c>
      <c r="AM429" s="675">
        <v>0</v>
      </c>
      <c r="AN429" s="549">
        <v>0</v>
      </c>
      <c r="AO429" s="675">
        <v>0</v>
      </c>
      <c r="AP429" s="549">
        <v>0</v>
      </c>
      <c r="AQ429" s="675">
        <v>0</v>
      </c>
      <c r="AR429" s="549">
        <v>0</v>
      </c>
      <c r="AS429" s="675">
        <v>0</v>
      </c>
      <c r="AT429" s="549">
        <v>0</v>
      </c>
      <c r="AU429" s="675">
        <v>0</v>
      </c>
      <c r="AV429" s="549">
        <v>0</v>
      </c>
      <c r="AW429" s="675">
        <v>0</v>
      </c>
      <c r="AX429" s="549">
        <v>0</v>
      </c>
      <c r="AY429" s="675">
        <v>0</v>
      </c>
      <c r="AZ429" s="549">
        <v>0</v>
      </c>
      <c r="BA429" s="675">
        <v>0</v>
      </c>
      <c r="BB429" s="549">
        <v>0</v>
      </c>
      <c r="BC429" s="675">
        <v>0</v>
      </c>
      <c r="BD429" s="549">
        <v>0</v>
      </c>
      <c r="BE429" s="675">
        <v>0</v>
      </c>
      <c r="BF429" s="549">
        <v>0</v>
      </c>
      <c r="BG429" s="675">
        <v>0</v>
      </c>
      <c r="BH429" s="549">
        <v>0</v>
      </c>
      <c r="BI429" s="675">
        <v>0</v>
      </c>
      <c r="BJ429" s="549">
        <v>0</v>
      </c>
      <c r="BK429" s="675">
        <v>0</v>
      </c>
      <c r="BL429" s="549">
        <v>0</v>
      </c>
      <c r="BM429" s="675">
        <v>0</v>
      </c>
      <c r="BN429" s="549">
        <v>0</v>
      </c>
      <c r="BO429" s="675">
        <v>0</v>
      </c>
      <c r="BP429" s="549">
        <v>0</v>
      </c>
      <c r="BQ429" s="675">
        <v>0</v>
      </c>
      <c r="BR429" s="549">
        <v>0</v>
      </c>
      <c r="BS429" s="675">
        <v>0</v>
      </c>
      <c r="BT429" s="549">
        <v>0</v>
      </c>
      <c r="BU429" s="675">
        <v>0</v>
      </c>
      <c r="BV429" s="549">
        <v>0</v>
      </c>
      <c r="BW429" s="675">
        <v>0</v>
      </c>
      <c r="BX429" s="549">
        <v>0</v>
      </c>
      <c r="BY429" s="675">
        <v>0</v>
      </c>
      <c r="BZ429" s="549">
        <v>0</v>
      </c>
      <c r="CA429" s="675">
        <v>0</v>
      </c>
      <c r="CB429" s="549">
        <v>0</v>
      </c>
      <c r="CC429" s="675">
        <v>0</v>
      </c>
      <c r="CD429" s="549">
        <v>0</v>
      </c>
      <c r="CE429" s="675">
        <v>0</v>
      </c>
      <c r="CF429" s="549">
        <v>0</v>
      </c>
      <c r="CG429" s="675">
        <v>0</v>
      </c>
      <c r="CH429" s="549">
        <v>0</v>
      </c>
      <c r="CI429" s="675">
        <v>0</v>
      </c>
      <c r="CJ429" s="549">
        <v>0</v>
      </c>
      <c r="CK429" s="675">
        <v>0</v>
      </c>
      <c r="CL429" s="549">
        <v>0</v>
      </c>
      <c r="CM429" s="675">
        <v>0</v>
      </c>
      <c r="CN429" s="549">
        <v>0</v>
      </c>
      <c r="CO429" s="675">
        <v>0</v>
      </c>
      <c r="CP429" s="549">
        <v>0</v>
      </c>
      <c r="CQ429" s="675">
        <v>0</v>
      </c>
      <c r="CR429" s="549">
        <v>0</v>
      </c>
      <c r="CS429" s="675">
        <v>0</v>
      </c>
      <c r="CT429" s="549">
        <v>0</v>
      </c>
      <c r="CU429" s="675">
        <v>0</v>
      </c>
      <c r="CV429" s="549">
        <v>0</v>
      </c>
      <c r="CW429" s="675">
        <v>0</v>
      </c>
      <c r="CX429" s="549">
        <v>0</v>
      </c>
      <c r="CY429" s="675">
        <v>0</v>
      </c>
      <c r="CZ429" s="549">
        <v>0</v>
      </c>
      <c r="DA429" s="675">
        <v>0</v>
      </c>
      <c r="DB429" s="549">
        <v>0</v>
      </c>
      <c r="DC429" s="675">
        <v>0</v>
      </c>
      <c r="DD429" s="549">
        <v>0</v>
      </c>
      <c r="DE429" s="675">
        <v>0</v>
      </c>
      <c r="DF429" s="549">
        <v>0</v>
      </c>
      <c r="DG429" s="675">
        <v>0</v>
      </c>
      <c r="DH429" s="549">
        <v>0</v>
      </c>
      <c r="DI429" s="675">
        <v>0</v>
      </c>
      <c r="DJ429" s="549">
        <v>0</v>
      </c>
      <c r="DK429" s="675">
        <v>0</v>
      </c>
      <c r="DL429" s="549">
        <v>0</v>
      </c>
      <c r="DM429" s="675">
        <v>0</v>
      </c>
      <c r="DN429" s="549">
        <v>0</v>
      </c>
      <c r="DO429" s="675">
        <v>0</v>
      </c>
      <c r="DP429" s="549">
        <v>0</v>
      </c>
      <c r="DQ429" s="675">
        <v>0</v>
      </c>
      <c r="DR429" s="549">
        <v>0</v>
      </c>
      <c r="DS429" s="675">
        <v>0</v>
      </c>
      <c r="DT429" s="549">
        <v>0</v>
      </c>
      <c r="DU429" s="675">
        <v>0</v>
      </c>
      <c r="DV429" s="549">
        <v>0</v>
      </c>
      <c r="DW429" s="675">
        <v>0</v>
      </c>
      <c r="DX429" s="549">
        <v>0</v>
      </c>
      <c r="DY429" s="675">
        <v>0</v>
      </c>
      <c r="DZ429" s="549">
        <v>0</v>
      </c>
      <c r="EA429" s="675">
        <v>0</v>
      </c>
      <c r="EB429" s="549">
        <v>0</v>
      </c>
      <c r="EC429" s="675">
        <v>0</v>
      </c>
      <c r="ED429" s="549">
        <v>0</v>
      </c>
      <c r="EE429" s="675">
        <v>0</v>
      </c>
      <c r="EF429" s="549">
        <v>0</v>
      </c>
      <c r="EG429" s="675">
        <v>0</v>
      </c>
      <c r="EH429" s="549">
        <v>0</v>
      </c>
      <c r="EI429" s="675">
        <v>0</v>
      </c>
      <c r="EJ429" s="549">
        <v>0</v>
      </c>
      <c r="EK429" s="675">
        <v>0</v>
      </c>
      <c r="EL429" s="549">
        <v>0</v>
      </c>
      <c r="EM429" s="675">
        <v>0</v>
      </c>
      <c r="EN429" s="549">
        <v>0</v>
      </c>
      <c r="EO429" s="675">
        <v>0</v>
      </c>
      <c r="EP429" s="549">
        <v>0</v>
      </c>
      <c r="EQ429" s="675">
        <v>0</v>
      </c>
      <c r="ER429" s="549">
        <v>0</v>
      </c>
      <c r="ES429" s="675">
        <v>0</v>
      </c>
      <c r="ET429" s="549">
        <v>0</v>
      </c>
      <c r="EU429" s="675">
        <v>0</v>
      </c>
      <c r="EV429" s="549">
        <v>0</v>
      </c>
      <c r="EW429" s="675">
        <v>0</v>
      </c>
      <c r="EX429" s="549">
        <v>0</v>
      </c>
      <c r="EY429" s="675">
        <v>0</v>
      </c>
      <c r="EZ429" s="549">
        <v>0</v>
      </c>
      <c r="FA429" s="675">
        <v>0</v>
      </c>
      <c r="FB429" s="549">
        <v>0</v>
      </c>
      <c r="FC429" s="675">
        <v>0</v>
      </c>
      <c r="FD429" s="549">
        <v>0</v>
      </c>
      <c r="FE429" s="675">
        <v>0</v>
      </c>
      <c r="FF429" s="549">
        <v>0</v>
      </c>
      <c r="FG429" s="675">
        <v>0</v>
      </c>
      <c r="FH429" s="549">
        <v>0</v>
      </c>
      <c r="FI429" s="675">
        <v>0</v>
      </c>
      <c r="FJ429" s="549">
        <v>0</v>
      </c>
      <c r="FK429" s="675">
        <v>0</v>
      </c>
      <c r="FL429" s="549">
        <v>0</v>
      </c>
      <c r="FM429" s="675">
        <v>0</v>
      </c>
      <c r="FN429" s="549">
        <v>0</v>
      </c>
      <c r="FO429" s="675">
        <v>0</v>
      </c>
      <c r="FP429" s="549">
        <v>0</v>
      </c>
      <c r="FQ429" s="675">
        <v>0</v>
      </c>
      <c r="FR429" s="549">
        <v>0</v>
      </c>
      <c r="FS429" s="675">
        <v>0</v>
      </c>
      <c r="FT429" s="549">
        <v>0</v>
      </c>
      <c r="FU429" s="675">
        <v>0</v>
      </c>
      <c r="FV429" s="549">
        <v>0</v>
      </c>
      <c r="FW429" s="675">
        <v>0</v>
      </c>
      <c r="FX429" s="549">
        <v>0</v>
      </c>
      <c r="FY429" s="675">
        <v>0</v>
      </c>
      <c r="FZ429" s="549">
        <v>0</v>
      </c>
      <c r="GA429" s="675">
        <v>0</v>
      </c>
      <c r="GB429" s="549">
        <v>0</v>
      </c>
      <c r="GC429" s="675">
        <v>0</v>
      </c>
      <c r="GD429" s="549">
        <v>0</v>
      </c>
      <c r="GE429" s="675">
        <v>0</v>
      </c>
      <c r="GF429" s="549">
        <v>0</v>
      </c>
      <c r="GG429" s="675">
        <v>0</v>
      </c>
      <c r="GH429" s="549">
        <v>0</v>
      </c>
      <c r="GI429" s="675">
        <v>0</v>
      </c>
      <c r="GJ429" s="549">
        <v>0</v>
      </c>
      <c r="GK429" s="675">
        <v>0</v>
      </c>
      <c r="GL429" s="549">
        <v>0</v>
      </c>
      <c r="GM429" s="675">
        <v>0</v>
      </c>
      <c r="GN429" s="549">
        <v>0</v>
      </c>
      <c r="GO429" s="675">
        <v>0</v>
      </c>
      <c r="GP429" s="549">
        <f t="shared" ref="GP429:GP432" si="11242">+D429+F429+H429+J429+L429+N429+P429+R429+T429+V429+X429+Z429+AB429+AF429+AD429+AH429+AJ429+AL429+AN429+AP429+AR429+AT429+AV429+AX429+AZ429+BB429+BD429+BF429+BH429+BJ429+BL429+BN429+BP429+BR429+BT429+BV429+BX429+BZ429+CB429+CD429+CF429+CH429+CJ429+CL429+CN429+CP429+CR429+CT429+CV429+CX429+CZ429+DB429+DD429+DF429+DH429+DT429+EX429+DJ429+DL429+DN429+DP429+DR429+EJ429+EB429+DZ429+DX429+DV429+ED429+EF429+EH429+EL429+EN429+EP429+EV429+ET429+ER429+EZ429+FB429+FD429+GL429+FF429+FJ429+FL429+GJ429+FT429+FR429+FP429+FN429+FH429+GH429+GF429+GD429+GB429+FZ429+FX429+FV429+GN429</f>
        <v>0</v>
      </c>
      <c r="GQ429" s="675">
        <f t="shared" ref="GQ429:GQ432" si="11243">+E429+G429+I429+K429+M429+O429+Q429+S429+U429+W429+Y429+AA429+AC429+AE429+AG429+AI429+AK429+AM429+AO429+AQ429+AS429+AU429+AW429+AY429+BA429+BC429+BE429+BG429+BI429+BK429+BM429+BO429+BQ429+BS429+BU429+BW429+BY429+CA429+CC429+CE429+CG429+CI429+CK429+CM429+CO429+CQ429+CS429+CU429+CW429+CY429+DA429+DC429+DE429+DG429+DI429+DU429+EY429+DK429+DM429+DO429+DQ429+DS429+EK429+EC429+EA429+DY429+DW429+EI429+EG429+EE429+EM429+EO429+EQ429+EW429+EU429+ES429+FA429+FC429+FE429+GM429+FG429+FK429+FM429+FO429+FQ429+FS429+FU429+GK429+FI429+GI429+GG429+GE429+GC429+GA429+FY429+FW429+GO429</f>
        <v>0</v>
      </c>
      <c r="GR429" s="74">
        <f t="shared" si="11232"/>
        <v>0</v>
      </c>
      <c r="GS429" s="74">
        <f t="shared" ref="GS429:GS430" si="11244">SUM(GU429:GV429)+GP429+GQ429+GW429+GX429+GY429+GZ429+HA429+HB429+HC429+HD429+HE429+HF429</f>
        <v>0</v>
      </c>
      <c r="GT429" s="568">
        <f t="shared" si="11234"/>
        <v>0</v>
      </c>
      <c r="GU429" s="275">
        <v>0</v>
      </c>
      <c r="GV429" s="275">
        <v>0</v>
      </c>
      <c r="GW429" s="588">
        <v>0</v>
      </c>
      <c r="GX429" s="588">
        <v>0</v>
      </c>
      <c r="GY429" s="275">
        <v>0</v>
      </c>
      <c r="GZ429" s="275">
        <v>0</v>
      </c>
      <c r="HA429" s="275">
        <v>0</v>
      </c>
      <c r="HB429" s="275">
        <v>0</v>
      </c>
      <c r="HC429" s="275">
        <v>0</v>
      </c>
      <c r="HD429" s="275">
        <v>0</v>
      </c>
      <c r="HE429" s="275">
        <v>0</v>
      </c>
      <c r="HF429" s="275">
        <v>0</v>
      </c>
      <c r="HG429" s="74">
        <f t="shared" si="11235"/>
        <v>0</v>
      </c>
      <c r="HH429" s="89">
        <v>0</v>
      </c>
      <c r="HI429" s="817">
        <v>0</v>
      </c>
      <c r="HJ429" s="89">
        <v>0</v>
      </c>
      <c r="HK429" s="817">
        <v>0</v>
      </c>
      <c r="HL429" s="89">
        <v>0</v>
      </c>
      <c r="HM429" s="817">
        <v>0</v>
      </c>
      <c r="HN429" s="89">
        <v>0</v>
      </c>
      <c r="HO429" s="817">
        <v>0</v>
      </c>
      <c r="HP429" s="89">
        <v>0</v>
      </c>
      <c r="HQ429" s="817">
        <v>0</v>
      </c>
      <c r="HR429" s="89">
        <v>0</v>
      </c>
      <c r="HS429" s="817">
        <v>0</v>
      </c>
      <c r="HT429" s="89">
        <v>0</v>
      </c>
      <c r="HU429" s="817">
        <v>0</v>
      </c>
      <c r="HV429" s="89">
        <v>0</v>
      </c>
      <c r="HW429" s="817">
        <v>0</v>
      </c>
      <c r="HX429" s="89">
        <v>0</v>
      </c>
      <c r="HY429" s="817">
        <v>0</v>
      </c>
      <c r="HZ429" s="89">
        <v>0</v>
      </c>
      <c r="IA429" s="817">
        <v>0</v>
      </c>
      <c r="IB429" s="89">
        <v>0</v>
      </c>
      <c r="IC429" s="817">
        <v>0</v>
      </c>
      <c r="ID429" s="89">
        <v>0</v>
      </c>
      <c r="IE429" s="817">
        <v>0</v>
      </c>
      <c r="IF429" s="841">
        <f t="shared" si="11236"/>
        <v>0</v>
      </c>
      <c r="IG429" s="263">
        <f t="shared" si="11237"/>
        <v>0</v>
      </c>
      <c r="IH429" s="842">
        <f t="shared" si="11238"/>
        <v>0</v>
      </c>
      <c r="II429" s="89">
        <v>0</v>
      </c>
      <c r="IJ429" s="89">
        <f t="shared" ref="IJ429:IJ434" si="11245">II429</f>
        <v>0</v>
      </c>
      <c r="IK429" s="89">
        <f t="shared" ref="IK429:IK434" si="11246">IJ429</f>
        <v>0</v>
      </c>
      <c r="IL429" s="89">
        <v>0</v>
      </c>
      <c r="IM429" s="89">
        <f t="shared" ref="IM429:IM434" si="11247">IL429</f>
        <v>0</v>
      </c>
      <c r="IN429" s="89">
        <f t="shared" ref="IN429:IN434" si="11248">IM429</f>
        <v>0</v>
      </c>
      <c r="IO429" s="89">
        <v>0</v>
      </c>
      <c r="IP429" s="89">
        <f t="shared" ref="IP429:IP434" si="11249">IO429</f>
        <v>0</v>
      </c>
      <c r="IQ429" s="89">
        <f t="shared" ref="IQ429:IQ434" si="11250">IP429</f>
        <v>0</v>
      </c>
      <c r="IR429" s="89">
        <v>0</v>
      </c>
      <c r="IS429" s="89">
        <f t="shared" ref="IS429:IS434" si="11251">IR429</f>
        <v>0</v>
      </c>
      <c r="IT429" s="89">
        <f t="shared" ref="IT429:IT434" si="11252">IS429</f>
        <v>0</v>
      </c>
      <c r="IU429" s="89">
        <v>0</v>
      </c>
      <c r="IV429" s="89">
        <f t="shared" ref="IV429:IV434" si="11253">IU429</f>
        <v>0</v>
      </c>
      <c r="IW429" s="89">
        <f t="shared" ref="IW429:IW434" si="11254">IV429</f>
        <v>0</v>
      </c>
      <c r="IX429" s="89">
        <v>0</v>
      </c>
      <c r="IY429" s="89">
        <f t="shared" ref="IY429:IY434" si="11255">IX429</f>
        <v>0</v>
      </c>
      <c r="IZ429" s="89">
        <f t="shared" ref="IZ429:IZ434" si="11256">IY429</f>
        <v>0</v>
      </c>
      <c r="JA429" s="89">
        <v>0</v>
      </c>
      <c r="JB429" s="89">
        <f t="shared" ref="JB429:JB434" si="11257">JA429</f>
        <v>0</v>
      </c>
      <c r="JC429" s="89">
        <f t="shared" ref="JC429:JC434" si="11258">JB429</f>
        <v>0</v>
      </c>
      <c r="JD429" s="89">
        <v>0</v>
      </c>
      <c r="JE429" s="89">
        <f t="shared" ref="JE429:JE434" si="11259">JD429</f>
        <v>0</v>
      </c>
      <c r="JF429" s="89">
        <f t="shared" ref="JF429:JF434" si="11260">JE429</f>
        <v>0</v>
      </c>
      <c r="JG429" s="89">
        <v>0</v>
      </c>
      <c r="JH429" s="89">
        <f t="shared" ref="JH429:JH434" si="11261">JG429</f>
        <v>0</v>
      </c>
      <c r="JI429" s="89">
        <f t="shared" ref="JI429:JI434" si="11262">JH429</f>
        <v>0</v>
      </c>
      <c r="JJ429" s="89">
        <v>0</v>
      </c>
      <c r="JK429" s="89">
        <f t="shared" ref="JK429:JK434" si="11263">JJ429</f>
        <v>0</v>
      </c>
      <c r="JL429" s="89">
        <f t="shared" ref="JL429:JL434" si="11264">JK429</f>
        <v>0</v>
      </c>
      <c r="JM429" s="89">
        <v>0</v>
      </c>
      <c r="JN429" s="89">
        <f t="shared" ref="JN429:JN434" si="11265">JM429</f>
        <v>0</v>
      </c>
      <c r="JO429" s="89">
        <f t="shared" ref="JO429:JO434" si="11266">JN429</f>
        <v>0</v>
      </c>
      <c r="JP429" s="89">
        <v>0</v>
      </c>
      <c r="JQ429" s="89">
        <f t="shared" ref="JQ429:JR429" si="11267">JP429</f>
        <v>0</v>
      </c>
      <c r="JR429" s="89">
        <f t="shared" si="11267"/>
        <v>0</v>
      </c>
      <c r="JS429" s="74">
        <f t="shared" si="11239"/>
        <v>0</v>
      </c>
      <c r="JT429" s="382">
        <f t="shared" si="11240"/>
        <v>0</v>
      </c>
      <c r="JU429" s="665"/>
      <c r="JV429" s="524"/>
      <c r="JW429" s="525"/>
      <c r="JX429" s="549">
        <f t="shared" si="11241"/>
        <v>0</v>
      </c>
      <c r="JY429" s="549">
        <f t="shared" si="11241"/>
        <v>0</v>
      </c>
      <c r="JZ429" s="581">
        <f t="shared" si="10300"/>
        <v>0</v>
      </c>
      <c r="KA429" s="581">
        <f t="shared" si="10301"/>
        <v>0</v>
      </c>
      <c r="KB429" s="549">
        <f t="shared" si="10257"/>
        <v>0</v>
      </c>
      <c r="KC429" s="709">
        <f t="shared" si="10273"/>
        <v>0</v>
      </c>
      <c r="KD429" s="36"/>
      <c r="KE429" s="36"/>
      <c r="KF429" s="36"/>
      <c r="KG429" s="36"/>
      <c r="KH429" s="36"/>
      <c r="KI429" s="36"/>
      <c r="KJ429" s="36"/>
      <c r="KK429" s="36"/>
    </row>
    <row r="430" spans="1:297" s="10" customFormat="1" ht="12.75" hidden="1" customHeight="1">
      <c r="A430" s="86" t="s">
        <v>1098</v>
      </c>
      <c r="B430" s="77"/>
      <c r="C430" s="74">
        <v>0</v>
      </c>
      <c r="D430" s="549">
        <v>0</v>
      </c>
      <c r="E430" s="675">
        <v>0</v>
      </c>
      <c r="F430" s="549">
        <v>0</v>
      </c>
      <c r="G430" s="675">
        <v>0</v>
      </c>
      <c r="H430" s="549">
        <v>0</v>
      </c>
      <c r="I430" s="675">
        <v>0</v>
      </c>
      <c r="J430" s="549">
        <v>0</v>
      </c>
      <c r="K430" s="675">
        <v>0</v>
      </c>
      <c r="L430" s="549">
        <v>0</v>
      </c>
      <c r="M430" s="675">
        <v>0</v>
      </c>
      <c r="N430" s="549">
        <v>0</v>
      </c>
      <c r="O430" s="675">
        <v>0</v>
      </c>
      <c r="P430" s="549">
        <v>0</v>
      </c>
      <c r="Q430" s="675">
        <v>0</v>
      </c>
      <c r="R430" s="549">
        <v>0</v>
      </c>
      <c r="S430" s="675">
        <v>0</v>
      </c>
      <c r="T430" s="549">
        <v>0</v>
      </c>
      <c r="U430" s="675">
        <v>0</v>
      </c>
      <c r="V430" s="549">
        <v>0</v>
      </c>
      <c r="W430" s="675">
        <v>0</v>
      </c>
      <c r="X430" s="549">
        <v>0</v>
      </c>
      <c r="Y430" s="675">
        <v>0</v>
      </c>
      <c r="Z430" s="549">
        <v>0</v>
      </c>
      <c r="AA430" s="675">
        <v>0</v>
      </c>
      <c r="AB430" s="549">
        <v>0</v>
      </c>
      <c r="AC430" s="675">
        <v>0</v>
      </c>
      <c r="AD430" s="549">
        <v>0</v>
      </c>
      <c r="AE430" s="675">
        <v>0</v>
      </c>
      <c r="AF430" s="549">
        <v>0</v>
      </c>
      <c r="AG430" s="675">
        <v>0</v>
      </c>
      <c r="AH430" s="549">
        <v>0</v>
      </c>
      <c r="AI430" s="675">
        <v>0</v>
      </c>
      <c r="AJ430" s="549">
        <v>0</v>
      </c>
      <c r="AK430" s="675">
        <v>0</v>
      </c>
      <c r="AL430" s="549">
        <v>0</v>
      </c>
      <c r="AM430" s="675">
        <v>0</v>
      </c>
      <c r="AN430" s="549">
        <v>0</v>
      </c>
      <c r="AO430" s="675">
        <v>0</v>
      </c>
      <c r="AP430" s="549">
        <v>0</v>
      </c>
      <c r="AQ430" s="675">
        <v>0</v>
      </c>
      <c r="AR430" s="549">
        <v>0</v>
      </c>
      <c r="AS430" s="675">
        <v>0</v>
      </c>
      <c r="AT430" s="549">
        <v>0</v>
      </c>
      <c r="AU430" s="675">
        <v>0</v>
      </c>
      <c r="AV430" s="549">
        <v>0</v>
      </c>
      <c r="AW430" s="675">
        <v>0</v>
      </c>
      <c r="AX430" s="549">
        <v>0</v>
      </c>
      <c r="AY430" s="675">
        <v>0</v>
      </c>
      <c r="AZ430" s="549">
        <v>0</v>
      </c>
      <c r="BA430" s="675">
        <v>0</v>
      </c>
      <c r="BB430" s="549">
        <v>0</v>
      </c>
      <c r="BC430" s="675">
        <v>0</v>
      </c>
      <c r="BD430" s="549">
        <v>0</v>
      </c>
      <c r="BE430" s="675">
        <v>0</v>
      </c>
      <c r="BF430" s="549">
        <v>0</v>
      </c>
      <c r="BG430" s="675">
        <v>0</v>
      </c>
      <c r="BH430" s="549">
        <v>0</v>
      </c>
      <c r="BI430" s="675">
        <v>0</v>
      </c>
      <c r="BJ430" s="549">
        <v>0</v>
      </c>
      <c r="BK430" s="675">
        <v>0</v>
      </c>
      <c r="BL430" s="549">
        <v>0</v>
      </c>
      <c r="BM430" s="675">
        <v>0</v>
      </c>
      <c r="BN430" s="549">
        <v>0</v>
      </c>
      <c r="BO430" s="675">
        <v>0</v>
      </c>
      <c r="BP430" s="549">
        <v>0</v>
      </c>
      <c r="BQ430" s="675">
        <v>0</v>
      </c>
      <c r="BR430" s="549">
        <v>0</v>
      </c>
      <c r="BS430" s="675">
        <v>0</v>
      </c>
      <c r="BT430" s="549">
        <v>0</v>
      </c>
      <c r="BU430" s="675">
        <v>0</v>
      </c>
      <c r="BV430" s="549">
        <v>0</v>
      </c>
      <c r="BW430" s="675">
        <v>0</v>
      </c>
      <c r="BX430" s="549">
        <v>0</v>
      </c>
      <c r="BY430" s="675">
        <v>0</v>
      </c>
      <c r="BZ430" s="549">
        <v>0</v>
      </c>
      <c r="CA430" s="675">
        <v>0</v>
      </c>
      <c r="CB430" s="549">
        <v>0</v>
      </c>
      <c r="CC430" s="675">
        <v>0</v>
      </c>
      <c r="CD430" s="549">
        <v>0</v>
      </c>
      <c r="CE430" s="675">
        <v>0</v>
      </c>
      <c r="CF430" s="549">
        <v>0</v>
      </c>
      <c r="CG430" s="675">
        <v>0</v>
      </c>
      <c r="CH430" s="549">
        <v>0</v>
      </c>
      <c r="CI430" s="675">
        <v>0</v>
      </c>
      <c r="CJ430" s="549">
        <v>0</v>
      </c>
      <c r="CK430" s="675">
        <v>0</v>
      </c>
      <c r="CL430" s="549">
        <v>0</v>
      </c>
      <c r="CM430" s="675">
        <v>0</v>
      </c>
      <c r="CN430" s="549">
        <v>0</v>
      </c>
      <c r="CO430" s="675">
        <v>0</v>
      </c>
      <c r="CP430" s="549">
        <v>0</v>
      </c>
      <c r="CQ430" s="675">
        <v>0</v>
      </c>
      <c r="CR430" s="549">
        <v>0</v>
      </c>
      <c r="CS430" s="675">
        <v>0</v>
      </c>
      <c r="CT430" s="549">
        <v>0</v>
      </c>
      <c r="CU430" s="675">
        <v>0</v>
      </c>
      <c r="CV430" s="549">
        <v>0</v>
      </c>
      <c r="CW430" s="675">
        <v>0</v>
      </c>
      <c r="CX430" s="549">
        <v>0</v>
      </c>
      <c r="CY430" s="675">
        <v>0</v>
      </c>
      <c r="CZ430" s="549">
        <v>0</v>
      </c>
      <c r="DA430" s="675">
        <v>0</v>
      </c>
      <c r="DB430" s="549">
        <v>0</v>
      </c>
      <c r="DC430" s="675">
        <v>0</v>
      </c>
      <c r="DD430" s="549">
        <v>0</v>
      </c>
      <c r="DE430" s="675">
        <v>0</v>
      </c>
      <c r="DF430" s="549">
        <v>0</v>
      </c>
      <c r="DG430" s="675">
        <v>0</v>
      </c>
      <c r="DH430" s="549">
        <v>0</v>
      </c>
      <c r="DI430" s="675">
        <v>0</v>
      </c>
      <c r="DJ430" s="549">
        <v>0</v>
      </c>
      <c r="DK430" s="675">
        <v>0</v>
      </c>
      <c r="DL430" s="549">
        <v>0</v>
      </c>
      <c r="DM430" s="675">
        <v>0</v>
      </c>
      <c r="DN430" s="549">
        <v>0</v>
      </c>
      <c r="DO430" s="675">
        <v>0</v>
      </c>
      <c r="DP430" s="549">
        <v>0</v>
      </c>
      <c r="DQ430" s="675">
        <v>0</v>
      </c>
      <c r="DR430" s="549">
        <v>0</v>
      </c>
      <c r="DS430" s="675">
        <v>0</v>
      </c>
      <c r="DT430" s="549">
        <v>0</v>
      </c>
      <c r="DU430" s="675">
        <v>0</v>
      </c>
      <c r="DV430" s="549">
        <v>0</v>
      </c>
      <c r="DW430" s="675">
        <v>0</v>
      </c>
      <c r="DX430" s="549">
        <v>0</v>
      </c>
      <c r="DY430" s="675">
        <v>0</v>
      </c>
      <c r="DZ430" s="549">
        <v>0</v>
      </c>
      <c r="EA430" s="675">
        <v>0</v>
      </c>
      <c r="EB430" s="549">
        <v>0</v>
      </c>
      <c r="EC430" s="675">
        <v>0</v>
      </c>
      <c r="ED430" s="549">
        <v>0</v>
      </c>
      <c r="EE430" s="675">
        <v>0</v>
      </c>
      <c r="EF430" s="549">
        <v>0</v>
      </c>
      <c r="EG430" s="675">
        <v>0</v>
      </c>
      <c r="EH430" s="549">
        <v>0</v>
      </c>
      <c r="EI430" s="675">
        <v>0</v>
      </c>
      <c r="EJ430" s="549">
        <v>0</v>
      </c>
      <c r="EK430" s="675">
        <v>0</v>
      </c>
      <c r="EL430" s="549">
        <v>0</v>
      </c>
      <c r="EM430" s="675">
        <v>0</v>
      </c>
      <c r="EN430" s="549">
        <v>0</v>
      </c>
      <c r="EO430" s="675">
        <v>0</v>
      </c>
      <c r="EP430" s="549">
        <v>0</v>
      </c>
      <c r="EQ430" s="675">
        <v>0</v>
      </c>
      <c r="ER430" s="549">
        <v>0</v>
      </c>
      <c r="ES430" s="675">
        <v>0</v>
      </c>
      <c r="ET430" s="549">
        <v>0</v>
      </c>
      <c r="EU430" s="675">
        <v>0</v>
      </c>
      <c r="EV430" s="549">
        <v>0</v>
      </c>
      <c r="EW430" s="675">
        <v>0</v>
      </c>
      <c r="EX430" s="549">
        <v>0</v>
      </c>
      <c r="EY430" s="675">
        <v>0</v>
      </c>
      <c r="EZ430" s="549">
        <v>0</v>
      </c>
      <c r="FA430" s="675">
        <v>0</v>
      </c>
      <c r="FB430" s="549">
        <v>0</v>
      </c>
      <c r="FC430" s="675">
        <v>0</v>
      </c>
      <c r="FD430" s="549">
        <v>0</v>
      </c>
      <c r="FE430" s="675">
        <v>0</v>
      </c>
      <c r="FF430" s="549">
        <v>0</v>
      </c>
      <c r="FG430" s="675">
        <v>0</v>
      </c>
      <c r="FH430" s="549">
        <v>0</v>
      </c>
      <c r="FI430" s="675">
        <v>0</v>
      </c>
      <c r="FJ430" s="549">
        <v>0</v>
      </c>
      <c r="FK430" s="675">
        <v>0</v>
      </c>
      <c r="FL430" s="549">
        <v>0</v>
      </c>
      <c r="FM430" s="675">
        <v>0</v>
      </c>
      <c r="FN430" s="549">
        <v>0</v>
      </c>
      <c r="FO430" s="675">
        <v>0</v>
      </c>
      <c r="FP430" s="549">
        <v>0</v>
      </c>
      <c r="FQ430" s="675">
        <v>0</v>
      </c>
      <c r="FR430" s="549">
        <v>0</v>
      </c>
      <c r="FS430" s="675">
        <v>0</v>
      </c>
      <c r="FT430" s="549">
        <v>0</v>
      </c>
      <c r="FU430" s="675">
        <v>0</v>
      </c>
      <c r="FV430" s="549">
        <v>0</v>
      </c>
      <c r="FW430" s="675">
        <v>0</v>
      </c>
      <c r="FX430" s="549">
        <v>0</v>
      </c>
      <c r="FY430" s="675">
        <v>0</v>
      </c>
      <c r="FZ430" s="549">
        <v>0</v>
      </c>
      <c r="GA430" s="675">
        <v>0</v>
      </c>
      <c r="GB430" s="549">
        <v>0</v>
      </c>
      <c r="GC430" s="675">
        <v>0</v>
      </c>
      <c r="GD430" s="549">
        <v>0</v>
      </c>
      <c r="GE430" s="675">
        <v>0</v>
      </c>
      <c r="GF430" s="549">
        <v>0</v>
      </c>
      <c r="GG430" s="675">
        <v>0</v>
      </c>
      <c r="GH430" s="549">
        <v>0</v>
      </c>
      <c r="GI430" s="675">
        <v>0</v>
      </c>
      <c r="GJ430" s="549">
        <v>0</v>
      </c>
      <c r="GK430" s="675">
        <v>0</v>
      </c>
      <c r="GL430" s="549">
        <v>0</v>
      </c>
      <c r="GM430" s="675">
        <v>0</v>
      </c>
      <c r="GN430" s="549">
        <v>0</v>
      </c>
      <c r="GO430" s="675">
        <v>0</v>
      </c>
      <c r="GP430" s="549">
        <f t="shared" si="11242"/>
        <v>0</v>
      </c>
      <c r="GQ430" s="675">
        <f t="shared" si="11243"/>
        <v>0</v>
      </c>
      <c r="GR430" s="74">
        <f t="shared" si="11232"/>
        <v>0</v>
      </c>
      <c r="GS430" s="74">
        <f t="shared" si="11244"/>
        <v>0</v>
      </c>
      <c r="GT430" s="568">
        <f t="shared" si="11234"/>
        <v>0</v>
      </c>
      <c r="GU430" s="275">
        <v>0</v>
      </c>
      <c r="GV430" s="275">
        <v>0</v>
      </c>
      <c r="GW430" s="588">
        <v>0</v>
      </c>
      <c r="GX430" s="588">
        <v>0</v>
      </c>
      <c r="GY430" s="275">
        <v>0</v>
      </c>
      <c r="GZ430" s="275">
        <v>0</v>
      </c>
      <c r="HA430" s="275">
        <v>0</v>
      </c>
      <c r="HB430" s="275">
        <v>0</v>
      </c>
      <c r="HC430" s="275">
        <v>0</v>
      </c>
      <c r="HD430" s="275">
        <v>0</v>
      </c>
      <c r="HE430" s="275">
        <v>0</v>
      </c>
      <c r="HF430" s="275">
        <v>0</v>
      </c>
      <c r="HG430" s="74">
        <f t="shared" si="11235"/>
        <v>0</v>
      </c>
      <c r="HH430" s="89">
        <v>0</v>
      </c>
      <c r="HI430" s="817">
        <v>0</v>
      </c>
      <c r="HJ430" s="89">
        <v>0</v>
      </c>
      <c r="HK430" s="817">
        <v>0</v>
      </c>
      <c r="HL430" s="89">
        <v>0</v>
      </c>
      <c r="HM430" s="817">
        <v>0</v>
      </c>
      <c r="HN430" s="89">
        <v>0</v>
      </c>
      <c r="HO430" s="817">
        <v>0</v>
      </c>
      <c r="HP430" s="89">
        <v>0</v>
      </c>
      <c r="HQ430" s="817">
        <v>0</v>
      </c>
      <c r="HR430" s="89">
        <v>0</v>
      </c>
      <c r="HS430" s="817">
        <v>0</v>
      </c>
      <c r="HT430" s="89">
        <v>0</v>
      </c>
      <c r="HU430" s="817">
        <v>0</v>
      </c>
      <c r="HV430" s="89">
        <v>0</v>
      </c>
      <c r="HW430" s="817">
        <v>0</v>
      </c>
      <c r="HX430" s="89">
        <v>0</v>
      </c>
      <c r="HY430" s="817">
        <v>0</v>
      </c>
      <c r="HZ430" s="89">
        <v>0</v>
      </c>
      <c r="IA430" s="817">
        <v>0</v>
      </c>
      <c r="IB430" s="89">
        <v>0</v>
      </c>
      <c r="IC430" s="817">
        <v>0</v>
      </c>
      <c r="ID430" s="89">
        <v>0</v>
      </c>
      <c r="IE430" s="817">
        <v>0</v>
      </c>
      <c r="IF430" s="841">
        <f t="shared" si="11236"/>
        <v>0</v>
      </c>
      <c r="IG430" s="263">
        <f t="shared" si="11237"/>
        <v>0</v>
      </c>
      <c r="IH430" s="842">
        <f t="shared" si="11238"/>
        <v>0</v>
      </c>
      <c r="II430" s="89">
        <v>0</v>
      </c>
      <c r="IJ430" s="89">
        <f t="shared" si="11245"/>
        <v>0</v>
      </c>
      <c r="IK430" s="89">
        <f t="shared" si="11246"/>
        <v>0</v>
      </c>
      <c r="IL430" s="89">
        <v>0</v>
      </c>
      <c r="IM430" s="89">
        <f t="shared" si="11247"/>
        <v>0</v>
      </c>
      <c r="IN430" s="89">
        <f t="shared" si="11248"/>
        <v>0</v>
      </c>
      <c r="IO430" s="89">
        <v>0</v>
      </c>
      <c r="IP430" s="89">
        <f t="shared" si="11249"/>
        <v>0</v>
      </c>
      <c r="IQ430" s="89">
        <f t="shared" si="11250"/>
        <v>0</v>
      </c>
      <c r="IR430" s="89">
        <v>0</v>
      </c>
      <c r="IS430" s="89">
        <f t="shared" si="11251"/>
        <v>0</v>
      </c>
      <c r="IT430" s="89">
        <f t="shared" si="11252"/>
        <v>0</v>
      </c>
      <c r="IU430" s="89">
        <v>0</v>
      </c>
      <c r="IV430" s="89">
        <f t="shared" si="11253"/>
        <v>0</v>
      </c>
      <c r="IW430" s="89">
        <f t="shared" si="11254"/>
        <v>0</v>
      </c>
      <c r="IX430" s="89">
        <v>0</v>
      </c>
      <c r="IY430" s="89">
        <f t="shared" si="11255"/>
        <v>0</v>
      </c>
      <c r="IZ430" s="89">
        <f t="shared" si="11256"/>
        <v>0</v>
      </c>
      <c r="JA430" s="89">
        <v>0</v>
      </c>
      <c r="JB430" s="89">
        <f t="shared" si="11257"/>
        <v>0</v>
      </c>
      <c r="JC430" s="89">
        <f t="shared" si="11258"/>
        <v>0</v>
      </c>
      <c r="JD430" s="89">
        <v>0</v>
      </c>
      <c r="JE430" s="89">
        <f t="shared" si="11259"/>
        <v>0</v>
      </c>
      <c r="JF430" s="89">
        <f t="shared" si="11260"/>
        <v>0</v>
      </c>
      <c r="JG430" s="89">
        <v>0</v>
      </c>
      <c r="JH430" s="89">
        <f t="shared" si="11261"/>
        <v>0</v>
      </c>
      <c r="JI430" s="89">
        <f t="shared" si="11262"/>
        <v>0</v>
      </c>
      <c r="JJ430" s="89">
        <v>0</v>
      </c>
      <c r="JK430" s="89">
        <f t="shared" si="11263"/>
        <v>0</v>
      </c>
      <c r="JL430" s="89">
        <f t="shared" si="11264"/>
        <v>0</v>
      </c>
      <c r="JM430" s="89">
        <v>0</v>
      </c>
      <c r="JN430" s="89">
        <f t="shared" si="11265"/>
        <v>0</v>
      </c>
      <c r="JO430" s="89">
        <f t="shared" si="11266"/>
        <v>0</v>
      </c>
      <c r="JP430" s="89">
        <v>0</v>
      </c>
      <c r="JQ430" s="89">
        <f t="shared" ref="JQ430:JR430" si="11268">JP430</f>
        <v>0</v>
      </c>
      <c r="JR430" s="89">
        <f t="shared" si="11268"/>
        <v>0</v>
      </c>
      <c r="JS430" s="74">
        <f t="shared" si="11239"/>
        <v>0</v>
      </c>
      <c r="JT430" s="382">
        <f t="shared" si="11240"/>
        <v>0</v>
      </c>
      <c r="JU430" s="665"/>
      <c r="JV430" s="524"/>
      <c r="JW430" s="525"/>
      <c r="JX430" s="549">
        <f t="shared" si="11241"/>
        <v>0</v>
      </c>
      <c r="JY430" s="549">
        <f t="shared" si="11241"/>
        <v>0</v>
      </c>
      <c r="JZ430" s="581">
        <f t="shared" si="10300"/>
        <v>0</v>
      </c>
      <c r="KA430" s="581">
        <f t="shared" si="10301"/>
        <v>0</v>
      </c>
      <c r="KB430" s="549">
        <f t="shared" si="10257"/>
        <v>0</v>
      </c>
      <c r="KC430" s="709">
        <f t="shared" si="10273"/>
        <v>0</v>
      </c>
      <c r="KD430" s="36"/>
      <c r="KE430" s="36"/>
      <c r="KF430" s="36"/>
      <c r="KG430" s="36"/>
      <c r="KH430" s="36"/>
      <c r="KI430" s="36"/>
      <c r="KJ430" s="36"/>
      <c r="KK430" s="36"/>
    </row>
    <row r="431" spans="1:297" s="10" customFormat="1" ht="12.75" customHeight="1">
      <c r="A431" s="86" t="s">
        <v>697</v>
      </c>
      <c r="B431" s="77"/>
      <c r="C431" s="74">
        <v>0</v>
      </c>
      <c r="D431" s="549">
        <v>0</v>
      </c>
      <c r="E431" s="675">
        <v>0</v>
      </c>
      <c r="F431" s="549">
        <v>0</v>
      </c>
      <c r="G431" s="675">
        <v>0</v>
      </c>
      <c r="H431" s="549">
        <v>0</v>
      </c>
      <c r="I431" s="675">
        <v>0</v>
      </c>
      <c r="J431" s="549">
        <v>0</v>
      </c>
      <c r="K431" s="675">
        <v>0</v>
      </c>
      <c r="L431" s="549">
        <v>0</v>
      </c>
      <c r="M431" s="675">
        <v>0</v>
      </c>
      <c r="N431" s="549">
        <v>0</v>
      </c>
      <c r="O431" s="675">
        <v>0</v>
      </c>
      <c r="P431" s="549">
        <v>0</v>
      </c>
      <c r="Q431" s="675">
        <v>0</v>
      </c>
      <c r="R431" s="549">
        <v>0</v>
      </c>
      <c r="S431" s="675">
        <v>0</v>
      </c>
      <c r="T431" s="549">
        <v>0</v>
      </c>
      <c r="U431" s="675">
        <v>0</v>
      </c>
      <c r="V431" s="549">
        <v>0</v>
      </c>
      <c r="W431" s="675">
        <v>0</v>
      </c>
      <c r="X431" s="549">
        <v>0</v>
      </c>
      <c r="Y431" s="675">
        <v>0</v>
      </c>
      <c r="Z431" s="549">
        <v>0</v>
      </c>
      <c r="AA431" s="675">
        <v>0</v>
      </c>
      <c r="AB431" s="549">
        <v>0</v>
      </c>
      <c r="AC431" s="675">
        <v>0</v>
      </c>
      <c r="AD431" s="549">
        <v>0</v>
      </c>
      <c r="AE431" s="675">
        <v>0</v>
      </c>
      <c r="AF431" s="549">
        <v>0</v>
      </c>
      <c r="AG431" s="675">
        <v>0</v>
      </c>
      <c r="AH431" s="549">
        <v>0</v>
      </c>
      <c r="AI431" s="675">
        <v>0</v>
      </c>
      <c r="AJ431" s="549">
        <v>0</v>
      </c>
      <c r="AK431" s="675">
        <v>0</v>
      </c>
      <c r="AL431" s="549">
        <v>0</v>
      </c>
      <c r="AM431" s="675">
        <v>0</v>
      </c>
      <c r="AN431" s="549">
        <v>0</v>
      </c>
      <c r="AO431" s="675">
        <v>0</v>
      </c>
      <c r="AP431" s="549">
        <v>0</v>
      </c>
      <c r="AQ431" s="675">
        <v>0</v>
      </c>
      <c r="AR431" s="549">
        <v>0</v>
      </c>
      <c r="AS431" s="675">
        <v>0</v>
      </c>
      <c r="AT431" s="549">
        <v>0</v>
      </c>
      <c r="AU431" s="675">
        <v>0</v>
      </c>
      <c r="AV431" s="549">
        <v>0</v>
      </c>
      <c r="AW431" s="675">
        <v>0</v>
      </c>
      <c r="AX431" s="549">
        <v>0</v>
      </c>
      <c r="AY431" s="675">
        <v>0</v>
      </c>
      <c r="AZ431" s="549">
        <v>0</v>
      </c>
      <c r="BA431" s="675">
        <v>0</v>
      </c>
      <c r="BB431" s="549">
        <v>0</v>
      </c>
      <c r="BC431" s="675">
        <v>0</v>
      </c>
      <c r="BD431" s="549">
        <v>0</v>
      </c>
      <c r="BE431" s="675">
        <v>0</v>
      </c>
      <c r="BF431" s="549">
        <v>0</v>
      </c>
      <c r="BG431" s="675">
        <v>0</v>
      </c>
      <c r="BH431" s="549">
        <v>0</v>
      </c>
      <c r="BI431" s="675">
        <v>0</v>
      </c>
      <c r="BJ431" s="549">
        <v>0</v>
      </c>
      <c r="BK431" s="675">
        <v>0</v>
      </c>
      <c r="BL431" s="549">
        <v>1356</v>
      </c>
      <c r="BM431" s="675">
        <v>0</v>
      </c>
      <c r="BN431" s="549">
        <v>0</v>
      </c>
      <c r="BO431" s="675">
        <v>0</v>
      </c>
      <c r="BP431" s="549">
        <v>0</v>
      </c>
      <c r="BQ431" s="675">
        <v>0</v>
      </c>
      <c r="BR431" s="549">
        <v>0</v>
      </c>
      <c r="BS431" s="675">
        <v>0</v>
      </c>
      <c r="BT431" s="549">
        <v>0</v>
      </c>
      <c r="BU431" s="675">
        <v>0</v>
      </c>
      <c r="BV431" s="549">
        <v>0</v>
      </c>
      <c r="BW431" s="675">
        <v>0</v>
      </c>
      <c r="BX431" s="549">
        <v>0</v>
      </c>
      <c r="BY431" s="675">
        <v>0</v>
      </c>
      <c r="BZ431" s="549">
        <v>0</v>
      </c>
      <c r="CA431" s="675">
        <v>0</v>
      </c>
      <c r="CB431" s="549">
        <v>0</v>
      </c>
      <c r="CC431" s="675">
        <v>0</v>
      </c>
      <c r="CD431" s="549">
        <v>0</v>
      </c>
      <c r="CE431" s="675">
        <v>0</v>
      </c>
      <c r="CF431" s="549">
        <v>0</v>
      </c>
      <c r="CG431" s="675">
        <v>0</v>
      </c>
      <c r="CH431" s="549">
        <v>0</v>
      </c>
      <c r="CI431" s="675">
        <v>0</v>
      </c>
      <c r="CJ431" s="549">
        <v>0</v>
      </c>
      <c r="CK431" s="675">
        <v>0</v>
      </c>
      <c r="CL431" s="549">
        <v>0</v>
      </c>
      <c r="CM431" s="675">
        <v>0</v>
      </c>
      <c r="CN431" s="549">
        <v>0</v>
      </c>
      <c r="CO431" s="675">
        <v>0</v>
      </c>
      <c r="CP431" s="549">
        <v>0</v>
      </c>
      <c r="CQ431" s="675">
        <v>0</v>
      </c>
      <c r="CR431" s="549">
        <v>0</v>
      </c>
      <c r="CS431" s="675">
        <v>0</v>
      </c>
      <c r="CT431" s="549">
        <v>0</v>
      </c>
      <c r="CU431" s="675">
        <v>0</v>
      </c>
      <c r="CV431" s="549">
        <v>0</v>
      </c>
      <c r="CW431" s="675">
        <v>0</v>
      </c>
      <c r="CX431" s="549">
        <v>0</v>
      </c>
      <c r="CY431" s="675">
        <v>0</v>
      </c>
      <c r="CZ431" s="549">
        <v>0</v>
      </c>
      <c r="DA431" s="675">
        <v>0</v>
      </c>
      <c r="DB431" s="549">
        <v>0</v>
      </c>
      <c r="DC431" s="675">
        <v>0</v>
      </c>
      <c r="DD431" s="549">
        <v>0</v>
      </c>
      <c r="DE431" s="675">
        <v>0</v>
      </c>
      <c r="DF431" s="549">
        <v>0</v>
      </c>
      <c r="DG431" s="675">
        <v>0</v>
      </c>
      <c r="DH431" s="549">
        <v>0</v>
      </c>
      <c r="DI431" s="675">
        <v>0</v>
      </c>
      <c r="DJ431" s="549">
        <v>0</v>
      </c>
      <c r="DK431" s="675">
        <v>0</v>
      </c>
      <c r="DL431" s="549">
        <v>0</v>
      </c>
      <c r="DM431" s="675">
        <v>0</v>
      </c>
      <c r="DN431" s="549">
        <v>0</v>
      </c>
      <c r="DO431" s="675">
        <v>0</v>
      </c>
      <c r="DP431" s="549">
        <v>0</v>
      </c>
      <c r="DQ431" s="675">
        <v>0</v>
      </c>
      <c r="DR431" s="549">
        <v>0</v>
      </c>
      <c r="DS431" s="675">
        <v>0</v>
      </c>
      <c r="DT431" s="549">
        <v>0</v>
      </c>
      <c r="DU431" s="675">
        <v>0</v>
      </c>
      <c r="DV431" s="549">
        <v>0</v>
      </c>
      <c r="DW431" s="675">
        <v>0</v>
      </c>
      <c r="DX431" s="549">
        <v>0</v>
      </c>
      <c r="DY431" s="675">
        <v>0</v>
      </c>
      <c r="DZ431" s="549">
        <v>0</v>
      </c>
      <c r="EA431" s="675">
        <v>0</v>
      </c>
      <c r="EB431" s="549">
        <v>0</v>
      </c>
      <c r="EC431" s="675">
        <v>0</v>
      </c>
      <c r="ED431" s="549">
        <v>0</v>
      </c>
      <c r="EE431" s="675">
        <v>0</v>
      </c>
      <c r="EF431" s="549">
        <v>0</v>
      </c>
      <c r="EG431" s="675">
        <v>0</v>
      </c>
      <c r="EH431" s="549">
        <v>0</v>
      </c>
      <c r="EI431" s="675">
        <v>0</v>
      </c>
      <c r="EJ431" s="549">
        <v>0</v>
      </c>
      <c r="EK431" s="675">
        <v>0</v>
      </c>
      <c r="EL431" s="549">
        <v>0</v>
      </c>
      <c r="EM431" s="675">
        <v>0</v>
      </c>
      <c r="EN431" s="549">
        <v>0</v>
      </c>
      <c r="EO431" s="675">
        <v>0</v>
      </c>
      <c r="EP431" s="549">
        <v>0</v>
      </c>
      <c r="EQ431" s="675">
        <v>0</v>
      </c>
      <c r="ER431" s="549">
        <v>0</v>
      </c>
      <c r="ES431" s="675">
        <v>0</v>
      </c>
      <c r="ET431" s="549">
        <v>0</v>
      </c>
      <c r="EU431" s="675">
        <v>0</v>
      </c>
      <c r="EV431" s="549">
        <v>0</v>
      </c>
      <c r="EW431" s="675">
        <v>0</v>
      </c>
      <c r="EX431" s="549">
        <v>0</v>
      </c>
      <c r="EY431" s="675">
        <v>0</v>
      </c>
      <c r="EZ431" s="549">
        <v>0</v>
      </c>
      <c r="FA431" s="675">
        <v>0</v>
      </c>
      <c r="FB431" s="549">
        <v>0</v>
      </c>
      <c r="FC431" s="675">
        <v>0</v>
      </c>
      <c r="FD431" s="549">
        <v>0</v>
      </c>
      <c r="FE431" s="675">
        <v>0</v>
      </c>
      <c r="FF431" s="549">
        <v>0</v>
      </c>
      <c r="FG431" s="675">
        <v>0</v>
      </c>
      <c r="FH431" s="549">
        <v>0</v>
      </c>
      <c r="FI431" s="675">
        <v>0</v>
      </c>
      <c r="FJ431" s="549">
        <v>0</v>
      </c>
      <c r="FK431" s="675">
        <v>0</v>
      </c>
      <c r="FL431" s="549">
        <v>0</v>
      </c>
      <c r="FM431" s="675">
        <v>0</v>
      </c>
      <c r="FN431" s="549">
        <v>0</v>
      </c>
      <c r="FO431" s="675">
        <v>0</v>
      </c>
      <c r="FP431" s="549">
        <v>0</v>
      </c>
      <c r="FQ431" s="675">
        <v>0</v>
      </c>
      <c r="FR431" s="549">
        <v>0</v>
      </c>
      <c r="FS431" s="675">
        <v>0</v>
      </c>
      <c r="FT431" s="549">
        <v>0</v>
      </c>
      <c r="FU431" s="675">
        <v>0</v>
      </c>
      <c r="FV431" s="549">
        <v>0</v>
      </c>
      <c r="FW431" s="675">
        <v>0</v>
      </c>
      <c r="FX431" s="549">
        <v>0</v>
      </c>
      <c r="FY431" s="675">
        <v>0</v>
      </c>
      <c r="FZ431" s="549">
        <v>0</v>
      </c>
      <c r="GA431" s="675">
        <v>0</v>
      </c>
      <c r="GB431" s="549">
        <v>0</v>
      </c>
      <c r="GC431" s="675">
        <v>0</v>
      </c>
      <c r="GD431" s="549">
        <v>0</v>
      </c>
      <c r="GE431" s="675">
        <v>0</v>
      </c>
      <c r="GF431" s="549">
        <v>0</v>
      </c>
      <c r="GG431" s="675">
        <v>0</v>
      </c>
      <c r="GH431" s="549">
        <v>0</v>
      </c>
      <c r="GI431" s="675">
        <v>0</v>
      </c>
      <c r="GJ431" s="549">
        <v>0</v>
      </c>
      <c r="GK431" s="675">
        <v>0</v>
      </c>
      <c r="GL431" s="549">
        <v>0</v>
      </c>
      <c r="GM431" s="675">
        <v>0</v>
      </c>
      <c r="GN431" s="549">
        <v>0</v>
      </c>
      <c r="GO431" s="675">
        <v>0</v>
      </c>
      <c r="GP431" s="549">
        <f t="shared" si="11242"/>
        <v>1356</v>
      </c>
      <c r="GQ431" s="675">
        <f t="shared" si="11243"/>
        <v>0</v>
      </c>
      <c r="GR431" s="74">
        <f t="shared" si="11232"/>
        <v>1356</v>
      </c>
      <c r="GS431" s="74">
        <f t="shared" ref="GS431:GS435" si="11269">SUM(GU431:HD431)+GP431+GQ431</f>
        <v>1356</v>
      </c>
      <c r="GT431" s="568">
        <f t="shared" si="11234"/>
        <v>1356</v>
      </c>
      <c r="GU431" s="275">
        <v>0</v>
      </c>
      <c r="GV431" s="275">
        <v>0</v>
      </c>
      <c r="GW431" s="588">
        <v>0</v>
      </c>
      <c r="GX431" s="588">
        <v>0</v>
      </c>
      <c r="GY431" s="275">
        <v>0</v>
      </c>
      <c r="GZ431" s="275">
        <v>0</v>
      </c>
      <c r="HA431" s="275">
        <v>0</v>
      </c>
      <c r="HB431" s="275">
        <v>0</v>
      </c>
      <c r="HC431" s="275">
        <v>0</v>
      </c>
      <c r="HD431" s="275">
        <v>0</v>
      </c>
      <c r="HE431" s="275">
        <v>0</v>
      </c>
      <c r="HF431" s="275">
        <v>0</v>
      </c>
      <c r="HG431" s="74">
        <f t="shared" si="11235"/>
        <v>1356</v>
      </c>
      <c r="HH431" s="89">
        <v>0</v>
      </c>
      <c r="HI431" s="817">
        <v>0</v>
      </c>
      <c r="HJ431" s="89">
        <v>0</v>
      </c>
      <c r="HK431" s="817">
        <v>0</v>
      </c>
      <c r="HL431" s="89">
        <v>0</v>
      </c>
      <c r="HM431" s="817">
        <v>0</v>
      </c>
      <c r="HN431" s="89">
        <v>0</v>
      </c>
      <c r="HO431" s="817">
        <v>0</v>
      </c>
      <c r="HP431" s="89">
        <v>0</v>
      </c>
      <c r="HQ431" s="817">
        <v>0</v>
      </c>
      <c r="HR431" s="89">
        <v>1356</v>
      </c>
      <c r="HS431" s="817">
        <v>0</v>
      </c>
      <c r="HT431" s="89">
        <v>0</v>
      </c>
      <c r="HU431" s="817">
        <v>0</v>
      </c>
      <c r="HV431" s="89">
        <v>0</v>
      </c>
      <c r="HW431" s="817">
        <v>0</v>
      </c>
      <c r="HX431" s="89">
        <v>0</v>
      </c>
      <c r="HY431" s="817">
        <v>0</v>
      </c>
      <c r="HZ431" s="89">
        <v>0</v>
      </c>
      <c r="IA431" s="817">
        <v>0</v>
      </c>
      <c r="IB431" s="89">
        <v>0</v>
      </c>
      <c r="IC431" s="817">
        <v>0</v>
      </c>
      <c r="ID431" s="89">
        <v>0</v>
      </c>
      <c r="IE431" s="817">
        <v>0</v>
      </c>
      <c r="IF431" s="841">
        <f t="shared" si="11236"/>
        <v>1356</v>
      </c>
      <c r="IG431" s="263">
        <f t="shared" si="11237"/>
        <v>1356</v>
      </c>
      <c r="IH431" s="842">
        <f t="shared" si="11238"/>
        <v>1356</v>
      </c>
      <c r="II431" s="89">
        <v>0</v>
      </c>
      <c r="IJ431" s="89">
        <f t="shared" si="11245"/>
        <v>0</v>
      </c>
      <c r="IK431" s="89">
        <f t="shared" si="11246"/>
        <v>0</v>
      </c>
      <c r="IL431" s="89">
        <v>0</v>
      </c>
      <c r="IM431" s="89">
        <f t="shared" si="11247"/>
        <v>0</v>
      </c>
      <c r="IN431" s="89">
        <f t="shared" si="11248"/>
        <v>0</v>
      </c>
      <c r="IO431" s="89">
        <v>0</v>
      </c>
      <c r="IP431" s="89">
        <f t="shared" si="11249"/>
        <v>0</v>
      </c>
      <c r="IQ431" s="89">
        <f t="shared" si="11250"/>
        <v>0</v>
      </c>
      <c r="IR431" s="89">
        <v>0</v>
      </c>
      <c r="IS431" s="89">
        <f t="shared" si="11251"/>
        <v>0</v>
      </c>
      <c r="IT431" s="89">
        <f t="shared" si="11252"/>
        <v>0</v>
      </c>
      <c r="IU431" s="89">
        <v>0</v>
      </c>
      <c r="IV431" s="89">
        <f t="shared" si="11253"/>
        <v>0</v>
      </c>
      <c r="IW431" s="89">
        <f t="shared" si="11254"/>
        <v>0</v>
      </c>
      <c r="IX431" s="89">
        <v>1356</v>
      </c>
      <c r="IY431" s="89">
        <f t="shared" si="11255"/>
        <v>1356</v>
      </c>
      <c r="IZ431" s="89">
        <f t="shared" si="11256"/>
        <v>1356</v>
      </c>
      <c r="JA431" s="89">
        <f>1356-1356</f>
        <v>0</v>
      </c>
      <c r="JB431" s="89">
        <f t="shared" si="11257"/>
        <v>0</v>
      </c>
      <c r="JC431" s="89">
        <f t="shared" si="11258"/>
        <v>0</v>
      </c>
      <c r="JD431" s="89">
        <v>0</v>
      </c>
      <c r="JE431" s="89">
        <f t="shared" si="11259"/>
        <v>0</v>
      </c>
      <c r="JF431" s="89">
        <f t="shared" si="11260"/>
        <v>0</v>
      </c>
      <c r="JG431" s="89">
        <v>0</v>
      </c>
      <c r="JH431" s="89">
        <f t="shared" si="11261"/>
        <v>0</v>
      </c>
      <c r="JI431" s="89">
        <f t="shared" si="11262"/>
        <v>0</v>
      </c>
      <c r="JJ431" s="89">
        <v>0</v>
      </c>
      <c r="JK431" s="89">
        <f t="shared" si="11263"/>
        <v>0</v>
      </c>
      <c r="JL431" s="89">
        <f t="shared" si="11264"/>
        <v>0</v>
      </c>
      <c r="JM431" s="89">
        <v>0</v>
      </c>
      <c r="JN431" s="89">
        <f t="shared" si="11265"/>
        <v>0</v>
      </c>
      <c r="JO431" s="89">
        <f t="shared" si="11266"/>
        <v>0</v>
      </c>
      <c r="JP431" s="89">
        <v>0</v>
      </c>
      <c r="JQ431" s="89">
        <f t="shared" ref="JQ431:JR431" si="11270">JP431</f>
        <v>0</v>
      </c>
      <c r="JR431" s="89">
        <f t="shared" si="11270"/>
        <v>0</v>
      </c>
      <c r="JS431" s="74">
        <f t="shared" si="11239"/>
        <v>0</v>
      </c>
      <c r="JT431" s="382">
        <f t="shared" si="11240"/>
        <v>0</v>
      </c>
      <c r="JU431" s="665"/>
      <c r="JV431" s="524"/>
      <c r="JW431" s="525"/>
      <c r="JX431" s="549">
        <f t="shared" si="11241"/>
        <v>1356</v>
      </c>
      <c r="JY431" s="549">
        <f t="shared" si="11241"/>
        <v>0</v>
      </c>
      <c r="JZ431" s="581">
        <f t="shared" si="10300"/>
        <v>1356</v>
      </c>
      <c r="KA431" s="581">
        <f t="shared" si="10301"/>
        <v>0</v>
      </c>
      <c r="KB431" s="549">
        <f t="shared" si="10257"/>
        <v>1356</v>
      </c>
      <c r="KC431" s="709">
        <f t="shared" si="10273"/>
        <v>0</v>
      </c>
      <c r="KD431" s="36"/>
      <c r="KE431" s="36"/>
      <c r="KF431" s="36"/>
      <c r="KG431" s="36"/>
      <c r="KH431" s="36"/>
      <c r="KI431" s="36"/>
      <c r="KJ431" s="36"/>
      <c r="KK431" s="36"/>
    </row>
    <row r="432" spans="1:297" s="10" customFormat="1" ht="12.75" customHeight="1">
      <c r="A432" s="86" t="s">
        <v>698</v>
      </c>
      <c r="B432" s="77"/>
      <c r="C432" s="74">
        <v>0</v>
      </c>
      <c r="D432" s="549">
        <v>0</v>
      </c>
      <c r="E432" s="675">
        <v>0</v>
      </c>
      <c r="F432" s="549">
        <v>0</v>
      </c>
      <c r="G432" s="675">
        <v>0</v>
      </c>
      <c r="H432" s="549">
        <v>0</v>
      </c>
      <c r="I432" s="675">
        <v>0</v>
      </c>
      <c r="J432" s="549">
        <v>0</v>
      </c>
      <c r="K432" s="675">
        <v>0</v>
      </c>
      <c r="L432" s="549">
        <v>0</v>
      </c>
      <c r="M432" s="675">
        <v>0</v>
      </c>
      <c r="N432" s="549">
        <v>0</v>
      </c>
      <c r="O432" s="675">
        <v>0</v>
      </c>
      <c r="P432" s="549">
        <v>0</v>
      </c>
      <c r="Q432" s="675">
        <v>0</v>
      </c>
      <c r="R432" s="549">
        <v>0</v>
      </c>
      <c r="S432" s="675">
        <v>0</v>
      </c>
      <c r="T432" s="549">
        <v>0</v>
      </c>
      <c r="U432" s="675">
        <v>0</v>
      </c>
      <c r="V432" s="549">
        <v>0</v>
      </c>
      <c r="W432" s="675">
        <v>0</v>
      </c>
      <c r="X432" s="549">
        <v>0</v>
      </c>
      <c r="Y432" s="675">
        <v>0</v>
      </c>
      <c r="Z432" s="549">
        <v>0</v>
      </c>
      <c r="AA432" s="675">
        <v>0</v>
      </c>
      <c r="AB432" s="549">
        <v>0</v>
      </c>
      <c r="AC432" s="675">
        <v>0</v>
      </c>
      <c r="AD432" s="549">
        <v>0</v>
      </c>
      <c r="AE432" s="675">
        <v>0</v>
      </c>
      <c r="AF432" s="549">
        <v>0</v>
      </c>
      <c r="AG432" s="675">
        <v>0</v>
      </c>
      <c r="AH432" s="549">
        <v>0</v>
      </c>
      <c r="AI432" s="675">
        <v>0</v>
      </c>
      <c r="AJ432" s="549">
        <v>0</v>
      </c>
      <c r="AK432" s="675">
        <v>0</v>
      </c>
      <c r="AL432" s="549">
        <v>0</v>
      </c>
      <c r="AM432" s="675">
        <v>0</v>
      </c>
      <c r="AN432" s="549">
        <v>0</v>
      </c>
      <c r="AO432" s="675">
        <v>0</v>
      </c>
      <c r="AP432" s="549">
        <v>0</v>
      </c>
      <c r="AQ432" s="675">
        <v>0</v>
      </c>
      <c r="AR432" s="549">
        <v>0</v>
      </c>
      <c r="AS432" s="675">
        <v>0</v>
      </c>
      <c r="AT432" s="549">
        <v>0</v>
      </c>
      <c r="AU432" s="675">
        <v>0</v>
      </c>
      <c r="AV432" s="549">
        <v>0</v>
      </c>
      <c r="AW432" s="675">
        <v>0</v>
      </c>
      <c r="AX432" s="549">
        <v>0</v>
      </c>
      <c r="AY432" s="675">
        <v>0</v>
      </c>
      <c r="AZ432" s="549">
        <v>0</v>
      </c>
      <c r="BA432" s="675">
        <v>0</v>
      </c>
      <c r="BB432" s="549">
        <v>0</v>
      </c>
      <c r="BC432" s="675">
        <v>0</v>
      </c>
      <c r="BD432" s="549">
        <v>0</v>
      </c>
      <c r="BE432" s="675">
        <v>0</v>
      </c>
      <c r="BF432" s="549">
        <v>0</v>
      </c>
      <c r="BG432" s="675">
        <v>0</v>
      </c>
      <c r="BH432" s="549">
        <v>0</v>
      </c>
      <c r="BI432" s="675">
        <v>0</v>
      </c>
      <c r="BJ432" s="549">
        <v>0</v>
      </c>
      <c r="BK432" s="675">
        <v>0</v>
      </c>
      <c r="BL432" s="549">
        <v>51</v>
      </c>
      <c r="BM432" s="675">
        <v>0</v>
      </c>
      <c r="BN432" s="549">
        <v>0</v>
      </c>
      <c r="BO432" s="675">
        <v>0</v>
      </c>
      <c r="BP432" s="549">
        <v>0</v>
      </c>
      <c r="BQ432" s="675">
        <v>0</v>
      </c>
      <c r="BR432" s="549">
        <v>0</v>
      </c>
      <c r="BS432" s="675">
        <v>0</v>
      </c>
      <c r="BT432" s="549">
        <v>0</v>
      </c>
      <c r="BU432" s="675">
        <v>0</v>
      </c>
      <c r="BV432" s="549">
        <v>0</v>
      </c>
      <c r="BW432" s="675">
        <v>0</v>
      </c>
      <c r="BX432" s="549">
        <v>0</v>
      </c>
      <c r="BY432" s="675">
        <v>0</v>
      </c>
      <c r="BZ432" s="549">
        <v>0</v>
      </c>
      <c r="CA432" s="675">
        <v>0</v>
      </c>
      <c r="CB432" s="549">
        <v>0</v>
      </c>
      <c r="CC432" s="675">
        <v>0</v>
      </c>
      <c r="CD432" s="549">
        <v>0</v>
      </c>
      <c r="CE432" s="675">
        <v>0</v>
      </c>
      <c r="CF432" s="549">
        <v>0</v>
      </c>
      <c r="CG432" s="675">
        <v>0</v>
      </c>
      <c r="CH432" s="549">
        <v>0</v>
      </c>
      <c r="CI432" s="675">
        <v>0</v>
      </c>
      <c r="CJ432" s="549">
        <v>0</v>
      </c>
      <c r="CK432" s="675">
        <v>0</v>
      </c>
      <c r="CL432" s="549">
        <v>0</v>
      </c>
      <c r="CM432" s="675">
        <v>0</v>
      </c>
      <c r="CN432" s="549">
        <v>0</v>
      </c>
      <c r="CO432" s="675">
        <v>0</v>
      </c>
      <c r="CP432" s="549">
        <v>0</v>
      </c>
      <c r="CQ432" s="675">
        <v>0</v>
      </c>
      <c r="CR432" s="549">
        <v>0</v>
      </c>
      <c r="CS432" s="675">
        <v>0</v>
      </c>
      <c r="CT432" s="549">
        <v>0</v>
      </c>
      <c r="CU432" s="675">
        <v>0</v>
      </c>
      <c r="CV432" s="549">
        <v>0</v>
      </c>
      <c r="CW432" s="675">
        <v>0</v>
      </c>
      <c r="CX432" s="549">
        <v>0</v>
      </c>
      <c r="CY432" s="675">
        <v>0</v>
      </c>
      <c r="CZ432" s="549">
        <v>0</v>
      </c>
      <c r="DA432" s="675">
        <v>0</v>
      </c>
      <c r="DB432" s="549">
        <v>0</v>
      </c>
      <c r="DC432" s="675">
        <v>0</v>
      </c>
      <c r="DD432" s="549">
        <v>0</v>
      </c>
      <c r="DE432" s="675">
        <v>0</v>
      </c>
      <c r="DF432" s="549">
        <v>0</v>
      </c>
      <c r="DG432" s="675">
        <v>0</v>
      </c>
      <c r="DH432" s="549">
        <v>0</v>
      </c>
      <c r="DI432" s="675">
        <v>0</v>
      </c>
      <c r="DJ432" s="549">
        <v>0</v>
      </c>
      <c r="DK432" s="675">
        <v>0</v>
      </c>
      <c r="DL432" s="549">
        <v>0</v>
      </c>
      <c r="DM432" s="675">
        <v>0</v>
      </c>
      <c r="DN432" s="549">
        <v>0</v>
      </c>
      <c r="DO432" s="675">
        <v>0</v>
      </c>
      <c r="DP432" s="549">
        <v>0</v>
      </c>
      <c r="DQ432" s="675">
        <v>0</v>
      </c>
      <c r="DR432" s="549">
        <v>0</v>
      </c>
      <c r="DS432" s="675">
        <v>0</v>
      </c>
      <c r="DT432" s="549">
        <v>0</v>
      </c>
      <c r="DU432" s="675">
        <v>0</v>
      </c>
      <c r="DV432" s="549">
        <v>0</v>
      </c>
      <c r="DW432" s="675">
        <v>0</v>
      </c>
      <c r="DX432" s="549">
        <v>0</v>
      </c>
      <c r="DY432" s="675">
        <v>0</v>
      </c>
      <c r="DZ432" s="549">
        <v>0</v>
      </c>
      <c r="EA432" s="675">
        <v>0</v>
      </c>
      <c r="EB432" s="549">
        <v>0</v>
      </c>
      <c r="EC432" s="675">
        <v>0</v>
      </c>
      <c r="ED432" s="549">
        <v>0</v>
      </c>
      <c r="EE432" s="675">
        <v>0</v>
      </c>
      <c r="EF432" s="549">
        <v>0</v>
      </c>
      <c r="EG432" s="675">
        <v>0</v>
      </c>
      <c r="EH432" s="549">
        <v>0</v>
      </c>
      <c r="EI432" s="675">
        <v>0</v>
      </c>
      <c r="EJ432" s="549">
        <v>0</v>
      </c>
      <c r="EK432" s="675">
        <v>0</v>
      </c>
      <c r="EL432" s="549">
        <v>0</v>
      </c>
      <c r="EM432" s="675">
        <v>0</v>
      </c>
      <c r="EN432" s="549">
        <v>0</v>
      </c>
      <c r="EO432" s="675">
        <v>0</v>
      </c>
      <c r="EP432" s="549">
        <v>0</v>
      </c>
      <c r="EQ432" s="675">
        <v>0</v>
      </c>
      <c r="ER432" s="549">
        <v>0</v>
      </c>
      <c r="ES432" s="675">
        <v>0</v>
      </c>
      <c r="ET432" s="549">
        <v>0</v>
      </c>
      <c r="EU432" s="675">
        <v>0</v>
      </c>
      <c r="EV432" s="549">
        <v>0</v>
      </c>
      <c r="EW432" s="675">
        <v>0</v>
      </c>
      <c r="EX432" s="549">
        <v>0</v>
      </c>
      <c r="EY432" s="675">
        <v>0</v>
      </c>
      <c r="EZ432" s="549">
        <v>0</v>
      </c>
      <c r="FA432" s="675">
        <v>0</v>
      </c>
      <c r="FB432" s="549">
        <v>0</v>
      </c>
      <c r="FC432" s="675">
        <v>0</v>
      </c>
      <c r="FD432" s="549">
        <v>0</v>
      </c>
      <c r="FE432" s="675">
        <v>0</v>
      </c>
      <c r="FF432" s="549">
        <v>0</v>
      </c>
      <c r="FG432" s="675">
        <v>0</v>
      </c>
      <c r="FH432" s="549">
        <v>0</v>
      </c>
      <c r="FI432" s="675">
        <v>0</v>
      </c>
      <c r="FJ432" s="549">
        <v>0</v>
      </c>
      <c r="FK432" s="675">
        <v>0</v>
      </c>
      <c r="FL432" s="549">
        <v>0</v>
      </c>
      <c r="FM432" s="675">
        <v>0</v>
      </c>
      <c r="FN432" s="549">
        <v>0</v>
      </c>
      <c r="FO432" s="675">
        <v>0</v>
      </c>
      <c r="FP432" s="549">
        <v>0</v>
      </c>
      <c r="FQ432" s="675">
        <v>0</v>
      </c>
      <c r="FR432" s="549">
        <v>0</v>
      </c>
      <c r="FS432" s="675">
        <v>0</v>
      </c>
      <c r="FT432" s="549">
        <v>0</v>
      </c>
      <c r="FU432" s="675">
        <v>0</v>
      </c>
      <c r="FV432" s="549">
        <v>0</v>
      </c>
      <c r="FW432" s="675">
        <v>0</v>
      </c>
      <c r="FX432" s="549">
        <v>0</v>
      </c>
      <c r="FY432" s="675">
        <v>0</v>
      </c>
      <c r="FZ432" s="549">
        <v>0</v>
      </c>
      <c r="GA432" s="675">
        <v>0</v>
      </c>
      <c r="GB432" s="549">
        <v>0</v>
      </c>
      <c r="GC432" s="675">
        <v>0</v>
      </c>
      <c r="GD432" s="549">
        <v>0</v>
      </c>
      <c r="GE432" s="675">
        <v>0</v>
      </c>
      <c r="GF432" s="549">
        <v>0</v>
      </c>
      <c r="GG432" s="675">
        <v>0</v>
      </c>
      <c r="GH432" s="549">
        <v>0</v>
      </c>
      <c r="GI432" s="675">
        <v>0</v>
      </c>
      <c r="GJ432" s="549">
        <v>0</v>
      </c>
      <c r="GK432" s="675">
        <v>0</v>
      </c>
      <c r="GL432" s="549">
        <v>0</v>
      </c>
      <c r="GM432" s="675">
        <v>0</v>
      </c>
      <c r="GN432" s="549">
        <v>0</v>
      </c>
      <c r="GO432" s="675">
        <v>0</v>
      </c>
      <c r="GP432" s="549">
        <f t="shared" si="11242"/>
        <v>51</v>
      </c>
      <c r="GQ432" s="675">
        <f t="shared" si="11243"/>
        <v>0</v>
      </c>
      <c r="GR432" s="74">
        <f t="shared" si="11232"/>
        <v>51</v>
      </c>
      <c r="GS432" s="74">
        <f t="shared" si="11269"/>
        <v>51</v>
      </c>
      <c r="GT432" s="568">
        <f t="shared" si="11234"/>
        <v>51</v>
      </c>
      <c r="GU432" s="275">
        <v>0</v>
      </c>
      <c r="GV432" s="275">
        <v>0</v>
      </c>
      <c r="GW432" s="588">
        <v>0</v>
      </c>
      <c r="GX432" s="588">
        <v>0</v>
      </c>
      <c r="GY432" s="275">
        <v>0</v>
      </c>
      <c r="GZ432" s="275">
        <v>0</v>
      </c>
      <c r="HA432" s="275">
        <v>0</v>
      </c>
      <c r="HB432" s="275">
        <v>0</v>
      </c>
      <c r="HC432" s="275">
        <v>0</v>
      </c>
      <c r="HD432" s="275">
        <v>0</v>
      </c>
      <c r="HE432" s="275">
        <v>0</v>
      </c>
      <c r="HF432" s="275">
        <v>0</v>
      </c>
      <c r="HG432" s="74">
        <f t="shared" si="11235"/>
        <v>50.5</v>
      </c>
      <c r="HH432" s="89">
        <v>0</v>
      </c>
      <c r="HI432" s="817">
        <v>0</v>
      </c>
      <c r="HJ432" s="89">
        <v>0</v>
      </c>
      <c r="HK432" s="817">
        <v>0</v>
      </c>
      <c r="HL432" s="89">
        <v>0</v>
      </c>
      <c r="HM432" s="817">
        <v>0</v>
      </c>
      <c r="HN432" s="89">
        <v>0</v>
      </c>
      <c r="HO432" s="817">
        <v>0</v>
      </c>
      <c r="HP432" s="89">
        <v>0</v>
      </c>
      <c r="HQ432" s="817">
        <v>0</v>
      </c>
      <c r="HR432" s="89">
        <v>50.5</v>
      </c>
      <c r="HS432" s="817">
        <v>0</v>
      </c>
      <c r="HT432" s="89">
        <v>0</v>
      </c>
      <c r="HU432" s="817">
        <v>0</v>
      </c>
      <c r="HV432" s="89">
        <v>0</v>
      </c>
      <c r="HW432" s="817">
        <v>0</v>
      </c>
      <c r="HX432" s="89">
        <v>0</v>
      </c>
      <c r="HY432" s="817">
        <v>0</v>
      </c>
      <c r="HZ432" s="89">
        <v>0</v>
      </c>
      <c r="IA432" s="817">
        <v>0</v>
      </c>
      <c r="IB432" s="89">
        <v>0</v>
      </c>
      <c r="IC432" s="817">
        <v>0</v>
      </c>
      <c r="ID432" s="89">
        <v>0</v>
      </c>
      <c r="IE432" s="817">
        <v>0</v>
      </c>
      <c r="IF432" s="841">
        <f t="shared" si="11236"/>
        <v>50.5</v>
      </c>
      <c r="IG432" s="263">
        <f t="shared" si="11237"/>
        <v>50.5</v>
      </c>
      <c r="IH432" s="842">
        <f t="shared" si="11238"/>
        <v>50.5</v>
      </c>
      <c r="II432" s="89">
        <v>0</v>
      </c>
      <c r="IJ432" s="89">
        <f t="shared" si="11245"/>
        <v>0</v>
      </c>
      <c r="IK432" s="89">
        <f t="shared" si="11246"/>
        <v>0</v>
      </c>
      <c r="IL432" s="89">
        <v>0</v>
      </c>
      <c r="IM432" s="89">
        <f t="shared" si="11247"/>
        <v>0</v>
      </c>
      <c r="IN432" s="89">
        <f t="shared" si="11248"/>
        <v>0</v>
      </c>
      <c r="IO432" s="89">
        <v>0</v>
      </c>
      <c r="IP432" s="89">
        <f t="shared" si="11249"/>
        <v>0</v>
      </c>
      <c r="IQ432" s="89">
        <f t="shared" si="11250"/>
        <v>0</v>
      </c>
      <c r="IR432" s="89">
        <v>0</v>
      </c>
      <c r="IS432" s="89">
        <f t="shared" si="11251"/>
        <v>0</v>
      </c>
      <c r="IT432" s="89">
        <f t="shared" si="11252"/>
        <v>0</v>
      </c>
      <c r="IU432" s="89">
        <v>0</v>
      </c>
      <c r="IV432" s="89">
        <f t="shared" si="11253"/>
        <v>0</v>
      </c>
      <c r="IW432" s="89">
        <f t="shared" si="11254"/>
        <v>0</v>
      </c>
      <c r="IX432" s="89">
        <v>50.5</v>
      </c>
      <c r="IY432" s="89">
        <f t="shared" si="11255"/>
        <v>50.5</v>
      </c>
      <c r="IZ432" s="89">
        <f t="shared" si="11256"/>
        <v>50.5</v>
      </c>
      <c r="JA432" s="89">
        <f>50.5-50.5</f>
        <v>0</v>
      </c>
      <c r="JB432" s="89">
        <f t="shared" si="11257"/>
        <v>0</v>
      </c>
      <c r="JC432" s="89">
        <f t="shared" si="11258"/>
        <v>0</v>
      </c>
      <c r="JD432" s="89">
        <v>0</v>
      </c>
      <c r="JE432" s="89">
        <f t="shared" si="11259"/>
        <v>0</v>
      </c>
      <c r="JF432" s="89">
        <f t="shared" si="11260"/>
        <v>0</v>
      </c>
      <c r="JG432" s="89">
        <v>0</v>
      </c>
      <c r="JH432" s="89">
        <f t="shared" si="11261"/>
        <v>0</v>
      </c>
      <c r="JI432" s="89">
        <f t="shared" si="11262"/>
        <v>0</v>
      </c>
      <c r="JJ432" s="89">
        <v>0</v>
      </c>
      <c r="JK432" s="89">
        <f t="shared" si="11263"/>
        <v>0</v>
      </c>
      <c r="JL432" s="89">
        <f t="shared" si="11264"/>
        <v>0</v>
      </c>
      <c r="JM432" s="89">
        <v>0</v>
      </c>
      <c r="JN432" s="89">
        <f t="shared" si="11265"/>
        <v>0</v>
      </c>
      <c r="JO432" s="89">
        <f t="shared" si="11266"/>
        <v>0</v>
      </c>
      <c r="JP432" s="89">
        <v>0</v>
      </c>
      <c r="JQ432" s="89">
        <f t="shared" ref="JQ432:JR432" si="11271">JP432</f>
        <v>0</v>
      </c>
      <c r="JR432" s="89">
        <f t="shared" si="11271"/>
        <v>0</v>
      </c>
      <c r="JS432" s="74">
        <f t="shared" si="11239"/>
        <v>0</v>
      </c>
      <c r="JT432" s="382">
        <f t="shared" si="11240"/>
        <v>0.5</v>
      </c>
      <c r="JU432" s="665"/>
      <c r="JV432" s="524"/>
      <c r="JW432" s="525"/>
      <c r="JX432" s="549">
        <f t="shared" si="11241"/>
        <v>50.5</v>
      </c>
      <c r="JY432" s="549">
        <f t="shared" si="11241"/>
        <v>0</v>
      </c>
      <c r="JZ432" s="581">
        <f t="shared" si="10300"/>
        <v>51</v>
      </c>
      <c r="KA432" s="581">
        <f t="shared" si="10301"/>
        <v>0</v>
      </c>
      <c r="KB432" s="549">
        <f t="shared" si="10257"/>
        <v>50.5</v>
      </c>
      <c r="KC432" s="709">
        <f t="shared" si="10273"/>
        <v>0</v>
      </c>
      <c r="KD432" s="36"/>
      <c r="KE432" s="36"/>
      <c r="KF432" s="36"/>
      <c r="KG432" s="36"/>
      <c r="KH432" s="36"/>
      <c r="KI432" s="36"/>
      <c r="KJ432" s="36"/>
      <c r="KK432" s="36"/>
    </row>
    <row r="433" spans="1:297" s="10" customFormat="1" ht="12.75" customHeight="1">
      <c r="A433" s="86" t="s">
        <v>699</v>
      </c>
      <c r="B433" s="77"/>
      <c r="C433" s="74">
        <v>0</v>
      </c>
      <c r="D433" s="549">
        <v>0</v>
      </c>
      <c r="E433" s="675">
        <v>0</v>
      </c>
      <c r="F433" s="549">
        <v>0</v>
      </c>
      <c r="G433" s="675">
        <v>0</v>
      </c>
      <c r="H433" s="549">
        <v>0</v>
      </c>
      <c r="I433" s="675">
        <v>0</v>
      </c>
      <c r="J433" s="549">
        <v>0</v>
      </c>
      <c r="K433" s="675">
        <v>0</v>
      </c>
      <c r="L433" s="549">
        <v>0</v>
      </c>
      <c r="M433" s="675">
        <v>0</v>
      </c>
      <c r="N433" s="549">
        <v>0</v>
      </c>
      <c r="O433" s="675">
        <v>0</v>
      </c>
      <c r="P433" s="549">
        <v>0</v>
      </c>
      <c r="Q433" s="675">
        <v>0</v>
      </c>
      <c r="R433" s="549">
        <v>0</v>
      </c>
      <c r="S433" s="675">
        <v>0</v>
      </c>
      <c r="T433" s="549">
        <v>0</v>
      </c>
      <c r="U433" s="675">
        <v>0</v>
      </c>
      <c r="V433" s="549">
        <v>0</v>
      </c>
      <c r="W433" s="675">
        <v>0</v>
      </c>
      <c r="X433" s="549">
        <v>0</v>
      </c>
      <c r="Y433" s="675">
        <v>0</v>
      </c>
      <c r="Z433" s="549">
        <v>0</v>
      </c>
      <c r="AA433" s="675">
        <v>0</v>
      </c>
      <c r="AB433" s="549">
        <v>0</v>
      </c>
      <c r="AC433" s="675">
        <v>0</v>
      </c>
      <c r="AD433" s="549">
        <v>0</v>
      </c>
      <c r="AE433" s="675">
        <v>0</v>
      </c>
      <c r="AF433" s="549">
        <v>0</v>
      </c>
      <c r="AG433" s="675">
        <v>0</v>
      </c>
      <c r="AH433" s="549">
        <v>0</v>
      </c>
      <c r="AI433" s="675">
        <v>0</v>
      </c>
      <c r="AJ433" s="549">
        <v>0</v>
      </c>
      <c r="AK433" s="675">
        <v>0</v>
      </c>
      <c r="AL433" s="549">
        <v>0</v>
      </c>
      <c r="AM433" s="675">
        <v>0</v>
      </c>
      <c r="AN433" s="549">
        <v>0</v>
      </c>
      <c r="AO433" s="675">
        <v>0</v>
      </c>
      <c r="AP433" s="549">
        <v>0</v>
      </c>
      <c r="AQ433" s="675">
        <v>0</v>
      </c>
      <c r="AR433" s="549">
        <v>0</v>
      </c>
      <c r="AS433" s="675">
        <v>0</v>
      </c>
      <c r="AT433" s="549">
        <v>0</v>
      </c>
      <c r="AU433" s="675">
        <v>0</v>
      </c>
      <c r="AV433" s="549">
        <v>0</v>
      </c>
      <c r="AW433" s="675">
        <v>0</v>
      </c>
      <c r="AX433" s="549">
        <v>0</v>
      </c>
      <c r="AY433" s="675">
        <v>0</v>
      </c>
      <c r="AZ433" s="549">
        <v>0</v>
      </c>
      <c r="BA433" s="675">
        <v>0</v>
      </c>
      <c r="BB433" s="549">
        <v>0</v>
      </c>
      <c r="BC433" s="675">
        <v>0</v>
      </c>
      <c r="BD433" s="549">
        <v>0</v>
      </c>
      <c r="BE433" s="675">
        <v>0</v>
      </c>
      <c r="BF433" s="549">
        <v>0</v>
      </c>
      <c r="BG433" s="675">
        <v>0</v>
      </c>
      <c r="BH433" s="549">
        <v>0</v>
      </c>
      <c r="BI433" s="675">
        <v>0</v>
      </c>
      <c r="BJ433" s="549">
        <v>0</v>
      </c>
      <c r="BK433" s="675">
        <v>0</v>
      </c>
      <c r="BL433" s="549">
        <v>1775</v>
      </c>
      <c r="BM433" s="675">
        <v>0</v>
      </c>
      <c r="BN433" s="549">
        <v>0</v>
      </c>
      <c r="BO433" s="675">
        <v>0</v>
      </c>
      <c r="BP433" s="549">
        <v>0</v>
      </c>
      <c r="BQ433" s="675">
        <v>0</v>
      </c>
      <c r="BR433" s="549">
        <v>0</v>
      </c>
      <c r="BS433" s="675">
        <v>0</v>
      </c>
      <c r="BT433" s="549">
        <v>0</v>
      </c>
      <c r="BU433" s="675">
        <v>0</v>
      </c>
      <c r="BV433" s="549">
        <v>0</v>
      </c>
      <c r="BW433" s="675">
        <v>0</v>
      </c>
      <c r="BX433" s="549">
        <v>0</v>
      </c>
      <c r="BY433" s="675">
        <v>0</v>
      </c>
      <c r="BZ433" s="549">
        <v>0</v>
      </c>
      <c r="CA433" s="675">
        <v>-1775</v>
      </c>
      <c r="CB433" s="549">
        <v>0</v>
      </c>
      <c r="CC433" s="675">
        <v>0</v>
      </c>
      <c r="CD433" s="549">
        <v>0</v>
      </c>
      <c r="CE433" s="675">
        <v>0</v>
      </c>
      <c r="CF433" s="549">
        <v>0</v>
      </c>
      <c r="CG433" s="675">
        <v>0</v>
      </c>
      <c r="CH433" s="549">
        <v>0</v>
      </c>
      <c r="CI433" s="675">
        <v>0</v>
      </c>
      <c r="CJ433" s="549">
        <v>0</v>
      </c>
      <c r="CK433" s="675">
        <v>0</v>
      </c>
      <c r="CL433" s="549">
        <v>0</v>
      </c>
      <c r="CM433" s="675">
        <v>0</v>
      </c>
      <c r="CN433" s="549">
        <v>0</v>
      </c>
      <c r="CO433" s="675">
        <v>0</v>
      </c>
      <c r="CP433" s="549">
        <v>0</v>
      </c>
      <c r="CQ433" s="675">
        <v>0</v>
      </c>
      <c r="CR433" s="549">
        <v>0</v>
      </c>
      <c r="CS433" s="675">
        <v>0</v>
      </c>
      <c r="CT433" s="549">
        <v>0</v>
      </c>
      <c r="CU433" s="675">
        <v>0</v>
      </c>
      <c r="CV433" s="549">
        <v>0</v>
      </c>
      <c r="CW433" s="675">
        <v>0</v>
      </c>
      <c r="CX433" s="549">
        <v>0</v>
      </c>
      <c r="CY433" s="675">
        <v>0</v>
      </c>
      <c r="CZ433" s="549">
        <v>0</v>
      </c>
      <c r="DA433" s="675">
        <v>0</v>
      </c>
      <c r="DB433" s="549">
        <v>0</v>
      </c>
      <c r="DC433" s="675">
        <v>0</v>
      </c>
      <c r="DD433" s="549">
        <v>0</v>
      </c>
      <c r="DE433" s="675">
        <v>0</v>
      </c>
      <c r="DF433" s="549">
        <v>0</v>
      </c>
      <c r="DG433" s="675">
        <v>0</v>
      </c>
      <c r="DH433" s="549">
        <v>0</v>
      </c>
      <c r="DI433" s="675">
        <v>0</v>
      </c>
      <c r="DJ433" s="549">
        <v>0</v>
      </c>
      <c r="DK433" s="675">
        <v>0</v>
      </c>
      <c r="DL433" s="549">
        <v>0</v>
      </c>
      <c r="DM433" s="675">
        <v>0</v>
      </c>
      <c r="DN433" s="549">
        <v>0</v>
      </c>
      <c r="DO433" s="675">
        <v>0</v>
      </c>
      <c r="DP433" s="549">
        <v>0</v>
      </c>
      <c r="DQ433" s="675">
        <v>0</v>
      </c>
      <c r="DR433" s="549">
        <v>0</v>
      </c>
      <c r="DS433" s="675">
        <v>0</v>
      </c>
      <c r="DT433" s="549">
        <v>0</v>
      </c>
      <c r="DU433" s="675">
        <v>0</v>
      </c>
      <c r="DV433" s="549">
        <v>0</v>
      </c>
      <c r="DW433" s="675">
        <v>0</v>
      </c>
      <c r="DX433" s="549">
        <v>0</v>
      </c>
      <c r="DY433" s="675">
        <v>0</v>
      </c>
      <c r="DZ433" s="549">
        <v>0</v>
      </c>
      <c r="EA433" s="675">
        <v>0</v>
      </c>
      <c r="EB433" s="549">
        <v>0</v>
      </c>
      <c r="EC433" s="675">
        <v>0</v>
      </c>
      <c r="ED433" s="549">
        <v>0</v>
      </c>
      <c r="EE433" s="675">
        <v>0</v>
      </c>
      <c r="EF433" s="549">
        <v>0</v>
      </c>
      <c r="EG433" s="675">
        <v>0</v>
      </c>
      <c r="EH433" s="549">
        <v>0</v>
      </c>
      <c r="EI433" s="675">
        <v>0</v>
      </c>
      <c r="EJ433" s="549">
        <v>0</v>
      </c>
      <c r="EK433" s="675">
        <v>0</v>
      </c>
      <c r="EL433" s="549">
        <v>0</v>
      </c>
      <c r="EM433" s="675">
        <v>0</v>
      </c>
      <c r="EN433" s="549">
        <v>0</v>
      </c>
      <c r="EO433" s="675">
        <v>0</v>
      </c>
      <c r="EP433" s="549">
        <v>0</v>
      </c>
      <c r="EQ433" s="675">
        <v>0</v>
      </c>
      <c r="ER433" s="549">
        <v>0</v>
      </c>
      <c r="ES433" s="675">
        <v>0</v>
      </c>
      <c r="ET433" s="549">
        <v>0</v>
      </c>
      <c r="EU433" s="675">
        <v>0</v>
      </c>
      <c r="EV433" s="549">
        <v>0</v>
      </c>
      <c r="EW433" s="675">
        <v>0</v>
      </c>
      <c r="EX433" s="549">
        <v>0</v>
      </c>
      <c r="EY433" s="675">
        <v>0</v>
      </c>
      <c r="EZ433" s="549">
        <v>0</v>
      </c>
      <c r="FA433" s="675">
        <v>0</v>
      </c>
      <c r="FB433" s="549">
        <v>0</v>
      </c>
      <c r="FC433" s="675">
        <v>0</v>
      </c>
      <c r="FD433" s="549">
        <v>0</v>
      </c>
      <c r="FE433" s="675">
        <v>0</v>
      </c>
      <c r="FF433" s="549">
        <v>0</v>
      </c>
      <c r="FG433" s="675">
        <v>0</v>
      </c>
      <c r="FH433" s="549">
        <v>0</v>
      </c>
      <c r="FI433" s="675">
        <v>0</v>
      </c>
      <c r="FJ433" s="549">
        <v>0</v>
      </c>
      <c r="FK433" s="675">
        <v>0</v>
      </c>
      <c r="FL433" s="549">
        <v>0</v>
      </c>
      <c r="FM433" s="675">
        <v>0</v>
      </c>
      <c r="FN433" s="549">
        <v>0</v>
      </c>
      <c r="FO433" s="675">
        <v>0</v>
      </c>
      <c r="FP433" s="549">
        <v>0</v>
      </c>
      <c r="FQ433" s="675">
        <v>0</v>
      </c>
      <c r="FR433" s="549">
        <v>0</v>
      </c>
      <c r="FS433" s="675">
        <v>0</v>
      </c>
      <c r="FT433" s="549">
        <v>0</v>
      </c>
      <c r="FU433" s="675">
        <v>0</v>
      </c>
      <c r="FV433" s="549">
        <v>0</v>
      </c>
      <c r="FW433" s="675">
        <v>0</v>
      </c>
      <c r="FX433" s="549">
        <v>0</v>
      </c>
      <c r="FY433" s="675">
        <v>0</v>
      </c>
      <c r="FZ433" s="549">
        <v>0</v>
      </c>
      <c r="GA433" s="675">
        <v>0</v>
      </c>
      <c r="GB433" s="549">
        <v>0</v>
      </c>
      <c r="GC433" s="675">
        <v>0</v>
      </c>
      <c r="GD433" s="549">
        <v>0</v>
      </c>
      <c r="GE433" s="675">
        <v>0</v>
      </c>
      <c r="GF433" s="549">
        <v>0</v>
      </c>
      <c r="GG433" s="675">
        <v>0</v>
      </c>
      <c r="GH433" s="549">
        <v>0</v>
      </c>
      <c r="GI433" s="675">
        <v>0</v>
      </c>
      <c r="GJ433" s="549">
        <v>0</v>
      </c>
      <c r="GK433" s="675">
        <v>0</v>
      </c>
      <c r="GL433" s="549">
        <v>0</v>
      </c>
      <c r="GM433" s="675">
        <v>0</v>
      </c>
      <c r="GN433" s="549">
        <v>0</v>
      </c>
      <c r="GO433" s="675">
        <v>0</v>
      </c>
      <c r="GP433" s="549">
        <f>+D433+F433+H433+J433+L433+N433+P433+R433+T433+V433+X433+Z433+AB433+AD433+AH433+AJ433+AL433+AN433+AP433+AR433+AT433+AV433+AX433+AZ433+BB433+BD433+BF433+BH433+BJ433+BL433+BN433+BP433+BR433+BT433+BV433+BX433+BZ433+CB433+CD433+CF433+CH433+CJ433+CL433+CN433+CP433+CR433+CT433+CV433+CX433+CZ433+DB433+DD433+DF433+DH433+DT433+EX433+DJ433+DL433+DN433+DP433+DR433+EJ433+EB433+DZ433+DX433+DV433+ED433+EF433+EH433+EL433+EN433+EP433+EV433+ET433+ER433+EZ433+FB433+FD433+GL433+FF433+FJ433+FL433+GJ433+FT433+FR433+FP433+FN433+FH433</f>
        <v>1775</v>
      </c>
      <c r="GQ433" s="675">
        <f>+E433+G433+I433+K433+M433+O433+Q433+S433+U433+W433+Y433+AA433+AC433+AE433+AI433+AK433+AM433+AO433+AQ433+AS433+AU433+AW433+AY433+BA433+BC433+BE433+BG433+BI433+BK433+BM433+BO433+BQ433+BS433+BU433+BW433+BY433+CA433+CC433+CE433+CG433+CI433+CK433+CM433+CO433+CQ433+CS433+CU433+CW433+CY433+DA433+DC433+DE433+DG433+DI433+DU433+EY433+DK433+DM433+DO433+DQ433+DS433+EK433+EC433+EA433+DY433+DW433+EI433+EG433+EE433+EM433+EO433+EQ433+EW433+EU433+ES433+FA433+FC433+FE433+GM433+FG433+FK433+FM433+FO433+FQ433+FS433+FU433+GK433+FI433</f>
        <v>-1775</v>
      </c>
      <c r="GR433" s="74">
        <f t="shared" si="11232"/>
        <v>0</v>
      </c>
      <c r="GS433" s="74">
        <f t="shared" si="11269"/>
        <v>0</v>
      </c>
      <c r="GT433" s="568">
        <f t="shared" si="11234"/>
        <v>0</v>
      </c>
      <c r="GU433" s="275">
        <v>0</v>
      </c>
      <c r="GV433" s="275">
        <v>0</v>
      </c>
      <c r="GW433" s="588">
        <v>0</v>
      </c>
      <c r="GX433" s="588">
        <v>0</v>
      </c>
      <c r="GY433" s="275">
        <v>0</v>
      </c>
      <c r="GZ433" s="275">
        <v>0</v>
      </c>
      <c r="HA433" s="275">
        <v>0</v>
      </c>
      <c r="HB433" s="275">
        <v>0</v>
      </c>
      <c r="HC433" s="275">
        <v>0</v>
      </c>
      <c r="HD433" s="275">
        <v>0</v>
      </c>
      <c r="HE433" s="275">
        <v>0</v>
      </c>
      <c r="HF433" s="275">
        <v>0</v>
      </c>
      <c r="HG433" s="74">
        <f t="shared" si="11235"/>
        <v>0</v>
      </c>
      <c r="HH433" s="89">
        <v>0</v>
      </c>
      <c r="HI433" s="817">
        <v>0</v>
      </c>
      <c r="HJ433" s="89">
        <v>0</v>
      </c>
      <c r="HK433" s="817">
        <v>0</v>
      </c>
      <c r="HL433" s="89">
        <v>0</v>
      </c>
      <c r="HM433" s="817">
        <v>0</v>
      </c>
      <c r="HN433" s="89">
        <v>0</v>
      </c>
      <c r="HO433" s="817">
        <v>0</v>
      </c>
      <c r="HP433" s="89">
        <v>0</v>
      </c>
      <c r="HQ433" s="817">
        <v>0</v>
      </c>
      <c r="HR433" s="89">
        <v>0</v>
      </c>
      <c r="HS433" s="817">
        <v>0</v>
      </c>
      <c r="HT433" s="89">
        <v>0</v>
      </c>
      <c r="HU433" s="817">
        <v>0</v>
      </c>
      <c r="HV433" s="89">
        <v>0</v>
      </c>
      <c r="HW433" s="817">
        <v>0</v>
      </c>
      <c r="HX433" s="89">
        <v>0</v>
      </c>
      <c r="HY433" s="817">
        <v>0</v>
      </c>
      <c r="HZ433" s="89">
        <v>0</v>
      </c>
      <c r="IA433" s="817">
        <v>0</v>
      </c>
      <c r="IB433" s="89">
        <v>0</v>
      </c>
      <c r="IC433" s="817">
        <v>0</v>
      </c>
      <c r="ID433" s="89">
        <v>0</v>
      </c>
      <c r="IE433" s="817">
        <v>0</v>
      </c>
      <c r="IF433" s="841">
        <f t="shared" si="11236"/>
        <v>0</v>
      </c>
      <c r="IG433" s="263">
        <f t="shared" si="11237"/>
        <v>0</v>
      </c>
      <c r="IH433" s="842">
        <f t="shared" si="11238"/>
        <v>0</v>
      </c>
      <c r="II433" s="89">
        <v>0</v>
      </c>
      <c r="IJ433" s="89">
        <f t="shared" si="11245"/>
        <v>0</v>
      </c>
      <c r="IK433" s="89">
        <f t="shared" si="11246"/>
        <v>0</v>
      </c>
      <c r="IL433" s="89">
        <v>0</v>
      </c>
      <c r="IM433" s="89">
        <f t="shared" si="11247"/>
        <v>0</v>
      </c>
      <c r="IN433" s="89">
        <f t="shared" si="11248"/>
        <v>0</v>
      </c>
      <c r="IO433" s="89">
        <v>0</v>
      </c>
      <c r="IP433" s="89">
        <f t="shared" si="11249"/>
        <v>0</v>
      </c>
      <c r="IQ433" s="89">
        <f t="shared" si="11250"/>
        <v>0</v>
      </c>
      <c r="IR433" s="89">
        <v>0</v>
      </c>
      <c r="IS433" s="89">
        <f t="shared" si="11251"/>
        <v>0</v>
      </c>
      <c r="IT433" s="89">
        <f t="shared" si="11252"/>
        <v>0</v>
      </c>
      <c r="IU433" s="89">
        <v>0</v>
      </c>
      <c r="IV433" s="89">
        <f t="shared" si="11253"/>
        <v>0</v>
      </c>
      <c r="IW433" s="89">
        <f t="shared" si="11254"/>
        <v>0</v>
      </c>
      <c r="IX433" s="89">
        <v>0</v>
      </c>
      <c r="IY433" s="89">
        <f t="shared" si="11255"/>
        <v>0</v>
      </c>
      <c r="IZ433" s="89">
        <f t="shared" si="11256"/>
        <v>0</v>
      </c>
      <c r="JA433" s="89">
        <v>0</v>
      </c>
      <c r="JB433" s="89">
        <f t="shared" si="11257"/>
        <v>0</v>
      </c>
      <c r="JC433" s="89">
        <f t="shared" si="11258"/>
        <v>0</v>
      </c>
      <c r="JD433" s="89">
        <v>0</v>
      </c>
      <c r="JE433" s="89">
        <f t="shared" si="11259"/>
        <v>0</v>
      </c>
      <c r="JF433" s="89">
        <f t="shared" si="11260"/>
        <v>0</v>
      </c>
      <c r="JG433" s="89">
        <v>0</v>
      </c>
      <c r="JH433" s="89">
        <f t="shared" si="11261"/>
        <v>0</v>
      </c>
      <c r="JI433" s="89">
        <f t="shared" si="11262"/>
        <v>0</v>
      </c>
      <c r="JJ433" s="89">
        <v>0</v>
      </c>
      <c r="JK433" s="89">
        <f t="shared" si="11263"/>
        <v>0</v>
      </c>
      <c r="JL433" s="89">
        <f t="shared" si="11264"/>
        <v>0</v>
      </c>
      <c r="JM433" s="89">
        <v>0</v>
      </c>
      <c r="JN433" s="89">
        <f t="shared" si="11265"/>
        <v>0</v>
      </c>
      <c r="JO433" s="89">
        <f t="shared" si="11266"/>
        <v>0</v>
      </c>
      <c r="JP433" s="89">
        <v>0</v>
      </c>
      <c r="JQ433" s="89">
        <f t="shared" ref="JQ433:JR433" si="11272">JP433</f>
        <v>0</v>
      </c>
      <c r="JR433" s="89">
        <f t="shared" si="11272"/>
        <v>0</v>
      </c>
      <c r="JS433" s="74">
        <f t="shared" si="11239"/>
        <v>0</v>
      </c>
      <c r="JT433" s="382">
        <f t="shared" si="11240"/>
        <v>0</v>
      </c>
      <c r="JU433" s="665"/>
      <c r="JV433" s="524"/>
      <c r="JW433" s="525"/>
      <c r="JX433" s="549">
        <f t="shared" si="11241"/>
        <v>0</v>
      </c>
      <c r="JY433" s="549">
        <f t="shared" si="11241"/>
        <v>0</v>
      </c>
      <c r="JZ433" s="581">
        <f t="shared" si="10300"/>
        <v>1775</v>
      </c>
      <c r="KA433" s="581">
        <f t="shared" si="10301"/>
        <v>-1775</v>
      </c>
      <c r="KB433" s="549">
        <f t="shared" ref="KB433:KB499" si="11273">JX433</f>
        <v>0</v>
      </c>
      <c r="KC433" s="709">
        <f t="shared" si="10273"/>
        <v>0</v>
      </c>
      <c r="KD433" s="36"/>
      <c r="KE433" s="36"/>
      <c r="KF433" s="36"/>
      <c r="KG433" s="36"/>
      <c r="KH433" s="36"/>
      <c r="KI433" s="36"/>
      <c r="KJ433" s="36"/>
      <c r="KK433" s="36"/>
    </row>
    <row r="434" spans="1:297" s="10" customFormat="1" ht="12.75" hidden="1" customHeight="1">
      <c r="A434" s="86" t="s">
        <v>766</v>
      </c>
      <c r="B434" s="77"/>
      <c r="C434" s="74">
        <v>0</v>
      </c>
      <c r="D434" s="549">
        <v>0</v>
      </c>
      <c r="E434" s="675">
        <v>0</v>
      </c>
      <c r="F434" s="549">
        <v>0</v>
      </c>
      <c r="G434" s="675">
        <v>0</v>
      </c>
      <c r="H434" s="549">
        <v>0</v>
      </c>
      <c r="I434" s="675">
        <v>0</v>
      </c>
      <c r="J434" s="549">
        <v>0</v>
      </c>
      <c r="K434" s="675">
        <v>0</v>
      </c>
      <c r="L434" s="549">
        <v>0</v>
      </c>
      <c r="M434" s="675">
        <v>0</v>
      </c>
      <c r="N434" s="549">
        <v>0</v>
      </c>
      <c r="O434" s="675">
        <v>0</v>
      </c>
      <c r="P434" s="549">
        <v>0</v>
      </c>
      <c r="Q434" s="675">
        <v>0</v>
      </c>
      <c r="R434" s="549">
        <v>0</v>
      </c>
      <c r="S434" s="675">
        <v>0</v>
      </c>
      <c r="T434" s="549">
        <v>0</v>
      </c>
      <c r="U434" s="675">
        <v>0</v>
      </c>
      <c r="V434" s="549">
        <v>0</v>
      </c>
      <c r="W434" s="675">
        <v>0</v>
      </c>
      <c r="X434" s="549">
        <v>0</v>
      </c>
      <c r="Y434" s="675">
        <v>0</v>
      </c>
      <c r="Z434" s="549">
        <v>0</v>
      </c>
      <c r="AA434" s="675">
        <v>0</v>
      </c>
      <c r="AB434" s="549">
        <v>0</v>
      </c>
      <c r="AC434" s="675">
        <v>0</v>
      </c>
      <c r="AD434" s="549">
        <v>0</v>
      </c>
      <c r="AE434" s="675">
        <v>0</v>
      </c>
      <c r="AF434" s="549">
        <v>0</v>
      </c>
      <c r="AG434" s="675">
        <v>0</v>
      </c>
      <c r="AH434" s="549">
        <v>0</v>
      </c>
      <c r="AI434" s="675">
        <v>0</v>
      </c>
      <c r="AJ434" s="549">
        <v>0</v>
      </c>
      <c r="AK434" s="675">
        <v>0</v>
      </c>
      <c r="AL434" s="549">
        <v>0</v>
      </c>
      <c r="AM434" s="675">
        <v>0</v>
      </c>
      <c r="AN434" s="549">
        <v>0</v>
      </c>
      <c r="AO434" s="675">
        <v>0</v>
      </c>
      <c r="AP434" s="549">
        <v>0</v>
      </c>
      <c r="AQ434" s="675">
        <v>0</v>
      </c>
      <c r="AR434" s="549">
        <v>0</v>
      </c>
      <c r="AS434" s="675">
        <v>0</v>
      </c>
      <c r="AT434" s="549">
        <v>0</v>
      </c>
      <c r="AU434" s="675">
        <v>0</v>
      </c>
      <c r="AV434" s="549">
        <v>0</v>
      </c>
      <c r="AW434" s="675">
        <v>0</v>
      </c>
      <c r="AX434" s="549">
        <v>0</v>
      </c>
      <c r="AY434" s="675">
        <v>0</v>
      </c>
      <c r="AZ434" s="549">
        <v>0</v>
      </c>
      <c r="BA434" s="675">
        <v>0</v>
      </c>
      <c r="BB434" s="549">
        <v>0</v>
      </c>
      <c r="BC434" s="675">
        <v>0</v>
      </c>
      <c r="BD434" s="549">
        <v>0</v>
      </c>
      <c r="BE434" s="675">
        <v>0</v>
      </c>
      <c r="BF434" s="549">
        <v>0</v>
      </c>
      <c r="BG434" s="675">
        <v>0</v>
      </c>
      <c r="BH434" s="549">
        <v>0</v>
      </c>
      <c r="BI434" s="675">
        <v>0</v>
      </c>
      <c r="BJ434" s="549">
        <v>0</v>
      </c>
      <c r="BK434" s="675">
        <v>0</v>
      </c>
      <c r="BL434" s="549">
        <v>0</v>
      </c>
      <c r="BM434" s="675">
        <v>0</v>
      </c>
      <c r="BN434" s="549">
        <v>0</v>
      </c>
      <c r="BO434" s="675">
        <v>0</v>
      </c>
      <c r="BP434" s="549">
        <v>0</v>
      </c>
      <c r="BQ434" s="675">
        <v>0</v>
      </c>
      <c r="BR434" s="549">
        <v>0</v>
      </c>
      <c r="BS434" s="675">
        <v>0</v>
      </c>
      <c r="BT434" s="549">
        <v>0</v>
      </c>
      <c r="BU434" s="675">
        <v>0</v>
      </c>
      <c r="BV434" s="549">
        <v>0</v>
      </c>
      <c r="BW434" s="675">
        <v>0</v>
      </c>
      <c r="BX434" s="549">
        <v>0</v>
      </c>
      <c r="BY434" s="675">
        <v>0</v>
      </c>
      <c r="BZ434" s="549">
        <v>0</v>
      </c>
      <c r="CA434" s="675">
        <v>0</v>
      </c>
      <c r="CB434" s="549">
        <v>0</v>
      </c>
      <c r="CC434" s="675">
        <v>0</v>
      </c>
      <c r="CD434" s="549">
        <v>0</v>
      </c>
      <c r="CE434" s="675">
        <v>0</v>
      </c>
      <c r="CF434" s="549">
        <v>0</v>
      </c>
      <c r="CG434" s="675">
        <v>0</v>
      </c>
      <c r="CH434" s="549">
        <v>0</v>
      </c>
      <c r="CI434" s="675">
        <v>0</v>
      </c>
      <c r="CJ434" s="549">
        <v>0</v>
      </c>
      <c r="CK434" s="675">
        <v>0</v>
      </c>
      <c r="CL434" s="549">
        <v>0</v>
      </c>
      <c r="CM434" s="675">
        <v>0</v>
      </c>
      <c r="CN434" s="549">
        <v>0</v>
      </c>
      <c r="CO434" s="675">
        <v>0</v>
      </c>
      <c r="CP434" s="549">
        <v>0</v>
      </c>
      <c r="CQ434" s="675">
        <v>0</v>
      </c>
      <c r="CR434" s="549">
        <v>0</v>
      </c>
      <c r="CS434" s="675">
        <v>0</v>
      </c>
      <c r="CT434" s="549">
        <v>0</v>
      </c>
      <c r="CU434" s="675">
        <v>0</v>
      </c>
      <c r="CV434" s="549">
        <v>0</v>
      </c>
      <c r="CW434" s="675">
        <v>0</v>
      </c>
      <c r="CX434" s="549">
        <v>0</v>
      </c>
      <c r="CY434" s="675">
        <v>0</v>
      </c>
      <c r="CZ434" s="549">
        <v>0</v>
      </c>
      <c r="DA434" s="675">
        <v>0</v>
      </c>
      <c r="DB434" s="549">
        <v>0</v>
      </c>
      <c r="DC434" s="675">
        <v>0</v>
      </c>
      <c r="DD434" s="549">
        <v>0</v>
      </c>
      <c r="DE434" s="675">
        <v>0</v>
      </c>
      <c r="DF434" s="549">
        <v>0</v>
      </c>
      <c r="DG434" s="675">
        <v>0</v>
      </c>
      <c r="DH434" s="549">
        <v>0</v>
      </c>
      <c r="DI434" s="675">
        <v>0</v>
      </c>
      <c r="DJ434" s="549">
        <v>0</v>
      </c>
      <c r="DK434" s="675">
        <v>0</v>
      </c>
      <c r="DL434" s="549">
        <v>0</v>
      </c>
      <c r="DM434" s="675">
        <v>0</v>
      </c>
      <c r="DN434" s="549">
        <v>0</v>
      </c>
      <c r="DO434" s="675">
        <v>0</v>
      </c>
      <c r="DP434" s="549">
        <v>0</v>
      </c>
      <c r="DQ434" s="675">
        <v>0</v>
      </c>
      <c r="DR434" s="549">
        <v>0</v>
      </c>
      <c r="DS434" s="675">
        <v>0</v>
      </c>
      <c r="DT434" s="549">
        <v>0</v>
      </c>
      <c r="DU434" s="675">
        <v>0</v>
      </c>
      <c r="DV434" s="549">
        <v>0</v>
      </c>
      <c r="DW434" s="675">
        <v>0</v>
      </c>
      <c r="DX434" s="549">
        <v>0</v>
      </c>
      <c r="DY434" s="675">
        <v>0</v>
      </c>
      <c r="DZ434" s="549">
        <v>0</v>
      </c>
      <c r="EA434" s="675">
        <v>0</v>
      </c>
      <c r="EB434" s="549">
        <v>0</v>
      </c>
      <c r="EC434" s="675">
        <v>0</v>
      </c>
      <c r="ED434" s="549">
        <v>0</v>
      </c>
      <c r="EE434" s="675">
        <v>0</v>
      </c>
      <c r="EF434" s="549">
        <v>0</v>
      </c>
      <c r="EG434" s="675">
        <v>0</v>
      </c>
      <c r="EH434" s="549">
        <v>0</v>
      </c>
      <c r="EI434" s="675">
        <v>0</v>
      </c>
      <c r="EJ434" s="549">
        <v>0</v>
      </c>
      <c r="EK434" s="675">
        <v>0</v>
      </c>
      <c r="EL434" s="549">
        <v>0</v>
      </c>
      <c r="EM434" s="675">
        <v>0</v>
      </c>
      <c r="EN434" s="549">
        <v>0</v>
      </c>
      <c r="EO434" s="675">
        <v>0</v>
      </c>
      <c r="EP434" s="549">
        <v>0</v>
      </c>
      <c r="EQ434" s="675">
        <v>0</v>
      </c>
      <c r="ER434" s="549">
        <v>0</v>
      </c>
      <c r="ES434" s="675">
        <v>0</v>
      </c>
      <c r="ET434" s="549">
        <v>0</v>
      </c>
      <c r="EU434" s="675">
        <v>0</v>
      </c>
      <c r="EV434" s="549">
        <v>0</v>
      </c>
      <c r="EW434" s="675">
        <v>0</v>
      </c>
      <c r="EX434" s="549">
        <v>0</v>
      </c>
      <c r="EY434" s="675">
        <v>0</v>
      </c>
      <c r="EZ434" s="549">
        <v>0</v>
      </c>
      <c r="FA434" s="675">
        <v>0</v>
      </c>
      <c r="FB434" s="549">
        <v>0</v>
      </c>
      <c r="FC434" s="675">
        <v>0</v>
      </c>
      <c r="FD434" s="549">
        <v>0</v>
      </c>
      <c r="FE434" s="675">
        <v>0</v>
      </c>
      <c r="FF434" s="549">
        <v>0</v>
      </c>
      <c r="FG434" s="675">
        <v>0</v>
      </c>
      <c r="FH434" s="549">
        <v>0</v>
      </c>
      <c r="FI434" s="675">
        <v>0</v>
      </c>
      <c r="FJ434" s="549">
        <v>0</v>
      </c>
      <c r="FK434" s="675">
        <v>0</v>
      </c>
      <c r="FL434" s="549">
        <v>0</v>
      </c>
      <c r="FM434" s="675">
        <v>0</v>
      </c>
      <c r="FN434" s="549">
        <v>0</v>
      </c>
      <c r="FO434" s="675">
        <v>0</v>
      </c>
      <c r="FP434" s="549">
        <v>0</v>
      </c>
      <c r="FQ434" s="675">
        <v>0</v>
      </c>
      <c r="FR434" s="549">
        <v>0</v>
      </c>
      <c r="FS434" s="675">
        <v>0</v>
      </c>
      <c r="FT434" s="549">
        <v>0</v>
      </c>
      <c r="FU434" s="675">
        <v>0</v>
      </c>
      <c r="FV434" s="549">
        <v>0</v>
      </c>
      <c r="FW434" s="675">
        <v>0</v>
      </c>
      <c r="FX434" s="549">
        <v>0</v>
      </c>
      <c r="FY434" s="675">
        <v>0</v>
      </c>
      <c r="FZ434" s="549">
        <v>0</v>
      </c>
      <c r="GA434" s="675">
        <v>0</v>
      </c>
      <c r="GB434" s="549">
        <v>0</v>
      </c>
      <c r="GC434" s="675">
        <v>0</v>
      </c>
      <c r="GD434" s="549">
        <v>0</v>
      </c>
      <c r="GE434" s="675">
        <v>0</v>
      </c>
      <c r="GF434" s="549">
        <v>0</v>
      </c>
      <c r="GG434" s="675">
        <v>0</v>
      </c>
      <c r="GH434" s="549">
        <v>0</v>
      </c>
      <c r="GI434" s="675">
        <v>0</v>
      </c>
      <c r="GJ434" s="549">
        <v>0</v>
      </c>
      <c r="GK434" s="675">
        <v>0</v>
      </c>
      <c r="GL434" s="549">
        <v>0</v>
      </c>
      <c r="GM434" s="675">
        <v>0</v>
      </c>
      <c r="GN434" s="549">
        <v>0</v>
      </c>
      <c r="GO434" s="675">
        <v>0</v>
      </c>
      <c r="GP434" s="549">
        <f>+D434+F434+H434+J434+L434+N434+P434+R434+T434+V434+X434+Z434+AB434+AD434+AH434+AJ434+AL434+AN434+AP434+AR434+AT434+AV434+AX434+AZ434+BB434+BD434+BF434+BH434+BJ434+BL434+BN434+BP434+BR434+BT434+BV434+BX434+BZ434+CB434+CD434+CF434+CH434+CJ434+CL434+CN434+CP434+CR434+CT434+CV434+CX434+CZ434+DB434+DD434+DF434+DH434+DT434+EX434+DJ434+DL434+DN434+DP434+DR434+EJ434+EB434+DZ434+DX434+DV434+ED434+EF434+EH434+EL434+EN434+EP434+EV434+ET434+ER434+EZ434+FB434+FD434+GL434+FF434+FJ434+FL434+GJ434+FT434+FR434+FP434+FN434+FH434</f>
        <v>0</v>
      </c>
      <c r="GQ434" s="675">
        <f>+E434+G434+I434+K434+M434+O434+Q434+S434+U434+W434+Y434+AA434+AC434+AE434+AI434+AK434+AM434+AO434+AQ434+AS434+AU434+AW434+AY434+BA434+BC434+BE434+BG434+BI434+BK434+BM434+BO434+BQ434+BS434+BU434+BW434+BY434+CA434+CC434+CE434+CG434+CI434+CK434+CM434+CO434+CQ434+CS434+CU434+CW434+CY434+DA434+DC434+DE434+DG434+DI434+DU434+EY434+DK434+DM434+DO434+DQ434+DS434+EK434+EC434+EA434+DY434+DW434+EI434+EG434+EE434+EM434+EO434+EQ434+EW434+EU434+ES434+FA434+FC434+FE434+GM434+FG434+FK434+FM434+FO434+FQ434+FS434+FU434+GK434+FI434</f>
        <v>0</v>
      </c>
      <c r="GR434" s="74">
        <f t="shared" si="11232"/>
        <v>0</v>
      </c>
      <c r="GS434" s="74">
        <f t="shared" si="11269"/>
        <v>0</v>
      </c>
      <c r="GT434" s="568">
        <f>SUM(GU434:HF434)+GQ434+GP434</f>
        <v>0</v>
      </c>
      <c r="GU434" s="275">
        <v>0</v>
      </c>
      <c r="GV434" s="275">
        <v>0</v>
      </c>
      <c r="GW434" s="588">
        <v>0</v>
      </c>
      <c r="GX434" s="588">
        <v>0</v>
      </c>
      <c r="GY434" s="275">
        <v>0</v>
      </c>
      <c r="GZ434" s="275">
        <v>0</v>
      </c>
      <c r="HA434" s="275">
        <v>0</v>
      </c>
      <c r="HB434" s="275">
        <v>0</v>
      </c>
      <c r="HC434" s="275">
        <v>0</v>
      </c>
      <c r="HD434" s="275">
        <v>0</v>
      </c>
      <c r="HE434" s="275">
        <v>0</v>
      </c>
      <c r="HF434" s="275">
        <v>0</v>
      </c>
      <c r="HG434" s="74">
        <f t="shared" si="11235"/>
        <v>0</v>
      </c>
      <c r="HH434" s="89">
        <v>0</v>
      </c>
      <c r="HI434" s="817">
        <v>0</v>
      </c>
      <c r="HJ434" s="89">
        <v>0</v>
      </c>
      <c r="HK434" s="817">
        <v>0</v>
      </c>
      <c r="HL434" s="89">
        <v>0</v>
      </c>
      <c r="HM434" s="817">
        <v>0</v>
      </c>
      <c r="HN434" s="89">
        <v>0</v>
      </c>
      <c r="HO434" s="817">
        <v>0</v>
      </c>
      <c r="HP434" s="89">
        <v>0</v>
      </c>
      <c r="HQ434" s="817">
        <v>0</v>
      </c>
      <c r="HR434" s="89">
        <v>0</v>
      </c>
      <c r="HS434" s="817">
        <v>0</v>
      </c>
      <c r="HT434" s="89">
        <v>0</v>
      </c>
      <c r="HU434" s="817">
        <v>0</v>
      </c>
      <c r="HV434" s="89">
        <v>0</v>
      </c>
      <c r="HW434" s="817">
        <v>0</v>
      </c>
      <c r="HX434" s="89">
        <v>0</v>
      </c>
      <c r="HY434" s="817">
        <v>0</v>
      </c>
      <c r="HZ434" s="89">
        <v>0</v>
      </c>
      <c r="IA434" s="817">
        <v>0</v>
      </c>
      <c r="IB434" s="89">
        <v>0</v>
      </c>
      <c r="IC434" s="817">
        <v>0</v>
      </c>
      <c r="ID434" s="89">
        <v>0</v>
      </c>
      <c r="IE434" s="817">
        <v>0</v>
      </c>
      <c r="IF434" s="841">
        <f t="shared" si="11236"/>
        <v>0</v>
      </c>
      <c r="IG434" s="263">
        <f t="shared" si="11237"/>
        <v>0</v>
      </c>
      <c r="IH434" s="842">
        <f t="shared" si="11238"/>
        <v>0</v>
      </c>
      <c r="II434" s="89">
        <v>0</v>
      </c>
      <c r="IJ434" s="89">
        <f t="shared" si="11245"/>
        <v>0</v>
      </c>
      <c r="IK434" s="89">
        <f t="shared" si="11246"/>
        <v>0</v>
      </c>
      <c r="IL434" s="89">
        <v>0</v>
      </c>
      <c r="IM434" s="89">
        <f t="shared" si="11247"/>
        <v>0</v>
      </c>
      <c r="IN434" s="89">
        <f t="shared" si="11248"/>
        <v>0</v>
      </c>
      <c r="IO434" s="89">
        <v>0</v>
      </c>
      <c r="IP434" s="89">
        <f t="shared" si="11249"/>
        <v>0</v>
      </c>
      <c r="IQ434" s="89">
        <f t="shared" si="11250"/>
        <v>0</v>
      </c>
      <c r="IR434" s="89">
        <v>0</v>
      </c>
      <c r="IS434" s="89">
        <f t="shared" si="11251"/>
        <v>0</v>
      </c>
      <c r="IT434" s="89">
        <f t="shared" si="11252"/>
        <v>0</v>
      </c>
      <c r="IU434" s="89">
        <v>0</v>
      </c>
      <c r="IV434" s="89">
        <f t="shared" si="11253"/>
        <v>0</v>
      </c>
      <c r="IW434" s="89">
        <f t="shared" si="11254"/>
        <v>0</v>
      </c>
      <c r="IX434" s="89">
        <v>0</v>
      </c>
      <c r="IY434" s="89">
        <f t="shared" si="11255"/>
        <v>0</v>
      </c>
      <c r="IZ434" s="89">
        <f t="shared" si="11256"/>
        <v>0</v>
      </c>
      <c r="JA434" s="89">
        <v>0</v>
      </c>
      <c r="JB434" s="89">
        <f t="shared" si="11257"/>
        <v>0</v>
      </c>
      <c r="JC434" s="89">
        <f t="shared" si="11258"/>
        <v>0</v>
      </c>
      <c r="JD434" s="89">
        <v>0</v>
      </c>
      <c r="JE434" s="89">
        <f t="shared" si="11259"/>
        <v>0</v>
      </c>
      <c r="JF434" s="89">
        <f t="shared" si="11260"/>
        <v>0</v>
      </c>
      <c r="JG434" s="89">
        <v>0</v>
      </c>
      <c r="JH434" s="89">
        <f t="shared" si="11261"/>
        <v>0</v>
      </c>
      <c r="JI434" s="89">
        <f t="shared" si="11262"/>
        <v>0</v>
      </c>
      <c r="JJ434" s="89">
        <v>0</v>
      </c>
      <c r="JK434" s="89">
        <f t="shared" si="11263"/>
        <v>0</v>
      </c>
      <c r="JL434" s="89">
        <f t="shared" si="11264"/>
        <v>0</v>
      </c>
      <c r="JM434" s="89">
        <v>0</v>
      </c>
      <c r="JN434" s="89">
        <f t="shared" si="11265"/>
        <v>0</v>
      </c>
      <c r="JO434" s="89">
        <f t="shared" si="11266"/>
        <v>0</v>
      </c>
      <c r="JP434" s="89">
        <v>0</v>
      </c>
      <c r="JQ434" s="89">
        <f t="shared" ref="JQ434:JR434" si="11274">JP434</f>
        <v>0</v>
      </c>
      <c r="JR434" s="89">
        <f t="shared" si="11274"/>
        <v>0</v>
      </c>
      <c r="JS434" s="74">
        <f t="shared" si="11239"/>
        <v>0</v>
      </c>
      <c r="JT434" s="382">
        <f t="shared" si="11240"/>
        <v>0</v>
      </c>
      <c r="JU434" s="665"/>
      <c r="JV434" s="524"/>
      <c r="JW434" s="525"/>
      <c r="JX434" s="549">
        <f t="shared" si="11241"/>
        <v>0</v>
      </c>
      <c r="JY434" s="549">
        <f t="shared" si="11241"/>
        <v>0</v>
      </c>
      <c r="JZ434" s="581">
        <f t="shared" si="10300"/>
        <v>0</v>
      </c>
      <c r="KA434" s="581">
        <f t="shared" si="10301"/>
        <v>0</v>
      </c>
      <c r="KB434" s="549">
        <f t="shared" si="11273"/>
        <v>0</v>
      </c>
      <c r="KC434" s="709">
        <f t="shared" si="10273"/>
        <v>0</v>
      </c>
      <c r="KD434" s="36"/>
      <c r="KE434" s="36"/>
      <c r="KF434" s="36"/>
      <c r="KG434" s="36"/>
      <c r="KH434" s="36"/>
      <c r="KI434" s="36"/>
      <c r="KJ434" s="36"/>
      <c r="KK434" s="36"/>
    </row>
    <row r="435" spans="1:297" s="10" customFormat="1" ht="12.75" customHeight="1">
      <c r="A435" s="86" t="s">
        <v>785</v>
      </c>
      <c r="B435" s="77"/>
      <c r="C435" s="74">
        <v>0</v>
      </c>
      <c r="D435" s="549">
        <v>0</v>
      </c>
      <c r="E435" s="675">
        <v>0</v>
      </c>
      <c r="F435" s="549">
        <v>0</v>
      </c>
      <c r="G435" s="675">
        <v>0</v>
      </c>
      <c r="H435" s="549">
        <v>0</v>
      </c>
      <c r="I435" s="675">
        <v>0</v>
      </c>
      <c r="J435" s="549">
        <v>0</v>
      </c>
      <c r="K435" s="675">
        <v>0</v>
      </c>
      <c r="L435" s="549">
        <v>0</v>
      </c>
      <c r="M435" s="675">
        <v>0</v>
      </c>
      <c r="N435" s="549">
        <v>0</v>
      </c>
      <c r="O435" s="675">
        <v>0</v>
      </c>
      <c r="P435" s="549">
        <v>0</v>
      </c>
      <c r="Q435" s="675">
        <v>0</v>
      </c>
      <c r="R435" s="549">
        <v>0</v>
      </c>
      <c r="S435" s="675">
        <v>0</v>
      </c>
      <c r="T435" s="549">
        <v>0</v>
      </c>
      <c r="U435" s="675">
        <v>0</v>
      </c>
      <c r="V435" s="549">
        <v>0</v>
      </c>
      <c r="W435" s="675">
        <v>0</v>
      </c>
      <c r="X435" s="549">
        <v>0</v>
      </c>
      <c r="Y435" s="675">
        <v>0</v>
      </c>
      <c r="Z435" s="549">
        <v>0</v>
      </c>
      <c r="AA435" s="675">
        <v>0</v>
      </c>
      <c r="AB435" s="549">
        <v>0</v>
      </c>
      <c r="AC435" s="675">
        <v>0</v>
      </c>
      <c r="AD435" s="549">
        <v>0</v>
      </c>
      <c r="AE435" s="675">
        <v>0</v>
      </c>
      <c r="AF435" s="549">
        <v>0</v>
      </c>
      <c r="AG435" s="675">
        <v>0</v>
      </c>
      <c r="AH435" s="549">
        <v>0</v>
      </c>
      <c r="AI435" s="675">
        <v>0</v>
      </c>
      <c r="AJ435" s="549">
        <v>0</v>
      </c>
      <c r="AK435" s="675">
        <v>0</v>
      </c>
      <c r="AL435" s="549">
        <v>0</v>
      </c>
      <c r="AM435" s="675">
        <v>0</v>
      </c>
      <c r="AN435" s="549">
        <v>0</v>
      </c>
      <c r="AO435" s="675">
        <v>0</v>
      </c>
      <c r="AP435" s="549">
        <v>0</v>
      </c>
      <c r="AQ435" s="675">
        <v>0</v>
      </c>
      <c r="AR435" s="549">
        <v>0</v>
      </c>
      <c r="AS435" s="675">
        <v>0</v>
      </c>
      <c r="AT435" s="549">
        <v>0</v>
      </c>
      <c r="AU435" s="675">
        <v>0</v>
      </c>
      <c r="AV435" s="549">
        <v>0</v>
      </c>
      <c r="AW435" s="675">
        <v>0</v>
      </c>
      <c r="AX435" s="549">
        <v>0</v>
      </c>
      <c r="AY435" s="675">
        <v>0</v>
      </c>
      <c r="AZ435" s="549">
        <v>0</v>
      </c>
      <c r="BA435" s="675">
        <v>0</v>
      </c>
      <c r="BB435" s="549">
        <v>0</v>
      </c>
      <c r="BC435" s="675">
        <v>0</v>
      </c>
      <c r="BD435" s="549">
        <v>0</v>
      </c>
      <c r="BE435" s="675">
        <v>0</v>
      </c>
      <c r="BF435" s="549">
        <v>0</v>
      </c>
      <c r="BG435" s="675">
        <v>0</v>
      </c>
      <c r="BH435" s="549">
        <v>0</v>
      </c>
      <c r="BI435" s="675">
        <v>0</v>
      </c>
      <c r="BJ435" s="549">
        <v>0</v>
      </c>
      <c r="BK435" s="675">
        <v>0</v>
      </c>
      <c r="BL435" s="549">
        <v>0</v>
      </c>
      <c r="BM435" s="675">
        <v>0</v>
      </c>
      <c r="BN435" s="549">
        <v>0</v>
      </c>
      <c r="BO435" s="675">
        <v>0</v>
      </c>
      <c r="BP435" s="549">
        <v>0</v>
      </c>
      <c r="BQ435" s="675">
        <v>0</v>
      </c>
      <c r="BR435" s="549">
        <v>0</v>
      </c>
      <c r="BS435" s="675">
        <v>0</v>
      </c>
      <c r="BT435" s="549">
        <v>0</v>
      </c>
      <c r="BU435" s="675">
        <v>0</v>
      </c>
      <c r="BV435" s="549">
        <v>0</v>
      </c>
      <c r="BW435" s="675">
        <v>0</v>
      </c>
      <c r="BX435" s="549">
        <v>0</v>
      </c>
      <c r="BY435" s="675">
        <v>0</v>
      </c>
      <c r="BZ435" s="549">
        <v>0</v>
      </c>
      <c r="CA435" s="675">
        <v>0</v>
      </c>
      <c r="CB435" s="549">
        <v>0</v>
      </c>
      <c r="CC435" s="675">
        <v>0</v>
      </c>
      <c r="CD435" s="549">
        <v>0</v>
      </c>
      <c r="CE435" s="675">
        <v>0</v>
      </c>
      <c r="CF435" s="549">
        <v>0</v>
      </c>
      <c r="CG435" s="675">
        <v>0</v>
      </c>
      <c r="CH435" s="549">
        <v>0</v>
      </c>
      <c r="CI435" s="675">
        <v>0</v>
      </c>
      <c r="CJ435" s="549">
        <v>0</v>
      </c>
      <c r="CK435" s="675">
        <v>0</v>
      </c>
      <c r="CL435" s="549">
        <v>0</v>
      </c>
      <c r="CM435" s="675">
        <v>0</v>
      </c>
      <c r="CN435" s="549">
        <v>0</v>
      </c>
      <c r="CO435" s="675">
        <v>0</v>
      </c>
      <c r="CP435" s="549">
        <v>0</v>
      </c>
      <c r="CQ435" s="675">
        <v>0</v>
      </c>
      <c r="CR435" s="549">
        <v>0</v>
      </c>
      <c r="CS435" s="675">
        <v>0</v>
      </c>
      <c r="CT435" s="549">
        <v>0</v>
      </c>
      <c r="CU435" s="675">
        <v>0</v>
      </c>
      <c r="CV435" s="549">
        <v>0</v>
      </c>
      <c r="CW435" s="675">
        <v>0</v>
      </c>
      <c r="CX435" s="549">
        <v>0</v>
      </c>
      <c r="CY435" s="675">
        <v>0</v>
      </c>
      <c r="CZ435" s="549">
        <v>0</v>
      </c>
      <c r="DA435" s="675">
        <v>0</v>
      </c>
      <c r="DB435" s="549">
        <v>0</v>
      </c>
      <c r="DC435" s="675">
        <v>0</v>
      </c>
      <c r="DD435" s="549">
        <v>0</v>
      </c>
      <c r="DE435" s="675">
        <v>0</v>
      </c>
      <c r="DF435" s="549">
        <v>0</v>
      </c>
      <c r="DG435" s="675">
        <v>0</v>
      </c>
      <c r="DH435" s="549">
        <v>0</v>
      </c>
      <c r="DI435" s="675">
        <v>0</v>
      </c>
      <c r="DJ435" s="549">
        <v>0</v>
      </c>
      <c r="DK435" s="675">
        <v>0</v>
      </c>
      <c r="DL435" s="549">
        <v>0</v>
      </c>
      <c r="DM435" s="675">
        <v>0</v>
      </c>
      <c r="DN435" s="549">
        <v>0</v>
      </c>
      <c r="DO435" s="675">
        <v>0</v>
      </c>
      <c r="DP435" s="549">
        <v>0</v>
      </c>
      <c r="DQ435" s="675">
        <v>0</v>
      </c>
      <c r="DR435" s="549">
        <v>0</v>
      </c>
      <c r="DS435" s="675">
        <v>0</v>
      </c>
      <c r="DT435" s="549">
        <v>0</v>
      </c>
      <c r="DU435" s="675">
        <v>0</v>
      </c>
      <c r="DV435" s="549">
        <v>0</v>
      </c>
      <c r="DW435" s="675">
        <v>0</v>
      </c>
      <c r="DX435" s="549">
        <v>0</v>
      </c>
      <c r="DY435" s="675">
        <v>0</v>
      </c>
      <c r="DZ435" s="549">
        <v>0</v>
      </c>
      <c r="EA435" s="675">
        <v>0</v>
      </c>
      <c r="EB435" s="549">
        <v>0</v>
      </c>
      <c r="EC435" s="675">
        <v>0</v>
      </c>
      <c r="ED435" s="549">
        <v>0</v>
      </c>
      <c r="EE435" s="675">
        <v>0</v>
      </c>
      <c r="EF435" s="549">
        <v>0</v>
      </c>
      <c r="EG435" s="675">
        <v>0</v>
      </c>
      <c r="EH435" s="549">
        <v>0</v>
      </c>
      <c r="EI435" s="675">
        <v>0</v>
      </c>
      <c r="EJ435" s="549">
        <v>0</v>
      </c>
      <c r="EK435" s="675">
        <v>0</v>
      </c>
      <c r="EL435" s="549">
        <v>0</v>
      </c>
      <c r="EM435" s="675">
        <v>0</v>
      </c>
      <c r="EN435" s="549">
        <v>0</v>
      </c>
      <c r="EO435" s="675">
        <v>0</v>
      </c>
      <c r="EP435" s="549">
        <v>0</v>
      </c>
      <c r="EQ435" s="675">
        <v>0</v>
      </c>
      <c r="ER435" s="549">
        <v>0</v>
      </c>
      <c r="ES435" s="675">
        <v>0</v>
      </c>
      <c r="ET435" s="549">
        <v>0</v>
      </c>
      <c r="EU435" s="675">
        <v>0</v>
      </c>
      <c r="EV435" s="549">
        <v>1803</v>
      </c>
      <c r="EW435" s="675">
        <v>0</v>
      </c>
      <c r="EX435" s="549">
        <v>0</v>
      </c>
      <c r="EY435" s="675">
        <v>0</v>
      </c>
      <c r="EZ435" s="549">
        <v>0</v>
      </c>
      <c r="FA435" s="675">
        <v>0</v>
      </c>
      <c r="FB435" s="549">
        <v>0</v>
      </c>
      <c r="FC435" s="675">
        <v>0</v>
      </c>
      <c r="FD435" s="549">
        <v>0</v>
      </c>
      <c r="FE435" s="675">
        <v>0</v>
      </c>
      <c r="FF435" s="549">
        <v>0</v>
      </c>
      <c r="FG435" s="675">
        <v>0</v>
      </c>
      <c r="FH435" s="549">
        <v>0</v>
      </c>
      <c r="FI435" s="675">
        <v>0</v>
      </c>
      <c r="FJ435" s="549">
        <v>0</v>
      </c>
      <c r="FK435" s="675">
        <v>0</v>
      </c>
      <c r="FL435" s="549">
        <v>0</v>
      </c>
      <c r="FM435" s="675">
        <v>0</v>
      </c>
      <c r="FN435" s="549">
        <v>0</v>
      </c>
      <c r="FO435" s="675">
        <v>0</v>
      </c>
      <c r="FP435" s="549">
        <v>0</v>
      </c>
      <c r="FQ435" s="675">
        <v>0</v>
      </c>
      <c r="FR435" s="549">
        <v>0</v>
      </c>
      <c r="FS435" s="675">
        <v>0</v>
      </c>
      <c r="FT435" s="549">
        <v>0</v>
      </c>
      <c r="FU435" s="675">
        <v>0</v>
      </c>
      <c r="FV435" s="549">
        <v>0</v>
      </c>
      <c r="FW435" s="675">
        <v>0</v>
      </c>
      <c r="FX435" s="549">
        <v>0</v>
      </c>
      <c r="FY435" s="675">
        <v>0</v>
      </c>
      <c r="FZ435" s="549">
        <v>0</v>
      </c>
      <c r="GA435" s="675">
        <v>0</v>
      </c>
      <c r="GB435" s="549">
        <v>0</v>
      </c>
      <c r="GC435" s="675">
        <v>0</v>
      </c>
      <c r="GD435" s="549">
        <v>0</v>
      </c>
      <c r="GE435" s="675">
        <v>0</v>
      </c>
      <c r="GF435" s="549">
        <v>0</v>
      </c>
      <c r="GG435" s="675">
        <v>0</v>
      </c>
      <c r="GH435" s="549">
        <v>0</v>
      </c>
      <c r="GI435" s="675">
        <v>0</v>
      </c>
      <c r="GJ435" s="549">
        <v>0</v>
      </c>
      <c r="GK435" s="675">
        <v>0</v>
      </c>
      <c r="GL435" s="549">
        <v>0</v>
      </c>
      <c r="GM435" s="675">
        <v>0</v>
      </c>
      <c r="GN435" s="549">
        <v>0</v>
      </c>
      <c r="GO435" s="675">
        <v>0</v>
      </c>
      <c r="GP435" s="549">
        <f>+D435+F435+H435+J435+L435+N435+P435+R435+T435+V435+X435+Z435+AB435+AD435+AH435+AJ435+AL435+AN435+AP435+AR435+AT435+AV435+AX435+AZ435+BB435+BD435+BF435+BH435+BJ435+BL435+BN435+BP435+BR435+BT435+BV435+BX435+BZ435+CB435+CD435+CF435+CH435+CJ435+CL435+CN435+CP435+CR435+CT435+CV435+CX435+CZ435+DB435+DD435+DF435+DH435+DT435+EX435+DJ435+DL435+DN435+DP435+DR435+EJ435+EB435+DZ435+DX435+DV435+ED435+EF435+EH435+EL435+EN435+EP435+EV435+ET435+ER435+EZ435+FB435+FD435+GL435</f>
        <v>1803</v>
      </c>
      <c r="GQ435" s="675">
        <f>+E435+G435+I435+K435+M435+O435+Q435+S435+U435+W435+Y435+AA435+AC435+AE435+AI435+AK435+AM435+AO435+AQ435+AS435+AU435+AW435+AY435+BA435+BC435+BE435+BG435+BI435+BK435+BM435+BO435+BQ435+BS435+BU435+BW435+BY435+CA435+CC435+CE435+CG435+CI435+CK435+CM435+CO435+CQ435+CS435+CU435+CW435+CY435+DA435+DC435+DE435+DG435+DI435+DU435+EY435+DK435+DM435+DO435+DQ435+DS435+EK435+EC435+EA435+DY435+DW435+EI435+EG435+EE435+EM435+EO435+EQ435+EW435+EU435+ES435+FA435+FC435+FE435+GM435</f>
        <v>0</v>
      </c>
      <c r="GR435" s="74">
        <f t="shared" si="11232"/>
        <v>1803</v>
      </c>
      <c r="GS435" s="74">
        <f t="shared" si="11269"/>
        <v>1803</v>
      </c>
      <c r="GT435" s="568">
        <f t="shared" si="11234"/>
        <v>1803</v>
      </c>
      <c r="GU435" s="275">
        <v>0</v>
      </c>
      <c r="GV435" s="275">
        <v>0</v>
      </c>
      <c r="GW435" s="588">
        <v>0</v>
      </c>
      <c r="GX435" s="588">
        <v>0</v>
      </c>
      <c r="GY435" s="275">
        <v>0</v>
      </c>
      <c r="GZ435" s="275">
        <v>0</v>
      </c>
      <c r="HA435" s="275">
        <v>0</v>
      </c>
      <c r="HB435" s="275">
        <v>0</v>
      </c>
      <c r="HC435" s="275">
        <v>0</v>
      </c>
      <c r="HD435" s="275">
        <v>0</v>
      </c>
      <c r="HE435" s="275">
        <v>0</v>
      </c>
      <c r="HF435" s="275">
        <v>0</v>
      </c>
      <c r="HG435" s="74">
        <f t="shared" si="11235"/>
        <v>1803</v>
      </c>
      <c r="HH435" s="89">
        <v>0</v>
      </c>
      <c r="HI435" s="817">
        <v>0</v>
      </c>
      <c r="HJ435" s="89">
        <v>0</v>
      </c>
      <c r="HK435" s="817">
        <v>0</v>
      </c>
      <c r="HL435" s="89">
        <v>0</v>
      </c>
      <c r="HM435" s="817">
        <v>0</v>
      </c>
      <c r="HN435" s="89">
        <v>0</v>
      </c>
      <c r="HO435" s="817">
        <v>0</v>
      </c>
      <c r="HP435" s="89">
        <v>0</v>
      </c>
      <c r="HQ435" s="817">
        <v>0</v>
      </c>
      <c r="HR435" s="89">
        <v>0</v>
      </c>
      <c r="HS435" s="817">
        <v>0</v>
      </c>
      <c r="HT435" s="89">
        <v>0</v>
      </c>
      <c r="HU435" s="817">
        <v>0</v>
      </c>
      <c r="HV435" s="89">
        <v>0</v>
      </c>
      <c r="HW435" s="817">
        <v>0</v>
      </c>
      <c r="HX435" s="89">
        <v>1803</v>
      </c>
      <c r="HY435" s="817">
        <v>0</v>
      </c>
      <c r="HZ435" s="89">
        <v>0</v>
      </c>
      <c r="IA435" s="817">
        <v>0</v>
      </c>
      <c r="IB435" s="89">
        <v>0</v>
      </c>
      <c r="IC435" s="817">
        <v>0</v>
      </c>
      <c r="ID435" s="89">
        <v>0</v>
      </c>
      <c r="IE435" s="817">
        <v>0</v>
      </c>
      <c r="IF435" s="841">
        <f t="shared" si="11236"/>
        <v>0</v>
      </c>
      <c r="IG435" s="263">
        <f t="shared" si="11237"/>
        <v>0</v>
      </c>
      <c r="IH435" s="842">
        <f t="shared" si="11238"/>
        <v>0</v>
      </c>
      <c r="II435" s="89">
        <v>0</v>
      </c>
      <c r="IJ435" s="89">
        <v>0</v>
      </c>
      <c r="IK435" s="89">
        <v>0</v>
      </c>
      <c r="IL435" s="89">
        <v>0</v>
      </c>
      <c r="IM435" s="89">
        <v>0</v>
      </c>
      <c r="IN435" s="89">
        <v>0</v>
      </c>
      <c r="IO435" s="89">
        <v>0</v>
      </c>
      <c r="IP435" s="89">
        <v>0</v>
      </c>
      <c r="IQ435" s="89">
        <v>0</v>
      </c>
      <c r="IR435" s="89">
        <v>0</v>
      </c>
      <c r="IS435" s="89">
        <v>0</v>
      </c>
      <c r="IT435" s="89">
        <v>0</v>
      </c>
      <c r="IU435" s="89">
        <v>0</v>
      </c>
      <c r="IV435" s="89">
        <v>0</v>
      </c>
      <c r="IW435" s="89">
        <v>0</v>
      </c>
      <c r="IX435" s="89">
        <v>0</v>
      </c>
      <c r="IY435" s="89">
        <v>0</v>
      </c>
      <c r="IZ435" s="89">
        <v>0</v>
      </c>
      <c r="JA435" s="89">
        <v>0</v>
      </c>
      <c r="JB435" s="89">
        <v>0</v>
      </c>
      <c r="JC435" s="89">
        <v>0</v>
      </c>
      <c r="JD435" s="89">
        <v>0</v>
      </c>
      <c r="JE435" s="89">
        <v>0</v>
      </c>
      <c r="JF435" s="89">
        <v>0</v>
      </c>
      <c r="JG435" s="89">
        <v>0</v>
      </c>
      <c r="JH435" s="89">
        <v>0</v>
      </c>
      <c r="JI435" s="89">
        <v>0</v>
      </c>
      <c r="JJ435" s="89">
        <v>0</v>
      </c>
      <c r="JK435" s="89">
        <v>0</v>
      </c>
      <c r="JL435" s="89">
        <v>0</v>
      </c>
      <c r="JM435" s="89">
        <v>0</v>
      </c>
      <c r="JN435" s="89">
        <v>0</v>
      </c>
      <c r="JO435" s="89">
        <v>0</v>
      </c>
      <c r="JP435" s="89">
        <v>0</v>
      </c>
      <c r="JQ435" s="89">
        <v>0</v>
      </c>
      <c r="JR435" s="89">
        <v>0</v>
      </c>
      <c r="JS435" s="74">
        <f t="shared" si="11239"/>
        <v>1803</v>
      </c>
      <c r="JT435" s="382">
        <f t="shared" si="11240"/>
        <v>1803</v>
      </c>
      <c r="JU435" s="665"/>
      <c r="JV435" s="524"/>
      <c r="JW435" s="525"/>
      <c r="JX435" s="549">
        <f t="shared" si="11241"/>
        <v>1803</v>
      </c>
      <c r="JY435" s="549">
        <f t="shared" si="11241"/>
        <v>0</v>
      </c>
      <c r="JZ435" s="581">
        <f t="shared" si="10300"/>
        <v>1803</v>
      </c>
      <c r="KA435" s="581">
        <f t="shared" si="10301"/>
        <v>0</v>
      </c>
      <c r="KB435" s="549">
        <f t="shared" si="11273"/>
        <v>1803</v>
      </c>
      <c r="KC435" s="709">
        <f t="shared" ref="KC435:KC501" si="11275">HG435-KB435</f>
        <v>0</v>
      </c>
      <c r="KD435" s="36"/>
      <c r="KE435" s="36"/>
      <c r="KF435" s="36"/>
      <c r="KG435" s="36"/>
      <c r="KH435" s="36"/>
      <c r="KI435" s="36"/>
      <c r="KJ435" s="36"/>
      <c r="KK435" s="36"/>
    </row>
    <row r="436" spans="1:297" s="10" customFormat="1">
      <c r="A436" s="91"/>
      <c r="B436" s="77"/>
      <c r="C436" s="74"/>
      <c r="D436" s="549"/>
      <c r="E436" s="675"/>
      <c r="F436" s="549"/>
      <c r="G436" s="675"/>
      <c r="H436" s="549"/>
      <c r="I436" s="675"/>
      <c r="J436" s="549"/>
      <c r="K436" s="675"/>
      <c r="L436" s="549"/>
      <c r="M436" s="675"/>
      <c r="N436" s="549"/>
      <c r="O436" s="675"/>
      <c r="P436" s="549"/>
      <c r="Q436" s="675"/>
      <c r="R436" s="549"/>
      <c r="S436" s="675"/>
      <c r="T436" s="549"/>
      <c r="U436" s="675"/>
      <c r="V436" s="549"/>
      <c r="W436" s="675"/>
      <c r="X436" s="549"/>
      <c r="Y436" s="675"/>
      <c r="Z436" s="549"/>
      <c r="AA436" s="675"/>
      <c r="AB436" s="549"/>
      <c r="AC436" s="675"/>
      <c r="AD436" s="549"/>
      <c r="AE436" s="675"/>
      <c r="AF436" s="549"/>
      <c r="AG436" s="675"/>
      <c r="AH436" s="549"/>
      <c r="AI436" s="675"/>
      <c r="AJ436" s="549"/>
      <c r="AK436" s="675"/>
      <c r="AL436" s="549"/>
      <c r="AM436" s="675"/>
      <c r="AN436" s="549"/>
      <c r="AO436" s="675"/>
      <c r="AP436" s="549"/>
      <c r="AQ436" s="675"/>
      <c r="AR436" s="549"/>
      <c r="AS436" s="675"/>
      <c r="AT436" s="549"/>
      <c r="AU436" s="675"/>
      <c r="AV436" s="549"/>
      <c r="AW436" s="675"/>
      <c r="AX436" s="549"/>
      <c r="AY436" s="675"/>
      <c r="AZ436" s="549"/>
      <c r="BA436" s="675"/>
      <c r="BB436" s="549"/>
      <c r="BC436" s="675"/>
      <c r="BD436" s="549"/>
      <c r="BE436" s="675"/>
      <c r="BF436" s="549"/>
      <c r="BG436" s="675"/>
      <c r="BH436" s="549"/>
      <c r="BI436" s="675"/>
      <c r="BJ436" s="549"/>
      <c r="BK436" s="675"/>
      <c r="BL436" s="549"/>
      <c r="BM436" s="675"/>
      <c r="BN436" s="549"/>
      <c r="BO436" s="675"/>
      <c r="BP436" s="549"/>
      <c r="BQ436" s="675"/>
      <c r="BR436" s="549"/>
      <c r="BS436" s="675"/>
      <c r="BT436" s="549"/>
      <c r="BU436" s="675"/>
      <c r="BV436" s="549"/>
      <c r="BW436" s="675"/>
      <c r="BX436" s="549"/>
      <c r="BY436" s="675"/>
      <c r="BZ436" s="549"/>
      <c r="CA436" s="675"/>
      <c r="CB436" s="549"/>
      <c r="CC436" s="675"/>
      <c r="CD436" s="549"/>
      <c r="CE436" s="675"/>
      <c r="CF436" s="549"/>
      <c r="CG436" s="675"/>
      <c r="CH436" s="549"/>
      <c r="CI436" s="675"/>
      <c r="CJ436" s="549"/>
      <c r="CK436" s="675"/>
      <c r="CL436" s="549"/>
      <c r="CM436" s="675"/>
      <c r="CN436" s="549"/>
      <c r="CO436" s="675"/>
      <c r="CP436" s="549"/>
      <c r="CQ436" s="675"/>
      <c r="CR436" s="549"/>
      <c r="CS436" s="675"/>
      <c r="CT436" s="549"/>
      <c r="CU436" s="675"/>
      <c r="CV436" s="549"/>
      <c r="CW436" s="675"/>
      <c r="CX436" s="549"/>
      <c r="CY436" s="675"/>
      <c r="CZ436" s="549"/>
      <c r="DA436" s="675"/>
      <c r="DB436" s="549"/>
      <c r="DC436" s="675"/>
      <c r="DD436" s="549"/>
      <c r="DE436" s="675"/>
      <c r="DF436" s="549"/>
      <c r="DG436" s="675"/>
      <c r="DH436" s="549"/>
      <c r="DI436" s="675"/>
      <c r="DJ436" s="549"/>
      <c r="DK436" s="675"/>
      <c r="DL436" s="549"/>
      <c r="DM436" s="675"/>
      <c r="DN436" s="549"/>
      <c r="DO436" s="675"/>
      <c r="DP436" s="549"/>
      <c r="DQ436" s="675"/>
      <c r="DR436" s="549"/>
      <c r="DS436" s="675"/>
      <c r="DT436" s="549"/>
      <c r="DU436" s="675"/>
      <c r="DV436" s="549"/>
      <c r="DW436" s="675"/>
      <c r="DX436" s="549"/>
      <c r="DY436" s="675"/>
      <c r="DZ436" s="549"/>
      <c r="EA436" s="675"/>
      <c r="EB436" s="549"/>
      <c r="EC436" s="675"/>
      <c r="ED436" s="549"/>
      <c r="EE436" s="675"/>
      <c r="EF436" s="549"/>
      <c r="EG436" s="675"/>
      <c r="EH436" s="549"/>
      <c r="EI436" s="675"/>
      <c r="EJ436" s="549"/>
      <c r="EK436" s="675"/>
      <c r="EL436" s="549"/>
      <c r="EM436" s="675"/>
      <c r="EN436" s="549"/>
      <c r="EO436" s="675"/>
      <c r="EP436" s="549"/>
      <c r="EQ436" s="675"/>
      <c r="ER436" s="549"/>
      <c r="ES436" s="675"/>
      <c r="ET436" s="549"/>
      <c r="EU436" s="675"/>
      <c r="EV436" s="549"/>
      <c r="EW436" s="675"/>
      <c r="EX436" s="549"/>
      <c r="EY436" s="675"/>
      <c r="EZ436" s="549"/>
      <c r="FA436" s="675"/>
      <c r="FB436" s="549"/>
      <c r="FC436" s="675"/>
      <c r="FD436" s="549"/>
      <c r="FE436" s="675"/>
      <c r="FF436" s="549"/>
      <c r="FG436" s="675"/>
      <c r="FH436" s="549"/>
      <c r="FI436" s="675"/>
      <c r="FJ436" s="549"/>
      <c r="FK436" s="675"/>
      <c r="FL436" s="549"/>
      <c r="FM436" s="675"/>
      <c r="FN436" s="549"/>
      <c r="FO436" s="675"/>
      <c r="FP436" s="549"/>
      <c r="FQ436" s="675"/>
      <c r="FR436" s="549"/>
      <c r="FS436" s="675"/>
      <c r="FT436" s="549"/>
      <c r="FU436" s="675"/>
      <c r="FV436" s="549"/>
      <c r="FW436" s="675"/>
      <c r="FX436" s="549"/>
      <c r="FY436" s="675"/>
      <c r="FZ436" s="549"/>
      <c r="GA436" s="675"/>
      <c r="GB436" s="549"/>
      <c r="GC436" s="675"/>
      <c r="GD436" s="549"/>
      <c r="GE436" s="675"/>
      <c r="GF436" s="549"/>
      <c r="GG436" s="675"/>
      <c r="GH436" s="549"/>
      <c r="GI436" s="675"/>
      <c r="GJ436" s="549"/>
      <c r="GK436" s="675"/>
      <c r="GL436" s="549"/>
      <c r="GM436" s="675"/>
      <c r="GN436" s="549"/>
      <c r="GO436" s="675"/>
      <c r="GP436" s="549"/>
      <c r="GQ436" s="675"/>
      <c r="GR436" s="74"/>
      <c r="GS436" s="74"/>
      <c r="GT436" s="549"/>
      <c r="GU436" s="73"/>
      <c r="GV436" s="73"/>
      <c r="GW436" s="549"/>
      <c r="GX436" s="549"/>
      <c r="GY436" s="73"/>
      <c r="GZ436" s="73"/>
      <c r="HA436" s="73"/>
      <c r="HB436" s="73"/>
      <c r="HC436" s="73"/>
      <c r="HD436" s="73"/>
      <c r="HE436" s="73"/>
      <c r="HF436" s="73"/>
      <c r="HG436" s="74"/>
      <c r="HH436" s="73"/>
      <c r="HI436" s="815"/>
      <c r="HJ436" s="73"/>
      <c r="HK436" s="815"/>
      <c r="HL436" s="73"/>
      <c r="HM436" s="815"/>
      <c r="HN436" s="73"/>
      <c r="HO436" s="815"/>
      <c r="HP436" s="73"/>
      <c r="HQ436" s="815"/>
      <c r="HR436" s="73"/>
      <c r="HS436" s="815"/>
      <c r="HT436" s="73"/>
      <c r="HU436" s="815"/>
      <c r="HV436" s="73"/>
      <c r="HW436" s="815"/>
      <c r="HX436" s="73"/>
      <c r="HY436" s="815"/>
      <c r="HZ436" s="73"/>
      <c r="IA436" s="815"/>
      <c r="IB436" s="73"/>
      <c r="IC436" s="815"/>
      <c r="ID436" s="73"/>
      <c r="IE436" s="815"/>
      <c r="IF436" s="841"/>
      <c r="IG436" s="263"/>
      <c r="IH436" s="842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  <c r="JD436" s="73"/>
      <c r="JE436" s="73"/>
      <c r="JF436" s="73"/>
      <c r="JG436" s="73"/>
      <c r="JH436" s="73"/>
      <c r="JI436" s="73"/>
      <c r="JJ436" s="73"/>
      <c r="JK436" s="73"/>
      <c r="JL436" s="73"/>
      <c r="JM436" s="73"/>
      <c r="JN436" s="73"/>
      <c r="JO436" s="73"/>
      <c r="JP436" s="73"/>
      <c r="JQ436" s="73"/>
      <c r="JR436" s="73"/>
      <c r="JS436" s="74"/>
      <c r="JT436" s="382"/>
      <c r="JU436" s="665"/>
      <c r="JV436" s="524"/>
      <c r="JW436" s="525"/>
      <c r="JX436" s="549"/>
      <c r="JY436" s="549"/>
      <c r="JZ436" s="581">
        <f t="shared" ref="JZ436:JZ502" si="11276">GP436</f>
        <v>0</v>
      </c>
      <c r="KA436" s="581">
        <f t="shared" ref="KA436:KA502" si="11277">GQ436</f>
        <v>0</v>
      </c>
      <c r="KB436" s="549">
        <f t="shared" si="11273"/>
        <v>0</v>
      </c>
      <c r="KC436" s="709">
        <f t="shared" si="11275"/>
        <v>0</v>
      </c>
      <c r="KD436" s="36"/>
      <c r="KE436" s="36"/>
      <c r="KF436" s="36"/>
      <c r="KG436" s="36"/>
      <c r="KH436" s="36"/>
      <c r="KI436" s="36"/>
      <c r="KJ436" s="36"/>
      <c r="KK436" s="36"/>
    </row>
    <row r="437" spans="1:297" s="8" customFormat="1">
      <c r="A437" s="80" t="s">
        <v>259</v>
      </c>
      <c r="B437" s="72" t="s">
        <v>125</v>
      </c>
      <c r="C437" s="74">
        <f t="shared" ref="C437:AM437" si="11278">SUM(C439,C444,C451,C458,C464,C472,C482,C488)+C498+C500</f>
        <v>542000</v>
      </c>
      <c r="D437" s="549">
        <f t="shared" si="11278"/>
        <v>0</v>
      </c>
      <c r="E437" s="675">
        <f t="shared" si="11278"/>
        <v>0</v>
      </c>
      <c r="F437" s="549">
        <f t="shared" si="11278"/>
        <v>0</v>
      </c>
      <c r="G437" s="675">
        <f t="shared" si="11278"/>
        <v>0</v>
      </c>
      <c r="H437" s="549">
        <f t="shared" si="11278"/>
        <v>0</v>
      </c>
      <c r="I437" s="675">
        <f t="shared" si="11278"/>
        <v>0</v>
      </c>
      <c r="J437" s="549">
        <f t="shared" si="11278"/>
        <v>0</v>
      </c>
      <c r="K437" s="675">
        <f t="shared" si="11278"/>
        <v>0</v>
      </c>
      <c r="L437" s="549">
        <f t="shared" si="11278"/>
        <v>0</v>
      </c>
      <c r="M437" s="675">
        <f t="shared" si="11278"/>
        <v>0</v>
      </c>
      <c r="N437" s="549">
        <f t="shared" si="11278"/>
        <v>0</v>
      </c>
      <c r="O437" s="675">
        <f t="shared" si="11278"/>
        <v>0</v>
      </c>
      <c r="P437" s="549">
        <f t="shared" si="11278"/>
        <v>0</v>
      </c>
      <c r="Q437" s="675">
        <f t="shared" si="11278"/>
        <v>0</v>
      </c>
      <c r="R437" s="549">
        <f t="shared" si="11278"/>
        <v>0</v>
      </c>
      <c r="S437" s="675">
        <f t="shared" si="11278"/>
        <v>0</v>
      </c>
      <c r="T437" s="549">
        <f t="shared" si="11278"/>
        <v>0</v>
      </c>
      <c r="U437" s="675">
        <f t="shared" si="11278"/>
        <v>0</v>
      </c>
      <c r="V437" s="549">
        <f t="shared" si="11278"/>
        <v>3000</v>
      </c>
      <c r="W437" s="675">
        <f t="shared" si="11278"/>
        <v>-40000</v>
      </c>
      <c r="X437" s="549">
        <f t="shared" si="11278"/>
        <v>0</v>
      </c>
      <c r="Y437" s="675">
        <f t="shared" si="11278"/>
        <v>0</v>
      </c>
      <c r="Z437" s="549">
        <f t="shared" si="11278"/>
        <v>0</v>
      </c>
      <c r="AA437" s="675">
        <f t="shared" si="11278"/>
        <v>0</v>
      </c>
      <c r="AB437" s="549">
        <f t="shared" si="11278"/>
        <v>0</v>
      </c>
      <c r="AC437" s="675">
        <f t="shared" si="11278"/>
        <v>0</v>
      </c>
      <c r="AD437" s="549">
        <f t="shared" ref="AD437:AK437" si="11279">SUM(AD439,AD444,AD451,AD458,AD464,AD472,AD482,AD488)+AD498+AD500</f>
        <v>3000</v>
      </c>
      <c r="AE437" s="675">
        <f t="shared" si="11279"/>
        <v>-7000</v>
      </c>
      <c r="AF437" s="549">
        <f t="shared" si="11279"/>
        <v>0</v>
      </c>
      <c r="AG437" s="675">
        <f t="shared" si="11279"/>
        <v>-10000</v>
      </c>
      <c r="AH437" s="549">
        <f t="shared" si="11279"/>
        <v>0</v>
      </c>
      <c r="AI437" s="675">
        <f t="shared" si="11279"/>
        <v>0</v>
      </c>
      <c r="AJ437" s="549">
        <f t="shared" si="11279"/>
        <v>0</v>
      </c>
      <c r="AK437" s="675">
        <f t="shared" si="11279"/>
        <v>0</v>
      </c>
      <c r="AL437" s="549">
        <f t="shared" si="11278"/>
        <v>0</v>
      </c>
      <c r="AM437" s="675">
        <f t="shared" si="11278"/>
        <v>0</v>
      </c>
      <c r="AN437" s="549">
        <f t="shared" ref="AN437:AS437" si="11280">SUM(AN439,AN444,AN451,AN458,AN464,AN472,AN482,AN488)+AN498+AN500</f>
        <v>0</v>
      </c>
      <c r="AO437" s="675">
        <f t="shared" si="11280"/>
        <v>0</v>
      </c>
      <c r="AP437" s="549">
        <f t="shared" si="11280"/>
        <v>0</v>
      </c>
      <c r="AQ437" s="675">
        <f t="shared" si="11280"/>
        <v>0</v>
      </c>
      <c r="AR437" s="549">
        <f t="shared" si="11280"/>
        <v>0</v>
      </c>
      <c r="AS437" s="675">
        <f t="shared" si="11280"/>
        <v>0</v>
      </c>
      <c r="AT437" s="549">
        <f t="shared" ref="AT437:AU437" si="11281">SUM(AT439,AT444,AT451,AT458,AT464,AT472,AT482,AT488)+AT498+AT500</f>
        <v>0</v>
      </c>
      <c r="AU437" s="675">
        <f t="shared" si="11281"/>
        <v>0</v>
      </c>
      <c r="AV437" s="549">
        <f t="shared" ref="AV437:AW437" si="11282">SUM(AV439,AV444,AV451,AV458,AV464,AV472,AV482,AV488)+AV498+AV500</f>
        <v>0</v>
      </c>
      <c r="AW437" s="675">
        <f t="shared" si="11282"/>
        <v>0</v>
      </c>
      <c r="AX437" s="549">
        <f t="shared" ref="AX437:AY437" si="11283">SUM(AX439,AX444,AX451,AX458,AX464,AX472,AX482,AX488)+AX498+AX500</f>
        <v>0</v>
      </c>
      <c r="AY437" s="675">
        <f t="shared" si="11283"/>
        <v>0</v>
      </c>
      <c r="AZ437" s="549">
        <f t="shared" ref="AZ437:BA437" si="11284">SUM(AZ439,AZ444,AZ451,AZ458,AZ464,AZ472,AZ482,AZ488)+AZ498+AZ500</f>
        <v>30000</v>
      </c>
      <c r="BA437" s="675">
        <f t="shared" si="11284"/>
        <v>-19000</v>
      </c>
      <c r="BB437" s="549">
        <f t="shared" ref="BB437:BC437" si="11285">SUM(BB439,BB444,BB451,BB458,BB464,BB472,BB482,BB488)+BB498+BB500</f>
        <v>0</v>
      </c>
      <c r="BC437" s="675">
        <f t="shared" si="11285"/>
        <v>0</v>
      </c>
      <c r="BD437" s="549">
        <f t="shared" ref="BD437:BE437" si="11286">SUM(BD439,BD444,BD451,BD458,BD464,BD472,BD482,BD488)+BD498+BD500</f>
        <v>0</v>
      </c>
      <c r="BE437" s="675">
        <f t="shared" si="11286"/>
        <v>0</v>
      </c>
      <c r="BF437" s="549">
        <f t="shared" ref="BF437:BG437" si="11287">SUM(BF439,BF444,BF451,BF458,BF464,BF472,BF482,BF488)+BF498+BF500</f>
        <v>39000</v>
      </c>
      <c r="BG437" s="675">
        <f t="shared" si="11287"/>
        <v>0</v>
      </c>
      <c r="BH437" s="549">
        <f t="shared" ref="BH437:BI437" si="11288">SUM(BH439,BH444,BH451,BH458,BH464,BH472,BH482,BH488)+BH498+BH500</f>
        <v>9000</v>
      </c>
      <c r="BI437" s="675">
        <f t="shared" si="11288"/>
        <v>0</v>
      </c>
      <c r="BJ437" s="549">
        <f t="shared" ref="BJ437:BK437" si="11289">SUM(BJ439,BJ444,BJ451,BJ458,BJ464,BJ472,BJ482,BJ488)+BJ498+BJ500</f>
        <v>0</v>
      </c>
      <c r="BK437" s="675">
        <f t="shared" si="11289"/>
        <v>0</v>
      </c>
      <c r="BL437" s="549">
        <f t="shared" ref="BL437:BS437" si="11290">SUM(BL439,BL444,BL451,BL458,BL464,BL472,BL482,BL488)+BL498+BL500</f>
        <v>0</v>
      </c>
      <c r="BM437" s="675">
        <f t="shared" si="11290"/>
        <v>0</v>
      </c>
      <c r="BN437" s="549">
        <f t="shared" si="11290"/>
        <v>0</v>
      </c>
      <c r="BO437" s="675">
        <f t="shared" si="11290"/>
        <v>0</v>
      </c>
      <c r="BP437" s="549">
        <f t="shared" si="11290"/>
        <v>5000</v>
      </c>
      <c r="BQ437" s="675">
        <f t="shared" si="11290"/>
        <v>0</v>
      </c>
      <c r="BR437" s="549">
        <f t="shared" si="11290"/>
        <v>0</v>
      </c>
      <c r="BS437" s="675">
        <f t="shared" si="11290"/>
        <v>0</v>
      </c>
      <c r="BT437" s="549">
        <f t="shared" ref="BT437:BU437" si="11291">SUM(BT439,BT444,BT451,BT458,BT464,BT472,BT482,BT488)+BT498+BT500</f>
        <v>0</v>
      </c>
      <c r="BU437" s="675">
        <f t="shared" si="11291"/>
        <v>0</v>
      </c>
      <c r="BV437" s="549">
        <f t="shared" ref="BV437:BW437" si="11292">SUM(BV439,BV444,BV451,BV458,BV464,BV472,BV482,BV488)+BV498+BV500</f>
        <v>0</v>
      </c>
      <c r="BW437" s="675">
        <f t="shared" si="11292"/>
        <v>0</v>
      </c>
      <c r="BX437" s="549">
        <f t="shared" ref="BX437:BY437" si="11293">SUM(BX439,BX444,BX451,BX458,BX464,BX472,BX482,BX488)+BX498+BX500</f>
        <v>0</v>
      </c>
      <c r="BY437" s="675">
        <f t="shared" si="11293"/>
        <v>0</v>
      </c>
      <c r="BZ437" s="549">
        <f t="shared" ref="BZ437:CA437" si="11294">SUM(BZ439,BZ444,BZ451,BZ458,BZ464,BZ472,BZ482,BZ488)+BZ498+BZ500</f>
        <v>0</v>
      </c>
      <c r="CA437" s="675">
        <f t="shared" si="11294"/>
        <v>0</v>
      </c>
      <c r="CB437" s="549">
        <f t="shared" ref="CB437:CE437" si="11295">SUM(CB439,CB444,CB451,CB458,CB464,CB472,CB482,CB488)+CB498+CB500</f>
        <v>0</v>
      </c>
      <c r="CC437" s="675">
        <f t="shared" si="11295"/>
        <v>0</v>
      </c>
      <c r="CD437" s="549">
        <f t="shared" si="11295"/>
        <v>0</v>
      </c>
      <c r="CE437" s="675">
        <f t="shared" si="11295"/>
        <v>0</v>
      </c>
      <c r="CF437" s="549">
        <f t="shared" ref="CF437:CQ437" si="11296">SUM(CF439,CF444,CF451,CF458,CF464,CF472,CF482,CF488)+CF498+CF500</f>
        <v>0</v>
      </c>
      <c r="CG437" s="675">
        <f t="shared" si="11296"/>
        <v>0</v>
      </c>
      <c r="CH437" s="549">
        <f t="shared" si="11296"/>
        <v>3000</v>
      </c>
      <c r="CI437" s="675">
        <f t="shared" si="11296"/>
        <v>-6000</v>
      </c>
      <c r="CJ437" s="549">
        <f t="shared" si="11296"/>
        <v>0</v>
      </c>
      <c r="CK437" s="675">
        <f t="shared" si="11296"/>
        <v>-56500</v>
      </c>
      <c r="CL437" s="549">
        <f t="shared" si="11296"/>
        <v>11000</v>
      </c>
      <c r="CM437" s="675">
        <f t="shared" si="11296"/>
        <v>-8000</v>
      </c>
      <c r="CN437" s="549">
        <f t="shared" si="11296"/>
        <v>0</v>
      </c>
      <c r="CO437" s="675">
        <f t="shared" si="11296"/>
        <v>0</v>
      </c>
      <c r="CP437" s="549">
        <f t="shared" si="11296"/>
        <v>0</v>
      </c>
      <c r="CQ437" s="675">
        <f t="shared" si="11296"/>
        <v>0</v>
      </c>
      <c r="CR437" s="549">
        <f t="shared" ref="CR437:CY437" si="11297">SUM(CR439,CR444,CR451,CR458,CR464,CR472,CR482,CR488)+CR498+CR500</f>
        <v>0</v>
      </c>
      <c r="CS437" s="675">
        <f t="shared" si="11297"/>
        <v>0</v>
      </c>
      <c r="CT437" s="549">
        <f t="shared" si="11297"/>
        <v>0</v>
      </c>
      <c r="CU437" s="675">
        <f t="shared" si="11297"/>
        <v>0</v>
      </c>
      <c r="CV437" s="549">
        <f t="shared" si="11297"/>
        <v>0</v>
      </c>
      <c r="CW437" s="675">
        <f t="shared" si="11297"/>
        <v>0</v>
      </c>
      <c r="CX437" s="549">
        <f t="shared" si="11297"/>
        <v>0</v>
      </c>
      <c r="CY437" s="675">
        <f t="shared" si="11297"/>
        <v>0</v>
      </c>
      <c r="CZ437" s="549">
        <f t="shared" ref="CZ437:DG437" si="11298">SUM(CZ439,CZ444,CZ451,CZ458,CZ464,CZ472,CZ482,CZ488)+CZ498+CZ500</f>
        <v>19000</v>
      </c>
      <c r="DA437" s="675">
        <f t="shared" si="11298"/>
        <v>-4000</v>
      </c>
      <c r="DB437" s="549">
        <f t="shared" si="11298"/>
        <v>0</v>
      </c>
      <c r="DC437" s="675">
        <f t="shared" si="11298"/>
        <v>0</v>
      </c>
      <c r="DD437" s="549">
        <f t="shared" si="11298"/>
        <v>0</v>
      </c>
      <c r="DE437" s="675">
        <f t="shared" si="11298"/>
        <v>0</v>
      </c>
      <c r="DF437" s="549">
        <f t="shared" si="11298"/>
        <v>0</v>
      </c>
      <c r="DG437" s="675">
        <f t="shared" si="11298"/>
        <v>0</v>
      </c>
      <c r="DH437" s="549">
        <f t="shared" ref="DH437:DY437" si="11299">SUM(DH439,DH444,DH451,DH458,DH464,DH472,DH482,DH488)+DH498+DH500</f>
        <v>3000</v>
      </c>
      <c r="DI437" s="675">
        <f t="shared" si="11299"/>
        <v>-1000</v>
      </c>
      <c r="DJ437" s="549">
        <f t="shared" si="11299"/>
        <v>2000</v>
      </c>
      <c r="DK437" s="675">
        <f t="shared" si="11299"/>
        <v>-8000</v>
      </c>
      <c r="DL437" s="549">
        <f t="shared" si="11299"/>
        <v>0</v>
      </c>
      <c r="DM437" s="675">
        <f t="shared" si="11299"/>
        <v>0</v>
      </c>
      <c r="DN437" s="549">
        <f t="shared" si="11299"/>
        <v>0</v>
      </c>
      <c r="DO437" s="675">
        <f t="shared" si="11299"/>
        <v>0</v>
      </c>
      <c r="DP437" s="549">
        <f t="shared" si="11299"/>
        <v>0</v>
      </c>
      <c r="DQ437" s="675">
        <f t="shared" si="11299"/>
        <v>-3000</v>
      </c>
      <c r="DR437" s="549">
        <f t="shared" si="11299"/>
        <v>0</v>
      </c>
      <c r="DS437" s="675">
        <f t="shared" si="11299"/>
        <v>0</v>
      </c>
      <c r="DT437" s="549">
        <f t="shared" si="11299"/>
        <v>0</v>
      </c>
      <c r="DU437" s="675">
        <f t="shared" si="11299"/>
        <v>0</v>
      </c>
      <c r="DV437" s="549">
        <f t="shared" si="11299"/>
        <v>0</v>
      </c>
      <c r="DW437" s="675">
        <f t="shared" si="11299"/>
        <v>0</v>
      </c>
      <c r="DX437" s="549">
        <f t="shared" si="11299"/>
        <v>0</v>
      </c>
      <c r="DY437" s="675">
        <f t="shared" si="11299"/>
        <v>0</v>
      </c>
      <c r="DZ437" s="549">
        <f t="shared" ref="DZ437:FA437" si="11300">SUM(DZ439,DZ444,DZ451,DZ458,DZ464,DZ472,DZ482,DZ488)+DZ498+DZ500</f>
        <v>0</v>
      </c>
      <c r="EA437" s="675">
        <f t="shared" si="11300"/>
        <v>0</v>
      </c>
      <c r="EB437" s="549">
        <f t="shared" si="11300"/>
        <v>0</v>
      </c>
      <c r="EC437" s="675">
        <f t="shared" si="11300"/>
        <v>0</v>
      </c>
      <c r="ED437" s="549">
        <f t="shared" si="11300"/>
        <v>0</v>
      </c>
      <c r="EE437" s="675">
        <f t="shared" si="11300"/>
        <v>0</v>
      </c>
      <c r="EF437" s="549">
        <f t="shared" si="11300"/>
        <v>0</v>
      </c>
      <c r="EG437" s="675">
        <f t="shared" si="11300"/>
        <v>0</v>
      </c>
      <c r="EH437" s="549">
        <f t="shared" ref="EH437:EM437" si="11301">SUM(EH439,EH444,EH451,EH458,EH464,EH472,EH482,EH488)+EH498+EH500</f>
        <v>0</v>
      </c>
      <c r="EI437" s="675">
        <f t="shared" si="11301"/>
        <v>0</v>
      </c>
      <c r="EJ437" s="549">
        <f t="shared" si="11301"/>
        <v>0</v>
      </c>
      <c r="EK437" s="675">
        <f t="shared" si="11301"/>
        <v>0</v>
      </c>
      <c r="EL437" s="549">
        <f t="shared" si="11301"/>
        <v>5000</v>
      </c>
      <c r="EM437" s="675">
        <f t="shared" si="11301"/>
        <v>0</v>
      </c>
      <c r="EN437" s="549">
        <f t="shared" si="11300"/>
        <v>0</v>
      </c>
      <c r="EO437" s="675">
        <f t="shared" si="11300"/>
        <v>0</v>
      </c>
      <c r="EP437" s="549">
        <f t="shared" si="11300"/>
        <v>0</v>
      </c>
      <c r="EQ437" s="675">
        <f t="shared" si="11300"/>
        <v>0</v>
      </c>
      <c r="ER437" s="549">
        <f t="shared" si="11300"/>
        <v>0</v>
      </c>
      <c r="ES437" s="675">
        <f t="shared" si="11300"/>
        <v>0</v>
      </c>
      <c r="ET437" s="549">
        <f t="shared" si="11300"/>
        <v>8000</v>
      </c>
      <c r="EU437" s="675">
        <f t="shared" si="11300"/>
        <v>-11000</v>
      </c>
      <c r="EV437" s="549">
        <f t="shared" ref="EV437:EW437" si="11302">SUM(EV439,EV444,EV451,EV458,EV464,EV472,EV482,EV488)+EV498+EV500</f>
        <v>0</v>
      </c>
      <c r="EW437" s="675">
        <f t="shared" si="11302"/>
        <v>-1803</v>
      </c>
      <c r="EX437" s="549">
        <f t="shared" si="11300"/>
        <v>0</v>
      </c>
      <c r="EY437" s="675">
        <f t="shared" si="11300"/>
        <v>0</v>
      </c>
      <c r="EZ437" s="549">
        <f t="shared" si="11300"/>
        <v>0</v>
      </c>
      <c r="FA437" s="675">
        <f t="shared" si="11300"/>
        <v>0</v>
      </c>
      <c r="FB437" s="549">
        <f t="shared" ref="FB437:FC437" si="11303">SUM(FB439,FB444,FB451,FB458,FB464,FB472,FB482,FB488)+FB498+FB500</f>
        <v>0</v>
      </c>
      <c r="FC437" s="675">
        <f t="shared" si="11303"/>
        <v>0</v>
      </c>
      <c r="FD437" s="549">
        <f t="shared" ref="FD437:FE437" si="11304">SUM(FD439,FD444,FD451,FD458,FD464,FD472,FD482,FD488)+FD498+FD500</f>
        <v>3000</v>
      </c>
      <c r="FE437" s="675">
        <f t="shared" si="11304"/>
        <v>-4815</v>
      </c>
      <c r="FF437" s="549">
        <f t="shared" ref="FF437:FG437" si="11305">SUM(FF439,FF444,FF451,FF458,FF464,FF472,FF482,FF488)+FF498+FF500</f>
        <v>0</v>
      </c>
      <c r="FG437" s="675">
        <f t="shared" si="11305"/>
        <v>-2940</v>
      </c>
      <c r="FH437" s="549">
        <f t="shared" ref="FH437:FI437" si="11306">SUM(FH439,FH444,FH451,FH458,FH464,FH472,FH482,FH488)+FH498+FH500</f>
        <v>0</v>
      </c>
      <c r="FI437" s="675">
        <f t="shared" si="11306"/>
        <v>0</v>
      </c>
      <c r="FJ437" s="549">
        <f t="shared" ref="FJ437:FK437" si="11307">SUM(FJ439,FJ444,FJ451,FJ458,FJ464,FJ472,FJ482,FJ488)+FJ498+FJ500</f>
        <v>0</v>
      </c>
      <c r="FK437" s="675">
        <f t="shared" si="11307"/>
        <v>-5000</v>
      </c>
      <c r="FL437" s="549">
        <f t="shared" ref="FL437:FM437" si="11308">SUM(FL439,FL444,FL451,FL458,FL464,FL472,FL482,FL488)+FL498+FL500</f>
        <v>17000</v>
      </c>
      <c r="FM437" s="675">
        <f t="shared" si="11308"/>
        <v>-2489</v>
      </c>
      <c r="FN437" s="549">
        <f t="shared" ref="FN437:FO437" si="11309">SUM(FN439,FN444,FN451,FN458,FN464,FN472,FN482,FN488)+FN498+FN500</f>
        <v>0</v>
      </c>
      <c r="FO437" s="675">
        <f t="shared" si="11309"/>
        <v>0</v>
      </c>
      <c r="FP437" s="549">
        <f t="shared" ref="FP437:FQ437" si="11310">SUM(FP439,FP444,FP451,FP458,FP464,FP472,FP482,FP488)+FP498+FP500</f>
        <v>0</v>
      </c>
      <c r="FQ437" s="675">
        <f t="shared" si="11310"/>
        <v>0</v>
      </c>
      <c r="FR437" s="549">
        <f t="shared" ref="FR437:FS437" si="11311">SUM(FR439,FR444,FR451,FR458,FR464,FR472,FR482,FR488)+FR498+FR500</f>
        <v>5000</v>
      </c>
      <c r="FS437" s="675">
        <f t="shared" si="11311"/>
        <v>-7355</v>
      </c>
      <c r="FT437" s="549">
        <f t="shared" ref="FT437:FU437" si="11312">SUM(FT439,FT444,FT451,FT458,FT464,FT472,FT482,FT488)+FT498+FT500</f>
        <v>0</v>
      </c>
      <c r="FU437" s="675">
        <f t="shared" si="11312"/>
        <v>0</v>
      </c>
      <c r="FV437" s="549">
        <f t="shared" ref="FV437:GK437" si="11313">SUM(FV439,FV444,FV451,FV458,FV464,FV472,FV482,FV488)+FV498+FV500</f>
        <v>0</v>
      </c>
      <c r="FW437" s="675">
        <f t="shared" si="11313"/>
        <v>0</v>
      </c>
      <c r="FX437" s="549">
        <f t="shared" si="11313"/>
        <v>0</v>
      </c>
      <c r="FY437" s="675">
        <f t="shared" si="11313"/>
        <v>0</v>
      </c>
      <c r="FZ437" s="549">
        <f t="shared" ref="FZ437:GI437" si="11314">SUM(FZ439,FZ444,FZ451,FZ458,FZ464,FZ472,FZ482,FZ488)+FZ498+FZ500</f>
        <v>0</v>
      </c>
      <c r="GA437" s="675">
        <f t="shared" si="11314"/>
        <v>0</v>
      </c>
      <c r="GB437" s="549">
        <f t="shared" si="11314"/>
        <v>0</v>
      </c>
      <c r="GC437" s="675">
        <f t="shared" si="11314"/>
        <v>0</v>
      </c>
      <c r="GD437" s="549">
        <f t="shared" si="11314"/>
        <v>0</v>
      </c>
      <c r="GE437" s="675">
        <f t="shared" si="11314"/>
        <v>0</v>
      </c>
      <c r="GF437" s="549">
        <f t="shared" si="11314"/>
        <v>0</v>
      </c>
      <c r="GG437" s="675">
        <f t="shared" si="11314"/>
        <v>0</v>
      </c>
      <c r="GH437" s="549">
        <f t="shared" si="11314"/>
        <v>0</v>
      </c>
      <c r="GI437" s="675">
        <f t="shared" si="11314"/>
        <v>0</v>
      </c>
      <c r="GJ437" s="549">
        <f t="shared" si="11313"/>
        <v>0</v>
      </c>
      <c r="GK437" s="675">
        <f t="shared" si="11313"/>
        <v>0</v>
      </c>
      <c r="GL437" s="549">
        <f t="shared" ref="GL437:GM437" si="11315">SUM(GL439,GL444,GL451,GL458,GL464,GL472,GL482,GL488)+GL498+GL500</f>
        <v>0</v>
      </c>
      <c r="GM437" s="675">
        <f t="shared" si="11315"/>
        <v>0</v>
      </c>
      <c r="GN437" s="549">
        <f t="shared" ref="GN437:GO437" si="11316">SUM(GN439,GN444,GN451,GN458,GN464,GN472,GN482,GN488)+GN498+GN500</f>
        <v>0</v>
      </c>
      <c r="GO437" s="675">
        <f t="shared" si="11316"/>
        <v>0</v>
      </c>
      <c r="GP437" s="549">
        <f>SUM(GP439,GP444,GP451,GP458,GP464,GP472,GP482,GP488)+GP498+GP500</f>
        <v>165000</v>
      </c>
      <c r="GQ437" s="675">
        <f>SUM(GQ439,GQ444,GQ451,GQ458,GQ464,GQ472,GQ482,GQ488)+GQ498+GQ500</f>
        <v>-197902</v>
      </c>
      <c r="GR437" s="74">
        <f t="shared" ref="GR437:JC437" si="11317">SUM(GR439,GR444,GR451,GR458,GR464,GR472,GR482,GR488)+GR498+GR500</f>
        <v>509098</v>
      </c>
      <c r="GS437" s="74">
        <f>SUM(GS439,GS444,GS451,GS458,GS464,GS472,GS482,GS488)+GS498+GS500</f>
        <v>509098</v>
      </c>
      <c r="GT437" s="549">
        <f>SUM(GT439,GT444,GT451,GT458,GT464,GT472,GT482,GT488)+GT498+GT500</f>
        <v>509098</v>
      </c>
      <c r="GU437" s="74">
        <f t="shared" si="11317"/>
        <v>69988</v>
      </c>
      <c r="GV437" s="74">
        <f t="shared" si="11317"/>
        <v>68950</v>
      </c>
      <c r="GW437" s="549">
        <f t="shared" si="11317"/>
        <v>92882</v>
      </c>
      <c r="GX437" s="549">
        <f t="shared" si="11317"/>
        <v>68748</v>
      </c>
      <c r="GY437" s="74">
        <f t="shared" si="11317"/>
        <v>40082</v>
      </c>
      <c r="GZ437" s="74">
        <f t="shared" si="11317"/>
        <v>45082</v>
      </c>
      <c r="HA437" s="74">
        <f t="shared" si="11317"/>
        <v>57948</v>
      </c>
      <c r="HB437" s="74">
        <f t="shared" si="11317"/>
        <v>37225</v>
      </c>
      <c r="HC437" s="74">
        <f t="shared" si="11317"/>
        <v>37225</v>
      </c>
      <c r="HD437" s="74">
        <f t="shared" si="11317"/>
        <v>23870</v>
      </c>
      <c r="HE437" s="74">
        <f t="shared" si="11317"/>
        <v>0</v>
      </c>
      <c r="HF437" s="74">
        <f t="shared" si="11317"/>
        <v>0</v>
      </c>
      <c r="HG437" s="74">
        <f>SUM(HG439,HG444,HG451,HG458,HG464,HG472,HG482,HG488)+HG498</f>
        <v>509098</v>
      </c>
      <c r="HH437" s="74">
        <f t="shared" ref="HH437:HI437" si="11318">SUM(HH439,HH444,HH451,HH458,HH464,HH472,HH482,HH488)+HH498+HH500</f>
        <v>69988</v>
      </c>
      <c r="HI437" s="792">
        <f t="shared" si="11318"/>
        <v>0</v>
      </c>
      <c r="HJ437" s="74">
        <f t="shared" ref="HJ437:HK437" si="11319">SUM(HJ439,HJ444,HJ451,HJ458,HJ464,HJ472,HJ482,HJ488)+HJ498+HJ500</f>
        <v>67350</v>
      </c>
      <c r="HK437" s="792">
        <f t="shared" si="11319"/>
        <v>0</v>
      </c>
      <c r="HL437" s="74">
        <f t="shared" ref="HL437:HM437" si="11320">SUM(HL439,HL444,HL451,HL458,HL464,HL472,HL482,HL488)+HL498+HL500</f>
        <v>23282</v>
      </c>
      <c r="HM437" s="792">
        <f t="shared" si="11320"/>
        <v>0</v>
      </c>
      <c r="HN437" s="74">
        <f t="shared" ref="HN437:HO437" si="11321">SUM(HN439,HN444,HN451,HN458,HN464,HN472,HN482,HN488)+HN498+HN500</f>
        <v>59948</v>
      </c>
      <c r="HO437" s="792">
        <f t="shared" si="11321"/>
        <v>0</v>
      </c>
      <c r="HP437" s="74">
        <f t="shared" ref="HP437:HQ437" si="11322">SUM(HP439,HP444,HP451,HP458,HP464,HP472,HP482,HP488)+HP498+HP500</f>
        <v>105583</v>
      </c>
      <c r="HQ437" s="792">
        <f t="shared" si="11322"/>
        <v>0</v>
      </c>
      <c r="HR437" s="74">
        <f t="shared" ref="HR437:HS437" si="11323">SUM(HR439,HR444,HR451,HR458,HR464,HR472,HR482,HR488)+HR498+HR500</f>
        <v>18655</v>
      </c>
      <c r="HS437" s="792">
        <f t="shared" si="11323"/>
        <v>0</v>
      </c>
      <c r="HT437" s="74">
        <f t="shared" ref="HT437:HU437" si="11324">SUM(HT439,HT444,HT451,HT458,HT464,HT472,HT482,HT488)+HT498+HT500</f>
        <v>49466</v>
      </c>
      <c r="HU437" s="792">
        <f t="shared" si="11324"/>
        <v>0</v>
      </c>
      <c r="HV437" s="74">
        <f t="shared" ref="HV437:HW437" si="11325">SUM(HV439,HV444,HV451,HV458,HV464,HV472,HV482,HV488)+HV498+HV500</f>
        <v>45487</v>
      </c>
      <c r="HW437" s="792">
        <f t="shared" si="11325"/>
        <v>0</v>
      </c>
      <c r="HX437" s="74">
        <f t="shared" ref="HX437:HY437" si="11326">SUM(HX439,HX444,HX451,HX458,HX464,HX472,HX482,HX488)+HX498+HX500</f>
        <v>41324</v>
      </c>
      <c r="HY437" s="792">
        <f t="shared" si="11326"/>
        <v>0</v>
      </c>
      <c r="HZ437" s="74">
        <f t="shared" ref="HZ437:IA437" si="11327">SUM(HZ439,HZ444,HZ451,HZ458,HZ464,HZ472,HZ482,HZ488)+HZ498+HZ500</f>
        <v>28015</v>
      </c>
      <c r="IA437" s="792">
        <f t="shared" si="11327"/>
        <v>0</v>
      </c>
      <c r="IB437" s="74">
        <f t="shared" ref="IB437:IC437" si="11328">SUM(IB439,IB444,IB451,IB458,IB464,IB472,IB482,IB488)+IB498+IB500</f>
        <v>0</v>
      </c>
      <c r="IC437" s="792">
        <f t="shared" si="11328"/>
        <v>0</v>
      </c>
      <c r="ID437" s="74">
        <f t="shared" si="11317"/>
        <v>0</v>
      </c>
      <c r="IE437" s="792">
        <f t="shared" si="11317"/>
        <v>0</v>
      </c>
      <c r="IF437" s="841">
        <f>SUM(IF439,IF444,IF451,IF458,IF464,IF472,IF482,IF488)+IF498+IF500</f>
        <v>435536.43</v>
      </c>
      <c r="IG437" s="263">
        <f t="shared" si="11317"/>
        <v>435536.43</v>
      </c>
      <c r="IH437" s="842">
        <f t="shared" si="11317"/>
        <v>435536.43</v>
      </c>
      <c r="II437" s="74">
        <f t="shared" si="11317"/>
        <v>16198.41</v>
      </c>
      <c r="IJ437" s="74">
        <f t="shared" si="11317"/>
        <v>16198.41</v>
      </c>
      <c r="IK437" s="74">
        <f t="shared" si="11317"/>
        <v>16198.41</v>
      </c>
      <c r="IL437" s="74">
        <f t="shared" si="11317"/>
        <v>16968.430000000004</v>
      </c>
      <c r="IM437" s="74">
        <f t="shared" si="11317"/>
        <v>16968.430000000004</v>
      </c>
      <c r="IN437" s="74">
        <f t="shared" si="11317"/>
        <v>16968.430000000004</v>
      </c>
      <c r="IO437" s="74">
        <f t="shared" si="11317"/>
        <v>23829.360000000001</v>
      </c>
      <c r="IP437" s="74">
        <f t="shared" si="11317"/>
        <v>23829.360000000001</v>
      </c>
      <c r="IQ437" s="74">
        <f t="shared" si="11317"/>
        <v>23829.360000000001</v>
      </c>
      <c r="IR437" s="74">
        <f t="shared" si="11317"/>
        <v>23654.41</v>
      </c>
      <c r="IS437" s="74">
        <f t="shared" si="11317"/>
        <v>23654.41</v>
      </c>
      <c r="IT437" s="74">
        <f t="shared" si="11317"/>
        <v>23654.41</v>
      </c>
      <c r="IU437" s="74">
        <f t="shared" si="11317"/>
        <v>99602.2</v>
      </c>
      <c r="IV437" s="74">
        <f t="shared" si="11317"/>
        <v>99602.2</v>
      </c>
      <c r="IW437" s="74">
        <f t="shared" si="11317"/>
        <v>99602.2</v>
      </c>
      <c r="IX437" s="74">
        <f t="shared" si="11317"/>
        <v>54010.33</v>
      </c>
      <c r="IY437" s="74">
        <f t="shared" si="11317"/>
        <v>54010.33</v>
      </c>
      <c r="IZ437" s="74">
        <f t="shared" si="11317"/>
        <v>54010.33</v>
      </c>
      <c r="JA437" s="74">
        <f t="shared" si="11317"/>
        <v>36579.839999999997</v>
      </c>
      <c r="JB437" s="74">
        <f t="shared" si="11317"/>
        <v>36579.839999999997</v>
      </c>
      <c r="JC437" s="74">
        <f t="shared" si="11317"/>
        <v>36579.839999999997</v>
      </c>
      <c r="JD437" s="74">
        <f t="shared" ref="JD437:JF437" si="11329">SUM(JD439,JD444,JD451,JD458,JD464,JD472,JD482,JD488)+JD498+JD500</f>
        <v>94819.290000000008</v>
      </c>
      <c r="JE437" s="74">
        <f t="shared" si="11329"/>
        <v>94819.290000000008</v>
      </c>
      <c r="JF437" s="74">
        <f t="shared" si="11329"/>
        <v>94819.290000000008</v>
      </c>
      <c r="JG437" s="74">
        <f t="shared" ref="JG437:JI437" si="11330">SUM(JG439,JG444,JG451,JG458,JG464,JG472,JG482,JG488)+JG498+JG500</f>
        <v>24381.439999999995</v>
      </c>
      <c r="JH437" s="74">
        <f t="shared" si="11330"/>
        <v>24381.439999999995</v>
      </c>
      <c r="JI437" s="74">
        <f t="shared" si="11330"/>
        <v>24381.439999999995</v>
      </c>
      <c r="JJ437" s="74">
        <f t="shared" ref="JJ437:JL437" si="11331">SUM(JJ439,JJ444,JJ451,JJ458,JJ464,JJ472,JJ482,JJ488)+JJ498+JJ500</f>
        <v>45492.72</v>
      </c>
      <c r="JK437" s="74">
        <f t="shared" si="11331"/>
        <v>45492.72</v>
      </c>
      <c r="JL437" s="74">
        <f t="shared" si="11331"/>
        <v>45492.72</v>
      </c>
      <c r="JM437" s="74">
        <f t="shared" ref="JM437:JO437" si="11332">SUM(JM439,JM444,JM451,JM458,JM464,JM472,JM482,JM488)+JM498+JM500</f>
        <v>0</v>
      </c>
      <c r="JN437" s="74">
        <f t="shared" si="11332"/>
        <v>0</v>
      </c>
      <c r="JO437" s="74">
        <f t="shared" si="11332"/>
        <v>0</v>
      </c>
      <c r="JP437" s="74">
        <f t="shared" ref="JP437:JY437" si="11333">SUM(JP439,JP444,JP451,JP458,JP464,JP472,JP482,JP488)+JP498+JP500</f>
        <v>0</v>
      </c>
      <c r="JQ437" s="74">
        <f t="shared" si="11333"/>
        <v>0</v>
      </c>
      <c r="JR437" s="74">
        <f t="shared" si="11333"/>
        <v>0</v>
      </c>
      <c r="JS437" s="74">
        <f t="shared" si="11333"/>
        <v>73561.569999999992</v>
      </c>
      <c r="JT437" s="102">
        <f t="shared" si="11333"/>
        <v>73561.569999999992</v>
      </c>
      <c r="JU437" s="665"/>
      <c r="JV437" s="524"/>
      <c r="JW437" s="525"/>
      <c r="JX437" s="549">
        <f>SUM(JX439,JX444,JX451,JX458,JX464,JX472,JX482,JX488)+JX498+JX500</f>
        <v>509098</v>
      </c>
      <c r="JY437" s="549">
        <f t="shared" si="11333"/>
        <v>0</v>
      </c>
      <c r="JZ437" s="581">
        <f t="shared" si="11276"/>
        <v>165000</v>
      </c>
      <c r="KA437" s="581">
        <f t="shared" si="11277"/>
        <v>-197902</v>
      </c>
      <c r="KB437" s="549">
        <f t="shared" si="11273"/>
        <v>509098</v>
      </c>
      <c r="KC437" s="709">
        <f t="shared" si="11275"/>
        <v>0</v>
      </c>
      <c r="KD437" s="36"/>
      <c r="KE437" s="36"/>
      <c r="KF437" s="36"/>
      <c r="KG437" s="36"/>
      <c r="KH437" s="36"/>
      <c r="KI437" s="36"/>
      <c r="KJ437" s="36"/>
      <c r="KK437" s="36"/>
    </row>
    <row r="438" spans="1:297" s="10" customFormat="1">
      <c r="A438" s="91"/>
      <c r="B438" s="77"/>
      <c r="C438" s="74"/>
      <c r="D438" s="549"/>
      <c r="E438" s="675"/>
      <c r="F438" s="549"/>
      <c r="G438" s="675"/>
      <c r="H438" s="549"/>
      <c r="I438" s="675"/>
      <c r="J438" s="549"/>
      <c r="K438" s="675"/>
      <c r="L438" s="549"/>
      <c r="M438" s="675"/>
      <c r="N438" s="549"/>
      <c r="O438" s="675"/>
      <c r="P438" s="549"/>
      <c r="Q438" s="675"/>
      <c r="R438" s="549"/>
      <c r="S438" s="675"/>
      <c r="T438" s="549"/>
      <c r="U438" s="675"/>
      <c r="V438" s="549"/>
      <c r="W438" s="675"/>
      <c r="X438" s="549"/>
      <c r="Y438" s="675"/>
      <c r="Z438" s="549"/>
      <c r="AA438" s="675"/>
      <c r="AB438" s="549"/>
      <c r="AC438" s="675"/>
      <c r="AD438" s="549"/>
      <c r="AE438" s="675"/>
      <c r="AF438" s="549"/>
      <c r="AG438" s="675"/>
      <c r="AH438" s="549"/>
      <c r="AI438" s="675"/>
      <c r="AJ438" s="549"/>
      <c r="AK438" s="675"/>
      <c r="AL438" s="549"/>
      <c r="AM438" s="675"/>
      <c r="AN438" s="549"/>
      <c r="AO438" s="675"/>
      <c r="AP438" s="549"/>
      <c r="AQ438" s="675"/>
      <c r="AR438" s="549"/>
      <c r="AS438" s="675"/>
      <c r="AT438" s="549"/>
      <c r="AU438" s="675"/>
      <c r="AV438" s="549"/>
      <c r="AW438" s="675"/>
      <c r="AX438" s="549"/>
      <c r="AY438" s="675"/>
      <c r="AZ438" s="549"/>
      <c r="BA438" s="675"/>
      <c r="BB438" s="549"/>
      <c r="BC438" s="675"/>
      <c r="BD438" s="549"/>
      <c r="BE438" s="675"/>
      <c r="BF438" s="549"/>
      <c r="BG438" s="675"/>
      <c r="BH438" s="549"/>
      <c r="BI438" s="675"/>
      <c r="BJ438" s="549"/>
      <c r="BK438" s="675"/>
      <c r="BL438" s="549"/>
      <c r="BM438" s="675"/>
      <c r="BN438" s="549"/>
      <c r="BO438" s="675"/>
      <c r="BP438" s="549"/>
      <c r="BQ438" s="675"/>
      <c r="BR438" s="549"/>
      <c r="BS438" s="675"/>
      <c r="BT438" s="549"/>
      <c r="BU438" s="675"/>
      <c r="BV438" s="549"/>
      <c r="BW438" s="675"/>
      <c r="BX438" s="549"/>
      <c r="BY438" s="675"/>
      <c r="BZ438" s="549"/>
      <c r="CA438" s="675"/>
      <c r="CB438" s="549"/>
      <c r="CC438" s="675"/>
      <c r="CD438" s="549"/>
      <c r="CE438" s="675"/>
      <c r="CF438" s="549"/>
      <c r="CG438" s="675"/>
      <c r="CH438" s="549"/>
      <c r="CI438" s="675"/>
      <c r="CJ438" s="549"/>
      <c r="CK438" s="675"/>
      <c r="CL438" s="549"/>
      <c r="CM438" s="675"/>
      <c r="CN438" s="549"/>
      <c r="CO438" s="675"/>
      <c r="CP438" s="549"/>
      <c r="CQ438" s="675"/>
      <c r="CR438" s="549"/>
      <c r="CS438" s="675"/>
      <c r="CT438" s="549"/>
      <c r="CU438" s="675"/>
      <c r="CV438" s="549"/>
      <c r="CW438" s="675"/>
      <c r="CX438" s="549"/>
      <c r="CY438" s="675"/>
      <c r="CZ438" s="549"/>
      <c r="DA438" s="675"/>
      <c r="DB438" s="549"/>
      <c r="DC438" s="675"/>
      <c r="DD438" s="549"/>
      <c r="DE438" s="675"/>
      <c r="DF438" s="549"/>
      <c r="DG438" s="675"/>
      <c r="DH438" s="549"/>
      <c r="DI438" s="675"/>
      <c r="DJ438" s="549"/>
      <c r="DK438" s="675"/>
      <c r="DL438" s="549"/>
      <c r="DM438" s="675"/>
      <c r="DN438" s="549"/>
      <c r="DO438" s="675"/>
      <c r="DP438" s="549"/>
      <c r="DQ438" s="675"/>
      <c r="DR438" s="549"/>
      <c r="DS438" s="675"/>
      <c r="DT438" s="549"/>
      <c r="DU438" s="675"/>
      <c r="DV438" s="549"/>
      <c r="DW438" s="675"/>
      <c r="DX438" s="549"/>
      <c r="DY438" s="675"/>
      <c r="DZ438" s="549"/>
      <c r="EA438" s="675"/>
      <c r="EB438" s="549"/>
      <c r="EC438" s="675"/>
      <c r="ED438" s="549"/>
      <c r="EE438" s="675"/>
      <c r="EF438" s="549"/>
      <c r="EG438" s="675"/>
      <c r="EH438" s="549"/>
      <c r="EI438" s="675"/>
      <c r="EJ438" s="549"/>
      <c r="EK438" s="675"/>
      <c r="EL438" s="549"/>
      <c r="EM438" s="675"/>
      <c r="EN438" s="549"/>
      <c r="EO438" s="675"/>
      <c r="EP438" s="549"/>
      <c r="EQ438" s="675"/>
      <c r="ER438" s="549"/>
      <c r="ES438" s="675"/>
      <c r="ET438" s="549"/>
      <c r="EU438" s="675"/>
      <c r="EV438" s="549"/>
      <c r="EW438" s="675"/>
      <c r="EX438" s="549"/>
      <c r="EY438" s="675"/>
      <c r="EZ438" s="549"/>
      <c r="FA438" s="675"/>
      <c r="FB438" s="549"/>
      <c r="FC438" s="675"/>
      <c r="FD438" s="549"/>
      <c r="FE438" s="675"/>
      <c r="FF438" s="549"/>
      <c r="FG438" s="675"/>
      <c r="FH438" s="549"/>
      <c r="FI438" s="675"/>
      <c r="FJ438" s="549"/>
      <c r="FK438" s="675"/>
      <c r="FL438" s="549"/>
      <c r="FM438" s="675"/>
      <c r="FN438" s="549"/>
      <c r="FO438" s="675"/>
      <c r="FP438" s="549"/>
      <c r="FQ438" s="675"/>
      <c r="FR438" s="549"/>
      <c r="FS438" s="675"/>
      <c r="FT438" s="549"/>
      <c r="FU438" s="675"/>
      <c r="FV438" s="549"/>
      <c r="FW438" s="675"/>
      <c r="FX438" s="549"/>
      <c r="FY438" s="675"/>
      <c r="FZ438" s="549"/>
      <c r="GA438" s="675"/>
      <c r="GB438" s="549"/>
      <c r="GC438" s="675"/>
      <c r="GD438" s="549"/>
      <c r="GE438" s="675"/>
      <c r="GF438" s="549"/>
      <c r="GG438" s="675"/>
      <c r="GH438" s="549"/>
      <c r="GI438" s="675"/>
      <c r="GJ438" s="549"/>
      <c r="GK438" s="675"/>
      <c r="GL438" s="549"/>
      <c r="GM438" s="675"/>
      <c r="GN438" s="549"/>
      <c r="GO438" s="675"/>
      <c r="GP438" s="549"/>
      <c r="GQ438" s="675"/>
      <c r="GR438" s="74"/>
      <c r="GS438" s="74"/>
      <c r="GT438" s="549"/>
      <c r="GU438" s="73"/>
      <c r="GV438" s="73"/>
      <c r="GW438" s="549"/>
      <c r="GX438" s="549"/>
      <c r="GY438" s="73"/>
      <c r="GZ438" s="73"/>
      <c r="HA438" s="73"/>
      <c r="HB438" s="73"/>
      <c r="HC438" s="73"/>
      <c r="HD438" s="73"/>
      <c r="HE438" s="73"/>
      <c r="HF438" s="73"/>
      <c r="HG438" s="74"/>
      <c r="HH438" s="73"/>
      <c r="HI438" s="815"/>
      <c r="HJ438" s="73"/>
      <c r="HK438" s="815"/>
      <c r="HL438" s="73"/>
      <c r="HM438" s="815"/>
      <c r="HN438" s="73"/>
      <c r="HO438" s="815"/>
      <c r="HP438" s="73"/>
      <c r="HQ438" s="815"/>
      <c r="HR438" s="73"/>
      <c r="HS438" s="815"/>
      <c r="HT438" s="73"/>
      <c r="HU438" s="815"/>
      <c r="HV438" s="73"/>
      <c r="HW438" s="815"/>
      <c r="HX438" s="73"/>
      <c r="HY438" s="815"/>
      <c r="HZ438" s="73"/>
      <c r="IA438" s="815"/>
      <c r="IB438" s="73"/>
      <c r="IC438" s="815"/>
      <c r="ID438" s="73"/>
      <c r="IE438" s="815"/>
      <c r="IF438" s="841"/>
      <c r="IG438" s="263"/>
      <c r="IH438" s="842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  <c r="JD438" s="73"/>
      <c r="JE438" s="73"/>
      <c r="JF438" s="73"/>
      <c r="JG438" s="73"/>
      <c r="JH438" s="73"/>
      <c r="JI438" s="73"/>
      <c r="JJ438" s="73"/>
      <c r="JK438" s="73"/>
      <c r="JL438" s="73"/>
      <c r="JM438" s="73"/>
      <c r="JN438" s="73"/>
      <c r="JO438" s="73"/>
      <c r="JP438" s="73"/>
      <c r="JQ438" s="73"/>
      <c r="JR438" s="73"/>
      <c r="JS438" s="74"/>
      <c r="JT438" s="382"/>
      <c r="JU438" s="665"/>
      <c r="JV438" s="524"/>
      <c r="JW438" s="525"/>
      <c r="JX438" s="549"/>
      <c r="JY438" s="549"/>
      <c r="JZ438" s="581">
        <f t="shared" si="11276"/>
        <v>0</v>
      </c>
      <c r="KA438" s="581">
        <f t="shared" si="11277"/>
        <v>0</v>
      </c>
      <c r="KB438" s="549">
        <f t="shared" si="11273"/>
        <v>0</v>
      </c>
      <c r="KC438" s="709">
        <f t="shared" si="11275"/>
        <v>0</v>
      </c>
      <c r="KD438" s="36"/>
      <c r="KE438" s="36"/>
      <c r="KF438" s="36"/>
      <c r="KG438" s="36"/>
      <c r="KH438" s="36"/>
      <c r="KI438" s="36"/>
      <c r="KJ438" s="36"/>
      <c r="KK438" s="36"/>
    </row>
    <row r="439" spans="1:297" s="8" customFormat="1">
      <c r="A439" s="80" t="s">
        <v>260</v>
      </c>
      <c r="B439" s="72" t="s">
        <v>127</v>
      </c>
      <c r="C439" s="74">
        <f>SUM(C440:C442)</f>
        <v>81000</v>
      </c>
      <c r="D439" s="549">
        <f t="shared" ref="D439:E439" si="11334">SUM(D440:D441)</f>
        <v>0</v>
      </c>
      <c r="E439" s="675">
        <f t="shared" si="11334"/>
        <v>0</v>
      </c>
      <c r="F439" s="549">
        <f t="shared" ref="F439:G439" si="11335">SUM(F440:F441)</f>
        <v>0</v>
      </c>
      <c r="G439" s="675">
        <f t="shared" si="11335"/>
        <v>0</v>
      </c>
      <c r="H439" s="549">
        <f t="shared" ref="H439:AC439" si="11336">SUM(H440:H441)</f>
        <v>0</v>
      </c>
      <c r="I439" s="675">
        <f t="shared" si="11336"/>
        <v>0</v>
      </c>
      <c r="J439" s="549">
        <f t="shared" si="11336"/>
        <v>0</v>
      </c>
      <c r="K439" s="675">
        <f t="shared" si="11336"/>
        <v>0</v>
      </c>
      <c r="L439" s="549">
        <f t="shared" si="11336"/>
        <v>0</v>
      </c>
      <c r="M439" s="675">
        <f t="shared" si="11336"/>
        <v>0</v>
      </c>
      <c r="N439" s="549">
        <f t="shared" si="11336"/>
        <v>0</v>
      </c>
      <c r="O439" s="675">
        <f t="shared" si="11336"/>
        <v>0</v>
      </c>
      <c r="P439" s="549">
        <f t="shared" si="11336"/>
        <v>0</v>
      </c>
      <c r="Q439" s="675">
        <f t="shared" si="11336"/>
        <v>0</v>
      </c>
      <c r="R439" s="549">
        <f t="shared" si="11336"/>
        <v>0</v>
      </c>
      <c r="S439" s="675">
        <f t="shared" si="11336"/>
        <v>0</v>
      </c>
      <c r="T439" s="549">
        <f t="shared" si="11336"/>
        <v>0</v>
      </c>
      <c r="U439" s="675">
        <f t="shared" si="11336"/>
        <v>0</v>
      </c>
      <c r="V439" s="549">
        <f t="shared" si="11336"/>
        <v>3000</v>
      </c>
      <c r="W439" s="675">
        <f t="shared" si="11336"/>
        <v>-5000</v>
      </c>
      <c r="X439" s="549">
        <f t="shared" si="11336"/>
        <v>0</v>
      </c>
      <c r="Y439" s="675">
        <f t="shared" si="11336"/>
        <v>0</v>
      </c>
      <c r="Z439" s="549">
        <f t="shared" si="11336"/>
        <v>0</v>
      </c>
      <c r="AA439" s="675">
        <f t="shared" si="11336"/>
        <v>0</v>
      </c>
      <c r="AB439" s="549">
        <f t="shared" si="11336"/>
        <v>0</v>
      </c>
      <c r="AC439" s="675">
        <f t="shared" si="11336"/>
        <v>0</v>
      </c>
      <c r="AD439" s="549">
        <f t="shared" ref="AD439:AK439" si="11337">SUM(AD440:AD441)</f>
        <v>0</v>
      </c>
      <c r="AE439" s="675">
        <f t="shared" si="11337"/>
        <v>0</v>
      </c>
      <c r="AF439" s="549">
        <f t="shared" si="11337"/>
        <v>0</v>
      </c>
      <c r="AG439" s="675">
        <f t="shared" si="11337"/>
        <v>-2000</v>
      </c>
      <c r="AH439" s="549">
        <f t="shared" si="11337"/>
        <v>0</v>
      </c>
      <c r="AI439" s="675">
        <f t="shared" si="11337"/>
        <v>0</v>
      </c>
      <c r="AJ439" s="549">
        <f t="shared" si="11337"/>
        <v>0</v>
      </c>
      <c r="AK439" s="675">
        <f t="shared" si="11337"/>
        <v>0</v>
      </c>
      <c r="AL439" s="549">
        <f t="shared" ref="AL439:AM439" si="11338">SUM(AL440:AL441)</f>
        <v>0</v>
      </c>
      <c r="AM439" s="675">
        <f t="shared" si="11338"/>
        <v>0</v>
      </c>
      <c r="AN439" s="549">
        <f t="shared" ref="AN439:AS439" si="11339">SUM(AN440:AN441)</f>
        <v>0</v>
      </c>
      <c r="AO439" s="675">
        <f t="shared" si="11339"/>
        <v>0</v>
      </c>
      <c r="AP439" s="549">
        <f t="shared" si="11339"/>
        <v>0</v>
      </c>
      <c r="AQ439" s="675">
        <f t="shared" si="11339"/>
        <v>0</v>
      </c>
      <c r="AR439" s="549">
        <f t="shared" si="11339"/>
        <v>0</v>
      </c>
      <c r="AS439" s="675">
        <f t="shared" si="11339"/>
        <v>0</v>
      </c>
      <c r="AT439" s="549">
        <f t="shared" ref="AT439:AU439" si="11340">SUM(AT440:AT441)</f>
        <v>0</v>
      </c>
      <c r="AU439" s="675">
        <f t="shared" si="11340"/>
        <v>0</v>
      </c>
      <c r="AV439" s="549">
        <f t="shared" ref="AV439:AW439" si="11341">SUM(AV440:AV441)</f>
        <v>0</v>
      </c>
      <c r="AW439" s="675">
        <f t="shared" si="11341"/>
        <v>0</v>
      </c>
      <c r="AX439" s="549">
        <f t="shared" ref="AX439:AY439" si="11342">SUM(AX440:AX441)</f>
        <v>0</v>
      </c>
      <c r="AY439" s="675">
        <f t="shared" si="11342"/>
        <v>0</v>
      </c>
      <c r="AZ439" s="549">
        <f t="shared" ref="AZ439:BA439" si="11343">SUM(AZ440:AZ441)</f>
        <v>0</v>
      </c>
      <c r="BA439" s="675">
        <f t="shared" si="11343"/>
        <v>-6000</v>
      </c>
      <c r="BB439" s="549">
        <f t="shared" ref="BB439:BC439" si="11344">SUM(BB440:BB441)</f>
        <v>0</v>
      </c>
      <c r="BC439" s="675">
        <f t="shared" si="11344"/>
        <v>0</v>
      </c>
      <c r="BD439" s="549">
        <f t="shared" ref="BD439:BE439" si="11345">SUM(BD440:BD441)</f>
        <v>0</v>
      </c>
      <c r="BE439" s="675">
        <f t="shared" si="11345"/>
        <v>0</v>
      </c>
      <c r="BF439" s="549">
        <f t="shared" ref="BF439:BG439" si="11346">SUM(BF440:BF441)</f>
        <v>20000</v>
      </c>
      <c r="BG439" s="675">
        <f t="shared" si="11346"/>
        <v>0</v>
      </c>
      <c r="BH439" s="549">
        <f t="shared" ref="BH439:BI439" si="11347">SUM(BH440:BH441)</f>
        <v>0</v>
      </c>
      <c r="BI439" s="675">
        <f t="shared" si="11347"/>
        <v>0</v>
      </c>
      <c r="BJ439" s="549">
        <f t="shared" ref="BJ439:BK439" si="11348">SUM(BJ440:BJ441)</f>
        <v>0</v>
      </c>
      <c r="BK439" s="675">
        <f t="shared" si="11348"/>
        <v>0</v>
      </c>
      <c r="BL439" s="549">
        <f t="shared" ref="BL439:BS439" si="11349">SUM(BL440:BL441)</f>
        <v>0</v>
      </c>
      <c r="BM439" s="675">
        <f t="shared" si="11349"/>
        <v>0</v>
      </c>
      <c r="BN439" s="549">
        <f t="shared" si="11349"/>
        <v>0</v>
      </c>
      <c r="BO439" s="675">
        <f t="shared" si="11349"/>
        <v>0</v>
      </c>
      <c r="BP439" s="549">
        <f t="shared" si="11349"/>
        <v>0</v>
      </c>
      <c r="BQ439" s="675">
        <f t="shared" si="11349"/>
        <v>0</v>
      </c>
      <c r="BR439" s="549">
        <f t="shared" si="11349"/>
        <v>0</v>
      </c>
      <c r="BS439" s="675">
        <f t="shared" si="11349"/>
        <v>0</v>
      </c>
      <c r="BT439" s="549">
        <f t="shared" ref="BT439:BU439" si="11350">SUM(BT440:BT441)</f>
        <v>0</v>
      </c>
      <c r="BU439" s="675">
        <f t="shared" si="11350"/>
        <v>0</v>
      </c>
      <c r="BV439" s="549">
        <f t="shared" ref="BV439:BW439" si="11351">SUM(BV440:BV441)</f>
        <v>0</v>
      </c>
      <c r="BW439" s="675">
        <f t="shared" si="11351"/>
        <v>0</v>
      </c>
      <c r="BX439" s="549">
        <f t="shared" ref="BX439:BY439" si="11352">SUM(BX440:BX441)</f>
        <v>0</v>
      </c>
      <c r="BY439" s="675">
        <f t="shared" si="11352"/>
        <v>0</v>
      </c>
      <c r="BZ439" s="549">
        <f t="shared" ref="BZ439:CA439" si="11353">SUM(BZ440:BZ441)</f>
        <v>0</v>
      </c>
      <c r="CA439" s="675">
        <f t="shared" si="11353"/>
        <v>0</v>
      </c>
      <c r="CB439" s="549">
        <f t="shared" ref="CB439:CE439" si="11354">SUM(CB440:CB441)</f>
        <v>0</v>
      </c>
      <c r="CC439" s="675">
        <f t="shared" si="11354"/>
        <v>0</v>
      </c>
      <c r="CD439" s="549">
        <f t="shared" si="11354"/>
        <v>0</v>
      </c>
      <c r="CE439" s="675">
        <f t="shared" si="11354"/>
        <v>0</v>
      </c>
      <c r="CF439" s="549">
        <f t="shared" ref="CF439:CQ439" si="11355">SUM(CF440:CF441)</f>
        <v>0</v>
      </c>
      <c r="CG439" s="675">
        <f t="shared" si="11355"/>
        <v>0</v>
      </c>
      <c r="CH439" s="549">
        <f t="shared" si="11355"/>
        <v>0</v>
      </c>
      <c r="CI439" s="675">
        <f t="shared" si="11355"/>
        <v>-2000</v>
      </c>
      <c r="CJ439" s="549">
        <f t="shared" si="11355"/>
        <v>0</v>
      </c>
      <c r="CK439" s="675">
        <f t="shared" si="11355"/>
        <v>-964</v>
      </c>
      <c r="CL439" s="549">
        <f t="shared" si="11355"/>
        <v>0</v>
      </c>
      <c r="CM439" s="675">
        <f t="shared" si="11355"/>
        <v>-5000</v>
      </c>
      <c r="CN439" s="549">
        <f t="shared" si="11355"/>
        <v>0</v>
      </c>
      <c r="CO439" s="675">
        <f t="shared" si="11355"/>
        <v>0</v>
      </c>
      <c r="CP439" s="549">
        <f t="shared" si="11355"/>
        <v>0</v>
      </c>
      <c r="CQ439" s="675">
        <f t="shared" si="11355"/>
        <v>0</v>
      </c>
      <c r="CR439" s="549">
        <f t="shared" ref="CR439:CY439" si="11356">SUM(CR440:CR441)</f>
        <v>0</v>
      </c>
      <c r="CS439" s="675">
        <f t="shared" si="11356"/>
        <v>0</v>
      </c>
      <c r="CT439" s="549">
        <f t="shared" si="11356"/>
        <v>0</v>
      </c>
      <c r="CU439" s="675">
        <f t="shared" si="11356"/>
        <v>0</v>
      </c>
      <c r="CV439" s="549">
        <f t="shared" si="11356"/>
        <v>0</v>
      </c>
      <c r="CW439" s="675">
        <f t="shared" si="11356"/>
        <v>0</v>
      </c>
      <c r="CX439" s="549">
        <f t="shared" si="11356"/>
        <v>0</v>
      </c>
      <c r="CY439" s="675">
        <f t="shared" si="11356"/>
        <v>0</v>
      </c>
      <c r="CZ439" s="549">
        <f t="shared" ref="CZ439:FE439" si="11357">SUM(CZ440:CZ441)</f>
        <v>19000</v>
      </c>
      <c r="DA439" s="675">
        <f t="shared" si="11357"/>
        <v>-1000</v>
      </c>
      <c r="DB439" s="549">
        <f t="shared" si="11357"/>
        <v>0</v>
      </c>
      <c r="DC439" s="675">
        <f t="shared" si="11357"/>
        <v>0</v>
      </c>
      <c r="DD439" s="549">
        <f t="shared" si="11357"/>
        <v>0</v>
      </c>
      <c r="DE439" s="675">
        <f t="shared" si="11357"/>
        <v>0</v>
      </c>
      <c r="DF439" s="549">
        <f t="shared" si="11357"/>
        <v>0</v>
      </c>
      <c r="DG439" s="675">
        <f t="shared" si="11357"/>
        <v>0</v>
      </c>
      <c r="DH439" s="549">
        <f t="shared" si="11357"/>
        <v>0</v>
      </c>
      <c r="DI439" s="675">
        <f t="shared" si="11357"/>
        <v>0</v>
      </c>
      <c r="DJ439" s="549">
        <f t="shared" si="11357"/>
        <v>0</v>
      </c>
      <c r="DK439" s="675">
        <f t="shared" si="11357"/>
        <v>0</v>
      </c>
      <c r="DL439" s="549">
        <f t="shared" si="11357"/>
        <v>0</v>
      </c>
      <c r="DM439" s="675">
        <f t="shared" si="11357"/>
        <v>0</v>
      </c>
      <c r="DN439" s="549">
        <f t="shared" si="11357"/>
        <v>0</v>
      </c>
      <c r="DO439" s="675">
        <f t="shared" si="11357"/>
        <v>0</v>
      </c>
      <c r="DP439" s="549">
        <f t="shared" si="11357"/>
        <v>0</v>
      </c>
      <c r="DQ439" s="675">
        <f t="shared" si="11357"/>
        <v>0</v>
      </c>
      <c r="DR439" s="549">
        <f t="shared" si="11357"/>
        <v>0</v>
      </c>
      <c r="DS439" s="675">
        <f t="shared" si="11357"/>
        <v>0</v>
      </c>
      <c r="DT439" s="549">
        <f t="shared" si="11357"/>
        <v>0</v>
      </c>
      <c r="DU439" s="675">
        <f t="shared" si="11357"/>
        <v>0</v>
      </c>
      <c r="DV439" s="549">
        <f t="shared" si="11357"/>
        <v>0</v>
      </c>
      <c r="DW439" s="675">
        <f t="shared" si="11357"/>
        <v>0</v>
      </c>
      <c r="DX439" s="549">
        <f t="shared" si="11357"/>
        <v>0</v>
      </c>
      <c r="DY439" s="675">
        <f t="shared" si="11357"/>
        <v>0</v>
      </c>
      <c r="DZ439" s="549">
        <f t="shared" ref="DZ439:FA439" si="11358">SUM(DZ440:DZ441)</f>
        <v>0</v>
      </c>
      <c r="EA439" s="675">
        <f t="shared" si="11358"/>
        <v>0</v>
      </c>
      <c r="EB439" s="549">
        <f t="shared" si="11358"/>
        <v>0</v>
      </c>
      <c r="EC439" s="675">
        <f t="shared" si="11358"/>
        <v>0</v>
      </c>
      <c r="ED439" s="549">
        <f t="shared" si="11358"/>
        <v>0</v>
      </c>
      <c r="EE439" s="675">
        <f t="shared" si="11358"/>
        <v>0</v>
      </c>
      <c r="EF439" s="549">
        <f t="shared" si="11358"/>
        <v>0</v>
      </c>
      <c r="EG439" s="675">
        <f t="shared" si="11358"/>
        <v>0</v>
      </c>
      <c r="EH439" s="549">
        <f t="shared" ref="EH439:EK439" si="11359">SUM(EH440:EH441)</f>
        <v>0</v>
      </c>
      <c r="EI439" s="675">
        <f t="shared" si="11359"/>
        <v>0</v>
      </c>
      <c r="EJ439" s="549">
        <f t="shared" si="11359"/>
        <v>0</v>
      </c>
      <c r="EK439" s="675">
        <f t="shared" si="11359"/>
        <v>0</v>
      </c>
      <c r="EL439" s="549">
        <f t="shared" ref="EL439:EM439" si="11360">SUM(EL440:EL441)</f>
        <v>0</v>
      </c>
      <c r="EM439" s="675">
        <f t="shared" si="11360"/>
        <v>0</v>
      </c>
      <c r="EN439" s="549">
        <f t="shared" si="11358"/>
        <v>0</v>
      </c>
      <c r="EO439" s="675">
        <f t="shared" si="11358"/>
        <v>0</v>
      </c>
      <c r="EP439" s="549">
        <f t="shared" si="11358"/>
        <v>0</v>
      </c>
      <c r="EQ439" s="675">
        <f t="shared" si="11358"/>
        <v>0</v>
      </c>
      <c r="ER439" s="549">
        <f t="shared" si="11358"/>
        <v>0</v>
      </c>
      <c r="ES439" s="675">
        <f t="shared" si="11358"/>
        <v>0</v>
      </c>
      <c r="ET439" s="549">
        <f t="shared" si="11358"/>
        <v>0</v>
      </c>
      <c r="EU439" s="675">
        <f t="shared" si="11358"/>
        <v>-11000</v>
      </c>
      <c r="EV439" s="549">
        <f t="shared" ref="EV439:EW439" si="11361">SUM(EV440:EV441)</f>
        <v>0</v>
      </c>
      <c r="EW439" s="675">
        <f t="shared" si="11361"/>
        <v>-1000</v>
      </c>
      <c r="EX439" s="549">
        <f t="shared" si="11358"/>
        <v>0</v>
      </c>
      <c r="EY439" s="675">
        <f t="shared" si="11358"/>
        <v>0</v>
      </c>
      <c r="EZ439" s="549">
        <f t="shared" si="11358"/>
        <v>0</v>
      </c>
      <c r="FA439" s="675">
        <f t="shared" si="11358"/>
        <v>0</v>
      </c>
      <c r="FB439" s="549">
        <f t="shared" si="11357"/>
        <v>0</v>
      </c>
      <c r="FC439" s="675">
        <f t="shared" si="11357"/>
        <v>0</v>
      </c>
      <c r="FD439" s="549">
        <f t="shared" si="11357"/>
        <v>0</v>
      </c>
      <c r="FE439" s="675">
        <f t="shared" si="11357"/>
        <v>0</v>
      </c>
      <c r="FF439" s="549">
        <f t="shared" ref="FF439:FG439" si="11362">SUM(FF440:FF441)</f>
        <v>0</v>
      </c>
      <c r="FG439" s="675">
        <f t="shared" si="11362"/>
        <v>0</v>
      </c>
      <c r="FH439" s="549">
        <f t="shared" ref="FH439:FI439" si="11363">SUM(FH440:FH441)</f>
        <v>0</v>
      </c>
      <c r="FI439" s="675">
        <f t="shared" si="11363"/>
        <v>0</v>
      </c>
      <c r="FJ439" s="549">
        <f t="shared" ref="FJ439:FK439" si="11364">SUM(FJ440:FJ441)</f>
        <v>0</v>
      </c>
      <c r="FK439" s="675">
        <f t="shared" si="11364"/>
        <v>0</v>
      </c>
      <c r="FL439" s="549">
        <f t="shared" ref="FL439:FM439" si="11365">SUM(FL440:FL441)</f>
        <v>2000</v>
      </c>
      <c r="FM439" s="675">
        <f t="shared" si="11365"/>
        <v>0</v>
      </c>
      <c r="FN439" s="549">
        <f t="shared" ref="FN439:FO439" si="11366">SUM(FN440:FN441)</f>
        <v>0</v>
      </c>
      <c r="FO439" s="675">
        <f t="shared" si="11366"/>
        <v>0</v>
      </c>
      <c r="FP439" s="549">
        <f t="shared" ref="FP439:FQ439" si="11367">SUM(FP440:FP441)</f>
        <v>0</v>
      </c>
      <c r="FQ439" s="675">
        <f t="shared" si="11367"/>
        <v>0</v>
      </c>
      <c r="FR439" s="549">
        <f t="shared" ref="FR439:FS439" si="11368">SUM(FR440:FR441)</f>
        <v>0</v>
      </c>
      <c r="FS439" s="675">
        <f t="shared" si="11368"/>
        <v>0</v>
      </c>
      <c r="FT439" s="549">
        <f t="shared" ref="FT439:FU439" si="11369">SUM(FT440:FT441)</f>
        <v>0</v>
      </c>
      <c r="FU439" s="675">
        <f t="shared" si="11369"/>
        <v>0</v>
      </c>
      <c r="FV439" s="549">
        <f t="shared" ref="FV439:GK439" si="11370">SUM(FV440:FV441)</f>
        <v>0</v>
      </c>
      <c r="FW439" s="675">
        <f t="shared" si="11370"/>
        <v>0</v>
      </c>
      <c r="FX439" s="549">
        <f t="shared" si="11370"/>
        <v>0</v>
      </c>
      <c r="FY439" s="675">
        <f t="shared" si="11370"/>
        <v>0</v>
      </c>
      <c r="FZ439" s="549">
        <f t="shared" ref="FZ439:GI439" si="11371">SUM(FZ440:FZ441)</f>
        <v>0</v>
      </c>
      <c r="GA439" s="675">
        <f t="shared" si="11371"/>
        <v>0</v>
      </c>
      <c r="GB439" s="549">
        <f t="shared" si="11371"/>
        <v>0</v>
      </c>
      <c r="GC439" s="675">
        <f t="shared" si="11371"/>
        <v>0</v>
      </c>
      <c r="GD439" s="549">
        <f t="shared" si="11371"/>
        <v>0</v>
      </c>
      <c r="GE439" s="675">
        <f t="shared" si="11371"/>
        <v>0</v>
      </c>
      <c r="GF439" s="549">
        <f t="shared" si="11371"/>
        <v>0</v>
      </c>
      <c r="GG439" s="675">
        <f t="shared" si="11371"/>
        <v>0</v>
      </c>
      <c r="GH439" s="549">
        <f t="shared" si="11371"/>
        <v>0</v>
      </c>
      <c r="GI439" s="675">
        <f t="shared" si="11371"/>
        <v>0</v>
      </c>
      <c r="GJ439" s="549">
        <f t="shared" si="11370"/>
        <v>0</v>
      </c>
      <c r="GK439" s="675">
        <f t="shared" si="11370"/>
        <v>0</v>
      </c>
      <c r="GL439" s="549">
        <f t="shared" ref="GL439:GM439" si="11372">SUM(GL440:GL441)</f>
        <v>0</v>
      </c>
      <c r="GM439" s="675">
        <f t="shared" si="11372"/>
        <v>0</v>
      </c>
      <c r="GN439" s="549">
        <f t="shared" ref="GN439:GO439" si="11373">SUM(GN440:GN441)</f>
        <v>0</v>
      </c>
      <c r="GO439" s="675">
        <f t="shared" si="11373"/>
        <v>0</v>
      </c>
      <c r="GP439" s="549">
        <f>SUM(GP440:GP442)</f>
        <v>44000</v>
      </c>
      <c r="GQ439" s="675">
        <f>SUM(GQ440:GQ442)</f>
        <v>-33964</v>
      </c>
      <c r="GR439" s="74">
        <f>SUM(GR440:GR442)</f>
        <v>91036</v>
      </c>
      <c r="GS439" s="74">
        <f>SUM(GS440:GS442)</f>
        <v>91036</v>
      </c>
      <c r="GT439" s="549">
        <f>SUM(GT440:GT442)</f>
        <v>91036</v>
      </c>
      <c r="GU439" s="74">
        <f t="shared" ref="GU439:HF439" si="11374">SUM(GU440:GU441)</f>
        <v>5440</v>
      </c>
      <c r="GV439" s="74">
        <f t="shared" si="11374"/>
        <v>14308</v>
      </c>
      <c r="GW439" s="549">
        <f t="shared" si="11374"/>
        <v>5440</v>
      </c>
      <c r="GX439" s="549">
        <f t="shared" si="11374"/>
        <v>14306</v>
      </c>
      <c r="GY439" s="74">
        <f t="shared" si="11374"/>
        <v>5440</v>
      </c>
      <c r="GZ439" s="74">
        <f t="shared" si="11374"/>
        <v>5440</v>
      </c>
      <c r="HA439" s="74">
        <f t="shared" si="11374"/>
        <v>14306</v>
      </c>
      <c r="HB439" s="74">
        <f t="shared" si="11374"/>
        <v>5440</v>
      </c>
      <c r="HC439" s="74">
        <f t="shared" si="11374"/>
        <v>5440</v>
      </c>
      <c r="HD439" s="74">
        <f t="shared" si="11374"/>
        <v>5440</v>
      </c>
      <c r="HE439" s="74">
        <f t="shared" si="11374"/>
        <v>0</v>
      </c>
      <c r="HF439" s="74">
        <f t="shared" si="11374"/>
        <v>0</v>
      </c>
      <c r="HG439" s="74">
        <f t="shared" ref="HG439:IH439" si="11375">SUM(HG440:HG442)</f>
        <v>91036</v>
      </c>
      <c r="HH439" s="74">
        <f t="shared" si="11375"/>
        <v>5440</v>
      </c>
      <c r="HI439" s="792">
        <f t="shared" si="11375"/>
        <v>0</v>
      </c>
      <c r="HJ439" s="74">
        <f t="shared" si="11375"/>
        <v>14308</v>
      </c>
      <c r="HK439" s="792">
        <f t="shared" si="11375"/>
        <v>0</v>
      </c>
      <c r="HL439" s="74">
        <f t="shared" si="11375"/>
        <v>1440</v>
      </c>
      <c r="HM439" s="792">
        <f t="shared" si="11375"/>
        <v>0</v>
      </c>
      <c r="HN439" s="74">
        <f t="shared" si="11375"/>
        <v>14306</v>
      </c>
      <c r="HO439" s="792">
        <f t="shared" si="11375"/>
        <v>0</v>
      </c>
      <c r="HP439" s="74">
        <f t="shared" si="11375"/>
        <v>19440</v>
      </c>
      <c r="HQ439" s="792">
        <f t="shared" si="11375"/>
        <v>0</v>
      </c>
      <c r="HR439" s="74">
        <f t="shared" si="11375"/>
        <v>-2000</v>
      </c>
      <c r="HS439" s="792">
        <f t="shared" si="11375"/>
        <v>0</v>
      </c>
      <c r="HT439" s="74">
        <f t="shared" si="11375"/>
        <v>30880</v>
      </c>
      <c r="HU439" s="792">
        <f t="shared" si="11375"/>
        <v>0</v>
      </c>
      <c r="HV439" s="74">
        <f t="shared" si="11375"/>
        <v>5440</v>
      </c>
      <c r="HW439" s="792">
        <f t="shared" si="11375"/>
        <v>0</v>
      </c>
      <c r="HX439" s="74">
        <f t="shared" si="11375"/>
        <v>-5658</v>
      </c>
      <c r="HY439" s="792">
        <f t="shared" si="11375"/>
        <v>0</v>
      </c>
      <c r="HZ439" s="74">
        <f t="shared" si="11375"/>
        <v>7440</v>
      </c>
      <c r="IA439" s="792">
        <f t="shared" si="11375"/>
        <v>0</v>
      </c>
      <c r="IB439" s="74">
        <f t="shared" si="11375"/>
        <v>0</v>
      </c>
      <c r="IC439" s="792">
        <f t="shared" si="11375"/>
        <v>0</v>
      </c>
      <c r="ID439" s="74">
        <f t="shared" si="11375"/>
        <v>0</v>
      </c>
      <c r="IE439" s="792">
        <f t="shared" si="11375"/>
        <v>0</v>
      </c>
      <c r="IF439" s="841">
        <f t="shared" si="11375"/>
        <v>85954.569999999992</v>
      </c>
      <c r="IG439" s="263">
        <f t="shared" si="11375"/>
        <v>85954.569999999992</v>
      </c>
      <c r="IH439" s="842">
        <f t="shared" si="11375"/>
        <v>85954.569999999992</v>
      </c>
      <c r="II439" s="74">
        <f t="shared" ref="II439:JT439" si="11376">SUM(II440:II442)</f>
        <v>3488.3</v>
      </c>
      <c r="IJ439" s="74">
        <f t="shared" si="11376"/>
        <v>3488.3</v>
      </c>
      <c r="IK439" s="74">
        <f t="shared" si="11376"/>
        <v>3488.3</v>
      </c>
      <c r="IL439" s="74">
        <f t="shared" si="11376"/>
        <v>5080.55</v>
      </c>
      <c r="IM439" s="74">
        <f t="shared" si="11376"/>
        <v>5080.55</v>
      </c>
      <c r="IN439" s="74">
        <f t="shared" si="11376"/>
        <v>5080.55</v>
      </c>
      <c r="IO439" s="74">
        <f t="shared" si="11376"/>
        <v>2294.6099999999988</v>
      </c>
      <c r="IP439" s="74">
        <f t="shared" si="11376"/>
        <v>2294.6099999999988</v>
      </c>
      <c r="IQ439" s="74">
        <f t="shared" si="11376"/>
        <v>2294.6099999999988</v>
      </c>
      <c r="IR439" s="74">
        <f t="shared" si="11376"/>
        <v>6294.18</v>
      </c>
      <c r="IS439" s="74">
        <f t="shared" si="11376"/>
        <v>6294.18</v>
      </c>
      <c r="IT439" s="74">
        <f t="shared" si="11376"/>
        <v>6294.18</v>
      </c>
      <c r="IU439" s="74">
        <f t="shared" si="11376"/>
        <v>11272.09</v>
      </c>
      <c r="IV439" s="74">
        <f t="shared" si="11376"/>
        <v>11272.09</v>
      </c>
      <c r="IW439" s="74">
        <f t="shared" si="11376"/>
        <v>11272.09</v>
      </c>
      <c r="IX439" s="74">
        <f t="shared" si="11376"/>
        <v>22500.93</v>
      </c>
      <c r="IY439" s="74">
        <f t="shared" si="11376"/>
        <v>22500.93</v>
      </c>
      <c r="IZ439" s="74">
        <f t="shared" si="11376"/>
        <v>22500.93</v>
      </c>
      <c r="JA439" s="74">
        <f t="shared" si="11376"/>
        <v>568.27999999999884</v>
      </c>
      <c r="JB439" s="74">
        <f t="shared" si="11376"/>
        <v>568.27999999999884</v>
      </c>
      <c r="JC439" s="74">
        <f t="shared" si="11376"/>
        <v>568.27999999999884</v>
      </c>
      <c r="JD439" s="74">
        <f t="shared" si="11376"/>
        <v>21248.110000000008</v>
      </c>
      <c r="JE439" s="74">
        <f t="shared" si="11376"/>
        <v>21248.110000000008</v>
      </c>
      <c r="JF439" s="74">
        <f t="shared" si="11376"/>
        <v>21248.110000000008</v>
      </c>
      <c r="JG439" s="74">
        <f t="shared" si="11376"/>
        <v>5128.9099999999889</v>
      </c>
      <c r="JH439" s="74">
        <f t="shared" si="11376"/>
        <v>5128.9099999999889</v>
      </c>
      <c r="JI439" s="74">
        <f t="shared" si="11376"/>
        <v>5128.9099999999889</v>
      </c>
      <c r="JJ439" s="74">
        <f t="shared" si="11376"/>
        <v>8078.6100000000006</v>
      </c>
      <c r="JK439" s="74">
        <f t="shared" si="11376"/>
        <v>8078.6100000000006</v>
      </c>
      <c r="JL439" s="74">
        <f t="shared" si="11376"/>
        <v>8078.6100000000006</v>
      </c>
      <c r="JM439" s="74">
        <f t="shared" si="11376"/>
        <v>0</v>
      </c>
      <c r="JN439" s="74">
        <f t="shared" si="11376"/>
        <v>0</v>
      </c>
      <c r="JO439" s="74">
        <f t="shared" si="11376"/>
        <v>0</v>
      </c>
      <c r="JP439" s="74">
        <f t="shared" si="11376"/>
        <v>0</v>
      </c>
      <c r="JQ439" s="74">
        <f t="shared" si="11376"/>
        <v>0</v>
      </c>
      <c r="JR439" s="74">
        <f t="shared" si="11376"/>
        <v>0</v>
      </c>
      <c r="JS439" s="74">
        <f t="shared" si="11376"/>
        <v>5081.4300000000039</v>
      </c>
      <c r="JT439" s="382">
        <f t="shared" si="11376"/>
        <v>5081.4300000000039</v>
      </c>
      <c r="JU439" s="665"/>
      <c r="JV439" s="524"/>
      <c r="JW439" s="525"/>
      <c r="JX439" s="549">
        <f>SUM(JX440:JX441)</f>
        <v>91036</v>
      </c>
      <c r="JY439" s="549">
        <f>SUM(JY440:JY441)</f>
        <v>0</v>
      </c>
      <c r="JZ439" s="581">
        <f t="shared" si="11276"/>
        <v>44000</v>
      </c>
      <c r="KA439" s="581">
        <f t="shared" si="11277"/>
        <v>-33964</v>
      </c>
      <c r="KB439" s="549">
        <f t="shared" si="11273"/>
        <v>91036</v>
      </c>
      <c r="KC439" s="709">
        <f t="shared" si="11275"/>
        <v>0</v>
      </c>
      <c r="KD439" s="36"/>
      <c r="KE439" s="36"/>
      <c r="KF439" s="36"/>
      <c r="KG439" s="36"/>
      <c r="KH439" s="36"/>
      <c r="KI439" s="36"/>
      <c r="KJ439" s="36"/>
      <c r="KK439" s="36"/>
    </row>
    <row r="440" spans="1:297" s="10" customFormat="1">
      <c r="A440" s="86" t="s">
        <v>261</v>
      </c>
      <c r="B440" s="77" t="s">
        <v>129</v>
      </c>
      <c r="C440" s="74">
        <v>54400</v>
      </c>
      <c r="D440" s="549">
        <v>0</v>
      </c>
      <c r="E440" s="675">
        <v>0</v>
      </c>
      <c r="F440" s="549">
        <v>0</v>
      </c>
      <c r="G440" s="675">
        <v>0</v>
      </c>
      <c r="H440" s="549">
        <v>0</v>
      </c>
      <c r="I440" s="675">
        <v>0</v>
      </c>
      <c r="J440" s="549">
        <v>0</v>
      </c>
      <c r="K440" s="675">
        <v>0</v>
      </c>
      <c r="L440" s="549">
        <v>0</v>
      </c>
      <c r="M440" s="675">
        <v>0</v>
      </c>
      <c r="N440" s="549">
        <v>0</v>
      </c>
      <c r="O440" s="675">
        <v>0</v>
      </c>
      <c r="P440" s="549">
        <v>0</v>
      </c>
      <c r="Q440" s="675">
        <v>0</v>
      </c>
      <c r="R440" s="549">
        <v>0</v>
      </c>
      <c r="S440" s="675">
        <v>0</v>
      </c>
      <c r="T440" s="549">
        <v>0</v>
      </c>
      <c r="U440" s="675">
        <v>0</v>
      </c>
      <c r="V440" s="549">
        <v>3000</v>
      </c>
      <c r="W440" s="675">
        <v>0</v>
      </c>
      <c r="X440" s="549">
        <v>0</v>
      </c>
      <c r="Y440" s="675">
        <v>0</v>
      </c>
      <c r="Z440" s="549">
        <v>0</v>
      </c>
      <c r="AA440" s="675">
        <v>0</v>
      </c>
      <c r="AB440" s="549">
        <v>0</v>
      </c>
      <c r="AC440" s="675">
        <v>0</v>
      </c>
      <c r="AD440" s="549">
        <v>0</v>
      </c>
      <c r="AE440" s="675">
        <v>0</v>
      </c>
      <c r="AF440" s="549">
        <v>0</v>
      </c>
      <c r="AG440" s="675">
        <v>0</v>
      </c>
      <c r="AH440" s="549">
        <v>0</v>
      </c>
      <c r="AI440" s="675">
        <v>0</v>
      </c>
      <c r="AJ440" s="549">
        <v>0</v>
      </c>
      <c r="AK440" s="675">
        <v>0</v>
      </c>
      <c r="AL440" s="549">
        <v>0</v>
      </c>
      <c r="AM440" s="675">
        <v>0</v>
      </c>
      <c r="AN440" s="549">
        <v>0</v>
      </c>
      <c r="AO440" s="675">
        <v>0</v>
      </c>
      <c r="AP440" s="549">
        <v>0</v>
      </c>
      <c r="AQ440" s="675">
        <v>0</v>
      </c>
      <c r="AR440" s="549">
        <v>0</v>
      </c>
      <c r="AS440" s="675">
        <v>0</v>
      </c>
      <c r="AT440" s="549">
        <v>0</v>
      </c>
      <c r="AU440" s="675">
        <v>0</v>
      </c>
      <c r="AV440" s="549">
        <v>0</v>
      </c>
      <c r="AW440" s="675">
        <v>0</v>
      </c>
      <c r="AX440" s="549">
        <v>0</v>
      </c>
      <c r="AY440" s="675">
        <v>0</v>
      </c>
      <c r="AZ440" s="549">
        <v>0</v>
      </c>
      <c r="BA440" s="675">
        <v>0</v>
      </c>
      <c r="BB440" s="549">
        <v>0</v>
      </c>
      <c r="BC440" s="675">
        <v>0</v>
      </c>
      <c r="BD440" s="549">
        <v>0</v>
      </c>
      <c r="BE440" s="675">
        <v>0</v>
      </c>
      <c r="BF440" s="549">
        <v>20000</v>
      </c>
      <c r="BG440" s="675">
        <v>0</v>
      </c>
      <c r="BH440" s="549">
        <v>0</v>
      </c>
      <c r="BI440" s="675">
        <v>0</v>
      </c>
      <c r="BJ440" s="549">
        <v>0</v>
      </c>
      <c r="BK440" s="675">
        <v>0</v>
      </c>
      <c r="BL440" s="549">
        <v>0</v>
      </c>
      <c r="BM440" s="675">
        <v>0</v>
      </c>
      <c r="BN440" s="549">
        <v>0</v>
      </c>
      <c r="BO440" s="675">
        <v>0</v>
      </c>
      <c r="BP440" s="549">
        <v>0</v>
      </c>
      <c r="BQ440" s="675">
        <v>0</v>
      </c>
      <c r="BR440" s="549">
        <v>0</v>
      </c>
      <c r="BS440" s="675">
        <v>0</v>
      </c>
      <c r="BT440" s="549">
        <v>0</v>
      </c>
      <c r="BU440" s="675">
        <v>0</v>
      </c>
      <c r="BV440" s="549">
        <v>0</v>
      </c>
      <c r="BW440" s="675">
        <v>0</v>
      </c>
      <c r="BX440" s="549">
        <v>0</v>
      </c>
      <c r="BY440" s="675">
        <v>0</v>
      </c>
      <c r="BZ440" s="549">
        <v>0</v>
      </c>
      <c r="CA440" s="675">
        <v>0</v>
      </c>
      <c r="CB440" s="549">
        <v>0</v>
      </c>
      <c r="CC440" s="675">
        <v>0</v>
      </c>
      <c r="CD440" s="549">
        <v>0</v>
      </c>
      <c r="CE440" s="675">
        <v>0</v>
      </c>
      <c r="CF440" s="549">
        <v>0</v>
      </c>
      <c r="CG440" s="675">
        <v>0</v>
      </c>
      <c r="CH440" s="549">
        <v>0</v>
      </c>
      <c r="CI440" s="675">
        <v>0</v>
      </c>
      <c r="CJ440" s="549">
        <v>0</v>
      </c>
      <c r="CK440" s="675">
        <v>0</v>
      </c>
      <c r="CL440" s="549">
        <v>0</v>
      </c>
      <c r="CM440" s="675">
        <v>0</v>
      </c>
      <c r="CN440" s="549">
        <v>0</v>
      </c>
      <c r="CO440" s="675">
        <v>0</v>
      </c>
      <c r="CP440" s="549">
        <v>0</v>
      </c>
      <c r="CQ440" s="675">
        <v>0</v>
      </c>
      <c r="CR440" s="549">
        <v>0</v>
      </c>
      <c r="CS440" s="675">
        <v>0</v>
      </c>
      <c r="CT440" s="549">
        <v>0</v>
      </c>
      <c r="CU440" s="675">
        <v>0</v>
      </c>
      <c r="CV440" s="549">
        <v>0</v>
      </c>
      <c r="CW440" s="675">
        <v>0</v>
      </c>
      <c r="CX440" s="549">
        <v>0</v>
      </c>
      <c r="CY440" s="675">
        <v>0</v>
      </c>
      <c r="CZ440" s="549">
        <v>19000</v>
      </c>
      <c r="DA440" s="675">
        <v>0</v>
      </c>
      <c r="DB440" s="549">
        <v>0</v>
      </c>
      <c r="DC440" s="675">
        <v>0</v>
      </c>
      <c r="DD440" s="549">
        <v>0</v>
      </c>
      <c r="DE440" s="675">
        <v>0</v>
      </c>
      <c r="DF440" s="549">
        <v>0</v>
      </c>
      <c r="DG440" s="675">
        <v>0</v>
      </c>
      <c r="DH440" s="549">
        <v>0</v>
      </c>
      <c r="DI440" s="675">
        <v>0</v>
      </c>
      <c r="DJ440" s="549">
        <v>0</v>
      </c>
      <c r="DK440" s="675">
        <v>0</v>
      </c>
      <c r="DL440" s="549">
        <v>0</v>
      </c>
      <c r="DM440" s="675">
        <v>0</v>
      </c>
      <c r="DN440" s="549">
        <v>0</v>
      </c>
      <c r="DO440" s="675">
        <v>0</v>
      </c>
      <c r="DP440" s="549">
        <v>0</v>
      </c>
      <c r="DQ440" s="675">
        <v>0</v>
      </c>
      <c r="DR440" s="549">
        <v>0</v>
      </c>
      <c r="DS440" s="675">
        <v>0</v>
      </c>
      <c r="DT440" s="549">
        <v>0</v>
      </c>
      <c r="DU440" s="675">
        <v>0</v>
      </c>
      <c r="DV440" s="549">
        <v>0</v>
      </c>
      <c r="DW440" s="675">
        <v>0</v>
      </c>
      <c r="DX440" s="549">
        <v>0</v>
      </c>
      <c r="DY440" s="675">
        <v>0</v>
      </c>
      <c r="DZ440" s="549">
        <v>0</v>
      </c>
      <c r="EA440" s="675">
        <v>0</v>
      </c>
      <c r="EB440" s="549">
        <v>0</v>
      </c>
      <c r="EC440" s="675">
        <v>0</v>
      </c>
      <c r="ED440" s="549">
        <v>0</v>
      </c>
      <c r="EE440" s="675">
        <v>0</v>
      </c>
      <c r="EF440" s="549">
        <v>0</v>
      </c>
      <c r="EG440" s="675">
        <v>0</v>
      </c>
      <c r="EH440" s="549">
        <v>0</v>
      </c>
      <c r="EI440" s="675">
        <v>0</v>
      </c>
      <c r="EJ440" s="549">
        <v>0</v>
      </c>
      <c r="EK440" s="675">
        <v>0</v>
      </c>
      <c r="EL440" s="549">
        <v>0</v>
      </c>
      <c r="EM440" s="675">
        <v>0</v>
      </c>
      <c r="EN440" s="549">
        <v>0</v>
      </c>
      <c r="EO440" s="675">
        <v>0</v>
      </c>
      <c r="EP440" s="549">
        <v>0</v>
      </c>
      <c r="EQ440" s="675">
        <v>0</v>
      </c>
      <c r="ER440" s="549">
        <v>0</v>
      </c>
      <c r="ES440" s="675">
        <v>0</v>
      </c>
      <c r="ET440" s="549">
        <v>0</v>
      </c>
      <c r="EU440" s="675">
        <v>-10000</v>
      </c>
      <c r="EV440" s="549">
        <v>0</v>
      </c>
      <c r="EW440" s="675">
        <v>0</v>
      </c>
      <c r="EX440" s="549">
        <v>0</v>
      </c>
      <c r="EY440" s="675">
        <v>0</v>
      </c>
      <c r="EZ440" s="549">
        <v>0</v>
      </c>
      <c r="FA440" s="675">
        <v>0</v>
      </c>
      <c r="FB440" s="549">
        <v>0</v>
      </c>
      <c r="FC440" s="675">
        <v>0</v>
      </c>
      <c r="FD440" s="549">
        <v>0</v>
      </c>
      <c r="FE440" s="675">
        <v>0</v>
      </c>
      <c r="FF440" s="549">
        <v>0</v>
      </c>
      <c r="FG440" s="675">
        <v>0</v>
      </c>
      <c r="FH440" s="549">
        <v>0</v>
      </c>
      <c r="FI440" s="675">
        <v>0</v>
      </c>
      <c r="FJ440" s="549">
        <v>0</v>
      </c>
      <c r="FK440" s="675">
        <v>0</v>
      </c>
      <c r="FL440" s="549">
        <v>2000</v>
      </c>
      <c r="FM440" s="675">
        <v>0</v>
      </c>
      <c r="FN440" s="549">
        <v>0</v>
      </c>
      <c r="FO440" s="675">
        <v>0</v>
      </c>
      <c r="FP440" s="549">
        <v>0</v>
      </c>
      <c r="FQ440" s="675">
        <v>0</v>
      </c>
      <c r="FR440" s="549">
        <v>0</v>
      </c>
      <c r="FS440" s="675">
        <v>0</v>
      </c>
      <c r="FT440" s="549">
        <v>0</v>
      </c>
      <c r="FU440" s="675">
        <v>0</v>
      </c>
      <c r="FV440" s="549">
        <v>0</v>
      </c>
      <c r="FW440" s="675">
        <v>0</v>
      </c>
      <c r="FX440" s="549">
        <v>0</v>
      </c>
      <c r="FY440" s="675">
        <v>0</v>
      </c>
      <c r="FZ440" s="549">
        <v>0</v>
      </c>
      <c r="GA440" s="675">
        <v>0</v>
      </c>
      <c r="GB440" s="549">
        <v>0</v>
      </c>
      <c r="GC440" s="675">
        <v>0</v>
      </c>
      <c r="GD440" s="549">
        <v>0</v>
      </c>
      <c r="GE440" s="675">
        <v>0</v>
      </c>
      <c r="GF440" s="549">
        <v>0</v>
      </c>
      <c r="GG440" s="675">
        <v>0</v>
      </c>
      <c r="GH440" s="549">
        <v>0</v>
      </c>
      <c r="GI440" s="675">
        <v>0</v>
      </c>
      <c r="GJ440" s="549">
        <v>0</v>
      </c>
      <c r="GK440" s="675">
        <v>0</v>
      </c>
      <c r="GL440" s="549">
        <v>0</v>
      </c>
      <c r="GM440" s="675">
        <v>0</v>
      </c>
      <c r="GN440" s="549">
        <v>0</v>
      </c>
      <c r="GO440" s="675">
        <v>0</v>
      </c>
      <c r="GP440" s="549">
        <f t="shared" ref="GP440:GP441" si="11377">+D440+F440+H440+J440+L440+N440+P440+R440+T440+V440+X440+Z440+AB440+AF440+AD440+AH440+AJ440+AL440+AN440+AP440+AR440+AT440+AV440+AX440+AZ440+BB440+BD440+BF440+BH440+BJ440+BL440+BN440+BP440+BR440+BT440+BV440+BX440+BZ440+CB440+CD440+CF440+CH440+CJ440+CL440+CN440+CP440+CR440+CT440+CV440+CX440+CZ440+DB440+DD440+DF440+DH440+DT440+EX440+DJ440+DL440+DN440+DP440+DR440+EJ440+EB440+DZ440+DX440+DV440+ED440+EF440+EH440+EL440+EN440+EP440+EV440+ET440+ER440+EZ440+FB440+FD440+GL440+FF440+FJ440+FL440+GJ440+FT440+FR440+FP440+FN440+FH440+GH440+GF440+GD440+GB440+FZ440+FX440+FV440+GN440</f>
        <v>44000</v>
      </c>
      <c r="GQ440" s="675">
        <f t="shared" ref="GQ440:GQ441" si="11378">+E440+G440+I440+K440+M440+O440+Q440+S440+U440+W440+Y440+AA440+AC440+AE440+AG440+AI440+AK440+AM440+AO440+AQ440+AS440+AU440+AW440+AY440+BA440+BC440+BE440+BG440+BI440+BK440+BM440+BO440+BQ440+BS440+BU440+BW440+BY440+CA440+CC440+CE440+CG440+CI440+CK440+CM440+CO440+CQ440+CS440+CU440+CW440+CY440+DA440+DC440+DE440+DG440+DI440+DU440+EY440+DK440+DM440+DO440+DQ440+DS440+EK440+EC440+EA440+DY440+DW440+EI440+EG440+EE440+EM440+EO440+EQ440+EW440+EU440+ES440+FA440+FC440+FE440+GM440+FG440+FK440+FM440+FO440+FQ440+FS440+FU440+GK440+FI440+GI440+GG440+GE440+GC440+GA440+FY440+FW440+GO440</f>
        <v>-10000</v>
      </c>
      <c r="GR440" s="74">
        <f>C440+GP440+GQ440</f>
        <v>88400</v>
      </c>
      <c r="GS440" s="74">
        <f t="shared" ref="GS440:GS441" si="11379">SUM(GU440:HD440)+GP440+GQ440</f>
        <v>88400</v>
      </c>
      <c r="GT440" s="568">
        <f t="shared" ref="GT440:GT442" si="11380">SUM(GU440:HF440)+GQ440+GP440</f>
        <v>88400</v>
      </c>
      <c r="GU440" s="275">
        <v>5440</v>
      </c>
      <c r="GV440" s="275">
        <v>5440</v>
      </c>
      <c r="GW440" s="275">
        <v>5440</v>
      </c>
      <c r="GX440" s="275">
        <v>5440</v>
      </c>
      <c r="GY440" s="275">
        <v>5440</v>
      </c>
      <c r="GZ440" s="275">
        <v>5440</v>
      </c>
      <c r="HA440" s="275">
        <v>5440</v>
      </c>
      <c r="HB440" s="275">
        <v>5440</v>
      </c>
      <c r="HC440" s="275">
        <v>5440</v>
      </c>
      <c r="HD440" s="275">
        <v>5440</v>
      </c>
      <c r="HE440" s="275">
        <v>0</v>
      </c>
      <c r="HF440" s="275">
        <v>0</v>
      </c>
      <c r="HG440" s="74">
        <f>SUM(HH440:IE440)</f>
        <v>88400</v>
      </c>
      <c r="HH440" s="89">
        <v>5440</v>
      </c>
      <c r="HI440" s="817">
        <v>0</v>
      </c>
      <c r="HJ440" s="89">
        <v>5440</v>
      </c>
      <c r="HK440" s="817">
        <v>0</v>
      </c>
      <c r="HL440" s="89">
        <v>8440</v>
      </c>
      <c r="HM440" s="817">
        <v>0</v>
      </c>
      <c r="HN440" s="89">
        <v>5440</v>
      </c>
      <c r="HO440" s="817">
        <v>0</v>
      </c>
      <c r="HP440" s="89">
        <v>25440</v>
      </c>
      <c r="HQ440" s="817">
        <v>0</v>
      </c>
      <c r="HR440" s="89">
        <v>0</v>
      </c>
      <c r="HS440" s="817">
        <v>0</v>
      </c>
      <c r="HT440" s="89">
        <v>29880</v>
      </c>
      <c r="HU440" s="817">
        <v>0</v>
      </c>
      <c r="HV440" s="89">
        <v>5440</v>
      </c>
      <c r="HW440" s="817">
        <v>0</v>
      </c>
      <c r="HX440" s="89">
        <v>-4560</v>
      </c>
      <c r="HY440" s="817">
        <v>0</v>
      </c>
      <c r="HZ440" s="89">
        <f>88400-80960</f>
        <v>7440</v>
      </c>
      <c r="IA440" s="817">
        <v>0</v>
      </c>
      <c r="IB440" s="89">
        <v>0</v>
      </c>
      <c r="IC440" s="817">
        <v>0</v>
      </c>
      <c r="ID440" s="89">
        <v>0</v>
      </c>
      <c r="IE440" s="817">
        <v>0</v>
      </c>
      <c r="IF440" s="841">
        <f t="shared" ref="IF440:IF442" si="11381">SUM(II440,IL440,IO440,IR440,IU440,IX440,JA440,JD440,JG440,JJ440,JM440,JP440)</f>
        <v>84040.34</v>
      </c>
      <c r="IG440" s="263">
        <f t="shared" ref="IG440:IG442" si="11382">SUM(IJ440,IM440,IP440,IS440,IV440,IY440,JB440,JE440,JH440,JK440,JN440,JQ440)</f>
        <v>84040.34</v>
      </c>
      <c r="IH440" s="842">
        <f t="shared" ref="IH440:IH442" si="11383">SUM(IK440,IN440,IQ440,IT440,IW440,IZ440,JC440,JF440,JI440,JL440,JO440,JR440)</f>
        <v>84040.34</v>
      </c>
      <c r="II440" s="89">
        <v>3488.3</v>
      </c>
      <c r="IJ440" s="89">
        <f t="shared" ref="IJ440:IJ442" si="11384">II440</f>
        <v>3488.3</v>
      </c>
      <c r="IK440" s="89">
        <f t="shared" ref="IK440:IK442" si="11385">IJ440</f>
        <v>3488.3</v>
      </c>
      <c r="IL440" s="89">
        <f>8568.85-3488.3</f>
        <v>5080.55</v>
      </c>
      <c r="IM440" s="89">
        <f t="shared" ref="IM440:IM442" si="11386">IL440</f>
        <v>5080.55</v>
      </c>
      <c r="IN440" s="89">
        <f t="shared" ref="IN440:IN442" si="11387">IM440</f>
        <v>5080.55</v>
      </c>
      <c r="IO440" s="89">
        <f>10474.46-8568.85</f>
        <v>1905.6099999999988</v>
      </c>
      <c r="IP440" s="89">
        <f t="shared" ref="IP440:IP442" si="11388">IO440</f>
        <v>1905.6099999999988</v>
      </c>
      <c r="IQ440" s="89">
        <f t="shared" ref="IQ440:IQ442" si="11389">IP440</f>
        <v>1905.6099999999988</v>
      </c>
      <c r="IR440" s="89">
        <f>16768.64-10474.46</f>
        <v>6294.18</v>
      </c>
      <c r="IS440" s="89">
        <f t="shared" ref="IS440:IS442" si="11390">IR440</f>
        <v>6294.18</v>
      </c>
      <c r="IT440" s="89">
        <f t="shared" ref="IT440:IT442" si="11391">IS440</f>
        <v>6294.18</v>
      </c>
      <c r="IU440" s="89">
        <f>27706.53-16768.64</f>
        <v>10937.89</v>
      </c>
      <c r="IV440" s="89">
        <f t="shared" ref="IV440:IV442" si="11392">IU440</f>
        <v>10937.89</v>
      </c>
      <c r="IW440" s="89">
        <f t="shared" ref="IW440:IW442" si="11393">IV440</f>
        <v>10937.89</v>
      </c>
      <c r="IX440" s="89">
        <f>50091.93-27706.53</f>
        <v>22385.4</v>
      </c>
      <c r="IY440" s="89">
        <f t="shared" ref="IY440:IY442" si="11394">IX440</f>
        <v>22385.4</v>
      </c>
      <c r="IZ440" s="89">
        <f t="shared" ref="IZ440:IZ442" si="11395">IY440</f>
        <v>22385.4</v>
      </c>
      <c r="JA440" s="89">
        <f>50660.21-50091.93</f>
        <v>568.27999999999884</v>
      </c>
      <c r="JB440" s="89">
        <f t="shared" ref="JB440:JB442" si="11396">JA440</f>
        <v>568.27999999999884</v>
      </c>
      <c r="JC440" s="89">
        <f t="shared" ref="JC440:JC442" si="11397">JB440</f>
        <v>568.27999999999884</v>
      </c>
      <c r="JD440" s="89">
        <f>71182.82-50660.21</f>
        <v>20522.610000000008</v>
      </c>
      <c r="JE440" s="89">
        <f t="shared" ref="JE440:JE442" si="11398">JD440</f>
        <v>20522.610000000008</v>
      </c>
      <c r="JF440" s="89">
        <f t="shared" ref="JF440:JF442" si="11399">JE440</f>
        <v>20522.610000000008</v>
      </c>
      <c r="JG440" s="89">
        <f>76111.73-71182.82</f>
        <v>4928.9099999999889</v>
      </c>
      <c r="JH440" s="89">
        <f t="shared" ref="JH440:JH442" si="11400">JG440</f>
        <v>4928.9099999999889</v>
      </c>
      <c r="JI440" s="89">
        <f t="shared" ref="JI440:JI442" si="11401">JH440</f>
        <v>4928.9099999999889</v>
      </c>
      <c r="JJ440" s="89">
        <f>84040.34-76111.73</f>
        <v>7928.6100000000006</v>
      </c>
      <c r="JK440" s="89">
        <f t="shared" ref="JK440:JK442" si="11402">JJ440</f>
        <v>7928.6100000000006</v>
      </c>
      <c r="JL440" s="89">
        <f t="shared" ref="JL440:JL442" si="11403">JK440</f>
        <v>7928.6100000000006</v>
      </c>
      <c r="JM440" s="89">
        <v>0</v>
      </c>
      <c r="JN440" s="89">
        <f t="shared" ref="JN440:JN442" si="11404">JM440</f>
        <v>0</v>
      </c>
      <c r="JO440" s="89">
        <f t="shared" ref="JO440:JO442" si="11405">JN440</f>
        <v>0</v>
      </c>
      <c r="JP440" s="89">
        <v>0</v>
      </c>
      <c r="JQ440" s="89">
        <f t="shared" ref="JQ440:JR440" si="11406">JP440</f>
        <v>0</v>
      </c>
      <c r="JR440" s="89">
        <f t="shared" si="11406"/>
        <v>0</v>
      </c>
      <c r="JS440" s="74">
        <f>HG440-IF440</f>
        <v>4359.6600000000035</v>
      </c>
      <c r="JT440" s="382">
        <f>GS440-IF440</f>
        <v>4359.6600000000035</v>
      </c>
      <c r="JU440" s="665"/>
      <c r="JV440" s="524"/>
      <c r="JW440" s="525"/>
      <c r="JX440" s="549">
        <f>SUM(HH440,HJ440,HL440,HN440,HP440,HR440,HT440,HV440,HX440,HZ440,IB440,ID440)</f>
        <v>88400</v>
      </c>
      <c r="JY440" s="549">
        <f>SUM(HI440,HK440,HM440,HO440,HQ440,HS440,HU440,HW440,HY440,IA440,IC440,IE440)</f>
        <v>0</v>
      </c>
      <c r="JZ440" s="581">
        <f t="shared" si="11276"/>
        <v>44000</v>
      </c>
      <c r="KA440" s="581">
        <f t="shared" si="11277"/>
        <v>-10000</v>
      </c>
      <c r="KB440" s="549">
        <f t="shared" si="11273"/>
        <v>88400</v>
      </c>
      <c r="KC440" s="709">
        <f t="shared" si="11275"/>
        <v>0</v>
      </c>
      <c r="KD440" s="36"/>
      <c r="KE440" s="36"/>
      <c r="KF440" s="36"/>
      <c r="KG440" s="36"/>
      <c r="KH440" s="36"/>
      <c r="KI440" s="36"/>
      <c r="KJ440" s="36"/>
      <c r="KK440" s="36"/>
    </row>
    <row r="441" spans="1:297" s="10" customFormat="1">
      <c r="A441" s="86" t="s">
        <v>262</v>
      </c>
      <c r="B441" s="77" t="s">
        <v>131</v>
      </c>
      <c r="C441" s="74">
        <v>26600</v>
      </c>
      <c r="D441" s="549">
        <v>0</v>
      </c>
      <c r="E441" s="675">
        <v>0</v>
      </c>
      <c r="F441" s="549">
        <v>0</v>
      </c>
      <c r="G441" s="675">
        <v>0</v>
      </c>
      <c r="H441" s="549">
        <v>0</v>
      </c>
      <c r="I441" s="675">
        <v>0</v>
      </c>
      <c r="J441" s="549">
        <v>0</v>
      </c>
      <c r="K441" s="675">
        <v>0</v>
      </c>
      <c r="L441" s="549">
        <v>0</v>
      </c>
      <c r="M441" s="675">
        <v>0</v>
      </c>
      <c r="N441" s="549">
        <v>0</v>
      </c>
      <c r="O441" s="675">
        <v>0</v>
      </c>
      <c r="P441" s="549">
        <v>0</v>
      </c>
      <c r="Q441" s="675">
        <v>0</v>
      </c>
      <c r="R441" s="549">
        <v>0</v>
      </c>
      <c r="S441" s="675">
        <v>0</v>
      </c>
      <c r="T441" s="549">
        <v>0</v>
      </c>
      <c r="U441" s="675">
        <v>0</v>
      </c>
      <c r="V441" s="549">
        <v>0</v>
      </c>
      <c r="W441" s="675">
        <v>-5000</v>
      </c>
      <c r="X441" s="549">
        <v>0</v>
      </c>
      <c r="Y441" s="675">
        <v>0</v>
      </c>
      <c r="Z441" s="549">
        <v>0</v>
      </c>
      <c r="AA441" s="675">
        <v>0</v>
      </c>
      <c r="AB441" s="549">
        <v>0</v>
      </c>
      <c r="AC441" s="675">
        <v>0</v>
      </c>
      <c r="AD441" s="549">
        <v>0</v>
      </c>
      <c r="AE441" s="675">
        <v>0</v>
      </c>
      <c r="AF441" s="549">
        <v>0</v>
      </c>
      <c r="AG441" s="675">
        <v>-2000</v>
      </c>
      <c r="AH441" s="549">
        <v>0</v>
      </c>
      <c r="AI441" s="675">
        <v>0</v>
      </c>
      <c r="AJ441" s="549">
        <v>0</v>
      </c>
      <c r="AK441" s="675">
        <v>0</v>
      </c>
      <c r="AL441" s="549">
        <v>0</v>
      </c>
      <c r="AM441" s="675">
        <v>0</v>
      </c>
      <c r="AN441" s="549">
        <v>0</v>
      </c>
      <c r="AO441" s="675">
        <v>0</v>
      </c>
      <c r="AP441" s="549">
        <v>0</v>
      </c>
      <c r="AQ441" s="675">
        <v>0</v>
      </c>
      <c r="AR441" s="549">
        <v>0</v>
      </c>
      <c r="AS441" s="675">
        <v>0</v>
      </c>
      <c r="AT441" s="549">
        <v>0</v>
      </c>
      <c r="AU441" s="675">
        <v>0</v>
      </c>
      <c r="AV441" s="549">
        <v>0</v>
      </c>
      <c r="AW441" s="675">
        <v>0</v>
      </c>
      <c r="AX441" s="549">
        <v>0</v>
      </c>
      <c r="AY441" s="675">
        <v>0</v>
      </c>
      <c r="AZ441" s="549">
        <v>0</v>
      </c>
      <c r="BA441" s="675">
        <v>-6000</v>
      </c>
      <c r="BB441" s="549">
        <v>0</v>
      </c>
      <c r="BC441" s="675">
        <v>0</v>
      </c>
      <c r="BD441" s="549">
        <v>0</v>
      </c>
      <c r="BE441" s="675">
        <v>0</v>
      </c>
      <c r="BF441" s="549">
        <v>0</v>
      </c>
      <c r="BG441" s="675">
        <v>0</v>
      </c>
      <c r="BH441" s="549">
        <v>0</v>
      </c>
      <c r="BI441" s="675">
        <v>0</v>
      </c>
      <c r="BJ441" s="549">
        <v>0</v>
      </c>
      <c r="BK441" s="675">
        <v>0</v>
      </c>
      <c r="BL441" s="549">
        <v>0</v>
      </c>
      <c r="BM441" s="675">
        <v>0</v>
      </c>
      <c r="BN441" s="549">
        <v>0</v>
      </c>
      <c r="BO441" s="675">
        <v>0</v>
      </c>
      <c r="BP441" s="549">
        <v>0</v>
      </c>
      <c r="BQ441" s="675">
        <v>0</v>
      </c>
      <c r="BR441" s="549">
        <v>0</v>
      </c>
      <c r="BS441" s="675">
        <v>0</v>
      </c>
      <c r="BT441" s="549">
        <v>0</v>
      </c>
      <c r="BU441" s="675">
        <v>0</v>
      </c>
      <c r="BV441" s="549">
        <v>0</v>
      </c>
      <c r="BW441" s="675">
        <v>0</v>
      </c>
      <c r="BX441" s="549">
        <v>0</v>
      </c>
      <c r="BY441" s="675">
        <v>0</v>
      </c>
      <c r="BZ441" s="549">
        <v>0</v>
      </c>
      <c r="CA441" s="675">
        <v>0</v>
      </c>
      <c r="CB441" s="549">
        <v>0</v>
      </c>
      <c r="CC441" s="675">
        <v>0</v>
      </c>
      <c r="CD441" s="549">
        <v>0</v>
      </c>
      <c r="CE441" s="675">
        <v>0</v>
      </c>
      <c r="CF441" s="549">
        <v>0</v>
      </c>
      <c r="CG441" s="675">
        <v>0</v>
      </c>
      <c r="CH441" s="549">
        <v>0</v>
      </c>
      <c r="CI441" s="675">
        <v>-2000</v>
      </c>
      <c r="CJ441" s="549">
        <v>0</v>
      </c>
      <c r="CK441" s="675">
        <v>-964</v>
      </c>
      <c r="CL441" s="549">
        <v>0</v>
      </c>
      <c r="CM441" s="675">
        <v>-5000</v>
      </c>
      <c r="CN441" s="549">
        <v>0</v>
      </c>
      <c r="CO441" s="675">
        <v>0</v>
      </c>
      <c r="CP441" s="549">
        <v>0</v>
      </c>
      <c r="CQ441" s="675">
        <v>0</v>
      </c>
      <c r="CR441" s="549">
        <v>0</v>
      </c>
      <c r="CS441" s="675">
        <v>0</v>
      </c>
      <c r="CT441" s="549">
        <v>0</v>
      </c>
      <c r="CU441" s="675">
        <v>0</v>
      </c>
      <c r="CV441" s="549">
        <v>0</v>
      </c>
      <c r="CW441" s="675">
        <v>0</v>
      </c>
      <c r="CX441" s="549">
        <v>0</v>
      </c>
      <c r="CY441" s="675">
        <v>0</v>
      </c>
      <c r="CZ441" s="549">
        <v>0</v>
      </c>
      <c r="DA441" s="675">
        <v>-1000</v>
      </c>
      <c r="DB441" s="549">
        <v>0</v>
      </c>
      <c r="DC441" s="675">
        <v>0</v>
      </c>
      <c r="DD441" s="549">
        <v>0</v>
      </c>
      <c r="DE441" s="675">
        <v>0</v>
      </c>
      <c r="DF441" s="549">
        <v>0</v>
      </c>
      <c r="DG441" s="675">
        <v>0</v>
      </c>
      <c r="DH441" s="549">
        <v>0</v>
      </c>
      <c r="DI441" s="675">
        <v>0</v>
      </c>
      <c r="DJ441" s="549">
        <v>0</v>
      </c>
      <c r="DK441" s="675">
        <v>0</v>
      </c>
      <c r="DL441" s="549">
        <v>0</v>
      </c>
      <c r="DM441" s="675">
        <v>0</v>
      </c>
      <c r="DN441" s="549">
        <v>0</v>
      </c>
      <c r="DO441" s="675">
        <v>0</v>
      </c>
      <c r="DP441" s="549">
        <v>0</v>
      </c>
      <c r="DQ441" s="675">
        <v>0</v>
      </c>
      <c r="DR441" s="549">
        <v>0</v>
      </c>
      <c r="DS441" s="675">
        <v>0</v>
      </c>
      <c r="DT441" s="549">
        <v>0</v>
      </c>
      <c r="DU441" s="675">
        <v>0</v>
      </c>
      <c r="DV441" s="549">
        <v>0</v>
      </c>
      <c r="DW441" s="675">
        <v>0</v>
      </c>
      <c r="DX441" s="549">
        <v>0</v>
      </c>
      <c r="DY441" s="675">
        <v>0</v>
      </c>
      <c r="DZ441" s="549">
        <v>0</v>
      </c>
      <c r="EA441" s="675">
        <v>0</v>
      </c>
      <c r="EB441" s="549">
        <v>0</v>
      </c>
      <c r="EC441" s="675">
        <v>0</v>
      </c>
      <c r="ED441" s="549">
        <v>0</v>
      </c>
      <c r="EE441" s="675">
        <v>0</v>
      </c>
      <c r="EF441" s="549">
        <v>0</v>
      </c>
      <c r="EG441" s="675">
        <v>0</v>
      </c>
      <c r="EH441" s="549">
        <v>0</v>
      </c>
      <c r="EI441" s="675">
        <v>0</v>
      </c>
      <c r="EJ441" s="549">
        <v>0</v>
      </c>
      <c r="EK441" s="675">
        <v>0</v>
      </c>
      <c r="EL441" s="549">
        <v>0</v>
      </c>
      <c r="EM441" s="675">
        <v>0</v>
      </c>
      <c r="EN441" s="549">
        <v>0</v>
      </c>
      <c r="EO441" s="675">
        <v>0</v>
      </c>
      <c r="EP441" s="549">
        <v>0</v>
      </c>
      <c r="EQ441" s="675">
        <v>0</v>
      </c>
      <c r="ER441" s="549">
        <v>0</v>
      </c>
      <c r="ES441" s="675">
        <v>0</v>
      </c>
      <c r="ET441" s="549">
        <v>0</v>
      </c>
      <c r="EU441" s="675">
        <v>-1000</v>
      </c>
      <c r="EV441" s="549">
        <v>0</v>
      </c>
      <c r="EW441" s="675">
        <v>-1000</v>
      </c>
      <c r="EX441" s="549">
        <v>0</v>
      </c>
      <c r="EY441" s="675">
        <v>0</v>
      </c>
      <c r="EZ441" s="549">
        <v>0</v>
      </c>
      <c r="FA441" s="675">
        <v>0</v>
      </c>
      <c r="FB441" s="549">
        <v>0</v>
      </c>
      <c r="FC441" s="675">
        <v>0</v>
      </c>
      <c r="FD441" s="549">
        <v>0</v>
      </c>
      <c r="FE441" s="675">
        <v>0</v>
      </c>
      <c r="FF441" s="549">
        <v>0</v>
      </c>
      <c r="FG441" s="675">
        <v>0</v>
      </c>
      <c r="FH441" s="549">
        <v>0</v>
      </c>
      <c r="FI441" s="675">
        <v>0</v>
      </c>
      <c r="FJ441" s="549">
        <v>0</v>
      </c>
      <c r="FK441" s="675">
        <v>0</v>
      </c>
      <c r="FL441" s="549">
        <v>0</v>
      </c>
      <c r="FM441" s="675">
        <v>0</v>
      </c>
      <c r="FN441" s="549">
        <v>0</v>
      </c>
      <c r="FO441" s="675">
        <v>0</v>
      </c>
      <c r="FP441" s="549">
        <v>0</v>
      </c>
      <c r="FQ441" s="675">
        <v>0</v>
      </c>
      <c r="FR441" s="549">
        <v>0</v>
      </c>
      <c r="FS441" s="675">
        <v>0</v>
      </c>
      <c r="FT441" s="549">
        <v>0</v>
      </c>
      <c r="FU441" s="675">
        <v>0</v>
      </c>
      <c r="FV441" s="549">
        <v>0</v>
      </c>
      <c r="FW441" s="675">
        <v>0</v>
      </c>
      <c r="FX441" s="549">
        <v>0</v>
      </c>
      <c r="FY441" s="675">
        <v>0</v>
      </c>
      <c r="FZ441" s="549">
        <v>0</v>
      </c>
      <c r="GA441" s="675">
        <v>0</v>
      </c>
      <c r="GB441" s="549">
        <v>0</v>
      </c>
      <c r="GC441" s="675">
        <v>0</v>
      </c>
      <c r="GD441" s="549">
        <v>0</v>
      </c>
      <c r="GE441" s="675">
        <v>0</v>
      </c>
      <c r="GF441" s="549">
        <v>0</v>
      </c>
      <c r="GG441" s="675">
        <v>0</v>
      </c>
      <c r="GH441" s="549">
        <v>0</v>
      </c>
      <c r="GI441" s="675">
        <v>0</v>
      </c>
      <c r="GJ441" s="549">
        <v>0</v>
      </c>
      <c r="GK441" s="675">
        <v>0</v>
      </c>
      <c r="GL441" s="549">
        <v>0</v>
      </c>
      <c r="GM441" s="675">
        <v>0</v>
      </c>
      <c r="GN441" s="549">
        <v>0</v>
      </c>
      <c r="GO441" s="675">
        <v>0</v>
      </c>
      <c r="GP441" s="549">
        <f t="shared" si="11377"/>
        <v>0</v>
      </c>
      <c r="GQ441" s="675">
        <f t="shared" si="11378"/>
        <v>-23964</v>
      </c>
      <c r="GR441" s="74">
        <f>C441+GP441+GQ441</f>
        <v>2636</v>
      </c>
      <c r="GS441" s="74">
        <f t="shared" si="11379"/>
        <v>2636</v>
      </c>
      <c r="GT441" s="568">
        <f t="shared" si="11380"/>
        <v>2636</v>
      </c>
      <c r="GU441" s="275"/>
      <c r="GV441" s="275">
        <v>8868</v>
      </c>
      <c r="GW441" s="275"/>
      <c r="GX441" s="275">
        <v>8866</v>
      </c>
      <c r="GY441" s="275"/>
      <c r="GZ441" s="275"/>
      <c r="HA441" s="275">
        <v>8866</v>
      </c>
      <c r="HB441" s="275"/>
      <c r="HC441" s="275"/>
      <c r="HD441" s="275"/>
      <c r="HE441" s="275">
        <v>0</v>
      </c>
      <c r="HF441" s="275">
        <v>0</v>
      </c>
      <c r="HG441" s="74">
        <f>SUM(HH441:IE441)</f>
        <v>2636</v>
      </c>
      <c r="HH441" s="89">
        <v>0</v>
      </c>
      <c r="HI441" s="817">
        <v>0</v>
      </c>
      <c r="HJ441" s="89">
        <v>8868</v>
      </c>
      <c r="HK441" s="817">
        <v>0</v>
      </c>
      <c r="HL441" s="89">
        <v>-7000</v>
      </c>
      <c r="HM441" s="817">
        <v>0</v>
      </c>
      <c r="HN441" s="89">
        <v>8866</v>
      </c>
      <c r="HO441" s="817">
        <v>0</v>
      </c>
      <c r="HP441" s="89">
        <v>-6000</v>
      </c>
      <c r="HQ441" s="817">
        <v>0</v>
      </c>
      <c r="HR441" s="89">
        <v>-2000</v>
      </c>
      <c r="HS441" s="817">
        <v>0</v>
      </c>
      <c r="HT441" s="89">
        <v>1000</v>
      </c>
      <c r="HU441" s="817">
        <v>0</v>
      </c>
      <c r="HV441" s="89">
        <v>0</v>
      </c>
      <c r="HW441" s="817">
        <v>0</v>
      </c>
      <c r="HX441" s="89">
        <v>-1098</v>
      </c>
      <c r="HY441" s="817">
        <v>0</v>
      </c>
      <c r="HZ441" s="89">
        <v>0</v>
      </c>
      <c r="IA441" s="817">
        <v>0</v>
      </c>
      <c r="IB441" s="89">
        <v>0</v>
      </c>
      <c r="IC441" s="817">
        <v>0</v>
      </c>
      <c r="ID441" s="89">
        <v>0</v>
      </c>
      <c r="IE441" s="817">
        <v>0</v>
      </c>
      <c r="IF441" s="841">
        <f t="shared" si="11381"/>
        <v>1914.23</v>
      </c>
      <c r="IG441" s="263">
        <f t="shared" si="11382"/>
        <v>1914.23</v>
      </c>
      <c r="IH441" s="842">
        <f t="shared" si="11383"/>
        <v>1914.23</v>
      </c>
      <c r="II441" s="89">
        <v>0</v>
      </c>
      <c r="IJ441" s="89">
        <f t="shared" si="11384"/>
        <v>0</v>
      </c>
      <c r="IK441" s="89">
        <f t="shared" si="11385"/>
        <v>0</v>
      </c>
      <c r="IL441" s="89">
        <v>0</v>
      </c>
      <c r="IM441" s="89">
        <f t="shared" si="11386"/>
        <v>0</v>
      </c>
      <c r="IN441" s="89">
        <f t="shared" si="11387"/>
        <v>0</v>
      </c>
      <c r="IO441" s="89">
        <v>389</v>
      </c>
      <c r="IP441" s="89">
        <f t="shared" si="11388"/>
        <v>389</v>
      </c>
      <c r="IQ441" s="89">
        <f t="shared" si="11389"/>
        <v>389</v>
      </c>
      <c r="IR441" s="89">
        <v>0</v>
      </c>
      <c r="IS441" s="89">
        <f t="shared" si="11390"/>
        <v>0</v>
      </c>
      <c r="IT441" s="89">
        <f t="shared" si="11391"/>
        <v>0</v>
      </c>
      <c r="IU441" s="89">
        <f>723.2-389</f>
        <v>334.20000000000005</v>
      </c>
      <c r="IV441" s="89">
        <f t="shared" si="11392"/>
        <v>334.20000000000005</v>
      </c>
      <c r="IW441" s="89">
        <f t="shared" si="11393"/>
        <v>334.20000000000005</v>
      </c>
      <c r="IX441" s="89">
        <f>838.73-723.2</f>
        <v>115.52999999999997</v>
      </c>
      <c r="IY441" s="89">
        <f t="shared" si="11394"/>
        <v>115.52999999999997</v>
      </c>
      <c r="IZ441" s="89">
        <f t="shared" si="11395"/>
        <v>115.52999999999997</v>
      </c>
      <c r="JA441" s="89">
        <f>838.73-838.73</f>
        <v>0</v>
      </c>
      <c r="JB441" s="89">
        <f t="shared" si="11396"/>
        <v>0</v>
      </c>
      <c r="JC441" s="89">
        <f t="shared" si="11397"/>
        <v>0</v>
      </c>
      <c r="JD441" s="89">
        <f>1564.23-838.73</f>
        <v>725.5</v>
      </c>
      <c r="JE441" s="89">
        <f t="shared" si="11398"/>
        <v>725.5</v>
      </c>
      <c r="JF441" s="89">
        <f t="shared" si="11399"/>
        <v>725.5</v>
      </c>
      <c r="JG441" s="89">
        <f>1764.23-1564.23</f>
        <v>200</v>
      </c>
      <c r="JH441" s="89">
        <f t="shared" si="11400"/>
        <v>200</v>
      </c>
      <c r="JI441" s="89">
        <f t="shared" si="11401"/>
        <v>200</v>
      </c>
      <c r="JJ441" s="89">
        <f>1914.23-1764.23</f>
        <v>150</v>
      </c>
      <c r="JK441" s="89">
        <f t="shared" si="11402"/>
        <v>150</v>
      </c>
      <c r="JL441" s="89">
        <f t="shared" si="11403"/>
        <v>150</v>
      </c>
      <c r="JM441" s="89">
        <v>0</v>
      </c>
      <c r="JN441" s="89">
        <f t="shared" si="11404"/>
        <v>0</v>
      </c>
      <c r="JO441" s="89">
        <f t="shared" si="11405"/>
        <v>0</v>
      </c>
      <c r="JP441" s="89">
        <v>0</v>
      </c>
      <c r="JQ441" s="89">
        <f t="shared" ref="JQ441:JR441" si="11407">JP441</f>
        <v>0</v>
      </c>
      <c r="JR441" s="89">
        <f t="shared" si="11407"/>
        <v>0</v>
      </c>
      <c r="JS441" s="74">
        <f>HG441-IF441</f>
        <v>721.77</v>
      </c>
      <c r="JT441" s="382">
        <f>GS441-IF441</f>
        <v>721.77</v>
      </c>
      <c r="JU441" s="665"/>
      <c r="JV441" s="524"/>
      <c r="JW441" s="525"/>
      <c r="JX441" s="549">
        <f>SUM(HH441,HJ441,HL441,HN441,HP441,HR441,HT441,HV441,HX441,HZ441,IB441,ID441)</f>
        <v>2636</v>
      </c>
      <c r="JY441" s="549">
        <f>SUM(HI441,HK441,HM441,HO441,HQ441,HS441,HU441,HW441,HY441,IA441,IC441,IE441)</f>
        <v>0</v>
      </c>
      <c r="JZ441" s="581">
        <f t="shared" si="11276"/>
        <v>0</v>
      </c>
      <c r="KA441" s="581">
        <f t="shared" si="11277"/>
        <v>-23964</v>
      </c>
      <c r="KB441" s="549">
        <f t="shared" si="11273"/>
        <v>2636</v>
      </c>
      <c r="KC441" s="709">
        <f t="shared" si="11275"/>
        <v>0</v>
      </c>
      <c r="KD441" s="36"/>
      <c r="KE441" s="36"/>
      <c r="KF441" s="36"/>
      <c r="KG441" s="36"/>
      <c r="KH441" s="36"/>
      <c r="KI441" s="36"/>
      <c r="KJ441" s="36"/>
      <c r="KK441" s="36"/>
    </row>
    <row r="442" spans="1:297" s="10" customFormat="1" ht="12.75" hidden="1" customHeight="1">
      <c r="A442" s="86" t="s">
        <v>1121</v>
      </c>
      <c r="B442" s="77"/>
      <c r="C442" s="74">
        <v>0</v>
      </c>
      <c r="D442" s="549"/>
      <c r="E442" s="675"/>
      <c r="F442" s="549"/>
      <c r="G442" s="675"/>
      <c r="H442" s="549"/>
      <c r="I442" s="675"/>
      <c r="J442" s="549"/>
      <c r="K442" s="675"/>
      <c r="L442" s="549"/>
      <c r="M442" s="675"/>
      <c r="N442" s="549"/>
      <c r="O442" s="675"/>
      <c r="P442" s="549"/>
      <c r="Q442" s="675"/>
      <c r="R442" s="549"/>
      <c r="S442" s="675"/>
      <c r="T442" s="549"/>
      <c r="U442" s="675"/>
      <c r="V442" s="549"/>
      <c r="W442" s="675"/>
      <c r="X442" s="549"/>
      <c r="Y442" s="675"/>
      <c r="Z442" s="549"/>
      <c r="AA442" s="675"/>
      <c r="AB442" s="549"/>
      <c r="AC442" s="675"/>
      <c r="AD442" s="549"/>
      <c r="AE442" s="675"/>
      <c r="AF442" s="549"/>
      <c r="AG442" s="675"/>
      <c r="AH442" s="549"/>
      <c r="AI442" s="675"/>
      <c r="AJ442" s="549"/>
      <c r="AK442" s="675"/>
      <c r="AL442" s="549"/>
      <c r="AM442" s="675"/>
      <c r="AN442" s="549"/>
      <c r="AO442" s="675"/>
      <c r="AP442" s="549"/>
      <c r="AQ442" s="675"/>
      <c r="AR442" s="549"/>
      <c r="AS442" s="675"/>
      <c r="AT442" s="549"/>
      <c r="AU442" s="675"/>
      <c r="AV442" s="549"/>
      <c r="AW442" s="675"/>
      <c r="AX442" s="549"/>
      <c r="AY442" s="675"/>
      <c r="AZ442" s="549"/>
      <c r="BA442" s="675"/>
      <c r="BB442" s="549"/>
      <c r="BC442" s="675"/>
      <c r="BD442" s="549"/>
      <c r="BE442" s="675"/>
      <c r="BF442" s="549"/>
      <c r="BG442" s="675"/>
      <c r="BH442" s="549"/>
      <c r="BI442" s="675"/>
      <c r="BJ442" s="549"/>
      <c r="BK442" s="675"/>
      <c r="BL442" s="549"/>
      <c r="BM442" s="675"/>
      <c r="BN442" s="549"/>
      <c r="BO442" s="675"/>
      <c r="BP442" s="549"/>
      <c r="BQ442" s="675"/>
      <c r="BR442" s="549"/>
      <c r="BS442" s="675"/>
      <c r="BT442" s="549"/>
      <c r="BU442" s="675"/>
      <c r="BV442" s="549"/>
      <c r="BW442" s="675"/>
      <c r="BX442" s="549"/>
      <c r="BY442" s="675"/>
      <c r="BZ442" s="549"/>
      <c r="CA442" s="675"/>
      <c r="CB442" s="549"/>
      <c r="CC442" s="675"/>
      <c r="CD442" s="549"/>
      <c r="CE442" s="675"/>
      <c r="CF442" s="549"/>
      <c r="CG442" s="675"/>
      <c r="CH442" s="549"/>
      <c r="CI442" s="675"/>
      <c r="CJ442" s="549"/>
      <c r="CK442" s="675"/>
      <c r="CL442" s="549"/>
      <c r="CM442" s="675"/>
      <c r="CN442" s="549"/>
      <c r="CO442" s="675"/>
      <c r="CP442" s="549"/>
      <c r="CQ442" s="675"/>
      <c r="CR442" s="549"/>
      <c r="CS442" s="675"/>
      <c r="CT442" s="549"/>
      <c r="CU442" s="675"/>
      <c r="CV442" s="549"/>
      <c r="CW442" s="675"/>
      <c r="CX442" s="549"/>
      <c r="CY442" s="675"/>
      <c r="CZ442" s="549"/>
      <c r="DA442" s="675"/>
      <c r="DB442" s="549"/>
      <c r="DC442" s="675"/>
      <c r="DD442" s="549"/>
      <c r="DE442" s="675"/>
      <c r="DF442" s="549"/>
      <c r="DG442" s="675"/>
      <c r="DH442" s="549"/>
      <c r="DI442" s="675"/>
      <c r="DJ442" s="549"/>
      <c r="DK442" s="675"/>
      <c r="DL442" s="549"/>
      <c r="DM442" s="675"/>
      <c r="DN442" s="549"/>
      <c r="DO442" s="675"/>
      <c r="DP442" s="549"/>
      <c r="DQ442" s="675"/>
      <c r="DR442" s="549"/>
      <c r="DS442" s="675"/>
      <c r="DT442" s="549"/>
      <c r="DU442" s="675"/>
      <c r="DV442" s="549"/>
      <c r="DW442" s="675"/>
      <c r="DX442" s="549"/>
      <c r="DY442" s="675"/>
      <c r="DZ442" s="549"/>
      <c r="EA442" s="675"/>
      <c r="EB442" s="549"/>
      <c r="EC442" s="675"/>
      <c r="ED442" s="549"/>
      <c r="EE442" s="675"/>
      <c r="EF442" s="549"/>
      <c r="EG442" s="675"/>
      <c r="EH442" s="549"/>
      <c r="EI442" s="675"/>
      <c r="EJ442" s="549"/>
      <c r="EK442" s="675"/>
      <c r="EL442" s="549"/>
      <c r="EM442" s="675"/>
      <c r="EN442" s="549"/>
      <c r="EO442" s="675"/>
      <c r="EP442" s="549"/>
      <c r="EQ442" s="675"/>
      <c r="ER442" s="549"/>
      <c r="ES442" s="675"/>
      <c r="ET442" s="549"/>
      <c r="EU442" s="675"/>
      <c r="EV442" s="549"/>
      <c r="EW442" s="675"/>
      <c r="EX442" s="549"/>
      <c r="EY442" s="675"/>
      <c r="EZ442" s="549"/>
      <c r="FA442" s="675"/>
      <c r="FB442" s="549"/>
      <c r="FC442" s="675"/>
      <c r="FD442" s="549"/>
      <c r="FE442" s="675"/>
      <c r="FF442" s="549"/>
      <c r="FG442" s="675"/>
      <c r="FH442" s="549"/>
      <c r="FI442" s="675"/>
      <c r="FJ442" s="549"/>
      <c r="FK442" s="675"/>
      <c r="FL442" s="549"/>
      <c r="FM442" s="675"/>
      <c r="FN442" s="549"/>
      <c r="FO442" s="675"/>
      <c r="FP442" s="549"/>
      <c r="FQ442" s="675"/>
      <c r="FR442" s="549"/>
      <c r="FS442" s="675"/>
      <c r="FT442" s="549"/>
      <c r="FU442" s="675"/>
      <c r="FV442" s="549"/>
      <c r="FW442" s="675"/>
      <c r="FX442" s="549"/>
      <c r="FY442" s="675"/>
      <c r="FZ442" s="549"/>
      <c r="GA442" s="675"/>
      <c r="GB442" s="549"/>
      <c r="GC442" s="675"/>
      <c r="GD442" s="549"/>
      <c r="GE442" s="675"/>
      <c r="GF442" s="549"/>
      <c r="GG442" s="675"/>
      <c r="GH442" s="549"/>
      <c r="GI442" s="675"/>
      <c r="GJ442" s="549"/>
      <c r="GK442" s="675"/>
      <c r="GL442" s="549"/>
      <c r="GM442" s="675"/>
      <c r="GN442" s="549"/>
      <c r="GO442" s="675"/>
      <c r="GP442" s="549">
        <f>+D442+F442+H442+J442+L442+N442+P442+R442+T442+V442+X442+Z442+AB442+AD442+AH442+AJ442+AL442+AN442+AP442+AR442+AT442+AV442+AX442+AZ442+BB442+BD442+BF442+BH442+BJ442+BL442+BN442+BP442+BR442+BT442+BV442+BX442+BZ442+CB442+CD442+CF442+CH442+CJ442+CL442+CN442+CP442+CR442+CT442+CV442+CX442+CZ442+DB442+DD442+DF442+DH442+DT442+EX442+DJ442+DL442+DN442+DP442+DR442+EJ442+EB442+DZ442+DX442+DV442+ED442+EF442+EH442+EL442+EN442+EP442+EV442+ET442+ER442+EZ442+FB442+FD442+GL442+FF442+FJ442+FL442+GJ442+FT442+FR442+FP442+FN442+FH442</f>
        <v>0</v>
      </c>
      <c r="GQ442" s="675">
        <f>+E442+G442+I442+K442+M442+O442+Q442+S442+U442+W442+Y442+AA442+AC442+AE442+AI442+AK442+AM442+AO442+AQ442+AS442+AU442+AW442+AY442+BA442+BC442+BE442+BG442+BI442+BK442+BM442+BO442+BQ442+BS442+BU442+BW442+BY442+CA442+CC442+CE442+CG442+CI442+CK442+CM442+CO442+CQ442+CS442+CU442+CW442+CY442+DA442+DC442+DE442+DG442+DI442+DU442+EY442+DK442+DM442+DO442+DQ442+DS442+EK442+EC442+EA442+DY442+DW442+EI442+EG442+EE442+EM442+EO442+EQ442+EW442+EU442+ES442+FA442+FC442+FE442+GM442+FG442+FK442+FM442+FO442+FQ442+FS442+FU442+GK442+FI442</f>
        <v>0</v>
      </c>
      <c r="GR442" s="74">
        <f>C442+GP442+GQ442</f>
        <v>0</v>
      </c>
      <c r="GS442" s="74">
        <f t="shared" ref="GS442" si="11408">SUM(GU442:HE442)+GP442+GQ442</f>
        <v>0</v>
      </c>
      <c r="GT442" s="568">
        <f t="shared" si="11380"/>
        <v>0</v>
      </c>
      <c r="GU442" s="275"/>
      <c r="GV442" s="275"/>
      <c r="GW442" s="588"/>
      <c r="GX442" s="588"/>
      <c r="GY442" s="275"/>
      <c r="GZ442" s="275"/>
      <c r="HA442" s="275"/>
      <c r="HB442" s="275"/>
      <c r="HC442" s="275"/>
      <c r="HD442" s="275"/>
      <c r="HE442" s="275"/>
      <c r="HF442" s="275"/>
      <c r="HG442" s="74">
        <f>SUM(HH442:IE442)</f>
        <v>0</v>
      </c>
      <c r="HH442" s="89">
        <v>0</v>
      </c>
      <c r="HI442" s="817">
        <v>0</v>
      </c>
      <c r="HJ442" s="89">
        <v>0</v>
      </c>
      <c r="HK442" s="817">
        <v>0</v>
      </c>
      <c r="HL442" s="89">
        <v>0</v>
      </c>
      <c r="HM442" s="817">
        <v>0</v>
      </c>
      <c r="HN442" s="89">
        <v>0</v>
      </c>
      <c r="HO442" s="817">
        <v>0</v>
      </c>
      <c r="HP442" s="89">
        <v>0</v>
      </c>
      <c r="HQ442" s="817">
        <v>0</v>
      </c>
      <c r="HR442" s="89">
        <v>0</v>
      </c>
      <c r="HS442" s="817">
        <v>0</v>
      </c>
      <c r="HT442" s="89">
        <v>0</v>
      </c>
      <c r="HU442" s="817">
        <v>0</v>
      </c>
      <c r="HV442" s="89">
        <v>0</v>
      </c>
      <c r="HW442" s="817">
        <v>0</v>
      </c>
      <c r="HX442" s="89">
        <v>0</v>
      </c>
      <c r="HY442" s="817">
        <v>0</v>
      </c>
      <c r="HZ442" s="89">
        <v>0</v>
      </c>
      <c r="IA442" s="817">
        <v>0</v>
      </c>
      <c r="IB442" s="89">
        <v>0</v>
      </c>
      <c r="IC442" s="817">
        <v>0</v>
      </c>
      <c r="ID442" s="89">
        <v>0</v>
      </c>
      <c r="IE442" s="817">
        <v>0</v>
      </c>
      <c r="IF442" s="841">
        <f t="shared" si="11381"/>
        <v>0</v>
      </c>
      <c r="IG442" s="263">
        <f t="shared" si="11382"/>
        <v>0</v>
      </c>
      <c r="IH442" s="842">
        <f t="shared" si="11383"/>
        <v>0</v>
      </c>
      <c r="II442" s="89">
        <v>0</v>
      </c>
      <c r="IJ442" s="89">
        <f t="shared" si="11384"/>
        <v>0</v>
      </c>
      <c r="IK442" s="89">
        <f t="shared" si="11385"/>
        <v>0</v>
      </c>
      <c r="IL442" s="89">
        <v>0</v>
      </c>
      <c r="IM442" s="89">
        <f t="shared" si="11386"/>
        <v>0</v>
      </c>
      <c r="IN442" s="89">
        <f t="shared" si="11387"/>
        <v>0</v>
      </c>
      <c r="IO442" s="89">
        <v>0</v>
      </c>
      <c r="IP442" s="89">
        <f t="shared" si="11388"/>
        <v>0</v>
      </c>
      <c r="IQ442" s="89">
        <f t="shared" si="11389"/>
        <v>0</v>
      </c>
      <c r="IR442" s="89">
        <v>0</v>
      </c>
      <c r="IS442" s="89">
        <f t="shared" si="11390"/>
        <v>0</v>
      </c>
      <c r="IT442" s="89">
        <f t="shared" si="11391"/>
        <v>0</v>
      </c>
      <c r="IU442" s="89">
        <v>0</v>
      </c>
      <c r="IV442" s="89">
        <f t="shared" si="11392"/>
        <v>0</v>
      </c>
      <c r="IW442" s="89">
        <f t="shared" si="11393"/>
        <v>0</v>
      </c>
      <c r="IX442" s="89">
        <v>0</v>
      </c>
      <c r="IY442" s="89">
        <f t="shared" si="11394"/>
        <v>0</v>
      </c>
      <c r="IZ442" s="89">
        <f t="shared" si="11395"/>
        <v>0</v>
      </c>
      <c r="JA442" s="89">
        <v>0</v>
      </c>
      <c r="JB442" s="89">
        <f t="shared" si="11396"/>
        <v>0</v>
      </c>
      <c r="JC442" s="89">
        <f t="shared" si="11397"/>
        <v>0</v>
      </c>
      <c r="JD442" s="89">
        <v>0</v>
      </c>
      <c r="JE442" s="89">
        <f t="shared" si="11398"/>
        <v>0</v>
      </c>
      <c r="JF442" s="89">
        <f t="shared" si="11399"/>
        <v>0</v>
      </c>
      <c r="JG442" s="89">
        <v>0</v>
      </c>
      <c r="JH442" s="89">
        <f t="shared" si="11400"/>
        <v>0</v>
      </c>
      <c r="JI442" s="89">
        <f t="shared" si="11401"/>
        <v>0</v>
      </c>
      <c r="JJ442" s="89">
        <v>0</v>
      </c>
      <c r="JK442" s="89">
        <f t="shared" si="11402"/>
        <v>0</v>
      </c>
      <c r="JL442" s="89">
        <f t="shared" si="11403"/>
        <v>0</v>
      </c>
      <c r="JM442" s="89">
        <v>0</v>
      </c>
      <c r="JN442" s="89">
        <f t="shared" si="11404"/>
        <v>0</v>
      </c>
      <c r="JO442" s="89">
        <f t="shared" si="11405"/>
        <v>0</v>
      </c>
      <c r="JP442" s="89">
        <v>0</v>
      </c>
      <c r="JQ442" s="89">
        <f t="shared" ref="JQ442:JR442" si="11409">JP442</f>
        <v>0</v>
      </c>
      <c r="JR442" s="89">
        <f t="shared" si="11409"/>
        <v>0</v>
      </c>
      <c r="JS442" s="74">
        <f>HG442-IF442</f>
        <v>0</v>
      </c>
      <c r="JT442" s="382">
        <f>GS442-IF442</f>
        <v>0</v>
      </c>
      <c r="JU442" s="665"/>
      <c r="JV442" s="524"/>
      <c r="JW442" s="525"/>
      <c r="JX442" s="549"/>
      <c r="JY442" s="549"/>
      <c r="JZ442" s="581"/>
      <c r="KA442" s="581"/>
      <c r="KB442" s="549"/>
      <c r="KC442" s="709"/>
      <c r="KD442" s="36"/>
      <c r="KE442" s="36"/>
      <c r="KF442" s="36"/>
      <c r="KG442" s="36"/>
      <c r="KH442" s="36"/>
      <c r="KI442" s="36"/>
      <c r="KJ442" s="36"/>
      <c r="KK442" s="36"/>
    </row>
    <row r="443" spans="1:297" s="10" customFormat="1">
      <c r="A443" s="91"/>
      <c r="B443" s="77"/>
      <c r="C443" s="74"/>
      <c r="D443" s="549"/>
      <c r="E443" s="675"/>
      <c r="F443" s="549"/>
      <c r="G443" s="675"/>
      <c r="H443" s="549"/>
      <c r="I443" s="675"/>
      <c r="J443" s="549"/>
      <c r="K443" s="675"/>
      <c r="L443" s="549"/>
      <c r="M443" s="675"/>
      <c r="N443" s="549"/>
      <c r="O443" s="675"/>
      <c r="P443" s="549"/>
      <c r="Q443" s="675"/>
      <c r="R443" s="549"/>
      <c r="S443" s="675"/>
      <c r="T443" s="549"/>
      <c r="U443" s="675"/>
      <c r="V443" s="549"/>
      <c r="W443" s="675"/>
      <c r="X443" s="549"/>
      <c r="Y443" s="675"/>
      <c r="Z443" s="549"/>
      <c r="AA443" s="675"/>
      <c r="AB443" s="549"/>
      <c r="AC443" s="675"/>
      <c r="AD443" s="549"/>
      <c r="AE443" s="675"/>
      <c r="AF443" s="549"/>
      <c r="AG443" s="675"/>
      <c r="AH443" s="549"/>
      <c r="AI443" s="675"/>
      <c r="AJ443" s="549"/>
      <c r="AK443" s="675"/>
      <c r="AL443" s="549"/>
      <c r="AM443" s="675"/>
      <c r="AN443" s="549"/>
      <c r="AO443" s="675"/>
      <c r="AP443" s="549"/>
      <c r="AQ443" s="675"/>
      <c r="AR443" s="549"/>
      <c r="AS443" s="675"/>
      <c r="AT443" s="549"/>
      <c r="AU443" s="675"/>
      <c r="AV443" s="549"/>
      <c r="AW443" s="675"/>
      <c r="AX443" s="549"/>
      <c r="AY443" s="675"/>
      <c r="AZ443" s="549"/>
      <c r="BA443" s="675"/>
      <c r="BB443" s="549"/>
      <c r="BC443" s="675"/>
      <c r="BD443" s="549"/>
      <c r="BE443" s="675"/>
      <c r="BF443" s="549"/>
      <c r="BG443" s="675"/>
      <c r="BH443" s="549"/>
      <c r="BI443" s="675"/>
      <c r="BJ443" s="549"/>
      <c r="BK443" s="675"/>
      <c r="BL443" s="549"/>
      <c r="BM443" s="675"/>
      <c r="BN443" s="549"/>
      <c r="BO443" s="675"/>
      <c r="BP443" s="549"/>
      <c r="BQ443" s="675"/>
      <c r="BR443" s="549"/>
      <c r="BS443" s="675"/>
      <c r="BT443" s="549"/>
      <c r="BU443" s="675"/>
      <c r="BV443" s="549"/>
      <c r="BW443" s="675"/>
      <c r="BX443" s="549"/>
      <c r="BY443" s="675"/>
      <c r="BZ443" s="549"/>
      <c r="CA443" s="675"/>
      <c r="CB443" s="549"/>
      <c r="CC443" s="675"/>
      <c r="CD443" s="549"/>
      <c r="CE443" s="675"/>
      <c r="CF443" s="549"/>
      <c r="CG443" s="675"/>
      <c r="CH443" s="549"/>
      <c r="CI443" s="675"/>
      <c r="CJ443" s="549"/>
      <c r="CK443" s="675"/>
      <c r="CL443" s="549"/>
      <c r="CM443" s="675"/>
      <c r="CN443" s="549"/>
      <c r="CO443" s="675"/>
      <c r="CP443" s="549"/>
      <c r="CQ443" s="675"/>
      <c r="CR443" s="549"/>
      <c r="CS443" s="675"/>
      <c r="CT443" s="549"/>
      <c r="CU443" s="675"/>
      <c r="CV443" s="549"/>
      <c r="CW443" s="675"/>
      <c r="CX443" s="549"/>
      <c r="CY443" s="675"/>
      <c r="CZ443" s="549"/>
      <c r="DA443" s="675"/>
      <c r="DB443" s="549"/>
      <c r="DC443" s="675"/>
      <c r="DD443" s="549"/>
      <c r="DE443" s="675"/>
      <c r="DF443" s="549"/>
      <c r="DG443" s="675"/>
      <c r="DH443" s="549"/>
      <c r="DI443" s="675"/>
      <c r="DJ443" s="549"/>
      <c r="DK443" s="675"/>
      <c r="DL443" s="549"/>
      <c r="DM443" s="675"/>
      <c r="DN443" s="549"/>
      <c r="DO443" s="675"/>
      <c r="DP443" s="549"/>
      <c r="DQ443" s="675"/>
      <c r="DR443" s="549"/>
      <c r="DS443" s="675"/>
      <c r="DT443" s="549"/>
      <c r="DU443" s="675"/>
      <c r="DV443" s="549"/>
      <c r="DW443" s="675"/>
      <c r="DX443" s="549"/>
      <c r="DY443" s="675"/>
      <c r="DZ443" s="549"/>
      <c r="EA443" s="675"/>
      <c r="EB443" s="549"/>
      <c r="EC443" s="675"/>
      <c r="ED443" s="549"/>
      <c r="EE443" s="675"/>
      <c r="EF443" s="549"/>
      <c r="EG443" s="675"/>
      <c r="EH443" s="549"/>
      <c r="EI443" s="675"/>
      <c r="EJ443" s="549"/>
      <c r="EK443" s="675"/>
      <c r="EL443" s="549"/>
      <c r="EM443" s="675"/>
      <c r="EN443" s="549"/>
      <c r="EO443" s="675"/>
      <c r="EP443" s="549"/>
      <c r="EQ443" s="675"/>
      <c r="ER443" s="549"/>
      <c r="ES443" s="675"/>
      <c r="ET443" s="549"/>
      <c r="EU443" s="675"/>
      <c r="EV443" s="549"/>
      <c r="EW443" s="675"/>
      <c r="EX443" s="549"/>
      <c r="EY443" s="675"/>
      <c r="EZ443" s="549"/>
      <c r="FA443" s="675"/>
      <c r="FB443" s="549"/>
      <c r="FC443" s="675"/>
      <c r="FD443" s="549"/>
      <c r="FE443" s="675"/>
      <c r="FF443" s="549"/>
      <c r="FG443" s="675"/>
      <c r="FH443" s="549"/>
      <c r="FI443" s="675"/>
      <c r="FJ443" s="549"/>
      <c r="FK443" s="675"/>
      <c r="FL443" s="549"/>
      <c r="FM443" s="675"/>
      <c r="FN443" s="549"/>
      <c r="FO443" s="675"/>
      <c r="FP443" s="549"/>
      <c r="FQ443" s="675"/>
      <c r="FR443" s="549"/>
      <c r="FS443" s="675"/>
      <c r="FT443" s="549"/>
      <c r="FU443" s="675"/>
      <c r="FV443" s="549"/>
      <c r="FW443" s="675"/>
      <c r="FX443" s="549"/>
      <c r="FY443" s="675"/>
      <c r="FZ443" s="549"/>
      <c r="GA443" s="675"/>
      <c r="GB443" s="549"/>
      <c r="GC443" s="675"/>
      <c r="GD443" s="549"/>
      <c r="GE443" s="675"/>
      <c r="GF443" s="549"/>
      <c r="GG443" s="675"/>
      <c r="GH443" s="549"/>
      <c r="GI443" s="675"/>
      <c r="GJ443" s="549"/>
      <c r="GK443" s="675"/>
      <c r="GL443" s="549"/>
      <c r="GM443" s="675"/>
      <c r="GN443" s="549"/>
      <c r="GO443" s="675"/>
      <c r="GP443" s="549"/>
      <c r="GQ443" s="675"/>
      <c r="GR443" s="74"/>
      <c r="GS443" s="74"/>
      <c r="GT443" s="549"/>
      <c r="GU443" s="73"/>
      <c r="GV443" s="73"/>
      <c r="GW443" s="549"/>
      <c r="GX443" s="549"/>
      <c r="GY443" s="73"/>
      <c r="GZ443" s="73"/>
      <c r="HA443" s="73"/>
      <c r="HB443" s="73"/>
      <c r="HC443" s="73"/>
      <c r="HD443" s="73"/>
      <c r="HE443" s="73"/>
      <c r="HF443" s="73"/>
      <c r="HG443" s="74"/>
      <c r="HH443" s="73"/>
      <c r="HI443" s="815"/>
      <c r="HJ443" s="73"/>
      <c r="HK443" s="815"/>
      <c r="HL443" s="73"/>
      <c r="HM443" s="815"/>
      <c r="HN443" s="73"/>
      <c r="HO443" s="815"/>
      <c r="HP443" s="73"/>
      <c r="HQ443" s="815"/>
      <c r="HR443" s="73"/>
      <c r="HS443" s="815"/>
      <c r="HT443" s="73"/>
      <c r="HU443" s="815"/>
      <c r="HV443" s="73"/>
      <c r="HW443" s="815"/>
      <c r="HX443" s="73"/>
      <c r="HY443" s="815"/>
      <c r="HZ443" s="73"/>
      <c r="IA443" s="815"/>
      <c r="IB443" s="73"/>
      <c r="IC443" s="815"/>
      <c r="ID443" s="73"/>
      <c r="IE443" s="815"/>
      <c r="IF443" s="841"/>
      <c r="IG443" s="263"/>
      <c r="IH443" s="842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  <c r="JD443" s="73"/>
      <c r="JE443" s="73"/>
      <c r="JF443" s="73"/>
      <c r="JG443" s="73"/>
      <c r="JH443" s="73"/>
      <c r="JI443" s="73"/>
      <c r="JJ443" s="73"/>
      <c r="JK443" s="73"/>
      <c r="JL443" s="73"/>
      <c r="JM443" s="73"/>
      <c r="JN443" s="73"/>
      <c r="JO443" s="73"/>
      <c r="JP443" s="73"/>
      <c r="JQ443" s="73"/>
      <c r="JR443" s="73"/>
      <c r="JS443" s="74"/>
      <c r="JT443" s="382"/>
      <c r="JU443" s="665"/>
      <c r="JV443" s="524"/>
      <c r="JW443" s="525"/>
      <c r="JX443" s="549"/>
      <c r="JY443" s="549"/>
      <c r="JZ443" s="581">
        <f t="shared" si="11276"/>
        <v>0</v>
      </c>
      <c r="KA443" s="581">
        <f t="shared" si="11277"/>
        <v>0</v>
      </c>
      <c r="KB443" s="549">
        <f t="shared" si="11273"/>
        <v>0</v>
      </c>
      <c r="KC443" s="709">
        <f t="shared" si="11275"/>
        <v>0</v>
      </c>
      <c r="KD443" s="36"/>
      <c r="KE443" s="36"/>
      <c r="KF443" s="36"/>
      <c r="KG443" s="36"/>
      <c r="KH443" s="36"/>
      <c r="KI443" s="36"/>
      <c r="KJ443" s="36"/>
      <c r="KK443" s="36"/>
    </row>
    <row r="444" spans="1:297" s="8" customFormat="1">
      <c r="A444" s="80" t="s">
        <v>263</v>
      </c>
      <c r="B444" s="72" t="s">
        <v>132</v>
      </c>
      <c r="C444" s="74">
        <f t="shared" ref="C444:AO444" si="11410">SUM(C445:C449)</f>
        <v>40000</v>
      </c>
      <c r="D444" s="549">
        <f t="shared" si="11410"/>
        <v>0</v>
      </c>
      <c r="E444" s="675">
        <f t="shared" si="11410"/>
        <v>0</v>
      </c>
      <c r="F444" s="549">
        <f t="shared" si="11410"/>
        <v>0</v>
      </c>
      <c r="G444" s="675">
        <f t="shared" si="11410"/>
        <v>0</v>
      </c>
      <c r="H444" s="549">
        <f t="shared" si="11410"/>
        <v>0</v>
      </c>
      <c r="I444" s="675">
        <f t="shared" si="11410"/>
        <v>0</v>
      </c>
      <c r="J444" s="549">
        <f t="shared" si="11410"/>
        <v>0</v>
      </c>
      <c r="K444" s="675">
        <f t="shared" si="11410"/>
        <v>0</v>
      </c>
      <c r="L444" s="549">
        <f t="shared" si="11410"/>
        <v>0</v>
      </c>
      <c r="M444" s="675">
        <f t="shared" si="11410"/>
        <v>0</v>
      </c>
      <c r="N444" s="549">
        <f t="shared" si="11410"/>
        <v>0</v>
      </c>
      <c r="O444" s="675">
        <f t="shared" si="11410"/>
        <v>0</v>
      </c>
      <c r="P444" s="549">
        <f t="shared" si="11410"/>
        <v>0</v>
      </c>
      <c r="Q444" s="675">
        <f t="shared" si="11410"/>
        <v>0</v>
      </c>
      <c r="R444" s="549">
        <f t="shared" si="11410"/>
        <v>0</v>
      </c>
      <c r="S444" s="675">
        <f t="shared" si="11410"/>
        <v>0</v>
      </c>
      <c r="T444" s="549">
        <f t="shared" si="11410"/>
        <v>0</v>
      </c>
      <c r="U444" s="675">
        <f t="shared" si="11410"/>
        <v>0</v>
      </c>
      <c r="V444" s="549">
        <f t="shared" si="11410"/>
        <v>0</v>
      </c>
      <c r="W444" s="675">
        <f t="shared" si="11410"/>
        <v>-10000</v>
      </c>
      <c r="X444" s="549">
        <f t="shared" si="11410"/>
        <v>0</v>
      </c>
      <c r="Y444" s="675">
        <f t="shared" si="11410"/>
        <v>0</v>
      </c>
      <c r="Z444" s="549">
        <f t="shared" si="11410"/>
        <v>0</v>
      </c>
      <c r="AA444" s="675">
        <f t="shared" si="11410"/>
        <v>0</v>
      </c>
      <c r="AB444" s="549">
        <f t="shared" si="11410"/>
        <v>0</v>
      </c>
      <c r="AC444" s="675">
        <f t="shared" si="11410"/>
        <v>0</v>
      </c>
      <c r="AD444" s="549">
        <f t="shared" si="11410"/>
        <v>0</v>
      </c>
      <c r="AE444" s="675">
        <f t="shared" si="11410"/>
        <v>0</v>
      </c>
      <c r="AF444" s="549">
        <f t="shared" si="11410"/>
        <v>0</v>
      </c>
      <c r="AG444" s="675">
        <f t="shared" si="11410"/>
        <v>-3000</v>
      </c>
      <c r="AH444" s="549">
        <f t="shared" si="11410"/>
        <v>0</v>
      </c>
      <c r="AI444" s="675">
        <f t="shared" si="11410"/>
        <v>0</v>
      </c>
      <c r="AJ444" s="549">
        <f t="shared" si="11410"/>
        <v>0</v>
      </c>
      <c r="AK444" s="675">
        <f t="shared" si="11410"/>
        <v>0</v>
      </c>
      <c r="AL444" s="549">
        <f t="shared" si="11410"/>
        <v>0</v>
      </c>
      <c r="AM444" s="675">
        <f t="shared" si="11410"/>
        <v>0</v>
      </c>
      <c r="AN444" s="549">
        <f t="shared" si="11410"/>
        <v>0</v>
      </c>
      <c r="AO444" s="675">
        <f t="shared" si="11410"/>
        <v>0</v>
      </c>
      <c r="AP444" s="549">
        <f t="shared" ref="AP444:AS444" si="11411">SUM(AP445:AP449)</f>
        <v>0</v>
      </c>
      <c r="AQ444" s="675">
        <f t="shared" si="11411"/>
        <v>0</v>
      </c>
      <c r="AR444" s="549">
        <f t="shared" si="11411"/>
        <v>0</v>
      </c>
      <c r="AS444" s="675">
        <f t="shared" si="11411"/>
        <v>0</v>
      </c>
      <c r="AT444" s="549">
        <f t="shared" ref="AT444:AU444" si="11412">SUM(AT445:AT449)</f>
        <v>0</v>
      </c>
      <c r="AU444" s="675">
        <f t="shared" si="11412"/>
        <v>0</v>
      </c>
      <c r="AV444" s="549">
        <f t="shared" ref="AV444:AW444" si="11413">SUM(AV445:AV449)</f>
        <v>0</v>
      </c>
      <c r="AW444" s="675">
        <f t="shared" si="11413"/>
        <v>0</v>
      </c>
      <c r="AX444" s="549">
        <f t="shared" ref="AX444:AY444" si="11414">SUM(AX445:AX449)</f>
        <v>0</v>
      </c>
      <c r="AY444" s="675">
        <f t="shared" si="11414"/>
        <v>0</v>
      </c>
      <c r="AZ444" s="549">
        <f t="shared" ref="AZ444:BA444" si="11415">SUM(AZ445:AZ449)</f>
        <v>0</v>
      </c>
      <c r="BA444" s="675">
        <f t="shared" si="11415"/>
        <v>-8000</v>
      </c>
      <c r="BB444" s="549">
        <f t="shared" ref="BB444:BC444" si="11416">SUM(BB445:BB449)</f>
        <v>0</v>
      </c>
      <c r="BC444" s="675">
        <f t="shared" si="11416"/>
        <v>0</v>
      </c>
      <c r="BD444" s="549">
        <f t="shared" ref="BD444:BE444" si="11417">SUM(BD445:BD449)</f>
        <v>0</v>
      </c>
      <c r="BE444" s="675">
        <f t="shared" si="11417"/>
        <v>0</v>
      </c>
      <c r="BF444" s="549">
        <f t="shared" ref="BF444:BG444" si="11418">SUM(BF445:BF449)</f>
        <v>0</v>
      </c>
      <c r="BG444" s="675">
        <f t="shared" si="11418"/>
        <v>0</v>
      </c>
      <c r="BH444" s="549">
        <f t="shared" ref="BH444:BI444" si="11419">SUM(BH445:BH449)</f>
        <v>0</v>
      </c>
      <c r="BI444" s="675">
        <f t="shared" si="11419"/>
        <v>0</v>
      </c>
      <c r="BJ444" s="549">
        <f t="shared" ref="BJ444:BK444" si="11420">SUM(BJ445:BJ449)</f>
        <v>0</v>
      </c>
      <c r="BK444" s="675">
        <f t="shared" si="11420"/>
        <v>0</v>
      </c>
      <c r="BL444" s="549">
        <f t="shared" ref="BL444:BS444" si="11421">SUM(BL445:BL449)</f>
        <v>0</v>
      </c>
      <c r="BM444" s="675">
        <f t="shared" si="11421"/>
        <v>0</v>
      </c>
      <c r="BN444" s="549">
        <f t="shared" si="11421"/>
        <v>0</v>
      </c>
      <c r="BO444" s="675">
        <f t="shared" si="11421"/>
        <v>0</v>
      </c>
      <c r="BP444" s="549">
        <f t="shared" si="11421"/>
        <v>0</v>
      </c>
      <c r="BQ444" s="675">
        <f t="shared" si="11421"/>
        <v>0</v>
      </c>
      <c r="BR444" s="549">
        <f t="shared" si="11421"/>
        <v>0</v>
      </c>
      <c r="BS444" s="675">
        <f t="shared" si="11421"/>
        <v>0</v>
      </c>
      <c r="BT444" s="549">
        <f t="shared" ref="BT444:BU444" si="11422">SUM(BT445:BT449)</f>
        <v>0</v>
      </c>
      <c r="BU444" s="675">
        <f t="shared" si="11422"/>
        <v>0</v>
      </c>
      <c r="BV444" s="549">
        <f t="shared" ref="BV444:BW444" si="11423">SUM(BV445:BV449)</f>
        <v>0</v>
      </c>
      <c r="BW444" s="675">
        <f t="shared" si="11423"/>
        <v>0</v>
      </c>
      <c r="BX444" s="549">
        <f t="shared" ref="BX444:BY444" si="11424">SUM(BX445:BX449)</f>
        <v>0</v>
      </c>
      <c r="BY444" s="675">
        <f t="shared" si="11424"/>
        <v>0</v>
      </c>
      <c r="BZ444" s="549">
        <f t="shared" ref="BZ444:CA444" si="11425">SUM(BZ445:BZ449)</f>
        <v>0</v>
      </c>
      <c r="CA444" s="675">
        <f t="shared" si="11425"/>
        <v>0</v>
      </c>
      <c r="CB444" s="549">
        <f t="shared" ref="CB444:CE444" si="11426">SUM(CB445:CB449)</f>
        <v>0</v>
      </c>
      <c r="CC444" s="675">
        <f t="shared" si="11426"/>
        <v>0</v>
      </c>
      <c r="CD444" s="549">
        <f t="shared" si="11426"/>
        <v>0</v>
      </c>
      <c r="CE444" s="675">
        <f t="shared" si="11426"/>
        <v>0</v>
      </c>
      <c r="CF444" s="549">
        <f t="shared" ref="CF444:CQ444" si="11427">SUM(CF445:CF449)</f>
        <v>0</v>
      </c>
      <c r="CG444" s="675">
        <f t="shared" si="11427"/>
        <v>0</v>
      </c>
      <c r="CH444" s="549">
        <f t="shared" si="11427"/>
        <v>0</v>
      </c>
      <c r="CI444" s="675">
        <f t="shared" si="11427"/>
        <v>0</v>
      </c>
      <c r="CJ444" s="549">
        <f t="shared" si="11427"/>
        <v>0</v>
      </c>
      <c r="CK444" s="675">
        <f t="shared" si="11427"/>
        <v>-7036</v>
      </c>
      <c r="CL444" s="549">
        <f t="shared" si="11427"/>
        <v>1000</v>
      </c>
      <c r="CM444" s="675">
        <f t="shared" si="11427"/>
        <v>-3000</v>
      </c>
      <c r="CN444" s="549">
        <f t="shared" si="11427"/>
        <v>0</v>
      </c>
      <c r="CO444" s="675">
        <f t="shared" si="11427"/>
        <v>0</v>
      </c>
      <c r="CP444" s="549">
        <f t="shared" si="11427"/>
        <v>0</v>
      </c>
      <c r="CQ444" s="675">
        <f t="shared" si="11427"/>
        <v>0</v>
      </c>
      <c r="CR444" s="549">
        <f t="shared" ref="CR444:CY444" si="11428">SUM(CR445:CR449)</f>
        <v>0</v>
      </c>
      <c r="CS444" s="675">
        <f t="shared" si="11428"/>
        <v>0</v>
      </c>
      <c r="CT444" s="549">
        <f t="shared" si="11428"/>
        <v>0</v>
      </c>
      <c r="CU444" s="675">
        <f t="shared" si="11428"/>
        <v>0</v>
      </c>
      <c r="CV444" s="549">
        <f t="shared" si="11428"/>
        <v>0</v>
      </c>
      <c r="CW444" s="675">
        <f t="shared" si="11428"/>
        <v>0</v>
      </c>
      <c r="CX444" s="549">
        <f t="shared" si="11428"/>
        <v>0</v>
      </c>
      <c r="CY444" s="675">
        <f t="shared" si="11428"/>
        <v>0</v>
      </c>
      <c r="CZ444" s="549">
        <f t="shared" ref="CZ444:DG444" si="11429">SUM(CZ445:CZ449)</f>
        <v>0</v>
      </c>
      <c r="DA444" s="675">
        <f t="shared" si="11429"/>
        <v>0</v>
      </c>
      <c r="DB444" s="549">
        <f t="shared" si="11429"/>
        <v>0</v>
      </c>
      <c r="DC444" s="675">
        <f t="shared" si="11429"/>
        <v>0</v>
      </c>
      <c r="DD444" s="549">
        <f t="shared" si="11429"/>
        <v>0</v>
      </c>
      <c r="DE444" s="675">
        <f t="shared" si="11429"/>
        <v>0</v>
      </c>
      <c r="DF444" s="549">
        <f t="shared" si="11429"/>
        <v>0</v>
      </c>
      <c r="DG444" s="675">
        <f t="shared" si="11429"/>
        <v>0</v>
      </c>
      <c r="DH444" s="549">
        <f t="shared" ref="DH444:DY444" si="11430">SUM(DH445:DH449)</f>
        <v>0</v>
      </c>
      <c r="DI444" s="675">
        <f t="shared" si="11430"/>
        <v>0</v>
      </c>
      <c r="DJ444" s="549">
        <f t="shared" si="11430"/>
        <v>0</v>
      </c>
      <c r="DK444" s="675">
        <f t="shared" si="11430"/>
        <v>-1000</v>
      </c>
      <c r="DL444" s="549">
        <f t="shared" si="11430"/>
        <v>0</v>
      </c>
      <c r="DM444" s="675">
        <f t="shared" si="11430"/>
        <v>0</v>
      </c>
      <c r="DN444" s="549">
        <f t="shared" si="11430"/>
        <v>0</v>
      </c>
      <c r="DO444" s="675">
        <f t="shared" si="11430"/>
        <v>0</v>
      </c>
      <c r="DP444" s="549">
        <f t="shared" si="11430"/>
        <v>0</v>
      </c>
      <c r="DQ444" s="675">
        <f t="shared" si="11430"/>
        <v>0</v>
      </c>
      <c r="DR444" s="549">
        <f t="shared" si="11430"/>
        <v>0</v>
      </c>
      <c r="DS444" s="675">
        <f t="shared" si="11430"/>
        <v>0</v>
      </c>
      <c r="DT444" s="549">
        <f t="shared" si="11430"/>
        <v>0</v>
      </c>
      <c r="DU444" s="675">
        <f t="shared" si="11430"/>
        <v>0</v>
      </c>
      <c r="DV444" s="549">
        <f t="shared" si="11430"/>
        <v>0</v>
      </c>
      <c r="DW444" s="675">
        <f t="shared" si="11430"/>
        <v>0</v>
      </c>
      <c r="DX444" s="549">
        <f t="shared" si="11430"/>
        <v>0</v>
      </c>
      <c r="DY444" s="675">
        <f t="shared" si="11430"/>
        <v>0</v>
      </c>
      <c r="DZ444" s="549">
        <f t="shared" ref="DZ444:FA444" si="11431">SUM(DZ445:DZ449)</f>
        <v>0</v>
      </c>
      <c r="EA444" s="675">
        <f t="shared" si="11431"/>
        <v>0</v>
      </c>
      <c r="EB444" s="549">
        <f t="shared" si="11431"/>
        <v>0</v>
      </c>
      <c r="EC444" s="675">
        <f t="shared" si="11431"/>
        <v>0</v>
      </c>
      <c r="ED444" s="549">
        <f t="shared" si="11431"/>
        <v>0</v>
      </c>
      <c r="EE444" s="675">
        <f t="shared" si="11431"/>
        <v>0</v>
      </c>
      <c r="EF444" s="549">
        <f t="shared" si="11431"/>
        <v>0</v>
      </c>
      <c r="EG444" s="675">
        <f t="shared" si="11431"/>
        <v>0</v>
      </c>
      <c r="EH444" s="549">
        <f t="shared" ref="EH444:EM444" si="11432">SUM(EH445:EH449)</f>
        <v>0</v>
      </c>
      <c r="EI444" s="675">
        <f t="shared" si="11432"/>
        <v>0</v>
      </c>
      <c r="EJ444" s="549">
        <f t="shared" si="11432"/>
        <v>0</v>
      </c>
      <c r="EK444" s="675">
        <f t="shared" si="11432"/>
        <v>0</v>
      </c>
      <c r="EL444" s="549">
        <f t="shared" si="11432"/>
        <v>0</v>
      </c>
      <c r="EM444" s="675">
        <f t="shared" si="11432"/>
        <v>0</v>
      </c>
      <c r="EN444" s="549">
        <f t="shared" si="11431"/>
        <v>0</v>
      </c>
      <c r="EO444" s="675">
        <f t="shared" si="11431"/>
        <v>0</v>
      </c>
      <c r="EP444" s="549">
        <f t="shared" si="11431"/>
        <v>0</v>
      </c>
      <c r="EQ444" s="675">
        <f t="shared" si="11431"/>
        <v>0</v>
      </c>
      <c r="ER444" s="549">
        <f t="shared" si="11431"/>
        <v>0</v>
      </c>
      <c r="ES444" s="675">
        <f t="shared" si="11431"/>
        <v>0</v>
      </c>
      <c r="ET444" s="549">
        <f t="shared" si="11431"/>
        <v>0</v>
      </c>
      <c r="EU444" s="675">
        <f t="shared" si="11431"/>
        <v>0</v>
      </c>
      <c r="EV444" s="549">
        <f t="shared" ref="EV444:EW444" si="11433">SUM(EV445:EV449)</f>
        <v>0</v>
      </c>
      <c r="EW444" s="675">
        <f t="shared" si="11433"/>
        <v>-803</v>
      </c>
      <c r="EX444" s="549">
        <f t="shared" si="11431"/>
        <v>0</v>
      </c>
      <c r="EY444" s="675">
        <f t="shared" si="11431"/>
        <v>0</v>
      </c>
      <c r="EZ444" s="549">
        <f t="shared" si="11431"/>
        <v>0</v>
      </c>
      <c r="FA444" s="675">
        <f t="shared" si="11431"/>
        <v>0</v>
      </c>
      <c r="FB444" s="549">
        <f t="shared" ref="FB444:FC444" si="11434">SUM(FB445:FB449)</f>
        <v>0</v>
      </c>
      <c r="FC444" s="675">
        <f t="shared" si="11434"/>
        <v>0</v>
      </c>
      <c r="FD444" s="549">
        <f t="shared" ref="FD444:FE444" si="11435">SUM(FD445:FD449)</f>
        <v>0</v>
      </c>
      <c r="FE444" s="675">
        <f t="shared" si="11435"/>
        <v>0</v>
      </c>
      <c r="FF444" s="549">
        <f t="shared" ref="FF444:FG444" si="11436">SUM(FF445:FF449)</f>
        <v>0</v>
      </c>
      <c r="FG444" s="675">
        <f t="shared" si="11436"/>
        <v>0</v>
      </c>
      <c r="FH444" s="549">
        <f t="shared" ref="FH444:FI444" si="11437">SUM(FH445:FH449)</f>
        <v>0</v>
      </c>
      <c r="FI444" s="675">
        <f t="shared" si="11437"/>
        <v>0</v>
      </c>
      <c r="FJ444" s="549">
        <f t="shared" ref="FJ444:FK444" si="11438">SUM(FJ445:FJ449)</f>
        <v>0</v>
      </c>
      <c r="FK444" s="675">
        <f t="shared" si="11438"/>
        <v>0</v>
      </c>
      <c r="FL444" s="549">
        <f t="shared" ref="FL444:FM444" si="11439">SUM(FL445:FL449)</f>
        <v>0</v>
      </c>
      <c r="FM444" s="675">
        <f t="shared" si="11439"/>
        <v>-877</v>
      </c>
      <c r="FN444" s="549">
        <f t="shared" ref="FN444:FO444" si="11440">SUM(FN445:FN449)</f>
        <v>0</v>
      </c>
      <c r="FO444" s="675">
        <f t="shared" si="11440"/>
        <v>0</v>
      </c>
      <c r="FP444" s="549">
        <f t="shared" ref="FP444:FQ444" si="11441">SUM(FP445:FP449)</f>
        <v>0</v>
      </c>
      <c r="FQ444" s="675">
        <f t="shared" si="11441"/>
        <v>0</v>
      </c>
      <c r="FR444" s="549">
        <f t="shared" ref="FR444:FS444" si="11442">SUM(FR445:FR449)</f>
        <v>0</v>
      </c>
      <c r="FS444" s="675">
        <f t="shared" si="11442"/>
        <v>-300</v>
      </c>
      <c r="FT444" s="549">
        <f t="shared" ref="FT444:FU444" si="11443">SUM(FT445:FT449)</f>
        <v>0</v>
      </c>
      <c r="FU444" s="675">
        <f t="shared" si="11443"/>
        <v>0</v>
      </c>
      <c r="FV444" s="549">
        <f t="shared" ref="FV444:GK444" si="11444">SUM(FV445:FV449)</f>
        <v>0</v>
      </c>
      <c r="FW444" s="675">
        <f t="shared" si="11444"/>
        <v>0</v>
      </c>
      <c r="FX444" s="549">
        <f t="shared" si="11444"/>
        <v>0</v>
      </c>
      <c r="FY444" s="675">
        <f t="shared" si="11444"/>
        <v>0</v>
      </c>
      <c r="FZ444" s="549">
        <f t="shared" ref="FZ444:GI444" si="11445">SUM(FZ445:FZ449)</f>
        <v>0</v>
      </c>
      <c r="GA444" s="675">
        <f t="shared" si="11445"/>
        <v>0</v>
      </c>
      <c r="GB444" s="549">
        <f t="shared" si="11445"/>
        <v>0</v>
      </c>
      <c r="GC444" s="675">
        <f t="shared" si="11445"/>
        <v>0</v>
      </c>
      <c r="GD444" s="549">
        <f t="shared" si="11445"/>
        <v>0</v>
      </c>
      <c r="GE444" s="675">
        <f t="shared" si="11445"/>
        <v>0</v>
      </c>
      <c r="GF444" s="549">
        <f t="shared" si="11445"/>
        <v>0</v>
      </c>
      <c r="GG444" s="675">
        <f t="shared" si="11445"/>
        <v>0</v>
      </c>
      <c r="GH444" s="549">
        <f t="shared" si="11445"/>
        <v>0</v>
      </c>
      <c r="GI444" s="675">
        <f t="shared" si="11445"/>
        <v>0</v>
      </c>
      <c r="GJ444" s="549">
        <f t="shared" si="11444"/>
        <v>0</v>
      </c>
      <c r="GK444" s="675">
        <f t="shared" si="11444"/>
        <v>0</v>
      </c>
      <c r="GL444" s="549">
        <f t="shared" ref="GL444:GQ444" si="11446">SUM(GL445:GL449)</f>
        <v>0</v>
      </c>
      <c r="GM444" s="675">
        <f t="shared" si="11446"/>
        <v>0</v>
      </c>
      <c r="GN444" s="549">
        <f t="shared" ref="GN444:GO444" si="11447">SUM(GN445:GN449)</f>
        <v>0</v>
      </c>
      <c r="GO444" s="675">
        <f t="shared" si="11447"/>
        <v>0</v>
      </c>
      <c r="GP444" s="549">
        <f t="shared" si="11446"/>
        <v>1000</v>
      </c>
      <c r="GQ444" s="675">
        <f t="shared" si="11446"/>
        <v>-34016</v>
      </c>
      <c r="GR444" s="74">
        <f t="shared" ref="GR444:HW444" si="11448">SUM(GR445:GR449)</f>
        <v>6984</v>
      </c>
      <c r="GS444" s="74">
        <f t="shared" si="11448"/>
        <v>6984</v>
      </c>
      <c r="GT444" s="74">
        <f t="shared" si="11448"/>
        <v>6984</v>
      </c>
      <c r="GU444" s="74">
        <f t="shared" si="11448"/>
        <v>16000</v>
      </c>
      <c r="GV444" s="74">
        <f t="shared" si="11448"/>
        <v>3000</v>
      </c>
      <c r="GW444" s="74">
        <f t="shared" si="11448"/>
        <v>10000</v>
      </c>
      <c r="GX444" s="74">
        <f t="shared" si="11448"/>
        <v>6000</v>
      </c>
      <c r="GY444" s="74">
        <f t="shared" si="11448"/>
        <v>0</v>
      </c>
      <c r="GZ444" s="74">
        <f t="shared" si="11448"/>
        <v>0</v>
      </c>
      <c r="HA444" s="74">
        <f t="shared" si="11448"/>
        <v>5000</v>
      </c>
      <c r="HB444" s="74">
        <f t="shared" si="11448"/>
        <v>0</v>
      </c>
      <c r="HC444" s="74">
        <f t="shared" si="11448"/>
        <v>0</v>
      </c>
      <c r="HD444" s="74">
        <f t="shared" si="11448"/>
        <v>0</v>
      </c>
      <c r="HE444" s="74">
        <f t="shared" si="11448"/>
        <v>0</v>
      </c>
      <c r="HF444" s="74">
        <f t="shared" si="11448"/>
        <v>0</v>
      </c>
      <c r="HG444" s="74">
        <f t="shared" si="11448"/>
        <v>6984</v>
      </c>
      <c r="HH444" s="74">
        <f t="shared" si="11448"/>
        <v>16000</v>
      </c>
      <c r="HI444" s="792">
        <f t="shared" si="11448"/>
        <v>0</v>
      </c>
      <c r="HJ444" s="74">
        <f t="shared" si="11448"/>
        <v>3000</v>
      </c>
      <c r="HK444" s="792">
        <f t="shared" si="11448"/>
        <v>0</v>
      </c>
      <c r="HL444" s="74">
        <f t="shared" si="11448"/>
        <v>-5000</v>
      </c>
      <c r="HM444" s="792">
        <f t="shared" si="11448"/>
        <v>0</v>
      </c>
      <c r="HN444" s="74">
        <f t="shared" si="11448"/>
        <v>6000</v>
      </c>
      <c r="HO444" s="792">
        <f t="shared" si="11448"/>
        <v>0</v>
      </c>
      <c r="HP444" s="74">
        <f t="shared" si="11448"/>
        <v>-6000</v>
      </c>
      <c r="HQ444" s="792">
        <f t="shared" si="11448"/>
        <v>0</v>
      </c>
      <c r="HR444" s="74">
        <f t="shared" si="11448"/>
        <v>0</v>
      </c>
      <c r="HS444" s="792">
        <f t="shared" si="11448"/>
        <v>0</v>
      </c>
      <c r="HT444" s="74">
        <f t="shared" si="11448"/>
        <v>-4036</v>
      </c>
      <c r="HU444" s="792">
        <f t="shared" si="11448"/>
        <v>0</v>
      </c>
      <c r="HV444" s="74">
        <f t="shared" si="11448"/>
        <v>-1000</v>
      </c>
      <c r="HW444" s="792">
        <f t="shared" si="11448"/>
        <v>0</v>
      </c>
      <c r="HX444" s="74">
        <f t="shared" ref="HX444:HY444" si="11449">SUM(HX445:HX449)</f>
        <v>-803</v>
      </c>
      <c r="HY444" s="792">
        <f t="shared" si="11449"/>
        <v>0</v>
      </c>
      <c r="HZ444" s="74">
        <f t="shared" ref="HZ444:IA444" si="11450">SUM(HZ445:HZ449)</f>
        <v>-1177</v>
      </c>
      <c r="IA444" s="792">
        <f t="shared" si="11450"/>
        <v>0</v>
      </c>
      <c r="IB444" s="74">
        <f t="shared" ref="IB444:IC444" si="11451">SUM(IB445:IB449)</f>
        <v>0</v>
      </c>
      <c r="IC444" s="792">
        <f t="shared" si="11451"/>
        <v>0</v>
      </c>
      <c r="ID444" s="74">
        <f t="shared" ref="ID444:JY444" si="11452">SUM(ID445:ID449)</f>
        <v>0</v>
      </c>
      <c r="IE444" s="792">
        <f t="shared" si="11452"/>
        <v>0</v>
      </c>
      <c r="IF444" s="841">
        <f>SUM(IF445:IF449)</f>
        <v>6903.7</v>
      </c>
      <c r="IG444" s="263">
        <f t="shared" si="11452"/>
        <v>6903.7</v>
      </c>
      <c r="IH444" s="842">
        <f t="shared" si="11452"/>
        <v>6903.7</v>
      </c>
      <c r="II444" s="74">
        <f t="shared" ref="II444:IK444" si="11453">SUM(II445:II449)</f>
        <v>185.04</v>
      </c>
      <c r="IJ444" s="74">
        <f t="shared" si="11453"/>
        <v>185.04</v>
      </c>
      <c r="IK444" s="74">
        <f t="shared" si="11453"/>
        <v>185.04</v>
      </c>
      <c r="IL444" s="74">
        <f t="shared" ref="IL444:IN444" si="11454">SUM(IL445:IL449)</f>
        <v>108.97</v>
      </c>
      <c r="IM444" s="74">
        <f t="shared" si="11454"/>
        <v>108.97</v>
      </c>
      <c r="IN444" s="74">
        <f t="shared" si="11454"/>
        <v>108.97</v>
      </c>
      <c r="IO444" s="74">
        <f t="shared" ref="IO444:IQ444" si="11455">SUM(IO445:IO449)</f>
        <v>2328</v>
      </c>
      <c r="IP444" s="74">
        <f t="shared" si="11455"/>
        <v>2328</v>
      </c>
      <c r="IQ444" s="74">
        <f t="shared" si="11455"/>
        <v>2328</v>
      </c>
      <c r="IR444" s="74">
        <f t="shared" ref="IR444:IT444" si="11456">SUM(IR445:IR449)</f>
        <v>331.20000000000016</v>
      </c>
      <c r="IS444" s="74">
        <f t="shared" si="11456"/>
        <v>331.20000000000016</v>
      </c>
      <c r="IT444" s="74">
        <f t="shared" si="11456"/>
        <v>331.20000000000016</v>
      </c>
      <c r="IU444" s="74">
        <f t="shared" ref="IU444:IW444" si="11457">SUM(IU445:IU449)</f>
        <v>414.75</v>
      </c>
      <c r="IV444" s="74">
        <f t="shared" si="11457"/>
        <v>414.75</v>
      </c>
      <c r="IW444" s="74">
        <f t="shared" si="11457"/>
        <v>414.75</v>
      </c>
      <c r="IX444" s="74">
        <f t="shared" ref="IX444:IZ444" si="11458">SUM(IX445:IX449)</f>
        <v>998.99999999999977</v>
      </c>
      <c r="IY444" s="74">
        <f t="shared" si="11458"/>
        <v>998.99999999999977</v>
      </c>
      <c r="IZ444" s="74">
        <f t="shared" si="11458"/>
        <v>998.99999999999977</v>
      </c>
      <c r="JA444" s="74">
        <f t="shared" ref="JA444:JC444" si="11459">SUM(JA445:JA449)</f>
        <v>168.91999999999996</v>
      </c>
      <c r="JB444" s="74">
        <f t="shared" si="11459"/>
        <v>168.91999999999996</v>
      </c>
      <c r="JC444" s="74">
        <f t="shared" si="11459"/>
        <v>168.91999999999996</v>
      </c>
      <c r="JD444" s="74">
        <f t="shared" ref="JD444:JF444" si="11460">SUM(JD445:JD449)</f>
        <v>1022.8200000000002</v>
      </c>
      <c r="JE444" s="74">
        <f t="shared" si="11460"/>
        <v>1022.8200000000002</v>
      </c>
      <c r="JF444" s="74">
        <f t="shared" si="11460"/>
        <v>1022.8200000000002</v>
      </c>
      <c r="JG444" s="74">
        <f t="shared" ref="JG444:JI444" si="11461">SUM(JG445:JG449)</f>
        <v>175</v>
      </c>
      <c r="JH444" s="74">
        <f t="shared" si="11461"/>
        <v>175</v>
      </c>
      <c r="JI444" s="74">
        <f t="shared" si="11461"/>
        <v>175</v>
      </c>
      <c r="JJ444" s="74">
        <f t="shared" ref="JJ444:JL444" si="11462">SUM(JJ445:JJ449)</f>
        <v>1170</v>
      </c>
      <c r="JK444" s="74">
        <f t="shared" si="11462"/>
        <v>1170</v>
      </c>
      <c r="JL444" s="74">
        <f t="shared" si="11462"/>
        <v>1170</v>
      </c>
      <c r="JM444" s="74">
        <f t="shared" ref="JM444:JO444" si="11463">SUM(JM445:JM449)</f>
        <v>0</v>
      </c>
      <c r="JN444" s="74">
        <f t="shared" si="11463"/>
        <v>0</v>
      </c>
      <c r="JO444" s="74">
        <f t="shared" si="11463"/>
        <v>0</v>
      </c>
      <c r="JP444" s="74">
        <f t="shared" si="11452"/>
        <v>0</v>
      </c>
      <c r="JQ444" s="74">
        <f t="shared" si="11452"/>
        <v>0</v>
      </c>
      <c r="JR444" s="74">
        <f t="shared" si="11452"/>
        <v>0</v>
      </c>
      <c r="JS444" s="74">
        <f>SUM(JS445:JS449)</f>
        <v>80.299999999999955</v>
      </c>
      <c r="JT444" s="102">
        <f>SUM(JT445:JT449)</f>
        <v>80.299999999999955</v>
      </c>
      <c r="JU444" s="665"/>
      <c r="JV444" s="524"/>
      <c r="JW444" s="525"/>
      <c r="JX444" s="549">
        <f>SUM(JX445:JX449)</f>
        <v>6984</v>
      </c>
      <c r="JY444" s="549">
        <f t="shared" si="11452"/>
        <v>0</v>
      </c>
      <c r="JZ444" s="581">
        <f t="shared" si="11276"/>
        <v>1000</v>
      </c>
      <c r="KA444" s="581">
        <f t="shared" si="11277"/>
        <v>-34016</v>
      </c>
      <c r="KB444" s="549">
        <f t="shared" si="11273"/>
        <v>6984</v>
      </c>
      <c r="KC444" s="709">
        <f t="shared" si="11275"/>
        <v>0</v>
      </c>
      <c r="KD444" s="36"/>
      <c r="KE444" s="36"/>
      <c r="KF444" s="36"/>
      <c r="KG444" s="36"/>
      <c r="KH444" s="36"/>
      <c r="KI444" s="36"/>
      <c r="KJ444" s="36"/>
      <c r="KK444" s="36"/>
    </row>
    <row r="445" spans="1:297" s="10" customFormat="1">
      <c r="A445" s="86" t="s">
        <v>264</v>
      </c>
      <c r="B445" s="77" t="s">
        <v>133</v>
      </c>
      <c r="C445" s="74">
        <v>10000</v>
      </c>
      <c r="D445" s="549">
        <v>0</v>
      </c>
      <c r="E445" s="675">
        <v>0</v>
      </c>
      <c r="F445" s="549">
        <v>0</v>
      </c>
      <c r="G445" s="675">
        <v>0</v>
      </c>
      <c r="H445" s="549">
        <v>0</v>
      </c>
      <c r="I445" s="675">
        <v>0</v>
      </c>
      <c r="J445" s="549">
        <v>0</v>
      </c>
      <c r="K445" s="675">
        <v>0</v>
      </c>
      <c r="L445" s="549">
        <v>0</v>
      </c>
      <c r="M445" s="675">
        <v>0</v>
      </c>
      <c r="N445" s="549">
        <v>0</v>
      </c>
      <c r="O445" s="675">
        <v>0</v>
      </c>
      <c r="P445" s="549">
        <v>0</v>
      </c>
      <c r="Q445" s="675">
        <v>0</v>
      </c>
      <c r="R445" s="549">
        <v>0</v>
      </c>
      <c r="S445" s="675">
        <v>0</v>
      </c>
      <c r="T445" s="549">
        <v>0</v>
      </c>
      <c r="U445" s="675">
        <v>0</v>
      </c>
      <c r="V445" s="549">
        <v>0</v>
      </c>
      <c r="W445" s="675">
        <v>-3000</v>
      </c>
      <c r="X445" s="549">
        <v>0</v>
      </c>
      <c r="Y445" s="675">
        <v>0</v>
      </c>
      <c r="Z445" s="549">
        <v>0</v>
      </c>
      <c r="AA445" s="675">
        <v>0</v>
      </c>
      <c r="AB445" s="549">
        <v>0</v>
      </c>
      <c r="AC445" s="675">
        <v>0</v>
      </c>
      <c r="AD445" s="549">
        <v>0</v>
      </c>
      <c r="AE445" s="675">
        <v>0</v>
      </c>
      <c r="AF445" s="549">
        <v>0</v>
      </c>
      <c r="AG445" s="675">
        <v>-2000</v>
      </c>
      <c r="AH445" s="549">
        <v>0</v>
      </c>
      <c r="AI445" s="675">
        <v>0</v>
      </c>
      <c r="AJ445" s="549">
        <v>0</v>
      </c>
      <c r="AK445" s="675">
        <v>0</v>
      </c>
      <c r="AL445" s="549">
        <v>0</v>
      </c>
      <c r="AM445" s="675">
        <v>0</v>
      </c>
      <c r="AN445" s="549">
        <v>0</v>
      </c>
      <c r="AO445" s="675">
        <v>0</v>
      </c>
      <c r="AP445" s="549">
        <v>0</v>
      </c>
      <c r="AQ445" s="675">
        <v>0</v>
      </c>
      <c r="AR445" s="549">
        <v>0</v>
      </c>
      <c r="AS445" s="675">
        <v>0</v>
      </c>
      <c r="AT445" s="549">
        <v>0</v>
      </c>
      <c r="AU445" s="675">
        <v>0</v>
      </c>
      <c r="AV445" s="549">
        <v>0</v>
      </c>
      <c r="AW445" s="675">
        <v>0</v>
      </c>
      <c r="AX445" s="549">
        <v>0</v>
      </c>
      <c r="AY445" s="675">
        <v>0</v>
      </c>
      <c r="AZ445" s="549">
        <v>0</v>
      </c>
      <c r="BA445" s="675">
        <v>-1000</v>
      </c>
      <c r="BB445" s="549">
        <v>0</v>
      </c>
      <c r="BC445" s="675">
        <v>0</v>
      </c>
      <c r="BD445" s="549">
        <v>0</v>
      </c>
      <c r="BE445" s="675">
        <v>0</v>
      </c>
      <c r="BF445" s="549">
        <v>0</v>
      </c>
      <c r="BG445" s="675">
        <v>0</v>
      </c>
      <c r="BH445" s="549">
        <v>0</v>
      </c>
      <c r="BI445" s="675">
        <v>0</v>
      </c>
      <c r="BJ445" s="549">
        <v>0</v>
      </c>
      <c r="BK445" s="675">
        <v>0</v>
      </c>
      <c r="BL445" s="549">
        <v>0</v>
      </c>
      <c r="BM445" s="675">
        <v>0</v>
      </c>
      <c r="BN445" s="549">
        <v>0</v>
      </c>
      <c r="BO445" s="675">
        <v>0</v>
      </c>
      <c r="BP445" s="549">
        <v>0</v>
      </c>
      <c r="BQ445" s="675">
        <v>0</v>
      </c>
      <c r="BR445" s="549">
        <v>0</v>
      </c>
      <c r="BS445" s="675">
        <v>0</v>
      </c>
      <c r="BT445" s="549">
        <v>0</v>
      </c>
      <c r="BU445" s="675">
        <v>0</v>
      </c>
      <c r="BV445" s="549">
        <v>0</v>
      </c>
      <c r="BW445" s="675">
        <v>0</v>
      </c>
      <c r="BX445" s="549">
        <v>0</v>
      </c>
      <c r="BY445" s="675">
        <v>0</v>
      </c>
      <c r="BZ445" s="549">
        <v>0</v>
      </c>
      <c r="CA445" s="675">
        <v>0</v>
      </c>
      <c r="CB445" s="549">
        <v>0</v>
      </c>
      <c r="CC445" s="675">
        <v>0</v>
      </c>
      <c r="CD445" s="549">
        <v>0</v>
      </c>
      <c r="CE445" s="675">
        <v>0</v>
      </c>
      <c r="CF445" s="549">
        <v>0</v>
      </c>
      <c r="CG445" s="675">
        <v>0</v>
      </c>
      <c r="CH445" s="549">
        <v>0</v>
      </c>
      <c r="CI445" s="675">
        <v>0</v>
      </c>
      <c r="CJ445" s="549">
        <v>0</v>
      </c>
      <c r="CK445" s="675">
        <v>-1036</v>
      </c>
      <c r="CL445" s="549">
        <v>1000</v>
      </c>
      <c r="CM445" s="675">
        <v>0</v>
      </c>
      <c r="CN445" s="549">
        <v>0</v>
      </c>
      <c r="CO445" s="675">
        <v>0</v>
      </c>
      <c r="CP445" s="549">
        <v>0</v>
      </c>
      <c r="CQ445" s="675">
        <v>0</v>
      </c>
      <c r="CR445" s="549">
        <v>0</v>
      </c>
      <c r="CS445" s="675">
        <v>0</v>
      </c>
      <c r="CT445" s="549">
        <v>0</v>
      </c>
      <c r="CU445" s="675">
        <v>0</v>
      </c>
      <c r="CV445" s="549">
        <v>0</v>
      </c>
      <c r="CW445" s="675">
        <v>0</v>
      </c>
      <c r="CX445" s="549">
        <v>0</v>
      </c>
      <c r="CY445" s="675">
        <v>0</v>
      </c>
      <c r="CZ445" s="549">
        <v>0</v>
      </c>
      <c r="DA445" s="675">
        <v>0</v>
      </c>
      <c r="DB445" s="549">
        <v>0</v>
      </c>
      <c r="DC445" s="675">
        <v>0</v>
      </c>
      <c r="DD445" s="549">
        <v>0</v>
      </c>
      <c r="DE445" s="675">
        <v>0</v>
      </c>
      <c r="DF445" s="549">
        <v>0</v>
      </c>
      <c r="DG445" s="675">
        <v>0</v>
      </c>
      <c r="DH445" s="549">
        <v>0</v>
      </c>
      <c r="DI445" s="675">
        <v>0</v>
      </c>
      <c r="DJ445" s="549">
        <v>0</v>
      </c>
      <c r="DK445" s="675">
        <v>0</v>
      </c>
      <c r="DL445" s="549">
        <v>0</v>
      </c>
      <c r="DM445" s="675">
        <v>0</v>
      </c>
      <c r="DN445" s="549">
        <v>0</v>
      </c>
      <c r="DO445" s="675">
        <v>0</v>
      </c>
      <c r="DP445" s="549">
        <v>0</v>
      </c>
      <c r="DQ445" s="675">
        <v>0</v>
      </c>
      <c r="DR445" s="549">
        <v>0</v>
      </c>
      <c r="DS445" s="675">
        <v>0</v>
      </c>
      <c r="DT445" s="549">
        <v>0</v>
      </c>
      <c r="DU445" s="675">
        <v>0</v>
      </c>
      <c r="DV445" s="549">
        <v>0</v>
      </c>
      <c r="DW445" s="675">
        <v>0</v>
      </c>
      <c r="DX445" s="549">
        <v>0</v>
      </c>
      <c r="DY445" s="675">
        <v>0</v>
      </c>
      <c r="DZ445" s="549">
        <v>0</v>
      </c>
      <c r="EA445" s="675">
        <v>0</v>
      </c>
      <c r="EB445" s="549">
        <v>0</v>
      </c>
      <c r="EC445" s="675">
        <v>0</v>
      </c>
      <c r="ED445" s="549">
        <v>0</v>
      </c>
      <c r="EE445" s="675">
        <v>0</v>
      </c>
      <c r="EF445" s="549">
        <v>0</v>
      </c>
      <c r="EG445" s="675">
        <v>0</v>
      </c>
      <c r="EH445" s="549">
        <v>0</v>
      </c>
      <c r="EI445" s="675">
        <v>0</v>
      </c>
      <c r="EJ445" s="549">
        <v>0</v>
      </c>
      <c r="EK445" s="675">
        <v>0</v>
      </c>
      <c r="EL445" s="549">
        <v>0</v>
      </c>
      <c r="EM445" s="675">
        <v>0</v>
      </c>
      <c r="EN445" s="549">
        <v>0</v>
      </c>
      <c r="EO445" s="675">
        <v>0</v>
      </c>
      <c r="EP445" s="549">
        <v>0</v>
      </c>
      <c r="EQ445" s="675">
        <v>0</v>
      </c>
      <c r="ER445" s="549">
        <v>0</v>
      </c>
      <c r="ES445" s="675">
        <v>0</v>
      </c>
      <c r="ET445" s="549">
        <v>0</v>
      </c>
      <c r="EU445" s="675">
        <v>0</v>
      </c>
      <c r="EV445" s="549">
        <v>0</v>
      </c>
      <c r="EW445" s="675">
        <v>-400</v>
      </c>
      <c r="EX445" s="549">
        <v>0</v>
      </c>
      <c r="EY445" s="675">
        <v>0</v>
      </c>
      <c r="EZ445" s="549">
        <v>0</v>
      </c>
      <c r="FA445" s="675">
        <v>0</v>
      </c>
      <c r="FB445" s="549">
        <v>0</v>
      </c>
      <c r="FC445" s="675">
        <v>0</v>
      </c>
      <c r="FD445" s="549">
        <v>0</v>
      </c>
      <c r="FE445" s="675">
        <v>0</v>
      </c>
      <c r="FF445" s="549">
        <v>0</v>
      </c>
      <c r="FG445" s="675">
        <v>0</v>
      </c>
      <c r="FH445" s="549">
        <v>0</v>
      </c>
      <c r="FI445" s="675">
        <v>0</v>
      </c>
      <c r="FJ445" s="549">
        <v>0</v>
      </c>
      <c r="FK445" s="675">
        <v>0</v>
      </c>
      <c r="FL445" s="549">
        <v>0</v>
      </c>
      <c r="FM445" s="675">
        <v>-186</v>
      </c>
      <c r="FN445" s="549">
        <v>0</v>
      </c>
      <c r="FO445" s="675">
        <v>0</v>
      </c>
      <c r="FP445" s="549">
        <v>0</v>
      </c>
      <c r="FQ445" s="675">
        <v>0</v>
      </c>
      <c r="FR445" s="549">
        <v>0</v>
      </c>
      <c r="FS445" s="675">
        <v>0</v>
      </c>
      <c r="FT445" s="549">
        <v>0</v>
      </c>
      <c r="FU445" s="675">
        <v>0</v>
      </c>
      <c r="FV445" s="549">
        <v>0</v>
      </c>
      <c r="FW445" s="675">
        <v>0</v>
      </c>
      <c r="FX445" s="549">
        <v>0</v>
      </c>
      <c r="FY445" s="675">
        <v>0</v>
      </c>
      <c r="FZ445" s="549">
        <v>0</v>
      </c>
      <c r="GA445" s="675">
        <v>0</v>
      </c>
      <c r="GB445" s="549">
        <v>0</v>
      </c>
      <c r="GC445" s="675">
        <v>0</v>
      </c>
      <c r="GD445" s="549">
        <v>0</v>
      </c>
      <c r="GE445" s="675">
        <v>0</v>
      </c>
      <c r="GF445" s="549">
        <v>0</v>
      </c>
      <c r="GG445" s="675">
        <v>0</v>
      </c>
      <c r="GH445" s="549">
        <v>0</v>
      </c>
      <c r="GI445" s="675">
        <v>0</v>
      </c>
      <c r="GJ445" s="549">
        <v>0</v>
      </c>
      <c r="GK445" s="675">
        <v>0</v>
      </c>
      <c r="GL445" s="549">
        <v>0</v>
      </c>
      <c r="GM445" s="675">
        <v>0</v>
      </c>
      <c r="GN445" s="549">
        <v>0</v>
      </c>
      <c r="GO445" s="675">
        <v>0</v>
      </c>
      <c r="GP445" s="549">
        <f t="shared" ref="GP445:GP448" si="11464">+D445+F445+H445+J445+L445+N445+P445+R445+T445+V445+X445+Z445+AB445+AF445+AD445+AH445+AJ445+AL445+AN445+AP445+AR445+AT445+AV445+AX445+AZ445+BB445+BD445+BF445+BH445+BJ445+BL445+BN445+BP445+BR445+BT445+BV445+BX445+BZ445+CB445+CD445+CF445+CH445+CJ445+CL445+CN445+CP445+CR445+CT445+CV445+CX445+CZ445+DB445+DD445+DF445+DH445+DT445+EX445+DJ445+DL445+DN445+DP445+DR445+EJ445+EB445+DZ445+DX445+DV445+ED445+EF445+EH445+EL445+EN445+EP445+EV445+ET445+ER445+EZ445+FB445+FD445+GL445+FF445+FJ445+FL445+GJ445+FT445+FR445+FP445+FN445+FH445+GH445+GF445+GD445+GB445+FZ445+FX445+FV445+GN445</f>
        <v>1000</v>
      </c>
      <c r="GQ445" s="675">
        <f t="shared" ref="GQ445:GQ448" si="11465">+E445+G445+I445+K445+M445+O445+Q445+S445+U445+W445+Y445+AA445+AC445+AE445+AG445+AI445+AK445+AM445+AO445+AQ445+AS445+AU445+AW445+AY445+BA445+BC445+BE445+BG445+BI445+BK445+BM445+BO445+BQ445+BS445+BU445+BW445+BY445+CA445+CC445+CE445+CG445+CI445+CK445+CM445+CO445+CQ445+CS445+CU445+CW445+CY445+DA445+DC445+DE445+DG445+DI445+DU445+EY445+DK445+DM445+DO445+DQ445+DS445+EK445+EC445+EA445+DY445+DW445+EI445+EG445+EE445+EM445+EO445+EQ445+EW445+EU445+ES445+FA445+FC445+FE445+GM445+FG445+FK445+FM445+FO445+FQ445+FS445+FU445+GK445+FI445+GI445+GG445+GE445+GC445+GA445+FY445+FW445+GO445</f>
        <v>-7622</v>
      </c>
      <c r="GR445" s="74">
        <f>C445+GP445+GQ445</f>
        <v>3378</v>
      </c>
      <c r="GS445" s="74">
        <f t="shared" ref="GS445:GS448" si="11466">SUM(GU445:HD445)+GP445+GQ445</f>
        <v>3378</v>
      </c>
      <c r="GT445" s="568">
        <f t="shared" ref="GT445:GT449" si="11467">SUM(GU445:HF445)+GQ445+GP445</f>
        <v>3378</v>
      </c>
      <c r="GU445" s="275">
        <v>5000</v>
      </c>
      <c r="GV445" s="275">
        <v>0</v>
      </c>
      <c r="GW445" s="275">
        <v>5000</v>
      </c>
      <c r="GX445" s="275">
        <v>0</v>
      </c>
      <c r="GY445" s="275">
        <v>0</v>
      </c>
      <c r="GZ445" s="275">
        <v>0</v>
      </c>
      <c r="HA445" s="275">
        <v>0</v>
      </c>
      <c r="HB445" s="275">
        <v>0</v>
      </c>
      <c r="HC445" s="275">
        <v>0</v>
      </c>
      <c r="HD445" s="275">
        <v>0</v>
      </c>
      <c r="HE445" s="275">
        <v>0</v>
      </c>
      <c r="HF445" s="275">
        <v>0</v>
      </c>
      <c r="HG445" s="74">
        <f>SUM(HH445:IE445)</f>
        <v>3378</v>
      </c>
      <c r="HH445" s="89">
        <v>5000</v>
      </c>
      <c r="HI445" s="817">
        <v>0</v>
      </c>
      <c r="HJ445" s="89">
        <v>0</v>
      </c>
      <c r="HK445" s="817">
        <v>0</v>
      </c>
      <c r="HL445" s="89">
        <v>0</v>
      </c>
      <c r="HM445" s="817">
        <v>0</v>
      </c>
      <c r="HN445" s="89">
        <v>0</v>
      </c>
      <c r="HO445" s="817">
        <v>0</v>
      </c>
      <c r="HP445" s="89">
        <v>-1000</v>
      </c>
      <c r="HQ445" s="817">
        <v>0</v>
      </c>
      <c r="HR445" s="89">
        <v>0</v>
      </c>
      <c r="HS445" s="817">
        <v>0</v>
      </c>
      <c r="HT445" s="89">
        <v>-36</v>
      </c>
      <c r="HU445" s="817">
        <v>0</v>
      </c>
      <c r="HV445" s="89">
        <v>0</v>
      </c>
      <c r="HW445" s="817">
        <v>0</v>
      </c>
      <c r="HX445" s="89">
        <v>-400</v>
      </c>
      <c r="HY445" s="817">
        <v>0</v>
      </c>
      <c r="HZ445" s="89">
        <v>-186</v>
      </c>
      <c r="IA445" s="817">
        <v>0</v>
      </c>
      <c r="IB445" s="89">
        <v>0</v>
      </c>
      <c r="IC445" s="817">
        <v>0</v>
      </c>
      <c r="ID445" s="89">
        <v>0</v>
      </c>
      <c r="IE445" s="817">
        <v>0</v>
      </c>
      <c r="IF445" s="841">
        <f t="shared" ref="IF445:IF449" si="11468">SUM(II445,IL445,IO445,IR445,IU445,IX445,JA445,JD445,JG445,JJ445,JM445,JP445)</f>
        <v>3377.94</v>
      </c>
      <c r="IG445" s="263">
        <f t="shared" ref="IG445:IG449" si="11469">SUM(IJ445,IM445,IP445,IS445,IV445,IY445,JB445,JE445,JH445,JK445,JN445,JQ445)</f>
        <v>3377.94</v>
      </c>
      <c r="IH445" s="842">
        <f t="shared" ref="IH445:IH449" si="11470">SUM(IK445,IN445,IQ445,IT445,IW445,IZ445,JC445,JF445,JI445,JL445,JO445,JR445)</f>
        <v>3377.94</v>
      </c>
      <c r="II445" s="89">
        <v>0</v>
      </c>
      <c r="IJ445" s="89">
        <f t="shared" ref="IJ445:IJ449" si="11471">II445</f>
        <v>0</v>
      </c>
      <c r="IK445" s="89">
        <f t="shared" ref="IK445:IK449" si="11472">IJ445</f>
        <v>0</v>
      </c>
      <c r="IL445" s="89">
        <v>86.97</v>
      </c>
      <c r="IM445" s="89">
        <f t="shared" ref="IM445:IM449" si="11473">IL445</f>
        <v>86.97</v>
      </c>
      <c r="IN445" s="89">
        <f t="shared" ref="IN445:IN449" si="11474">IM445</f>
        <v>86.97</v>
      </c>
      <c r="IO445" s="89">
        <f>1436.97-86.97</f>
        <v>1350</v>
      </c>
      <c r="IP445" s="89">
        <f t="shared" ref="IP445:IP449" si="11475">IO445</f>
        <v>1350</v>
      </c>
      <c r="IQ445" s="89">
        <f t="shared" ref="IQ445:IQ449" si="11476">IP445</f>
        <v>1350</v>
      </c>
      <c r="IR445" s="89">
        <v>0</v>
      </c>
      <c r="IS445" s="89">
        <f t="shared" ref="IS445:IS449" si="11477">IR445</f>
        <v>0</v>
      </c>
      <c r="IT445" s="89">
        <f t="shared" ref="IT445:IT449" si="11478">IS445</f>
        <v>0</v>
      </c>
      <c r="IU445" s="89">
        <f>1851.72-1436.97</f>
        <v>414.75</v>
      </c>
      <c r="IV445" s="89">
        <f t="shared" ref="IV445:IV449" si="11479">IU445</f>
        <v>414.75</v>
      </c>
      <c r="IW445" s="89">
        <f t="shared" ref="IW445:IW449" si="11480">IV445</f>
        <v>414.75</v>
      </c>
      <c r="IX445" s="89">
        <f>2850.72-1851.72</f>
        <v>998.99999999999977</v>
      </c>
      <c r="IY445" s="89">
        <f t="shared" ref="IY445:IY449" si="11481">IX445</f>
        <v>998.99999999999977</v>
      </c>
      <c r="IZ445" s="89">
        <f t="shared" ref="IZ445:IZ449" si="11482">IY445</f>
        <v>998.99999999999977</v>
      </c>
      <c r="JA445" s="89">
        <f>2963.22-2850.72</f>
        <v>112.5</v>
      </c>
      <c r="JB445" s="89">
        <f t="shared" ref="JB445:JB449" si="11483">JA445</f>
        <v>112.5</v>
      </c>
      <c r="JC445" s="89">
        <f t="shared" ref="JC445:JC449" si="11484">JB445</f>
        <v>112.5</v>
      </c>
      <c r="JD445" s="89">
        <f>3377.94-2963.22</f>
        <v>414.72000000000025</v>
      </c>
      <c r="JE445" s="89">
        <f t="shared" ref="JE445:JE449" si="11485">JD445</f>
        <v>414.72000000000025</v>
      </c>
      <c r="JF445" s="89">
        <f t="shared" ref="JF445:JF449" si="11486">JE445</f>
        <v>414.72000000000025</v>
      </c>
      <c r="JG445" s="89">
        <v>0</v>
      </c>
      <c r="JH445" s="89">
        <f t="shared" ref="JH445:JH449" si="11487">JG445</f>
        <v>0</v>
      </c>
      <c r="JI445" s="89">
        <f t="shared" ref="JI445:JI449" si="11488">JH445</f>
        <v>0</v>
      </c>
      <c r="JJ445" s="89">
        <v>0</v>
      </c>
      <c r="JK445" s="89">
        <f t="shared" ref="JK445:JK449" si="11489">JJ445</f>
        <v>0</v>
      </c>
      <c r="JL445" s="89">
        <f t="shared" ref="JL445:JL449" si="11490">JK445</f>
        <v>0</v>
      </c>
      <c r="JM445" s="89">
        <v>0</v>
      </c>
      <c r="JN445" s="89">
        <f t="shared" ref="JN445:JN449" si="11491">JM445</f>
        <v>0</v>
      </c>
      <c r="JO445" s="89">
        <f t="shared" ref="JO445:JO449" si="11492">JN445</f>
        <v>0</v>
      </c>
      <c r="JP445" s="89">
        <v>0</v>
      </c>
      <c r="JQ445" s="89">
        <f t="shared" ref="JQ445:JR445" si="11493">JP445</f>
        <v>0</v>
      </c>
      <c r="JR445" s="89">
        <f t="shared" si="11493"/>
        <v>0</v>
      </c>
      <c r="JS445" s="74">
        <f>HG445-IF445</f>
        <v>5.999999999994543E-2</v>
      </c>
      <c r="JT445" s="382">
        <f>GS445-IF445</f>
        <v>5.999999999994543E-2</v>
      </c>
      <c r="JU445" s="665"/>
      <c r="JV445" s="524"/>
      <c r="JW445" s="525"/>
      <c r="JX445" s="549">
        <f t="shared" ref="JX445:JY449" si="11494">SUM(HH445,HJ445,HL445,HN445,HP445,HR445,HT445,HV445,HX445,HZ445,IB445,ID445)</f>
        <v>3378</v>
      </c>
      <c r="JY445" s="549">
        <f t="shared" si="11494"/>
        <v>0</v>
      </c>
      <c r="JZ445" s="581">
        <f t="shared" si="11276"/>
        <v>1000</v>
      </c>
      <c r="KA445" s="581">
        <f t="shared" si="11277"/>
        <v>-7622</v>
      </c>
      <c r="KB445" s="549">
        <f t="shared" si="11273"/>
        <v>3378</v>
      </c>
      <c r="KC445" s="709">
        <f t="shared" si="11275"/>
        <v>0</v>
      </c>
      <c r="KD445" s="36"/>
      <c r="KE445" s="36"/>
      <c r="KF445" s="36"/>
      <c r="KG445" s="36"/>
      <c r="KH445" s="36"/>
      <c r="KI445" s="36"/>
      <c r="KJ445" s="36"/>
      <c r="KK445" s="36"/>
    </row>
    <row r="446" spans="1:297" s="10" customFormat="1" ht="12.75" customHeight="1">
      <c r="A446" s="86" t="s">
        <v>767</v>
      </c>
      <c r="B446" s="77"/>
      <c r="C446" s="74">
        <v>10000</v>
      </c>
      <c r="D446" s="549">
        <v>0</v>
      </c>
      <c r="E446" s="675">
        <v>0</v>
      </c>
      <c r="F446" s="549">
        <v>0</v>
      </c>
      <c r="G446" s="675">
        <v>0</v>
      </c>
      <c r="H446" s="549">
        <v>0</v>
      </c>
      <c r="I446" s="675">
        <v>0</v>
      </c>
      <c r="J446" s="549">
        <v>0</v>
      </c>
      <c r="K446" s="675">
        <v>0</v>
      </c>
      <c r="L446" s="549">
        <v>0</v>
      </c>
      <c r="M446" s="675">
        <v>0</v>
      </c>
      <c r="N446" s="549">
        <v>0</v>
      </c>
      <c r="O446" s="675">
        <v>0</v>
      </c>
      <c r="P446" s="549">
        <v>0</v>
      </c>
      <c r="Q446" s="675">
        <v>0</v>
      </c>
      <c r="R446" s="549">
        <v>0</v>
      </c>
      <c r="S446" s="675">
        <v>0</v>
      </c>
      <c r="T446" s="549">
        <v>0</v>
      </c>
      <c r="U446" s="675">
        <v>0</v>
      </c>
      <c r="V446" s="549">
        <v>0</v>
      </c>
      <c r="W446" s="675">
        <v>-3000</v>
      </c>
      <c r="X446" s="549">
        <v>0</v>
      </c>
      <c r="Y446" s="675">
        <v>0</v>
      </c>
      <c r="Z446" s="549">
        <v>0</v>
      </c>
      <c r="AA446" s="675">
        <v>0</v>
      </c>
      <c r="AB446" s="549">
        <v>0</v>
      </c>
      <c r="AC446" s="675">
        <v>0</v>
      </c>
      <c r="AD446" s="549">
        <v>0</v>
      </c>
      <c r="AE446" s="675">
        <v>0</v>
      </c>
      <c r="AF446" s="549">
        <v>0</v>
      </c>
      <c r="AG446" s="675">
        <v>0</v>
      </c>
      <c r="AH446" s="549">
        <v>0</v>
      </c>
      <c r="AI446" s="675">
        <v>0</v>
      </c>
      <c r="AJ446" s="549">
        <v>0</v>
      </c>
      <c r="AK446" s="675">
        <v>0</v>
      </c>
      <c r="AL446" s="549">
        <v>0</v>
      </c>
      <c r="AM446" s="675">
        <v>0</v>
      </c>
      <c r="AN446" s="549">
        <v>0</v>
      </c>
      <c r="AO446" s="675">
        <v>0</v>
      </c>
      <c r="AP446" s="549">
        <v>0</v>
      </c>
      <c r="AQ446" s="675">
        <v>0</v>
      </c>
      <c r="AR446" s="549">
        <v>0</v>
      </c>
      <c r="AS446" s="675">
        <v>0</v>
      </c>
      <c r="AT446" s="549">
        <v>0</v>
      </c>
      <c r="AU446" s="675">
        <v>0</v>
      </c>
      <c r="AV446" s="549">
        <v>0</v>
      </c>
      <c r="AW446" s="675">
        <v>0</v>
      </c>
      <c r="AX446" s="549">
        <v>0</v>
      </c>
      <c r="AY446" s="675">
        <v>0</v>
      </c>
      <c r="AZ446" s="549">
        <v>0</v>
      </c>
      <c r="BA446" s="675">
        <v>-4000</v>
      </c>
      <c r="BB446" s="549">
        <v>0</v>
      </c>
      <c r="BC446" s="675">
        <v>0</v>
      </c>
      <c r="BD446" s="549">
        <v>0</v>
      </c>
      <c r="BE446" s="675">
        <v>0</v>
      </c>
      <c r="BF446" s="549">
        <v>0</v>
      </c>
      <c r="BG446" s="675">
        <v>0</v>
      </c>
      <c r="BH446" s="549">
        <v>0</v>
      </c>
      <c r="BI446" s="675">
        <v>0</v>
      </c>
      <c r="BJ446" s="549">
        <v>0</v>
      </c>
      <c r="BK446" s="675">
        <v>0</v>
      </c>
      <c r="BL446" s="549">
        <v>0</v>
      </c>
      <c r="BM446" s="675">
        <v>0</v>
      </c>
      <c r="BN446" s="549">
        <v>0</v>
      </c>
      <c r="BO446" s="675">
        <v>0</v>
      </c>
      <c r="BP446" s="549">
        <v>0</v>
      </c>
      <c r="BQ446" s="675">
        <v>0</v>
      </c>
      <c r="BR446" s="549">
        <v>0</v>
      </c>
      <c r="BS446" s="675">
        <v>0</v>
      </c>
      <c r="BT446" s="549">
        <v>0</v>
      </c>
      <c r="BU446" s="675">
        <v>0</v>
      </c>
      <c r="BV446" s="549">
        <v>0</v>
      </c>
      <c r="BW446" s="675">
        <v>0</v>
      </c>
      <c r="BX446" s="549">
        <v>0</v>
      </c>
      <c r="BY446" s="675">
        <v>0</v>
      </c>
      <c r="BZ446" s="549">
        <v>0</v>
      </c>
      <c r="CA446" s="675">
        <v>0</v>
      </c>
      <c r="CB446" s="549">
        <v>0</v>
      </c>
      <c r="CC446" s="675">
        <v>0</v>
      </c>
      <c r="CD446" s="549">
        <v>0</v>
      </c>
      <c r="CE446" s="675">
        <v>0</v>
      </c>
      <c r="CF446" s="549">
        <v>0</v>
      </c>
      <c r="CG446" s="675">
        <v>0</v>
      </c>
      <c r="CH446" s="549">
        <v>0</v>
      </c>
      <c r="CI446" s="675">
        <v>0</v>
      </c>
      <c r="CJ446" s="549">
        <v>0</v>
      </c>
      <c r="CK446" s="675">
        <v>-2000</v>
      </c>
      <c r="CL446" s="549">
        <v>0</v>
      </c>
      <c r="CM446" s="675">
        <v>0</v>
      </c>
      <c r="CN446" s="549">
        <v>0</v>
      </c>
      <c r="CO446" s="675">
        <v>0</v>
      </c>
      <c r="CP446" s="549">
        <v>0</v>
      </c>
      <c r="CQ446" s="675">
        <v>0</v>
      </c>
      <c r="CR446" s="549">
        <v>0</v>
      </c>
      <c r="CS446" s="675">
        <v>0</v>
      </c>
      <c r="CT446" s="549">
        <v>0</v>
      </c>
      <c r="CU446" s="675">
        <v>0</v>
      </c>
      <c r="CV446" s="549">
        <v>0</v>
      </c>
      <c r="CW446" s="675">
        <v>0</v>
      </c>
      <c r="CX446" s="549">
        <v>0</v>
      </c>
      <c r="CY446" s="675">
        <v>0</v>
      </c>
      <c r="CZ446" s="549">
        <v>0</v>
      </c>
      <c r="DA446" s="675">
        <v>0</v>
      </c>
      <c r="DB446" s="549">
        <v>0</v>
      </c>
      <c r="DC446" s="675">
        <v>0</v>
      </c>
      <c r="DD446" s="549">
        <v>0</v>
      </c>
      <c r="DE446" s="675">
        <v>0</v>
      </c>
      <c r="DF446" s="549">
        <v>0</v>
      </c>
      <c r="DG446" s="675">
        <v>0</v>
      </c>
      <c r="DH446" s="549">
        <v>0</v>
      </c>
      <c r="DI446" s="675">
        <v>0</v>
      </c>
      <c r="DJ446" s="549">
        <v>0</v>
      </c>
      <c r="DK446" s="675">
        <v>0</v>
      </c>
      <c r="DL446" s="549">
        <v>0</v>
      </c>
      <c r="DM446" s="675">
        <v>0</v>
      </c>
      <c r="DN446" s="549">
        <v>0</v>
      </c>
      <c r="DO446" s="675">
        <v>0</v>
      </c>
      <c r="DP446" s="549">
        <v>0</v>
      </c>
      <c r="DQ446" s="675">
        <v>0</v>
      </c>
      <c r="DR446" s="549">
        <v>0</v>
      </c>
      <c r="DS446" s="675">
        <v>0</v>
      </c>
      <c r="DT446" s="549">
        <v>0</v>
      </c>
      <c r="DU446" s="675">
        <v>0</v>
      </c>
      <c r="DV446" s="549">
        <v>0</v>
      </c>
      <c r="DW446" s="675">
        <v>0</v>
      </c>
      <c r="DX446" s="549">
        <v>0</v>
      </c>
      <c r="DY446" s="675">
        <v>0</v>
      </c>
      <c r="DZ446" s="549">
        <v>0</v>
      </c>
      <c r="EA446" s="675">
        <v>0</v>
      </c>
      <c r="EB446" s="549">
        <v>0</v>
      </c>
      <c r="EC446" s="675">
        <v>0</v>
      </c>
      <c r="ED446" s="549">
        <v>0</v>
      </c>
      <c r="EE446" s="675">
        <v>0</v>
      </c>
      <c r="EF446" s="549">
        <v>0</v>
      </c>
      <c r="EG446" s="675">
        <v>0</v>
      </c>
      <c r="EH446" s="549">
        <v>0</v>
      </c>
      <c r="EI446" s="675">
        <v>0</v>
      </c>
      <c r="EJ446" s="549">
        <v>0</v>
      </c>
      <c r="EK446" s="675">
        <v>0</v>
      </c>
      <c r="EL446" s="549">
        <v>0</v>
      </c>
      <c r="EM446" s="675">
        <v>0</v>
      </c>
      <c r="EN446" s="549">
        <v>0</v>
      </c>
      <c r="EO446" s="675">
        <v>0</v>
      </c>
      <c r="EP446" s="549">
        <v>0</v>
      </c>
      <c r="EQ446" s="675">
        <v>0</v>
      </c>
      <c r="ER446" s="549">
        <v>0</v>
      </c>
      <c r="ES446" s="675">
        <v>0</v>
      </c>
      <c r="ET446" s="549">
        <v>0</v>
      </c>
      <c r="EU446" s="675">
        <v>0</v>
      </c>
      <c r="EV446" s="549">
        <v>0</v>
      </c>
      <c r="EW446" s="675">
        <v>-403</v>
      </c>
      <c r="EX446" s="549">
        <v>0</v>
      </c>
      <c r="EY446" s="675">
        <v>0</v>
      </c>
      <c r="EZ446" s="549">
        <v>0</v>
      </c>
      <c r="FA446" s="675">
        <v>0</v>
      </c>
      <c r="FB446" s="549">
        <v>0</v>
      </c>
      <c r="FC446" s="675">
        <v>0</v>
      </c>
      <c r="FD446" s="549">
        <v>0</v>
      </c>
      <c r="FE446" s="675">
        <v>0</v>
      </c>
      <c r="FF446" s="549">
        <v>0</v>
      </c>
      <c r="FG446" s="675">
        <v>0</v>
      </c>
      <c r="FH446" s="549">
        <v>0</v>
      </c>
      <c r="FI446" s="675">
        <v>0</v>
      </c>
      <c r="FJ446" s="549">
        <v>0</v>
      </c>
      <c r="FK446" s="675">
        <v>0</v>
      </c>
      <c r="FL446" s="549">
        <v>0</v>
      </c>
      <c r="FM446" s="675">
        <v>-144</v>
      </c>
      <c r="FN446" s="549">
        <v>0</v>
      </c>
      <c r="FO446" s="675">
        <v>0</v>
      </c>
      <c r="FP446" s="549">
        <v>0</v>
      </c>
      <c r="FQ446" s="675">
        <v>0</v>
      </c>
      <c r="FR446" s="549">
        <v>0</v>
      </c>
      <c r="FS446" s="675">
        <v>0</v>
      </c>
      <c r="FT446" s="549">
        <v>0</v>
      </c>
      <c r="FU446" s="675">
        <v>0</v>
      </c>
      <c r="FV446" s="549">
        <v>0</v>
      </c>
      <c r="FW446" s="675">
        <v>0</v>
      </c>
      <c r="FX446" s="549">
        <v>0</v>
      </c>
      <c r="FY446" s="675">
        <v>0</v>
      </c>
      <c r="FZ446" s="549">
        <v>0</v>
      </c>
      <c r="GA446" s="675">
        <v>0</v>
      </c>
      <c r="GB446" s="549">
        <v>0</v>
      </c>
      <c r="GC446" s="675">
        <v>0</v>
      </c>
      <c r="GD446" s="549">
        <v>0</v>
      </c>
      <c r="GE446" s="675">
        <v>0</v>
      </c>
      <c r="GF446" s="549">
        <v>0</v>
      </c>
      <c r="GG446" s="675">
        <v>0</v>
      </c>
      <c r="GH446" s="549">
        <v>0</v>
      </c>
      <c r="GI446" s="675">
        <v>0</v>
      </c>
      <c r="GJ446" s="549">
        <v>0</v>
      </c>
      <c r="GK446" s="675">
        <v>0</v>
      </c>
      <c r="GL446" s="549">
        <v>0</v>
      </c>
      <c r="GM446" s="675">
        <v>0</v>
      </c>
      <c r="GN446" s="549">
        <v>0</v>
      </c>
      <c r="GO446" s="675">
        <v>0</v>
      </c>
      <c r="GP446" s="549">
        <f t="shared" si="11464"/>
        <v>0</v>
      </c>
      <c r="GQ446" s="675">
        <f t="shared" si="11465"/>
        <v>-9547</v>
      </c>
      <c r="GR446" s="74">
        <f>C446+GP446+GQ446</f>
        <v>453</v>
      </c>
      <c r="GS446" s="74">
        <f t="shared" si="11466"/>
        <v>453</v>
      </c>
      <c r="GT446" s="568">
        <f t="shared" si="11467"/>
        <v>453</v>
      </c>
      <c r="GU446" s="275">
        <v>5000</v>
      </c>
      <c r="GV446" s="275">
        <v>0</v>
      </c>
      <c r="GW446" s="275">
        <v>5000</v>
      </c>
      <c r="GX446" s="275">
        <v>0</v>
      </c>
      <c r="GY446" s="275">
        <v>0</v>
      </c>
      <c r="GZ446" s="275">
        <v>0</v>
      </c>
      <c r="HA446" s="275">
        <v>0</v>
      </c>
      <c r="HB446" s="275">
        <v>0</v>
      </c>
      <c r="HC446" s="275">
        <v>0</v>
      </c>
      <c r="HD446" s="275">
        <v>0</v>
      </c>
      <c r="HE446" s="275">
        <v>0</v>
      </c>
      <c r="HF446" s="275"/>
      <c r="HG446" s="74">
        <f>SUM(HH446:IE446)</f>
        <v>453</v>
      </c>
      <c r="HH446" s="89">
        <v>5000</v>
      </c>
      <c r="HI446" s="817">
        <v>0</v>
      </c>
      <c r="HJ446" s="89">
        <v>0</v>
      </c>
      <c r="HK446" s="817">
        <v>0</v>
      </c>
      <c r="HL446" s="89">
        <v>0</v>
      </c>
      <c r="HM446" s="817">
        <v>0</v>
      </c>
      <c r="HN446" s="89">
        <v>0</v>
      </c>
      <c r="HO446" s="817">
        <v>0</v>
      </c>
      <c r="HP446" s="89">
        <v>-2000</v>
      </c>
      <c r="HQ446" s="817">
        <v>0</v>
      </c>
      <c r="HR446" s="89">
        <v>0</v>
      </c>
      <c r="HS446" s="817">
        <v>0</v>
      </c>
      <c r="HT446" s="89">
        <v>-2000</v>
      </c>
      <c r="HU446" s="817">
        <v>0</v>
      </c>
      <c r="HV446" s="89">
        <v>0</v>
      </c>
      <c r="HW446" s="817">
        <v>0</v>
      </c>
      <c r="HX446" s="89">
        <v>-403</v>
      </c>
      <c r="HY446" s="817">
        <v>0</v>
      </c>
      <c r="HZ446" s="89">
        <v>-144</v>
      </c>
      <c r="IA446" s="817">
        <v>0</v>
      </c>
      <c r="IB446" s="89">
        <v>0</v>
      </c>
      <c r="IC446" s="817">
        <v>0</v>
      </c>
      <c r="ID446" s="89">
        <v>0</v>
      </c>
      <c r="IE446" s="817">
        <v>0</v>
      </c>
      <c r="IF446" s="841">
        <f t="shared" si="11468"/>
        <v>452.72</v>
      </c>
      <c r="IG446" s="263">
        <f t="shared" si="11469"/>
        <v>452.72</v>
      </c>
      <c r="IH446" s="842">
        <f t="shared" si="11470"/>
        <v>452.72</v>
      </c>
      <c r="II446" s="89">
        <v>185.04</v>
      </c>
      <c r="IJ446" s="89">
        <f t="shared" si="11471"/>
        <v>185.04</v>
      </c>
      <c r="IK446" s="89">
        <f t="shared" si="11472"/>
        <v>185.04</v>
      </c>
      <c r="IL446" s="89">
        <v>0</v>
      </c>
      <c r="IM446" s="89">
        <f t="shared" si="11473"/>
        <v>0</v>
      </c>
      <c r="IN446" s="89">
        <f t="shared" si="11474"/>
        <v>0</v>
      </c>
      <c r="IO446" s="89">
        <f>357.9-185.04</f>
        <v>172.85999999999999</v>
      </c>
      <c r="IP446" s="89">
        <f t="shared" si="11475"/>
        <v>172.85999999999999</v>
      </c>
      <c r="IQ446" s="89">
        <f t="shared" si="11476"/>
        <v>172.85999999999999</v>
      </c>
      <c r="IR446" s="89">
        <f>414.6-357.9</f>
        <v>56.700000000000045</v>
      </c>
      <c r="IS446" s="89">
        <f t="shared" si="11477"/>
        <v>56.700000000000045</v>
      </c>
      <c r="IT446" s="89">
        <f t="shared" si="11478"/>
        <v>56.700000000000045</v>
      </c>
      <c r="IU446" s="89">
        <v>0</v>
      </c>
      <c r="IV446" s="89">
        <f t="shared" si="11479"/>
        <v>0</v>
      </c>
      <c r="IW446" s="89">
        <f t="shared" si="11480"/>
        <v>0</v>
      </c>
      <c r="IX446" s="89">
        <v>0</v>
      </c>
      <c r="IY446" s="89">
        <f t="shared" si="11481"/>
        <v>0</v>
      </c>
      <c r="IZ446" s="89">
        <f t="shared" si="11482"/>
        <v>0</v>
      </c>
      <c r="JA446" s="89">
        <f>452.72-414.6</f>
        <v>38.120000000000005</v>
      </c>
      <c r="JB446" s="89">
        <f t="shared" si="11483"/>
        <v>38.120000000000005</v>
      </c>
      <c r="JC446" s="89">
        <f t="shared" si="11484"/>
        <v>38.120000000000005</v>
      </c>
      <c r="JD446" s="89">
        <v>0</v>
      </c>
      <c r="JE446" s="89">
        <f t="shared" si="11485"/>
        <v>0</v>
      </c>
      <c r="JF446" s="89">
        <f t="shared" si="11486"/>
        <v>0</v>
      </c>
      <c r="JG446" s="89">
        <v>0</v>
      </c>
      <c r="JH446" s="89">
        <f t="shared" si="11487"/>
        <v>0</v>
      </c>
      <c r="JI446" s="89">
        <f t="shared" si="11488"/>
        <v>0</v>
      </c>
      <c r="JJ446" s="89">
        <v>0</v>
      </c>
      <c r="JK446" s="89">
        <f t="shared" si="11489"/>
        <v>0</v>
      </c>
      <c r="JL446" s="89">
        <f t="shared" si="11490"/>
        <v>0</v>
      </c>
      <c r="JM446" s="89">
        <v>0</v>
      </c>
      <c r="JN446" s="89">
        <f t="shared" si="11491"/>
        <v>0</v>
      </c>
      <c r="JO446" s="89">
        <f t="shared" si="11492"/>
        <v>0</v>
      </c>
      <c r="JP446" s="89">
        <v>0</v>
      </c>
      <c r="JQ446" s="89">
        <f t="shared" ref="JQ446:JR446" si="11495">JP446</f>
        <v>0</v>
      </c>
      <c r="JR446" s="89">
        <f t="shared" si="11495"/>
        <v>0</v>
      </c>
      <c r="JS446" s="74">
        <f>HG446-IF446</f>
        <v>0.27999999999997272</v>
      </c>
      <c r="JT446" s="382">
        <f>GS446-IF446</f>
        <v>0.27999999999997272</v>
      </c>
      <c r="JU446" s="665"/>
      <c r="JV446" s="524"/>
      <c r="JW446" s="525"/>
      <c r="JX446" s="549">
        <f t="shared" si="11494"/>
        <v>453</v>
      </c>
      <c r="JY446" s="549">
        <f t="shared" si="11494"/>
        <v>0</v>
      </c>
      <c r="JZ446" s="581">
        <f t="shared" si="11276"/>
        <v>0</v>
      </c>
      <c r="KA446" s="581">
        <f t="shared" si="11277"/>
        <v>-9547</v>
      </c>
      <c r="KB446" s="549">
        <f t="shared" si="11273"/>
        <v>453</v>
      </c>
      <c r="KC446" s="709">
        <f t="shared" si="11275"/>
        <v>0</v>
      </c>
      <c r="KD446" s="36"/>
      <c r="KE446" s="36"/>
      <c r="KF446" s="36"/>
      <c r="KG446" s="36"/>
      <c r="KH446" s="36"/>
      <c r="KI446" s="36"/>
      <c r="KJ446" s="36"/>
      <c r="KK446" s="36"/>
    </row>
    <row r="447" spans="1:297" s="10" customFormat="1" ht="12.75" customHeight="1">
      <c r="A447" s="86" t="s">
        <v>265</v>
      </c>
      <c r="B447" s="77" t="s">
        <v>134</v>
      </c>
      <c r="C447" s="74">
        <v>3000</v>
      </c>
      <c r="D447" s="549">
        <v>0</v>
      </c>
      <c r="E447" s="675">
        <v>0</v>
      </c>
      <c r="F447" s="549">
        <v>0</v>
      </c>
      <c r="G447" s="675">
        <v>0</v>
      </c>
      <c r="H447" s="549">
        <v>0</v>
      </c>
      <c r="I447" s="675">
        <v>0</v>
      </c>
      <c r="J447" s="549">
        <v>0</v>
      </c>
      <c r="K447" s="675">
        <v>0</v>
      </c>
      <c r="L447" s="549">
        <v>0</v>
      </c>
      <c r="M447" s="675">
        <v>0</v>
      </c>
      <c r="N447" s="549">
        <v>0</v>
      </c>
      <c r="O447" s="675">
        <v>0</v>
      </c>
      <c r="P447" s="549">
        <v>0</v>
      </c>
      <c r="Q447" s="675">
        <v>0</v>
      </c>
      <c r="R447" s="549">
        <v>0</v>
      </c>
      <c r="S447" s="675">
        <v>0</v>
      </c>
      <c r="T447" s="549">
        <v>0</v>
      </c>
      <c r="U447" s="675">
        <v>0</v>
      </c>
      <c r="V447" s="549">
        <v>0</v>
      </c>
      <c r="W447" s="675">
        <v>0</v>
      </c>
      <c r="X447" s="549">
        <v>0</v>
      </c>
      <c r="Y447" s="675">
        <v>0</v>
      </c>
      <c r="Z447" s="549">
        <v>0</v>
      </c>
      <c r="AA447" s="675">
        <v>0</v>
      </c>
      <c r="AB447" s="549">
        <v>0</v>
      </c>
      <c r="AC447" s="675">
        <v>0</v>
      </c>
      <c r="AD447" s="549">
        <v>0</v>
      </c>
      <c r="AE447" s="675">
        <v>0</v>
      </c>
      <c r="AF447" s="549">
        <v>0</v>
      </c>
      <c r="AG447" s="675">
        <v>0</v>
      </c>
      <c r="AH447" s="549">
        <v>0</v>
      </c>
      <c r="AI447" s="675">
        <v>0</v>
      </c>
      <c r="AJ447" s="549">
        <v>0</v>
      </c>
      <c r="AK447" s="675">
        <v>0</v>
      </c>
      <c r="AL447" s="549">
        <v>0</v>
      </c>
      <c r="AM447" s="675">
        <v>0</v>
      </c>
      <c r="AN447" s="549">
        <v>0</v>
      </c>
      <c r="AO447" s="675">
        <v>0</v>
      </c>
      <c r="AP447" s="549">
        <v>0</v>
      </c>
      <c r="AQ447" s="675">
        <v>0</v>
      </c>
      <c r="AR447" s="549">
        <v>0</v>
      </c>
      <c r="AS447" s="675">
        <v>0</v>
      </c>
      <c r="AT447" s="549">
        <v>0</v>
      </c>
      <c r="AU447" s="675">
        <v>0</v>
      </c>
      <c r="AV447" s="549">
        <v>0</v>
      </c>
      <c r="AW447" s="675">
        <v>0</v>
      </c>
      <c r="AX447" s="549">
        <v>0</v>
      </c>
      <c r="AY447" s="675">
        <v>0</v>
      </c>
      <c r="AZ447" s="549">
        <v>0</v>
      </c>
      <c r="BA447" s="675">
        <v>-1000</v>
      </c>
      <c r="BB447" s="549">
        <v>0</v>
      </c>
      <c r="BC447" s="675">
        <v>0</v>
      </c>
      <c r="BD447" s="549">
        <v>0</v>
      </c>
      <c r="BE447" s="675">
        <v>0</v>
      </c>
      <c r="BF447" s="549">
        <v>0</v>
      </c>
      <c r="BG447" s="675">
        <v>0</v>
      </c>
      <c r="BH447" s="549">
        <v>0</v>
      </c>
      <c r="BI447" s="675">
        <v>0</v>
      </c>
      <c r="BJ447" s="549">
        <v>0</v>
      </c>
      <c r="BK447" s="675">
        <v>0</v>
      </c>
      <c r="BL447" s="549">
        <v>0</v>
      </c>
      <c r="BM447" s="675">
        <v>0</v>
      </c>
      <c r="BN447" s="549">
        <v>0</v>
      </c>
      <c r="BO447" s="675">
        <v>0</v>
      </c>
      <c r="BP447" s="549">
        <v>0</v>
      </c>
      <c r="BQ447" s="675">
        <v>0</v>
      </c>
      <c r="BR447" s="549">
        <v>0</v>
      </c>
      <c r="BS447" s="675">
        <v>0</v>
      </c>
      <c r="BT447" s="549">
        <v>0</v>
      </c>
      <c r="BU447" s="675">
        <v>0</v>
      </c>
      <c r="BV447" s="549">
        <v>0</v>
      </c>
      <c r="BW447" s="675">
        <v>0</v>
      </c>
      <c r="BX447" s="549">
        <v>0</v>
      </c>
      <c r="BY447" s="675">
        <v>0</v>
      </c>
      <c r="BZ447" s="549">
        <v>0</v>
      </c>
      <c r="CA447" s="675">
        <v>0</v>
      </c>
      <c r="CB447" s="549">
        <v>0</v>
      </c>
      <c r="CC447" s="675">
        <v>0</v>
      </c>
      <c r="CD447" s="549">
        <v>0</v>
      </c>
      <c r="CE447" s="675">
        <v>0</v>
      </c>
      <c r="CF447" s="549">
        <v>0</v>
      </c>
      <c r="CG447" s="675">
        <v>0</v>
      </c>
      <c r="CH447" s="549">
        <v>0</v>
      </c>
      <c r="CI447" s="675">
        <v>0</v>
      </c>
      <c r="CJ447" s="549">
        <v>0</v>
      </c>
      <c r="CK447" s="675">
        <v>-1000</v>
      </c>
      <c r="CL447" s="549">
        <v>0</v>
      </c>
      <c r="CM447" s="675">
        <v>0</v>
      </c>
      <c r="CN447" s="549">
        <v>0</v>
      </c>
      <c r="CO447" s="675">
        <v>0</v>
      </c>
      <c r="CP447" s="549">
        <v>0</v>
      </c>
      <c r="CQ447" s="675">
        <v>0</v>
      </c>
      <c r="CR447" s="549">
        <v>0</v>
      </c>
      <c r="CS447" s="675">
        <v>0</v>
      </c>
      <c r="CT447" s="549">
        <v>0</v>
      </c>
      <c r="CU447" s="675">
        <v>0</v>
      </c>
      <c r="CV447" s="549">
        <v>0</v>
      </c>
      <c r="CW447" s="675">
        <v>0</v>
      </c>
      <c r="CX447" s="549">
        <v>0</v>
      </c>
      <c r="CY447" s="675">
        <v>0</v>
      </c>
      <c r="CZ447" s="549">
        <v>0</v>
      </c>
      <c r="DA447" s="675">
        <v>0</v>
      </c>
      <c r="DB447" s="549">
        <v>0</v>
      </c>
      <c r="DC447" s="675">
        <v>0</v>
      </c>
      <c r="DD447" s="549">
        <v>0</v>
      </c>
      <c r="DE447" s="675">
        <v>0</v>
      </c>
      <c r="DF447" s="549">
        <v>0</v>
      </c>
      <c r="DG447" s="675">
        <v>0</v>
      </c>
      <c r="DH447" s="549">
        <v>0</v>
      </c>
      <c r="DI447" s="675">
        <v>0</v>
      </c>
      <c r="DJ447" s="549">
        <v>0</v>
      </c>
      <c r="DK447" s="675">
        <v>0</v>
      </c>
      <c r="DL447" s="549">
        <v>0</v>
      </c>
      <c r="DM447" s="675">
        <v>0</v>
      </c>
      <c r="DN447" s="549">
        <v>0</v>
      </c>
      <c r="DO447" s="675">
        <v>0</v>
      </c>
      <c r="DP447" s="549">
        <v>0</v>
      </c>
      <c r="DQ447" s="675">
        <v>0</v>
      </c>
      <c r="DR447" s="549">
        <v>0</v>
      </c>
      <c r="DS447" s="675">
        <v>0</v>
      </c>
      <c r="DT447" s="549">
        <v>0</v>
      </c>
      <c r="DU447" s="675">
        <v>0</v>
      </c>
      <c r="DV447" s="549">
        <v>0</v>
      </c>
      <c r="DW447" s="675">
        <v>0</v>
      </c>
      <c r="DX447" s="549">
        <v>0</v>
      </c>
      <c r="DY447" s="675">
        <v>0</v>
      </c>
      <c r="DZ447" s="549">
        <v>0</v>
      </c>
      <c r="EA447" s="675">
        <v>0</v>
      </c>
      <c r="EB447" s="549">
        <v>0</v>
      </c>
      <c r="EC447" s="675">
        <v>0</v>
      </c>
      <c r="ED447" s="549">
        <v>0</v>
      </c>
      <c r="EE447" s="675">
        <v>0</v>
      </c>
      <c r="EF447" s="549">
        <v>0</v>
      </c>
      <c r="EG447" s="675">
        <v>0</v>
      </c>
      <c r="EH447" s="549">
        <v>0</v>
      </c>
      <c r="EI447" s="675">
        <v>0</v>
      </c>
      <c r="EJ447" s="549">
        <v>0</v>
      </c>
      <c r="EK447" s="675">
        <v>0</v>
      </c>
      <c r="EL447" s="549">
        <v>0</v>
      </c>
      <c r="EM447" s="675">
        <v>0</v>
      </c>
      <c r="EN447" s="549">
        <v>0</v>
      </c>
      <c r="EO447" s="675">
        <v>0</v>
      </c>
      <c r="EP447" s="549">
        <v>0</v>
      </c>
      <c r="EQ447" s="675">
        <v>0</v>
      </c>
      <c r="ER447" s="549">
        <v>0</v>
      </c>
      <c r="ES447" s="675">
        <v>0</v>
      </c>
      <c r="ET447" s="549">
        <v>0</v>
      </c>
      <c r="EU447" s="675">
        <v>0</v>
      </c>
      <c r="EV447" s="549">
        <v>0</v>
      </c>
      <c r="EW447" s="675">
        <v>0</v>
      </c>
      <c r="EX447" s="549">
        <v>0</v>
      </c>
      <c r="EY447" s="675">
        <v>0</v>
      </c>
      <c r="EZ447" s="549">
        <v>0</v>
      </c>
      <c r="FA447" s="675">
        <v>0</v>
      </c>
      <c r="FB447" s="549">
        <v>0</v>
      </c>
      <c r="FC447" s="675">
        <v>0</v>
      </c>
      <c r="FD447" s="549">
        <v>0</v>
      </c>
      <c r="FE447" s="675">
        <v>0</v>
      </c>
      <c r="FF447" s="549">
        <v>0</v>
      </c>
      <c r="FG447" s="675">
        <v>0</v>
      </c>
      <c r="FH447" s="549">
        <v>0</v>
      </c>
      <c r="FI447" s="675">
        <v>0</v>
      </c>
      <c r="FJ447" s="549">
        <v>0</v>
      </c>
      <c r="FK447" s="675">
        <v>0</v>
      </c>
      <c r="FL447" s="549">
        <v>0</v>
      </c>
      <c r="FM447" s="675">
        <v>-547</v>
      </c>
      <c r="FN447" s="549">
        <v>0</v>
      </c>
      <c r="FO447" s="675">
        <v>0</v>
      </c>
      <c r="FP447" s="549">
        <v>0</v>
      </c>
      <c r="FQ447" s="675">
        <v>0</v>
      </c>
      <c r="FR447" s="549">
        <v>0</v>
      </c>
      <c r="FS447" s="675">
        <v>0</v>
      </c>
      <c r="FT447" s="549">
        <v>0</v>
      </c>
      <c r="FU447" s="675">
        <v>0</v>
      </c>
      <c r="FV447" s="549">
        <v>0</v>
      </c>
      <c r="FW447" s="675">
        <v>0</v>
      </c>
      <c r="FX447" s="549">
        <v>0</v>
      </c>
      <c r="FY447" s="675">
        <v>0</v>
      </c>
      <c r="FZ447" s="549">
        <v>0</v>
      </c>
      <c r="GA447" s="675">
        <v>0</v>
      </c>
      <c r="GB447" s="549">
        <v>0</v>
      </c>
      <c r="GC447" s="675">
        <v>0</v>
      </c>
      <c r="GD447" s="549">
        <v>0</v>
      </c>
      <c r="GE447" s="675">
        <v>0</v>
      </c>
      <c r="GF447" s="549">
        <v>0</v>
      </c>
      <c r="GG447" s="675">
        <v>0</v>
      </c>
      <c r="GH447" s="549">
        <v>0</v>
      </c>
      <c r="GI447" s="675">
        <v>0</v>
      </c>
      <c r="GJ447" s="549">
        <v>0</v>
      </c>
      <c r="GK447" s="675">
        <v>0</v>
      </c>
      <c r="GL447" s="549">
        <v>0</v>
      </c>
      <c r="GM447" s="675">
        <v>0</v>
      </c>
      <c r="GN447" s="549">
        <v>0</v>
      </c>
      <c r="GO447" s="675">
        <v>0</v>
      </c>
      <c r="GP447" s="549">
        <f t="shared" si="11464"/>
        <v>0</v>
      </c>
      <c r="GQ447" s="675">
        <f t="shared" si="11465"/>
        <v>-2547</v>
      </c>
      <c r="GR447" s="74">
        <f>C447+GP447+GQ447</f>
        <v>453</v>
      </c>
      <c r="GS447" s="74">
        <f t="shared" si="11466"/>
        <v>453</v>
      </c>
      <c r="GT447" s="568">
        <f t="shared" si="11467"/>
        <v>453</v>
      </c>
      <c r="GU447" s="275">
        <v>0</v>
      </c>
      <c r="GV447" s="275">
        <v>3000</v>
      </c>
      <c r="GW447" s="275">
        <v>0</v>
      </c>
      <c r="GX447" s="275">
        <v>0</v>
      </c>
      <c r="GY447" s="275">
        <v>0</v>
      </c>
      <c r="GZ447" s="275">
        <v>0</v>
      </c>
      <c r="HA447" s="275">
        <v>0</v>
      </c>
      <c r="HB447" s="275">
        <v>0</v>
      </c>
      <c r="HC447" s="275">
        <v>0</v>
      </c>
      <c r="HD447" s="275">
        <v>0</v>
      </c>
      <c r="HE447" s="275">
        <v>0</v>
      </c>
      <c r="HF447" s="275"/>
      <c r="HG447" s="74">
        <f>SUM(HH447:IE447)</f>
        <v>453</v>
      </c>
      <c r="HH447" s="89">
        <v>0</v>
      </c>
      <c r="HI447" s="817">
        <v>0</v>
      </c>
      <c r="HJ447" s="89">
        <v>3000</v>
      </c>
      <c r="HK447" s="817">
        <v>0</v>
      </c>
      <c r="HL447" s="89">
        <v>0</v>
      </c>
      <c r="HM447" s="817">
        <v>0</v>
      </c>
      <c r="HN447" s="89">
        <v>0</v>
      </c>
      <c r="HO447" s="817">
        <v>0</v>
      </c>
      <c r="HP447" s="89">
        <v>-1000</v>
      </c>
      <c r="HQ447" s="817">
        <v>0</v>
      </c>
      <c r="HR447" s="89">
        <v>0</v>
      </c>
      <c r="HS447" s="817">
        <v>0</v>
      </c>
      <c r="HT447" s="89">
        <v>-1000</v>
      </c>
      <c r="HU447" s="817">
        <v>0</v>
      </c>
      <c r="HV447" s="89">
        <v>0</v>
      </c>
      <c r="HW447" s="817">
        <v>0</v>
      </c>
      <c r="HX447" s="89">
        <v>0</v>
      </c>
      <c r="HY447" s="817">
        <v>0</v>
      </c>
      <c r="HZ447" s="89">
        <v>-547</v>
      </c>
      <c r="IA447" s="817">
        <v>0</v>
      </c>
      <c r="IB447" s="89">
        <v>0</v>
      </c>
      <c r="IC447" s="817">
        <v>0</v>
      </c>
      <c r="ID447" s="89">
        <v>0</v>
      </c>
      <c r="IE447" s="817">
        <v>0</v>
      </c>
      <c r="IF447" s="841">
        <f t="shared" si="11468"/>
        <v>452.5</v>
      </c>
      <c r="IG447" s="263">
        <f t="shared" si="11469"/>
        <v>452.5</v>
      </c>
      <c r="IH447" s="842">
        <f t="shared" si="11470"/>
        <v>452.5</v>
      </c>
      <c r="II447" s="89">
        <v>0</v>
      </c>
      <c r="IJ447" s="89">
        <f t="shared" si="11471"/>
        <v>0</v>
      </c>
      <c r="IK447" s="89">
        <f t="shared" si="11472"/>
        <v>0</v>
      </c>
      <c r="IL447" s="89">
        <v>22</v>
      </c>
      <c r="IM447" s="89">
        <f t="shared" si="11473"/>
        <v>22</v>
      </c>
      <c r="IN447" s="89">
        <f t="shared" si="11474"/>
        <v>22</v>
      </c>
      <c r="IO447" s="89">
        <v>0</v>
      </c>
      <c r="IP447" s="89">
        <f t="shared" si="11475"/>
        <v>0</v>
      </c>
      <c r="IQ447" s="89">
        <f t="shared" si="11476"/>
        <v>0</v>
      </c>
      <c r="IR447" s="89">
        <v>0</v>
      </c>
      <c r="IS447" s="89">
        <f t="shared" si="11477"/>
        <v>0</v>
      </c>
      <c r="IT447" s="89">
        <f t="shared" si="11478"/>
        <v>0</v>
      </c>
      <c r="IU447" s="89">
        <v>0</v>
      </c>
      <c r="IV447" s="89">
        <f t="shared" si="11479"/>
        <v>0</v>
      </c>
      <c r="IW447" s="89">
        <f t="shared" si="11480"/>
        <v>0</v>
      </c>
      <c r="IX447" s="89">
        <v>0</v>
      </c>
      <c r="IY447" s="89">
        <f t="shared" si="11481"/>
        <v>0</v>
      </c>
      <c r="IZ447" s="89">
        <f t="shared" si="11482"/>
        <v>0</v>
      </c>
      <c r="JA447" s="89">
        <f>22-22</f>
        <v>0</v>
      </c>
      <c r="JB447" s="89">
        <f t="shared" si="11483"/>
        <v>0</v>
      </c>
      <c r="JC447" s="89">
        <f t="shared" si="11484"/>
        <v>0</v>
      </c>
      <c r="JD447" s="89">
        <f>452.5-22</f>
        <v>430.5</v>
      </c>
      <c r="JE447" s="89">
        <f t="shared" si="11485"/>
        <v>430.5</v>
      </c>
      <c r="JF447" s="89">
        <f t="shared" si="11486"/>
        <v>430.5</v>
      </c>
      <c r="JG447" s="89">
        <v>0</v>
      </c>
      <c r="JH447" s="89">
        <f t="shared" si="11487"/>
        <v>0</v>
      </c>
      <c r="JI447" s="89">
        <f t="shared" si="11488"/>
        <v>0</v>
      </c>
      <c r="JJ447" s="89">
        <v>0</v>
      </c>
      <c r="JK447" s="89">
        <f t="shared" si="11489"/>
        <v>0</v>
      </c>
      <c r="JL447" s="89">
        <f t="shared" si="11490"/>
        <v>0</v>
      </c>
      <c r="JM447" s="89">
        <v>0</v>
      </c>
      <c r="JN447" s="89">
        <f t="shared" si="11491"/>
        <v>0</v>
      </c>
      <c r="JO447" s="89">
        <f t="shared" si="11492"/>
        <v>0</v>
      </c>
      <c r="JP447" s="89">
        <v>0</v>
      </c>
      <c r="JQ447" s="89">
        <f t="shared" ref="JQ447:JR447" si="11496">JP447</f>
        <v>0</v>
      </c>
      <c r="JR447" s="89">
        <f t="shared" si="11496"/>
        <v>0</v>
      </c>
      <c r="JS447" s="74">
        <f>HG447-IF447</f>
        <v>0.5</v>
      </c>
      <c r="JT447" s="382">
        <f>GS447-IF447</f>
        <v>0.5</v>
      </c>
      <c r="JU447" s="665"/>
      <c r="JV447" s="524"/>
      <c r="JW447" s="525"/>
      <c r="JX447" s="549">
        <f t="shared" si="11494"/>
        <v>453</v>
      </c>
      <c r="JY447" s="549">
        <f t="shared" si="11494"/>
        <v>0</v>
      </c>
      <c r="JZ447" s="581">
        <f t="shared" si="11276"/>
        <v>0</v>
      </c>
      <c r="KA447" s="581">
        <f t="shared" si="11277"/>
        <v>-2547</v>
      </c>
      <c r="KB447" s="549">
        <f t="shared" si="11273"/>
        <v>453</v>
      </c>
      <c r="KC447" s="709">
        <f t="shared" si="11275"/>
        <v>0</v>
      </c>
      <c r="KD447" s="36"/>
      <c r="KE447" s="36"/>
      <c r="KF447" s="36"/>
      <c r="KG447" s="36"/>
      <c r="KH447" s="36"/>
      <c r="KI447" s="36"/>
      <c r="KJ447" s="36"/>
      <c r="KK447" s="36"/>
    </row>
    <row r="448" spans="1:297" s="10" customFormat="1">
      <c r="A448" s="86" t="s">
        <v>266</v>
      </c>
      <c r="B448" s="77" t="s">
        <v>135</v>
      </c>
      <c r="C448" s="74">
        <v>17000</v>
      </c>
      <c r="D448" s="549">
        <v>0</v>
      </c>
      <c r="E448" s="675">
        <v>0</v>
      </c>
      <c r="F448" s="549">
        <v>0</v>
      </c>
      <c r="G448" s="675">
        <v>0</v>
      </c>
      <c r="H448" s="549">
        <v>0</v>
      </c>
      <c r="I448" s="675">
        <v>0</v>
      </c>
      <c r="J448" s="549">
        <v>0</v>
      </c>
      <c r="K448" s="675">
        <v>0</v>
      </c>
      <c r="L448" s="549">
        <v>0</v>
      </c>
      <c r="M448" s="675">
        <v>0</v>
      </c>
      <c r="N448" s="549">
        <v>0</v>
      </c>
      <c r="O448" s="675">
        <v>0</v>
      </c>
      <c r="P448" s="549">
        <v>0</v>
      </c>
      <c r="Q448" s="675">
        <v>0</v>
      </c>
      <c r="R448" s="549">
        <v>0</v>
      </c>
      <c r="S448" s="675">
        <v>0</v>
      </c>
      <c r="T448" s="549">
        <v>0</v>
      </c>
      <c r="U448" s="675">
        <v>0</v>
      </c>
      <c r="V448" s="549">
        <v>0</v>
      </c>
      <c r="W448" s="675">
        <v>-4000</v>
      </c>
      <c r="X448" s="549">
        <v>0</v>
      </c>
      <c r="Y448" s="675">
        <v>0</v>
      </c>
      <c r="Z448" s="549">
        <v>0</v>
      </c>
      <c r="AA448" s="675">
        <v>0</v>
      </c>
      <c r="AB448" s="549">
        <v>0</v>
      </c>
      <c r="AC448" s="675">
        <v>0</v>
      </c>
      <c r="AD448" s="549">
        <v>0</v>
      </c>
      <c r="AE448" s="675">
        <v>0</v>
      </c>
      <c r="AF448" s="549">
        <v>0</v>
      </c>
      <c r="AG448" s="675">
        <v>-1000</v>
      </c>
      <c r="AH448" s="549">
        <v>0</v>
      </c>
      <c r="AI448" s="675">
        <v>0</v>
      </c>
      <c r="AJ448" s="549">
        <v>0</v>
      </c>
      <c r="AK448" s="675">
        <v>0</v>
      </c>
      <c r="AL448" s="549">
        <v>0</v>
      </c>
      <c r="AM448" s="675">
        <v>0</v>
      </c>
      <c r="AN448" s="549">
        <v>0</v>
      </c>
      <c r="AO448" s="675">
        <v>0</v>
      </c>
      <c r="AP448" s="549">
        <v>0</v>
      </c>
      <c r="AQ448" s="675">
        <v>0</v>
      </c>
      <c r="AR448" s="549">
        <v>0</v>
      </c>
      <c r="AS448" s="675">
        <v>0</v>
      </c>
      <c r="AT448" s="549">
        <v>0</v>
      </c>
      <c r="AU448" s="675">
        <v>0</v>
      </c>
      <c r="AV448" s="549">
        <v>0</v>
      </c>
      <c r="AW448" s="675">
        <v>0</v>
      </c>
      <c r="AX448" s="549">
        <v>0</v>
      </c>
      <c r="AY448" s="675">
        <v>0</v>
      </c>
      <c r="AZ448" s="549">
        <v>0</v>
      </c>
      <c r="BA448" s="675">
        <v>-2000</v>
      </c>
      <c r="BB448" s="549">
        <v>0</v>
      </c>
      <c r="BC448" s="675">
        <v>0</v>
      </c>
      <c r="BD448" s="549">
        <v>0</v>
      </c>
      <c r="BE448" s="675">
        <v>0</v>
      </c>
      <c r="BF448" s="549">
        <v>0</v>
      </c>
      <c r="BG448" s="675">
        <v>0</v>
      </c>
      <c r="BH448" s="549">
        <v>0</v>
      </c>
      <c r="BI448" s="675">
        <v>0</v>
      </c>
      <c r="BJ448" s="549">
        <v>0</v>
      </c>
      <c r="BK448" s="675">
        <v>0</v>
      </c>
      <c r="BL448" s="549">
        <v>0</v>
      </c>
      <c r="BM448" s="675">
        <v>0</v>
      </c>
      <c r="BN448" s="549">
        <v>0</v>
      </c>
      <c r="BO448" s="675">
        <v>0</v>
      </c>
      <c r="BP448" s="549">
        <v>0</v>
      </c>
      <c r="BQ448" s="675">
        <v>0</v>
      </c>
      <c r="BR448" s="549">
        <v>0</v>
      </c>
      <c r="BS448" s="675">
        <v>0</v>
      </c>
      <c r="BT448" s="549">
        <v>0</v>
      </c>
      <c r="BU448" s="675">
        <v>0</v>
      </c>
      <c r="BV448" s="549">
        <v>0</v>
      </c>
      <c r="BW448" s="675">
        <v>0</v>
      </c>
      <c r="BX448" s="549">
        <v>0</v>
      </c>
      <c r="BY448" s="675">
        <v>0</v>
      </c>
      <c r="BZ448" s="549">
        <v>0</v>
      </c>
      <c r="CA448" s="675">
        <v>0</v>
      </c>
      <c r="CB448" s="549">
        <v>0</v>
      </c>
      <c r="CC448" s="675">
        <v>0</v>
      </c>
      <c r="CD448" s="549">
        <v>0</v>
      </c>
      <c r="CE448" s="675">
        <v>0</v>
      </c>
      <c r="CF448" s="549">
        <v>0</v>
      </c>
      <c r="CG448" s="675">
        <v>0</v>
      </c>
      <c r="CH448" s="549">
        <v>0</v>
      </c>
      <c r="CI448" s="675">
        <v>0</v>
      </c>
      <c r="CJ448" s="549">
        <v>0</v>
      </c>
      <c r="CK448" s="675">
        <v>-3000</v>
      </c>
      <c r="CL448" s="549">
        <v>0</v>
      </c>
      <c r="CM448" s="675">
        <v>-3000</v>
      </c>
      <c r="CN448" s="549">
        <v>0</v>
      </c>
      <c r="CO448" s="675">
        <v>0</v>
      </c>
      <c r="CP448" s="549">
        <v>0</v>
      </c>
      <c r="CQ448" s="675">
        <v>0</v>
      </c>
      <c r="CR448" s="549">
        <v>0</v>
      </c>
      <c r="CS448" s="675">
        <v>0</v>
      </c>
      <c r="CT448" s="549">
        <v>0</v>
      </c>
      <c r="CU448" s="675">
        <v>0</v>
      </c>
      <c r="CV448" s="549">
        <v>0</v>
      </c>
      <c r="CW448" s="675">
        <v>0</v>
      </c>
      <c r="CX448" s="549">
        <v>0</v>
      </c>
      <c r="CY448" s="675">
        <v>0</v>
      </c>
      <c r="CZ448" s="549">
        <v>0</v>
      </c>
      <c r="DA448" s="675">
        <v>0</v>
      </c>
      <c r="DB448" s="549">
        <v>0</v>
      </c>
      <c r="DC448" s="675">
        <v>0</v>
      </c>
      <c r="DD448" s="549">
        <v>0</v>
      </c>
      <c r="DE448" s="675">
        <v>0</v>
      </c>
      <c r="DF448" s="549">
        <v>0</v>
      </c>
      <c r="DG448" s="675">
        <v>0</v>
      </c>
      <c r="DH448" s="549">
        <v>0</v>
      </c>
      <c r="DI448" s="675">
        <v>0</v>
      </c>
      <c r="DJ448" s="549">
        <v>0</v>
      </c>
      <c r="DK448" s="675">
        <v>-1000</v>
      </c>
      <c r="DL448" s="549">
        <v>0</v>
      </c>
      <c r="DM448" s="675">
        <v>0</v>
      </c>
      <c r="DN448" s="549">
        <v>0</v>
      </c>
      <c r="DO448" s="675">
        <v>0</v>
      </c>
      <c r="DP448" s="549">
        <v>0</v>
      </c>
      <c r="DQ448" s="675">
        <v>0</v>
      </c>
      <c r="DR448" s="549">
        <v>0</v>
      </c>
      <c r="DS448" s="675">
        <v>0</v>
      </c>
      <c r="DT448" s="549">
        <v>0</v>
      </c>
      <c r="DU448" s="675">
        <v>0</v>
      </c>
      <c r="DV448" s="549">
        <v>0</v>
      </c>
      <c r="DW448" s="675">
        <v>0</v>
      </c>
      <c r="DX448" s="549">
        <v>0</v>
      </c>
      <c r="DY448" s="675">
        <v>0</v>
      </c>
      <c r="DZ448" s="549">
        <v>0</v>
      </c>
      <c r="EA448" s="675">
        <v>0</v>
      </c>
      <c r="EB448" s="549">
        <v>0</v>
      </c>
      <c r="EC448" s="675">
        <v>0</v>
      </c>
      <c r="ED448" s="549">
        <v>0</v>
      </c>
      <c r="EE448" s="675">
        <v>0</v>
      </c>
      <c r="EF448" s="549">
        <v>0</v>
      </c>
      <c r="EG448" s="675">
        <v>0</v>
      </c>
      <c r="EH448" s="549">
        <v>0</v>
      </c>
      <c r="EI448" s="675">
        <v>0</v>
      </c>
      <c r="EJ448" s="549">
        <v>0</v>
      </c>
      <c r="EK448" s="675">
        <v>0</v>
      </c>
      <c r="EL448" s="549">
        <v>0</v>
      </c>
      <c r="EM448" s="675">
        <v>0</v>
      </c>
      <c r="EN448" s="549">
        <v>0</v>
      </c>
      <c r="EO448" s="675">
        <v>0</v>
      </c>
      <c r="EP448" s="549">
        <v>0</v>
      </c>
      <c r="EQ448" s="675">
        <v>0</v>
      </c>
      <c r="ER448" s="549">
        <v>0</v>
      </c>
      <c r="ES448" s="675">
        <v>0</v>
      </c>
      <c r="ET448" s="549">
        <v>0</v>
      </c>
      <c r="EU448" s="675">
        <v>0</v>
      </c>
      <c r="EV448" s="549">
        <v>0</v>
      </c>
      <c r="EW448" s="675">
        <v>0</v>
      </c>
      <c r="EX448" s="549">
        <v>0</v>
      </c>
      <c r="EY448" s="675">
        <v>0</v>
      </c>
      <c r="EZ448" s="549">
        <v>0</v>
      </c>
      <c r="FA448" s="675">
        <v>0</v>
      </c>
      <c r="FB448" s="549">
        <v>0</v>
      </c>
      <c r="FC448" s="675">
        <v>0</v>
      </c>
      <c r="FD448" s="549">
        <v>0</v>
      </c>
      <c r="FE448" s="675">
        <v>0</v>
      </c>
      <c r="FF448" s="549">
        <v>0</v>
      </c>
      <c r="FG448" s="675">
        <v>0</v>
      </c>
      <c r="FH448" s="549">
        <v>0</v>
      </c>
      <c r="FI448" s="675">
        <v>0</v>
      </c>
      <c r="FJ448" s="549">
        <v>0</v>
      </c>
      <c r="FK448" s="675">
        <v>0</v>
      </c>
      <c r="FL448" s="549">
        <v>0</v>
      </c>
      <c r="FM448" s="675">
        <v>0</v>
      </c>
      <c r="FN448" s="549">
        <v>0</v>
      </c>
      <c r="FO448" s="675">
        <v>0</v>
      </c>
      <c r="FP448" s="549">
        <v>0</v>
      </c>
      <c r="FQ448" s="675">
        <v>0</v>
      </c>
      <c r="FR448" s="549">
        <v>0</v>
      </c>
      <c r="FS448" s="675">
        <v>-300</v>
      </c>
      <c r="FT448" s="549">
        <v>0</v>
      </c>
      <c r="FU448" s="675">
        <v>0</v>
      </c>
      <c r="FV448" s="549">
        <v>0</v>
      </c>
      <c r="FW448" s="675">
        <v>0</v>
      </c>
      <c r="FX448" s="549">
        <v>0</v>
      </c>
      <c r="FY448" s="675">
        <v>0</v>
      </c>
      <c r="FZ448" s="549">
        <v>0</v>
      </c>
      <c r="GA448" s="675">
        <v>0</v>
      </c>
      <c r="GB448" s="549">
        <v>0</v>
      </c>
      <c r="GC448" s="675">
        <v>0</v>
      </c>
      <c r="GD448" s="549">
        <v>0</v>
      </c>
      <c r="GE448" s="675">
        <v>0</v>
      </c>
      <c r="GF448" s="549">
        <v>0</v>
      </c>
      <c r="GG448" s="675">
        <v>0</v>
      </c>
      <c r="GH448" s="549">
        <v>0</v>
      </c>
      <c r="GI448" s="675">
        <v>0</v>
      </c>
      <c r="GJ448" s="549">
        <v>0</v>
      </c>
      <c r="GK448" s="675">
        <v>0</v>
      </c>
      <c r="GL448" s="549">
        <v>0</v>
      </c>
      <c r="GM448" s="675">
        <v>0</v>
      </c>
      <c r="GN448" s="549">
        <v>0</v>
      </c>
      <c r="GO448" s="675">
        <v>0</v>
      </c>
      <c r="GP448" s="549">
        <f t="shared" si="11464"/>
        <v>0</v>
      </c>
      <c r="GQ448" s="675">
        <f t="shared" si="11465"/>
        <v>-14300</v>
      </c>
      <c r="GR448" s="74">
        <f>C448+GP448+GQ448</f>
        <v>2700</v>
      </c>
      <c r="GS448" s="74">
        <f t="shared" si="11466"/>
        <v>2700</v>
      </c>
      <c r="GT448" s="568">
        <f t="shared" si="11467"/>
        <v>2700</v>
      </c>
      <c r="GU448" s="275">
        <v>6000</v>
      </c>
      <c r="GV448" s="275"/>
      <c r="GW448" s="275"/>
      <c r="GX448" s="275">
        <v>6000</v>
      </c>
      <c r="GY448" s="275">
        <v>0</v>
      </c>
      <c r="GZ448" s="275">
        <v>0</v>
      </c>
      <c r="HA448" s="275">
        <v>5000</v>
      </c>
      <c r="HB448" s="275">
        <v>0</v>
      </c>
      <c r="HC448" s="275">
        <v>0</v>
      </c>
      <c r="HD448" s="275">
        <v>0</v>
      </c>
      <c r="HE448" s="275">
        <v>0</v>
      </c>
      <c r="HF448" s="275"/>
      <c r="HG448" s="74">
        <f>SUM(HH448:IE448)</f>
        <v>2700</v>
      </c>
      <c r="HH448" s="89">
        <v>6000</v>
      </c>
      <c r="HI448" s="817">
        <v>0</v>
      </c>
      <c r="HJ448" s="89">
        <v>0</v>
      </c>
      <c r="HK448" s="817">
        <v>0</v>
      </c>
      <c r="HL448" s="89">
        <v>-5000</v>
      </c>
      <c r="HM448" s="817">
        <v>0</v>
      </c>
      <c r="HN448" s="89">
        <v>6000</v>
      </c>
      <c r="HO448" s="817">
        <v>0</v>
      </c>
      <c r="HP448" s="89">
        <v>-2000</v>
      </c>
      <c r="HQ448" s="817">
        <v>0</v>
      </c>
      <c r="HR448" s="89">
        <v>0</v>
      </c>
      <c r="HS448" s="817">
        <v>0</v>
      </c>
      <c r="HT448" s="89">
        <v>-1000</v>
      </c>
      <c r="HU448" s="817">
        <v>0</v>
      </c>
      <c r="HV448" s="89">
        <v>-1000</v>
      </c>
      <c r="HW448" s="817">
        <v>0</v>
      </c>
      <c r="HX448" s="89">
        <v>0</v>
      </c>
      <c r="HY448" s="817">
        <v>0</v>
      </c>
      <c r="HZ448" s="89">
        <v>-300</v>
      </c>
      <c r="IA448" s="817">
        <v>0</v>
      </c>
      <c r="IB448" s="89">
        <v>0</v>
      </c>
      <c r="IC448" s="817">
        <v>0</v>
      </c>
      <c r="ID448" s="89">
        <v>0</v>
      </c>
      <c r="IE448" s="817">
        <v>0</v>
      </c>
      <c r="IF448" s="841">
        <f t="shared" si="11468"/>
        <v>2620.54</v>
      </c>
      <c r="IG448" s="263">
        <f t="shared" si="11469"/>
        <v>2620.54</v>
      </c>
      <c r="IH448" s="842">
        <f t="shared" si="11470"/>
        <v>2620.54</v>
      </c>
      <c r="II448" s="89">
        <v>0</v>
      </c>
      <c r="IJ448" s="89">
        <f t="shared" si="11471"/>
        <v>0</v>
      </c>
      <c r="IK448" s="89">
        <f t="shared" si="11472"/>
        <v>0</v>
      </c>
      <c r="IL448" s="89">
        <v>0</v>
      </c>
      <c r="IM448" s="89">
        <f t="shared" si="11473"/>
        <v>0</v>
      </c>
      <c r="IN448" s="89">
        <f t="shared" si="11474"/>
        <v>0</v>
      </c>
      <c r="IO448" s="89">
        <v>805.14</v>
      </c>
      <c r="IP448" s="89">
        <f t="shared" si="11475"/>
        <v>805.14</v>
      </c>
      <c r="IQ448" s="89">
        <f t="shared" si="11476"/>
        <v>805.14</v>
      </c>
      <c r="IR448" s="89">
        <f>1079.64-805.14</f>
        <v>274.50000000000011</v>
      </c>
      <c r="IS448" s="89">
        <f t="shared" si="11477"/>
        <v>274.50000000000011</v>
      </c>
      <c r="IT448" s="89">
        <f t="shared" si="11478"/>
        <v>274.50000000000011</v>
      </c>
      <c r="IU448" s="89">
        <v>0</v>
      </c>
      <c r="IV448" s="89">
        <f t="shared" si="11479"/>
        <v>0</v>
      </c>
      <c r="IW448" s="89">
        <f t="shared" si="11480"/>
        <v>0</v>
      </c>
      <c r="IX448" s="89">
        <v>0</v>
      </c>
      <c r="IY448" s="89">
        <f t="shared" si="11481"/>
        <v>0</v>
      </c>
      <c r="IZ448" s="89">
        <f t="shared" si="11482"/>
        <v>0</v>
      </c>
      <c r="JA448" s="89">
        <f>1097.94-1079.64</f>
        <v>18.299999999999955</v>
      </c>
      <c r="JB448" s="89">
        <f t="shared" si="11483"/>
        <v>18.299999999999955</v>
      </c>
      <c r="JC448" s="89">
        <f t="shared" si="11484"/>
        <v>18.299999999999955</v>
      </c>
      <c r="JD448" s="89">
        <f>1275.54-1097.94</f>
        <v>177.59999999999991</v>
      </c>
      <c r="JE448" s="89">
        <f t="shared" si="11485"/>
        <v>177.59999999999991</v>
      </c>
      <c r="JF448" s="89">
        <f t="shared" si="11486"/>
        <v>177.59999999999991</v>
      </c>
      <c r="JG448" s="89">
        <f>1450.54-1275.54</f>
        <v>175</v>
      </c>
      <c r="JH448" s="89">
        <f t="shared" si="11487"/>
        <v>175</v>
      </c>
      <c r="JI448" s="89">
        <f t="shared" si="11488"/>
        <v>175</v>
      </c>
      <c r="JJ448" s="89">
        <f>2620.54-1450.54</f>
        <v>1170</v>
      </c>
      <c r="JK448" s="89">
        <f t="shared" si="11489"/>
        <v>1170</v>
      </c>
      <c r="JL448" s="89">
        <f t="shared" si="11490"/>
        <v>1170</v>
      </c>
      <c r="JM448" s="89">
        <v>0</v>
      </c>
      <c r="JN448" s="89">
        <f t="shared" si="11491"/>
        <v>0</v>
      </c>
      <c r="JO448" s="89">
        <f t="shared" si="11492"/>
        <v>0</v>
      </c>
      <c r="JP448" s="89">
        <v>0</v>
      </c>
      <c r="JQ448" s="89">
        <f t="shared" ref="JQ448:JR448" si="11497">JP448</f>
        <v>0</v>
      </c>
      <c r="JR448" s="89">
        <f t="shared" si="11497"/>
        <v>0</v>
      </c>
      <c r="JS448" s="74">
        <f>HG448-IF448</f>
        <v>79.460000000000036</v>
      </c>
      <c r="JT448" s="382">
        <f>GS448-IF448</f>
        <v>79.460000000000036</v>
      </c>
      <c r="JU448" s="665"/>
      <c r="JV448" s="524"/>
      <c r="JW448" s="525"/>
      <c r="JX448" s="549">
        <f t="shared" si="11494"/>
        <v>2700</v>
      </c>
      <c r="JY448" s="549">
        <f t="shared" si="11494"/>
        <v>0</v>
      </c>
      <c r="JZ448" s="581">
        <f t="shared" si="11276"/>
        <v>0</v>
      </c>
      <c r="KA448" s="581">
        <f t="shared" si="11277"/>
        <v>-14300</v>
      </c>
      <c r="KB448" s="549">
        <f t="shared" si="11273"/>
        <v>2700</v>
      </c>
      <c r="KC448" s="709">
        <f t="shared" si="11275"/>
        <v>0</v>
      </c>
      <c r="KD448" s="36"/>
      <c r="KE448" s="36"/>
      <c r="KF448" s="36"/>
      <c r="KG448" s="36"/>
      <c r="KH448" s="36"/>
      <c r="KI448" s="36"/>
      <c r="KJ448" s="36"/>
      <c r="KK448" s="36"/>
    </row>
    <row r="449" spans="1:297" s="10" customFormat="1" ht="12.75" hidden="1" customHeight="1">
      <c r="A449" s="86" t="s">
        <v>1039</v>
      </c>
      <c r="B449" s="77"/>
      <c r="C449" s="74">
        <v>0</v>
      </c>
      <c r="D449" s="549">
        <v>0</v>
      </c>
      <c r="E449" s="675">
        <v>0</v>
      </c>
      <c r="F449" s="549">
        <v>0</v>
      </c>
      <c r="G449" s="675">
        <v>0</v>
      </c>
      <c r="H449" s="549">
        <v>0</v>
      </c>
      <c r="I449" s="675">
        <v>0</v>
      </c>
      <c r="J449" s="549">
        <v>0</v>
      </c>
      <c r="K449" s="675">
        <v>0</v>
      </c>
      <c r="L449" s="549">
        <v>0</v>
      </c>
      <c r="M449" s="675">
        <v>0</v>
      </c>
      <c r="N449" s="549">
        <v>0</v>
      </c>
      <c r="O449" s="675">
        <v>0</v>
      </c>
      <c r="P449" s="549">
        <v>0</v>
      </c>
      <c r="Q449" s="675">
        <v>0</v>
      </c>
      <c r="R449" s="549">
        <v>0</v>
      </c>
      <c r="S449" s="675">
        <v>0</v>
      </c>
      <c r="T449" s="549">
        <v>0</v>
      </c>
      <c r="U449" s="675">
        <v>0</v>
      </c>
      <c r="V449" s="549">
        <v>0</v>
      </c>
      <c r="W449" s="675">
        <v>0</v>
      </c>
      <c r="X449" s="549">
        <v>0</v>
      </c>
      <c r="Y449" s="675">
        <v>0</v>
      </c>
      <c r="Z449" s="549">
        <v>0</v>
      </c>
      <c r="AA449" s="675">
        <v>0</v>
      </c>
      <c r="AB449" s="549">
        <v>0</v>
      </c>
      <c r="AC449" s="675">
        <v>0</v>
      </c>
      <c r="AD449" s="549">
        <v>0</v>
      </c>
      <c r="AE449" s="675">
        <v>0</v>
      </c>
      <c r="AF449" s="549">
        <v>0</v>
      </c>
      <c r="AG449" s="675">
        <v>0</v>
      </c>
      <c r="AH449" s="549">
        <v>0</v>
      </c>
      <c r="AI449" s="675">
        <v>0</v>
      </c>
      <c r="AJ449" s="549">
        <v>0</v>
      </c>
      <c r="AK449" s="675">
        <v>0</v>
      </c>
      <c r="AL449" s="549">
        <v>0</v>
      </c>
      <c r="AM449" s="675">
        <v>0</v>
      </c>
      <c r="AN449" s="549">
        <v>0</v>
      </c>
      <c r="AO449" s="675">
        <v>0</v>
      </c>
      <c r="AP449" s="549">
        <v>0</v>
      </c>
      <c r="AQ449" s="675">
        <v>0</v>
      </c>
      <c r="AR449" s="549">
        <v>0</v>
      </c>
      <c r="AS449" s="675">
        <v>0</v>
      </c>
      <c r="AT449" s="549">
        <v>0</v>
      </c>
      <c r="AU449" s="675">
        <v>0</v>
      </c>
      <c r="AV449" s="549">
        <v>0</v>
      </c>
      <c r="AW449" s="675">
        <v>0</v>
      </c>
      <c r="AX449" s="549">
        <v>0</v>
      </c>
      <c r="AY449" s="675">
        <v>0</v>
      </c>
      <c r="AZ449" s="549">
        <v>0</v>
      </c>
      <c r="BA449" s="675">
        <v>0</v>
      </c>
      <c r="BB449" s="549">
        <v>0</v>
      </c>
      <c r="BC449" s="675">
        <v>0</v>
      </c>
      <c r="BD449" s="549">
        <v>0</v>
      </c>
      <c r="BE449" s="675">
        <v>0</v>
      </c>
      <c r="BF449" s="549">
        <v>0</v>
      </c>
      <c r="BG449" s="675">
        <v>0</v>
      </c>
      <c r="BH449" s="549">
        <v>0</v>
      </c>
      <c r="BI449" s="675">
        <v>0</v>
      </c>
      <c r="BJ449" s="549">
        <v>0</v>
      </c>
      <c r="BK449" s="675">
        <v>0</v>
      </c>
      <c r="BL449" s="549">
        <v>0</v>
      </c>
      <c r="BM449" s="675">
        <v>0</v>
      </c>
      <c r="BN449" s="549">
        <v>0</v>
      </c>
      <c r="BO449" s="675">
        <v>0</v>
      </c>
      <c r="BP449" s="549">
        <v>0</v>
      </c>
      <c r="BQ449" s="675">
        <v>0</v>
      </c>
      <c r="BR449" s="549">
        <v>0</v>
      </c>
      <c r="BS449" s="675">
        <v>0</v>
      </c>
      <c r="BT449" s="549">
        <v>0</v>
      </c>
      <c r="BU449" s="675">
        <v>0</v>
      </c>
      <c r="BV449" s="549">
        <v>0</v>
      </c>
      <c r="BW449" s="675">
        <v>0</v>
      </c>
      <c r="BX449" s="549">
        <v>0</v>
      </c>
      <c r="BY449" s="675">
        <v>0</v>
      </c>
      <c r="BZ449" s="549">
        <v>0</v>
      </c>
      <c r="CA449" s="675">
        <v>0</v>
      </c>
      <c r="CB449" s="549">
        <v>0</v>
      </c>
      <c r="CC449" s="675">
        <v>0</v>
      </c>
      <c r="CD449" s="549">
        <v>0</v>
      </c>
      <c r="CE449" s="675">
        <v>0</v>
      </c>
      <c r="CF449" s="549">
        <v>0</v>
      </c>
      <c r="CG449" s="675">
        <v>0</v>
      </c>
      <c r="CH449" s="549">
        <v>0</v>
      </c>
      <c r="CI449" s="675">
        <v>0</v>
      </c>
      <c r="CJ449" s="549">
        <v>0</v>
      </c>
      <c r="CK449" s="675">
        <v>0</v>
      </c>
      <c r="CL449" s="549">
        <v>0</v>
      </c>
      <c r="CM449" s="675">
        <v>0</v>
      </c>
      <c r="CN449" s="549">
        <v>0</v>
      </c>
      <c r="CO449" s="675">
        <v>0</v>
      </c>
      <c r="CP449" s="549">
        <v>0</v>
      </c>
      <c r="CQ449" s="675">
        <v>0</v>
      </c>
      <c r="CR449" s="549">
        <v>0</v>
      </c>
      <c r="CS449" s="675">
        <v>0</v>
      </c>
      <c r="CT449" s="549">
        <v>0</v>
      </c>
      <c r="CU449" s="675">
        <v>0</v>
      </c>
      <c r="CV449" s="549">
        <v>0</v>
      </c>
      <c r="CW449" s="675">
        <v>0</v>
      </c>
      <c r="CX449" s="549">
        <v>0</v>
      </c>
      <c r="CY449" s="675">
        <v>0</v>
      </c>
      <c r="CZ449" s="549">
        <v>0</v>
      </c>
      <c r="DA449" s="675">
        <v>0</v>
      </c>
      <c r="DB449" s="549">
        <v>0</v>
      </c>
      <c r="DC449" s="675">
        <v>0</v>
      </c>
      <c r="DD449" s="549">
        <v>0</v>
      </c>
      <c r="DE449" s="675">
        <v>0</v>
      </c>
      <c r="DF449" s="549">
        <v>0</v>
      </c>
      <c r="DG449" s="675">
        <v>0</v>
      </c>
      <c r="DH449" s="549">
        <v>0</v>
      </c>
      <c r="DI449" s="675">
        <v>0</v>
      </c>
      <c r="DJ449" s="549">
        <v>0</v>
      </c>
      <c r="DK449" s="675">
        <v>0</v>
      </c>
      <c r="DL449" s="549">
        <v>0</v>
      </c>
      <c r="DM449" s="675">
        <v>0</v>
      </c>
      <c r="DN449" s="549">
        <v>0</v>
      </c>
      <c r="DO449" s="675">
        <v>0</v>
      </c>
      <c r="DP449" s="549">
        <v>0</v>
      </c>
      <c r="DQ449" s="675">
        <v>0</v>
      </c>
      <c r="DR449" s="549">
        <v>0</v>
      </c>
      <c r="DS449" s="675">
        <v>0</v>
      </c>
      <c r="DT449" s="549">
        <v>0</v>
      </c>
      <c r="DU449" s="675">
        <v>0</v>
      </c>
      <c r="DV449" s="549">
        <v>0</v>
      </c>
      <c r="DW449" s="675">
        <v>0</v>
      </c>
      <c r="DX449" s="549">
        <v>0</v>
      </c>
      <c r="DY449" s="675">
        <v>0</v>
      </c>
      <c r="DZ449" s="549">
        <v>0</v>
      </c>
      <c r="EA449" s="675">
        <v>0</v>
      </c>
      <c r="EB449" s="549">
        <v>0</v>
      </c>
      <c r="EC449" s="675">
        <v>0</v>
      </c>
      <c r="ED449" s="549">
        <v>0</v>
      </c>
      <c r="EE449" s="675">
        <v>0</v>
      </c>
      <c r="EF449" s="549">
        <v>0</v>
      </c>
      <c r="EG449" s="675">
        <v>0</v>
      </c>
      <c r="EH449" s="549">
        <v>0</v>
      </c>
      <c r="EI449" s="675">
        <v>0</v>
      </c>
      <c r="EJ449" s="549">
        <v>0</v>
      </c>
      <c r="EK449" s="675">
        <v>0</v>
      </c>
      <c r="EL449" s="549">
        <v>0</v>
      </c>
      <c r="EM449" s="675">
        <v>0</v>
      </c>
      <c r="EN449" s="549">
        <v>0</v>
      </c>
      <c r="EO449" s="675">
        <v>0</v>
      </c>
      <c r="EP449" s="549">
        <v>0</v>
      </c>
      <c r="EQ449" s="675">
        <v>0</v>
      </c>
      <c r="ER449" s="549">
        <v>0</v>
      </c>
      <c r="ES449" s="675">
        <v>0</v>
      </c>
      <c r="ET449" s="549">
        <v>0</v>
      </c>
      <c r="EU449" s="675">
        <v>0</v>
      </c>
      <c r="EV449" s="549">
        <v>0</v>
      </c>
      <c r="EW449" s="675">
        <v>0</v>
      </c>
      <c r="EX449" s="549">
        <v>0</v>
      </c>
      <c r="EY449" s="675">
        <v>0</v>
      </c>
      <c r="EZ449" s="549">
        <v>0</v>
      </c>
      <c r="FA449" s="675">
        <v>0</v>
      </c>
      <c r="FB449" s="549">
        <v>0</v>
      </c>
      <c r="FC449" s="675">
        <v>0</v>
      </c>
      <c r="FD449" s="549">
        <v>0</v>
      </c>
      <c r="FE449" s="675">
        <v>0</v>
      </c>
      <c r="FF449" s="549">
        <v>0</v>
      </c>
      <c r="FG449" s="675">
        <v>0</v>
      </c>
      <c r="FH449" s="549">
        <v>0</v>
      </c>
      <c r="FI449" s="675">
        <v>0</v>
      </c>
      <c r="FJ449" s="549">
        <v>0</v>
      </c>
      <c r="FK449" s="675">
        <v>0</v>
      </c>
      <c r="FL449" s="549">
        <v>0</v>
      </c>
      <c r="FM449" s="675">
        <v>0</v>
      </c>
      <c r="FN449" s="549">
        <v>0</v>
      </c>
      <c r="FO449" s="675">
        <v>0</v>
      </c>
      <c r="FP449" s="549">
        <v>0</v>
      </c>
      <c r="FQ449" s="675">
        <v>0</v>
      </c>
      <c r="FR449" s="549">
        <v>0</v>
      </c>
      <c r="FS449" s="675">
        <v>0</v>
      </c>
      <c r="FT449" s="549">
        <v>0</v>
      </c>
      <c r="FU449" s="675">
        <v>0</v>
      </c>
      <c r="FV449" s="549">
        <v>0</v>
      </c>
      <c r="FW449" s="675">
        <v>0</v>
      </c>
      <c r="FX449" s="549">
        <v>0</v>
      </c>
      <c r="FY449" s="675">
        <v>0</v>
      </c>
      <c r="FZ449" s="549">
        <v>0</v>
      </c>
      <c r="GA449" s="675">
        <v>0</v>
      </c>
      <c r="GB449" s="549">
        <v>0</v>
      </c>
      <c r="GC449" s="675">
        <v>0</v>
      </c>
      <c r="GD449" s="549">
        <v>0</v>
      </c>
      <c r="GE449" s="675">
        <v>0</v>
      </c>
      <c r="GF449" s="549">
        <v>0</v>
      </c>
      <c r="GG449" s="675">
        <v>0</v>
      </c>
      <c r="GH449" s="549">
        <v>0</v>
      </c>
      <c r="GI449" s="675">
        <v>0</v>
      </c>
      <c r="GJ449" s="549">
        <v>0</v>
      </c>
      <c r="GK449" s="675">
        <v>0</v>
      </c>
      <c r="GL449" s="549">
        <v>0</v>
      </c>
      <c r="GM449" s="675">
        <v>0</v>
      </c>
      <c r="GN449" s="549">
        <v>0</v>
      </c>
      <c r="GO449" s="675">
        <v>0</v>
      </c>
      <c r="GP449" s="549">
        <f>+D449+F449+H449+J449+L449+N449+P449+R449+T449+V449+X449+Z449+AB449+AD449+AH449+AJ449+AL449+AN449+AP449+AR449+AT449+AV449+AX449+AZ449+BB449+BD449+BF449+BH449+BJ449+BL449+BN449+BP449+BR449+BT449+BV449+BX449+BZ449+CB449+CD449+CF449+CH449+CJ449+CL449+CN449+CP449+CR449+CT449+CV449+CX449+CZ449+DB449+DD449+DF449+DH449+DT449+EX449+DJ449+DL449+DN449+DP449+DR449+EJ449+EB449+DZ449+DX449+DV449+ED449+EF449+EH449+EL449+EN449+EP449+EV449+ET449+ER449+EZ449+FB449+FD449+GL449+FF449+FJ449+FL449+GJ449+FT449+FR449+FP449+FN449+FH449</f>
        <v>0</v>
      </c>
      <c r="GQ449" s="675">
        <f>+E449+G449+I449+K449+M449+O449+Q449+S449+U449+W449+Y449+AA449+AC449+AE449+AI449+AK449+AM449+AO449+AQ449+AS449+AU449+AW449+AY449+BA449+BC449+BE449+BG449+BI449+BK449+BM449+BO449+BQ449+BS449+BU449+BW449+BY449+CA449+CC449+CE449+CG449+CI449+CK449+CM449+CO449+CQ449+CS449+CU449+CW449+CY449+DA449+DC449+DE449+DG449+DI449+DU449+EY449+DK449+DM449+DO449+DQ449+DS449+EK449+EC449+EA449+DY449+DW449+EI449+EG449+EE449+EM449+EO449+EQ449+EW449+EU449+ES449+FA449+FC449+FE449+GM449+FG449+FK449+FM449+FO449+FQ449+FS449+FU449+GK449+FI449</f>
        <v>0</v>
      </c>
      <c r="GR449" s="74">
        <f>C449+GP449+GQ449</f>
        <v>0</v>
      </c>
      <c r="GS449" s="74">
        <f t="shared" ref="GS449" si="11498">SUM(GU449:HE449)+GP449+GQ449</f>
        <v>0</v>
      </c>
      <c r="GT449" s="568">
        <f t="shared" si="11467"/>
        <v>0</v>
      </c>
      <c r="GU449" s="275">
        <v>0</v>
      </c>
      <c r="GV449" s="275">
        <v>0</v>
      </c>
      <c r="GW449" s="275">
        <v>0</v>
      </c>
      <c r="GX449" s="275">
        <v>0</v>
      </c>
      <c r="GY449" s="275">
        <v>0</v>
      </c>
      <c r="GZ449" s="275">
        <v>0</v>
      </c>
      <c r="HA449" s="275">
        <v>0</v>
      </c>
      <c r="HB449" s="275">
        <v>0</v>
      </c>
      <c r="HC449" s="275">
        <v>0</v>
      </c>
      <c r="HD449" s="275">
        <v>0</v>
      </c>
      <c r="HE449" s="275">
        <v>0</v>
      </c>
      <c r="HF449" s="275">
        <v>0</v>
      </c>
      <c r="HG449" s="74">
        <f>SUM(HH449:IE449)</f>
        <v>0</v>
      </c>
      <c r="HH449" s="89">
        <v>0</v>
      </c>
      <c r="HI449" s="817">
        <v>0</v>
      </c>
      <c r="HJ449" s="89">
        <v>0</v>
      </c>
      <c r="HK449" s="817">
        <v>0</v>
      </c>
      <c r="HL449" s="89">
        <v>0</v>
      </c>
      <c r="HM449" s="817">
        <v>0</v>
      </c>
      <c r="HN449" s="89">
        <v>0</v>
      </c>
      <c r="HO449" s="817">
        <v>0</v>
      </c>
      <c r="HP449" s="89">
        <v>0</v>
      </c>
      <c r="HQ449" s="817">
        <v>0</v>
      </c>
      <c r="HR449" s="89">
        <v>0</v>
      </c>
      <c r="HS449" s="817">
        <v>0</v>
      </c>
      <c r="HT449" s="89">
        <v>0</v>
      </c>
      <c r="HU449" s="817">
        <v>0</v>
      </c>
      <c r="HV449" s="89">
        <v>0</v>
      </c>
      <c r="HW449" s="817">
        <v>0</v>
      </c>
      <c r="HX449" s="89">
        <v>0</v>
      </c>
      <c r="HY449" s="817">
        <v>0</v>
      </c>
      <c r="HZ449" s="89">
        <v>0</v>
      </c>
      <c r="IA449" s="817">
        <v>0</v>
      </c>
      <c r="IB449" s="89">
        <v>0</v>
      </c>
      <c r="IC449" s="817">
        <v>0</v>
      </c>
      <c r="ID449" s="89">
        <v>0</v>
      </c>
      <c r="IE449" s="817">
        <v>0</v>
      </c>
      <c r="IF449" s="841">
        <f t="shared" si="11468"/>
        <v>0</v>
      </c>
      <c r="IG449" s="263">
        <f t="shared" si="11469"/>
        <v>0</v>
      </c>
      <c r="IH449" s="842">
        <f t="shared" si="11470"/>
        <v>0</v>
      </c>
      <c r="II449" s="89">
        <v>0</v>
      </c>
      <c r="IJ449" s="89">
        <f t="shared" si="11471"/>
        <v>0</v>
      </c>
      <c r="IK449" s="89">
        <f t="shared" si="11472"/>
        <v>0</v>
      </c>
      <c r="IL449" s="89">
        <v>0</v>
      </c>
      <c r="IM449" s="89">
        <f t="shared" si="11473"/>
        <v>0</v>
      </c>
      <c r="IN449" s="89">
        <f t="shared" si="11474"/>
        <v>0</v>
      </c>
      <c r="IO449" s="89">
        <v>0</v>
      </c>
      <c r="IP449" s="89">
        <f t="shared" si="11475"/>
        <v>0</v>
      </c>
      <c r="IQ449" s="89">
        <f t="shared" si="11476"/>
        <v>0</v>
      </c>
      <c r="IR449" s="89">
        <v>0</v>
      </c>
      <c r="IS449" s="89">
        <f t="shared" si="11477"/>
        <v>0</v>
      </c>
      <c r="IT449" s="89">
        <f t="shared" si="11478"/>
        <v>0</v>
      </c>
      <c r="IU449" s="89">
        <v>0</v>
      </c>
      <c r="IV449" s="89">
        <f t="shared" si="11479"/>
        <v>0</v>
      </c>
      <c r="IW449" s="89">
        <f t="shared" si="11480"/>
        <v>0</v>
      </c>
      <c r="IX449" s="89">
        <v>0</v>
      </c>
      <c r="IY449" s="89">
        <f t="shared" si="11481"/>
        <v>0</v>
      </c>
      <c r="IZ449" s="89">
        <f t="shared" si="11482"/>
        <v>0</v>
      </c>
      <c r="JA449" s="89">
        <v>0</v>
      </c>
      <c r="JB449" s="89">
        <f t="shared" si="11483"/>
        <v>0</v>
      </c>
      <c r="JC449" s="89">
        <f t="shared" si="11484"/>
        <v>0</v>
      </c>
      <c r="JD449" s="89">
        <v>0</v>
      </c>
      <c r="JE449" s="89">
        <f t="shared" si="11485"/>
        <v>0</v>
      </c>
      <c r="JF449" s="89">
        <f t="shared" si="11486"/>
        <v>0</v>
      </c>
      <c r="JG449" s="89">
        <v>0</v>
      </c>
      <c r="JH449" s="89">
        <f t="shared" si="11487"/>
        <v>0</v>
      </c>
      <c r="JI449" s="89">
        <f t="shared" si="11488"/>
        <v>0</v>
      </c>
      <c r="JJ449" s="89">
        <v>0</v>
      </c>
      <c r="JK449" s="89">
        <f t="shared" si="11489"/>
        <v>0</v>
      </c>
      <c r="JL449" s="89">
        <f t="shared" si="11490"/>
        <v>0</v>
      </c>
      <c r="JM449" s="89">
        <v>0</v>
      </c>
      <c r="JN449" s="89">
        <f t="shared" si="11491"/>
        <v>0</v>
      </c>
      <c r="JO449" s="89">
        <f t="shared" si="11492"/>
        <v>0</v>
      </c>
      <c r="JP449" s="89">
        <v>0</v>
      </c>
      <c r="JQ449" s="89">
        <f t="shared" ref="JQ449:JR449" si="11499">JP449</f>
        <v>0</v>
      </c>
      <c r="JR449" s="89">
        <f t="shared" si="11499"/>
        <v>0</v>
      </c>
      <c r="JS449" s="74">
        <f>HG449-IF449</f>
        <v>0</v>
      </c>
      <c r="JT449" s="382">
        <f>GS449-IF449</f>
        <v>0</v>
      </c>
      <c r="JU449" s="665"/>
      <c r="JV449" s="524"/>
      <c r="JW449" s="525"/>
      <c r="JX449" s="549">
        <f t="shared" si="11494"/>
        <v>0</v>
      </c>
      <c r="JY449" s="549">
        <f t="shared" si="11494"/>
        <v>0</v>
      </c>
      <c r="JZ449" s="581">
        <f t="shared" si="11276"/>
        <v>0</v>
      </c>
      <c r="KA449" s="581">
        <f t="shared" si="11277"/>
        <v>0</v>
      </c>
      <c r="KB449" s="549">
        <f t="shared" si="11273"/>
        <v>0</v>
      </c>
      <c r="KC449" s="709">
        <f t="shared" si="11275"/>
        <v>0</v>
      </c>
      <c r="KD449" s="36"/>
      <c r="KE449" s="36"/>
      <c r="KF449" s="36"/>
      <c r="KG449" s="36"/>
      <c r="KH449" s="36"/>
      <c r="KI449" s="36"/>
      <c r="KJ449" s="36"/>
      <c r="KK449" s="36"/>
    </row>
    <row r="450" spans="1:297" s="10" customFormat="1">
      <c r="A450" s="91"/>
      <c r="B450" s="77"/>
      <c r="C450" s="74"/>
      <c r="D450" s="549"/>
      <c r="E450" s="675"/>
      <c r="F450" s="549"/>
      <c r="G450" s="675"/>
      <c r="H450" s="549"/>
      <c r="I450" s="675"/>
      <c r="J450" s="549"/>
      <c r="K450" s="675"/>
      <c r="L450" s="549"/>
      <c r="M450" s="675"/>
      <c r="N450" s="549"/>
      <c r="O450" s="675"/>
      <c r="P450" s="549"/>
      <c r="Q450" s="675"/>
      <c r="R450" s="549"/>
      <c r="S450" s="675"/>
      <c r="T450" s="549"/>
      <c r="U450" s="675"/>
      <c r="V450" s="549"/>
      <c r="W450" s="675"/>
      <c r="X450" s="549"/>
      <c r="Y450" s="675"/>
      <c r="Z450" s="549"/>
      <c r="AA450" s="675"/>
      <c r="AB450" s="549"/>
      <c r="AC450" s="675"/>
      <c r="AD450" s="549"/>
      <c r="AE450" s="675"/>
      <c r="AF450" s="549"/>
      <c r="AG450" s="675"/>
      <c r="AH450" s="549"/>
      <c r="AI450" s="675"/>
      <c r="AJ450" s="549"/>
      <c r="AK450" s="675"/>
      <c r="AL450" s="549"/>
      <c r="AM450" s="675"/>
      <c r="AN450" s="549"/>
      <c r="AO450" s="675"/>
      <c r="AP450" s="549"/>
      <c r="AQ450" s="675"/>
      <c r="AR450" s="549"/>
      <c r="AS450" s="675"/>
      <c r="AT450" s="549"/>
      <c r="AU450" s="675"/>
      <c r="AV450" s="549"/>
      <c r="AW450" s="675"/>
      <c r="AX450" s="549"/>
      <c r="AY450" s="675"/>
      <c r="AZ450" s="549"/>
      <c r="BA450" s="675"/>
      <c r="BB450" s="549"/>
      <c r="BC450" s="675"/>
      <c r="BD450" s="549"/>
      <c r="BE450" s="675"/>
      <c r="BF450" s="549"/>
      <c r="BG450" s="675"/>
      <c r="BH450" s="549"/>
      <c r="BI450" s="675"/>
      <c r="BJ450" s="549"/>
      <c r="BK450" s="675"/>
      <c r="BL450" s="549"/>
      <c r="BM450" s="675"/>
      <c r="BN450" s="549"/>
      <c r="BO450" s="675"/>
      <c r="BP450" s="549"/>
      <c r="BQ450" s="675"/>
      <c r="BR450" s="549"/>
      <c r="BS450" s="675"/>
      <c r="BT450" s="549"/>
      <c r="BU450" s="675"/>
      <c r="BV450" s="549"/>
      <c r="BW450" s="675"/>
      <c r="BX450" s="549"/>
      <c r="BY450" s="675"/>
      <c r="BZ450" s="549"/>
      <c r="CA450" s="675"/>
      <c r="CB450" s="549"/>
      <c r="CC450" s="675"/>
      <c r="CD450" s="549"/>
      <c r="CE450" s="675"/>
      <c r="CF450" s="549"/>
      <c r="CG450" s="675"/>
      <c r="CH450" s="549"/>
      <c r="CI450" s="675"/>
      <c r="CJ450" s="549"/>
      <c r="CK450" s="675"/>
      <c r="CL450" s="549"/>
      <c r="CM450" s="675"/>
      <c r="CN450" s="549"/>
      <c r="CO450" s="675"/>
      <c r="CP450" s="549"/>
      <c r="CQ450" s="675"/>
      <c r="CR450" s="549"/>
      <c r="CS450" s="675"/>
      <c r="CT450" s="549"/>
      <c r="CU450" s="675"/>
      <c r="CV450" s="549"/>
      <c r="CW450" s="675"/>
      <c r="CX450" s="549"/>
      <c r="CY450" s="675"/>
      <c r="CZ450" s="549"/>
      <c r="DA450" s="675"/>
      <c r="DB450" s="549"/>
      <c r="DC450" s="675"/>
      <c r="DD450" s="549"/>
      <c r="DE450" s="675"/>
      <c r="DF450" s="549"/>
      <c r="DG450" s="675"/>
      <c r="DH450" s="549"/>
      <c r="DI450" s="675"/>
      <c r="DJ450" s="549"/>
      <c r="DK450" s="675"/>
      <c r="DL450" s="549"/>
      <c r="DM450" s="675"/>
      <c r="DN450" s="549"/>
      <c r="DO450" s="675"/>
      <c r="DP450" s="549"/>
      <c r="DQ450" s="675"/>
      <c r="DR450" s="549"/>
      <c r="DS450" s="675"/>
      <c r="DT450" s="549"/>
      <c r="DU450" s="675"/>
      <c r="DV450" s="549"/>
      <c r="DW450" s="675"/>
      <c r="DX450" s="549"/>
      <c r="DY450" s="675"/>
      <c r="DZ450" s="549"/>
      <c r="EA450" s="675"/>
      <c r="EB450" s="549"/>
      <c r="EC450" s="675"/>
      <c r="ED450" s="549"/>
      <c r="EE450" s="675"/>
      <c r="EF450" s="549"/>
      <c r="EG450" s="675"/>
      <c r="EH450" s="549"/>
      <c r="EI450" s="675"/>
      <c r="EJ450" s="549"/>
      <c r="EK450" s="675"/>
      <c r="EL450" s="549"/>
      <c r="EM450" s="675"/>
      <c r="EN450" s="549"/>
      <c r="EO450" s="675"/>
      <c r="EP450" s="549"/>
      <c r="EQ450" s="675"/>
      <c r="ER450" s="549"/>
      <c r="ES450" s="675"/>
      <c r="ET450" s="549"/>
      <c r="EU450" s="675"/>
      <c r="EV450" s="549"/>
      <c r="EW450" s="675"/>
      <c r="EX450" s="549"/>
      <c r="EY450" s="675"/>
      <c r="EZ450" s="549"/>
      <c r="FA450" s="675"/>
      <c r="FB450" s="549"/>
      <c r="FC450" s="675"/>
      <c r="FD450" s="549"/>
      <c r="FE450" s="675"/>
      <c r="FF450" s="549"/>
      <c r="FG450" s="675"/>
      <c r="FH450" s="549"/>
      <c r="FI450" s="675"/>
      <c r="FJ450" s="549"/>
      <c r="FK450" s="675"/>
      <c r="FL450" s="549"/>
      <c r="FM450" s="675"/>
      <c r="FN450" s="549"/>
      <c r="FO450" s="675"/>
      <c r="FP450" s="549"/>
      <c r="FQ450" s="675"/>
      <c r="FR450" s="549"/>
      <c r="FS450" s="675"/>
      <c r="FT450" s="549"/>
      <c r="FU450" s="675"/>
      <c r="FV450" s="549"/>
      <c r="FW450" s="675"/>
      <c r="FX450" s="549"/>
      <c r="FY450" s="675"/>
      <c r="FZ450" s="549"/>
      <c r="GA450" s="675"/>
      <c r="GB450" s="549"/>
      <c r="GC450" s="675"/>
      <c r="GD450" s="549"/>
      <c r="GE450" s="675"/>
      <c r="GF450" s="549"/>
      <c r="GG450" s="675"/>
      <c r="GH450" s="549"/>
      <c r="GI450" s="675"/>
      <c r="GJ450" s="549"/>
      <c r="GK450" s="675"/>
      <c r="GL450" s="549"/>
      <c r="GM450" s="675"/>
      <c r="GN450" s="549"/>
      <c r="GO450" s="675"/>
      <c r="GP450" s="549"/>
      <c r="GQ450" s="675"/>
      <c r="GR450" s="74"/>
      <c r="GS450" s="74"/>
      <c r="GT450" s="549"/>
      <c r="GU450" s="73"/>
      <c r="GV450" s="73"/>
      <c r="GW450" s="549"/>
      <c r="GX450" s="549"/>
      <c r="GY450" s="73"/>
      <c r="GZ450" s="73"/>
      <c r="HA450" s="73"/>
      <c r="HB450" s="73"/>
      <c r="HC450" s="73"/>
      <c r="HD450" s="73"/>
      <c r="HE450" s="73"/>
      <c r="HF450" s="73"/>
      <c r="HG450" s="74"/>
      <c r="HH450" s="73"/>
      <c r="HI450" s="815"/>
      <c r="HJ450" s="73"/>
      <c r="HK450" s="815"/>
      <c r="HL450" s="73"/>
      <c r="HM450" s="815"/>
      <c r="HN450" s="73"/>
      <c r="HO450" s="815"/>
      <c r="HP450" s="73"/>
      <c r="HQ450" s="815"/>
      <c r="HR450" s="73"/>
      <c r="HS450" s="815"/>
      <c r="HT450" s="73"/>
      <c r="HU450" s="815"/>
      <c r="HV450" s="73"/>
      <c r="HW450" s="815"/>
      <c r="HX450" s="73"/>
      <c r="HY450" s="815"/>
      <c r="HZ450" s="73"/>
      <c r="IA450" s="815"/>
      <c r="IB450" s="73"/>
      <c r="IC450" s="815"/>
      <c r="ID450" s="73"/>
      <c r="IE450" s="815"/>
      <c r="IF450" s="841"/>
      <c r="IG450" s="263"/>
      <c r="IH450" s="842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  <c r="JD450" s="73"/>
      <c r="JE450" s="73"/>
      <c r="JF450" s="73"/>
      <c r="JG450" s="73"/>
      <c r="JH450" s="73"/>
      <c r="JI450" s="73"/>
      <c r="JJ450" s="73"/>
      <c r="JK450" s="73"/>
      <c r="JL450" s="73"/>
      <c r="JM450" s="73"/>
      <c r="JN450" s="73"/>
      <c r="JO450" s="73"/>
      <c r="JP450" s="73"/>
      <c r="JQ450" s="73"/>
      <c r="JR450" s="73"/>
      <c r="JS450" s="74"/>
      <c r="JT450" s="382"/>
      <c r="JU450" s="665"/>
      <c r="JV450" s="524"/>
      <c r="JW450" s="525"/>
      <c r="JX450" s="549"/>
      <c r="JY450" s="549"/>
      <c r="JZ450" s="581">
        <f t="shared" si="11276"/>
        <v>0</v>
      </c>
      <c r="KA450" s="581">
        <f t="shared" si="11277"/>
        <v>0</v>
      </c>
      <c r="KB450" s="549">
        <f t="shared" si="11273"/>
        <v>0</v>
      </c>
      <c r="KC450" s="709">
        <f t="shared" si="11275"/>
        <v>0</v>
      </c>
      <c r="KD450" s="36"/>
      <c r="KE450" s="36"/>
      <c r="KF450" s="36"/>
      <c r="KG450" s="36"/>
      <c r="KH450" s="36"/>
      <c r="KI450" s="36"/>
      <c r="KJ450" s="36"/>
      <c r="KK450" s="36"/>
    </row>
    <row r="451" spans="1:297" s="8" customFormat="1">
      <c r="A451" s="80" t="s">
        <v>267</v>
      </c>
      <c r="B451" s="72" t="s">
        <v>137</v>
      </c>
      <c r="C451" s="74">
        <f t="shared" ref="C451:AC451" si="11500">SUM(C452:C456)</f>
        <v>62000</v>
      </c>
      <c r="D451" s="549">
        <f t="shared" si="11500"/>
        <v>0</v>
      </c>
      <c r="E451" s="675">
        <f t="shared" si="11500"/>
        <v>0</v>
      </c>
      <c r="F451" s="549">
        <f t="shared" si="11500"/>
        <v>0</v>
      </c>
      <c r="G451" s="675">
        <f t="shared" si="11500"/>
        <v>0</v>
      </c>
      <c r="H451" s="549">
        <f t="shared" si="11500"/>
        <v>0</v>
      </c>
      <c r="I451" s="675">
        <f t="shared" si="11500"/>
        <v>0</v>
      </c>
      <c r="J451" s="549">
        <f t="shared" si="11500"/>
        <v>0</v>
      </c>
      <c r="K451" s="675">
        <f t="shared" si="11500"/>
        <v>0</v>
      </c>
      <c r="L451" s="549">
        <f t="shared" si="11500"/>
        <v>0</v>
      </c>
      <c r="M451" s="675">
        <f t="shared" si="11500"/>
        <v>0</v>
      </c>
      <c r="N451" s="549">
        <f t="shared" si="11500"/>
        <v>0</v>
      </c>
      <c r="O451" s="675">
        <f t="shared" si="11500"/>
        <v>0</v>
      </c>
      <c r="P451" s="549">
        <f t="shared" si="11500"/>
        <v>0</v>
      </c>
      <c r="Q451" s="675">
        <f t="shared" si="11500"/>
        <v>0</v>
      </c>
      <c r="R451" s="549">
        <f t="shared" si="11500"/>
        <v>0</v>
      </c>
      <c r="S451" s="675">
        <f t="shared" si="11500"/>
        <v>0</v>
      </c>
      <c r="T451" s="549">
        <f t="shared" si="11500"/>
        <v>0</v>
      </c>
      <c r="U451" s="675">
        <f t="shared" si="11500"/>
        <v>0</v>
      </c>
      <c r="V451" s="549">
        <f t="shared" si="11500"/>
        <v>0</v>
      </c>
      <c r="W451" s="675">
        <f t="shared" si="11500"/>
        <v>0</v>
      </c>
      <c r="X451" s="549">
        <f t="shared" si="11500"/>
        <v>0</v>
      </c>
      <c r="Y451" s="675">
        <f t="shared" si="11500"/>
        <v>0</v>
      </c>
      <c r="Z451" s="549">
        <f t="shared" si="11500"/>
        <v>0</v>
      </c>
      <c r="AA451" s="675">
        <f t="shared" si="11500"/>
        <v>0</v>
      </c>
      <c r="AB451" s="549">
        <f t="shared" si="11500"/>
        <v>0</v>
      </c>
      <c r="AC451" s="675">
        <f t="shared" si="11500"/>
        <v>0</v>
      </c>
      <c r="AD451" s="549">
        <f t="shared" ref="AD451:AK451" si="11501">SUM(AD452:AD456)</f>
        <v>0</v>
      </c>
      <c r="AE451" s="675">
        <f t="shared" si="11501"/>
        <v>0</v>
      </c>
      <c r="AF451" s="549">
        <f t="shared" si="11501"/>
        <v>0</v>
      </c>
      <c r="AG451" s="675">
        <f t="shared" si="11501"/>
        <v>0</v>
      </c>
      <c r="AH451" s="549">
        <f t="shared" si="11501"/>
        <v>0</v>
      </c>
      <c r="AI451" s="675">
        <f t="shared" si="11501"/>
        <v>0</v>
      </c>
      <c r="AJ451" s="549">
        <f t="shared" si="11501"/>
        <v>0</v>
      </c>
      <c r="AK451" s="675">
        <f t="shared" si="11501"/>
        <v>0</v>
      </c>
      <c r="AL451" s="549">
        <f t="shared" ref="AL451:AM451" si="11502">SUM(AL452:AL456)</f>
        <v>0</v>
      </c>
      <c r="AM451" s="675">
        <f t="shared" si="11502"/>
        <v>0</v>
      </c>
      <c r="AN451" s="549">
        <f t="shared" ref="AN451:AS451" si="11503">SUM(AN452:AN456)</f>
        <v>0</v>
      </c>
      <c r="AO451" s="675">
        <f t="shared" si="11503"/>
        <v>0</v>
      </c>
      <c r="AP451" s="549">
        <f t="shared" si="11503"/>
        <v>0</v>
      </c>
      <c r="AQ451" s="675">
        <f t="shared" si="11503"/>
        <v>0</v>
      </c>
      <c r="AR451" s="549">
        <f t="shared" si="11503"/>
        <v>0</v>
      </c>
      <c r="AS451" s="675">
        <f t="shared" si="11503"/>
        <v>0</v>
      </c>
      <c r="AT451" s="549">
        <f t="shared" ref="AT451:AU451" si="11504">SUM(AT452:AT456)</f>
        <v>0</v>
      </c>
      <c r="AU451" s="675">
        <f t="shared" si="11504"/>
        <v>0</v>
      </c>
      <c r="AV451" s="549">
        <f t="shared" ref="AV451:AW451" si="11505">SUM(AV452:AV456)</f>
        <v>0</v>
      </c>
      <c r="AW451" s="675">
        <f t="shared" si="11505"/>
        <v>0</v>
      </c>
      <c r="AX451" s="549">
        <f t="shared" ref="AX451:AY451" si="11506">SUM(AX452:AX456)</f>
        <v>0</v>
      </c>
      <c r="AY451" s="675">
        <f t="shared" si="11506"/>
        <v>0</v>
      </c>
      <c r="AZ451" s="549">
        <f t="shared" ref="AZ451:BA451" si="11507">SUM(AZ452:AZ456)</f>
        <v>0</v>
      </c>
      <c r="BA451" s="675">
        <f t="shared" si="11507"/>
        <v>0</v>
      </c>
      <c r="BB451" s="549">
        <f t="shared" ref="BB451:BC451" si="11508">SUM(BB452:BB456)</f>
        <v>0</v>
      </c>
      <c r="BC451" s="675">
        <f t="shared" si="11508"/>
        <v>0</v>
      </c>
      <c r="BD451" s="549">
        <f t="shared" ref="BD451:BE451" si="11509">SUM(BD452:BD456)</f>
        <v>0</v>
      </c>
      <c r="BE451" s="675">
        <f t="shared" si="11509"/>
        <v>0</v>
      </c>
      <c r="BF451" s="549">
        <f t="shared" ref="BF451:BG451" si="11510">SUM(BF452:BF456)</f>
        <v>0</v>
      </c>
      <c r="BG451" s="675">
        <f t="shared" si="11510"/>
        <v>0</v>
      </c>
      <c r="BH451" s="549">
        <f t="shared" ref="BH451:BI451" si="11511">SUM(BH452:BH456)</f>
        <v>0</v>
      </c>
      <c r="BI451" s="675">
        <f t="shared" si="11511"/>
        <v>0</v>
      </c>
      <c r="BJ451" s="549">
        <f t="shared" ref="BJ451:BK451" si="11512">SUM(BJ452:BJ456)</f>
        <v>0</v>
      </c>
      <c r="BK451" s="675">
        <f t="shared" si="11512"/>
        <v>0</v>
      </c>
      <c r="BL451" s="549">
        <f t="shared" ref="BL451:BS451" si="11513">SUM(BL452:BL456)</f>
        <v>0</v>
      </c>
      <c r="BM451" s="675">
        <f t="shared" si="11513"/>
        <v>0</v>
      </c>
      <c r="BN451" s="549">
        <f t="shared" si="11513"/>
        <v>0</v>
      </c>
      <c r="BO451" s="675">
        <f t="shared" si="11513"/>
        <v>0</v>
      </c>
      <c r="BP451" s="549">
        <f t="shared" si="11513"/>
        <v>0</v>
      </c>
      <c r="BQ451" s="675">
        <f t="shared" si="11513"/>
        <v>0</v>
      </c>
      <c r="BR451" s="549">
        <f t="shared" si="11513"/>
        <v>0</v>
      </c>
      <c r="BS451" s="675">
        <f t="shared" si="11513"/>
        <v>0</v>
      </c>
      <c r="BT451" s="549">
        <f t="shared" ref="BT451:BU451" si="11514">SUM(BT452:BT456)</f>
        <v>0</v>
      </c>
      <c r="BU451" s="675">
        <f t="shared" si="11514"/>
        <v>0</v>
      </c>
      <c r="BV451" s="549">
        <f t="shared" ref="BV451:BW451" si="11515">SUM(BV452:BV456)</f>
        <v>0</v>
      </c>
      <c r="BW451" s="675">
        <f t="shared" si="11515"/>
        <v>0</v>
      </c>
      <c r="BX451" s="549">
        <f t="shared" ref="BX451:BY451" si="11516">SUM(BX452:BX456)</f>
        <v>0</v>
      </c>
      <c r="BY451" s="675">
        <f t="shared" si="11516"/>
        <v>0</v>
      </c>
      <c r="BZ451" s="549">
        <f t="shared" ref="BZ451:CA451" si="11517">SUM(BZ452:BZ456)</f>
        <v>0</v>
      </c>
      <c r="CA451" s="675">
        <f t="shared" si="11517"/>
        <v>0</v>
      </c>
      <c r="CB451" s="549">
        <f t="shared" ref="CB451:CE451" si="11518">SUM(CB452:CB456)</f>
        <v>0</v>
      </c>
      <c r="CC451" s="675">
        <f t="shared" si="11518"/>
        <v>0</v>
      </c>
      <c r="CD451" s="549">
        <f t="shared" si="11518"/>
        <v>0</v>
      </c>
      <c r="CE451" s="675">
        <f t="shared" si="11518"/>
        <v>0</v>
      </c>
      <c r="CF451" s="549">
        <f t="shared" ref="CF451:CQ451" si="11519">SUM(CF452:CF456)</f>
        <v>0</v>
      </c>
      <c r="CG451" s="675">
        <f t="shared" si="11519"/>
        <v>0</v>
      </c>
      <c r="CH451" s="549">
        <f t="shared" si="11519"/>
        <v>0</v>
      </c>
      <c r="CI451" s="675">
        <f t="shared" si="11519"/>
        <v>0</v>
      </c>
      <c r="CJ451" s="549">
        <f t="shared" si="11519"/>
        <v>0</v>
      </c>
      <c r="CK451" s="675">
        <f t="shared" si="11519"/>
        <v>-7000</v>
      </c>
      <c r="CL451" s="549">
        <f t="shared" si="11519"/>
        <v>10000</v>
      </c>
      <c r="CM451" s="675">
        <f t="shared" si="11519"/>
        <v>0</v>
      </c>
      <c r="CN451" s="549">
        <f t="shared" si="11519"/>
        <v>0</v>
      </c>
      <c r="CO451" s="675">
        <f t="shared" si="11519"/>
        <v>0</v>
      </c>
      <c r="CP451" s="549">
        <f t="shared" si="11519"/>
        <v>0</v>
      </c>
      <c r="CQ451" s="675">
        <f t="shared" si="11519"/>
        <v>0</v>
      </c>
      <c r="CR451" s="549">
        <f t="shared" ref="CR451:CY451" si="11520">SUM(CR452:CR456)</f>
        <v>0</v>
      </c>
      <c r="CS451" s="675">
        <f t="shared" si="11520"/>
        <v>0</v>
      </c>
      <c r="CT451" s="549">
        <f t="shared" si="11520"/>
        <v>0</v>
      </c>
      <c r="CU451" s="675">
        <f t="shared" si="11520"/>
        <v>0</v>
      </c>
      <c r="CV451" s="549">
        <f t="shared" si="11520"/>
        <v>0</v>
      </c>
      <c r="CW451" s="675">
        <f t="shared" si="11520"/>
        <v>0</v>
      </c>
      <c r="CX451" s="549">
        <f t="shared" si="11520"/>
        <v>0</v>
      </c>
      <c r="CY451" s="675">
        <f t="shared" si="11520"/>
        <v>0</v>
      </c>
      <c r="CZ451" s="549">
        <f t="shared" ref="CZ451:GT451" si="11521">SUM(CZ452:CZ456)</f>
        <v>0</v>
      </c>
      <c r="DA451" s="675">
        <f t="shared" si="11521"/>
        <v>0</v>
      </c>
      <c r="DB451" s="549">
        <f t="shared" si="11521"/>
        <v>0</v>
      </c>
      <c r="DC451" s="675">
        <f t="shared" si="11521"/>
        <v>0</v>
      </c>
      <c r="DD451" s="549">
        <f t="shared" si="11521"/>
        <v>0</v>
      </c>
      <c r="DE451" s="675">
        <f t="shared" si="11521"/>
        <v>0</v>
      </c>
      <c r="DF451" s="549">
        <f t="shared" si="11521"/>
        <v>0</v>
      </c>
      <c r="DG451" s="675">
        <f t="shared" si="11521"/>
        <v>0</v>
      </c>
      <c r="DH451" s="549">
        <f t="shared" si="11521"/>
        <v>0</v>
      </c>
      <c r="DI451" s="675">
        <f t="shared" si="11521"/>
        <v>0</v>
      </c>
      <c r="DJ451" s="549">
        <f t="shared" si="11521"/>
        <v>0</v>
      </c>
      <c r="DK451" s="675">
        <f t="shared" si="11521"/>
        <v>-6000</v>
      </c>
      <c r="DL451" s="549">
        <f t="shared" si="11521"/>
        <v>0</v>
      </c>
      <c r="DM451" s="675">
        <f t="shared" si="11521"/>
        <v>0</v>
      </c>
      <c r="DN451" s="549">
        <f t="shared" si="11521"/>
        <v>0</v>
      </c>
      <c r="DO451" s="675">
        <f t="shared" si="11521"/>
        <v>0</v>
      </c>
      <c r="DP451" s="549">
        <f t="shared" si="11521"/>
        <v>0</v>
      </c>
      <c r="DQ451" s="675">
        <f t="shared" si="11521"/>
        <v>0</v>
      </c>
      <c r="DR451" s="549">
        <f t="shared" si="11521"/>
        <v>0</v>
      </c>
      <c r="DS451" s="675">
        <f t="shared" si="11521"/>
        <v>0</v>
      </c>
      <c r="DT451" s="549">
        <f t="shared" si="11521"/>
        <v>0</v>
      </c>
      <c r="DU451" s="675">
        <f t="shared" si="11521"/>
        <v>0</v>
      </c>
      <c r="DV451" s="549">
        <f t="shared" si="11521"/>
        <v>0</v>
      </c>
      <c r="DW451" s="675">
        <f t="shared" si="11521"/>
        <v>0</v>
      </c>
      <c r="DX451" s="549">
        <f t="shared" si="11521"/>
        <v>0</v>
      </c>
      <c r="DY451" s="675">
        <f t="shared" si="11521"/>
        <v>0</v>
      </c>
      <c r="DZ451" s="549">
        <f t="shared" ref="DZ451:FA451" si="11522">SUM(DZ452:DZ456)</f>
        <v>0</v>
      </c>
      <c r="EA451" s="675">
        <f t="shared" si="11522"/>
        <v>0</v>
      </c>
      <c r="EB451" s="549">
        <f t="shared" si="11522"/>
        <v>0</v>
      </c>
      <c r="EC451" s="675">
        <f t="shared" si="11522"/>
        <v>0</v>
      </c>
      <c r="ED451" s="549">
        <f t="shared" si="11522"/>
        <v>0</v>
      </c>
      <c r="EE451" s="675">
        <f t="shared" si="11522"/>
        <v>0</v>
      </c>
      <c r="EF451" s="549">
        <f t="shared" si="11522"/>
        <v>0</v>
      </c>
      <c r="EG451" s="675">
        <f t="shared" si="11522"/>
        <v>0</v>
      </c>
      <c r="EH451" s="549">
        <f t="shared" ref="EH451:EM451" si="11523">SUM(EH452:EH456)</f>
        <v>0</v>
      </c>
      <c r="EI451" s="675">
        <f t="shared" si="11523"/>
        <v>0</v>
      </c>
      <c r="EJ451" s="549">
        <f t="shared" si="11523"/>
        <v>0</v>
      </c>
      <c r="EK451" s="675">
        <f t="shared" si="11523"/>
        <v>0</v>
      </c>
      <c r="EL451" s="549">
        <f t="shared" si="11523"/>
        <v>0</v>
      </c>
      <c r="EM451" s="675">
        <f t="shared" si="11523"/>
        <v>0</v>
      </c>
      <c r="EN451" s="549">
        <f t="shared" si="11522"/>
        <v>0</v>
      </c>
      <c r="EO451" s="675">
        <f t="shared" si="11522"/>
        <v>0</v>
      </c>
      <c r="EP451" s="549">
        <f t="shared" si="11522"/>
        <v>0</v>
      </c>
      <c r="EQ451" s="675">
        <f t="shared" si="11522"/>
        <v>0</v>
      </c>
      <c r="ER451" s="549">
        <f t="shared" si="11522"/>
        <v>0</v>
      </c>
      <c r="ES451" s="675">
        <f t="shared" si="11522"/>
        <v>0</v>
      </c>
      <c r="ET451" s="549">
        <f t="shared" si="11522"/>
        <v>0</v>
      </c>
      <c r="EU451" s="675">
        <f t="shared" si="11522"/>
        <v>0</v>
      </c>
      <c r="EV451" s="549">
        <f t="shared" ref="EV451:EW451" si="11524">SUM(EV452:EV456)</f>
        <v>0</v>
      </c>
      <c r="EW451" s="675">
        <f t="shared" si="11524"/>
        <v>0</v>
      </c>
      <c r="EX451" s="549">
        <f t="shared" si="11522"/>
        <v>0</v>
      </c>
      <c r="EY451" s="675">
        <f t="shared" si="11522"/>
        <v>0</v>
      </c>
      <c r="EZ451" s="549">
        <f t="shared" si="11522"/>
        <v>0</v>
      </c>
      <c r="FA451" s="675">
        <f t="shared" si="11522"/>
        <v>0</v>
      </c>
      <c r="FB451" s="549">
        <f t="shared" si="11521"/>
        <v>0</v>
      </c>
      <c r="FC451" s="675">
        <f t="shared" si="11521"/>
        <v>0</v>
      </c>
      <c r="FD451" s="549">
        <f t="shared" si="11521"/>
        <v>0</v>
      </c>
      <c r="FE451" s="675">
        <f t="shared" si="11521"/>
        <v>0</v>
      </c>
      <c r="FF451" s="549">
        <f t="shared" ref="FF451:FG451" si="11525">SUM(FF452:FF456)</f>
        <v>0</v>
      </c>
      <c r="FG451" s="675">
        <f t="shared" si="11525"/>
        <v>0</v>
      </c>
      <c r="FH451" s="549">
        <f t="shared" ref="FH451:FI451" si="11526">SUM(FH452:FH456)</f>
        <v>0</v>
      </c>
      <c r="FI451" s="675">
        <f t="shared" si="11526"/>
        <v>0</v>
      </c>
      <c r="FJ451" s="549">
        <f t="shared" ref="FJ451:FK451" si="11527">SUM(FJ452:FJ456)</f>
        <v>0</v>
      </c>
      <c r="FK451" s="675">
        <f t="shared" si="11527"/>
        <v>0</v>
      </c>
      <c r="FL451" s="549">
        <f t="shared" ref="FL451:FM451" si="11528">SUM(FL452:FL456)</f>
        <v>3000</v>
      </c>
      <c r="FM451" s="675">
        <f t="shared" si="11528"/>
        <v>0</v>
      </c>
      <c r="FN451" s="549">
        <f t="shared" ref="FN451:FO451" si="11529">SUM(FN452:FN456)</f>
        <v>0</v>
      </c>
      <c r="FO451" s="675">
        <f t="shared" si="11529"/>
        <v>0</v>
      </c>
      <c r="FP451" s="549">
        <f t="shared" ref="FP451:FQ451" si="11530">SUM(FP452:FP456)</f>
        <v>0</v>
      </c>
      <c r="FQ451" s="675">
        <f t="shared" si="11530"/>
        <v>0</v>
      </c>
      <c r="FR451" s="549">
        <f t="shared" ref="FR451:FS451" si="11531">SUM(FR452:FR456)</f>
        <v>0</v>
      </c>
      <c r="FS451" s="675">
        <f t="shared" si="11531"/>
        <v>-2000</v>
      </c>
      <c r="FT451" s="549">
        <f t="shared" ref="FT451:FU451" si="11532">SUM(FT452:FT456)</f>
        <v>0</v>
      </c>
      <c r="FU451" s="675">
        <f t="shared" si="11532"/>
        <v>0</v>
      </c>
      <c r="FV451" s="549">
        <f t="shared" ref="FV451:GK451" si="11533">SUM(FV452:FV456)</f>
        <v>0</v>
      </c>
      <c r="FW451" s="675">
        <f t="shared" si="11533"/>
        <v>0</v>
      </c>
      <c r="FX451" s="549">
        <f t="shared" si="11533"/>
        <v>0</v>
      </c>
      <c r="FY451" s="675">
        <f t="shared" si="11533"/>
        <v>0</v>
      </c>
      <c r="FZ451" s="549">
        <f t="shared" ref="FZ451:GI451" si="11534">SUM(FZ452:FZ456)</f>
        <v>0</v>
      </c>
      <c r="GA451" s="675">
        <f t="shared" si="11534"/>
        <v>0</v>
      </c>
      <c r="GB451" s="549">
        <f t="shared" si="11534"/>
        <v>0</v>
      </c>
      <c r="GC451" s="675">
        <f t="shared" si="11534"/>
        <v>0</v>
      </c>
      <c r="GD451" s="549">
        <f t="shared" si="11534"/>
        <v>0</v>
      </c>
      <c r="GE451" s="675">
        <f t="shared" si="11534"/>
        <v>0</v>
      </c>
      <c r="GF451" s="549">
        <f t="shared" si="11534"/>
        <v>0</v>
      </c>
      <c r="GG451" s="675">
        <f t="shared" si="11534"/>
        <v>0</v>
      </c>
      <c r="GH451" s="549">
        <f t="shared" si="11534"/>
        <v>0</v>
      </c>
      <c r="GI451" s="675">
        <f t="shared" si="11534"/>
        <v>0</v>
      </c>
      <c r="GJ451" s="549">
        <f t="shared" si="11533"/>
        <v>0</v>
      </c>
      <c r="GK451" s="675">
        <f t="shared" si="11533"/>
        <v>0</v>
      </c>
      <c r="GL451" s="549">
        <f t="shared" ref="GL451:GM451" si="11535">SUM(GL452:GL456)</f>
        <v>0</v>
      </c>
      <c r="GM451" s="675">
        <f t="shared" si="11535"/>
        <v>0</v>
      </c>
      <c r="GN451" s="549">
        <f t="shared" ref="GN451:GO451" si="11536">SUM(GN452:GN456)</f>
        <v>0</v>
      </c>
      <c r="GO451" s="675">
        <f t="shared" si="11536"/>
        <v>0</v>
      </c>
      <c r="GP451" s="549">
        <f t="shared" si="11521"/>
        <v>13000</v>
      </c>
      <c r="GQ451" s="675">
        <f t="shared" si="11521"/>
        <v>-15000</v>
      </c>
      <c r="GR451" s="74">
        <f t="shared" si="11521"/>
        <v>60000</v>
      </c>
      <c r="GS451" s="74">
        <f t="shared" si="11521"/>
        <v>60000</v>
      </c>
      <c r="GT451" s="549">
        <f t="shared" si="11521"/>
        <v>60000</v>
      </c>
      <c r="GU451" s="74">
        <f t="shared" ref="GU451:HF451" si="11537">SUM(GU452:GU456)</f>
        <v>10500</v>
      </c>
      <c r="GV451" s="74">
        <f t="shared" si="11537"/>
        <v>7500</v>
      </c>
      <c r="GW451" s="549">
        <f t="shared" si="11537"/>
        <v>5500</v>
      </c>
      <c r="GX451" s="549">
        <f t="shared" si="11537"/>
        <v>5500</v>
      </c>
      <c r="GY451" s="74">
        <f t="shared" si="11537"/>
        <v>5500</v>
      </c>
      <c r="GZ451" s="74">
        <f t="shared" si="11537"/>
        <v>5500</v>
      </c>
      <c r="HA451" s="74">
        <f t="shared" si="11537"/>
        <v>5500</v>
      </c>
      <c r="HB451" s="74">
        <f t="shared" si="11537"/>
        <v>5500</v>
      </c>
      <c r="HC451" s="74">
        <f t="shared" si="11537"/>
        <v>5500</v>
      </c>
      <c r="HD451" s="74">
        <f t="shared" si="11537"/>
        <v>5500</v>
      </c>
      <c r="HE451" s="74">
        <f t="shared" si="11537"/>
        <v>0</v>
      </c>
      <c r="HF451" s="74">
        <f t="shared" si="11537"/>
        <v>0</v>
      </c>
      <c r="HG451" s="74">
        <f>SUM(HG452:HG456)</f>
        <v>60000</v>
      </c>
      <c r="HH451" s="74">
        <f t="shared" ref="HH451:HI451" si="11538">SUM(HH452:HH456)</f>
        <v>10500</v>
      </c>
      <c r="HI451" s="792">
        <f t="shared" si="11538"/>
        <v>0</v>
      </c>
      <c r="HJ451" s="74">
        <f t="shared" ref="HJ451:HK451" si="11539">SUM(HJ452:HJ456)</f>
        <v>7500</v>
      </c>
      <c r="HK451" s="792">
        <f t="shared" si="11539"/>
        <v>0</v>
      </c>
      <c r="HL451" s="74">
        <f t="shared" ref="HL451:HM451" si="11540">SUM(HL452:HL456)</f>
        <v>5500</v>
      </c>
      <c r="HM451" s="792">
        <f t="shared" si="11540"/>
        <v>0</v>
      </c>
      <c r="HN451" s="74">
        <f t="shared" ref="HN451:HO451" si="11541">SUM(HN452:HN456)</f>
        <v>5500</v>
      </c>
      <c r="HO451" s="792">
        <f t="shared" si="11541"/>
        <v>0</v>
      </c>
      <c r="HP451" s="74">
        <f t="shared" ref="HP451:HQ451" si="11542">SUM(HP452:HP456)</f>
        <v>5500</v>
      </c>
      <c r="HQ451" s="792">
        <f t="shared" si="11542"/>
        <v>0</v>
      </c>
      <c r="HR451" s="74">
        <f t="shared" ref="HR451:HS451" si="11543">SUM(HR452:HR456)</f>
        <v>1500</v>
      </c>
      <c r="HS451" s="792">
        <f t="shared" si="11543"/>
        <v>0</v>
      </c>
      <c r="HT451" s="74">
        <f t="shared" ref="HT451:HU451" si="11544">SUM(HT452:HT456)</f>
        <v>11500</v>
      </c>
      <c r="HU451" s="792">
        <f t="shared" si="11544"/>
        <v>0</v>
      </c>
      <c r="HV451" s="74">
        <f t="shared" ref="HV451:HW451" si="11545">SUM(HV452:HV456)</f>
        <v>0</v>
      </c>
      <c r="HW451" s="792">
        <f t="shared" si="11545"/>
        <v>0</v>
      </c>
      <c r="HX451" s="74">
        <f t="shared" ref="HX451:HY451" si="11546">SUM(HX452:HX456)</f>
        <v>6000</v>
      </c>
      <c r="HY451" s="792">
        <f t="shared" si="11546"/>
        <v>0</v>
      </c>
      <c r="HZ451" s="74">
        <f t="shared" ref="HZ451:IA451" si="11547">SUM(HZ452:HZ456)</f>
        <v>6500</v>
      </c>
      <c r="IA451" s="792">
        <f t="shared" si="11547"/>
        <v>0</v>
      </c>
      <c r="IB451" s="74">
        <f t="shared" ref="IB451:IC451" si="11548">SUM(IB452:IB456)</f>
        <v>0</v>
      </c>
      <c r="IC451" s="792">
        <f t="shared" si="11548"/>
        <v>0</v>
      </c>
      <c r="ID451" s="74">
        <f t="shared" ref="ID451:JP451" si="11549">SUM(ID452:ID456)</f>
        <v>0</v>
      </c>
      <c r="IE451" s="792">
        <f t="shared" si="11549"/>
        <v>0</v>
      </c>
      <c r="IF451" s="841">
        <f>SUM(IF452:IF456)</f>
        <v>43137.71</v>
      </c>
      <c r="IG451" s="263">
        <f>SUM(IG452:IG456)</f>
        <v>43137.71</v>
      </c>
      <c r="IH451" s="842">
        <f>SUM(IH452:IH456)</f>
        <v>43137.71</v>
      </c>
      <c r="II451" s="74">
        <f t="shared" ref="II451" si="11550">SUM(II452:II456)</f>
        <v>945.92000000000007</v>
      </c>
      <c r="IJ451" s="74">
        <f>SUM(IJ452:IJ456)</f>
        <v>945.92000000000007</v>
      </c>
      <c r="IK451" s="74">
        <f>SUM(IK452:IK456)</f>
        <v>945.92000000000007</v>
      </c>
      <c r="IL451" s="74">
        <f t="shared" ref="IL451" si="11551">SUM(IL452:IL456)</f>
        <v>2703.5600000000004</v>
      </c>
      <c r="IM451" s="74">
        <f>SUM(IM452:IM456)</f>
        <v>2703.5600000000004</v>
      </c>
      <c r="IN451" s="74">
        <f>SUM(IN452:IN456)</f>
        <v>2703.5600000000004</v>
      </c>
      <c r="IO451" s="74">
        <f t="shared" ref="IO451" si="11552">SUM(IO452:IO456)</f>
        <v>2518.1</v>
      </c>
      <c r="IP451" s="74">
        <f>SUM(IP452:IP456)</f>
        <v>2518.1</v>
      </c>
      <c r="IQ451" s="74">
        <f>SUM(IQ452:IQ456)</f>
        <v>2518.1</v>
      </c>
      <c r="IR451" s="74">
        <f t="shared" ref="IR451" si="11553">SUM(IR452:IR456)</f>
        <v>0</v>
      </c>
      <c r="IS451" s="74">
        <f>SUM(IS452:IS456)</f>
        <v>0</v>
      </c>
      <c r="IT451" s="74">
        <f>SUM(IT452:IT456)</f>
        <v>0</v>
      </c>
      <c r="IU451" s="74">
        <f t="shared" ref="IU451" si="11554">SUM(IU452:IU456)</f>
        <v>5948.89</v>
      </c>
      <c r="IV451" s="74">
        <f>SUM(IV452:IV456)</f>
        <v>5948.89</v>
      </c>
      <c r="IW451" s="74">
        <f>SUM(IW452:IW456)</f>
        <v>5948.89</v>
      </c>
      <c r="IX451" s="74">
        <f t="shared" ref="IX451" si="11555">SUM(IX452:IX456)</f>
        <v>8281.4</v>
      </c>
      <c r="IY451" s="74">
        <f>SUM(IY452:IY456)</f>
        <v>8281.4</v>
      </c>
      <c r="IZ451" s="74">
        <f>SUM(IZ452:IZ456)</f>
        <v>8281.4</v>
      </c>
      <c r="JA451" s="74">
        <f t="shared" ref="JA451" si="11556">SUM(JA452:JA456)</f>
        <v>3346.8399999999997</v>
      </c>
      <c r="JB451" s="74">
        <f>SUM(JB452:JB456)</f>
        <v>3346.8399999999997</v>
      </c>
      <c r="JC451" s="74">
        <f>SUM(JC452:JC456)</f>
        <v>3346.8399999999997</v>
      </c>
      <c r="JD451" s="74">
        <f t="shared" ref="JD451" si="11557">SUM(JD452:JD456)</f>
        <v>9432.11</v>
      </c>
      <c r="JE451" s="74">
        <f>SUM(JE452:JE456)</f>
        <v>9432.11</v>
      </c>
      <c r="JF451" s="74">
        <f>SUM(JF452:JF456)</f>
        <v>9432.11</v>
      </c>
      <c r="JG451" s="74">
        <f t="shared" ref="JG451" si="11558">SUM(JG452:JG456)</f>
        <v>3181.1200000000003</v>
      </c>
      <c r="JH451" s="74">
        <f>SUM(JH452:JH456)</f>
        <v>3181.1200000000003</v>
      </c>
      <c r="JI451" s="74">
        <f>SUM(JI452:JI456)</f>
        <v>3181.1200000000003</v>
      </c>
      <c r="JJ451" s="74">
        <f t="shared" ref="JJ451" si="11559">SUM(JJ452:JJ456)</f>
        <v>6779.7699999999986</v>
      </c>
      <c r="JK451" s="74">
        <f>SUM(JK452:JK456)</f>
        <v>6779.7699999999986</v>
      </c>
      <c r="JL451" s="74">
        <f>SUM(JL452:JL456)</f>
        <v>6779.7699999999986</v>
      </c>
      <c r="JM451" s="74">
        <f t="shared" ref="JM451" si="11560">SUM(JM452:JM456)</f>
        <v>0</v>
      </c>
      <c r="JN451" s="74">
        <f>SUM(JN452:JN456)</f>
        <v>0</v>
      </c>
      <c r="JO451" s="74">
        <f>SUM(JO452:JO456)</f>
        <v>0</v>
      </c>
      <c r="JP451" s="74">
        <f t="shared" si="11549"/>
        <v>0</v>
      </c>
      <c r="JQ451" s="74">
        <f>SUM(JQ452:JQ456)</f>
        <v>0</v>
      </c>
      <c r="JR451" s="74">
        <f>SUM(JR452:JR456)</f>
        <v>0</v>
      </c>
      <c r="JS451" s="74">
        <f>SUM(JS452:JS456)</f>
        <v>16862.29</v>
      </c>
      <c r="JT451" s="382">
        <f>SUM(JT452:JT456)</f>
        <v>16862.29</v>
      </c>
      <c r="JU451" s="665"/>
      <c r="JV451" s="524"/>
      <c r="JW451" s="525"/>
      <c r="JX451" s="549">
        <f>SUM(JX452:JX456)</f>
        <v>60000</v>
      </c>
      <c r="JY451" s="549">
        <f>SUM(JY452:JY456)</f>
        <v>0</v>
      </c>
      <c r="JZ451" s="581">
        <f t="shared" si="11276"/>
        <v>13000</v>
      </c>
      <c r="KA451" s="581">
        <f t="shared" si="11277"/>
        <v>-15000</v>
      </c>
      <c r="KB451" s="549">
        <f t="shared" si="11273"/>
        <v>60000</v>
      </c>
      <c r="KC451" s="709">
        <f t="shared" si="11275"/>
        <v>0</v>
      </c>
      <c r="KD451" s="36"/>
      <c r="KE451" s="36"/>
      <c r="KF451" s="36"/>
      <c r="KG451" s="36"/>
      <c r="KH451" s="36"/>
      <c r="KI451" s="36"/>
      <c r="KJ451" s="36"/>
      <c r="KK451" s="36"/>
    </row>
    <row r="452" spans="1:297" s="10" customFormat="1">
      <c r="A452" s="86" t="s">
        <v>268</v>
      </c>
      <c r="B452" s="77" t="s">
        <v>139</v>
      </c>
      <c r="C452" s="74">
        <v>30000</v>
      </c>
      <c r="D452" s="549">
        <v>0</v>
      </c>
      <c r="E452" s="675">
        <v>0</v>
      </c>
      <c r="F452" s="549">
        <v>0</v>
      </c>
      <c r="G452" s="675">
        <v>0</v>
      </c>
      <c r="H452" s="549">
        <v>0</v>
      </c>
      <c r="I452" s="675">
        <v>0</v>
      </c>
      <c r="J452" s="549">
        <v>0</v>
      </c>
      <c r="K452" s="675">
        <v>0</v>
      </c>
      <c r="L452" s="549">
        <v>0</v>
      </c>
      <c r="M452" s="675">
        <v>0</v>
      </c>
      <c r="N452" s="549">
        <v>0</v>
      </c>
      <c r="O452" s="675">
        <v>0</v>
      </c>
      <c r="P452" s="549">
        <v>0</v>
      </c>
      <c r="Q452" s="675">
        <v>0</v>
      </c>
      <c r="R452" s="549">
        <v>0</v>
      </c>
      <c r="S452" s="675">
        <v>0</v>
      </c>
      <c r="T452" s="549">
        <v>0</v>
      </c>
      <c r="U452" s="675">
        <v>0</v>
      </c>
      <c r="V452" s="549">
        <v>0</v>
      </c>
      <c r="W452" s="675">
        <v>0</v>
      </c>
      <c r="X452" s="549">
        <v>0</v>
      </c>
      <c r="Y452" s="675">
        <v>0</v>
      </c>
      <c r="Z452" s="549">
        <v>0</v>
      </c>
      <c r="AA452" s="675">
        <v>0</v>
      </c>
      <c r="AB452" s="549">
        <v>0</v>
      </c>
      <c r="AC452" s="675">
        <v>0</v>
      </c>
      <c r="AD452" s="549">
        <v>0</v>
      </c>
      <c r="AE452" s="675">
        <v>0</v>
      </c>
      <c r="AF452" s="549">
        <v>0</v>
      </c>
      <c r="AG452" s="675">
        <v>0</v>
      </c>
      <c r="AH452" s="549">
        <v>0</v>
      </c>
      <c r="AI452" s="675">
        <v>0</v>
      </c>
      <c r="AJ452" s="549">
        <v>0</v>
      </c>
      <c r="AK452" s="675">
        <v>0</v>
      </c>
      <c r="AL452" s="549">
        <v>0</v>
      </c>
      <c r="AM452" s="675">
        <v>0</v>
      </c>
      <c r="AN452" s="549">
        <v>0</v>
      </c>
      <c r="AO452" s="675">
        <v>0</v>
      </c>
      <c r="AP452" s="549">
        <v>0</v>
      </c>
      <c r="AQ452" s="675">
        <v>0</v>
      </c>
      <c r="AR452" s="549">
        <v>0</v>
      </c>
      <c r="AS452" s="675">
        <v>0</v>
      </c>
      <c r="AT452" s="549">
        <v>0</v>
      </c>
      <c r="AU452" s="675">
        <v>0</v>
      </c>
      <c r="AV452" s="549">
        <v>0</v>
      </c>
      <c r="AW452" s="675">
        <v>0</v>
      </c>
      <c r="AX452" s="549">
        <v>0</v>
      </c>
      <c r="AY452" s="675">
        <v>0</v>
      </c>
      <c r="AZ452" s="549">
        <v>0</v>
      </c>
      <c r="BA452" s="675">
        <v>0</v>
      </c>
      <c r="BB452" s="549">
        <v>0</v>
      </c>
      <c r="BC452" s="675">
        <v>0</v>
      </c>
      <c r="BD452" s="549">
        <v>0</v>
      </c>
      <c r="BE452" s="675">
        <v>0</v>
      </c>
      <c r="BF452" s="549">
        <v>0</v>
      </c>
      <c r="BG452" s="675">
        <v>0</v>
      </c>
      <c r="BH452" s="549">
        <v>0</v>
      </c>
      <c r="BI452" s="675">
        <v>0</v>
      </c>
      <c r="BJ452" s="549">
        <v>0</v>
      </c>
      <c r="BK452" s="675">
        <v>0</v>
      </c>
      <c r="BL452" s="549">
        <v>0</v>
      </c>
      <c r="BM452" s="675">
        <v>0</v>
      </c>
      <c r="BN452" s="549">
        <v>0</v>
      </c>
      <c r="BO452" s="675">
        <v>0</v>
      </c>
      <c r="BP452" s="549">
        <v>0</v>
      </c>
      <c r="BQ452" s="675">
        <v>0</v>
      </c>
      <c r="BR452" s="549">
        <v>0</v>
      </c>
      <c r="BS452" s="675">
        <v>0</v>
      </c>
      <c r="BT452" s="549">
        <v>0</v>
      </c>
      <c r="BU452" s="675">
        <v>0</v>
      </c>
      <c r="BV452" s="549">
        <v>0</v>
      </c>
      <c r="BW452" s="675">
        <v>0</v>
      </c>
      <c r="BX452" s="549">
        <v>0</v>
      </c>
      <c r="BY452" s="675">
        <v>0</v>
      </c>
      <c r="BZ452" s="549">
        <v>0</v>
      </c>
      <c r="CA452" s="675">
        <v>0</v>
      </c>
      <c r="CB452" s="549">
        <v>0</v>
      </c>
      <c r="CC452" s="675">
        <v>0</v>
      </c>
      <c r="CD452" s="549">
        <v>0</v>
      </c>
      <c r="CE452" s="675">
        <v>0</v>
      </c>
      <c r="CF452" s="549">
        <v>0</v>
      </c>
      <c r="CG452" s="675">
        <v>0</v>
      </c>
      <c r="CH452" s="549">
        <v>0</v>
      </c>
      <c r="CI452" s="675">
        <v>0</v>
      </c>
      <c r="CJ452" s="549">
        <v>0</v>
      </c>
      <c r="CK452" s="675">
        <v>-5000</v>
      </c>
      <c r="CL452" s="549">
        <v>0</v>
      </c>
      <c r="CM452" s="675">
        <v>0</v>
      </c>
      <c r="CN452" s="549">
        <v>0</v>
      </c>
      <c r="CO452" s="675">
        <v>0</v>
      </c>
      <c r="CP452" s="549">
        <v>0</v>
      </c>
      <c r="CQ452" s="675">
        <v>0</v>
      </c>
      <c r="CR452" s="549">
        <v>0</v>
      </c>
      <c r="CS452" s="675">
        <v>0</v>
      </c>
      <c r="CT452" s="549">
        <v>0</v>
      </c>
      <c r="CU452" s="675">
        <v>0</v>
      </c>
      <c r="CV452" s="549">
        <v>0</v>
      </c>
      <c r="CW452" s="675">
        <v>0</v>
      </c>
      <c r="CX452" s="549">
        <v>0</v>
      </c>
      <c r="CY452" s="675">
        <v>0</v>
      </c>
      <c r="CZ452" s="549">
        <v>0</v>
      </c>
      <c r="DA452" s="675">
        <v>0</v>
      </c>
      <c r="DB452" s="549">
        <v>0</v>
      </c>
      <c r="DC452" s="675">
        <v>0</v>
      </c>
      <c r="DD452" s="549">
        <v>0</v>
      </c>
      <c r="DE452" s="675">
        <v>0</v>
      </c>
      <c r="DF452" s="549">
        <v>0</v>
      </c>
      <c r="DG452" s="675">
        <v>0</v>
      </c>
      <c r="DH452" s="549">
        <v>0</v>
      </c>
      <c r="DI452" s="675">
        <v>0</v>
      </c>
      <c r="DJ452" s="549">
        <v>0</v>
      </c>
      <c r="DK452" s="675">
        <v>-1000</v>
      </c>
      <c r="DL452" s="549">
        <v>0</v>
      </c>
      <c r="DM452" s="675">
        <v>0</v>
      </c>
      <c r="DN452" s="549">
        <v>0</v>
      </c>
      <c r="DO452" s="675">
        <v>0</v>
      </c>
      <c r="DP452" s="549">
        <v>0</v>
      </c>
      <c r="DQ452" s="675">
        <v>0</v>
      </c>
      <c r="DR452" s="549">
        <v>0</v>
      </c>
      <c r="DS452" s="675">
        <v>0</v>
      </c>
      <c r="DT452" s="549">
        <v>0</v>
      </c>
      <c r="DU452" s="675">
        <v>0</v>
      </c>
      <c r="DV452" s="549">
        <v>0</v>
      </c>
      <c r="DW452" s="675">
        <v>0</v>
      </c>
      <c r="DX452" s="549">
        <v>0</v>
      </c>
      <c r="DY452" s="675">
        <v>0</v>
      </c>
      <c r="DZ452" s="549">
        <v>0</v>
      </c>
      <c r="EA452" s="675">
        <v>0</v>
      </c>
      <c r="EB452" s="549">
        <v>0</v>
      </c>
      <c r="EC452" s="675">
        <v>0</v>
      </c>
      <c r="ED452" s="549">
        <v>0</v>
      </c>
      <c r="EE452" s="675">
        <v>0</v>
      </c>
      <c r="EF452" s="549">
        <v>0</v>
      </c>
      <c r="EG452" s="675">
        <v>0</v>
      </c>
      <c r="EH452" s="549">
        <v>0</v>
      </c>
      <c r="EI452" s="675">
        <v>0</v>
      </c>
      <c r="EJ452" s="549">
        <v>0</v>
      </c>
      <c r="EK452" s="675">
        <v>0</v>
      </c>
      <c r="EL452" s="549">
        <v>0</v>
      </c>
      <c r="EM452" s="675">
        <v>0</v>
      </c>
      <c r="EN452" s="549">
        <v>0</v>
      </c>
      <c r="EO452" s="675">
        <v>0</v>
      </c>
      <c r="EP452" s="549">
        <v>0</v>
      </c>
      <c r="EQ452" s="675">
        <v>0</v>
      </c>
      <c r="ER452" s="549">
        <v>0</v>
      </c>
      <c r="ES452" s="675">
        <v>0</v>
      </c>
      <c r="ET452" s="549">
        <v>0</v>
      </c>
      <c r="EU452" s="675">
        <v>0</v>
      </c>
      <c r="EV452" s="549">
        <v>0</v>
      </c>
      <c r="EW452" s="675">
        <v>0</v>
      </c>
      <c r="EX452" s="549">
        <v>0</v>
      </c>
      <c r="EY452" s="675">
        <v>0</v>
      </c>
      <c r="EZ452" s="549">
        <v>0</v>
      </c>
      <c r="FA452" s="675">
        <v>0</v>
      </c>
      <c r="FB452" s="549">
        <v>0</v>
      </c>
      <c r="FC452" s="675">
        <v>0</v>
      </c>
      <c r="FD452" s="549">
        <v>0</v>
      </c>
      <c r="FE452" s="675">
        <v>0</v>
      </c>
      <c r="FF452" s="549">
        <v>0</v>
      </c>
      <c r="FG452" s="675">
        <v>0</v>
      </c>
      <c r="FH452" s="549">
        <v>0</v>
      </c>
      <c r="FI452" s="675">
        <v>0</v>
      </c>
      <c r="FJ452" s="549">
        <v>0</v>
      </c>
      <c r="FK452" s="675">
        <v>0</v>
      </c>
      <c r="FL452" s="549">
        <v>0</v>
      </c>
      <c r="FM452" s="675">
        <v>0</v>
      </c>
      <c r="FN452" s="549">
        <v>0</v>
      </c>
      <c r="FO452" s="675">
        <v>0</v>
      </c>
      <c r="FP452" s="549">
        <v>0</v>
      </c>
      <c r="FQ452" s="675">
        <v>0</v>
      </c>
      <c r="FR452" s="549">
        <v>0</v>
      </c>
      <c r="FS452" s="675">
        <v>0</v>
      </c>
      <c r="FT452" s="549">
        <v>0</v>
      </c>
      <c r="FU452" s="675">
        <v>0</v>
      </c>
      <c r="FV452" s="549">
        <v>0</v>
      </c>
      <c r="FW452" s="675">
        <v>0</v>
      </c>
      <c r="FX452" s="549">
        <v>0</v>
      </c>
      <c r="FY452" s="675">
        <v>0</v>
      </c>
      <c r="FZ452" s="549">
        <v>0</v>
      </c>
      <c r="GA452" s="675">
        <v>0</v>
      </c>
      <c r="GB452" s="549">
        <v>0</v>
      </c>
      <c r="GC452" s="675">
        <v>0</v>
      </c>
      <c r="GD452" s="549">
        <v>0</v>
      </c>
      <c r="GE452" s="675">
        <v>0</v>
      </c>
      <c r="GF452" s="549">
        <v>0</v>
      </c>
      <c r="GG452" s="675">
        <v>0</v>
      </c>
      <c r="GH452" s="549">
        <v>0</v>
      </c>
      <c r="GI452" s="675">
        <v>0</v>
      </c>
      <c r="GJ452" s="549">
        <v>0</v>
      </c>
      <c r="GK452" s="675">
        <v>0</v>
      </c>
      <c r="GL452" s="549">
        <v>0</v>
      </c>
      <c r="GM452" s="675">
        <v>0</v>
      </c>
      <c r="GN452" s="549">
        <v>0</v>
      </c>
      <c r="GO452" s="675">
        <v>0</v>
      </c>
      <c r="GP452" s="549">
        <f t="shared" ref="GP452:GP456" si="11561">+D452+F452+H452+J452+L452+N452+P452+R452+T452+V452+X452+Z452+AB452+AF452+AD452+AH452+AJ452+AL452+AN452+AP452+AR452+AT452+AV452+AX452+AZ452+BB452+BD452+BF452+BH452+BJ452+BL452+BN452+BP452+BR452+BT452+BV452+BX452+BZ452+CB452+CD452+CF452+CH452+CJ452+CL452+CN452+CP452+CR452+CT452+CV452+CX452+CZ452+DB452+DD452+DF452+DH452+DT452+EX452+DJ452+DL452+DN452+DP452+DR452+EJ452+EB452+DZ452+DX452+DV452+ED452+EF452+EH452+EL452+EN452+EP452+EV452+ET452+ER452+EZ452+FB452+FD452+GL452+FF452+FJ452+FL452+GJ452+FT452+FR452+FP452+FN452+FH452+GH452+GF452+GD452+GB452+FZ452+FX452+FV452+GN452</f>
        <v>0</v>
      </c>
      <c r="GQ452" s="675">
        <f t="shared" ref="GQ452:GQ456" si="11562">+E452+G452+I452+K452+M452+O452+Q452+S452+U452+W452+Y452+AA452+AC452+AE452+AG452+AI452+AK452+AM452+AO452+AQ452+AS452+AU452+AW452+AY452+BA452+BC452+BE452+BG452+BI452+BK452+BM452+BO452+BQ452+BS452+BU452+BW452+BY452+CA452+CC452+CE452+CG452+CI452+CK452+CM452+CO452+CQ452+CS452+CU452+CW452+CY452+DA452+DC452+DE452+DG452+DI452+DU452+EY452+DK452+DM452+DO452+DQ452+DS452+EK452+EC452+EA452+DY452+DW452+EI452+EG452+EE452+EM452+EO452+EQ452+EW452+EU452+ES452+FA452+FC452+FE452+GM452+FG452+FK452+FM452+FO452+FQ452+FS452+FU452+GK452+FI452+GI452+GG452+GE452+GC452+GA452+FY452+FW452+GO452</f>
        <v>-6000</v>
      </c>
      <c r="GR452" s="74">
        <f>C452+GP452+GQ452</f>
        <v>24000</v>
      </c>
      <c r="GS452" s="74">
        <f t="shared" ref="GS452:GS456" si="11563">SUM(GU452:HD452)+GP452+GQ452</f>
        <v>24000</v>
      </c>
      <c r="GT452" s="568">
        <f t="shared" ref="GT452:GT456" si="11564">SUM(GU452:HF452)+GQ452+GP452</f>
        <v>24000</v>
      </c>
      <c r="GU452" s="275">
        <v>3000</v>
      </c>
      <c r="GV452" s="275">
        <v>3000</v>
      </c>
      <c r="GW452" s="275">
        <v>3000</v>
      </c>
      <c r="GX452" s="275">
        <v>3000</v>
      </c>
      <c r="GY452" s="275">
        <v>3000</v>
      </c>
      <c r="GZ452" s="275">
        <v>3000</v>
      </c>
      <c r="HA452" s="275">
        <v>3000</v>
      </c>
      <c r="HB452" s="275">
        <v>3000</v>
      </c>
      <c r="HC452" s="275">
        <v>3000</v>
      </c>
      <c r="HD452" s="275">
        <v>3000</v>
      </c>
      <c r="HE452" s="275"/>
      <c r="HF452" s="275">
        <v>0</v>
      </c>
      <c r="HG452" s="74">
        <f>SUM(HH452:IE452)</f>
        <v>24000</v>
      </c>
      <c r="HH452" s="89">
        <v>3000</v>
      </c>
      <c r="HI452" s="817">
        <v>0</v>
      </c>
      <c r="HJ452" s="89">
        <v>3000</v>
      </c>
      <c r="HK452" s="817">
        <v>0</v>
      </c>
      <c r="HL452" s="89">
        <v>3000</v>
      </c>
      <c r="HM452" s="817">
        <v>0</v>
      </c>
      <c r="HN452" s="89">
        <v>3000</v>
      </c>
      <c r="HO452" s="817">
        <v>0</v>
      </c>
      <c r="HP452" s="89">
        <v>3000</v>
      </c>
      <c r="HQ452" s="817">
        <v>0</v>
      </c>
      <c r="HR452" s="89">
        <v>0</v>
      </c>
      <c r="HS452" s="817">
        <v>0</v>
      </c>
      <c r="HT452" s="89">
        <v>0</v>
      </c>
      <c r="HU452" s="817">
        <v>0</v>
      </c>
      <c r="HV452" s="89">
        <v>3000</v>
      </c>
      <c r="HW452" s="817">
        <v>0</v>
      </c>
      <c r="HX452" s="89">
        <v>3000</v>
      </c>
      <c r="HY452" s="817">
        <v>0</v>
      </c>
      <c r="HZ452" s="89">
        <v>3000</v>
      </c>
      <c r="IA452" s="817">
        <v>0</v>
      </c>
      <c r="IB452" s="89">
        <v>0</v>
      </c>
      <c r="IC452" s="817">
        <v>0</v>
      </c>
      <c r="ID452" s="89">
        <v>0</v>
      </c>
      <c r="IE452" s="817">
        <v>0</v>
      </c>
      <c r="IF452" s="841">
        <f t="shared" ref="IF452:IF456" si="11565">SUM(II452,IL452,IO452,IR452,IU452,IX452,JA452,JD452,JG452,JJ452,JM452,JP452)</f>
        <v>18334.03</v>
      </c>
      <c r="IG452" s="263">
        <f t="shared" ref="IG452:IG456" si="11566">SUM(IJ452,IM452,IP452,IS452,IV452,IY452,JB452,JE452,JH452,JK452,JN452,JQ452)</f>
        <v>18334.03</v>
      </c>
      <c r="IH452" s="842">
        <f t="shared" ref="IH452:IH456" si="11567">SUM(IK452,IN452,IQ452,IT452,IW452,IZ452,JC452,JF452,JI452,JL452,JO452,JR452)</f>
        <v>18334.03</v>
      </c>
      <c r="II452" s="89">
        <v>883.86</v>
      </c>
      <c r="IJ452" s="89">
        <f t="shared" ref="IJ452:IJ456" si="11568">II452</f>
        <v>883.86</v>
      </c>
      <c r="IK452" s="89">
        <f t="shared" ref="IK452:IK456" si="11569">IJ452</f>
        <v>883.86</v>
      </c>
      <c r="IL452" s="89">
        <f>1840.62-883.86</f>
        <v>956.75999999999988</v>
      </c>
      <c r="IM452" s="89">
        <f t="shared" ref="IM452:IM456" si="11570">IL452</f>
        <v>956.75999999999988</v>
      </c>
      <c r="IN452" s="89">
        <f t="shared" ref="IN452:IN456" si="11571">IM452</f>
        <v>956.75999999999988</v>
      </c>
      <c r="IO452" s="89">
        <v>0</v>
      </c>
      <c r="IP452" s="89">
        <f t="shared" ref="IP452:IP456" si="11572">IO452</f>
        <v>0</v>
      </c>
      <c r="IQ452" s="89">
        <f t="shared" ref="IQ452:IQ456" si="11573">IP452</f>
        <v>0</v>
      </c>
      <c r="IR452" s="89">
        <v>0</v>
      </c>
      <c r="IS452" s="89">
        <f t="shared" ref="IS452:IS456" si="11574">IR452</f>
        <v>0</v>
      </c>
      <c r="IT452" s="89">
        <f t="shared" ref="IT452:IT456" si="11575">IS452</f>
        <v>0</v>
      </c>
      <c r="IU452" s="89">
        <f>4802.47-1840.62</f>
        <v>2961.8500000000004</v>
      </c>
      <c r="IV452" s="89">
        <f t="shared" ref="IV452:IV456" si="11576">IU452</f>
        <v>2961.8500000000004</v>
      </c>
      <c r="IW452" s="89">
        <f t="shared" ref="IW452:IW456" si="11577">IV452</f>
        <v>2961.8500000000004</v>
      </c>
      <c r="IX452" s="89">
        <f>9632.09-4802.47</f>
        <v>4829.62</v>
      </c>
      <c r="IY452" s="89">
        <f t="shared" ref="IY452:IY456" si="11578">IX452</f>
        <v>4829.62</v>
      </c>
      <c r="IZ452" s="89">
        <f t="shared" ref="IZ452:IZ456" si="11579">IY452</f>
        <v>4829.62</v>
      </c>
      <c r="JA452" s="89">
        <f>9632.09-9632.09</f>
        <v>0</v>
      </c>
      <c r="JB452" s="89">
        <f t="shared" ref="JB452:JB456" si="11580">JA452</f>
        <v>0</v>
      </c>
      <c r="JC452" s="89">
        <f t="shared" ref="JC452:JC456" si="11581">JB452</f>
        <v>0</v>
      </c>
      <c r="JD452" s="89">
        <f>15558.2-9632.09</f>
        <v>5926.1100000000006</v>
      </c>
      <c r="JE452" s="89">
        <f t="shared" ref="JE452:JE456" si="11582">JD452</f>
        <v>5926.1100000000006</v>
      </c>
      <c r="JF452" s="89">
        <f t="shared" ref="JF452:JF456" si="11583">JE452</f>
        <v>5926.1100000000006</v>
      </c>
      <c r="JG452" s="89">
        <v>0</v>
      </c>
      <c r="JH452" s="89">
        <f t="shared" ref="JH452:JH456" si="11584">JG452</f>
        <v>0</v>
      </c>
      <c r="JI452" s="89">
        <f t="shared" ref="JI452:JI456" si="11585">JH452</f>
        <v>0</v>
      </c>
      <c r="JJ452" s="89">
        <f>18334.03-15558.2</f>
        <v>2775.8299999999981</v>
      </c>
      <c r="JK452" s="89">
        <f t="shared" ref="JK452:JK456" si="11586">JJ452</f>
        <v>2775.8299999999981</v>
      </c>
      <c r="JL452" s="89">
        <f t="shared" ref="JL452:JL456" si="11587">JK452</f>
        <v>2775.8299999999981</v>
      </c>
      <c r="JM452" s="89">
        <v>0</v>
      </c>
      <c r="JN452" s="89">
        <f t="shared" ref="JN452:JN456" si="11588">JM452</f>
        <v>0</v>
      </c>
      <c r="JO452" s="89">
        <f t="shared" ref="JO452:JO456" si="11589">JN452</f>
        <v>0</v>
      </c>
      <c r="JP452" s="89">
        <v>0</v>
      </c>
      <c r="JQ452" s="89">
        <f t="shared" ref="JQ452:JQ456" si="11590">JP452</f>
        <v>0</v>
      </c>
      <c r="JR452" s="89">
        <f t="shared" ref="JR452:JR456" si="11591">JQ452</f>
        <v>0</v>
      </c>
      <c r="JS452" s="74">
        <f>HG452-IF452</f>
        <v>5665.9700000000012</v>
      </c>
      <c r="JT452" s="382">
        <f>GS452-IF452</f>
        <v>5665.9700000000012</v>
      </c>
      <c r="JU452" s="665"/>
      <c r="JV452" s="524"/>
      <c r="JW452" s="525"/>
      <c r="JX452" s="549">
        <f t="shared" ref="JX452:JY456" si="11592">SUM(HH452,HJ452,HL452,HN452,HP452,HR452,HT452,HV452,HX452,HZ452,IB452,ID452)</f>
        <v>24000</v>
      </c>
      <c r="JY452" s="549">
        <f t="shared" si="11592"/>
        <v>0</v>
      </c>
      <c r="JZ452" s="581">
        <f t="shared" si="11276"/>
        <v>0</v>
      </c>
      <c r="KA452" s="581">
        <f t="shared" si="11277"/>
        <v>-6000</v>
      </c>
      <c r="KB452" s="549">
        <f t="shared" si="11273"/>
        <v>24000</v>
      </c>
      <c r="KC452" s="709">
        <f t="shared" si="11275"/>
        <v>0</v>
      </c>
      <c r="KD452" s="36"/>
      <c r="KE452" s="36"/>
      <c r="KF452" s="36"/>
      <c r="KG452" s="36"/>
      <c r="KH452" s="36"/>
      <c r="KI452" s="36"/>
      <c r="KJ452" s="36"/>
      <c r="KK452" s="36"/>
    </row>
    <row r="453" spans="1:297" s="10" customFormat="1">
      <c r="A453" s="86" t="s">
        <v>269</v>
      </c>
      <c r="B453" s="77" t="s">
        <v>141</v>
      </c>
      <c r="C453" s="74">
        <v>15000</v>
      </c>
      <c r="D453" s="549">
        <v>0</v>
      </c>
      <c r="E453" s="675">
        <v>0</v>
      </c>
      <c r="F453" s="549">
        <v>0</v>
      </c>
      <c r="G453" s="675">
        <v>0</v>
      </c>
      <c r="H453" s="549">
        <v>0</v>
      </c>
      <c r="I453" s="675">
        <v>0</v>
      </c>
      <c r="J453" s="549">
        <v>0</v>
      </c>
      <c r="K453" s="675">
        <v>0</v>
      </c>
      <c r="L453" s="549">
        <v>0</v>
      </c>
      <c r="M453" s="675">
        <v>0</v>
      </c>
      <c r="N453" s="549">
        <v>0</v>
      </c>
      <c r="O453" s="675">
        <v>0</v>
      </c>
      <c r="P453" s="549">
        <v>0</v>
      </c>
      <c r="Q453" s="675">
        <v>0</v>
      </c>
      <c r="R453" s="549">
        <v>0</v>
      </c>
      <c r="S453" s="675">
        <v>0</v>
      </c>
      <c r="T453" s="549">
        <v>0</v>
      </c>
      <c r="U453" s="675">
        <v>0</v>
      </c>
      <c r="V453" s="549">
        <v>0</v>
      </c>
      <c r="W453" s="675">
        <v>0</v>
      </c>
      <c r="X453" s="549">
        <v>0</v>
      </c>
      <c r="Y453" s="675">
        <v>0</v>
      </c>
      <c r="Z453" s="549">
        <v>0</v>
      </c>
      <c r="AA453" s="675">
        <v>0</v>
      </c>
      <c r="AB453" s="549">
        <v>0</v>
      </c>
      <c r="AC453" s="675">
        <v>0</v>
      </c>
      <c r="AD453" s="549">
        <v>0</v>
      </c>
      <c r="AE453" s="675">
        <v>0</v>
      </c>
      <c r="AF453" s="549">
        <v>0</v>
      </c>
      <c r="AG453" s="675">
        <v>0</v>
      </c>
      <c r="AH453" s="549">
        <v>0</v>
      </c>
      <c r="AI453" s="675">
        <v>0</v>
      </c>
      <c r="AJ453" s="549">
        <v>0</v>
      </c>
      <c r="AK453" s="675">
        <v>0</v>
      </c>
      <c r="AL453" s="549">
        <v>0</v>
      </c>
      <c r="AM453" s="675">
        <v>0</v>
      </c>
      <c r="AN453" s="549">
        <v>0</v>
      </c>
      <c r="AO453" s="675">
        <v>0</v>
      </c>
      <c r="AP453" s="549">
        <v>0</v>
      </c>
      <c r="AQ453" s="675">
        <v>0</v>
      </c>
      <c r="AR453" s="549">
        <v>0</v>
      </c>
      <c r="AS453" s="675">
        <v>0</v>
      </c>
      <c r="AT453" s="549">
        <v>0</v>
      </c>
      <c r="AU453" s="675">
        <v>0</v>
      </c>
      <c r="AV453" s="549">
        <v>0</v>
      </c>
      <c r="AW453" s="675">
        <v>0</v>
      </c>
      <c r="AX453" s="549">
        <v>0</v>
      </c>
      <c r="AY453" s="675">
        <v>0</v>
      </c>
      <c r="AZ453" s="549">
        <v>0</v>
      </c>
      <c r="BA453" s="675">
        <v>0</v>
      </c>
      <c r="BB453" s="549">
        <v>0</v>
      </c>
      <c r="BC453" s="675">
        <v>0</v>
      </c>
      <c r="BD453" s="549">
        <v>0</v>
      </c>
      <c r="BE453" s="675">
        <v>0</v>
      </c>
      <c r="BF453" s="549">
        <v>0</v>
      </c>
      <c r="BG453" s="675">
        <v>0</v>
      </c>
      <c r="BH453" s="549">
        <v>0</v>
      </c>
      <c r="BI453" s="675">
        <v>0</v>
      </c>
      <c r="BJ453" s="549">
        <v>0</v>
      </c>
      <c r="BK453" s="675">
        <v>0</v>
      </c>
      <c r="BL453" s="549">
        <v>0</v>
      </c>
      <c r="BM453" s="675">
        <v>0</v>
      </c>
      <c r="BN453" s="549">
        <v>0</v>
      </c>
      <c r="BO453" s="675">
        <v>0</v>
      </c>
      <c r="BP453" s="549">
        <v>0</v>
      </c>
      <c r="BQ453" s="675">
        <v>0</v>
      </c>
      <c r="BR453" s="549">
        <v>0</v>
      </c>
      <c r="BS453" s="675">
        <v>0</v>
      </c>
      <c r="BT453" s="549">
        <v>0</v>
      </c>
      <c r="BU453" s="675">
        <v>0</v>
      </c>
      <c r="BV453" s="549">
        <v>0</v>
      </c>
      <c r="BW453" s="675">
        <v>0</v>
      </c>
      <c r="BX453" s="549">
        <v>0</v>
      </c>
      <c r="BY453" s="675">
        <v>0</v>
      </c>
      <c r="BZ453" s="549">
        <v>0</v>
      </c>
      <c r="CA453" s="675">
        <v>0</v>
      </c>
      <c r="CB453" s="549">
        <v>0</v>
      </c>
      <c r="CC453" s="675">
        <v>0</v>
      </c>
      <c r="CD453" s="549">
        <v>0</v>
      </c>
      <c r="CE453" s="675">
        <v>0</v>
      </c>
      <c r="CF453" s="549">
        <v>0</v>
      </c>
      <c r="CG453" s="675">
        <v>0</v>
      </c>
      <c r="CH453" s="549">
        <v>0</v>
      </c>
      <c r="CI453" s="675">
        <v>0</v>
      </c>
      <c r="CJ453" s="549">
        <v>0</v>
      </c>
      <c r="CK453" s="675">
        <v>0</v>
      </c>
      <c r="CL453" s="549">
        <v>10000</v>
      </c>
      <c r="CM453" s="675">
        <v>0</v>
      </c>
      <c r="CN453" s="549">
        <v>0</v>
      </c>
      <c r="CO453" s="675">
        <v>0</v>
      </c>
      <c r="CP453" s="549">
        <v>0</v>
      </c>
      <c r="CQ453" s="675">
        <v>0</v>
      </c>
      <c r="CR453" s="549">
        <v>0</v>
      </c>
      <c r="CS453" s="675">
        <v>0</v>
      </c>
      <c r="CT453" s="549">
        <v>0</v>
      </c>
      <c r="CU453" s="675">
        <v>0</v>
      </c>
      <c r="CV453" s="549">
        <v>0</v>
      </c>
      <c r="CW453" s="675">
        <v>0</v>
      </c>
      <c r="CX453" s="549">
        <v>0</v>
      </c>
      <c r="CY453" s="675">
        <v>0</v>
      </c>
      <c r="CZ453" s="549">
        <v>0</v>
      </c>
      <c r="DA453" s="675">
        <v>0</v>
      </c>
      <c r="DB453" s="549">
        <v>0</v>
      </c>
      <c r="DC453" s="675">
        <v>0</v>
      </c>
      <c r="DD453" s="549">
        <v>0</v>
      </c>
      <c r="DE453" s="675">
        <v>0</v>
      </c>
      <c r="DF453" s="549">
        <v>0</v>
      </c>
      <c r="DG453" s="675">
        <v>0</v>
      </c>
      <c r="DH453" s="549">
        <v>0</v>
      </c>
      <c r="DI453" s="675">
        <v>0</v>
      </c>
      <c r="DJ453" s="549">
        <v>0</v>
      </c>
      <c r="DK453" s="675">
        <v>-1000</v>
      </c>
      <c r="DL453" s="549">
        <v>0</v>
      </c>
      <c r="DM453" s="675">
        <v>0</v>
      </c>
      <c r="DN453" s="549">
        <v>0</v>
      </c>
      <c r="DO453" s="675">
        <v>0</v>
      </c>
      <c r="DP453" s="549">
        <v>0</v>
      </c>
      <c r="DQ453" s="675">
        <v>0</v>
      </c>
      <c r="DR453" s="549">
        <v>0</v>
      </c>
      <c r="DS453" s="675">
        <v>0</v>
      </c>
      <c r="DT453" s="549">
        <v>0</v>
      </c>
      <c r="DU453" s="675">
        <v>0</v>
      </c>
      <c r="DV453" s="549">
        <v>0</v>
      </c>
      <c r="DW453" s="675">
        <v>0</v>
      </c>
      <c r="DX453" s="549">
        <v>0</v>
      </c>
      <c r="DY453" s="675">
        <v>0</v>
      </c>
      <c r="DZ453" s="549">
        <v>0</v>
      </c>
      <c r="EA453" s="675">
        <v>0</v>
      </c>
      <c r="EB453" s="549">
        <v>0</v>
      </c>
      <c r="EC453" s="675">
        <v>0</v>
      </c>
      <c r="ED453" s="549">
        <v>0</v>
      </c>
      <c r="EE453" s="675">
        <v>0</v>
      </c>
      <c r="EF453" s="549">
        <v>0</v>
      </c>
      <c r="EG453" s="675">
        <v>0</v>
      </c>
      <c r="EH453" s="549">
        <v>0</v>
      </c>
      <c r="EI453" s="675">
        <v>0</v>
      </c>
      <c r="EJ453" s="549">
        <v>0</v>
      </c>
      <c r="EK453" s="675">
        <v>0</v>
      </c>
      <c r="EL453" s="549">
        <v>0</v>
      </c>
      <c r="EM453" s="675">
        <v>0</v>
      </c>
      <c r="EN453" s="549">
        <v>0</v>
      </c>
      <c r="EO453" s="675">
        <v>0</v>
      </c>
      <c r="EP453" s="549">
        <v>0</v>
      </c>
      <c r="EQ453" s="675">
        <v>0</v>
      </c>
      <c r="ER453" s="549">
        <v>0</v>
      </c>
      <c r="ES453" s="675">
        <v>0</v>
      </c>
      <c r="ET453" s="549">
        <v>0</v>
      </c>
      <c r="EU453" s="675">
        <v>0</v>
      </c>
      <c r="EV453" s="549">
        <v>0</v>
      </c>
      <c r="EW453" s="675">
        <v>0</v>
      </c>
      <c r="EX453" s="549">
        <v>0</v>
      </c>
      <c r="EY453" s="675">
        <v>0</v>
      </c>
      <c r="EZ453" s="549">
        <v>0</v>
      </c>
      <c r="FA453" s="675">
        <v>0</v>
      </c>
      <c r="FB453" s="549">
        <v>0</v>
      </c>
      <c r="FC453" s="675">
        <v>0</v>
      </c>
      <c r="FD453" s="549">
        <v>0</v>
      </c>
      <c r="FE453" s="675">
        <v>0</v>
      </c>
      <c r="FF453" s="549">
        <v>0</v>
      </c>
      <c r="FG453" s="675">
        <v>0</v>
      </c>
      <c r="FH453" s="549">
        <v>0</v>
      </c>
      <c r="FI453" s="675">
        <v>0</v>
      </c>
      <c r="FJ453" s="549">
        <v>0</v>
      </c>
      <c r="FK453" s="675">
        <v>0</v>
      </c>
      <c r="FL453" s="549">
        <v>3000</v>
      </c>
      <c r="FM453" s="675">
        <v>0</v>
      </c>
      <c r="FN453" s="549">
        <v>0</v>
      </c>
      <c r="FO453" s="675">
        <v>0</v>
      </c>
      <c r="FP453" s="549">
        <v>0</v>
      </c>
      <c r="FQ453" s="675">
        <v>0</v>
      </c>
      <c r="FR453" s="549">
        <v>0</v>
      </c>
      <c r="FS453" s="675">
        <v>0</v>
      </c>
      <c r="FT453" s="549">
        <v>0</v>
      </c>
      <c r="FU453" s="675">
        <v>0</v>
      </c>
      <c r="FV453" s="549">
        <v>0</v>
      </c>
      <c r="FW453" s="675">
        <v>0</v>
      </c>
      <c r="FX453" s="549">
        <v>0</v>
      </c>
      <c r="FY453" s="675">
        <v>0</v>
      </c>
      <c r="FZ453" s="549">
        <v>0</v>
      </c>
      <c r="GA453" s="675">
        <v>0</v>
      </c>
      <c r="GB453" s="549">
        <v>0</v>
      </c>
      <c r="GC453" s="675">
        <v>0</v>
      </c>
      <c r="GD453" s="549">
        <v>0</v>
      </c>
      <c r="GE453" s="675">
        <v>0</v>
      </c>
      <c r="GF453" s="549">
        <v>0</v>
      </c>
      <c r="GG453" s="675">
        <v>0</v>
      </c>
      <c r="GH453" s="549">
        <v>0</v>
      </c>
      <c r="GI453" s="675">
        <v>0</v>
      </c>
      <c r="GJ453" s="549">
        <v>0</v>
      </c>
      <c r="GK453" s="675">
        <v>0</v>
      </c>
      <c r="GL453" s="549">
        <v>0</v>
      </c>
      <c r="GM453" s="675">
        <v>0</v>
      </c>
      <c r="GN453" s="549">
        <v>0</v>
      </c>
      <c r="GO453" s="675">
        <v>0</v>
      </c>
      <c r="GP453" s="549">
        <f t="shared" si="11561"/>
        <v>13000</v>
      </c>
      <c r="GQ453" s="675">
        <f t="shared" si="11562"/>
        <v>-1000</v>
      </c>
      <c r="GR453" s="74">
        <f>C453+GP453+GQ453</f>
        <v>27000</v>
      </c>
      <c r="GS453" s="74">
        <f t="shared" si="11563"/>
        <v>27000</v>
      </c>
      <c r="GT453" s="568">
        <f t="shared" si="11564"/>
        <v>27000</v>
      </c>
      <c r="GU453" s="275">
        <v>1500</v>
      </c>
      <c r="GV453" s="275">
        <v>1500</v>
      </c>
      <c r="GW453" s="275">
        <v>1500</v>
      </c>
      <c r="GX453" s="275">
        <v>1500</v>
      </c>
      <c r="GY453" s="275">
        <v>1500</v>
      </c>
      <c r="GZ453" s="275">
        <v>1500</v>
      </c>
      <c r="HA453" s="275">
        <v>1500</v>
      </c>
      <c r="HB453" s="275">
        <v>1500</v>
      </c>
      <c r="HC453" s="275">
        <v>1500</v>
      </c>
      <c r="HD453" s="275">
        <v>1500</v>
      </c>
      <c r="HE453" s="275"/>
      <c r="HF453" s="275">
        <v>0</v>
      </c>
      <c r="HG453" s="74">
        <f>SUM(HH453:IE453)</f>
        <v>27000</v>
      </c>
      <c r="HH453" s="89">
        <v>1500</v>
      </c>
      <c r="HI453" s="817">
        <v>0</v>
      </c>
      <c r="HJ453" s="89">
        <v>1500</v>
      </c>
      <c r="HK453" s="817">
        <v>0</v>
      </c>
      <c r="HL453" s="89">
        <v>1500</v>
      </c>
      <c r="HM453" s="817">
        <v>0</v>
      </c>
      <c r="HN453" s="89">
        <v>1500</v>
      </c>
      <c r="HO453" s="817">
        <v>0</v>
      </c>
      <c r="HP453" s="89">
        <v>1500</v>
      </c>
      <c r="HQ453" s="817">
        <v>0</v>
      </c>
      <c r="HR453" s="89">
        <v>1500</v>
      </c>
      <c r="HS453" s="817">
        <v>0</v>
      </c>
      <c r="HT453" s="89">
        <v>11500</v>
      </c>
      <c r="HU453" s="817">
        <v>0</v>
      </c>
      <c r="HV453" s="89">
        <v>0</v>
      </c>
      <c r="HW453" s="817">
        <v>0</v>
      </c>
      <c r="HX453" s="89">
        <v>2000</v>
      </c>
      <c r="HY453" s="817">
        <v>0</v>
      </c>
      <c r="HZ453" s="89">
        <f>27000-22500</f>
        <v>4500</v>
      </c>
      <c r="IA453" s="817">
        <v>0</v>
      </c>
      <c r="IB453" s="89">
        <v>0</v>
      </c>
      <c r="IC453" s="817">
        <v>0</v>
      </c>
      <c r="ID453" s="89">
        <v>0</v>
      </c>
      <c r="IE453" s="817">
        <v>0</v>
      </c>
      <c r="IF453" s="841">
        <f t="shared" si="11565"/>
        <v>20796.25</v>
      </c>
      <c r="IG453" s="263">
        <f t="shared" si="11566"/>
        <v>20796.25</v>
      </c>
      <c r="IH453" s="842">
        <f t="shared" si="11567"/>
        <v>20796.25</v>
      </c>
      <c r="II453" s="89">
        <v>0</v>
      </c>
      <c r="IJ453" s="89">
        <f t="shared" si="11568"/>
        <v>0</v>
      </c>
      <c r="IK453" s="89">
        <f t="shared" si="11569"/>
        <v>0</v>
      </c>
      <c r="IL453" s="89">
        <v>1694.16</v>
      </c>
      <c r="IM453" s="89">
        <f t="shared" si="11570"/>
        <v>1694.16</v>
      </c>
      <c r="IN453" s="89">
        <f t="shared" si="11571"/>
        <v>1694.16</v>
      </c>
      <c r="IO453" s="89">
        <f>3919.16-1694.16</f>
        <v>2225</v>
      </c>
      <c r="IP453" s="89">
        <f t="shared" si="11572"/>
        <v>2225</v>
      </c>
      <c r="IQ453" s="89">
        <f t="shared" si="11573"/>
        <v>2225</v>
      </c>
      <c r="IR453" s="89">
        <v>0</v>
      </c>
      <c r="IS453" s="89">
        <f t="shared" si="11574"/>
        <v>0</v>
      </c>
      <c r="IT453" s="89">
        <f t="shared" si="11575"/>
        <v>0</v>
      </c>
      <c r="IU453" s="89">
        <f>6119.16-3919.16</f>
        <v>2200</v>
      </c>
      <c r="IV453" s="89">
        <f t="shared" si="11576"/>
        <v>2200</v>
      </c>
      <c r="IW453" s="89">
        <f t="shared" si="11577"/>
        <v>2200</v>
      </c>
      <c r="IX453" s="89">
        <f>8969.16-6119.16</f>
        <v>2850</v>
      </c>
      <c r="IY453" s="89">
        <f t="shared" si="11578"/>
        <v>2850</v>
      </c>
      <c r="IZ453" s="89">
        <f t="shared" si="11579"/>
        <v>2850</v>
      </c>
      <c r="JA453" s="89">
        <f>11789.16-8969.16</f>
        <v>2820</v>
      </c>
      <c r="JB453" s="89">
        <f t="shared" si="11580"/>
        <v>2820</v>
      </c>
      <c r="JC453" s="89">
        <f t="shared" si="11581"/>
        <v>2820</v>
      </c>
      <c r="JD453" s="89">
        <f>14761.4-11789.16</f>
        <v>2972.24</v>
      </c>
      <c r="JE453" s="89">
        <f t="shared" si="11582"/>
        <v>2972.24</v>
      </c>
      <c r="JF453" s="89">
        <f t="shared" si="11583"/>
        <v>2972.24</v>
      </c>
      <c r="JG453" s="89">
        <f>17809.25-14761.4</f>
        <v>3047.8500000000004</v>
      </c>
      <c r="JH453" s="89">
        <f t="shared" si="11584"/>
        <v>3047.8500000000004</v>
      </c>
      <c r="JI453" s="89">
        <f t="shared" si="11585"/>
        <v>3047.8500000000004</v>
      </c>
      <c r="JJ453" s="89">
        <f>20796.25-17809.25</f>
        <v>2987</v>
      </c>
      <c r="JK453" s="89">
        <f t="shared" si="11586"/>
        <v>2987</v>
      </c>
      <c r="JL453" s="89">
        <f t="shared" si="11587"/>
        <v>2987</v>
      </c>
      <c r="JM453" s="89">
        <v>0</v>
      </c>
      <c r="JN453" s="89">
        <f t="shared" si="11588"/>
        <v>0</v>
      </c>
      <c r="JO453" s="89">
        <f t="shared" si="11589"/>
        <v>0</v>
      </c>
      <c r="JP453" s="89">
        <v>0</v>
      </c>
      <c r="JQ453" s="89">
        <f t="shared" si="11590"/>
        <v>0</v>
      </c>
      <c r="JR453" s="89">
        <f t="shared" si="11591"/>
        <v>0</v>
      </c>
      <c r="JS453" s="74">
        <f>HG453-IF453</f>
        <v>6203.75</v>
      </c>
      <c r="JT453" s="382">
        <f>GS453-IF453</f>
        <v>6203.75</v>
      </c>
      <c r="JU453" s="665"/>
      <c r="JV453" s="524"/>
      <c r="JW453" s="525"/>
      <c r="JX453" s="549">
        <f t="shared" si="11592"/>
        <v>27000</v>
      </c>
      <c r="JY453" s="549">
        <f t="shared" si="11592"/>
        <v>0</v>
      </c>
      <c r="JZ453" s="581">
        <f t="shared" si="11276"/>
        <v>13000</v>
      </c>
      <c r="KA453" s="581">
        <f t="shared" si="11277"/>
        <v>-1000</v>
      </c>
      <c r="KB453" s="549">
        <f t="shared" si="11273"/>
        <v>27000</v>
      </c>
      <c r="KC453" s="709">
        <f t="shared" si="11275"/>
        <v>0</v>
      </c>
      <c r="KD453" s="36"/>
      <c r="KE453" s="36"/>
      <c r="KF453" s="36"/>
      <c r="KG453" s="36"/>
      <c r="KH453" s="36"/>
      <c r="KI453" s="36"/>
      <c r="KJ453" s="36"/>
      <c r="KK453" s="36"/>
    </row>
    <row r="454" spans="1:297" s="10" customFormat="1">
      <c r="A454" s="86" t="s">
        <v>270</v>
      </c>
      <c r="B454" s="77" t="s">
        <v>143</v>
      </c>
      <c r="C454" s="74">
        <v>10000</v>
      </c>
      <c r="D454" s="549">
        <v>0</v>
      </c>
      <c r="E454" s="675">
        <v>0</v>
      </c>
      <c r="F454" s="549">
        <v>0</v>
      </c>
      <c r="G454" s="675">
        <v>0</v>
      </c>
      <c r="H454" s="549">
        <v>0</v>
      </c>
      <c r="I454" s="675">
        <v>0</v>
      </c>
      <c r="J454" s="549">
        <v>0</v>
      </c>
      <c r="K454" s="675">
        <v>0</v>
      </c>
      <c r="L454" s="549">
        <v>0</v>
      </c>
      <c r="M454" s="675">
        <v>0</v>
      </c>
      <c r="N454" s="549">
        <v>0</v>
      </c>
      <c r="O454" s="675">
        <v>0</v>
      </c>
      <c r="P454" s="549">
        <v>0</v>
      </c>
      <c r="Q454" s="675">
        <v>0</v>
      </c>
      <c r="R454" s="549">
        <v>0</v>
      </c>
      <c r="S454" s="675">
        <v>0</v>
      </c>
      <c r="T454" s="549">
        <v>0</v>
      </c>
      <c r="U454" s="675">
        <v>0</v>
      </c>
      <c r="V454" s="549">
        <v>0</v>
      </c>
      <c r="W454" s="675">
        <v>0</v>
      </c>
      <c r="X454" s="549">
        <v>0</v>
      </c>
      <c r="Y454" s="675">
        <v>0</v>
      </c>
      <c r="Z454" s="549">
        <v>0</v>
      </c>
      <c r="AA454" s="675">
        <v>0</v>
      </c>
      <c r="AB454" s="549">
        <v>0</v>
      </c>
      <c r="AC454" s="675">
        <v>0</v>
      </c>
      <c r="AD454" s="549">
        <v>0</v>
      </c>
      <c r="AE454" s="675">
        <v>0</v>
      </c>
      <c r="AF454" s="549">
        <v>0</v>
      </c>
      <c r="AG454" s="675">
        <v>0</v>
      </c>
      <c r="AH454" s="549">
        <v>0</v>
      </c>
      <c r="AI454" s="675">
        <v>0</v>
      </c>
      <c r="AJ454" s="549">
        <v>0</v>
      </c>
      <c r="AK454" s="675">
        <v>0</v>
      </c>
      <c r="AL454" s="549">
        <v>0</v>
      </c>
      <c r="AM454" s="675">
        <v>0</v>
      </c>
      <c r="AN454" s="549">
        <v>0</v>
      </c>
      <c r="AO454" s="675">
        <v>0</v>
      </c>
      <c r="AP454" s="549">
        <v>0</v>
      </c>
      <c r="AQ454" s="675">
        <v>0</v>
      </c>
      <c r="AR454" s="549">
        <v>0</v>
      </c>
      <c r="AS454" s="675">
        <v>0</v>
      </c>
      <c r="AT454" s="549">
        <v>0</v>
      </c>
      <c r="AU454" s="675">
        <v>0</v>
      </c>
      <c r="AV454" s="549">
        <v>0</v>
      </c>
      <c r="AW454" s="675">
        <v>0</v>
      </c>
      <c r="AX454" s="549">
        <v>0</v>
      </c>
      <c r="AY454" s="675">
        <v>0</v>
      </c>
      <c r="AZ454" s="549">
        <v>0</v>
      </c>
      <c r="BA454" s="675">
        <v>0</v>
      </c>
      <c r="BB454" s="549">
        <v>0</v>
      </c>
      <c r="BC454" s="675">
        <v>0</v>
      </c>
      <c r="BD454" s="549">
        <v>0</v>
      </c>
      <c r="BE454" s="675">
        <v>0</v>
      </c>
      <c r="BF454" s="549">
        <v>0</v>
      </c>
      <c r="BG454" s="675">
        <v>0</v>
      </c>
      <c r="BH454" s="549">
        <v>0</v>
      </c>
      <c r="BI454" s="675">
        <v>0</v>
      </c>
      <c r="BJ454" s="549">
        <v>0</v>
      </c>
      <c r="BK454" s="675">
        <v>0</v>
      </c>
      <c r="BL454" s="549">
        <v>0</v>
      </c>
      <c r="BM454" s="675">
        <v>0</v>
      </c>
      <c r="BN454" s="549">
        <v>0</v>
      </c>
      <c r="BO454" s="675">
        <v>0</v>
      </c>
      <c r="BP454" s="549">
        <v>0</v>
      </c>
      <c r="BQ454" s="675">
        <v>0</v>
      </c>
      <c r="BR454" s="549">
        <v>0</v>
      </c>
      <c r="BS454" s="675">
        <v>0</v>
      </c>
      <c r="BT454" s="549">
        <v>0</v>
      </c>
      <c r="BU454" s="675">
        <v>0</v>
      </c>
      <c r="BV454" s="549">
        <v>0</v>
      </c>
      <c r="BW454" s="675">
        <v>0</v>
      </c>
      <c r="BX454" s="549">
        <v>0</v>
      </c>
      <c r="BY454" s="675">
        <v>0</v>
      </c>
      <c r="BZ454" s="549">
        <v>0</v>
      </c>
      <c r="CA454" s="675">
        <v>0</v>
      </c>
      <c r="CB454" s="549">
        <v>0</v>
      </c>
      <c r="CC454" s="675">
        <v>0</v>
      </c>
      <c r="CD454" s="549">
        <v>0</v>
      </c>
      <c r="CE454" s="675">
        <v>0</v>
      </c>
      <c r="CF454" s="549">
        <v>0</v>
      </c>
      <c r="CG454" s="675">
        <v>0</v>
      </c>
      <c r="CH454" s="549">
        <v>0</v>
      </c>
      <c r="CI454" s="675">
        <v>0</v>
      </c>
      <c r="CJ454" s="549">
        <v>0</v>
      </c>
      <c r="CK454" s="675">
        <v>-2000</v>
      </c>
      <c r="CL454" s="549">
        <v>0</v>
      </c>
      <c r="CM454" s="675">
        <v>0</v>
      </c>
      <c r="CN454" s="549">
        <v>0</v>
      </c>
      <c r="CO454" s="675">
        <v>0</v>
      </c>
      <c r="CP454" s="549">
        <v>0</v>
      </c>
      <c r="CQ454" s="675">
        <v>0</v>
      </c>
      <c r="CR454" s="549">
        <v>0</v>
      </c>
      <c r="CS454" s="675">
        <v>0</v>
      </c>
      <c r="CT454" s="549">
        <v>0</v>
      </c>
      <c r="CU454" s="675">
        <v>0</v>
      </c>
      <c r="CV454" s="549">
        <v>0</v>
      </c>
      <c r="CW454" s="675">
        <v>0</v>
      </c>
      <c r="CX454" s="549">
        <v>0</v>
      </c>
      <c r="CY454" s="675">
        <v>0</v>
      </c>
      <c r="CZ454" s="549">
        <v>0</v>
      </c>
      <c r="DA454" s="675">
        <v>0</v>
      </c>
      <c r="DB454" s="549">
        <v>0</v>
      </c>
      <c r="DC454" s="675">
        <v>0</v>
      </c>
      <c r="DD454" s="549">
        <v>0</v>
      </c>
      <c r="DE454" s="675">
        <v>0</v>
      </c>
      <c r="DF454" s="549">
        <v>0</v>
      </c>
      <c r="DG454" s="675">
        <v>0</v>
      </c>
      <c r="DH454" s="549">
        <v>0</v>
      </c>
      <c r="DI454" s="675">
        <v>0</v>
      </c>
      <c r="DJ454" s="549">
        <v>0</v>
      </c>
      <c r="DK454" s="675">
        <v>-2000</v>
      </c>
      <c r="DL454" s="549">
        <v>0</v>
      </c>
      <c r="DM454" s="675">
        <v>0</v>
      </c>
      <c r="DN454" s="549">
        <v>0</v>
      </c>
      <c r="DO454" s="675">
        <v>0</v>
      </c>
      <c r="DP454" s="549">
        <v>0</v>
      </c>
      <c r="DQ454" s="675">
        <v>0</v>
      </c>
      <c r="DR454" s="549">
        <v>0</v>
      </c>
      <c r="DS454" s="675">
        <v>0</v>
      </c>
      <c r="DT454" s="549">
        <v>0</v>
      </c>
      <c r="DU454" s="675">
        <v>0</v>
      </c>
      <c r="DV454" s="549">
        <v>0</v>
      </c>
      <c r="DW454" s="675">
        <v>0</v>
      </c>
      <c r="DX454" s="549">
        <v>0</v>
      </c>
      <c r="DY454" s="675">
        <v>0</v>
      </c>
      <c r="DZ454" s="549">
        <v>0</v>
      </c>
      <c r="EA454" s="675">
        <v>0</v>
      </c>
      <c r="EB454" s="549">
        <v>0</v>
      </c>
      <c r="EC454" s="675">
        <v>0</v>
      </c>
      <c r="ED454" s="549">
        <v>0</v>
      </c>
      <c r="EE454" s="675">
        <v>0</v>
      </c>
      <c r="EF454" s="549">
        <v>0</v>
      </c>
      <c r="EG454" s="675">
        <v>0</v>
      </c>
      <c r="EH454" s="549">
        <v>0</v>
      </c>
      <c r="EI454" s="675">
        <v>0</v>
      </c>
      <c r="EJ454" s="549">
        <v>0</v>
      </c>
      <c r="EK454" s="675">
        <v>0</v>
      </c>
      <c r="EL454" s="549">
        <v>0</v>
      </c>
      <c r="EM454" s="675">
        <v>0</v>
      </c>
      <c r="EN454" s="549">
        <v>0</v>
      </c>
      <c r="EO454" s="675">
        <v>0</v>
      </c>
      <c r="EP454" s="549">
        <v>0</v>
      </c>
      <c r="EQ454" s="675">
        <v>0</v>
      </c>
      <c r="ER454" s="549">
        <v>0</v>
      </c>
      <c r="ES454" s="675">
        <v>0</v>
      </c>
      <c r="ET454" s="549">
        <v>0</v>
      </c>
      <c r="EU454" s="675">
        <v>0</v>
      </c>
      <c r="EV454" s="549">
        <v>0</v>
      </c>
      <c r="EW454" s="675">
        <v>0</v>
      </c>
      <c r="EX454" s="549">
        <v>0</v>
      </c>
      <c r="EY454" s="675">
        <v>0</v>
      </c>
      <c r="EZ454" s="549">
        <v>0</v>
      </c>
      <c r="FA454" s="675">
        <v>0</v>
      </c>
      <c r="FB454" s="549">
        <v>0</v>
      </c>
      <c r="FC454" s="675">
        <v>0</v>
      </c>
      <c r="FD454" s="549">
        <v>0</v>
      </c>
      <c r="FE454" s="675">
        <v>0</v>
      </c>
      <c r="FF454" s="549">
        <v>0</v>
      </c>
      <c r="FG454" s="675">
        <v>0</v>
      </c>
      <c r="FH454" s="549">
        <v>0</v>
      </c>
      <c r="FI454" s="675">
        <v>0</v>
      </c>
      <c r="FJ454" s="549">
        <v>0</v>
      </c>
      <c r="FK454" s="675">
        <v>0</v>
      </c>
      <c r="FL454" s="549">
        <v>0</v>
      </c>
      <c r="FM454" s="675">
        <v>0</v>
      </c>
      <c r="FN454" s="549">
        <v>0</v>
      </c>
      <c r="FO454" s="675">
        <v>0</v>
      </c>
      <c r="FP454" s="549">
        <v>0</v>
      </c>
      <c r="FQ454" s="675">
        <v>0</v>
      </c>
      <c r="FR454" s="549">
        <v>0</v>
      </c>
      <c r="FS454" s="675">
        <v>-2000</v>
      </c>
      <c r="FT454" s="549">
        <v>0</v>
      </c>
      <c r="FU454" s="675">
        <v>0</v>
      </c>
      <c r="FV454" s="549">
        <v>0</v>
      </c>
      <c r="FW454" s="675">
        <v>0</v>
      </c>
      <c r="FX454" s="549">
        <v>0</v>
      </c>
      <c r="FY454" s="675">
        <v>0</v>
      </c>
      <c r="FZ454" s="549">
        <v>0</v>
      </c>
      <c r="GA454" s="675">
        <v>0</v>
      </c>
      <c r="GB454" s="549">
        <v>0</v>
      </c>
      <c r="GC454" s="675">
        <v>0</v>
      </c>
      <c r="GD454" s="549">
        <v>0</v>
      </c>
      <c r="GE454" s="675">
        <v>0</v>
      </c>
      <c r="GF454" s="549">
        <v>0</v>
      </c>
      <c r="GG454" s="675">
        <v>0</v>
      </c>
      <c r="GH454" s="549">
        <v>0</v>
      </c>
      <c r="GI454" s="675">
        <v>0</v>
      </c>
      <c r="GJ454" s="549">
        <v>0</v>
      </c>
      <c r="GK454" s="675">
        <v>0</v>
      </c>
      <c r="GL454" s="549">
        <v>0</v>
      </c>
      <c r="GM454" s="675">
        <v>0</v>
      </c>
      <c r="GN454" s="549">
        <v>0</v>
      </c>
      <c r="GO454" s="675">
        <v>0</v>
      </c>
      <c r="GP454" s="549">
        <f t="shared" si="11561"/>
        <v>0</v>
      </c>
      <c r="GQ454" s="675">
        <f t="shared" si="11562"/>
        <v>-6000</v>
      </c>
      <c r="GR454" s="74">
        <f>C454+GP454+GQ454</f>
        <v>4000</v>
      </c>
      <c r="GS454" s="74">
        <f t="shared" si="11563"/>
        <v>4000</v>
      </c>
      <c r="GT454" s="568">
        <f t="shared" si="11564"/>
        <v>4000</v>
      </c>
      <c r="GU454" s="275">
        <v>1000</v>
      </c>
      <c r="GV454" s="275">
        <v>1000</v>
      </c>
      <c r="GW454" s="275">
        <v>1000</v>
      </c>
      <c r="GX454" s="275">
        <v>1000</v>
      </c>
      <c r="GY454" s="275">
        <v>1000</v>
      </c>
      <c r="GZ454" s="275">
        <v>1000</v>
      </c>
      <c r="HA454" s="275">
        <v>1000</v>
      </c>
      <c r="HB454" s="275">
        <v>1000</v>
      </c>
      <c r="HC454" s="275">
        <v>1000</v>
      </c>
      <c r="HD454" s="275">
        <v>1000</v>
      </c>
      <c r="HE454" s="275"/>
      <c r="HF454" s="275">
        <v>0</v>
      </c>
      <c r="HG454" s="74">
        <f>SUM(HH454:IE454)</f>
        <v>4000</v>
      </c>
      <c r="HH454" s="89">
        <v>1000</v>
      </c>
      <c r="HI454" s="817">
        <v>0</v>
      </c>
      <c r="HJ454" s="89">
        <v>1000</v>
      </c>
      <c r="HK454" s="817">
        <v>0</v>
      </c>
      <c r="HL454" s="89">
        <v>1000</v>
      </c>
      <c r="HM454" s="817">
        <v>0</v>
      </c>
      <c r="HN454" s="89">
        <v>1000</v>
      </c>
      <c r="HO454" s="817">
        <v>0</v>
      </c>
      <c r="HP454" s="89">
        <v>1000</v>
      </c>
      <c r="HQ454" s="817">
        <v>0</v>
      </c>
      <c r="HR454" s="89">
        <v>0</v>
      </c>
      <c r="HS454" s="817">
        <v>0</v>
      </c>
      <c r="HT454" s="89">
        <v>0</v>
      </c>
      <c r="HU454" s="817">
        <v>0</v>
      </c>
      <c r="HV454" s="89">
        <v>-1000</v>
      </c>
      <c r="HW454" s="817">
        <v>0</v>
      </c>
      <c r="HX454" s="89">
        <v>1000</v>
      </c>
      <c r="HY454" s="817">
        <v>0</v>
      </c>
      <c r="HZ454" s="89">
        <v>-1000</v>
      </c>
      <c r="IA454" s="817">
        <v>0</v>
      </c>
      <c r="IB454" s="89">
        <v>0</v>
      </c>
      <c r="IC454" s="817">
        <v>0</v>
      </c>
      <c r="ID454" s="89">
        <v>0</v>
      </c>
      <c r="IE454" s="817">
        <v>0</v>
      </c>
      <c r="IF454" s="841">
        <f t="shared" si="11565"/>
        <v>1282.81</v>
      </c>
      <c r="IG454" s="263">
        <f t="shared" si="11566"/>
        <v>1282.81</v>
      </c>
      <c r="IH454" s="842">
        <f t="shared" si="11567"/>
        <v>1282.81</v>
      </c>
      <c r="II454" s="89">
        <v>62.06</v>
      </c>
      <c r="IJ454" s="89">
        <f t="shared" si="11568"/>
        <v>62.06</v>
      </c>
      <c r="IK454" s="89">
        <f t="shared" si="11569"/>
        <v>62.06</v>
      </c>
      <c r="IL454" s="89">
        <v>0</v>
      </c>
      <c r="IM454" s="89">
        <f t="shared" si="11570"/>
        <v>0</v>
      </c>
      <c r="IN454" s="89">
        <f t="shared" si="11571"/>
        <v>0</v>
      </c>
      <c r="IO454" s="89">
        <v>0</v>
      </c>
      <c r="IP454" s="89">
        <f t="shared" si="11572"/>
        <v>0</v>
      </c>
      <c r="IQ454" s="89">
        <f t="shared" si="11573"/>
        <v>0</v>
      </c>
      <c r="IR454" s="89">
        <v>0</v>
      </c>
      <c r="IS454" s="89">
        <f t="shared" si="11574"/>
        <v>0</v>
      </c>
      <c r="IT454" s="89">
        <f t="shared" si="11575"/>
        <v>0</v>
      </c>
      <c r="IU454" s="89">
        <f>317.9-62.06</f>
        <v>255.83999999999997</v>
      </c>
      <c r="IV454" s="89">
        <f t="shared" si="11576"/>
        <v>255.83999999999997</v>
      </c>
      <c r="IW454" s="89">
        <f t="shared" si="11577"/>
        <v>255.83999999999997</v>
      </c>
      <c r="IX454" s="89">
        <f>707.66-317.9</f>
        <v>389.76</v>
      </c>
      <c r="IY454" s="89">
        <f t="shared" si="11578"/>
        <v>389.76</v>
      </c>
      <c r="IZ454" s="89">
        <f t="shared" si="11579"/>
        <v>389.76</v>
      </c>
      <c r="JA454" s="89">
        <f>707.66-707.66</f>
        <v>0</v>
      </c>
      <c r="JB454" s="89">
        <f t="shared" si="11580"/>
        <v>0</v>
      </c>
      <c r="JC454" s="89">
        <f t="shared" si="11581"/>
        <v>0</v>
      </c>
      <c r="JD454" s="89">
        <f>1030.69-707.66</f>
        <v>323.03000000000009</v>
      </c>
      <c r="JE454" s="89">
        <f t="shared" si="11582"/>
        <v>323.03000000000009</v>
      </c>
      <c r="JF454" s="89">
        <f t="shared" si="11583"/>
        <v>323.03000000000009</v>
      </c>
      <c r="JG454" s="89">
        <v>0</v>
      </c>
      <c r="JH454" s="89">
        <f t="shared" si="11584"/>
        <v>0</v>
      </c>
      <c r="JI454" s="89">
        <f t="shared" si="11585"/>
        <v>0</v>
      </c>
      <c r="JJ454" s="89">
        <f>1282.81-1030.69</f>
        <v>252.11999999999989</v>
      </c>
      <c r="JK454" s="89">
        <f t="shared" si="11586"/>
        <v>252.11999999999989</v>
      </c>
      <c r="JL454" s="89">
        <f t="shared" si="11587"/>
        <v>252.11999999999989</v>
      </c>
      <c r="JM454" s="89">
        <v>0</v>
      </c>
      <c r="JN454" s="89">
        <f t="shared" si="11588"/>
        <v>0</v>
      </c>
      <c r="JO454" s="89">
        <f t="shared" si="11589"/>
        <v>0</v>
      </c>
      <c r="JP454" s="89">
        <v>0</v>
      </c>
      <c r="JQ454" s="89">
        <f t="shared" si="11590"/>
        <v>0</v>
      </c>
      <c r="JR454" s="89">
        <f t="shared" si="11591"/>
        <v>0</v>
      </c>
      <c r="JS454" s="74">
        <f>HG454-IF454</f>
        <v>2717.19</v>
      </c>
      <c r="JT454" s="382">
        <f>GS454-IF454</f>
        <v>2717.19</v>
      </c>
      <c r="JU454" s="665"/>
      <c r="JV454" s="524"/>
      <c r="JW454" s="525"/>
      <c r="JX454" s="549">
        <f t="shared" si="11592"/>
        <v>4000</v>
      </c>
      <c r="JY454" s="549">
        <f t="shared" si="11592"/>
        <v>0</v>
      </c>
      <c r="JZ454" s="581">
        <f t="shared" si="11276"/>
        <v>0</v>
      </c>
      <c r="KA454" s="581">
        <f t="shared" si="11277"/>
        <v>-6000</v>
      </c>
      <c r="KB454" s="549">
        <f t="shared" si="11273"/>
        <v>4000</v>
      </c>
      <c r="KC454" s="709">
        <f t="shared" si="11275"/>
        <v>0</v>
      </c>
      <c r="KD454" s="36"/>
      <c r="KE454" s="36"/>
      <c r="KF454" s="36"/>
      <c r="KG454" s="36"/>
      <c r="KH454" s="36"/>
      <c r="KI454" s="36"/>
      <c r="KJ454" s="36"/>
      <c r="KK454" s="36"/>
    </row>
    <row r="455" spans="1:297" s="10" customFormat="1">
      <c r="A455" s="86" t="s">
        <v>271</v>
      </c>
      <c r="B455" s="77" t="s">
        <v>144</v>
      </c>
      <c r="C455" s="74">
        <v>2000</v>
      </c>
      <c r="D455" s="549">
        <v>0</v>
      </c>
      <c r="E455" s="675">
        <v>0</v>
      </c>
      <c r="F455" s="549">
        <v>0</v>
      </c>
      <c r="G455" s="675">
        <v>0</v>
      </c>
      <c r="H455" s="549">
        <v>0</v>
      </c>
      <c r="I455" s="675">
        <v>0</v>
      </c>
      <c r="J455" s="549">
        <v>0</v>
      </c>
      <c r="K455" s="675">
        <v>0</v>
      </c>
      <c r="L455" s="549">
        <v>0</v>
      </c>
      <c r="M455" s="675">
        <v>0</v>
      </c>
      <c r="N455" s="549">
        <v>0</v>
      </c>
      <c r="O455" s="675">
        <v>0</v>
      </c>
      <c r="P455" s="549">
        <v>0</v>
      </c>
      <c r="Q455" s="675">
        <v>0</v>
      </c>
      <c r="R455" s="549">
        <v>0</v>
      </c>
      <c r="S455" s="675">
        <v>0</v>
      </c>
      <c r="T455" s="549">
        <v>0</v>
      </c>
      <c r="U455" s="675">
        <v>0</v>
      </c>
      <c r="V455" s="549">
        <v>0</v>
      </c>
      <c r="W455" s="675">
        <v>0</v>
      </c>
      <c r="X455" s="549">
        <v>0</v>
      </c>
      <c r="Y455" s="675">
        <v>0</v>
      </c>
      <c r="Z455" s="549">
        <v>0</v>
      </c>
      <c r="AA455" s="675">
        <v>0</v>
      </c>
      <c r="AB455" s="549">
        <v>0</v>
      </c>
      <c r="AC455" s="675">
        <v>0</v>
      </c>
      <c r="AD455" s="549">
        <v>0</v>
      </c>
      <c r="AE455" s="675">
        <v>0</v>
      </c>
      <c r="AF455" s="549">
        <v>0</v>
      </c>
      <c r="AG455" s="675">
        <v>0</v>
      </c>
      <c r="AH455" s="549">
        <v>0</v>
      </c>
      <c r="AI455" s="675">
        <v>0</v>
      </c>
      <c r="AJ455" s="549">
        <v>0</v>
      </c>
      <c r="AK455" s="675">
        <v>0</v>
      </c>
      <c r="AL455" s="549">
        <v>0</v>
      </c>
      <c r="AM455" s="675">
        <v>0</v>
      </c>
      <c r="AN455" s="549">
        <v>0</v>
      </c>
      <c r="AO455" s="675">
        <v>0</v>
      </c>
      <c r="AP455" s="549">
        <v>0</v>
      </c>
      <c r="AQ455" s="675">
        <v>0</v>
      </c>
      <c r="AR455" s="549">
        <v>0</v>
      </c>
      <c r="AS455" s="675">
        <v>0</v>
      </c>
      <c r="AT455" s="549">
        <v>0</v>
      </c>
      <c r="AU455" s="675">
        <v>0</v>
      </c>
      <c r="AV455" s="549">
        <v>0</v>
      </c>
      <c r="AW455" s="675">
        <v>0</v>
      </c>
      <c r="AX455" s="549">
        <v>0</v>
      </c>
      <c r="AY455" s="675">
        <v>0</v>
      </c>
      <c r="AZ455" s="549">
        <v>0</v>
      </c>
      <c r="BA455" s="675">
        <v>0</v>
      </c>
      <c r="BB455" s="549">
        <v>0</v>
      </c>
      <c r="BC455" s="675">
        <v>0</v>
      </c>
      <c r="BD455" s="549">
        <v>0</v>
      </c>
      <c r="BE455" s="675">
        <v>0</v>
      </c>
      <c r="BF455" s="549">
        <v>0</v>
      </c>
      <c r="BG455" s="675">
        <v>0</v>
      </c>
      <c r="BH455" s="549">
        <v>0</v>
      </c>
      <c r="BI455" s="675">
        <v>0</v>
      </c>
      <c r="BJ455" s="549">
        <v>0</v>
      </c>
      <c r="BK455" s="675">
        <v>0</v>
      </c>
      <c r="BL455" s="549">
        <v>0</v>
      </c>
      <c r="BM455" s="675">
        <v>0</v>
      </c>
      <c r="BN455" s="549">
        <v>0</v>
      </c>
      <c r="BO455" s="675">
        <v>0</v>
      </c>
      <c r="BP455" s="549">
        <v>0</v>
      </c>
      <c r="BQ455" s="675">
        <v>0</v>
      </c>
      <c r="BR455" s="549">
        <v>0</v>
      </c>
      <c r="BS455" s="675">
        <v>0</v>
      </c>
      <c r="BT455" s="549">
        <v>0</v>
      </c>
      <c r="BU455" s="675">
        <v>0</v>
      </c>
      <c r="BV455" s="549">
        <v>0</v>
      </c>
      <c r="BW455" s="675">
        <v>0</v>
      </c>
      <c r="BX455" s="549">
        <v>0</v>
      </c>
      <c r="BY455" s="675">
        <v>0</v>
      </c>
      <c r="BZ455" s="549">
        <v>0</v>
      </c>
      <c r="CA455" s="675">
        <v>0</v>
      </c>
      <c r="CB455" s="549">
        <v>0</v>
      </c>
      <c r="CC455" s="675">
        <v>0</v>
      </c>
      <c r="CD455" s="549">
        <v>0</v>
      </c>
      <c r="CE455" s="675">
        <v>0</v>
      </c>
      <c r="CF455" s="549">
        <v>0</v>
      </c>
      <c r="CG455" s="675">
        <v>0</v>
      </c>
      <c r="CH455" s="549">
        <v>0</v>
      </c>
      <c r="CI455" s="675">
        <v>0</v>
      </c>
      <c r="CJ455" s="549">
        <v>0</v>
      </c>
      <c r="CK455" s="675">
        <v>0</v>
      </c>
      <c r="CL455" s="549">
        <v>0</v>
      </c>
      <c r="CM455" s="675">
        <v>0</v>
      </c>
      <c r="CN455" s="549">
        <v>0</v>
      </c>
      <c r="CO455" s="675">
        <v>0</v>
      </c>
      <c r="CP455" s="549">
        <v>0</v>
      </c>
      <c r="CQ455" s="675">
        <v>0</v>
      </c>
      <c r="CR455" s="549">
        <v>0</v>
      </c>
      <c r="CS455" s="675">
        <v>0</v>
      </c>
      <c r="CT455" s="549">
        <v>0</v>
      </c>
      <c r="CU455" s="675">
        <v>0</v>
      </c>
      <c r="CV455" s="549">
        <v>0</v>
      </c>
      <c r="CW455" s="675">
        <v>0</v>
      </c>
      <c r="CX455" s="549">
        <v>0</v>
      </c>
      <c r="CY455" s="675">
        <v>0</v>
      </c>
      <c r="CZ455" s="549">
        <v>0</v>
      </c>
      <c r="DA455" s="675">
        <v>0</v>
      </c>
      <c r="DB455" s="549">
        <v>0</v>
      </c>
      <c r="DC455" s="675">
        <v>0</v>
      </c>
      <c r="DD455" s="549">
        <v>0</v>
      </c>
      <c r="DE455" s="675">
        <v>0</v>
      </c>
      <c r="DF455" s="549">
        <v>0</v>
      </c>
      <c r="DG455" s="675">
        <v>0</v>
      </c>
      <c r="DH455" s="549">
        <v>0</v>
      </c>
      <c r="DI455" s="675">
        <v>0</v>
      </c>
      <c r="DJ455" s="549">
        <v>0</v>
      </c>
      <c r="DK455" s="675">
        <v>0</v>
      </c>
      <c r="DL455" s="549">
        <v>0</v>
      </c>
      <c r="DM455" s="675">
        <v>0</v>
      </c>
      <c r="DN455" s="549">
        <v>0</v>
      </c>
      <c r="DO455" s="675">
        <v>0</v>
      </c>
      <c r="DP455" s="549">
        <v>0</v>
      </c>
      <c r="DQ455" s="675">
        <v>0</v>
      </c>
      <c r="DR455" s="549">
        <v>0</v>
      </c>
      <c r="DS455" s="675">
        <v>0</v>
      </c>
      <c r="DT455" s="549">
        <v>0</v>
      </c>
      <c r="DU455" s="675">
        <v>0</v>
      </c>
      <c r="DV455" s="549">
        <v>0</v>
      </c>
      <c r="DW455" s="675">
        <v>0</v>
      </c>
      <c r="DX455" s="549">
        <v>0</v>
      </c>
      <c r="DY455" s="675">
        <v>0</v>
      </c>
      <c r="DZ455" s="549">
        <v>0</v>
      </c>
      <c r="EA455" s="675">
        <v>0</v>
      </c>
      <c r="EB455" s="549">
        <v>0</v>
      </c>
      <c r="EC455" s="675">
        <v>0</v>
      </c>
      <c r="ED455" s="549">
        <v>0</v>
      </c>
      <c r="EE455" s="675">
        <v>0</v>
      </c>
      <c r="EF455" s="549">
        <v>0</v>
      </c>
      <c r="EG455" s="675">
        <v>0</v>
      </c>
      <c r="EH455" s="549">
        <v>0</v>
      </c>
      <c r="EI455" s="675">
        <v>0</v>
      </c>
      <c r="EJ455" s="549">
        <v>0</v>
      </c>
      <c r="EK455" s="675">
        <v>0</v>
      </c>
      <c r="EL455" s="549">
        <v>0</v>
      </c>
      <c r="EM455" s="675">
        <v>0</v>
      </c>
      <c r="EN455" s="549">
        <v>0</v>
      </c>
      <c r="EO455" s="675">
        <v>0</v>
      </c>
      <c r="EP455" s="549">
        <v>0</v>
      </c>
      <c r="EQ455" s="675">
        <v>0</v>
      </c>
      <c r="ER455" s="549">
        <v>0</v>
      </c>
      <c r="ES455" s="675">
        <v>0</v>
      </c>
      <c r="ET455" s="549">
        <v>0</v>
      </c>
      <c r="EU455" s="675">
        <v>0</v>
      </c>
      <c r="EV455" s="549">
        <v>0</v>
      </c>
      <c r="EW455" s="675">
        <v>0</v>
      </c>
      <c r="EX455" s="549">
        <v>0</v>
      </c>
      <c r="EY455" s="675">
        <v>0</v>
      </c>
      <c r="EZ455" s="549">
        <v>0</v>
      </c>
      <c r="FA455" s="675">
        <v>0</v>
      </c>
      <c r="FB455" s="549">
        <v>0</v>
      </c>
      <c r="FC455" s="675">
        <v>0</v>
      </c>
      <c r="FD455" s="549">
        <v>0</v>
      </c>
      <c r="FE455" s="675">
        <v>0</v>
      </c>
      <c r="FF455" s="549">
        <v>0</v>
      </c>
      <c r="FG455" s="675">
        <v>0</v>
      </c>
      <c r="FH455" s="549">
        <v>0</v>
      </c>
      <c r="FI455" s="675">
        <v>0</v>
      </c>
      <c r="FJ455" s="549">
        <v>0</v>
      </c>
      <c r="FK455" s="675">
        <v>0</v>
      </c>
      <c r="FL455" s="549">
        <v>0</v>
      </c>
      <c r="FM455" s="675">
        <v>0</v>
      </c>
      <c r="FN455" s="549">
        <v>0</v>
      </c>
      <c r="FO455" s="675">
        <v>0</v>
      </c>
      <c r="FP455" s="549">
        <v>0</v>
      </c>
      <c r="FQ455" s="675">
        <v>0</v>
      </c>
      <c r="FR455" s="549">
        <v>0</v>
      </c>
      <c r="FS455" s="675">
        <v>0</v>
      </c>
      <c r="FT455" s="549">
        <v>0</v>
      </c>
      <c r="FU455" s="675">
        <v>0</v>
      </c>
      <c r="FV455" s="549">
        <v>0</v>
      </c>
      <c r="FW455" s="675">
        <v>0</v>
      </c>
      <c r="FX455" s="549">
        <v>0</v>
      </c>
      <c r="FY455" s="675">
        <v>0</v>
      </c>
      <c r="FZ455" s="549">
        <v>0</v>
      </c>
      <c r="GA455" s="675">
        <v>0</v>
      </c>
      <c r="GB455" s="549">
        <v>0</v>
      </c>
      <c r="GC455" s="675">
        <v>0</v>
      </c>
      <c r="GD455" s="549">
        <v>0</v>
      </c>
      <c r="GE455" s="675">
        <v>0</v>
      </c>
      <c r="GF455" s="549">
        <v>0</v>
      </c>
      <c r="GG455" s="675">
        <v>0</v>
      </c>
      <c r="GH455" s="549">
        <v>0</v>
      </c>
      <c r="GI455" s="675">
        <v>0</v>
      </c>
      <c r="GJ455" s="549">
        <v>0</v>
      </c>
      <c r="GK455" s="675">
        <v>0</v>
      </c>
      <c r="GL455" s="549">
        <v>0</v>
      </c>
      <c r="GM455" s="675">
        <v>0</v>
      </c>
      <c r="GN455" s="549">
        <v>0</v>
      </c>
      <c r="GO455" s="675">
        <v>0</v>
      </c>
      <c r="GP455" s="549">
        <f t="shared" si="11561"/>
        <v>0</v>
      </c>
      <c r="GQ455" s="675">
        <f t="shared" si="11562"/>
        <v>0</v>
      </c>
      <c r="GR455" s="74">
        <f>C455+GP455+GQ455</f>
        <v>2000</v>
      </c>
      <c r="GS455" s="74">
        <f t="shared" si="11563"/>
        <v>2000</v>
      </c>
      <c r="GT455" s="568">
        <f t="shared" si="11564"/>
        <v>2000</v>
      </c>
      <c r="GU455" s="275"/>
      <c r="GV455" s="275">
        <v>2000</v>
      </c>
      <c r="GW455" s="588"/>
      <c r="GX455" s="588"/>
      <c r="GY455" s="275"/>
      <c r="GZ455" s="275"/>
      <c r="HA455" s="275"/>
      <c r="HB455" s="275"/>
      <c r="HC455" s="275"/>
      <c r="HD455" s="275"/>
      <c r="HE455" s="275"/>
      <c r="HF455" s="275"/>
      <c r="HG455" s="74">
        <f>SUM(HH455:IE455)</f>
        <v>2000</v>
      </c>
      <c r="HH455" s="89">
        <v>0</v>
      </c>
      <c r="HI455" s="817">
        <v>0</v>
      </c>
      <c r="HJ455" s="89">
        <v>2000</v>
      </c>
      <c r="HK455" s="817">
        <v>0</v>
      </c>
      <c r="HL455" s="89">
        <v>0</v>
      </c>
      <c r="HM455" s="817">
        <v>0</v>
      </c>
      <c r="HN455" s="89">
        <v>0</v>
      </c>
      <c r="HO455" s="817">
        <v>0</v>
      </c>
      <c r="HP455" s="89">
        <v>0</v>
      </c>
      <c r="HQ455" s="817">
        <v>0</v>
      </c>
      <c r="HR455" s="89">
        <v>0</v>
      </c>
      <c r="HS455" s="817">
        <v>0</v>
      </c>
      <c r="HT455" s="89">
        <v>0</v>
      </c>
      <c r="HU455" s="817">
        <v>0</v>
      </c>
      <c r="HV455" s="89">
        <v>0</v>
      </c>
      <c r="HW455" s="817">
        <v>0</v>
      </c>
      <c r="HX455" s="89">
        <v>0</v>
      </c>
      <c r="HY455" s="817">
        <v>0</v>
      </c>
      <c r="HZ455" s="89">
        <v>0</v>
      </c>
      <c r="IA455" s="817">
        <v>0</v>
      </c>
      <c r="IB455" s="89">
        <v>0</v>
      </c>
      <c r="IC455" s="817">
        <v>0</v>
      </c>
      <c r="ID455" s="89">
        <v>0</v>
      </c>
      <c r="IE455" s="817">
        <v>0</v>
      </c>
      <c r="IF455" s="841">
        <f t="shared" si="11565"/>
        <v>1382.18</v>
      </c>
      <c r="IG455" s="263">
        <f t="shared" si="11566"/>
        <v>1382.18</v>
      </c>
      <c r="IH455" s="842">
        <f t="shared" si="11567"/>
        <v>1382.18</v>
      </c>
      <c r="II455" s="89">
        <v>0</v>
      </c>
      <c r="IJ455" s="89">
        <f t="shared" si="11568"/>
        <v>0</v>
      </c>
      <c r="IK455" s="89">
        <f t="shared" si="11569"/>
        <v>0</v>
      </c>
      <c r="IL455" s="89">
        <v>8.8000000000000007</v>
      </c>
      <c r="IM455" s="89">
        <f t="shared" si="11570"/>
        <v>8.8000000000000007</v>
      </c>
      <c r="IN455" s="89">
        <f t="shared" si="11571"/>
        <v>8.8000000000000007</v>
      </c>
      <c r="IO455" s="89">
        <f>301.9-8.8</f>
        <v>293.09999999999997</v>
      </c>
      <c r="IP455" s="89">
        <f t="shared" si="11572"/>
        <v>293.09999999999997</v>
      </c>
      <c r="IQ455" s="89">
        <f t="shared" si="11573"/>
        <v>293.09999999999997</v>
      </c>
      <c r="IR455" s="89">
        <v>0</v>
      </c>
      <c r="IS455" s="89">
        <f t="shared" si="11574"/>
        <v>0</v>
      </c>
      <c r="IT455" s="89">
        <f t="shared" si="11575"/>
        <v>0</v>
      </c>
      <c r="IU455" s="89">
        <f>613.57-301.9</f>
        <v>311.67000000000007</v>
      </c>
      <c r="IV455" s="89">
        <f t="shared" si="11576"/>
        <v>311.67000000000007</v>
      </c>
      <c r="IW455" s="89">
        <f t="shared" si="11577"/>
        <v>311.67000000000007</v>
      </c>
      <c r="IX455" s="89">
        <f>697.7-613.57</f>
        <v>84.13</v>
      </c>
      <c r="IY455" s="89">
        <f t="shared" si="11578"/>
        <v>84.13</v>
      </c>
      <c r="IZ455" s="89">
        <f t="shared" si="11579"/>
        <v>84.13</v>
      </c>
      <c r="JA455" s="89">
        <f>757.98-697.7</f>
        <v>60.279999999999973</v>
      </c>
      <c r="JB455" s="89">
        <f t="shared" si="11580"/>
        <v>60.279999999999973</v>
      </c>
      <c r="JC455" s="89">
        <f t="shared" si="11581"/>
        <v>60.279999999999973</v>
      </c>
      <c r="JD455" s="89">
        <f>954.05-757.98</f>
        <v>196.06999999999994</v>
      </c>
      <c r="JE455" s="89">
        <f t="shared" si="11582"/>
        <v>196.06999999999994</v>
      </c>
      <c r="JF455" s="89">
        <f t="shared" si="11583"/>
        <v>196.06999999999994</v>
      </c>
      <c r="JG455" s="89">
        <f>1048.05-954.05</f>
        <v>94</v>
      </c>
      <c r="JH455" s="89">
        <f t="shared" si="11584"/>
        <v>94</v>
      </c>
      <c r="JI455" s="89">
        <f t="shared" si="11585"/>
        <v>94</v>
      </c>
      <c r="JJ455" s="89">
        <f>1382.18-1048.05</f>
        <v>334.13000000000011</v>
      </c>
      <c r="JK455" s="89">
        <f t="shared" si="11586"/>
        <v>334.13000000000011</v>
      </c>
      <c r="JL455" s="89">
        <f t="shared" si="11587"/>
        <v>334.13000000000011</v>
      </c>
      <c r="JM455" s="89">
        <v>0</v>
      </c>
      <c r="JN455" s="89">
        <f t="shared" si="11588"/>
        <v>0</v>
      </c>
      <c r="JO455" s="89">
        <f t="shared" si="11589"/>
        <v>0</v>
      </c>
      <c r="JP455" s="89">
        <v>0</v>
      </c>
      <c r="JQ455" s="89">
        <f t="shared" si="11590"/>
        <v>0</v>
      </c>
      <c r="JR455" s="89">
        <f t="shared" si="11591"/>
        <v>0</v>
      </c>
      <c r="JS455" s="74">
        <f>HG455-IF455</f>
        <v>617.81999999999994</v>
      </c>
      <c r="JT455" s="382">
        <f>GS455-IF455</f>
        <v>617.81999999999994</v>
      </c>
      <c r="JU455" s="665"/>
      <c r="JV455" s="524"/>
      <c r="JW455" s="525"/>
      <c r="JX455" s="549">
        <f t="shared" si="11592"/>
        <v>2000</v>
      </c>
      <c r="JY455" s="549">
        <f t="shared" si="11592"/>
        <v>0</v>
      </c>
      <c r="JZ455" s="581">
        <f t="shared" si="11276"/>
        <v>0</v>
      </c>
      <c r="KA455" s="581">
        <f t="shared" si="11277"/>
        <v>0</v>
      </c>
      <c r="KB455" s="549">
        <f t="shared" si="11273"/>
        <v>2000</v>
      </c>
      <c r="KC455" s="709">
        <f t="shared" si="11275"/>
        <v>0</v>
      </c>
      <c r="KD455" s="36"/>
      <c r="KE455" s="36"/>
      <c r="KF455" s="36"/>
      <c r="KG455" s="36"/>
      <c r="KH455" s="36"/>
      <c r="KI455" s="36"/>
      <c r="KJ455" s="36"/>
      <c r="KK455" s="36"/>
    </row>
    <row r="456" spans="1:297" s="10" customFormat="1">
      <c r="A456" s="86" t="s">
        <v>272</v>
      </c>
      <c r="B456" s="77" t="s">
        <v>146</v>
      </c>
      <c r="C456" s="74">
        <v>5000</v>
      </c>
      <c r="D456" s="549">
        <v>0</v>
      </c>
      <c r="E456" s="675">
        <v>0</v>
      </c>
      <c r="F456" s="549">
        <v>0</v>
      </c>
      <c r="G456" s="675">
        <v>0</v>
      </c>
      <c r="H456" s="549">
        <v>0</v>
      </c>
      <c r="I456" s="675">
        <v>0</v>
      </c>
      <c r="J456" s="549">
        <v>0</v>
      </c>
      <c r="K456" s="675">
        <v>0</v>
      </c>
      <c r="L456" s="549">
        <v>0</v>
      </c>
      <c r="M456" s="675">
        <v>0</v>
      </c>
      <c r="N456" s="549">
        <v>0</v>
      </c>
      <c r="O456" s="675">
        <v>0</v>
      </c>
      <c r="P456" s="549">
        <v>0</v>
      </c>
      <c r="Q456" s="675">
        <v>0</v>
      </c>
      <c r="R456" s="549">
        <v>0</v>
      </c>
      <c r="S456" s="675">
        <v>0</v>
      </c>
      <c r="T456" s="549">
        <v>0</v>
      </c>
      <c r="U456" s="675">
        <v>0</v>
      </c>
      <c r="V456" s="549">
        <v>0</v>
      </c>
      <c r="W456" s="675">
        <v>0</v>
      </c>
      <c r="X456" s="549">
        <v>0</v>
      </c>
      <c r="Y456" s="675">
        <v>0</v>
      </c>
      <c r="Z456" s="549">
        <v>0</v>
      </c>
      <c r="AA456" s="675">
        <v>0</v>
      </c>
      <c r="AB456" s="549">
        <v>0</v>
      </c>
      <c r="AC456" s="675">
        <v>0</v>
      </c>
      <c r="AD456" s="549">
        <v>0</v>
      </c>
      <c r="AE456" s="675">
        <v>0</v>
      </c>
      <c r="AF456" s="549">
        <v>0</v>
      </c>
      <c r="AG456" s="675">
        <v>0</v>
      </c>
      <c r="AH456" s="549">
        <v>0</v>
      </c>
      <c r="AI456" s="675">
        <v>0</v>
      </c>
      <c r="AJ456" s="549">
        <v>0</v>
      </c>
      <c r="AK456" s="675">
        <v>0</v>
      </c>
      <c r="AL456" s="549">
        <v>0</v>
      </c>
      <c r="AM456" s="675">
        <v>0</v>
      </c>
      <c r="AN456" s="549">
        <v>0</v>
      </c>
      <c r="AO456" s="675">
        <v>0</v>
      </c>
      <c r="AP456" s="549">
        <v>0</v>
      </c>
      <c r="AQ456" s="675">
        <v>0</v>
      </c>
      <c r="AR456" s="549">
        <v>0</v>
      </c>
      <c r="AS456" s="675">
        <v>0</v>
      </c>
      <c r="AT456" s="549">
        <v>0</v>
      </c>
      <c r="AU456" s="675">
        <v>0</v>
      </c>
      <c r="AV456" s="549">
        <v>0</v>
      </c>
      <c r="AW456" s="675">
        <v>0</v>
      </c>
      <c r="AX456" s="549">
        <v>0</v>
      </c>
      <c r="AY456" s="675">
        <v>0</v>
      </c>
      <c r="AZ456" s="549">
        <v>0</v>
      </c>
      <c r="BA456" s="675">
        <v>0</v>
      </c>
      <c r="BB456" s="549">
        <v>0</v>
      </c>
      <c r="BC456" s="675">
        <v>0</v>
      </c>
      <c r="BD456" s="549">
        <v>0</v>
      </c>
      <c r="BE456" s="675">
        <v>0</v>
      </c>
      <c r="BF456" s="549">
        <v>0</v>
      </c>
      <c r="BG456" s="675">
        <v>0</v>
      </c>
      <c r="BH456" s="549">
        <v>0</v>
      </c>
      <c r="BI456" s="675">
        <v>0</v>
      </c>
      <c r="BJ456" s="549">
        <v>0</v>
      </c>
      <c r="BK456" s="675">
        <v>0</v>
      </c>
      <c r="BL456" s="549">
        <v>0</v>
      </c>
      <c r="BM456" s="675">
        <v>0</v>
      </c>
      <c r="BN456" s="549">
        <v>0</v>
      </c>
      <c r="BO456" s="675">
        <v>0</v>
      </c>
      <c r="BP456" s="549">
        <v>0</v>
      </c>
      <c r="BQ456" s="675">
        <v>0</v>
      </c>
      <c r="BR456" s="549">
        <v>0</v>
      </c>
      <c r="BS456" s="675">
        <v>0</v>
      </c>
      <c r="BT456" s="549">
        <v>0</v>
      </c>
      <c r="BU456" s="675">
        <v>0</v>
      </c>
      <c r="BV456" s="549">
        <v>0</v>
      </c>
      <c r="BW456" s="675">
        <v>0</v>
      </c>
      <c r="BX456" s="549">
        <v>0</v>
      </c>
      <c r="BY456" s="675">
        <v>0</v>
      </c>
      <c r="BZ456" s="549">
        <v>0</v>
      </c>
      <c r="CA456" s="675">
        <v>0</v>
      </c>
      <c r="CB456" s="549">
        <v>0</v>
      </c>
      <c r="CC456" s="675">
        <v>0</v>
      </c>
      <c r="CD456" s="549">
        <v>0</v>
      </c>
      <c r="CE456" s="675">
        <v>0</v>
      </c>
      <c r="CF456" s="549">
        <v>0</v>
      </c>
      <c r="CG456" s="675">
        <v>0</v>
      </c>
      <c r="CH456" s="549">
        <v>0</v>
      </c>
      <c r="CI456" s="675">
        <v>0</v>
      </c>
      <c r="CJ456" s="549">
        <v>0</v>
      </c>
      <c r="CK456" s="675">
        <v>0</v>
      </c>
      <c r="CL456" s="549">
        <v>0</v>
      </c>
      <c r="CM456" s="675">
        <v>0</v>
      </c>
      <c r="CN456" s="549">
        <v>0</v>
      </c>
      <c r="CO456" s="675">
        <v>0</v>
      </c>
      <c r="CP456" s="549">
        <v>0</v>
      </c>
      <c r="CQ456" s="675">
        <v>0</v>
      </c>
      <c r="CR456" s="549">
        <v>0</v>
      </c>
      <c r="CS456" s="675">
        <v>0</v>
      </c>
      <c r="CT456" s="549">
        <v>0</v>
      </c>
      <c r="CU456" s="675">
        <v>0</v>
      </c>
      <c r="CV456" s="549">
        <v>0</v>
      </c>
      <c r="CW456" s="675">
        <v>0</v>
      </c>
      <c r="CX456" s="549">
        <v>0</v>
      </c>
      <c r="CY456" s="675">
        <v>0</v>
      </c>
      <c r="CZ456" s="549">
        <v>0</v>
      </c>
      <c r="DA456" s="675">
        <v>0</v>
      </c>
      <c r="DB456" s="549">
        <v>0</v>
      </c>
      <c r="DC456" s="675">
        <v>0</v>
      </c>
      <c r="DD456" s="549">
        <v>0</v>
      </c>
      <c r="DE456" s="675">
        <v>0</v>
      </c>
      <c r="DF456" s="549">
        <v>0</v>
      </c>
      <c r="DG456" s="675">
        <v>0</v>
      </c>
      <c r="DH456" s="549">
        <v>0</v>
      </c>
      <c r="DI456" s="675">
        <v>0</v>
      </c>
      <c r="DJ456" s="549">
        <v>0</v>
      </c>
      <c r="DK456" s="675">
        <v>-2000</v>
      </c>
      <c r="DL456" s="549">
        <v>0</v>
      </c>
      <c r="DM456" s="675">
        <v>0</v>
      </c>
      <c r="DN456" s="549">
        <v>0</v>
      </c>
      <c r="DO456" s="675">
        <v>0</v>
      </c>
      <c r="DP456" s="549">
        <v>0</v>
      </c>
      <c r="DQ456" s="675">
        <v>0</v>
      </c>
      <c r="DR456" s="549">
        <v>0</v>
      </c>
      <c r="DS456" s="675">
        <v>0</v>
      </c>
      <c r="DT456" s="549">
        <v>0</v>
      </c>
      <c r="DU456" s="675">
        <v>0</v>
      </c>
      <c r="DV456" s="549">
        <v>0</v>
      </c>
      <c r="DW456" s="675">
        <v>0</v>
      </c>
      <c r="DX456" s="549">
        <v>0</v>
      </c>
      <c r="DY456" s="675">
        <v>0</v>
      </c>
      <c r="DZ456" s="549">
        <v>0</v>
      </c>
      <c r="EA456" s="675">
        <v>0</v>
      </c>
      <c r="EB456" s="549">
        <v>0</v>
      </c>
      <c r="EC456" s="675">
        <v>0</v>
      </c>
      <c r="ED456" s="549">
        <v>0</v>
      </c>
      <c r="EE456" s="675">
        <v>0</v>
      </c>
      <c r="EF456" s="549">
        <v>0</v>
      </c>
      <c r="EG456" s="675">
        <v>0</v>
      </c>
      <c r="EH456" s="549">
        <v>0</v>
      </c>
      <c r="EI456" s="675">
        <v>0</v>
      </c>
      <c r="EJ456" s="549">
        <v>0</v>
      </c>
      <c r="EK456" s="675">
        <v>0</v>
      </c>
      <c r="EL456" s="549">
        <v>0</v>
      </c>
      <c r="EM456" s="675">
        <v>0</v>
      </c>
      <c r="EN456" s="549">
        <v>0</v>
      </c>
      <c r="EO456" s="675">
        <v>0</v>
      </c>
      <c r="EP456" s="549">
        <v>0</v>
      </c>
      <c r="EQ456" s="675">
        <v>0</v>
      </c>
      <c r="ER456" s="549">
        <v>0</v>
      </c>
      <c r="ES456" s="675">
        <v>0</v>
      </c>
      <c r="ET456" s="549">
        <v>0</v>
      </c>
      <c r="EU456" s="675">
        <v>0</v>
      </c>
      <c r="EV456" s="549">
        <v>0</v>
      </c>
      <c r="EW456" s="675">
        <v>0</v>
      </c>
      <c r="EX456" s="549">
        <v>0</v>
      </c>
      <c r="EY456" s="675">
        <v>0</v>
      </c>
      <c r="EZ456" s="549">
        <v>0</v>
      </c>
      <c r="FA456" s="675">
        <v>0</v>
      </c>
      <c r="FB456" s="549">
        <v>0</v>
      </c>
      <c r="FC456" s="675">
        <v>0</v>
      </c>
      <c r="FD456" s="549">
        <v>0</v>
      </c>
      <c r="FE456" s="675">
        <v>0</v>
      </c>
      <c r="FF456" s="549">
        <v>0</v>
      </c>
      <c r="FG456" s="675">
        <v>0</v>
      </c>
      <c r="FH456" s="549">
        <v>0</v>
      </c>
      <c r="FI456" s="675">
        <v>0</v>
      </c>
      <c r="FJ456" s="549">
        <v>0</v>
      </c>
      <c r="FK456" s="675">
        <v>0</v>
      </c>
      <c r="FL456" s="549">
        <v>0</v>
      </c>
      <c r="FM456" s="675">
        <v>0</v>
      </c>
      <c r="FN456" s="549">
        <v>0</v>
      </c>
      <c r="FO456" s="675">
        <v>0</v>
      </c>
      <c r="FP456" s="549">
        <v>0</v>
      </c>
      <c r="FQ456" s="675">
        <v>0</v>
      </c>
      <c r="FR456" s="549">
        <v>0</v>
      </c>
      <c r="FS456" s="675">
        <v>0</v>
      </c>
      <c r="FT456" s="549">
        <v>0</v>
      </c>
      <c r="FU456" s="675">
        <v>0</v>
      </c>
      <c r="FV456" s="549">
        <v>0</v>
      </c>
      <c r="FW456" s="675">
        <v>0</v>
      </c>
      <c r="FX456" s="549">
        <v>0</v>
      </c>
      <c r="FY456" s="675">
        <v>0</v>
      </c>
      <c r="FZ456" s="549">
        <v>0</v>
      </c>
      <c r="GA456" s="675">
        <v>0</v>
      </c>
      <c r="GB456" s="549">
        <v>0</v>
      </c>
      <c r="GC456" s="675">
        <v>0</v>
      </c>
      <c r="GD456" s="549">
        <v>0</v>
      </c>
      <c r="GE456" s="675">
        <v>0</v>
      </c>
      <c r="GF456" s="549">
        <v>0</v>
      </c>
      <c r="GG456" s="675">
        <v>0</v>
      </c>
      <c r="GH456" s="549">
        <v>0</v>
      </c>
      <c r="GI456" s="675">
        <v>0</v>
      </c>
      <c r="GJ456" s="549">
        <v>0</v>
      </c>
      <c r="GK456" s="675">
        <v>0</v>
      </c>
      <c r="GL456" s="549">
        <v>0</v>
      </c>
      <c r="GM456" s="675">
        <v>0</v>
      </c>
      <c r="GN456" s="549">
        <v>0</v>
      </c>
      <c r="GO456" s="675">
        <v>0</v>
      </c>
      <c r="GP456" s="549">
        <f t="shared" si="11561"/>
        <v>0</v>
      </c>
      <c r="GQ456" s="675">
        <f t="shared" si="11562"/>
        <v>-2000</v>
      </c>
      <c r="GR456" s="74">
        <f>C456+GP456+GQ456</f>
        <v>3000</v>
      </c>
      <c r="GS456" s="74">
        <f t="shared" si="11563"/>
        <v>3000</v>
      </c>
      <c r="GT456" s="568">
        <f t="shared" si="11564"/>
        <v>3000</v>
      </c>
      <c r="GU456" s="275">
        <v>5000</v>
      </c>
      <c r="GV456" s="275"/>
      <c r="GW456" s="588"/>
      <c r="GX456" s="588"/>
      <c r="GY456" s="275"/>
      <c r="GZ456" s="275"/>
      <c r="HA456" s="275"/>
      <c r="HB456" s="275"/>
      <c r="HC456" s="275"/>
      <c r="HD456" s="275"/>
      <c r="HE456" s="275"/>
      <c r="HF456" s="275">
        <v>0</v>
      </c>
      <c r="HG456" s="74">
        <f>SUM(HH456:IE456)</f>
        <v>3000</v>
      </c>
      <c r="HH456" s="89">
        <v>5000</v>
      </c>
      <c r="HI456" s="817">
        <v>0</v>
      </c>
      <c r="HJ456" s="89">
        <v>0</v>
      </c>
      <c r="HK456" s="817">
        <v>0</v>
      </c>
      <c r="HL456" s="89">
        <v>0</v>
      </c>
      <c r="HM456" s="817">
        <v>0</v>
      </c>
      <c r="HN456" s="89">
        <v>0</v>
      </c>
      <c r="HO456" s="817">
        <v>0</v>
      </c>
      <c r="HP456" s="89">
        <v>0</v>
      </c>
      <c r="HQ456" s="817">
        <v>0</v>
      </c>
      <c r="HR456" s="89">
        <v>0</v>
      </c>
      <c r="HS456" s="817">
        <v>0</v>
      </c>
      <c r="HT456" s="89">
        <v>0</v>
      </c>
      <c r="HU456" s="817">
        <v>0</v>
      </c>
      <c r="HV456" s="89">
        <v>-2000</v>
      </c>
      <c r="HW456" s="817">
        <v>0</v>
      </c>
      <c r="HX456" s="89">
        <v>0</v>
      </c>
      <c r="HY456" s="817">
        <v>0</v>
      </c>
      <c r="HZ456" s="89">
        <v>0</v>
      </c>
      <c r="IA456" s="817">
        <v>0</v>
      </c>
      <c r="IB456" s="89">
        <v>0</v>
      </c>
      <c r="IC456" s="817">
        <v>0</v>
      </c>
      <c r="ID456" s="89">
        <v>0</v>
      </c>
      <c r="IE456" s="817">
        <v>0</v>
      </c>
      <c r="IF456" s="841">
        <f t="shared" si="11565"/>
        <v>1342.44</v>
      </c>
      <c r="IG456" s="263">
        <f t="shared" si="11566"/>
        <v>1342.44</v>
      </c>
      <c r="IH456" s="842">
        <f t="shared" si="11567"/>
        <v>1342.44</v>
      </c>
      <c r="II456" s="89">
        <v>0</v>
      </c>
      <c r="IJ456" s="89">
        <f t="shared" si="11568"/>
        <v>0</v>
      </c>
      <c r="IK456" s="89">
        <f t="shared" si="11569"/>
        <v>0</v>
      </c>
      <c r="IL456" s="89">
        <v>43.84</v>
      </c>
      <c r="IM456" s="89">
        <f t="shared" si="11570"/>
        <v>43.84</v>
      </c>
      <c r="IN456" s="89">
        <f t="shared" si="11571"/>
        <v>43.84</v>
      </c>
      <c r="IO456" s="89">
        <v>0</v>
      </c>
      <c r="IP456" s="89">
        <f t="shared" si="11572"/>
        <v>0</v>
      </c>
      <c r="IQ456" s="89">
        <f t="shared" si="11573"/>
        <v>0</v>
      </c>
      <c r="IR456" s="89">
        <v>0</v>
      </c>
      <c r="IS456" s="89">
        <f t="shared" si="11574"/>
        <v>0</v>
      </c>
      <c r="IT456" s="89">
        <f t="shared" si="11575"/>
        <v>0</v>
      </c>
      <c r="IU456" s="89">
        <f>263.37-43.84</f>
        <v>219.53</v>
      </c>
      <c r="IV456" s="89">
        <f t="shared" si="11576"/>
        <v>219.53</v>
      </c>
      <c r="IW456" s="89">
        <f t="shared" si="11577"/>
        <v>219.53</v>
      </c>
      <c r="IX456" s="89">
        <f>391.26-263.37</f>
        <v>127.88999999999999</v>
      </c>
      <c r="IY456" s="89">
        <f t="shared" si="11578"/>
        <v>127.88999999999999</v>
      </c>
      <c r="IZ456" s="89">
        <f t="shared" si="11579"/>
        <v>127.88999999999999</v>
      </c>
      <c r="JA456" s="89">
        <f>857.82-391.26</f>
        <v>466.56000000000006</v>
      </c>
      <c r="JB456" s="89">
        <f t="shared" si="11580"/>
        <v>466.56000000000006</v>
      </c>
      <c r="JC456" s="89">
        <f t="shared" si="11581"/>
        <v>466.56000000000006</v>
      </c>
      <c r="JD456" s="89">
        <f>872.48-857.82</f>
        <v>14.659999999999968</v>
      </c>
      <c r="JE456" s="89">
        <f t="shared" si="11582"/>
        <v>14.659999999999968</v>
      </c>
      <c r="JF456" s="89">
        <f t="shared" si="11583"/>
        <v>14.659999999999968</v>
      </c>
      <c r="JG456" s="89">
        <f>911.75-872.48</f>
        <v>39.269999999999982</v>
      </c>
      <c r="JH456" s="89">
        <f t="shared" si="11584"/>
        <v>39.269999999999982</v>
      </c>
      <c r="JI456" s="89">
        <f t="shared" si="11585"/>
        <v>39.269999999999982</v>
      </c>
      <c r="JJ456" s="89">
        <f>1342.44-911.75</f>
        <v>430.69000000000005</v>
      </c>
      <c r="JK456" s="89">
        <f t="shared" si="11586"/>
        <v>430.69000000000005</v>
      </c>
      <c r="JL456" s="89">
        <f t="shared" si="11587"/>
        <v>430.69000000000005</v>
      </c>
      <c r="JM456" s="89">
        <v>0</v>
      </c>
      <c r="JN456" s="89">
        <f t="shared" si="11588"/>
        <v>0</v>
      </c>
      <c r="JO456" s="89">
        <f t="shared" si="11589"/>
        <v>0</v>
      </c>
      <c r="JP456" s="89">
        <v>0</v>
      </c>
      <c r="JQ456" s="89">
        <f t="shared" si="11590"/>
        <v>0</v>
      </c>
      <c r="JR456" s="89">
        <f t="shared" si="11591"/>
        <v>0</v>
      </c>
      <c r="JS456" s="74">
        <f>HG456-IF456</f>
        <v>1657.56</v>
      </c>
      <c r="JT456" s="382">
        <f>GS456-IF456</f>
        <v>1657.56</v>
      </c>
      <c r="JU456" s="665"/>
      <c r="JV456" s="524"/>
      <c r="JW456" s="525"/>
      <c r="JX456" s="549">
        <f t="shared" si="11592"/>
        <v>3000</v>
      </c>
      <c r="JY456" s="549">
        <f t="shared" si="11592"/>
        <v>0</v>
      </c>
      <c r="JZ456" s="581">
        <f t="shared" si="11276"/>
        <v>0</v>
      </c>
      <c r="KA456" s="581">
        <f t="shared" si="11277"/>
        <v>-2000</v>
      </c>
      <c r="KB456" s="549">
        <f t="shared" si="11273"/>
        <v>3000</v>
      </c>
      <c r="KC456" s="709">
        <f t="shared" si="11275"/>
        <v>0</v>
      </c>
      <c r="KD456" s="36"/>
      <c r="KE456" s="36"/>
      <c r="KF456" s="36"/>
      <c r="KG456" s="36"/>
      <c r="KH456" s="36"/>
      <c r="KI456" s="36"/>
      <c r="KJ456" s="36"/>
      <c r="KK456" s="36"/>
    </row>
    <row r="457" spans="1:297" s="10" customFormat="1">
      <c r="A457" s="91"/>
      <c r="B457" s="77"/>
      <c r="C457" s="74"/>
      <c r="D457" s="549"/>
      <c r="E457" s="675"/>
      <c r="F457" s="549"/>
      <c r="G457" s="675"/>
      <c r="H457" s="549"/>
      <c r="I457" s="675"/>
      <c r="J457" s="549"/>
      <c r="K457" s="675"/>
      <c r="L457" s="549"/>
      <c r="M457" s="675"/>
      <c r="N457" s="549"/>
      <c r="O457" s="675"/>
      <c r="P457" s="549"/>
      <c r="Q457" s="675"/>
      <c r="R457" s="549"/>
      <c r="S457" s="675"/>
      <c r="T457" s="549"/>
      <c r="U457" s="675"/>
      <c r="V457" s="549"/>
      <c r="W457" s="675"/>
      <c r="X457" s="549"/>
      <c r="Y457" s="675"/>
      <c r="Z457" s="549"/>
      <c r="AA457" s="675"/>
      <c r="AB457" s="549"/>
      <c r="AC457" s="675"/>
      <c r="AD457" s="549"/>
      <c r="AE457" s="675"/>
      <c r="AF457" s="549"/>
      <c r="AG457" s="675"/>
      <c r="AH457" s="549"/>
      <c r="AI457" s="675"/>
      <c r="AJ457" s="549"/>
      <c r="AK457" s="675"/>
      <c r="AL457" s="549"/>
      <c r="AM457" s="675"/>
      <c r="AN457" s="549"/>
      <c r="AO457" s="675"/>
      <c r="AP457" s="549"/>
      <c r="AQ457" s="675"/>
      <c r="AR457" s="549"/>
      <c r="AS457" s="675"/>
      <c r="AT457" s="549"/>
      <c r="AU457" s="675"/>
      <c r="AV457" s="549"/>
      <c r="AW457" s="675"/>
      <c r="AX457" s="549"/>
      <c r="AY457" s="675"/>
      <c r="AZ457" s="549"/>
      <c r="BA457" s="675"/>
      <c r="BB457" s="549"/>
      <c r="BC457" s="675"/>
      <c r="BD457" s="549"/>
      <c r="BE457" s="675"/>
      <c r="BF457" s="549"/>
      <c r="BG457" s="675"/>
      <c r="BH457" s="549"/>
      <c r="BI457" s="675"/>
      <c r="BJ457" s="549"/>
      <c r="BK457" s="675"/>
      <c r="BL457" s="549"/>
      <c r="BM457" s="675"/>
      <c r="BN457" s="549"/>
      <c r="BO457" s="675"/>
      <c r="BP457" s="549"/>
      <c r="BQ457" s="675"/>
      <c r="BR457" s="549"/>
      <c r="BS457" s="675"/>
      <c r="BT457" s="549"/>
      <c r="BU457" s="675"/>
      <c r="BV457" s="549"/>
      <c r="BW457" s="675"/>
      <c r="BX457" s="549"/>
      <c r="BY457" s="675"/>
      <c r="BZ457" s="549"/>
      <c r="CA457" s="675"/>
      <c r="CB457" s="549"/>
      <c r="CC457" s="675"/>
      <c r="CD457" s="549"/>
      <c r="CE457" s="675"/>
      <c r="CF457" s="549"/>
      <c r="CG457" s="675"/>
      <c r="CH457" s="549"/>
      <c r="CI457" s="675"/>
      <c r="CJ457" s="549"/>
      <c r="CK457" s="675"/>
      <c r="CL457" s="549"/>
      <c r="CM457" s="675"/>
      <c r="CN457" s="549"/>
      <c r="CO457" s="675"/>
      <c r="CP457" s="549"/>
      <c r="CQ457" s="675"/>
      <c r="CR457" s="549"/>
      <c r="CS457" s="675"/>
      <c r="CT457" s="549"/>
      <c r="CU457" s="675"/>
      <c r="CV457" s="549"/>
      <c r="CW457" s="675"/>
      <c r="CX457" s="549"/>
      <c r="CY457" s="675"/>
      <c r="CZ457" s="549"/>
      <c r="DA457" s="675"/>
      <c r="DB457" s="549"/>
      <c r="DC457" s="675"/>
      <c r="DD457" s="549"/>
      <c r="DE457" s="675"/>
      <c r="DF457" s="549"/>
      <c r="DG457" s="675"/>
      <c r="DH457" s="549"/>
      <c r="DI457" s="675"/>
      <c r="DJ457" s="549"/>
      <c r="DK457" s="675"/>
      <c r="DL457" s="549"/>
      <c r="DM457" s="675"/>
      <c r="DN457" s="549"/>
      <c r="DO457" s="675"/>
      <c r="DP457" s="549"/>
      <c r="DQ457" s="675"/>
      <c r="DR457" s="549"/>
      <c r="DS457" s="675"/>
      <c r="DT457" s="549"/>
      <c r="DU457" s="675"/>
      <c r="DV457" s="549"/>
      <c r="DW457" s="675"/>
      <c r="DX457" s="549"/>
      <c r="DY457" s="675"/>
      <c r="DZ457" s="549"/>
      <c r="EA457" s="675"/>
      <c r="EB457" s="549"/>
      <c r="EC457" s="675"/>
      <c r="ED457" s="549"/>
      <c r="EE457" s="675"/>
      <c r="EF457" s="549"/>
      <c r="EG457" s="675"/>
      <c r="EH457" s="549"/>
      <c r="EI457" s="675"/>
      <c r="EJ457" s="549"/>
      <c r="EK457" s="675"/>
      <c r="EL457" s="549"/>
      <c r="EM457" s="675"/>
      <c r="EN457" s="549"/>
      <c r="EO457" s="675"/>
      <c r="EP457" s="549"/>
      <c r="EQ457" s="675"/>
      <c r="ER457" s="549"/>
      <c r="ES457" s="675"/>
      <c r="ET457" s="549"/>
      <c r="EU457" s="675"/>
      <c r="EV457" s="549"/>
      <c r="EW457" s="675"/>
      <c r="EX457" s="549"/>
      <c r="EY457" s="675"/>
      <c r="EZ457" s="549"/>
      <c r="FA457" s="675"/>
      <c r="FB457" s="549"/>
      <c r="FC457" s="675"/>
      <c r="FD457" s="549"/>
      <c r="FE457" s="675"/>
      <c r="FF457" s="549"/>
      <c r="FG457" s="675"/>
      <c r="FH457" s="549"/>
      <c r="FI457" s="675"/>
      <c r="FJ457" s="549"/>
      <c r="FK457" s="675"/>
      <c r="FL457" s="549"/>
      <c r="FM457" s="675"/>
      <c r="FN457" s="549"/>
      <c r="FO457" s="675"/>
      <c r="FP457" s="549"/>
      <c r="FQ457" s="675"/>
      <c r="FR457" s="549"/>
      <c r="FS457" s="675"/>
      <c r="FT457" s="549"/>
      <c r="FU457" s="675"/>
      <c r="FV457" s="549"/>
      <c r="FW457" s="675"/>
      <c r="FX457" s="549"/>
      <c r="FY457" s="675"/>
      <c r="FZ457" s="549"/>
      <c r="GA457" s="675"/>
      <c r="GB457" s="549"/>
      <c r="GC457" s="675"/>
      <c r="GD457" s="549"/>
      <c r="GE457" s="675"/>
      <c r="GF457" s="549"/>
      <c r="GG457" s="675"/>
      <c r="GH457" s="549"/>
      <c r="GI457" s="675"/>
      <c r="GJ457" s="549"/>
      <c r="GK457" s="675"/>
      <c r="GL457" s="549"/>
      <c r="GM457" s="675"/>
      <c r="GN457" s="549"/>
      <c r="GO457" s="675"/>
      <c r="GP457" s="549"/>
      <c r="GQ457" s="675"/>
      <c r="GR457" s="74"/>
      <c r="GS457" s="74"/>
      <c r="GT457" s="549"/>
      <c r="GU457" s="73"/>
      <c r="GV457" s="73"/>
      <c r="GW457" s="549"/>
      <c r="GX457" s="549"/>
      <c r="GY457" s="73"/>
      <c r="GZ457" s="73"/>
      <c r="HA457" s="73"/>
      <c r="HB457" s="73"/>
      <c r="HC457" s="73"/>
      <c r="HD457" s="73"/>
      <c r="HE457" s="73"/>
      <c r="HF457" s="73"/>
      <c r="HG457" s="74"/>
      <c r="HH457" s="73"/>
      <c r="HI457" s="815"/>
      <c r="HJ457" s="73"/>
      <c r="HK457" s="815"/>
      <c r="HL457" s="73"/>
      <c r="HM457" s="815"/>
      <c r="HN457" s="73"/>
      <c r="HO457" s="815"/>
      <c r="HP457" s="73"/>
      <c r="HQ457" s="815"/>
      <c r="HR457" s="73"/>
      <c r="HS457" s="815"/>
      <c r="HT457" s="73"/>
      <c r="HU457" s="815"/>
      <c r="HV457" s="73"/>
      <c r="HW457" s="815"/>
      <c r="HX457" s="73"/>
      <c r="HY457" s="815"/>
      <c r="HZ457" s="73"/>
      <c r="IA457" s="815"/>
      <c r="IB457" s="73"/>
      <c r="IC457" s="815"/>
      <c r="ID457" s="73"/>
      <c r="IE457" s="815"/>
      <c r="IF457" s="841"/>
      <c r="IG457" s="263"/>
      <c r="IH457" s="842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  <c r="JD457" s="73"/>
      <c r="JE457" s="73"/>
      <c r="JF457" s="73"/>
      <c r="JG457" s="73"/>
      <c r="JH457" s="73"/>
      <c r="JI457" s="73"/>
      <c r="JJ457" s="73"/>
      <c r="JK457" s="73"/>
      <c r="JL457" s="73"/>
      <c r="JM457" s="73"/>
      <c r="JN457" s="73"/>
      <c r="JO457" s="73"/>
      <c r="JP457" s="73"/>
      <c r="JQ457" s="73"/>
      <c r="JR457" s="73"/>
      <c r="JS457" s="74"/>
      <c r="JT457" s="382"/>
      <c r="JU457" s="665"/>
      <c r="JV457" s="524"/>
      <c r="JW457" s="525"/>
      <c r="JX457" s="549"/>
      <c r="JY457" s="549"/>
      <c r="JZ457" s="581">
        <f t="shared" si="11276"/>
        <v>0</v>
      </c>
      <c r="KA457" s="581">
        <f t="shared" si="11277"/>
        <v>0</v>
      </c>
      <c r="KB457" s="549">
        <f t="shared" si="11273"/>
        <v>0</v>
      </c>
      <c r="KC457" s="709">
        <f t="shared" si="11275"/>
        <v>0</v>
      </c>
      <c r="KD457" s="36"/>
      <c r="KE457" s="36"/>
      <c r="KF457" s="36"/>
      <c r="KG457" s="36"/>
      <c r="KH457" s="36"/>
      <c r="KI457" s="36"/>
      <c r="KJ457" s="36"/>
      <c r="KK457" s="36"/>
    </row>
    <row r="458" spans="1:297" s="8" customFormat="1">
      <c r="A458" s="80" t="s">
        <v>273</v>
      </c>
      <c r="B458" s="72" t="s">
        <v>148</v>
      </c>
      <c r="C458" s="74">
        <f t="shared" ref="C458" si="11593">SUM(C459:C462)</f>
        <v>50000</v>
      </c>
      <c r="D458" s="549">
        <f t="shared" ref="D458:E458" si="11594">SUM(D459:D462)</f>
        <v>0</v>
      </c>
      <c r="E458" s="675">
        <f t="shared" si="11594"/>
        <v>0</v>
      </c>
      <c r="F458" s="549">
        <f t="shared" ref="F458:G458" si="11595">SUM(F459:F462)</f>
        <v>0</v>
      </c>
      <c r="G458" s="675">
        <f t="shared" si="11595"/>
        <v>0</v>
      </c>
      <c r="H458" s="549">
        <f t="shared" ref="H458:I458" si="11596">SUM(H459:H462)</f>
        <v>0</v>
      </c>
      <c r="I458" s="675">
        <f t="shared" si="11596"/>
        <v>0</v>
      </c>
      <c r="J458" s="549">
        <f t="shared" ref="J458:K458" si="11597">SUM(J459:J462)</f>
        <v>0</v>
      </c>
      <c r="K458" s="675">
        <f t="shared" si="11597"/>
        <v>0</v>
      </c>
      <c r="L458" s="549">
        <f t="shared" ref="L458:M458" si="11598">SUM(L459:L462)</f>
        <v>0</v>
      </c>
      <c r="M458" s="675">
        <f t="shared" si="11598"/>
        <v>0</v>
      </c>
      <c r="N458" s="549">
        <f t="shared" ref="N458:O458" si="11599">SUM(N459:N462)</f>
        <v>0</v>
      </c>
      <c r="O458" s="675">
        <f t="shared" si="11599"/>
        <v>0</v>
      </c>
      <c r="P458" s="549">
        <f t="shared" ref="P458:Q458" si="11600">SUM(P459:P462)</f>
        <v>0</v>
      </c>
      <c r="Q458" s="675">
        <f t="shared" si="11600"/>
        <v>0</v>
      </c>
      <c r="R458" s="549">
        <f t="shared" ref="R458:S458" si="11601">SUM(R459:R462)</f>
        <v>0</v>
      </c>
      <c r="S458" s="675">
        <f t="shared" si="11601"/>
        <v>0</v>
      </c>
      <c r="T458" s="549">
        <f t="shared" ref="T458:U458" si="11602">SUM(T459:T462)</f>
        <v>0</v>
      </c>
      <c r="U458" s="675">
        <f t="shared" si="11602"/>
        <v>0</v>
      </c>
      <c r="V458" s="549">
        <f t="shared" ref="V458:W458" si="11603">SUM(V459:V462)</f>
        <v>0</v>
      </c>
      <c r="W458" s="675">
        <f t="shared" si="11603"/>
        <v>0</v>
      </c>
      <c r="X458" s="549">
        <f t="shared" ref="X458:Y458" si="11604">SUM(X459:X462)</f>
        <v>0</v>
      </c>
      <c r="Y458" s="675">
        <f t="shared" si="11604"/>
        <v>0</v>
      </c>
      <c r="Z458" s="549">
        <f t="shared" ref="Z458:AA458" si="11605">SUM(Z459:Z462)</f>
        <v>0</v>
      </c>
      <c r="AA458" s="675">
        <f t="shared" si="11605"/>
        <v>0</v>
      </c>
      <c r="AB458" s="549">
        <f t="shared" ref="AB458:AC458" si="11606">SUM(AB459:AB462)</f>
        <v>0</v>
      </c>
      <c r="AC458" s="675">
        <f t="shared" si="11606"/>
        <v>0</v>
      </c>
      <c r="AD458" s="549">
        <f t="shared" ref="AD458:AK458" si="11607">SUM(AD459:AD462)</f>
        <v>0</v>
      </c>
      <c r="AE458" s="675">
        <f t="shared" si="11607"/>
        <v>0</v>
      </c>
      <c r="AF458" s="549">
        <f t="shared" si="11607"/>
        <v>0</v>
      </c>
      <c r="AG458" s="675">
        <f t="shared" si="11607"/>
        <v>-5000</v>
      </c>
      <c r="AH458" s="549">
        <f t="shared" si="11607"/>
        <v>0</v>
      </c>
      <c r="AI458" s="675">
        <f t="shared" si="11607"/>
        <v>0</v>
      </c>
      <c r="AJ458" s="549">
        <f t="shared" si="11607"/>
        <v>0</v>
      </c>
      <c r="AK458" s="675">
        <f t="shared" si="11607"/>
        <v>0</v>
      </c>
      <c r="AL458" s="549">
        <f t="shared" ref="AL458:AM458" si="11608">SUM(AL459:AL462)</f>
        <v>0</v>
      </c>
      <c r="AM458" s="675">
        <f t="shared" si="11608"/>
        <v>0</v>
      </c>
      <c r="AN458" s="549">
        <f t="shared" ref="AN458:AS458" si="11609">SUM(AN459:AN462)</f>
        <v>0</v>
      </c>
      <c r="AO458" s="675">
        <f t="shared" si="11609"/>
        <v>0</v>
      </c>
      <c r="AP458" s="549">
        <f t="shared" si="11609"/>
        <v>0</v>
      </c>
      <c r="AQ458" s="675">
        <f t="shared" si="11609"/>
        <v>0</v>
      </c>
      <c r="AR458" s="549">
        <f t="shared" si="11609"/>
        <v>0</v>
      </c>
      <c r="AS458" s="675">
        <f t="shared" si="11609"/>
        <v>0</v>
      </c>
      <c r="AT458" s="549">
        <f t="shared" ref="AT458:AU458" si="11610">SUM(AT459:AT462)</f>
        <v>0</v>
      </c>
      <c r="AU458" s="675">
        <f t="shared" si="11610"/>
        <v>0</v>
      </c>
      <c r="AV458" s="549">
        <f t="shared" ref="AV458:AW458" si="11611">SUM(AV459:AV462)</f>
        <v>0</v>
      </c>
      <c r="AW458" s="675">
        <f t="shared" si="11611"/>
        <v>0</v>
      </c>
      <c r="AX458" s="549">
        <f t="shared" ref="AX458:AY458" si="11612">SUM(AX459:AX462)</f>
        <v>0</v>
      </c>
      <c r="AY458" s="675">
        <f t="shared" si="11612"/>
        <v>0</v>
      </c>
      <c r="AZ458" s="549">
        <f t="shared" ref="AZ458:BA458" si="11613">SUM(AZ459:AZ462)</f>
        <v>0</v>
      </c>
      <c r="BA458" s="675">
        <f t="shared" si="11613"/>
        <v>-2000</v>
      </c>
      <c r="BB458" s="549">
        <f t="shared" ref="BB458:BC458" si="11614">SUM(BB459:BB462)</f>
        <v>0</v>
      </c>
      <c r="BC458" s="675">
        <f t="shared" si="11614"/>
        <v>0</v>
      </c>
      <c r="BD458" s="549">
        <f t="shared" ref="BD458:BE458" si="11615">SUM(BD459:BD462)</f>
        <v>0</v>
      </c>
      <c r="BE458" s="675">
        <f t="shared" si="11615"/>
        <v>0</v>
      </c>
      <c r="BF458" s="549">
        <f t="shared" ref="BF458:BG458" si="11616">SUM(BF459:BF462)</f>
        <v>4000</v>
      </c>
      <c r="BG458" s="675">
        <f t="shared" si="11616"/>
        <v>0</v>
      </c>
      <c r="BH458" s="549">
        <f t="shared" ref="BH458:BI458" si="11617">SUM(BH459:BH462)</f>
        <v>9000</v>
      </c>
      <c r="BI458" s="675">
        <f t="shared" si="11617"/>
        <v>0</v>
      </c>
      <c r="BJ458" s="549">
        <f t="shared" ref="BJ458:BK458" si="11618">SUM(BJ459:BJ462)</f>
        <v>0</v>
      </c>
      <c r="BK458" s="675">
        <f t="shared" si="11618"/>
        <v>0</v>
      </c>
      <c r="BL458" s="549">
        <f t="shared" ref="BL458:BS458" si="11619">SUM(BL459:BL462)</f>
        <v>0</v>
      </c>
      <c r="BM458" s="675">
        <f t="shared" si="11619"/>
        <v>0</v>
      </c>
      <c r="BN458" s="549">
        <f t="shared" si="11619"/>
        <v>0</v>
      </c>
      <c r="BO458" s="675">
        <f t="shared" si="11619"/>
        <v>0</v>
      </c>
      <c r="BP458" s="549">
        <f t="shared" si="11619"/>
        <v>5000</v>
      </c>
      <c r="BQ458" s="675">
        <f t="shared" si="11619"/>
        <v>0</v>
      </c>
      <c r="BR458" s="549">
        <f t="shared" si="11619"/>
        <v>0</v>
      </c>
      <c r="BS458" s="675">
        <f t="shared" si="11619"/>
        <v>0</v>
      </c>
      <c r="BT458" s="549">
        <f t="shared" ref="BT458:BU458" si="11620">SUM(BT459:BT462)</f>
        <v>0</v>
      </c>
      <c r="BU458" s="675">
        <f t="shared" si="11620"/>
        <v>0</v>
      </c>
      <c r="BV458" s="549">
        <f t="shared" ref="BV458:BW458" si="11621">SUM(BV459:BV462)</f>
        <v>0</v>
      </c>
      <c r="BW458" s="675">
        <f t="shared" si="11621"/>
        <v>0</v>
      </c>
      <c r="BX458" s="549">
        <f t="shared" ref="BX458:BY458" si="11622">SUM(BX459:BX462)</f>
        <v>0</v>
      </c>
      <c r="BY458" s="675">
        <f t="shared" si="11622"/>
        <v>0</v>
      </c>
      <c r="BZ458" s="549">
        <f t="shared" ref="BZ458:CA458" si="11623">SUM(BZ459:BZ462)</f>
        <v>0</v>
      </c>
      <c r="CA458" s="675">
        <f t="shared" si="11623"/>
        <v>0</v>
      </c>
      <c r="CB458" s="549">
        <f t="shared" ref="CB458:CE458" si="11624">SUM(CB459:CB462)</f>
        <v>0</v>
      </c>
      <c r="CC458" s="675">
        <f t="shared" si="11624"/>
        <v>0</v>
      </c>
      <c r="CD458" s="549">
        <f t="shared" si="11624"/>
        <v>0</v>
      </c>
      <c r="CE458" s="675">
        <f t="shared" si="11624"/>
        <v>0</v>
      </c>
      <c r="CF458" s="549">
        <f t="shared" ref="CF458:CQ458" si="11625">SUM(CF459:CF462)</f>
        <v>0</v>
      </c>
      <c r="CG458" s="675">
        <f t="shared" si="11625"/>
        <v>0</v>
      </c>
      <c r="CH458" s="549">
        <f t="shared" si="11625"/>
        <v>0</v>
      </c>
      <c r="CI458" s="675">
        <f t="shared" si="11625"/>
        <v>0</v>
      </c>
      <c r="CJ458" s="549">
        <f t="shared" si="11625"/>
        <v>0</v>
      </c>
      <c r="CK458" s="675">
        <f t="shared" si="11625"/>
        <v>-5000</v>
      </c>
      <c r="CL458" s="549">
        <f t="shared" si="11625"/>
        <v>0</v>
      </c>
      <c r="CM458" s="675">
        <f t="shared" si="11625"/>
        <v>0</v>
      </c>
      <c r="CN458" s="549">
        <f t="shared" si="11625"/>
        <v>0</v>
      </c>
      <c r="CO458" s="675">
        <f t="shared" si="11625"/>
        <v>0</v>
      </c>
      <c r="CP458" s="549">
        <f t="shared" si="11625"/>
        <v>0</v>
      </c>
      <c r="CQ458" s="675">
        <f t="shared" si="11625"/>
        <v>0</v>
      </c>
      <c r="CR458" s="549">
        <f t="shared" ref="CR458:CY458" si="11626">SUM(CR459:CR462)</f>
        <v>0</v>
      </c>
      <c r="CS458" s="675">
        <f t="shared" si="11626"/>
        <v>0</v>
      </c>
      <c r="CT458" s="549">
        <f t="shared" si="11626"/>
        <v>0</v>
      </c>
      <c r="CU458" s="675">
        <f t="shared" si="11626"/>
        <v>0</v>
      </c>
      <c r="CV458" s="549">
        <f t="shared" si="11626"/>
        <v>0</v>
      </c>
      <c r="CW458" s="675">
        <f t="shared" si="11626"/>
        <v>0</v>
      </c>
      <c r="CX458" s="549">
        <f t="shared" si="11626"/>
        <v>0</v>
      </c>
      <c r="CY458" s="675">
        <f t="shared" si="11626"/>
        <v>0</v>
      </c>
      <c r="CZ458" s="549">
        <f t="shared" ref="CZ458:DG458" si="11627">SUM(CZ459:CZ462)</f>
        <v>0</v>
      </c>
      <c r="DA458" s="675">
        <f t="shared" si="11627"/>
        <v>-2000</v>
      </c>
      <c r="DB458" s="549">
        <f t="shared" si="11627"/>
        <v>0</v>
      </c>
      <c r="DC458" s="675">
        <f t="shared" si="11627"/>
        <v>0</v>
      </c>
      <c r="DD458" s="549">
        <f t="shared" si="11627"/>
        <v>0</v>
      </c>
      <c r="DE458" s="675">
        <f t="shared" si="11627"/>
        <v>0</v>
      </c>
      <c r="DF458" s="549">
        <f t="shared" si="11627"/>
        <v>0</v>
      </c>
      <c r="DG458" s="675">
        <f t="shared" si="11627"/>
        <v>0</v>
      </c>
      <c r="DH458" s="549">
        <f t="shared" ref="DH458:DY458" si="11628">SUM(DH459:DH462)</f>
        <v>3000</v>
      </c>
      <c r="DI458" s="675">
        <f t="shared" si="11628"/>
        <v>0</v>
      </c>
      <c r="DJ458" s="549">
        <f t="shared" si="11628"/>
        <v>0</v>
      </c>
      <c r="DK458" s="675">
        <f t="shared" si="11628"/>
        <v>0</v>
      </c>
      <c r="DL458" s="549">
        <f t="shared" si="11628"/>
        <v>0</v>
      </c>
      <c r="DM458" s="675">
        <f t="shared" si="11628"/>
        <v>0</v>
      </c>
      <c r="DN458" s="549">
        <f t="shared" si="11628"/>
        <v>0</v>
      </c>
      <c r="DO458" s="675">
        <f t="shared" si="11628"/>
        <v>0</v>
      </c>
      <c r="DP458" s="549">
        <f t="shared" si="11628"/>
        <v>0</v>
      </c>
      <c r="DQ458" s="675">
        <f t="shared" si="11628"/>
        <v>0</v>
      </c>
      <c r="DR458" s="549">
        <f t="shared" si="11628"/>
        <v>0</v>
      </c>
      <c r="DS458" s="675">
        <f t="shared" si="11628"/>
        <v>0</v>
      </c>
      <c r="DT458" s="549">
        <f t="shared" si="11628"/>
        <v>0</v>
      </c>
      <c r="DU458" s="675">
        <f t="shared" si="11628"/>
        <v>0</v>
      </c>
      <c r="DV458" s="549">
        <f t="shared" si="11628"/>
        <v>0</v>
      </c>
      <c r="DW458" s="675">
        <f t="shared" si="11628"/>
        <v>0</v>
      </c>
      <c r="DX458" s="549">
        <f t="shared" si="11628"/>
        <v>0</v>
      </c>
      <c r="DY458" s="675">
        <f t="shared" si="11628"/>
        <v>0</v>
      </c>
      <c r="DZ458" s="549">
        <f t="shared" ref="DZ458:FA458" si="11629">SUM(DZ459:DZ462)</f>
        <v>0</v>
      </c>
      <c r="EA458" s="675">
        <f t="shared" si="11629"/>
        <v>0</v>
      </c>
      <c r="EB458" s="549">
        <f t="shared" si="11629"/>
        <v>0</v>
      </c>
      <c r="EC458" s="675">
        <f t="shared" si="11629"/>
        <v>0</v>
      </c>
      <c r="ED458" s="549">
        <f t="shared" si="11629"/>
        <v>0</v>
      </c>
      <c r="EE458" s="675">
        <f t="shared" si="11629"/>
        <v>0</v>
      </c>
      <c r="EF458" s="549">
        <f t="shared" si="11629"/>
        <v>0</v>
      </c>
      <c r="EG458" s="675">
        <f t="shared" si="11629"/>
        <v>0</v>
      </c>
      <c r="EH458" s="549">
        <f t="shared" ref="EH458:EM458" si="11630">SUM(EH459:EH462)</f>
        <v>0</v>
      </c>
      <c r="EI458" s="675">
        <f t="shared" si="11630"/>
        <v>0</v>
      </c>
      <c r="EJ458" s="549">
        <f t="shared" si="11630"/>
        <v>0</v>
      </c>
      <c r="EK458" s="675">
        <f t="shared" si="11630"/>
        <v>0</v>
      </c>
      <c r="EL458" s="549">
        <f t="shared" si="11630"/>
        <v>0</v>
      </c>
      <c r="EM458" s="675">
        <f t="shared" si="11630"/>
        <v>0</v>
      </c>
      <c r="EN458" s="549">
        <f t="shared" si="11629"/>
        <v>0</v>
      </c>
      <c r="EO458" s="675">
        <f t="shared" si="11629"/>
        <v>0</v>
      </c>
      <c r="EP458" s="549">
        <f t="shared" si="11629"/>
        <v>0</v>
      </c>
      <c r="EQ458" s="675">
        <f t="shared" si="11629"/>
        <v>0</v>
      </c>
      <c r="ER458" s="549">
        <f t="shared" si="11629"/>
        <v>0</v>
      </c>
      <c r="ES458" s="675">
        <f t="shared" si="11629"/>
        <v>0</v>
      </c>
      <c r="ET458" s="549">
        <f t="shared" si="11629"/>
        <v>0</v>
      </c>
      <c r="EU458" s="675">
        <f t="shared" si="11629"/>
        <v>0</v>
      </c>
      <c r="EV458" s="549">
        <f t="shared" ref="EV458:EW458" si="11631">SUM(EV459:EV462)</f>
        <v>0</v>
      </c>
      <c r="EW458" s="675">
        <f t="shared" si="11631"/>
        <v>0</v>
      </c>
      <c r="EX458" s="549">
        <f t="shared" si="11629"/>
        <v>0</v>
      </c>
      <c r="EY458" s="675">
        <f t="shared" si="11629"/>
        <v>0</v>
      </c>
      <c r="EZ458" s="549">
        <f t="shared" si="11629"/>
        <v>0</v>
      </c>
      <c r="FA458" s="675">
        <f t="shared" si="11629"/>
        <v>0</v>
      </c>
      <c r="FB458" s="549">
        <f t="shared" ref="FB458:GT458" si="11632">SUM(FB459:FB462)</f>
        <v>0</v>
      </c>
      <c r="FC458" s="675">
        <f t="shared" si="11632"/>
        <v>0</v>
      </c>
      <c r="FD458" s="549">
        <f t="shared" si="11632"/>
        <v>0</v>
      </c>
      <c r="FE458" s="675">
        <f t="shared" si="11632"/>
        <v>-2971</v>
      </c>
      <c r="FF458" s="549">
        <f t="shared" ref="FF458:FG458" si="11633">SUM(FF459:FF462)</f>
        <v>0</v>
      </c>
      <c r="FG458" s="675">
        <f t="shared" si="11633"/>
        <v>-2940</v>
      </c>
      <c r="FH458" s="549">
        <f t="shared" ref="FH458:FI458" si="11634">SUM(FH459:FH462)</f>
        <v>0</v>
      </c>
      <c r="FI458" s="675">
        <f t="shared" si="11634"/>
        <v>0</v>
      </c>
      <c r="FJ458" s="549">
        <f t="shared" ref="FJ458:FK458" si="11635">SUM(FJ459:FJ462)</f>
        <v>0</v>
      </c>
      <c r="FK458" s="675">
        <f t="shared" si="11635"/>
        <v>0</v>
      </c>
      <c r="FL458" s="549">
        <f t="shared" ref="FL458:FM458" si="11636">SUM(FL459:FL462)</f>
        <v>2000</v>
      </c>
      <c r="FM458" s="675">
        <f t="shared" si="11636"/>
        <v>0</v>
      </c>
      <c r="FN458" s="549">
        <f t="shared" ref="FN458:FO458" si="11637">SUM(FN459:FN462)</f>
        <v>0</v>
      </c>
      <c r="FO458" s="675">
        <f t="shared" si="11637"/>
        <v>0</v>
      </c>
      <c r="FP458" s="549">
        <f t="shared" ref="FP458:FQ458" si="11638">SUM(FP459:FP462)</f>
        <v>0</v>
      </c>
      <c r="FQ458" s="675">
        <f t="shared" si="11638"/>
        <v>0</v>
      </c>
      <c r="FR458" s="549">
        <f t="shared" ref="FR458:FS458" si="11639">SUM(FR459:FR462)</f>
        <v>0</v>
      </c>
      <c r="FS458" s="675">
        <f t="shared" si="11639"/>
        <v>-3000</v>
      </c>
      <c r="FT458" s="549">
        <f t="shared" ref="FT458:FU458" si="11640">SUM(FT459:FT462)</f>
        <v>0</v>
      </c>
      <c r="FU458" s="675">
        <f t="shared" si="11640"/>
        <v>0</v>
      </c>
      <c r="FV458" s="549">
        <f t="shared" ref="FV458:GK458" si="11641">SUM(FV459:FV462)</f>
        <v>0</v>
      </c>
      <c r="FW458" s="675">
        <f t="shared" si="11641"/>
        <v>0</v>
      </c>
      <c r="FX458" s="549">
        <f t="shared" si="11641"/>
        <v>0</v>
      </c>
      <c r="FY458" s="675">
        <f t="shared" si="11641"/>
        <v>0</v>
      </c>
      <c r="FZ458" s="549">
        <f t="shared" ref="FZ458:GI458" si="11642">SUM(FZ459:FZ462)</f>
        <v>0</v>
      </c>
      <c r="GA458" s="675">
        <f t="shared" si="11642"/>
        <v>0</v>
      </c>
      <c r="GB458" s="549">
        <f t="shared" si="11642"/>
        <v>0</v>
      </c>
      <c r="GC458" s="675">
        <f t="shared" si="11642"/>
        <v>0</v>
      </c>
      <c r="GD458" s="549">
        <f t="shared" si="11642"/>
        <v>0</v>
      </c>
      <c r="GE458" s="675">
        <f t="shared" si="11642"/>
        <v>0</v>
      </c>
      <c r="GF458" s="549">
        <f t="shared" si="11642"/>
        <v>0</v>
      </c>
      <c r="GG458" s="675">
        <f t="shared" si="11642"/>
        <v>0</v>
      </c>
      <c r="GH458" s="549">
        <f t="shared" si="11642"/>
        <v>0</v>
      </c>
      <c r="GI458" s="675">
        <f t="shared" si="11642"/>
        <v>0</v>
      </c>
      <c r="GJ458" s="549">
        <f t="shared" si="11641"/>
        <v>0</v>
      </c>
      <c r="GK458" s="675">
        <f t="shared" si="11641"/>
        <v>0</v>
      </c>
      <c r="GL458" s="549">
        <f t="shared" ref="GL458:GM458" si="11643">SUM(GL459:GL462)</f>
        <v>0</v>
      </c>
      <c r="GM458" s="675">
        <f t="shared" si="11643"/>
        <v>0</v>
      </c>
      <c r="GN458" s="549">
        <f t="shared" ref="GN458:GO458" si="11644">SUM(GN459:GN462)</f>
        <v>0</v>
      </c>
      <c r="GO458" s="675">
        <f t="shared" si="11644"/>
        <v>0</v>
      </c>
      <c r="GP458" s="549">
        <f t="shared" si="11632"/>
        <v>23000</v>
      </c>
      <c r="GQ458" s="675">
        <f t="shared" si="11632"/>
        <v>-22911</v>
      </c>
      <c r="GR458" s="74">
        <f t="shared" si="11632"/>
        <v>50089</v>
      </c>
      <c r="GS458" s="74">
        <f t="shared" si="11632"/>
        <v>50089</v>
      </c>
      <c r="GT458" s="549">
        <f t="shared" si="11632"/>
        <v>50089</v>
      </c>
      <c r="GU458" s="74">
        <f t="shared" ref="GU458:HF458" si="11645">SUM(GU459:GU462)</f>
        <v>3870</v>
      </c>
      <c r="GV458" s="74">
        <f t="shared" si="11645"/>
        <v>3770</v>
      </c>
      <c r="GW458" s="549">
        <f t="shared" si="11645"/>
        <v>16970</v>
      </c>
      <c r="GX458" s="549">
        <f t="shared" si="11645"/>
        <v>3770</v>
      </c>
      <c r="GY458" s="74">
        <f t="shared" si="11645"/>
        <v>3770</v>
      </c>
      <c r="GZ458" s="74">
        <f t="shared" si="11645"/>
        <v>3770</v>
      </c>
      <c r="HA458" s="74">
        <f t="shared" si="11645"/>
        <v>3770</v>
      </c>
      <c r="HB458" s="74">
        <f t="shared" si="11645"/>
        <v>3770</v>
      </c>
      <c r="HC458" s="74">
        <f t="shared" si="11645"/>
        <v>3770</v>
      </c>
      <c r="HD458" s="74">
        <f t="shared" si="11645"/>
        <v>2770</v>
      </c>
      <c r="HE458" s="74">
        <f t="shared" si="11645"/>
        <v>0</v>
      </c>
      <c r="HF458" s="74">
        <f t="shared" si="11645"/>
        <v>0</v>
      </c>
      <c r="HG458" s="74">
        <f>SUM(HG459:HG462)</f>
        <v>50089</v>
      </c>
      <c r="HH458" s="74">
        <f t="shared" ref="HH458:HI458" si="11646">SUM(HH459:HH462)</f>
        <v>3870</v>
      </c>
      <c r="HI458" s="792">
        <f t="shared" si="11646"/>
        <v>0</v>
      </c>
      <c r="HJ458" s="74">
        <f t="shared" ref="HJ458:HK458" si="11647">SUM(HJ459:HJ462)</f>
        <v>3770</v>
      </c>
      <c r="HK458" s="792">
        <f t="shared" si="11647"/>
        <v>0</v>
      </c>
      <c r="HL458" s="74">
        <f t="shared" ref="HL458:HM458" si="11648">SUM(HL459:HL462)</f>
        <v>3770</v>
      </c>
      <c r="HM458" s="792">
        <f t="shared" si="11648"/>
        <v>0</v>
      </c>
      <c r="HN458" s="74">
        <f t="shared" ref="HN458:HO458" si="11649">SUM(HN459:HN462)</f>
        <v>3770</v>
      </c>
      <c r="HO458" s="792">
        <f t="shared" si="11649"/>
        <v>0</v>
      </c>
      <c r="HP458" s="74">
        <f t="shared" ref="HP458:HQ458" si="11650">SUM(HP459:HP462)</f>
        <v>17042</v>
      </c>
      <c r="HQ458" s="792">
        <f t="shared" si="11650"/>
        <v>0</v>
      </c>
      <c r="HR458" s="74">
        <f t="shared" ref="HR458:HS458" si="11651">SUM(HR459:HR462)</f>
        <v>1000</v>
      </c>
      <c r="HS458" s="792">
        <f t="shared" si="11651"/>
        <v>0</v>
      </c>
      <c r="HT458" s="74">
        <f t="shared" ref="HT458:HU458" si="11652">SUM(HT459:HT462)</f>
        <v>5000</v>
      </c>
      <c r="HU458" s="792">
        <f t="shared" si="11652"/>
        <v>0</v>
      </c>
      <c r="HV458" s="74">
        <f t="shared" ref="HV458:HW458" si="11653">SUM(HV459:HV462)</f>
        <v>12238</v>
      </c>
      <c r="HW458" s="792">
        <f t="shared" si="11653"/>
        <v>0</v>
      </c>
      <c r="HX458" s="74">
        <f t="shared" ref="HX458:HY458" si="11654">SUM(HX459:HX462)</f>
        <v>3770</v>
      </c>
      <c r="HY458" s="792">
        <f t="shared" si="11654"/>
        <v>0</v>
      </c>
      <c r="HZ458" s="74">
        <f t="shared" ref="HZ458:IA458" si="11655">SUM(HZ459:HZ462)</f>
        <v>-4141</v>
      </c>
      <c r="IA458" s="792">
        <f t="shared" si="11655"/>
        <v>0</v>
      </c>
      <c r="IB458" s="74">
        <f t="shared" ref="IB458:IC458" si="11656">SUM(IB459:IB462)</f>
        <v>0</v>
      </c>
      <c r="IC458" s="792">
        <f t="shared" si="11656"/>
        <v>0</v>
      </c>
      <c r="ID458" s="74">
        <f t="shared" ref="ID458:JO458" si="11657">SUM(ID459:ID462)</f>
        <v>0</v>
      </c>
      <c r="IE458" s="792">
        <f t="shared" si="11657"/>
        <v>0</v>
      </c>
      <c r="IF458" s="841">
        <f>SUM(IF459:IF462)</f>
        <v>46760.41</v>
      </c>
      <c r="IG458" s="263">
        <f t="shared" si="11657"/>
        <v>46760.41</v>
      </c>
      <c r="IH458" s="842">
        <f t="shared" si="11657"/>
        <v>46760.41</v>
      </c>
      <c r="II458" s="74">
        <f t="shared" si="11657"/>
        <v>2402.4</v>
      </c>
      <c r="IJ458" s="74">
        <f t="shared" si="11657"/>
        <v>2402.4</v>
      </c>
      <c r="IK458" s="74">
        <f t="shared" si="11657"/>
        <v>2402.4</v>
      </c>
      <c r="IL458" s="74">
        <f t="shared" si="11657"/>
        <v>327.94</v>
      </c>
      <c r="IM458" s="74">
        <f t="shared" si="11657"/>
        <v>327.94</v>
      </c>
      <c r="IN458" s="74">
        <f t="shared" si="11657"/>
        <v>327.94</v>
      </c>
      <c r="IO458" s="74">
        <f t="shared" si="11657"/>
        <v>1368.2</v>
      </c>
      <c r="IP458" s="74">
        <f t="shared" si="11657"/>
        <v>1368.2</v>
      </c>
      <c r="IQ458" s="74">
        <f t="shared" si="11657"/>
        <v>1368.2</v>
      </c>
      <c r="IR458" s="74">
        <f t="shared" si="11657"/>
        <v>952.32000000000016</v>
      </c>
      <c r="IS458" s="74">
        <f t="shared" si="11657"/>
        <v>952.32000000000016</v>
      </c>
      <c r="IT458" s="74">
        <f t="shared" si="11657"/>
        <v>952.32000000000016</v>
      </c>
      <c r="IU458" s="74">
        <f t="shared" si="11657"/>
        <v>6754.47</v>
      </c>
      <c r="IV458" s="74">
        <f t="shared" si="11657"/>
        <v>6754.47</v>
      </c>
      <c r="IW458" s="74">
        <f t="shared" si="11657"/>
        <v>6754.47</v>
      </c>
      <c r="IX458" s="74">
        <f t="shared" si="11657"/>
        <v>2450.8199999999997</v>
      </c>
      <c r="IY458" s="74">
        <f t="shared" si="11657"/>
        <v>2450.8199999999997</v>
      </c>
      <c r="IZ458" s="74">
        <f t="shared" si="11657"/>
        <v>2450.8199999999997</v>
      </c>
      <c r="JA458" s="74">
        <f t="shared" si="11657"/>
        <v>8457.7100000000009</v>
      </c>
      <c r="JB458" s="74">
        <f t="shared" si="11657"/>
        <v>8457.7100000000009</v>
      </c>
      <c r="JC458" s="74">
        <f t="shared" si="11657"/>
        <v>8457.7100000000009</v>
      </c>
      <c r="JD458" s="74">
        <f t="shared" si="11657"/>
        <v>17927.71</v>
      </c>
      <c r="JE458" s="74">
        <f t="shared" si="11657"/>
        <v>17927.71</v>
      </c>
      <c r="JF458" s="74">
        <f t="shared" si="11657"/>
        <v>17927.71</v>
      </c>
      <c r="JG458" s="74">
        <f t="shared" si="11657"/>
        <v>1463.840000000002</v>
      </c>
      <c r="JH458" s="74">
        <f t="shared" si="11657"/>
        <v>1463.840000000002</v>
      </c>
      <c r="JI458" s="74">
        <f t="shared" si="11657"/>
        <v>1463.840000000002</v>
      </c>
      <c r="JJ458" s="74">
        <f t="shared" si="11657"/>
        <v>4655</v>
      </c>
      <c r="JK458" s="74">
        <f t="shared" si="11657"/>
        <v>4655</v>
      </c>
      <c r="JL458" s="74">
        <f t="shared" si="11657"/>
        <v>4655</v>
      </c>
      <c r="JM458" s="74">
        <f t="shared" si="11657"/>
        <v>0</v>
      </c>
      <c r="JN458" s="74">
        <f t="shared" si="11657"/>
        <v>0</v>
      </c>
      <c r="JO458" s="74">
        <f t="shared" si="11657"/>
        <v>0</v>
      </c>
      <c r="JP458" s="74">
        <f t="shared" ref="JP458:JY458" si="11658">SUM(JP459:JP462)</f>
        <v>0</v>
      </c>
      <c r="JQ458" s="74">
        <f t="shared" si="11658"/>
        <v>0</v>
      </c>
      <c r="JR458" s="74">
        <f t="shared" si="11658"/>
        <v>0</v>
      </c>
      <c r="JS458" s="74">
        <f>SUM(JS459:JS462)</f>
        <v>3328.5899999999983</v>
      </c>
      <c r="JT458" s="382">
        <f>SUM(JT459:JT462)</f>
        <v>3328.5899999999983</v>
      </c>
      <c r="JU458" s="665"/>
      <c r="JV458" s="524"/>
      <c r="JW458" s="525"/>
      <c r="JX458" s="549">
        <f>SUM(JX459:JX462)</f>
        <v>50089</v>
      </c>
      <c r="JY458" s="549">
        <f t="shared" si="11658"/>
        <v>0</v>
      </c>
      <c r="JZ458" s="581">
        <f t="shared" si="11276"/>
        <v>23000</v>
      </c>
      <c r="KA458" s="581">
        <f t="shared" si="11277"/>
        <v>-22911</v>
      </c>
      <c r="KB458" s="549">
        <f t="shared" si="11273"/>
        <v>50089</v>
      </c>
      <c r="KC458" s="709">
        <f t="shared" si="11275"/>
        <v>0</v>
      </c>
      <c r="KD458" s="36"/>
      <c r="KE458" s="36"/>
      <c r="KF458" s="36"/>
      <c r="KG458" s="36"/>
      <c r="KH458" s="36"/>
      <c r="KI458" s="36"/>
      <c r="KJ458" s="36"/>
      <c r="KK458" s="36"/>
    </row>
    <row r="459" spans="1:297" s="8" customFormat="1">
      <c r="A459" s="86" t="s">
        <v>274</v>
      </c>
      <c r="B459" s="77" t="s">
        <v>149</v>
      </c>
      <c r="C459" s="74">
        <v>13200</v>
      </c>
      <c r="D459" s="549">
        <v>0</v>
      </c>
      <c r="E459" s="675">
        <v>0</v>
      </c>
      <c r="F459" s="549">
        <v>0</v>
      </c>
      <c r="G459" s="675">
        <v>0</v>
      </c>
      <c r="H459" s="549">
        <v>0</v>
      </c>
      <c r="I459" s="675">
        <v>0</v>
      </c>
      <c r="J459" s="549">
        <v>0</v>
      </c>
      <c r="K459" s="675">
        <v>0</v>
      </c>
      <c r="L459" s="549">
        <v>0</v>
      </c>
      <c r="M459" s="675">
        <v>0</v>
      </c>
      <c r="N459" s="549">
        <v>0</v>
      </c>
      <c r="O459" s="675">
        <v>0</v>
      </c>
      <c r="P459" s="549">
        <v>0</v>
      </c>
      <c r="Q459" s="675">
        <v>0</v>
      </c>
      <c r="R459" s="549">
        <v>0</v>
      </c>
      <c r="S459" s="675">
        <v>0</v>
      </c>
      <c r="T459" s="549">
        <v>0</v>
      </c>
      <c r="U459" s="675">
        <v>0</v>
      </c>
      <c r="V459" s="549">
        <v>0</v>
      </c>
      <c r="W459" s="675">
        <v>0</v>
      </c>
      <c r="X459" s="549">
        <v>0</v>
      </c>
      <c r="Y459" s="675">
        <v>0</v>
      </c>
      <c r="Z459" s="549">
        <v>0</v>
      </c>
      <c r="AA459" s="675">
        <v>0</v>
      </c>
      <c r="AB459" s="549">
        <v>0</v>
      </c>
      <c r="AC459" s="675">
        <v>0</v>
      </c>
      <c r="AD459" s="549">
        <v>0</v>
      </c>
      <c r="AE459" s="675">
        <v>0</v>
      </c>
      <c r="AF459" s="549">
        <v>0</v>
      </c>
      <c r="AG459" s="675">
        <v>-5000</v>
      </c>
      <c r="AH459" s="549">
        <v>0</v>
      </c>
      <c r="AI459" s="675">
        <v>0</v>
      </c>
      <c r="AJ459" s="549">
        <v>0</v>
      </c>
      <c r="AK459" s="675">
        <v>0</v>
      </c>
      <c r="AL459" s="549">
        <v>0</v>
      </c>
      <c r="AM459" s="675">
        <v>0</v>
      </c>
      <c r="AN459" s="549">
        <v>0</v>
      </c>
      <c r="AO459" s="675">
        <v>0</v>
      </c>
      <c r="AP459" s="549">
        <v>0</v>
      </c>
      <c r="AQ459" s="675">
        <v>0</v>
      </c>
      <c r="AR459" s="549">
        <v>0</v>
      </c>
      <c r="AS459" s="675">
        <v>0</v>
      </c>
      <c r="AT459" s="549">
        <v>0</v>
      </c>
      <c r="AU459" s="675">
        <v>0</v>
      </c>
      <c r="AV459" s="549">
        <v>0</v>
      </c>
      <c r="AW459" s="675">
        <v>0</v>
      </c>
      <c r="AX459" s="549">
        <v>0</v>
      </c>
      <c r="AY459" s="675">
        <v>0</v>
      </c>
      <c r="AZ459" s="549">
        <v>0</v>
      </c>
      <c r="BA459" s="675">
        <v>0</v>
      </c>
      <c r="BB459" s="549">
        <v>0</v>
      </c>
      <c r="BC459" s="675">
        <v>0</v>
      </c>
      <c r="BD459" s="549">
        <v>0</v>
      </c>
      <c r="BE459" s="675">
        <v>0</v>
      </c>
      <c r="BF459" s="549">
        <v>0</v>
      </c>
      <c r="BG459" s="675">
        <v>0</v>
      </c>
      <c r="BH459" s="549">
        <v>9000</v>
      </c>
      <c r="BI459" s="675">
        <v>0</v>
      </c>
      <c r="BJ459" s="549">
        <v>0</v>
      </c>
      <c r="BK459" s="675">
        <v>0</v>
      </c>
      <c r="BL459" s="549">
        <v>0</v>
      </c>
      <c r="BM459" s="675">
        <v>0</v>
      </c>
      <c r="BN459" s="549">
        <v>0</v>
      </c>
      <c r="BO459" s="675">
        <v>0</v>
      </c>
      <c r="BP459" s="549">
        <v>0</v>
      </c>
      <c r="BQ459" s="675">
        <v>0</v>
      </c>
      <c r="BR459" s="549">
        <v>0</v>
      </c>
      <c r="BS459" s="675">
        <v>0</v>
      </c>
      <c r="BT459" s="549">
        <v>0</v>
      </c>
      <c r="BU459" s="675">
        <v>0</v>
      </c>
      <c r="BV459" s="549">
        <v>0</v>
      </c>
      <c r="BW459" s="675">
        <v>0</v>
      </c>
      <c r="BX459" s="549">
        <v>0</v>
      </c>
      <c r="BY459" s="675">
        <v>0</v>
      </c>
      <c r="BZ459" s="549">
        <v>0</v>
      </c>
      <c r="CA459" s="675">
        <v>0</v>
      </c>
      <c r="CB459" s="549">
        <v>0</v>
      </c>
      <c r="CC459" s="675">
        <v>0</v>
      </c>
      <c r="CD459" s="549">
        <v>0</v>
      </c>
      <c r="CE459" s="675">
        <v>0</v>
      </c>
      <c r="CF459" s="549">
        <v>0</v>
      </c>
      <c r="CG459" s="675">
        <v>0</v>
      </c>
      <c r="CH459" s="549">
        <v>0</v>
      </c>
      <c r="CI459" s="675">
        <v>0</v>
      </c>
      <c r="CJ459" s="549">
        <v>0</v>
      </c>
      <c r="CK459" s="675">
        <v>-5000</v>
      </c>
      <c r="CL459" s="549">
        <v>0</v>
      </c>
      <c r="CM459" s="675">
        <v>0</v>
      </c>
      <c r="CN459" s="549">
        <v>0</v>
      </c>
      <c r="CO459" s="675">
        <v>0</v>
      </c>
      <c r="CP459" s="549">
        <v>0</v>
      </c>
      <c r="CQ459" s="675">
        <v>0</v>
      </c>
      <c r="CR459" s="549">
        <v>0</v>
      </c>
      <c r="CS459" s="675">
        <v>0</v>
      </c>
      <c r="CT459" s="549">
        <v>0</v>
      </c>
      <c r="CU459" s="675">
        <v>0</v>
      </c>
      <c r="CV459" s="549">
        <v>0</v>
      </c>
      <c r="CW459" s="675">
        <v>0</v>
      </c>
      <c r="CX459" s="549">
        <v>0</v>
      </c>
      <c r="CY459" s="675">
        <v>0</v>
      </c>
      <c r="CZ459" s="549">
        <v>0</v>
      </c>
      <c r="DA459" s="675">
        <v>0</v>
      </c>
      <c r="DB459" s="549">
        <v>0</v>
      </c>
      <c r="DC459" s="675">
        <v>0</v>
      </c>
      <c r="DD459" s="549">
        <v>0</v>
      </c>
      <c r="DE459" s="675">
        <v>0</v>
      </c>
      <c r="DF459" s="549">
        <v>0</v>
      </c>
      <c r="DG459" s="675">
        <v>0</v>
      </c>
      <c r="DH459" s="549">
        <v>0</v>
      </c>
      <c r="DI459" s="675">
        <v>0</v>
      </c>
      <c r="DJ459" s="549">
        <v>0</v>
      </c>
      <c r="DK459" s="675">
        <v>0</v>
      </c>
      <c r="DL459" s="549">
        <v>0</v>
      </c>
      <c r="DM459" s="675">
        <v>0</v>
      </c>
      <c r="DN459" s="549">
        <v>0</v>
      </c>
      <c r="DO459" s="675">
        <v>0</v>
      </c>
      <c r="DP459" s="549">
        <v>0</v>
      </c>
      <c r="DQ459" s="675">
        <v>0</v>
      </c>
      <c r="DR459" s="549">
        <v>0</v>
      </c>
      <c r="DS459" s="675">
        <v>0</v>
      </c>
      <c r="DT459" s="549">
        <v>0</v>
      </c>
      <c r="DU459" s="675">
        <v>0</v>
      </c>
      <c r="DV459" s="549">
        <v>0</v>
      </c>
      <c r="DW459" s="675">
        <v>0</v>
      </c>
      <c r="DX459" s="549">
        <v>0</v>
      </c>
      <c r="DY459" s="675">
        <v>0</v>
      </c>
      <c r="DZ459" s="549">
        <v>0</v>
      </c>
      <c r="EA459" s="675">
        <v>0</v>
      </c>
      <c r="EB459" s="549">
        <v>0</v>
      </c>
      <c r="EC459" s="675">
        <v>0</v>
      </c>
      <c r="ED459" s="549">
        <v>0</v>
      </c>
      <c r="EE459" s="675">
        <v>0</v>
      </c>
      <c r="EF459" s="549">
        <v>0</v>
      </c>
      <c r="EG459" s="675">
        <v>0</v>
      </c>
      <c r="EH459" s="549">
        <v>0</v>
      </c>
      <c r="EI459" s="675">
        <v>0</v>
      </c>
      <c r="EJ459" s="549">
        <v>0</v>
      </c>
      <c r="EK459" s="675">
        <v>0</v>
      </c>
      <c r="EL459" s="549">
        <v>0</v>
      </c>
      <c r="EM459" s="675">
        <v>0</v>
      </c>
      <c r="EN459" s="549">
        <v>0</v>
      </c>
      <c r="EO459" s="675">
        <v>0</v>
      </c>
      <c r="EP459" s="549">
        <v>0</v>
      </c>
      <c r="EQ459" s="675">
        <v>0</v>
      </c>
      <c r="ER459" s="549">
        <v>0</v>
      </c>
      <c r="ES459" s="675">
        <v>0</v>
      </c>
      <c r="ET459" s="549">
        <v>0</v>
      </c>
      <c r="EU459" s="675">
        <v>0</v>
      </c>
      <c r="EV459" s="549">
        <v>0</v>
      </c>
      <c r="EW459" s="675">
        <v>0</v>
      </c>
      <c r="EX459" s="549">
        <v>0</v>
      </c>
      <c r="EY459" s="675">
        <v>0</v>
      </c>
      <c r="EZ459" s="549">
        <v>0</v>
      </c>
      <c r="FA459" s="675">
        <v>0</v>
      </c>
      <c r="FB459" s="549">
        <v>0</v>
      </c>
      <c r="FC459" s="675">
        <v>0</v>
      </c>
      <c r="FD459" s="549">
        <v>0</v>
      </c>
      <c r="FE459" s="675">
        <v>-2000</v>
      </c>
      <c r="FF459" s="549">
        <v>0</v>
      </c>
      <c r="FG459" s="675">
        <v>0</v>
      </c>
      <c r="FH459" s="549">
        <v>0</v>
      </c>
      <c r="FI459" s="675">
        <v>0</v>
      </c>
      <c r="FJ459" s="549">
        <v>0</v>
      </c>
      <c r="FK459" s="675">
        <v>0</v>
      </c>
      <c r="FL459" s="549">
        <v>0</v>
      </c>
      <c r="FM459" s="675">
        <v>0</v>
      </c>
      <c r="FN459" s="549">
        <v>0</v>
      </c>
      <c r="FO459" s="675">
        <v>0</v>
      </c>
      <c r="FP459" s="549">
        <v>0</v>
      </c>
      <c r="FQ459" s="675">
        <v>0</v>
      </c>
      <c r="FR459" s="549">
        <v>0</v>
      </c>
      <c r="FS459" s="675">
        <v>0</v>
      </c>
      <c r="FT459" s="549">
        <v>0</v>
      </c>
      <c r="FU459" s="675">
        <v>0</v>
      </c>
      <c r="FV459" s="549">
        <v>0</v>
      </c>
      <c r="FW459" s="675">
        <v>0</v>
      </c>
      <c r="FX459" s="549">
        <v>0</v>
      </c>
      <c r="FY459" s="675">
        <v>0</v>
      </c>
      <c r="FZ459" s="549">
        <v>0</v>
      </c>
      <c r="GA459" s="675">
        <v>0</v>
      </c>
      <c r="GB459" s="549">
        <v>0</v>
      </c>
      <c r="GC459" s="675">
        <v>0</v>
      </c>
      <c r="GD459" s="549">
        <v>0</v>
      </c>
      <c r="GE459" s="675">
        <v>0</v>
      </c>
      <c r="GF459" s="549">
        <v>0</v>
      </c>
      <c r="GG459" s="675">
        <v>0</v>
      </c>
      <c r="GH459" s="549">
        <v>0</v>
      </c>
      <c r="GI459" s="675">
        <v>0</v>
      </c>
      <c r="GJ459" s="549">
        <v>0</v>
      </c>
      <c r="GK459" s="675">
        <v>0</v>
      </c>
      <c r="GL459" s="549">
        <v>0</v>
      </c>
      <c r="GM459" s="675">
        <v>0</v>
      </c>
      <c r="GN459" s="549">
        <v>0</v>
      </c>
      <c r="GO459" s="675">
        <v>0</v>
      </c>
      <c r="GP459" s="549">
        <f t="shared" ref="GP459:GP462" si="11659">+D459+F459+H459+J459+L459+N459+P459+R459+T459+V459+X459+Z459+AB459+AF459+AD459+AH459+AJ459+AL459+AN459+AP459+AR459+AT459+AV459+AX459+AZ459+BB459+BD459+BF459+BH459+BJ459+BL459+BN459+BP459+BR459+BT459+BV459+BX459+BZ459+CB459+CD459+CF459+CH459+CJ459+CL459+CN459+CP459+CR459+CT459+CV459+CX459+CZ459+DB459+DD459+DF459+DH459+DT459+EX459+DJ459+DL459+DN459+DP459+DR459+EJ459+EB459+DZ459+DX459+DV459+ED459+EF459+EH459+EL459+EN459+EP459+EV459+ET459+ER459+EZ459+FB459+FD459+GL459+FF459+FJ459+FL459+GJ459+FT459+FR459+FP459+FN459+FH459+GH459+GF459+GD459+GB459+FZ459+FX459+FV459+GN459</f>
        <v>9000</v>
      </c>
      <c r="GQ459" s="675">
        <f t="shared" ref="GQ459:GQ462" si="11660">+E459+G459+I459+K459+M459+O459+Q459+S459+U459+W459+Y459+AA459+AC459+AE459+AG459+AI459+AK459+AM459+AO459+AQ459+AS459+AU459+AW459+AY459+BA459+BC459+BE459+BG459+BI459+BK459+BM459+BO459+BQ459+BS459+BU459+BW459+BY459+CA459+CC459+CE459+CG459+CI459+CK459+CM459+CO459+CQ459+CS459+CU459+CW459+CY459+DA459+DC459+DE459+DG459+DI459+DU459+EY459+DK459+DM459+DO459+DQ459+DS459+EK459+EC459+EA459+DY459+DW459+EI459+EG459+EE459+EM459+EO459+EQ459+EW459+EU459+ES459+FA459+FC459+FE459+GM459+FG459+FK459+FM459+FO459+FQ459+FS459+FU459+GK459+FI459+GI459+GG459+GE459+GC459+GA459+FY459+FW459+GO459</f>
        <v>-12000</v>
      </c>
      <c r="GR459" s="74">
        <f>C459+GP459+GQ459</f>
        <v>10200</v>
      </c>
      <c r="GS459" s="74">
        <f t="shared" ref="GS459:GS462" si="11661">SUM(GU459:HD459)+GP459+GQ459</f>
        <v>10200</v>
      </c>
      <c r="GT459" s="568">
        <f t="shared" ref="GT459:GT462" si="11662">SUM(GU459:HF459)+GQ459+GP459</f>
        <v>10200</v>
      </c>
      <c r="GU459" s="275"/>
      <c r="GV459" s="275"/>
      <c r="GW459" s="275">
        <v>13200</v>
      </c>
      <c r="GX459" s="275"/>
      <c r="GY459" s="275"/>
      <c r="GZ459" s="275"/>
      <c r="HA459" s="275"/>
      <c r="HB459" s="834"/>
      <c r="HC459" s="275"/>
      <c r="HD459" s="275"/>
      <c r="HE459" s="275">
        <v>0</v>
      </c>
      <c r="HF459" s="275">
        <v>0</v>
      </c>
      <c r="HG459" s="74">
        <f>SUM(HH459:IE459)</f>
        <v>10200</v>
      </c>
      <c r="HH459" s="89">
        <v>0</v>
      </c>
      <c r="HI459" s="817">
        <v>0</v>
      </c>
      <c r="HJ459" s="89">
        <v>0</v>
      </c>
      <c r="HK459" s="817">
        <v>0</v>
      </c>
      <c r="HL459" s="89">
        <v>0</v>
      </c>
      <c r="HM459" s="817">
        <v>0</v>
      </c>
      <c r="HN459" s="89">
        <v>0</v>
      </c>
      <c r="HO459" s="817">
        <v>0</v>
      </c>
      <c r="HP459" s="89">
        <v>11272</v>
      </c>
      <c r="HQ459" s="817">
        <v>0</v>
      </c>
      <c r="HR459" s="89">
        <v>0</v>
      </c>
      <c r="HS459" s="817">
        <v>0</v>
      </c>
      <c r="HT459" s="89">
        <v>0</v>
      </c>
      <c r="HU459" s="817">
        <v>0</v>
      </c>
      <c r="HV459" s="89">
        <v>928</v>
      </c>
      <c r="HW459" s="817">
        <v>0</v>
      </c>
      <c r="HX459" s="89">
        <v>0</v>
      </c>
      <c r="HY459" s="817">
        <v>0</v>
      </c>
      <c r="HZ459" s="89">
        <v>-2000</v>
      </c>
      <c r="IA459" s="817">
        <v>0</v>
      </c>
      <c r="IB459" s="89">
        <v>0</v>
      </c>
      <c r="IC459" s="817">
        <v>0</v>
      </c>
      <c r="ID459" s="89">
        <v>0</v>
      </c>
      <c r="IE459" s="817">
        <v>0</v>
      </c>
      <c r="IF459" s="841">
        <f t="shared" ref="IF459:IF462" si="11663">SUM(II459,IL459,IO459,IR459,IU459,IX459,JA459,JD459,JG459,JJ459,JM459,JP459)</f>
        <v>10065.76</v>
      </c>
      <c r="IG459" s="263">
        <f t="shared" ref="IG459:IG462" si="11664">SUM(IJ459,IM459,IP459,IS459,IV459,IY459,JB459,JE459,JH459,JK459,JN459,JQ459)</f>
        <v>10065.76</v>
      </c>
      <c r="IH459" s="842">
        <f t="shared" ref="IH459:IH462" si="11665">SUM(IK459,IN459,IQ459,IT459,IW459,IZ459,JC459,JF459,JI459,JL459,JO459,JR459)</f>
        <v>10065.76</v>
      </c>
      <c r="II459" s="89">
        <v>0</v>
      </c>
      <c r="IJ459" s="89">
        <f t="shared" ref="IJ459:IJ462" si="11666">II459</f>
        <v>0</v>
      </c>
      <c r="IK459" s="89">
        <f t="shared" ref="IK459:IK462" si="11667">IJ459</f>
        <v>0</v>
      </c>
      <c r="IL459" s="89">
        <v>0</v>
      </c>
      <c r="IM459" s="89">
        <f t="shared" ref="IM459:IM462" si="11668">IL459</f>
        <v>0</v>
      </c>
      <c r="IN459" s="89">
        <f t="shared" ref="IN459:IN462" si="11669">IM459</f>
        <v>0</v>
      </c>
      <c r="IO459" s="89">
        <v>0</v>
      </c>
      <c r="IP459" s="89">
        <f t="shared" ref="IP459:IP462" si="11670">IO459</f>
        <v>0</v>
      </c>
      <c r="IQ459" s="89">
        <f t="shared" ref="IQ459:IQ462" si="11671">IP459</f>
        <v>0</v>
      </c>
      <c r="IR459" s="89">
        <v>0</v>
      </c>
      <c r="IS459" s="89">
        <f t="shared" ref="IS459:IS462" si="11672">IR459</f>
        <v>0</v>
      </c>
      <c r="IT459" s="89">
        <f t="shared" ref="IT459:IT462" si="11673">IS459</f>
        <v>0</v>
      </c>
      <c r="IU459" s="89">
        <v>1272</v>
      </c>
      <c r="IV459" s="89">
        <f t="shared" ref="IV459:IV462" si="11674">IU459</f>
        <v>1272</v>
      </c>
      <c r="IW459" s="89">
        <f t="shared" ref="IW459:IW462" si="11675">IV459</f>
        <v>1272</v>
      </c>
      <c r="IX459" s="89">
        <v>0</v>
      </c>
      <c r="IY459" s="89">
        <f t="shared" ref="IY459:IY462" si="11676">IX459</f>
        <v>0</v>
      </c>
      <c r="IZ459" s="89">
        <f t="shared" ref="IZ459:IZ462" si="11677">IY459</f>
        <v>0</v>
      </c>
      <c r="JA459" s="89">
        <f>1272-1272</f>
        <v>0</v>
      </c>
      <c r="JB459" s="89">
        <f t="shared" ref="JB459:JB462" si="11678">JA459</f>
        <v>0</v>
      </c>
      <c r="JC459" s="89">
        <f t="shared" ref="JC459:JC462" si="11679">JB459</f>
        <v>0</v>
      </c>
      <c r="JD459" s="89">
        <f>10065.76-1272</f>
        <v>8793.76</v>
      </c>
      <c r="JE459" s="89">
        <f t="shared" ref="JE459:JE462" si="11680">JD459</f>
        <v>8793.76</v>
      </c>
      <c r="JF459" s="89">
        <f t="shared" ref="JF459:JF462" si="11681">JE459</f>
        <v>8793.76</v>
      </c>
      <c r="JG459" s="89">
        <v>0</v>
      </c>
      <c r="JH459" s="89">
        <f t="shared" ref="JH459:JH462" si="11682">JG459</f>
        <v>0</v>
      </c>
      <c r="JI459" s="89">
        <f t="shared" ref="JI459:JI462" si="11683">JH459</f>
        <v>0</v>
      </c>
      <c r="JJ459" s="89">
        <v>0</v>
      </c>
      <c r="JK459" s="89">
        <f t="shared" ref="JK459:JK462" si="11684">JJ459</f>
        <v>0</v>
      </c>
      <c r="JL459" s="89">
        <f t="shared" ref="JL459:JL462" si="11685">JK459</f>
        <v>0</v>
      </c>
      <c r="JM459" s="89">
        <v>0</v>
      </c>
      <c r="JN459" s="89">
        <f t="shared" ref="JN459:JN462" si="11686">JM459</f>
        <v>0</v>
      </c>
      <c r="JO459" s="89">
        <f t="shared" ref="JO459:JO462" si="11687">JN459</f>
        <v>0</v>
      </c>
      <c r="JP459" s="89">
        <v>0</v>
      </c>
      <c r="JQ459" s="89">
        <f t="shared" ref="JQ459:JR459" si="11688">JP459</f>
        <v>0</v>
      </c>
      <c r="JR459" s="89">
        <f t="shared" si="11688"/>
        <v>0</v>
      </c>
      <c r="JS459" s="74">
        <f>HG459-IF459</f>
        <v>134.23999999999978</v>
      </c>
      <c r="JT459" s="382">
        <f>GS459-IF459</f>
        <v>134.23999999999978</v>
      </c>
      <c r="JU459" s="665"/>
      <c r="JV459" s="524"/>
      <c r="JW459" s="525"/>
      <c r="JX459" s="549">
        <f t="shared" ref="JX459:JY462" si="11689">SUM(HH459,HJ459,HL459,HN459,HP459,HR459,HT459,HV459,HX459,HZ459,IB459,ID459)</f>
        <v>10200</v>
      </c>
      <c r="JY459" s="549">
        <f t="shared" si="11689"/>
        <v>0</v>
      </c>
      <c r="JZ459" s="581">
        <f t="shared" si="11276"/>
        <v>9000</v>
      </c>
      <c r="KA459" s="581">
        <f t="shared" si="11277"/>
        <v>-12000</v>
      </c>
      <c r="KB459" s="549">
        <f t="shared" si="11273"/>
        <v>10200</v>
      </c>
      <c r="KC459" s="709">
        <f t="shared" si="11275"/>
        <v>0</v>
      </c>
      <c r="KD459" s="36"/>
      <c r="KE459" s="36"/>
      <c r="KF459" s="36"/>
      <c r="KG459" s="36"/>
      <c r="KH459" s="36"/>
      <c r="KI459" s="36"/>
      <c r="KJ459" s="36"/>
      <c r="KK459" s="36"/>
    </row>
    <row r="460" spans="1:297" s="8" customFormat="1">
      <c r="A460" s="86" t="s">
        <v>275</v>
      </c>
      <c r="B460" s="77" t="s">
        <v>150</v>
      </c>
      <c r="C460" s="74">
        <v>27700</v>
      </c>
      <c r="D460" s="549">
        <v>0</v>
      </c>
      <c r="E460" s="675">
        <v>0</v>
      </c>
      <c r="F460" s="549">
        <v>0</v>
      </c>
      <c r="G460" s="675">
        <v>0</v>
      </c>
      <c r="H460" s="549">
        <v>0</v>
      </c>
      <c r="I460" s="675">
        <v>0</v>
      </c>
      <c r="J460" s="549">
        <v>0</v>
      </c>
      <c r="K460" s="675">
        <v>0</v>
      </c>
      <c r="L460" s="549">
        <v>0</v>
      </c>
      <c r="M460" s="675">
        <v>0</v>
      </c>
      <c r="N460" s="549">
        <v>0</v>
      </c>
      <c r="O460" s="675">
        <v>0</v>
      </c>
      <c r="P460" s="549">
        <v>0</v>
      </c>
      <c r="Q460" s="675">
        <v>0</v>
      </c>
      <c r="R460" s="549">
        <v>0</v>
      </c>
      <c r="S460" s="675">
        <v>0</v>
      </c>
      <c r="T460" s="549">
        <v>0</v>
      </c>
      <c r="U460" s="675">
        <v>0</v>
      </c>
      <c r="V460" s="549">
        <v>0</v>
      </c>
      <c r="W460" s="675">
        <v>0</v>
      </c>
      <c r="X460" s="549">
        <v>0</v>
      </c>
      <c r="Y460" s="675">
        <v>0</v>
      </c>
      <c r="Z460" s="549">
        <v>0</v>
      </c>
      <c r="AA460" s="675">
        <v>0</v>
      </c>
      <c r="AB460" s="549">
        <v>0</v>
      </c>
      <c r="AC460" s="675">
        <v>0</v>
      </c>
      <c r="AD460" s="549">
        <v>0</v>
      </c>
      <c r="AE460" s="675">
        <v>0</v>
      </c>
      <c r="AF460" s="549">
        <v>0</v>
      </c>
      <c r="AG460" s="675">
        <v>0</v>
      </c>
      <c r="AH460" s="549">
        <v>0</v>
      </c>
      <c r="AI460" s="675">
        <v>0</v>
      </c>
      <c r="AJ460" s="549">
        <v>0</v>
      </c>
      <c r="AK460" s="675">
        <v>0</v>
      </c>
      <c r="AL460" s="549">
        <v>0</v>
      </c>
      <c r="AM460" s="675">
        <v>0</v>
      </c>
      <c r="AN460" s="549">
        <v>0</v>
      </c>
      <c r="AO460" s="675">
        <v>0</v>
      </c>
      <c r="AP460" s="549">
        <v>0</v>
      </c>
      <c r="AQ460" s="675">
        <v>0</v>
      </c>
      <c r="AR460" s="549">
        <v>0</v>
      </c>
      <c r="AS460" s="675">
        <v>0</v>
      </c>
      <c r="AT460" s="549">
        <v>0</v>
      </c>
      <c r="AU460" s="675">
        <v>0</v>
      </c>
      <c r="AV460" s="549">
        <v>0</v>
      </c>
      <c r="AW460" s="675">
        <v>0</v>
      </c>
      <c r="AX460" s="549">
        <v>0</v>
      </c>
      <c r="AY460" s="675">
        <v>0</v>
      </c>
      <c r="AZ460" s="549">
        <v>0</v>
      </c>
      <c r="BA460" s="675">
        <v>-2000</v>
      </c>
      <c r="BB460" s="549">
        <v>0</v>
      </c>
      <c r="BC460" s="675">
        <v>0</v>
      </c>
      <c r="BD460" s="549">
        <v>0</v>
      </c>
      <c r="BE460" s="675">
        <v>0</v>
      </c>
      <c r="BF460" s="549">
        <v>0</v>
      </c>
      <c r="BG460" s="675">
        <v>0</v>
      </c>
      <c r="BH460" s="549">
        <v>0</v>
      </c>
      <c r="BI460" s="675">
        <v>0</v>
      </c>
      <c r="BJ460" s="549">
        <v>0</v>
      </c>
      <c r="BK460" s="675">
        <v>0</v>
      </c>
      <c r="BL460" s="549">
        <v>0</v>
      </c>
      <c r="BM460" s="675">
        <v>0</v>
      </c>
      <c r="BN460" s="549">
        <v>0</v>
      </c>
      <c r="BO460" s="675">
        <v>0</v>
      </c>
      <c r="BP460" s="549">
        <v>0</v>
      </c>
      <c r="BQ460" s="675">
        <v>0</v>
      </c>
      <c r="BR460" s="549">
        <v>0</v>
      </c>
      <c r="BS460" s="675">
        <v>0</v>
      </c>
      <c r="BT460" s="549">
        <v>0</v>
      </c>
      <c r="BU460" s="675">
        <v>0</v>
      </c>
      <c r="BV460" s="549">
        <v>0</v>
      </c>
      <c r="BW460" s="675">
        <v>0</v>
      </c>
      <c r="BX460" s="549">
        <v>0</v>
      </c>
      <c r="BY460" s="675">
        <v>0</v>
      </c>
      <c r="BZ460" s="549">
        <v>0</v>
      </c>
      <c r="CA460" s="675">
        <v>0</v>
      </c>
      <c r="CB460" s="549">
        <v>0</v>
      </c>
      <c r="CC460" s="675">
        <v>0</v>
      </c>
      <c r="CD460" s="549">
        <v>0</v>
      </c>
      <c r="CE460" s="675">
        <v>0</v>
      </c>
      <c r="CF460" s="549">
        <v>0</v>
      </c>
      <c r="CG460" s="675">
        <v>0</v>
      </c>
      <c r="CH460" s="549">
        <v>0</v>
      </c>
      <c r="CI460" s="675">
        <v>0</v>
      </c>
      <c r="CJ460" s="549">
        <v>0</v>
      </c>
      <c r="CK460" s="675">
        <v>0</v>
      </c>
      <c r="CL460" s="549">
        <v>0</v>
      </c>
      <c r="CM460" s="675">
        <v>0</v>
      </c>
      <c r="CN460" s="549">
        <v>0</v>
      </c>
      <c r="CO460" s="675">
        <v>0</v>
      </c>
      <c r="CP460" s="549">
        <v>0</v>
      </c>
      <c r="CQ460" s="675">
        <v>0</v>
      </c>
      <c r="CR460" s="549">
        <v>0</v>
      </c>
      <c r="CS460" s="675">
        <v>0</v>
      </c>
      <c r="CT460" s="549">
        <v>0</v>
      </c>
      <c r="CU460" s="675">
        <v>0</v>
      </c>
      <c r="CV460" s="549">
        <v>0</v>
      </c>
      <c r="CW460" s="675">
        <v>0</v>
      </c>
      <c r="CX460" s="549">
        <v>0</v>
      </c>
      <c r="CY460" s="675">
        <v>0</v>
      </c>
      <c r="CZ460" s="549">
        <v>0</v>
      </c>
      <c r="DA460" s="675">
        <v>-2000</v>
      </c>
      <c r="DB460" s="549">
        <v>0</v>
      </c>
      <c r="DC460" s="675">
        <v>0</v>
      </c>
      <c r="DD460" s="549">
        <v>0</v>
      </c>
      <c r="DE460" s="675">
        <v>0</v>
      </c>
      <c r="DF460" s="549">
        <v>0</v>
      </c>
      <c r="DG460" s="675">
        <v>0</v>
      </c>
      <c r="DH460" s="549">
        <v>0</v>
      </c>
      <c r="DI460" s="675">
        <v>0</v>
      </c>
      <c r="DJ460" s="549">
        <v>0</v>
      </c>
      <c r="DK460" s="675">
        <v>0</v>
      </c>
      <c r="DL460" s="549">
        <v>0</v>
      </c>
      <c r="DM460" s="675">
        <v>0</v>
      </c>
      <c r="DN460" s="549">
        <v>0</v>
      </c>
      <c r="DO460" s="675">
        <v>0</v>
      </c>
      <c r="DP460" s="549">
        <v>0</v>
      </c>
      <c r="DQ460" s="675">
        <v>0</v>
      </c>
      <c r="DR460" s="549">
        <v>0</v>
      </c>
      <c r="DS460" s="675">
        <v>0</v>
      </c>
      <c r="DT460" s="549">
        <v>0</v>
      </c>
      <c r="DU460" s="675">
        <v>0</v>
      </c>
      <c r="DV460" s="549">
        <v>0</v>
      </c>
      <c r="DW460" s="675">
        <v>0</v>
      </c>
      <c r="DX460" s="549">
        <v>0</v>
      </c>
      <c r="DY460" s="675">
        <v>0</v>
      </c>
      <c r="DZ460" s="549">
        <v>0</v>
      </c>
      <c r="EA460" s="675">
        <v>0</v>
      </c>
      <c r="EB460" s="549">
        <v>0</v>
      </c>
      <c r="EC460" s="675">
        <v>0</v>
      </c>
      <c r="ED460" s="549">
        <v>0</v>
      </c>
      <c r="EE460" s="675">
        <v>0</v>
      </c>
      <c r="EF460" s="549">
        <v>0</v>
      </c>
      <c r="EG460" s="675">
        <v>0</v>
      </c>
      <c r="EH460" s="549">
        <v>0</v>
      </c>
      <c r="EI460" s="675">
        <v>0</v>
      </c>
      <c r="EJ460" s="549">
        <v>0</v>
      </c>
      <c r="EK460" s="675">
        <v>0</v>
      </c>
      <c r="EL460" s="549">
        <v>0</v>
      </c>
      <c r="EM460" s="675">
        <v>0</v>
      </c>
      <c r="EN460" s="549">
        <v>0</v>
      </c>
      <c r="EO460" s="675">
        <v>0</v>
      </c>
      <c r="EP460" s="549">
        <v>0</v>
      </c>
      <c r="EQ460" s="675">
        <v>0</v>
      </c>
      <c r="ER460" s="549">
        <v>0</v>
      </c>
      <c r="ES460" s="675">
        <v>0</v>
      </c>
      <c r="ET460" s="549">
        <v>0</v>
      </c>
      <c r="EU460" s="675">
        <v>0</v>
      </c>
      <c r="EV460" s="549">
        <v>0</v>
      </c>
      <c r="EW460" s="675">
        <v>0</v>
      </c>
      <c r="EX460" s="549">
        <v>0</v>
      </c>
      <c r="EY460" s="675">
        <v>0</v>
      </c>
      <c r="EZ460" s="549">
        <v>0</v>
      </c>
      <c r="FA460" s="675">
        <v>0</v>
      </c>
      <c r="FB460" s="549">
        <v>0</v>
      </c>
      <c r="FC460" s="675">
        <v>0</v>
      </c>
      <c r="FD460" s="549">
        <v>0</v>
      </c>
      <c r="FE460" s="675">
        <v>-971</v>
      </c>
      <c r="FF460" s="549">
        <v>0</v>
      </c>
      <c r="FG460" s="675">
        <v>-2940</v>
      </c>
      <c r="FH460" s="549">
        <v>0</v>
      </c>
      <c r="FI460" s="675">
        <v>0</v>
      </c>
      <c r="FJ460" s="549">
        <v>0</v>
      </c>
      <c r="FK460" s="675">
        <v>0</v>
      </c>
      <c r="FL460" s="549">
        <v>0</v>
      </c>
      <c r="FM460" s="675">
        <v>0</v>
      </c>
      <c r="FN460" s="549">
        <v>0</v>
      </c>
      <c r="FO460" s="675">
        <v>0</v>
      </c>
      <c r="FP460" s="549">
        <v>0</v>
      </c>
      <c r="FQ460" s="675">
        <v>0</v>
      </c>
      <c r="FR460" s="549">
        <v>0</v>
      </c>
      <c r="FS460" s="675">
        <v>-3000</v>
      </c>
      <c r="FT460" s="549">
        <v>0</v>
      </c>
      <c r="FU460" s="675">
        <v>0</v>
      </c>
      <c r="FV460" s="549">
        <v>0</v>
      </c>
      <c r="FW460" s="675">
        <v>0</v>
      </c>
      <c r="FX460" s="549">
        <v>0</v>
      </c>
      <c r="FY460" s="675">
        <v>0</v>
      </c>
      <c r="FZ460" s="549">
        <v>0</v>
      </c>
      <c r="GA460" s="675">
        <v>0</v>
      </c>
      <c r="GB460" s="549">
        <v>0</v>
      </c>
      <c r="GC460" s="675">
        <v>0</v>
      </c>
      <c r="GD460" s="549">
        <v>0</v>
      </c>
      <c r="GE460" s="675">
        <v>0</v>
      </c>
      <c r="GF460" s="549">
        <v>0</v>
      </c>
      <c r="GG460" s="675">
        <v>0</v>
      </c>
      <c r="GH460" s="549">
        <v>0</v>
      </c>
      <c r="GI460" s="675">
        <v>0</v>
      </c>
      <c r="GJ460" s="549">
        <v>0</v>
      </c>
      <c r="GK460" s="675">
        <v>0</v>
      </c>
      <c r="GL460" s="549">
        <v>0</v>
      </c>
      <c r="GM460" s="675">
        <v>0</v>
      </c>
      <c r="GN460" s="549">
        <v>0</v>
      </c>
      <c r="GO460" s="675">
        <v>0</v>
      </c>
      <c r="GP460" s="549">
        <f t="shared" si="11659"/>
        <v>0</v>
      </c>
      <c r="GQ460" s="675">
        <f t="shared" si="11660"/>
        <v>-10911</v>
      </c>
      <c r="GR460" s="74">
        <f>C460+GP460+GQ460</f>
        <v>16789</v>
      </c>
      <c r="GS460" s="74">
        <f t="shared" si="11661"/>
        <v>16789</v>
      </c>
      <c r="GT460" s="568">
        <f t="shared" si="11662"/>
        <v>16789</v>
      </c>
      <c r="GU460" s="275">
        <v>2770</v>
      </c>
      <c r="GV460" s="275">
        <v>2770</v>
      </c>
      <c r="GW460" s="275">
        <v>2770</v>
      </c>
      <c r="GX460" s="275">
        <v>2770</v>
      </c>
      <c r="GY460" s="275">
        <v>2770</v>
      </c>
      <c r="GZ460" s="275">
        <v>2770</v>
      </c>
      <c r="HA460" s="275">
        <v>2770</v>
      </c>
      <c r="HB460" s="275">
        <v>2770</v>
      </c>
      <c r="HC460" s="275">
        <v>2770</v>
      </c>
      <c r="HD460" s="275">
        <v>2770</v>
      </c>
      <c r="HE460" s="275">
        <v>0</v>
      </c>
      <c r="HF460" s="275">
        <v>0</v>
      </c>
      <c r="HG460" s="74">
        <f>SUM(HH460:IE460)</f>
        <v>16789</v>
      </c>
      <c r="HH460" s="89">
        <v>2770</v>
      </c>
      <c r="HI460" s="817">
        <v>0</v>
      </c>
      <c r="HJ460" s="89">
        <v>2770</v>
      </c>
      <c r="HK460" s="817">
        <v>0</v>
      </c>
      <c r="HL460" s="89">
        <v>2770</v>
      </c>
      <c r="HM460" s="817">
        <v>0</v>
      </c>
      <c r="HN460" s="89">
        <v>2770</v>
      </c>
      <c r="HO460" s="817">
        <v>0</v>
      </c>
      <c r="HP460" s="89">
        <v>770</v>
      </c>
      <c r="HQ460" s="817">
        <v>0</v>
      </c>
      <c r="HR460" s="89">
        <v>0</v>
      </c>
      <c r="HS460" s="817">
        <v>0</v>
      </c>
      <c r="HT460" s="89">
        <v>0</v>
      </c>
      <c r="HU460" s="817">
        <v>0</v>
      </c>
      <c r="HV460" s="89">
        <v>6310</v>
      </c>
      <c r="HW460" s="817">
        <v>0</v>
      </c>
      <c r="HX460" s="89">
        <v>2770</v>
      </c>
      <c r="HY460" s="817">
        <v>0</v>
      </c>
      <c r="HZ460" s="89">
        <v>-4141</v>
      </c>
      <c r="IA460" s="817">
        <v>0</v>
      </c>
      <c r="IB460" s="89">
        <v>0</v>
      </c>
      <c r="IC460" s="817">
        <v>0</v>
      </c>
      <c r="ID460" s="89">
        <v>0</v>
      </c>
      <c r="IE460" s="817">
        <v>0</v>
      </c>
      <c r="IF460" s="841">
        <f t="shared" si="11663"/>
        <v>14923.95</v>
      </c>
      <c r="IG460" s="263">
        <f t="shared" si="11664"/>
        <v>14923.95</v>
      </c>
      <c r="IH460" s="842">
        <f t="shared" si="11665"/>
        <v>14923.95</v>
      </c>
      <c r="II460" s="89">
        <v>2400</v>
      </c>
      <c r="IJ460" s="89">
        <f t="shared" si="11666"/>
        <v>2400</v>
      </c>
      <c r="IK460" s="89">
        <f t="shared" si="11667"/>
        <v>2400</v>
      </c>
      <c r="IL460" s="89">
        <v>21.95</v>
      </c>
      <c r="IM460" s="89">
        <f t="shared" si="11668"/>
        <v>21.95</v>
      </c>
      <c r="IN460" s="89">
        <f t="shared" si="11669"/>
        <v>21.95</v>
      </c>
      <c r="IO460" s="89">
        <f>3656.95-2421.95</f>
        <v>1235</v>
      </c>
      <c r="IP460" s="89">
        <f t="shared" si="11670"/>
        <v>1235</v>
      </c>
      <c r="IQ460" s="89">
        <f t="shared" si="11671"/>
        <v>1235</v>
      </c>
      <c r="IR460" s="89">
        <v>0</v>
      </c>
      <c r="IS460" s="89">
        <f t="shared" si="11672"/>
        <v>0</v>
      </c>
      <c r="IT460" s="89">
        <f t="shared" si="11673"/>
        <v>0</v>
      </c>
      <c r="IU460" s="89">
        <f>6024.66-3656.95</f>
        <v>2367.71</v>
      </c>
      <c r="IV460" s="89">
        <f t="shared" si="11674"/>
        <v>2367.71</v>
      </c>
      <c r="IW460" s="89">
        <f t="shared" si="11675"/>
        <v>2367.71</v>
      </c>
      <c r="IX460" s="89">
        <v>0</v>
      </c>
      <c r="IY460" s="89">
        <f t="shared" si="11676"/>
        <v>0</v>
      </c>
      <c r="IZ460" s="89">
        <f t="shared" si="11677"/>
        <v>0</v>
      </c>
      <c r="JA460" s="89">
        <f>10486.37-6024.66</f>
        <v>4461.7100000000009</v>
      </c>
      <c r="JB460" s="89">
        <f t="shared" si="11678"/>
        <v>4461.7100000000009</v>
      </c>
      <c r="JC460" s="89">
        <f t="shared" si="11679"/>
        <v>4461.7100000000009</v>
      </c>
      <c r="JD460" s="89">
        <f>13118.87-10486.37</f>
        <v>2632.5</v>
      </c>
      <c r="JE460" s="89">
        <f t="shared" si="11680"/>
        <v>2632.5</v>
      </c>
      <c r="JF460" s="89">
        <f t="shared" si="11681"/>
        <v>2632.5</v>
      </c>
      <c r="JG460" s="89">
        <f>13673.95-13118.87</f>
        <v>555.07999999999993</v>
      </c>
      <c r="JH460" s="89">
        <f t="shared" si="11682"/>
        <v>555.07999999999993</v>
      </c>
      <c r="JI460" s="89">
        <f t="shared" si="11683"/>
        <v>555.07999999999993</v>
      </c>
      <c r="JJ460" s="89">
        <f>14923.95-13673.95</f>
        <v>1250</v>
      </c>
      <c r="JK460" s="89">
        <f t="shared" si="11684"/>
        <v>1250</v>
      </c>
      <c r="JL460" s="89">
        <f t="shared" si="11685"/>
        <v>1250</v>
      </c>
      <c r="JM460" s="89">
        <v>0</v>
      </c>
      <c r="JN460" s="89">
        <f t="shared" si="11686"/>
        <v>0</v>
      </c>
      <c r="JO460" s="89">
        <f t="shared" si="11687"/>
        <v>0</v>
      </c>
      <c r="JP460" s="89">
        <v>0</v>
      </c>
      <c r="JQ460" s="89">
        <f t="shared" ref="JQ460:JR460" si="11690">JP460</f>
        <v>0</v>
      </c>
      <c r="JR460" s="89">
        <f t="shared" si="11690"/>
        <v>0</v>
      </c>
      <c r="JS460" s="74">
        <f>HG460-IF460</f>
        <v>1865.0499999999993</v>
      </c>
      <c r="JT460" s="382">
        <f>GS460-IF460</f>
        <v>1865.0499999999993</v>
      </c>
      <c r="JU460" s="665"/>
      <c r="JV460" s="524"/>
      <c r="JW460" s="525"/>
      <c r="JX460" s="549">
        <f t="shared" si="11689"/>
        <v>16789</v>
      </c>
      <c r="JY460" s="549">
        <f t="shared" si="11689"/>
        <v>0</v>
      </c>
      <c r="JZ460" s="581">
        <f t="shared" si="11276"/>
        <v>0</v>
      </c>
      <c r="KA460" s="581">
        <f t="shared" si="11277"/>
        <v>-10911</v>
      </c>
      <c r="KB460" s="549">
        <f t="shared" si="11273"/>
        <v>16789</v>
      </c>
      <c r="KC460" s="709">
        <f t="shared" si="11275"/>
        <v>0</v>
      </c>
      <c r="KD460" s="36"/>
      <c r="KE460" s="36"/>
      <c r="KF460" s="36"/>
      <c r="KG460" s="36"/>
      <c r="KH460" s="36"/>
      <c r="KI460" s="36"/>
      <c r="KJ460" s="36"/>
      <c r="KK460" s="36"/>
    </row>
    <row r="461" spans="1:297" s="8" customFormat="1" ht="12.75" hidden="1" customHeight="1">
      <c r="A461" s="86" t="s">
        <v>276</v>
      </c>
      <c r="B461" s="77" t="s">
        <v>151</v>
      </c>
      <c r="C461" s="74">
        <v>0</v>
      </c>
      <c r="D461" s="549">
        <v>0</v>
      </c>
      <c r="E461" s="675">
        <v>0</v>
      </c>
      <c r="F461" s="549">
        <v>0</v>
      </c>
      <c r="G461" s="675">
        <v>0</v>
      </c>
      <c r="H461" s="549">
        <v>0</v>
      </c>
      <c r="I461" s="675">
        <v>0</v>
      </c>
      <c r="J461" s="549">
        <v>0</v>
      </c>
      <c r="K461" s="675">
        <v>0</v>
      </c>
      <c r="L461" s="549">
        <v>0</v>
      </c>
      <c r="M461" s="675">
        <v>0</v>
      </c>
      <c r="N461" s="549">
        <v>0</v>
      </c>
      <c r="O461" s="675">
        <v>0</v>
      </c>
      <c r="P461" s="549">
        <v>0</v>
      </c>
      <c r="Q461" s="675">
        <v>0</v>
      </c>
      <c r="R461" s="549">
        <v>0</v>
      </c>
      <c r="S461" s="675">
        <v>0</v>
      </c>
      <c r="T461" s="549">
        <v>0</v>
      </c>
      <c r="U461" s="675">
        <v>0</v>
      </c>
      <c r="V461" s="549">
        <v>0</v>
      </c>
      <c r="W461" s="675">
        <v>0</v>
      </c>
      <c r="X461" s="549">
        <v>0</v>
      </c>
      <c r="Y461" s="675">
        <v>0</v>
      </c>
      <c r="Z461" s="549">
        <v>0</v>
      </c>
      <c r="AA461" s="675">
        <v>0</v>
      </c>
      <c r="AB461" s="549">
        <v>0</v>
      </c>
      <c r="AC461" s="675">
        <v>0</v>
      </c>
      <c r="AD461" s="549">
        <v>0</v>
      </c>
      <c r="AE461" s="675">
        <v>0</v>
      </c>
      <c r="AF461" s="549">
        <v>0</v>
      </c>
      <c r="AG461" s="675">
        <v>0</v>
      </c>
      <c r="AH461" s="549">
        <v>0</v>
      </c>
      <c r="AI461" s="675">
        <v>0</v>
      </c>
      <c r="AJ461" s="549">
        <v>0</v>
      </c>
      <c r="AK461" s="675">
        <v>0</v>
      </c>
      <c r="AL461" s="549">
        <v>0</v>
      </c>
      <c r="AM461" s="675">
        <v>0</v>
      </c>
      <c r="AN461" s="549">
        <v>0</v>
      </c>
      <c r="AO461" s="675">
        <v>0</v>
      </c>
      <c r="AP461" s="549">
        <v>0</v>
      </c>
      <c r="AQ461" s="675">
        <v>0</v>
      </c>
      <c r="AR461" s="549">
        <v>0</v>
      </c>
      <c r="AS461" s="675">
        <v>0</v>
      </c>
      <c r="AT461" s="549">
        <v>0</v>
      </c>
      <c r="AU461" s="675">
        <v>0</v>
      </c>
      <c r="AV461" s="549">
        <v>0</v>
      </c>
      <c r="AW461" s="675">
        <v>0</v>
      </c>
      <c r="AX461" s="549">
        <v>0</v>
      </c>
      <c r="AY461" s="675">
        <v>0</v>
      </c>
      <c r="AZ461" s="549">
        <v>0</v>
      </c>
      <c r="BA461" s="675">
        <v>0</v>
      </c>
      <c r="BB461" s="549">
        <v>0</v>
      </c>
      <c r="BC461" s="675">
        <v>0</v>
      </c>
      <c r="BD461" s="549">
        <v>0</v>
      </c>
      <c r="BE461" s="675">
        <v>0</v>
      </c>
      <c r="BF461" s="549">
        <v>0</v>
      </c>
      <c r="BG461" s="675">
        <v>0</v>
      </c>
      <c r="BH461" s="549">
        <v>0</v>
      </c>
      <c r="BI461" s="675">
        <v>0</v>
      </c>
      <c r="BJ461" s="549">
        <v>0</v>
      </c>
      <c r="BK461" s="675">
        <v>0</v>
      </c>
      <c r="BL461" s="549">
        <v>0</v>
      </c>
      <c r="BM461" s="675">
        <v>0</v>
      </c>
      <c r="BN461" s="549">
        <v>0</v>
      </c>
      <c r="BO461" s="675">
        <v>0</v>
      </c>
      <c r="BP461" s="549">
        <v>0</v>
      </c>
      <c r="BQ461" s="675">
        <v>0</v>
      </c>
      <c r="BR461" s="549">
        <v>0</v>
      </c>
      <c r="BS461" s="675">
        <v>0</v>
      </c>
      <c r="BT461" s="549">
        <v>0</v>
      </c>
      <c r="BU461" s="675">
        <v>0</v>
      </c>
      <c r="BV461" s="549">
        <v>0</v>
      </c>
      <c r="BW461" s="675">
        <v>0</v>
      </c>
      <c r="BX461" s="549">
        <v>0</v>
      </c>
      <c r="BY461" s="675">
        <v>0</v>
      </c>
      <c r="BZ461" s="549">
        <v>0</v>
      </c>
      <c r="CA461" s="675">
        <v>0</v>
      </c>
      <c r="CB461" s="549">
        <v>0</v>
      </c>
      <c r="CC461" s="675">
        <v>0</v>
      </c>
      <c r="CD461" s="549">
        <v>0</v>
      </c>
      <c r="CE461" s="675">
        <v>0</v>
      </c>
      <c r="CF461" s="549">
        <v>0</v>
      </c>
      <c r="CG461" s="675">
        <v>0</v>
      </c>
      <c r="CH461" s="549">
        <v>0</v>
      </c>
      <c r="CI461" s="675">
        <v>0</v>
      </c>
      <c r="CJ461" s="549">
        <v>0</v>
      </c>
      <c r="CK461" s="675">
        <v>0</v>
      </c>
      <c r="CL461" s="549">
        <v>0</v>
      </c>
      <c r="CM461" s="675">
        <v>0</v>
      </c>
      <c r="CN461" s="549">
        <v>0</v>
      </c>
      <c r="CO461" s="675">
        <v>0</v>
      </c>
      <c r="CP461" s="549">
        <v>0</v>
      </c>
      <c r="CQ461" s="675">
        <v>0</v>
      </c>
      <c r="CR461" s="549">
        <v>0</v>
      </c>
      <c r="CS461" s="675">
        <v>0</v>
      </c>
      <c r="CT461" s="549">
        <v>0</v>
      </c>
      <c r="CU461" s="675">
        <v>0</v>
      </c>
      <c r="CV461" s="549">
        <v>0</v>
      </c>
      <c r="CW461" s="675">
        <v>0</v>
      </c>
      <c r="CX461" s="549">
        <v>0</v>
      </c>
      <c r="CY461" s="675">
        <v>0</v>
      </c>
      <c r="CZ461" s="549">
        <v>0</v>
      </c>
      <c r="DA461" s="675">
        <v>0</v>
      </c>
      <c r="DB461" s="549">
        <v>0</v>
      </c>
      <c r="DC461" s="675">
        <v>0</v>
      </c>
      <c r="DD461" s="549">
        <v>0</v>
      </c>
      <c r="DE461" s="675">
        <v>0</v>
      </c>
      <c r="DF461" s="549">
        <v>0</v>
      </c>
      <c r="DG461" s="675">
        <v>0</v>
      </c>
      <c r="DH461" s="549">
        <v>0</v>
      </c>
      <c r="DI461" s="675">
        <v>0</v>
      </c>
      <c r="DJ461" s="549">
        <v>0</v>
      </c>
      <c r="DK461" s="675">
        <v>0</v>
      </c>
      <c r="DL461" s="549">
        <v>0</v>
      </c>
      <c r="DM461" s="675">
        <v>0</v>
      </c>
      <c r="DN461" s="549">
        <v>0</v>
      </c>
      <c r="DO461" s="675">
        <v>0</v>
      </c>
      <c r="DP461" s="549">
        <v>0</v>
      </c>
      <c r="DQ461" s="675">
        <v>0</v>
      </c>
      <c r="DR461" s="549">
        <v>0</v>
      </c>
      <c r="DS461" s="675">
        <v>0</v>
      </c>
      <c r="DT461" s="549">
        <v>0</v>
      </c>
      <c r="DU461" s="675">
        <v>0</v>
      </c>
      <c r="DV461" s="549">
        <v>0</v>
      </c>
      <c r="DW461" s="675">
        <v>0</v>
      </c>
      <c r="DX461" s="549">
        <v>0</v>
      </c>
      <c r="DY461" s="675">
        <v>0</v>
      </c>
      <c r="DZ461" s="549">
        <v>0</v>
      </c>
      <c r="EA461" s="675">
        <v>0</v>
      </c>
      <c r="EB461" s="549">
        <v>0</v>
      </c>
      <c r="EC461" s="675">
        <v>0</v>
      </c>
      <c r="ED461" s="549">
        <v>0</v>
      </c>
      <c r="EE461" s="675">
        <v>0</v>
      </c>
      <c r="EF461" s="549">
        <v>0</v>
      </c>
      <c r="EG461" s="675">
        <v>0</v>
      </c>
      <c r="EH461" s="549">
        <v>0</v>
      </c>
      <c r="EI461" s="675">
        <v>0</v>
      </c>
      <c r="EJ461" s="549">
        <v>0</v>
      </c>
      <c r="EK461" s="675">
        <v>0</v>
      </c>
      <c r="EL461" s="549">
        <v>0</v>
      </c>
      <c r="EM461" s="675">
        <v>0</v>
      </c>
      <c r="EN461" s="549">
        <v>0</v>
      </c>
      <c r="EO461" s="675">
        <v>0</v>
      </c>
      <c r="EP461" s="549">
        <v>0</v>
      </c>
      <c r="EQ461" s="675">
        <v>0</v>
      </c>
      <c r="ER461" s="549">
        <v>0</v>
      </c>
      <c r="ES461" s="675">
        <v>0</v>
      </c>
      <c r="ET461" s="549">
        <v>0</v>
      </c>
      <c r="EU461" s="675">
        <v>0</v>
      </c>
      <c r="EV461" s="549">
        <v>0</v>
      </c>
      <c r="EW461" s="675">
        <v>0</v>
      </c>
      <c r="EX461" s="549">
        <v>0</v>
      </c>
      <c r="EY461" s="675">
        <v>0</v>
      </c>
      <c r="EZ461" s="549">
        <v>0</v>
      </c>
      <c r="FA461" s="675">
        <v>0</v>
      </c>
      <c r="FB461" s="549">
        <v>0</v>
      </c>
      <c r="FC461" s="675">
        <v>0</v>
      </c>
      <c r="FD461" s="549">
        <v>0</v>
      </c>
      <c r="FE461" s="675">
        <v>0</v>
      </c>
      <c r="FF461" s="549">
        <v>0</v>
      </c>
      <c r="FG461" s="675">
        <v>0</v>
      </c>
      <c r="FH461" s="549">
        <v>0</v>
      </c>
      <c r="FI461" s="675">
        <v>0</v>
      </c>
      <c r="FJ461" s="549">
        <v>0</v>
      </c>
      <c r="FK461" s="675">
        <v>0</v>
      </c>
      <c r="FL461" s="549">
        <v>0</v>
      </c>
      <c r="FM461" s="675">
        <v>0</v>
      </c>
      <c r="FN461" s="549">
        <v>0</v>
      </c>
      <c r="FO461" s="675">
        <v>0</v>
      </c>
      <c r="FP461" s="549">
        <v>0</v>
      </c>
      <c r="FQ461" s="675">
        <v>0</v>
      </c>
      <c r="FR461" s="549">
        <v>0</v>
      </c>
      <c r="FS461" s="675">
        <v>0</v>
      </c>
      <c r="FT461" s="549">
        <v>0</v>
      </c>
      <c r="FU461" s="675">
        <v>0</v>
      </c>
      <c r="FV461" s="549">
        <v>0</v>
      </c>
      <c r="FW461" s="675">
        <v>0</v>
      </c>
      <c r="FX461" s="549">
        <v>0</v>
      </c>
      <c r="FY461" s="675">
        <v>0</v>
      </c>
      <c r="FZ461" s="549">
        <v>0</v>
      </c>
      <c r="GA461" s="675">
        <v>0</v>
      </c>
      <c r="GB461" s="549">
        <v>0</v>
      </c>
      <c r="GC461" s="675">
        <v>0</v>
      </c>
      <c r="GD461" s="549">
        <v>0</v>
      </c>
      <c r="GE461" s="675">
        <v>0</v>
      </c>
      <c r="GF461" s="549">
        <v>0</v>
      </c>
      <c r="GG461" s="675">
        <v>0</v>
      </c>
      <c r="GH461" s="549">
        <v>0</v>
      </c>
      <c r="GI461" s="675">
        <v>0</v>
      </c>
      <c r="GJ461" s="549">
        <v>0</v>
      </c>
      <c r="GK461" s="675">
        <v>0</v>
      </c>
      <c r="GL461" s="549">
        <v>0</v>
      </c>
      <c r="GM461" s="675">
        <v>0</v>
      </c>
      <c r="GN461" s="549">
        <v>0</v>
      </c>
      <c r="GO461" s="675">
        <v>0</v>
      </c>
      <c r="GP461" s="549">
        <f t="shared" si="11659"/>
        <v>0</v>
      </c>
      <c r="GQ461" s="675">
        <f t="shared" si="11660"/>
        <v>0</v>
      </c>
      <c r="GR461" s="74">
        <f>C461+GP461+GQ461</f>
        <v>0</v>
      </c>
      <c r="GS461" s="74">
        <f t="shared" si="11661"/>
        <v>0</v>
      </c>
      <c r="GT461" s="568">
        <f t="shared" si="11662"/>
        <v>0</v>
      </c>
      <c r="GU461" s="275"/>
      <c r="GV461" s="275"/>
      <c r="GW461" s="588"/>
      <c r="GX461" s="588"/>
      <c r="GY461" s="275"/>
      <c r="GZ461" s="275"/>
      <c r="HA461" s="275"/>
      <c r="HB461" s="275"/>
      <c r="HC461" s="275"/>
      <c r="HD461" s="275"/>
      <c r="HE461" s="275">
        <v>0</v>
      </c>
      <c r="HF461" s="275">
        <v>0</v>
      </c>
      <c r="HG461" s="74">
        <f>SUM(HH461:IE461)</f>
        <v>0</v>
      </c>
      <c r="HH461" s="89">
        <v>0</v>
      </c>
      <c r="HI461" s="817">
        <v>0</v>
      </c>
      <c r="HJ461" s="89">
        <v>0</v>
      </c>
      <c r="HK461" s="817">
        <v>0</v>
      </c>
      <c r="HL461" s="89">
        <v>0</v>
      </c>
      <c r="HM461" s="817">
        <v>0</v>
      </c>
      <c r="HN461" s="89">
        <v>0</v>
      </c>
      <c r="HO461" s="817">
        <v>0</v>
      </c>
      <c r="HP461" s="89">
        <v>0</v>
      </c>
      <c r="HQ461" s="817">
        <v>0</v>
      </c>
      <c r="HR461" s="89">
        <v>0</v>
      </c>
      <c r="HS461" s="817">
        <v>0</v>
      </c>
      <c r="HT461" s="89">
        <v>0</v>
      </c>
      <c r="HU461" s="817">
        <v>0</v>
      </c>
      <c r="HV461" s="89">
        <v>0</v>
      </c>
      <c r="HW461" s="817">
        <v>0</v>
      </c>
      <c r="HX461" s="89">
        <v>0</v>
      </c>
      <c r="HY461" s="817">
        <v>0</v>
      </c>
      <c r="HZ461" s="89">
        <v>0</v>
      </c>
      <c r="IA461" s="817">
        <v>0</v>
      </c>
      <c r="IB461" s="89">
        <v>0</v>
      </c>
      <c r="IC461" s="817">
        <v>0</v>
      </c>
      <c r="ID461" s="89">
        <v>0</v>
      </c>
      <c r="IE461" s="817">
        <v>0</v>
      </c>
      <c r="IF461" s="841">
        <f t="shared" si="11663"/>
        <v>0</v>
      </c>
      <c r="IG461" s="263">
        <f t="shared" si="11664"/>
        <v>0</v>
      </c>
      <c r="IH461" s="842">
        <f t="shared" si="11665"/>
        <v>0</v>
      </c>
      <c r="II461" s="89">
        <v>0</v>
      </c>
      <c r="IJ461" s="89">
        <f t="shared" si="11666"/>
        <v>0</v>
      </c>
      <c r="IK461" s="89">
        <f t="shared" si="11667"/>
        <v>0</v>
      </c>
      <c r="IL461" s="89">
        <v>0</v>
      </c>
      <c r="IM461" s="89">
        <f t="shared" si="11668"/>
        <v>0</v>
      </c>
      <c r="IN461" s="89">
        <f t="shared" si="11669"/>
        <v>0</v>
      </c>
      <c r="IO461" s="89">
        <v>0</v>
      </c>
      <c r="IP461" s="89">
        <f t="shared" si="11670"/>
        <v>0</v>
      </c>
      <c r="IQ461" s="89">
        <f t="shared" si="11671"/>
        <v>0</v>
      </c>
      <c r="IR461" s="89">
        <v>0</v>
      </c>
      <c r="IS461" s="89">
        <f t="shared" si="11672"/>
        <v>0</v>
      </c>
      <c r="IT461" s="89">
        <f t="shared" si="11673"/>
        <v>0</v>
      </c>
      <c r="IU461" s="89">
        <v>0</v>
      </c>
      <c r="IV461" s="89">
        <f t="shared" si="11674"/>
        <v>0</v>
      </c>
      <c r="IW461" s="89">
        <f t="shared" si="11675"/>
        <v>0</v>
      </c>
      <c r="IX461" s="89">
        <v>0</v>
      </c>
      <c r="IY461" s="89">
        <f t="shared" si="11676"/>
        <v>0</v>
      </c>
      <c r="IZ461" s="89">
        <f t="shared" si="11677"/>
        <v>0</v>
      </c>
      <c r="JA461" s="89">
        <v>0</v>
      </c>
      <c r="JB461" s="89">
        <f t="shared" si="11678"/>
        <v>0</v>
      </c>
      <c r="JC461" s="89">
        <f t="shared" si="11679"/>
        <v>0</v>
      </c>
      <c r="JD461" s="89">
        <v>0</v>
      </c>
      <c r="JE461" s="89">
        <f t="shared" si="11680"/>
        <v>0</v>
      </c>
      <c r="JF461" s="89">
        <f t="shared" si="11681"/>
        <v>0</v>
      </c>
      <c r="JG461" s="89">
        <v>0</v>
      </c>
      <c r="JH461" s="89">
        <f t="shared" si="11682"/>
        <v>0</v>
      </c>
      <c r="JI461" s="89">
        <f t="shared" si="11683"/>
        <v>0</v>
      </c>
      <c r="JJ461" s="89">
        <v>0</v>
      </c>
      <c r="JK461" s="89">
        <f t="shared" si="11684"/>
        <v>0</v>
      </c>
      <c r="JL461" s="89">
        <f t="shared" si="11685"/>
        <v>0</v>
      </c>
      <c r="JM461" s="89">
        <v>0</v>
      </c>
      <c r="JN461" s="89">
        <f t="shared" si="11686"/>
        <v>0</v>
      </c>
      <c r="JO461" s="89">
        <f t="shared" si="11687"/>
        <v>0</v>
      </c>
      <c r="JP461" s="89">
        <v>0</v>
      </c>
      <c r="JQ461" s="89">
        <f t="shared" ref="JQ461:JR461" si="11691">JP461</f>
        <v>0</v>
      </c>
      <c r="JR461" s="89">
        <f t="shared" si="11691"/>
        <v>0</v>
      </c>
      <c r="JS461" s="74">
        <f>HG461-IF461</f>
        <v>0</v>
      </c>
      <c r="JT461" s="382">
        <f>GS461-IF461</f>
        <v>0</v>
      </c>
      <c r="JU461" s="665"/>
      <c r="JV461" s="524"/>
      <c r="JW461" s="525"/>
      <c r="JX461" s="549">
        <f t="shared" si="11689"/>
        <v>0</v>
      </c>
      <c r="JY461" s="549">
        <f t="shared" si="11689"/>
        <v>0</v>
      </c>
      <c r="JZ461" s="581">
        <f t="shared" si="11276"/>
        <v>0</v>
      </c>
      <c r="KA461" s="581">
        <f t="shared" si="11277"/>
        <v>0</v>
      </c>
      <c r="KB461" s="549">
        <f t="shared" si="11273"/>
        <v>0</v>
      </c>
      <c r="KC461" s="709">
        <f t="shared" si="11275"/>
        <v>0</v>
      </c>
      <c r="KD461" s="36"/>
      <c r="KE461" s="36"/>
      <c r="KF461" s="36"/>
      <c r="KG461" s="36"/>
      <c r="KH461" s="36"/>
      <c r="KI461" s="36"/>
      <c r="KJ461" s="36"/>
      <c r="KK461" s="36"/>
    </row>
    <row r="462" spans="1:297" s="10" customFormat="1">
      <c r="A462" s="86" t="s">
        <v>277</v>
      </c>
      <c r="B462" s="77" t="s">
        <v>153</v>
      </c>
      <c r="C462" s="74">
        <v>9100</v>
      </c>
      <c r="D462" s="549">
        <v>0</v>
      </c>
      <c r="E462" s="675">
        <v>0</v>
      </c>
      <c r="F462" s="549">
        <v>0</v>
      </c>
      <c r="G462" s="675">
        <v>0</v>
      </c>
      <c r="H462" s="549">
        <v>0</v>
      </c>
      <c r="I462" s="675">
        <v>0</v>
      </c>
      <c r="J462" s="549">
        <v>0</v>
      </c>
      <c r="K462" s="675">
        <v>0</v>
      </c>
      <c r="L462" s="549">
        <v>0</v>
      </c>
      <c r="M462" s="675">
        <v>0</v>
      </c>
      <c r="N462" s="549">
        <v>0</v>
      </c>
      <c r="O462" s="675">
        <v>0</v>
      </c>
      <c r="P462" s="549">
        <v>0</v>
      </c>
      <c r="Q462" s="675">
        <v>0</v>
      </c>
      <c r="R462" s="549">
        <v>0</v>
      </c>
      <c r="S462" s="675">
        <v>0</v>
      </c>
      <c r="T462" s="549">
        <v>0</v>
      </c>
      <c r="U462" s="675">
        <v>0</v>
      </c>
      <c r="V462" s="549">
        <v>0</v>
      </c>
      <c r="W462" s="675">
        <v>0</v>
      </c>
      <c r="X462" s="549">
        <v>0</v>
      </c>
      <c r="Y462" s="675">
        <v>0</v>
      </c>
      <c r="Z462" s="549">
        <v>0</v>
      </c>
      <c r="AA462" s="675">
        <v>0</v>
      </c>
      <c r="AB462" s="549">
        <v>0</v>
      </c>
      <c r="AC462" s="675">
        <v>0</v>
      </c>
      <c r="AD462" s="549">
        <v>0</v>
      </c>
      <c r="AE462" s="675">
        <v>0</v>
      </c>
      <c r="AF462" s="549">
        <v>0</v>
      </c>
      <c r="AG462" s="675">
        <v>0</v>
      </c>
      <c r="AH462" s="549">
        <v>0</v>
      </c>
      <c r="AI462" s="675">
        <v>0</v>
      </c>
      <c r="AJ462" s="549">
        <v>0</v>
      </c>
      <c r="AK462" s="675">
        <v>0</v>
      </c>
      <c r="AL462" s="549">
        <v>0</v>
      </c>
      <c r="AM462" s="675">
        <v>0</v>
      </c>
      <c r="AN462" s="549">
        <v>0</v>
      </c>
      <c r="AO462" s="675">
        <v>0</v>
      </c>
      <c r="AP462" s="549">
        <v>0</v>
      </c>
      <c r="AQ462" s="675">
        <v>0</v>
      </c>
      <c r="AR462" s="549">
        <v>0</v>
      </c>
      <c r="AS462" s="675">
        <v>0</v>
      </c>
      <c r="AT462" s="549">
        <v>0</v>
      </c>
      <c r="AU462" s="675">
        <v>0</v>
      </c>
      <c r="AV462" s="549">
        <v>0</v>
      </c>
      <c r="AW462" s="675">
        <v>0</v>
      </c>
      <c r="AX462" s="549">
        <v>0</v>
      </c>
      <c r="AY462" s="675">
        <v>0</v>
      </c>
      <c r="AZ462" s="549">
        <v>0</v>
      </c>
      <c r="BA462" s="675">
        <v>0</v>
      </c>
      <c r="BB462" s="549">
        <v>0</v>
      </c>
      <c r="BC462" s="675">
        <v>0</v>
      </c>
      <c r="BD462" s="549">
        <v>0</v>
      </c>
      <c r="BE462" s="675">
        <v>0</v>
      </c>
      <c r="BF462" s="549">
        <v>4000</v>
      </c>
      <c r="BG462" s="675">
        <v>0</v>
      </c>
      <c r="BH462" s="549">
        <v>0</v>
      </c>
      <c r="BI462" s="675">
        <v>0</v>
      </c>
      <c r="BJ462" s="549">
        <v>0</v>
      </c>
      <c r="BK462" s="675">
        <v>0</v>
      </c>
      <c r="BL462" s="549">
        <v>0</v>
      </c>
      <c r="BM462" s="675">
        <v>0</v>
      </c>
      <c r="BN462" s="549">
        <v>0</v>
      </c>
      <c r="BO462" s="675">
        <v>0</v>
      </c>
      <c r="BP462" s="549">
        <v>5000</v>
      </c>
      <c r="BQ462" s="675">
        <v>0</v>
      </c>
      <c r="BR462" s="549">
        <v>0</v>
      </c>
      <c r="BS462" s="675">
        <v>0</v>
      </c>
      <c r="BT462" s="549">
        <v>0</v>
      </c>
      <c r="BU462" s="675">
        <v>0</v>
      </c>
      <c r="BV462" s="549">
        <v>0</v>
      </c>
      <c r="BW462" s="675">
        <v>0</v>
      </c>
      <c r="BX462" s="549">
        <v>0</v>
      </c>
      <c r="BY462" s="675">
        <v>0</v>
      </c>
      <c r="BZ462" s="549">
        <v>0</v>
      </c>
      <c r="CA462" s="675">
        <v>0</v>
      </c>
      <c r="CB462" s="549">
        <v>0</v>
      </c>
      <c r="CC462" s="675">
        <v>0</v>
      </c>
      <c r="CD462" s="549">
        <v>0</v>
      </c>
      <c r="CE462" s="675">
        <v>0</v>
      </c>
      <c r="CF462" s="549">
        <v>0</v>
      </c>
      <c r="CG462" s="675">
        <v>0</v>
      </c>
      <c r="CH462" s="549">
        <v>0</v>
      </c>
      <c r="CI462" s="675">
        <v>0</v>
      </c>
      <c r="CJ462" s="549">
        <v>0</v>
      </c>
      <c r="CK462" s="675">
        <v>0</v>
      </c>
      <c r="CL462" s="549">
        <v>0</v>
      </c>
      <c r="CM462" s="675">
        <v>0</v>
      </c>
      <c r="CN462" s="549">
        <v>0</v>
      </c>
      <c r="CO462" s="675">
        <v>0</v>
      </c>
      <c r="CP462" s="549">
        <v>0</v>
      </c>
      <c r="CQ462" s="675">
        <v>0</v>
      </c>
      <c r="CR462" s="549">
        <v>0</v>
      </c>
      <c r="CS462" s="675">
        <v>0</v>
      </c>
      <c r="CT462" s="549">
        <v>0</v>
      </c>
      <c r="CU462" s="675">
        <v>0</v>
      </c>
      <c r="CV462" s="549">
        <v>0</v>
      </c>
      <c r="CW462" s="675">
        <v>0</v>
      </c>
      <c r="CX462" s="549">
        <v>0</v>
      </c>
      <c r="CY462" s="675">
        <v>0</v>
      </c>
      <c r="CZ462" s="549">
        <v>0</v>
      </c>
      <c r="DA462" s="675">
        <v>0</v>
      </c>
      <c r="DB462" s="549">
        <v>0</v>
      </c>
      <c r="DC462" s="675">
        <v>0</v>
      </c>
      <c r="DD462" s="549">
        <v>0</v>
      </c>
      <c r="DE462" s="675">
        <v>0</v>
      </c>
      <c r="DF462" s="549">
        <v>0</v>
      </c>
      <c r="DG462" s="675">
        <v>0</v>
      </c>
      <c r="DH462" s="549">
        <v>3000</v>
      </c>
      <c r="DI462" s="675">
        <v>0</v>
      </c>
      <c r="DJ462" s="549">
        <v>0</v>
      </c>
      <c r="DK462" s="675">
        <v>0</v>
      </c>
      <c r="DL462" s="549">
        <v>0</v>
      </c>
      <c r="DM462" s="675">
        <v>0</v>
      </c>
      <c r="DN462" s="549">
        <v>0</v>
      </c>
      <c r="DO462" s="675">
        <v>0</v>
      </c>
      <c r="DP462" s="549">
        <v>0</v>
      </c>
      <c r="DQ462" s="675">
        <v>0</v>
      </c>
      <c r="DR462" s="549">
        <v>0</v>
      </c>
      <c r="DS462" s="675">
        <v>0</v>
      </c>
      <c r="DT462" s="549">
        <v>0</v>
      </c>
      <c r="DU462" s="675">
        <v>0</v>
      </c>
      <c r="DV462" s="549">
        <v>0</v>
      </c>
      <c r="DW462" s="675">
        <v>0</v>
      </c>
      <c r="DX462" s="549">
        <v>0</v>
      </c>
      <c r="DY462" s="675">
        <v>0</v>
      </c>
      <c r="DZ462" s="549">
        <v>0</v>
      </c>
      <c r="EA462" s="675">
        <v>0</v>
      </c>
      <c r="EB462" s="549">
        <v>0</v>
      </c>
      <c r="EC462" s="675">
        <v>0</v>
      </c>
      <c r="ED462" s="549">
        <v>0</v>
      </c>
      <c r="EE462" s="675">
        <v>0</v>
      </c>
      <c r="EF462" s="549">
        <v>0</v>
      </c>
      <c r="EG462" s="675">
        <v>0</v>
      </c>
      <c r="EH462" s="549">
        <v>0</v>
      </c>
      <c r="EI462" s="675">
        <v>0</v>
      </c>
      <c r="EJ462" s="549">
        <v>0</v>
      </c>
      <c r="EK462" s="675">
        <v>0</v>
      </c>
      <c r="EL462" s="549">
        <v>0</v>
      </c>
      <c r="EM462" s="675">
        <v>0</v>
      </c>
      <c r="EN462" s="549">
        <v>0</v>
      </c>
      <c r="EO462" s="675">
        <v>0</v>
      </c>
      <c r="EP462" s="549">
        <v>0</v>
      </c>
      <c r="EQ462" s="675">
        <v>0</v>
      </c>
      <c r="ER462" s="549">
        <v>0</v>
      </c>
      <c r="ES462" s="675">
        <v>0</v>
      </c>
      <c r="ET462" s="549">
        <v>0</v>
      </c>
      <c r="EU462" s="675">
        <v>0</v>
      </c>
      <c r="EV462" s="549">
        <v>0</v>
      </c>
      <c r="EW462" s="675">
        <v>0</v>
      </c>
      <c r="EX462" s="549">
        <v>0</v>
      </c>
      <c r="EY462" s="675">
        <v>0</v>
      </c>
      <c r="EZ462" s="549">
        <v>0</v>
      </c>
      <c r="FA462" s="675">
        <v>0</v>
      </c>
      <c r="FB462" s="549">
        <v>0</v>
      </c>
      <c r="FC462" s="675">
        <v>0</v>
      </c>
      <c r="FD462" s="549">
        <v>0</v>
      </c>
      <c r="FE462" s="675">
        <v>0</v>
      </c>
      <c r="FF462" s="549">
        <v>0</v>
      </c>
      <c r="FG462" s="675">
        <v>0</v>
      </c>
      <c r="FH462" s="549">
        <v>0</v>
      </c>
      <c r="FI462" s="675">
        <v>0</v>
      </c>
      <c r="FJ462" s="549">
        <v>0</v>
      </c>
      <c r="FK462" s="675">
        <v>0</v>
      </c>
      <c r="FL462" s="549">
        <v>2000</v>
      </c>
      <c r="FM462" s="675">
        <v>0</v>
      </c>
      <c r="FN462" s="549">
        <v>0</v>
      </c>
      <c r="FO462" s="675">
        <v>0</v>
      </c>
      <c r="FP462" s="549">
        <v>0</v>
      </c>
      <c r="FQ462" s="675">
        <v>0</v>
      </c>
      <c r="FR462" s="549">
        <v>0</v>
      </c>
      <c r="FS462" s="675">
        <v>0</v>
      </c>
      <c r="FT462" s="549">
        <v>0</v>
      </c>
      <c r="FU462" s="675">
        <v>0</v>
      </c>
      <c r="FV462" s="549">
        <v>0</v>
      </c>
      <c r="FW462" s="675">
        <v>0</v>
      </c>
      <c r="FX462" s="549">
        <v>0</v>
      </c>
      <c r="FY462" s="675">
        <v>0</v>
      </c>
      <c r="FZ462" s="549">
        <v>0</v>
      </c>
      <c r="GA462" s="675">
        <v>0</v>
      </c>
      <c r="GB462" s="549">
        <v>0</v>
      </c>
      <c r="GC462" s="675">
        <v>0</v>
      </c>
      <c r="GD462" s="549">
        <v>0</v>
      </c>
      <c r="GE462" s="675">
        <v>0</v>
      </c>
      <c r="GF462" s="549">
        <v>0</v>
      </c>
      <c r="GG462" s="675">
        <v>0</v>
      </c>
      <c r="GH462" s="549">
        <v>0</v>
      </c>
      <c r="GI462" s="675">
        <v>0</v>
      </c>
      <c r="GJ462" s="549">
        <v>0</v>
      </c>
      <c r="GK462" s="675">
        <v>0</v>
      </c>
      <c r="GL462" s="549">
        <v>0</v>
      </c>
      <c r="GM462" s="675">
        <v>0</v>
      </c>
      <c r="GN462" s="549">
        <v>0</v>
      </c>
      <c r="GO462" s="675">
        <v>0</v>
      </c>
      <c r="GP462" s="549">
        <f t="shared" si="11659"/>
        <v>14000</v>
      </c>
      <c r="GQ462" s="675">
        <f t="shared" si="11660"/>
        <v>0</v>
      </c>
      <c r="GR462" s="74">
        <f>C462+GP462+GQ462</f>
        <v>23100</v>
      </c>
      <c r="GS462" s="74">
        <f t="shared" si="11661"/>
        <v>23100</v>
      </c>
      <c r="GT462" s="568">
        <f t="shared" si="11662"/>
        <v>23100</v>
      </c>
      <c r="GU462" s="275">
        <v>1100</v>
      </c>
      <c r="GV462" s="275">
        <v>1000</v>
      </c>
      <c r="GW462" s="275">
        <v>1000</v>
      </c>
      <c r="GX462" s="275">
        <v>1000</v>
      </c>
      <c r="GY462" s="275">
        <v>1000</v>
      </c>
      <c r="GZ462" s="275">
        <v>1000</v>
      </c>
      <c r="HA462" s="275">
        <v>1000</v>
      </c>
      <c r="HB462" s="275">
        <v>1000</v>
      </c>
      <c r="HC462" s="275">
        <v>1000</v>
      </c>
      <c r="HD462" s="275"/>
      <c r="HE462" s="275">
        <v>0</v>
      </c>
      <c r="HF462" s="275">
        <v>0</v>
      </c>
      <c r="HG462" s="74">
        <f>SUM(HH462:IE462)</f>
        <v>23100</v>
      </c>
      <c r="HH462" s="89">
        <v>1100</v>
      </c>
      <c r="HI462" s="817">
        <v>0</v>
      </c>
      <c r="HJ462" s="89">
        <v>1000</v>
      </c>
      <c r="HK462" s="817">
        <v>0</v>
      </c>
      <c r="HL462" s="89">
        <v>1000</v>
      </c>
      <c r="HM462" s="817">
        <v>0</v>
      </c>
      <c r="HN462" s="89">
        <v>1000</v>
      </c>
      <c r="HO462" s="817">
        <v>0</v>
      </c>
      <c r="HP462" s="89">
        <v>5000</v>
      </c>
      <c r="HQ462" s="817">
        <v>0</v>
      </c>
      <c r="HR462" s="89">
        <v>1000</v>
      </c>
      <c r="HS462" s="817">
        <v>0</v>
      </c>
      <c r="HT462" s="89">
        <v>5000</v>
      </c>
      <c r="HU462" s="817">
        <v>0</v>
      </c>
      <c r="HV462" s="89">
        <v>5000</v>
      </c>
      <c r="HW462" s="817">
        <v>0</v>
      </c>
      <c r="HX462" s="89">
        <v>1000</v>
      </c>
      <c r="HY462" s="817">
        <v>0</v>
      </c>
      <c r="HZ462" s="89">
        <v>2000</v>
      </c>
      <c r="IA462" s="817">
        <v>0</v>
      </c>
      <c r="IB462" s="89">
        <v>0</v>
      </c>
      <c r="IC462" s="817">
        <v>0</v>
      </c>
      <c r="ID462" s="89">
        <v>0</v>
      </c>
      <c r="IE462" s="817">
        <v>0</v>
      </c>
      <c r="IF462" s="841">
        <f t="shared" si="11663"/>
        <v>21770.7</v>
      </c>
      <c r="IG462" s="263">
        <f t="shared" si="11664"/>
        <v>21770.7</v>
      </c>
      <c r="IH462" s="842">
        <f t="shared" si="11665"/>
        <v>21770.7</v>
      </c>
      <c r="II462" s="89">
        <v>2.4</v>
      </c>
      <c r="IJ462" s="89">
        <f t="shared" si="11666"/>
        <v>2.4</v>
      </c>
      <c r="IK462" s="89">
        <f t="shared" si="11667"/>
        <v>2.4</v>
      </c>
      <c r="IL462" s="89">
        <f>308.39-2.4</f>
        <v>305.99</v>
      </c>
      <c r="IM462" s="89">
        <f t="shared" si="11668"/>
        <v>305.99</v>
      </c>
      <c r="IN462" s="89">
        <f t="shared" si="11669"/>
        <v>305.99</v>
      </c>
      <c r="IO462" s="89">
        <f>441.59-308.39</f>
        <v>133.19999999999999</v>
      </c>
      <c r="IP462" s="89">
        <f t="shared" si="11670"/>
        <v>133.19999999999999</v>
      </c>
      <c r="IQ462" s="89">
        <f t="shared" si="11671"/>
        <v>133.19999999999999</v>
      </c>
      <c r="IR462" s="89">
        <f>1393.91-441.59</f>
        <v>952.32000000000016</v>
      </c>
      <c r="IS462" s="89">
        <f t="shared" si="11672"/>
        <v>952.32000000000016</v>
      </c>
      <c r="IT462" s="89">
        <f t="shared" si="11673"/>
        <v>952.32000000000016</v>
      </c>
      <c r="IU462" s="89">
        <f>4508.67-1393.91</f>
        <v>3114.76</v>
      </c>
      <c r="IV462" s="89">
        <f t="shared" si="11674"/>
        <v>3114.76</v>
      </c>
      <c r="IW462" s="89">
        <f t="shared" si="11675"/>
        <v>3114.76</v>
      </c>
      <c r="IX462" s="89">
        <f>6959.49-4508.67</f>
        <v>2450.8199999999997</v>
      </c>
      <c r="IY462" s="89">
        <f t="shared" si="11676"/>
        <v>2450.8199999999997</v>
      </c>
      <c r="IZ462" s="89">
        <f t="shared" si="11677"/>
        <v>2450.8199999999997</v>
      </c>
      <c r="JA462" s="89">
        <f>10955.49-6959.49</f>
        <v>3996</v>
      </c>
      <c r="JB462" s="89">
        <f t="shared" si="11678"/>
        <v>3996</v>
      </c>
      <c r="JC462" s="89">
        <f t="shared" si="11679"/>
        <v>3996</v>
      </c>
      <c r="JD462" s="89">
        <f>17456.94-10955.49</f>
        <v>6501.4499999999989</v>
      </c>
      <c r="JE462" s="89">
        <f t="shared" si="11680"/>
        <v>6501.4499999999989</v>
      </c>
      <c r="JF462" s="89">
        <f t="shared" si="11681"/>
        <v>6501.4499999999989</v>
      </c>
      <c r="JG462" s="89">
        <f>18365.7-17456.94</f>
        <v>908.76000000000204</v>
      </c>
      <c r="JH462" s="89">
        <f t="shared" si="11682"/>
        <v>908.76000000000204</v>
      </c>
      <c r="JI462" s="89">
        <f t="shared" si="11683"/>
        <v>908.76000000000204</v>
      </c>
      <c r="JJ462" s="89">
        <f>21770.7-18365.7</f>
        <v>3405</v>
      </c>
      <c r="JK462" s="89">
        <f t="shared" si="11684"/>
        <v>3405</v>
      </c>
      <c r="JL462" s="89">
        <f t="shared" si="11685"/>
        <v>3405</v>
      </c>
      <c r="JM462" s="89">
        <v>0</v>
      </c>
      <c r="JN462" s="89">
        <f t="shared" si="11686"/>
        <v>0</v>
      </c>
      <c r="JO462" s="89">
        <f t="shared" si="11687"/>
        <v>0</v>
      </c>
      <c r="JP462" s="89">
        <v>0</v>
      </c>
      <c r="JQ462" s="89">
        <f t="shared" ref="JQ462:JR462" si="11692">JP462</f>
        <v>0</v>
      </c>
      <c r="JR462" s="89">
        <f t="shared" si="11692"/>
        <v>0</v>
      </c>
      <c r="JS462" s="74">
        <f>HG462-IF462</f>
        <v>1329.2999999999993</v>
      </c>
      <c r="JT462" s="382">
        <f>GS462-IF462</f>
        <v>1329.2999999999993</v>
      </c>
      <c r="JU462" s="665"/>
      <c r="JV462" s="524"/>
      <c r="JW462" s="525"/>
      <c r="JX462" s="549">
        <f t="shared" si="11689"/>
        <v>23100</v>
      </c>
      <c r="JY462" s="549">
        <f t="shared" si="11689"/>
        <v>0</v>
      </c>
      <c r="JZ462" s="581">
        <f t="shared" si="11276"/>
        <v>14000</v>
      </c>
      <c r="KA462" s="581">
        <f t="shared" si="11277"/>
        <v>0</v>
      </c>
      <c r="KB462" s="549">
        <f t="shared" si="11273"/>
        <v>23100</v>
      </c>
      <c r="KC462" s="709">
        <f t="shared" si="11275"/>
        <v>0</v>
      </c>
      <c r="KD462" s="36"/>
      <c r="KE462" s="36"/>
      <c r="KF462" s="36"/>
      <c r="KG462" s="36"/>
      <c r="KH462" s="36"/>
      <c r="KI462" s="36"/>
      <c r="KJ462" s="36"/>
      <c r="KK462" s="36"/>
    </row>
    <row r="463" spans="1:297" s="10" customFormat="1">
      <c r="A463" s="86"/>
      <c r="B463" s="77"/>
      <c r="C463" s="74"/>
      <c r="D463" s="549"/>
      <c r="E463" s="675"/>
      <c r="F463" s="549"/>
      <c r="G463" s="675"/>
      <c r="H463" s="549"/>
      <c r="I463" s="675"/>
      <c r="J463" s="549"/>
      <c r="K463" s="675"/>
      <c r="L463" s="549"/>
      <c r="M463" s="675"/>
      <c r="N463" s="549"/>
      <c r="O463" s="675"/>
      <c r="P463" s="549"/>
      <c r="Q463" s="675"/>
      <c r="R463" s="549"/>
      <c r="S463" s="675"/>
      <c r="T463" s="549"/>
      <c r="U463" s="675"/>
      <c r="V463" s="549"/>
      <c r="W463" s="675"/>
      <c r="X463" s="549"/>
      <c r="Y463" s="675"/>
      <c r="Z463" s="549"/>
      <c r="AA463" s="675"/>
      <c r="AB463" s="549"/>
      <c r="AC463" s="675"/>
      <c r="AD463" s="549"/>
      <c r="AE463" s="675"/>
      <c r="AF463" s="549"/>
      <c r="AG463" s="675"/>
      <c r="AH463" s="549"/>
      <c r="AI463" s="675"/>
      <c r="AJ463" s="549"/>
      <c r="AK463" s="675"/>
      <c r="AL463" s="549"/>
      <c r="AM463" s="675"/>
      <c r="AN463" s="549"/>
      <c r="AO463" s="675"/>
      <c r="AP463" s="549"/>
      <c r="AQ463" s="675"/>
      <c r="AR463" s="549"/>
      <c r="AS463" s="675"/>
      <c r="AT463" s="549"/>
      <c r="AU463" s="675"/>
      <c r="AV463" s="549"/>
      <c r="AW463" s="675"/>
      <c r="AX463" s="549"/>
      <c r="AY463" s="675"/>
      <c r="AZ463" s="549"/>
      <c r="BA463" s="675"/>
      <c r="BB463" s="549"/>
      <c r="BC463" s="675"/>
      <c r="BD463" s="549"/>
      <c r="BE463" s="675"/>
      <c r="BF463" s="549"/>
      <c r="BG463" s="675"/>
      <c r="BH463" s="549"/>
      <c r="BI463" s="675"/>
      <c r="BJ463" s="549"/>
      <c r="BK463" s="675"/>
      <c r="BL463" s="549"/>
      <c r="BM463" s="675"/>
      <c r="BN463" s="549"/>
      <c r="BO463" s="675"/>
      <c r="BP463" s="549"/>
      <c r="BQ463" s="675"/>
      <c r="BR463" s="549"/>
      <c r="BS463" s="675"/>
      <c r="BT463" s="549"/>
      <c r="BU463" s="675"/>
      <c r="BV463" s="549"/>
      <c r="BW463" s="675"/>
      <c r="BX463" s="549"/>
      <c r="BY463" s="675"/>
      <c r="BZ463" s="549"/>
      <c r="CA463" s="675"/>
      <c r="CB463" s="549"/>
      <c r="CC463" s="675"/>
      <c r="CD463" s="549"/>
      <c r="CE463" s="675"/>
      <c r="CF463" s="549"/>
      <c r="CG463" s="675"/>
      <c r="CH463" s="549"/>
      <c r="CI463" s="675"/>
      <c r="CJ463" s="549"/>
      <c r="CK463" s="675"/>
      <c r="CL463" s="549"/>
      <c r="CM463" s="675"/>
      <c r="CN463" s="549"/>
      <c r="CO463" s="675"/>
      <c r="CP463" s="549"/>
      <c r="CQ463" s="675"/>
      <c r="CR463" s="549"/>
      <c r="CS463" s="675"/>
      <c r="CT463" s="549"/>
      <c r="CU463" s="675"/>
      <c r="CV463" s="549"/>
      <c r="CW463" s="675"/>
      <c r="CX463" s="549"/>
      <c r="CY463" s="675"/>
      <c r="CZ463" s="549"/>
      <c r="DA463" s="675"/>
      <c r="DB463" s="549"/>
      <c r="DC463" s="675"/>
      <c r="DD463" s="549"/>
      <c r="DE463" s="675"/>
      <c r="DF463" s="549"/>
      <c r="DG463" s="675"/>
      <c r="DH463" s="549"/>
      <c r="DI463" s="675"/>
      <c r="DJ463" s="549"/>
      <c r="DK463" s="675"/>
      <c r="DL463" s="549"/>
      <c r="DM463" s="675"/>
      <c r="DN463" s="549"/>
      <c r="DO463" s="675"/>
      <c r="DP463" s="549"/>
      <c r="DQ463" s="675"/>
      <c r="DR463" s="549"/>
      <c r="DS463" s="675"/>
      <c r="DT463" s="549"/>
      <c r="DU463" s="675"/>
      <c r="DV463" s="549"/>
      <c r="DW463" s="675"/>
      <c r="DX463" s="549"/>
      <c r="DY463" s="675"/>
      <c r="DZ463" s="549"/>
      <c r="EA463" s="675"/>
      <c r="EB463" s="549"/>
      <c r="EC463" s="675"/>
      <c r="ED463" s="549"/>
      <c r="EE463" s="675"/>
      <c r="EF463" s="549"/>
      <c r="EG463" s="675"/>
      <c r="EH463" s="549"/>
      <c r="EI463" s="675"/>
      <c r="EJ463" s="549"/>
      <c r="EK463" s="675"/>
      <c r="EL463" s="549"/>
      <c r="EM463" s="675"/>
      <c r="EN463" s="549"/>
      <c r="EO463" s="675"/>
      <c r="EP463" s="549"/>
      <c r="EQ463" s="675"/>
      <c r="ER463" s="549"/>
      <c r="ES463" s="675"/>
      <c r="ET463" s="549"/>
      <c r="EU463" s="675"/>
      <c r="EV463" s="549"/>
      <c r="EW463" s="675"/>
      <c r="EX463" s="549"/>
      <c r="EY463" s="675"/>
      <c r="EZ463" s="549"/>
      <c r="FA463" s="675"/>
      <c r="FB463" s="549"/>
      <c r="FC463" s="675"/>
      <c r="FD463" s="549"/>
      <c r="FE463" s="675"/>
      <c r="FF463" s="549"/>
      <c r="FG463" s="675"/>
      <c r="FH463" s="549"/>
      <c r="FI463" s="675"/>
      <c r="FJ463" s="549"/>
      <c r="FK463" s="675"/>
      <c r="FL463" s="549"/>
      <c r="FM463" s="675"/>
      <c r="FN463" s="549"/>
      <c r="FO463" s="675"/>
      <c r="FP463" s="549"/>
      <c r="FQ463" s="675"/>
      <c r="FR463" s="549"/>
      <c r="FS463" s="675"/>
      <c r="FT463" s="549"/>
      <c r="FU463" s="675"/>
      <c r="FV463" s="549"/>
      <c r="FW463" s="675"/>
      <c r="FX463" s="549"/>
      <c r="FY463" s="675"/>
      <c r="FZ463" s="549"/>
      <c r="GA463" s="675"/>
      <c r="GB463" s="549"/>
      <c r="GC463" s="675"/>
      <c r="GD463" s="549"/>
      <c r="GE463" s="675"/>
      <c r="GF463" s="549"/>
      <c r="GG463" s="675"/>
      <c r="GH463" s="549"/>
      <c r="GI463" s="675"/>
      <c r="GJ463" s="549"/>
      <c r="GK463" s="675"/>
      <c r="GL463" s="549"/>
      <c r="GM463" s="675"/>
      <c r="GN463" s="549"/>
      <c r="GO463" s="675"/>
      <c r="GP463" s="549"/>
      <c r="GQ463" s="675"/>
      <c r="GR463" s="74"/>
      <c r="GS463" s="74"/>
      <c r="GT463" s="549"/>
      <c r="GU463" s="73"/>
      <c r="GV463" s="73"/>
      <c r="GW463" s="549"/>
      <c r="GX463" s="549"/>
      <c r="GY463" s="73"/>
      <c r="GZ463" s="73"/>
      <c r="HA463" s="73"/>
      <c r="HB463" s="73"/>
      <c r="HC463" s="73"/>
      <c r="HD463" s="73"/>
      <c r="HE463" s="73"/>
      <c r="HF463" s="73"/>
      <c r="HG463" s="74"/>
      <c r="HH463" s="73"/>
      <c r="HI463" s="815"/>
      <c r="HJ463" s="73"/>
      <c r="HK463" s="815"/>
      <c r="HL463" s="73"/>
      <c r="HM463" s="815"/>
      <c r="HN463" s="73"/>
      <c r="HO463" s="815"/>
      <c r="HP463" s="73"/>
      <c r="HQ463" s="815"/>
      <c r="HR463" s="73"/>
      <c r="HS463" s="815"/>
      <c r="HT463" s="73"/>
      <c r="HU463" s="815"/>
      <c r="HV463" s="73"/>
      <c r="HW463" s="815"/>
      <c r="HX463" s="73"/>
      <c r="HY463" s="815"/>
      <c r="HZ463" s="73"/>
      <c r="IA463" s="815"/>
      <c r="IB463" s="73"/>
      <c r="IC463" s="815"/>
      <c r="ID463" s="73"/>
      <c r="IE463" s="815"/>
      <c r="IF463" s="841"/>
      <c r="IG463" s="263"/>
      <c r="IH463" s="842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  <c r="JD463" s="73"/>
      <c r="JE463" s="73"/>
      <c r="JF463" s="73"/>
      <c r="JG463" s="73"/>
      <c r="JH463" s="73"/>
      <c r="JI463" s="73"/>
      <c r="JJ463" s="73"/>
      <c r="JK463" s="73"/>
      <c r="JL463" s="73"/>
      <c r="JM463" s="73"/>
      <c r="JN463" s="73"/>
      <c r="JO463" s="73"/>
      <c r="JP463" s="73"/>
      <c r="JQ463" s="73"/>
      <c r="JR463" s="73"/>
      <c r="JS463" s="74"/>
      <c r="JT463" s="382"/>
      <c r="JU463" s="665"/>
      <c r="JV463" s="524"/>
      <c r="JW463" s="525"/>
      <c r="JX463" s="549"/>
      <c r="JY463" s="549"/>
      <c r="JZ463" s="581">
        <f t="shared" si="11276"/>
        <v>0</v>
      </c>
      <c r="KA463" s="581">
        <f t="shared" si="11277"/>
        <v>0</v>
      </c>
      <c r="KB463" s="549">
        <f t="shared" si="11273"/>
        <v>0</v>
      </c>
      <c r="KC463" s="709">
        <f t="shared" si="11275"/>
        <v>0</v>
      </c>
      <c r="KD463" s="36"/>
      <c r="KE463" s="36"/>
      <c r="KF463" s="36"/>
      <c r="KG463" s="36"/>
      <c r="KH463" s="36"/>
      <c r="KI463" s="36"/>
      <c r="KJ463" s="36"/>
      <c r="KK463" s="36"/>
    </row>
    <row r="464" spans="1:297" s="8" customFormat="1">
      <c r="A464" s="80" t="s">
        <v>278</v>
      </c>
      <c r="B464" s="72" t="s">
        <v>155</v>
      </c>
      <c r="C464" s="74">
        <f>SUM(C465:C470)</f>
        <v>30000</v>
      </c>
      <c r="D464" s="549">
        <f t="shared" ref="D464:E464" si="11693">SUM(D465:D470)</f>
        <v>0</v>
      </c>
      <c r="E464" s="675">
        <f t="shared" si="11693"/>
        <v>0</v>
      </c>
      <c r="F464" s="549">
        <f t="shared" ref="F464:G464" si="11694">SUM(F465:F470)</f>
        <v>0</v>
      </c>
      <c r="G464" s="675">
        <f t="shared" si="11694"/>
        <v>0</v>
      </c>
      <c r="H464" s="549">
        <f t="shared" ref="H464:AM464" si="11695">SUM(H465:H470)</f>
        <v>0</v>
      </c>
      <c r="I464" s="675">
        <f t="shared" si="11695"/>
        <v>0</v>
      </c>
      <c r="J464" s="549">
        <f t="shared" si="11695"/>
        <v>0</v>
      </c>
      <c r="K464" s="675">
        <f t="shared" si="11695"/>
        <v>0</v>
      </c>
      <c r="L464" s="549">
        <f t="shared" si="11695"/>
        <v>0</v>
      </c>
      <c r="M464" s="675">
        <f t="shared" si="11695"/>
        <v>0</v>
      </c>
      <c r="N464" s="549">
        <f t="shared" si="11695"/>
        <v>0</v>
      </c>
      <c r="O464" s="675">
        <f t="shared" si="11695"/>
        <v>0</v>
      </c>
      <c r="P464" s="549">
        <f t="shared" si="11695"/>
        <v>0</v>
      </c>
      <c r="Q464" s="675">
        <f t="shared" si="11695"/>
        <v>0</v>
      </c>
      <c r="R464" s="549">
        <f t="shared" si="11695"/>
        <v>0</v>
      </c>
      <c r="S464" s="675">
        <f t="shared" si="11695"/>
        <v>0</v>
      </c>
      <c r="T464" s="549">
        <f t="shared" si="11695"/>
        <v>0</v>
      </c>
      <c r="U464" s="675">
        <f t="shared" si="11695"/>
        <v>0</v>
      </c>
      <c r="V464" s="549">
        <f t="shared" si="11695"/>
        <v>0</v>
      </c>
      <c r="W464" s="675">
        <f t="shared" si="11695"/>
        <v>0</v>
      </c>
      <c r="X464" s="549">
        <f t="shared" si="11695"/>
        <v>0</v>
      </c>
      <c r="Y464" s="675">
        <f t="shared" si="11695"/>
        <v>0</v>
      </c>
      <c r="Z464" s="549">
        <f t="shared" si="11695"/>
        <v>0</v>
      </c>
      <c r="AA464" s="675">
        <f t="shared" si="11695"/>
        <v>0</v>
      </c>
      <c r="AB464" s="549">
        <f t="shared" si="11695"/>
        <v>0</v>
      </c>
      <c r="AC464" s="675">
        <f t="shared" si="11695"/>
        <v>0</v>
      </c>
      <c r="AD464" s="549">
        <f t="shared" ref="AD464:AK464" si="11696">SUM(AD465:AD470)</f>
        <v>0</v>
      </c>
      <c r="AE464" s="675">
        <f t="shared" si="11696"/>
        <v>-1000</v>
      </c>
      <c r="AF464" s="549">
        <f t="shared" si="11696"/>
        <v>0</v>
      </c>
      <c r="AG464" s="675">
        <f t="shared" si="11696"/>
        <v>0</v>
      </c>
      <c r="AH464" s="549">
        <f t="shared" si="11696"/>
        <v>0</v>
      </c>
      <c r="AI464" s="675">
        <f t="shared" si="11696"/>
        <v>0</v>
      </c>
      <c r="AJ464" s="549">
        <f t="shared" si="11696"/>
        <v>0</v>
      </c>
      <c r="AK464" s="675">
        <f t="shared" si="11696"/>
        <v>0</v>
      </c>
      <c r="AL464" s="549">
        <f t="shared" si="11695"/>
        <v>0</v>
      </c>
      <c r="AM464" s="675">
        <f t="shared" si="11695"/>
        <v>0</v>
      </c>
      <c r="AN464" s="549">
        <f t="shared" ref="AN464:AS464" si="11697">SUM(AN465:AN470)</f>
        <v>0</v>
      </c>
      <c r="AO464" s="675">
        <f t="shared" si="11697"/>
        <v>0</v>
      </c>
      <c r="AP464" s="549">
        <f t="shared" si="11697"/>
        <v>0</v>
      </c>
      <c r="AQ464" s="675">
        <f t="shared" si="11697"/>
        <v>0</v>
      </c>
      <c r="AR464" s="549">
        <f t="shared" si="11697"/>
        <v>0</v>
      </c>
      <c r="AS464" s="675">
        <f t="shared" si="11697"/>
        <v>0</v>
      </c>
      <c r="AT464" s="549">
        <f t="shared" ref="AT464:AU464" si="11698">SUM(AT465:AT470)</f>
        <v>0</v>
      </c>
      <c r="AU464" s="675">
        <f t="shared" si="11698"/>
        <v>0</v>
      </c>
      <c r="AV464" s="549">
        <f t="shared" ref="AV464:AW464" si="11699">SUM(AV465:AV470)</f>
        <v>0</v>
      </c>
      <c r="AW464" s="675">
        <f t="shared" si="11699"/>
        <v>0</v>
      </c>
      <c r="AX464" s="549">
        <f t="shared" ref="AX464:AY464" si="11700">SUM(AX465:AX470)</f>
        <v>0</v>
      </c>
      <c r="AY464" s="675">
        <f t="shared" si="11700"/>
        <v>0</v>
      </c>
      <c r="AZ464" s="549">
        <f t="shared" ref="AZ464:BA464" si="11701">SUM(AZ465:AZ470)</f>
        <v>0</v>
      </c>
      <c r="BA464" s="675">
        <f t="shared" si="11701"/>
        <v>-1000</v>
      </c>
      <c r="BB464" s="549">
        <f t="shared" ref="BB464:BC464" si="11702">SUM(BB465:BB470)</f>
        <v>0</v>
      </c>
      <c r="BC464" s="675">
        <f t="shared" si="11702"/>
        <v>0</v>
      </c>
      <c r="BD464" s="549">
        <f t="shared" ref="BD464:BE464" si="11703">SUM(BD465:BD470)</f>
        <v>0</v>
      </c>
      <c r="BE464" s="675">
        <f t="shared" si="11703"/>
        <v>0</v>
      </c>
      <c r="BF464" s="549">
        <f t="shared" ref="BF464:BG464" si="11704">SUM(BF465:BF470)</f>
        <v>0</v>
      </c>
      <c r="BG464" s="675">
        <f t="shared" si="11704"/>
        <v>0</v>
      </c>
      <c r="BH464" s="549">
        <f t="shared" ref="BH464:BI464" si="11705">SUM(BH465:BH470)</f>
        <v>0</v>
      </c>
      <c r="BI464" s="675">
        <f t="shared" si="11705"/>
        <v>0</v>
      </c>
      <c r="BJ464" s="549">
        <f t="shared" ref="BJ464:BK464" si="11706">SUM(BJ465:BJ470)</f>
        <v>0</v>
      </c>
      <c r="BK464" s="675">
        <f t="shared" si="11706"/>
        <v>0</v>
      </c>
      <c r="BL464" s="549">
        <f t="shared" ref="BL464:BS464" si="11707">SUM(BL465:BL470)</f>
        <v>0</v>
      </c>
      <c r="BM464" s="675">
        <f t="shared" si="11707"/>
        <v>0</v>
      </c>
      <c r="BN464" s="549">
        <f t="shared" si="11707"/>
        <v>0</v>
      </c>
      <c r="BO464" s="675">
        <f t="shared" si="11707"/>
        <v>0</v>
      </c>
      <c r="BP464" s="549">
        <f t="shared" si="11707"/>
        <v>0</v>
      </c>
      <c r="BQ464" s="675">
        <f t="shared" si="11707"/>
        <v>0</v>
      </c>
      <c r="BR464" s="549">
        <f t="shared" si="11707"/>
        <v>0</v>
      </c>
      <c r="BS464" s="675">
        <f t="shared" si="11707"/>
        <v>0</v>
      </c>
      <c r="BT464" s="549">
        <f t="shared" ref="BT464:BU464" si="11708">SUM(BT465:BT470)</f>
        <v>0</v>
      </c>
      <c r="BU464" s="675">
        <f t="shared" si="11708"/>
        <v>0</v>
      </c>
      <c r="BV464" s="549">
        <f t="shared" ref="BV464:BW464" si="11709">SUM(BV465:BV470)</f>
        <v>0</v>
      </c>
      <c r="BW464" s="675">
        <f t="shared" si="11709"/>
        <v>0</v>
      </c>
      <c r="BX464" s="549">
        <f t="shared" ref="BX464:BY464" si="11710">SUM(BX465:BX470)</f>
        <v>0</v>
      </c>
      <c r="BY464" s="675">
        <f t="shared" si="11710"/>
        <v>0</v>
      </c>
      <c r="BZ464" s="549">
        <f t="shared" ref="BZ464:CA464" si="11711">SUM(BZ465:BZ470)</f>
        <v>0</v>
      </c>
      <c r="CA464" s="675">
        <f t="shared" si="11711"/>
        <v>0</v>
      </c>
      <c r="CB464" s="549">
        <f t="shared" ref="CB464:CE464" si="11712">SUM(CB465:CB470)</f>
        <v>0</v>
      </c>
      <c r="CC464" s="675">
        <f t="shared" si="11712"/>
        <v>0</v>
      </c>
      <c r="CD464" s="549">
        <f t="shared" si="11712"/>
        <v>0</v>
      </c>
      <c r="CE464" s="675">
        <f t="shared" si="11712"/>
        <v>0</v>
      </c>
      <c r="CF464" s="549">
        <f t="shared" ref="CF464:CQ464" si="11713">SUM(CF465:CF470)</f>
        <v>0</v>
      </c>
      <c r="CG464" s="675">
        <f t="shared" si="11713"/>
        <v>0</v>
      </c>
      <c r="CH464" s="549">
        <f t="shared" si="11713"/>
        <v>0</v>
      </c>
      <c r="CI464" s="675">
        <f t="shared" si="11713"/>
        <v>0</v>
      </c>
      <c r="CJ464" s="549">
        <f t="shared" si="11713"/>
        <v>0</v>
      </c>
      <c r="CK464" s="675">
        <f t="shared" si="11713"/>
        <v>-6000</v>
      </c>
      <c r="CL464" s="549">
        <f t="shared" si="11713"/>
        <v>0</v>
      </c>
      <c r="CM464" s="675">
        <f t="shared" si="11713"/>
        <v>0</v>
      </c>
      <c r="CN464" s="549">
        <f t="shared" si="11713"/>
        <v>0</v>
      </c>
      <c r="CO464" s="675">
        <f t="shared" si="11713"/>
        <v>0</v>
      </c>
      <c r="CP464" s="549">
        <f t="shared" si="11713"/>
        <v>0</v>
      </c>
      <c r="CQ464" s="675">
        <f t="shared" si="11713"/>
        <v>0</v>
      </c>
      <c r="CR464" s="549">
        <f t="shared" ref="CR464:CY464" si="11714">SUM(CR465:CR470)</f>
        <v>0</v>
      </c>
      <c r="CS464" s="675">
        <f t="shared" si="11714"/>
        <v>0</v>
      </c>
      <c r="CT464" s="549">
        <f t="shared" si="11714"/>
        <v>0</v>
      </c>
      <c r="CU464" s="675">
        <f t="shared" si="11714"/>
        <v>0</v>
      </c>
      <c r="CV464" s="549">
        <f t="shared" si="11714"/>
        <v>0</v>
      </c>
      <c r="CW464" s="675">
        <f t="shared" si="11714"/>
        <v>0</v>
      </c>
      <c r="CX464" s="549">
        <f t="shared" si="11714"/>
        <v>0</v>
      </c>
      <c r="CY464" s="675">
        <f t="shared" si="11714"/>
        <v>0</v>
      </c>
      <c r="CZ464" s="549">
        <f t="shared" ref="CZ464:DG464" si="11715">SUM(CZ465:CZ470)</f>
        <v>0</v>
      </c>
      <c r="DA464" s="675">
        <f t="shared" si="11715"/>
        <v>0</v>
      </c>
      <c r="DB464" s="549">
        <f t="shared" si="11715"/>
        <v>0</v>
      </c>
      <c r="DC464" s="675">
        <f t="shared" si="11715"/>
        <v>0</v>
      </c>
      <c r="DD464" s="549">
        <f t="shared" si="11715"/>
        <v>0</v>
      </c>
      <c r="DE464" s="675">
        <f t="shared" si="11715"/>
        <v>0</v>
      </c>
      <c r="DF464" s="549">
        <f t="shared" si="11715"/>
        <v>0</v>
      </c>
      <c r="DG464" s="675">
        <f t="shared" si="11715"/>
        <v>0</v>
      </c>
      <c r="DH464" s="549">
        <f t="shared" ref="DH464:DY464" si="11716">SUM(DH465:DH470)</f>
        <v>0</v>
      </c>
      <c r="DI464" s="675">
        <f t="shared" si="11716"/>
        <v>-1000</v>
      </c>
      <c r="DJ464" s="549">
        <f t="shared" si="11716"/>
        <v>2000</v>
      </c>
      <c r="DK464" s="675">
        <f t="shared" si="11716"/>
        <v>0</v>
      </c>
      <c r="DL464" s="549">
        <f t="shared" si="11716"/>
        <v>0</v>
      </c>
      <c r="DM464" s="675">
        <f t="shared" si="11716"/>
        <v>0</v>
      </c>
      <c r="DN464" s="549">
        <f t="shared" si="11716"/>
        <v>0</v>
      </c>
      <c r="DO464" s="675">
        <f t="shared" si="11716"/>
        <v>0</v>
      </c>
      <c r="DP464" s="549">
        <f t="shared" si="11716"/>
        <v>0</v>
      </c>
      <c r="DQ464" s="675">
        <f t="shared" si="11716"/>
        <v>0</v>
      </c>
      <c r="DR464" s="549">
        <f t="shared" si="11716"/>
        <v>0</v>
      </c>
      <c r="DS464" s="675">
        <f t="shared" si="11716"/>
        <v>0</v>
      </c>
      <c r="DT464" s="549">
        <f t="shared" si="11716"/>
        <v>0</v>
      </c>
      <c r="DU464" s="675">
        <f t="shared" si="11716"/>
        <v>0</v>
      </c>
      <c r="DV464" s="549">
        <f t="shared" si="11716"/>
        <v>0</v>
      </c>
      <c r="DW464" s="675">
        <f t="shared" si="11716"/>
        <v>0</v>
      </c>
      <c r="DX464" s="549">
        <f t="shared" si="11716"/>
        <v>0</v>
      </c>
      <c r="DY464" s="675">
        <f t="shared" si="11716"/>
        <v>0</v>
      </c>
      <c r="DZ464" s="549">
        <f t="shared" ref="DZ464:FA464" si="11717">SUM(DZ465:DZ470)</f>
        <v>0</v>
      </c>
      <c r="EA464" s="675">
        <f t="shared" si="11717"/>
        <v>0</v>
      </c>
      <c r="EB464" s="549">
        <f t="shared" si="11717"/>
        <v>0</v>
      </c>
      <c r="EC464" s="675">
        <f t="shared" si="11717"/>
        <v>0</v>
      </c>
      <c r="ED464" s="549">
        <f t="shared" si="11717"/>
        <v>0</v>
      </c>
      <c r="EE464" s="675">
        <f t="shared" si="11717"/>
        <v>0</v>
      </c>
      <c r="EF464" s="549">
        <f t="shared" si="11717"/>
        <v>0</v>
      </c>
      <c r="EG464" s="675">
        <f t="shared" si="11717"/>
        <v>0</v>
      </c>
      <c r="EH464" s="549">
        <f t="shared" ref="EH464:EM464" si="11718">SUM(EH465:EH470)</f>
        <v>0</v>
      </c>
      <c r="EI464" s="675">
        <f t="shared" si="11718"/>
        <v>0</v>
      </c>
      <c r="EJ464" s="549">
        <f t="shared" si="11718"/>
        <v>0</v>
      </c>
      <c r="EK464" s="675">
        <f t="shared" si="11718"/>
        <v>0</v>
      </c>
      <c r="EL464" s="549">
        <f t="shared" si="11718"/>
        <v>0</v>
      </c>
      <c r="EM464" s="675">
        <f t="shared" si="11718"/>
        <v>0</v>
      </c>
      <c r="EN464" s="549">
        <f t="shared" si="11717"/>
        <v>0</v>
      </c>
      <c r="EO464" s="675">
        <f t="shared" si="11717"/>
        <v>0</v>
      </c>
      <c r="EP464" s="549">
        <f t="shared" si="11717"/>
        <v>0</v>
      </c>
      <c r="EQ464" s="675">
        <f t="shared" si="11717"/>
        <v>0</v>
      </c>
      <c r="ER464" s="549">
        <f t="shared" si="11717"/>
        <v>0</v>
      </c>
      <c r="ES464" s="675">
        <f t="shared" si="11717"/>
        <v>0</v>
      </c>
      <c r="ET464" s="549">
        <f t="shared" si="11717"/>
        <v>3000</v>
      </c>
      <c r="EU464" s="675">
        <f t="shared" si="11717"/>
        <v>0</v>
      </c>
      <c r="EV464" s="549">
        <f t="shared" ref="EV464:EW464" si="11719">SUM(EV465:EV470)</f>
        <v>0</v>
      </c>
      <c r="EW464" s="675">
        <f t="shared" si="11719"/>
        <v>0</v>
      </c>
      <c r="EX464" s="549">
        <f t="shared" si="11717"/>
        <v>0</v>
      </c>
      <c r="EY464" s="675">
        <f t="shared" si="11717"/>
        <v>0</v>
      </c>
      <c r="EZ464" s="549">
        <f t="shared" si="11717"/>
        <v>0</v>
      </c>
      <c r="FA464" s="675">
        <f t="shared" si="11717"/>
        <v>0</v>
      </c>
      <c r="FB464" s="549">
        <f t="shared" ref="FB464:FE464" si="11720">SUM(FB465:FB470)</f>
        <v>0</v>
      </c>
      <c r="FC464" s="675">
        <f t="shared" si="11720"/>
        <v>0</v>
      </c>
      <c r="FD464" s="549">
        <f t="shared" si="11720"/>
        <v>0</v>
      </c>
      <c r="FE464" s="675">
        <f t="shared" si="11720"/>
        <v>0</v>
      </c>
      <c r="FF464" s="549">
        <f t="shared" ref="FF464:FG464" si="11721">SUM(FF465:FF470)</f>
        <v>0</v>
      </c>
      <c r="FG464" s="675">
        <f t="shared" si="11721"/>
        <v>0</v>
      </c>
      <c r="FH464" s="549">
        <f t="shared" ref="FH464:FI464" si="11722">SUM(FH465:FH470)</f>
        <v>0</v>
      </c>
      <c r="FI464" s="675">
        <f t="shared" si="11722"/>
        <v>0</v>
      </c>
      <c r="FJ464" s="549">
        <f t="shared" ref="FJ464:FK464" si="11723">SUM(FJ465:FJ470)</f>
        <v>0</v>
      </c>
      <c r="FK464" s="675">
        <f t="shared" si="11723"/>
        <v>0</v>
      </c>
      <c r="FL464" s="549">
        <f t="shared" ref="FL464:FM464" si="11724">SUM(FL465:FL470)</f>
        <v>0</v>
      </c>
      <c r="FM464" s="675">
        <f t="shared" si="11724"/>
        <v>0</v>
      </c>
      <c r="FN464" s="549">
        <f t="shared" ref="FN464:FO464" si="11725">SUM(FN465:FN470)</f>
        <v>0</v>
      </c>
      <c r="FO464" s="675">
        <f t="shared" si="11725"/>
        <v>0</v>
      </c>
      <c r="FP464" s="549">
        <f t="shared" ref="FP464:FQ464" si="11726">SUM(FP465:FP470)</f>
        <v>0</v>
      </c>
      <c r="FQ464" s="675">
        <f t="shared" si="11726"/>
        <v>0</v>
      </c>
      <c r="FR464" s="549">
        <f t="shared" ref="FR464:FS464" si="11727">SUM(FR465:FR470)</f>
        <v>0</v>
      </c>
      <c r="FS464" s="675">
        <f t="shared" si="11727"/>
        <v>-600</v>
      </c>
      <c r="FT464" s="549">
        <f t="shared" ref="FT464:FU464" si="11728">SUM(FT465:FT470)</f>
        <v>0</v>
      </c>
      <c r="FU464" s="675">
        <f t="shared" si="11728"/>
        <v>0</v>
      </c>
      <c r="FV464" s="549">
        <f t="shared" ref="FV464:GK464" si="11729">SUM(FV465:FV470)</f>
        <v>0</v>
      </c>
      <c r="FW464" s="675">
        <f t="shared" si="11729"/>
        <v>0</v>
      </c>
      <c r="FX464" s="549">
        <f t="shared" si="11729"/>
        <v>0</v>
      </c>
      <c r="FY464" s="675">
        <f t="shared" si="11729"/>
        <v>0</v>
      </c>
      <c r="FZ464" s="549">
        <f t="shared" ref="FZ464:GI464" si="11730">SUM(FZ465:FZ470)</f>
        <v>0</v>
      </c>
      <c r="GA464" s="675">
        <f t="shared" si="11730"/>
        <v>0</v>
      </c>
      <c r="GB464" s="549">
        <f t="shared" si="11730"/>
        <v>0</v>
      </c>
      <c r="GC464" s="675">
        <f t="shared" si="11730"/>
        <v>0</v>
      </c>
      <c r="GD464" s="549">
        <f t="shared" si="11730"/>
        <v>0</v>
      </c>
      <c r="GE464" s="675">
        <f t="shared" si="11730"/>
        <v>0</v>
      </c>
      <c r="GF464" s="549">
        <f t="shared" si="11730"/>
        <v>0</v>
      </c>
      <c r="GG464" s="675">
        <f t="shared" si="11730"/>
        <v>0</v>
      </c>
      <c r="GH464" s="549">
        <f t="shared" si="11730"/>
        <v>0</v>
      </c>
      <c r="GI464" s="675">
        <f t="shared" si="11730"/>
        <v>0</v>
      </c>
      <c r="GJ464" s="549">
        <f t="shared" si="11729"/>
        <v>0</v>
      </c>
      <c r="GK464" s="675">
        <f t="shared" si="11729"/>
        <v>0</v>
      </c>
      <c r="GL464" s="549">
        <f t="shared" ref="GL464:GM464" si="11731">SUM(GL465:GL470)</f>
        <v>0</v>
      </c>
      <c r="GM464" s="675">
        <f t="shared" si="11731"/>
        <v>0</v>
      </c>
      <c r="GN464" s="549">
        <f t="shared" ref="GN464:GO464" si="11732">SUM(GN465:GN470)</f>
        <v>0</v>
      </c>
      <c r="GO464" s="675">
        <f t="shared" si="11732"/>
        <v>0</v>
      </c>
      <c r="GP464" s="549">
        <f t="shared" ref="GP464:GU464" si="11733">SUM(GP465:GP470)</f>
        <v>5000</v>
      </c>
      <c r="GQ464" s="675">
        <f t="shared" si="11733"/>
        <v>-9600</v>
      </c>
      <c r="GR464" s="74">
        <f t="shared" si="11733"/>
        <v>25400</v>
      </c>
      <c r="GS464" s="74">
        <f t="shared" si="11733"/>
        <v>25400</v>
      </c>
      <c r="GT464" s="549">
        <f t="shared" si="11733"/>
        <v>25400</v>
      </c>
      <c r="GU464" s="74">
        <f t="shared" si="11733"/>
        <v>4640</v>
      </c>
      <c r="GV464" s="74">
        <f t="shared" ref="GV464:HF464" si="11734">SUM(GV465:GV470)</f>
        <v>3740</v>
      </c>
      <c r="GW464" s="549">
        <f t="shared" si="11734"/>
        <v>2140</v>
      </c>
      <c r="GX464" s="549">
        <f t="shared" si="11734"/>
        <v>5640</v>
      </c>
      <c r="GY464" s="74">
        <f t="shared" si="11734"/>
        <v>2140</v>
      </c>
      <c r="GZ464" s="74">
        <f t="shared" si="11734"/>
        <v>2140</v>
      </c>
      <c r="HA464" s="74">
        <f t="shared" si="11734"/>
        <v>3140</v>
      </c>
      <c r="HB464" s="74">
        <f t="shared" si="11734"/>
        <v>2140</v>
      </c>
      <c r="HC464" s="74">
        <f t="shared" si="11734"/>
        <v>2140</v>
      </c>
      <c r="HD464" s="74">
        <f t="shared" si="11734"/>
        <v>2140</v>
      </c>
      <c r="HE464" s="74">
        <f t="shared" si="11734"/>
        <v>0</v>
      </c>
      <c r="HF464" s="74">
        <f t="shared" si="11734"/>
        <v>0</v>
      </c>
      <c r="HG464" s="74">
        <f>SUM(HG465:HG470)</f>
        <v>25400</v>
      </c>
      <c r="HH464" s="74">
        <f>SUM(HH465:HH470)</f>
        <v>4640</v>
      </c>
      <c r="HI464" s="792">
        <f t="shared" ref="HI464" si="11735">SUM(HI465:HI470)</f>
        <v>0</v>
      </c>
      <c r="HJ464" s="74">
        <f>SUM(HJ465:HJ470)</f>
        <v>2140</v>
      </c>
      <c r="HK464" s="792">
        <f t="shared" ref="HK464" si="11736">SUM(HK465:HK470)</f>
        <v>0</v>
      </c>
      <c r="HL464" s="74">
        <f>SUM(HL465:HL470)</f>
        <v>1140</v>
      </c>
      <c r="HM464" s="792">
        <f t="shared" ref="HM464" si="11737">SUM(HM465:HM470)</f>
        <v>0</v>
      </c>
      <c r="HN464" s="74">
        <f>SUM(HN465:HN470)</f>
        <v>2140</v>
      </c>
      <c r="HO464" s="792">
        <f t="shared" ref="HO464" si="11738">SUM(HO465:HO470)</f>
        <v>0</v>
      </c>
      <c r="HP464" s="74">
        <f>SUM(HP465:HP470)</f>
        <v>2140</v>
      </c>
      <c r="HQ464" s="792">
        <f t="shared" ref="HQ464" si="11739">SUM(HQ465:HQ470)</f>
        <v>0</v>
      </c>
      <c r="HR464" s="74">
        <f>SUM(HR465:HR470)</f>
        <v>0</v>
      </c>
      <c r="HS464" s="792">
        <f t="shared" ref="HS464" si="11740">SUM(HS465:HS470)</f>
        <v>0</v>
      </c>
      <c r="HT464" s="74">
        <f>SUM(HT465:HT470)</f>
        <v>-500</v>
      </c>
      <c r="HU464" s="792">
        <f t="shared" ref="HU464" si="11741">SUM(HU465:HU470)</f>
        <v>0</v>
      </c>
      <c r="HV464" s="74">
        <f>SUM(HV465:HV470)</f>
        <v>4420</v>
      </c>
      <c r="HW464" s="792">
        <f t="shared" ref="HW464" si="11742">SUM(HW465:HW470)</f>
        <v>0</v>
      </c>
      <c r="HX464" s="74">
        <f>SUM(HX465:HX470)</f>
        <v>7740</v>
      </c>
      <c r="HY464" s="792">
        <f t="shared" ref="HY464" si="11743">SUM(HY465:HY470)</f>
        <v>0</v>
      </c>
      <c r="HZ464" s="74">
        <f>SUM(HZ465:HZ470)</f>
        <v>1540</v>
      </c>
      <c r="IA464" s="792">
        <f t="shared" ref="IA464" si="11744">SUM(IA465:IA470)</f>
        <v>0</v>
      </c>
      <c r="IB464" s="74">
        <f>SUM(IB465:IB470)</f>
        <v>0</v>
      </c>
      <c r="IC464" s="792">
        <f t="shared" ref="IC464" si="11745">SUM(IC465:IC470)</f>
        <v>0</v>
      </c>
      <c r="ID464" s="74">
        <f>SUM(ID465:ID470)</f>
        <v>0</v>
      </c>
      <c r="IE464" s="792">
        <f t="shared" ref="IE464:IH464" si="11746">SUM(IE465:IE470)</f>
        <v>0</v>
      </c>
      <c r="IF464" s="841">
        <f>SUM(IF465:IF470)</f>
        <v>19513.63</v>
      </c>
      <c r="IG464" s="263">
        <f>SUM(IG465:IG470)</f>
        <v>19513.63</v>
      </c>
      <c r="IH464" s="842">
        <f t="shared" si="11746"/>
        <v>19513.63</v>
      </c>
      <c r="II464" s="74">
        <f>SUM(II465:II470)</f>
        <v>346.88</v>
      </c>
      <c r="IJ464" s="74">
        <f t="shared" ref="IJ464:IK464" si="11747">SUM(IJ465:IJ470)</f>
        <v>346.88</v>
      </c>
      <c r="IK464" s="74">
        <f t="shared" si="11747"/>
        <v>346.88</v>
      </c>
      <c r="IL464" s="74">
        <f>SUM(IL465:IL470)</f>
        <v>291.28999999999996</v>
      </c>
      <c r="IM464" s="74">
        <f t="shared" ref="IM464:IN464" si="11748">SUM(IM465:IM470)</f>
        <v>291.28999999999996</v>
      </c>
      <c r="IN464" s="74">
        <f t="shared" si="11748"/>
        <v>291.28999999999996</v>
      </c>
      <c r="IO464" s="74">
        <f>SUM(IO465:IO470)</f>
        <v>290.84000000000003</v>
      </c>
      <c r="IP464" s="74">
        <f t="shared" ref="IP464:IQ464" si="11749">SUM(IP465:IP470)</f>
        <v>290.84000000000003</v>
      </c>
      <c r="IQ464" s="74">
        <f t="shared" si="11749"/>
        <v>290.84000000000003</v>
      </c>
      <c r="IR464" s="74">
        <f>SUM(IR465:IR470)</f>
        <v>740.33999999999992</v>
      </c>
      <c r="IS464" s="74">
        <f t="shared" ref="IS464:IT464" si="11750">SUM(IS465:IS470)</f>
        <v>740.33999999999992</v>
      </c>
      <c r="IT464" s="74">
        <f t="shared" si="11750"/>
        <v>740.33999999999992</v>
      </c>
      <c r="IU464" s="74">
        <f>SUM(IU465:IU470)</f>
        <v>2670.1600000000003</v>
      </c>
      <c r="IV464" s="74">
        <f t="shared" ref="IV464:IW464" si="11751">SUM(IV465:IV470)</f>
        <v>2670.1600000000003</v>
      </c>
      <c r="IW464" s="74">
        <f t="shared" si="11751"/>
        <v>2670.1600000000003</v>
      </c>
      <c r="IX464" s="74">
        <f>SUM(IX465:IX470)</f>
        <v>1704.38</v>
      </c>
      <c r="IY464" s="74">
        <f t="shared" ref="IY464:IZ464" si="11752">SUM(IY465:IY470)</f>
        <v>1704.38</v>
      </c>
      <c r="IZ464" s="74">
        <f t="shared" si="11752"/>
        <v>1704.38</v>
      </c>
      <c r="JA464" s="74">
        <f>SUM(JA465:JA470)</f>
        <v>2932.22</v>
      </c>
      <c r="JB464" s="74">
        <f t="shared" ref="JB464:JC464" si="11753">SUM(JB465:JB470)</f>
        <v>2932.22</v>
      </c>
      <c r="JC464" s="74">
        <f t="shared" si="11753"/>
        <v>2932.22</v>
      </c>
      <c r="JD464" s="74">
        <f>SUM(JD465:JD470)</f>
        <v>5067.3099999999995</v>
      </c>
      <c r="JE464" s="74">
        <f t="shared" ref="JE464:JF464" si="11754">SUM(JE465:JE470)</f>
        <v>5067.3099999999995</v>
      </c>
      <c r="JF464" s="74">
        <f t="shared" si="11754"/>
        <v>5067.3099999999995</v>
      </c>
      <c r="JG464" s="74">
        <f>SUM(JG465:JG470)</f>
        <v>335.95000000000073</v>
      </c>
      <c r="JH464" s="74">
        <f t="shared" ref="JH464:JI464" si="11755">SUM(JH465:JH470)</f>
        <v>335.95000000000073</v>
      </c>
      <c r="JI464" s="74">
        <f t="shared" si="11755"/>
        <v>335.95000000000073</v>
      </c>
      <c r="JJ464" s="74">
        <f>SUM(JJ465:JJ470)</f>
        <v>5134.2599999999993</v>
      </c>
      <c r="JK464" s="74">
        <f t="shared" ref="JK464:JL464" si="11756">SUM(JK465:JK470)</f>
        <v>5134.2599999999993</v>
      </c>
      <c r="JL464" s="74">
        <f t="shared" si="11756"/>
        <v>5134.2599999999993</v>
      </c>
      <c r="JM464" s="74">
        <f>SUM(JM465:JM470)</f>
        <v>0</v>
      </c>
      <c r="JN464" s="74">
        <f t="shared" ref="JN464:JO464" si="11757">SUM(JN465:JN470)</f>
        <v>0</v>
      </c>
      <c r="JO464" s="74">
        <f t="shared" si="11757"/>
        <v>0</v>
      </c>
      <c r="JP464" s="74">
        <f>SUM(JP465:JP470)</f>
        <v>0</v>
      </c>
      <c r="JQ464" s="74">
        <f t="shared" ref="JQ464:JY464" si="11758">SUM(JQ465:JQ470)</f>
        <v>0</v>
      </c>
      <c r="JR464" s="74">
        <f t="shared" si="11758"/>
        <v>0</v>
      </c>
      <c r="JS464" s="74">
        <f>SUM(JS465:JS470)</f>
        <v>5886.37</v>
      </c>
      <c r="JT464" s="382">
        <f>SUM(JT465:JT470)</f>
        <v>5886.37</v>
      </c>
      <c r="JU464" s="665"/>
      <c r="JV464" s="524"/>
      <c r="JW464" s="525"/>
      <c r="JX464" s="549">
        <f>SUM(JX465:JX470)</f>
        <v>25400</v>
      </c>
      <c r="JY464" s="549">
        <f t="shared" si="11758"/>
        <v>0</v>
      </c>
      <c r="JZ464" s="581">
        <f t="shared" si="11276"/>
        <v>5000</v>
      </c>
      <c r="KA464" s="581">
        <f t="shared" si="11277"/>
        <v>-9600</v>
      </c>
      <c r="KB464" s="549">
        <f t="shared" si="11273"/>
        <v>25400</v>
      </c>
      <c r="KC464" s="709">
        <f t="shared" si="11275"/>
        <v>0</v>
      </c>
      <c r="KD464" s="36"/>
      <c r="KE464" s="36"/>
      <c r="KF464" s="36"/>
      <c r="KG464" s="36"/>
      <c r="KH464" s="36"/>
      <c r="KI464" s="36"/>
      <c r="KJ464" s="36"/>
      <c r="KK464" s="36"/>
    </row>
    <row r="465" spans="1:297" s="8" customFormat="1" ht="12.75" customHeight="1">
      <c r="A465" s="86" t="s">
        <v>662</v>
      </c>
      <c r="B465" s="77" t="s">
        <v>156</v>
      </c>
      <c r="C465" s="74">
        <v>600</v>
      </c>
      <c r="D465" s="549">
        <v>0</v>
      </c>
      <c r="E465" s="675">
        <v>0</v>
      </c>
      <c r="F465" s="549">
        <v>0</v>
      </c>
      <c r="G465" s="675">
        <v>0</v>
      </c>
      <c r="H465" s="549">
        <v>0</v>
      </c>
      <c r="I465" s="675">
        <v>0</v>
      </c>
      <c r="J465" s="549">
        <v>0</v>
      </c>
      <c r="K465" s="675">
        <v>0</v>
      </c>
      <c r="L465" s="549">
        <v>0</v>
      </c>
      <c r="M465" s="675">
        <v>0</v>
      </c>
      <c r="N465" s="549">
        <v>0</v>
      </c>
      <c r="O465" s="675">
        <v>0</v>
      </c>
      <c r="P465" s="549">
        <v>0</v>
      </c>
      <c r="Q465" s="675">
        <v>0</v>
      </c>
      <c r="R465" s="549">
        <v>0</v>
      </c>
      <c r="S465" s="675">
        <v>0</v>
      </c>
      <c r="T465" s="549">
        <v>0</v>
      </c>
      <c r="U465" s="675">
        <v>0</v>
      </c>
      <c r="V465" s="549">
        <v>0</v>
      </c>
      <c r="W465" s="675">
        <v>0</v>
      </c>
      <c r="X465" s="549">
        <v>0</v>
      </c>
      <c r="Y465" s="675">
        <v>0</v>
      </c>
      <c r="Z465" s="549">
        <v>0</v>
      </c>
      <c r="AA465" s="675">
        <v>0</v>
      </c>
      <c r="AB465" s="549">
        <v>0</v>
      </c>
      <c r="AC465" s="675">
        <v>0</v>
      </c>
      <c r="AD465" s="549">
        <v>0</v>
      </c>
      <c r="AE465" s="675">
        <v>0</v>
      </c>
      <c r="AF465" s="549">
        <v>0</v>
      </c>
      <c r="AG465" s="675">
        <v>0</v>
      </c>
      <c r="AH465" s="549">
        <v>0</v>
      </c>
      <c r="AI465" s="675">
        <v>0</v>
      </c>
      <c r="AJ465" s="549">
        <v>0</v>
      </c>
      <c r="AK465" s="675">
        <v>0</v>
      </c>
      <c r="AL465" s="549">
        <v>0</v>
      </c>
      <c r="AM465" s="675">
        <v>0</v>
      </c>
      <c r="AN465" s="549">
        <v>0</v>
      </c>
      <c r="AO465" s="675">
        <v>0</v>
      </c>
      <c r="AP465" s="549">
        <v>0</v>
      </c>
      <c r="AQ465" s="675">
        <v>0</v>
      </c>
      <c r="AR465" s="549">
        <v>0</v>
      </c>
      <c r="AS465" s="675">
        <v>0</v>
      </c>
      <c r="AT465" s="549">
        <v>0</v>
      </c>
      <c r="AU465" s="675">
        <v>0</v>
      </c>
      <c r="AV465" s="549">
        <v>0</v>
      </c>
      <c r="AW465" s="675">
        <v>0</v>
      </c>
      <c r="AX465" s="549">
        <v>0</v>
      </c>
      <c r="AY465" s="675">
        <v>0</v>
      </c>
      <c r="AZ465" s="549">
        <v>0</v>
      </c>
      <c r="BA465" s="675">
        <v>0</v>
      </c>
      <c r="BB465" s="549">
        <v>0</v>
      </c>
      <c r="BC465" s="675">
        <v>0</v>
      </c>
      <c r="BD465" s="549">
        <v>0</v>
      </c>
      <c r="BE465" s="675">
        <v>0</v>
      </c>
      <c r="BF465" s="549">
        <v>0</v>
      </c>
      <c r="BG465" s="675">
        <v>0</v>
      </c>
      <c r="BH465" s="549">
        <v>0</v>
      </c>
      <c r="BI465" s="675">
        <v>0</v>
      </c>
      <c r="BJ465" s="549">
        <v>0</v>
      </c>
      <c r="BK465" s="675">
        <v>0</v>
      </c>
      <c r="BL465" s="549">
        <v>0</v>
      </c>
      <c r="BM465" s="675">
        <v>0</v>
      </c>
      <c r="BN465" s="549">
        <v>0</v>
      </c>
      <c r="BO465" s="675">
        <v>0</v>
      </c>
      <c r="BP465" s="549">
        <v>0</v>
      </c>
      <c r="BQ465" s="675">
        <v>0</v>
      </c>
      <c r="BR465" s="549">
        <v>0</v>
      </c>
      <c r="BS465" s="675">
        <v>0</v>
      </c>
      <c r="BT465" s="549">
        <v>0</v>
      </c>
      <c r="BU465" s="675">
        <v>0</v>
      </c>
      <c r="BV465" s="549">
        <v>0</v>
      </c>
      <c r="BW465" s="675">
        <v>0</v>
      </c>
      <c r="BX465" s="549">
        <v>0</v>
      </c>
      <c r="BY465" s="675">
        <v>0</v>
      </c>
      <c r="BZ465" s="549">
        <v>0</v>
      </c>
      <c r="CA465" s="675">
        <v>0</v>
      </c>
      <c r="CB465" s="549">
        <v>0</v>
      </c>
      <c r="CC465" s="675">
        <v>0</v>
      </c>
      <c r="CD465" s="549">
        <v>0</v>
      </c>
      <c r="CE465" s="675">
        <v>0</v>
      </c>
      <c r="CF465" s="549">
        <v>0</v>
      </c>
      <c r="CG465" s="675">
        <v>0</v>
      </c>
      <c r="CH465" s="549">
        <v>0</v>
      </c>
      <c r="CI465" s="675">
        <v>0</v>
      </c>
      <c r="CJ465" s="549">
        <v>0</v>
      </c>
      <c r="CK465" s="675">
        <v>0</v>
      </c>
      <c r="CL465" s="549">
        <v>0</v>
      </c>
      <c r="CM465" s="675">
        <v>0</v>
      </c>
      <c r="CN465" s="549">
        <v>0</v>
      </c>
      <c r="CO465" s="675">
        <v>0</v>
      </c>
      <c r="CP465" s="549">
        <v>0</v>
      </c>
      <c r="CQ465" s="675">
        <v>0</v>
      </c>
      <c r="CR465" s="549">
        <v>0</v>
      </c>
      <c r="CS465" s="675">
        <v>0</v>
      </c>
      <c r="CT465" s="549">
        <v>0</v>
      </c>
      <c r="CU465" s="675">
        <v>0</v>
      </c>
      <c r="CV465" s="549">
        <v>0</v>
      </c>
      <c r="CW465" s="675">
        <v>0</v>
      </c>
      <c r="CX465" s="549">
        <v>0</v>
      </c>
      <c r="CY465" s="675">
        <v>0</v>
      </c>
      <c r="CZ465" s="549">
        <v>0</v>
      </c>
      <c r="DA465" s="675">
        <v>0</v>
      </c>
      <c r="DB465" s="549">
        <v>0</v>
      </c>
      <c r="DC465" s="675">
        <v>0</v>
      </c>
      <c r="DD465" s="549">
        <v>0</v>
      </c>
      <c r="DE465" s="675">
        <v>0</v>
      </c>
      <c r="DF465" s="549">
        <v>0</v>
      </c>
      <c r="DG465" s="675">
        <v>0</v>
      </c>
      <c r="DH465" s="549">
        <v>0</v>
      </c>
      <c r="DI465" s="675">
        <v>0</v>
      </c>
      <c r="DJ465" s="549">
        <v>0</v>
      </c>
      <c r="DK465" s="675">
        <v>0</v>
      </c>
      <c r="DL465" s="549">
        <v>0</v>
      </c>
      <c r="DM465" s="675">
        <v>0</v>
      </c>
      <c r="DN465" s="549">
        <v>0</v>
      </c>
      <c r="DO465" s="675">
        <v>0</v>
      </c>
      <c r="DP465" s="549">
        <v>0</v>
      </c>
      <c r="DQ465" s="675">
        <v>0</v>
      </c>
      <c r="DR465" s="549">
        <v>0</v>
      </c>
      <c r="DS465" s="675">
        <v>0</v>
      </c>
      <c r="DT465" s="549">
        <v>0</v>
      </c>
      <c r="DU465" s="675">
        <v>0</v>
      </c>
      <c r="DV465" s="549">
        <v>0</v>
      </c>
      <c r="DW465" s="675">
        <v>0</v>
      </c>
      <c r="DX465" s="549">
        <v>0</v>
      </c>
      <c r="DY465" s="675">
        <v>0</v>
      </c>
      <c r="DZ465" s="549">
        <v>0</v>
      </c>
      <c r="EA465" s="675">
        <v>0</v>
      </c>
      <c r="EB465" s="549">
        <v>0</v>
      </c>
      <c r="EC465" s="675">
        <v>0</v>
      </c>
      <c r="ED465" s="549">
        <v>0</v>
      </c>
      <c r="EE465" s="675">
        <v>0</v>
      </c>
      <c r="EF465" s="549">
        <v>0</v>
      </c>
      <c r="EG465" s="675">
        <v>0</v>
      </c>
      <c r="EH465" s="549">
        <v>0</v>
      </c>
      <c r="EI465" s="675">
        <v>0</v>
      </c>
      <c r="EJ465" s="549">
        <v>0</v>
      </c>
      <c r="EK465" s="675">
        <v>0</v>
      </c>
      <c r="EL465" s="549">
        <v>0</v>
      </c>
      <c r="EM465" s="675">
        <v>0</v>
      </c>
      <c r="EN465" s="549">
        <v>0</v>
      </c>
      <c r="EO465" s="675">
        <v>0</v>
      </c>
      <c r="EP465" s="549">
        <v>0</v>
      </c>
      <c r="EQ465" s="675">
        <v>0</v>
      </c>
      <c r="ER465" s="549">
        <v>0</v>
      </c>
      <c r="ES465" s="675">
        <v>0</v>
      </c>
      <c r="ET465" s="549">
        <v>0</v>
      </c>
      <c r="EU465" s="675">
        <v>0</v>
      </c>
      <c r="EV465" s="549">
        <v>0</v>
      </c>
      <c r="EW465" s="675">
        <v>0</v>
      </c>
      <c r="EX465" s="549">
        <v>0</v>
      </c>
      <c r="EY465" s="675">
        <v>0</v>
      </c>
      <c r="EZ465" s="549">
        <v>0</v>
      </c>
      <c r="FA465" s="675">
        <v>0</v>
      </c>
      <c r="FB465" s="549">
        <v>0</v>
      </c>
      <c r="FC465" s="675">
        <v>0</v>
      </c>
      <c r="FD465" s="549">
        <v>0</v>
      </c>
      <c r="FE465" s="675">
        <v>0</v>
      </c>
      <c r="FF465" s="549">
        <v>0</v>
      </c>
      <c r="FG465" s="675">
        <v>0</v>
      </c>
      <c r="FH465" s="549">
        <v>0</v>
      </c>
      <c r="FI465" s="675">
        <v>0</v>
      </c>
      <c r="FJ465" s="549">
        <v>0</v>
      </c>
      <c r="FK465" s="675">
        <v>0</v>
      </c>
      <c r="FL465" s="549">
        <v>0</v>
      </c>
      <c r="FM465" s="675">
        <v>0</v>
      </c>
      <c r="FN465" s="549">
        <v>0</v>
      </c>
      <c r="FO465" s="675">
        <v>0</v>
      </c>
      <c r="FP465" s="549">
        <v>0</v>
      </c>
      <c r="FQ465" s="675">
        <v>0</v>
      </c>
      <c r="FR465" s="549">
        <v>0</v>
      </c>
      <c r="FS465" s="675">
        <v>-600</v>
      </c>
      <c r="FT465" s="549">
        <v>0</v>
      </c>
      <c r="FU465" s="675">
        <v>0</v>
      </c>
      <c r="FV465" s="549">
        <v>0</v>
      </c>
      <c r="FW465" s="675">
        <v>0</v>
      </c>
      <c r="FX465" s="549">
        <v>0</v>
      </c>
      <c r="FY465" s="675">
        <v>0</v>
      </c>
      <c r="FZ465" s="549">
        <v>0</v>
      </c>
      <c r="GA465" s="675">
        <v>0</v>
      </c>
      <c r="GB465" s="549">
        <v>0</v>
      </c>
      <c r="GC465" s="675">
        <v>0</v>
      </c>
      <c r="GD465" s="549">
        <v>0</v>
      </c>
      <c r="GE465" s="675">
        <v>0</v>
      </c>
      <c r="GF465" s="549">
        <v>0</v>
      </c>
      <c r="GG465" s="675">
        <v>0</v>
      </c>
      <c r="GH465" s="549">
        <v>0</v>
      </c>
      <c r="GI465" s="675">
        <v>0</v>
      </c>
      <c r="GJ465" s="549">
        <v>0</v>
      </c>
      <c r="GK465" s="675">
        <v>0</v>
      </c>
      <c r="GL465" s="549">
        <v>0</v>
      </c>
      <c r="GM465" s="675">
        <v>0</v>
      </c>
      <c r="GN465" s="549">
        <v>0</v>
      </c>
      <c r="GO465" s="675">
        <v>0</v>
      </c>
      <c r="GP465" s="549">
        <f>+D465+F465+H465+J465+L465+N465+P465+R465+T465+V465+X465+Z465+AB465+AD465+AH465+AJ465+AL465+AN465+AP465+AR465+AT465+AV465+AX465+AZ465+BB465+BD465+BF465+BH465+BJ465+BL465+BN465+BP465+BR465+BT465+BV465+BX465+BZ465+CB465+CD465+CF465+CH465+CJ465+CL465+CN465+CP465+CR465+CT465+CV465+CX465+CZ465+DB465+DD465+DF465+DH465+DT465+EX465+DJ465+DL465+DN465+DP465+DR465+EJ465+EB465+DZ465+DX465+DV465+ED465+EF465+EH465+EL465+EN465+EP465+EV465+ET465+ER465+EZ465+FB465+FD465+GL465+FF465+FJ465+FL465+GJ465+FT465+FR465+FP465+FN465+FH465</f>
        <v>0</v>
      </c>
      <c r="GQ465" s="675">
        <f>+E465+G465+I465+K465+M465+O465+Q465+S465+U465+W465+Y465+AA465+AC465+AE465+AI465+AK465+AM465+AO465+AQ465+AS465+AU465+AW465+AY465+BA465+BC465+BE465+BG465+BI465+BK465+BM465+BO465+BQ465+BS465+BU465+BW465+BY465+CA465+CC465+CE465+CG465+CI465+CK465+CM465+CO465+CQ465+CS465+CU465+CW465+CY465+DA465+DC465+DE465+DG465+DI465+DU465+EY465+DK465+DM465+DO465+DQ465+DS465+EK465+EC465+EA465+DY465+DW465+EI465+EG465+EE465+EM465+EO465+EQ465+EW465+EU465+ES465+FA465+FC465+FE465+GM465+FG465+FK465+FM465+FO465+FQ465+FS465+FU465+GK465+FI465</f>
        <v>-600</v>
      </c>
      <c r="GR465" s="74">
        <f t="shared" ref="GR465:GR470" si="11759">C465+GP465+GQ465</f>
        <v>0</v>
      </c>
      <c r="GS465" s="74">
        <f t="shared" ref="GS465:GS470" si="11760">SUM(GU465:HD465)+GP465+GQ465</f>
        <v>0</v>
      </c>
      <c r="GT465" s="568">
        <f t="shared" ref="GT465:GT470" si="11761">SUM(GU465:HF465)+GQ465+GP465</f>
        <v>0</v>
      </c>
      <c r="GU465" s="275">
        <v>0</v>
      </c>
      <c r="GV465" s="275">
        <v>600</v>
      </c>
      <c r="GW465" s="275">
        <v>0</v>
      </c>
      <c r="GX465" s="275">
        <v>0</v>
      </c>
      <c r="GY465" s="275">
        <v>0</v>
      </c>
      <c r="GZ465" s="275">
        <v>0</v>
      </c>
      <c r="HA465" s="275">
        <v>0</v>
      </c>
      <c r="HB465" s="275">
        <v>0</v>
      </c>
      <c r="HC465" s="275">
        <v>0</v>
      </c>
      <c r="HD465" s="275">
        <v>0</v>
      </c>
      <c r="HE465" s="275">
        <v>0</v>
      </c>
      <c r="HF465" s="275">
        <v>0</v>
      </c>
      <c r="HG465" s="74">
        <f>SUM(HH465:IE465)</f>
        <v>0</v>
      </c>
      <c r="HH465" s="89">
        <v>0</v>
      </c>
      <c r="HI465" s="817">
        <v>0</v>
      </c>
      <c r="HJ465" s="89">
        <v>0</v>
      </c>
      <c r="HK465" s="817">
        <v>0</v>
      </c>
      <c r="HL465" s="89">
        <v>0</v>
      </c>
      <c r="HM465" s="817">
        <v>0</v>
      </c>
      <c r="HN465" s="89">
        <v>0</v>
      </c>
      <c r="HO465" s="817">
        <v>0</v>
      </c>
      <c r="HP465" s="89">
        <v>0</v>
      </c>
      <c r="HQ465" s="817">
        <v>0</v>
      </c>
      <c r="HR465" s="89">
        <v>0</v>
      </c>
      <c r="HS465" s="817">
        <v>0</v>
      </c>
      <c r="HT465" s="89">
        <v>0</v>
      </c>
      <c r="HU465" s="817">
        <v>0</v>
      </c>
      <c r="HV465" s="89">
        <v>0</v>
      </c>
      <c r="HW465" s="817">
        <v>0</v>
      </c>
      <c r="HX465" s="89">
        <v>600</v>
      </c>
      <c r="HY465" s="817">
        <v>0</v>
      </c>
      <c r="HZ465" s="89">
        <v>-600</v>
      </c>
      <c r="IA465" s="817">
        <v>0</v>
      </c>
      <c r="IB465" s="89">
        <v>0</v>
      </c>
      <c r="IC465" s="817">
        <v>0</v>
      </c>
      <c r="ID465" s="89">
        <v>0</v>
      </c>
      <c r="IE465" s="817">
        <v>0</v>
      </c>
      <c r="IF465" s="841">
        <f t="shared" ref="IF465:IF470" si="11762">SUM(II465,IL465,IO465,IR465,IU465,IX465,JA465,JD465,JG465,JJ465,JM465,JP465)</f>
        <v>0</v>
      </c>
      <c r="IG465" s="263">
        <f t="shared" ref="IG465:IG470" si="11763">SUM(IJ465,IM465,IP465,IS465,IV465,IY465,JB465,JE465,JH465,JK465,JN465,JQ465)</f>
        <v>0</v>
      </c>
      <c r="IH465" s="842">
        <f t="shared" ref="IH465:IH470" si="11764">SUM(IK465,IN465,IQ465,IT465,IW465,IZ465,JC465,JF465,JI465,JL465,JO465,JR465)</f>
        <v>0</v>
      </c>
      <c r="II465" s="89">
        <v>0</v>
      </c>
      <c r="IJ465" s="89">
        <f t="shared" ref="IJ465:IJ470" si="11765">II465</f>
        <v>0</v>
      </c>
      <c r="IK465" s="89">
        <f t="shared" ref="IK465:IK470" si="11766">IJ465</f>
        <v>0</v>
      </c>
      <c r="IL465" s="89">
        <v>0</v>
      </c>
      <c r="IM465" s="89">
        <f t="shared" ref="IM465:IM470" si="11767">IL465</f>
        <v>0</v>
      </c>
      <c r="IN465" s="89">
        <f t="shared" ref="IN465:IN470" si="11768">IM465</f>
        <v>0</v>
      </c>
      <c r="IO465" s="89">
        <v>0</v>
      </c>
      <c r="IP465" s="89">
        <f t="shared" ref="IP465:IP470" si="11769">IO465</f>
        <v>0</v>
      </c>
      <c r="IQ465" s="89">
        <f t="shared" ref="IQ465:IQ470" si="11770">IP465</f>
        <v>0</v>
      </c>
      <c r="IR465" s="89">
        <v>0</v>
      </c>
      <c r="IS465" s="89">
        <f t="shared" ref="IS465:IS470" si="11771">IR465</f>
        <v>0</v>
      </c>
      <c r="IT465" s="89">
        <f t="shared" ref="IT465:IT470" si="11772">IS465</f>
        <v>0</v>
      </c>
      <c r="IU465" s="89">
        <v>0</v>
      </c>
      <c r="IV465" s="89">
        <f t="shared" ref="IV465:IV470" si="11773">IU465</f>
        <v>0</v>
      </c>
      <c r="IW465" s="89">
        <f t="shared" ref="IW465:IW470" si="11774">IV465</f>
        <v>0</v>
      </c>
      <c r="IX465" s="89">
        <v>0</v>
      </c>
      <c r="IY465" s="89">
        <f t="shared" ref="IY465:IY470" si="11775">IX465</f>
        <v>0</v>
      </c>
      <c r="IZ465" s="89">
        <f t="shared" ref="IZ465:IZ470" si="11776">IY465</f>
        <v>0</v>
      </c>
      <c r="JA465" s="89">
        <v>0</v>
      </c>
      <c r="JB465" s="89">
        <f t="shared" ref="JB465:JB470" si="11777">JA465</f>
        <v>0</v>
      </c>
      <c r="JC465" s="89">
        <f t="shared" ref="JC465:JC470" si="11778">JB465</f>
        <v>0</v>
      </c>
      <c r="JD465" s="89">
        <v>0</v>
      </c>
      <c r="JE465" s="89">
        <f t="shared" ref="JE465:JE470" si="11779">JD465</f>
        <v>0</v>
      </c>
      <c r="JF465" s="89">
        <f t="shared" ref="JF465:JF470" si="11780">JE465</f>
        <v>0</v>
      </c>
      <c r="JG465" s="89">
        <v>0</v>
      </c>
      <c r="JH465" s="89">
        <f t="shared" ref="JH465:JH470" si="11781">JG465</f>
        <v>0</v>
      </c>
      <c r="JI465" s="89">
        <f t="shared" ref="JI465:JI470" si="11782">JH465</f>
        <v>0</v>
      </c>
      <c r="JJ465" s="89">
        <v>0</v>
      </c>
      <c r="JK465" s="89">
        <f t="shared" ref="JK465:JK470" si="11783">JJ465</f>
        <v>0</v>
      </c>
      <c r="JL465" s="89">
        <f t="shared" ref="JL465:JL470" si="11784">JK465</f>
        <v>0</v>
      </c>
      <c r="JM465" s="89">
        <v>0</v>
      </c>
      <c r="JN465" s="89">
        <f t="shared" ref="JN465:JN470" si="11785">JM465</f>
        <v>0</v>
      </c>
      <c r="JO465" s="89">
        <f t="shared" ref="JO465:JO470" si="11786">JN465</f>
        <v>0</v>
      </c>
      <c r="JP465" s="89">
        <v>0</v>
      </c>
      <c r="JQ465" s="89">
        <f t="shared" ref="JQ465:JR465" si="11787">JP465</f>
        <v>0</v>
      </c>
      <c r="JR465" s="89">
        <f t="shared" si="11787"/>
        <v>0</v>
      </c>
      <c r="JS465" s="74">
        <f>HG465-IF465</f>
        <v>0</v>
      </c>
      <c r="JT465" s="382">
        <f>GS465-IF465</f>
        <v>0</v>
      </c>
      <c r="JU465" s="665"/>
      <c r="JV465" s="524"/>
      <c r="JW465" s="525"/>
      <c r="JX465" s="549">
        <f t="shared" ref="JX465:JY470" si="11788">SUM(HH465,HJ465,HL465,HN465,HP465,HR465,HT465,HV465,HX465,HZ465,IB465,ID465)</f>
        <v>0</v>
      </c>
      <c r="JY465" s="549">
        <f t="shared" si="11788"/>
        <v>0</v>
      </c>
      <c r="JZ465" s="581">
        <f t="shared" si="11276"/>
        <v>0</v>
      </c>
      <c r="KA465" s="581">
        <f t="shared" si="11277"/>
        <v>-600</v>
      </c>
      <c r="KB465" s="549">
        <f t="shared" si="11273"/>
        <v>0</v>
      </c>
      <c r="KC465" s="709">
        <f t="shared" si="11275"/>
        <v>0</v>
      </c>
      <c r="KD465" s="36"/>
      <c r="KE465" s="36"/>
      <c r="KF465" s="36"/>
      <c r="KG465" s="36"/>
      <c r="KH465" s="36"/>
      <c r="KI465" s="36"/>
      <c r="KJ465" s="36"/>
      <c r="KK465" s="36"/>
    </row>
    <row r="466" spans="1:297" s="8" customFormat="1" ht="12.75" customHeight="1">
      <c r="A466" s="86" t="s">
        <v>279</v>
      </c>
      <c r="B466" s="77" t="s">
        <v>156</v>
      </c>
      <c r="C466" s="74">
        <v>3000</v>
      </c>
      <c r="D466" s="549">
        <v>0</v>
      </c>
      <c r="E466" s="675">
        <v>0</v>
      </c>
      <c r="F466" s="549">
        <v>0</v>
      </c>
      <c r="G466" s="675">
        <v>0</v>
      </c>
      <c r="H466" s="549">
        <v>0</v>
      </c>
      <c r="I466" s="675">
        <v>0</v>
      </c>
      <c r="J466" s="549">
        <v>0</v>
      </c>
      <c r="K466" s="675">
        <v>0</v>
      </c>
      <c r="L466" s="549">
        <v>0</v>
      </c>
      <c r="M466" s="675">
        <v>0</v>
      </c>
      <c r="N466" s="549">
        <v>0</v>
      </c>
      <c r="O466" s="675">
        <v>0</v>
      </c>
      <c r="P466" s="549">
        <v>0</v>
      </c>
      <c r="Q466" s="675">
        <v>0</v>
      </c>
      <c r="R466" s="549">
        <v>0</v>
      </c>
      <c r="S466" s="675">
        <v>0</v>
      </c>
      <c r="T466" s="549">
        <v>0</v>
      </c>
      <c r="U466" s="675">
        <v>0</v>
      </c>
      <c r="V466" s="549">
        <v>0</v>
      </c>
      <c r="W466" s="675">
        <v>0</v>
      </c>
      <c r="X466" s="549">
        <v>0</v>
      </c>
      <c r="Y466" s="675">
        <v>0</v>
      </c>
      <c r="Z466" s="549">
        <v>0</v>
      </c>
      <c r="AA466" s="675">
        <v>0</v>
      </c>
      <c r="AB466" s="549">
        <v>0</v>
      </c>
      <c r="AC466" s="675">
        <v>0</v>
      </c>
      <c r="AD466" s="549">
        <v>0</v>
      </c>
      <c r="AE466" s="675">
        <v>0</v>
      </c>
      <c r="AF466" s="549">
        <v>0</v>
      </c>
      <c r="AG466" s="675">
        <v>0</v>
      </c>
      <c r="AH466" s="549">
        <v>0</v>
      </c>
      <c r="AI466" s="675">
        <v>0</v>
      </c>
      <c r="AJ466" s="549">
        <v>0</v>
      </c>
      <c r="AK466" s="675">
        <v>0</v>
      </c>
      <c r="AL466" s="549">
        <v>0</v>
      </c>
      <c r="AM466" s="675">
        <v>0</v>
      </c>
      <c r="AN466" s="549">
        <v>0</v>
      </c>
      <c r="AO466" s="675">
        <v>0</v>
      </c>
      <c r="AP466" s="549">
        <v>0</v>
      </c>
      <c r="AQ466" s="675">
        <v>0</v>
      </c>
      <c r="AR466" s="549">
        <v>0</v>
      </c>
      <c r="AS466" s="675">
        <v>0</v>
      </c>
      <c r="AT466" s="549">
        <v>0</v>
      </c>
      <c r="AU466" s="675">
        <v>0</v>
      </c>
      <c r="AV466" s="549">
        <v>0</v>
      </c>
      <c r="AW466" s="675">
        <v>0</v>
      </c>
      <c r="AX466" s="549">
        <v>0</v>
      </c>
      <c r="AY466" s="675">
        <v>0</v>
      </c>
      <c r="AZ466" s="549">
        <v>0</v>
      </c>
      <c r="BA466" s="675">
        <v>0</v>
      </c>
      <c r="BB466" s="549">
        <v>0</v>
      </c>
      <c r="BC466" s="675">
        <v>0</v>
      </c>
      <c r="BD466" s="549">
        <v>0</v>
      </c>
      <c r="BE466" s="675">
        <v>0</v>
      </c>
      <c r="BF466" s="549">
        <v>0</v>
      </c>
      <c r="BG466" s="675">
        <v>0</v>
      </c>
      <c r="BH466" s="549">
        <v>0</v>
      </c>
      <c r="BI466" s="675">
        <v>0</v>
      </c>
      <c r="BJ466" s="549">
        <v>0</v>
      </c>
      <c r="BK466" s="675">
        <v>0</v>
      </c>
      <c r="BL466" s="549">
        <v>0</v>
      </c>
      <c r="BM466" s="675">
        <v>0</v>
      </c>
      <c r="BN466" s="549">
        <v>0</v>
      </c>
      <c r="BO466" s="675">
        <v>0</v>
      </c>
      <c r="BP466" s="549">
        <v>0</v>
      </c>
      <c r="BQ466" s="675">
        <v>0</v>
      </c>
      <c r="BR466" s="549">
        <v>0</v>
      </c>
      <c r="BS466" s="675">
        <v>0</v>
      </c>
      <c r="BT466" s="549">
        <v>0</v>
      </c>
      <c r="BU466" s="675">
        <v>0</v>
      </c>
      <c r="BV466" s="549">
        <v>0</v>
      </c>
      <c r="BW466" s="675">
        <v>0</v>
      </c>
      <c r="BX466" s="549">
        <v>0</v>
      </c>
      <c r="BY466" s="675">
        <v>0</v>
      </c>
      <c r="BZ466" s="549">
        <v>0</v>
      </c>
      <c r="CA466" s="675">
        <v>0</v>
      </c>
      <c r="CB466" s="549">
        <v>0</v>
      </c>
      <c r="CC466" s="675">
        <v>0</v>
      </c>
      <c r="CD466" s="549">
        <v>0</v>
      </c>
      <c r="CE466" s="675">
        <v>0</v>
      </c>
      <c r="CF466" s="549">
        <v>0</v>
      </c>
      <c r="CG466" s="675">
        <v>0</v>
      </c>
      <c r="CH466" s="549">
        <v>0</v>
      </c>
      <c r="CI466" s="675">
        <v>0</v>
      </c>
      <c r="CJ466" s="549">
        <v>0</v>
      </c>
      <c r="CK466" s="675">
        <v>-2000</v>
      </c>
      <c r="CL466" s="549">
        <v>0</v>
      </c>
      <c r="CM466" s="675">
        <v>0</v>
      </c>
      <c r="CN466" s="549">
        <v>0</v>
      </c>
      <c r="CO466" s="675">
        <v>0</v>
      </c>
      <c r="CP466" s="549">
        <v>0</v>
      </c>
      <c r="CQ466" s="675">
        <v>0</v>
      </c>
      <c r="CR466" s="549">
        <v>0</v>
      </c>
      <c r="CS466" s="675">
        <v>0</v>
      </c>
      <c r="CT466" s="549">
        <v>0</v>
      </c>
      <c r="CU466" s="675">
        <v>0</v>
      </c>
      <c r="CV466" s="549">
        <v>0</v>
      </c>
      <c r="CW466" s="675">
        <v>0</v>
      </c>
      <c r="CX466" s="549">
        <v>0</v>
      </c>
      <c r="CY466" s="675">
        <v>0</v>
      </c>
      <c r="CZ466" s="549">
        <v>0</v>
      </c>
      <c r="DA466" s="675">
        <v>0</v>
      </c>
      <c r="DB466" s="549">
        <v>0</v>
      </c>
      <c r="DC466" s="675">
        <v>0</v>
      </c>
      <c r="DD466" s="549">
        <v>0</v>
      </c>
      <c r="DE466" s="675">
        <v>0</v>
      </c>
      <c r="DF466" s="549">
        <v>0</v>
      </c>
      <c r="DG466" s="675">
        <v>0</v>
      </c>
      <c r="DH466" s="549">
        <v>0</v>
      </c>
      <c r="DI466" s="675">
        <v>-1000</v>
      </c>
      <c r="DJ466" s="549">
        <v>0</v>
      </c>
      <c r="DK466" s="675">
        <v>0</v>
      </c>
      <c r="DL466" s="549">
        <v>0</v>
      </c>
      <c r="DM466" s="675">
        <v>0</v>
      </c>
      <c r="DN466" s="549">
        <v>0</v>
      </c>
      <c r="DO466" s="675">
        <v>0</v>
      </c>
      <c r="DP466" s="549">
        <v>0</v>
      </c>
      <c r="DQ466" s="675">
        <v>0</v>
      </c>
      <c r="DR466" s="549">
        <v>0</v>
      </c>
      <c r="DS466" s="675">
        <v>0</v>
      </c>
      <c r="DT466" s="549">
        <v>0</v>
      </c>
      <c r="DU466" s="675">
        <v>0</v>
      </c>
      <c r="DV466" s="549">
        <v>0</v>
      </c>
      <c r="DW466" s="675">
        <v>0</v>
      </c>
      <c r="DX466" s="549">
        <v>0</v>
      </c>
      <c r="DY466" s="675">
        <v>0</v>
      </c>
      <c r="DZ466" s="549">
        <v>0</v>
      </c>
      <c r="EA466" s="675">
        <v>0</v>
      </c>
      <c r="EB466" s="549">
        <v>0</v>
      </c>
      <c r="EC466" s="675">
        <v>0</v>
      </c>
      <c r="ED466" s="549">
        <v>0</v>
      </c>
      <c r="EE466" s="675">
        <v>0</v>
      </c>
      <c r="EF466" s="549">
        <v>0</v>
      </c>
      <c r="EG466" s="675">
        <v>0</v>
      </c>
      <c r="EH466" s="549">
        <v>0</v>
      </c>
      <c r="EI466" s="675">
        <v>0</v>
      </c>
      <c r="EJ466" s="549">
        <v>0</v>
      </c>
      <c r="EK466" s="675">
        <v>0</v>
      </c>
      <c r="EL466" s="549">
        <v>0</v>
      </c>
      <c r="EM466" s="675">
        <v>0</v>
      </c>
      <c r="EN466" s="549">
        <v>0</v>
      </c>
      <c r="EO466" s="675">
        <v>0</v>
      </c>
      <c r="EP466" s="549">
        <v>0</v>
      </c>
      <c r="EQ466" s="675">
        <v>0</v>
      </c>
      <c r="ER466" s="549">
        <v>0</v>
      </c>
      <c r="ES466" s="675">
        <v>0</v>
      </c>
      <c r="ET466" s="549">
        <v>0</v>
      </c>
      <c r="EU466" s="675">
        <v>0</v>
      </c>
      <c r="EV466" s="549">
        <v>0</v>
      </c>
      <c r="EW466" s="675">
        <v>0</v>
      </c>
      <c r="EX466" s="549">
        <v>0</v>
      </c>
      <c r="EY466" s="675">
        <v>0</v>
      </c>
      <c r="EZ466" s="549">
        <v>0</v>
      </c>
      <c r="FA466" s="675">
        <v>0</v>
      </c>
      <c r="FB466" s="549">
        <v>0</v>
      </c>
      <c r="FC466" s="675">
        <v>0</v>
      </c>
      <c r="FD466" s="549">
        <v>0</v>
      </c>
      <c r="FE466" s="675">
        <v>0</v>
      </c>
      <c r="FF466" s="549">
        <v>0</v>
      </c>
      <c r="FG466" s="675">
        <v>0</v>
      </c>
      <c r="FH466" s="549">
        <v>0</v>
      </c>
      <c r="FI466" s="675">
        <v>0</v>
      </c>
      <c r="FJ466" s="549">
        <v>0</v>
      </c>
      <c r="FK466" s="675">
        <v>0</v>
      </c>
      <c r="FL466" s="549">
        <v>0</v>
      </c>
      <c r="FM466" s="675">
        <v>0</v>
      </c>
      <c r="FN466" s="549">
        <v>0</v>
      </c>
      <c r="FO466" s="675">
        <v>0</v>
      </c>
      <c r="FP466" s="549">
        <v>0</v>
      </c>
      <c r="FQ466" s="675">
        <v>0</v>
      </c>
      <c r="FR466" s="549">
        <v>0</v>
      </c>
      <c r="FS466" s="675">
        <v>0</v>
      </c>
      <c r="FT466" s="549">
        <v>0</v>
      </c>
      <c r="FU466" s="675">
        <v>0</v>
      </c>
      <c r="FV466" s="549">
        <v>0</v>
      </c>
      <c r="FW466" s="675">
        <v>0</v>
      </c>
      <c r="FX466" s="549">
        <v>0</v>
      </c>
      <c r="FY466" s="675">
        <v>0</v>
      </c>
      <c r="FZ466" s="549">
        <v>0</v>
      </c>
      <c r="GA466" s="675">
        <v>0</v>
      </c>
      <c r="GB466" s="549">
        <v>0</v>
      </c>
      <c r="GC466" s="675">
        <v>0</v>
      </c>
      <c r="GD466" s="549">
        <v>0</v>
      </c>
      <c r="GE466" s="675">
        <v>0</v>
      </c>
      <c r="GF466" s="549">
        <v>0</v>
      </c>
      <c r="GG466" s="675">
        <v>0</v>
      </c>
      <c r="GH466" s="549">
        <v>0</v>
      </c>
      <c r="GI466" s="675">
        <v>0</v>
      </c>
      <c r="GJ466" s="549">
        <v>0</v>
      </c>
      <c r="GK466" s="675">
        <v>0</v>
      </c>
      <c r="GL466" s="549">
        <v>0</v>
      </c>
      <c r="GM466" s="675">
        <v>0</v>
      </c>
      <c r="GN466" s="549">
        <v>0</v>
      </c>
      <c r="GO466" s="675">
        <v>0</v>
      </c>
      <c r="GP466" s="549">
        <f>+D466+F466+H466+J466+L466+N466+P466+R466+T466+V466+X466+Z466+AB466+AD466+AH466+AJ466+AL466+AN466+AP466+AR466+AT466+AV466+AX466+AZ466+BB466+BD466+BF466+BH466+BJ466+BL466+BN466+BP466+BR466+BT466+BV466+BX466+BZ466+CB466+CD466+CF466+CH466+CJ466+CL466+CN466+CP466+CR466+CT466+CV466+CX466+CZ466+DB466+DD466+DF466+DH466+DT466+EX466+DJ466+DL466+DN466+DP466+DR466+EJ466+EB466+DZ466+DX466+DV466+ED466+EF466+EH466+EL466+EN466+EP466+EV466+ET466+ER466+EZ466+FB466+FD466+GL466+FF466+FJ466+FL466+GJ466+FT466+FR466+FP466+FN466+FH466</f>
        <v>0</v>
      </c>
      <c r="GQ466" s="675">
        <f>+E466+G466+I466+K466+M466+O466+Q466+S466+U466+W466+Y466+AA466+AC466+AE466+AI466+AK466+AM466+AO466+AQ466+AS466+AU466+AW466+AY466+BA466+BC466+BE466+BG466+BI466+BK466+BM466+BO466+BQ466+BS466+BU466+BW466+BY466+CA466+CC466+CE466+CG466+CI466+CK466+CM466+CO466+CQ466+CS466+CU466+CW466+CY466+DA466+DC466+DE466+DG466+DI466+DU466+EY466+DK466+DM466+DO466+DQ466+DS466+EK466+EC466+EA466+DY466+DW466+EI466+EG466+EE466+EM466+EO466+EQ466+EW466+EU466+ES466+FA466+FC466+FE466+GM466+FG466+FK466+FM466+FO466+FQ466+FS466+FU466+GK466+FI466</f>
        <v>-3000</v>
      </c>
      <c r="GR466" s="74">
        <f t="shared" si="11759"/>
        <v>0</v>
      </c>
      <c r="GS466" s="74">
        <f t="shared" si="11760"/>
        <v>0</v>
      </c>
      <c r="GT466" s="568">
        <f t="shared" si="11761"/>
        <v>0</v>
      </c>
      <c r="GU466" s="275">
        <v>0</v>
      </c>
      <c r="GV466" s="275">
        <v>1000</v>
      </c>
      <c r="GW466" s="275">
        <v>0</v>
      </c>
      <c r="GX466" s="275">
        <v>1000</v>
      </c>
      <c r="GY466" s="275">
        <v>0</v>
      </c>
      <c r="GZ466" s="275">
        <v>0</v>
      </c>
      <c r="HA466" s="275">
        <v>1000</v>
      </c>
      <c r="HB466" s="275">
        <v>0</v>
      </c>
      <c r="HC466" s="275">
        <v>0</v>
      </c>
      <c r="HD466" s="275">
        <v>0</v>
      </c>
      <c r="HE466" s="275">
        <v>0</v>
      </c>
      <c r="HF466" s="275">
        <v>0</v>
      </c>
      <c r="HG466" s="74">
        <f>SUM(HH466:IE466)</f>
        <v>0</v>
      </c>
      <c r="HH466" s="89">
        <v>0</v>
      </c>
      <c r="HI466" s="817">
        <v>0</v>
      </c>
      <c r="HJ466" s="89">
        <v>0</v>
      </c>
      <c r="HK466" s="817">
        <v>0</v>
      </c>
      <c r="HL466" s="89">
        <v>0</v>
      </c>
      <c r="HM466" s="817">
        <v>0</v>
      </c>
      <c r="HN466" s="89">
        <v>0</v>
      </c>
      <c r="HO466" s="817">
        <v>0</v>
      </c>
      <c r="HP466" s="89">
        <v>0</v>
      </c>
      <c r="HQ466" s="817">
        <v>0</v>
      </c>
      <c r="HR466" s="89">
        <v>0</v>
      </c>
      <c r="HS466" s="817">
        <v>0</v>
      </c>
      <c r="HT466" s="89">
        <v>0</v>
      </c>
      <c r="HU466" s="817">
        <v>0</v>
      </c>
      <c r="HV466" s="89">
        <v>0</v>
      </c>
      <c r="HW466" s="817">
        <v>0</v>
      </c>
      <c r="HX466" s="89">
        <v>0</v>
      </c>
      <c r="HY466" s="817">
        <v>0</v>
      </c>
      <c r="HZ466" s="89">
        <v>0</v>
      </c>
      <c r="IA466" s="817">
        <v>0</v>
      </c>
      <c r="IB466" s="89">
        <v>0</v>
      </c>
      <c r="IC466" s="817">
        <v>0</v>
      </c>
      <c r="ID466" s="89">
        <v>0</v>
      </c>
      <c r="IE466" s="817">
        <v>0</v>
      </c>
      <c r="IF466" s="841">
        <f t="shared" si="11762"/>
        <v>0</v>
      </c>
      <c r="IG466" s="263">
        <f t="shared" si="11763"/>
        <v>0</v>
      </c>
      <c r="IH466" s="842">
        <f t="shared" si="11764"/>
        <v>0</v>
      </c>
      <c r="II466" s="89">
        <v>0</v>
      </c>
      <c r="IJ466" s="89">
        <f t="shared" si="11765"/>
        <v>0</v>
      </c>
      <c r="IK466" s="89">
        <f t="shared" si="11766"/>
        <v>0</v>
      </c>
      <c r="IL466" s="89">
        <v>0</v>
      </c>
      <c r="IM466" s="89">
        <f t="shared" si="11767"/>
        <v>0</v>
      </c>
      <c r="IN466" s="89">
        <f t="shared" si="11768"/>
        <v>0</v>
      </c>
      <c r="IO466" s="89">
        <v>0</v>
      </c>
      <c r="IP466" s="89">
        <f t="shared" si="11769"/>
        <v>0</v>
      </c>
      <c r="IQ466" s="89">
        <f t="shared" si="11770"/>
        <v>0</v>
      </c>
      <c r="IR466" s="89">
        <v>0</v>
      </c>
      <c r="IS466" s="89">
        <f t="shared" si="11771"/>
        <v>0</v>
      </c>
      <c r="IT466" s="89">
        <f t="shared" si="11772"/>
        <v>0</v>
      </c>
      <c r="IU466" s="89">
        <v>0</v>
      </c>
      <c r="IV466" s="89">
        <f t="shared" si="11773"/>
        <v>0</v>
      </c>
      <c r="IW466" s="89">
        <f t="shared" si="11774"/>
        <v>0</v>
      </c>
      <c r="IX466" s="89">
        <v>0</v>
      </c>
      <c r="IY466" s="89">
        <f t="shared" si="11775"/>
        <v>0</v>
      </c>
      <c r="IZ466" s="89">
        <f t="shared" si="11776"/>
        <v>0</v>
      </c>
      <c r="JA466" s="89">
        <v>0</v>
      </c>
      <c r="JB466" s="89">
        <f t="shared" si="11777"/>
        <v>0</v>
      </c>
      <c r="JC466" s="89">
        <f t="shared" si="11778"/>
        <v>0</v>
      </c>
      <c r="JD466" s="89">
        <v>0</v>
      </c>
      <c r="JE466" s="89">
        <f t="shared" si="11779"/>
        <v>0</v>
      </c>
      <c r="JF466" s="89">
        <f t="shared" si="11780"/>
        <v>0</v>
      </c>
      <c r="JG466" s="89">
        <v>0</v>
      </c>
      <c r="JH466" s="89">
        <f t="shared" si="11781"/>
        <v>0</v>
      </c>
      <c r="JI466" s="89">
        <f t="shared" si="11782"/>
        <v>0</v>
      </c>
      <c r="JJ466" s="89">
        <v>0</v>
      </c>
      <c r="JK466" s="89">
        <f t="shared" si="11783"/>
        <v>0</v>
      </c>
      <c r="JL466" s="89">
        <f t="shared" si="11784"/>
        <v>0</v>
      </c>
      <c r="JM466" s="89">
        <v>0</v>
      </c>
      <c r="JN466" s="89">
        <f t="shared" si="11785"/>
        <v>0</v>
      </c>
      <c r="JO466" s="89">
        <f t="shared" si="11786"/>
        <v>0</v>
      </c>
      <c r="JP466" s="89">
        <v>0</v>
      </c>
      <c r="JQ466" s="89">
        <f t="shared" ref="JQ466:JR466" si="11789">JP466</f>
        <v>0</v>
      </c>
      <c r="JR466" s="89">
        <f t="shared" si="11789"/>
        <v>0</v>
      </c>
      <c r="JS466" s="74">
        <f>HG466-IF466</f>
        <v>0</v>
      </c>
      <c r="JT466" s="382">
        <f>GS466-IF466</f>
        <v>0</v>
      </c>
      <c r="JU466" s="665"/>
      <c r="JV466" s="524"/>
      <c r="JW466" s="525"/>
      <c r="JX466" s="549">
        <f t="shared" si="11788"/>
        <v>0</v>
      </c>
      <c r="JY466" s="549">
        <f t="shared" si="11788"/>
        <v>0</v>
      </c>
      <c r="JZ466" s="581">
        <f t="shared" si="11276"/>
        <v>0</v>
      </c>
      <c r="KA466" s="581">
        <f t="shared" si="11277"/>
        <v>-3000</v>
      </c>
      <c r="KB466" s="549">
        <f t="shared" si="11273"/>
        <v>0</v>
      </c>
      <c r="KC466" s="709">
        <f t="shared" si="11275"/>
        <v>0</v>
      </c>
      <c r="KD466" s="36"/>
      <c r="KE466" s="36"/>
      <c r="KF466" s="36"/>
      <c r="KG466" s="36"/>
      <c r="KH466" s="36"/>
      <c r="KI466" s="36"/>
      <c r="KJ466" s="36"/>
      <c r="KK466" s="36"/>
    </row>
    <row r="467" spans="1:297" s="8" customFormat="1">
      <c r="A467" s="86" t="s">
        <v>280</v>
      </c>
      <c r="B467" s="77" t="s">
        <v>157</v>
      </c>
      <c r="C467" s="74">
        <v>5000</v>
      </c>
      <c r="D467" s="549">
        <v>0</v>
      </c>
      <c r="E467" s="675">
        <v>0</v>
      </c>
      <c r="F467" s="549">
        <v>0</v>
      </c>
      <c r="G467" s="675">
        <v>0</v>
      </c>
      <c r="H467" s="549">
        <v>0</v>
      </c>
      <c r="I467" s="675">
        <v>0</v>
      </c>
      <c r="J467" s="549">
        <v>0</v>
      </c>
      <c r="K467" s="675">
        <v>0</v>
      </c>
      <c r="L467" s="549">
        <v>0</v>
      </c>
      <c r="M467" s="675">
        <v>0</v>
      </c>
      <c r="N467" s="549">
        <v>0</v>
      </c>
      <c r="O467" s="675">
        <v>0</v>
      </c>
      <c r="P467" s="549">
        <v>0</v>
      </c>
      <c r="Q467" s="675">
        <v>0</v>
      </c>
      <c r="R467" s="549">
        <v>0</v>
      </c>
      <c r="S467" s="675">
        <v>0</v>
      </c>
      <c r="T467" s="549">
        <v>0</v>
      </c>
      <c r="U467" s="675">
        <v>0</v>
      </c>
      <c r="V467" s="549">
        <v>0</v>
      </c>
      <c r="W467" s="675">
        <v>0</v>
      </c>
      <c r="X467" s="549">
        <v>0</v>
      </c>
      <c r="Y467" s="675">
        <v>0</v>
      </c>
      <c r="Z467" s="549">
        <v>0</v>
      </c>
      <c r="AA467" s="675">
        <v>0</v>
      </c>
      <c r="AB467" s="549">
        <v>0</v>
      </c>
      <c r="AC467" s="675">
        <v>0</v>
      </c>
      <c r="AD467" s="549">
        <v>0</v>
      </c>
      <c r="AE467" s="675">
        <v>-1000</v>
      </c>
      <c r="AF467" s="549">
        <v>0</v>
      </c>
      <c r="AG467" s="675">
        <v>0</v>
      </c>
      <c r="AH467" s="549">
        <v>0</v>
      </c>
      <c r="AI467" s="675">
        <v>0</v>
      </c>
      <c r="AJ467" s="549">
        <v>0</v>
      </c>
      <c r="AK467" s="675">
        <v>0</v>
      </c>
      <c r="AL467" s="549">
        <v>0</v>
      </c>
      <c r="AM467" s="675">
        <v>0</v>
      </c>
      <c r="AN467" s="549">
        <v>0</v>
      </c>
      <c r="AO467" s="675">
        <v>0</v>
      </c>
      <c r="AP467" s="549">
        <v>0</v>
      </c>
      <c r="AQ467" s="675">
        <v>0</v>
      </c>
      <c r="AR467" s="549">
        <v>0</v>
      </c>
      <c r="AS467" s="675">
        <v>0</v>
      </c>
      <c r="AT467" s="549">
        <v>0</v>
      </c>
      <c r="AU467" s="675">
        <v>0</v>
      </c>
      <c r="AV467" s="549">
        <v>0</v>
      </c>
      <c r="AW467" s="675">
        <v>0</v>
      </c>
      <c r="AX467" s="549">
        <v>0</v>
      </c>
      <c r="AY467" s="675">
        <v>0</v>
      </c>
      <c r="AZ467" s="549">
        <v>0</v>
      </c>
      <c r="BA467" s="675">
        <v>-1000</v>
      </c>
      <c r="BB467" s="549">
        <v>0</v>
      </c>
      <c r="BC467" s="675">
        <v>0</v>
      </c>
      <c r="BD467" s="549">
        <v>0</v>
      </c>
      <c r="BE467" s="675">
        <v>0</v>
      </c>
      <c r="BF467" s="549">
        <v>0</v>
      </c>
      <c r="BG467" s="675">
        <v>0</v>
      </c>
      <c r="BH467" s="549">
        <v>0</v>
      </c>
      <c r="BI467" s="675">
        <v>0</v>
      </c>
      <c r="BJ467" s="549">
        <v>0</v>
      </c>
      <c r="BK467" s="675">
        <v>0</v>
      </c>
      <c r="BL467" s="549">
        <v>0</v>
      </c>
      <c r="BM467" s="675">
        <v>0</v>
      </c>
      <c r="BN467" s="549">
        <v>0</v>
      </c>
      <c r="BO467" s="675">
        <v>0</v>
      </c>
      <c r="BP467" s="549">
        <v>0</v>
      </c>
      <c r="BQ467" s="675">
        <v>0</v>
      </c>
      <c r="BR467" s="549">
        <v>0</v>
      </c>
      <c r="BS467" s="675">
        <v>0</v>
      </c>
      <c r="BT467" s="549">
        <v>0</v>
      </c>
      <c r="BU467" s="675">
        <v>0</v>
      </c>
      <c r="BV467" s="549">
        <v>0</v>
      </c>
      <c r="BW467" s="675">
        <v>0</v>
      </c>
      <c r="BX467" s="549">
        <v>0</v>
      </c>
      <c r="BY467" s="675">
        <v>0</v>
      </c>
      <c r="BZ467" s="549">
        <v>0</v>
      </c>
      <c r="CA467" s="675">
        <v>0</v>
      </c>
      <c r="CB467" s="549">
        <v>0</v>
      </c>
      <c r="CC467" s="675">
        <v>0</v>
      </c>
      <c r="CD467" s="549">
        <v>0</v>
      </c>
      <c r="CE467" s="675">
        <v>0</v>
      </c>
      <c r="CF467" s="549">
        <v>0</v>
      </c>
      <c r="CG467" s="675">
        <v>0</v>
      </c>
      <c r="CH467" s="549">
        <v>0</v>
      </c>
      <c r="CI467" s="675">
        <v>0</v>
      </c>
      <c r="CJ467" s="549">
        <v>0</v>
      </c>
      <c r="CK467" s="675">
        <v>-2000</v>
      </c>
      <c r="CL467" s="549">
        <v>0</v>
      </c>
      <c r="CM467" s="675">
        <v>0</v>
      </c>
      <c r="CN467" s="549">
        <v>0</v>
      </c>
      <c r="CO467" s="675">
        <v>0</v>
      </c>
      <c r="CP467" s="549">
        <v>0</v>
      </c>
      <c r="CQ467" s="675">
        <v>0</v>
      </c>
      <c r="CR467" s="549">
        <v>0</v>
      </c>
      <c r="CS467" s="675">
        <v>0</v>
      </c>
      <c r="CT467" s="549">
        <v>0</v>
      </c>
      <c r="CU467" s="675">
        <v>0</v>
      </c>
      <c r="CV467" s="549">
        <v>0</v>
      </c>
      <c r="CW467" s="675">
        <v>0</v>
      </c>
      <c r="CX467" s="549">
        <v>0</v>
      </c>
      <c r="CY467" s="675">
        <v>0</v>
      </c>
      <c r="CZ467" s="549">
        <v>0</v>
      </c>
      <c r="DA467" s="675">
        <v>0</v>
      </c>
      <c r="DB467" s="549">
        <v>0</v>
      </c>
      <c r="DC467" s="675">
        <v>0</v>
      </c>
      <c r="DD467" s="549">
        <v>0</v>
      </c>
      <c r="DE467" s="675">
        <v>0</v>
      </c>
      <c r="DF467" s="549">
        <v>0</v>
      </c>
      <c r="DG467" s="675">
        <v>0</v>
      </c>
      <c r="DH467" s="549">
        <v>0</v>
      </c>
      <c r="DI467" s="675">
        <v>0</v>
      </c>
      <c r="DJ467" s="549">
        <v>0</v>
      </c>
      <c r="DK467" s="675">
        <v>0</v>
      </c>
      <c r="DL467" s="549">
        <v>0</v>
      </c>
      <c r="DM467" s="675">
        <v>0</v>
      </c>
      <c r="DN467" s="549">
        <v>0</v>
      </c>
      <c r="DO467" s="675">
        <v>0</v>
      </c>
      <c r="DP467" s="549">
        <v>0</v>
      </c>
      <c r="DQ467" s="675">
        <v>0</v>
      </c>
      <c r="DR467" s="549">
        <v>0</v>
      </c>
      <c r="DS467" s="675">
        <v>0</v>
      </c>
      <c r="DT467" s="549">
        <v>0</v>
      </c>
      <c r="DU467" s="675">
        <v>0</v>
      </c>
      <c r="DV467" s="549">
        <v>0</v>
      </c>
      <c r="DW467" s="675">
        <v>0</v>
      </c>
      <c r="DX467" s="549">
        <v>0</v>
      </c>
      <c r="DY467" s="675">
        <v>0</v>
      </c>
      <c r="DZ467" s="549">
        <v>0</v>
      </c>
      <c r="EA467" s="675">
        <v>0</v>
      </c>
      <c r="EB467" s="549">
        <v>0</v>
      </c>
      <c r="EC467" s="675">
        <v>0</v>
      </c>
      <c r="ED467" s="549">
        <v>0</v>
      </c>
      <c r="EE467" s="675">
        <v>0</v>
      </c>
      <c r="EF467" s="549">
        <v>0</v>
      </c>
      <c r="EG467" s="675">
        <v>0</v>
      </c>
      <c r="EH467" s="549">
        <v>0</v>
      </c>
      <c r="EI467" s="675">
        <v>0</v>
      </c>
      <c r="EJ467" s="549">
        <v>0</v>
      </c>
      <c r="EK467" s="675">
        <v>0</v>
      </c>
      <c r="EL467" s="549">
        <v>0</v>
      </c>
      <c r="EM467" s="675">
        <v>0</v>
      </c>
      <c r="EN467" s="549">
        <v>0</v>
      </c>
      <c r="EO467" s="675">
        <v>0</v>
      </c>
      <c r="EP467" s="549">
        <v>0</v>
      </c>
      <c r="EQ467" s="675">
        <v>0</v>
      </c>
      <c r="ER467" s="549">
        <v>0</v>
      </c>
      <c r="ES467" s="675">
        <v>0</v>
      </c>
      <c r="ET467" s="549">
        <v>0</v>
      </c>
      <c r="EU467" s="675">
        <v>0</v>
      </c>
      <c r="EV467" s="549">
        <v>0</v>
      </c>
      <c r="EW467" s="675">
        <v>0</v>
      </c>
      <c r="EX467" s="549">
        <v>0</v>
      </c>
      <c r="EY467" s="675">
        <v>0</v>
      </c>
      <c r="EZ467" s="549">
        <v>0</v>
      </c>
      <c r="FA467" s="675">
        <v>0</v>
      </c>
      <c r="FB467" s="549">
        <v>0</v>
      </c>
      <c r="FC467" s="675">
        <v>0</v>
      </c>
      <c r="FD467" s="549">
        <v>0</v>
      </c>
      <c r="FE467" s="675">
        <v>0</v>
      </c>
      <c r="FF467" s="549">
        <v>0</v>
      </c>
      <c r="FG467" s="675">
        <v>0</v>
      </c>
      <c r="FH467" s="549">
        <v>0</v>
      </c>
      <c r="FI467" s="675">
        <v>0</v>
      </c>
      <c r="FJ467" s="549">
        <v>0</v>
      </c>
      <c r="FK467" s="675">
        <v>0</v>
      </c>
      <c r="FL467" s="549">
        <v>0</v>
      </c>
      <c r="FM467" s="675">
        <v>0</v>
      </c>
      <c r="FN467" s="549">
        <v>0</v>
      </c>
      <c r="FO467" s="675">
        <v>0</v>
      </c>
      <c r="FP467" s="549">
        <v>0</v>
      </c>
      <c r="FQ467" s="675">
        <v>0</v>
      </c>
      <c r="FR467" s="549">
        <v>0</v>
      </c>
      <c r="FS467" s="675">
        <v>0</v>
      </c>
      <c r="FT467" s="549">
        <v>0</v>
      </c>
      <c r="FU467" s="675">
        <v>0</v>
      </c>
      <c r="FV467" s="549">
        <v>0</v>
      </c>
      <c r="FW467" s="675">
        <v>0</v>
      </c>
      <c r="FX467" s="549">
        <v>0</v>
      </c>
      <c r="FY467" s="675">
        <v>0</v>
      </c>
      <c r="FZ467" s="549">
        <v>0</v>
      </c>
      <c r="GA467" s="675">
        <v>0</v>
      </c>
      <c r="GB467" s="549">
        <v>0</v>
      </c>
      <c r="GC467" s="675">
        <v>0</v>
      </c>
      <c r="GD467" s="549">
        <v>0</v>
      </c>
      <c r="GE467" s="675">
        <v>0</v>
      </c>
      <c r="GF467" s="549">
        <v>0</v>
      </c>
      <c r="GG467" s="675">
        <v>0</v>
      </c>
      <c r="GH467" s="549">
        <v>0</v>
      </c>
      <c r="GI467" s="675">
        <v>0</v>
      </c>
      <c r="GJ467" s="549">
        <v>0</v>
      </c>
      <c r="GK467" s="675">
        <v>0</v>
      </c>
      <c r="GL467" s="549">
        <v>0</v>
      </c>
      <c r="GM467" s="675">
        <v>0</v>
      </c>
      <c r="GN467" s="549">
        <v>0</v>
      </c>
      <c r="GO467" s="675">
        <v>0</v>
      </c>
      <c r="GP467" s="549">
        <f t="shared" ref="GP467:GP470" si="11790">+D467+F467+H467+J467+L467+N467+P467+R467+T467+V467+X467+Z467+AB467+AF467+AD467+AH467+AJ467+AL467+AN467+AP467+AR467+AT467+AV467+AX467+AZ467+BB467+BD467+BF467+BH467+BJ467+BL467+BN467+BP467+BR467+BT467+BV467+BX467+BZ467+CB467+CD467+CF467+CH467+CJ467+CL467+CN467+CP467+CR467+CT467+CV467+CX467+CZ467+DB467+DD467+DF467+DH467+DT467+EX467+DJ467+DL467+DN467+DP467+DR467+EJ467+EB467+DZ467+DX467+DV467+ED467+EF467+EH467+EL467+EN467+EP467+EV467+ET467+ER467+EZ467+FB467+FD467+GL467+FF467+FJ467+FL467+GJ467+FT467+FR467+FP467+FN467+FH467+GH467+GF467+GD467+GB467+FZ467+FX467+FV467+GN467</f>
        <v>0</v>
      </c>
      <c r="GQ467" s="675">
        <f t="shared" ref="GQ467:GQ470" si="11791">+E467+G467+I467+K467+M467+O467+Q467+S467+U467+W467+Y467+AA467+AC467+AE467+AG467+AI467+AK467+AM467+AO467+AQ467+AS467+AU467+AW467+AY467+BA467+BC467+BE467+BG467+BI467+BK467+BM467+BO467+BQ467+BS467+BU467+BW467+BY467+CA467+CC467+CE467+CG467+CI467+CK467+CM467+CO467+CQ467+CS467+CU467+CW467+CY467+DA467+DC467+DE467+DG467+DI467+DU467+EY467+DK467+DM467+DO467+DQ467+DS467+EK467+EC467+EA467+DY467+DW467+EI467+EG467+EE467+EM467+EO467+EQ467+EW467+EU467+ES467+FA467+FC467+FE467+GM467+FG467+FK467+FM467+FO467+FQ467+FS467+FU467+GK467+FI467+GI467+GG467+GE467+GC467+GA467+FY467+FW467+GO467</f>
        <v>-4000</v>
      </c>
      <c r="GR467" s="74">
        <f t="shared" si="11759"/>
        <v>1000</v>
      </c>
      <c r="GS467" s="74">
        <f t="shared" si="11760"/>
        <v>1000</v>
      </c>
      <c r="GT467" s="568">
        <f t="shared" si="11761"/>
        <v>1000</v>
      </c>
      <c r="GU467" s="275">
        <v>2500</v>
      </c>
      <c r="GV467" s="275"/>
      <c r="GW467" s="275"/>
      <c r="GX467" s="275">
        <v>2500</v>
      </c>
      <c r="GY467" s="275"/>
      <c r="GZ467" s="275"/>
      <c r="HA467" s="275"/>
      <c r="HB467" s="275"/>
      <c r="HC467" s="275"/>
      <c r="HD467" s="275"/>
      <c r="HE467" s="275">
        <v>0</v>
      </c>
      <c r="HF467" s="275">
        <v>0</v>
      </c>
      <c r="HG467" s="74">
        <f>SUM(HH467:IE467)</f>
        <v>1000</v>
      </c>
      <c r="HH467" s="89">
        <v>2500</v>
      </c>
      <c r="HI467" s="817">
        <v>0</v>
      </c>
      <c r="HJ467" s="89">
        <v>0</v>
      </c>
      <c r="HK467" s="817">
        <v>0</v>
      </c>
      <c r="HL467" s="89">
        <v>-1000</v>
      </c>
      <c r="HM467" s="817">
        <v>0</v>
      </c>
      <c r="HN467" s="89">
        <v>0</v>
      </c>
      <c r="HO467" s="817">
        <v>0</v>
      </c>
      <c r="HP467" s="89">
        <v>0</v>
      </c>
      <c r="HQ467" s="817">
        <v>0</v>
      </c>
      <c r="HR467" s="89">
        <v>0</v>
      </c>
      <c r="HS467" s="817">
        <v>0</v>
      </c>
      <c r="HT467" s="89">
        <v>-500</v>
      </c>
      <c r="HU467" s="817">
        <v>0</v>
      </c>
      <c r="HV467" s="89">
        <v>0</v>
      </c>
      <c r="HW467" s="817">
        <v>0</v>
      </c>
      <c r="HX467" s="89">
        <v>0</v>
      </c>
      <c r="HY467" s="817">
        <v>0</v>
      </c>
      <c r="HZ467" s="89">
        <v>0</v>
      </c>
      <c r="IA467" s="817">
        <v>0</v>
      </c>
      <c r="IB467" s="89">
        <v>0</v>
      </c>
      <c r="IC467" s="817">
        <v>0</v>
      </c>
      <c r="ID467" s="89">
        <v>0</v>
      </c>
      <c r="IE467" s="817">
        <v>0</v>
      </c>
      <c r="IF467" s="841">
        <f t="shared" si="11762"/>
        <v>944.47</v>
      </c>
      <c r="IG467" s="263">
        <f t="shared" si="11763"/>
        <v>944.47</v>
      </c>
      <c r="IH467" s="842">
        <f t="shared" si="11764"/>
        <v>944.47</v>
      </c>
      <c r="II467" s="89">
        <v>0</v>
      </c>
      <c r="IJ467" s="89">
        <f t="shared" si="11765"/>
        <v>0</v>
      </c>
      <c r="IK467" s="89">
        <f t="shared" si="11766"/>
        <v>0</v>
      </c>
      <c r="IL467" s="89">
        <v>0</v>
      </c>
      <c r="IM467" s="89">
        <f t="shared" si="11767"/>
        <v>0</v>
      </c>
      <c r="IN467" s="89">
        <f t="shared" si="11768"/>
        <v>0</v>
      </c>
      <c r="IO467" s="89">
        <v>0</v>
      </c>
      <c r="IP467" s="89">
        <f t="shared" si="11769"/>
        <v>0</v>
      </c>
      <c r="IQ467" s="89">
        <f t="shared" si="11770"/>
        <v>0</v>
      </c>
      <c r="IR467" s="89">
        <v>60</v>
      </c>
      <c r="IS467" s="89">
        <f t="shared" si="11771"/>
        <v>60</v>
      </c>
      <c r="IT467" s="89">
        <f t="shared" si="11772"/>
        <v>60</v>
      </c>
      <c r="IU467" s="89">
        <v>0</v>
      </c>
      <c r="IV467" s="89">
        <f t="shared" si="11773"/>
        <v>0</v>
      </c>
      <c r="IW467" s="89">
        <f t="shared" si="11774"/>
        <v>0</v>
      </c>
      <c r="IX467" s="89">
        <v>30</v>
      </c>
      <c r="IY467" s="89">
        <f t="shared" si="11775"/>
        <v>30</v>
      </c>
      <c r="IZ467" s="89">
        <f t="shared" si="11776"/>
        <v>30</v>
      </c>
      <c r="JA467" s="89">
        <f>448.77-90</f>
        <v>358.77</v>
      </c>
      <c r="JB467" s="89">
        <f t="shared" si="11777"/>
        <v>358.77</v>
      </c>
      <c r="JC467" s="89">
        <f t="shared" si="11778"/>
        <v>358.77</v>
      </c>
      <c r="JD467" s="89">
        <f>866.86-448.77</f>
        <v>418.09000000000003</v>
      </c>
      <c r="JE467" s="89">
        <f t="shared" si="11779"/>
        <v>418.09000000000003</v>
      </c>
      <c r="JF467" s="89">
        <f t="shared" si="11780"/>
        <v>418.09000000000003</v>
      </c>
      <c r="JG467" s="89">
        <v>0</v>
      </c>
      <c r="JH467" s="89">
        <f t="shared" si="11781"/>
        <v>0</v>
      </c>
      <c r="JI467" s="89">
        <f t="shared" si="11782"/>
        <v>0</v>
      </c>
      <c r="JJ467" s="89">
        <f>944.47-866.86</f>
        <v>77.610000000000014</v>
      </c>
      <c r="JK467" s="89">
        <f t="shared" si="11783"/>
        <v>77.610000000000014</v>
      </c>
      <c r="JL467" s="89">
        <f t="shared" si="11784"/>
        <v>77.610000000000014</v>
      </c>
      <c r="JM467" s="89">
        <v>0</v>
      </c>
      <c r="JN467" s="89">
        <f t="shared" si="11785"/>
        <v>0</v>
      </c>
      <c r="JO467" s="89">
        <f t="shared" si="11786"/>
        <v>0</v>
      </c>
      <c r="JP467" s="89">
        <v>0</v>
      </c>
      <c r="JQ467" s="89">
        <f t="shared" ref="JQ467:JR467" si="11792">JP467</f>
        <v>0</v>
      </c>
      <c r="JR467" s="89">
        <f t="shared" si="11792"/>
        <v>0</v>
      </c>
      <c r="JS467" s="74">
        <f>HG467-IF467</f>
        <v>55.529999999999973</v>
      </c>
      <c r="JT467" s="382">
        <f>GS467-IF467</f>
        <v>55.529999999999973</v>
      </c>
      <c r="JU467" s="665"/>
      <c r="JV467" s="524"/>
      <c r="JW467" s="525"/>
      <c r="JX467" s="549">
        <f t="shared" si="11788"/>
        <v>1000</v>
      </c>
      <c r="JY467" s="549">
        <f t="shared" si="11788"/>
        <v>0</v>
      </c>
      <c r="JZ467" s="581">
        <f t="shared" si="11276"/>
        <v>0</v>
      </c>
      <c r="KA467" s="581">
        <f t="shared" si="11277"/>
        <v>-4000</v>
      </c>
      <c r="KB467" s="549">
        <f t="shared" si="11273"/>
        <v>1000</v>
      </c>
      <c r="KC467" s="709">
        <f t="shared" si="11275"/>
        <v>0</v>
      </c>
      <c r="KD467" s="36"/>
      <c r="KE467" s="36"/>
      <c r="KF467" s="36"/>
      <c r="KG467" s="36"/>
      <c r="KH467" s="36"/>
      <c r="KI467" s="36"/>
      <c r="KJ467" s="36"/>
      <c r="KK467" s="36"/>
    </row>
    <row r="468" spans="1:297" s="8" customFormat="1" ht="12.75" hidden="1" customHeight="1">
      <c r="A468" s="86" t="s">
        <v>1123</v>
      </c>
      <c r="B468" s="77"/>
      <c r="C468" s="74">
        <v>0</v>
      </c>
      <c r="D468" s="549"/>
      <c r="E468" s="675"/>
      <c r="F468" s="549"/>
      <c r="G468" s="675"/>
      <c r="H468" s="549"/>
      <c r="I468" s="675"/>
      <c r="J468" s="549"/>
      <c r="K468" s="675"/>
      <c r="L468" s="549"/>
      <c r="M468" s="675"/>
      <c r="N468" s="549"/>
      <c r="O468" s="675"/>
      <c r="P468" s="549"/>
      <c r="Q468" s="675"/>
      <c r="R468" s="549"/>
      <c r="S468" s="675"/>
      <c r="T468" s="549"/>
      <c r="U468" s="675"/>
      <c r="V468" s="549"/>
      <c r="W468" s="675"/>
      <c r="X468" s="549"/>
      <c r="Y468" s="675"/>
      <c r="Z468" s="549"/>
      <c r="AA468" s="675"/>
      <c r="AB468" s="549"/>
      <c r="AC468" s="675"/>
      <c r="AD468" s="549"/>
      <c r="AE468" s="675"/>
      <c r="AF468" s="549"/>
      <c r="AG468" s="675"/>
      <c r="AH468" s="549"/>
      <c r="AI468" s="675"/>
      <c r="AJ468" s="549"/>
      <c r="AK468" s="675"/>
      <c r="AL468" s="549"/>
      <c r="AM468" s="675"/>
      <c r="AN468" s="549"/>
      <c r="AO468" s="675"/>
      <c r="AP468" s="549"/>
      <c r="AQ468" s="675"/>
      <c r="AR468" s="549"/>
      <c r="AS468" s="675"/>
      <c r="AT468" s="549"/>
      <c r="AU468" s="675"/>
      <c r="AV468" s="549"/>
      <c r="AW468" s="675"/>
      <c r="AX468" s="549"/>
      <c r="AY468" s="675"/>
      <c r="AZ468" s="549"/>
      <c r="BA468" s="675"/>
      <c r="BB468" s="549"/>
      <c r="BC468" s="675"/>
      <c r="BD468" s="549"/>
      <c r="BE468" s="675"/>
      <c r="BF468" s="549"/>
      <c r="BG468" s="675"/>
      <c r="BH468" s="549"/>
      <c r="BI468" s="675"/>
      <c r="BJ468" s="549"/>
      <c r="BK468" s="675"/>
      <c r="BL468" s="549"/>
      <c r="BM468" s="675"/>
      <c r="BN468" s="549"/>
      <c r="BO468" s="675"/>
      <c r="BP468" s="549"/>
      <c r="BQ468" s="675"/>
      <c r="BR468" s="549"/>
      <c r="BS468" s="675"/>
      <c r="BT468" s="549"/>
      <c r="BU468" s="675"/>
      <c r="BV468" s="549"/>
      <c r="BW468" s="675"/>
      <c r="BX468" s="549"/>
      <c r="BY468" s="675"/>
      <c r="BZ468" s="549"/>
      <c r="CA468" s="675"/>
      <c r="CB468" s="549"/>
      <c r="CC468" s="675"/>
      <c r="CD468" s="549"/>
      <c r="CE468" s="675"/>
      <c r="CF468" s="549"/>
      <c r="CG468" s="675"/>
      <c r="CH468" s="549"/>
      <c r="CI468" s="675"/>
      <c r="CJ468" s="549"/>
      <c r="CK468" s="675"/>
      <c r="CL468" s="549"/>
      <c r="CM468" s="675"/>
      <c r="CN468" s="549"/>
      <c r="CO468" s="675"/>
      <c r="CP468" s="549"/>
      <c r="CQ468" s="675"/>
      <c r="CR468" s="549"/>
      <c r="CS468" s="675"/>
      <c r="CT468" s="549"/>
      <c r="CU468" s="675"/>
      <c r="CV468" s="549"/>
      <c r="CW468" s="675"/>
      <c r="CX468" s="549"/>
      <c r="CY468" s="675"/>
      <c r="CZ468" s="549"/>
      <c r="DA468" s="675"/>
      <c r="DB468" s="549"/>
      <c r="DC468" s="675"/>
      <c r="DD468" s="549"/>
      <c r="DE468" s="675"/>
      <c r="DF468" s="549"/>
      <c r="DG468" s="675"/>
      <c r="DH468" s="549"/>
      <c r="DI468" s="675"/>
      <c r="DJ468" s="549"/>
      <c r="DK468" s="675"/>
      <c r="DL468" s="549"/>
      <c r="DM468" s="675"/>
      <c r="DN468" s="549"/>
      <c r="DO468" s="675"/>
      <c r="DP468" s="549"/>
      <c r="DQ468" s="675"/>
      <c r="DR468" s="549"/>
      <c r="DS468" s="675"/>
      <c r="DT468" s="549"/>
      <c r="DU468" s="675"/>
      <c r="DV468" s="549"/>
      <c r="DW468" s="675"/>
      <c r="DX468" s="549"/>
      <c r="DY468" s="675"/>
      <c r="DZ468" s="549"/>
      <c r="EA468" s="675"/>
      <c r="EB468" s="549"/>
      <c r="EC468" s="675"/>
      <c r="ED468" s="549"/>
      <c r="EE468" s="675"/>
      <c r="EF468" s="549"/>
      <c r="EG468" s="675"/>
      <c r="EH468" s="549"/>
      <c r="EI468" s="675"/>
      <c r="EJ468" s="549"/>
      <c r="EK468" s="675"/>
      <c r="EL468" s="549"/>
      <c r="EM468" s="675"/>
      <c r="EN468" s="549"/>
      <c r="EO468" s="675"/>
      <c r="EP468" s="549"/>
      <c r="EQ468" s="675"/>
      <c r="ER468" s="549"/>
      <c r="ES468" s="675"/>
      <c r="ET468" s="549"/>
      <c r="EU468" s="675"/>
      <c r="EV468" s="549"/>
      <c r="EW468" s="675"/>
      <c r="EX468" s="549"/>
      <c r="EY468" s="675"/>
      <c r="EZ468" s="549"/>
      <c r="FA468" s="675"/>
      <c r="FB468" s="549"/>
      <c r="FC468" s="675"/>
      <c r="FD468" s="549"/>
      <c r="FE468" s="675"/>
      <c r="FF468" s="549"/>
      <c r="FG468" s="675"/>
      <c r="FH468" s="549"/>
      <c r="FI468" s="675"/>
      <c r="FJ468" s="549"/>
      <c r="FK468" s="675"/>
      <c r="FL468" s="549"/>
      <c r="FM468" s="675"/>
      <c r="FN468" s="549"/>
      <c r="FO468" s="675"/>
      <c r="FP468" s="549"/>
      <c r="FQ468" s="675"/>
      <c r="FR468" s="549"/>
      <c r="FS468" s="675"/>
      <c r="FT468" s="549"/>
      <c r="FU468" s="675"/>
      <c r="FV468" s="549"/>
      <c r="FW468" s="675"/>
      <c r="FX468" s="549"/>
      <c r="FY468" s="675"/>
      <c r="FZ468" s="549"/>
      <c r="GA468" s="675"/>
      <c r="GB468" s="549"/>
      <c r="GC468" s="675"/>
      <c r="GD468" s="549"/>
      <c r="GE468" s="675"/>
      <c r="GF468" s="549"/>
      <c r="GG468" s="675"/>
      <c r="GH468" s="549"/>
      <c r="GI468" s="675"/>
      <c r="GJ468" s="549"/>
      <c r="GK468" s="675"/>
      <c r="GL468" s="549"/>
      <c r="GM468" s="675"/>
      <c r="GN468" s="549"/>
      <c r="GO468" s="675"/>
      <c r="GP468" s="549">
        <f t="shared" si="11790"/>
        <v>0</v>
      </c>
      <c r="GQ468" s="675">
        <f t="shared" si="11791"/>
        <v>0</v>
      </c>
      <c r="GR468" s="74">
        <f t="shared" si="11759"/>
        <v>0</v>
      </c>
      <c r="GS468" s="74">
        <f t="shared" si="11760"/>
        <v>0</v>
      </c>
      <c r="GT468" s="568">
        <f t="shared" si="11761"/>
        <v>0</v>
      </c>
      <c r="GU468" s="275"/>
      <c r="GV468" s="275"/>
      <c r="GW468" s="275"/>
      <c r="GX468" s="275"/>
      <c r="GY468" s="275"/>
      <c r="GZ468" s="275"/>
      <c r="HA468" s="275"/>
      <c r="HB468" s="275"/>
      <c r="HC468" s="275"/>
      <c r="HD468" s="275"/>
      <c r="HE468" s="275">
        <v>0</v>
      </c>
      <c r="HF468" s="275">
        <v>0</v>
      </c>
      <c r="HG468" s="74">
        <f t="shared" ref="HG468:HG469" si="11793">SUM(HH468:IE468)</f>
        <v>0</v>
      </c>
      <c r="HH468" s="89">
        <v>0</v>
      </c>
      <c r="HI468" s="817">
        <v>0</v>
      </c>
      <c r="HJ468" s="89">
        <v>0</v>
      </c>
      <c r="HK468" s="817">
        <v>0</v>
      </c>
      <c r="HL468" s="89">
        <v>0</v>
      </c>
      <c r="HM468" s="817">
        <v>0</v>
      </c>
      <c r="HN468" s="89">
        <v>0</v>
      </c>
      <c r="HO468" s="817">
        <v>0</v>
      </c>
      <c r="HP468" s="89">
        <v>0</v>
      </c>
      <c r="HQ468" s="817">
        <v>0</v>
      </c>
      <c r="HR468" s="89">
        <v>0</v>
      </c>
      <c r="HS468" s="817">
        <v>0</v>
      </c>
      <c r="HT468" s="89">
        <v>0</v>
      </c>
      <c r="HU468" s="817">
        <v>0</v>
      </c>
      <c r="HV468" s="89">
        <v>0</v>
      </c>
      <c r="HW468" s="817">
        <v>0</v>
      </c>
      <c r="HX468" s="89">
        <v>0</v>
      </c>
      <c r="HY468" s="817">
        <v>0</v>
      </c>
      <c r="HZ468" s="89">
        <v>0</v>
      </c>
      <c r="IA468" s="817">
        <v>0</v>
      </c>
      <c r="IB468" s="89">
        <v>0</v>
      </c>
      <c r="IC468" s="817">
        <v>0</v>
      </c>
      <c r="ID468" s="89">
        <v>0</v>
      </c>
      <c r="IE468" s="817">
        <v>0</v>
      </c>
      <c r="IF468" s="841">
        <f t="shared" si="11762"/>
        <v>0</v>
      </c>
      <c r="IG468" s="263">
        <f t="shared" si="11763"/>
        <v>0</v>
      </c>
      <c r="IH468" s="842">
        <f t="shared" si="11764"/>
        <v>0</v>
      </c>
      <c r="II468" s="89">
        <v>0</v>
      </c>
      <c r="IJ468" s="89">
        <f t="shared" si="11765"/>
        <v>0</v>
      </c>
      <c r="IK468" s="89">
        <f t="shared" si="11766"/>
        <v>0</v>
      </c>
      <c r="IL468" s="89">
        <v>0</v>
      </c>
      <c r="IM468" s="89">
        <f t="shared" si="11767"/>
        <v>0</v>
      </c>
      <c r="IN468" s="89">
        <f t="shared" si="11768"/>
        <v>0</v>
      </c>
      <c r="IO468" s="89">
        <v>0</v>
      </c>
      <c r="IP468" s="89">
        <f t="shared" si="11769"/>
        <v>0</v>
      </c>
      <c r="IQ468" s="89">
        <f t="shared" si="11770"/>
        <v>0</v>
      </c>
      <c r="IR468" s="89">
        <v>0</v>
      </c>
      <c r="IS468" s="89">
        <f t="shared" si="11771"/>
        <v>0</v>
      </c>
      <c r="IT468" s="89">
        <f t="shared" si="11772"/>
        <v>0</v>
      </c>
      <c r="IU468" s="89">
        <v>0</v>
      </c>
      <c r="IV468" s="89">
        <f t="shared" si="11773"/>
        <v>0</v>
      </c>
      <c r="IW468" s="89">
        <f t="shared" si="11774"/>
        <v>0</v>
      </c>
      <c r="IX468" s="89">
        <v>0</v>
      </c>
      <c r="IY468" s="89">
        <f t="shared" si="11775"/>
        <v>0</v>
      </c>
      <c r="IZ468" s="89">
        <f t="shared" si="11776"/>
        <v>0</v>
      </c>
      <c r="JA468" s="89">
        <v>0</v>
      </c>
      <c r="JB468" s="89">
        <f t="shared" si="11777"/>
        <v>0</v>
      </c>
      <c r="JC468" s="89">
        <f t="shared" si="11778"/>
        <v>0</v>
      </c>
      <c r="JD468" s="89">
        <v>0</v>
      </c>
      <c r="JE468" s="89">
        <f t="shared" si="11779"/>
        <v>0</v>
      </c>
      <c r="JF468" s="89">
        <f t="shared" si="11780"/>
        <v>0</v>
      </c>
      <c r="JG468" s="89">
        <v>0</v>
      </c>
      <c r="JH468" s="89">
        <f t="shared" si="11781"/>
        <v>0</v>
      </c>
      <c r="JI468" s="89">
        <f t="shared" si="11782"/>
        <v>0</v>
      </c>
      <c r="JJ468" s="89">
        <v>0</v>
      </c>
      <c r="JK468" s="89">
        <f t="shared" si="11783"/>
        <v>0</v>
      </c>
      <c r="JL468" s="89">
        <f t="shared" si="11784"/>
        <v>0</v>
      </c>
      <c r="JM468" s="89">
        <v>0</v>
      </c>
      <c r="JN468" s="89">
        <f t="shared" si="11785"/>
        <v>0</v>
      </c>
      <c r="JO468" s="89">
        <f t="shared" si="11786"/>
        <v>0</v>
      </c>
      <c r="JP468" s="89">
        <v>0</v>
      </c>
      <c r="JQ468" s="89">
        <f t="shared" ref="JQ468:JR468" si="11794">JP468</f>
        <v>0</v>
      </c>
      <c r="JR468" s="89">
        <f t="shared" si="11794"/>
        <v>0</v>
      </c>
      <c r="JS468" s="74">
        <f t="shared" ref="JS468:JS469" si="11795">HG468-IF468</f>
        <v>0</v>
      </c>
      <c r="JT468" s="382">
        <f t="shared" ref="JT468:JT469" si="11796">GS468-IF468</f>
        <v>0</v>
      </c>
      <c r="JU468" s="665"/>
      <c r="JV468" s="524"/>
      <c r="JW468" s="525"/>
      <c r="JX468" s="549">
        <f t="shared" si="11788"/>
        <v>0</v>
      </c>
      <c r="JY468" s="549">
        <f t="shared" si="11788"/>
        <v>0</v>
      </c>
      <c r="JZ468" s="581">
        <f t="shared" si="11276"/>
        <v>0</v>
      </c>
      <c r="KA468" s="581">
        <f t="shared" si="11277"/>
        <v>0</v>
      </c>
      <c r="KB468" s="549">
        <f t="shared" si="11273"/>
        <v>0</v>
      </c>
      <c r="KC468" s="709">
        <f t="shared" si="11275"/>
        <v>0</v>
      </c>
      <c r="KD468" s="36"/>
      <c r="KE468" s="36"/>
      <c r="KF468" s="36"/>
      <c r="KG468" s="36"/>
      <c r="KH468" s="36"/>
      <c r="KI468" s="36"/>
      <c r="KJ468" s="36"/>
      <c r="KK468" s="36"/>
    </row>
    <row r="469" spans="1:297" s="8" customFormat="1" ht="12.75" hidden="1" customHeight="1">
      <c r="A469" s="86" t="s">
        <v>1124</v>
      </c>
      <c r="B469" s="77"/>
      <c r="C469" s="74">
        <v>0</v>
      </c>
      <c r="D469" s="549"/>
      <c r="E469" s="675"/>
      <c r="F469" s="549"/>
      <c r="G469" s="675"/>
      <c r="H469" s="549"/>
      <c r="I469" s="675"/>
      <c r="J469" s="549"/>
      <c r="K469" s="675"/>
      <c r="L469" s="549"/>
      <c r="M469" s="675"/>
      <c r="N469" s="549"/>
      <c r="O469" s="675"/>
      <c r="P469" s="549"/>
      <c r="Q469" s="675"/>
      <c r="R469" s="549"/>
      <c r="S469" s="675"/>
      <c r="T469" s="549"/>
      <c r="U469" s="675"/>
      <c r="V469" s="549"/>
      <c r="W469" s="675"/>
      <c r="X469" s="549"/>
      <c r="Y469" s="675"/>
      <c r="Z469" s="549"/>
      <c r="AA469" s="675"/>
      <c r="AB469" s="549"/>
      <c r="AC469" s="675"/>
      <c r="AD469" s="549"/>
      <c r="AE469" s="675"/>
      <c r="AF469" s="549"/>
      <c r="AG469" s="675"/>
      <c r="AH469" s="549"/>
      <c r="AI469" s="675"/>
      <c r="AJ469" s="549"/>
      <c r="AK469" s="675"/>
      <c r="AL469" s="549"/>
      <c r="AM469" s="675"/>
      <c r="AN469" s="549"/>
      <c r="AO469" s="675"/>
      <c r="AP469" s="549"/>
      <c r="AQ469" s="675"/>
      <c r="AR469" s="549"/>
      <c r="AS469" s="675"/>
      <c r="AT469" s="549"/>
      <c r="AU469" s="675"/>
      <c r="AV469" s="549"/>
      <c r="AW469" s="675"/>
      <c r="AX469" s="549"/>
      <c r="AY469" s="675"/>
      <c r="AZ469" s="549"/>
      <c r="BA469" s="675"/>
      <c r="BB469" s="549"/>
      <c r="BC469" s="675"/>
      <c r="BD469" s="549"/>
      <c r="BE469" s="675"/>
      <c r="BF469" s="549"/>
      <c r="BG469" s="675"/>
      <c r="BH469" s="549"/>
      <c r="BI469" s="675"/>
      <c r="BJ469" s="549"/>
      <c r="BK469" s="675"/>
      <c r="BL469" s="549"/>
      <c r="BM469" s="675"/>
      <c r="BN469" s="549"/>
      <c r="BO469" s="675"/>
      <c r="BP469" s="549"/>
      <c r="BQ469" s="675"/>
      <c r="BR469" s="549"/>
      <c r="BS469" s="675"/>
      <c r="BT469" s="549"/>
      <c r="BU469" s="675"/>
      <c r="BV469" s="549"/>
      <c r="BW469" s="675"/>
      <c r="BX469" s="549"/>
      <c r="BY469" s="675"/>
      <c r="BZ469" s="549"/>
      <c r="CA469" s="675"/>
      <c r="CB469" s="549"/>
      <c r="CC469" s="675"/>
      <c r="CD469" s="549"/>
      <c r="CE469" s="675"/>
      <c r="CF469" s="549"/>
      <c r="CG469" s="675"/>
      <c r="CH469" s="549"/>
      <c r="CI469" s="675"/>
      <c r="CJ469" s="549"/>
      <c r="CK469" s="675"/>
      <c r="CL469" s="549"/>
      <c r="CM469" s="675"/>
      <c r="CN469" s="549"/>
      <c r="CO469" s="675"/>
      <c r="CP469" s="549"/>
      <c r="CQ469" s="675"/>
      <c r="CR469" s="549"/>
      <c r="CS469" s="675"/>
      <c r="CT469" s="549"/>
      <c r="CU469" s="675"/>
      <c r="CV469" s="549"/>
      <c r="CW469" s="675"/>
      <c r="CX469" s="549"/>
      <c r="CY469" s="675"/>
      <c r="CZ469" s="549"/>
      <c r="DA469" s="675"/>
      <c r="DB469" s="549"/>
      <c r="DC469" s="675"/>
      <c r="DD469" s="549"/>
      <c r="DE469" s="675"/>
      <c r="DF469" s="549"/>
      <c r="DG469" s="675"/>
      <c r="DH469" s="549"/>
      <c r="DI469" s="675"/>
      <c r="DJ469" s="549"/>
      <c r="DK469" s="675"/>
      <c r="DL469" s="549"/>
      <c r="DM469" s="675"/>
      <c r="DN469" s="549"/>
      <c r="DO469" s="675"/>
      <c r="DP469" s="549"/>
      <c r="DQ469" s="675"/>
      <c r="DR469" s="549"/>
      <c r="DS469" s="675"/>
      <c r="DT469" s="549"/>
      <c r="DU469" s="675"/>
      <c r="DV469" s="549"/>
      <c r="DW469" s="675"/>
      <c r="DX469" s="549"/>
      <c r="DY469" s="675"/>
      <c r="DZ469" s="549"/>
      <c r="EA469" s="675"/>
      <c r="EB469" s="549"/>
      <c r="EC469" s="675"/>
      <c r="ED469" s="549"/>
      <c r="EE469" s="675"/>
      <c r="EF469" s="549"/>
      <c r="EG469" s="675"/>
      <c r="EH469" s="549"/>
      <c r="EI469" s="675"/>
      <c r="EJ469" s="549"/>
      <c r="EK469" s="675"/>
      <c r="EL469" s="549"/>
      <c r="EM469" s="675"/>
      <c r="EN469" s="549"/>
      <c r="EO469" s="675"/>
      <c r="EP469" s="549"/>
      <c r="EQ469" s="675"/>
      <c r="ER469" s="549"/>
      <c r="ES469" s="675"/>
      <c r="ET469" s="549"/>
      <c r="EU469" s="675"/>
      <c r="EV469" s="549"/>
      <c r="EW469" s="675"/>
      <c r="EX469" s="549"/>
      <c r="EY469" s="675"/>
      <c r="EZ469" s="549"/>
      <c r="FA469" s="675"/>
      <c r="FB469" s="549"/>
      <c r="FC469" s="675"/>
      <c r="FD469" s="549"/>
      <c r="FE469" s="675"/>
      <c r="FF469" s="549"/>
      <c r="FG469" s="675"/>
      <c r="FH469" s="549"/>
      <c r="FI469" s="675"/>
      <c r="FJ469" s="549"/>
      <c r="FK469" s="675"/>
      <c r="FL469" s="549"/>
      <c r="FM469" s="675"/>
      <c r="FN469" s="549"/>
      <c r="FO469" s="675"/>
      <c r="FP469" s="549"/>
      <c r="FQ469" s="675"/>
      <c r="FR469" s="549"/>
      <c r="FS469" s="675"/>
      <c r="FT469" s="549"/>
      <c r="FU469" s="675"/>
      <c r="FV469" s="549"/>
      <c r="FW469" s="675"/>
      <c r="FX469" s="549"/>
      <c r="FY469" s="675"/>
      <c r="FZ469" s="549"/>
      <c r="GA469" s="675"/>
      <c r="GB469" s="549"/>
      <c r="GC469" s="675"/>
      <c r="GD469" s="549"/>
      <c r="GE469" s="675"/>
      <c r="GF469" s="549"/>
      <c r="GG469" s="675"/>
      <c r="GH469" s="549"/>
      <c r="GI469" s="675"/>
      <c r="GJ469" s="549"/>
      <c r="GK469" s="675"/>
      <c r="GL469" s="549"/>
      <c r="GM469" s="675"/>
      <c r="GN469" s="549"/>
      <c r="GO469" s="675"/>
      <c r="GP469" s="549">
        <f t="shared" si="11790"/>
        <v>0</v>
      </c>
      <c r="GQ469" s="675">
        <f t="shared" si="11791"/>
        <v>0</v>
      </c>
      <c r="GR469" s="74">
        <f t="shared" si="11759"/>
        <v>0</v>
      </c>
      <c r="GS469" s="74">
        <f t="shared" si="11760"/>
        <v>0</v>
      </c>
      <c r="GT469" s="568">
        <f t="shared" si="11761"/>
        <v>0</v>
      </c>
      <c r="GU469" s="275"/>
      <c r="GV469" s="275"/>
      <c r="GW469" s="275"/>
      <c r="GX469" s="275"/>
      <c r="GY469" s="275"/>
      <c r="GZ469" s="275"/>
      <c r="HA469" s="275"/>
      <c r="HB469" s="275"/>
      <c r="HC469" s="275"/>
      <c r="HD469" s="275"/>
      <c r="HE469" s="275">
        <v>0</v>
      </c>
      <c r="HF469" s="275">
        <v>0</v>
      </c>
      <c r="HG469" s="74">
        <f t="shared" si="11793"/>
        <v>0</v>
      </c>
      <c r="HH469" s="89">
        <v>0</v>
      </c>
      <c r="HI469" s="817">
        <v>0</v>
      </c>
      <c r="HJ469" s="89">
        <v>0</v>
      </c>
      <c r="HK469" s="817">
        <v>0</v>
      </c>
      <c r="HL469" s="89">
        <v>0</v>
      </c>
      <c r="HM469" s="817">
        <v>0</v>
      </c>
      <c r="HN469" s="89">
        <v>0</v>
      </c>
      <c r="HO469" s="817">
        <v>0</v>
      </c>
      <c r="HP469" s="89">
        <v>0</v>
      </c>
      <c r="HQ469" s="817">
        <v>0</v>
      </c>
      <c r="HR469" s="89">
        <v>0</v>
      </c>
      <c r="HS469" s="817">
        <v>0</v>
      </c>
      <c r="HT469" s="89">
        <v>0</v>
      </c>
      <c r="HU469" s="817">
        <v>0</v>
      </c>
      <c r="HV469" s="89">
        <v>0</v>
      </c>
      <c r="HW469" s="817">
        <v>0</v>
      </c>
      <c r="HX469" s="89">
        <v>0</v>
      </c>
      <c r="HY469" s="817">
        <v>0</v>
      </c>
      <c r="HZ469" s="89">
        <v>0</v>
      </c>
      <c r="IA469" s="817">
        <v>0</v>
      </c>
      <c r="IB469" s="89">
        <v>0</v>
      </c>
      <c r="IC469" s="817">
        <v>0</v>
      </c>
      <c r="ID469" s="89">
        <v>0</v>
      </c>
      <c r="IE469" s="817">
        <v>0</v>
      </c>
      <c r="IF469" s="841">
        <f t="shared" si="11762"/>
        <v>0</v>
      </c>
      <c r="IG469" s="263">
        <f t="shared" si="11763"/>
        <v>0</v>
      </c>
      <c r="IH469" s="842">
        <f t="shared" si="11764"/>
        <v>0</v>
      </c>
      <c r="II469" s="89">
        <v>0</v>
      </c>
      <c r="IJ469" s="89">
        <f t="shared" si="11765"/>
        <v>0</v>
      </c>
      <c r="IK469" s="89">
        <f t="shared" si="11766"/>
        <v>0</v>
      </c>
      <c r="IL469" s="89">
        <v>0</v>
      </c>
      <c r="IM469" s="89">
        <f t="shared" si="11767"/>
        <v>0</v>
      </c>
      <c r="IN469" s="89">
        <f t="shared" si="11768"/>
        <v>0</v>
      </c>
      <c r="IO469" s="89">
        <v>0</v>
      </c>
      <c r="IP469" s="89">
        <f t="shared" si="11769"/>
        <v>0</v>
      </c>
      <c r="IQ469" s="89">
        <f t="shared" si="11770"/>
        <v>0</v>
      </c>
      <c r="IR469" s="89">
        <v>0</v>
      </c>
      <c r="IS469" s="89">
        <f t="shared" si="11771"/>
        <v>0</v>
      </c>
      <c r="IT469" s="89">
        <f t="shared" si="11772"/>
        <v>0</v>
      </c>
      <c r="IU469" s="89">
        <v>0</v>
      </c>
      <c r="IV469" s="89">
        <f t="shared" si="11773"/>
        <v>0</v>
      </c>
      <c r="IW469" s="89">
        <f t="shared" si="11774"/>
        <v>0</v>
      </c>
      <c r="IX469" s="89">
        <v>0</v>
      </c>
      <c r="IY469" s="89">
        <f t="shared" si="11775"/>
        <v>0</v>
      </c>
      <c r="IZ469" s="89">
        <f t="shared" si="11776"/>
        <v>0</v>
      </c>
      <c r="JA469" s="89">
        <v>0</v>
      </c>
      <c r="JB469" s="89">
        <f t="shared" si="11777"/>
        <v>0</v>
      </c>
      <c r="JC469" s="89">
        <f t="shared" si="11778"/>
        <v>0</v>
      </c>
      <c r="JD469" s="89">
        <v>0</v>
      </c>
      <c r="JE469" s="89">
        <f t="shared" si="11779"/>
        <v>0</v>
      </c>
      <c r="JF469" s="89">
        <f t="shared" si="11780"/>
        <v>0</v>
      </c>
      <c r="JG469" s="89">
        <v>0</v>
      </c>
      <c r="JH469" s="89">
        <f t="shared" si="11781"/>
        <v>0</v>
      </c>
      <c r="JI469" s="89">
        <f t="shared" si="11782"/>
        <v>0</v>
      </c>
      <c r="JJ469" s="89">
        <v>0</v>
      </c>
      <c r="JK469" s="89">
        <f t="shared" si="11783"/>
        <v>0</v>
      </c>
      <c r="JL469" s="89">
        <f t="shared" si="11784"/>
        <v>0</v>
      </c>
      <c r="JM469" s="89">
        <v>0</v>
      </c>
      <c r="JN469" s="89">
        <f t="shared" si="11785"/>
        <v>0</v>
      </c>
      <c r="JO469" s="89">
        <f t="shared" si="11786"/>
        <v>0</v>
      </c>
      <c r="JP469" s="89">
        <v>0</v>
      </c>
      <c r="JQ469" s="89">
        <f t="shared" ref="JQ469:JR469" si="11797">JP469</f>
        <v>0</v>
      </c>
      <c r="JR469" s="89">
        <f t="shared" si="11797"/>
        <v>0</v>
      </c>
      <c r="JS469" s="74">
        <f t="shared" si="11795"/>
        <v>0</v>
      </c>
      <c r="JT469" s="382">
        <f t="shared" si="11796"/>
        <v>0</v>
      </c>
      <c r="JU469" s="665"/>
      <c r="JV469" s="524"/>
      <c r="JW469" s="525"/>
      <c r="JX469" s="549">
        <f t="shared" si="11788"/>
        <v>0</v>
      </c>
      <c r="JY469" s="549">
        <f t="shared" si="11788"/>
        <v>0</v>
      </c>
      <c r="JZ469" s="581">
        <f t="shared" si="11276"/>
        <v>0</v>
      </c>
      <c r="KA469" s="581">
        <f t="shared" si="11277"/>
        <v>0</v>
      </c>
      <c r="KB469" s="549">
        <f t="shared" si="11273"/>
        <v>0</v>
      </c>
      <c r="KC469" s="709">
        <f t="shared" si="11275"/>
        <v>0</v>
      </c>
      <c r="KD469" s="36"/>
      <c r="KE469" s="36"/>
      <c r="KF469" s="36"/>
      <c r="KG469" s="36"/>
      <c r="KH469" s="36"/>
      <c r="KI469" s="36"/>
      <c r="KJ469" s="36"/>
      <c r="KK469" s="36"/>
    </row>
    <row r="470" spans="1:297" s="10" customFormat="1">
      <c r="A470" s="86" t="s">
        <v>281</v>
      </c>
      <c r="B470" s="77" t="s">
        <v>159</v>
      </c>
      <c r="C470" s="74">
        <v>21400</v>
      </c>
      <c r="D470" s="549">
        <v>0</v>
      </c>
      <c r="E470" s="675">
        <v>0</v>
      </c>
      <c r="F470" s="549">
        <v>0</v>
      </c>
      <c r="G470" s="675">
        <v>0</v>
      </c>
      <c r="H470" s="549">
        <v>0</v>
      </c>
      <c r="I470" s="675">
        <v>0</v>
      </c>
      <c r="J470" s="549">
        <v>0</v>
      </c>
      <c r="K470" s="675">
        <v>0</v>
      </c>
      <c r="L470" s="549">
        <v>0</v>
      </c>
      <c r="M470" s="675">
        <v>0</v>
      </c>
      <c r="N470" s="549">
        <v>0</v>
      </c>
      <c r="O470" s="675">
        <v>0</v>
      </c>
      <c r="P470" s="549">
        <v>0</v>
      </c>
      <c r="Q470" s="675">
        <v>0</v>
      </c>
      <c r="R470" s="549">
        <v>0</v>
      </c>
      <c r="S470" s="675">
        <v>0</v>
      </c>
      <c r="T470" s="549">
        <v>0</v>
      </c>
      <c r="U470" s="675">
        <v>0</v>
      </c>
      <c r="V470" s="549">
        <v>0</v>
      </c>
      <c r="W470" s="675">
        <v>0</v>
      </c>
      <c r="X470" s="549">
        <v>0</v>
      </c>
      <c r="Y470" s="675">
        <v>0</v>
      </c>
      <c r="Z470" s="549">
        <v>0</v>
      </c>
      <c r="AA470" s="675">
        <v>0</v>
      </c>
      <c r="AB470" s="549">
        <v>0</v>
      </c>
      <c r="AC470" s="675">
        <v>0</v>
      </c>
      <c r="AD470" s="549">
        <v>0</v>
      </c>
      <c r="AE470" s="675">
        <v>0</v>
      </c>
      <c r="AF470" s="549">
        <v>0</v>
      </c>
      <c r="AG470" s="675">
        <v>0</v>
      </c>
      <c r="AH470" s="549">
        <v>0</v>
      </c>
      <c r="AI470" s="675">
        <v>0</v>
      </c>
      <c r="AJ470" s="549">
        <v>0</v>
      </c>
      <c r="AK470" s="675">
        <v>0</v>
      </c>
      <c r="AL470" s="549">
        <v>0</v>
      </c>
      <c r="AM470" s="675">
        <v>0</v>
      </c>
      <c r="AN470" s="549">
        <v>0</v>
      </c>
      <c r="AO470" s="675">
        <v>0</v>
      </c>
      <c r="AP470" s="549">
        <v>0</v>
      </c>
      <c r="AQ470" s="675">
        <v>0</v>
      </c>
      <c r="AR470" s="549">
        <v>0</v>
      </c>
      <c r="AS470" s="675">
        <v>0</v>
      </c>
      <c r="AT470" s="549">
        <v>0</v>
      </c>
      <c r="AU470" s="675">
        <v>0</v>
      </c>
      <c r="AV470" s="549">
        <v>0</v>
      </c>
      <c r="AW470" s="675">
        <v>0</v>
      </c>
      <c r="AX470" s="549">
        <v>0</v>
      </c>
      <c r="AY470" s="675">
        <v>0</v>
      </c>
      <c r="AZ470" s="549">
        <v>0</v>
      </c>
      <c r="BA470" s="675">
        <v>0</v>
      </c>
      <c r="BB470" s="549">
        <v>0</v>
      </c>
      <c r="BC470" s="675">
        <v>0</v>
      </c>
      <c r="BD470" s="549">
        <v>0</v>
      </c>
      <c r="BE470" s="675">
        <v>0</v>
      </c>
      <c r="BF470" s="549">
        <v>0</v>
      </c>
      <c r="BG470" s="675">
        <v>0</v>
      </c>
      <c r="BH470" s="549">
        <v>0</v>
      </c>
      <c r="BI470" s="675">
        <v>0</v>
      </c>
      <c r="BJ470" s="549">
        <v>0</v>
      </c>
      <c r="BK470" s="675">
        <v>0</v>
      </c>
      <c r="BL470" s="549">
        <v>0</v>
      </c>
      <c r="BM470" s="675">
        <v>0</v>
      </c>
      <c r="BN470" s="549">
        <v>0</v>
      </c>
      <c r="BO470" s="675">
        <v>0</v>
      </c>
      <c r="BP470" s="549">
        <v>0</v>
      </c>
      <c r="BQ470" s="675">
        <v>0</v>
      </c>
      <c r="BR470" s="549">
        <v>0</v>
      </c>
      <c r="BS470" s="675">
        <v>0</v>
      </c>
      <c r="BT470" s="549">
        <v>0</v>
      </c>
      <c r="BU470" s="675">
        <v>0</v>
      </c>
      <c r="BV470" s="549">
        <v>0</v>
      </c>
      <c r="BW470" s="675">
        <v>0</v>
      </c>
      <c r="BX470" s="549">
        <v>0</v>
      </c>
      <c r="BY470" s="675">
        <v>0</v>
      </c>
      <c r="BZ470" s="549">
        <v>0</v>
      </c>
      <c r="CA470" s="675">
        <v>0</v>
      </c>
      <c r="CB470" s="549">
        <v>0</v>
      </c>
      <c r="CC470" s="675">
        <v>0</v>
      </c>
      <c r="CD470" s="549">
        <v>0</v>
      </c>
      <c r="CE470" s="675">
        <v>0</v>
      </c>
      <c r="CF470" s="549">
        <v>0</v>
      </c>
      <c r="CG470" s="675">
        <v>0</v>
      </c>
      <c r="CH470" s="549">
        <v>0</v>
      </c>
      <c r="CI470" s="675">
        <v>0</v>
      </c>
      <c r="CJ470" s="549">
        <v>0</v>
      </c>
      <c r="CK470" s="675">
        <v>-2000</v>
      </c>
      <c r="CL470" s="549">
        <v>0</v>
      </c>
      <c r="CM470" s="675">
        <v>0</v>
      </c>
      <c r="CN470" s="549">
        <v>0</v>
      </c>
      <c r="CO470" s="675">
        <v>0</v>
      </c>
      <c r="CP470" s="549">
        <v>0</v>
      </c>
      <c r="CQ470" s="675">
        <v>0</v>
      </c>
      <c r="CR470" s="549">
        <v>0</v>
      </c>
      <c r="CS470" s="675">
        <v>0</v>
      </c>
      <c r="CT470" s="549">
        <v>0</v>
      </c>
      <c r="CU470" s="675">
        <v>0</v>
      </c>
      <c r="CV470" s="549">
        <v>0</v>
      </c>
      <c r="CW470" s="675">
        <v>0</v>
      </c>
      <c r="CX470" s="549">
        <v>0</v>
      </c>
      <c r="CY470" s="675">
        <v>0</v>
      </c>
      <c r="CZ470" s="549">
        <v>0</v>
      </c>
      <c r="DA470" s="675">
        <v>0</v>
      </c>
      <c r="DB470" s="549">
        <v>0</v>
      </c>
      <c r="DC470" s="675">
        <v>0</v>
      </c>
      <c r="DD470" s="549">
        <v>0</v>
      </c>
      <c r="DE470" s="675">
        <v>0</v>
      </c>
      <c r="DF470" s="549">
        <v>0</v>
      </c>
      <c r="DG470" s="675">
        <v>0</v>
      </c>
      <c r="DH470" s="549">
        <v>0</v>
      </c>
      <c r="DI470" s="675">
        <v>0</v>
      </c>
      <c r="DJ470" s="549">
        <v>2000</v>
      </c>
      <c r="DK470" s="675">
        <v>0</v>
      </c>
      <c r="DL470" s="549">
        <v>0</v>
      </c>
      <c r="DM470" s="675">
        <v>0</v>
      </c>
      <c r="DN470" s="549">
        <v>0</v>
      </c>
      <c r="DO470" s="675">
        <v>0</v>
      </c>
      <c r="DP470" s="549">
        <v>0</v>
      </c>
      <c r="DQ470" s="675">
        <v>0</v>
      </c>
      <c r="DR470" s="549">
        <v>0</v>
      </c>
      <c r="DS470" s="675">
        <v>0</v>
      </c>
      <c r="DT470" s="549">
        <v>0</v>
      </c>
      <c r="DU470" s="675">
        <v>0</v>
      </c>
      <c r="DV470" s="549">
        <v>0</v>
      </c>
      <c r="DW470" s="675">
        <v>0</v>
      </c>
      <c r="DX470" s="549">
        <v>0</v>
      </c>
      <c r="DY470" s="675">
        <v>0</v>
      </c>
      <c r="DZ470" s="549">
        <v>0</v>
      </c>
      <c r="EA470" s="675">
        <v>0</v>
      </c>
      <c r="EB470" s="549">
        <v>0</v>
      </c>
      <c r="EC470" s="675">
        <v>0</v>
      </c>
      <c r="ED470" s="549">
        <v>0</v>
      </c>
      <c r="EE470" s="675">
        <v>0</v>
      </c>
      <c r="EF470" s="549">
        <v>0</v>
      </c>
      <c r="EG470" s="675">
        <v>0</v>
      </c>
      <c r="EH470" s="549">
        <v>0</v>
      </c>
      <c r="EI470" s="675">
        <v>0</v>
      </c>
      <c r="EJ470" s="549">
        <v>0</v>
      </c>
      <c r="EK470" s="675">
        <v>0</v>
      </c>
      <c r="EL470" s="549">
        <v>0</v>
      </c>
      <c r="EM470" s="675">
        <v>0</v>
      </c>
      <c r="EN470" s="549">
        <v>0</v>
      </c>
      <c r="EO470" s="675">
        <v>0</v>
      </c>
      <c r="EP470" s="549">
        <v>0</v>
      </c>
      <c r="EQ470" s="675">
        <v>0</v>
      </c>
      <c r="ER470" s="549">
        <v>0</v>
      </c>
      <c r="ES470" s="675">
        <v>0</v>
      </c>
      <c r="ET470" s="549">
        <v>3000</v>
      </c>
      <c r="EU470" s="675">
        <v>0</v>
      </c>
      <c r="EV470" s="549">
        <v>0</v>
      </c>
      <c r="EW470" s="675">
        <v>0</v>
      </c>
      <c r="EX470" s="549">
        <v>0</v>
      </c>
      <c r="EY470" s="675">
        <v>0</v>
      </c>
      <c r="EZ470" s="549">
        <v>0</v>
      </c>
      <c r="FA470" s="675">
        <v>0</v>
      </c>
      <c r="FB470" s="549">
        <v>0</v>
      </c>
      <c r="FC470" s="675">
        <v>0</v>
      </c>
      <c r="FD470" s="549">
        <v>0</v>
      </c>
      <c r="FE470" s="675">
        <v>0</v>
      </c>
      <c r="FF470" s="549">
        <v>0</v>
      </c>
      <c r="FG470" s="675">
        <v>0</v>
      </c>
      <c r="FH470" s="549">
        <v>0</v>
      </c>
      <c r="FI470" s="675">
        <v>0</v>
      </c>
      <c r="FJ470" s="549">
        <v>0</v>
      </c>
      <c r="FK470" s="675">
        <v>0</v>
      </c>
      <c r="FL470" s="549">
        <v>0</v>
      </c>
      <c r="FM470" s="675">
        <v>0</v>
      </c>
      <c r="FN470" s="549">
        <v>0</v>
      </c>
      <c r="FO470" s="675">
        <v>0</v>
      </c>
      <c r="FP470" s="549">
        <v>0</v>
      </c>
      <c r="FQ470" s="675">
        <v>0</v>
      </c>
      <c r="FR470" s="549">
        <v>0</v>
      </c>
      <c r="FS470" s="675">
        <v>0</v>
      </c>
      <c r="FT470" s="549">
        <v>0</v>
      </c>
      <c r="FU470" s="675">
        <v>0</v>
      </c>
      <c r="FV470" s="549">
        <v>0</v>
      </c>
      <c r="FW470" s="675">
        <v>0</v>
      </c>
      <c r="FX470" s="549">
        <v>0</v>
      </c>
      <c r="FY470" s="675">
        <v>0</v>
      </c>
      <c r="FZ470" s="549">
        <v>0</v>
      </c>
      <c r="GA470" s="675">
        <v>0</v>
      </c>
      <c r="GB470" s="549">
        <v>0</v>
      </c>
      <c r="GC470" s="675">
        <v>0</v>
      </c>
      <c r="GD470" s="549">
        <v>0</v>
      </c>
      <c r="GE470" s="675">
        <v>0</v>
      </c>
      <c r="GF470" s="549">
        <v>0</v>
      </c>
      <c r="GG470" s="675">
        <v>0</v>
      </c>
      <c r="GH470" s="549">
        <v>0</v>
      </c>
      <c r="GI470" s="675">
        <v>0</v>
      </c>
      <c r="GJ470" s="549">
        <v>0</v>
      </c>
      <c r="GK470" s="675">
        <v>0</v>
      </c>
      <c r="GL470" s="549">
        <v>0</v>
      </c>
      <c r="GM470" s="675">
        <v>0</v>
      </c>
      <c r="GN470" s="549">
        <v>0</v>
      </c>
      <c r="GO470" s="675">
        <v>0</v>
      </c>
      <c r="GP470" s="549">
        <f t="shared" si="11790"/>
        <v>5000</v>
      </c>
      <c r="GQ470" s="675">
        <f t="shared" si="11791"/>
        <v>-2000</v>
      </c>
      <c r="GR470" s="74">
        <f t="shared" si="11759"/>
        <v>24400</v>
      </c>
      <c r="GS470" s="74">
        <f t="shared" si="11760"/>
        <v>24400</v>
      </c>
      <c r="GT470" s="568">
        <f t="shared" si="11761"/>
        <v>24400</v>
      </c>
      <c r="GU470" s="275">
        <v>2140</v>
      </c>
      <c r="GV470" s="275">
        <v>2140</v>
      </c>
      <c r="GW470" s="275">
        <v>2140</v>
      </c>
      <c r="GX470" s="275">
        <v>2140</v>
      </c>
      <c r="GY470" s="275">
        <v>2140</v>
      </c>
      <c r="GZ470" s="275">
        <v>2140</v>
      </c>
      <c r="HA470" s="275">
        <v>2140</v>
      </c>
      <c r="HB470" s="275">
        <v>2140</v>
      </c>
      <c r="HC470" s="275">
        <v>2140</v>
      </c>
      <c r="HD470" s="275">
        <v>2140</v>
      </c>
      <c r="HE470" s="275">
        <v>0</v>
      </c>
      <c r="HF470" s="275">
        <v>0</v>
      </c>
      <c r="HG470" s="74">
        <f>SUM(HH470:IE470)</f>
        <v>24400</v>
      </c>
      <c r="HH470" s="89">
        <v>2140</v>
      </c>
      <c r="HI470" s="817">
        <v>0</v>
      </c>
      <c r="HJ470" s="89">
        <v>2140</v>
      </c>
      <c r="HK470" s="817">
        <v>0</v>
      </c>
      <c r="HL470" s="89">
        <v>2140</v>
      </c>
      <c r="HM470" s="817">
        <v>0</v>
      </c>
      <c r="HN470" s="89">
        <v>2140</v>
      </c>
      <c r="HO470" s="817">
        <v>0</v>
      </c>
      <c r="HP470" s="89">
        <v>2140</v>
      </c>
      <c r="HQ470" s="817">
        <v>0</v>
      </c>
      <c r="HR470" s="89">
        <v>0</v>
      </c>
      <c r="HS470" s="817">
        <v>0</v>
      </c>
      <c r="HT470" s="89">
        <v>0</v>
      </c>
      <c r="HU470" s="817">
        <v>0</v>
      </c>
      <c r="HV470" s="89">
        <v>4420</v>
      </c>
      <c r="HW470" s="817">
        <v>0</v>
      </c>
      <c r="HX470" s="89">
        <v>7140</v>
      </c>
      <c r="HY470" s="817">
        <v>0</v>
      </c>
      <c r="HZ470" s="89">
        <f>24400-22260</f>
        <v>2140</v>
      </c>
      <c r="IA470" s="817">
        <v>0</v>
      </c>
      <c r="IB470" s="89">
        <v>0</v>
      </c>
      <c r="IC470" s="817">
        <v>0</v>
      </c>
      <c r="ID470" s="89">
        <v>0</v>
      </c>
      <c r="IE470" s="817">
        <v>0</v>
      </c>
      <c r="IF470" s="841">
        <f t="shared" si="11762"/>
        <v>18569.16</v>
      </c>
      <c r="IG470" s="263">
        <f t="shared" si="11763"/>
        <v>18569.16</v>
      </c>
      <c r="IH470" s="842">
        <f t="shared" si="11764"/>
        <v>18569.16</v>
      </c>
      <c r="II470" s="89">
        <v>346.88</v>
      </c>
      <c r="IJ470" s="89">
        <f t="shared" si="11765"/>
        <v>346.88</v>
      </c>
      <c r="IK470" s="89">
        <f t="shared" si="11766"/>
        <v>346.88</v>
      </c>
      <c r="IL470" s="89">
        <f>638.17-346.88</f>
        <v>291.28999999999996</v>
      </c>
      <c r="IM470" s="89">
        <f t="shared" si="11767"/>
        <v>291.28999999999996</v>
      </c>
      <c r="IN470" s="89">
        <f t="shared" si="11768"/>
        <v>291.28999999999996</v>
      </c>
      <c r="IO470" s="89">
        <f>929.01-638.17</f>
        <v>290.84000000000003</v>
      </c>
      <c r="IP470" s="89">
        <f t="shared" si="11769"/>
        <v>290.84000000000003</v>
      </c>
      <c r="IQ470" s="89">
        <f t="shared" si="11770"/>
        <v>290.84000000000003</v>
      </c>
      <c r="IR470" s="89">
        <f>1609.35-929.01</f>
        <v>680.33999999999992</v>
      </c>
      <c r="IS470" s="89">
        <f t="shared" si="11771"/>
        <v>680.33999999999992</v>
      </c>
      <c r="IT470" s="89">
        <f t="shared" si="11772"/>
        <v>680.33999999999992</v>
      </c>
      <c r="IU470" s="89">
        <f>4279.51-1609.35</f>
        <v>2670.1600000000003</v>
      </c>
      <c r="IV470" s="89">
        <f t="shared" si="11773"/>
        <v>2670.1600000000003</v>
      </c>
      <c r="IW470" s="89">
        <f t="shared" si="11774"/>
        <v>2670.1600000000003</v>
      </c>
      <c r="IX470" s="89">
        <f>5953.89-4279.51</f>
        <v>1674.38</v>
      </c>
      <c r="IY470" s="89">
        <f t="shared" si="11775"/>
        <v>1674.38</v>
      </c>
      <c r="IZ470" s="89">
        <f t="shared" si="11776"/>
        <v>1674.38</v>
      </c>
      <c r="JA470" s="89">
        <f>8527.34-5953.89</f>
        <v>2573.4499999999998</v>
      </c>
      <c r="JB470" s="89">
        <f t="shared" si="11777"/>
        <v>2573.4499999999998</v>
      </c>
      <c r="JC470" s="89">
        <f t="shared" si="11778"/>
        <v>2573.4499999999998</v>
      </c>
      <c r="JD470" s="89">
        <f>13176.56-8527.34</f>
        <v>4649.2199999999993</v>
      </c>
      <c r="JE470" s="89">
        <f t="shared" si="11779"/>
        <v>4649.2199999999993</v>
      </c>
      <c r="JF470" s="89">
        <f t="shared" si="11780"/>
        <v>4649.2199999999993</v>
      </c>
      <c r="JG470" s="89">
        <f>13512.51-13176.56</f>
        <v>335.95000000000073</v>
      </c>
      <c r="JH470" s="89">
        <f t="shared" si="11781"/>
        <v>335.95000000000073</v>
      </c>
      <c r="JI470" s="89">
        <f t="shared" si="11782"/>
        <v>335.95000000000073</v>
      </c>
      <c r="JJ470" s="89">
        <f>18569.16-13512.51</f>
        <v>5056.6499999999996</v>
      </c>
      <c r="JK470" s="89">
        <f t="shared" si="11783"/>
        <v>5056.6499999999996</v>
      </c>
      <c r="JL470" s="89">
        <f t="shared" si="11784"/>
        <v>5056.6499999999996</v>
      </c>
      <c r="JM470" s="89">
        <v>0</v>
      </c>
      <c r="JN470" s="89">
        <f t="shared" si="11785"/>
        <v>0</v>
      </c>
      <c r="JO470" s="89">
        <f t="shared" si="11786"/>
        <v>0</v>
      </c>
      <c r="JP470" s="89">
        <v>0</v>
      </c>
      <c r="JQ470" s="89">
        <f t="shared" ref="JQ470:JR470" si="11798">JP470</f>
        <v>0</v>
      </c>
      <c r="JR470" s="89">
        <f t="shared" si="11798"/>
        <v>0</v>
      </c>
      <c r="JS470" s="74">
        <f>HG470-IF470</f>
        <v>5830.84</v>
      </c>
      <c r="JT470" s="382">
        <f>GS470-IF470</f>
        <v>5830.84</v>
      </c>
      <c r="JU470" s="665"/>
      <c r="JV470" s="524"/>
      <c r="JW470" s="525"/>
      <c r="JX470" s="549">
        <f t="shared" si="11788"/>
        <v>24400</v>
      </c>
      <c r="JY470" s="549">
        <f t="shared" si="11788"/>
        <v>0</v>
      </c>
      <c r="JZ470" s="581">
        <f t="shared" si="11276"/>
        <v>5000</v>
      </c>
      <c r="KA470" s="581">
        <f t="shared" si="11277"/>
        <v>-2000</v>
      </c>
      <c r="KB470" s="549">
        <f t="shared" si="11273"/>
        <v>24400</v>
      </c>
      <c r="KC470" s="709">
        <f t="shared" si="11275"/>
        <v>0</v>
      </c>
      <c r="KD470" s="36"/>
      <c r="KE470" s="36"/>
      <c r="KF470" s="36"/>
      <c r="KG470" s="36"/>
      <c r="KH470" s="36"/>
      <c r="KI470" s="36"/>
      <c r="KJ470" s="36"/>
      <c r="KK470" s="36"/>
    </row>
    <row r="471" spans="1:297" s="10" customFormat="1">
      <c r="A471" s="91"/>
      <c r="B471" s="77"/>
      <c r="C471" s="74"/>
      <c r="D471" s="549"/>
      <c r="E471" s="675"/>
      <c r="F471" s="549"/>
      <c r="G471" s="675"/>
      <c r="H471" s="549"/>
      <c r="I471" s="675"/>
      <c r="J471" s="549"/>
      <c r="K471" s="675"/>
      <c r="L471" s="549"/>
      <c r="M471" s="675"/>
      <c r="N471" s="549"/>
      <c r="O471" s="675"/>
      <c r="P471" s="549"/>
      <c r="Q471" s="675"/>
      <c r="R471" s="549"/>
      <c r="S471" s="675"/>
      <c r="T471" s="549"/>
      <c r="U471" s="675"/>
      <c r="V471" s="549"/>
      <c r="W471" s="675"/>
      <c r="X471" s="549"/>
      <c r="Y471" s="675"/>
      <c r="Z471" s="549"/>
      <c r="AA471" s="675"/>
      <c r="AB471" s="549"/>
      <c r="AC471" s="675"/>
      <c r="AD471" s="549"/>
      <c r="AE471" s="675"/>
      <c r="AF471" s="549"/>
      <c r="AG471" s="675"/>
      <c r="AH471" s="549"/>
      <c r="AI471" s="675"/>
      <c r="AJ471" s="549"/>
      <c r="AK471" s="675"/>
      <c r="AL471" s="549"/>
      <c r="AM471" s="675"/>
      <c r="AN471" s="549"/>
      <c r="AO471" s="675"/>
      <c r="AP471" s="549"/>
      <c r="AQ471" s="675"/>
      <c r="AR471" s="549"/>
      <c r="AS471" s="675"/>
      <c r="AT471" s="549"/>
      <c r="AU471" s="675"/>
      <c r="AV471" s="549"/>
      <c r="AW471" s="675"/>
      <c r="AX471" s="549"/>
      <c r="AY471" s="675"/>
      <c r="AZ471" s="549"/>
      <c r="BA471" s="675"/>
      <c r="BB471" s="549"/>
      <c r="BC471" s="675"/>
      <c r="BD471" s="549"/>
      <c r="BE471" s="675"/>
      <c r="BF471" s="549"/>
      <c r="BG471" s="675"/>
      <c r="BH471" s="549"/>
      <c r="BI471" s="675"/>
      <c r="BJ471" s="549"/>
      <c r="BK471" s="675"/>
      <c r="BL471" s="549"/>
      <c r="BM471" s="675"/>
      <c r="BN471" s="549"/>
      <c r="BO471" s="675"/>
      <c r="BP471" s="549"/>
      <c r="BQ471" s="675"/>
      <c r="BR471" s="549"/>
      <c r="BS471" s="675"/>
      <c r="BT471" s="549"/>
      <c r="BU471" s="675"/>
      <c r="BV471" s="549"/>
      <c r="BW471" s="675"/>
      <c r="BX471" s="549"/>
      <c r="BY471" s="675"/>
      <c r="BZ471" s="549"/>
      <c r="CA471" s="675"/>
      <c r="CB471" s="549"/>
      <c r="CC471" s="675"/>
      <c r="CD471" s="549"/>
      <c r="CE471" s="675"/>
      <c r="CF471" s="549"/>
      <c r="CG471" s="675"/>
      <c r="CH471" s="549"/>
      <c r="CI471" s="675"/>
      <c r="CJ471" s="549"/>
      <c r="CK471" s="675"/>
      <c r="CL471" s="549"/>
      <c r="CM471" s="675"/>
      <c r="CN471" s="549"/>
      <c r="CO471" s="675"/>
      <c r="CP471" s="549"/>
      <c r="CQ471" s="675"/>
      <c r="CR471" s="549"/>
      <c r="CS471" s="675"/>
      <c r="CT471" s="549"/>
      <c r="CU471" s="675"/>
      <c r="CV471" s="549"/>
      <c r="CW471" s="675"/>
      <c r="CX471" s="549"/>
      <c r="CY471" s="675"/>
      <c r="CZ471" s="549"/>
      <c r="DA471" s="675"/>
      <c r="DB471" s="549"/>
      <c r="DC471" s="675"/>
      <c r="DD471" s="549"/>
      <c r="DE471" s="675"/>
      <c r="DF471" s="549"/>
      <c r="DG471" s="675"/>
      <c r="DH471" s="549"/>
      <c r="DI471" s="675"/>
      <c r="DJ471" s="549"/>
      <c r="DK471" s="675"/>
      <c r="DL471" s="549"/>
      <c r="DM471" s="675"/>
      <c r="DN471" s="549"/>
      <c r="DO471" s="675"/>
      <c r="DP471" s="549"/>
      <c r="DQ471" s="675"/>
      <c r="DR471" s="549"/>
      <c r="DS471" s="675"/>
      <c r="DT471" s="549"/>
      <c r="DU471" s="675"/>
      <c r="DV471" s="549"/>
      <c r="DW471" s="675"/>
      <c r="DX471" s="549"/>
      <c r="DY471" s="675"/>
      <c r="DZ471" s="549"/>
      <c r="EA471" s="675"/>
      <c r="EB471" s="549"/>
      <c r="EC471" s="675"/>
      <c r="ED471" s="549"/>
      <c r="EE471" s="675"/>
      <c r="EF471" s="549"/>
      <c r="EG471" s="675"/>
      <c r="EH471" s="549"/>
      <c r="EI471" s="675"/>
      <c r="EJ471" s="549"/>
      <c r="EK471" s="675"/>
      <c r="EL471" s="549"/>
      <c r="EM471" s="675"/>
      <c r="EN471" s="549"/>
      <c r="EO471" s="675"/>
      <c r="EP471" s="549"/>
      <c r="EQ471" s="675"/>
      <c r="ER471" s="549"/>
      <c r="ES471" s="675"/>
      <c r="ET471" s="549"/>
      <c r="EU471" s="675"/>
      <c r="EV471" s="549"/>
      <c r="EW471" s="675"/>
      <c r="EX471" s="549"/>
      <c r="EY471" s="675"/>
      <c r="EZ471" s="549"/>
      <c r="FA471" s="675"/>
      <c r="FB471" s="549"/>
      <c r="FC471" s="675"/>
      <c r="FD471" s="549"/>
      <c r="FE471" s="675"/>
      <c r="FF471" s="549"/>
      <c r="FG471" s="675"/>
      <c r="FH471" s="549"/>
      <c r="FI471" s="675"/>
      <c r="FJ471" s="549"/>
      <c r="FK471" s="675"/>
      <c r="FL471" s="549"/>
      <c r="FM471" s="675"/>
      <c r="FN471" s="549"/>
      <c r="FO471" s="675"/>
      <c r="FP471" s="549"/>
      <c r="FQ471" s="675"/>
      <c r="FR471" s="549"/>
      <c r="FS471" s="675"/>
      <c r="FT471" s="549"/>
      <c r="FU471" s="675"/>
      <c r="FV471" s="549"/>
      <c r="FW471" s="675"/>
      <c r="FX471" s="549"/>
      <c r="FY471" s="675"/>
      <c r="FZ471" s="549"/>
      <c r="GA471" s="675"/>
      <c r="GB471" s="549"/>
      <c r="GC471" s="675"/>
      <c r="GD471" s="549"/>
      <c r="GE471" s="675"/>
      <c r="GF471" s="549"/>
      <c r="GG471" s="675"/>
      <c r="GH471" s="549"/>
      <c r="GI471" s="675"/>
      <c r="GJ471" s="549"/>
      <c r="GK471" s="675"/>
      <c r="GL471" s="549"/>
      <c r="GM471" s="675"/>
      <c r="GN471" s="549"/>
      <c r="GO471" s="675"/>
      <c r="GP471" s="549"/>
      <c r="GQ471" s="675"/>
      <c r="GR471" s="74"/>
      <c r="GS471" s="74"/>
      <c r="GT471" s="549"/>
      <c r="GU471" s="73"/>
      <c r="GV471" s="73"/>
      <c r="GW471" s="549"/>
      <c r="GX471" s="549"/>
      <c r="GY471" s="73"/>
      <c r="GZ471" s="73"/>
      <c r="HA471" s="73"/>
      <c r="HB471" s="73"/>
      <c r="HC471" s="73"/>
      <c r="HD471" s="73"/>
      <c r="HE471" s="73"/>
      <c r="HF471" s="73"/>
      <c r="HG471" s="74"/>
      <c r="HH471" s="73"/>
      <c r="HI471" s="815"/>
      <c r="HJ471" s="73"/>
      <c r="HK471" s="815"/>
      <c r="HL471" s="73"/>
      <c r="HM471" s="815"/>
      <c r="HN471" s="73"/>
      <c r="HO471" s="815"/>
      <c r="HP471" s="73"/>
      <c r="HQ471" s="815"/>
      <c r="HR471" s="73"/>
      <c r="HS471" s="815"/>
      <c r="HT471" s="73"/>
      <c r="HU471" s="815"/>
      <c r="HV471" s="73"/>
      <c r="HW471" s="815"/>
      <c r="HX471" s="73"/>
      <c r="HY471" s="815"/>
      <c r="HZ471" s="73"/>
      <c r="IA471" s="815"/>
      <c r="IB471" s="73"/>
      <c r="IC471" s="815"/>
      <c r="ID471" s="73"/>
      <c r="IE471" s="815"/>
      <c r="IF471" s="841"/>
      <c r="IG471" s="263"/>
      <c r="IH471" s="842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  <c r="JD471" s="73"/>
      <c r="JE471" s="73"/>
      <c r="JF471" s="73"/>
      <c r="JG471" s="73"/>
      <c r="JH471" s="73"/>
      <c r="JI471" s="73"/>
      <c r="JJ471" s="73"/>
      <c r="JK471" s="73"/>
      <c r="JL471" s="73"/>
      <c r="JM471" s="73"/>
      <c r="JN471" s="73"/>
      <c r="JO471" s="73"/>
      <c r="JP471" s="73"/>
      <c r="JQ471" s="73"/>
      <c r="JR471" s="73"/>
      <c r="JS471" s="74"/>
      <c r="JT471" s="382"/>
      <c r="JU471" s="665"/>
      <c r="JV471" s="524"/>
      <c r="JW471" s="525"/>
      <c r="JX471" s="549"/>
      <c r="JY471" s="549"/>
      <c r="JZ471" s="581">
        <f t="shared" si="11276"/>
        <v>0</v>
      </c>
      <c r="KA471" s="581">
        <f t="shared" si="11277"/>
        <v>0</v>
      </c>
      <c r="KB471" s="549">
        <f t="shared" si="11273"/>
        <v>0</v>
      </c>
      <c r="KC471" s="709">
        <f t="shared" si="11275"/>
        <v>0</v>
      </c>
      <c r="KD471" s="36"/>
      <c r="KE471" s="36"/>
      <c r="KF471" s="36"/>
      <c r="KG471" s="36"/>
      <c r="KH471" s="36"/>
      <c r="KI471" s="36"/>
      <c r="KJ471" s="36"/>
      <c r="KK471" s="36"/>
    </row>
    <row r="472" spans="1:297" s="8" customFormat="1">
      <c r="A472" s="80" t="s">
        <v>282</v>
      </c>
      <c r="B472" s="72" t="s">
        <v>161</v>
      </c>
      <c r="C472" s="74">
        <f t="shared" ref="C472" si="11799">SUM(C473:C480)</f>
        <v>75000</v>
      </c>
      <c r="D472" s="549">
        <f t="shared" ref="D472:E472" si="11800">SUM(D473:D480)</f>
        <v>0</v>
      </c>
      <c r="E472" s="675">
        <f t="shared" si="11800"/>
        <v>0</v>
      </c>
      <c r="F472" s="549">
        <f t="shared" ref="F472:G472" si="11801">SUM(F473:F480)</f>
        <v>0</v>
      </c>
      <c r="G472" s="675">
        <f t="shared" si="11801"/>
        <v>0</v>
      </c>
      <c r="H472" s="549">
        <f t="shared" ref="H472:I472" si="11802">SUM(H473:H480)</f>
        <v>0</v>
      </c>
      <c r="I472" s="675">
        <f t="shared" si="11802"/>
        <v>0</v>
      </c>
      <c r="J472" s="549">
        <f t="shared" ref="J472:K472" si="11803">SUM(J473:J480)</f>
        <v>0</v>
      </c>
      <c r="K472" s="675">
        <f t="shared" si="11803"/>
        <v>0</v>
      </c>
      <c r="L472" s="549">
        <f t="shared" ref="L472:M472" si="11804">SUM(L473:L480)</f>
        <v>0</v>
      </c>
      <c r="M472" s="675">
        <f t="shared" si="11804"/>
        <v>0</v>
      </c>
      <c r="N472" s="549">
        <f t="shared" ref="N472:O472" si="11805">SUM(N473:N480)</f>
        <v>0</v>
      </c>
      <c r="O472" s="675">
        <f t="shared" si="11805"/>
        <v>0</v>
      </c>
      <c r="P472" s="549">
        <f t="shared" ref="P472:Q472" si="11806">SUM(P473:P480)</f>
        <v>0</v>
      </c>
      <c r="Q472" s="675">
        <f t="shared" si="11806"/>
        <v>0</v>
      </c>
      <c r="R472" s="549">
        <f t="shared" ref="R472:S472" si="11807">SUM(R473:R480)</f>
        <v>0</v>
      </c>
      <c r="S472" s="675">
        <f t="shared" si="11807"/>
        <v>0</v>
      </c>
      <c r="T472" s="549">
        <f t="shared" ref="T472:AM472" si="11808">SUM(T473:T480)</f>
        <v>0</v>
      </c>
      <c r="U472" s="675">
        <f t="shared" si="11808"/>
        <v>0</v>
      </c>
      <c r="V472" s="549">
        <f t="shared" si="11808"/>
        <v>0</v>
      </c>
      <c r="W472" s="675">
        <f t="shared" si="11808"/>
        <v>-11000</v>
      </c>
      <c r="X472" s="549">
        <f t="shared" si="11808"/>
        <v>0</v>
      </c>
      <c r="Y472" s="675">
        <f t="shared" si="11808"/>
        <v>0</v>
      </c>
      <c r="Z472" s="549">
        <f t="shared" si="11808"/>
        <v>0</v>
      </c>
      <c r="AA472" s="675">
        <f t="shared" si="11808"/>
        <v>0</v>
      </c>
      <c r="AB472" s="549">
        <f t="shared" si="11808"/>
        <v>0</v>
      </c>
      <c r="AC472" s="675">
        <f t="shared" si="11808"/>
        <v>0</v>
      </c>
      <c r="AD472" s="549">
        <f t="shared" ref="AD472:AK472" si="11809">SUM(AD473:AD480)</f>
        <v>0</v>
      </c>
      <c r="AE472" s="675">
        <f t="shared" si="11809"/>
        <v>-2000</v>
      </c>
      <c r="AF472" s="549">
        <f t="shared" si="11809"/>
        <v>0</v>
      </c>
      <c r="AG472" s="675">
        <f t="shared" si="11809"/>
        <v>0</v>
      </c>
      <c r="AH472" s="549">
        <f t="shared" si="11809"/>
        <v>0</v>
      </c>
      <c r="AI472" s="675">
        <f t="shared" si="11809"/>
        <v>0</v>
      </c>
      <c r="AJ472" s="549">
        <f t="shared" si="11809"/>
        <v>0</v>
      </c>
      <c r="AK472" s="675">
        <f t="shared" si="11809"/>
        <v>0</v>
      </c>
      <c r="AL472" s="549">
        <f t="shared" si="11808"/>
        <v>0</v>
      </c>
      <c r="AM472" s="675">
        <f t="shared" si="11808"/>
        <v>0</v>
      </c>
      <c r="AN472" s="549">
        <f t="shared" ref="AN472:AS472" si="11810">SUM(AN473:AN480)</f>
        <v>0</v>
      </c>
      <c r="AO472" s="675">
        <f t="shared" si="11810"/>
        <v>0</v>
      </c>
      <c r="AP472" s="549">
        <f t="shared" si="11810"/>
        <v>0</v>
      </c>
      <c r="AQ472" s="675">
        <f t="shared" si="11810"/>
        <v>0</v>
      </c>
      <c r="AR472" s="549">
        <f t="shared" si="11810"/>
        <v>0</v>
      </c>
      <c r="AS472" s="675">
        <f t="shared" si="11810"/>
        <v>0</v>
      </c>
      <c r="AT472" s="549">
        <f t="shared" ref="AT472:AU472" si="11811">SUM(AT473:AT480)</f>
        <v>0</v>
      </c>
      <c r="AU472" s="675">
        <f t="shared" si="11811"/>
        <v>0</v>
      </c>
      <c r="AV472" s="549">
        <f t="shared" ref="AV472:AW472" si="11812">SUM(AV473:AV480)</f>
        <v>0</v>
      </c>
      <c r="AW472" s="675">
        <f t="shared" si="11812"/>
        <v>0</v>
      </c>
      <c r="AX472" s="549">
        <f t="shared" ref="AX472:AY472" si="11813">SUM(AX473:AX480)</f>
        <v>0</v>
      </c>
      <c r="AY472" s="675">
        <f t="shared" si="11813"/>
        <v>0</v>
      </c>
      <c r="AZ472" s="549">
        <f t="shared" ref="AZ472:BA472" si="11814">SUM(AZ473:AZ480)</f>
        <v>0</v>
      </c>
      <c r="BA472" s="675">
        <f t="shared" si="11814"/>
        <v>-2000</v>
      </c>
      <c r="BB472" s="549">
        <f t="shared" ref="BB472:BC472" si="11815">SUM(BB473:BB480)</f>
        <v>0</v>
      </c>
      <c r="BC472" s="675">
        <f t="shared" si="11815"/>
        <v>0</v>
      </c>
      <c r="BD472" s="549">
        <f t="shared" ref="BD472:BE472" si="11816">SUM(BD473:BD480)</f>
        <v>0</v>
      </c>
      <c r="BE472" s="675">
        <f t="shared" si="11816"/>
        <v>0</v>
      </c>
      <c r="BF472" s="549">
        <f t="shared" ref="BF472:BG472" si="11817">SUM(BF473:BF480)</f>
        <v>0</v>
      </c>
      <c r="BG472" s="675">
        <f t="shared" si="11817"/>
        <v>0</v>
      </c>
      <c r="BH472" s="549">
        <f t="shared" ref="BH472:BI472" si="11818">SUM(BH473:BH480)</f>
        <v>0</v>
      </c>
      <c r="BI472" s="675">
        <f t="shared" si="11818"/>
        <v>0</v>
      </c>
      <c r="BJ472" s="549">
        <f t="shared" ref="BJ472:BK472" si="11819">SUM(BJ473:BJ480)</f>
        <v>0</v>
      </c>
      <c r="BK472" s="675">
        <f t="shared" si="11819"/>
        <v>0</v>
      </c>
      <c r="BL472" s="549">
        <f t="shared" ref="BL472:BS472" si="11820">SUM(BL473:BL480)</f>
        <v>0</v>
      </c>
      <c r="BM472" s="675">
        <f t="shared" si="11820"/>
        <v>0</v>
      </c>
      <c r="BN472" s="549">
        <f t="shared" si="11820"/>
        <v>0</v>
      </c>
      <c r="BO472" s="675">
        <f t="shared" si="11820"/>
        <v>0</v>
      </c>
      <c r="BP472" s="549">
        <f t="shared" si="11820"/>
        <v>0</v>
      </c>
      <c r="BQ472" s="675">
        <f t="shared" si="11820"/>
        <v>0</v>
      </c>
      <c r="BR472" s="549">
        <f t="shared" si="11820"/>
        <v>0</v>
      </c>
      <c r="BS472" s="675">
        <f t="shared" si="11820"/>
        <v>0</v>
      </c>
      <c r="BT472" s="549">
        <f t="shared" ref="BT472:BU472" si="11821">SUM(BT473:BT480)</f>
        <v>0</v>
      </c>
      <c r="BU472" s="675">
        <f t="shared" si="11821"/>
        <v>0</v>
      </c>
      <c r="BV472" s="549">
        <f t="shared" ref="BV472:BW472" si="11822">SUM(BV473:BV480)</f>
        <v>0</v>
      </c>
      <c r="BW472" s="675">
        <f t="shared" si="11822"/>
        <v>0</v>
      </c>
      <c r="BX472" s="549">
        <f t="shared" ref="BX472:BY472" si="11823">SUM(BX473:BX480)</f>
        <v>0</v>
      </c>
      <c r="BY472" s="675">
        <f t="shared" si="11823"/>
        <v>0</v>
      </c>
      <c r="BZ472" s="549">
        <f t="shared" ref="BZ472:CA472" si="11824">SUM(BZ473:BZ480)</f>
        <v>0</v>
      </c>
      <c r="CA472" s="675">
        <f t="shared" si="11824"/>
        <v>0</v>
      </c>
      <c r="CB472" s="549">
        <f t="shared" ref="CB472:CE472" si="11825">SUM(CB473:CB480)</f>
        <v>0</v>
      </c>
      <c r="CC472" s="675">
        <f t="shared" si="11825"/>
        <v>0</v>
      </c>
      <c r="CD472" s="549">
        <f t="shared" si="11825"/>
        <v>0</v>
      </c>
      <c r="CE472" s="675">
        <f t="shared" si="11825"/>
        <v>0</v>
      </c>
      <c r="CF472" s="549">
        <f t="shared" ref="CF472:CQ472" si="11826">SUM(CF473:CF480)</f>
        <v>0</v>
      </c>
      <c r="CG472" s="675">
        <f t="shared" si="11826"/>
        <v>0</v>
      </c>
      <c r="CH472" s="549">
        <f t="shared" si="11826"/>
        <v>0</v>
      </c>
      <c r="CI472" s="675">
        <f t="shared" si="11826"/>
        <v>0</v>
      </c>
      <c r="CJ472" s="549">
        <f t="shared" si="11826"/>
        <v>0</v>
      </c>
      <c r="CK472" s="675">
        <f t="shared" si="11826"/>
        <v>-12000</v>
      </c>
      <c r="CL472" s="549">
        <f t="shared" si="11826"/>
        <v>0</v>
      </c>
      <c r="CM472" s="675">
        <f t="shared" si="11826"/>
        <v>0</v>
      </c>
      <c r="CN472" s="549">
        <f t="shared" si="11826"/>
        <v>0</v>
      </c>
      <c r="CO472" s="675">
        <f t="shared" si="11826"/>
        <v>0</v>
      </c>
      <c r="CP472" s="549">
        <f t="shared" si="11826"/>
        <v>0</v>
      </c>
      <c r="CQ472" s="675">
        <f t="shared" si="11826"/>
        <v>0</v>
      </c>
      <c r="CR472" s="549">
        <f t="shared" ref="CR472:CY472" si="11827">SUM(CR473:CR480)</f>
        <v>0</v>
      </c>
      <c r="CS472" s="675">
        <f t="shared" si="11827"/>
        <v>0</v>
      </c>
      <c r="CT472" s="549">
        <f t="shared" si="11827"/>
        <v>0</v>
      </c>
      <c r="CU472" s="675">
        <f t="shared" si="11827"/>
        <v>0</v>
      </c>
      <c r="CV472" s="549">
        <f t="shared" si="11827"/>
        <v>0</v>
      </c>
      <c r="CW472" s="675">
        <f t="shared" si="11827"/>
        <v>0</v>
      </c>
      <c r="CX472" s="549">
        <f t="shared" si="11827"/>
        <v>0</v>
      </c>
      <c r="CY472" s="675">
        <f t="shared" si="11827"/>
        <v>0</v>
      </c>
      <c r="CZ472" s="549">
        <f t="shared" ref="CZ472:DI472" si="11828">SUM(CZ473:CZ480)</f>
        <v>0</v>
      </c>
      <c r="DA472" s="675">
        <f t="shared" si="11828"/>
        <v>0</v>
      </c>
      <c r="DB472" s="549">
        <f t="shared" si="11828"/>
        <v>0</v>
      </c>
      <c r="DC472" s="675">
        <f t="shared" si="11828"/>
        <v>0</v>
      </c>
      <c r="DD472" s="549">
        <f t="shared" si="11828"/>
        <v>0</v>
      </c>
      <c r="DE472" s="675">
        <f t="shared" si="11828"/>
        <v>0</v>
      </c>
      <c r="DF472" s="549">
        <f t="shared" si="11828"/>
        <v>0</v>
      </c>
      <c r="DG472" s="675">
        <f t="shared" si="11828"/>
        <v>0</v>
      </c>
      <c r="DH472" s="549">
        <f t="shared" si="11828"/>
        <v>0</v>
      </c>
      <c r="DI472" s="675">
        <f t="shared" si="11828"/>
        <v>0</v>
      </c>
      <c r="DJ472" s="549">
        <f t="shared" ref="DJ472:DY472" si="11829">SUM(DJ473:DJ480)</f>
        <v>0</v>
      </c>
      <c r="DK472" s="675">
        <f t="shared" si="11829"/>
        <v>0</v>
      </c>
      <c r="DL472" s="549">
        <f t="shared" si="11829"/>
        <v>0</v>
      </c>
      <c r="DM472" s="675">
        <f t="shared" si="11829"/>
        <v>0</v>
      </c>
      <c r="DN472" s="549">
        <f t="shared" si="11829"/>
        <v>0</v>
      </c>
      <c r="DO472" s="675">
        <f t="shared" si="11829"/>
        <v>0</v>
      </c>
      <c r="DP472" s="549">
        <f t="shared" si="11829"/>
        <v>0</v>
      </c>
      <c r="DQ472" s="675">
        <f t="shared" si="11829"/>
        <v>0</v>
      </c>
      <c r="DR472" s="549">
        <f t="shared" si="11829"/>
        <v>0</v>
      </c>
      <c r="DS472" s="675">
        <f t="shared" si="11829"/>
        <v>0</v>
      </c>
      <c r="DT472" s="549">
        <f t="shared" si="11829"/>
        <v>0</v>
      </c>
      <c r="DU472" s="675">
        <f t="shared" si="11829"/>
        <v>0</v>
      </c>
      <c r="DV472" s="549">
        <f t="shared" si="11829"/>
        <v>0</v>
      </c>
      <c r="DW472" s="675">
        <f t="shared" si="11829"/>
        <v>0</v>
      </c>
      <c r="DX472" s="549">
        <f t="shared" si="11829"/>
        <v>0</v>
      </c>
      <c r="DY472" s="675">
        <f t="shared" si="11829"/>
        <v>0</v>
      </c>
      <c r="DZ472" s="549">
        <f t="shared" ref="DZ472:EU472" si="11830">SUM(DZ473:DZ480)</f>
        <v>0</v>
      </c>
      <c r="EA472" s="675">
        <f t="shared" si="11830"/>
        <v>0</v>
      </c>
      <c r="EB472" s="549">
        <f t="shared" si="11830"/>
        <v>0</v>
      </c>
      <c r="EC472" s="675">
        <f t="shared" si="11830"/>
        <v>0</v>
      </c>
      <c r="ED472" s="549">
        <f t="shared" si="11830"/>
        <v>0</v>
      </c>
      <c r="EE472" s="675">
        <f t="shared" si="11830"/>
        <v>0</v>
      </c>
      <c r="EF472" s="549">
        <f t="shared" si="11830"/>
        <v>0</v>
      </c>
      <c r="EG472" s="675">
        <f t="shared" si="11830"/>
        <v>0</v>
      </c>
      <c r="EH472" s="549">
        <f t="shared" ref="EH472:EM472" si="11831">SUM(EH473:EH480)</f>
        <v>0</v>
      </c>
      <c r="EI472" s="675">
        <f t="shared" si="11831"/>
        <v>0</v>
      </c>
      <c r="EJ472" s="549">
        <f t="shared" si="11831"/>
        <v>0</v>
      </c>
      <c r="EK472" s="675">
        <f t="shared" si="11831"/>
        <v>0</v>
      </c>
      <c r="EL472" s="549">
        <f t="shared" si="11831"/>
        <v>0</v>
      </c>
      <c r="EM472" s="675">
        <f t="shared" si="11831"/>
        <v>0</v>
      </c>
      <c r="EN472" s="549">
        <f t="shared" si="11830"/>
        <v>0</v>
      </c>
      <c r="EO472" s="675">
        <f t="shared" si="11830"/>
        <v>0</v>
      </c>
      <c r="EP472" s="549">
        <f t="shared" si="11830"/>
        <v>0</v>
      </c>
      <c r="EQ472" s="675">
        <f t="shared" si="11830"/>
        <v>0</v>
      </c>
      <c r="ER472" s="549">
        <f t="shared" si="11830"/>
        <v>0</v>
      </c>
      <c r="ES472" s="675">
        <f t="shared" si="11830"/>
        <v>0</v>
      </c>
      <c r="ET472" s="549">
        <f t="shared" si="11830"/>
        <v>0</v>
      </c>
      <c r="EU472" s="675">
        <f t="shared" si="11830"/>
        <v>0</v>
      </c>
      <c r="EV472" s="549">
        <f t="shared" ref="EV472:HS472" si="11832">SUM(EV473:EV480)</f>
        <v>0</v>
      </c>
      <c r="EW472" s="675">
        <f t="shared" si="11832"/>
        <v>0</v>
      </c>
      <c r="EX472" s="549">
        <f t="shared" si="11832"/>
        <v>0</v>
      </c>
      <c r="EY472" s="675">
        <f t="shared" si="11832"/>
        <v>0</v>
      </c>
      <c r="EZ472" s="549">
        <f t="shared" si="11832"/>
        <v>0</v>
      </c>
      <c r="FA472" s="675">
        <f t="shared" si="11832"/>
        <v>0</v>
      </c>
      <c r="FB472" s="549">
        <f t="shared" si="11832"/>
        <v>0</v>
      </c>
      <c r="FC472" s="675">
        <f t="shared" si="11832"/>
        <v>0</v>
      </c>
      <c r="FD472" s="549">
        <f t="shared" si="11832"/>
        <v>0</v>
      </c>
      <c r="FE472" s="675">
        <f t="shared" si="11832"/>
        <v>0</v>
      </c>
      <c r="FF472" s="549">
        <f t="shared" ref="FF472:FG472" si="11833">SUM(FF473:FF480)</f>
        <v>0</v>
      </c>
      <c r="FG472" s="675">
        <f t="shared" si="11833"/>
        <v>0</v>
      </c>
      <c r="FH472" s="549">
        <f t="shared" ref="FH472:FI472" si="11834">SUM(FH473:FH480)</f>
        <v>0</v>
      </c>
      <c r="FI472" s="675">
        <f t="shared" si="11834"/>
        <v>0</v>
      </c>
      <c r="FJ472" s="549">
        <f t="shared" ref="FJ472:FK472" si="11835">SUM(FJ473:FJ480)</f>
        <v>0</v>
      </c>
      <c r="FK472" s="675">
        <f t="shared" si="11835"/>
        <v>0</v>
      </c>
      <c r="FL472" s="549">
        <f t="shared" ref="FL472:FM472" si="11836">SUM(FL473:FL480)</f>
        <v>0</v>
      </c>
      <c r="FM472" s="675">
        <f t="shared" si="11836"/>
        <v>-1612</v>
      </c>
      <c r="FN472" s="549">
        <f t="shared" ref="FN472:FO472" si="11837">SUM(FN473:FN480)</f>
        <v>0</v>
      </c>
      <c r="FO472" s="675">
        <f t="shared" si="11837"/>
        <v>0</v>
      </c>
      <c r="FP472" s="549">
        <f t="shared" ref="FP472:FQ472" si="11838">SUM(FP473:FP480)</f>
        <v>0</v>
      </c>
      <c r="FQ472" s="675">
        <f t="shared" si="11838"/>
        <v>0</v>
      </c>
      <c r="FR472" s="549">
        <f t="shared" ref="FR472:FS472" si="11839">SUM(FR473:FR480)</f>
        <v>0</v>
      </c>
      <c r="FS472" s="675">
        <f t="shared" si="11839"/>
        <v>-1455</v>
      </c>
      <c r="FT472" s="549">
        <f t="shared" ref="FT472:FU472" si="11840">SUM(FT473:FT480)</f>
        <v>0</v>
      </c>
      <c r="FU472" s="675">
        <f t="shared" si="11840"/>
        <v>0</v>
      </c>
      <c r="FV472" s="549">
        <f t="shared" ref="FV472:GK472" si="11841">SUM(FV473:FV480)</f>
        <v>0</v>
      </c>
      <c r="FW472" s="675">
        <f t="shared" si="11841"/>
        <v>0</v>
      </c>
      <c r="FX472" s="549">
        <f t="shared" si="11841"/>
        <v>0</v>
      </c>
      <c r="FY472" s="675">
        <f t="shared" si="11841"/>
        <v>0</v>
      </c>
      <c r="FZ472" s="549">
        <f t="shared" ref="FZ472:GI472" si="11842">SUM(FZ473:FZ480)</f>
        <v>0</v>
      </c>
      <c r="GA472" s="675">
        <f t="shared" si="11842"/>
        <v>0</v>
      </c>
      <c r="GB472" s="549">
        <f t="shared" si="11842"/>
        <v>0</v>
      </c>
      <c r="GC472" s="675">
        <f t="shared" si="11842"/>
        <v>0</v>
      </c>
      <c r="GD472" s="549">
        <f t="shared" si="11842"/>
        <v>0</v>
      </c>
      <c r="GE472" s="675">
        <f t="shared" si="11842"/>
        <v>0</v>
      </c>
      <c r="GF472" s="549">
        <f t="shared" si="11842"/>
        <v>0</v>
      </c>
      <c r="GG472" s="675">
        <f t="shared" si="11842"/>
        <v>0</v>
      </c>
      <c r="GH472" s="549">
        <f t="shared" si="11842"/>
        <v>0</v>
      </c>
      <c r="GI472" s="675">
        <f t="shared" si="11842"/>
        <v>0</v>
      </c>
      <c r="GJ472" s="549">
        <f t="shared" si="11841"/>
        <v>0</v>
      </c>
      <c r="GK472" s="675">
        <f t="shared" si="11841"/>
        <v>0</v>
      </c>
      <c r="GL472" s="549">
        <f t="shared" ref="GL472:GM472" si="11843">SUM(GL473:GL480)</f>
        <v>0</v>
      </c>
      <c r="GM472" s="675">
        <f t="shared" si="11843"/>
        <v>0</v>
      </c>
      <c r="GN472" s="549">
        <f t="shared" ref="GN472:GO472" si="11844">SUM(GN473:GN480)</f>
        <v>0</v>
      </c>
      <c r="GO472" s="675">
        <f t="shared" si="11844"/>
        <v>0</v>
      </c>
      <c r="GP472" s="549">
        <f t="shared" si="11832"/>
        <v>0</v>
      </c>
      <c r="GQ472" s="675">
        <f t="shared" si="11832"/>
        <v>-30067</v>
      </c>
      <c r="GR472" s="74">
        <f t="shared" si="11832"/>
        <v>44933</v>
      </c>
      <c r="GS472" s="74">
        <f t="shared" si="11832"/>
        <v>44933</v>
      </c>
      <c r="GT472" s="549">
        <f t="shared" si="11832"/>
        <v>44933</v>
      </c>
      <c r="GU472" s="74">
        <f t="shared" si="11832"/>
        <v>8920</v>
      </c>
      <c r="GV472" s="74">
        <f t="shared" si="11832"/>
        <v>13520</v>
      </c>
      <c r="GW472" s="549">
        <f t="shared" si="11832"/>
        <v>16420</v>
      </c>
      <c r="GX472" s="549">
        <f t="shared" si="11832"/>
        <v>11420</v>
      </c>
      <c r="GY472" s="74">
        <f t="shared" si="11832"/>
        <v>4120</v>
      </c>
      <c r="GZ472" s="74">
        <f t="shared" si="11832"/>
        <v>4120</v>
      </c>
      <c r="HA472" s="74">
        <f t="shared" si="11832"/>
        <v>4120</v>
      </c>
      <c r="HB472" s="74">
        <f t="shared" si="11832"/>
        <v>4120</v>
      </c>
      <c r="HC472" s="74">
        <f t="shared" si="11832"/>
        <v>4120</v>
      </c>
      <c r="HD472" s="74">
        <f t="shared" si="11832"/>
        <v>4120</v>
      </c>
      <c r="HE472" s="74">
        <f t="shared" si="11832"/>
        <v>0</v>
      </c>
      <c r="HF472" s="74">
        <f t="shared" si="11832"/>
        <v>0</v>
      </c>
      <c r="HG472" s="74">
        <f t="shared" si="11832"/>
        <v>44933</v>
      </c>
      <c r="HH472" s="74">
        <f t="shared" si="11832"/>
        <v>8920</v>
      </c>
      <c r="HI472" s="792">
        <f t="shared" si="11832"/>
        <v>0</v>
      </c>
      <c r="HJ472" s="74">
        <f t="shared" si="11832"/>
        <v>13520</v>
      </c>
      <c r="HK472" s="792">
        <f t="shared" si="11832"/>
        <v>0</v>
      </c>
      <c r="HL472" s="74">
        <f t="shared" si="11832"/>
        <v>-680</v>
      </c>
      <c r="HM472" s="792">
        <f t="shared" si="11832"/>
        <v>0</v>
      </c>
      <c r="HN472" s="74">
        <f t="shared" si="11832"/>
        <v>6120</v>
      </c>
      <c r="HO472" s="792">
        <f t="shared" si="11832"/>
        <v>0</v>
      </c>
      <c r="HP472" s="74">
        <f t="shared" si="11832"/>
        <v>4449</v>
      </c>
      <c r="HQ472" s="792">
        <f t="shared" si="11832"/>
        <v>0</v>
      </c>
      <c r="HR472" s="74">
        <f t="shared" si="11832"/>
        <v>2000</v>
      </c>
      <c r="HS472" s="792">
        <f t="shared" si="11832"/>
        <v>0</v>
      </c>
      <c r="HT472" s="74">
        <f t="shared" ref="HT472:HU472" si="11845">SUM(HT473:HT480)</f>
        <v>1211</v>
      </c>
      <c r="HU472" s="792">
        <f t="shared" si="11845"/>
        <v>0</v>
      </c>
      <c r="HV472" s="74">
        <f t="shared" ref="HV472:HW472" si="11846">SUM(HV473:HV480)</f>
        <v>4120</v>
      </c>
      <c r="HW472" s="792">
        <f t="shared" si="11846"/>
        <v>0</v>
      </c>
      <c r="HX472" s="74">
        <f t="shared" ref="HX472:HY472" si="11847">SUM(HX473:HX480)</f>
        <v>4120</v>
      </c>
      <c r="HY472" s="792">
        <f t="shared" si="11847"/>
        <v>0</v>
      </c>
      <c r="HZ472" s="74">
        <f t="shared" ref="HZ472:IA472" si="11848">SUM(HZ473:HZ480)</f>
        <v>1153</v>
      </c>
      <c r="IA472" s="792">
        <f t="shared" si="11848"/>
        <v>0</v>
      </c>
      <c r="IB472" s="74">
        <f t="shared" ref="IB472:IC472" si="11849">SUM(IB473:IB480)</f>
        <v>0</v>
      </c>
      <c r="IC472" s="792">
        <f t="shared" si="11849"/>
        <v>0</v>
      </c>
      <c r="ID472" s="74">
        <f t="shared" ref="ID472:IZ472" si="11850">SUM(ID473:ID480)</f>
        <v>0</v>
      </c>
      <c r="IE472" s="792">
        <f t="shared" si="11850"/>
        <v>0</v>
      </c>
      <c r="IF472" s="841">
        <f>SUM(IF473:IF480)</f>
        <v>34317.869999999995</v>
      </c>
      <c r="IG472" s="263">
        <f t="shared" si="11850"/>
        <v>34317.869999999995</v>
      </c>
      <c r="IH472" s="842">
        <f t="shared" si="11850"/>
        <v>34317.869999999995</v>
      </c>
      <c r="II472" s="74">
        <f t="shared" si="11850"/>
        <v>112.39</v>
      </c>
      <c r="IJ472" s="74">
        <f t="shared" si="11850"/>
        <v>112.39</v>
      </c>
      <c r="IK472" s="74">
        <f t="shared" si="11850"/>
        <v>112.39</v>
      </c>
      <c r="IL472" s="74">
        <f t="shared" si="11850"/>
        <v>725.35</v>
      </c>
      <c r="IM472" s="74">
        <f t="shared" si="11850"/>
        <v>725.35</v>
      </c>
      <c r="IN472" s="74">
        <f t="shared" si="11850"/>
        <v>725.35</v>
      </c>
      <c r="IO472" s="74">
        <f t="shared" si="11850"/>
        <v>5921.2699999999995</v>
      </c>
      <c r="IP472" s="74">
        <f t="shared" si="11850"/>
        <v>5921.2699999999995</v>
      </c>
      <c r="IQ472" s="74">
        <f t="shared" si="11850"/>
        <v>5921.2699999999995</v>
      </c>
      <c r="IR472" s="74">
        <f t="shared" si="11850"/>
        <v>4143.6299999999992</v>
      </c>
      <c r="IS472" s="74">
        <f t="shared" si="11850"/>
        <v>4143.6299999999992</v>
      </c>
      <c r="IT472" s="74">
        <f t="shared" si="11850"/>
        <v>4143.6299999999992</v>
      </c>
      <c r="IU472" s="74">
        <f t="shared" si="11850"/>
        <v>5165.7900000000009</v>
      </c>
      <c r="IV472" s="74">
        <f t="shared" si="11850"/>
        <v>5165.7900000000009</v>
      </c>
      <c r="IW472" s="74">
        <f t="shared" si="11850"/>
        <v>5165.7900000000009</v>
      </c>
      <c r="IX472" s="74">
        <f t="shared" si="11850"/>
        <v>2393.19</v>
      </c>
      <c r="IY472" s="74">
        <f t="shared" si="11850"/>
        <v>2393.19</v>
      </c>
      <c r="IZ472" s="74">
        <f t="shared" si="11850"/>
        <v>2393.19</v>
      </c>
      <c r="JA472" s="74">
        <f t="shared" ref="JA472:JC472" si="11851">SUM(JA473:JA480)</f>
        <v>5196.3899999999994</v>
      </c>
      <c r="JB472" s="74">
        <f t="shared" si="11851"/>
        <v>5196.3899999999994</v>
      </c>
      <c r="JC472" s="74">
        <f t="shared" si="11851"/>
        <v>5196.3899999999994</v>
      </c>
      <c r="JD472" s="74">
        <f t="shared" ref="JD472:JF472" si="11852">SUM(JD473:JD480)</f>
        <v>7221.3200000000015</v>
      </c>
      <c r="JE472" s="74">
        <f t="shared" si="11852"/>
        <v>7221.3200000000015</v>
      </c>
      <c r="JF472" s="74">
        <f t="shared" si="11852"/>
        <v>7221.3200000000015</v>
      </c>
      <c r="JG472" s="74">
        <f t="shared" ref="JG472:JI472" si="11853">SUM(JG473:JG480)</f>
        <v>532.44999999999982</v>
      </c>
      <c r="JH472" s="74">
        <f t="shared" si="11853"/>
        <v>532.44999999999982</v>
      </c>
      <c r="JI472" s="74">
        <f t="shared" si="11853"/>
        <v>532.44999999999982</v>
      </c>
      <c r="JJ472" s="74">
        <f t="shared" ref="JJ472:JL472" si="11854">SUM(JJ473:JJ480)</f>
        <v>2906.0899999999965</v>
      </c>
      <c r="JK472" s="74">
        <f t="shared" si="11854"/>
        <v>2906.0899999999965</v>
      </c>
      <c r="JL472" s="74">
        <f t="shared" si="11854"/>
        <v>2906.0899999999965</v>
      </c>
      <c r="JM472" s="74">
        <f t="shared" ref="JM472:JO472" si="11855">SUM(JM473:JM480)</f>
        <v>0</v>
      </c>
      <c r="JN472" s="74">
        <f t="shared" si="11855"/>
        <v>0</v>
      </c>
      <c r="JO472" s="74">
        <f t="shared" si="11855"/>
        <v>0</v>
      </c>
      <c r="JP472" s="74">
        <f t="shared" ref="JP472:JY472" si="11856">SUM(JP473:JP480)</f>
        <v>0</v>
      </c>
      <c r="JQ472" s="74">
        <f t="shared" si="11856"/>
        <v>0</v>
      </c>
      <c r="JR472" s="74">
        <f t="shared" si="11856"/>
        <v>0</v>
      </c>
      <c r="JS472" s="74">
        <f>SUM(JS473:JS480)</f>
        <v>10615.130000000003</v>
      </c>
      <c r="JT472" s="102">
        <f>SUM(JT473:JT480)</f>
        <v>10615.130000000003</v>
      </c>
      <c r="JU472" s="665"/>
      <c r="JV472" s="524"/>
      <c r="JW472" s="525"/>
      <c r="JX472" s="549">
        <f>SUM(JX473:JX480)</f>
        <v>44933</v>
      </c>
      <c r="JY472" s="549">
        <f t="shared" si="11856"/>
        <v>0</v>
      </c>
      <c r="JZ472" s="581">
        <f t="shared" si="11276"/>
        <v>0</v>
      </c>
      <c r="KA472" s="581">
        <f t="shared" si="11277"/>
        <v>-30067</v>
      </c>
      <c r="KB472" s="549">
        <f t="shared" si="11273"/>
        <v>44933</v>
      </c>
      <c r="KC472" s="709">
        <f t="shared" si="11275"/>
        <v>0</v>
      </c>
      <c r="KD472" s="36"/>
      <c r="KE472" s="36"/>
      <c r="KF472" s="36"/>
      <c r="KG472" s="36"/>
      <c r="KH472" s="36"/>
      <c r="KI472" s="36"/>
      <c r="KJ472" s="36"/>
      <c r="KK472" s="36"/>
    </row>
    <row r="473" spans="1:297" s="10" customFormat="1" ht="12.75" hidden="1" customHeight="1">
      <c r="A473" s="86" t="s">
        <v>822</v>
      </c>
      <c r="B473" s="77" t="s">
        <v>163</v>
      </c>
      <c r="C473" s="74">
        <v>0</v>
      </c>
      <c r="D473" s="549">
        <v>0</v>
      </c>
      <c r="E473" s="675">
        <v>0</v>
      </c>
      <c r="F473" s="549">
        <v>0</v>
      </c>
      <c r="G473" s="675">
        <v>0</v>
      </c>
      <c r="H473" s="549">
        <v>0</v>
      </c>
      <c r="I473" s="675">
        <v>0</v>
      </c>
      <c r="J473" s="549">
        <v>0</v>
      </c>
      <c r="K473" s="675">
        <v>0</v>
      </c>
      <c r="L473" s="549">
        <v>0</v>
      </c>
      <c r="M473" s="675">
        <v>0</v>
      </c>
      <c r="N473" s="549">
        <v>0</v>
      </c>
      <c r="O473" s="675">
        <v>0</v>
      </c>
      <c r="P473" s="549">
        <v>0</v>
      </c>
      <c r="Q473" s="675">
        <v>0</v>
      </c>
      <c r="R473" s="549">
        <v>0</v>
      </c>
      <c r="S473" s="675">
        <v>0</v>
      </c>
      <c r="T473" s="549">
        <v>0</v>
      </c>
      <c r="U473" s="675">
        <v>0</v>
      </c>
      <c r="V473" s="549">
        <v>0</v>
      </c>
      <c r="W473" s="675">
        <v>0</v>
      </c>
      <c r="X473" s="549">
        <v>0</v>
      </c>
      <c r="Y473" s="675">
        <v>0</v>
      </c>
      <c r="Z473" s="549">
        <v>0</v>
      </c>
      <c r="AA473" s="675">
        <v>0</v>
      </c>
      <c r="AB473" s="549">
        <v>0</v>
      </c>
      <c r="AC473" s="675">
        <v>0</v>
      </c>
      <c r="AD473" s="549">
        <v>0</v>
      </c>
      <c r="AE473" s="675">
        <v>0</v>
      </c>
      <c r="AF473" s="549">
        <v>0</v>
      </c>
      <c r="AG473" s="675">
        <v>0</v>
      </c>
      <c r="AH473" s="549">
        <v>0</v>
      </c>
      <c r="AI473" s="675">
        <v>0</v>
      </c>
      <c r="AJ473" s="549">
        <v>0</v>
      </c>
      <c r="AK473" s="675">
        <v>0</v>
      </c>
      <c r="AL473" s="549">
        <v>0</v>
      </c>
      <c r="AM473" s="675">
        <v>0</v>
      </c>
      <c r="AN473" s="549">
        <v>0</v>
      </c>
      <c r="AO473" s="675">
        <v>0</v>
      </c>
      <c r="AP473" s="549">
        <v>0</v>
      </c>
      <c r="AQ473" s="675">
        <v>0</v>
      </c>
      <c r="AR473" s="549">
        <v>0</v>
      </c>
      <c r="AS473" s="675">
        <v>0</v>
      </c>
      <c r="AT473" s="549">
        <v>0</v>
      </c>
      <c r="AU473" s="675">
        <v>0</v>
      </c>
      <c r="AV473" s="549">
        <v>0</v>
      </c>
      <c r="AW473" s="675">
        <v>0</v>
      </c>
      <c r="AX473" s="549">
        <v>0</v>
      </c>
      <c r="AY473" s="675">
        <v>0</v>
      </c>
      <c r="AZ473" s="549">
        <v>0</v>
      </c>
      <c r="BA473" s="675">
        <v>0</v>
      </c>
      <c r="BB473" s="549">
        <v>0</v>
      </c>
      <c r="BC473" s="675">
        <v>0</v>
      </c>
      <c r="BD473" s="549">
        <v>0</v>
      </c>
      <c r="BE473" s="675">
        <v>0</v>
      </c>
      <c r="BF473" s="549">
        <v>0</v>
      </c>
      <c r="BG473" s="675">
        <v>0</v>
      </c>
      <c r="BH473" s="549">
        <v>0</v>
      </c>
      <c r="BI473" s="675">
        <v>0</v>
      </c>
      <c r="BJ473" s="549">
        <v>0</v>
      </c>
      <c r="BK473" s="675">
        <v>0</v>
      </c>
      <c r="BL473" s="549">
        <v>0</v>
      </c>
      <c r="BM473" s="675">
        <v>0</v>
      </c>
      <c r="BN473" s="549">
        <v>0</v>
      </c>
      <c r="BO473" s="675">
        <v>0</v>
      </c>
      <c r="BP473" s="549">
        <v>0</v>
      </c>
      <c r="BQ473" s="675">
        <v>0</v>
      </c>
      <c r="BR473" s="549">
        <v>0</v>
      </c>
      <c r="BS473" s="675">
        <v>0</v>
      </c>
      <c r="BT473" s="549">
        <v>0</v>
      </c>
      <c r="BU473" s="675">
        <v>0</v>
      </c>
      <c r="BV473" s="549">
        <v>0</v>
      </c>
      <c r="BW473" s="675">
        <v>0</v>
      </c>
      <c r="BX473" s="549">
        <v>0</v>
      </c>
      <c r="BY473" s="675">
        <v>0</v>
      </c>
      <c r="BZ473" s="549">
        <v>0</v>
      </c>
      <c r="CA473" s="675">
        <v>0</v>
      </c>
      <c r="CB473" s="549">
        <v>0</v>
      </c>
      <c r="CC473" s="675">
        <v>0</v>
      </c>
      <c r="CD473" s="549">
        <v>0</v>
      </c>
      <c r="CE473" s="675">
        <v>0</v>
      </c>
      <c r="CF473" s="549">
        <v>0</v>
      </c>
      <c r="CG473" s="675">
        <v>0</v>
      </c>
      <c r="CH473" s="549">
        <v>0</v>
      </c>
      <c r="CI473" s="675">
        <v>0</v>
      </c>
      <c r="CJ473" s="549">
        <v>0</v>
      </c>
      <c r="CK473" s="675">
        <v>0</v>
      </c>
      <c r="CL473" s="549">
        <v>0</v>
      </c>
      <c r="CM473" s="675">
        <v>0</v>
      </c>
      <c r="CN473" s="549">
        <v>0</v>
      </c>
      <c r="CO473" s="675">
        <v>0</v>
      </c>
      <c r="CP473" s="549">
        <v>0</v>
      </c>
      <c r="CQ473" s="675">
        <v>0</v>
      </c>
      <c r="CR473" s="549">
        <v>0</v>
      </c>
      <c r="CS473" s="675">
        <v>0</v>
      </c>
      <c r="CT473" s="549">
        <v>0</v>
      </c>
      <c r="CU473" s="675">
        <v>0</v>
      </c>
      <c r="CV473" s="549">
        <v>0</v>
      </c>
      <c r="CW473" s="675">
        <v>0</v>
      </c>
      <c r="CX473" s="549">
        <v>0</v>
      </c>
      <c r="CY473" s="675">
        <v>0</v>
      </c>
      <c r="CZ473" s="549">
        <v>0</v>
      </c>
      <c r="DA473" s="675">
        <v>0</v>
      </c>
      <c r="DB473" s="549">
        <v>0</v>
      </c>
      <c r="DC473" s="675">
        <v>0</v>
      </c>
      <c r="DD473" s="549">
        <v>0</v>
      </c>
      <c r="DE473" s="675">
        <v>0</v>
      </c>
      <c r="DF473" s="549">
        <v>0</v>
      </c>
      <c r="DG473" s="675">
        <v>0</v>
      </c>
      <c r="DH473" s="549">
        <v>0</v>
      </c>
      <c r="DI473" s="675">
        <v>0</v>
      </c>
      <c r="DJ473" s="549">
        <v>0</v>
      </c>
      <c r="DK473" s="675">
        <v>0</v>
      </c>
      <c r="DL473" s="549">
        <v>0</v>
      </c>
      <c r="DM473" s="675">
        <v>0</v>
      </c>
      <c r="DN473" s="549">
        <v>0</v>
      </c>
      <c r="DO473" s="675">
        <v>0</v>
      </c>
      <c r="DP473" s="549">
        <v>0</v>
      </c>
      <c r="DQ473" s="675">
        <v>0</v>
      </c>
      <c r="DR473" s="549">
        <v>0</v>
      </c>
      <c r="DS473" s="675">
        <v>0</v>
      </c>
      <c r="DT473" s="549">
        <v>0</v>
      </c>
      <c r="DU473" s="675">
        <v>0</v>
      </c>
      <c r="DV473" s="549">
        <v>0</v>
      </c>
      <c r="DW473" s="675">
        <v>0</v>
      </c>
      <c r="DX473" s="549">
        <v>0</v>
      </c>
      <c r="DY473" s="675">
        <v>0</v>
      </c>
      <c r="DZ473" s="549">
        <v>0</v>
      </c>
      <c r="EA473" s="675">
        <v>0</v>
      </c>
      <c r="EB473" s="549">
        <v>0</v>
      </c>
      <c r="EC473" s="675">
        <v>0</v>
      </c>
      <c r="ED473" s="549">
        <v>0</v>
      </c>
      <c r="EE473" s="675">
        <v>0</v>
      </c>
      <c r="EF473" s="549">
        <v>0</v>
      </c>
      <c r="EG473" s="675">
        <v>0</v>
      </c>
      <c r="EH473" s="549">
        <v>0</v>
      </c>
      <c r="EI473" s="675">
        <v>0</v>
      </c>
      <c r="EJ473" s="549">
        <v>0</v>
      </c>
      <c r="EK473" s="675">
        <v>0</v>
      </c>
      <c r="EL473" s="549">
        <v>0</v>
      </c>
      <c r="EM473" s="675">
        <v>0</v>
      </c>
      <c r="EN473" s="549">
        <v>0</v>
      </c>
      <c r="EO473" s="675">
        <v>0</v>
      </c>
      <c r="EP473" s="549">
        <v>0</v>
      </c>
      <c r="EQ473" s="675">
        <v>0</v>
      </c>
      <c r="ER473" s="549">
        <v>0</v>
      </c>
      <c r="ES473" s="675">
        <v>0</v>
      </c>
      <c r="ET473" s="549">
        <v>0</v>
      </c>
      <c r="EU473" s="675">
        <v>0</v>
      </c>
      <c r="EV473" s="549">
        <v>0</v>
      </c>
      <c r="EW473" s="675">
        <v>0</v>
      </c>
      <c r="EX473" s="549">
        <v>0</v>
      </c>
      <c r="EY473" s="675">
        <v>0</v>
      </c>
      <c r="EZ473" s="549">
        <v>0</v>
      </c>
      <c r="FA473" s="675">
        <v>0</v>
      </c>
      <c r="FB473" s="549">
        <v>0</v>
      </c>
      <c r="FC473" s="675">
        <v>0</v>
      </c>
      <c r="FD473" s="549">
        <v>0</v>
      </c>
      <c r="FE473" s="675">
        <v>0</v>
      </c>
      <c r="FF473" s="549">
        <v>0</v>
      </c>
      <c r="FG473" s="675">
        <v>0</v>
      </c>
      <c r="FH473" s="549">
        <v>0</v>
      </c>
      <c r="FI473" s="675">
        <v>0</v>
      </c>
      <c r="FJ473" s="549">
        <v>0</v>
      </c>
      <c r="FK473" s="675">
        <v>0</v>
      </c>
      <c r="FL473" s="549">
        <v>0</v>
      </c>
      <c r="FM473" s="675">
        <v>0</v>
      </c>
      <c r="FN473" s="549">
        <v>0</v>
      </c>
      <c r="FO473" s="675">
        <v>0</v>
      </c>
      <c r="FP473" s="549">
        <v>0</v>
      </c>
      <c r="FQ473" s="675">
        <v>0</v>
      </c>
      <c r="FR473" s="549">
        <v>0</v>
      </c>
      <c r="FS473" s="675">
        <v>0</v>
      </c>
      <c r="FT473" s="549">
        <v>0</v>
      </c>
      <c r="FU473" s="675">
        <v>0</v>
      </c>
      <c r="FV473" s="549">
        <v>0</v>
      </c>
      <c r="FW473" s="675">
        <v>0</v>
      </c>
      <c r="FX473" s="549">
        <v>0</v>
      </c>
      <c r="FY473" s="675">
        <v>0</v>
      </c>
      <c r="FZ473" s="549">
        <v>0</v>
      </c>
      <c r="GA473" s="675">
        <v>0</v>
      </c>
      <c r="GB473" s="549">
        <v>0</v>
      </c>
      <c r="GC473" s="675">
        <v>0</v>
      </c>
      <c r="GD473" s="549">
        <v>0</v>
      </c>
      <c r="GE473" s="675">
        <v>0</v>
      </c>
      <c r="GF473" s="549">
        <v>0</v>
      </c>
      <c r="GG473" s="675">
        <v>0</v>
      </c>
      <c r="GH473" s="549">
        <v>0</v>
      </c>
      <c r="GI473" s="675">
        <v>0</v>
      </c>
      <c r="GJ473" s="549">
        <v>0</v>
      </c>
      <c r="GK473" s="675">
        <v>0</v>
      </c>
      <c r="GL473" s="549">
        <v>0</v>
      </c>
      <c r="GM473" s="675">
        <v>0</v>
      </c>
      <c r="GN473" s="549">
        <v>0</v>
      </c>
      <c r="GO473" s="675">
        <v>0</v>
      </c>
      <c r="GP473" s="549">
        <f>+D473+F473+H473+J473+L473+N473+P473+R473+T473+V473+X473+Z473+AB473+AD473+AH473+AJ473+AL473+AN473+AP473+AR473+AT473+AV473+AX473+AZ473+BB473+BD473+BF473+BH473+BJ473+BL473+BN473+BP473+BR473+BT473+BV473+BX473+BZ473+CB473+CD473+CF473+CH473+CJ473+CL473+CN473+CP473+CR473+CT473+CV473+CX473+CZ473+DB473+DD473+DF473+DH473+DT473+EX473+DJ473+DL473+DN473+DP473+DR473+EJ473+EB473+DZ473+DX473+DV473+ED473+EF473+EH473+EL473+EN473+EP473+EV473+ET473+ER473+EZ473+FB473+FD473+GL473</f>
        <v>0</v>
      </c>
      <c r="GQ473" s="675">
        <f>+E473+G473+I473+K473+M473+O473+Q473+S473+U473+W473+Y473+AA473+AC473+AE473+AI473+AK473+AM473+AO473+AQ473+AS473+AU473+AW473+AY473+BA473+BC473+BE473+BG473+BI473+BK473+BM473+BO473+BQ473+BS473+BU473+BW473+BY473+CA473+CC473+CE473+CG473+CI473+CK473+CM473+CO473+CQ473+CS473+CU473+CW473+CY473+DA473+DC473+DE473+DG473+DI473+DU473+EY473+DK473+DM473+DO473+DQ473+DS473+EK473+EC473+EA473+DY473+DW473+EI473+EG473+EE473+EM473+EO473+EQ473+EW473+EU473+ES473+FA473+FC473+FE473+GM473</f>
        <v>0</v>
      </c>
      <c r="GR473" s="74">
        <f t="shared" ref="GR473:GR480" si="11857">C473+GP473+GQ473</f>
        <v>0</v>
      </c>
      <c r="GS473" s="74">
        <f t="shared" ref="GS473" si="11858">GU473</f>
        <v>0</v>
      </c>
      <c r="GT473" s="568">
        <f t="shared" ref="GT473:GT480" si="11859">SUM(GU473:HF473)+GQ473+GP473</f>
        <v>0</v>
      </c>
      <c r="GU473" s="275"/>
      <c r="GV473" s="275">
        <v>0</v>
      </c>
      <c r="GW473" s="588"/>
      <c r="GX473" s="588"/>
      <c r="GY473" s="275"/>
      <c r="GZ473" s="275"/>
      <c r="HA473" s="275"/>
      <c r="HB473" s="275">
        <v>0</v>
      </c>
      <c r="HC473" s="275"/>
      <c r="HD473" s="275"/>
      <c r="HE473" s="275"/>
      <c r="HF473" s="275"/>
      <c r="HG473" s="74">
        <f t="shared" ref="HG473:HG480" si="11860">SUM(HH473:IE473)</f>
        <v>0</v>
      </c>
      <c r="HH473" s="89">
        <v>0</v>
      </c>
      <c r="HI473" s="817">
        <v>0</v>
      </c>
      <c r="HJ473" s="89">
        <v>0</v>
      </c>
      <c r="HK473" s="817">
        <v>0</v>
      </c>
      <c r="HL473" s="89">
        <v>0</v>
      </c>
      <c r="HM473" s="817">
        <v>0</v>
      </c>
      <c r="HN473" s="89">
        <v>0</v>
      </c>
      <c r="HO473" s="817">
        <v>0</v>
      </c>
      <c r="HP473" s="89">
        <v>0</v>
      </c>
      <c r="HQ473" s="817">
        <v>0</v>
      </c>
      <c r="HR473" s="89">
        <v>0</v>
      </c>
      <c r="HS473" s="817">
        <v>0</v>
      </c>
      <c r="HT473" s="89">
        <v>0</v>
      </c>
      <c r="HU473" s="817">
        <v>0</v>
      </c>
      <c r="HV473" s="89">
        <v>0</v>
      </c>
      <c r="HW473" s="817">
        <v>0</v>
      </c>
      <c r="HX473" s="89">
        <v>0</v>
      </c>
      <c r="HY473" s="817">
        <v>0</v>
      </c>
      <c r="HZ473" s="89">
        <v>0</v>
      </c>
      <c r="IA473" s="817">
        <v>0</v>
      </c>
      <c r="IB473" s="89">
        <v>0</v>
      </c>
      <c r="IC473" s="817">
        <v>0</v>
      </c>
      <c r="ID473" s="89">
        <v>0</v>
      </c>
      <c r="IE473" s="817">
        <v>0</v>
      </c>
      <c r="IF473" s="841">
        <f t="shared" ref="IF473:IF480" si="11861">SUM(II473,IL473,IO473,IR473,IU473,IX473,JA473,JD473,JG473,JJ473,JM473,JP473)</f>
        <v>0</v>
      </c>
      <c r="IG473" s="263">
        <f t="shared" ref="IG473:IG480" si="11862">SUM(IJ473,IM473,IP473,IS473,IV473,IY473,JB473,JE473,JH473,JK473,JN473,JQ473)</f>
        <v>0</v>
      </c>
      <c r="IH473" s="842">
        <f t="shared" ref="IH473:IH480" si="11863">SUM(IK473,IN473,IQ473,IT473,IW473,IZ473,JC473,JF473,JI473,JL473,JO473,JR473)</f>
        <v>0</v>
      </c>
      <c r="II473" s="89">
        <v>0</v>
      </c>
      <c r="IJ473" s="89">
        <v>0</v>
      </c>
      <c r="IK473" s="89">
        <v>0</v>
      </c>
      <c r="IL473" s="89">
        <v>0</v>
      </c>
      <c r="IM473" s="89">
        <v>0</v>
      </c>
      <c r="IN473" s="89">
        <v>0</v>
      </c>
      <c r="IO473" s="89">
        <v>0</v>
      </c>
      <c r="IP473" s="89">
        <v>0</v>
      </c>
      <c r="IQ473" s="89">
        <v>0</v>
      </c>
      <c r="IR473" s="89">
        <v>0</v>
      </c>
      <c r="IS473" s="89">
        <v>0</v>
      </c>
      <c r="IT473" s="89">
        <v>0</v>
      </c>
      <c r="IU473" s="89">
        <v>0</v>
      </c>
      <c r="IV473" s="89">
        <v>0</v>
      </c>
      <c r="IW473" s="89">
        <v>0</v>
      </c>
      <c r="IX473" s="89">
        <v>0</v>
      </c>
      <c r="IY473" s="89">
        <v>0</v>
      </c>
      <c r="IZ473" s="89">
        <v>0</v>
      </c>
      <c r="JA473" s="89">
        <v>0</v>
      </c>
      <c r="JB473" s="89">
        <v>0</v>
      </c>
      <c r="JC473" s="89">
        <v>0</v>
      </c>
      <c r="JD473" s="89">
        <v>0</v>
      </c>
      <c r="JE473" s="89">
        <v>0</v>
      </c>
      <c r="JF473" s="89">
        <v>0</v>
      </c>
      <c r="JG473" s="89">
        <v>0</v>
      </c>
      <c r="JH473" s="89">
        <v>0</v>
      </c>
      <c r="JI473" s="89">
        <v>0</v>
      </c>
      <c r="JJ473" s="89">
        <v>0</v>
      </c>
      <c r="JK473" s="89">
        <v>0</v>
      </c>
      <c r="JL473" s="89">
        <v>0</v>
      </c>
      <c r="JM473" s="89">
        <v>0</v>
      </c>
      <c r="JN473" s="89">
        <v>0</v>
      </c>
      <c r="JO473" s="89">
        <v>0</v>
      </c>
      <c r="JP473" s="89">
        <v>0</v>
      </c>
      <c r="JQ473" s="89">
        <v>0</v>
      </c>
      <c r="JR473" s="89">
        <v>0</v>
      </c>
      <c r="JS473" s="74">
        <f t="shared" ref="JS473:JS480" si="11864">HG473-IF473</f>
        <v>0</v>
      </c>
      <c r="JT473" s="382">
        <f t="shared" ref="JT473:JT480" si="11865">GS473-IF473</f>
        <v>0</v>
      </c>
      <c r="JU473" s="665"/>
      <c r="JV473" s="524"/>
      <c r="JW473" s="525"/>
      <c r="JX473" s="549">
        <f t="shared" ref="JX473:JX480" si="11866">SUM(HH473,HJ473,HL473,HN473,HP473,HR473,HT473,HV473,HX473,HZ473,IB473,ID473)</f>
        <v>0</v>
      </c>
      <c r="JY473" s="549">
        <f t="shared" ref="JY473:JY480" si="11867">SUM(HI473,HK473,HM473,HO473,HQ473,HS473,HU473,HW473,HY473,IA473,IC473,IE473)</f>
        <v>0</v>
      </c>
      <c r="JZ473" s="581">
        <f t="shared" si="11276"/>
        <v>0</v>
      </c>
      <c r="KA473" s="581">
        <f t="shared" si="11277"/>
        <v>0</v>
      </c>
      <c r="KB473" s="549">
        <f t="shared" si="11273"/>
        <v>0</v>
      </c>
      <c r="KC473" s="709">
        <f t="shared" si="11275"/>
        <v>0</v>
      </c>
      <c r="KD473" s="36"/>
      <c r="KE473" s="36"/>
      <c r="KF473" s="36"/>
      <c r="KG473" s="36"/>
      <c r="KH473" s="36"/>
      <c r="KI473" s="36"/>
      <c r="KJ473" s="36"/>
      <c r="KK473" s="36"/>
    </row>
    <row r="474" spans="1:297" s="10" customFormat="1">
      <c r="A474" s="86" t="s">
        <v>283</v>
      </c>
      <c r="B474" s="77" t="s">
        <v>163</v>
      </c>
      <c r="C474" s="74">
        <v>6900</v>
      </c>
      <c r="D474" s="549">
        <v>0</v>
      </c>
      <c r="E474" s="675">
        <v>0</v>
      </c>
      <c r="F474" s="549">
        <v>0</v>
      </c>
      <c r="G474" s="675">
        <v>0</v>
      </c>
      <c r="H474" s="549">
        <v>0</v>
      </c>
      <c r="I474" s="675">
        <v>0</v>
      </c>
      <c r="J474" s="549">
        <v>0</v>
      </c>
      <c r="K474" s="675">
        <v>0</v>
      </c>
      <c r="L474" s="549">
        <v>0</v>
      </c>
      <c r="M474" s="675">
        <v>0</v>
      </c>
      <c r="N474" s="549">
        <v>0</v>
      </c>
      <c r="O474" s="675">
        <v>0</v>
      </c>
      <c r="P474" s="549">
        <v>0</v>
      </c>
      <c r="Q474" s="675">
        <v>0</v>
      </c>
      <c r="R474" s="549">
        <v>0</v>
      </c>
      <c r="S474" s="675">
        <v>0</v>
      </c>
      <c r="T474" s="549">
        <v>0</v>
      </c>
      <c r="U474" s="675">
        <v>0</v>
      </c>
      <c r="V474" s="549">
        <v>0</v>
      </c>
      <c r="W474" s="675">
        <v>-4000</v>
      </c>
      <c r="X474" s="549">
        <v>0</v>
      </c>
      <c r="Y474" s="675">
        <v>0</v>
      </c>
      <c r="Z474" s="549">
        <v>0</v>
      </c>
      <c r="AA474" s="675">
        <v>0</v>
      </c>
      <c r="AB474" s="549">
        <v>0</v>
      </c>
      <c r="AC474" s="675">
        <v>0</v>
      </c>
      <c r="AD474" s="549">
        <v>0</v>
      </c>
      <c r="AE474" s="675">
        <v>-2000</v>
      </c>
      <c r="AF474" s="549">
        <v>0</v>
      </c>
      <c r="AG474" s="675">
        <v>0</v>
      </c>
      <c r="AH474" s="549">
        <v>0</v>
      </c>
      <c r="AI474" s="675">
        <v>0</v>
      </c>
      <c r="AJ474" s="549">
        <v>0</v>
      </c>
      <c r="AK474" s="675">
        <v>0</v>
      </c>
      <c r="AL474" s="549">
        <v>0</v>
      </c>
      <c r="AM474" s="675">
        <v>0</v>
      </c>
      <c r="AN474" s="549">
        <v>0</v>
      </c>
      <c r="AO474" s="675">
        <v>0</v>
      </c>
      <c r="AP474" s="549">
        <v>0</v>
      </c>
      <c r="AQ474" s="675">
        <v>0</v>
      </c>
      <c r="AR474" s="549">
        <v>0</v>
      </c>
      <c r="AS474" s="675">
        <v>0</v>
      </c>
      <c r="AT474" s="549">
        <v>0</v>
      </c>
      <c r="AU474" s="675">
        <v>0</v>
      </c>
      <c r="AV474" s="549">
        <v>0</v>
      </c>
      <c r="AW474" s="675">
        <v>0</v>
      </c>
      <c r="AX474" s="549">
        <v>0</v>
      </c>
      <c r="AY474" s="675">
        <v>0</v>
      </c>
      <c r="AZ474" s="549">
        <v>0</v>
      </c>
      <c r="BA474" s="675">
        <v>0</v>
      </c>
      <c r="BB474" s="549">
        <v>0</v>
      </c>
      <c r="BC474" s="675">
        <v>0</v>
      </c>
      <c r="BD474" s="549">
        <v>0</v>
      </c>
      <c r="BE474" s="675">
        <v>0</v>
      </c>
      <c r="BF474" s="549">
        <v>0</v>
      </c>
      <c r="BG474" s="675">
        <v>0</v>
      </c>
      <c r="BH474" s="549">
        <v>0</v>
      </c>
      <c r="BI474" s="675">
        <v>0</v>
      </c>
      <c r="BJ474" s="549">
        <v>0</v>
      </c>
      <c r="BK474" s="675">
        <v>0</v>
      </c>
      <c r="BL474" s="549">
        <v>0</v>
      </c>
      <c r="BM474" s="675">
        <v>0</v>
      </c>
      <c r="BN474" s="549">
        <v>0</v>
      </c>
      <c r="BO474" s="675">
        <v>0</v>
      </c>
      <c r="BP474" s="549">
        <v>0</v>
      </c>
      <c r="BQ474" s="675">
        <v>0</v>
      </c>
      <c r="BR474" s="549">
        <v>0</v>
      </c>
      <c r="BS474" s="675">
        <v>0</v>
      </c>
      <c r="BT474" s="549">
        <v>0</v>
      </c>
      <c r="BU474" s="675">
        <v>0</v>
      </c>
      <c r="BV474" s="549">
        <v>0</v>
      </c>
      <c r="BW474" s="675">
        <v>0</v>
      </c>
      <c r="BX474" s="549">
        <v>0</v>
      </c>
      <c r="BY474" s="675">
        <v>0</v>
      </c>
      <c r="BZ474" s="549">
        <v>0</v>
      </c>
      <c r="CA474" s="675">
        <v>0</v>
      </c>
      <c r="CB474" s="549">
        <v>0</v>
      </c>
      <c r="CC474" s="675">
        <v>0</v>
      </c>
      <c r="CD474" s="549">
        <v>0</v>
      </c>
      <c r="CE474" s="675">
        <v>0</v>
      </c>
      <c r="CF474" s="549">
        <v>0</v>
      </c>
      <c r="CG474" s="675">
        <v>0</v>
      </c>
      <c r="CH474" s="549">
        <v>0</v>
      </c>
      <c r="CI474" s="675">
        <v>0</v>
      </c>
      <c r="CJ474" s="549">
        <v>0</v>
      </c>
      <c r="CK474" s="675">
        <v>0</v>
      </c>
      <c r="CL474" s="549">
        <v>0</v>
      </c>
      <c r="CM474" s="675">
        <v>0</v>
      </c>
      <c r="CN474" s="549">
        <v>0</v>
      </c>
      <c r="CO474" s="675">
        <v>0</v>
      </c>
      <c r="CP474" s="549">
        <v>0</v>
      </c>
      <c r="CQ474" s="675">
        <v>0</v>
      </c>
      <c r="CR474" s="549">
        <v>0</v>
      </c>
      <c r="CS474" s="675">
        <v>0</v>
      </c>
      <c r="CT474" s="549">
        <v>0</v>
      </c>
      <c r="CU474" s="675">
        <v>0</v>
      </c>
      <c r="CV474" s="549">
        <v>0</v>
      </c>
      <c r="CW474" s="675">
        <v>0</v>
      </c>
      <c r="CX474" s="549">
        <v>0</v>
      </c>
      <c r="CY474" s="675">
        <v>0</v>
      </c>
      <c r="CZ474" s="549">
        <v>0</v>
      </c>
      <c r="DA474" s="675">
        <v>0</v>
      </c>
      <c r="DB474" s="549">
        <v>0</v>
      </c>
      <c r="DC474" s="675">
        <v>0</v>
      </c>
      <c r="DD474" s="549">
        <v>0</v>
      </c>
      <c r="DE474" s="675">
        <v>0</v>
      </c>
      <c r="DF474" s="549">
        <v>0</v>
      </c>
      <c r="DG474" s="675">
        <v>0</v>
      </c>
      <c r="DH474" s="549">
        <v>0</v>
      </c>
      <c r="DI474" s="675">
        <v>0</v>
      </c>
      <c r="DJ474" s="549">
        <v>0</v>
      </c>
      <c r="DK474" s="675">
        <v>0</v>
      </c>
      <c r="DL474" s="549">
        <v>0</v>
      </c>
      <c r="DM474" s="675">
        <v>0</v>
      </c>
      <c r="DN474" s="549">
        <v>0</v>
      </c>
      <c r="DO474" s="675">
        <v>0</v>
      </c>
      <c r="DP474" s="549">
        <v>0</v>
      </c>
      <c r="DQ474" s="675">
        <v>0</v>
      </c>
      <c r="DR474" s="549">
        <v>0</v>
      </c>
      <c r="DS474" s="675">
        <v>0</v>
      </c>
      <c r="DT474" s="549">
        <v>0</v>
      </c>
      <c r="DU474" s="675">
        <v>0</v>
      </c>
      <c r="DV474" s="549">
        <v>0</v>
      </c>
      <c r="DW474" s="675">
        <v>0</v>
      </c>
      <c r="DX474" s="549">
        <v>0</v>
      </c>
      <c r="DY474" s="675">
        <v>0</v>
      </c>
      <c r="DZ474" s="549">
        <v>0</v>
      </c>
      <c r="EA474" s="675">
        <v>0</v>
      </c>
      <c r="EB474" s="549">
        <v>0</v>
      </c>
      <c r="EC474" s="675">
        <v>0</v>
      </c>
      <c r="ED474" s="549">
        <v>0</v>
      </c>
      <c r="EE474" s="675">
        <v>0</v>
      </c>
      <c r="EF474" s="549">
        <v>0</v>
      </c>
      <c r="EG474" s="675">
        <v>0</v>
      </c>
      <c r="EH474" s="549">
        <v>0</v>
      </c>
      <c r="EI474" s="675">
        <v>0</v>
      </c>
      <c r="EJ474" s="549">
        <v>0</v>
      </c>
      <c r="EK474" s="675">
        <v>0</v>
      </c>
      <c r="EL474" s="549">
        <v>0</v>
      </c>
      <c r="EM474" s="675">
        <v>0</v>
      </c>
      <c r="EN474" s="549">
        <v>0</v>
      </c>
      <c r="EO474" s="675">
        <v>0</v>
      </c>
      <c r="EP474" s="549">
        <v>0</v>
      </c>
      <c r="EQ474" s="675">
        <v>0</v>
      </c>
      <c r="ER474" s="549">
        <v>0</v>
      </c>
      <c r="ES474" s="675">
        <v>0</v>
      </c>
      <c r="ET474" s="549">
        <v>0</v>
      </c>
      <c r="EU474" s="675">
        <v>0</v>
      </c>
      <c r="EV474" s="549">
        <v>0</v>
      </c>
      <c r="EW474" s="675">
        <v>0</v>
      </c>
      <c r="EX474" s="549">
        <v>0</v>
      </c>
      <c r="EY474" s="675">
        <v>0</v>
      </c>
      <c r="EZ474" s="549">
        <v>0</v>
      </c>
      <c r="FA474" s="675">
        <v>0</v>
      </c>
      <c r="FB474" s="549">
        <v>0</v>
      </c>
      <c r="FC474" s="675">
        <v>0</v>
      </c>
      <c r="FD474" s="549">
        <v>0</v>
      </c>
      <c r="FE474" s="675">
        <v>0</v>
      </c>
      <c r="FF474" s="549">
        <v>0</v>
      </c>
      <c r="FG474" s="675">
        <v>0</v>
      </c>
      <c r="FH474" s="549">
        <v>0</v>
      </c>
      <c r="FI474" s="675">
        <v>0</v>
      </c>
      <c r="FJ474" s="549">
        <v>0</v>
      </c>
      <c r="FK474" s="675">
        <v>0</v>
      </c>
      <c r="FL474" s="549">
        <v>0</v>
      </c>
      <c r="FM474" s="675">
        <v>0</v>
      </c>
      <c r="FN474" s="549">
        <v>0</v>
      </c>
      <c r="FO474" s="675">
        <v>0</v>
      </c>
      <c r="FP474" s="549">
        <v>0</v>
      </c>
      <c r="FQ474" s="675">
        <v>0</v>
      </c>
      <c r="FR474" s="549">
        <v>0</v>
      </c>
      <c r="FS474" s="675">
        <v>-400</v>
      </c>
      <c r="FT474" s="549">
        <v>0</v>
      </c>
      <c r="FU474" s="675">
        <v>0</v>
      </c>
      <c r="FV474" s="549">
        <v>0</v>
      </c>
      <c r="FW474" s="675">
        <v>0</v>
      </c>
      <c r="FX474" s="549">
        <v>0</v>
      </c>
      <c r="FY474" s="675">
        <v>0</v>
      </c>
      <c r="FZ474" s="549">
        <v>0</v>
      </c>
      <c r="GA474" s="675">
        <v>0</v>
      </c>
      <c r="GB474" s="549">
        <v>0</v>
      </c>
      <c r="GC474" s="675">
        <v>0</v>
      </c>
      <c r="GD474" s="549">
        <v>0</v>
      </c>
      <c r="GE474" s="675">
        <v>0</v>
      </c>
      <c r="GF474" s="549">
        <v>0</v>
      </c>
      <c r="GG474" s="675">
        <v>0</v>
      </c>
      <c r="GH474" s="549">
        <v>0</v>
      </c>
      <c r="GI474" s="675">
        <v>0</v>
      </c>
      <c r="GJ474" s="549">
        <v>0</v>
      </c>
      <c r="GK474" s="675">
        <v>0</v>
      </c>
      <c r="GL474" s="549">
        <v>0</v>
      </c>
      <c r="GM474" s="675">
        <v>0</v>
      </c>
      <c r="GN474" s="549">
        <v>0</v>
      </c>
      <c r="GO474" s="675">
        <v>0</v>
      </c>
      <c r="GP474" s="549">
        <f t="shared" ref="GP474:GP480" si="11868">+D474+F474+H474+J474+L474+N474+P474+R474+T474+V474+X474+Z474+AB474+AF474+AD474+AH474+AJ474+AL474+AN474+AP474+AR474+AT474+AV474+AX474+AZ474+BB474+BD474+BF474+BH474+BJ474+BL474+BN474+BP474+BR474+BT474+BV474+BX474+BZ474+CB474+CD474+CF474+CH474+CJ474+CL474+CN474+CP474+CR474+CT474+CV474+CX474+CZ474+DB474+DD474+DF474+DH474+DT474+EX474+DJ474+DL474+DN474+DP474+DR474+EJ474+EB474+DZ474+DX474+DV474+ED474+EF474+EH474+EL474+EN474+EP474+EV474+ET474+ER474+EZ474+FB474+FD474+GL474+FF474+FJ474+FL474+GJ474+FT474+FR474+FP474+FN474+FH474+GH474+GF474+GD474+GB474+FZ474+FX474+FV474+GN474</f>
        <v>0</v>
      </c>
      <c r="GQ474" s="675">
        <f t="shared" ref="GQ474:GQ480" si="11869">+E474+G474+I474+K474+M474+O474+Q474+S474+U474+W474+Y474+AA474+AC474+AE474+AG474+AI474+AK474+AM474+AO474+AQ474+AS474+AU474+AW474+AY474+BA474+BC474+BE474+BG474+BI474+BK474+BM474+BO474+BQ474+BS474+BU474+BW474+BY474+CA474+CC474+CE474+CG474+CI474+CK474+CM474+CO474+CQ474+CS474+CU474+CW474+CY474+DA474+DC474+DE474+DG474+DI474+DU474+EY474+DK474+DM474+DO474+DQ474+DS474+EK474+EC474+EA474+DY474+DW474+EI474+EG474+EE474+EM474+EO474+EQ474+EW474+EU474+ES474+FA474+FC474+FE474+GM474+FG474+FK474+FM474+FO474+FQ474+FS474+FU474+GK474+FI474+GI474+GG474+GE474+GC474+GA474+FY474+FW474+GO474</f>
        <v>-6400</v>
      </c>
      <c r="GR474" s="74">
        <f t="shared" si="11857"/>
        <v>500</v>
      </c>
      <c r="GS474" s="74">
        <f t="shared" ref="GS474:GS480" si="11870">SUM(GU474:HD474)+GP474+GQ474</f>
        <v>500</v>
      </c>
      <c r="GT474" s="568">
        <f t="shared" si="11859"/>
        <v>500</v>
      </c>
      <c r="GU474" s="275"/>
      <c r="GV474" s="275">
        <v>6900</v>
      </c>
      <c r="GW474" s="275"/>
      <c r="GX474" s="275"/>
      <c r="GY474" s="275"/>
      <c r="GZ474" s="275"/>
      <c r="HA474" s="275"/>
      <c r="HB474" s="275"/>
      <c r="HC474" s="275"/>
      <c r="HD474" s="275"/>
      <c r="HE474" s="275">
        <v>0</v>
      </c>
      <c r="HF474" s="275">
        <v>0</v>
      </c>
      <c r="HG474" s="74">
        <f t="shared" si="11860"/>
        <v>500</v>
      </c>
      <c r="HH474" s="89">
        <v>0</v>
      </c>
      <c r="HI474" s="817">
        <v>0</v>
      </c>
      <c r="HJ474" s="89">
        <v>6900</v>
      </c>
      <c r="HK474" s="817">
        <v>0</v>
      </c>
      <c r="HL474" s="89">
        <v>-6000</v>
      </c>
      <c r="HM474" s="817">
        <v>0</v>
      </c>
      <c r="HN474" s="89">
        <v>0</v>
      </c>
      <c r="HO474" s="817">
        <v>0</v>
      </c>
      <c r="HP474" s="89">
        <v>0</v>
      </c>
      <c r="HQ474" s="817">
        <v>0</v>
      </c>
      <c r="HR474" s="89">
        <v>0</v>
      </c>
      <c r="HS474" s="817">
        <v>0</v>
      </c>
      <c r="HT474" s="89">
        <v>0</v>
      </c>
      <c r="HU474" s="817">
        <v>0</v>
      </c>
      <c r="HV474" s="89">
        <v>0</v>
      </c>
      <c r="HW474" s="817">
        <v>0</v>
      </c>
      <c r="HX474" s="89">
        <v>0</v>
      </c>
      <c r="HY474" s="817">
        <v>0</v>
      </c>
      <c r="HZ474" s="89">
        <v>-400</v>
      </c>
      <c r="IA474" s="817">
        <v>0</v>
      </c>
      <c r="IB474" s="89">
        <v>0</v>
      </c>
      <c r="IC474" s="817">
        <v>0</v>
      </c>
      <c r="ID474" s="89">
        <v>0</v>
      </c>
      <c r="IE474" s="817">
        <v>0</v>
      </c>
      <c r="IF474" s="841">
        <f t="shared" si="11861"/>
        <v>308.25</v>
      </c>
      <c r="IG474" s="263">
        <f t="shared" si="11862"/>
        <v>308.25</v>
      </c>
      <c r="IH474" s="842">
        <f t="shared" si="11863"/>
        <v>308.25</v>
      </c>
      <c r="II474" s="89">
        <v>0</v>
      </c>
      <c r="IJ474" s="89">
        <f t="shared" ref="IJ474:IJ480" si="11871">II474</f>
        <v>0</v>
      </c>
      <c r="IK474" s="89">
        <f t="shared" ref="IK474:IK480" si="11872">IJ474</f>
        <v>0</v>
      </c>
      <c r="IL474" s="89">
        <v>0</v>
      </c>
      <c r="IM474" s="89">
        <f t="shared" ref="IM474:IM480" si="11873">IL474</f>
        <v>0</v>
      </c>
      <c r="IN474" s="89">
        <f t="shared" ref="IN474:IN480" si="11874">IM474</f>
        <v>0</v>
      </c>
      <c r="IO474" s="89">
        <v>0</v>
      </c>
      <c r="IP474" s="89">
        <f t="shared" ref="IP474:IP480" si="11875">IO474</f>
        <v>0</v>
      </c>
      <c r="IQ474" s="89">
        <f t="shared" ref="IQ474:IQ480" si="11876">IP474</f>
        <v>0</v>
      </c>
      <c r="IR474" s="89">
        <v>0</v>
      </c>
      <c r="IS474" s="89">
        <f t="shared" ref="IS474:IS480" si="11877">IR474</f>
        <v>0</v>
      </c>
      <c r="IT474" s="89">
        <f t="shared" ref="IT474:IT480" si="11878">IS474</f>
        <v>0</v>
      </c>
      <c r="IU474" s="89">
        <v>0</v>
      </c>
      <c r="IV474" s="89">
        <f t="shared" ref="IV474:IV480" si="11879">IU474</f>
        <v>0</v>
      </c>
      <c r="IW474" s="89">
        <f t="shared" ref="IW474:IW480" si="11880">IV474</f>
        <v>0</v>
      </c>
      <c r="IX474" s="89">
        <v>48.25</v>
      </c>
      <c r="IY474" s="89">
        <f t="shared" ref="IY474:IY480" si="11881">IX474</f>
        <v>48.25</v>
      </c>
      <c r="IZ474" s="89">
        <f t="shared" ref="IZ474:IZ480" si="11882">IY474</f>
        <v>48.25</v>
      </c>
      <c r="JA474" s="89">
        <f>48.25-48.25</f>
        <v>0</v>
      </c>
      <c r="JB474" s="89">
        <f t="shared" ref="JB474:JB480" si="11883">JA474</f>
        <v>0</v>
      </c>
      <c r="JC474" s="89">
        <f t="shared" ref="JC474:JC480" si="11884">JB474</f>
        <v>0</v>
      </c>
      <c r="JD474" s="89">
        <f>308.25-48.25</f>
        <v>260</v>
      </c>
      <c r="JE474" s="89">
        <f t="shared" ref="JE474:JE480" si="11885">JD474</f>
        <v>260</v>
      </c>
      <c r="JF474" s="89">
        <f t="shared" ref="JF474:JF480" si="11886">JE474</f>
        <v>260</v>
      </c>
      <c r="JG474" s="89">
        <v>0</v>
      </c>
      <c r="JH474" s="89">
        <f t="shared" ref="JH474:JH480" si="11887">JG474</f>
        <v>0</v>
      </c>
      <c r="JI474" s="89">
        <f t="shared" ref="JI474:JI480" si="11888">JH474</f>
        <v>0</v>
      </c>
      <c r="JJ474" s="89">
        <v>0</v>
      </c>
      <c r="JK474" s="89">
        <f t="shared" ref="JK474:JK480" si="11889">JJ474</f>
        <v>0</v>
      </c>
      <c r="JL474" s="89">
        <f t="shared" ref="JL474:JL480" si="11890">JK474</f>
        <v>0</v>
      </c>
      <c r="JM474" s="89">
        <v>0</v>
      </c>
      <c r="JN474" s="89">
        <f t="shared" ref="JN474:JN480" si="11891">JM474</f>
        <v>0</v>
      </c>
      <c r="JO474" s="89">
        <f t="shared" ref="JO474:JO480" si="11892">JN474</f>
        <v>0</v>
      </c>
      <c r="JP474" s="89">
        <v>0</v>
      </c>
      <c r="JQ474" s="89">
        <f t="shared" ref="JQ474:JR474" si="11893">JP474</f>
        <v>0</v>
      </c>
      <c r="JR474" s="89">
        <f t="shared" si="11893"/>
        <v>0</v>
      </c>
      <c r="JS474" s="74">
        <f t="shared" si="11864"/>
        <v>191.75</v>
      </c>
      <c r="JT474" s="382">
        <f t="shared" si="11865"/>
        <v>191.75</v>
      </c>
      <c r="JU474" s="665"/>
      <c r="JV474" s="524"/>
      <c r="JW474" s="525"/>
      <c r="JX474" s="549">
        <f t="shared" si="11866"/>
        <v>500</v>
      </c>
      <c r="JY474" s="549">
        <f t="shared" si="11867"/>
        <v>0</v>
      </c>
      <c r="JZ474" s="581">
        <f t="shared" si="11276"/>
        <v>0</v>
      </c>
      <c r="KA474" s="581">
        <f t="shared" si="11277"/>
        <v>-6400</v>
      </c>
      <c r="KB474" s="549">
        <f t="shared" si="11273"/>
        <v>500</v>
      </c>
      <c r="KC474" s="709">
        <f t="shared" si="11275"/>
        <v>0</v>
      </c>
      <c r="KD474" s="36"/>
      <c r="KE474" s="36"/>
      <c r="KF474" s="36"/>
      <c r="KG474" s="36"/>
      <c r="KH474" s="36"/>
      <c r="KI474" s="36"/>
      <c r="KJ474" s="36"/>
      <c r="KK474" s="36"/>
    </row>
    <row r="475" spans="1:297" s="10" customFormat="1" ht="12.75" customHeight="1">
      <c r="A475" s="86" t="s">
        <v>284</v>
      </c>
      <c r="B475" s="77" t="s">
        <v>165</v>
      </c>
      <c r="C475" s="74">
        <v>5000</v>
      </c>
      <c r="D475" s="549">
        <v>0</v>
      </c>
      <c r="E475" s="675">
        <v>0</v>
      </c>
      <c r="F475" s="549">
        <v>0</v>
      </c>
      <c r="G475" s="675">
        <v>0</v>
      </c>
      <c r="H475" s="549">
        <v>0</v>
      </c>
      <c r="I475" s="675">
        <v>0</v>
      </c>
      <c r="J475" s="549">
        <v>0</v>
      </c>
      <c r="K475" s="675">
        <v>0</v>
      </c>
      <c r="L475" s="549">
        <v>0</v>
      </c>
      <c r="M475" s="675">
        <v>0</v>
      </c>
      <c r="N475" s="549">
        <v>0</v>
      </c>
      <c r="O475" s="675">
        <v>0</v>
      </c>
      <c r="P475" s="549">
        <v>0</v>
      </c>
      <c r="Q475" s="675">
        <v>0</v>
      </c>
      <c r="R475" s="549">
        <v>0</v>
      </c>
      <c r="S475" s="675">
        <v>0</v>
      </c>
      <c r="T475" s="549">
        <v>0</v>
      </c>
      <c r="U475" s="675">
        <v>0</v>
      </c>
      <c r="V475" s="549">
        <v>0</v>
      </c>
      <c r="W475" s="675">
        <v>-1000</v>
      </c>
      <c r="X475" s="549">
        <v>0</v>
      </c>
      <c r="Y475" s="675">
        <v>0</v>
      </c>
      <c r="Z475" s="549">
        <v>0</v>
      </c>
      <c r="AA475" s="675">
        <v>0</v>
      </c>
      <c r="AB475" s="549">
        <v>0</v>
      </c>
      <c r="AC475" s="675">
        <v>0</v>
      </c>
      <c r="AD475" s="549">
        <v>0</v>
      </c>
      <c r="AE475" s="675">
        <v>0</v>
      </c>
      <c r="AF475" s="549">
        <v>0</v>
      </c>
      <c r="AG475" s="675">
        <v>0</v>
      </c>
      <c r="AH475" s="549">
        <v>0</v>
      </c>
      <c r="AI475" s="675">
        <v>0</v>
      </c>
      <c r="AJ475" s="549">
        <v>0</v>
      </c>
      <c r="AK475" s="675">
        <v>0</v>
      </c>
      <c r="AL475" s="549">
        <v>0</v>
      </c>
      <c r="AM475" s="675">
        <v>0</v>
      </c>
      <c r="AN475" s="549">
        <v>0</v>
      </c>
      <c r="AO475" s="675">
        <v>0</v>
      </c>
      <c r="AP475" s="549">
        <v>0</v>
      </c>
      <c r="AQ475" s="675">
        <v>0</v>
      </c>
      <c r="AR475" s="549">
        <v>0</v>
      </c>
      <c r="AS475" s="675">
        <v>0</v>
      </c>
      <c r="AT475" s="549">
        <v>0</v>
      </c>
      <c r="AU475" s="675">
        <v>0</v>
      </c>
      <c r="AV475" s="549">
        <v>0</v>
      </c>
      <c r="AW475" s="675">
        <v>0</v>
      </c>
      <c r="AX475" s="549">
        <v>0</v>
      </c>
      <c r="AY475" s="675">
        <v>0</v>
      </c>
      <c r="AZ475" s="549">
        <v>0</v>
      </c>
      <c r="BA475" s="675">
        <v>-2000</v>
      </c>
      <c r="BB475" s="549">
        <v>0</v>
      </c>
      <c r="BC475" s="675">
        <v>0</v>
      </c>
      <c r="BD475" s="549">
        <v>0</v>
      </c>
      <c r="BE475" s="675">
        <v>0</v>
      </c>
      <c r="BF475" s="549">
        <v>0</v>
      </c>
      <c r="BG475" s="675">
        <v>0</v>
      </c>
      <c r="BH475" s="549">
        <v>0</v>
      </c>
      <c r="BI475" s="675">
        <v>0</v>
      </c>
      <c r="BJ475" s="549">
        <v>0</v>
      </c>
      <c r="BK475" s="675">
        <v>0</v>
      </c>
      <c r="BL475" s="549">
        <v>0</v>
      </c>
      <c r="BM475" s="675">
        <v>0</v>
      </c>
      <c r="BN475" s="549">
        <v>0</v>
      </c>
      <c r="BO475" s="675">
        <v>0</v>
      </c>
      <c r="BP475" s="549">
        <v>0</v>
      </c>
      <c r="BQ475" s="675">
        <v>0</v>
      </c>
      <c r="BR475" s="549">
        <v>0</v>
      </c>
      <c r="BS475" s="675">
        <v>0</v>
      </c>
      <c r="BT475" s="549">
        <v>0</v>
      </c>
      <c r="BU475" s="675">
        <v>0</v>
      </c>
      <c r="BV475" s="549">
        <v>0</v>
      </c>
      <c r="BW475" s="675">
        <v>0</v>
      </c>
      <c r="BX475" s="549">
        <v>0</v>
      </c>
      <c r="BY475" s="675">
        <v>0</v>
      </c>
      <c r="BZ475" s="549">
        <v>0</v>
      </c>
      <c r="CA475" s="675">
        <v>0</v>
      </c>
      <c r="CB475" s="549">
        <v>0</v>
      </c>
      <c r="CC475" s="675">
        <v>0</v>
      </c>
      <c r="CD475" s="549">
        <v>0</v>
      </c>
      <c r="CE475" s="675">
        <v>0</v>
      </c>
      <c r="CF475" s="549">
        <v>0</v>
      </c>
      <c r="CG475" s="675">
        <v>0</v>
      </c>
      <c r="CH475" s="549">
        <v>0</v>
      </c>
      <c r="CI475" s="675">
        <v>0</v>
      </c>
      <c r="CJ475" s="549">
        <v>0</v>
      </c>
      <c r="CK475" s="675">
        <v>-1000</v>
      </c>
      <c r="CL475" s="549">
        <v>0</v>
      </c>
      <c r="CM475" s="675">
        <v>0</v>
      </c>
      <c r="CN475" s="549">
        <v>0</v>
      </c>
      <c r="CO475" s="675">
        <v>0</v>
      </c>
      <c r="CP475" s="549">
        <v>0</v>
      </c>
      <c r="CQ475" s="675">
        <v>0</v>
      </c>
      <c r="CR475" s="549">
        <v>0</v>
      </c>
      <c r="CS475" s="675">
        <v>0</v>
      </c>
      <c r="CT475" s="549">
        <v>0</v>
      </c>
      <c r="CU475" s="675">
        <v>0</v>
      </c>
      <c r="CV475" s="549">
        <v>0</v>
      </c>
      <c r="CW475" s="675">
        <v>0</v>
      </c>
      <c r="CX475" s="549">
        <v>0</v>
      </c>
      <c r="CY475" s="675">
        <v>0</v>
      </c>
      <c r="CZ475" s="549">
        <v>0</v>
      </c>
      <c r="DA475" s="675">
        <v>0</v>
      </c>
      <c r="DB475" s="549">
        <v>0</v>
      </c>
      <c r="DC475" s="675">
        <v>0</v>
      </c>
      <c r="DD475" s="549">
        <v>0</v>
      </c>
      <c r="DE475" s="675">
        <v>0</v>
      </c>
      <c r="DF475" s="549">
        <v>0</v>
      </c>
      <c r="DG475" s="675">
        <v>0</v>
      </c>
      <c r="DH475" s="549">
        <v>0</v>
      </c>
      <c r="DI475" s="675">
        <v>0</v>
      </c>
      <c r="DJ475" s="549">
        <v>0</v>
      </c>
      <c r="DK475" s="675">
        <v>0</v>
      </c>
      <c r="DL475" s="549">
        <v>0</v>
      </c>
      <c r="DM475" s="675">
        <v>0</v>
      </c>
      <c r="DN475" s="549">
        <v>0</v>
      </c>
      <c r="DO475" s="675">
        <v>0</v>
      </c>
      <c r="DP475" s="549">
        <v>0</v>
      </c>
      <c r="DQ475" s="675">
        <v>0</v>
      </c>
      <c r="DR475" s="549">
        <v>0</v>
      </c>
      <c r="DS475" s="675">
        <v>0</v>
      </c>
      <c r="DT475" s="549">
        <v>0</v>
      </c>
      <c r="DU475" s="675">
        <v>0</v>
      </c>
      <c r="DV475" s="549">
        <v>0</v>
      </c>
      <c r="DW475" s="675">
        <v>0</v>
      </c>
      <c r="DX475" s="549">
        <v>0</v>
      </c>
      <c r="DY475" s="675">
        <v>0</v>
      </c>
      <c r="DZ475" s="549">
        <v>0</v>
      </c>
      <c r="EA475" s="675">
        <v>0</v>
      </c>
      <c r="EB475" s="549">
        <v>0</v>
      </c>
      <c r="EC475" s="675">
        <v>0</v>
      </c>
      <c r="ED475" s="549">
        <v>0</v>
      </c>
      <c r="EE475" s="675">
        <v>0</v>
      </c>
      <c r="EF475" s="549">
        <v>0</v>
      </c>
      <c r="EG475" s="675">
        <v>0</v>
      </c>
      <c r="EH475" s="549">
        <v>0</v>
      </c>
      <c r="EI475" s="675">
        <v>0</v>
      </c>
      <c r="EJ475" s="549">
        <v>0</v>
      </c>
      <c r="EK475" s="675">
        <v>0</v>
      </c>
      <c r="EL475" s="549">
        <v>0</v>
      </c>
      <c r="EM475" s="675">
        <v>0</v>
      </c>
      <c r="EN475" s="549">
        <v>0</v>
      </c>
      <c r="EO475" s="675">
        <v>0</v>
      </c>
      <c r="EP475" s="549">
        <v>0</v>
      </c>
      <c r="EQ475" s="675">
        <v>0</v>
      </c>
      <c r="ER475" s="549">
        <v>0</v>
      </c>
      <c r="ES475" s="675">
        <v>0</v>
      </c>
      <c r="ET475" s="549">
        <v>0</v>
      </c>
      <c r="EU475" s="675">
        <v>0</v>
      </c>
      <c r="EV475" s="549">
        <v>0</v>
      </c>
      <c r="EW475" s="675">
        <v>0</v>
      </c>
      <c r="EX475" s="549">
        <v>0</v>
      </c>
      <c r="EY475" s="675">
        <v>0</v>
      </c>
      <c r="EZ475" s="549">
        <v>0</v>
      </c>
      <c r="FA475" s="675">
        <v>0</v>
      </c>
      <c r="FB475" s="549">
        <v>0</v>
      </c>
      <c r="FC475" s="675">
        <v>0</v>
      </c>
      <c r="FD475" s="549">
        <v>0</v>
      </c>
      <c r="FE475" s="675">
        <v>0</v>
      </c>
      <c r="FF475" s="549">
        <v>0</v>
      </c>
      <c r="FG475" s="675">
        <v>0</v>
      </c>
      <c r="FH475" s="549">
        <v>0</v>
      </c>
      <c r="FI475" s="675">
        <v>0</v>
      </c>
      <c r="FJ475" s="549">
        <v>0</v>
      </c>
      <c r="FK475" s="675">
        <v>0</v>
      </c>
      <c r="FL475" s="549">
        <v>0</v>
      </c>
      <c r="FM475" s="675">
        <v>0</v>
      </c>
      <c r="FN475" s="549">
        <v>0</v>
      </c>
      <c r="FO475" s="675">
        <v>0</v>
      </c>
      <c r="FP475" s="549">
        <v>0</v>
      </c>
      <c r="FQ475" s="675">
        <v>0</v>
      </c>
      <c r="FR475" s="549">
        <v>0</v>
      </c>
      <c r="FS475" s="675">
        <v>-955</v>
      </c>
      <c r="FT475" s="549">
        <v>0</v>
      </c>
      <c r="FU475" s="675">
        <v>0</v>
      </c>
      <c r="FV475" s="549">
        <v>0</v>
      </c>
      <c r="FW475" s="675">
        <v>0</v>
      </c>
      <c r="FX475" s="549">
        <v>0</v>
      </c>
      <c r="FY475" s="675">
        <v>0</v>
      </c>
      <c r="FZ475" s="549">
        <v>0</v>
      </c>
      <c r="GA475" s="675">
        <v>0</v>
      </c>
      <c r="GB475" s="549">
        <v>0</v>
      </c>
      <c r="GC475" s="675">
        <v>0</v>
      </c>
      <c r="GD475" s="549">
        <v>0</v>
      </c>
      <c r="GE475" s="675">
        <v>0</v>
      </c>
      <c r="GF475" s="549">
        <v>0</v>
      </c>
      <c r="GG475" s="675">
        <v>0</v>
      </c>
      <c r="GH475" s="549">
        <v>0</v>
      </c>
      <c r="GI475" s="675">
        <v>0</v>
      </c>
      <c r="GJ475" s="549">
        <v>0</v>
      </c>
      <c r="GK475" s="675">
        <v>0</v>
      </c>
      <c r="GL475" s="549">
        <v>0</v>
      </c>
      <c r="GM475" s="675">
        <v>0</v>
      </c>
      <c r="GN475" s="549">
        <v>0</v>
      </c>
      <c r="GO475" s="675">
        <v>0</v>
      </c>
      <c r="GP475" s="549">
        <f t="shared" si="11868"/>
        <v>0</v>
      </c>
      <c r="GQ475" s="675">
        <f t="shared" si="11869"/>
        <v>-4955</v>
      </c>
      <c r="GR475" s="74">
        <f t="shared" si="11857"/>
        <v>45</v>
      </c>
      <c r="GS475" s="74">
        <f t="shared" si="11870"/>
        <v>45</v>
      </c>
      <c r="GT475" s="568">
        <f t="shared" si="11859"/>
        <v>45</v>
      </c>
      <c r="GU475" s="275"/>
      <c r="GV475" s="275">
        <v>2500</v>
      </c>
      <c r="GW475" s="275"/>
      <c r="GX475" s="275">
        <v>2500</v>
      </c>
      <c r="GY475" s="275"/>
      <c r="GZ475" s="275"/>
      <c r="HA475" s="275"/>
      <c r="HB475" s="275"/>
      <c r="HC475" s="275"/>
      <c r="HD475" s="275"/>
      <c r="HE475" s="275">
        <v>0</v>
      </c>
      <c r="HF475" s="275">
        <v>0</v>
      </c>
      <c r="HG475" s="74">
        <f t="shared" si="11860"/>
        <v>45</v>
      </c>
      <c r="HH475" s="89">
        <v>0</v>
      </c>
      <c r="HI475" s="817">
        <v>0</v>
      </c>
      <c r="HJ475" s="89">
        <v>2500</v>
      </c>
      <c r="HK475" s="817">
        <v>0</v>
      </c>
      <c r="HL475" s="89">
        <v>-1000</v>
      </c>
      <c r="HM475" s="817">
        <v>0</v>
      </c>
      <c r="HN475" s="89">
        <v>0</v>
      </c>
      <c r="HO475" s="817">
        <v>0</v>
      </c>
      <c r="HP475" s="89">
        <v>0</v>
      </c>
      <c r="HQ475" s="817">
        <v>0</v>
      </c>
      <c r="HR475" s="89">
        <v>0</v>
      </c>
      <c r="HS475" s="817">
        <v>0</v>
      </c>
      <c r="HT475" s="89">
        <v>-500</v>
      </c>
      <c r="HU475" s="817">
        <v>0</v>
      </c>
      <c r="HV475" s="89">
        <v>0</v>
      </c>
      <c r="HW475" s="817">
        <v>0</v>
      </c>
      <c r="HX475" s="89">
        <v>0</v>
      </c>
      <c r="HY475" s="817">
        <v>0</v>
      </c>
      <c r="HZ475" s="89">
        <v>-955</v>
      </c>
      <c r="IA475" s="817">
        <v>0</v>
      </c>
      <c r="IB475" s="89">
        <v>0</v>
      </c>
      <c r="IC475" s="817">
        <v>0</v>
      </c>
      <c r="ID475" s="89">
        <v>0</v>
      </c>
      <c r="IE475" s="817">
        <v>0</v>
      </c>
      <c r="IF475" s="841">
        <f t="shared" si="11861"/>
        <v>45</v>
      </c>
      <c r="IG475" s="263">
        <f t="shared" si="11862"/>
        <v>45</v>
      </c>
      <c r="IH475" s="842">
        <f t="shared" si="11863"/>
        <v>45</v>
      </c>
      <c r="II475" s="89">
        <v>0</v>
      </c>
      <c r="IJ475" s="89">
        <f t="shared" si="11871"/>
        <v>0</v>
      </c>
      <c r="IK475" s="89">
        <f t="shared" si="11872"/>
        <v>0</v>
      </c>
      <c r="IL475" s="89">
        <v>0</v>
      </c>
      <c r="IM475" s="89">
        <f t="shared" si="11873"/>
        <v>0</v>
      </c>
      <c r="IN475" s="89">
        <f t="shared" si="11874"/>
        <v>0</v>
      </c>
      <c r="IO475" s="89">
        <v>15</v>
      </c>
      <c r="IP475" s="89">
        <f t="shared" si="11875"/>
        <v>15</v>
      </c>
      <c r="IQ475" s="89">
        <f t="shared" si="11876"/>
        <v>15</v>
      </c>
      <c r="IR475" s="89">
        <v>0</v>
      </c>
      <c r="IS475" s="89">
        <f t="shared" si="11877"/>
        <v>0</v>
      </c>
      <c r="IT475" s="89">
        <f t="shared" si="11878"/>
        <v>0</v>
      </c>
      <c r="IU475" s="89">
        <v>0</v>
      </c>
      <c r="IV475" s="89">
        <f t="shared" si="11879"/>
        <v>0</v>
      </c>
      <c r="IW475" s="89">
        <f t="shared" si="11880"/>
        <v>0</v>
      </c>
      <c r="IX475" s="89">
        <v>0</v>
      </c>
      <c r="IY475" s="89">
        <f t="shared" si="11881"/>
        <v>0</v>
      </c>
      <c r="IZ475" s="89">
        <f t="shared" si="11882"/>
        <v>0</v>
      </c>
      <c r="JA475" s="89">
        <f>15-15</f>
        <v>0</v>
      </c>
      <c r="JB475" s="89">
        <f t="shared" si="11883"/>
        <v>0</v>
      </c>
      <c r="JC475" s="89">
        <f t="shared" si="11884"/>
        <v>0</v>
      </c>
      <c r="JD475" s="89">
        <v>30</v>
      </c>
      <c r="JE475" s="89">
        <f t="shared" si="11885"/>
        <v>30</v>
      </c>
      <c r="JF475" s="89">
        <f t="shared" si="11886"/>
        <v>30</v>
      </c>
      <c r="JG475" s="89">
        <v>0</v>
      </c>
      <c r="JH475" s="89">
        <f t="shared" si="11887"/>
        <v>0</v>
      </c>
      <c r="JI475" s="89">
        <f t="shared" si="11888"/>
        <v>0</v>
      </c>
      <c r="JJ475" s="89">
        <v>0</v>
      </c>
      <c r="JK475" s="89">
        <f t="shared" si="11889"/>
        <v>0</v>
      </c>
      <c r="JL475" s="89">
        <f t="shared" si="11890"/>
        <v>0</v>
      </c>
      <c r="JM475" s="89">
        <v>0</v>
      </c>
      <c r="JN475" s="89">
        <f t="shared" si="11891"/>
        <v>0</v>
      </c>
      <c r="JO475" s="89">
        <f t="shared" si="11892"/>
        <v>0</v>
      </c>
      <c r="JP475" s="89">
        <v>0</v>
      </c>
      <c r="JQ475" s="89">
        <f t="shared" ref="JQ475:JR475" si="11894">JP475</f>
        <v>0</v>
      </c>
      <c r="JR475" s="89">
        <f t="shared" si="11894"/>
        <v>0</v>
      </c>
      <c r="JS475" s="74">
        <f t="shared" si="11864"/>
        <v>0</v>
      </c>
      <c r="JT475" s="382">
        <f t="shared" si="11865"/>
        <v>0</v>
      </c>
      <c r="JU475" s="665"/>
      <c r="JV475" s="524"/>
      <c r="JW475" s="525"/>
      <c r="JX475" s="549">
        <f t="shared" si="11866"/>
        <v>45</v>
      </c>
      <c r="JY475" s="549">
        <f t="shared" si="11867"/>
        <v>0</v>
      </c>
      <c r="JZ475" s="581">
        <f t="shared" si="11276"/>
        <v>0</v>
      </c>
      <c r="KA475" s="581">
        <f t="shared" si="11277"/>
        <v>-4955</v>
      </c>
      <c r="KB475" s="549">
        <f t="shared" si="11273"/>
        <v>45</v>
      </c>
      <c r="KC475" s="709">
        <f t="shared" si="11275"/>
        <v>0</v>
      </c>
      <c r="KD475" s="36"/>
      <c r="KE475" s="36"/>
      <c r="KF475" s="36"/>
      <c r="KG475" s="36"/>
      <c r="KH475" s="36"/>
      <c r="KI475" s="36"/>
      <c r="KJ475" s="36"/>
      <c r="KK475" s="36"/>
    </row>
    <row r="476" spans="1:297" s="10" customFormat="1">
      <c r="A476" s="86" t="s">
        <v>285</v>
      </c>
      <c r="B476" s="77" t="s">
        <v>167</v>
      </c>
      <c r="C476" s="74">
        <v>2000</v>
      </c>
      <c r="D476" s="549">
        <v>0</v>
      </c>
      <c r="E476" s="675">
        <v>0</v>
      </c>
      <c r="F476" s="549">
        <v>0</v>
      </c>
      <c r="G476" s="675">
        <v>0</v>
      </c>
      <c r="H476" s="549">
        <v>0</v>
      </c>
      <c r="I476" s="675">
        <v>0</v>
      </c>
      <c r="J476" s="549">
        <v>0</v>
      </c>
      <c r="K476" s="675">
        <v>0</v>
      </c>
      <c r="L476" s="549">
        <v>0</v>
      </c>
      <c r="M476" s="675">
        <v>0</v>
      </c>
      <c r="N476" s="549">
        <v>0</v>
      </c>
      <c r="O476" s="675">
        <v>0</v>
      </c>
      <c r="P476" s="549">
        <v>0</v>
      </c>
      <c r="Q476" s="675">
        <v>0</v>
      </c>
      <c r="R476" s="549">
        <v>0</v>
      </c>
      <c r="S476" s="675">
        <v>0</v>
      </c>
      <c r="T476" s="549">
        <v>0</v>
      </c>
      <c r="U476" s="675">
        <v>0</v>
      </c>
      <c r="V476" s="549">
        <v>0</v>
      </c>
      <c r="W476" s="675">
        <v>0</v>
      </c>
      <c r="X476" s="549">
        <v>0</v>
      </c>
      <c r="Y476" s="675">
        <v>0</v>
      </c>
      <c r="Z476" s="549">
        <v>0</v>
      </c>
      <c r="AA476" s="675">
        <v>0</v>
      </c>
      <c r="AB476" s="549">
        <v>0</v>
      </c>
      <c r="AC476" s="675">
        <v>0</v>
      </c>
      <c r="AD476" s="549">
        <v>0</v>
      </c>
      <c r="AE476" s="675">
        <v>0</v>
      </c>
      <c r="AF476" s="549">
        <v>0</v>
      </c>
      <c r="AG476" s="675">
        <v>0</v>
      </c>
      <c r="AH476" s="549">
        <v>0</v>
      </c>
      <c r="AI476" s="675">
        <v>0</v>
      </c>
      <c r="AJ476" s="549">
        <v>0</v>
      </c>
      <c r="AK476" s="675">
        <v>0</v>
      </c>
      <c r="AL476" s="549">
        <v>0</v>
      </c>
      <c r="AM476" s="675">
        <v>0</v>
      </c>
      <c r="AN476" s="549">
        <v>0</v>
      </c>
      <c r="AO476" s="675">
        <v>0</v>
      </c>
      <c r="AP476" s="549">
        <v>0</v>
      </c>
      <c r="AQ476" s="675">
        <v>0</v>
      </c>
      <c r="AR476" s="549">
        <v>0</v>
      </c>
      <c r="AS476" s="675">
        <v>0</v>
      </c>
      <c r="AT476" s="549">
        <v>0</v>
      </c>
      <c r="AU476" s="675">
        <v>0</v>
      </c>
      <c r="AV476" s="549">
        <v>0</v>
      </c>
      <c r="AW476" s="675">
        <v>0</v>
      </c>
      <c r="AX476" s="549">
        <v>0</v>
      </c>
      <c r="AY476" s="675">
        <v>0</v>
      </c>
      <c r="AZ476" s="549">
        <v>0</v>
      </c>
      <c r="BA476" s="675">
        <v>0</v>
      </c>
      <c r="BB476" s="549">
        <v>0</v>
      </c>
      <c r="BC476" s="675">
        <v>0</v>
      </c>
      <c r="BD476" s="549">
        <v>0</v>
      </c>
      <c r="BE476" s="675">
        <v>0</v>
      </c>
      <c r="BF476" s="549">
        <v>0</v>
      </c>
      <c r="BG476" s="675">
        <v>0</v>
      </c>
      <c r="BH476" s="549">
        <v>0</v>
      </c>
      <c r="BI476" s="675">
        <v>0</v>
      </c>
      <c r="BJ476" s="549">
        <v>0</v>
      </c>
      <c r="BK476" s="675">
        <v>0</v>
      </c>
      <c r="BL476" s="549">
        <v>0</v>
      </c>
      <c r="BM476" s="675">
        <v>0</v>
      </c>
      <c r="BN476" s="549">
        <v>0</v>
      </c>
      <c r="BO476" s="675">
        <v>0</v>
      </c>
      <c r="BP476" s="549">
        <v>0</v>
      </c>
      <c r="BQ476" s="675">
        <v>0</v>
      </c>
      <c r="BR476" s="549">
        <v>0</v>
      </c>
      <c r="BS476" s="675">
        <v>0</v>
      </c>
      <c r="BT476" s="549">
        <v>0</v>
      </c>
      <c r="BU476" s="675">
        <v>0</v>
      </c>
      <c r="BV476" s="549">
        <v>0</v>
      </c>
      <c r="BW476" s="675">
        <v>0</v>
      </c>
      <c r="BX476" s="549">
        <v>0</v>
      </c>
      <c r="BY476" s="675">
        <v>0</v>
      </c>
      <c r="BZ476" s="549">
        <v>0</v>
      </c>
      <c r="CA476" s="675">
        <v>0</v>
      </c>
      <c r="CB476" s="549">
        <v>0</v>
      </c>
      <c r="CC476" s="675">
        <v>0</v>
      </c>
      <c r="CD476" s="549">
        <v>0</v>
      </c>
      <c r="CE476" s="675">
        <v>0</v>
      </c>
      <c r="CF476" s="549">
        <v>0</v>
      </c>
      <c r="CG476" s="675">
        <v>0</v>
      </c>
      <c r="CH476" s="549">
        <v>0</v>
      </c>
      <c r="CI476" s="675">
        <v>0</v>
      </c>
      <c r="CJ476" s="549">
        <v>0</v>
      </c>
      <c r="CK476" s="675">
        <v>0</v>
      </c>
      <c r="CL476" s="549">
        <v>0</v>
      </c>
      <c r="CM476" s="675">
        <v>0</v>
      </c>
      <c r="CN476" s="549">
        <v>0</v>
      </c>
      <c r="CO476" s="675">
        <v>0</v>
      </c>
      <c r="CP476" s="549">
        <v>0</v>
      </c>
      <c r="CQ476" s="675">
        <v>0</v>
      </c>
      <c r="CR476" s="549">
        <v>0</v>
      </c>
      <c r="CS476" s="675">
        <v>0</v>
      </c>
      <c r="CT476" s="549">
        <v>0</v>
      </c>
      <c r="CU476" s="675">
        <v>0</v>
      </c>
      <c r="CV476" s="549">
        <v>0</v>
      </c>
      <c r="CW476" s="675">
        <v>0</v>
      </c>
      <c r="CX476" s="549">
        <v>0</v>
      </c>
      <c r="CY476" s="675">
        <v>0</v>
      </c>
      <c r="CZ476" s="549">
        <v>0</v>
      </c>
      <c r="DA476" s="675">
        <v>0</v>
      </c>
      <c r="DB476" s="549">
        <v>0</v>
      </c>
      <c r="DC476" s="675">
        <v>0</v>
      </c>
      <c r="DD476" s="549">
        <v>0</v>
      </c>
      <c r="DE476" s="675">
        <v>0</v>
      </c>
      <c r="DF476" s="549">
        <v>0</v>
      </c>
      <c r="DG476" s="675">
        <v>0</v>
      </c>
      <c r="DH476" s="549">
        <v>0</v>
      </c>
      <c r="DI476" s="675">
        <v>0</v>
      </c>
      <c r="DJ476" s="549">
        <v>0</v>
      </c>
      <c r="DK476" s="675">
        <v>0</v>
      </c>
      <c r="DL476" s="549">
        <v>0</v>
      </c>
      <c r="DM476" s="675">
        <v>0</v>
      </c>
      <c r="DN476" s="549">
        <v>0</v>
      </c>
      <c r="DO476" s="675">
        <v>0</v>
      </c>
      <c r="DP476" s="549">
        <v>0</v>
      </c>
      <c r="DQ476" s="675">
        <v>0</v>
      </c>
      <c r="DR476" s="549">
        <v>0</v>
      </c>
      <c r="DS476" s="675">
        <v>0</v>
      </c>
      <c r="DT476" s="549">
        <v>0</v>
      </c>
      <c r="DU476" s="675">
        <v>0</v>
      </c>
      <c r="DV476" s="549">
        <v>0</v>
      </c>
      <c r="DW476" s="675">
        <v>0</v>
      </c>
      <c r="DX476" s="549">
        <v>0</v>
      </c>
      <c r="DY476" s="675">
        <v>0</v>
      </c>
      <c r="DZ476" s="549">
        <v>0</v>
      </c>
      <c r="EA476" s="675">
        <v>0</v>
      </c>
      <c r="EB476" s="549">
        <v>0</v>
      </c>
      <c r="EC476" s="675">
        <v>0</v>
      </c>
      <c r="ED476" s="549">
        <v>0</v>
      </c>
      <c r="EE476" s="675">
        <v>0</v>
      </c>
      <c r="EF476" s="549">
        <v>0</v>
      </c>
      <c r="EG476" s="675">
        <v>0</v>
      </c>
      <c r="EH476" s="549">
        <v>0</v>
      </c>
      <c r="EI476" s="675">
        <v>0</v>
      </c>
      <c r="EJ476" s="549">
        <v>0</v>
      </c>
      <c r="EK476" s="675">
        <v>0</v>
      </c>
      <c r="EL476" s="549">
        <v>0</v>
      </c>
      <c r="EM476" s="675">
        <v>0</v>
      </c>
      <c r="EN476" s="549">
        <v>0</v>
      </c>
      <c r="EO476" s="675">
        <v>0</v>
      </c>
      <c r="EP476" s="549">
        <v>0</v>
      </c>
      <c r="EQ476" s="675">
        <v>0</v>
      </c>
      <c r="ER476" s="549">
        <v>0</v>
      </c>
      <c r="ES476" s="675">
        <v>0</v>
      </c>
      <c r="ET476" s="549">
        <v>0</v>
      </c>
      <c r="EU476" s="675">
        <v>0</v>
      </c>
      <c r="EV476" s="549">
        <v>0</v>
      </c>
      <c r="EW476" s="675">
        <v>0</v>
      </c>
      <c r="EX476" s="549">
        <v>0</v>
      </c>
      <c r="EY476" s="675">
        <v>0</v>
      </c>
      <c r="EZ476" s="549">
        <v>0</v>
      </c>
      <c r="FA476" s="675">
        <v>0</v>
      </c>
      <c r="FB476" s="549">
        <v>0</v>
      </c>
      <c r="FC476" s="675">
        <v>0</v>
      </c>
      <c r="FD476" s="549">
        <v>0</v>
      </c>
      <c r="FE476" s="675">
        <v>0</v>
      </c>
      <c r="FF476" s="549">
        <v>0</v>
      </c>
      <c r="FG476" s="675">
        <v>0</v>
      </c>
      <c r="FH476" s="549">
        <v>0</v>
      </c>
      <c r="FI476" s="675">
        <v>0</v>
      </c>
      <c r="FJ476" s="549">
        <v>0</v>
      </c>
      <c r="FK476" s="675">
        <v>0</v>
      </c>
      <c r="FL476" s="549">
        <v>0</v>
      </c>
      <c r="FM476" s="675">
        <v>0</v>
      </c>
      <c r="FN476" s="549">
        <v>0</v>
      </c>
      <c r="FO476" s="675">
        <v>0</v>
      </c>
      <c r="FP476" s="549">
        <v>0</v>
      </c>
      <c r="FQ476" s="675">
        <v>0</v>
      </c>
      <c r="FR476" s="549">
        <v>0</v>
      </c>
      <c r="FS476" s="675">
        <v>0</v>
      </c>
      <c r="FT476" s="549">
        <v>0</v>
      </c>
      <c r="FU476" s="675">
        <v>0</v>
      </c>
      <c r="FV476" s="549">
        <v>0</v>
      </c>
      <c r="FW476" s="675">
        <v>0</v>
      </c>
      <c r="FX476" s="549">
        <v>0</v>
      </c>
      <c r="FY476" s="675">
        <v>0</v>
      </c>
      <c r="FZ476" s="549">
        <v>0</v>
      </c>
      <c r="GA476" s="675">
        <v>0</v>
      </c>
      <c r="GB476" s="549">
        <v>0</v>
      </c>
      <c r="GC476" s="675">
        <v>0</v>
      </c>
      <c r="GD476" s="549">
        <v>0</v>
      </c>
      <c r="GE476" s="675">
        <v>0</v>
      </c>
      <c r="GF476" s="549">
        <v>0</v>
      </c>
      <c r="GG476" s="675">
        <v>0</v>
      </c>
      <c r="GH476" s="549">
        <v>0</v>
      </c>
      <c r="GI476" s="675">
        <v>0</v>
      </c>
      <c r="GJ476" s="549">
        <v>0</v>
      </c>
      <c r="GK476" s="675">
        <v>0</v>
      </c>
      <c r="GL476" s="549">
        <v>0</v>
      </c>
      <c r="GM476" s="675">
        <v>0</v>
      </c>
      <c r="GN476" s="549">
        <v>0</v>
      </c>
      <c r="GO476" s="675">
        <v>0</v>
      </c>
      <c r="GP476" s="549">
        <f t="shared" si="11868"/>
        <v>0</v>
      </c>
      <c r="GQ476" s="675">
        <f t="shared" si="11869"/>
        <v>0</v>
      </c>
      <c r="GR476" s="74">
        <f t="shared" si="11857"/>
        <v>2000</v>
      </c>
      <c r="GS476" s="74">
        <f t="shared" si="11870"/>
        <v>2000</v>
      </c>
      <c r="GT476" s="568">
        <f t="shared" si="11859"/>
        <v>2000</v>
      </c>
      <c r="GU476" s="275"/>
      <c r="GV476" s="275"/>
      <c r="GW476" s="275">
        <v>2000</v>
      </c>
      <c r="GX476" s="275"/>
      <c r="GY476" s="275"/>
      <c r="GZ476" s="275"/>
      <c r="HA476" s="275"/>
      <c r="HB476" s="275"/>
      <c r="HC476" s="275"/>
      <c r="HD476" s="275"/>
      <c r="HE476" s="275">
        <v>0</v>
      </c>
      <c r="HF476" s="275">
        <v>0</v>
      </c>
      <c r="HG476" s="74">
        <f t="shared" si="11860"/>
        <v>2000</v>
      </c>
      <c r="HH476" s="89">
        <v>0</v>
      </c>
      <c r="HI476" s="817">
        <v>0</v>
      </c>
      <c r="HJ476" s="89">
        <v>0</v>
      </c>
      <c r="HK476" s="817">
        <v>0</v>
      </c>
      <c r="HL476" s="89">
        <v>0</v>
      </c>
      <c r="HM476" s="817">
        <v>0</v>
      </c>
      <c r="HN476" s="89">
        <v>0</v>
      </c>
      <c r="HO476" s="817">
        <v>0</v>
      </c>
      <c r="HP476" s="89">
        <v>0</v>
      </c>
      <c r="HQ476" s="817">
        <v>0</v>
      </c>
      <c r="HR476" s="89">
        <v>2000</v>
      </c>
      <c r="HS476" s="817">
        <v>0</v>
      </c>
      <c r="HT476" s="89">
        <v>0</v>
      </c>
      <c r="HU476" s="817">
        <v>0</v>
      </c>
      <c r="HV476" s="89">
        <v>0</v>
      </c>
      <c r="HW476" s="817">
        <v>0</v>
      </c>
      <c r="HX476" s="89">
        <v>0</v>
      </c>
      <c r="HY476" s="817">
        <v>0</v>
      </c>
      <c r="HZ476" s="89">
        <v>0</v>
      </c>
      <c r="IA476" s="817">
        <v>0</v>
      </c>
      <c r="IB476" s="89">
        <v>0</v>
      </c>
      <c r="IC476" s="817">
        <v>0</v>
      </c>
      <c r="ID476" s="89">
        <v>0</v>
      </c>
      <c r="IE476" s="817">
        <v>0</v>
      </c>
      <c r="IF476" s="841">
        <f t="shared" si="11861"/>
        <v>2000</v>
      </c>
      <c r="IG476" s="263">
        <f t="shared" si="11862"/>
        <v>2000</v>
      </c>
      <c r="IH476" s="842">
        <f t="shared" si="11863"/>
        <v>2000</v>
      </c>
      <c r="II476" s="89">
        <v>0</v>
      </c>
      <c r="IJ476" s="89">
        <f t="shared" si="11871"/>
        <v>0</v>
      </c>
      <c r="IK476" s="89">
        <f t="shared" si="11872"/>
        <v>0</v>
      </c>
      <c r="IL476" s="89">
        <v>0</v>
      </c>
      <c r="IM476" s="89">
        <f t="shared" si="11873"/>
        <v>0</v>
      </c>
      <c r="IN476" s="89">
        <f t="shared" si="11874"/>
        <v>0</v>
      </c>
      <c r="IO476" s="89">
        <v>0</v>
      </c>
      <c r="IP476" s="89">
        <f t="shared" si="11875"/>
        <v>0</v>
      </c>
      <c r="IQ476" s="89">
        <f t="shared" si="11876"/>
        <v>0</v>
      </c>
      <c r="IR476" s="89">
        <v>0</v>
      </c>
      <c r="IS476" s="89">
        <f t="shared" si="11877"/>
        <v>0</v>
      </c>
      <c r="IT476" s="89">
        <f t="shared" si="11878"/>
        <v>0</v>
      </c>
      <c r="IU476" s="89">
        <v>0</v>
      </c>
      <c r="IV476" s="89">
        <f t="shared" si="11879"/>
        <v>0</v>
      </c>
      <c r="IW476" s="89">
        <f t="shared" si="11880"/>
        <v>0</v>
      </c>
      <c r="IX476" s="89">
        <v>0</v>
      </c>
      <c r="IY476" s="89">
        <f t="shared" si="11881"/>
        <v>0</v>
      </c>
      <c r="IZ476" s="89">
        <f t="shared" si="11882"/>
        <v>0</v>
      </c>
      <c r="JA476" s="89">
        <f>2000-0</f>
        <v>2000</v>
      </c>
      <c r="JB476" s="89">
        <f t="shared" si="11883"/>
        <v>2000</v>
      </c>
      <c r="JC476" s="89">
        <f t="shared" si="11884"/>
        <v>2000</v>
      </c>
      <c r="JD476" s="89">
        <v>0</v>
      </c>
      <c r="JE476" s="89">
        <f t="shared" si="11885"/>
        <v>0</v>
      </c>
      <c r="JF476" s="89">
        <f t="shared" si="11886"/>
        <v>0</v>
      </c>
      <c r="JG476" s="89">
        <v>0</v>
      </c>
      <c r="JH476" s="89">
        <f t="shared" si="11887"/>
        <v>0</v>
      </c>
      <c r="JI476" s="89">
        <f t="shared" si="11888"/>
        <v>0</v>
      </c>
      <c r="JJ476" s="89">
        <v>0</v>
      </c>
      <c r="JK476" s="89">
        <f t="shared" si="11889"/>
        <v>0</v>
      </c>
      <c r="JL476" s="89">
        <f t="shared" si="11890"/>
        <v>0</v>
      </c>
      <c r="JM476" s="89">
        <v>0</v>
      </c>
      <c r="JN476" s="89">
        <f t="shared" si="11891"/>
        <v>0</v>
      </c>
      <c r="JO476" s="89">
        <f t="shared" si="11892"/>
        <v>0</v>
      </c>
      <c r="JP476" s="89">
        <v>0</v>
      </c>
      <c r="JQ476" s="89">
        <f t="shared" ref="JQ476:JR476" si="11895">JP476</f>
        <v>0</v>
      </c>
      <c r="JR476" s="89">
        <f t="shared" si="11895"/>
        <v>0</v>
      </c>
      <c r="JS476" s="74">
        <f t="shared" si="11864"/>
        <v>0</v>
      </c>
      <c r="JT476" s="382">
        <f t="shared" si="11865"/>
        <v>0</v>
      </c>
      <c r="JU476" s="665"/>
      <c r="JV476" s="524"/>
      <c r="JW476" s="525"/>
      <c r="JX476" s="549">
        <f t="shared" si="11866"/>
        <v>2000</v>
      </c>
      <c r="JY476" s="549">
        <f t="shared" si="11867"/>
        <v>0</v>
      </c>
      <c r="JZ476" s="581">
        <f t="shared" si="11276"/>
        <v>0</v>
      </c>
      <c r="KA476" s="581">
        <f t="shared" si="11277"/>
        <v>0</v>
      </c>
      <c r="KB476" s="549">
        <f t="shared" si="11273"/>
        <v>2000</v>
      </c>
      <c r="KC476" s="709">
        <f t="shared" si="11275"/>
        <v>0</v>
      </c>
      <c r="KD476" s="36"/>
      <c r="KE476" s="36"/>
      <c r="KF476" s="36"/>
      <c r="KG476" s="36"/>
      <c r="KH476" s="36"/>
      <c r="KI476" s="36"/>
      <c r="KJ476" s="36"/>
      <c r="KK476" s="36"/>
    </row>
    <row r="477" spans="1:297" s="10" customFormat="1">
      <c r="A477" s="86" t="s">
        <v>286</v>
      </c>
      <c r="B477" s="77" t="s">
        <v>169</v>
      </c>
      <c r="C477" s="74">
        <v>8200</v>
      </c>
      <c r="D477" s="549">
        <v>0</v>
      </c>
      <c r="E477" s="675">
        <v>0</v>
      </c>
      <c r="F477" s="549">
        <v>0</v>
      </c>
      <c r="G477" s="675">
        <v>0</v>
      </c>
      <c r="H477" s="549">
        <v>0</v>
      </c>
      <c r="I477" s="675">
        <v>0</v>
      </c>
      <c r="J477" s="549">
        <v>0</v>
      </c>
      <c r="K477" s="675">
        <v>0</v>
      </c>
      <c r="L477" s="549">
        <v>0</v>
      </c>
      <c r="M477" s="675">
        <v>0</v>
      </c>
      <c r="N477" s="549">
        <v>0</v>
      </c>
      <c r="O477" s="675">
        <v>0</v>
      </c>
      <c r="P477" s="549">
        <v>0</v>
      </c>
      <c r="Q477" s="675">
        <v>0</v>
      </c>
      <c r="R477" s="549">
        <v>0</v>
      </c>
      <c r="S477" s="675">
        <v>0</v>
      </c>
      <c r="T477" s="549">
        <v>0</v>
      </c>
      <c r="U477" s="675">
        <v>0</v>
      </c>
      <c r="V477" s="549">
        <v>0</v>
      </c>
      <c r="W477" s="675">
        <v>0</v>
      </c>
      <c r="X477" s="549">
        <v>0</v>
      </c>
      <c r="Y477" s="675">
        <v>0</v>
      </c>
      <c r="Z477" s="549">
        <v>0</v>
      </c>
      <c r="AA477" s="675">
        <v>0</v>
      </c>
      <c r="AB477" s="549">
        <v>0</v>
      </c>
      <c r="AC477" s="675">
        <v>0</v>
      </c>
      <c r="AD477" s="549">
        <v>0</v>
      </c>
      <c r="AE477" s="675">
        <v>0</v>
      </c>
      <c r="AF477" s="549">
        <v>0</v>
      </c>
      <c r="AG477" s="675">
        <v>0</v>
      </c>
      <c r="AH477" s="549">
        <v>0</v>
      </c>
      <c r="AI477" s="675">
        <v>0</v>
      </c>
      <c r="AJ477" s="549">
        <v>0</v>
      </c>
      <c r="AK477" s="675">
        <v>0</v>
      </c>
      <c r="AL477" s="549">
        <v>0</v>
      </c>
      <c r="AM477" s="675">
        <v>0</v>
      </c>
      <c r="AN477" s="549">
        <v>0</v>
      </c>
      <c r="AO477" s="675">
        <v>0</v>
      </c>
      <c r="AP477" s="549">
        <v>0</v>
      </c>
      <c r="AQ477" s="675">
        <v>0</v>
      </c>
      <c r="AR477" s="549">
        <v>0</v>
      </c>
      <c r="AS477" s="675">
        <v>0</v>
      </c>
      <c r="AT477" s="549">
        <v>0</v>
      </c>
      <c r="AU477" s="675">
        <v>0</v>
      </c>
      <c r="AV477" s="549">
        <v>0</v>
      </c>
      <c r="AW477" s="675">
        <v>0</v>
      </c>
      <c r="AX477" s="549">
        <v>0</v>
      </c>
      <c r="AY477" s="675">
        <v>0</v>
      </c>
      <c r="AZ477" s="549">
        <v>0</v>
      </c>
      <c r="BA477" s="675">
        <v>0</v>
      </c>
      <c r="BB477" s="549">
        <v>0</v>
      </c>
      <c r="BC477" s="675">
        <v>0</v>
      </c>
      <c r="BD477" s="549">
        <v>0</v>
      </c>
      <c r="BE477" s="675">
        <v>0</v>
      </c>
      <c r="BF477" s="549">
        <v>0</v>
      </c>
      <c r="BG477" s="675">
        <v>0</v>
      </c>
      <c r="BH477" s="549">
        <v>0</v>
      </c>
      <c r="BI477" s="675">
        <v>0</v>
      </c>
      <c r="BJ477" s="549">
        <v>0</v>
      </c>
      <c r="BK477" s="675">
        <v>0</v>
      </c>
      <c r="BL477" s="549">
        <v>0</v>
      </c>
      <c r="BM477" s="675">
        <v>0</v>
      </c>
      <c r="BN477" s="549">
        <v>0</v>
      </c>
      <c r="BO477" s="675">
        <v>0</v>
      </c>
      <c r="BP477" s="549">
        <v>0</v>
      </c>
      <c r="BQ477" s="675">
        <v>0</v>
      </c>
      <c r="BR477" s="549">
        <v>0</v>
      </c>
      <c r="BS477" s="675">
        <v>0</v>
      </c>
      <c r="BT477" s="549">
        <v>0</v>
      </c>
      <c r="BU477" s="675">
        <v>0</v>
      </c>
      <c r="BV477" s="549">
        <v>0</v>
      </c>
      <c r="BW477" s="675">
        <v>0</v>
      </c>
      <c r="BX477" s="549">
        <v>0</v>
      </c>
      <c r="BY477" s="675">
        <v>0</v>
      </c>
      <c r="BZ477" s="549">
        <v>0</v>
      </c>
      <c r="CA477" s="675">
        <v>0</v>
      </c>
      <c r="CB477" s="549">
        <v>0</v>
      </c>
      <c r="CC477" s="675">
        <v>0</v>
      </c>
      <c r="CD477" s="549">
        <v>0</v>
      </c>
      <c r="CE477" s="675">
        <v>0</v>
      </c>
      <c r="CF477" s="549">
        <v>0</v>
      </c>
      <c r="CG477" s="675">
        <v>0</v>
      </c>
      <c r="CH477" s="549">
        <v>0</v>
      </c>
      <c r="CI477" s="675">
        <v>0</v>
      </c>
      <c r="CJ477" s="549">
        <v>0</v>
      </c>
      <c r="CK477" s="675">
        <v>0</v>
      </c>
      <c r="CL477" s="549">
        <v>0</v>
      </c>
      <c r="CM477" s="675">
        <v>0</v>
      </c>
      <c r="CN477" s="549">
        <v>0</v>
      </c>
      <c r="CO477" s="675">
        <v>0</v>
      </c>
      <c r="CP477" s="549">
        <v>0</v>
      </c>
      <c r="CQ477" s="675">
        <v>0</v>
      </c>
      <c r="CR477" s="549">
        <v>0</v>
      </c>
      <c r="CS477" s="675">
        <v>0</v>
      </c>
      <c r="CT477" s="549">
        <v>0</v>
      </c>
      <c r="CU477" s="675">
        <v>0</v>
      </c>
      <c r="CV477" s="549">
        <v>0</v>
      </c>
      <c r="CW477" s="675">
        <v>0</v>
      </c>
      <c r="CX477" s="549">
        <v>0</v>
      </c>
      <c r="CY477" s="675">
        <v>0</v>
      </c>
      <c r="CZ477" s="549">
        <v>0</v>
      </c>
      <c r="DA477" s="675">
        <v>0</v>
      </c>
      <c r="DB477" s="549">
        <v>0</v>
      </c>
      <c r="DC477" s="675">
        <v>0</v>
      </c>
      <c r="DD477" s="549">
        <v>0</v>
      </c>
      <c r="DE477" s="675">
        <v>0</v>
      </c>
      <c r="DF477" s="549">
        <v>0</v>
      </c>
      <c r="DG477" s="675">
        <v>0</v>
      </c>
      <c r="DH477" s="549">
        <v>0</v>
      </c>
      <c r="DI477" s="675">
        <v>0</v>
      </c>
      <c r="DJ477" s="549">
        <v>0</v>
      </c>
      <c r="DK477" s="675">
        <v>0</v>
      </c>
      <c r="DL477" s="549">
        <v>0</v>
      </c>
      <c r="DM477" s="675">
        <v>0</v>
      </c>
      <c r="DN477" s="549">
        <v>0</v>
      </c>
      <c r="DO477" s="675">
        <v>0</v>
      </c>
      <c r="DP477" s="549">
        <v>0</v>
      </c>
      <c r="DQ477" s="675">
        <v>0</v>
      </c>
      <c r="DR477" s="549">
        <v>0</v>
      </c>
      <c r="DS477" s="675">
        <v>0</v>
      </c>
      <c r="DT477" s="549">
        <v>0</v>
      </c>
      <c r="DU477" s="675">
        <v>0</v>
      </c>
      <c r="DV477" s="549">
        <v>0</v>
      </c>
      <c r="DW477" s="675">
        <v>0</v>
      </c>
      <c r="DX477" s="549">
        <v>0</v>
      </c>
      <c r="DY477" s="675">
        <v>0</v>
      </c>
      <c r="DZ477" s="549">
        <v>0</v>
      </c>
      <c r="EA477" s="675">
        <v>0</v>
      </c>
      <c r="EB477" s="549">
        <v>0</v>
      </c>
      <c r="EC477" s="675">
        <v>0</v>
      </c>
      <c r="ED477" s="549">
        <v>0</v>
      </c>
      <c r="EE477" s="675">
        <v>0</v>
      </c>
      <c r="EF477" s="549">
        <v>0</v>
      </c>
      <c r="EG477" s="675">
        <v>0</v>
      </c>
      <c r="EH477" s="549">
        <v>0</v>
      </c>
      <c r="EI477" s="675">
        <v>0</v>
      </c>
      <c r="EJ477" s="549">
        <v>0</v>
      </c>
      <c r="EK477" s="675">
        <v>0</v>
      </c>
      <c r="EL477" s="549">
        <v>0</v>
      </c>
      <c r="EM477" s="675">
        <v>0</v>
      </c>
      <c r="EN477" s="549">
        <v>0</v>
      </c>
      <c r="EO477" s="675">
        <v>0</v>
      </c>
      <c r="EP477" s="549">
        <v>0</v>
      </c>
      <c r="EQ477" s="675">
        <v>0</v>
      </c>
      <c r="ER477" s="549">
        <v>0</v>
      </c>
      <c r="ES477" s="675">
        <v>0</v>
      </c>
      <c r="ET477" s="549">
        <v>0</v>
      </c>
      <c r="EU477" s="675">
        <v>0</v>
      </c>
      <c r="EV477" s="549">
        <v>0</v>
      </c>
      <c r="EW477" s="675">
        <v>0</v>
      </c>
      <c r="EX477" s="549">
        <v>0</v>
      </c>
      <c r="EY477" s="675">
        <v>0</v>
      </c>
      <c r="EZ477" s="549">
        <v>0</v>
      </c>
      <c r="FA477" s="675">
        <v>0</v>
      </c>
      <c r="FB477" s="549">
        <v>0</v>
      </c>
      <c r="FC477" s="675">
        <v>0</v>
      </c>
      <c r="FD477" s="549">
        <v>0</v>
      </c>
      <c r="FE477" s="675">
        <v>0</v>
      </c>
      <c r="FF477" s="549">
        <v>0</v>
      </c>
      <c r="FG477" s="675">
        <v>0</v>
      </c>
      <c r="FH477" s="549">
        <v>0</v>
      </c>
      <c r="FI477" s="675">
        <v>0</v>
      </c>
      <c r="FJ477" s="549">
        <v>0</v>
      </c>
      <c r="FK477" s="675">
        <v>0</v>
      </c>
      <c r="FL477" s="549">
        <v>0</v>
      </c>
      <c r="FM477" s="675">
        <v>0</v>
      </c>
      <c r="FN477" s="549">
        <v>0</v>
      </c>
      <c r="FO477" s="675">
        <v>0</v>
      </c>
      <c r="FP477" s="549">
        <v>0</v>
      </c>
      <c r="FQ477" s="675">
        <v>0</v>
      </c>
      <c r="FR477" s="549">
        <v>0</v>
      </c>
      <c r="FS477" s="675">
        <v>0</v>
      </c>
      <c r="FT477" s="549">
        <v>0</v>
      </c>
      <c r="FU477" s="675">
        <v>0</v>
      </c>
      <c r="FV477" s="549">
        <v>0</v>
      </c>
      <c r="FW477" s="675">
        <v>0</v>
      </c>
      <c r="FX477" s="549">
        <v>0</v>
      </c>
      <c r="FY477" s="675">
        <v>0</v>
      </c>
      <c r="FZ477" s="549">
        <v>0</v>
      </c>
      <c r="GA477" s="675">
        <v>0</v>
      </c>
      <c r="GB477" s="549">
        <v>0</v>
      </c>
      <c r="GC477" s="675">
        <v>0</v>
      </c>
      <c r="GD477" s="549">
        <v>0</v>
      </c>
      <c r="GE477" s="675">
        <v>0</v>
      </c>
      <c r="GF477" s="549">
        <v>0</v>
      </c>
      <c r="GG477" s="675">
        <v>0</v>
      </c>
      <c r="GH477" s="549">
        <v>0</v>
      </c>
      <c r="GI477" s="675">
        <v>0</v>
      </c>
      <c r="GJ477" s="549">
        <v>0</v>
      </c>
      <c r="GK477" s="675">
        <v>0</v>
      </c>
      <c r="GL477" s="549">
        <v>0</v>
      </c>
      <c r="GM477" s="675">
        <v>0</v>
      </c>
      <c r="GN477" s="549">
        <v>0</v>
      </c>
      <c r="GO477" s="675">
        <v>0</v>
      </c>
      <c r="GP477" s="549">
        <f t="shared" si="11868"/>
        <v>0</v>
      </c>
      <c r="GQ477" s="675">
        <f t="shared" si="11869"/>
        <v>0</v>
      </c>
      <c r="GR477" s="74">
        <f t="shared" si="11857"/>
        <v>8200</v>
      </c>
      <c r="GS477" s="74">
        <f t="shared" si="11870"/>
        <v>8200</v>
      </c>
      <c r="GT477" s="568">
        <f t="shared" si="11859"/>
        <v>8200</v>
      </c>
      <c r="GU477" s="275"/>
      <c r="GV477" s="275"/>
      <c r="GW477" s="275">
        <v>8200</v>
      </c>
      <c r="GX477" s="275"/>
      <c r="GY477" s="275"/>
      <c r="GZ477" s="275"/>
      <c r="HA477" s="275"/>
      <c r="HB477" s="275"/>
      <c r="HC477" s="275"/>
      <c r="HD477" s="275"/>
      <c r="HE477" s="275">
        <v>0</v>
      </c>
      <c r="HF477" s="275">
        <v>0</v>
      </c>
      <c r="HG477" s="74">
        <f t="shared" si="11860"/>
        <v>8200</v>
      </c>
      <c r="HH477" s="89">
        <v>0</v>
      </c>
      <c r="HI477" s="817">
        <v>0</v>
      </c>
      <c r="HJ477" s="89">
        <v>0</v>
      </c>
      <c r="HK477" s="817">
        <v>0</v>
      </c>
      <c r="HL477" s="89">
        <v>8200</v>
      </c>
      <c r="HM477" s="817">
        <v>0</v>
      </c>
      <c r="HN477" s="89">
        <v>0</v>
      </c>
      <c r="HO477" s="817">
        <v>0</v>
      </c>
      <c r="HP477" s="89">
        <v>0</v>
      </c>
      <c r="HQ477" s="817">
        <v>0</v>
      </c>
      <c r="HR477" s="89">
        <v>0</v>
      </c>
      <c r="HS477" s="817">
        <v>0</v>
      </c>
      <c r="HT477" s="89">
        <v>0</v>
      </c>
      <c r="HU477" s="817">
        <v>0</v>
      </c>
      <c r="HV477" s="89">
        <v>0</v>
      </c>
      <c r="HW477" s="817">
        <v>0</v>
      </c>
      <c r="HX477" s="89">
        <v>0</v>
      </c>
      <c r="HY477" s="817">
        <v>0</v>
      </c>
      <c r="HZ477" s="89">
        <v>0</v>
      </c>
      <c r="IA477" s="817">
        <v>0</v>
      </c>
      <c r="IB477" s="89">
        <v>0</v>
      </c>
      <c r="IC477" s="817">
        <v>0</v>
      </c>
      <c r="ID477" s="89">
        <v>0</v>
      </c>
      <c r="IE477" s="817">
        <v>0</v>
      </c>
      <c r="IF477" s="841">
        <f t="shared" si="11861"/>
        <v>8195.73</v>
      </c>
      <c r="IG477" s="263">
        <f t="shared" si="11862"/>
        <v>8195.73</v>
      </c>
      <c r="IH477" s="842">
        <f t="shared" si="11863"/>
        <v>8195.73</v>
      </c>
      <c r="II477" s="89">
        <v>0</v>
      </c>
      <c r="IJ477" s="89">
        <f t="shared" si="11871"/>
        <v>0</v>
      </c>
      <c r="IK477" s="89">
        <f t="shared" si="11872"/>
        <v>0</v>
      </c>
      <c r="IL477" s="89">
        <v>0</v>
      </c>
      <c r="IM477" s="89">
        <f t="shared" si="11873"/>
        <v>0</v>
      </c>
      <c r="IN477" s="89">
        <f t="shared" si="11874"/>
        <v>0</v>
      </c>
      <c r="IO477" s="89">
        <v>5649.18</v>
      </c>
      <c r="IP477" s="89">
        <f t="shared" si="11875"/>
        <v>5649.18</v>
      </c>
      <c r="IQ477" s="89">
        <f t="shared" si="11876"/>
        <v>5649.18</v>
      </c>
      <c r="IR477" s="89">
        <f>7151.2-5649.18</f>
        <v>1502.0199999999995</v>
      </c>
      <c r="IS477" s="89">
        <f t="shared" si="11877"/>
        <v>1502.0199999999995</v>
      </c>
      <c r="IT477" s="89">
        <f t="shared" si="11878"/>
        <v>1502.0199999999995</v>
      </c>
      <c r="IU477" s="89">
        <f>7896.27-7151.2</f>
        <v>745.07000000000062</v>
      </c>
      <c r="IV477" s="89">
        <f t="shared" si="11879"/>
        <v>745.07000000000062</v>
      </c>
      <c r="IW477" s="89">
        <f t="shared" si="11880"/>
        <v>745.07000000000062</v>
      </c>
      <c r="IX477" s="89">
        <f>8065.53-7896.27</f>
        <v>169.25999999999931</v>
      </c>
      <c r="IY477" s="89">
        <f t="shared" si="11881"/>
        <v>169.25999999999931</v>
      </c>
      <c r="IZ477" s="89">
        <f t="shared" si="11882"/>
        <v>169.25999999999931</v>
      </c>
      <c r="JA477" s="89">
        <f>8185.53-8065.53</f>
        <v>120</v>
      </c>
      <c r="JB477" s="89">
        <f t="shared" si="11883"/>
        <v>120</v>
      </c>
      <c r="JC477" s="89">
        <f t="shared" si="11884"/>
        <v>120</v>
      </c>
      <c r="JD477" s="89">
        <v>0</v>
      </c>
      <c r="JE477" s="89">
        <f t="shared" si="11885"/>
        <v>0</v>
      </c>
      <c r="JF477" s="89">
        <f t="shared" si="11886"/>
        <v>0</v>
      </c>
      <c r="JG477" s="89">
        <f>8195.73-8185.53</f>
        <v>10.199999999999818</v>
      </c>
      <c r="JH477" s="89">
        <f t="shared" si="11887"/>
        <v>10.199999999999818</v>
      </c>
      <c r="JI477" s="89">
        <f t="shared" si="11888"/>
        <v>10.199999999999818</v>
      </c>
      <c r="JJ477" s="89">
        <v>0</v>
      </c>
      <c r="JK477" s="89">
        <f t="shared" si="11889"/>
        <v>0</v>
      </c>
      <c r="JL477" s="89">
        <f t="shared" si="11890"/>
        <v>0</v>
      </c>
      <c r="JM477" s="89">
        <v>0</v>
      </c>
      <c r="JN477" s="89">
        <f t="shared" si="11891"/>
        <v>0</v>
      </c>
      <c r="JO477" s="89">
        <f t="shared" si="11892"/>
        <v>0</v>
      </c>
      <c r="JP477" s="89">
        <v>0</v>
      </c>
      <c r="JQ477" s="89">
        <f t="shared" ref="JQ477:JR477" si="11896">JP477</f>
        <v>0</v>
      </c>
      <c r="JR477" s="89">
        <f t="shared" si="11896"/>
        <v>0</v>
      </c>
      <c r="JS477" s="74">
        <f t="shared" si="11864"/>
        <v>4.2700000000004366</v>
      </c>
      <c r="JT477" s="382">
        <f t="shared" si="11865"/>
        <v>4.2700000000004366</v>
      </c>
      <c r="JU477" s="665"/>
      <c r="JV477" s="524"/>
      <c r="JW477" s="525"/>
      <c r="JX477" s="549">
        <f t="shared" si="11866"/>
        <v>8200</v>
      </c>
      <c r="JY477" s="549">
        <f t="shared" si="11867"/>
        <v>0</v>
      </c>
      <c r="JZ477" s="581">
        <f t="shared" si="11276"/>
        <v>0</v>
      </c>
      <c r="KA477" s="581">
        <f t="shared" si="11277"/>
        <v>0</v>
      </c>
      <c r="KB477" s="549">
        <f t="shared" si="11273"/>
        <v>8200</v>
      </c>
      <c r="KC477" s="709">
        <f t="shared" si="11275"/>
        <v>0</v>
      </c>
      <c r="KD477" s="36"/>
      <c r="KE477" s="36"/>
      <c r="KF477" s="36"/>
      <c r="KG477" s="36"/>
      <c r="KH477" s="36"/>
      <c r="KI477" s="36"/>
      <c r="KJ477" s="36"/>
      <c r="KK477" s="36"/>
    </row>
    <row r="478" spans="1:297" s="10" customFormat="1">
      <c r="A478" s="86" t="s">
        <v>287</v>
      </c>
      <c r="B478" s="77" t="s">
        <v>170</v>
      </c>
      <c r="C478" s="74">
        <v>9600</v>
      </c>
      <c r="D478" s="549">
        <v>0</v>
      </c>
      <c r="E478" s="675">
        <v>0</v>
      </c>
      <c r="F478" s="549">
        <v>0</v>
      </c>
      <c r="G478" s="675">
        <v>0</v>
      </c>
      <c r="H478" s="549">
        <v>0</v>
      </c>
      <c r="I478" s="675">
        <v>0</v>
      </c>
      <c r="J478" s="549">
        <v>0</v>
      </c>
      <c r="K478" s="675">
        <v>0</v>
      </c>
      <c r="L478" s="549">
        <v>0</v>
      </c>
      <c r="M478" s="675">
        <v>0</v>
      </c>
      <c r="N478" s="549">
        <v>0</v>
      </c>
      <c r="O478" s="675">
        <v>0</v>
      </c>
      <c r="P478" s="549">
        <v>0</v>
      </c>
      <c r="Q478" s="675">
        <v>0</v>
      </c>
      <c r="R478" s="549">
        <v>0</v>
      </c>
      <c r="S478" s="675">
        <v>0</v>
      </c>
      <c r="T478" s="549">
        <v>0</v>
      </c>
      <c r="U478" s="675">
        <v>0</v>
      </c>
      <c r="V478" s="549">
        <v>0</v>
      </c>
      <c r="W478" s="675">
        <v>-3000</v>
      </c>
      <c r="X478" s="549">
        <v>0</v>
      </c>
      <c r="Y478" s="675">
        <v>0</v>
      </c>
      <c r="Z478" s="549">
        <v>0</v>
      </c>
      <c r="AA478" s="675">
        <v>0</v>
      </c>
      <c r="AB478" s="549">
        <v>0</v>
      </c>
      <c r="AC478" s="675">
        <v>0</v>
      </c>
      <c r="AD478" s="549">
        <v>0</v>
      </c>
      <c r="AE478" s="675">
        <v>0</v>
      </c>
      <c r="AF478" s="549">
        <v>0</v>
      </c>
      <c r="AG478" s="675">
        <v>0</v>
      </c>
      <c r="AH478" s="549">
        <v>0</v>
      </c>
      <c r="AI478" s="675">
        <v>0</v>
      </c>
      <c r="AJ478" s="549">
        <v>0</v>
      </c>
      <c r="AK478" s="675">
        <v>0</v>
      </c>
      <c r="AL478" s="549">
        <v>0</v>
      </c>
      <c r="AM478" s="675">
        <v>0</v>
      </c>
      <c r="AN478" s="549">
        <v>0</v>
      </c>
      <c r="AO478" s="675">
        <v>0</v>
      </c>
      <c r="AP478" s="549">
        <v>0</v>
      </c>
      <c r="AQ478" s="675">
        <v>0</v>
      </c>
      <c r="AR478" s="549">
        <v>0</v>
      </c>
      <c r="AS478" s="675">
        <v>0</v>
      </c>
      <c r="AT478" s="549">
        <v>0</v>
      </c>
      <c r="AU478" s="675">
        <v>0</v>
      </c>
      <c r="AV478" s="549">
        <v>0</v>
      </c>
      <c r="AW478" s="675">
        <v>0</v>
      </c>
      <c r="AX478" s="549">
        <v>0</v>
      </c>
      <c r="AY478" s="675">
        <v>0</v>
      </c>
      <c r="AZ478" s="549">
        <v>0</v>
      </c>
      <c r="BA478" s="675">
        <v>0</v>
      </c>
      <c r="BB478" s="549">
        <v>0</v>
      </c>
      <c r="BC478" s="675">
        <v>0</v>
      </c>
      <c r="BD478" s="549">
        <v>0</v>
      </c>
      <c r="BE478" s="675">
        <v>0</v>
      </c>
      <c r="BF478" s="549">
        <v>0</v>
      </c>
      <c r="BG478" s="675">
        <v>0</v>
      </c>
      <c r="BH478" s="549">
        <v>0</v>
      </c>
      <c r="BI478" s="675">
        <v>0</v>
      </c>
      <c r="BJ478" s="549">
        <v>0</v>
      </c>
      <c r="BK478" s="675">
        <v>0</v>
      </c>
      <c r="BL478" s="549">
        <v>0</v>
      </c>
      <c r="BM478" s="675">
        <v>0</v>
      </c>
      <c r="BN478" s="549">
        <v>0</v>
      </c>
      <c r="BO478" s="675">
        <v>0</v>
      </c>
      <c r="BP478" s="549">
        <v>0</v>
      </c>
      <c r="BQ478" s="675">
        <v>0</v>
      </c>
      <c r="BR478" s="549">
        <v>0</v>
      </c>
      <c r="BS478" s="675">
        <v>0</v>
      </c>
      <c r="BT478" s="549">
        <v>0</v>
      </c>
      <c r="BU478" s="675">
        <v>0</v>
      </c>
      <c r="BV478" s="549">
        <v>0</v>
      </c>
      <c r="BW478" s="675">
        <v>0</v>
      </c>
      <c r="BX478" s="549">
        <v>0</v>
      </c>
      <c r="BY478" s="675">
        <v>0</v>
      </c>
      <c r="BZ478" s="549">
        <v>0</v>
      </c>
      <c r="CA478" s="675">
        <v>0</v>
      </c>
      <c r="CB478" s="549">
        <v>0</v>
      </c>
      <c r="CC478" s="675">
        <v>0</v>
      </c>
      <c r="CD478" s="549">
        <v>0</v>
      </c>
      <c r="CE478" s="675">
        <v>0</v>
      </c>
      <c r="CF478" s="549">
        <v>0</v>
      </c>
      <c r="CG478" s="675">
        <v>0</v>
      </c>
      <c r="CH478" s="549">
        <v>0</v>
      </c>
      <c r="CI478" s="675">
        <v>0</v>
      </c>
      <c r="CJ478" s="549">
        <v>0</v>
      </c>
      <c r="CK478" s="675">
        <v>-2000</v>
      </c>
      <c r="CL478" s="549">
        <v>0</v>
      </c>
      <c r="CM478" s="675">
        <v>0</v>
      </c>
      <c r="CN478" s="549">
        <v>0</v>
      </c>
      <c r="CO478" s="675">
        <v>0</v>
      </c>
      <c r="CP478" s="549">
        <v>0</v>
      </c>
      <c r="CQ478" s="675">
        <v>0</v>
      </c>
      <c r="CR478" s="549">
        <v>0</v>
      </c>
      <c r="CS478" s="675">
        <v>0</v>
      </c>
      <c r="CT478" s="549">
        <v>0</v>
      </c>
      <c r="CU478" s="675">
        <v>0</v>
      </c>
      <c r="CV478" s="549">
        <v>0</v>
      </c>
      <c r="CW478" s="675">
        <v>0</v>
      </c>
      <c r="CX478" s="549">
        <v>0</v>
      </c>
      <c r="CY478" s="675">
        <v>0</v>
      </c>
      <c r="CZ478" s="549">
        <v>0</v>
      </c>
      <c r="DA478" s="675">
        <v>0</v>
      </c>
      <c r="DB478" s="549">
        <v>0</v>
      </c>
      <c r="DC478" s="675">
        <v>0</v>
      </c>
      <c r="DD478" s="549">
        <v>0</v>
      </c>
      <c r="DE478" s="675">
        <v>0</v>
      </c>
      <c r="DF478" s="549">
        <v>0</v>
      </c>
      <c r="DG478" s="675">
        <v>0</v>
      </c>
      <c r="DH478" s="549">
        <v>0</v>
      </c>
      <c r="DI478" s="675">
        <v>0</v>
      </c>
      <c r="DJ478" s="549">
        <v>0</v>
      </c>
      <c r="DK478" s="675">
        <v>0</v>
      </c>
      <c r="DL478" s="549">
        <v>0</v>
      </c>
      <c r="DM478" s="675">
        <v>0</v>
      </c>
      <c r="DN478" s="549">
        <v>0</v>
      </c>
      <c r="DO478" s="675">
        <v>0</v>
      </c>
      <c r="DP478" s="549">
        <v>0</v>
      </c>
      <c r="DQ478" s="675">
        <v>0</v>
      </c>
      <c r="DR478" s="549">
        <v>0</v>
      </c>
      <c r="DS478" s="675">
        <v>0</v>
      </c>
      <c r="DT478" s="549">
        <v>0</v>
      </c>
      <c r="DU478" s="675">
        <v>0</v>
      </c>
      <c r="DV478" s="549">
        <v>0</v>
      </c>
      <c r="DW478" s="675">
        <v>0</v>
      </c>
      <c r="DX478" s="549">
        <v>0</v>
      </c>
      <c r="DY478" s="675">
        <v>0</v>
      </c>
      <c r="DZ478" s="549">
        <v>0</v>
      </c>
      <c r="EA478" s="675">
        <v>0</v>
      </c>
      <c r="EB478" s="549">
        <v>0</v>
      </c>
      <c r="EC478" s="675">
        <v>0</v>
      </c>
      <c r="ED478" s="549">
        <v>0</v>
      </c>
      <c r="EE478" s="675">
        <v>0</v>
      </c>
      <c r="EF478" s="549">
        <v>0</v>
      </c>
      <c r="EG478" s="675">
        <v>0</v>
      </c>
      <c r="EH478" s="549">
        <v>0</v>
      </c>
      <c r="EI478" s="675">
        <v>0</v>
      </c>
      <c r="EJ478" s="549">
        <v>0</v>
      </c>
      <c r="EK478" s="675">
        <v>0</v>
      </c>
      <c r="EL478" s="549">
        <v>0</v>
      </c>
      <c r="EM478" s="675">
        <v>0</v>
      </c>
      <c r="EN478" s="549">
        <v>0</v>
      </c>
      <c r="EO478" s="675">
        <v>0</v>
      </c>
      <c r="EP478" s="549">
        <v>0</v>
      </c>
      <c r="EQ478" s="675">
        <v>0</v>
      </c>
      <c r="ER478" s="549">
        <v>0</v>
      </c>
      <c r="ES478" s="675">
        <v>0</v>
      </c>
      <c r="ET478" s="549">
        <v>0</v>
      </c>
      <c r="EU478" s="675">
        <v>0</v>
      </c>
      <c r="EV478" s="549">
        <v>0</v>
      </c>
      <c r="EW478" s="675">
        <v>0</v>
      </c>
      <c r="EX478" s="549">
        <v>0</v>
      </c>
      <c r="EY478" s="675">
        <v>0</v>
      </c>
      <c r="EZ478" s="549">
        <v>0</v>
      </c>
      <c r="FA478" s="675">
        <v>0</v>
      </c>
      <c r="FB478" s="549">
        <v>0</v>
      </c>
      <c r="FC478" s="675">
        <v>0</v>
      </c>
      <c r="FD478" s="549">
        <v>0</v>
      </c>
      <c r="FE478" s="675">
        <v>0</v>
      </c>
      <c r="FF478" s="549">
        <v>0</v>
      </c>
      <c r="FG478" s="675">
        <v>0</v>
      </c>
      <c r="FH478" s="549">
        <v>0</v>
      </c>
      <c r="FI478" s="675">
        <v>0</v>
      </c>
      <c r="FJ478" s="549">
        <v>0</v>
      </c>
      <c r="FK478" s="675">
        <v>0</v>
      </c>
      <c r="FL478" s="549">
        <v>0</v>
      </c>
      <c r="FM478" s="675">
        <v>-1612</v>
      </c>
      <c r="FN478" s="549">
        <v>0</v>
      </c>
      <c r="FO478" s="675">
        <v>0</v>
      </c>
      <c r="FP478" s="549">
        <v>0</v>
      </c>
      <c r="FQ478" s="675">
        <v>0</v>
      </c>
      <c r="FR478" s="549">
        <v>0</v>
      </c>
      <c r="FS478" s="675">
        <v>0</v>
      </c>
      <c r="FT478" s="549">
        <v>0</v>
      </c>
      <c r="FU478" s="675">
        <v>0</v>
      </c>
      <c r="FV478" s="549">
        <v>0</v>
      </c>
      <c r="FW478" s="675">
        <v>0</v>
      </c>
      <c r="FX478" s="549">
        <v>0</v>
      </c>
      <c r="FY478" s="675">
        <v>0</v>
      </c>
      <c r="FZ478" s="549">
        <v>0</v>
      </c>
      <c r="GA478" s="675">
        <v>0</v>
      </c>
      <c r="GB478" s="549">
        <v>0</v>
      </c>
      <c r="GC478" s="675">
        <v>0</v>
      </c>
      <c r="GD478" s="549">
        <v>0</v>
      </c>
      <c r="GE478" s="675">
        <v>0</v>
      </c>
      <c r="GF478" s="549">
        <v>0</v>
      </c>
      <c r="GG478" s="675">
        <v>0</v>
      </c>
      <c r="GH478" s="549">
        <v>0</v>
      </c>
      <c r="GI478" s="675">
        <v>0</v>
      </c>
      <c r="GJ478" s="549">
        <v>0</v>
      </c>
      <c r="GK478" s="675">
        <v>0</v>
      </c>
      <c r="GL478" s="549">
        <v>0</v>
      </c>
      <c r="GM478" s="675">
        <v>0</v>
      </c>
      <c r="GN478" s="549">
        <v>0</v>
      </c>
      <c r="GO478" s="675">
        <v>0</v>
      </c>
      <c r="GP478" s="549">
        <f t="shared" si="11868"/>
        <v>0</v>
      </c>
      <c r="GQ478" s="675">
        <f t="shared" si="11869"/>
        <v>-6612</v>
      </c>
      <c r="GR478" s="74">
        <f t="shared" si="11857"/>
        <v>2988</v>
      </c>
      <c r="GS478" s="74">
        <f t="shared" si="11870"/>
        <v>2988</v>
      </c>
      <c r="GT478" s="568">
        <f t="shared" si="11859"/>
        <v>2988</v>
      </c>
      <c r="GU478" s="275">
        <v>4800</v>
      </c>
      <c r="GV478" s="275"/>
      <c r="GW478" s="275"/>
      <c r="GX478" s="275">
        <v>4800</v>
      </c>
      <c r="GY478" s="275"/>
      <c r="GZ478" s="275"/>
      <c r="HA478" s="275"/>
      <c r="HB478" s="275"/>
      <c r="HC478" s="275"/>
      <c r="HD478" s="275"/>
      <c r="HE478" s="275">
        <v>0</v>
      </c>
      <c r="HF478" s="275">
        <v>0</v>
      </c>
      <c r="HG478" s="74">
        <f t="shared" si="11860"/>
        <v>2988</v>
      </c>
      <c r="HH478" s="89">
        <v>4800</v>
      </c>
      <c r="HI478" s="817">
        <v>0</v>
      </c>
      <c r="HJ478" s="89">
        <v>0</v>
      </c>
      <c r="HK478" s="817">
        <v>0</v>
      </c>
      <c r="HL478" s="89">
        <v>-3000</v>
      </c>
      <c r="HM478" s="817">
        <v>0</v>
      </c>
      <c r="HN478" s="89">
        <v>2000</v>
      </c>
      <c r="HO478" s="817">
        <v>0</v>
      </c>
      <c r="HP478" s="89">
        <v>2000</v>
      </c>
      <c r="HQ478" s="817">
        <v>0</v>
      </c>
      <c r="HR478" s="89">
        <v>0</v>
      </c>
      <c r="HS478" s="817">
        <v>0</v>
      </c>
      <c r="HT478" s="89">
        <v>-1200</v>
      </c>
      <c r="HU478" s="817">
        <v>0</v>
      </c>
      <c r="HV478" s="89">
        <v>0</v>
      </c>
      <c r="HW478" s="817">
        <v>0</v>
      </c>
      <c r="HX478" s="89">
        <v>0</v>
      </c>
      <c r="HY478" s="817">
        <v>0</v>
      </c>
      <c r="HZ478" s="89">
        <v>-1612</v>
      </c>
      <c r="IA478" s="817">
        <v>0</v>
      </c>
      <c r="IB478" s="89">
        <v>0</v>
      </c>
      <c r="IC478" s="817">
        <v>0</v>
      </c>
      <c r="ID478" s="89">
        <v>0</v>
      </c>
      <c r="IE478" s="817">
        <v>0</v>
      </c>
      <c r="IF478" s="841">
        <f t="shared" si="11861"/>
        <v>2987.97</v>
      </c>
      <c r="IG478" s="263">
        <f t="shared" si="11862"/>
        <v>2987.97</v>
      </c>
      <c r="IH478" s="842">
        <f t="shared" si="11863"/>
        <v>2987.97</v>
      </c>
      <c r="II478" s="89">
        <v>0</v>
      </c>
      <c r="IJ478" s="89">
        <f t="shared" si="11871"/>
        <v>0</v>
      </c>
      <c r="IK478" s="89">
        <f t="shared" si="11872"/>
        <v>0</v>
      </c>
      <c r="IL478" s="89">
        <v>4.3</v>
      </c>
      <c r="IM478" s="89">
        <f t="shared" si="11873"/>
        <v>4.3</v>
      </c>
      <c r="IN478" s="89">
        <f t="shared" si="11874"/>
        <v>4.3</v>
      </c>
      <c r="IO478" s="89">
        <f>8.28-4.3</f>
        <v>3.9799999999999995</v>
      </c>
      <c r="IP478" s="89">
        <f t="shared" si="11875"/>
        <v>3.9799999999999995</v>
      </c>
      <c r="IQ478" s="89">
        <f t="shared" si="11876"/>
        <v>3.9799999999999995</v>
      </c>
      <c r="IR478" s="89">
        <f>412.63-8.28</f>
        <v>404.35</v>
      </c>
      <c r="IS478" s="89">
        <f t="shared" si="11877"/>
        <v>404.35</v>
      </c>
      <c r="IT478" s="89">
        <f t="shared" si="11878"/>
        <v>404.35</v>
      </c>
      <c r="IU478" s="89">
        <f>1699.58-412.63</f>
        <v>1286.9499999999998</v>
      </c>
      <c r="IV478" s="89">
        <f t="shared" si="11879"/>
        <v>1286.9499999999998</v>
      </c>
      <c r="IW478" s="89">
        <f t="shared" si="11880"/>
        <v>1286.9499999999998</v>
      </c>
      <c r="IX478" s="89">
        <f>1845.98-1699.58</f>
        <v>146.40000000000009</v>
      </c>
      <c r="IY478" s="89">
        <f t="shared" si="11881"/>
        <v>146.40000000000009</v>
      </c>
      <c r="IZ478" s="89">
        <f t="shared" si="11882"/>
        <v>146.40000000000009</v>
      </c>
      <c r="JA478" s="89">
        <f>2844.62-1845.98</f>
        <v>998.63999999999987</v>
      </c>
      <c r="JB478" s="89">
        <f t="shared" si="11883"/>
        <v>998.63999999999987</v>
      </c>
      <c r="JC478" s="89">
        <f t="shared" si="11884"/>
        <v>998.63999999999987</v>
      </c>
      <c r="JD478" s="89">
        <f>2987.97-2844.62</f>
        <v>143.34999999999991</v>
      </c>
      <c r="JE478" s="89">
        <f t="shared" si="11885"/>
        <v>143.34999999999991</v>
      </c>
      <c r="JF478" s="89">
        <f t="shared" si="11886"/>
        <v>143.34999999999991</v>
      </c>
      <c r="JG478" s="89">
        <v>0</v>
      </c>
      <c r="JH478" s="89">
        <f t="shared" si="11887"/>
        <v>0</v>
      </c>
      <c r="JI478" s="89">
        <f t="shared" si="11888"/>
        <v>0</v>
      </c>
      <c r="JJ478" s="89">
        <v>0</v>
      </c>
      <c r="JK478" s="89">
        <f t="shared" si="11889"/>
        <v>0</v>
      </c>
      <c r="JL478" s="89">
        <f t="shared" si="11890"/>
        <v>0</v>
      </c>
      <c r="JM478" s="89">
        <v>0</v>
      </c>
      <c r="JN478" s="89">
        <f t="shared" si="11891"/>
        <v>0</v>
      </c>
      <c r="JO478" s="89">
        <f t="shared" si="11892"/>
        <v>0</v>
      </c>
      <c r="JP478" s="89">
        <v>0</v>
      </c>
      <c r="JQ478" s="89">
        <f t="shared" ref="JQ478:JR478" si="11897">JP478</f>
        <v>0</v>
      </c>
      <c r="JR478" s="89">
        <f t="shared" si="11897"/>
        <v>0</v>
      </c>
      <c r="JS478" s="74">
        <f t="shared" si="11864"/>
        <v>3.0000000000200089E-2</v>
      </c>
      <c r="JT478" s="382">
        <f t="shared" si="11865"/>
        <v>3.0000000000200089E-2</v>
      </c>
      <c r="JU478" s="665"/>
      <c r="JV478" s="524"/>
      <c r="JW478" s="525"/>
      <c r="JX478" s="549">
        <f t="shared" si="11866"/>
        <v>2988</v>
      </c>
      <c r="JY478" s="549">
        <f t="shared" si="11867"/>
        <v>0</v>
      </c>
      <c r="JZ478" s="581">
        <f t="shared" si="11276"/>
        <v>0</v>
      </c>
      <c r="KA478" s="581">
        <f t="shared" si="11277"/>
        <v>-6612</v>
      </c>
      <c r="KB478" s="549">
        <f t="shared" si="11273"/>
        <v>2988</v>
      </c>
      <c r="KC478" s="709">
        <f t="shared" si="11275"/>
        <v>0</v>
      </c>
      <c r="KD478" s="36"/>
      <c r="KE478" s="36"/>
      <c r="KF478" s="36"/>
      <c r="KG478" s="36"/>
      <c r="KH478" s="36"/>
      <c r="KI478" s="36"/>
      <c r="KJ478" s="36"/>
      <c r="KK478" s="36"/>
    </row>
    <row r="479" spans="1:297" s="10" customFormat="1">
      <c r="A479" s="86" t="s">
        <v>288</v>
      </c>
      <c r="B479" s="77" t="s">
        <v>172</v>
      </c>
      <c r="C479" s="74">
        <v>2100</v>
      </c>
      <c r="D479" s="549">
        <v>0</v>
      </c>
      <c r="E479" s="675">
        <v>0</v>
      </c>
      <c r="F479" s="549">
        <v>0</v>
      </c>
      <c r="G479" s="675">
        <v>0</v>
      </c>
      <c r="H479" s="549">
        <v>0</v>
      </c>
      <c r="I479" s="675">
        <v>0</v>
      </c>
      <c r="J479" s="549">
        <v>0</v>
      </c>
      <c r="K479" s="675">
        <v>0</v>
      </c>
      <c r="L479" s="549">
        <v>0</v>
      </c>
      <c r="M479" s="675">
        <v>0</v>
      </c>
      <c r="N479" s="549">
        <v>0</v>
      </c>
      <c r="O479" s="675">
        <v>0</v>
      </c>
      <c r="P479" s="549">
        <v>0</v>
      </c>
      <c r="Q479" s="675">
        <v>0</v>
      </c>
      <c r="R479" s="549">
        <v>0</v>
      </c>
      <c r="S479" s="675">
        <v>0</v>
      </c>
      <c r="T479" s="549">
        <v>0</v>
      </c>
      <c r="U479" s="675">
        <v>0</v>
      </c>
      <c r="V479" s="549">
        <v>0</v>
      </c>
      <c r="W479" s="675">
        <v>0</v>
      </c>
      <c r="X479" s="549">
        <v>0</v>
      </c>
      <c r="Y479" s="675">
        <v>0</v>
      </c>
      <c r="Z479" s="549">
        <v>0</v>
      </c>
      <c r="AA479" s="675">
        <v>0</v>
      </c>
      <c r="AB479" s="549">
        <v>0</v>
      </c>
      <c r="AC479" s="675">
        <v>0</v>
      </c>
      <c r="AD479" s="549">
        <v>0</v>
      </c>
      <c r="AE479" s="675">
        <v>0</v>
      </c>
      <c r="AF479" s="549">
        <v>0</v>
      </c>
      <c r="AG479" s="675">
        <v>0</v>
      </c>
      <c r="AH479" s="549">
        <v>0</v>
      </c>
      <c r="AI479" s="675">
        <v>0</v>
      </c>
      <c r="AJ479" s="549">
        <v>0</v>
      </c>
      <c r="AK479" s="675">
        <v>0</v>
      </c>
      <c r="AL479" s="549">
        <v>0</v>
      </c>
      <c r="AM479" s="675">
        <v>0</v>
      </c>
      <c r="AN479" s="549">
        <v>0</v>
      </c>
      <c r="AO479" s="675">
        <v>0</v>
      </c>
      <c r="AP479" s="549">
        <v>0</v>
      </c>
      <c r="AQ479" s="675">
        <v>0</v>
      </c>
      <c r="AR479" s="549">
        <v>0</v>
      </c>
      <c r="AS479" s="675">
        <v>0</v>
      </c>
      <c r="AT479" s="549">
        <v>0</v>
      </c>
      <c r="AU479" s="675">
        <v>0</v>
      </c>
      <c r="AV479" s="549">
        <v>0</v>
      </c>
      <c r="AW479" s="675">
        <v>0</v>
      </c>
      <c r="AX479" s="549">
        <v>0</v>
      </c>
      <c r="AY479" s="675">
        <v>0</v>
      </c>
      <c r="AZ479" s="549">
        <v>0</v>
      </c>
      <c r="BA479" s="675">
        <v>0</v>
      </c>
      <c r="BB479" s="549">
        <v>0</v>
      </c>
      <c r="BC479" s="675">
        <v>0</v>
      </c>
      <c r="BD479" s="549">
        <v>0</v>
      </c>
      <c r="BE479" s="675">
        <v>0</v>
      </c>
      <c r="BF479" s="549">
        <v>0</v>
      </c>
      <c r="BG479" s="675">
        <v>0</v>
      </c>
      <c r="BH479" s="549">
        <v>0</v>
      </c>
      <c r="BI479" s="675">
        <v>0</v>
      </c>
      <c r="BJ479" s="549">
        <v>0</v>
      </c>
      <c r="BK479" s="675">
        <v>0</v>
      </c>
      <c r="BL479" s="549">
        <v>0</v>
      </c>
      <c r="BM479" s="675">
        <v>0</v>
      </c>
      <c r="BN479" s="549">
        <v>0</v>
      </c>
      <c r="BO479" s="675">
        <v>0</v>
      </c>
      <c r="BP479" s="549">
        <v>0</v>
      </c>
      <c r="BQ479" s="675">
        <v>0</v>
      </c>
      <c r="BR479" s="549">
        <v>0</v>
      </c>
      <c r="BS479" s="675">
        <v>0</v>
      </c>
      <c r="BT479" s="549">
        <v>0</v>
      </c>
      <c r="BU479" s="675">
        <v>0</v>
      </c>
      <c r="BV479" s="549">
        <v>0</v>
      </c>
      <c r="BW479" s="675">
        <v>0</v>
      </c>
      <c r="BX479" s="549">
        <v>0</v>
      </c>
      <c r="BY479" s="675">
        <v>0</v>
      </c>
      <c r="BZ479" s="549">
        <v>0</v>
      </c>
      <c r="CA479" s="675">
        <v>0</v>
      </c>
      <c r="CB479" s="549">
        <v>0</v>
      </c>
      <c r="CC479" s="675">
        <v>0</v>
      </c>
      <c r="CD479" s="549">
        <v>0</v>
      </c>
      <c r="CE479" s="675">
        <v>0</v>
      </c>
      <c r="CF479" s="549">
        <v>0</v>
      </c>
      <c r="CG479" s="675">
        <v>0</v>
      </c>
      <c r="CH479" s="549">
        <v>0</v>
      </c>
      <c r="CI479" s="675">
        <v>0</v>
      </c>
      <c r="CJ479" s="549">
        <v>0</v>
      </c>
      <c r="CK479" s="675">
        <v>-2000</v>
      </c>
      <c r="CL479" s="549">
        <v>0</v>
      </c>
      <c r="CM479" s="675">
        <v>0</v>
      </c>
      <c r="CN479" s="549">
        <v>0</v>
      </c>
      <c r="CO479" s="675">
        <v>0</v>
      </c>
      <c r="CP479" s="549">
        <v>0</v>
      </c>
      <c r="CQ479" s="675">
        <v>0</v>
      </c>
      <c r="CR479" s="549">
        <v>0</v>
      </c>
      <c r="CS479" s="675">
        <v>0</v>
      </c>
      <c r="CT479" s="549">
        <v>0</v>
      </c>
      <c r="CU479" s="675">
        <v>0</v>
      </c>
      <c r="CV479" s="549">
        <v>0</v>
      </c>
      <c r="CW479" s="675">
        <v>0</v>
      </c>
      <c r="CX479" s="549">
        <v>0</v>
      </c>
      <c r="CY479" s="675">
        <v>0</v>
      </c>
      <c r="CZ479" s="549">
        <v>0</v>
      </c>
      <c r="DA479" s="675">
        <v>0</v>
      </c>
      <c r="DB479" s="549">
        <v>0</v>
      </c>
      <c r="DC479" s="675">
        <v>0</v>
      </c>
      <c r="DD479" s="549">
        <v>0</v>
      </c>
      <c r="DE479" s="675">
        <v>0</v>
      </c>
      <c r="DF479" s="549">
        <v>0</v>
      </c>
      <c r="DG479" s="675">
        <v>0</v>
      </c>
      <c r="DH479" s="549">
        <v>0</v>
      </c>
      <c r="DI479" s="675">
        <v>0</v>
      </c>
      <c r="DJ479" s="549">
        <v>0</v>
      </c>
      <c r="DK479" s="675">
        <v>0</v>
      </c>
      <c r="DL479" s="549">
        <v>0</v>
      </c>
      <c r="DM479" s="675">
        <v>0</v>
      </c>
      <c r="DN479" s="549">
        <v>0</v>
      </c>
      <c r="DO479" s="675">
        <v>0</v>
      </c>
      <c r="DP479" s="549">
        <v>0</v>
      </c>
      <c r="DQ479" s="675">
        <v>0</v>
      </c>
      <c r="DR479" s="549">
        <v>0</v>
      </c>
      <c r="DS479" s="675">
        <v>0</v>
      </c>
      <c r="DT479" s="549">
        <v>0</v>
      </c>
      <c r="DU479" s="675">
        <v>0</v>
      </c>
      <c r="DV479" s="549">
        <v>0</v>
      </c>
      <c r="DW479" s="675">
        <v>0</v>
      </c>
      <c r="DX479" s="549">
        <v>0</v>
      </c>
      <c r="DY479" s="675">
        <v>0</v>
      </c>
      <c r="DZ479" s="549">
        <v>0</v>
      </c>
      <c r="EA479" s="675">
        <v>0</v>
      </c>
      <c r="EB479" s="549">
        <v>0</v>
      </c>
      <c r="EC479" s="675">
        <v>0</v>
      </c>
      <c r="ED479" s="549">
        <v>0</v>
      </c>
      <c r="EE479" s="675">
        <v>0</v>
      </c>
      <c r="EF479" s="549">
        <v>0</v>
      </c>
      <c r="EG479" s="675">
        <v>0</v>
      </c>
      <c r="EH479" s="549">
        <v>0</v>
      </c>
      <c r="EI479" s="675">
        <v>0</v>
      </c>
      <c r="EJ479" s="549">
        <v>0</v>
      </c>
      <c r="EK479" s="675">
        <v>0</v>
      </c>
      <c r="EL479" s="549">
        <v>0</v>
      </c>
      <c r="EM479" s="675">
        <v>0</v>
      </c>
      <c r="EN479" s="549">
        <v>0</v>
      </c>
      <c r="EO479" s="675">
        <v>0</v>
      </c>
      <c r="EP479" s="549">
        <v>0</v>
      </c>
      <c r="EQ479" s="675">
        <v>0</v>
      </c>
      <c r="ER479" s="549">
        <v>0</v>
      </c>
      <c r="ES479" s="675">
        <v>0</v>
      </c>
      <c r="ET479" s="549">
        <v>0</v>
      </c>
      <c r="EU479" s="675">
        <v>0</v>
      </c>
      <c r="EV479" s="549">
        <v>0</v>
      </c>
      <c r="EW479" s="675">
        <v>0</v>
      </c>
      <c r="EX479" s="549">
        <v>0</v>
      </c>
      <c r="EY479" s="675">
        <v>0</v>
      </c>
      <c r="EZ479" s="549">
        <v>0</v>
      </c>
      <c r="FA479" s="675">
        <v>0</v>
      </c>
      <c r="FB479" s="549">
        <v>0</v>
      </c>
      <c r="FC479" s="675">
        <v>0</v>
      </c>
      <c r="FD479" s="549">
        <v>0</v>
      </c>
      <c r="FE479" s="675">
        <v>0</v>
      </c>
      <c r="FF479" s="549">
        <v>0</v>
      </c>
      <c r="FG479" s="675">
        <v>0</v>
      </c>
      <c r="FH479" s="549">
        <v>0</v>
      </c>
      <c r="FI479" s="675">
        <v>0</v>
      </c>
      <c r="FJ479" s="549">
        <v>0</v>
      </c>
      <c r="FK479" s="675">
        <v>0</v>
      </c>
      <c r="FL479" s="549">
        <v>0</v>
      </c>
      <c r="FM479" s="675">
        <v>0</v>
      </c>
      <c r="FN479" s="549">
        <v>0</v>
      </c>
      <c r="FO479" s="675">
        <v>0</v>
      </c>
      <c r="FP479" s="549">
        <v>0</v>
      </c>
      <c r="FQ479" s="675">
        <v>0</v>
      </c>
      <c r="FR479" s="549">
        <v>0</v>
      </c>
      <c r="FS479" s="675">
        <v>-100</v>
      </c>
      <c r="FT479" s="549">
        <v>0</v>
      </c>
      <c r="FU479" s="675">
        <v>0</v>
      </c>
      <c r="FV479" s="549">
        <v>0</v>
      </c>
      <c r="FW479" s="675">
        <v>0</v>
      </c>
      <c r="FX479" s="549">
        <v>0</v>
      </c>
      <c r="FY479" s="675">
        <v>0</v>
      </c>
      <c r="FZ479" s="549">
        <v>0</v>
      </c>
      <c r="GA479" s="675">
        <v>0</v>
      </c>
      <c r="GB479" s="549">
        <v>0</v>
      </c>
      <c r="GC479" s="675">
        <v>0</v>
      </c>
      <c r="GD479" s="549">
        <v>0</v>
      </c>
      <c r="GE479" s="675">
        <v>0</v>
      </c>
      <c r="GF479" s="549">
        <v>0</v>
      </c>
      <c r="GG479" s="675">
        <v>0</v>
      </c>
      <c r="GH479" s="549">
        <v>0</v>
      </c>
      <c r="GI479" s="675">
        <v>0</v>
      </c>
      <c r="GJ479" s="549">
        <v>0</v>
      </c>
      <c r="GK479" s="675">
        <v>0</v>
      </c>
      <c r="GL479" s="549">
        <v>0</v>
      </c>
      <c r="GM479" s="675">
        <v>0</v>
      </c>
      <c r="GN479" s="549">
        <v>0</v>
      </c>
      <c r="GO479" s="675">
        <v>0</v>
      </c>
      <c r="GP479" s="549">
        <f t="shared" si="11868"/>
        <v>0</v>
      </c>
      <c r="GQ479" s="675">
        <f t="shared" si="11869"/>
        <v>-2100</v>
      </c>
      <c r="GR479" s="74">
        <f t="shared" si="11857"/>
        <v>0</v>
      </c>
      <c r="GS479" s="74">
        <f t="shared" si="11870"/>
        <v>0</v>
      </c>
      <c r="GT479" s="568">
        <f t="shared" si="11859"/>
        <v>0</v>
      </c>
      <c r="GU479" s="275"/>
      <c r="GV479" s="275"/>
      <c r="GW479" s="275">
        <v>2100</v>
      </c>
      <c r="GX479" s="275"/>
      <c r="GY479" s="275"/>
      <c r="GZ479" s="275"/>
      <c r="HA479" s="275"/>
      <c r="HB479" s="275"/>
      <c r="HC479" s="275"/>
      <c r="HD479" s="275"/>
      <c r="HE479" s="275">
        <v>0</v>
      </c>
      <c r="HF479" s="275">
        <v>0</v>
      </c>
      <c r="HG479" s="74">
        <f t="shared" si="11860"/>
        <v>0</v>
      </c>
      <c r="HH479" s="89">
        <v>0</v>
      </c>
      <c r="HI479" s="817">
        <v>0</v>
      </c>
      <c r="HJ479" s="89">
        <v>0</v>
      </c>
      <c r="HK479" s="817">
        <v>0</v>
      </c>
      <c r="HL479" s="89">
        <v>0</v>
      </c>
      <c r="HM479" s="817">
        <v>0</v>
      </c>
      <c r="HN479" s="89">
        <v>0</v>
      </c>
      <c r="HO479" s="817">
        <v>0</v>
      </c>
      <c r="HP479" s="89">
        <v>0</v>
      </c>
      <c r="HQ479" s="817">
        <v>0</v>
      </c>
      <c r="HR479" s="89">
        <v>0</v>
      </c>
      <c r="HS479" s="817">
        <v>0</v>
      </c>
      <c r="HT479" s="89">
        <v>0</v>
      </c>
      <c r="HU479" s="817">
        <v>0</v>
      </c>
      <c r="HV479" s="89">
        <v>0</v>
      </c>
      <c r="HW479" s="817">
        <v>0</v>
      </c>
      <c r="HX479" s="89">
        <v>0</v>
      </c>
      <c r="HY479" s="817">
        <v>0</v>
      </c>
      <c r="HZ479" s="89">
        <v>0</v>
      </c>
      <c r="IA479" s="817">
        <v>0</v>
      </c>
      <c r="IB479" s="89">
        <v>0</v>
      </c>
      <c r="IC479" s="817">
        <v>0</v>
      </c>
      <c r="ID479" s="89">
        <v>0</v>
      </c>
      <c r="IE479" s="817">
        <v>0</v>
      </c>
      <c r="IF479" s="841">
        <f t="shared" si="11861"/>
        <v>0</v>
      </c>
      <c r="IG479" s="263">
        <f t="shared" si="11862"/>
        <v>0</v>
      </c>
      <c r="IH479" s="842">
        <f t="shared" si="11863"/>
        <v>0</v>
      </c>
      <c r="II479" s="89">
        <v>0</v>
      </c>
      <c r="IJ479" s="89">
        <f t="shared" si="11871"/>
        <v>0</v>
      </c>
      <c r="IK479" s="89">
        <f t="shared" si="11872"/>
        <v>0</v>
      </c>
      <c r="IL479" s="89">
        <v>0</v>
      </c>
      <c r="IM479" s="89">
        <f t="shared" si="11873"/>
        <v>0</v>
      </c>
      <c r="IN479" s="89">
        <f t="shared" si="11874"/>
        <v>0</v>
      </c>
      <c r="IO479" s="89">
        <v>0</v>
      </c>
      <c r="IP479" s="89">
        <f t="shared" si="11875"/>
        <v>0</v>
      </c>
      <c r="IQ479" s="89">
        <f t="shared" si="11876"/>
        <v>0</v>
      </c>
      <c r="IR479" s="89">
        <v>0</v>
      </c>
      <c r="IS479" s="89">
        <f t="shared" si="11877"/>
        <v>0</v>
      </c>
      <c r="IT479" s="89">
        <f t="shared" si="11878"/>
        <v>0</v>
      </c>
      <c r="IU479" s="89">
        <v>0</v>
      </c>
      <c r="IV479" s="89">
        <f t="shared" si="11879"/>
        <v>0</v>
      </c>
      <c r="IW479" s="89">
        <f t="shared" si="11880"/>
        <v>0</v>
      </c>
      <c r="IX479" s="89">
        <v>0</v>
      </c>
      <c r="IY479" s="89">
        <f t="shared" si="11881"/>
        <v>0</v>
      </c>
      <c r="IZ479" s="89">
        <f t="shared" si="11882"/>
        <v>0</v>
      </c>
      <c r="JA479" s="89">
        <v>0</v>
      </c>
      <c r="JB479" s="89">
        <f t="shared" si="11883"/>
        <v>0</v>
      </c>
      <c r="JC479" s="89">
        <f t="shared" si="11884"/>
        <v>0</v>
      </c>
      <c r="JD479" s="89">
        <v>0</v>
      </c>
      <c r="JE479" s="89">
        <f t="shared" si="11885"/>
        <v>0</v>
      </c>
      <c r="JF479" s="89">
        <f t="shared" si="11886"/>
        <v>0</v>
      </c>
      <c r="JG479" s="89">
        <v>0</v>
      </c>
      <c r="JH479" s="89">
        <f t="shared" si="11887"/>
        <v>0</v>
      </c>
      <c r="JI479" s="89">
        <f t="shared" si="11888"/>
        <v>0</v>
      </c>
      <c r="JJ479" s="89">
        <v>0</v>
      </c>
      <c r="JK479" s="89">
        <f t="shared" si="11889"/>
        <v>0</v>
      </c>
      <c r="JL479" s="89">
        <f t="shared" si="11890"/>
        <v>0</v>
      </c>
      <c r="JM479" s="89">
        <v>0</v>
      </c>
      <c r="JN479" s="89">
        <f t="shared" si="11891"/>
        <v>0</v>
      </c>
      <c r="JO479" s="89">
        <f t="shared" si="11892"/>
        <v>0</v>
      </c>
      <c r="JP479" s="89">
        <v>0</v>
      </c>
      <c r="JQ479" s="89">
        <f t="shared" ref="JQ479:JR479" si="11898">JP479</f>
        <v>0</v>
      </c>
      <c r="JR479" s="89">
        <f t="shared" si="11898"/>
        <v>0</v>
      </c>
      <c r="JS479" s="74">
        <f t="shared" si="11864"/>
        <v>0</v>
      </c>
      <c r="JT479" s="382">
        <f t="shared" si="11865"/>
        <v>0</v>
      </c>
      <c r="JU479" s="665"/>
      <c r="JV479" s="524"/>
      <c r="JW479" s="525"/>
      <c r="JX479" s="549">
        <f t="shared" si="11866"/>
        <v>0</v>
      </c>
      <c r="JY479" s="549">
        <f t="shared" si="11867"/>
        <v>0</v>
      </c>
      <c r="JZ479" s="581">
        <f t="shared" si="11276"/>
        <v>0</v>
      </c>
      <c r="KA479" s="581">
        <f t="shared" si="11277"/>
        <v>-2100</v>
      </c>
      <c r="KB479" s="549">
        <f t="shared" si="11273"/>
        <v>0</v>
      </c>
      <c r="KC479" s="709">
        <f t="shared" si="11275"/>
        <v>0</v>
      </c>
      <c r="KD479" s="36"/>
      <c r="KE479" s="36"/>
      <c r="KF479" s="36"/>
      <c r="KG479" s="36"/>
      <c r="KH479" s="36"/>
      <c r="KI479" s="36"/>
      <c r="KJ479" s="36"/>
      <c r="KK479" s="36"/>
    </row>
    <row r="480" spans="1:297" s="10" customFormat="1">
      <c r="A480" s="86" t="s">
        <v>289</v>
      </c>
      <c r="B480" s="77" t="s">
        <v>174</v>
      </c>
      <c r="C480" s="74">
        <v>41200</v>
      </c>
      <c r="D480" s="549">
        <v>0</v>
      </c>
      <c r="E480" s="675">
        <v>0</v>
      </c>
      <c r="F480" s="549">
        <v>0</v>
      </c>
      <c r="G480" s="675">
        <v>0</v>
      </c>
      <c r="H480" s="549">
        <v>0</v>
      </c>
      <c r="I480" s="675">
        <v>0</v>
      </c>
      <c r="J480" s="549">
        <v>0</v>
      </c>
      <c r="K480" s="675">
        <v>0</v>
      </c>
      <c r="L480" s="549">
        <v>0</v>
      </c>
      <c r="M480" s="675">
        <v>0</v>
      </c>
      <c r="N480" s="549">
        <v>0</v>
      </c>
      <c r="O480" s="675">
        <v>0</v>
      </c>
      <c r="P480" s="549">
        <v>0</v>
      </c>
      <c r="Q480" s="675">
        <v>0</v>
      </c>
      <c r="R480" s="549">
        <v>0</v>
      </c>
      <c r="S480" s="675">
        <v>0</v>
      </c>
      <c r="T480" s="549">
        <v>0</v>
      </c>
      <c r="U480" s="675">
        <v>0</v>
      </c>
      <c r="V480" s="549">
        <v>0</v>
      </c>
      <c r="W480" s="675">
        <v>-3000</v>
      </c>
      <c r="X480" s="549">
        <v>0</v>
      </c>
      <c r="Y480" s="675">
        <v>0</v>
      </c>
      <c r="Z480" s="549">
        <v>0</v>
      </c>
      <c r="AA480" s="675">
        <v>0</v>
      </c>
      <c r="AB480" s="549">
        <v>0</v>
      </c>
      <c r="AC480" s="675">
        <v>0</v>
      </c>
      <c r="AD480" s="549">
        <v>0</v>
      </c>
      <c r="AE480" s="675">
        <v>0</v>
      </c>
      <c r="AF480" s="549">
        <v>0</v>
      </c>
      <c r="AG480" s="675">
        <v>0</v>
      </c>
      <c r="AH480" s="549">
        <v>0</v>
      </c>
      <c r="AI480" s="675">
        <v>0</v>
      </c>
      <c r="AJ480" s="549">
        <v>0</v>
      </c>
      <c r="AK480" s="675">
        <v>0</v>
      </c>
      <c r="AL480" s="549">
        <v>0</v>
      </c>
      <c r="AM480" s="675">
        <v>0</v>
      </c>
      <c r="AN480" s="549">
        <v>0</v>
      </c>
      <c r="AO480" s="675">
        <v>0</v>
      </c>
      <c r="AP480" s="549">
        <v>0</v>
      </c>
      <c r="AQ480" s="675">
        <v>0</v>
      </c>
      <c r="AR480" s="549">
        <v>0</v>
      </c>
      <c r="AS480" s="675">
        <v>0</v>
      </c>
      <c r="AT480" s="549">
        <v>0</v>
      </c>
      <c r="AU480" s="675">
        <v>0</v>
      </c>
      <c r="AV480" s="549">
        <v>0</v>
      </c>
      <c r="AW480" s="675">
        <v>0</v>
      </c>
      <c r="AX480" s="549">
        <v>0</v>
      </c>
      <c r="AY480" s="675">
        <v>0</v>
      </c>
      <c r="AZ480" s="549">
        <v>0</v>
      </c>
      <c r="BA480" s="675">
        <v>0</v>
      </c>
      <c r="BB480" s="549">
        <v>0</v>
      </c>
      <c r="BC480" s="675">
        <v>0</v>
      </c>
      <c r="BD480" s="549">
        <v>0</v>
      </c>
      <c r="BE480" s="675">
        <v>0</v>
      </c>
      <c r="BF480" s="549">
        <v>0</v>
      </c>
      <c r="BG480" s="675">
        <v>0</v>
      </c>
      <c r="BH480" s="549">
        <v>0</v>
      </c>
      <c r="BI480" s="675">
        <v>0</v>
      </c>
      <c r="BJ480" s="549">
        <v>0</v>
      </c>
      <c r="BK480" s="675">
        <v>0</v>
      </c>
      <c r="BL480" s="549">
        <v>0</v>
      </c>
      <c r="BM480" s="675">
        <v>0</v>
      </c>
      <c r="BN480" s="549">
        <v>0</v>
      </c>
      <c r="BO480" s="675">
        <v>0</v>
      </c>
      <c r="BP480" s="549">
        <v>0</v>
      </c>
      <c r="BQ480" s="675">
        <v>0</v>
      </c>
      <c r="BR480" s="549">
        <v>0</v>
      </c>
      <c r="BS480" s="675">
        <v>0</v>
      </c>
      <c r="BT480" s="549">
        <v>0</v>
      </c>
      <c r="BU480" s="675">
        <v>0</v>
      </c>
      <c r="BV480" s="549">
        <v>0</v>
      </c>
      <c r="BW480" s="675">
        <v>0</v>
      </c>
      <c r="BX480" s="549">
        <v>0</v>
      </c>
      <c r="BY480" s="675">
        <v>0</v>
      </c>
      <c r="BZ480" s="549">
        <v>0</v>
      </c>
      <c r="CA480" s="675">
        <v>0</v>
      </c>
      <c r="CB480" s="549">
        <v>0</v>
      </c>
      <c r="CC480" s="675">
        <v>0</v>
      </c>
      <c r="CD480" s="549">
        <v>0</v>
      </c>
      <c r="CE480" s="675">
        <v>0</v>
      </c>
      <c r="CF480" s="549">
        <v>0</v>
      </c>
      <c r="CG480" s="675">
        <v>0</v>
      </c>
      <c r="CH480" s="549">
        <v>0</v>
      </c>
      <c r="CI480" s="675">
        <v>0</v>
      </c>
      <c r="CJ480" s="549">
        <v>0</v>
      </c>
      <c r="CK480" s="675">
        <v>-7000</v>
      </c>
      <c r="CL480" s="549">
        <v>0</v>
      </c>
      <c r="CM480" s="675">
        <v>0</v>
      </c>
      <c r="CN480" s="549">
        <v>0</v>
      </c>
      <c r="CO480" s="675">
        <v>0</v>
      </c>
      <c r="CP480" s="549">
        <v>0</v>
      </c>
      <c r="CQ480" s="675">
        <v>0</v>
      </c>
      <c r="CR480" s="549">
        <v>0</v>
      </c>
      <c r="CS480" s="675">
        <v>0</v>
      </c>
      <c r="CT480" s="549">
        <v>0</v>
      </c>
      <c r="CU480" s="675">
        <v>0</v>
      </c>
      <c r="CV480" s="549">
        <v>0</v>
      </c>
      <c r="CW480" s="675">
        <v>0</v>
      </c>
      <c r="CX480" s="549">
        <v>0</v>
      </c>
      <c r="CY480" s="675">
        <v>0</v>
      </c>
      <c r="CZ480" s="549">
        <v>0</v>
      </c>
      <c r="DA480" s="675">
        <v>0</v>
      </c>
      <c r="DB480" s="549">
        <v>0</v>
      </c>
      <c r="DC480" s="675">
        <v>0</v>
      </c>
      <c r="DD480" s="549">
        <v>0</v>
      </c>
      <c r="DE480" s="675">
        <v>0</v>
      </c>
      <c r="DF480" s="549">
        <v>0</v>
      </c>
      <c r="DG480" s="675">
        <v>0</v>
      </c>
      <c r="DH480" s="549">
        <v>0</v>
      </c>
      <c r="DI480" s="675">
        <v>0</v>
      </c>
      <c r="DJ480" s="549">
        <v>0</v>
      </c>
      <c r="DK480" s="675">
        <v>0</v>
      </c>
      <c r="DL480" s="549">
        <v>0</v>
      </c>
      <c r="DM480" s="675">
        <v>0</v>
      </c>
      <c r="DN480" s="549">
        <v>0</v>
      </c>
      <c r="DO480" s="675">
        <v>0</v>
      </c>
      <c r="DP480" s="549">
        <v>0</v>
      </c>
      <c r="DQ480" s="675">
        <v>0</v>
      </c>
      <c r="DR480" s="549">
        <v>0</v>
      </c>
      <c r="DS480" s="675">
        <v>0</v>
      </c>
      <c r="DT480" s="549">
        <v>0</v>
      </c>
      <c r="DU480" s="675">
        <v>0</v>
      </c>
      <c r="DV480" s="549">
        <v>0</v>
      </c>
      <c r="DW480" s="675">
        <v>0</v>
      </c>
      <c r="DX480" s="549">
        <v>0</v>
      </c>
      <c r="DY480" s="675">
        <v>0</v>
      </c>
      <c r="DZ480" s="549">
        <v>0</v>
      </c>
      <c r="EA480" s="675">
        <v>0</v>
      </c>
      <c r="EB480" s="549">
        <v>0</v>
      </c>
      <c r="EC480" s="675">
        <v>0</v>
      </c>
      <c r="ED480" s="549">
        <v>0</v>
      </c>
      <c r="EE480" s="675">
        <v>0</v>
      </c>
      <c r="EF480" s="549">
        <v>0</v>
      </c>
      <c r="EG480" s="675">
        <v>0</v>
      </c>
      <c r="EH480" s="549">
        <v>0</v>
      </c>
      <c r="EI480" s="675">
        <v>0</v>
      </c>
      <c r="EJ480" s="549">
        <v>0</v>
      </c>
      <c r="EK480" s="675">
        <v>0</v>
      </c>
      <c r="EL480" s="549">
        <v>0</v>
      </c>
      <c r="EM480" s="675">
        <v>0</v>
      </c>
      <c r="EN480" s="549">
        <v>0</v>
      </c>
      <c r="EO480" s="675">
        <v>0</v>
      </c>
      <c r="EP480" s="549">
        <v>0</v>
      </c>
      <c r="EQ480" s="675">
        <v>0</v>
      </c>
      <c r="ER480" s="549">
        <v>0</v>
      </c>
      <c r="ES480" s="675">
        <v>0</v>
      </c>
      <c r="ET480" s="549">
        <v>0</v>
      </c>
      <c r="EU480" s="675">
        <v>0</v>
      </c>
      <c r="EV480" s="549">
        <v>0</v>
      </c>
      <c r="EW480" s="675">
        <v>0</v>
      </c>
      <c r="EX480" s="549">
        <v>0</v>
      </c>
      <c r="EY480" s="675">
        <v>0</v>
      </c>
      <c r="EZ480" s="549">
        <v>0</v>
      </c>
      <c r="FA480" s="675">
        <v>0</v>
      </c>
      <c r="FB480" s="549">
        <v>0</v>
      </c>
      <c r="FC480" s="675">
        <v>0</v>
      </c>
      <c r="FD480" s="549">
        <v>0</v>
      </c>
      <c r="FE480" s="675">
        <v>0</v>
      </c>
      <c r="FF480" s="549">
        <v>0</v>
      </c>
      <c r="FG480" s="675">
        <v>0</v>
      </c>
      <c r="FH480" s="549">
        <v>0</v>
      </c>
      <c r="FI480" s="675">
        <v>0</v>
      </c>
      <c r="FJ480" s="549">
        <v>0</v>
      </c>
      <c r="FK480" s="675">
        <v>0</v>
      </c>
      <c r="FL480" s="549">
        <v>0</v>
      </c>
      <c r="FM480" s="675">
        <v>0</v>
      </c>
      <c r="FN480" s="549">
        <v>0</v>
      </c>
      <c r="FO480" s="675">
        <v>0</v>
      </c>
      <c r="FP480" s="549">
        <v>0</v>
      </c>
      <c r="FQ480" s="675">
        <v>0</v>
      </c>
      <c r="FR480" s="549">
        <v>0</v>
      </c>
      <c r="FS480" s="675">
        <v>0</v>
      </c>
      <c r="FT480" s="549">
        <v>0</v>
      </c>
      <c r="FU480" s="675">
        <v>0</v>
      </c>
      <c r="FV480" s="549">
        <v>0</v>
      </c>
      <c r="FW480" s="675">
        <v>0</v>
      </c>
      <c r="FX480" s="549">
        <v>0</v>
      </c>
      <c r="FY480" s="675">
        <v>0</v>
      </c>
      <c r="FZ480" s="549">
        <v>0</v>
      </c>
      <c r="GA480" s="675">
        <v>0</v>
      </c>
      <c r="GB480" s="549">
        <v>0</v>
      </c>
      <c r="GC480" s="675">
        <v>0</v>
      </c>
      <c r="GD480" s="549">
        <v>0</v>
      </c>
      <c r="GE480" s="675">
        <v>0</v>
      </c>
      <c r="GF480" s="549">
        <v>0</v>
      </c>
      <c r="GG480" s="675">
        <v>0</v>
      </c>
      <c r="GH480" s="549">
        <v>0</v>
      </c>
      <c r="GI480" s="675">
        <v>0</v>
      </c>
      <c r="GJ480" s="549">
        <v>0</v>
      </c>
      <c r="GK480" s="675">
        <v>0</v>
      </c>
      <c r="GL480" s="549">
        <v>0</v>
      </c>
      <c r="GM480" s="675">
        <v>0</v>
      </c>
      <c r="GN480" s="549">
        <v>0</v>
      </c>
      <c r="GO480" s="675">
        <v>0</v>
      </c>
      <c r="GP480" s="549">
        <f t="shared" si="11868"/>
        <v>0</v>
      </c>
      <c r="GQ480" s="675">
        <f t="shared" si="11869"/>
        <v>-10000</v>
      </c>
      <c r="GR480" s="74">
        <f t="shared" si="11857"/>
        <v>31200</v>
      </c>
      <c r="GS480" s="74">
        <f t="shared" si="11870"/>
        <v>31200</v>
      </c>
      <c r="GT480" s="568">
        <f t="shared" si="11859"/>
        <v>31200</v>
      </c>
      <c r="GU480" s="275">
        <v>4120</v>
      </c>
      <c r="GV480" s="275">
        <v>4120</v>
      </c>
      <c r="GW480" s="275">
        <v>4120</v>
      </c>
      <c r="GX480" s="275">
        <v>4120</v>
      </c>
      <c r="GY480" s="275">
        <v>4120</v>
      </c>
      <c r="GZ480" s="275">
        <v>4120</v>
      </c>
      <c r="HA480" s="275">
        <v>4120</v>
      </c>
      <c r="HB480" s="275">
        <v>4120</v>
      </c>
      <c r="HC480" s="275">
        <v>4120</v>
      </c>
      <c r="HD480" s="275">
        <v>4120</v>
      </c>
      <c r="HE480" s="275">
        <v>0</v>
      </c>
      <c r="HF480" s="275">
        <v>0</v>
      </c>
      <c r="HG480" s="74">
        <f t="shared" si="11860"/>
        <v>31200</v>
      </c>
      <c r="HH480" s="89">
        <v>4120</v>
      </c>
      <c r="HI480" s="817">
        <v>0</v>
      </c>
      <c r="HJ480" s="89">
        <v>4120</v>
      </c>
      <c r="HK480" s="817">
        <v>0</v>
      </c>
      <c r="HL480" s="89">
        <v>1120</v>
      </c>
      <c r="HM480" s="817">
        <v>0</v>
      </c>
      <c r="HN480" s="89">
        <v>4120</v>
      </c>
      <c r="HO480" s="817">
        <v>0</v>
      </c>
      <c r="HP480" s="89">
        <v>2449</v>
      </c>
      <c r="HQ480" s="817">
        <v>0</v>
      </c>
      <c r="HR480" s="89">
        <v>0</v>
      </c>
      <c r="HS480" s="817">
        <v>0</v>
      </c>
      <c r="HT480" s="837">
        <v>2911</v>
      </c>
      <c r="HU480" s="817">
        <v>0</v>
      </c>
      <c r="HV480" s="89">
        <f>5607.42-1487.42</f>
        <v>4120</v>
      </c>
      <c r="HW480" s="817">
        <v>0</v>
      </c>
      <c r="HX480" s="89">
        <v>4120</v>
      </c>
      <c r="HY480" s="817">
        <v>0</v>
      </c>
      <c r="HZ480" s="89">
        <f>31200-27080</f>
        <v>4120</v>
      </c>
      <c r="IA480" s="817">
        <v>0</v>
      </c>
      <c r="IB480" s="89">
        <v>0</v>
      </c>
      <c r="IC480" s="817">
        <v>0</v>
      </c>
      <c r="ID480" s="89">
        <v>0</v>
      </c>
      <c r="IE480" s="817">
        <v>0</v>
      </c>
      <c r="IF480" s="841">
        <f t="shared" si="11861"/>
        <v>20780.919999999998</v>
      </c>
      <c r="IG480" s="263">
        <f t="shared" si="11862"/>
        <v>20780.919999999998</v>
      </c>
      <c r="IH480" s="842">
        <f t="shared" si="11863"/>
        <v>20780.919999999998</v>
      </c>
      <c r="II480" s="89">
        <v>112.39</v>
      </c>
      <c r="IJ480" s="89">
        <f t="shared" si="11871"/>
        <v>112.39</v>
      </c>
      <c r="IK480" s="89">
        <f t="shared" si="11872"/>
        <v>112.39</v>
      </c>
      <c r="IL480" s="89">
        <f>833.44-112.39</f>
        <v>721.05000000000007</v>
      </c>
      <c r="IM480" s="89">
        <f t="shared" si="11873"/>
        <v>721.05000000000007</v>
      </c>
      <c r="IN480" s="89">
        <f t="shared" si="11874"/>
        <v>721.05000000000007</v>
      </c>
      <c r="IO480" s="89">
        <f>1086.55-833.44</f>
        <v>253.1099999999999</v>
      </c>
      <c r="IP480" s="89">
        <f t="shared" si="11875"/>
        <v>253.1099999999999</v>
      </c>
      <c r="IQ480" s="89">
        <f t="shared" si="11876"/>
        <v>253.1099999999999</v>
      </c>
      <c r="IR480" s="89">
        <f>3323.81-1086.55</f>
        <v>2237.2600000000002</v>
      </c>
      <c r="IS480" s="89">
        <f t="shared" si="11877"/>
        <v>2237.2600000000002</v>
      </c>
      <c r="IT480" s="89">
        <f t="shared" si="11878"/>
        <v>2237.2600000000002</v>
      </c>
      <c r="IU480" s="89">
        <f>6457.58-3323.81</f>
        <v>3133.77</v>
      </c>
      <c r="IV480" s="89">
        <f t="shared" si="11879"/>
        <v>3133.77</v>
      </c>
      <c r="IW480" s="89">
        <f t="shared" si="11880"/>
        <v>3133.77</v>
      </c>
      <c r="IX480" s="89">
        <f>8486.86-6457.58</f>
        <v>2029.2800000000007</v>
      </c>
      <c r="IY480" s="89">
        <f t="shared" si="11881"/>
        <v>2029.2800000000007</v>
      </c>
      <c r="IZ480" s="89">
        <f t="shared" si="11882"/>
        <v>2029.2800000000007</v>
      </c>
      <c r="JA480" s="89">
        <f>10564.61-8486.86</f>
        <v>2077.75</v>
      </c>
      <c r="JB480" s="89">
        <f t="shared" si="11883"/>
        <v>2077.75</v>
      </c>
      <c r="JC480" s="89">
        <f t="shared" si="11884"/>
        <v>2077.75</v>
      </c>
      <c r="JD480" s="89">
        <f>17352.58-10564.61</f>
        <v>6787.9700000000012</v>
      </c>
      <c r="JE480" s="89">
        <f t="shared" si="11885"/>
        <v>6787.9700000000012</v>
      </c>
      <c r="JF480" s="89">
        <f t="shared" si="11886"/>
        <v>6787.9700000000012</v>
      </c>
      <c r="JG480" s="89">
        <f>17874.83-17352.58</f>
        <v>522.25</v>
      </c>
      <c r="JH480" s="89">
        <f t="shared" si="11887"/>
        <v>522.25</v>
      </c>
      <c r="JI480" s="89">
        <f t="shared" si="11888"/>
        <v>522.25</v>
      </c>
      <c r="JJ480" s="89">
        <f>20780.92-17874.83</f>
        <v>2906.0899999999965</v>
      </c>
      <c r="JK480" s="89">
        <f t="shared" si="11889"/>
        <v>2906.0899999999965</v>
      </c>
      <c r="JL480" s="89">
        <f t="shared" si="11890"/>
        <v>2906.0899999999965</v>
      </c>
      <c r="JM480" s="89">
        <v>0</v>
      </c>
      <c r="JN480" s="89">
        <f t="shared" si="11891"/>
        <v>0</v>
      </c>
      <c r="JO480" s="89">
        <f t="shared" si="11892"/>
        <v>0</v>
      </c>
      <c r="JP480" s="89">
        <v>0</v>
      </c>
      <c r="JQ480" s="89">
        <f t="shared" ref="JQ480:JR480" si="11899">JP480</f>
        <v>0</v>
      </c>
      <c r="JR480" s="89">
        <f t="shared" si="11899"/>
        <v>0</v>
      </c>
      <c r="JS480" s="263">
        <f t="shared" si="11864"/>
        <v>10419.080000000002</v>
      </c>
      <c r="JT480" s="382">
        <f t="shared" si="11865"/>
        <v>10419.080000000002</v>
      </c>
      <c r="JU480" s="665"/>
      <c r="JV480" s="524"/>
      <c r="JW480" s="525"/>
      <c r="JX480" s="549">
        <f t="shared" si="11866"/>
        <v>31200</v>
      </c>
      <c r="JY480" s="549">
        <f t="shared" si="11867"/>
        <v>0</v>
      </c>
      <c r="JZ480" s="581">
        <f t="shared" si="11276"/>
        <v>0</v>
      </c>
      <c r="KA480" s="581">
        <f t="shared" si="11277"/>
        <v>-10000</v>
      </c>
      <c r="KB480" s="549">
        <f t="shared" si="11273"/>
        <v>31200</v>
      </c>
      <c r="KC480" s="709">
        <f t="shared" si="11275"/>
        <v>0</v>
      </c>
      <c r="KD480" s="36"/>
      <c r="KE480" s="36"/>
      <c r="KF480" s="36"/>
      <c r="KG480" s="36"/>
      <c r="KH480" s="36"/>
      <c r="KI480" s="36"/>
      <c r="KJ480" s="36"/>
      <c r="KK480" s="36"/>
    </row>
    <row r="481" spans="1:297" s="10" customFormat="1">
      <c r="A481" s="91"/>
      <c r="B481" s="77"/>
      <c r="C481" s="74"/>
      <c r="D481" s="549"/>
      <c r="E481" s="675"/>
      <c r="F481" s="549"/>
      <c r="G481" s="675"/>
      <c r="H481" s="549"/>
      <c r="I481" s="675"/>
      <c r="J481" s="549"/>
      <c r="K481" s="675"/>
      <c r="L481" s="549"/>
      <c r="M481" s="675"/>
      <c r="N481" s="549"/>
      <c r="O481" s="675"/>
      <c r="P481" s="549"/>
      <c r="Q481" s="675"/>
      <c r="R481" s="549"/>
      <c r="S481" s="675"/>
      <c r="T481" s="549"/>
      <c r="U481" s="675"/>
      <c r="V481" s="549"/>
      <c r="W481" s="675"/>
      <c r="X481" s="549"/>
      <c r="Y481" s="675"/>
      <c r="Z481" s="549"/>
      <c r="AA481" s="675"/>
      <c r="AB481" s="549"/>
      <c r="AC481" s="675"/>
      <c r="AD481" s="549"/>
      <c r="AE481" s="675"/>
      <c r="AF481" s="549"/>
      <c r="AG481" s="675"/>
      <c r="AH481" s="549"/>
      <c r="AI481" s="675"/>
      <c r="AJ481" s="549"/>
      <c r="AK481" s="675"/>
      <c r="AL481" s="549"/>
      <c r="AM481" s="675"/>
      <c r="AN481" s="549"/>
      <c r="AO481" s="675"/>
      <c r="AP481" s="549"/>
      <c r="AQ481" s="675"/>
      <c r="AR481" s="549"/>
      <c r="AS481" s="675"/>
      <c r="AT481" s="549"/>
      <c r="AU481" s="675"/>
      <c r="AV481" s="549"/>
      <c r="AW481" s="675"/>
      <c r="AX481" s="549"/>
      <c r="AY481" s="675"/>
      <c r="AZ481" s="549"/>
      <c r="BA481" s="675"/>
      <c r="BB481" s="549"/>
      <c r="BC481" s="675"/>
      <c r="BD481" s="549"/>
      <c r="BE481" s="675"/>
      <c r="BF481" s="549"/>
      <c r="BG481" s="675"/>
      <c r="BH481" s="549"/>
      <c r="BI481" s="675"/>
      <c r="BJ481" s="549"/>
      <c r="BK481" s="675"/>
      <c r="BL481" s="549"/>
      <c r="BM481" s="675"/>
      <c r="BN481" s="549"/>
      <c r="BO481" s="675"/>
      <c r="BP481" s="549"/>
      <c r="BQ481" s="675"/>
      <c r="BR481" s="549"/>
      <c r="BS481" s="675"/>
      <c r="BT481" s="549"/>
      <c r="BU481" s="675"/>
      <c r="BV481" s="549"/>
      <c r="BW481" s="675"/>
      <c r="BX481" s="549"/>
      <c r="BY481" s="675"/>
      <c r="BZ481" s="549"/>
      <c r="CA481" s="675"/>
      <c r="CB481" s="549"/>
      <c r="CC481" s="675"/>
      <c r="CD481" s="549"/>
      <c r="CE481" s="675"/>
      <c r="CF481" s="549"/>
      <c r="CG481" s="675"/>
      <c r="CH481" s="549"/>
      <c r="CI481" s="675"/>
      <c r="CJ481" s="549"/>
      <c r="CK481" s="675"/>
      <c r="CL481" s="549"/>
      <c r="CM481" s="675"/>
      <c r="CN481" s="549"/>
      <c r="CO481" s="675"/>
      <c r="CP481" s="549"/>
      <c r="CQ481" s="675"/>
      <c r="CR481" s="549"/>
      <c r="CS481" s="675"/>
      <c r="CT481" s="549"/>
      <c r="CU481" s="675"/>
      <c r="CV481" s="549"/>
      <c r="CW481" s="675"/>
      <c r="CX481" s="549"/>
      <c r="CY481" s="675"/>
      <c r="CZ481" s="549"/>
      <c r="DA481" s="675"/>
      <c r="DB481" s="549"/>
      <c r="DC481" s="675"/>
      <c r="DD481" s="549"/>
      <c r="DE481" s="675"/>
      <c r="DF481" s="549"/>
      <c r="DG481" s="675"/>
      <c r="DH481" s="549"/>
      <c r="DI481" s="675"/>
      <c r="DJ481" s="549"/>
      <c r="DK481" s="675"/>
      <c r="DL481" s="549"/>
      <c r="DM481" s="675"/>
      <c r="DN481" s="549"/>
      <c r="DO481" s="675"/>
      <c r="DP481" s="549"/>
      <c r="DQ481" s="675"/>
      <c r="DR481" s="549"/>
      <c r="DS481" s="675"/>
      <c r="DT481" s="549"/>
      <c r="DU481" s="675"/>
      <c r="DV481" s="549"/>
      <c r="DW481" s="675"/>
      <c r="DX481" s="549"/>
      <c r="DY481" s="675"/>
      <c r="DZ481" s="549"/>
      <c r="EA481" s="675"/>
      <c r="EB481" s="549"/>
      <c r="EC481" s="675"/>
      <c r="ED481" s="549"/>
      <c r="EE481" s="675"/>
      <c r="EF481" s="549"/>
      <c r="EG481" s="675"/>
      <c r="EH481" s="549"/>
      <c r="EI481" s="675"/>
      <c r="EJ481" s="549"/>
      <c r="EK481" s="675"/>
      <c r="EL481" s="549"/>
      <c r="EM481" s="675"/>
      <c r="EN481" s="549"/>
      <c r="EO481" s="675"/>
      <c r="EP481" s="549"/>
      <c r="EQ481" s="675"/>
      <c r="ER481" s="549"/>
      <c r="ES481" s="675"/>
      <c r="ET481" s="549"/>
      <c r="EU481" s="675"/>
      <c r="EV481" s="549"/>
      <c r="EW481" s="675"/>
      <c r="EX481" s="549"/>
      <c r="EY481" s="675"/>
      <c r="EZ481" s="549"/>
      <c r="FA481" s="675"/>
      <c r="FB481" s="549"/>
      <c r="FC481" s="675"/>
      <c r="FD481" s="549"/>
      <c r="FE481" s="675"/>
      <c r="FF481" s="549"/>
      <c r="FG481" s="675"/>
      <c r="FH481" s="549"/>
      <c r="FI481" s="675"/>
      <c r="FJ481" s="549"/>
      <c r="FK481" s="675"/>
      <c r="FL481" s="549"/>
      <c r="FM481" s="675"/>
      <c r="FN481" s="549"/>
      <c r="FO481" s="675"/>
      <c r="FP481" s="549"/>
      <c r="FQ481" s="675"/>
      <c r="FR481" s="549"/>
      <c r="FS481" s="675"/>
      <c r="FT481" s="549"/>
      <c r="FU481" s="675"/>
      <c r="FV481" s="549"/>
      <c r="FW481" s="675"/>
      <c r="FX481" s="549"/>
      <c r="FY481" s="675"/>
      <c r="FZ481" s="549"/>
      <c r="GA481" s="675"/>
      <c r="GB481" s="549"/>
      <c r="GC481" s="675"/>
      <c r="GD481" s="549"/>
      <c r="GE481" s="675"/>
      <c r="GF481" s="549"/>
      <c r="GG481" s="675"/>
      <c r="GH481" s="549"/>
      <c r="GI481" s="675"/>
      <c r="GJ481" s="549"/>
      <c r="GK481" s="675"/>
      <c r="GL481" s="549"/>
      <c r="GM481" s="675"/>
      <c r="GN481" s="549"/>
      <c r="GO481" s="675"/>
      <c r="GP481" s="549"/>
      <c r="GQ481" s="675"/>
      <c r="GR481" s="74"/>
      <c r="GS481" s="74"/>
      <c r="GT481" s="549"/>
      <c r="GU481" s="73"/>
      <c r="GV481" s="73"/>
      <c r="GW481" s="549"/>
      <c r="GX481" s="549"/>
      <c r="GY481" s="73"/>
      <c r="GZ481" s="73"/>
      <c r="HA481" s="73"/>
      <c r="HB481" s="73"/>
      <c r="HC481" s="73"/>
      <c r="HD481" s="73"/>
      <c r="HE481" s="73"/>
      <c r="HF481" s="73"/>
      <c r="HG481" s="74"/>
      <c r="HH481" s="73"/>
      <c r="HI481" s="815"/>
      <c r="HJ481" s="73"/>
      <c r="HK481" s="815"/>
      <c r="HL481" s="73"/>
      <c r="HM481" s="815"/>
      <c r="HN481" s="73"/>
      <c r="HO481" s="815"/>
      <c r="HP481" s="73"/>
      <c r="HQ481" s="815"/>
      <c r="HR481" s="73"/>
      <c r="HS481" s="815"/>
      <c r="HT481" s="73"/>
      <c r="HU481" s="815"/>
      <c r="HV481" s="73"/>
      <c r="HW481" s="815"/>
      <c r="HX481" s="73"/>
      <c r="HY481" s="815"/>
      <c r="HZ481" s="73"/>
      <c r="IA481" s="815"/>
      <c r="IB481" s="73"/>
      <c r="IC481" s="815"/>
      <c r="ID481" s="73"/>
      <c r="IE481" s="815"/>
      <c r="IF481" s="841"/>
      <c r="IG481" s="263"/>
      <c r="IH481" s="842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  <c r="JD481" s="73"/>
      <c r="JE481" s="73"/>
      <c r="JF481" s="73"/>
      <c r="JG481" s="73"/>
      <c r="JH481" s="73"/>
      <c r="JI481" s="73"/>
      <c r="JJ481" s="73"/>
      <c r="JK481" s="73"/>
      <c r="JL481" s="73"/>
      <c r="JM481" s="73"/>
      <c r="JN481" s="73"/>
      <c r="JO481" s="73"/>
      <c r="JP481" s="73"/>
      <c r="JQ481" s="73"/>
      <c r="JR481" s="73"/>
      <c r="JS481" s="74"/>
      <c r="JT481" s="382"/>
      <c r="JU481" s="665"/>
      <c r="JV481" s="524"/>
      <c r="JW481" s="525"/>
      <c r="JX481" s="549"/>
      <c r="JY481" s="549"/>
      <c r="JZ481" s="581">
        <f t="shared" si="11276"/>
        <v>0</v>
      </c>
      <c r="KA481" s="581">
        <f t="shared" si="11277"/>
        <v>0</v>
      </c>
      <c r="KB481" s="549">
        <f t="shared" si="11273"/>
        <v>0</v>
      </c>
      <c r="KC481" s="709">
        <f t="shared" si="11275"/>
        <v>0</v>
      </c>
      <c r="KD481" s="36"/>
      <c r="KE481" s="36"/>
      <c r="KF481" s="36"/>
      <c r="KG481" s="36"/>
      <c r="KH481" s="36"/>
      <c r="KI481" s="36"/>
      <c r="KJ481" s="36"/>
      <c r="KK481" s="36"/>
    </row>
    <row r="482" spans="1:297" s="8" customFormat="1">
      <c r="A482" s="80" t="s">
        <v>290</v>
      </c>
      <c r="B482" s="72" t="s">
        <v>176</v>
      </c>
      <c r="C482" s="74">
        <f t="shared" ref="C482" si="11900">SUM(C483:C486)</f>
        <v>59000</v>
      </c>
      <c r="D482" s="549">
        <f t="shared" ref="D482:E482" si="11901">SUM(D483:D486)</f>
        <v>0</v>
      </c>
      <c r="E482" s="675">
        <f t="shared" si="11901"/>
        <v>0</v>
      </c>
      <c r="F482" s="549">
        <f t="shared" ref="F482:G482" si="11902">SUM(F483:F486)</f>
        <v>0</v>
      </c>
      <c r="G482" s="675">
        <f t="shared" si="11902"/>
        <v>0</v>
      </c>
      <c r="H482" s="549">
        <f t="shared" ref="H482:I482" si="11903">SUM(H483:H486)</f>
        <v>0</v>
      </c>
      <c r="I482" s="675">
        <f t="shared" si="11903"/>
        <v>0</v>
      </c>
      <c r="J482" s="549">
        <f t="shared" ref="J482:K482" si="11904">SUM(J483:J486)</f>
        <v>0</v>
      </c>
      <c r="K482" s="675">
        <f t="shared" si="11904"/>
        <v>0</v>
      </c>
      <c r="L482" s="549">
        <f t="shared" ref="L482:M482" si="11905">SUM(L483:L486)</f>
        <v>0</v>
      </c>
      <c r="M482" s="675">
        <f t="shared" si="11905"/>
        <v>0</v>
      </c>
      <c r="N482" s="549">
        <f t="shared" ref="N482:O482" si="11906">SUM(N483:N486)</f>
        <v>0</v>
      </c>
      <c r="O482" s="675">
        <f t="shared" si="11906"/>
        <v>0</v>
      </c>
      <c r="P482" s="549">
        <f t="shared" ref="P482:Q482" si="11907">SUM(P483:P486)</f>
        <v>0</v>
      </c>
      <c r="Q482" s="675">
        <f t="shared" si="11907"/>
        <v>0</v>
      </c>
      <c r="R482" s="549">
        <f t="shared" ref="R482:S482" si="11908">SUM(R483:R486)</f>
        <v>0</v>
      </c>
      <c r="S482" s="675">
        <f t="shared" si="11908"/>
        <v>0</v>
      </c>
      <c r="T482" s="549">
        <f t="shared" ref="T482:AM482" si="11909">SUM(T483:T486)</f>
        <v>0</v>
      </c>
      <c r="U482" s="675">
        <f t="shared" si="11909"/>
        <v>0</v>
      </c>
      <c r="V482" s="549">
        <f t="shared" si="11909"/>
        <v>0</v>
      </c>
      <c r="W482" s="675">
        <f t="shared" si="11909"/>
        <v>-5000</v>
      </c>
      <c r="X482" s="549">
        <f t="shared" si="11909"/>
        <v>0</v>
      </c>
      <c r="Y482" s="675">
        <f t="shared" si="11909"/>
        <v>0</v>
      </c>
      <c r="Z482" s="549">
        <f t="shared" si="11909"/>
        <v>0</v>
      </c>
      <c r="AA482" s="675">
        <f t="shared" si="11909"/>
        <v>0</v>
      </c>
      <c r="AB482" s="549">
        <f t="shared" si="11909"/>
        <v>0</v>
      </c>
      <c r="AC482" s="675">
        <f t="shared" si="11909"/>
        <v>0</v>
      </c>
      <c r="AD482" s="549">
        <f t="shared" ref="AD482:AK482" si="11910">SUM(AD483:AD486)</f>
        <v>0</v>
      </c>
      <c r="AE482" s="675">
        <f t="shared" si="11910"/>
        <v>0</v>
      </c>
      <c r="AF482" s="549">
        <f t="shared" si="11910"/>
        <v>0</v>
      </c>
      <c r="AG482" s="675">
        <f t="shared" si="11910"/>
        <v>0</v>
      </c>
      <c r="AH482" s="549">
        <f t="shared" si="11910"/>
        <v>0</v>
      </c>
      <c r="AI482" s="675">
        <f t="shared" si="11910"/>
        <v>0</v>
      </c>
      <c r="AJ482" s="549">
        <f t="shared" si="11910"/>
        <v>0</v>
      </c>
      <c r="AK482" s="675">
        <f t="shared" si="11910"/>
        <v>0</v>
      </c>
      <c r="AL482" s="549">
        <f t="shared" si="11909"/>
        <v>0</v>
      </c>
      <c r="AM482" s="675">
        <f t="shared" si="11909"/>
        <v>0</v>
      </c>
      <c r="AN482" s="549">
        <f t="shared" ref="AN482:AS482" si="11911">SUM(AN483:AN486)</f>
        <v>0</v>
      </c>
      <c r="AO482" s="675">
        <f t="shared" si="11911"/>
        <v>0</v>
      </c>
      <c r="AP482" s="549">
        <f t="shared" si="11911"/>
        <v>0</v>
      </c>
      <c r="AQ482" s="675">
        <f t="shared" si="11911"/>
        <v>0</v>
      </c>
      <c r="AR482" s="549">
        <f t="shared" si="11911"/>
        <v>0</v>
      </c>
      <c r="AS482" s="675">
        <f t="shared" si="11911"/>
        <v>0</v>
      </c>
      <c r="AT482" s="549">
        <f t="shared" ref="AT482:AU482" si="11912">SUM(AT483:AT486)</f>
        <v>0</v>
      </c>
      <c r="AU482" s="675">
        <f t="shared" si="11912"/>
        <v>0</v>
      </c>
      <c r="AV482" s="549">
        <f t="shared" ref="AV482:AW482" si="11913">SUM(AV483:AV486)</f>
        <v>0</v>
      </c>
      <c r="AW482" s="675">
        <f t="shared" si="11913"/>
        <v>0</v>
      </c>
      <c r="AX482" s="549">
        <f t="shared" ref="AX482:AY482" si="11914">SUM(AX483:AX486)</f>
        <v>0</v>
      </c>
      <c r="AY482" s="675">
        <f t="shared" si="11914"/>
        <v>0</v>
      </c>
      <c r="AZ482" s="549">
        <f t="shared" ref="AZ482:BA482" si="11915">SUM(AZ483:AZ486)</f>
        <v>30000</v>
      </c>
      <c r="BA482" s="675">
        <f t="shared" si="11915"/>
        <v>0</v>
      </c>
      <c r="BB482" s="549">
        <f t="shared" ref="BB482:BC482" si="11916">SUM(BB483:BB486)</f>
        <v>0</v>
      </c>
      <c r="BC482" s="675">
        <f t="shared" si="11916"/>
        <v>0</v>
      </c>
      <c r="BD482" s="549">
        <f t="shared" ref="BD482:BE482" si="11917">SUM(BD483:BD486)</f>
        <v>0</v>
      </c>
      <c r="BE482" s="675">
        <f t="shared" si="11917"/>
        <v>0</v>
      </c>
      <c r="BF482" s="549">
        <f t="shared" ref="BF482:BG482" si="11918">SUM(BF483:BF486)</f>
        <v>0</v>
      </c>
      <c r="BG482" s="675">
        <f t="shared" si="11918"/>
        <v>0</v>
      </c>
      <c r="BH482" s="549">
        <f t="shared" ref="BH482:BI482" si="11919">SUM(BH483:BH486)</f>
        <v>0</v>
      </c>
      <c r="BI482" s="675">
        <f t="shared" si="11919"/>
        <v>0</v>
      </c>
      <c r="BJ482" s="549">
        <f t="shared" ref="BJ482:BK482" si="11920">SUM(BJ483:BJ486)</f>
        <v>0</v>
      </c>
      <c r="BK482" s="675">
        <f t="shared" si="11920"/>
        <v>0</v>
      </c>
      <c r="BL482" s="549">
        <f t="shared" ref="BL482:BS482" si="11921">SUM(BL483:BL486)</f>
        <v>0</v>
      </c>
      <c r="BM482" s="675">
        <f t="shared" si="11921"/>
        <v>0</v>
      </c>
      <c r="BN482" s="549">
        <f t="shared" si="11921"/>
        <v>0</v>
      </c>
      <c r="BO482" s="675">
        <f t="shared" si="11921"/>
        <v>0</v>
      </c>
      <c r="BP482" s="549">
        <f t="shared" si="11921"/>
        <v>0</v>
      </c>
      <c r="BQ482" s="675">
        <f t="shared" si="11921"/>
        <v>0</v>
      </c>
      <c r="BR482" s="549">
        <f t="shared" si="11921"/>
        <v>0</v>
      </c>
      <c r="BS482" s="675">
        <f t="shared" si="11921"/>
        <v>0</v>
      </c>
      <c r="BT482" s="549">
        <f t="shared" ref="BT482:BU482" si="11922">SUM(BT483:BT486)</f>
        <v>0</v>
      </c>
      <c r="BU482" s="675">
        <f t="shared" si="11922"/>
        <v>0</v>
      </c>
      <c r="BV482" s="549">
        <f t="shared" ref="BV482:BW482" si="11923">SUM(BV483:BV486)</f>
        <v>0</v>
      </c>
      <c r="BW482" s="675">
        <f t="shared" si="11923"/>
        <v>0</v>
      </c>
      <c r="BX482" s="549">
        <f t="shared" ref="BX482:BY482" si="11924">SUM(BX483:BX486)</f>
        <v>0</v>
      </c>
      <c r="BY482" s="675">
        <f t="shared" si="11924"/>
        <v>0</v>
      </c>
      <c r="BZ482" s="549">
        <f t="shared" ref="BZ482:CA482" si="11925">SUM(BZ483:BZ486)</f>
        <v>0</v>
      </c>
      <c r="CA482" s="675">
        <f t="shared" si="11925"/>
        <v>0</v>
      </c>
      <c r="CB482" s="549">
        <f t="shared" ref="CB482:CE482" si="11926">SUM(CB483:CB486)</f>
        <v>0</v>
      </c>
      <c r="CC482" s="675">
        <f t="shared" si="11926"/>
        <v>0</v>
      </c>
      <c r="CD482" s="549">
        <f t="shared" si="11926"/>
        <v>0</v>
      </c>
      <c r="CE482" s="675">
        <f t="shared" si="11926"/>
        <v>0</v>
      </c>
      <c r="CF482" s="549">
        <f t="shared" ref="CF482:CQ482" si="11927">SUM(CF483:CF486)</f>
        <v>0</v>
      </c>
      <c r="CG482" s="675">
        <f t="shared" si="11927"/>
        <v>0</v>
      </c>
      <c r="CH482" s="549">
        <f t="shared" si="11927"/>
        <v>0</v>
      </c>
      <c r="CI482" s="675">
        <f t="shared" si="11927"/>
        <v>-4000</v>
      </c>
      <c r="CJ482" s="549">
        <f t="shared" si="11927"/>
        <v>0</v>
      </c>
      <c r="CK482" s="675">
        <f t="shared" si="11927"/>
        <v>-15000</v>
      </c>
      <c r="CL482" s="549">
        <f t="shared" si="11927"/>
        <v>0</v>
      </c>
      <c r="CM482" s="675">
        <f t="shared" si="11927"/>
        <v>0</v>
      </c>
      <c r="CN482" s="549">
        <f t="shared" si="11927"/>
        <v>0</v>
      </c>
      <c r="CO482" s="675">
        <f t="shared" si="11927"/>
        <v>0</v>
      </c>
      <c r="CP482" s="549">
        <f t="shared" si="11927"/>
        <v>0</v>
      </c>
      <c r="CQ482" s="675">
        <f t="shared" si="11927"/>
        <v>0</v>
      </c>
      <c r="CR482" s="549">
        <f t="shared" ref="CR482:CY482" si="11928">SUM(CR483:CR486)</f>
        <v>0</v>
      </c>
      <c r="CS482" s="675">
        <f t="shared" si="11928"/>
        <v>0</v>
      </c>
      <c r="CT482" s="549">
        <f t="shared" si="11928"/>
        <v>0</v>
      </c>
      <c r="CU482" s="675">
        <f t="shared" si="11928"/>
        <v>0</v>
      </c>
      <c r="CV482" s="549">
        <f t="shared" si="11928"/>
        <v>0</v>
      </c>
      <c r="CW482" s="675">
        <f t="shared" si="11928"/>
        <v>0</v>
      </c>
      <c r="CX482" s="549">
        <f t="shared" si="11928"/>
        <v>0</v>
      </c>
      <c r="CY482" s="675">
        <f t="shared" si="11928"/>
        <v>0</v>
      </c>
      <c r="CZ482" s="549">
        <f t="shared" ref="CZ482:DI482" si="11929">SUM(CZ483:CZ486)</f>
        <v>0</v>
      </c>
      <c r="DA482" s="675">
        <f t="shared" si="11929"/>
        <v>-1000</v>
      </c>
      <c r="DB482" s="549">
        <f t="shared" si="11929"/>
        <v>0</v>
      </c>
      <c r="DC482" s="675">
        <f t="shared" si="11929"/>
        <v>0</v>
      </c>
      <c r="DD482" s="549">
        <f t="shared" si="11929"/>
        <v>0</v>
      </c>
      <c r="DE482" s="675">
        <f t="shared" si="11929"/>
        <v>0</v>
      </c>
      <c r="DF482" s="549">
        <f t="shared" si="11929"/>
        <v>0</v>
      </c>
      <c r="DG482" s="675">
        <f t="shared" si="11929"/>
        <v>0</v>
      </c>
      <c r="DH482" s="549">
        <f t="shared" si="11929"/>
        <v>0</v>
      </c>
      <c r="DI482" s="675">
        <f t="shared" si="11929"/>
        <v>0</v>
      </c>
      <c r="DJ482" s="549">
        <f t="shared" ref="DJ482:DY482" si="11930">SUM(DJ483:DJ486)</f>
        <v>0</v>
      </c>
      <c r="DK482" s="675">
        <f t="shared" si="11930"/>
        <v>0</v>
      </c>
      <c r="DL482" s="549">
        <f t="shared" si="11930"/>
        <v>0</v>
      </c>
      <c r="DM482" s="675">
        <f t="shared" si="11930"/>
        <v>0</v>
      </c>
      <c r="DN482" s="549">
        <f t="shared" si="11930"/>
        <v>0</v>
      </c>
      <c r="DO482" s="675">
        <f t="shared" si="11930"/>
        <v>0</v>
      </c>
      <c r="DP482" s="549">
        <f t="shared" si="11930"/>
        <v>0</v>
      </c>
      <c r="DQ482" s="675">
        <f t="shared" si="11930"/>
        <v>0</v>
      </c>
      <c r="DR482" s="549">
        <f t="shared" si="11930"/>
        <v>0</v>
      </c>
      <c r="DS482" s="675">
        <f t="shared" si="11930"/>
        <v>0</v>
      </c>
      <c r="DT482" s="549">
        <f t="shared" si="11930"/>
        <v>0</v>
      </c>
      <c r="DU482" s="675">
        <f t="shared" si="11930"/>
        <v>0</v>
      </c>
      <c r="DV482" s="549">
        <f t="shared" si="11930"/>
        <v>0</v>
      </c>
      <c r="DW482" s="675">
        <f t="shared" si="11930"/>
        <v>0</v>
      </c>
      <c r="DX482" s="549">
        <f t="shared" si="11930"/>
        <v>0</v>
      </c>
      <c r="DY482" s="675">
        <f t="shared" si="11930"/>
        <v>0</v>
      </c>
      <c r="DZ482" s="549">
        <f t="shared" ref="DZ482:EU482" si="11931">SUM(DZ483:DZ486)</f>
        <v>0</v>
      </c>
      <c r="EA482" s="675">
        <f t="shared" si="11931"/>
        <v>0</v>
      </c>
      <c r="EB482" s="549">
        <f t="shared" si="11931"/>
        <v>0</v>
      </c>
      <c r="EC482" s="675">
        <f t="shared" si="11931"/>
        <v>0</v>
      </c>
      <c r="ED482" s="549">
        <f t="shared" si="11931"/>
        <v>0</v>
      </c>
      <c r="EE482" s="675">
        <f t="shared" si="11931"/>
        <v>0</v>
      </c>
      <c r="EF482" s="549">
        <f t="shared" si="11931"/>
        <v>0</v>
      </c>
      <c r="EG482" s="675">
        <f t="shared" si="11931"/>
        <v>0</v>
      </c>
      <c r="EH482" s="549">
        <f t="shared" ref="EH482:EM482" si="11932">SUM(EH483:EH486)</f>
        <v>0</v>
      </c>
      <c r="EI482" s="675">
        <f t="shared" si="11932"/>
        <v>0</v>
      </c>
      <c r="EJ482" s="549">
        <f t="shared" si="11932"/>
        <v>0</v>
      </c>
      <c r="EK482" s="675">
        <f t="shared" si="11932"/>
        <v>0</v>
      </c>
      <c r="EL482" s="549">
        <f t="shared" si="11932"/>
        <v>0</v>
      </c>
      <c r="EM482" s="675">
        <f t="shared" si="11932"/>
        <v>0</v>
      </c>
      <c r="EN482" s="549">
        <f t="shared" si="11931"/>
        <v>0</v>
      </c>
      <c r="EO482" s="675">
        <f t="shared" si="11931"/>
        <v>0</v>
      </c>
      <c r="EP482" s="549">
        <f t="shared" si="11931"/>
        <v>0</v>
      </c>
      <c r="EQ482" s="675">
        <f t="shared" si="11931"/>
        <v>0</v>
      </c>
      <c r="ER482" s="549">
        <f t="shared" si="11931"/>
        <v>0</v>
      </c>
      <c r="ES482" s="675">
        <f t="shared" si="11931"/>
        <v>0</v>
      </c>
      <c r="ET482" s="549">
        <f t="shared" si="11931"/>
        <v>0</v>
      </c>
      <c r="EU482" s="675">
        <f t="shared" si="11931"/>
        <v>0</v>
      </c>
      <c r="EV482" s="549">
        <f t="shared" ref="EV482:HS482" si="11933">SUM(EV483:EV486)</f>
        <v>0</v>
      </c>
      <c r="EW482" s="675">
        <f t="shared" si="11933"/>
        <v>0</v>
      </c>
      <c r="EX482" s="549">
        <f t="shared" si="11933"/>
        <v>0</v>
      </c>
      <c r="EY482" s="675">
        <f t="shared" si="11933"/>
        <v>0</v>
      </c>
      <c r="EZ482" s="549">
        <f t="shared" si="11933"/>
        <v>0</v>
      </c>
      <c r="FA482" s="675">
        <f t="shared" si="11933"/>
        <v>0</v>
      </c>
      <c r="FB482" s="549">
        <f t="shared" si="11933"/>
        <v>0</v>
      </c>
      <c r="FC482" s="675">
        <f t="shared" si="11933"/>
        <v>0</v>
      </c>
      <c r="FD482" s="549">
        <f t="shared" si="11933"/>
        <v>0</v>
      </c>
      <c r="FE482" s="675">
        <f t="shared" si="11933"/>
        <v>-1600</v>
      </c>
      <c r="FF482" s="549">
        <f t="shared" ref="FF482:FG482" si="11934">SUM(FF483:FF486)</f>
        <v>0</v>
      </c>
      <c r="FG482" s="675">
        <f t="shared" si="11934"/>
        <v>0</v>
      </c>
      <c r="FH482" s="549">
        <f t="shared" ref="FH482:FI482" si="11935">SUM(FH483:FH486)</f>
        <v>0</v>
      </c>
      <c r="FI482" s="675">
        <f t="shared" si="11935"/>
        <v>0</v>
      </c>
      <c r="FJ482" s="549">
        <f t="shared" ref="FJ482:FK482" si="11936">SUM(FJ483:FJ486)</f>
        <v>0</v>
      </c>
      <c r="FK482" s="675">
        <f t="shared" si="11936"/>
        <v>-5000</v>
      </c>
      <c r="FL482" s="549">
        <f t="shared" ref="FL482:FM482" si="11937">SUM(FL483:FL486)</f>
        <v>0</v>
      </c>
      <c r="FM482" s="675">
        <f t="shared" si="11937"/>
        <v>0</v>
      </c>
      <c r="FN482" s="549">
        <f t="shared" ref="FN482:FO482" si="11938">SUM(FN483:FN486)</f>
        <v>0</v>
      </c>
      <c r="FO482" s="675">
        <f t="shared" si="11938"/>
        <v>0</v>
      </c>
      <c r="FP482" s="549">
        <f t="shared" ref="FP482:FQ482" si="11939">SUM(FP483:FP486)</f>
        <v>0</v>
      </c>
      <c r="FQ482" s="675">
        <f t="shared" si="11939"/>
        <v>0</v>
      </c>
      <c r="FR482" s="549">
        <f t="shared" ref="FR482:FS482" si="11940">SUM(FR483:FR486)</f>
        <v>0</v>
      </c>
      <c r="FS482" s="675">
        <f t="shared" si="11940"/>
        <v>0</v>
      </c>
      <c r="FT482" s="549">
        <f t="shared" ref="FT482:FU482" si="11941">SUM(FT483:FT486)</f>
        <v>0</v>
      </c>
      <c r="FU482" s="675">
        <f t="shared" si="11941"/>
        <v>0</v>
      </c>
      <c r="FV482" s="549">
        <f t="shared" ref="FV482:GK482" si="11942">SUM(FV483:FV486)</f>
        <v>0</v>
      </c>
      <c r="FW482" s="675">
        <f t="shared" si="11942"/>
        <v>0</v>
      </c>
      <c r="FX482" s="549">
        <f t="shared" si="11942"/>
        <v>0</v>
      </c>
      <c r="FY482" s="675">
        <f t="shared" si="11942"/>
        <v>0</v>
      </c>
      <c r="FZ482" s="549">
        <f t="shared" ref="FZ482:GI482" si="11943">SUM(FZ483:FZ486)</f>
        <v>0</v>
      </c>
      <c r="GA482" s="675">
        <f t="shared" si="11943"/>
        <v>0</v>
      </c>
      <c r="GB482" s="549">
        <f t="shared" si="11943"/>
        <v>0</v>
      </c>
      <c r="GC482" s="675">
        <f t="shared" si="11943"/>
        <v>0</v>
      </c>
      <c r="GD482" s="549">
        <f t="shared" si="11943"/>
        <v>0</v>
      </c>
      <c r="GE482" s="675">
        <f t="shared" si="11943"/>
        <v>0</v>
      </c>
      <c r="GF482" s="549">
        <f t="shared" si="11943"/>
        <v>0</v>
      </c>
      <c r="GG482" s="675">
        <f t="shared" si="11943"/>
        <v>0</v>
      </c>
      <c r="GH482" s="549">
        <f t="shared" si="11943"/>
        <v>0</v>
      </c>
      <c r="GI482" s="675">
        <f t="shared" si="11943"/>
        <v>0</v>
      </c>
      <c r="GJ482" s="549">
        <f t="shared" si="11942"/>
        <v>0</v>
      </c>
      <c r="GK482" s="675">
        <f t="shared" si="11942"/>
        <v>0</v>
      </c>
      <c r="GL482" s="549">
        <f t="shared" ref="GL482:GM482" si="11944">SUM(GL483:GL486)</f>
        <v>0</v>
      </c>
      <c r="GM482" s="675">
        <f t="shared" si="11944"/>
        <v>0</v>
      </c>
      <c r="GN482" s="549">
        <f t="shared" ref="GN482:GO482" si="11945">SUM(GN483:GN486)</f>
        <v>0</v>
      </c>
      <c r="GO482" s="675">
        <f t="shared" si="11945"/>
        <v>0</v>
      </c>
      <c r="GP482" s="549">
        <f t="shared" si="11933"/>
        <v>30000</v>
      </c>
      <c r="GQ482" s="675">
        <f t="shared" si="11933"/>
        <v>-31600</v>
      </c>
      <c r="GR482" s="74">
        <f t="shared" si="11933"/>
        <v>57400</v>
      </c>
      <c r="GS482" s="74">
        <f t="shared" si="11933"/>
        <v>57400</v>
      </c>
      <c r="GT482" s="549">
        <f t="shared" si="11933"/>
        <v>57400</v>
      </c>
      <c r="GU482" s="74">
        <f t="shared" si="11933"/>
        <v>3900</v>
      </c>
      <c r="GV482" s="74">
        <f t="shared" si="11933"/>
        <v>7900</v>
      </c>
      <c r="GW482" s="549">
        <f t="shared" si="11933"/>
        <v>8900</v>
      </c>
      <c r="GX482" s="549">
        <f t="shared" si="11933"/>
        <v>6900</v>
      </c>
      <c r="GY482" s="74">
        <f t="shared" si="11933"/>
        <v>3900</v>
      </c>
      <c r="GZ482" s="74">
        <f t="shared" si="11933"/>
        <v>8900</v>
      </c>
      <c r="HA482" s="74">
        <f t="shared" si="11933"/>
        <v>6900</v>
      </c>
      <c r="HB482" s="74">
        <f t="shared" si="11933"/>
        <v>3900</v>
      </c>
      <c r="HC482" s="74">
        <f t="shared" si="11933"/>
        <v>3900</v>
      </c>
      <c r="HD482" s="74">
        <f t="shared" si="11933"/>
        <v>3900</v>
      </c>
      <c r="HE482" s="74">
        <f t="shared" si="11933"/>
        <v>0</v>
      </c>
      <c r="HF482" s="74">
        <f t="shared" si="11933"/>
        <v>0</v>
      </c>
      <c r="HG482" s="74">
        <f t="shared" si="11933"/>
        <v>57400</v>
      </c>
      <c r="HH482" s="74">
        <f t="shared" si="11933"/>
        <v>3900</v>
      </c>
      <c r="HI482" s="792">
        <f t="shared" si="11933"/>
        <v>0</v>
      </c>
      <c r="HJ482" s="74">
        <f t="shared" si="11933"/>
        <v>7900</v>
      </c>
      <c r="HK482" s="792">
        <f t="shared" si="11933"/>
        <v>0</v>
      </c>
      <c r="HL482" s="74">
        <f t="shared" si="11933"/>
        <v>3900</v>
      </c>
      <c r="HM482" s="792">
        <f t="shared" si="11933"/>
        <v>0</v>
      </c>
      <c r="HN482" s="74">
        <f t="shared" si="11933"/>
        <v>6900</v>
      </c>
      <c r="HO482" s="792">
        <f t="shared" si="11933"/>
        <v>0</v>
      </c>
      <c r="HP482" s="74">
        <f t="shared" si="11933"/>
        <v>30000</v>
      </c>
      <c r="HQ482" s="792">
        <f t="shared" si="11933"/>
        <v>0</v>
      </c>
      <c r="HR482" s="74">
        <f t="shared" si="11933"/>
        <v>3800</v>
      </c>
      <c r="HS482" s="792">
        <f t="shared" si="11933"/>
        <v>0</v>
      </c>
      <c r="HT482" s="74">
        <f t="shared" ref="HT482:HU482" si="11946">SUM(HT483:HT486)</f>
        <v>-4100</v>
      </c>
      <c r="HU482" s="792">
        <f t="shared" si="11946"/>
        <v>0</v>
      </c>
      <c r="HV482" s="74">
        <f t="shared" ref="HV482:HW482" si="11947">SUM(HV483:HV486)</f>
        <v>0</v>
      </c>
      <c r="HW482" s="792">
        <f t="shared" si="11947"/>
        <v>0</v>
      </c>
      <c r="HX482" s="74">
        <f t="shared" ref="HX482:HY482" si="11948">SUM(HX483:HX486)</f>
        <v>7800</v>
      </c>
      <c r="HY482" s="792">
        <f t="shared" si="11948"/>
        <v>0</v>
      </c>
      <c r="HZ482" s="74">
        <f t="shared" ref="HZ482:IA482" si="11949">SUM(HZ483:HZ486)</f>
        <v>-2700</v>
      </c>
      <c r="IA482" s="792">
        <f t="shared" si="11949"/>
        <v>0</v>
      </c>
      <c r="IB482" s="74">
        <f t="shared" ref="IB482:IC482" si="11950">SUM(IB483:IB486)</f>
        <v>0</v>
      </c>
      <c r="IC482" s="792">
        <f t="shared" si="11950"/>
        <v>0</v>
      </c>
      <c r="ID482" s="74">
        <f t="shared" ref="ID482:IZ482" si="11951">SUM(ID483:ID486)</f>
        <v>0</v>
      </c>
      <c r="IE482" s="792">
        <f t="shared" si="11951"/>
        <v>0</v>
      </c>
      <c r="IF482" s="841">
        <f>SUM(IF483:IF486)</f>
        <v>51022.979999999996</v>
      </c>
      <c r="IG482" s="263">
        <f t="shared" si="11951"/>
        <v>51022.979999999996</v>
      </c>
      <c r="IH482" s="842">
        <f t="shared" si="11951"/>
        <v>51022.979999999996</v>
      </c>
      <c r="II482" s="74">
        <f t="shared" si="11951"/>
        <v>1785.95</v>
      </c>
      <c r="IJ482" s="74">
        <f t="shared" si="11951"/>
        <v>1785.95</v>
      </c>
      <c r="IK482" s="74">
        <f t="shared" si="11951"/>
        <v>1785.95</v>
      </c>
      <c r="IL482" s="74">
        <f t="shared" si="11951"/>
        <v>1025.9899999999998</v>
      </c>
      <c r="IM482" s="74">
        <f t="shared" si="11951"/>
        <v>1025.9899999999998</v>
      </c>
      <c r="IN482" s="74">
        <f t="shared" si="11951"/>
        <v>1025.9899999999998</v>
      </c>
      <c r="IO482" s="74">
        <f t="shared" si="11951"/>
        <v>855.96000000000026</v>
      </c>
      <c r="IP482" s="74">
        <f t="shared" si="11951"/>
        <v>855.96000000000026</v>
      </c>
      <c r="IQ482" s="74">
        <f t="shared" si="11951"/>
        <v>855.96000000000026</v>
      </c>
      <c r="IR482" s="74">
        <f t="shared" si="11951"/>
        <v>1891.8999999999996</v>
      </c>
      <c r="IS482" s="74">
        <f t="shared" si="11951"/>
        <v>1891.8999999999996</v>
      </c>
      <c r="IT482" s="74">
        <f t="shared" si="11951"/>
        <v>1891.8999999999996</v>
      </c>
      <c r="IU482" s="74">
        <f t="shared" si="11951"/>
        <v>32679.289999999997</v>
      </c>
      <c r="IV482" s="74">
        <f t="shared" si="11951"/>
        <v>32679.289999999997</v>
      </c>
      <c r="IW482" s="74">
        <f t="shared" si="11951"/>
        <v>32679.289999999997</v>
      </c>
      <c r="IX482" s="74">
        <f t="shared" si="11951"/>
        <v>2335.7299999999977</v>
      </c>
      <c r="IY482" s="74">
        <f t="shared" si="11951"/>
        <v>2335.7299999999977</v>
      </c>
      <c r="IZ482" s="74">
        <f t="shared" si="11951"/>
        <v>2335.7299999999977</v>
      </c>
      <c r="JA482" s="74">
        <f t="shared" ref="JA482:JC482" si="11952">SUM(JA483:JA486)</f>
        <v>2258.6900000000014</v>
      </c>
      <c r="JB482" s="74">
        <f t="shared" si="11952"/>
        <v>2258.6900000000014</v>
      </c>
      <c r="JC482" s="74">
        <f t="shared" si="11952"/>
        <v>2258.6900000000014</v>
      </c>
      <c r="JD482" s="74">
        <f t="shared" ref="JD482:JF482" si="11953">SUM(JD483:JD486)</f>
        <v>6734.39</v>
      </c>
      <c r="JE482" s="74">
        <f t="shared" si="11953"/>
        <v>6734.39</v>
      </c>
      <c r="JF482" s="74">
        <f t="shared" si="11953"/>
        <v>6734.39</v>
      </c>
      <c r="JG482" s="74">
        <f t="shared" ref="JG482:JI482" si="11954">SUM(JG483:JG486)</f>
        <v>726.63000000000102</v>
      </c>
      <c r="JH482" s="74">
        <f t="shared" si="11954"/>
        <v>726.63000000000102</v>
      </c>
      <c r="JI482" s="74">
        <f t="shared" si="11954"/>
        <v>726.63000000000102</v>
      </c>
      <c r="JJ482" s="74">
        <f t="shared" ref="JJ482:JL482" si="11955">SUM(JJ483:JJ486)</f>
        <v>728.44999999999891</v>
      </c>
      <c r="JK482" s="74">
        <f t="shared" si="11955"/>
        <v>728.44999999999891</v>
      </c>
      <c r="JL482" s="74">
        <f t="shared" si="11955"/>
        <v>728.44999999999891</v>
      </c>
      <c r="JM482" s="74">
        <f t="shared" ref="JM482:JO482" si="11956">SUM(JM483:JM486)</f>
        <v>0</v>
      </c>
      <c r="JN482" s="74">
        <f t="shared" si="11956"/>
        <v>0</v>
      </c>
      <c r="JO482" s="74">
        <f t="shared" si="11956"/>
        <v>0</v>
      </c>
      <c r="JP482" s="74">
        <f t="shared" ref="JP482:JY482" si="11957">SUM(JP483:JP486)</f>
        <v>0</v>
      </c>
      <c r="JQ482" s="74">
        <f t="shared" si="11957"/>
        <v>0</v>
      </c>
      <c r="JR482" s="74">
        <f t="shared" si="11957"/>
        <v>0</v>
      </c>
      <c r="JS482" s="74">
        <f>SUM(JS483:JS486)</f>
        <v>6377.0199999999995</v>
      </c>
      <c r="JT482" s="102">
        <f>SUM(JT483:JT486)</f>
        <v>6377.0199999999995</v>
      </c>
      <c r="JU482" s="665"/>
      <c r="JV482" s="524"/>
      <c r="JW482" s="525"/>
      <c r="JX482" s="549">
        <f>SUM(JX483:JX486)</f>
        <v>57400</v>
      </c>
      <c r="JY482" s="549">
        <f t="shared" si="11957"/>
        <v>0</v>
      </c>
      <c r="JZ482" s="581">
        <f t="shared" si="11276"/>
        <v>30000</v>
      </c>
      <c r="KA482" s="581">
        <f t="shared" si="11277"/>
        <v>-31600</v>
      </c>
      <c r="KB482" s="549">
        <f t="shared" si="11273"/>
        <v>57400</v>
      </c>
      <c r="KC482" s="709">
        <f t="shared" si="11275"/>
        <v>0</v>
      </c>
      <c r="KD482" s="36"/>
      <c r="KE482" s="36"/>
      <c r="KF482" s="36"/>
      <c r="KG482" s="36"/>
      <c r="KH482" s="36"/>
      <c r="KI482" s="36"/>
      <c r="KJ482" s="36"/>
      <c r="KK482" s="36"/>
    </row>
    <row r="483" spans="1:297" s="10" customFormat="1" ht="12.75" hidden="1" customHeight="1">
      <c r="A483" s="86" t="s">
        <v>730</v>
      </c>
      <c r="B483" s="77" t="s">
        <v>181</v>
      </c>
      <c r="C483" s="74">
        <v>0</v>
      </c>
      <c r="D483" s="549">
        <v>0</v>
      </c>
      <c r="E483" s="675">
        <v>0</v>
      </c>
      <c r="F483" s="549">
        <v>0</v>
      </c>
      <c r="G483" s="675">
        <v>0</v>
      </c>
      <c r="H483" s="549">
        <v>0</v>
      </c>
      <c r="I483" s="675">
        <v>0</v>
      </c>
      <c r="J483" s="549">
        <v>0</v>
      </c>
      <c r="K483" s="675">
        <v>0</v>
      </c>
      <c r="L483" s="549">
        <v>0</v>
      </c>
      <c r="M483" s="675">
        <v>0</v>
      </c>
      <c r="N483" s="549">
        <v>0</v>
      </c>
      <c r="O483" s="675">
        <v>0</v>
      </c>
      <c r="P483" s="549">
        <v>0</v>
      </c>
      <c r="Q483" s="675">
        <v>0</v>
      </c>
      <c r="R483" s="549">
        <v>0</v>
      </c>
      <c r="S483" s="675">
        <v>0</v>
      </c>
      <c r="T483" s="549">
        <v>0</v>
      </c>
      <c r="U483" s="675">
        <v>0</v>
      </c>
      <c r="V483" s="549">
        <v>0</v>
      </c>
      <c r="W483" s="675">
        <v>0</v>
      </c>
      <c r="X483" s="549">
        <v>0</v>
      </c>
      <c r="Y483" s="675">
        <v>0</v>
      </c>
      <c r="Z483" s="549">
        <v>0</v>
      </c>
      <c r="AA483" s="675">
        <v>0</v>
      </c>
      <c r="AB483" s="549">
        <v>0</v>
      </c>
      <c r="AC483" s="675">
        <v>0</v>
      </c>
      <c r="AD483" s="549">
        <v>0</v>
      </c>
      <c r="AE483" s="675">
        <v>0</v>
      </c>
      <c r="AF483" s="549">
        <v>0</v>
      </c>
      <c r="AG483" s="675">
        <v>0</v>
      </c>
      <c r="AH483" s="549">
        <v>0</v>
      </c>
      <c r="AI483" s="675">
        <v>0</v>
      </c>
      <c r="AJ483" s="549">
        <v>0</v>
      </c>
      <c r="AK483" s="675">
        <v>0</v>
      </c>
      <c r="AL483" s="549">
        <v>0</v>
      </c>
      <c r="AM483" s="675">
        <v>0</v>
      </c>
      <c r="AN483" s="549">
        <v>0</v>
      </c>
      <c r="AO483" s="675">
        <v>0</v>
      </c>
      <c r="AP483" s="549">
        <v>0</v>
      </c>
      <c r="AQ483" s="675">
        <v>0</v>
      </c>
      <c r="AR483" s="549">
        <v>0</v>
      </c>
      <c r="AS483" s="675">
        <v>0</v>
      </c>
      <c r="AT483" s="549">
        <v>0</v>
      </c>
      <c r="AU483" s="675">
        <v>0</v>
      </c>
      <c r="AV483" s="549">
        <v>0</v>
      </c>
      <c r="AW483" s="675">
        <v>0</v>
      </c>
      <c r="AX483" s="549">
        <v>0</v>
      </c>
      <c r="AY483" s="675">
        <v>0</v>
      </c>
      <c r="AZ483" s="549">
        <v>0</v>
      </c>
      <c r="BA483" s="675">
        <v>0</v>
      </c>
      <c r="BB483" s="549">
        <v>0</v>
      </c>
      <c r="BC483" s="675">
        <v>0</v>
      </c>
      <c r="BD483" s="549">
        <v>0</v>
      </c>
      <c r="BE483" s="675">
        <v>0</v>
      </c>
      <c r="BF483" s="549">
        <v>0</v>
      </c>
      <c r="BG483" s="675">
        <v>0</v>
      </c>
      <c r="BH483" s="549">
        <v>0</v>
      </c>
      <c r="BI483" s="675">
        <v>0</v>
      </c>
      <c r="BJ483" s="549">
        <v>0</v>
      </c>
      <c r="BK483" s="675">
        <v>0</v>
      </c>
      <c r="BL483" s="549">
        <v>0</v>
      </c>
      <c r="BM483" s="675">
        <v>0</v>
      </c>
      <c r="BN483" s="549">
        <v>0</v>
      </c>
      <c r="BO483" s="675">
        <v>0</v>
      </c>
      <c r="BP483" s="549">
        <v>0</v>
      </c>
      <c r="BQ483" s="675">
        <v>0</v>
      </c>
      <c r="BR483" s="549">
        <v>0</v>
      </c>
      <c r="BS483" s="675">
        <v>0</v>
      </c>
      <c r="BT483" s="549">
        <v>0</v>
      </c>
      <c r="BU483" s="675">
        <v>0</v>
      </c>
      <c r="BV483" s="549">
        <v>0</v>
      </c>
      <c r="BW483" s="675">
        <v>0</v>
      </c>
      <c r="BX483" s="549">
        <v>0</v>
      </c>
      <c r="BY483" s="675">
        <v>0</v>
      </c>
      <c r="BZ483" s="549">
        <v>0</v>
      </c>
      <c r="CA483" s="675">
        <v>0</v>
      </c>
      <c r="CB483" s="549">
        <v>0</v>
      </c>
      <c r="CC483" s="675">
        <v>0</v>
      </c>
      <c r="CD483" s="549">
        <v>0</v>
      </c>
      <c r="CE483" s="675">
        <v>0</v>
      </c>
      <c r="CF483" s="549">
        <v>0</v>
      </c>
      <c r="CG483" s="675">
        <v>0</v>
      </c>
      <c r="CH483" s="549">
        <v>0</v>
      </c>
      <c r="CI483" s="675">
        <v>0</v>
      </c>
      <c r="CJ483" s="549">
        <v>0</v>
      </c>
      <c r="CK483" s="675">
        <v>0</v>
      </c>
      <c r="CL483" s="549">
        <v>0</v>
      </c>
      <c r="CM483" s="675">
        <v>0</v>
      </c>
      <c r="CN483" s="549">
        <v>0</v>
      </c>
      <c r="CO483" s="675">
        <v>0</v>
      </c>
      <c r="CP483" s="549">
        <v>0</v>
      </c>
      <c r="CQ483" s="675">
        <v>0</v>
      </c>
      <c r="CR483" s="549">
        <v>0</v>
      </c>
      <c r="CS483" s="675">
        <v>0</v>
      </c>
      <c r="CT483" s="549">
        <v>0</v>
      </c>
      <c r="CU483" s="675">
        <v>0</v>
      </c>
      <c r="CV483" s="549">
        <v>0</v>
      </c>
      <c r="CW483" s="675">
        <v>0</v>
      </c>
      <c r="CX483" s="549">
        <v>0</v>
      </c>
      <c r="CY483" s="675">
        <v>0</v>
      </c>
      <c r="CZ483" s="549">
        <v>0</v>
      </c>
      <c r="DA483" s="675">
        <v>0</v>
      </c>
      <c r="DB483" s="549">
        <v>0</v>
      </c>
      <c r="DC483" s="675">
        <v>0</v>
      </c>
      <c r="DD483" s="549">
        <v>0</v>
      </c>
      <c r="DE483" s="675">
        <v>0</v>
      </c>
      <c r="DF483" s="549">
        <v>0</v>
      </c>
      <c r="DG483" s="675">
        <v>0</v>
      </c>
      <c r="DH483" s="549">
        <v>0</v>
      </c>
      <c r="DI483" s="675">
        <v>0</v>
      </c>
      <c r="DJ483" s="549">
        <v>0</v>
      </c>
      <c r="DK483" s="675">
        <v>0</v>
      </c>
      <c r="DL483" s="549">
        <v>0</v>
      </c>
      <c r="DM483" s="675">
        <v>0</v>
      </c>
      <c r="DN483" s="549">
        <v>0</v>
      </c>
      <c r="DO483" s="675">
        <v>0</v>
      </c>
      <c r="DP483" s="549">
        <v>0</v>
      </c>
      <c r="DQ483" s="675">
        <v>0</v>
      </c>
      <c r="DR483" s="549">
        <v>0</v>
      </c>
      <c r="DS483" s="675">
        <v>0</v>
      </c>
      <c r="DT483" s="549">
        <v>0</v>
      </c>
      <c r="DU483" s="675">
        <v>0</v>
      </c>
      <c r="DV483" s="549">
        <v>0</v>
      </c>
      <c r="DW483" s="675">
        <v>0</v>
      </c>
      <c r="DX483" s="549">
        <v>0</v>
      </c>
      <c r="DY483" s="675">
        <v>0</v>
      </c>
      <c r="DZ483" s="549">
        <v>0</v>
      </c>
      <c r="EA483" s="675">
        <v>0</v>
      </c>
      <c r="EB483" s="549">
        <v>0</v>
      </c>
      <c r="EC483" s="675">
        <v>0</v>
      </c>
      <c r="ED483" s="549">
        <v>0</v>
      </c>
      <c r="EE483" s="675">
        <v>0</v>
      </c>
      <c r="EF483" s="549">
        <v>0</v>
      </c>
      <c r="EG483" s="675">
        <v>0</v>
      </c>
      <c r="EH483" s="549">
        <v>0</v>
      </c>
      <c r="EI483" s="675">
        <v>0</v>
      </c>
      <c r="EJ483" s="549">
        <v>0</v>
      </c>
      <c r="EK483" s="675">
        <v>0</v>
      </c>
      <c r="EL483" s="549">
        <v>0</v>
      </c>
      <c r="EM483" s="675">
        <v>0</v>
      </c>
      <c r="EN483" s="549">
        <v>0</v>
      </c>
      <c r="EO483" s="675">
        <v>0</v>
      </c>
      <c r="EP483" s="549">
        <v>0</v>
      </c>
      <c r="EQ483" s="675">
        <v>0</v>
      </c>
      <c r="ER483" s="549">
        <v>0</v>
      </c>
      <c r="ES483" s="675">
        <v>0</v>
      </c>
      <c r="ET483" s="549">
        <v>0</v>
      </c>
      <c r="EU483" s="675">
        <v>0</v>
      </c>
      <c r="EV483" s="549">
        <v>0</v>
      </c>
      <c r="EW483" s="675">
        <v>0</v>
      </c>
      <c r="EX483" s="549">
        <v>0</v>
      </c>
      <c r="EY483" s="675">
        <v>0</v>
      </c>
      <c r="EZ483" s="549">
        <v>0</v>
      </c>
      <c r="FA483" s="675">
        <v>0</v>
      </c>
      <c r="FB483" s="549">
        <v>0</v>
      </c>
      <c r="FC483" s="675">
        <v>0</v>
      </c>
      <c r="FD483" s="549">
        <v>0</v>
      </c>
      <c r="FE483" s="675">
        <v>0</v>
      </c>
      <c r="FF483" s="549">
        <v>0</v>
      </c>
      <c r="FG483" s="675">
        <v>0</v>
      </c>
      <c r="FH483" s="549">
        <v>0</v>
      </c>
      <c r="FI483" s="675">
        <v>0</v>
      </c>
      <c r="FJ483" s="549">
        <v>0</v>
      </c>
      <c r="FK483" s="675">
        <v>0</v>
      </c>
      <c r="FL483" s="549">
        <v>0</v>
      </c>
      <c r="FM483" s="675">
        <v>0</v>
      </c>
      <c r="FN483" s="549">
        <v>0</v>
      </c>
      <c r="FO483" s="675">
        <v>0</v>
      </c>
      <c r="FP483" s="549">
        <v>0</v>
      </c>
      <c r="FQ483" s="675">
        <v>0</v>
      </c>
      <c r="FR483" s="549">
        <v>0</v>
      </c>
      <c r="FS483" s="675">
        <v>0</v>
      </c>
      <c r="FT483" s="549">
        <v>0</v>
      </c>
      <c r="FU483" s="675">
        <v>0</v>
      </c>
      <c r="FV483" s="549">
        <v>0</v>
      </c>
      <c r="FW483" s="675">
        <v>0</v>
      </c>
      <c r="FX483" s="549">
        <v>0</v>
      </c>
      <c r="FY483" s="675">
        <v>0</v>
      </c>
      <c r="FZ483" s="549">
        <v>0</v>
      </c>
      <c r="GA483" s="675">
        <v>0</v>
      </c>
      <c r="GB483" s="549">
        <v>0</v>
      </c>
      <c r="GC483" s="675">
        <v>0</v>
      </c>
      <c r="GD483" s="549">
        <v>0</v>
      </c>
      <c r="GE483" s="675">
        <v>0</v>
      </c>
      <c r="GF483" s="549">
        <v>0</v>
      </c>
      <c r="GG483" s="675">
        <v>0</v>
      </c>
      <c r="GH483" s="549">
        <v>0</v>
      </c>
      <c r="GI483" s="675">
        <v>0</v>
      </c>
      <c r="GJ483" s="549">
        <v>0</v>
      </c>
      <c r="GK483" s="675">
        <v>0</v>
      </c>
      <c r="GL483" s="549">
        <v>0</v>
      </c>
      <c r="GM483" s="675">
        <v>0</v>
      </c>
      <c r="GN483" s="549">
        <v>0</v>
      </c>
      <c r="GO483" s="675">
        <v>0</v>
      </c>
      <c r="GP483" s="549">
        <f>+D483+F483+H483+J483+L483+N483+P483+R483+T483+V483+X483+Z483+AB483+AD483+AH483+AJ483+AL483+AN483+AP483+AR483+AT483+AV483+AX483+AZ483+BB483+BD483+BF483+BH483+BJ483+BL483+BN483+BP483+BR483+BT483+BV483+BX483+BZ483+CB483+CD483+CF483+CH483+CJ483+CL483+CN483+CP483+CR483+CT483+CV483+CX483+CZ483+DB483+DD483+DF483+DH483+DT483+EX483+DJ483+DL483+DN483+DP483+DR483+EJ483+EB483+DZ483+DX483+DV483+ED483+EF483+EH483+EL483+EN483+EP483+EV483+ET483+ER483+EZ483+FB483+FD483+GL483+FF483+FJ483+FL483+GJ483+FT483+FR483+FP483+FN483+FH483</f>
        <v>0</v>
      </c>
      <c r="GQ483" s="675">
        <f>+E483+G483+I483+K483+M483+O483+Q483+S483+U483+W483+Y483+AA483+AC483+AE483+AI483+AK483+AM483+AO483+AQ483+AS483+AU483+AW483+AY483+BA483+BC483+BE483+BG483+BI483+BK483+BM483+BO483+BQ483+BS483+BU483+BW483+BY483+CA483+CC483+CE483+CG483+CI483+CK483+CM483+CO483+CQ483+CS483+CU483+CW483+CY483+DA483+DC483+DE483+DG483+DI483+DU483+EY483+DK483+DM483+DO483+DQ483+DS483+EK483+EC483+EA483+DY483+DW483+EI483+EG483+EE483+EM483+EO483+EQ483+EW483+EU483+ES483+FA483+FC483+FE483+GM483+FG483+FK483+FM483+FO483+FQ483+FS483+FU483+GK483+FI483</f>
        <v>0</v>
      </c>
      <c r="GR483" s="74">
        <f>C483+GP483+GQ483</f>
        <v>0</v>
      </c>
      <c r="GS483" s="74">
        <f t="shared" ref="GS483" si="11958">SUM(GU483:HE483)+GP483+GQ483</f>
        <v>0</v>
      </c>
      <c r="GT483" s="568">
        <f t="shared" ref="GT483:GT486" si="11959">SUM(GU483:HF483)+GQ483+GP483</f>
        <v>0</v>
      </c>
      <c r="GU483" s="275">
        <v>0</v>
      </c>
      <c r="GV483" s="275">
        <v>0</v>
      </c>
      <c r="GW483" s="275">
        <v>0</v>
      </c>
      <c r="GX483" s="275">
        <v>0</v>
      </c>
      <c r="GY483" s="275">
        <v>0</v>
      </c>
      <c r="GZ483" s="275">
        <v>0</v>
      </c>
      <c r="HA483" s="275">
        <v>0</v>
      </c>
      <c r="HB483" s="275">
        <v>0</v>
      </c>
      <c r="HC483" s="275">
        <v>0</v>
      </c>
      <c r="HD483" s="275">
        <v>0</v>
      </c>
      <c r="HE483" s="275">
        <v>0</v>
      </c>
      <c r="HF483" s="275">
        <v>0</v>
      </c>
      <c r="HG483" s="74">
        <f>SUM(HH483:IE483)</f>
        <v>0</v>
      </c>
      <c r="HH483" s="89">
        <v>0</v>
      </c>
      <c r="HI483" s="817">
        <v>0</v>
      </c>
      <c r="HJ483" s="89">
        <v>0</v>
      </c>
      <c r="HK483" s="817">
        <v>0</v>
      </c>
      <c r="HL483" s="89">
        <v>0</v>
      </c>
      <c r="HM483" s="817">
        <v>0</v>
      </c>
      <c r="HN483" s="89">
        <v>0</v>
      </c>
      <c r="HO483" s="817">
        <v>0</v>
      </c>
      <c r="HP483" s="89">
        <v>0</v>
      </c>
      <c r="HQ483" s="817">
        <v>0</v>
      </c>
      <c r="HR483" s="89">
        <v>0</v>
      </c>
      <c r="HS483" s="817">
        <v>0</v>
      </c>
      <c r="HT483" s="89">
        <v>0</v>
      </c>
      <c r="HU483" s="817">
        <v>0</v>
      </c>
      <c r="HV483" s="89">
        <v>0</v>
      </c>
      <c r="HW483" s="817">
        <v>0</v>
      </c>
      <c r="HX483" s="89">
        <v>0</v>
      </c>
      <c r="HY483" s="817">
        <v>0</v>
      </c>
      <c r="HZ483" s="89">
        <v>0</v>
      </c>
      <c r="IA483" s="817">
        <v>0</v>
      </c>
      <c r="IB483" s="89">
        <v>0</v>
      </c>
      <c r="IC483" s="817">
        <v>0</v>
      </c>
      <c r="ID483" s="89">
        <v>0</v>
      </c>
      <c r="IE483" s="817">
        <v>0</v>
      </c>
      <c r="IF483" s="841">
        <f t="shared" ref="IF483:IF486" si="11960">SUM(II483,IL483,IO483,IR483,IU483,IX483,JA483,JD483,JG483,JJ483,JM483,JP483)</f>
        <v>0</v>
      </c>
      <c r="IG483" s="263">
        <f t="shared" ref="IG483:IG486" si="11961">SUM(IJ483,IM483,IP483,IS483,IV483,IY483,JB483,JE483,JH483,JK483,JN483,JQ483)</f>
        <v>0</v>
      </c>
      <c r="IH483" s="842">
        <f t="shared" ref="IH483:IH486" si="11962">SUM(IK483,IN483,IQ483,IT483,IW483,IZ483,JC483,JF483,JI483,JL483,JO483,JR483)</f>
        <v>0</v>
      </c>
      <c r="II483" s="89">
        <v>0</v>
      </c>
      <c r="IJ483" s="89">
        <f t="shared" ref="IJ483:IJ486" si="11963">II483</f>
        <v>0</v>
      </c>
      <c r="IK483" s="89">
        <f t="shared" ref="IK483:IK486" si="11964">IJ483</f>
        <v>0</v>
      </c>
      <c r="IL483" s="89">
        <v>0</v>
      </c>
      <c r="IM483" s="89">
        <f t="shared" ref="IM483:IM486" si="11965">IL483</f>
        <v>0</v>
      </c>
      <c r="IN483" s="89">
        <f t="shared" ref="IN483:IN486" si="11966">IM483</f>
        <v>0</v>
      </c>
      <c r="IO483" s="89">
        <v>0</v>
      </c>
      <c r="IP483" s="89">
        <f t="shared" ref="IP483:IP486" si="11967">IO483</f>
        <v>0</v>
      </c>
      <c r="IQ483" s="89">
        <f t="shared" ref="IQ483:IQ486" si="11968">IP483</f>
        <v>0</v>
      </c>
      <c r="IR483" s="89">
        <v>0</v>
      </c>
      <c r="IS483" s="89">
        <f t="shared" ref="IS483:IS486" si="11969">IR483</f>
        <v>0</v>
      </c>
      <c r="IT483" s="89">
        <f t="shared" ref="IT483:IT486" si="11970">IS483</f>
        <v>0</v>
      </c>
      <c r="IU483" s="89">
        <v>0</v>
      </c>
      <c r="IV483" s="89">
        <f t="shared" ref="IV483:IV486" si="11971">IU483</f>
        <v>0</v>
      </c>
      <c r="IW483" s="89">
        <f t="shared" ref="IW483:IW486" si="11972">IV483</f>
        <v>0</v>
      </c>
      <c r="IX483" s="89">
        <v>0</v>
      </c>
      <c r="IY483" s="89">
        <f t="shared" ref="IY483:IY486" si="11973">IX483</f>
        <v>0</v>
      </c>
      <c r="IZ483" s="89">
        <f t="shared" ref="IZ483:IZ486" si="11974">IY483</f>
        <v>0</v>
      </c>
      <c r="JA483" s="89">
        <v>0</v>
      </c>
      <c r="JB483" s="89">
        <f t="shared" ref="JB483:JB486" si="11975">JA483</f>
        <v>0</v>
      </c>
      <c r="JC483" s="89">
        <f t="shared" ref="JC483:JC486" si="11976">JB483</f>
        <v>0</v>
      </c>
      <c r="JD483" s="89">
        <v>0</v>
      </c>
      <c r="JE483" s="89">
        <f t="shared" ref="JE483:JE486" si="11977">JD483</f>
        <v>0</v>
      </c>
      <c r="JF483" s="89">
        <f t="shared" ref="JF483:JF486" si="11978">JE483</f>
        <v>0</v>
      </c>
      <c r="JG483" s="89">
        <v>0</v>
      </c>
      <c r="JH483" s="89">
        <f t="shared" ref="JH483:JH486" si="11979">JG483</f>
        <v>0</v>
      </c>
      <c r="JI483" s="89">
        <f t="shared" ref="JI483:JI486" si="11980">JH483</f>
        <v>0</v>
      </c>
      <c r="JJ483" s="89">
        <v>0</v>
      </c>
      <c r="JK483" s="89">
        <f t="shared" ref="JK483:JK486" si="11981">JJ483</f>
        <v>0</v>
      </c>
      <c r="JL483" s="89">
        <f t="shared" ref="JL483:JL486" si="11982">JK483</f>
        <v>0</v>
      </c>
      <c r="JM483" s="89">
        <v>0</v>
      </c>
      <c r="JN483" s="89">
        <f t="shared" ref="JN483:JN486" si="11983">JM483</f>
        <v>0</v>
      </c>
      <c r="JO483" s="89">
        <f t="shared" ref="JO483:JO486" si="11984">JN483</f>
        <v>0</v>
      </c>
      <c r="JP483" s="89">
        <v>0</v>
      </c>
      <c r="JQ483" s="89">
        <f t="shared" ref="JQ483:JR483" si="11985">JP483</f>
        <v>0</v>
      </c>
      <c r="JR483" s="89">
        <f t="shared" si="11985"/>
        <v>0</v>
      </c>
      <c r="JS483" s="74">
        <f>HG483-IF483</f>
        <v>0</v>
      </c>
      <c r="JT483" s="382">
        <f>GS483-IF483</f>
        <v>0</v>
      </c>
      <c r="JU483" s="665"/>
      <c r="JV483" s="524"/>
      <c r="JW483" s="525"/>
      <c r="JX483" s="549">
        <f t="shared" ref="JX483:JY486" si="11986">SUM(HH483,HJ483,HL483,HN483,HP483,HR483,HT483,HV483,HX483,HZ483,IB483,ID483)</f>
        <v>0</v>
      </c>
      <c r="JY483" s="549">
        <f t="shared" si="11986"/>
        <v>0</v>
      </c>
      <c r="JZ483" s="581">
        <f t="shared" si="11276"/>
        <v>0</v>
      </c>
      <c r="KA483" s="581">
        <f t="shared" si="11277"/>
        <v>0</v>
      </c>
      <c r="KB483" s="549">
        <f t="shared" si="11273"/>
        <v>0</v>
      </c>
      <c r="KC483" s="709">
        <f t="shared" si="11275"/>
        <v>0</v>
      </c>
      <c r="KD483" s="36"/>
      <c r="KE483" s="36"/>
      <c r="KF483" s="36"/>
      <c r="KG483" s="36"/>
      <c r="KH483" s="36"/>
      <c r="KI483" s="36"/>
      <c r="KJ483" s="36"/>
      <c r="KK483" s="36"/>
    </row>
    <row r="484" spans="1:297" s="10" customFormat="1">
      <c r="A484" s="86" t="s">
        <v>490</v>
      </c>
      <c r="B484" s="77" t="s">
        <v>181</v>
      </c>
      <c r="C484" s="74">
        <v>10000</v>
      </c>
      <c r="D484" s="549">
        <v>0</v>
      </c>
      <c r="E484" s="675">
        <v>0</v>
      </c>
      <c r="F484" s="549">
        <v>0</v>
      </c>
      <c r="G484" s="675">
        <v>0</v>
      </c>
      <c r="H484" s="549">
        <v>0</v>
      </c>
      <c r="I484" s="675">
        <v>0</v>
      </c>
      <c r="J484" s="549">
        <v>0</v>
      </c>
      <c r="K484" s="675">
        <v>0</v>
      </c>
      <c r="L484" s="549">
        <v>0</v>
      </c>
      <c r="M484" s="675">
        <v>0</v>
      </c>
      <c r="N484" s="549">
        <v>0</v>
      </c>
      <c r="O484" s="675">
        <v>0</v>
      </c>
      <c r="P484" s="549">
        <v>0</v>
      </c>
      <c r="Q484" s="675">
        <v>0</v>
      </c>
      <c r="R484" s="549">
        <v>0</v>
      </c>
      <c r="S484" s="675">
        <v>0</v>
      </c>
      <c r="T484" s="549">
        <v>0</v>
      </c>
      <c r="U484" s="675">
        <v>0</v>
      </c>
      <c r="V484" s="549">
        <v>0</v>
      </c>
      <c r="W484" s="675">
        <v>-2000</v>
      </c>
      <c r="X484" s="549">
        <v>0</v>
      </c>
      <c r="Y484" s="675">
        <v>0</v>
      </c>
      <c r="Z484" s="549">
        <v>0</v>
      </c>
      <c r="AA484" s="675">
        <v>0</v>
      </c>
      <c r="AB484" s="549">
        <v>0</v>
      </c>
      <c r="AC484" s="675">
        <v>0</v>
      </c>
      <c r="AD484" s="549">
        <v>0</v>
      </c>
      <c r="AE484" s="675">
        <v>0</v>
      </c>
      <c r="AF484" s="549">
        <v>0</v>
      </c>
      <c r="AG484" s="675">
        <v>0</v>
      </c>
      <c r="AH484" s="549">
        <v>0</v>
      </c>
      <c r="AI484" s="675">
        <v>0</v>
      </c>
      <c r="AJ484" s="549">
        <v>0</v>
      </c>
      <c r="AK484" s="675">
        <v>0</v>
      </c>
      <c r="AL484" s="549">
        <v>0</v>
      </c>
      <c r="AM484" s="675">
        <v>0</v>
      </c>
      <c r="AN484" s="549">
        <v>0</v>
      </c>
      <c r="AO484" s="675">
        <v>0</v>
      </c>
      <c r="AP484" s="549">
        <v>0</v>
      </c>
      <c r="AQ484" s="675">
        <v>0</v>
      </c>
      <c r="AR484" s="549">
        <v>0</v>
      </c>
      <c r="AS484" s="675">
        <v>0</v>
      </c>
      <c r="AT484" s="549">
        <v>0</v>
      </c>
      <c r="AU484" s="675">
        <v>0</v>
      </c>
      <c r="AV484" s="549">
        <v>0</v>
      </c>
      <c r="AW484" s="675">
        <v>0</v>
      </c>
      <c r="AX484" s="549">
        <v>0</v>
      </c>
      <c r="AY484" s="675">
        <v>0</v>
      </c>
      <c r="AZ484" s="549">
        <v>0</v>
      </c>
      <c r="BA484" s="675">
        <v>0</v>
      </c>
      <c r="BB484" s="549">
        <v>0</v>
      </c>
      <c r="BC484" s="675">
        <v>0</v>
      </c>
      <c r="BD484" s="549">
        <v>0</v>
      </c>
      <c r="BE484" s="675">
        <v>0</v>
      </c>
      <c r="BF484" s="549">
        <v>0</v>
      </c>
      <c r="BG484" s="675">
        <v>0</v>
      </c>
      <c r="BH484" s="549">
        <v>0</v>
      </c>
      <c r="BI484" s="675">
        <v>0</v>
      </c>
      <c r="BJ484" s="549">
        <v>0</v>
      </c>
      <c r="BK484" s="675">
        <v>0</v>
      </c>
      <c r="BL484" s="549">
        <v>0</v>
      </c>
      <c r="BM484" s="675">
        <v>0</v>
      </c>
      <c r="BN484" s="549">
        <v>0</v>
      </c>
      <c r="BO484" s="675">
        <v>0</v>
      </c>
      <c r="BP484" s="549">
        <v>0</v>
      </c>
      <c r="BQ484" s="675">
        <v>0</v>
      </c>
      <c r="BR484" s="549">
        <v>0</v>
      </c>
      <c r="BS484" s="675">
        <v>0</v>
      </c>
      <c r="BT484" s="549">
        <v>0</v>
      </c>
      <c r="BU484" s="675">
        <v>0</v>
      </c>
      <c r="BV484" s="549">
        <v>0</v>
      </c>
      <c r="BW484" s="675">
        <v>0</v>
      </c>
      <c r="BX484" s="549">
        <v>0</v>
      </c>
      <c r="BY484" s="675">
        <v>0</v>
      </c>
      <c r="BZ484" s="549">
        <v>0</v>
      </c>
      <c r="CA484" s="675">
        <v>0</v>
      </c>
      <c r="CB484" s="549">
        <v>0</v>
      </c>
      <c r="CC484" s="675">
        <v>0</v>
      </c>
      <c r="CD484" s="549">
        <v>0</v>
      </c>
      <c r="CE484" s="675">
        <v>0</v>
      </c>
      <c r="CF484" s="549">
        <v>0</v>
      </c>
      <c r="CG484" s="675">
        <v>0</v>
      </c>
      <c r="CH484" s="549">
        <v>0</v>
      </c>
      <c r="CI484" s="675">
        <v>0</v>
      </c>
      <c r="CJ484" s="549">
        <v>0</v>
      </c>
      <c r="CK484" s="675">
        <v>0</v>
      </c>
      <c r="CL484" s="549">
        <v>0</v>
      </c>
      <c r="CM484" s="675">
        <v>0</v>
      </c>
      <c r="CN484" s="549">
        <v>0</v>
      </c>
      <c r="CO484" s="675">
        <v>0</v>
      </c>
      <c r="CP484" s="549">
        <v>0</v>
      </c>
      <c r="CQ484" s="675">
        <v>0</v>
      </c>
      <c r="CR484" s="549">
        <v>0</v>
      </c>
      <c r="CS484" s="675">
        <v>0</v>
      </c>
      <c r="CT484" s="549">
        <v>0</v>
      </c>
      <c r="CU484" s="675">
        <v>0</v>
      </c>
      <c r="CV484" s="549">
        <v>0</v>
      </c>
      <c r="CW484" s="675">
        <v>0</v>
      </c>
      <c r="CX484" s="549">
        <v>0</v>
      </c>
      <c r="CY484" s="675">
        <v>0</v>
      </c>
      <c r="CZ484" s="549">
        <v>0</v>
      </c>
      <c r="DA484" s="675">
        <v>0</v>
      </c>
      <c r="DB484" s="549">
        <v>0</v>
      </c>
      <c r="DC484" s="675">
        <v>0</v>
      </c>
      <c r="DD484" s="549">
        <v>0</v>
      </c>
      <c r="DE484" s="675">
        <v>0</v>
      </c>
      <c r="DF484" s="549">
        <v>0</v>
      </c>
      <c r="DG484" s="675">
        <v>0</v>
      </c>
      <c r="DH484" s="549">
        <v>0</v>
      </c>
      <c r="DI484" s="675">
        <v>0</v>
      </c>
      <c r="DJ484" s="549">
        <v>0</v>
      </c>
      <c r="DK484" s="675">
        <v>0</v>
      </c>
      <c r="DL484" s="549">
        <v>0</v>
      </c>
      <c r="DM484" s="675">
        <v>0</v>
      </c>
      <c r="DN484" s="549">
        <v>0</v>
      </c>
      <c r="DO484" s="675">
        <v>0</v>
      </c>
      <c r="DP484" s="549">
        <v>0</v>
      </c>
      <c r="DQ484" s="675">
        <v>0</v>
      </c>
      <c r="DR484" s="549">
        <v>0</v>
      </c>
      <c r="DS484" s="675">
        <v>0</v>
      </c>
      <c r="DT484" s="549">
        <v>0</v>
      </c>
      <c r="DU484" s="675">
        <v>0</v>
      </c>
      <c r="DV484" s="549">
        <v>0</v>
      </c>
      <c r="DW484" s="675">
        <v>0</v>
      </c>
      <c r="DX484" s="549">
        <v>0</v>
      </c>
      <c r="DY484" s="675">
        <v>0</v>
      </c>
      <c r="DZ484" s="549">
        <v>0</v>
      </c>
      <c r="EA484" s="675">
        <v>0</v>
      </c>
      <c r="EB484" s="549">
        <v>0</v>
      </c>
      <c r="EC484" s="675">
        <v>0</v>
      </c>
      <c r="ED484" s="549">
        <v>0</v>
      </c>
      <c r="EE484" s="675">
        <v>0</v>
      </c>
      <c r="EF484" s="549">
        <v>0</v>
      </c>
      <c r="EG484" s="675">
        <v>0</v>
      </c>
      <c r="EH484" s="549">
        <v>0</v>
      </c>
      <c r="EI484" s="675">
        <v>0</v>
      </c>
      <c r="EJ484" s="549">
        <v>0</v>
      </c>
      <c r="EK484" s="675">
        <v>0</v>
      </c>
      <c r="EL484" s="549">
        <v>0</v>
      </c>
      <c r="EM484" s="675">
        <v>0</v>
      </c>
      <c r="EN484" s="549">
        <v>0</v>
      </c>
      <c r="EO484" s="675">
        <v>0</v>
      </c>
      <c r="EP484" s="549">
        <v>0</v>
      </c>
      <c r="EQ484" s="675">
        <v>0</v>
      </c>
      <c r="ER484" s="549">
        <v>0</v>
      </c>
      <c r="ES484" s="675">
        <v>0</v>
      </c>
      <c r="ET484" s="549">
        <v>0</v>
      </c>
      <c r="EU484" s="675">
        <v>0</v>
      </c>
      <c r="EV484" s="549">
        <v>0</v>
      </c>
      <c r="EW484" s="675">
        <v>0</v>
      </c>
      <c r="EX484" s="549">
        <v>0</v>
      </c>
      <c r="EY484" s="675">
        <v>0</v>
      </c>
      <c r="EZ484" s="549">
        <v>0</v>
      </c>
      <c r="FA484" s="675">
        <v>0</v>
      </c>
      <c r="FB484" s="549">
        <v>0</v>
      </c>
      <c r="FC484" s="675">
        <v>0</v>
      </c>
      <c r="FD484" s="549">
        <v>0</v>
      </c>
      <c r="FE484" s="675">
        <v>-1400</v>
      </c>
      <c r="FF484" s="549">
        <v>0</v>
      </c>
      <c r="FG484" s="675">
        <v>0</v>
      </c>
      <c r="FH484" s="549">
        <v>0</v>
      </c>
      <c r="FI484" s="675">
        <v>0</v>
      </c>
      <c r="FJ484" s="549">
        <v>0</v>
      </c>
      <c r="FK484" s="675">
        <v>0</v>
      </c>
      <c r="FL484" s="549">
        <v>0</v>
      </c>
      <c r="FM484" s="675">
        <v>0</v>
      </c>
      <c r="FN484" s="549">
        <v>0</v>
      </c>
      <c r="FO484" s="675">
        <v>0</v>
      </c>
      <c r="FP484" s="549">
        <v>0</v>
      </c>
      <c r="FQ484" s="675">
        <v>0</v>
      </c>
      <c r="FR484" s="549">
        <v>0</v>
      </c>
      <c r="FS484" s="675">
        <v>0</v>
      </c>
      <c r="FT484" s="549">
        <v>0</v>
      </c>
      <c r="FU484" s="675">
        <v>0</v>
      </c>
      <c r="FV484" s="549">
        <v>0</v>
      </c>
      <c r="FW484" s="675">
        <v>0</v>
      </c>
      <c r="FX484" s="549">
        <v>0</v>
      </c>
      <c r="FY484" s="675">
        <v>0</v>
      </c>
      <c r="FZ484" s="549">
        <v>0</v>
      </c>
      <c r="GA484" s="675">
        <v>0</v>
      </c>
      <c r="GB484" s="549">
        <v>0</v>
      </c>
      <c r="GC484" s="675">
        <v>0</v>
      </c>
      <c r="GD484" s="549">
        <v>0</v>
      </c>
      <c r="GE484" s="675">
        <v>0</v>
      </c>
      <c r="GF484" s="549">
        <v>0</v>
      </c>
      <c r="GG484" s="675">
        <v>0</v>
      </c>
      <c r="GH484" s="549">
        <v>0</v>
      </c>
      <c r="GI484" s="675">
        <v>0</v>
      </c>
      <c r="GJ484" s="549">
        <v>0</v>
      </c>
      <c r="GK484" s="675">
        <v>0</v>
      </c>
      <c r="GL484" s="549">
        <v>0</v>
      </c>
      <c r="GM484" s="675">
        <v>0</v>
      </c>
      <c r="GN484" s="549">
        <v>0</v>
      </c>
      <c r="GO484" s="675">
        <v>0</v>
      </c>
      <c r="GP484" s="549">
        <f t="shared" ref="GP484:GP486" si="11987">+D484+F484+H484+J484+L484+N484+P484+R484+T484+V484+X484+Z484+AB484+AF484+AD484+AH484+AJ484+AL484+AN484+AP484+AR484+AT484+AV484+AX484+AZ484+BB484+BD484+BF484+BH484+BJ484+BL484+BN484+BP484+BR484+BT484+BV484+BX484+BZ484+CB484+CD484+CF484+CH484+CJ484+CL484+CN484+CP484+CR484+CT484+CV484+CX484+CZ484+DB484+DD484+DF484+DH484+DT484+EX484+DJ484+DL484+DN484+DP484+DR484+EJ484+EB484+DZ484+DX484+DV484+ED484+EF484+EH484+EL484+EN484+EP484+EV484+ET484+ER484+EZ484+FB484+FD484+GL484+FF484+FJ484+FL484+GJ484+FT484+FR484+FP484+FN484+FH484+GH484+GF484+GD484+GB484+FZ484+FX484+FV484+GN484</f>
        <v>0</v>
      </c>
      <c r="GQ484" s="675">
        <f t="shared" ref="GQ484:GQ486" si="11988">+E484+G484+I484+K484+M484+O484+Q484+S484+U484+W484+Y484+AA484+AC484+AE484+AG484+AI484+AK484+AM484+AO484+AQ484+AS484+AU484+AW484+AY484+BA484+BC484+BE484+BG484+BI484+BK484+BM484+BO484+BQ484+BS484+BU484+BW484+BY484+CA484+CC484+CE484+CG484+CI484+CK484+CM484+CO484+CQ484+CS484+CU484+CW484+CY484+DA484+DC484+DE484+DG484+DI484+DU484+EY484+DK484+DM484+DO484+DQ484+DS484+EK484+EC484+EA484+DY484+DW484+EI484+EG484+EE484+EM484+EO484+EQ484+EW484+EU484+ES484+FA484+FC484+FE484+GM484+FG484+FK484+FM484+FO484+FQ484+FS484+FU484+GK484+FI484+GI484+GG484+GE484+GC484+GA484+FY484+FW484+GO484</f>
        <v>-3400</v>
      </c>
      <c r="GR484" s="74">
        <f>C484+GP484+GQ484</f>
        <v>6600</v>
      </c>
      <c r="GS484" s="74">
        <f t="shared" ref="GS484:GS486" si="11989">SUM(GU484:HD484)+GP484+GQ484</f>
        <v>6600</v>
      </c>
      <c r="GT484" s="568">
        <f t="shared" si="11959"/>
        <v>6600</v>
      </c>
      <c r="GU484" s="275"/>
      <c r="GV484" s="275">
        <v>4000</v>
      </c>
      <c r="GW484" s="275"/>
      <c r="GX484" s="275">
        <v>3000</v>
      </c>
      <c r="GY484" s="275"/>
      <c r="GZ484" s="275"/>
      <c r="HA484" s="275">
        <v>3000</v>
      </c>
      <c r="HB484" s="275"/>
      <c r="HC484" s="275"/>
      <c r="HD484" s="275">
        <v>0</v>
      </c>
      <c r="HE484" s="275">
        <v>0</v>
      </c>
      <c r="HF484" s="275">
        <v>0</v>
      </c>
      <c r="HG484" s="74">
        <f>SUM(HH484:IE484)</f>
        <v>6600</v>
      </c>
      <c r="HH484" s="89">
        <v>0</v>
      </c>
      <c r="HI484" s="817">
        <v>0</v>
      </c>
      <c r="HJ484" s="89">
        <v>4000</v>
      </c>
      <c r="HK484" s="817">
        <v>0</v>
      </c>
      <c r="HL484" s="89">
        <v>-2000</v>
      </c>
      <c r="HM484" s="817">
        <v>0</v>
      </c>
      <c r="HN484" s="89">
        <v>3000</v>
      </c>
      <c r="HO484" s="817">
        <v>0</v>
      </c>
      <c r="HP484" s="89">
        <v>0</v>
      </c>
      <c r="HQ484" s="817">
        <v>0</v>
      </c>
      <c r="HR484" s="89">
        <v>0</v>
      </c>
      <c r="HS484" s="817">
        <v>0</v>
      </c>
      <c r="HT484" s="89">
        <v>3000</v>
      </c>
      <c r="HU484" s="817">
        <v>0</v>
      </c>
      <c r="HV484" s="89">
        <v>0</v>
      </c>
      <c r="HW484" s="817">
        <v>0</v>
      </c>
      <c r="HX484" s="89">
        <v>0</v>
      </c>
      <c r="HY484" s="817">
        <v>0</v>
      </c>
      <c r="HZ484" s="89">
        <v>-1400</v>
      </c>
      <c r="IA484" s="817">
        <v>0</v>
      </c>
      <c r="IB484" s="89">
        <v>0</v>
      </c>
      <c r="IC484" s="817">
        <v>0</v>
      </c>
      <c r="ID484" s="89">
        <v>0</v>
      </c>
      <c r="IE484" s="817">
        <v>0</v>
      </c>
      <c r="IF484" s="841">
        <f t="shared" si="11960"/>
        <v>6113.11</v>
      </c>
      <c r="IG484" s="263">
        <f t="shared" si="11961"/>
        <v>6113.11</v>
      </c>
      <c r="IH484" s="842">
        <f t="shared" si="11962"/>
        <v>6113.11</v>
      </c>
      <c r="II484" s="89">
        <v>0</v>
      </c>
      <c r="IJ484" s="89">
        <f t="shared" si="11963"/>
        <v>0</v>
      </c>
      <c r="IK484" s="89">
        <f t="shared" si="11964"/>
        <v>0</v>
      </c>
      <c r="IL484" s="89">
        <v>6.01</v>
      </c>
      <c r="IM484" s="89">
        <f t="shared" si="11965"/>
        <v>6.01</v>
      </c>
      <c r="IN484" s="89">
        <f t="shared" si="11966"/>
        <v>6.01</v>
      </c>
      <c r="IO484" s="89">
        <f>861.27-6.01</f>
        <v>855.26</v>
      </c>
      <c r="IP484" s="89">
        <f t="shared" si="11967"/>
        <v>855.26</v>
      </c>
      <c r="IQ484" s="89">
        <f t="shared" si="11968"/>
        <v>855.26</v>
      </c>
      <c r="IR484" s="89">
        <f>1412.11-861.27</f>
        <v>550.83999999999992</v>
      </c>
      <c r="IS484" s="89">
        <f t="shared" si="11969"/>
        <v>550.83999999999992</v>
      </c>
      <c r="IT484" s="89">
        <f t="shared" si="11970"/>
        <v>550.83999999999992</v>
      </c>
      <c r="IU484" s="89">
        <f>3588.71-1412.11</f>
        <v>2176.6000000000004</v>
      </c>
      <c r="IV484" s="89">
        <f t="shared" si="11971"/>
        <v>2176.6000000000004</v>
      </c>
      <c r="IW484" s="89">
        <f t="shared" si="11972"/>
        <v>2176.6000000000004</v>
      </c>
      <c r="IX484" s="89">
        <f>4932.27-3588.71</f>
        <v>1343.5600000000004</v>
      </c>
      <c r="IY484" s="89">
        <f t="shared" si="11973"/>
        <v>1343.5600000000004</v>
      </c>
      <c r="IZ484" s="89">
        <f t="shared" si="11974"/>
        <v>1343.5600000000004</v>
      </c>
      <c r="JA484" s="89">
        <f>4932.27-4932.27</f>
        <v>0</v>
      </c>
      <c r="JB484" s="89">
        <f t="shared" si="11975"/>
        <v>0</v>
      </c>
      <c r="JC484" s="89">
        <f t="shared" si="11976"/>
        <v>0</v>
      </c>
      <c r="JD484" s="89">
        <f>6008.11-4932.27</f>
        <v>1075.8399999999992</v>
      </c>
      <c r="JE484" s="89">
        <f t="shared" si="11977"/>
        <v>1075.8399999999992</v>
      </c>
      <c r="JF484" s="89">
        <f t="shared" si="11978"/>
        <v>1075.8399999999992</v>
      </c>
      <c r="JG484" s="89">
        <f>6113.11-6008.11</f>
        <v>105</v>
      </c>
      <c r="JH484" s="89">
        <f t="shared" si="11979"/>
        <v>105</v>
      </c>
      <c r="JI484" s="89">
        <f t="shared" si="11980"/>
        <v>105</v>
      </c>
      <c r="JJ484" s="89">
        <v>0</v>
      </c>
      <c r="JK484" s="89">
        <f t="shared" si="11981"/>
        <v>0</v>
      </c>
      <c r="JL484" s="89">
        <f t="shared" si="11982"/>
        <v>0</v>
      </c>
      <c r="JM484" s="89">
        <v>0</v>
      </c>
      <c r="JN484" s="89">
        <f t="shared" si="11983"/>
        <v>0</v>
      </c>
      <c r="JO484" s="89">
        <f t="shared" si="11984"/>
        <v>0</v>
      </c>
      <c r="JP484" s="89">
        <v>0</v>
      </c>
      <c r="JQ484" s="89">
        <f t="shared" ref="JQ484:JR484" si="11990">JP484</f>
        <v>0</v>
      </c>
      <c r="JR484" s="89">
        <f t="shared" si="11990"/>
        <v>0</v>
      </c>
      <c r="JS484" s="74">
        <f>HG484-IF484</f>
        <v>486.89000000000033</v>
      </c>
      <c r="JT484" s="382">
        <f>GS484-IF484</f>
        <v>486.89000000000033</v>
      </c>
      <c r="JU484" s="665"/>
      <c r="JV484" s="524"/>
      <c r="JW484" s="525"/>
      <c r="JX484" s="549">
        <f t="shared" si="11986"/>
        <v>6600</v>
      </c>
      <c r="JY484" s="549">
        <f t="shared" si="11986"/>
        <v>0</v>
      </c>
      <c r="JZ484" s="581">
        <f t="shared" si="11276"/>
        <v>0</v>
      </c>
      <c r="KA484" s="581">
        <f t="shared" si="11277"/>
        <v>-3400</v>
      </c>
      <c r="KB484" s="549">
        <f t="shared" si="11273"/>
        <v>6600</v>
      </c>
      <c r="KC484" s="709">
        <f t="shared" si="11275"/>
        <v>0</v>
      </c>
      <c r="KD484" s="36"/>
      <c r="KE484" s="36"/>
      <c r="KF484" s="36"/>
      <c r="KG484" s="36"/>
      <c r="KH484" s="36"/>
      <c r="KI484" s="36"/>
      <c r="KJ484" s="36"/>
      <c r="KK484" s="36"/>
    </row>
    <row r="485" spans="1:297" s="10" customFormat="1">
      <c r="A485" s="86" t="s">
        <v>491</v>
      </c>
      <c r="B485" s="77" t="s">
        <v>181</v>
      </c>
      <c r="C485" s="74">
        <v>10000</v>
      </c>
      <c r="D485" s="549">
        <v>0</v>
      </c>
      <c r="E485" s="675">
        <v>0</v>
      </c>
      <c r="F485" s="549">
        <v>0</v>
      </c>
      <c r="G485" s="675">
        <v>0</v>
      </c>
      <c r="H485" s="549">
        <v>0</v>
      </c>
      <c r="I485" s="675">
        <v>0</v>
      </c>
      <c r="J485" s="549">
        <v>0</v>
      </c>
      <c r="K485" s="675">
        <v>0</v>
      </c>
      <c r="L485" s="549">
        <v>0</v>
      </c>
      <c r="M485" s="675">
        <v>0</v>
      </c>
      <c r="N485" s="549">
        <v>0</v>
      </c>
      <c r="O485" s="675">
        <v>0</v>
      </c>
      <c r="P485" s="549">
        <v>0</v>
      </c>
      <c r="Q485" s="675">
        <v>0</v>
      </c>
      <c r="R485" s="549">
        <v>0</v>
      </c>
      <c r="S485" s="675">
        <v>0</v>
      </c>
      <c r="T485" s="549">
        <v>0</v>
      </c>
      <c r="U485" s="675">
        <v>0</v>
      </c>
      <c r="V485" s="549">
        <v>0</v>
      </c>
      <c r="W485" s="675">
        <v>0</v>
      </c>
      <c r="X485" s="549">
        <v>0</v>
      </c>
      <c r="Y485" s="675">
        <v>0</v>
      </c>
      <c r="Z485" s="549">
        <v>0</v>
      </c>
      <c r="AA485" s="675">
        <v>0</v>
      </c>
      <c r="AB485" s="549">
        <v>0</v>
      </c>
      <c r="AC485" s="675">
        <v>0</v>
      </c>
      <c r="AD485" s="549">
        <v>0</v>
      </c>
      <c r="AE485" s="675">
        <v>0</v>
      </c>
      <c r="AF485" s="549">
        <v>0</v>
      </c>
      <c r="AG485" s="675">
        <v>0</v>
      </c>
      <c r="AH485" s="549">
        <v>0</v>
      </c>
      <c r="AI485" s="675">
        <v>0</v>
      </c>
      <c r="AJ485" s="549">
        <v>0</v>
      </c>
      <c r="AK485" s="675">
        <v>0</v>
      </c>
      <c r="AL485" s="549">
        <v>0</v>
      </c>
      <c r="AM485" s="675">
        <v>0</v>
      </c>
      <c r="AN485" s="549">
        <v>0</v>
      </c>
      <c r="AO485" s="675">
        <v>0</v>
      </c>
      <c r="AP485" s="549">
        <v>0</v>
      </c>
      <c r="AQ485" s="675">
        <v>0</v>
      </c>
      <c r="AR485" s="549">
        <v>0</v>
      </c>
      <c r="AS485" s="675">
        <v>0</v>
      </c>
      <c r="AT485" s="549">
        <v>0</v>
      </c>
      <c r="AU485" s="675">
        <v>0</v>
      </c>
      <c r="AV485" s="549">
        <v>0</v>
      </c>
      <c r="AW485" s="675">
        <v>0</v>
      </c>
      <c r="AX485" s="549">
        <v>0</v>
      </c>
      <c r="AY485" s="675">
        <v>0</v>
      </c>
      <c r="AZ485" s="549">
        <v>30000</v>
      </c>
      <c r="BA485" s="675">
        <v>0</v>
      </c>
      <c r="BB485" s="549">
        <v>0</v>
      </c>
      <c r="BC485" s="675">
        <v>0</v>
      </c>
      <c r="BD485" s="549">
        <v>0</v>
      </c>
      <c r="BE485" s="675">
        <v>0</v>
      </c>
      <c r="BF485" s="549">
        <v>0</v>
      </c>
      <c r="BG485" s="675">
        <v>0</v>
      </c>
      <c r="BH485" s="549">
        <v>0</v>
      </c>
      <c r="BI485" s="675">
        <v>0</v>
      </c>
      <c r="BJ485" s="549">
        <v>0</v>
      </c>
      <c r="BK485" s="675">
        <v>0</v>
      </c>
      <c r="BL485" s="549">
        <v>0</v>
      </c>
      <c r="BM485" s="675">
        <v>0</v>
      </c>
      <c r="BN485" s="549">
        <v>0</v>
      </c>
      <c r="BO485" s="675">
        <v>0</v>
      </c>
      <c r="BP485" s="549">
        <v>0</v>
      </c>
      <c r="BQ485" s="675">
        <v>0</v>
      </c>
      <c r="BR485" s="549">
        <v>0</v>
      </c>
      <c r="BS485" s="675">
        <v>0</v>
      </c>
      <c r="BT485" s="549">
        <v>0</v>
      </c>
      <c r="BU485" s="675">
        <v>0</v>
      </c>
      <c r="BV485" s="549">
        <v>0</v>
      </c>
      <c r="BW485" s="675">
        <v>0</v>
      </c>
      <c r="BX485" s="549">
        <v>0</v>
      </c>
      <c r="BY485" s="675">
        <v>0</v>
      </c>
      <c r="BZ485" s="549">
        <v>0</v>
      </c>
      <c r="CA485" s="675">
        <v>0</v>
      </c>
      <c r="CB485" s="549">
        <v>0</v>
      </c>
      <c r="CC485" s="675">
        <v>0</v>
      </c>
      <c r="CD485" s="549">
        <v>0</v>
      </c>
      <c r="CE485" s="675">
        <v>0</v>
      </c>
      <c r="CF485" s="549">
        <v>0</v>
      </c>
      <c r="CG485" s="675">
        <v>0</v>
      </c>
      <c r="CH485" s="549">
        <v>0</v>
      </c>
      <c r="CI485" s="675">
        <v>0</v>
      </c>
      <c r="CJ485" s="549">
        <v>0</v>
      </c>
      <c r="CK485" s="675">
        <v>-10000</v>
      </c>
      <c r="CL485" s="549">
        <v>0</v>
      </c>
      <c r="CM485" s="675">
        <v>0</v>
      </c>
      <c r="CN485" s="549">
        <v>0</v>
      </c>
      <c r="CO485" s="675">
        <v>0</v>
      </c>
      <c r="CP485" s="549">
        <v>0</v>
      </c>
      <c r="CQ485" s="675">
        <v>0</v>
      </c>
      <c r="CR485" s="549">
        <v>0</v>
      </c>
      <c r="CS485" s="675">
        <v>0</v>
      </c>
      <c r="CT485" s="549">
        <v>0</v>
      </c>
      <c r="CU485" s="675">
        <v>0</v>
      </c>
      <c r="CV485" s="549">
        <v>0</v>
      </c>
      <c r="CW485" s="675">
        <v>0</v>
      </c>
      <c r="CX485" s="549">
        <v>0</v>
      </c>
      <c r="CY485" s="675">
        <v>0</v>
      </c>
      <c r="CZ485" s="549">
        <v>0</v>
      </c>
      <c r="DA485" s="675">
        <v>0</v>
      </c>
      <c r="DB485" s="549">
        <v>0</v>
      </c>
      <c r="DC485" s="675">
        <v>0</v>
      </c>
      <c r="DD485" s="549">
        <v>0</v>
      </c>
      <c r="DE485" s="675">
        <v>0</v>
      </c>
      <c r="DF485" s="549">
        <v>0</v>
      </c>
      <c r="DG485" s="675">
        <v>0</v>
      </c>
      <c r="DH485" s="549">
        <v>0</v>
      </c>
      <c r="DI485" s="675">
        <v>0</v>
      </c>
      <c r="DJ485" s="549">
        <v>0</v>
      </c>
      <c r="DK485" s="675">
        <v>0</v>
      </c>
      <c r="DL485" s="549">
        <v>0</v>
      </c>
      <c r="DM485" s="675">
        <v>0</v>
      </c>
      <c r="DN485" s="549">
        <v>0</v>
      </c>
      <c r="DO485" s="675">
        <v>0</v>
      </c>
      <c r="DP485" s="549">
        <v>0</v>
      </c>
      <c r="DQ485" s="675">
        <v>0</v>
      </c>
      <c r="DR485" s="549">
        <v>0</v>
      </c>
      <c r="DS485" s="675">
        <v>0</v>
      </c>
      <c r="DT485" s="549">
        <v>0</v>
      </c>
      <c r="DU485" s="675">
        <v>0</v>
      </c>
      <c r="DV485" s="549">
        <v>0</v>
      </c>
      <c r="DW485" s="675">
        <v>0</v>
      </c>
      <c r="DX485" s="549">
        <v>0</v>
      </c>
      <c r="DY485" s="675">
        <v>0</v>
      </c>
      <c r="DZ485" s="549">
        <v>0</v>
      </c>
      <c r="EA485" s="675">
        <v>0</v>
      </c>
      <c r="EB485" s="549">
        <v>0</v>
      </c>
      <c r="EC485" s="675">
        <v>0</v>
      </c>
      <c r="ED485" s="549">
        <v>0</v>
      </c>
      <c r="EE485" s="675">
        <v>0</v>
      </c>
      <c r="EF485" s="549">
        <v>0</v>
      </c>
      <c r="EG485" s="675">
        <v>0</v>
      </c>
      <c r="EH485" s="549">
        <v>0</v>
      </c>
      <c r="EI485" s="675">
        <v>0</v>
      </c>
      <c r="EJ485" s="549">
        <v>0</v>
      </c>
      <c r="EK485" s="675">
        <v>0</v>
      </c>
      <c r="EL485" s="549">
        <v>0</v>
      </c>
      <c r="EM485" s="675">
        <v>0</v>
      </c>
      <c r="EN485" s="549">
        <v>0</v>
      </c>
      <c r="EO485" s="675">
        <v>0</v>
      </c>
      <c r="EP485" s="549">
        <v>0</v>
      </c>
      <c r="EQ485" s="675">
        <v>0</v>
      </c>
      <c r="ER485" s="549">
        <v>0</v>
      </c>
      <c r="ES485" s="675">
        <v>0</v>
      </c>
      <c r="ET485" s="549">
        <v>0</v>
      </c>
      <c r="EU485" s="675">
        <v>0</v>
      </c>
      <c r="EV485" s="549">
        <v>0</v>
      </c>
      <c r="EW485" s="675">
        <v>0</v>
      </c>
      <c r="EX485" s="549">
        <v>0</v>
      </c>
      <c r="EY485" s="675">
        <v>0</v>
      </c>
      <c r="EZ485" s="549">
        <v>0</v>
      </c>
      <c r="FA485" s="675">
        <v>0</v>
      </c>
      <c r="FB485" s="549">
        <v>0</v>
      </c>
      <c r="FC485" s="675">
        <v>0</v>
      </c>
      <c r="FD485" s="549">
        <v>0</v>
      </c>
      <c r="FE485" s="675">
        <v>-200</v>
      </c>
      <c r="FF485" s="549">
        <v>0</v>
      </c>
      <c r="FG485" s="675">
        <v>0</v>
      </c>
      <c r="FH485" s="549">
        <v>0</v>
      </c>
      <c r="FI485" s="675">
        <v>0</v>
      </c>
      <c r="FJ485" s="549">
        <v>0</v>
      </c>
      <c r="FK485" s="675">
        <v>0</v>
      </c>
      <c r="FL485" s="549">
        <v>0</v>
      </c>
      <c r="FM485" s="675">
        <v>0</v>
      </c>
      <c r="FN485" s="549">
        <v>0</v>
      </c>
      <c r="FO485" s="675">
        <v>0</v>
      </c>
      <c r="FP485" s="549">
        <v>0</v>
      </c>
      <c r="FQ485" s="675">
        <v>0</v>
      </c>
      <c r="FR485" s="549">
        <v>0</v>
      </c>
      <c r="FS485" s="675">
        <v>0</v>
      </c>
      <c r="FT485" s="549">
        <v>0</v>
      </c>
      <c r="FU485" s="675">
        <v>0</v>
      </c>
      <c r="FV485" s="549">
        <v>0</v>
      </c>
      <c r="FW485" s="675">
        <v>0</v>
      </c>
      <c r="FX485" s="549">
        <v>0</v>
      </c>
      <c r="FY485" s="675">
        <v>0</v>
      </c>
      <c r="FZ485" s="549">
        <v>0</v>
      </c>
      <c r="GA485" s="675">
        <v>0</v>
      </c>
      <c r="GB485" s="549">
        <v>0</v>
      </c>
      <c r="GC485" s="675">
        <v>0</v>
      </c>
      <c r="GD485" s="549">
        <v>0</v>
      </c>
      <c r="GE485" s="675">
        <v>0</v>
      </c>
      <c r="GF485" s="549">
        <v>0</v>
      </c>
      <c r="GG485" s="675">
        <v>0</v>
      </c>
      <c r="GH485" s="549">
        <v>0</v>
      </c>
      <c r="GI485" s="675">
        <v>0</v>
      </c>
      <c r="GJ485" s="549">
        <v>0</v>
      </c>
      <c r="GK485" s="675">
        <v>0</v>
      </c>
      <c r="GL485" s="549">
        <v>0</v>
      </c>
      <c r="GM485" s="675">
        <v>0</v>
      </c>
      <c r="GN485" s="549">
        <v>0</v>
      </c>
      <c r="GO485" s="675">
        <v>0</v>
      </c>
      <c r="GP485" s="549">
        <f t="shared" si="11987"/>
        <v>30000</v>
      </c>
      <c r="GQ485" s="675">
        <f t="shared" si="11988"/>
        <v>-10200</v>
      </c>
      <c r="GR485" s="74">
        <f>C485+GP485+GQ485</f>
        <v>29800</v>
      </c>
      <c r="GS485" s="74">
        <f t="shared" si="11989"/>
        <v>29800</v>
      </c>
      <c r="GT485" s="568">
        <f t="shared" si="11959"/>
        <v>29800</v>
      </c>
      <c r="GU485" s="275"/>
      <c r="GV485" s="275"/>
      <c r="GW485" s="275">
        <v>5000</v>
      </c>
      <c r="GX485" s="275"/>
      <c r="GY485" s="275"/>
      <c r="GZ485" s="275">
        <v>5000</v>
      </c>
      <c r="HA485" s="275"/>
      <c r="HB485" s="275"/>
      <c r="HC485" s="275"/>
      <c r="HD485" s="275">
        <v>0</v>
      </c>
      <c r="HE485" s="275">
        <v>0</v>
      </c>
      <c r="HF485" s="275">
        <v>0</v>
      </c>
      <c r="HG485" s="74">
        <f>SUM(HH485:IE485)</f>
        <v>29800</v>
      </c>
      <c r="HH485" s="89">
        <v>0</v>
      </c>
      <c r="HI485" s="817">
        <v>0</v>
      </c>
      <c r="HJ485" s="89">
        <v>0</v>
      </c>
      <c r="HK485" s="817">
        <v>0</v>
      </c>
      <c r="HL485" s="89">
        <v>5000</v>
      </c>
      <c r="HM485" s="817">
        <v>0</v>
      </c>
      <c r="HN485" s="89">
        <v>0</v>
      </c>
      <c r="HO485" s="817">
        <v>0</v>
      </c>
      <c r="HP485" s="89">
        <v>30000</v>
      </c>
      <c r="HQ485" s="817">
        <v>0</v>
      </c>
      <c r="HR485" s="89">
        <v>0</v>
      </c>
      <c r="HS485" s="817">
        <v>0</v>
      </c>
      <c r="HT485" s="89">
        <v>-5000</v>
      </c>
      <c r="HU485" s="817">
        <v>0</v>
      </c>
      <c r="HV485" s="89">
        <v>0</v>
      </c>
      <c r="HW485" s="817">
        <v>0</v>
      </c>
      <c r="HX485" s="89">
        <v>0</v>
      </c>
      <c r="HY485" s="817">
        <v>0</v>
      </c>
      <c r="HZ485" s="89">
        <v>-200</v>
      </c>
      <c r="IA485" s="817">
        <v>0</v>
      </c>
      <c r="IB485" s="89">
        <v>0</v>
      </c>
      <c r="IC485" s="817">
        <v>0</v>
      </c>
      <c r="ID485" s="89">
        <v>0</v>
      </c>
      <c r="IE485" s="817">
        <v>0</v>
      </c>
      <c r="IF485" s="841">
        <f t="shared" si="11960"/>
        <v>29663.56</v>
      </c>
      <c r="IG485" s="263">
        <f t="shared" si="11961"/>
        <v>29663.56</v>
      </c>
      <c r="IH485" s="842">
        <f t="shared" si="11962"/>
        <v>29663.56</v>
      </c>
      <c r="II485" s="89">
        <v>0</v>
      </c>
      <c r="IJ485" s="89">
        <f t="shared" si="11963"/>
        <v>0</v>
      </c>
      <c r="IK485" s="89">
        <f t="shared" si="11964"/>
        <v>0</v>
      </c>
      <c r="IL485" s="89">
        <v>0</v>
      </c>
      <c r="IM485" s="89">
        <f t="shared" si="11965"/>
        <v>0</v>
      </c>
      <c r="IN485" s="89">
        <f t="shared" si="11966"/>
        <v>0</v>
      </c>
      <c r="IO485" s="89">
        <v>0</v>
      </c>
      <c r="IP485" s="89">
        <f t="shared" si="11967"/>
        <v>0</v>
      </c>
      <c r="IQ485" s="89">
        <f t="shared" si="11968"/>
        <v>0</v>
      </c>
      <c r="IR485" s="89">
        <v>16.989999999999998</v>
      </c>
      <c r="IS485" s="89">
        <f t="shared" si="11969"/>
        <v>16.989999999999998</v>
      </c>
      <c r="IT485" s="89">
        <f t="shared" si="11970"/>
        <v>16.989999999999998</v>
      </c>
      <c r="IU485" s="89">
        <f>27821.38-16.99</f>
        <v>27804.39</v>
      </c>
      <c r="IV485" s="89">
        <f t="shared" si="11971"/>
        <v>27804.39</v>
      </c>
      <c r="IW485" s="89">
        <f t="shared" si="11972"/>
        <v>27804.39</v>
      </c>
      <c r="IX485" s="89">
        <f>28336.51-27821.38</f>
        <v>515.12999999999738</v>
      </c>
      <c r="IY485" s="89">
        <f t="shared" si="11973"/>
        <v>515.12999999999738</v>
      </c>
      <c r="IZ485" s="89">
        <f t="shared" si="11974"/>
        <v>515.12999999999738</v>
      </c>
      <c r="JA485" s="89">
        <f>28639.91-28336.51</f>
        <v>303.40000000000146</v>
      </c>
      <c r="JB485" s="89">
        <f t="shared" si="11975"/>
        <v>303.40000000000146</v>
      </c>
      <c r="JC485" s="89">
        <f t="shared" si="11976"/>
        <v>303.40000000000146</v>
      </c>
      <c r="JD485" s="89">
        <f>29633.59-28639.91</f>
        <v>993.68000000000029</v>
      </c>
      <c r="JE485" s="89">
        <f t="shared" si="11977"/>
        <v>993.68000000000029</v>
      </c>
      <c r="JF485" s="89">
        <f t="shared" si="11978"/>
        <v>993.68000000000029</v>
      </c>
      <c r="JG485" s="89">
        <f>29663.56-29633.59</f>
        <v>29.970000000001164</v>
      </c>
      <c r="JH485" s="89">
        <f t="shared" si="11979"/>
        <v>29.970000000001164</v>
      </c>
      <c r="JI485" s="89">
        <f t="shared" si="11980"/>
        <v>29.970000000001164</v>
      </c>
      <c r="JJ485" s="89">
        <v>0</v>
      </c>
      <c r="JK485" s="89">
        <f t="shared" si="11981"/>
        <v>0</v>
      </c>
      <c r="JL485" s="89">
        <f t="shared" si="11982"/>
        <v>0</v>
      </c>
      <c r="JM485" s="89">
        <v>0</v>
      </c>
      <c r="JN485" s="89">
        <f t="shared" si="11983"/>
        <v>0</v>
      </c>
      <c r="JO485" s="89">
        <f t="shared" si="11984"/>
        <v>0</v>
      </c>
      <c r="JP485" s="89">
        <v>0</v>
      </c>
      <c r="JQ485" s="89">
        <f t="shared" ref="JQ485:JR485" si="11991">JP485</f>
        <v>0</v>
      </c>
      <c r="JR485" s="89">
        <f t="shared" si="11991"/>
        <v>0</v>
      </c>
      <c r="JS485" s="74">
        <f>HG485-IF485</f>
        <v>136.43999999999869</v>
      </c>
      <c r="JT485" s="382">
        <f>GS485-IF485</f>
        <v>136.43999999999869</v>
      </c>
      <c r="JU485" s="665"/>
      <c r="JV485" s="524"/>
      <c r="JW485" s="525"/>
      <c r="JX485" s="549">
        <f t="shared" si="11986"/>
        <v>29800</v>
      </c>
      <c r="JY485" s="549">
        <f t="shared" si="11986"/>
        <v>0</v>
      </c>
      <c r="JZ485" s="581">
        <f t="shared" si="11276"/>
        <v>30000</v>
      </c>
      <c r="KA485" s="581">
        <f t="shared" si="11277"/>
        <v>-10200</v>
      </c>
      <c r="KB485" s="549">
        <f t="shared" si="11273"/>
        <v>29800</v>
      </c>
      <c r="KC485" s="709">
        <f t="shared" si="11275"/>
        <v>0</v>
      </c>
      <c r="KD485" s="36"/>
      <c r="KE485" s="36"/>
      <c r="KF485" s="36"/>
      <c r="KG485" s="36"/>
      <c r="KH485" s="36"/>
      <c r="KI485" s="36"/>
      <c r="KJ485" s="36"/>
      <c r="KK485" s="36"/>
    </row>
    <row r="486" spans="1:297" s="10" customFormat="1">
      <c r="A486" s="86" t="s">
        <v>291</v>
      </c>
      <c r="B486" s="77" t="s">
        <v>181</v>
      </c>
      <c r="C486" s="74">
        <v>39000</v>
      </c>
      <c r="D486" s="549">
        <v>0</v>
      </c>
      <c r="E486" s="675">
        <v>0</v>
      </c>
      <c r="F486" s="549">
        <v>0</v>
      </c>
      <c r="G486" s="675">
        <v>0</v>
      </c>
      <c r="H486" s="549">
        <v>0</v>
      </c>
      <c r="I486" s="675">
        <v>0</v>
      </c>
      <c r="J486" s="549">
        <v>0</v>
      </c>
      <c r="K486" s="675">
        <v>0</v>
      </c>
      <c r="L486" s="549">
        <v>0</v>
      </c>
      <c r="M486" s="675">
        <v>0</v>
      </c>
      <c r="N486" s="549">
        <v>0</v>
      </c>
      <c r="O486" s="675">
        <v>0</v>
      </c>
      <c r="P486" s="549">
        <v>0</v>
      </c>
      <c r="Q486" s="675">
        <v>0</v>
      </c>
      <c r="R486" s="549">
        <v>0</v>
      </c>
      <c r="S486" s="675">
        <v>0</v>
      </c>
      <c r="T486" s="549">
        <v>0</v>
      </c>
      <c r="U486" s="675">
        <v>0</v>
      </c>
      <c r="V486" s="549">
        <v>0</v>
      </c>
      <c r="W486" s="675">
        <v>-3000</v>
      </c>
      <c r="X486" s="549">
        <v>0</v>
      </c>
      <c r="Y486" s="675">
        <v>0</v>
      </c>
      <c r="Z486" s="549">
        <v>0</v>
      </c>
      <c r="AA486" s="675">
        <v>0</v>
      </c>
      <c r="AB486" s="549">
        <v>0</v>
      </c>
      <c r="AC486" s="675">
        <v>0</v>
      </c>
      <c r="AD486" s="549">
        <v>0</v>
      </c>
      <c r="AE486" s="675">
        <v>0</v>
      </c>
      <c r="AF486" s="549">
        <v>0</v>
      </c>
      <c r="AG486" s="675">
        <v>0</v>
      </c>
      <c r="AH486" s="549">
        <v>0</v>
      </c>
      <c r="AI486" s="675">
        <v>0</v>
      </c>
      <c r="AJ486" s="549">
        <v>0</v>
      </c>
      <c r="AK486" s="675">
        <v>0</v>
      </c>
      <c r="AL486" s="549">
        <v>0</v>
      </c>
      <c r="AM486" s="675">
        <v>0</v>
      </c>
      <c r="AN486" s="549">
        <v>0</v>
      </c>
      <c r="AO486" s="675">
        <v>0</v>
      </c>
      <c r="AP486" s="549">
        <v>0</v>
      </c>
      <c r="AQ486" s="675">
        <v>0</v>
      </c>
      <c r="AR486" s="549">
        <v>0</v>
      </c>
      <c r="AS486" s="675">
        <v>0</v>
      </c>
      <c r="AT486" s="549">
        <v>0</v>
      </c>
      <c r="AU486" s="675">
        <v>0</v>
      </c>
      <c r="AV486" s="549">
        <v>0</v>
      </c>
      <c r="AW486" s="675">
        <v>0</v>
      </c>
      <c r="AX486" s="549">
        <v>0</v>
      </c>
      <c r="AY486" s="675">
        <v>0</v>
      </c>
      <c r="AZ486" s="549">
        <v>0</v>
      </c>
      <c r="BA486" s="675">
        <v>0</v>
      </c>
      <c r="BB486" s="549">
        <v>0</v>
      </c>
      <c r="BC486" s="675">
        <v>0</v>
      </c>
      <c r="BD486" s="549">
        <v>0</v>
      </c>
      <c r="BE486" s="675">
        <v>0</v>
      </c>
      <c r="BF486" s="549">
        <v>0</v>
      </c>
      <c r="BG486" s="675">
        <v>0</v>
      </c>
      <c r="BH486" s="549">
        <v>0</v>
      </c>
      <c r="BI486" s="675">
        <v>0</v>
      </c>
      <c r="BJ486" s="549">
        <v>0</v>
      </c>
      <c r="BK486" s="675">
        <v>0</v>
      </c>
      <c r="BL486" s="549">
        <v>0</v>
      </c>
      <c r="BM486" s="675">
        <v>0</v>
      </c>
      <c r="BN486" s="549">
        <v>0</v>
      </c>
      <c r="BO486" s="675">
        <v>0</v>
      </c>
      <c r="BP486" s="549">
        <v>0</v>
      </c>
      <c r="BQ486" s="675">
        <v>0</v>
      </c>
      <c r="BR486" s="549">
        <v>0</v>
      </c>
      <c r="BS486" s="675">
        <v>0</v>
      </c>
      <c r="BT486" s="549">
        <v>0</v>
      </c>
      <c r="BU486" s="675">
        <v>0</v>
      </c>
      <c r="BV486" s="549">
        <v>0</v>
      </c>
      <c r="BW486" s="675">
        <v>0</v>
      </c>
      <c r="BX486" s="549">
        <v>0</v>
      </c>
      <c r="BY486" s="675">
        <v>0</v>
      </c>
      <c r="BZ486" s="549">
        <v>0</v>
      </c>
      <c r="CA486" s="675">
        <v>0</v>
      </c>
      <c r="CB486" s="549">
        <v>0</v>
      </c>
      <c r="CC486" s="675">
        <v>0</v>
      </c>
      <c r="CD486" s="549">
        <v>0</v>
      </c>
      <c r="CE486" s="675">
        <v>0</v>
      </c>
      <c r="CF486" s="549">
        <v>0</v>
      </c>
      <c r="CG486" s="675">
        <v>0</v>
      </c>
      <c r="CH486" s="549">
        <v>0</v>
      </c>
      <c r="CI486" s="675">
        <v>-4000</v>
      </c>
      <c r="CJ486" s="549">
        <v>0</v>
      </c>
      <c r="CK486" s="675">
        <v>-5000</v>
      </c>
      <c r="CL486" s="549">
        <v>0</v>
      </c>
      <c r="CM486" s="675">
        <v>0</v>
      </c>
      <c r="CN486" s="549">
        <v>0</v>
      </c>
      <c r="CO486" s="675">
        <v>0</v>
      </c>
      <c r="CP486" s="549">
        <v>0</v>
      </c>
      <c r="CQ486" s="675">
        <v>0</v>
      </c>
      <c r="CR486" s="549">
        <v>0</v>
      </c>
      <c r="CS486" s="675">
        <v>0</v>
      </c>
      <c r="CT486" s="549">
        <v>0</v>
      </c>
      <c r="CU486" s="675">
        <v>0</v>
      </c>
      <c r="CV486" s="549">
        <v>0</v>
      </c>
      <c r="CW486" s="675">
        <v>0</v>
      </c>
      <c r="CX486" s="549">
        <v>0</v>
      </c>
      <c r="CY486" s="675">
        <v>0</v>
      </c>
      <c r="CZ486" s="549">
        <v>0</v>
      </c>
      <c r="DA486" s="675">
        <v>-1000</v>
      </c>
      <c r="DB486" s="549">
        <v>0</v>
      </c>
      <c r="DC486" s="675">
        <v>0</v>
      </c>
      <c r="DD486" s="549">
        <v>0</v>
      </c>
      <c r="DE486" s="675">
        <v>0</v>
      </c>
      <c r="DF486" s="549">
        <v>0</v>
      </c>
      <c r="DG486" s="675">
        <v>0</v>
      </c>
      <c r="DH486" s="549">
        <v>0</v>
      </c>
      <c r="DI486" s="675">
        <v>0</v>
      </c>
      <c r="DJ486" s="549">
        <v>0</v>
      </c>
      <c r="DK486" s="675">
        <v>0</v>
      </c>
      <c r="DL486" s="549">
        <v>0</v>
      </c>
      <c r="DM486" s="675">
        <v>0</v>
      </c>
      <c r="DN486" s="549">
        <v>0</v>
      </c>
      <c r="DO486" s="675">
        <v>0</v>
      </c>
      <c r="DP486" s="549">
        <v>0</v>
      </c>
      <c r="DQ486" s="675">
        <v>0</v>
      </c>
      <c r="DR486" s="549">
        <v>0</v>
      </c>
      <c r="DS486" s="675">
        <v>0</v>
      </c>
      <c r="DT486" s="549">
        <v>0</v>
      </c>
      <c r="DU486" s="675">
        <v>0</v>
      </c>
      <c r="DV486" s="549">
        <v>0</v>
      </c>
      <c r="DW486" s="675">
        <v>0</v>
      </c>
      <c r="DX486" s="549">
        <v>0</v>
      </c>
      <c r="DY486" s="675">
        <v>0</v>
      </c>
      <c r="DZ486" s="549">
        <v>0</v>
      </c>
      <c r="EA486" s="675">
        <v>0</v>
      </c>
      <c r="EB486" s="549">
        <v>0</v>
      </c>
      <c r="EC486" s="675">
        <v>0</v>
      </c>
      <c r="ED486" s="549">
        <v>0</v>
      </c>
      <c r="EE486" s="675">
        <v>0</v>
      </c>
      <c r="EF486" s="549">
        <v>0</v>
      </c>
      <c r="EG486" s="675">
        <v>0</v>
      </c>
      <c r="EH486" s="549">
        <v>0</v>
      </c>
      <c r="EI486" s="675">
        <v>0</v>
      </c>
      <c r="EJ486" s="549">
        <v>0</v>
      </c>
      <c r="EK486" s="675">
        <v>0</v>
      </c>
      <c r="EL486" s="549">
        <v>0</v>
      </c>
      <c r="EM486" s="675">
        <v>0</v>
      </c>
      <c r="EN486" s="549">
        <v>0</v>
      </c>
      <c r="EO486" s="675">
        <v>0</v>
      </c>
      <c r="EP486" s="549">
        <v>0</v>
      </c>
      <c r="EQ486" s="675">
        <v>0</v>
      </c>
      <c r="ER486" s="549">
        <v>0</v>
      </c>
      <c r="ES486" s="675">
        <v>0</v>
      </c>
      <c r="ET486" s="549">
        <v>0</v>
      </c>
      <c r="EU486" s="675">
        <v>0</v>
      </c>
      <c r="EV486" s="549">
        <v>0</v>
      </c>
      <c r="EW486" s="675">
        <v>0</v>
      </c>
      <c r="EX486" s="549">
        <v>0</v>
      </c>
      <c r="EY486" s="675">
        <v>0</v>
      </c>
      <c r="EZ486" s="549">
        <v>0</v>
      </c>
      <c r="FA486" s="675">
        <v>0</v>
      </c>
      <c r="FB486" s="549">
        <v>0</v>
      </c>
      <c r="FC486" s="675">
        <v>0</v>
      </c>
      <c r="FD486" s="549">
        <v>0</v>
      </c>
      <c r="FE486" s="675">
        <v>0</v>
      </c>
      <c r="FF486" s="549">
        <v>0</v>
      </c>
      <c r="FG486" s="675">
        <v>0</v>
      </c>
      <c r="FH486" s="549">
        <v>0</v>
      </c>
      <c r="FI486" s="675">
        <v>0</v>
      </c>
      <c r="FJ486" s="549">
        <v>0</v>
      </c>
      <c r="FK486" s="675">
        <v>-5000</v>
      </c>
      <c r="FL486" s="549">
        <v>0</v>
      </c>
      <c r="FM486" s="675">
        <v>0</v>
      </c>
      <c r="FN486" s="549">
        <v>0</v>
      </c>
      <c r="FO486" s="675">
        <v>0</v>
      </c>
      <c r="FP486" s="549">
        <v>0</v>
      </c>
      <c r="FQ486" s="675">
        <v>0</v>
      </c>
      <c r="FR486" s="549">
        <v>0</v>
      </c>
      <c r="FS486" s="675">
        <v>0</v>
      </c>
      <c r="FT486" s="549">
        <v>0</v>
      </c>
      <c r="FU486" s="675">
        <v>0</v>
      </c>
      <c r="FV486" s="549">
        <v>0</v>
      </c>
      <c r="FW486" s="675">
        <v>0</v>
      </c>
      <c r="FX486" s="549">
        <v>0</v>
      </c>
      <c r="FY486" s="675">
        <v>0</v>
      </c>
      <c r="FZ486" s="549">
        <v>0</v>
      </c>
      <c r="GA486" s="675">
        <v>0</v>
      </c>
      <c r="GB486" s="549">
        <v>0</v>
      </c>
      <c r="GC486" s="675">
        <v>0</v>
      </c>
      <c r="GD486" s="549">
        <v>0</v>
      </c>
      <c r="GE486" s="675">
        <v>0</v>
      </c>
      <c r="GF486" s="549">
        <v>0</v>
      </c>
      <c r="GG486" s="675">
        <v>0</v>
      </c>
      <c r="GH486" s="549">
        <v>0</v>
      </c>
      <c r="GI486" s="675">
        <v>0</v>
      </c>
      <c r="GJ486" s="549">
        <v>0</v>
      </c>
      <c r="GK486" s="675">
        <v>0</v>
      </c>
      <c r="GL486" s="549">
        <v>0</v>
      </c>
      <c r="GM486" s="675">
        <v>0</v>
      </c>
      <c r="GN486" s="549">
        <v>0</v>
      </c>
      <c r="GO486" s="675">
        <v>0</v>
      </c>
      <c r="GP486" s="549">
        <f t="shared" si="11987"/>
        <v>0</v>
      </c>
      <c r="GQ486" s="675">
        <f t="shared" si="11988"/>
        <v>-18000</v>
      </c>
      <c r="GR486" s="74">
        <f>C486+GP486+GQ486</f>
        <v>21000</v>
      </c>
      <c r="GS486" s="74">
        <f t="shared" si="11989"/>
        <v>21000</v>
      </c>
      <c r="GT486" s="568">
        <f t="shared" si="11959"/>
        <v>21000</v>
      </c>
      <c r="GU486" s="275">
        <v>3900</v>
      </c>
      <c r="GV486" s="275">
        <v>3900</v>
      </c>
      <c r="GW486" s="275">
        <v>3900</v>
      </c>
      <c r="GX486" s="275">
        <v>3900</v>
      </c>
      <c r="GY486" s="275">
        <v>3900</v>
      </c>
      <c r="GZ486" s="275">
        <v>3900</v>
      </c>
      <c r="HA486" s="275">
        <v>3900</v>
      </c>
      <c r="HB486" s="275">
        <v>3900</v>
      </c>
      <c r="HC486" s="275">
        <v>3900</v>
      </c>
      <c r="HD486" s="275">
        <v>3900</v>
      </c>
      <c r="HE486" s="275">
        <v>0</v>
      </c>
      <c r="HF486" s="275">
        <v>0</v>
      </c>
      <c r="HG486" s="74">
        <f>SUM(HH486:IE486)</f>
        <v>21000</v>
      </c>
      <c r="HH486" s="89">
        <v>3900</v>
      </c>
      <c r="HI486" s="817">
        <v>0</v>
      </c>
      <c r="HJ486" s="89">
        <v>3900</v>
      </c>
      <c r="HK486" s="817">
        <v>0</v>
      </c>
      <c r="HL486" s="89">
        <v>900</v>
      </c>
      <c r="HM486" s="817">
        <v>0</v>
      </c>
      <c r="HN486" s="89">
        <v>3900</v>
      </c>
      <c r="HO486" s="817">
        <v>0</v>
      </c>
      <c r="HP486" s="89">
        <v>0</v>
      </c>
      <c r="HQ486" s="817">
        <v>0</v>
      </c>
      <c r="HR486" s="89">
        <v>3800</v>
      </c>
      <c r="HS486" s="817">
        <v>0</v>
      </c>
      <c r="HT486" s="89">
        <v>-2100</v>
      </c>
      <c r="HU486" s="817">
        <v>0</v>
      </c>
      <c r="HV486" s="89">
        <v>0</v>
      </c>
      <c r="HW486" s="817">
        <v>0</v>
      </c>
      <c r="HX486" s="89">
        <v>7800</v>
      </c>
      <c r="HY486" s="817">
        <v>0</v>
      </c>
      <c r="HZ486" s="89">
        <v>-1100</v>
      </c>
      <c r="IA486" s="817">
        <v>0</v>
      </c>
      <c r="IB486" s="89">
        <v>0</v>
      </c>
      <c r="IC486" s="817">
        <v>0</v>
      </c>
      <c r="ID486" s="89">
        <v>0</v>
      </c>
      <c r="IE486" s="817">
        <v>0</v>
      </c>
      <c r="IF486" s="841">
        <f t="shared" si="11960"/>
        <v>15246.31</v>
      </c>
      <c r="IG486" s="263">
        <f t="shared" si="11961"/>
        <v>15246.31</v>
      </c>
      <c r="IH486" s="842">
        <f t="shared" si="11962"/>
        <v>15246.31</v>
      </c>
      <c r="II486" s="89">
        <v>1785.95</v>
      </c>
      <c r="IJ486" s="89">
        <f t="shared" si="11963"/>
        <v>1785.95</v>
      </c>
      <c r="IK486" s="89">
        <f t="shared" si="11964"/>
        <v>1785.95</v>
      </c>
      <c r="IL486" s="89">
        <f>2805.93-1785.95</f>
        <v>1019.9799999999998</v>
      </c>
      <c r="IM486" s="89">
        <f t="shared" si="11965"/>
        <v>1019.9799999999998</v>
      </c>
      <c r="IN486" s="89">
        <f t="shared" si="11966"/>
        <v>1019.9799999999998</v>
      </c>
      <c r="IO486" s="89">
        <f>2806.63-2805.93</f>
        <v>0.70000000000027285</v>
      </c>
      <c r="IP486" s="89">
        <f t="shared" si="11967"/>
        <v>0.70000000000027285</v>
      </c>
      <c r="IQ486" s="89">
        <f t="shared" si="11968"/>
        <v>0.70000000000027285</v>
      </c>
      <c r="IR486" s="89">
        <f>4130.7-2806.63</f>
        <v>1324.0699999999997</v>
      </c>
      <c r="IS486" s="89">
        <f t="shared" si="11969"/>
        <v>1324.0699999999997</v>
      </c>
      <c r="IT486" s="89">
        <f t="shared" si="11970"/>
        <v>1324.0699999999997</v>
      </c>
      <c r="IU486" s="89">
        <f>6829-4130.7</f>
        <v>2698.3</v>
      </c>
      <c r="IV486" s="89">
        <f t="shared" si="11971"/>
        <v>2698.3</v>
      </c>
      <c r="IW486" s="89">
        <f t="shared" si="11972"/>
        <v>2698.3</v>
      </c>
      <c r="IX486" s="89">
        <f>7306.04-6829</f>
        <v>477.03999999999996</v>
      </c>
      <c r="IY486" s="89">
        <f t="shared" si="11973"/>
        <v>477.03999999999996</v>
      </c>
      <c r="IZ486" s="89">
        <f t="shared" si="11974"/>
        <v>477.03999999999996</v>
      </c>
      <c r="JA486" s="89">
        <f>9261.33-7306.04</f>
        <v>1955.29</v>
      </c>
      <c r="JB486" s="89">
        <f t="shared" si="11975"/>
        <v>1955.29</v>
      </c>
      <c r="JC486" s="89">
        <f t="shared" si="11976"/>
        <v>1955.29</v>
      </c>
      <c r="JD486" s="89">
        <f>13926.2-9261.33</f>
        <v>4664.8700000000008</v>
      </c>
      <c r="JE486" s="89">
        <f t="shared" si="11977"/>
        <v>4664.8700000000008</v>
      </c>
      <c r="JF486" s="89">
        <f t="shared" si="11978"/>
        <v>4664.8700000000008</v>
      </c>
      <c r="JG486" s="89">
        <f>14517.86-13926.2</f>
        <v>591.65999999999985</v>
      </c>
      <c r="JH486" s="89">
        <f t="shared" si="11979"/>
        <v>591.65999999999985</v>
      </c>
      <c r="JI486" s="89">
        <f t="shared" si="11980"/>
        <v>591.65999999999985</v>
      </c>
      <c r="JJ486" s="89">
        <f>15246.31-14517.86</f>
        <v>728.44999999999891</v>
      </c>
      <c r="JK486" s="89">
        <f t="shared" si="11981"/>
        <v>728.44999999999891</v>
      </c>
      <c r="JL486" s="89">
        <f t="shared" si="11982"/>
        <v>728.44999999999891</v>
      </c>
      <c r="JM486" s="89">
        <v>0</v>
      </c>
      <c r="JN486" s="89">
        <f t="shared" si="11983"/>
        <v>0</v>
      </c>
      <c r="JO486" s="89">
        <f t="shared" si="11984"/>
        <v>0</v>
      </c>
      <c r="JP486" s="89">
        <v>0</v>
      </c>
      <c r="JQ486" s="89">
        <f t="shared" ref="JQ486:JR486" si="11992">JP486</f>
        <v>0</v>
      </c>
      <c r="JR486" s="89">
        <f t="shared" si="11992"/>
        <v>0</v>
      </c>
      <c r="JS486" s="74">
        <f>HG486-IF486</f>
        <v>5753.6900000000005</v>
      </c>
      <c r="JT486" s="382">
        <f>GS486-IF486</f>
        <v>5753.6900000000005</v>
      </c>
      <c r="JU486" s="665"/>
      <c r="JV486" s="524"/>
      <c r="JW486" s="525"/>
      <c r="JX486" s="549">
        <f t="shared" si="11986"/>
        <v>21000</v>
      </c>
      <c r="JY486" s="549">
        <f t="shared" si="11986"/>
        <v>0</v>
      </c>
      <c r="JZ486" s="581">
        <f t="shared" si="11276"/>
        <v>0</v>
      </c>
      <c r="KA486" s="581">
        <f t="shared" si="11277"/>
        <v>-18000</v>
      </c>
      <c r="KB486" s="549">
        <f t="shared" si="11273"/>
        <v>21000</v>
      </c>
      <c r="KC486" s="709">
        <f t="shared" si="11275"/>
        <v>0</v>
      </c>
      <c r="KD486" s="36"/>
      <c r="KE486" s="36"/>
      <c r="KF486" s="36"/>
      <c r="KG486" s="36"/>
      <c r="KH486" s="36"/>
      <c r="KI486" s="36"/>
      <c r="KJ486" s="36"/>
      <c r="KK486" s="36"/>
    </row>
    <row r="487" spans="1:297" s="10" customFormat="1">
      <c r="A487" s="91"/>
      <c r="B487" s="77"/>
      <c r="C487" s="74"/>
      <c r="D487" s="549"/>
      <c r="E487" s="675"/>
      <c r="F487" s="549"/>
      <c r="G487" s="675"/>
      <c r="H487" s="549"/>
      <c r="I487" s="675"/>
      <c r="J487" s="549"/>
      <c r="K487" s="675"/>
      <c r="L487" s="549"/>
      <c r="M487" s="675"/>
      <c r="N487" s="549"/>
      <c r="O487" s="675"/>
      <c r="P487" s="549"/>
      <c r="Q487" s="675"/>
      <c r="R487" s="549"/>
      <c r="S487" s="675"/>
      <c r="T487" s="549"/>
      <c r="U487" s="675"/>
      <c r="V487" s="549"/>
      <c r="W487" s="675"/>
      <c r="X487" s="549"/>
      <c r="Y487" s="675"/>
      <c r="Z487" s="549"/>
      <c r="AA487" s="675"/>
      <c r="AB487" s="549"/>
      <c r="AC487" s="675"/>
      <c r="AD487" s="549"/>
      <c r="AE487" s="675"/>
      <c r="AF487" s="549"/>
      <c r="AG487" s="675"/>
      <c r="AH487" s="549"/>
      <c r="AI487" s="675"/>
      <c r="AJ487" s="549"/>
      <c r="AK487" s="675"/>
      <c r="AL487" s="549"/>
      <c r="AM487" s="675"/>
      <c r="AN487" s="549"/>
      <c r="AO487" s="675"/>
      <c r="AP487" s="549"/>
      <c r="AQ487" s="675"/>
      <c r="AR487" s="549"/>
      <c r="AS487" s="675"/>
      <c r="AT487" s="549"/>
      <c r="AU487" s="675"/>
      <c r="AV487" s="549"/>
      <c r="AW487" s="675"/>
      <c r="AX487" s="549"/>
      <c r="AY487" s="675"/>
      <c r="AZ487" s="549"/>
      <c r="BA487" s="675"/>
      <c r="BB487" s="549"/>
      <c r="BC487" s="675"/>
      <c r="BD487" s="549"/>
      <c r="BE487" s="675"/>
      <c r="BF487" s="549"/>
      <c r="BG487" s="675"/>
      <c r="BH487" s="549"/>
      <c r="BI487" s="675"/>
      <c r="BJ487" s="549"/>
      <c r="BK487" s="675"/>
      <c r="BL487" s="549"/>
      <c r="BM487" s="675"/>
      <c r="BN487" s="549"/>
      <c r="BO487" s="675"/>
      <c r="BP487" s="549"/>
      <c r="BQ487" s="675"/>
      <c r="BR487" s="549"/>
      <c r="BS487" s="675"/>
      <c r="BT487" s="549"/>
      <c r="BU487" s="675"/>
      <c r="BV487" s="549"/>
      <c r="BW487" s="675"/>
      <c r="BX487" s="549"/>
      <c r="BY487" s="675"/>
      <c r="BZ487" s="549"/>
      <c r="CA487" s="675"/>
      <c r="CB487" s="549"/>
      <c r="CC487" s="675"/>
      <c r="CD487" s="549"/>
      <c r="CE487" s="675"/>
      <c r="CF487" s="549"/>
      <c r="CG487" s="675"/>
      <c r="CH487" s="549"/>
      <c r="CI487" s="675"/>
      <c r="CJ487" s="549"/>
      <c r="CK487" s="675"/>
      <c r="CL487" s="549"/>
      <c r="CM487" s="675"/>
      <c r="CN487" s="549"/>
      <c r="CO487" s="675"/>
      <c r="CP487" s="549"/>
      <c r="CQ487" s="675"/>
      <c r="CR487" s="549"/>
      <c r="CS487" s="675"/>
      <c r="CT487" s="549"/>
      <c r="CU487" s="675"/>
      <c r="CV487" s="549"/>
      <c r="CW487" s="675"/>
      <c r="CX487" s="549"/>
      <c r="CY487" s="675"/>
      <c r="CZ487" s="549"/>
      <c r="DA487" s="675"/>
      <c r="DB487" s="549"/>
      <c r="DC487" s="675"/>
      <c r="DD487" s="549"/>
      <c r="DE487" s="675"/>
      <c r="DF487" s="549"/>
      <c r="DG487" s="675"/>
      <c r="DH487" s="549"/>
      <c r="DI487" s="675"/>
      <c r="DJ487" s="549"/>
      <c r="DK487" s="675"/>
      <c r="DL487" s="549"/>
      <c r="DM487" s="675"/>
      <c r="DN487" s="549"/>
      <c r="DO487" s="675"/>
      <c r="DP487" s="549"/>
      <c r="DQ487" s="675"/>
      <c r="DR487" s="549"/>
      <c r="DS487" s="675"/>
      <c r="DT487" s="549"/>
      <c r="DU487" s="675"/>
      <c r="DV487" s="549"/>
      <c r="DW487" s="675"/>
      <c r="DX487" s="549"/>
      <c r="DY487" s="675"/>
      <c r="DZ487" s="549"/>
      <c r="EA487" s="675"/>
      <c r="EB487" s="549"/>
      <c r="EC487" s="675"/>
      <c r="ED487" s="549"/>
      <c r="EE487" s="675"/>
      <c r="EF487" s="549"/>
      <c r="EG487" s="675"/>
      <c r="EH487" s="549"/>
      <c r="EI487" s="675"/>
      <c r="EJ487" s="549"/>
      <c r="EK487" s="675"/>
      <c r="EL487" s="549"/>
      <c r="EM487" s="675"/>
      <c r="EN487" s="549"/>
      <c r="EO487" s="675"/>
      <c r="EP487" s="549"/>
      <c r="EQ487" s="675"/>
      <c r="ER487" s="549"/>
      <c r="ES487" s="675"/>
      <c r="ET487" s="549"/>
      <c r="EU487" s="675"/>
      <c r="EV487" s="549"/>
      <c r="EW487" s="675"/>
      <c r="EX487" s="549"/>
      <c r="EY487" s="675"/>
      <c r="EZ487" s="549"/>
      <c r="FA487" s="675"/>
      <c r="FB487" s="549"/>
      <c r="FC487" s="675"/>
      <c r="FD487" s="549"/>
      <c r="FE487" s="675"/>
      <c r="FF487" s="549"/>
      <c r="FG487" s="675"/>
      <c r="FH487" s="549"/>
      <c r="FI487" s="675"/>
      <c r="FJ487" s="549"/>
      <c r="FK487" s="675"/>
      <c r="FL487" s="549"/>
      <c r="FM487" s="675"/>
      <c r="FN487" s="549"/>
      <c r="FO487" s="675"/>
      <c r="FP487" s="549"/>
      <c r="FQ487" s="675"/>
      <c r="FR487" s="549"/>
      <c r="FS487" s="675"/>
      <c r="FT487" s="549"/>
      <c r="FU487" s="675"/>
      <c r="FV487" s="549"/>
      <c r="FW487" s="675"/>
      <c r="FX487" s="549"/>
      <c r="FY487" s="675"/>
      <c r="FZ487" s="549"/>
      <c r="GA487" s="675"/>
      <c r="GB487" s="549"/>
      <c r="GC487" s="675"/>
      <c r="GD487" s="549"/>
      <c r="GE487" s="675"/>
      <c r="GF487" s="549"/>
      <c r="GG487" s="675"/>
      <c r="GH487" s="549"/>
      <c r="GI487" s="675"/>
      <c r="GJ487" s="549"/>
      <c r="GK487" s="675"/>
      <c r="GL487" s="549"/>
      <c r="GM487" s="675"/>
      <c r="GN487" s="549"/>
      <c r="GO487" s="675"/>
      <c r="GP487" s="549"/>
      <c r="GQ487" s="675"/>
      <c r="GR487" s="74"/>
      <c r="GS487" s="74"/>
      <c r="GT487" s="549"/>
      <c r="GU487" s="73"/>
      <c r="GV487" s="73"/>
      <c r="GW487" s="549"/>
      <c r="GX487" s="549"/>
      <c r="GY487" s="73"/>
      <c r="GZ487" s="73"/>
      <c r="HA487" s="73"/>
      <c r="HB487" s="73"/>
      <c r="HC487" s="73"/>
      <c r="HD487" s="73"/>
      <c r="HE487" s="73"/>
      <c r="HF487" s="73"/>
      <c r="HG487" s="74"/>
      <c r="HH487" s="73"/>
      <c r="HI487" s="815"/>
      <c r="HJ487" s="73"/>
      <c r="HK487" s="815"/>
      <c r="HL487" s="73"/>
      <c r="HM487" s="815"/>
      <c r="HN487" s="73"/>
      <c r="HO487" s="815"/>
      <c r="HP487" s="73"/>
      <c r="HQ487" s="815"/>
      <c r="HR487" s="73"/>
      <c r="HS487" s="815"/>
      <c r="HT487" s="73"/>
      <c r="HU487" s="815"/>
      <c r="HV487" s="73"/>
      <c r="HW487" s="815"/>
      <c r="HX487" s="73"/>
      <c r="HY487" s="815"/>
      <c r="HZ487" s="73"/>
      <c r="IA487" s="815"/>
      <c r="IB487" s="73"/>
      <c r="IC487" s="815"/>
      <c r="ID487" s="73"/>
      <c r="IE487" s="815"/>
      <c r="IF487" s="841"/>
      <c r="IG487" s="263"/>
      <c r="IH487" s="842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  <c r="JD487" s="73"/>
      <c r="JE487" s="73"/>
      <c r="JF487" s="73"/>
      <c r="JG487" s="73"/>
      <c r="JH487" s="73"/>
      <c r="JI487" s="73"/>
      <c r="JJ487" s="73"/>
      <c r="JK487" s="73"/>
      <c r="JL487" s="73"/>
      <c r="JM487" s="73"/>
      <c r="JN487" s="73"/>
      <c r="JO487" s="73"/>
      <c r="JP487" s="73"/>
      <c r="JQ487" s="73"/>
      <c r="JR487" s="73"/>
      <c r="JS487" s="74"/>
      <c r="JT487" s="382"/>
      <c r="JU487" s="665"/>
      <c r="JV487" s="524"/>
      <c r="JW487" s="525"/>
      <c r="JX487" s="549"/>
      <c r="JY487" s="549"/>
      <c r="JZ487" s="581">
        <f t="shared" si="11276"/>
        <v>0</v>
      </c>
      <c r="KA487" s="581">
        <f t="shared" si="11277"/>
        <v>0</v>
      </c>
      <c r="KB487" s="549">
        <f t="shared" si="11273"/>
        <v>0</v>
      </c>
      <c r="KC487" s="709">
        <f t="shared" si="11275"/>
        <v>0</v>
      </c>
      <c r="KD487" s="36"/>
      <c r="KE487" s="36"/>
      <c r="KF487" s="36"/>
      <c r="KG487" s="36"/>
      <c r="KH487" s="36"/>
      <c r="KI487" s="36"/>
      <c r="KJ487" s="36"/>
      <c r="KK487" s="36"/>
    </row>
    <row r="488" spans="1:297" s="8" customFormat="1">
      <c r="A488" s="80" t="s">
        <v>292</v>
      </c>
      <c r="B488" s="72" t="s">
        <v>183</v>
      </c>
      <c r="C488" s="74">
        <f t="shared" ref="C488" si="11993">SUM(C489:C496)</f>
        <v>125000</v>
      </c>
      <c r="D488" s="549">
        <f t="shared" ref="D488:E488" si="11994">SUM(D489:D496)</f>
        <v>0</v>
      </c>
      <c r="E488" s="675">
        <f t="shared" si="11994"/>
        <v>0</v>
      </c>
      <c r="F488" s="549">
        <f t="shared" ref="F488:G488" si="11995">SUM(F489:F496)</f>
        <v>0</v>
      </c>
      <c r="G488" s="675">
        <f t="shared" si="11995"/>
        <v>0</v>
      </c>
      <c r="H488" s="549">
        <f t="shared" ref="H488:I488" si="11996">SUM(H489:H496)</f>
        <v>0</v>
      </c>
      <c r="I488" s="675">
        <f t="shared" si="11996"/>
        <v>0</v>
      </c>
      <c r="J488" s="549">
        <f t="shared" ref="J488:K488" si="11997">SUM(J489:J496)</f>
        <v>0</v>
      </c>
      <c r="K488" s="675">
        <f t="shared" si="11997"/>
        <v>0</v>
      </c>
      <c r="L488" s="549">
        <f t="shared" ref="L488:M488" si="11998">SUM(L489:L496)</f>
        <v>0</v>
      </c>
      <c r="M488" s="675">
        <f t="shared" si="11998"/>
        <v>0</v>
      </c>
      <c r="N488" s="549">
        <f t="shared" ref="N488:O488" si="11999">SUM(N489:N496)</f>
        <v>0</v>
      </c>
      <c r="O488" s="675">
        <f t="shared" si="11999"/>
        <v>0</v>
      </c>
      <c r="P488" s="549">
        <f t="shared" ref="P488:Q488" si="12000">SUM(P489:P496)</f>
        <v>0</v>
      </c>
      <c r="Q488" s="675">
        <f t="shared" si="12000"/>
        <v>0</v>
      </c>
      <c r="R488" s="549">
        <f t="shared" ref="R488:S488" si="12001">SUM(R489:R496)</f>
        <v>0</v>
      </c>
      <c r="S488" s="675">
        <f t="shared" si="12001"/>
        <v>0</v>
      </c>
      <c r="T488" s="549">
        <f t="shared" ref="T488:AM488" si="12002">SUM(T489:T496)</f>
        <v>0</v>
      </c>
      <c r="U488" s="675">
        <f t="shared" si="12002"/>
        <v>0</v>
      </c>
      <c r="V488" s="549">
        <f t="shared" si="12002"/>
        <v>0</v>
      </c>
      <c r="W488" s="675">
        <f t="shared" si="12002"/>
        <v>-9000</v>
      </c>
      <c r="X488" s="549">
        <f t="shared" si="12002"/>
        <v>0</v>
      </c>
      <c r="Y488" s="675">
        <f t="shared" si="12002"/>
        <v>0</v>
      </c>
      <c r="Z488" s="549">
        <f t="shared" si="12002"/>
        <v>0</v>
      </c>
      <c r="AA488" s="675">
        <f t="shared" si="12002"/>
        <v>0</v>
      </c>
      <c r="AB488" s="549">
        <f t="shared" si="12002"/>
        <v>0</v>
      </c>
      <c r="AC488" s="675">
        <f t="shared" si="12002"/>
        <v>0</v>
      </c>
      <c r="AD488" s="549">
        <f t="shared" ref="AD488:AK488" si="12003">SUM(AD489:AD496)</f>
        <v>3000</v>
      </c>
      <c r="AE488" s="675">
        <f t="shared" si="12003"/>
        <v>-4000</v>
      </c>
      <c r="AF488" s="549">
        <f t="shared" si="12003"/>
        <v>0</v>
      </c>
      <c r="AG488" s="675">
        <f t="shared" si="12003"/>
        <v>0</v>
      </c>
      <c r="AH488" s="549">
        <f t="shared" si="12003"/>
        <v>0</v>
      </c>
      <c r="AI488" s="675">
        <f t="shared" si="12003"/>
        <v>0</v>
      </c>
      <c r="AJ488" s="549">
        <f t="shared" si="12003"/>
        <v>0</v>
      </c>
      <c r="AK488" s="675">
        <f t="shared" si="12003"/>
        <v>0</v>
      </c>
      <c r="AL488" s="549">
        <f t="shared" si="12002"/>
        <v>0</v>
      </c>
      <c r="AM488" s="675">
        <f t="shared" si="12002"/>
        <v>0</v>
      </c>
      <c r="AN488" s="549">
        <f t="shared" ref="AN488:AS488" si="12004">SUM(AN489:AN496)</f>
        <v>0</v>
      </c>
      <c r="AO488" s="675">
        <f t="shared" si="12004"/>
        <v>0</v>
      </c>
      <c r="AP488" s="549">
        <f t="shared" si="12004"/>
        <v>0</v>
      </c>
      <c r="AQ488" s="675">
        <f t="shared" si="12004"/>
        <v>0</v>
      </c>
      <c r="AR488" s="549">
        <f t="shared" si="12004"/>
        <v>0</v>
      </c>
      <c r="AS488" s="675">
        <f t="shared" si="12004"/>
        <v>0</v>
      </c>
      <c r="AT488" s="549">
        <f t="shared" ref="AT488:AU488" si="12005">SUM(AT489:AT496)</f>
        <v>0</v>
      </c>
      <c r="AU488" s="675">
        <f t="shared" si="12005"/>
        <v>0</v>
      </c>
      <c r="AV488" s="549">
        <f t="shared" ref="AV488:AW488" si="12006">SUM(AV489:AV496)</f>
        <v>0</v>
      </c>
      <c r="AW488" s="675">
        <f t="shared" si="12006"/>
        <v>0</v>
      </c>
      <c r="AX488" s="549">
        <f t="shared" ref="AX488:AY488" si="12007">SUM(AX489:AX496)</f>
        <v>0</v>
      </c>
      <c r="AY488" s="675">
        <f t="shared" si="12007"/>
        <v>0</v>
      </c>
      <c r="AZ488" s="549">
        <f t="shared" ref="AZ488:BA488" si="12008">SUM(AZ489:AZ496)</f>
        <v>0</v>
      </c>
      <c r="BA488" s="675">
        <f t="shared" si="12008"/>
        <v>0</v>
      </c>
      <c r="BB488" s="549">
        <f t="shared" ref="BB488:BC488" si="12009">SUM(BB489:BB496)</f>
        <v>0</v>
      </c>
      <c r="BC488" s="675">
        <f t="shared" si="12009"/>
        <v>0</v>
      </c>
      <c r="BD488" s="549">
        <f t="shared" ref="BD488:BE488" si="12010">SUM(BD489:BD496)</f>
        <v>0</v>
      </c>
      <c r="BE488" s="675">
        <f t="shared" si="12010"/>
        <v>0</v>
      </c>
      <c r="BF488" s="549">
        <f t="shared" ref="BF488:BG488" si="12011">SUM(BF489:BF496)</f>
        <v>10000</v>
      </c>
      <c r="BG488" s="675">
        <f t="shared" si="12011"/>
        <v>0</v>
      </c>
      <c r="BH488" s="549">
        <f t="shared" ref="BH488:BI488" si="12012">SUM(BH489:BH496)</f>
        <v>0</v>
      </c>
      <c r="BI488" s="675">
        <f t="shared" si="12012"/>
        <v>0</v>
      </c>
      <c r="BJ488" s="549">
        <f t="shared" ref="BJ488:BK488" si="12013">SUM(BJ489:BJ496)</f>
        <v>0</v>
      </c>
      <c r="BK488" s="675">
        <f t="shared" si="12013"/>
        <v>0</v>
      </c>
      <c r="BL488" s="549">
        <f t="shared" ref="BL488:BS488" si="12014">SUM(BL489:BL496)</f>
        <v>0</v>
      </c>
      <c r="BM488" s="675">
        <f t="shared" si="12014"/>
        <v>0</v>
      </c>
      <c r="BN488" s="549">
        <f t="shared" si="12014"/>
        <v>0</v>
      </c>
      <c r="BO488" s="675">
        <f t="shared" si="12014"/>
        <v>0</v>
      </c>
      <c r="BP488" s="549">
        <f t="shared" si="12014"/>
        <v>0</v>
      </c>
      <c r="BQ488" s="675">
        <f t="shared" si="12014"/>
        <v>0</v>
      </c>
      <c r="BR488" s="549">
        <f t="shared" si="12014"/>
        <v>0</v>
      </c>
      <c r="BS488" s="675">
        <f t="shared" si="12014"/>
        <v>0</v>
      </c>
      <c r="BT488" s="549">
        <f t="shared" ref="BT488:BU488" si="12015">SUM(BT489:BT496)</f>
        <v>0</v>
      </c>
      <c r="BU488" s="675">
        <f t="shared" si="12015"/>
        <v>0</v>
      </c>
      <c r="BV488" s="549">
        <f t="shared" ref="BV488:BW488" si="12016">SUM(BV489:BV496)</f>
        <v>0</v>
      </c>
      <c r="BW488" s="675">
        <f t="shared" si="12016"/>
        <v>0</v>
      </c>
      <c r="BX488" s="549">
        <f t="shared" ref="BX488:BY488" si="12017">SUM(BX489:BX496)</f>
        <v>0</v>
      </c>
      <c r="BY488" s="675">
        <f t="shared" si="12017"/>
        <v>0</v>
      </c>
      <c r="BZ488" s="549">
        <f t="shared" ref="BZ488:CA488" si="12018">SUM(BZ489:BZ496)</f>
        <v>0</v>
      </c>
      <c r="CA488" s="675">
        <f t="shared" si="12018"/>
        <v>0</v>
      </c>
      <c r="CB488" s="549">
        <f t="shared" ref="CB488:CE488" si="12019">SUM(CB489:CB496)</f>
        <v>0</v>
      </c>
      <c r="CC488" s="675">
        <f t="shared" si="12019"/>
        <v>0</v>
      </c>
      <c r="CD488" s="549">
        <f t="shared" si="12019"/>
        <v>0</v>
      </c>
      <c r="CE488" s="675">
        <f t="shared" si="12019"/>
        <v>0</v>
      </c>
      <c r="CF488" s="549">
        <f t="shared" ref="CF488:CQ488" si="12020">SUM(CF489:CF496)</f>
        <v>0</v>
      </c>
      <c r="CG488" s="675">
        <f t="shared" si="12020"/>
        <v>0</v>
      </c>
      <c r="CH488" s="549">
        <f t="shared" si="12020"/>
        <v>3000</v>
      </c>
      <c r="CI488" s="675">
        <f t="shared" si="12020"/>
        <v>0</v>
      </c>
      <c r="CJ488" s="549">
        <f t="shared" si="12020"/>
        <v>0</v>
      </c>
      <c r="CK488" s="675">
        <f t="shared" si="12020"/>
        <v>-3500</v>
      </c>
      <c r="CL488" s="549">
        <f t="shared" si="12020"/>
        <v>0</v>
      </c>
      <c r="CM488" s="675">
        <f t="shared" si="12020"/>
        <v>0</v>
      </c>
      <c r="CN488" s="549">
        <f t="shared" si="12020"/>
        <v>0</v>
      </c>
      <c r="CO488" s="675">
        <f t="shared" si="12020"/>
        <v>0</v>
      </c>
      <c r="CP488" s="549">
        <f t="shared" si="12020"/>
        <v>0</v>
      </c>
      <c r="CQ488" s="675">
        <f t="shared" si="12020"/>
        <v>0</v>
      </c>
      <c r="CR488" s="549">
        <f t="shared" ref="CR488:CY488" si="12021">SUM(CR489:CR496)</f>
        <v>0</v>
      </c>
      <c r="CS488" s="675">
        <f t="shared" si="12021"/>
        <v>0</v>
      </c>
      <c r="CT488" s="549">
        <f t="shared" si="12021"/>
        <v>0</v>
      </c>
      <c r="CU488" s="675">
        <f t="shared" si="12021"/>
        <v>0</v>
      </c>
      <c r="CV488" s="549">
        <f t="shared" si="12021"/>
        <v>0</v>
      </c>
      <c r="CW488" s="675">
        <f t="shared" si="12021"/>
        <v>0</v>
      </c>
      <c r="CX488" s="549">
        <f t="shared" si="12021"/>
        <v>0</v>
      </c>
      <c r="CY488" s="675">
        <f t="shared" si="12021"/>
        <v>0</v>
      </c>
      <c r="CZ488" s="549">
        <f t="shared" ref="CZ488:GT488" si="12022">SUM(CZ489:CZ496)</f>
        <v>0</v>
      </c>
      <c r="DA488" s="675">
        <f t="shared" si="12022"/>
        <v>0</v>
      </c>
      <c r="DB488" s="549">
        <f t="shared" si="12022"/>
        <v>0</v>
      </c>
      <c r="DC488" s="675">
        <f t="shared" si="12022"/>
        <v>0</v>
      </c>
      <c r="DD488" s="549">
        <f t="shared" si="12022"/>
        <v>0</v>
      </c>
      <c r="DE488" s="675">
        <f t="shared" si="12022"/>
        <v>0</v>
      </c>
      <c r="DF488" s="549">
        <f t="shared" si="12022"/>
        <v>0</v>
      </c>
      <c r="DG488" s="675">
        <f t="shared" si="12022"/>
        <v>0</v>
      </c>
      <c r="DH488" s="549">
        <f t="shared" si="12022"/>
        <v>0</v>
      </c>
      <c r="DI488" s="675">
        <f t="shared" si="12022"/>
        <v>0</v>
      </c>
      <c r="DJ488" s="549">
        <f t="shared" si="12022"/>
        <v>0</v>
      </c>
      <c r="DK488" s="675">
        <f t="shared" si="12022"/>
        <v>-1000</v>
      </c>
      <c r="DL488" s="549">
        <f t="shared" si="12022"/>
        <v>0</v>
      </c>
      <c r="DM488" s="675">
        <f t="shared" si="12022"/>
        <v>0</v>
      </c>
      <c r="DN488" s="549">
        <f t="shared" si="12022"/>
        <v>0</v>
      </c>
      <c r="DO488" s="675">
        <f t="shared" si="12022"/>
        <v>0</v>
      </c>
      <c r="DP488" s="549">
        <f t="shared" si="12022"/>
        <v>0</v>
      </c>
      <c r="DQ488" s="675">
        <f t="shared" si="12022"/>
        <v>0</v>
      </c>
      <c r="DR488" s="549">
        <f t="shared" si="12022"/>
        <v>0</v>
      </c>
      <c r="DS488" s="675">
        <f t="shared" si="12022"/>
        <v>0</v>
      </c>
      <c r="DT488" s="549">
        <f t="shared" si="12022"/>
        <v>0</v>
      </c>
      <c r="DU488" s="675">
        <f t="shared" si="12022"/>
        <v>0</v>
      </c>
      <c r="DV488" s="549">
        <f t="shared" si="12022"/>
        <v>0</v>
      </c>
      <c r="DW488" s="675">
        <f t="shared" si="12022"/>
        <v>0</v>
      </c>
      <c r="DX488" s="549">
        <f t="shared" si="12022"/>
        <v>0</v>
      </c>
      <c r="DY488" s="675">
        <f t="shared" si="12022"/>
        <v>0</v>
      </c>
      <c r="DZ488" s="549">
        <f t="shared" ref="DZ488:FA488" si="12023">SUM(DZ489:DZ496)</f>
        <v>0</v>
      </c>
      <c r="EA488" s="675">
        <f t="shared" si="12023"/>
        <v>0</v>
      </c>
      <c r="EB488" s="549">
        <f t="shared" si="12023"/>
        <v>0</v>
      </c>
      <c r="EC488" s="675">
        <f t="shared" si="12023"/>
        <v>0</v>
      </c>
      <c r="ED488" s="549">
        <f t="shared" si="12023"/>
        <v>0</v>
      </c>
      <c r="EE488" s="675">
        <f t="shared" si="12023"/>
        <v>0</v>
      </c>
      <c r="EF488" s="549">
        <f t="shared" si="12023"/>
        <v>0</v>
      </c>
      <c r="EG488" s="675">
        <f t="shared" si="12023"/>
        <v>0</v>
      </c>
      <c r="EH488" s="549">
        <f t="shared" ref="EH488:EM488" si="12024">SUM(EH489:EH496)</f>
        <v>0</v>
      </c>
      <c r="EI488" s="675">
        <f t="shared" si="12024"/>
        <v>0</v>
      </c>
      <c r="EJ488" s="549">
        <f t="shared" si="12024"/>
        <v>0</v>
      </c>
      <c r="EK488" s="675">
        <f t="shared" si="12024"/>
        <v>0</v>
      </c>
      <c r="EL488" s="549">
        <f t="shared" si="12024"/>
        <v>0</v>
      </c>
      <c r="EM488" s="675">
        <f t="shared" si="12024"/>
        <v>0</v>
      </c>
      <c r="EN488" s="549">
        <f t="shared" si="12023"/>
        <v>0</v>
      </c>
      <c r="EO488" s="675">
        <f t="shared" si="12023"/>
        <v>0</v>
      </c>
      <c r="EP488" s="549">
        <f t="shared" si="12023"/>
        <v>0</v>
      </c>
      <c r="EQ488" s="675">
        <f t="shared" si="12023"/>
        <v>0</v>
      </c>
      <c r="ER488" s="549">
        <f t="shared" si="12023"/>
        <v>0</v>
      </c>
      <c r="ES488" s="675">
        <f t="shared" si="12023"/>
        <v>0</v>
      </c>
      <c r="ET488" s="549">
        <f t="shared" si="12023"/>
        <v>5000</v>
      </c>
      <c r="EU488" s="675">
        <f t="shared" si="12023"/>
        <v>0</v>
      </c>
      <c r="EV488" s="549">
        <f t="shared" ref="EV488:EW488" si="12025">SUM(EV489:EV496)</f>
        <v>0</v>
      </c>
      <c r="EW488" s="675">
        <f t="shared" si="12025"/>
        <v>0</v>
      </c>
      <c r="EX488" s="549">
        <f t="shared" si="12023"/>
        <v>0</v>
      </c>
      <c r="EY488" s="675">
        <f t="shared" si="12023"/>
        <v>0</v>
      </c>
      <c r="EZ488" s="549">
        <f t="shared" si="12023"/>
        <v>0</v>
      </c>
      <c r="FA488" s="675">
        <f t="shared" si="12023"/>
        <v>0</v>
      </c>
      <c r="FB488" s="549">
        <f t="shared" si="12022"/>
        <v>0</v>
      </c>
      <c r="FC488" s="675">
        <f t="shared" si="12022"/>
        <v>0</v>
      </c>
      <c r="FD488" s="549">
        <f t="shared" si="12022"/>
        <v>0</v>
      </c>
      <c r="FE488" s="675">
        <f t="shared" si="12022"/>
        <v>-244</v>
      </c>
      <c r="FF488" s="549">
        <f t="shared" ref="FF488:FG488" si="12026">SUM(FF489:FF496)</f>
        <v>0</v>
      </c>
      <c r="FG488" s="675">
        <f t="shared" si="12026"/>
        <v>0</v>
      </c>
      <c r="FH488" s="549">
        <f t="shared" ref="FH488:FI488" si="12027">SUM(FH489:FH496)</f>
        <v>0</v>
      </c>
      <c r="FI488" s="675">
        <f t="shared" si="12027"/>
        <v>0</v>
      </c>
      <c r="FJ488" s="549">
        <f t="shared" ref="FJ488:FK488" si="12028">SUM(FJ489:FJ496)</f>
        <v>0</v>
      </c>
      <c r="FK488" s="675">
        <f t="shared" si="12028"/>
        <v>0</v>
      </c>
      <c r="FL488" s="549">
        <f t="shared" ref="FL488:FM488" si="12029">SUM(FL489:FL496)</f>
        <v>5000</v>
      </c>
      <c r="FM488" s="675">
        <f t="shared" si="12029"/>
        <v>0</v>
      </c>
      <c r="FN488" s="549">
        <f t="shared" ref="FN488:FO488" si="12030">SUM(FN489:FN496)</f>
        <v>0</v>
      </c>
      <c r="FO488" s="675">
        <f t="shared" si="12030"/>
        <v>0</v>
      </c>
      <c r="FP488" s="549">
        <f t="shared" ref="FP488:FQ488" si="12031">SUM(FP489:FP496)</f>
        <v>0</v>
      </c>
      <c r="FQ488" s="675">
        <f t="shared" si="12031"/>
        <v>0</v>
      </c>
      <c r="FR488" s="549">
        <f t="shared" ref="FR488:FS488" si="12032">SUM(FR489:FR496)</f>
        <v>0</v>
      </c>
      <c r="FS488" s="675">
        <f t="shared" si="12032"/>
        <v>0</v>
      </c>
      <c r="FT488" s="549">
        <f t="shared" ref="FT488:FU488" si="12033">SUM(FT489:FT496)</f>
        <v>0</v>
      </c>
      <c r="FU488" s="675">
        <f t="shared" si="12033"/>
        <v>0</v>
      </c>
      <c r="FV488" s="549">
        <f t="shared" ref="FV488:GK488" si="12034">SUM(FV489:FV496)</f>
        <v>0</v>
      </c>
      <c r="FW488" s="675">
        <f t="shared" si="12034"/>
        <v>0</v>
      </c>
      <c r="FX488" s="549">
        <f t="shared" si="12034"/>
        <v>0</v>
      </c>
      <c r="FY488" s="675">
        <f t="shared" si="12034"/>
        <v>0</v>
      </c>
      <c r="FZ488" s="549">
        <f t="shared" ref="FZ488:GI488" si="12035">SUM(FZ489:FZ496)</f>
        <v>0</v>
      </c>
      <c r="GA488" s="675">
        <f t="shared" si="12035"/>
        <v>0</v>
      </c>
      <c r="GB488" s="549">
        <f t="shared" si="12035"/>
        <v>0</v>
      </c>
      <c r="GC488" s="675">
        <f t="shared" si="12035"/>
        <v>0</v>
      </c>
      <c r="GD488" s="549">
        <f t="shared" si="12035"/>
        <v>0</v>
      </c>
      <c r="GE488" s="675">
        <f t="shared" si="12035"/>
        <v>0</v>
      </c>
      <c r="GF488" s="549">
        <f t="shared" si="12035"/>
        <v>0</v>
      </c>
      <c r="GG488" s="675">
        <f t="shared" si="12035"/>
        <v>0</v>
      </c>
      <c r="GH488" s="549">
        <f t="shared" si="12035"/>
        <v>0</v>
      </c>
      <c r="GI488" s="675">
        <f t="shared" si="12035"/>
        <v>0</v>
      </c>
      <c r="GJ488" s="549">
        <f t="shared" si="12034"/>
        <v>0</v>
      </c>
      <c r="GK488" s="675">
        <f t="shared" si="12034"/>
        <v>0</v>
      </c>
      <c r="GL488" s="549">
        <f t="shared" ref="GL488:GM488" si="12036">SUM(GL489:GL496)</f>
        <v>0</v>
      </c>
      <c r="GM488" s="675">
        <f t="shared" si="12036"/>
        <v>0</v>
      </c>
      <c r="GN488" s="549">
        <f t="shared" ref="GN488:GO488" si="12037">SUM(GN489:GN496)</f>
        <v>0</v>
      </c>
      <c r="GO488" s="675">
        <f t="shared" si="12037"/>
        <v>0</v>
      </c>
      <c r="GP488" s="549">
        <f t="shared" si="12022"/>
        <v>26000</v>
      </c>
      <c r="GQ488" s="675">
        <f>SUM(GQ489:GQ496)</f>
        <v>-17744</v>
      </c>
      <c r="GR488" s="74">
        <f t="shared" si="12022"/>
        <v>133256</v>
      </c>
      <c r="GS488" s="74">
        <f t="shared" si="12022"/>
        <v>133256</v>
      </c>
      <c r="GT488" s="549">
        <f t="shared" si="12022"/>
        <v>133256</v>
      </c>
      <c r="GU488" s="74">
        <f t="shared" ref="GU488:HF488" si="12038">SUM(GU489:GU496)</f>
        <v>13860</v>
      </c>
      <c r="GV488" s="74">
        <f t="shared" si="12038"/>
        <v>12355</v>
      </c>
      <c r="GW488" s="549">
        <f t="shared" si="12038"/>
        <v>24655</v>
      </c>
      <c r="GX488" s="549">
        <f t="shared" si="12038"/>
        <v>12355</v>
      </c>
      <c r="GY488" s="74">
        <f t="shared" si="12038"/>
        <v>12355</v>
      </c>
      <c r="GZ488" s="74">
        <f t="shared" si="12038"/>
        <v>12355</v>
      </c>
      <c r="HA488" s="74">
        <f t="shared" si="12038"/>
        <v>12355</v>
      </c>
      <c r="HB488" s="74">
        <f t="shared" si="12038"/>
        <v>12355</v>
      </c>
      <c r="HC488" s="74">
        <f t="shared" si="12038"/>
        <v>12355</v>
      </c>
      <c r="HD488" s="74">
        <f t="shared" si="12038"/>
        <v>0</v>
      </c>
      <c r="HE488" s="74">
        <f t="shared" si="12038"/>
        <v>0</v>
      </c>
      <c r="HF488" s="74">
        <f t="shared" si="12038"/>
        <v>0</v>
      </c>
      <c r="HG488" s="74">
        <f>SUM(HG489:HG496)</f>
        <v>133256</v>
      </c>
      <c r="HH488" s="74">
        <f t="shared" ref="HH488:HI488" si="12039">SUM(HH489:HH496)</f>
        <v>13860</v>
      </c>
      <c r="HI488" s="792">
        <f t="shared" si="12039"/>
        <v>0</v>
      </c>
      <c r="HJ488" s="74">
        <f t="shared" ref="HJ488:HK488" si="12040">SUM(HJ489:HJ496)</f>
        <v>12355</v>
      </c>
      <c r="HK488" s="792">
        <f t="shared" si="12040"/>
        <v>0</v>
      </c>
      <c r="HL488" s="74">
        <f t="shared" ref="HL488:HM488" si="12041">SUM(HL489:HL496)</f>
        <v>10355</v>
      </c>
      <c r="HM488" s="792">
        <f t="shared" si="12041"/>
        <v>0</v>
      </c>
      <c r="HN488" s="74">
        <f t="shared" ref="HN488:HO488" si="12042">SUM(HN489:HN496)</f>
        <v>12355</v>
      </c>
      <c r="HO488" s="792">
        <f t="shared" si="12042"/>
        <v>0</v>
      </c>
      <c r="HP488" s="74">
        <f t="shared" ref="HP488:HQ488" si="12043">SUM(HP489:HP496)</f>
        <v>25155</v>
      </c>
      <c r="HQ488" s="792">
        <f t="shared" si="12043"/>
        <v>0</v>
      </c>
      <c r="HR488" s="74">
        <f t="shared" ref="HR488:HS488" si="12044">SUM(HR489:HR496)</f>
        <v>12355</v>
      </c>
      <c r="HS488" s="792">
        <f t="shared" si="12044"/>
        <v>0</v>
      </c>
      <c r="HT488" s="74">
        <f t="shared" ref="HT488:HU488" si="12045">SUM(HT489:HT496)</f>
        <v>9511</v>
      </c>
      <c r="HU488" s="792">
        <f t="shared" si="12045"/>
        <v>0</v>
      </c>
      <c r="HV488" s="74">
        <f t="shared" ref="HV488:HW488" si="12046">SUM(HV489:HV496)</f>
        <v>15199</v>
      </c>
      <c r="HW488" s="792">
        <f t="shared" si="12046"/>
        <v>0</v>
      </c>
      <c r="HX488" s="74">
        <f t="shared" ref="HX488:HY488" si="12047">SUM(HX489:HX496)</f>
        <v>17355</v>
      </c>
      <c r="HY488" s="792">
        <f t="shared" si="12047"/>
        <v>0</v>
      </c>
      <c r="HZ488" s="74">
        <f t="shared" ref="HZ488:IA488" si="12048">SUM(HZ489:HZ496)</f>
        <v>4756</v>
      </c>
      <c r="IA488" s="792">
        <f t="shared" si="12048"/>
        <v>0</v>
      </c>
      <c r="IB488" s="74">
        <f t="shared" ref="IB488:IC488" si="12049">SUM(IB489:IB496)</f>
        <v>0</v>
      </c>
      <c r="IC488" s="792">
        <f t="shared" si="12049"/>
        <v>0</v>
      </c>
      <c r="ID488" s="74">
        <f t="shared" ref="ID488:IL488" si="12050">SUM(ID489:ID496)</f>
        <v>0</v>
      </c>
      <c r="IE488" s="792">
        <f t="shared" si="12050"/>
        <v>0</v>
      </c>
      <c r="IF488" s="841">
        <f>SUM(IF489:IF496)</f>
        <v>121220.25</v>
      </c>
      <c r="IG488" s="263">
        <f t="shared" si="12050"/>
        <v>121220.25</v>
      </c>
      <c r="IH488" s="842">
        <f t="shared" si="12050"/>
        <v>121220.25</v>
      </c>
      <c r="II488" s="74">
        <f t="shared" si="12050"/>
        <v>6465.12</v>
      </c>
      <c r="IJ488" s="74">
        <f>SUM(IJ489:IJ496)</f>
        <v>6465.12</v>
      </c>
      <c r="IK488" s="74">
        <f>SUM(IK489:IK496)</f>
        <v>6465.12</v>
      </c>
      <c r="IL488" s="74">
        <f t="shared" si="12050"/>
        <v>6657.58</v>
      </c>
      <c r="IM488" s="74">
        <f>SUM(IM489:IM496)</f>
        <v>6657.58</v>
      </c>
      <c r="IN488" s="74">
        <f>SUM(IN489:IN496)</f>
        <v>6657.58</v>
      </c>
      <c r="IO488" s="74">
        <f t="shared" ref="IO488" si="12051">SUM(IO489:IO496)</f>
        <v>5285.16</v>
      </c>
      <c r="IP488" s="74">
        <f>SUM(IP489:IP496)</f>
        <v>5285.16</v>
      </c>
      <c r="IQ488" s="74">
        <f>SUM(IQ489:IQ496)</f>
        <v>5285.16</v>
      </c>
      <c r="IR488" s="74">
        <f t="shared" ref="IR488" si="12052">SUM(IR489:IR496)</f>
        <v>7940.6400000000012</v>
      </c>
      <c r="IS488" s="74">
        <f>SUM(IS489:IS496)</f>
        <v>7940.6400000000012</v>
      </c>
      <c r="IT488" s="74">
        <f>SUM(IT489:IT496)</f>
        <v>7940.6400000000012</v>
      </c>
      <c r="IU488" s="74">
        <f t="shared" ref="IU488" si="12053">SUM(IU489:IU496)</f>
        <v>28528.249999999993</v>
      </c>
      <c r="IV488" s="74">
        <f>SUM(IV489:IV496)</f>
        <v>28528.249999999993</v>
      </c>
      <c r="IW488" s="74">
        <f>SUM(IW489:IW496)</f>
        <v>28528.249999999993</v>
      </c>
      <c r="IX488" s="74">
        <f t="shared" ref="IX488" si="12054">SUM(IX489:IX496)</f>
        <v>12575.270000000002</v>
      </c>
      <c r="IY488" s="74">
        <f>SUM(IY489:IY496)</f>
        <v>12575.270000000002</v>
      </c>
      <c r="IZ488" s="74">
        <f>SUM(IZ489:IZ496)</f>
        <v>12575.270000000002</v>
      </c>
      <c r="JA488" s="74">
        <f t="shared" ref="JA488" si="12055">SUM(JA489:JA496)</f>
        <v>10955.149999999998</v>
      </c>
      <c r="JB488" s="74">
        <f>SUM(JB489:JB496)</f>
        <v>10955.149999999998</v>
      </c>
      <c r="JC488" s="74">
        <f>SUM(JC489:JC496)</f>
        <v>10955.149999999998</v>
      </c>
      <c r="JD488" s="74">
        <f t="shared" ref="JD488" si="12056">SUM(JD489:JD496)</f>
        <v>21852.329999999998</v>
      </c>
      <c r="JE488" s="74">
        <f>SUM(JE489:JE496)</f>
        <v>21852.329999999998</v>
      </c>
      <c r="JF488" s="74">
        <f>SUM(JF489:JF496)</f>
        <v>21852.329999999998</v>
      </c>
      <c r="JG488" s="74">
        <f t="shared" ref="JG488" si="12057">SUM(JG489:JG496)</f>
        <v>10023.32</v>
      </c>
      <c r="JH488" s="74">
        <f>SUM(JH489:JH496)</f>
        <v>10023.32</v>
      </c>
      <c r="JI488" s="74">
        <f>SUM(JI489:JI496)</f>
        <v>10023.32</v>
      </c>
      <c r="JJ488" s="74">
        <f t="shared" ref="JJ488" si="12058">SUM(JJ489:JJ496)</f>
        <v>10937.430000000008</v>
      </c>
      <c r="JK488" s="74">
        <f>SUM(JK489:JK496)</f>
        <v>10937.430000000008</v>
      </c>
      <c r="JL488" s="74">
        <f>SUM(JL489:JL496)</f>
        <v>10937.430000000008</v>
      </c>
      <c r="JM488" s="74">
        <f t="shared" ref="JM488" si="12059">SUM(JM489:JM496)</f>
        <v>0</v>
      </c>
      <c r="JN488" s="74">
        <f>SUM(JN489:JN496)</f>
        <v>0</v>
      </c>
      <c r="JO488" s="74">
        <f>SUM(JO489:JO496)</f>
        <v>0</v>
      </c>
      <c r="JP488" s="74">
        <f t="shared" ref="JP488" si="12060">SUM(JP489:JP496)</f>
        <v>0</v>
      </c>
      <c r="JQ488" s="74">
        <f>SUM(JQ489:JQ496)</f>
        <v>0</v>
      </c>
      <c r="JR488" s="74">
        <f>SUM(JR489:JR496)</f>
        <v>0</v>
      </c>
      <c r="JS488" s="74">
        <f>SUM(JS489:JS496)</f>
        <v>12035.749999999998</v>
      </c>
      <c r="JT488" s="382">
        <f>SUM(JT489:JT496)</f>
        <v>12035.749999999998</v>
      </c>
      <c r="JU488" s="665"/>
      <c r="JV488" s="524"/>
      <c r="JW488" s="525"/>
      <c r="JX488" s="549">
        <f>SUM(JX489:JX496)</f>
        <v>133256</v>
      </c>
      <c r="JY488" s="549">
        <f>SUM(JY489:JY496)</f>
        <v>0</v>
      </c>
      <c r="JZ488" s="581">
        <f t="shared" si="11276"/>
        <v>26000</v>
      </c>
      <c r="KA488" s="581">
        <f t="shared" si="11277"/>
        <v>-17744</v>
      </c>
      <c r="KB488" s="549">
        <f t="shared" si="11273"/>
        <v>133256</v>
      </c>
      <c r="KC488" s="709">
        <f t="shared" si="11275"/>
        <v>0</v>
      </c>
      <c r="KD488" s="36"/>
      <c r="KE488" s="36"/>
      <c r="KF488" s="36"/>
      <c r="KG488" s="36"/>
      <c r="KH488" s="36"/>
      <c r="KI488" s="36"/>
      <c r="KJ488" s="36"/>
      <c r="KK488" s="36"/>
    </row>
    <row r="489" spans="1:297" s="10" customFormat="1">
      <c r="A489" s="86" t="s">
        <v>293</v>
      </c>
      <c r="B489" s="77" t="s">
        <v>185</v>
      </c>
      <c r="C489" s="74">
        <v>1500</v>
      </c>
      <c r="D489" s="549">
        <v>0</v>
      </c>
      <c r="E489" s="675">
        <v>0</v>
      </c>
      <c r="F489" s="549">
        <v>0</v>
      </c>
      <c r="G489" s="675">
        <v>0</v>
      </c>
      <c r="H489" s="549">
        <v>0</v>
      </c>
      <c r="I489" s="675">
        <v>0</v>
      </c>
      <c r="J489" s="549">
        <v>0</v>
      </c>
      <c r="K489" s="675">
        <v>0</v>
      </c>
      <c r="L489" s="549">
        <v>0</v>
      </c>
      <c r="M489" s="675">
        <v>0</v>
      </c>
      <c r="N489" s="549">
        <v>0</v>
      </c>
      <c r="O489" s="675">
        <v>0</v>
      </c>
      <c r="P489" s="549">
        <v>0</v>
      </c>
      <c r="Q489" s="675">
        <v>0</v>
      </c>
      <c r="R489" s="549">
        <v>0</v>
      </c>
      <c r="S489" s="675">
        <v>0</v>
      </c>
      <c r="T489" s="549">
        <v>0</v>
      </c>
      <c r="U489" s="675">
        <v>0</v>
      </c>
      <c r="V489" s="549">
        <v>0</v>
      </c>
      <c r="W489" s="675">
        <v>0</v>
      </c>
      <c r="X489" s="549">
        <v>0</v>
      </c>
      <c r="Y489" s="675">
        <v>0</v>
      </c>
      <c r="Z489" s="549">
        <v>0</v>
      </c>
      <c r="AA489" s="675">
        <v>0</v>
      </c>
      <c r="AB489" s="549">
        <v>0</v>
      </c>
      <c r="AC489" s="675">
        <v>0</v>
      </c>
      <c r="AD489" s="549">
        <v>0</v>
      </c>
      <c r="AE489" s="675">
        <v>0</v>
      </c>
      <c r="AF489" s="549">
        <v>0</v>
      </c>
      <c r="AG489" s="675">
        <v>0</v>
      </c>
      <c r="AH489" s="549">
        <v>0</v>
      </c>
      <c r="AI489" s="675">
        <v>0</v>
      </c>
      <c r="AJ489" s="549">
        <v>0</v>
      </c>
      <c r="AK489" s="675">
        <v>0</v>
      </c>
      <c r="AL489" s="549">
        <v>0</v>
      </c>
      <c r="AM489" s="675">
        <v>0</v>
      </c>
      <c r="AN489" s="549">
        <v>0</v>
      </c>
      <c r="AO489" s="675">
        <v>0</v>
      </c>
      <c r="AP489" s="549">
        <v>0</v>
      </c>
      <c r="AQ489" s="675">
        <v>0</v>
      </c>
      <c r="AR489" s="549">
        <v>0</v>
      </c>
      <c r="AS489" s="675">
        <v>0</v>
      </c>
      <c r="AT489" s="549">
        <v>0</v>
      </c>
      <c r="AU489" s="675">
        <v>0</v>
      </c>
      <c r="AV489" s="549">
        <v>0</v>
      </c>
      <c r="AW489" s="675">
        <v>0</v>
      </c>
      <c r="AX489" s="549">
        <v>0</v>
      </c>
      <c r="AY489" s="675">
        <v>0</v>
      </c>
      <c r="AZ489" s="549">
        <v>0</v>
      </c>
      <c r="BA489" s="675">
        <v>0</v>
      </c>
      <c r="BB489" s="549">
        <v>0</v>
      </c>
      <c r="BC489" s="675">
        <v>0</v>
      </c>
      <c r="BD489" s="549">
        <v>0</v>
      </c>
      <c r="BE489" s="675">
        <v>0</v>
      </c>
      <c r="BF489" s="549">
        <v>0</v>
      </c>
      <c r="BG489" s="675">
        <v>0</v>
      </c>
      <c r="BH489" s="549">
        <v>0</v>
      </c>
      <c r="BI489" s="675">
        <v>0</v>
      </c>
      <c r="BJ489" s="549">
        <v>0</v>
      </c>
      <c r="BK489" s="675">
        <v>0</v>
      </c>
      <c r="BL489" s="549">
        <v>0</v>
      </c>
      <c r="BM489" s="675">
        <v>0</v>
      </c>
      <c r="BN489" s="549">
        <v>0</v>
      </c>
      <c r="BO489" s="675">
        <v>0</v>
      </c>
      <c r="BP489" s="549">
        <v>0</v>
      </c>
      <c r="BQ489" s="675">
        <v>0</v>
      </c>
      <c r="BR489" s="549">
        <v>0</v>
      </c>
      <c r="BS489" s="675">
        <v>0</v>
      </c>
      <c r="BT489" s="549">
        <v>0</v>
      </c>
      <c r="BU489" s="675">
        <v>0</v>
      </c>
      <c r="BV489" s="549">
        <v>0</v>
      </c>
      <c r="BW489" s="675">
        <v>0</v>
      </c>
      <c r="BX489" s="549">
        <v>0</v>
      </c>
      <c r="BY489" s="675">
        <v>0</v>
      </c>
      <c r="BZ489" s="549">
        <v>0</v>
      </c>
      <c r="CA489" s="675">
        <v>0</v>
      </c>
      <c r="CB489" s="549">
        <v>0</v>
      </c>
      <c r="CC489" s="675">
        <v>0</v>
      </c>
      <c r="CD489" s="549">
        <v>0</v>
      </c>
      <c r="CE489" s="675">
        <v>0</v>
      </c>
      <c r="CF489" s="549">
        <v>0</v>
      </c>
      <c r="CG489" s="675">
        <v>0</v>
      </c>
      <c r="CH489" s="549">
        <v>0</v>
      </c>
      <c r="CI489" s="675">
        <v>0</v>
      </c>
      <c r="CJ489" s="549">
        <v>0</v>
      </c>
      <c r="CK489" s="675">
        <v>0</v>
      </c>
      <c r="CL489" s="549">
        <v>0</v>
      </c>
      <c r="CM489" s="675">
        <v>0</v>
      </c>
      <c r="CN489" s="549">
        <v>0</v>
      </c>
      <c r="CO489" s="675">
        <v>0</v>
      </c>
      <c r="CP489" s="549">
        <v>0</v>
      </c>
      <c r="CQ489" s="675">
        <v>0</v>
      </c>
      <c r="CR489" s="549">
        <v>0</v>
      </c>
      <c r="CS489" s="675">
        <v>0</v>
      </c>
      <c r="CT489" s="549">
        <v>0</v>
      </c>
      <c r="CU489" s="675">
        <v>0</v>
      </c>
      <c r="CV489" s="549">
        <v>0</v>
      </c>
      <c r="CW489" s="675">
        <v>0</v>
      </c>
      <c r="CX489" s="549">
        <v>0</v>
      </c>
      <c r="CY489" s="675">
        <v>0</v>
      </c>
      <c r="CZ489" s="549">
        <v>0</v>
      </c>
      <c r="DA489" s="675">
        <v>0</v>
      </c>
      <c r="DB489" s="549">
        <v>0</v>
      </c>
      <c r="DC489" s="675">
        <v>0</v>
      </c>
      <c r="DD489" s="549">
        <v>0</v>
      </c>
      <c r="DE489" s="675">
        <v>0</v>
      </c>
      <c r="DF489" s="549">
        <v>0</v>
      </c>
      <c r="DG489" s="675">
        <v>0</v>
      </c>
      <c r="DH489" s="549">
        <v>0</v>
      </c>
      <c r="DI489" s="675">
        <v>0</v>
      </c>
      <c r="DJ489" s="549">
        <v>0</v>
      </c>
      <c r="DK489" s="675">
        <v>0</v>
      </c>
      <c r="DL489" s="549">
        <v>0</v>
      </c>
      <c r="DM489" s="675">
        <v>0</v>
      </c>
      <c r="DN489" s="549">
        <v>0</v>
      </c>
      <c r="DO489" s="675">
        <v>0</v>
      </c>
      <c r="DP489" s="549">
        <v>0</v>
      </c>
      <c r="DQ489" s="675">
        <v>0</v>
      </c>
      <c r="DR489" s="549">
        <v>0</v>
      </c>
      <c r="DS489" s="675">
        <v>0</v>
      </c>
      <c r="DT489" s="549">
        <v>0</v>
      </c>
      <c r="DU489" s="675">
        <v>0</v>
      </c>
      <c r="DV489" s="549">
        <v>0</v>
      </c>
      <c r="DW489" s="675">
        <v>0</v>
      </c>
      <c r="DX489" s="549">
        <v>0</v>
      </c>
      <c r="DY489" s="675">
        <v>0</v>
      </c>
      <c r="DZ489" s="549">
        <v>0</v>
      </c>
      <c r="EA489" s="675">
        <v>0</v>
      </c>
      <c r="EB489" s="549">
        <v>0</v>
      </c>
      <c r="EC489" s="675">
        <v>0</v>
      </c>
      <c r="ED489" s="549">
        <v>0</v>
      </c>
      <c r="EE489" s="675">
        <v>0</v>
      </c>
      <c r="EF489" s="549">
        <v>0</v>
      </c>
      <c r="EG489" s="675">
        <v>0</v>
      </c>
      <c r="EH489" s="549">
        <v>0</v>
      </c>
      <c r="EI489" s="675">
        <v>0</v>
      </c>
      <c r="EJ489" s="549">
        <v>0</v>
      </c>
      <c r="EK489" s="675">
        <v>0</v>
      </c>
      <c r="EL489" s="549">
        <v>0</v>
      </c>
      <c r="EM489" s="675">
        <v>0</v>
      </c>
      <c r="EN489" s="549">
        <v>0</v>
      </c>
      <c r="EO489" s="675">
        <v>0</v>
      </c>
      <c r="EP489" s="549">
        <v>0</v>
      </c>
      <c r="EQ489" s="675">
        <v>0</v>
      </c>
      <c r="ER489" s="549">
        <v>0</v>
      </c>
      <c r="ES489" s="675">
        <v>0</v>
      </c>
      <c r="ET489" s="549">
        <v>0</v>
      </c>
      <c r="EU489" s="675">
        <v>0</v>
      </c>
      <c r="EV489" s="549">
        <v>0</v>
      </c>
      <c r="EW489" s="675">
        <v>0</v>
      </c>
      <c r="EX489" s="549">
        <v>0</v>
      </c>
      <c r="EY489" s="675">
        <v>0</v>
      </c>
      <c r="EZ489" s="549">
        <v>0</v>
      </c>
      <c r="FA489" s="675">
        <v>0</v>
      </c>
      <c r="FB489" s="549">
        <v>0</v>
      </c>
      <c r="FC489" s="675">
        <v>0</v>
      </c>
      <c r="FD489" s="549">
        <v>0</v>
      </c>
      <c r="FE489" s="675">
        <v>0</v>
      </c>
      <c r="FF489" s="549">
        <v>0</v>
      </c>
      <c r="FG489" s="675">
        <v>0</v>
      </c>
      <c r="FH489" s="549">
        <v>0</v>
      </c>
      <c r="FI489" s="675">
        <v>0</v>
      </c>
      <c r="FJ489" s="549">
        <v>0</v>
      </c>
      <c r="FK489" s="675">
        <v>0</v>
      </c>
      <c r="FL489" s="549">
        <v>0</v>
      </c>
      <c r="FM489" s="675">
        <v>0</v>
      </c>
      <c r="FN489" s="549">
        <v>0</v>
      </c>
      <c r="FO489" s="675">
        <v>0</v>
      </c>
      <c r="FP489" s="549">
        <v>0</v>
      </c>
      <c r="FQ489" s="675">
        <v>0</v>
      </c>
      <c r="FR489" s="549">
        <v>0</v>
      </c>
      <c r="FS489" s="675">
        <v>0</v>
      </c>
      <c r="FT489" s="549">
        <v>0</v>
      </c>
      <c r="FU489" s="675">
        <v>0</v>
      </c>
      <c r="FV489" s="549">
        <v>0</v>
      </c>
      <c r="FW489" s="675">
        <v>0</v>
      </c>
      <c r="FX489" s="549">
        <v>0</v>
      </c>
      <c r="FY489" s="675">
        <v>0</v>
      </c>
      <c r="FZ489" s="549">
        <v>0</v>
      </c>
      <c r="GA489" s="675">
        <v>0</v>
      </c>
      <c r="GB489" s="549">
        <v>0</v>
      </c>
      <c r="GC489" s="675">
        <v>0</v>
      </c>
      <c r="GD489" s="549">
        <v>0</v>
      </c>
      <c r="GE489" s="675">
        <v>0</v>
      </c>
      <c r="GF489" s="549">
        <v>0</v>
      </c>
      <c r="GG489" s="675">
        <v>0</v>
      </c>
      <c r="GH489" s="549">
        <v>0</v>
      </c>
      <c r="GI489" s="675">
        <v>0</v>
      </c>
      <c r="GJ489" s="549">
        <v>0</v>
      </c>
      <c r="GK489" s="675">
        <v>0</v>
      </c>
      <c r="GL489" s="549">
        <v>0</v>
      </c>
      <c r="GM489" s="675">
        <v>0</v>
      </c>
      <c r="GN489" s="549">
        <v>0</v>
      </c>
      <c r="GO489" s="675">
        <v>0</v>
      </c>
      <c r="GP489" s="549">
        <f t="shared" ref="GP489:GP496" si="12061">+D489+F489+H489+J489+L489+N489+P489+R489+T489+V489+X489+Z489+AB489+AF489+AD489+AH489+AJ489+AL489+AN489+AP489+AR489+AT489+AV489+AX489+AZ489+BB489+BD489+BF489+BH489+BJ489+BL489+BN489+BP489+BR489+BT489+BV489+BX489+BZ489+CB489+CD489+CF489+CH489+CJ489+CL489+CN489+CP489+CR489+CT489+CV489+CX489+CZ489+DB489+DD489+DF489+DH489+DT489+EX489+DJ489+DL489+DN489+DP489+DR489+EJ489+EB489+DZ489+DX489+DV489+ED489+EF489+EH489+EL489+EN489+EP489+EV489+ET489+ER489+EZ489+FB489+FD489+GL489+FF489+FJ489+FL489+GJ489+FT489+FR489+FP489+FN489+FH489+GH489+GF489+GD489+GB489+FZ489+FX489+FV489+GN489</f>
        <v>0</v>
      </c>
      <c r="GQ489" s="675">
        <f t="shared" ref="GQ489:GQ496" si="12062">+E489+G489+I489+K489+M489+O489+Q489+S489+U489+W489+Y489+AA489+AC489+AE489+AG489+AI489+AK489+AM489+AO489+AQ489+AS489+AU489+AW489+AY489+BA489+BC489+BE489+BG489+BI489+BK489+BM489+BO489+BQ489+BS489+BU489+BW489+BY489+CA489+CC489+CE489+CG489+CI489+CK489+CM489+CO489+CQ489+CS489+CU489+CW489+CY489+DA489+DC489+DE489+DG489+DI489+DU489+EY489+DK489+DM489+DO489+DQ489+DS489+EK489+EC489+EA489+DY489+DW489+EI489+EG489+EE489+EM489+EO489+EQ489+EW489+EU489+ES489+FA489+FC489+FE489+GM489+FG489+FK489+FM489+FO489+FQ489+FS489+FU489+GK489+FI489+GI489+GG489+GE489+GC489+GA489+FY489+FW489+GO489</f>
        <v>0</v>
      </c>
      <c r="GR489" s="74">
        <f t="shared" ref="GR489:GR496" si="12063">C489+GP489+GQ489</f>
        <v>1500</v>
      </c>
      <c r="GS489" s="74">
        <f t="shared" ref="GS489:GS496" si="12064">SUM(GU489:HD489)+GP489+GQ489</f>
        <v>1500</v>
      </c>
      <c r="GT489" s="568">
        <f t="shared" ref="GT489:GT496" si="12065">SUM(GU489:HF489)+GQ489+GP489</f>
        <v>1500</v>
      </c>
      <c r="GU489" s="275">
        <v>1500</v>
      </c>
      <c r="GV489" s="275"/>
      <c r="GW489" s="275"/>
      <c r="GX489" s="275"/>
      <c r="GY489" s="275"/>
      <c r="GZ489" s="275"/>
      <c r="HA489" s="275"/>
      <c r="HB489" s="275"/>
      <c r="HC489" s="275"/>
      <c r="HD489" s="275">
        <v>0</v>
      </c>
      <c r="HE489" s="275">
        <v>0</v>
      </c>
      <c r="HF489" s="275">
        <v>0</v>
      </c>
      <c r="HG489" s="74">
        <f t="shared" ref="HG489:HG496" si="12066">SUM(HH489:IE489)</f>
        <v>1500</v>
      </c>
      <c r="HH489" s="89">
        <v>1500</v>
      </c>
      <c r="HI489" s="817">
        <v>0</v>
      </c>
      <c r="HJ489" s="89">
        <v>0</v>
      </c>
      <c r="HK489" s="817">
        <v>0</v>
      </c>
      <c r="HL489" s="89">
        <v>0</v>
      </c>
      <c r="HM489" s="817">
        <v>0</v>
      </c>
      <c r="HN489" s="89">
        <v>0</v>
      </c>
      <c r="HO489" s="817">
        <v>0</v>
      </c>
      <c r="HP489" s="89">
        <v>0</v>
      </c>
      <c r="HQ489" s="817">
        <v>0</v>
      </c>
      <c r="HR489" s="89">
        <v>0</v>
      </c>
      <c r="HS489" s="817">
        <v>0</v>
      </c>
      <c r="HT489" s="89">
        <v>0</v>
      </c>
      <c r="HU489" s="817">
        <v>0</v>
      </c>
      <c r="HV489" s="89">
        <v>0</v>
      </c>
      <c r="HW489" s="817">
        <v>0</v>
      </c>
      <c r="HX489" s="89">
        <v>0</v>
      </c>
      <c r="HY489" s="817">
        <v>0</v>
      </c>
      <c r="HZ489" s="89">
        <v>0</v>
      </c>
      <c r="IA489" s="817">
        <v>0</v>
      </c>
      <c r="IB489" s="89">
        <v>0</v>
      </c>
      <c r="IC489" s="817">
        <v>0</v>
      </c>
      <c r="ID489" s="89">
        <v>0</v>
      </c>
      <c r="IE489" s="817">
        <v>0</v>
      </c>
      <c r="IF489" s="841">
        <f t="shared" ref="IF489:IF496" si="12067">SUM(II489,IL489,IO489,IR489,IU489,IX489,JA489,JD489,JG489,JJ489,JM489,JP489)</f>
        <v>1487.13</v>
      </c>
      <c r="IG489" s="263">
        <f t="shared" ref="IG489:IG496" si="12068">SUM(IJ489,IM489,IP489,IS489,IV489,IY489,JB489,JE489,JH489,JK489,JN489,JQ489)</f>
        <v>1487.13</v>
      </c>
      <c r="IH489" s="842">
        <f t="shared" ref="IH489:IH496" si="12069">SUM(IK489,IN489,IQ489,IT489,IW489,IZ489,JC489,JF489,JI489,JL489,JO489,JR489)</f>
        <v>1487.13</v>
      </c>
      <c r="II489" s="89">
        <v>244.96</v>
      </c>
      <c r="IJ489" s="89">
        <f t="shared" ref="IJ489:IJ496" si="12070">II489</f>
        <v>244.96</v>
      </c>
      <c r="IK489" s="89">
        <f t="shared" ref="IK489:IK496" si="12071">IJ489</f>
        <v>244.96</v>
      </c>
      <c r="IL489" s="89">
        <f>314.94-244.96</f>
        <v>69.97999999999999</v>
      </c>
      <c r="IM489" s="89">
        <f t="shared" ref="IM489:IM496" si="12072">IL489</f>
        <v>69.97999999999999</v>
      </c>
      <c r="IN489" s="89">
        <f t="shared" ref="IN489:IN496" si="12073">IM489</f>
        <v>69.97999999999999</v>
      </c>
      <c r="IO489" s="89">
        <f>495.74-314.94</f>
        <v>180.8</v>
      </c>
      <c r="IP489" s="89">
        <f t="shared" ref="IP489:IP496" si="12074">IO489</f>
        <v>180.8</v>
      </c>
      <c r="IQ489" s="89">
        <f t="shared" ref="IQ489:IQ496" si="12075">IP489</f>
        <v>180.8</v>
      </c>
      <c r="IR489" s="89">
        <f>953.29-495.74</f>
        <v>457.54999999999995</v>
      </c>
      <c r="IS489" s="89">
        <f t="shared" ref="IS489:IS496" si="12076">IR489</f>
        <v>457.54999999999995</v>
      </c>
      <c r="IT489" s="89">
        <f t="shared" ref="IT489:IT496" si="12077">IS489</f>
        <v>457.54999999999995</v>
      </c>
      <c r="IU489" s="89">
        <f>1475.53-953.29</f>
        <v>522.24</v>
      </c>
      <c r="IV489" s="89">
        <f t="shared" ref="IV489:IV496" si="12078">IU489</f>
        <v>522.24</v>
      </c>
      <c r="IW489" s="89">
        <f t="shared" ref="IW489:IW496" si="12079">IV489</f>
        <v>522.24</v>
      </c>
      <c r="IX489" s="89">
        <f>1487.13-1475.53</f>
        <v>11.600000000000136</v>
      </c>
      <c r="IY489" s="89">
        <f t="shared" ref="IY489:IY496" si="12080">IX489</f>
        <v>11.600000000000136</v>
      </c>
      <c r="IZ489" s="89">
        <f t="shared" ref="IZ489:IZ496" si="12081">IY489</f>
        <v>11.600000000000136</v>
      </c>
      <c r="JA489" s="89">
        <f>1487.13-1487.13</f>
        <v>0</v>
      </c>
      <c r="JB489" s="89">
        <f t="shared" ref="JB489:JB496" si="12082">JA489</f>
        <v>0</v>
      </c>
      <c r="JC489" s="89">
        <f t="shared" ref="JC489:JC496" si="12083">JB489</f>
        <v>0</v>
      </c>
      <c r="JD489" s="89">
        <v>0</v>
      </c>
      <c r="JE489" s="89">
        <f t="shared" ref="JE489:JE496" si="12084">JD489</f>
        <v>0</v>
      </c>
      <c r="JF489" s="89">
        <f t="shared" ref="JF489:JF496" si="12085">JE489</f>
        <v>0</v>
      </c>
      <c r="JG489" s="89">
        <v>0</v>
      </c>
      <c r="JH489" s="89">
        <f t="shared" ref="JH489:JH496" si="12086">JG489</f>
        <v>0</v>
      </c>
      <c r="JI489" s="89">
        <f t="shared" ref="JI489:JI496" si="12087">JH489</f>
        <v>0</v>
      </c>
      <c r="JJ489" s="89">
        <v>0</v>
      </c>
      <c r="JK489" s="89">
        <f t="shared" ref="JK489:JK496" si="12088">JJ489</f>
        <v>0</v>
      </c>
      <c r="JL489" s="89">
        <f t="shared" ref="JL489:JL496" si="12089">JK489</f>
        <v>0</v>
      </c>
      <c r="JM489" s="89">
        <v>0</v>
      </c>
      <c r="JN489" s="89">
        <f t="shared" ref="JN489:JN496" si="12090">JM489</f>
        <v>0</v>
      </c>
      <c r="JO489" s="89">
        <f t="shared" ref="JO489:JO496" si="12091">JN489</f>
        <v>0</v>
      </c>
      <c r="JP489" s="89">
        <v>0</v>
      </c>
      <c r="JQ489" s="89">
        <f t="shared" ref="JQ489:JR489" si="12092">JP489</f>
        <v>0</v>
      </c>
      <c r="JR489" s="89">
        <f t="shared" si="12092"/>
        <v>0</v>
      </c>
      <c r="JS489" s="74">
        <f t="shared" ref="JS489:JS496" si="12093">HG489-IF489</f>
        <v>12.869999999999891</v>
      </c>
      <c r="JT489" s="382">
        <f t="shared" ref="JT489:JT496" si="12094">GS489-IF489</f>
        <v>12.869999999999891</v>
      </c>
      <c r="JU489" s="665"/>
      <c r="JV489" s="524"/>
      <c r="JW489" s="525"/>
      <c r="JX489" s="549">
        <f t="shared" ref="JX489:JX496" si="12095">SUM(HH489,HJ489,HL489,HN489,HP489,HR489,HT489,HV489,HX489,HZ489,IB489,ID489)</f>
        <v>1500</v>
      </c>
      <c r="JY489" s="549">
        <f t="shared" ref="JY489:JY496" si="12096">SUM(HI489,HK489,HM489,HO489,HQ489,HS489,HU489,HW489,HY489,IA489,IC489,IE489)</f>
        <v>0</v>
      </c>
      <c r="JZ489" s="581">
        <f t="shared" si="11276"/>
        <v>0</v>
      </c>
      <c r="KA489" s="581">
        <f t="shared" si="11277"/>
        <v>0</v>
      </c>
      <c r="KB489" s="549">
        <f t="shared" si="11273"/>
        <v>1500</v>
      </c>
      <c r="KC489" s="709">
        <f t="shared" si="11275"/>
        <v>0</v>
      </c>
      <c r="KD489" s="36"/>
      <c r="KE489" s="36"/>
      <c r="KF489" s="36"/>
      <c r="KG489" s="36"/>
      <c r="KH489" s="36"/>
      <c r="KI489" s="36"/>
      <c r="KJ489" s="36"/>
      <c r="KK489" s="36"/>
    </row>
    <row r="490" spans="1:297" s="10" customFormat="1" ht="12.75" customHeight="1">
      <c r="A490" s="86" t="s">
        <v>294</v>
      </c>
      <c r="B490" s="77" t="s">
        <v>187</v>
      </c>
      <c r="C490" s="74">
        <v>2000</v>
      </c>
      <c r="D490" s="549">
        <v>0</v>
      </c>
      <c r="E490" s="675">
        <v>0</v>
      </c>
      <c r="F490" s="549">
        <v>0</v>
      </c>
      <c r="G490" s="675">
        <v>0</v>
      </c>
      <c r="H490" s="549">
        <v>0</v>
      </c>
      <c r="I490" s="675">
        <v>0</v>
      </c>
      <c r="J490" s="549">
        <v>0</v>
      </c>
      <c r="K490" s="675">
        <v>0</v>
      </c>
      <c r="L490" s="549">
        <v>0</v>
      </c>
      <c r="M490" s="675">
        <v>0</v>
      </c>
      <c r="N490" s="549">
        <v>0</v>
      </c>
      <c r="O490" s="675">
        <v>0</v>
      </c>
      <c r="P490" s="549">
        <v>0</v>
      </c>
      <c r="Q490" s="675">
        <v>0</v>
      </c>
      <c r="R490" s="549">
        <v>0</v>
      </c>
      <c r="S490" s="675">
        <v>0</v>
      </c>
      <c r="T490" s="549">
        <v>0</v>
      </c>
      <c r="U490" s="675">
        <v>0</v>
      </c>
      <c r="V490" s="549">
        <v>0</v>
      </c>
      <c r="W490" s="675">
        <v>0</v>
      </c>
      <c r="X490" s="549">
        <v>0</v>
      </c>
      <c r="Y490" s="675">
        <v>0</v>
      </c>
      <c r="Z490" s="549">
        <v>0</v>
      </c>
      <c r="AA490" s="675">
        <v>0</v>
      </c>
      <c r="AB490" s="549">
        <v>0</v>
      </c>
      <c r="AC490" s="675">
        <v>0</v>
      </c>
      <c r="AD490" s="549">
        <v>0</v>
      </c>
      <c r="AE490" s="675">
        <v>0</v>
      </c>
      <c r="AF490" s="549">
        <v>0</v>
      </c>
      <c r="AG490" s="675">
        <v>0</v>
      </c>
      <c r="AH490" s="549">
        <v>0</v>
      </c>
      <c r="AI490" s="675">
        <v>0</v>
      </c>
      <c r="AJ490" s="549">
        <v>0</v>
      </c>
      <c r="AK490" s="675">
        <v>0</v>
      </c>
      <c r="AL490" s="549">
        <v>0</v>
      </c>
      <c r="AM490" s="675">
        <v>0</v>
      </c>
      <c r="AN490" s="549">
        <v>0</v>
      </c>
      <c r="AO490" s="675">
        <v>0</v>
      </c>
      <c r="AP490" s="549">
        <v>0</v>
      </c>
      <c r="AQ490" s="675">
        <v>0</v>
      </c>
      <c r="AR490" s="549">
        <v>0</v>
      </c>
      <c r="AS490" s="675">
        <v>0</v>
      </c>
      <c r="AT490" s="549">
        <v>0</v>
      </c>
      <c r="AU490" s="675">
        <v>0</v>
      </c>
      <c r="AV490" s="549">
        <v>0</v>
      </c>
      <c r="AW490" s="675">
        <v>0</v>
      </c>
      <c r="AX490" s="549">
        <v>0</v>
      </c>
      <c r="AY490" s="675">
        <v>0</v>
      </c>
      <c r="AZ490" s="549">
        <v>0</v>
      </c>
      <c r="BA490" s="675">
        <v>0</v>
      </c>
      <c r="BB490" s="549">
        <v>0</v>
      </c>
      <c r="BC490" s="675">
        <v>0</v>
      </c>
      <c r="BD490" s="549">
        <v>0</v>
      </c>
      <c r="BE490" s="675">
        <v>0</v>
      </c>
      <c r="BF490" s="549">
        <v>0</v>
      </c>
      <c r="BG490" s="675">
        <v>0</v>
      </c>
      <c r="BH490" s="549">
        <v>0</v>
      </c>
      <c r="BI490" s="675">
        <v>0</v>
      </c>
      <c r="BJ490" s="549">
        <v>0</v>
      </c>
      <c r="BK490" s="675">
        <v>0</v>
      </c>
      <c r="BL490" s="549">
        <v>0</v>
      </c>
      <c r="BM490" s="675">
        <v>0</v>
      </c>
      <c r="BN490" s="549">
        <v>0</v>
      </c>
      <c r="BO490" s="675">
        <v>0</v>
      </c>
      <c r="BP490" s="549">
        <v>0</v>
      </c>
      <c r="BQ490" s="675">
        <v>0</v>
      </c>
      <c r="BR490" s="549">
        <v>0</v>
      </c>
      <c r="BS490" s="675">
        <v>0</v>
      </c>
      <c r="BT490" s="549">
        <v>0</v>
      </c>
      <c r="BU490" s="675">
        <v>0</v>
      </c>
      <c r="BV490" s="549">
        <v>0</v>
      </c>
      <c r="BW490" s="675">
        <v>0</v>
      </c>
      <c r="BX490" s="549">
        <v>0</v>
      </c>
      <c r="BY490" s="675">
        <v>0</v>
      </c>
      <c r="BZ490" s="549">
        <v>0</v>
      </c>
      <c r="CA490" s="675">
        <v>0</v>
      </c>
      <c r="CB490" s="549">
        <v>0</v>
      </c>
      <c r="CC490" s="675">
        <v>0</v>
      </c>
      <c r="CD490" s="549">
        <v>0</v>
      </c>
      <c r="CE490" s="675">
        <v>0</v>
      </c>
      <c r="CF490" s="549">
        <v>0</v>
      </c>
      <c r="CG490" s="675">
        <v>0</v>
      </c>
      <c r="CH490" s="549">
        <v>0</v>
      </c>
      <c r="CI490" s="675">
        <v>0</v>
      </c>
      <c r="CJ490" s="549">
        <v>0</v>
      </c>
      <c r="CK490" s="675">
        <v>0</v>
      </c>
      <c r="CL490" s="549">
        <v>0</v>
      </c>
      <c r="CM490" s="675">
        <v>0</v>
      </c>
      <c r="CN490" s="549">
        <v>0</v>
      </c>
      <c r="CO490" s="675">
        <v>0</v>
      </c>
      <c r="CP490" s="549">
        <v>0</v>
      </c>
      <c r="CQ490" s="675">
        <v>0</v>
      </c>
      <c r="CR490" s="549">
        <v>0</v>
      </c>
      <c r="CS490" s="675">
        <v>0</v>
      </c>
      <c r="CT490" s="549">
        <v>0</v>
      </c>
      <c r="CU490" s="675">
        <v>0</v>
      </c>
      <c r="CV490" s="549">
        <v>0</v>
      </c>
      <c r="CW490" s="675">
        <v>0</v>
      </c>
      <c r="CX490" s="549">
        <v>0</v>
      </c>
      <c r="CY490" s="675">
        <v>0</v>
      </c>
      <c r="CZ490" s="549">
        <v>0</v>
      </c>
      <c r="DA490" s="675">
        <v>0</v>
      </c>
      <c r="DB490" s="549">
        <v>0</v>
      </c>
      <c r="DC490" s="675">
        <v>0</v>
      </c>
      <c r="DD490" s="549">
        <v>0</v>
      </c>
      <c r="DE490" s="675">
        <v>0</v>
      </c>
      <c r="DF490" s="549">
        <v>0</v>
      </c>
      <c r="DG490" s="675">
        <v>0</v>
      </c>
      <c r="DH490" s="549">
        <v>0</v>
      </c>
      <c r="DI490" s="675">
        <v>0</v>
      </c>
      <c r="DJ490" s="549">
        <v>0</v>
      </c>
      <c r="DK490" s="675">
        <v>-1000</v>
      </c>
      <c r="DL490" s="549">
        <v>0</v>
      </c>
      <c r="DM490" s="675">
        <v>0</v>
      </c>
      <c r="DN490" s="549">
        <v>0</v>
      </c>
      <c r="DO490" s="675">
        <v>0</v>
      </c>
      <c r="DP490" s="549">
        <v>0</v>
      </c>
      <c r="DQ490" s="675">
        <v>0</v>
      </c>
      <c r="DR490" s="549">
        <v>0</v>
      </c>
      <c r="DS490" s="675">
        <v>0</v>
      </c>
      <c r="DT490" s="549">
        <v>0</v>
      </c>
      <c r="DU490" s="675">
        <v>0</v>
      </c>
      <c r="DV490" s="549">
        <v>0</v>
      </c>
      <c r="DW490" s="675">
        <v>0</v>
      </c>
      <c r="DX490" s="549">
        <v>0</v>
      </c>
      <c r="DY490" s="675">
        <v>0</v>
      </c>
      <c r="DZ490" s="549">
        <v>0</v>
      </c>
      <c r="EA490" s="675">
        <v>0</v>
      </c>
      <c r="EB490" s="549">
        <v>0</v>
      </c>
      <c r="EC490" s="675">
        <v>0</v>
      </c>
      <c r="ED490" s="549">
        <v>0</v>
      </c>
      <c r="EE490" s="675">
        <v>0</v>
      </c>
      <c r="EF490" s="549">
        <v>0</v>
      </c>
      <c r="EG490" s="675">
        <v>0</v>
      </c>
      <c r="EH490" s="549">
        <v>0</v>
      </c>
      <c r="EI490" s="675">
        <v>0</v>
      </c>
      <c r="EJ490" s="549">
        <v>0</v>
      </c>
      <c r="EK490" s="675">
        <v>0</v>
      </c>
      <c r="EL490" s="549">
        <v>0</v>
      </c>
      <c r="EM490" s="675">
        <v>0</v>
      </c>
      <c r="EN490" s="549">
        <v>0</v>
      </c>
      <c r="EO490" s="675">
        <v>0</v>
      </c>
      <c r="EP490" s="549">
        <v>0</v>
      </c>
      <c r="EQ490" s="675">
        <v>0</v>
      </c>
      <c r="ER490" s="549">
        <v>0</v>
      </c>
      <c r="ES490" s="675">
        <v>0</v>
      </c>
      <c r="ET490" s="549">
        <v>0</v>
      </c>
      <c r="EU490" s="675">
        <v>0</v>
      </c>
      <c r="EV490" s="549">
        <v>0</v>
      </c>
      <c r="EW490" s="675">
        <v>0</v>
      </c>
      <c r="EX490" s="549">
        <v>0</v>
      </c>
      <c r="EY490" s="675">
        <v>0</v>
      </c>
      <c r="EZ490" s="549">
        <v>0</v>
      </c>
      <c r="FA490" s="675">
        <v>0</v>
      </c>
      <c r="FB490" s="549">
        <v>0</v>
      </c>
      <c r="FC490" s="675">
        <v>0</v>
      </c>
      <c r="FD490" s="549">
        <v>0</v>
      </c>
      <c r="FE490" s="675">
        <v>-244</v>
      </c>
      <c r="FF490" s="549">
        <v>0</v>
      </c>
      <c r="FG490" s="675">
        <v>0</v>
      </c>
      <c r="FH490" s="549">
        <v>0</v>
      </c>
      <c r="FI490" s="675">
        <v>0</v>
      </c>
      <c r="FJ490" s="549">
        <v>0</v>
      </c>
      <c r="FK490" s="675">
        <v>0</v>
      </c>
      <c r="FL490" s="549">
        <v>0</v>
      </c>
      <c r="FM490" s="675">
        <v>0</v>
      </c>
      <c r="FN490" s="549">
        <v>0</v>
      </c>
      <c r="FO490" s="675">
        <v>0</v>
      </c>
      <c r="FP490" s="549">
        <v>0</v>
      </c>
      <c r="FQ490" s="675">
        <v>0</v>
      </c>
      <c r="FR490" s="549">
        <v>0</v>
      </c>
      <c r="FS490" s="675">
        <v>0</v>
      </c>
      <c r="FT490" s="549">
        <v>0</v>
      </c>
      <c r="FU490" s="675">
        <v>0</v>
      </c>
      <c r="FV490" s="549">
        <v>0</v>
      </c>
      <c r="FW490" s="675">
        <v>0</v>
      </c>
      <c r="FX490" s="549">
        <v>0</v>
      </c>
      <c r="FY490" s="675">
        <v>0</v>
      </c>
      <c r="FZ490" s="549">
        <v>0</v>
      </c>
      <c r="GA490" s="675">
        <v>0</v>
      </c>
      <c r="GB490" s="549">
        <v>0</v>
      </c>
      <c r="GC490" s="675">
        <v>0</v>
      </c>
      <c r="GD490" s="549">
        <v>0</v>
      </c>
      <c r="GE490" s="675">
        <v>0</v>
      </c>
      <c r="GF490" s="549">
        <v>0</v>
      </c>
      <c r="GG490" s="675">
        <v>0</v>
      </c>
      <c r="GH490" s="549">
        <v>0</v>
      </c>
      <c r="GI490" s="675">
        <v>0</v>
      </c>
      <c r="GJ490" s="549">
        <v>0</v>
      </c>
      <c r="GK490" s="675">
        <v>0</v>
      </c>
      <c r="GL490" s="549">
        <v>0</v>
      </c>
      <c r="GM490" s="675">
        <v>0</v>
      </c>
      <c r="GN490" s="549">
        <v>0</v>
      </c>
      <c r="GO490" s="675">
        <v>0</v>
      </c>
      <c r="GP490" s="549">
        <f t="shared" si="12061"/>
        <v>0</v>
      </c>
      <c r="GQ490" s="675">
        <f t="shared" si="12062"/>
        <v>-1244</v>
      </c>
      <c r="GR490" s="74">
        <f t="shared" si="12063"/>
        <v>756</v>
      </c>
      <c r="GS490" s="74">
        <f t="shared" si="12064"/>
        <v>756</v>
      </c>
      <c r="GT490" s="568">
        <f t="shared" si="12065"/>
        <v>756</v>
      </c>
      <c r="GU490" s="275"/>
      <c r="GV490" s="275"/>
      <c r="GW490" s="275">
        <v>2000</v>
      </c>
      <c r="GX490" s="275"/>
      <c r="GY490" s="275"/>
      <c r="GZ490" s="275"/>
      <c r="HA490" s="275"/>
      <c r="HB490" s="275"/>
      <c r="HC490" s="275"/>
      <c r="HD490" s="275">
        <v>0</v>
      </c>
      <c r="HE490" s="275">
        <v>0</v>
      </c>
      <c r="HF490" s="275">
        <v>0</v>
      </c>
      <c r="HG490" s="74">
        <f t="shared" si="12066"/>
        <v>756</v>
      </c>
      <c r="HH490" s="89">
        <v>0</v>
      </c>
      <c r="HI490" s="817">
        <v>0</v>
      </c>
      <c r="HJ490" s="89">
        <v>0</v>
      </c>
      <c r="HK490" s="817">
        <v>0</v>
      </c>
      <c r="HL490" s="89">
        <v>2000</v>
      </c>
      <c r="HM490" s="817">
        <v>0</v>
      </c>
      <c r="HN490" s="89">
        <v>0</v>
      </c>
      <c r="HO490" s="817">
        <v>0</v>
      </c>
      <c r="HP490" s="89">
        <v>0</v>
      </c>
      <c r="HQ490" s="817">
        <v>0</v>
      </c>
      <c r="HR490" s="89">
        <v>0</v>
      </c>
      <c r="HS490" s="817">
        <v>0</v>
      </c>
      <c r="HT490" s="89">
        <v>0</v>
      </c>
      <c r="HU490" s="817">
        <v>0</v>
      </c>
      <c r="HV490" s="89">
        <v>-1000</v>
      </c>
      <c r="HW490" s="817">
        <v>0</v>
      </c>
      <c r="HX490" s="89">
        <v>0</v>
      </c>
      <c r="HY490" s="817">
        <v>0</v>
      </c>
      <c r="HZ490" s="89">
        <v>-244</v>
      </c>
      <c r="IA490" s="817">
        <v>0</v>
      </c>
      <c r="IB490" s="89">
        <v>0</v>
      </c>
      <c r="IC490" s="817">
        <v>0</v>
      </c>
      <c r="ID490" s="89">
        <v>0</v>
      </c>
      <c r="IE490" s="817">
        <v>0</v>
      </c>
      <c r="IF490" s="841">
        <f t="shared" si="12067"/>
        <v>756</v>
      </c>
      <c r="IG490" s="263">
        <f t="shared" si="12068"/>
        <v>756</v>
      </c>
      <c r="IH490" s="842">
        <f t="shared" si="12069"/>
        <v>756</v>
      </c>
      <c r="II490" s="89">
        <v>0</v>
      </c>
      <c r="IJ490" s="89">
        <f t="shared" si="12070"/>
        <v>0</v>
      </c>
      <c r="IK490" s="89">
        <f t="shared" si="12071"/>
        <v>0</v>
      </c>
      <c r="IL490" s="89">
        <v>0</v>
      </c>
      <c r="IM490" s="89">
        <f t="shared" si="12072"/>
        <v>0</v>
      </c>
      <c r="IN490" s="89">
        <f t="shared" si="12073"/>
        <v>0</v>
      </c>
      <c r="IO490" s="89">
        <v>472.2</v>
      </c>
      <c r="IP490" s="89">
        <f t="shared" si="12074"/>
        <v>472.2</v>
      </c>
      <c r="IQ490" s="89">
        <f t="shared" si="12075"/>
        <v>472.2</v>
      </c>
      <c r="IR490" s="89">
        <v>0</v>
      </c>
      <c r="IS490" s="89">
        <f t="shared" si="12076"/>
        <v>0</v>
      </c>
      <c r="IT490" s="89">
        <f t="shared" si="12077"/>
        <v>0</v>
      </c>
      <c r="IU490" s="89">
        <f>756-472.2</f>
        <v>283.8</v>
      </c>
      <c r="IV490" s="89">
        <f t="shared" si="12078"/>
        <v>283.8</v>
      </c>
      <c r="IW490" s="89">
        <f t="shared" si="12079"/>
        <v>283.8</v>
      </c>
      <c r="IX490" s="89">
        <v>0</v>
      </c>
      <c r="IY490" s="89">
        <f t="shared" si="12080"/>
        <v>0</v>
      </c>
      <c r="IZ490" s="89">
        <f t="shared" si="12081"/>
        <v>0</v>
      </c>
      <c r="JA490" s="89">
        <f>756-756</f>
        <v>0</v>
      </c>
      <c r="JB490" s="89">
        <f t="shared" si="12082"/>
        <v>0</v>
      </c>
      <c r="JC490" s="89">
        <f t="shared" si="12083"/>
        <v>0</v>
      </c>
      <c r="JD490" s="89">
        <v>0</v>
      </c>
      <c r="JE490" s="89">
        <f t="shared" si="12084"/>
        <v>0</v>
      </c>
      <c r="JF490" s="89">
        <f t="shared" si="12085"/>
        <v>0</v>
      </c>
      <c r="JG490" s="89">
        <v>0</v>
      </c>
      <c r="JH490" s="89">
        <f t="shared" si="12086"/>
        <v>0</v>
      </c>
      <c r="JI490" s="89">
        <f t="shared" si="12087"/>
        <v>0</v>
      </c>
      <c r="JJ490" s="89">
        <v>0</v>
      </c>
      <c r="JK490" s="89">
        <f t="shared" si="12088"/>
        <v>0</v>
      </c>
      <c r="JL490" s="89">
        <f t="shared" si="12089"/>
        <v>0</v>
      </c>
      <c r="JM490" s="89">
        <v>0</v>
      </c>
      <c r="JN490" s="89">
        <f t="shared" si="12090"/>
        <v>0</v>
      </c>
      <c r="JO490" s="89">
        <f t="shared" si="12091"/>
        <v>0</v>
      </c>
      <c r="JP490" s="89">
        <v>0</v>
      </c>
      <c r="JQ490" s="89">
        <f t="shared" ref="JQ490:JR490" si="12097">JP490</f>
        <v>0</v>
      </c>
      <c r="JR490" s="89">
        <f t="shared" si="12097"/>
        <v>0</v>
      </c>
      <c r="JS490" s="74">
        <f t="shared" si="12093"/>
        <v>0</v>
      </c>
      <c r="JT490" s="382">
        <f t="shared" si="12094"/>
        <v>0</v>
      </c>
      <c r="JU490" s="665"/>
      <c r="JV490" s="524"/>
      <c r="JW490" s="525"/>
      <c r="JX490" s="549">
        <f t="shared" si="12095"/>
        <v>756</v>
      </c>
      <c r="JY490" s="549">
        <f t="shared" si="12096"/>
        <v>0</v>
      </c>
      <c r="JZ490" s="581">
        <f t="shared" si="11276"/>
        <v>0</v>
      </c>
      <c r="KA490" s="581">
        <f t="shared" si="11277"/>
        <v>-1244</v>
      </c>
      <c r="KB490" s="549">
        <f t="shared" si="11273"/>
        <v>756</v>
      </c>
      <c r="KC490" s="709">
        <f t="shared" si="11275"/>
        <v>0</v>
      </c>
      <c r="KD490" s="36"/>
      <c r="KE490" s="36"/>
      <c r="KF490" s="36"/>
      <c r="KG490" s="36"/>
      <c r="KH490" s="36"/>
      <c r="KI490" s="36"/>
      <c r="KJ490" s="36"/>
      <c r="KK490" s="36"/>
    </row>
    <row r="491" spans="1:297" s="10" customFormat="1">
      <c r="A491" s="86" t="s">
        <v>492</v>
      </c>
      <c r="B491" s="77" t="s">
        <v>187</v>
      </c>
      <c r="C491" s="74">
        <v>6800</v>
      </c>
      <c r="D491" s="549">
        <v>0</v>
      </c>
      <c r="E491" s="675">
        <v>0</v>
      </c>
      <c r="F491" s="549">
        <v>0</v>
      </c>
      <c r="G491" s="675">
        <v>0</v>
      </c>
      <c r="H491" s="549">
        <v>0</v>
      </c>
      <c r="I491" s="675">
        <v>0</v>
      </c>
      <c r="J491" s="549">
        <v>0</v>
      </c>
      <c r="K491" s="675">
        <v>0</v>
      </c>
      <c r="L491" s="549">
        <v>0</v>
      </c>
      <c r="M491" s="675">
        <v>0</v>
      </c>
      <c r="N491" s="549">
        <v>0</v>
      </c>
      <c r="O491" s="675">
        <v>0</v>
      </c>
      <c r="P491" s="549">
        <v>0</v>
      </c>
      <c r="Q491" s="675">
        <v>0</v>
      </c>
      <c r="R491" s="549">
        <v>0</v>
      </c>
      <c r="S491" s="675">
        <v>0</v>
      </c>
      <c r="T491" s="549">
        <v>0</v>
      </c>
      <c r="U491" s="675">
        <v>0</v>
      </c>
      <c r="V491" s="549">
        <v>0</v>
      </c>
      <c r="W491" s="675">
        <v>0</v>
      </c>
      <c r="X491" s="549">
        <v>0</v>
      </c>
      <c r="Y491" s="675">
        <v>0</v>
      </c>
      <c r="Z491" s="549">
        <v>0</v>
      </c>
      <c r="AA491" s="675">
        <v>0</v>
      </c>
      <c r="AB491" s="549">
        <v>0</v>
      </c>
      <c r="AC491" s="675">
        <v>0</v>
      </c>
      <c r="AD491" s="549">
        <v>0</v>
      </c>
      <c r="AE491" s="675">
        <v>-2000</v>
      </c>
      <c r="AF491" s="549">
        <v>0</v>
      </c>
      <c r="AG491" s="675">
        <v>0</v>
      </c>
      <c r="AH491" s="549">
        <v>0</v>
      </c>
      <c r="AI491" s="675">
        <v>0</v>
      </c>
      <c r="AJ491" s="549">
        <v>0</v>
      </c>
      <c r="AK491" s="675">
        <v>0</v>
      </c>
      <c r="AL491" s="549">
        <v>0</v>
      </c>
      <c r="AM491" s="675">
        <v>0</v>
      </c>
      <c r="AN491" s="549">
        <v>0</v>
      </c>
      <c r="AO491" s="675">
        <v>0</v>
      </c>
      <c r="AP491" s="549">
        <v>0</v>
      </c>
      <c r="AQ491" s="675">
        <v>0</v>
      </c>
      <c r="AR491" s="549">
        <v>0</v>
      </c>
      <c r="AS491" s="675">
        <v>0</v>
      </c>
      <c r="AT491" s="549">
        <v>0</v>
      </c>
      <c r="AU491" s="675">
        <v>0</v>
      </c>
      <c r="AV491" s="549">
        <v>0</v>
      </c>
      <c r="AW491" s="675">
        <v>0</v>
      </c>
      <c r="AX491" s="549">
        <v>0</v>
      </c>
      <c r="AY491" s="675">
        <v>0</v>
      </c>
      <c r="AZ491" s="549">
        <v>0</v>
      </c>
      <c r="BA491" s="675">
        <v>0</v>
      </c>
      <c r="BB491" s="549">
        <v>0</v>
      </c>
      <c r="BC491" s="675">
        <v>0</v>
      </c>
      <c r="BD491" s="549">
        <v>0</v>
      </c>
      <c r="BE491" s="675">
        <v>0</v>
      </c>
      <c r="BF491" s="549">
        <v>0</v>
      </c>
      <c r="BG491" s="675">
        <v>0</v>
      </c>
      <c r="BH491" s="549">
        <v>0</v>
      </c>
      <c r="BI491" s="675">
        <v>0</v>
      </c>
      <c r="BJ491" s="549">
        <v>0</v>
      </c>
      <c r="BK491" s="675">
        <v>0</v>
      </c>
      <c r="BL491" s="549">
        <v>0</v>
      </c>
      <c r="BM491" s="675">
        <v>0</v>
      </c>
      <c r="BN491" s="549">
        <v>0</v>
      </c>
      <c r="BO491" s="675">
        <v>0</v>
      </c>
      <c r="BP491" s="549">
        <v>0</v>
      </c>
      <c r="BQ491" s="675">
        <v>0</v>
      </c>
      <c r="BR491" s="549">
        <v>0</v>
      </c>
      <c r="BS491" s="675">
        <v>0</v>
      </c>
      <c r="BT491" s="549">
        <v>0</v>
      </c>
      <c r="BU491" s="675">
        <v>0</v>
      </c>
      <c r="BV491" s="549">
        <v>0</v>
      </c>
      <c r="BW491" s="675">
        <v>0</v>
      </c>
      <c r="BX491" s="549">
        <v>0</v>
      </c>
      <c r="BY491" s="675">
        <v>0</v>
      </c>
      <c r="BZ491" s="549">
        <v>0</v>
      </c>
      <c r="CA491" s="675">
        <v>0</v>
      </c>
      <c r="CB491" s="549">
        <v>0</v>
      </c>
      <c r="CC491" s="675">
        <v>0</v>
      </c>
      <c r="CD491" s="549">
        <v>0</v>
      </c>
      <c r="CE491" s="675">
        <v>0</v>
      </c>
      <c r="CF491" s="549">
        <v>0</v>
      </c>
      <c r="CG491" s="675">
        <v>0</v>
      </c>
      <c r="CH491" s="549">
        <v>0</v>
      </c>
      <c r="CI491" s="675">
        <v>0</v>
      </c>
      <c r="CJ491" s="549">
        <v>0</v>
      </c>
      <c r="CK491" s="675">
        <v>0</v>
      </c>
      <c r="CL491" s="549">
        <v>0</v>
      </c>
      <c r="CM491" s="675">
        <v>0</v>
      </c>
      <c r="CN491" s="549">
        <v>0</v>
      </c>
      <c r="CO491" s="675">
        <v>0</v>
      </c>
      <c r="CP491" s="549">
        <v>0</v>
      </c>
      <c r="CQ491" s="675">
        <v>0</v>
      </c>
      <c r="CR491" s="549">
        <v>0</v>
      </c>
      <c r="CS491" s="675">
        <v>0</v>
      </c>
      <c r="CT491" s="549">
        <v>0</v>
      </c>
      <c r="CU491" s="675">
        <v>0</v>
      </c>
      <c r="CV491" s="549">
        <v>0</v>
      </c>
      <c r="CW491" s="675">
        <v>0</v>
      </c>
      <c r="CX491" s="549">
        <v>0</v>
      </c>
      <c r="CY491" s="675">
        <v>0</v>
      </c>
      <c r="CZ491" s="549">
        <v>0</v>
      </c>
      <c r="DA491" s="675">
        <v>0</v>
      </c>
      <c r="DB491" s="549">
        <v>0</v>
      </c>
      <c r="DC491" s="675">
        <v>0</v>
      </c>
      <c r="DD491" s="549">
        <v>0</v>
      </c>
      <c r="DE491" s="675">
        <v>0</v>
      </c>
      <c r="DF491" s="549">
        <v>0</v>
      </c>
      <c r="DG491" s="675">
        <v>0</v>
      </c>
      <c r="DH491" s="549">
        <v>0</v>
      </c>
      <c r="DI491" s="675">
        <v>0</v>
      </c>
      <c r="DJ491" s="549">
        <v>0</v>
      </c>
      <c r="DK491" s="675">
        <v>0</v>
      </c>
      <c r="DL491" s="549">
        <v>0</v>
      </c>
      <c r="DM491" s="675">
        <v>0</v>
      </c>
      <c r="DN491" s="549">
        <v>0</v>
      </c>
      <c r="DO491" s="675">
        <v>0</v>
      </c>
      <c r="DP491" s="549">
        <v>0</v>
      </c>
      <c r="DQ491" s="675">
        <v>0</v>
      </c>
      <c r="DR491" s="549">
        <v>0</v>
      </c>
      <c r="DS491" s="675">
        <v>0</v>
      </c>
      <c r="DT491" s="549">
        <v>0</v>
      </c>
      <c r="DU491" s="675">
        <v>0</v>
      </c>
      <c r="DV491" s="549">
        <v>0</v>
      </c>
      <c r="DW491" s="675">
        <v>0</v>
      </c>
      <c r="DX491" s="549">
        <v>0</v>
      </c>
      <c r="DY491" s="675">
        <v>0</v>
      </c>
      <c r="DZ491" s="549">
        <v>0</v>
      </c>
      <c r="EA491" s="675">
        <v>0</v>
      </c>
      <c r="EB491" s="549">
        <v>0</v>
      </c>
      <c r="EC491" s="675">
        <v>0</v>
      </c>
      <c r="ED491" s="549">
        <v>0</v>
      </c>
      <c r="EE491" s="675">
        <v>0</v>
      </c>
      <c r="EF491" s="549">
        <v>0</v>
      </c>
      <c r="EG491" s="675">
        <v>0</v>
      </c>
      <c r="EH491" s="549">
        <v>0</v>
      </c>
      <c r="EI491" s="675">
        <v>0</v>
      </c>
      <c r="EJ491" s="549">
        <v>0</v>
      </c>
      <c r="EK491" s="675">
        <v>0</v>
      </c>
      <c r="EL491" s="549">
        <v>0</v>
      </c>
      <c r="EM491" s="675">
        <v>0</v>
      </c>
      <c r="EN491" s="549">
        <v>0</v>
      </c>
      <c r="EO491" s="675">
        <v>0</v>
      </c>
      <c r="EP491" s="549">
        <v>0</v>
      </c>
      <c r="EQ491" s="675">
        <v>0</v>
      </c>
      <c r="ER491" s="549">
        <v>0</v>
      </c>
      <c r="ES491" s="675">
        <v>0</v>
      </c>
      <c r="ET491" s="549">
        <v>0</v>
      </c>
      <c r="EU491" s="675">
        <v>0</v>
      </c>
      <c r="EV491" s="549">
        <v>0</v>
      </c>
      <c r="EW491" s="675">
        <v>0</v>
      </c>
      <c r="EX491" s="549">
        <v>0</v>
      </c>
      <c r="EY491" s="675">
        <v>0</v>
      </c>
      <c r="EZ491" s="549">
        <v>0</v>
      </c>
      <c r="FA491" s="675">
        <v>0</v>
      </c>
      <c r="FB491" s="549">
        <v>0</v>
      </c>
      <c r="FC491" s="675">
        <v>0</v>
      </c>
      <c r="FD491" s="549">
        <v>0</v>
      </c>
      <c r="FE491" s="675">
        <v>0</v>
      </c>
      <c r="FF491" s="549">
        <v>0</v>
      </c>
      <c r="FG491" s="675">
        <v>0</v>
      </c>
      <c r="FH491" s="549">
        <v>0</v>
      </c>
      <c r="FI491" s="675">
        <v>0</v>
      </c>
      <c r="FJ491" s="549">
        <v>0</v>
      </c>
      <c r="FK491" s="675">
        <v>0</v>
      </c>
      <c r="FL491" s="549">
        <v>0</v>
      </c>
      <c r="FM491" s="675">
        <v>0</v>
      </c>
      <c r="FN491" s="549">
        <v>0</v>
      </c>
      <c r="FO491" s="675">
        <v>0</v>
      </c>
      <c r="FP491" s="549">
        <v>0</v>
      </c>
      <c r="FQ491" s="675">
        <v>0</v>
      </c>
      <c r="FR491" s="549">
        <v>0</v>
      </c>
      <c r="FS491" s="675">
        <v>0</v>
      </c>
      <c r="FT491" s="549">
        <v>0</v>
      </c>
      <c r="FU491" s="675">
        <v>0</v>
      </c>
      <c r="FV491" s="549">
        <v>0</v>
      </c>
      <c r="FW491" s="675">
        <v>0</v>
      </c>
      <c r="FX491" s="549">
        <v>0</v>
      </c>
      <c r="FY491" s="675">
        <v>0</v>
      </c>
      <c r="FZ491" s="549">
        <v>0</v>
      </c>
      <c r="GA491" s="675">
        <v>0</v>
      </c>
      <c r="GB491" s="549">
        <v>0</v>
      </c>
      <c r="GC491" s="675">
        <v>0</v>
      </c>
      <c r="GD491" s="549">
        <v>0</v>
      </c>
      <c r="GE491" s="675">
        <v>0</v>
      </c>
      <c r="GF491" s="549">
        <v>0</v>
      </c>
      <c r="GG491" s="675">
        <v>0</v>
      </c>
      <c r="GH491" s="549">
        <v>0</v>
      </c>
      <c r="GI491" s="675">
        <v>0</v>
      </c>
      <c r="GJ491" s="549">
        <v>0</v>
      </c>
      <c r="GK491" s="675">
        <v>0</v>
      </c>
      <c r="GL491" s="549">
        <v>0</v>
      </c>
      <c r="GM491" s="675">
        <v>0</v>
      </c>
      <c r="GN491" s="549">
        <v>0</v>
      </c>
      <c r="GO491" s="675">
        <v>0</v>
      </c>
      <c r="GP491" s="549">
        <f t="shared" si="12061"/>
        <v>0</v>
      </c>
      <c r="GQ491" s="675">
        <f t="shared" si="12062"/>
        <v>-2000</v>
      </c>
      <c r="GR491" s="74">
        <f t="shared" si="12063"/>
        <v>4800</v>
      </c>
      <c r="GS491" s="74">
        <f t="shared" si="12064"/>
        <v>4800</v>
      </c>
      <c r="GT491" s="568">
        <f t="shared" si="12065"/>
        <v>4800</v>
      </c>
      <c r="GU491" s="275"/>
      <c r="GV491" s="275"/>
      <c r="GW491" s="275">
        <v>6800</v>
      </c>
      <c r="GX491" s="275"/>
      <c r="GY491" s="275"/>
      <c r="GZ491" s="275"/>
      <c r="HA491" s="275"/>
      <c r="HB491" s="275"/>
      <c r="HC491" s="275"/>
      <c r="HD491" s="275">
        <v>0</v>
      </c>
      <c r="HE491" s="275">
        <v>0</v>
      </c>
      <c r="HF491" s="275">
        <v>0</v>
      </c>
      <c r="HG491" s="74">
        <f t="shared" si="12066"/>
        <v>4800</v>
      </c>
      <c r="HH491" s="89">
        <v>0</v>
      </c>
      <c r="HI491" s="817">
        <v>0</v>
      </c>
      <c r="HJ491" s="89">
        <v>0</v>
      </c>
      <c r="HK491" s="817">
        <v>0</v>
      </c>
      <c r="HL491" s="89">
        <v>2000</v>
      </c>
      <c r="HM491" s="817">
        <v>0</v>
      </c>
      <c r="HN491" s="89">
        <v>0</v>
      </c>
      <c r="HO491" s="817">
        <v>0</v>
      </c>
      <c r="HP491" s="89">
        <v>2800</v>
      </c>
      <c r="HQ491" s="817">
        <v>0</v>
      </c>
      <c r="HR491" s="89">
        <v>0</v>
      </c>
      <c r="HS491" s="817">
        <v>0</v>
      </c>
      <c r="HT491" s="89">
        <v>0</v>
      </c>
      <c r="HU491" s="817">
        <v>0</v>
      </c>
      <c r="HV491" s="89">
        <v>0</v>
      </c>
      <c r="HW491" s="817">
        <v>0</v>
      </c>
      <c r="HX491" s="89">
        <v>0</v>
      </c>
      <c r="HY491" s="817">
        <v>0</v>
      </c>
      <c r="HZ491" s="89">
        <v>0</v>
      </c>
      <c r="IA491" s="817">
        <v>0</v>
      </c>
      <c r="IB491" s="89">
        <v>0</v>
      </c>
      <c r="IC491" s="817">
        <v>0</v>
      </c>
      <c r="ID491" s="89">
        <v>0</v>
      </c>
      <c r="IE491" s="817">
        <v>0</v>
      </c>
      <c r="IF491" s="841">
        <f t="shared" si="12067"/>
        <v>4715.6099999999997</v>
      </c>
      <c r="IG491" s="263">
        <f t="shared" si="12068"/>
        <v>4715.6099999999997</v>
      </c>
      <c r="IH491" s="842">
        <f t="shared" si="12069"/>
        <v>4715.6099999999997</v>
      </c>
      <c r="II491" s="89">
        <v>0</v>
      </c>
      <c r="IJ491" s="89">
        <f t="shared" si="12070"/>
        <v>0</v>
      </c>
      <c r="IK491" s="89">
        <f t="shared" si="12071"/>
        <v>0</v>
      </c>
      <c r="IL491" s="89">
        <v>0</v>
      </c>
      <c r="IM491" s="89">
        <f t="shared" si="12072"/>
        <v>0</v>
      </c>
      <c r="IN491" s="89">
        <f t="shared" si="12073"/>
        <v>0</v>
      </c>
      <c r="IO491" s="89">
        <v>0</v>
      </c>
      <c r="IP491" s="89">
        <f t="shared" si="12074"/>
        <v>0</v>
      </c>
      <c r="IQ491" s="89">
        <f t="shared" si="12075"/>
        <v>0</v>
      </c>
      <c r="IR491" s="89">
        <v>169.02</v>
      </c>
      <c r="IS491" s="89">
        <f t="shared" si="12076"/>
        <v>169.02</v>
      </c>
      <c r="IT491" s="89">
        <f t="shared" si="12077"/>
        <v>169.02</v>
      </c>
      <c r="IU491" s="89">
        <f>4715.61-169.02</f>
        <v>4546.5899999999992</v>
      </c>
      <c r="IV491" s="89">
        <f t="shared" si="12078"/>
        <v>4546.5899999999992</v>
      </c>
      <c r="IW491" s="89">
        <f t="shared" si="12079"/>
        <v>4546.5899999999992</v>
      </c>
      <c r="IX491" s="89">
        <v>0</v>
      </c>
      <c r="IY491" s="89">
        <f t="shared" si="12080"/>
        <v>0</v>
      </c>
      <c r="IZ491" s="89">
        <f t="shared" si="12081"/>
        <v>0</v>
      </c>
      <c r="JA491" s="89">
        <f>4715.61-4715.61</f>
        <v>0</v>
      </c>
      <c r="JB491" s="89">
        <f t="shared" si="12082"/>
        <v>0</v>
      </c>
      <c r="JC491" s="89">
        <f t="shared" si="12083"/>
        <v>0</v>
      </c>
      <c r="JD491" s="89">
        <v>0</v>
      </c>
      <c r="JE491" s="89">
        <f t="shared" si="12084"/>
        <v>0</v>
      </c>
      <c r="JF491" s="89">
        <f t="shared" si="12085"/>
        <v>0</v>
      </c>
      <c r="JG491" s="89">
        <v>0</v>
      </c>
      <c r="JH491" s="89">
        <f t="shared" si="12086"/>
        <v>0</v>
      </c>
      <c r="JI491" s="89">
        <f t="shared" si="12087"/>
        <v>0</v>
      </c>
      <c r="JJ491" s="89">
        <v>0</v>
      </c>
      <c r="JK491" s="89">
        <f t="shared" si="12088"/>
        <v>0</v>
      </c>
      <c r="JL491" s="89">
        <f t="shared" si="12089"/>
        <v>0</v>
      </c>
      <c r="JM491" s="89">
        <v>0</v>
      </c>
      <c r="JN491" s="89">
        <f t="shared" si="12090"/>
        <v>0</v>
      </c>
      <c r="JO491" s="89">
        <f t="shared" si="12091"/>
        <v>0</v>
      </c>
      <c r="JP491" s="89">
        <v>0</v>
      </c>
      <c r="JQ491" s="89">
        <f t="shared" ref="JQ491:JR491" si="12098">JP491</f>
        <v>0</v>
      </c>
      <c r="JR491" s="89">
        <f t="shared" si="12098"/>
        <v>0</v>
      </c>
      <c r="JS491" s="74">
        <f t="shared" si="12093"/>
        <v>84.390000000000327</v>
      </c>
      <c r="JT491" s="382">
        <f t="shared" si="12094"/>
        <v>84.390000000000327</v>
      </c>
      <c r="JU491" s="665"/>
      <c r="JV491" s="524"/>
      <c r="JW491" s="525"/>
      <c r="JX491" s="549">
        <f t="shared" si="12095"/>
        <v>4800</v>
      </c>
      <c r="JY491" s="549">
        <f t="shared" si="12096"/>
        <v>0</v>
      </c>
      <c r="JZ491" s="581">
        <f t="shared" si="11276"/>
        <v>0</v>
      </c>
      <c r="KA491" s="581">
        <f t="shared" si="11277"/>
        <v>-2000</v>
      </c>
      <c r="KB491" s="549">
        <f t="shared" si="11273"/>
        <v>4800</v>
      </c>
      <c r="KC491" s="709">
        <f t="shared" si="11275"/>
        <v>0</v>
      </c>
      <c r="KD491" s="36"/>
      <c r="KE491" s="36"/>
      <c r="KF491" s="36"/>
      <c r="KG491" s="36"/>
      <c r="KH491" s="36"/>
      <c r="KI491" s="36"/>
      <c r="KJ491" s="36"/>
      <c r="KK491" s="36"/>
    </row>
    <row r="492" spans="1:297" s="10" customFormat="1" ht="12.75" hidden="1" customHeight="1">
      <c r="A492" s="86" t="s">
        <v>295</v>
      </c>
      <c r="B492" s="77" t="s">
        <v>296</v>
      </c>
      <c r="C492" s="74">
        <v>0</v>
      </c>
      <c r="D492" s="549">
        <v>0</v>
      </c>
      <c r="E492" s="675">
        <v>0</v>
      </c>
      <c r="F492" s="549">
        <v>0</v>
      </c>
      <c r="G492" s="675">
        <v>0</v>
      </c>
      <c r="H492" s="549">
        <v>0</v>
      </c>
      <c r="I492" s="675">
        <v>0</v>
      </c>
      <c r="J492" s="549">
        <v>0</v>
      </c>
      <c r="K492" s="675">
        <v>0</v>
      </c>
      <c r="L492" s="549">
        <v>0</v>
      </c>
      <c r="M492" s="675">
        <v>0</v>
      </c>
      <c r="N492" s="549">
        <v>0</v>
      </c>
      <c r="O492" s="675">
        <v>0</v>
      </c>
      <c r="P492" s="549">
        <v>0</v>
      </c>
      <c r="Q492" s="675">
        <v>0</v>
      </c>
      <c r="R492" s="549">
        <v>0</v>
      </c>
      <c r="S492" s="675">
        <v>0</v>
      </c>
      <c r="T492" s="549">
        <v>0</v>
      </c>
      <c r="U492" s="675">
        <v>0</v>
      </c>
      <c r="V492" s="549">
        <v>0</v>
      </c>
      <c r="W492" s="675">
        <v>0</v>
      </c>
      <c r="X492" s="549">
        <v>0</v>
      </c>
      <c r="Y492" s="675">
        <v>0</v>
      </c>
      <c r="Z492" s="549">
        <v>0</v>
      </c>
      <c r="AA492" s="675">
        <v>0</v>
      </c>
      <c r="AB492" s="549">
        <v>0</v>
      </c>
      <c r="AC492" s="675">
        <v>0</v>
      </c>
      <c r="AD492" s="549">
        <v>0</v>
      </c>
      <c r="AE492" s="675">
        <v>0</v>
      </c>
      <c r="AF492" s="549">
        <v>0</v>
      </c>
      <c r="AG492" s="675">
        <v>0</v>
      </c>
      <c r="AH492" s="549">
        <v>0</v>
      </c>
      <c r="AI492" s="675">
        <v>0</v>
      </c>
      <c r="AJ492" s="549">
        <v>0</v>
      </c>
      <c r="AK492" s="675">
        <v>0</v>
      </c>
      <c r="AL492" s="549">
        <v>0</v>
      </c>
      <c r="AM492" s="675">
        <v>0</v>
      </c>
      <c r="AN492" s="549">
        <v>0</v>
      </c>
      <c r="AO492" s="675">
        <v>0</v>
      </c>
      <c r="AP492" s="549">
        <v>0</v>
      </c>
      <c r="AQ492" s="675">
        <v>0</v>
      </c>
      <c r="AR492" s="549">
        <v>0</v>
      </c>
      <c r="AS492" s="675">
        <v>0</v>
      </c>
      <c r="AT492" s="549">
        <v>0</v>
      </c>
      <c r="AU492" s="675">
        <v>0</v>
      </c>
      <c r="AV492" s="549">
        <v>0</v>
      </c>
      <c r="AW492" s="675">
        <v>0</v>
      </c>
      <c r="AX492" s="549">
        <v>0</v>
      </c>
      <c r="AY492" s="675">
        <v>0</v>
      </c>
      <c r="AZ492" s="549">
        <v>0</v>
      </c>
      <c r="BA492" s="675">
        <v>0</v>
      </c>
      <c r="BB492" s="549">
        <v>0</v>
      </c>
      <c r="BC492" s="675">
        <v>0</v>
      </c>
      <c r="BD492" s="549">
        <v>0</v>
      </c>
      <c r="BE492" s="675">
        <v>0</v>
      </c>
      <c r="BF492" s="549">
        <v>0</v>
      </c>
      <c r="BG492" s="675">
        <v>0</v>
      </c>
      <c r="BH492" s="549">
        <v>0</v>
      </c>
      <c r="BI492" s="675">
        <v>0</v>
      </c>
      <c r="BJ492" s="549">
        <v>0</v>
      </c>
      <c r="BK492" s="675">
        <v>0</v>
      </c>
      <c r="BL492" s="549">
        <v>0</v>
      </c>
      <c r="BM492" s="675">
        <v>0</v>
      </c>
      <c r="BN492" s="549">
        <v>0</v>
      </c>
      <c r="BO492" s="675">
        <v>0</v>
      </c>
      <c r="BP492" s="549">
        <v>0</v>
      </c>
      <c r="BQ492" s="675">
        <v>0</v>
      </c>
      <c r="BR492" s="549">
        <v>0</v>
      </c>
      <c r="BS492" s="675">
        <v>0</v>
      </c>
      <c r="BT492" s="549">
        <v>0</v>
      </c>
      <c r="BU492" s="675">
        <v>0</v>
      </c>
      <c r="BV492" s="549">
        <v>0</v>
      </c>
      <c r="BW492" s="675">
        <v>0</v>
      </c>
      <c r="BX492" s="549">
        <v>0</v>
      </c>
      <c r="BY492" s="675">
        <v>0</v>
      </c>
      <c r="BZ492" s="549">
        <v>0</v>
      </c>
      <c r="CA492" s="675">
        <v>0</v>
      </c>
      <c r="CB492" s="549">
        <v>0</v>
      </c>
      <c r="CC492" s="675">
        <v>0</v>
      </c>
      <c r="CD492" s="549">
        <v>0</v>
      </c>
      <c r="CE492" s="675">
        <v>0</v>
      </c>
      <c r="CF492" s="549">
        <v>0</v>
      </c>
      <c r="CG492" s="675">
        <v>0</v>
      </c>
      <c r="CH492" s="549">
        <v>0</v>
      </c>
      <c r="CI492" s="675">
        <v>0</v>
      </c>
      <c r="CJ492" s="549">
        <v>0</v>
      </c>
      <c r="CK492" s="675">
        <v>0</v>
      </c>
      <c r="CL492" s="549">
        <v>0</v>
      </c>
      <c r="CM492" s="675">
        <v>0</v>
      </c>
      <c r="CN492" s="549">
        <v>0</v>
      </c>
      <c r="CO492" s="675">
        <v>0</v>
      </c>
      <c r="CP492" s="549">
        <v>0</v>
      </c>
      <c r="CQ492" s="675">
        <v>0</v>
      </c>
      <c r="CR492" s="549">
        <v>0</v>
      </c>
      <c r="CS492" s="675">
        <v>0</v>
      </c>
      <c r="CT492" s="549">
        <v>0</v>
      </c>
      <c r="CU492" s="675">
        <v>0</v>
      </c>
      <c r="CV492" s="549">
        <v>0</v>
      </c>
      <c r="CW492" s="675">
        <v>0</v>
      </c>
      <c r="CX492" s="549">
        <v>0</v>
      </c>
      <c r="CY492" s="675">
        <v>0</v>
      </c>
      <c r="CZ492" s="549">
        <v>0</v>
      </c>
      <c r="DA492" s="675">
        <v>0</v>
      </c>
      <c r="DB492" s="549">
        <v>0</v>
      </c>
      <c r="DC492" s="675">
        <v>0</v>
      </c>
      <c r="DD492" s="549">
        <v>0</v>
      </c>
      <c r="DE492" s="675">
        <v>0</v>
      </c>
      <c r="DF492" s="549">
        <v>0</v>
      </c>
      <c r="DG492" s="675">
        <v>0</v>
      </c>
      <c r="DH492" s="549">
        <v>0</v>
      </c>
      <c r="DI492" s="675">
        <v>0</v>
      </c>
      <c r="DJ492" s="549">
        <v>0</v>
      </c>
      <c r="DK492" s="675">
        <v>0</v>
      </c>
      <c r="DL492" s="549">
        <v>0</v>
      </c>
      <c r="DM492" s="675">
        <v>0</v>
      </c>
      <c r="DN492" s="549">
        <v>0</v>
      </c>
      <c r="DO492" s="675">
        <v>0</v>
      </c>
      <c r="DP492" s="549">
        <v>0</v>
      </c>
      <c r="DQ492" s="675">
        <v>0</v>
      </c>
      <c r="DR492" s="549">
        <v>0</v>
      </c>
      <c r="DS492" s="675">
        <v>0</v>
      </c>
      <c r="DT492" s="549">
        <v>0</v>
      </c>
      <c r="DU492" s="675">
        <v>0</v>
      </c>
      <c r="DV492" s="549">
        <v>0</v>
      </c>
      <c r="DW492" s="675">
        <v>0</v>
      </c>
      <c r="DX492" s="549">
        <v>0</v>
      </c>
      <c r="DY492" s="675">
        <v>0</v>
      </c>
      <c r="DZ492" s="549">
        <v>0</v>
      </c>
      <c r="EA492" s="675">
        <v>0</v>
      </c>
      <c r="EB492" s="549">
        <v>0</v>
      </c>
      <c r="EC492" s="675">
        <v>0</v>
      </c>
      <c r="ED492" s="549">
        <v>0</v>
      </c>
      <c r="EE492" s="675">
        <v>0</v>
      </c>
      <c r="EF492" s="549">
        <v>0</v>
      </c>
      <c r="EG492" s="675">
        <v>0</v>
      </c>
      <c r="EH492" s="549">
        <v>0</v>
      </c>
      <c r="EI492" s="675">
        <v>0</v>
      </c>
      <c r="EJ492" s="549">
        <v>0</v>
      </c>
      <c r="EK492" s="675">
        <v>0</v>
      </c>
      <c r="EL492" s="549">
        <v>0</v>
      </c>
      <c r="EM492" s="675">
        <v>0</v>
      </c>
      <c r="EN492" s="549">
        <v>0</v>
      </c>
      <c r="EO492" s="675">
        <v>0</v>
      </c>
      <c r="EP492" s="549">
        <v>0</v>
      </c>
      <c r="EQ492" s="675">
        <v>0</v>
      </c>
      <c r="ER492" s="549">
        <v>0</v>
      </c>
      <c r="ES492" s="675">
        <v>0</v>
      </c>
      <c r="ET492" s="549">
        <v>0</v>
      </c>
      <c r="EU492" s="675">
        <v>0</v>
      </c>
      <c r="EV492" s="549">
        <v>0</v>
      </c>
      <c r="EW492" s="675">
        <v>0</v>
      </c>
      <c r="EX492" s="549">
        <v>0</v>
      </c>
      <c r="EY492" s="675">
        <v>0</v>
      </c>
      <c r="EZ492" s="549">
        <v>0</v>
      </c>
      <c r="FA492" s="675">
        <v>0</v>
      </c>
      <c r="FB492" s="549">
        <v>0</v>
      </c>
      <c r="FC492" s="675">
        <v>0</v>
      </c>
      <c r="FD492" s="549">
        <v>0</v>
      </c>
      <c r="FE492" s="675">
        <v>0</v>
      </c>
      <c r="FF492" s="549">
        <v>0</v>
      </c>
      <c r="FG492" s="675">
        <v>0</v>
      </c>
      <c r="FH492" s="549">
        <v>0</v>
      </c>
      <c r="FI492" s="675">
        <v>0</v>
      </c>
      <c r="FJ492" s="549">
        <v>0</v>
      </c>
      <c r="FK492" s="675">
        <v>0</v>
      </c>
      <c r="FL492" s="549">
        <v>0</v>
      </c>
      <c r="FM492" s="675">
        <v>0</v>
      </c>
      <c r="FN492" s="549">
        <v>0</v>
      </c>
      <c r="FO492" s="675">
        <v>0</v>
      </c>
      <c r="FP492" s="549">
        <v>0</v>
      </c>
      <c r="FQ492" s="675">
        <v>0</v>
      </c>
      <c r="FR492" s="549">
        <v>0</v>
      </c>
      <c r="FS492" s="675">
        <v>0</v>
      </c>
      <c r="FT492" s="549">
        <v>0</v>
      </c>
      <c r="FU492" s="675">
        <v>0</v>
      </c>
      <c r="FV492" s="549">
        <v>0</v>
      </c>
      <c r="FW492" s="675">
        <v>0</v>
      </c>
      <c r="FX492" s="549">
        <v>0</v>
      </c>
      <c r="FY492" s="675">
        <v>0</v>
      </c>
      <c r="FZ492" s="549">
        <v>0</v>
      </c>
      <c r="GA492" s="675">
        <v>0</v>
      </c>
      <c r="GB492" s="549">
        <v>0</v>
      </c>
      <c r="GC492" s="675">
        <v>0</v>
      </c>
      <c r="GD492" s="549">
        <v>0</v>
      </c>
      <c r="GE492" s="675">
        <v>0</v>
      </c>
      <c r="GF492" s="549">
        <v>0</v>
      </c>
      <c r="GG492" s="675">
        <v>0</v>
      </c>
      <c r="GH492" s="549">
        <v>0</v>
      </c>
      <c r="GI492" s="675">
        <v>0</v>
      </c>
      <c r="GJ492" s="549">
        <v>0</v>
      </c>
      <c r="GK492" s="675">
        <v>0</v>
      </c>
      <c r="GL492" s="549">
        <v>0</v>
      </c>
      <c r="GM492" s="675">
        <v>0</v>
      </c>
      <c r="GN492" s="549">
        <v>0</v>
      </c>
      <c r="GO492" s="675">
        <v>0</v>
      </c>
      <c r="GP492" s="549">
        <f t="shared" si="12061"/>
        <v>0</v>
      </c>
      <c r="GQ492" s="675">
        <f t="shared" si="12062"/>
        <v>0</v>
      </c>
      <c r="GR492" s="74">
        <f t="shared" si="12063"/>
        <v>0</v>
      </c>
      <c r="GS492" s="74">
        <f t="shared" si="12064"/>
        <v>0</v>
      </c>
      <c r="GT492" s="568">
        <f t="shared" si="12065"/>
        <v>0</v>
      </c>
      <c r="GU492" s="275"/>
      <c r="GV492" s="275"/>
      <c r="GW492" s="275"/>
      <c r="GX492" s="275"/>
      <c r="GY492" s="275"/>
      <c r="GZ492" s="275"/>
      <c r="HA492" s="275"/>
      <c r="HB492" s="275"/>
      <c r="HC492" s="275"/>
      <c r="HD492" s="275">
        <v>0</v>
      </c>
      <c r="HE492" s="275">
        <v>0</v>
      </c>
      <c r="HF492" s="275">
        <v>0</v>
      </c>
      <c r="HG492" s="74">
        <f t="shared" si="12066"/>
        <v>0</v>
      </c>
      <c r="HH492" s="89">
        <v>0</v>
      </c>
      <c r="HI492" s="817">
        <v>0</v>
      </c>
      <c r="HJ492" s="89">
        <v>0</v>
      </c>
      <c r="HK492" s="817">
        <v>0</v>
      </c>
      <c r="HL492" s="89">
        <v>0</v>
      </c>
      <c r="HM492" s="817">
        <v>0</v>
      </c>
      <c r="HN492" s="89">
        <v>0</v>
      </c>
      <c r="HO492" s="817">
        <v>0</v>
      </c>
      <c r="HP492" s="89">
        <v>0</v>
      </c>
      <c r="HQ492" s="817">
        <v>0</v>
      </c>
      <c r="HR492" s="89">
        <v>0</v>
      </c>
      <c r="HS492" s="817">
        <v>0</v>
      </c>
      <c r="HT492" s="89">
        <v>0</v>
      </c>
      <c r="HU492" s="817">
        <v>0</v>
      </c>
      <c r="HV492" s="89">
        <v>0</v>
      </c>
      <c r="HW492" s="817">
        <v>0</v>
      </c>
      <c r="HX492" s="89">
        <v>0</v>
      </c>
      <c r="HY492" s="817">
        <v>0</v>
      </c>
      <c r="HZ492" s="89">
        <v>0</v>
      </c>
      <c r="IA492" s="817">
        <v>0</v>
      </c>
      <c r="IB492" s="89">
        <v>0</v>
      </c>
      <c r="IC492" s="817">
        <v>0</v>
      </c>
      <c r="ID492" s="89">
        <v>0</v>
      </c>
      <c r="IE492" s="817">
        <v>0</v>
      </c>
      <c r="IF492" s="841">
        <f t="shared" si="12067"/>
        <v>0</v>
      </c>
      <c r="IG492" s="263">
        <f t="shared" si="12068"/>
        <v>0</v>
      </c>
      <c r="IH492" s="842">
        <f t="shared" si="12069"/>
        <v>0</v>
      </c>
      <c r="II492" s="89">
        <v>0</v>
      </c>
      <c r="IJ492" s="89">
        <f t="shared" si="12070"/>
        <v>0</v>
      </c>
      <c r="IK492" s="89">
        <f t="shared" si="12071"/>
        <v>0</v>
      </c>
      <c r="IL492" s="89">
        <v>0</v>
      </c>
      <c r="IM492" s="89">
        <f t="shared" si="12072"/>
        <v>0</v>
      </c>
      <c r="IN492" s="89">
        <f t="shared" si="12073"/>
        <v>0</v>
      </c>
      <c r="IO492" s="89">
        <v>0</v>
      </c>
      <c r="IP492" s="89">
        <f t="shared" si="12074"/>
        <v>0</v>
      </c>
      <c r="IQ492" s="89">
        <f t="shared" si="12075"/>
        <v>0</v>
      </c>
      <c r="IR492" s="89">
        <v>0</v>
      </c>
      <c r="IS492" s="89">
        <f t="shared" si="12076"/>
        <v>0</v>
      </c>
      <c r="IT492" s="89">
        <f t="shared" si="12077"/>
        <v>0</v>
      </c>
      <c r="IU492" s="89">
        <v>0</v>
      </c>
      <c r="IV492" s="89">
        <f t="shared" si="12078"/>
        <v>0</v>
      </c>
      <c r="IW492" s="89">
        <f t="shared" si="12079"/>
        <v>0</v>
      </c>
      <c r="IX492" s="89">
        <v>0</v>
      </c>
      <c r="IY492" s="89">
        <f t="shared" si="12080"/>
        <v>0</v>
      </c>
      <c r="IZ492" s="89">
        <f t="shared" si="12081"/>
        <v>0</v>
      </c>
      <c r="JA492" s="89">
        <v>0</v>
      </c>
      <c r="JB492" s="89">
        <f t="shared" si="12082"/>
        <v>0</v>
      </c>
      <c r="JC492" s="89">
        <f t="shared" si="12083"/>
        <v>0</v>
      </c>
      <c r="JD492" s="89">
        <v>0</v>
      </c>
      <c r="JE492" s="89">
        <f t="shared" si="12084"/>
        <v>0</v>
      </c>
      <c r="JF492" s="89">
        <f t="shared" si="12085"/>
        <v>0</v>
      </c>
      <c r="JG492" s="89">
        <v>0</v>
      </c>
      <c r="JH492" s="89">
        <f t="shared" si="12086"/>
        <v>0</v>
      </c>
      <c r="JI492" s="89">
        <f t="shared" si="12087"/>
        <v>0</v>
      </c>
      <c r="JJ492" s="89">
        <v>0</v>
      </c>
      <c r="JK492" s="89">
        <f t="shared" si="12088"/>
        <v>0</v>
      </c>
      <c r="JL492" s="89">
        <f t="shared" si="12089"/>
        <v>0</v>
      </c>
      <c r="JM492" s="89">
        <v>0</v>
      </c>
      <c r="JN492" s="89">
        <f t="shared" si="12090"/>
        <v>0</v>
      </c>
      <c r="JO492" s="89">
        <f t="shared" si="12091"/>
        <v>0</v>
      </c>
      <c r="JP492" s="89">
        <v>0</v>
      </c>
      <c r="JQ492" s="89">
        <f t="shared" ref="JQ492:JR492" si="12099">JP492</f>
        <v>0</v>
      </c>
      <c r="JR492" s="89">
        <f t="shared" si="12099"/>
        <v>0</v>
      </c>
      <c r="JS492" s="74">
        <f t="shared" si="12093"/>
        <v>0</v>
      </c>
      <c r="JT492" s="382">
        <f t="shared" si="12094"/>
        <v>0</v>
      </c>
      <c r="JU492" s="665"/>
      <c r="JV492" s="524"/>
      <c r="JW492" s="525"/>
      <c r="JX492" s="549">
        <f t="shared" si="12095"/>
        <v>0</v>
      </c>
      <c r="JY492" s="549">
        <f t="shared" si="12096"/>
        <v>0</v>
      </c>
      <c r="JZ492" s="581">
        <f t="shared" si="11276"/>
        <v>0</v>
      </c>
      <c r="KA492" s="581">
        <f t="shared" si="11277"/>
        <v>0</v>
      </c>
      <c r="KB492" s="549">
        <f t="shared" si="11273"/>
        <v>0</v>
      </c>
      <c r="KC492" s="709">
        <f t="shared" si="11275"/>
        <v>0</v>
      </c>
      <c r="KD492" s="36"/>
      <c r="KE492" s="36"/>
      <c r="KF492" s="36"/>
      <c r="KG492" s="36"/>
      <c r="KH492" s="36"/>
      <c r="KI492" s="36"/>
      <c r="KJ492" s="36"/>
      <c r="KK492" s="36"/>
    </row>
    <row r="493" spans="1:297" s="10" customFormat="1">
      <c r="A493" s="86" t="s">
        <v>297</v>
      </c>
      <c r="B493" s="77" t="s">
        <v>190</v>
      </c>
      <c r="C493" s="74">
        <v>58600</v>
      </c>
      <c r="D493" s="549">
        <v>0</v>
      </c>
      <c r="E493" s="675">
        <v>0</v>
      </c>
      <c r="F493" s="549">
        <v>0</v>
      </c>
      <c r="G493" s="675">
        <v>0</v>
      </c>
      <c r="H493" s="549">
        <v>0</v>
      </c>
      <c r="I493" s="675">
        <v>0</v>
      </c>
      <c r="J493" s="549">
        <v>0</v>
      </c>
      <c r="K493" s="675">
        <v>0</v>
      </c>
      <c r="L493" s="549">
        <v>0</v>
      </c>
      <c r="M493" s="675">
        <v>0</v>
      </c>
      <c r="N493" s="549">
        <v>0</v>
      </c>
      <c r="O493" s="675">
        <v>0</v>
      </c>
      <c r="P493" s="549">
        <v>0</v>
      </c>
      <c r="Q493" s="675">
        <v>0</v>
      </c>
      <c r="R493" s="549">
        <v>0</v>
      </c>
      <c r="S493" s="675">
        <v>0</v>
      </c>
      <c r="T493" s="549">
        <v>0</v>
      </c>
      <c r="U493" s="675">
        <v>0</v>
      </c>
      <c r="V493" s="549">
        <v>0</v>
      </c>
      <c r="W493" s="675">
        <v>0</v>
      </c>
      <c r="X493" s="549">
        <v>0</v>
      </c>
      <c r="Y493" s="675">
        <v>0</v>
      </c>
      <c r="Z493" s="549">
        <v>0</v>
      </c>
      <c r="AA493" s="675">
        <v>0</v>
      </c>
      <c r="AB493" s="549">
        <v>0</v>
      </c>
      <c r="AC493" s="675">
        <v>0</v>
      </c>
      <c r="AD493" s="549">
        <v>0</v>
      </c>
      <c r="AE493" s="675">
        <v>0</v>
      </c>
      <c r="AF493" s="549">
        <v>0</v>
      </c>
      <c r="AG493" s="675">
        <v>0</v>
      </c>
      <c r="AH493" s="549">
        <v>0</v>
      </c>
      <c r="AI493" s="675">
        <v>0</v>
      </c>
      <c r="AJ493" s="549">
        <v>0</v>
      </c>
      <c r="AK493" s="675">
        <v>0</v>
      </c>
      <c r="AL493" s="549">
        <v>0</v>
      </c>
      <c r="AM493" s="675">
        <v>0</v>
      </c>
      <c r="AN493" s="549">
        <v>0</v>
      </c>
      <c r="AO493" s="675">
        <v>0</v>
      </c>
      <c r="AP493" s="549">
        <v>0</v>
      </c>
      <c r="AQ493" s="675">
        <v>0</v>
      </c>
      <c r="AR493" s="549">
        <v>0</v>
      </c>
      <c r="AS493" s="675">
        <v>0</v>
      </c>
      <c r="AT493" s="549">
        <v>0</v>
      </c>
      <c r="AU493" s="675">
        <v>0</v>
      </c>
      <c r="AV493" s="549">
        <v>0</v>
      </c>
      <c r="AW493" s="675">
        <v>0</v>
      </c>
      <c r="AX493" s="549">
        <v>0</v>
      </c>
      <c r="AY493" s="675">
        <v>0</v>
      </c>
      <c r="AZ493" s="549">
        <v>0</v>
      </c>
      <c r="BA493" s="675">
        <v>0</v>
      </c>
      <c r="BB493" s="549">
        <v>0</v>
      </c>
      <c r="BC493" s="675">
        <v>0</v>
      </c>
      <c r="BD493" s="549">
        <v>0</v>
      </c>
      <c r="BE493" s="675">
        <v>0</v>
      </c>
      <c r="BF493" s="549">
        <v>10000</v>
      </c>
      <c r="BG493" s="675">
        <v>0</v>
      </c>
      <c r="BH493" s="549">
        <v>0</v>
      </c>
      <c r="BI493" s="675">
        <v>0</v>
      </c>
      <c r="BJ493" s="549">
        <v>0</v>
      </c>
      <c r="BK493" s="675">
        <v>0</v>
      </c>
      <c r="BL493" s="549">
        <v>0</v>
      </c>
      <c r="BM493" s="675">
        <v>0</v>
      </c>
      <c r="BN493" s="549">
        <v>0</v>
      </c>
      <c r="BO493" s="675">
        <v>0</v>
      </c>
      <c r="BP493" s="549">
        <v>0</v>
      </c>
      <c r="BQ493" s="675">
        <v>0</v>
      </c>
      <c r="BR493" s="549">
        <v>0</v>
      </c>
      <c r="BS493" s="675">
        <v>0</v>
      </c>
      <c r="BT493" s="549">
        <v>0</v>
      </c>
      <c r="BU493" s="675">
        <v>0</v>
      </c>
      <c r="BV493" s="549">
        <v>0</v>
      </c>
      <c r="BW493" s="675">
        <v>0</v>
      </c>
      <c r="BX493" s="549">
        <v>0</v>
      </c>
      <c r="BY493" s="675">
        <v>0</v>
      </c>
      <c r="BZ493" s="549">
        <v>0</v>
      </c>
      <c r="CA493" s="675">
        <v>0</v>
      </c>
      <c r="CB493" s="549">
        <v>0</v>
      </c>
      <c r="CC493" s="675">
        <v>0</v>
      </c>
      <c r="CD493" s="549">
        <v>0</v>
      </c>
      <c r="CE493" s="675">
        <v>0</v>
      </c>
      <c r="CF493" s="549">
        <v>0</v>
      </c>
      <c r="CG493" s="675">
        <v>0</v>
      </c>
      <c r="CH493" s="549">
        <v>0</v>
      </c>
      <c r="CI493" s="675">
        <v>0</v>
      </c>
      <c r="CJ493" s="549">
        <v>0</v>
      </c>
      <c r="CK493" s="675">
        <v>0</v>
      </c>
      <c r="CL493" s="549">
        <v>0</v>
      </c>
      <c r="CM493" s="675">
        <v>0</v>
      </c>
      <c r="CN493" s="549">
        <v>0</v>
      </c>
      <c r="CO493" s="675">
        <v>0</v>
      </c>
      <c r="CP493" s="549">
        <v>0</v>
      </c>
      <c r="CQ493" s="675">
        <v>0</v>
      </c>
      <c r="CR493" s="549">
        <v>0</v>
      </c>
      <c r="CS493" s="675">
        <v>0</v>
      </c>
      <c r="CT493" s="549">
        <v>0</v>
      </c>
      <c r="CU493" s="675">
        <v>0</v>
      </c>
      <c r="CV493" s="549">
        <v>0</v>
      </c>
      <c r="CW493" s="675">
        <v>0</v>
      </c>
      <c r="CX493" s="549">
        <v>0</v>
      </c>
      <c r="CY493" s="675">
        <v>0</v>
      </c>
      <c r="CZ493" s="549">
        <v>0</v>
      </c>
      <c r="DA493" s="675">
        <v>0</v>
      </c>
      <c r="DB493" s="549">
        <v>0</v>
      </c>
      <c r="DC493" s="675">
        <v>0</v>
      </c>
      <c r="DD493" s="549">
        <v>0</v>
      </c>
      <c r="DE493" s="675">
        <v>0</v>
      </c>
      <c r="DF493" s="549">
        <v>0</v>
      </c>
      <c r="DG493" s="675">
        <v>0</v>
      </c>
      <c r="DH493" s="549">
        <v>0</v>
      </c>
      <c r="DI493" s="675">
        <v>0</v>
      </c>
      <c r="DJ493" s="549">
        <v>0</v>
      </c>
      <c r="DK493" s="675">
        <v>0</v>
      </c>
      <c r="DL493" s="549">
        <v>0</v>
      </c>
      <c r="DM493" s="675">
        <v>0</v>
      </c>
      <c r="DN493" s="549">
        <v>0</v>
      </c>
      <c r="DO493" s="675">
        <v>0</v>
      </c>
      <c r="DP493" s="549">
        <v>0</v>
      </c>
      <c r="DQ493" s="675">
        <v>0</v>
      </c>
      <c r="DR493" s="549">
        <v>0</v>
      </c>
      <c r="DS493" s="675">
        <v>0</v>
      </c>
      <c r="DT493" s="549">
        <v>0</v>
      </c>
      <c r="DU493" s="675">
        <v>0</v>
      </c>
      <c r="DV493" s="549">
        <v>0</v>
      </c>
      <c r="DW493" s="675">
        <v>0</v>
      </c>
      <c r="DX493" s="549">
        <v>0</v>
      </c>
      <c r="DY493" s="675">
        <v>0</v>
      </c>
      <c r="DZ493" s="549">
        <v>0</v>
      </c>
      <c r="EA493" s="675">
        <v>0</v>
      </c>
      <c r="EB493" s="549">
        <v>0</v>
      </c>
      <c r="EC493" s="675">
        <v>0</v>
      </c>
      <c r="ED493" s="549">
        <v>0</v>
      </c>
      <c r="EE493" s="675">
        <v>0</v>
      </c>
      <c r="EF493" s="549">
        <v>0</v>
      </c>
      <c r="EG493" s="675">
        <v>0</v>
      </c>
      <c r="EH493" s="549">
        <v>0</v>
      </c>
      <c r="EI493" s="675">
        <v>0</v>
      </c>
      <c r="EJ493" s="549">
        <v>0</v>
      </c>
      <c r="EK493" s="675">
        <v>0</v>
      </c>
      <c r="EL493" s="549">
        <v>0</v>
      </c>
      <c r="EM493" s="675">
        <v>0</v>
      </c>
      <c r="EN493" s="549">
        <v>0</v>
      </c>
      <c r="EO493" s="675">
        <v>0</v>
      </c>
      <c r="EP493" s="549">
        <v>0</v>
      </c>
      <c r="EQ493" s="675">
        <v>0</v>
      </c>
      <c r="ER493" s="549">
        <v>0</v>
      </c>
      <c r="ES493" s="675">
        <v>0</v>
      </c>
      <c r="ET493" s="549">
        <v>0</v>
      </c>
      <c r="EU493" s="675">
        <v>0</v>
      </c>
      <c r="EV493" s="549">
        <v>0</v>
      </c>
      <c r="EW493" s="675">
        <v>0</v>
      </c>
      <c r="EX493" s="549">
        <v>0</v>
      </c>
      <c r="EY493" s="675">
        <v>0</v>
      </c>
      <c r="EZ493" s="549">
        <v>0</v>
      </c>
      <c r="FA493" s="675">
        <v>0</v>
      </c>
      <c r="FB493" s="549">
        <v>0</v>
      </c>
      <c r="FC493" s="675">
        <v>0</v>
      </c>
      <c r="FD493" s="549">
        <v>0</v>
      </c>
      <c r="FE493" s="675">
        <v>0</v>
      </c>
      <c r="FF493" s="549">
        <v>0</v>
      </c>
      <c r="FG493" s="675">
        <v>0</v>
      </c>
      <c r="FH493" s="549">
        <v>0</v>
      </c>
      <c r="FI493" s="675">
        <v>0</v>
      </c>
      <c r="FJ493" s="549">
        <v>0</v>
      </c>
      <c r="FK493" s="675">
        <v>0</v>
      </c>
      <c r="FL493" s="549">
        <v>0</v>
      </c>
      <c r="FM493" s="675">
        <v>0</v>
      </c>
      <c r="FN493" s="549">
        <v>0</v>
      </c>
      <c r="FO493" s="675">
        <v>0</v>
      </c>
      <c r="FP493" s="549">
        <v>0</v>
      </c>
      <c r="FQ493" s="675">
        <v>0</v>
      </c>
      <c r="FR493" s="549">
        <v>0</v>
      </c>
      <c r="FS493" s="675">
        <v>0</v>
      </c>
      <c r="FT493" s="549">
        <v>0</v>
      </c>
      <c r="FU493" s="675">
        <v>0</v>
      </c>
      <c r="FV493" s="549">
        <v>0</v>
      </c>
      <c r="FW493" s="675">
        <v>0</v>
      </c>
      <c r="FX493" s="549">
        <v>0</v>
      </c>
      <c r="FY493" s="675">
        <v>0</v>
      </c>
      <c r="FZ493" s="549">
        <v>0</v>
      </c>
      <c r="GA493" s="675">
        <v>0</v>
      </c>
      <c r="GB493" s="549">
        <v>0</v>
      </c>
      <c r="GC493" s="675">
        <v>0</v>
      </c>
      <c r="GD493" s="549">
        <v>0</v>
      </c>
      <c r="GE493" s="675">
        <v>0</v>
      </c>
      <c r="GF493" s="549">
        <v>0</v>
      </c>
      <c r="GG493" s="675">
        <v>0</v>
      </c>
      <c r="GH493" s="549">
        <v>0</v>
      </c>
      <c r="GI493" s="675">
        <v>0</v>
      </c>
      <c r="GJ493" s="549">
        <v>0</v>
      </c>
      <c r="GK493" s="675">
        <v>0</v>
      </c>
      <c r="GL493" s="549">
        <v>0</v>
      </c>
      <c r="GM493" s="675">
        <v>0</v>
      </c>
      <c r="GN493" s="549">
        <v>0</v>
      </c>
      <c r="GO493" s="675">
        <v>0</v>
      </c>
      <c r="GP493" s="549">
        <f t="shared" si="12061"/>
        <v>10000</v>
      </c>
      <c r="GQ493" s="675">
        <f t="shared" si="12062"/>
        <v>0</v>
      </c>
      <c r="GR493" s="74">
        <f t="shared" si="12063"/>
        <v>68600</v>
      </c>
      <c r="GS493" s="74">
        <f t="shared" si="12064"/>
        <v>68600</v>
      </c>
      <c r="GT493" s="568">
        <f t="shared" si="12065"/>
        <v>68600</v>
      </c>
      <c r="GU493" s="275">
        <v>6512</v>
      </c>
      <c r="GV493" s="275">
        <v>6511</v>
      </c>
      <c r="GW493" s="275">
        <v>6511</v>
      </c>
      <c r="GX493" s="275">
        <v>6511</v>
      </c>
      <c r="GY493" s="275">
        <v>6511</v>
      </c>
      <c r="GZ493" s="275">
        <v>6511</v>
      </c>
      <c r="HA493" s="275">
        <v>6511</v>
      </c>
      <c r="HB493" s="275">
        <v>6511</v>
      </c>
      <c r="HC493" s="275">
        <v>6511</v>
      </c>
      <c r="HD493" s="275">
        <v>0</v>
      </c>
      <c r="HE493" s="275">
        <v>0</v>
      </c>
      <c r="HF493" s="275">
        <v>0</v>
      </c>
      <c r="HG493" s="74">
        <f t="shared" si="12066"/>
        <v>68600</v>
      </c>
      <c r="HH493" s="89">
        <v>6512</v>
      </c>
      <c r="HI493" s="817">
        <v>0</v>
      </c>
      <c r="HJ493" s="89">
        <v>6511</v>
      </c>
      <c r="HK493" s="817">
        <v>0</v>
      </c>
      <c r="HL493" s="89">
        <v>6511</v>
      </c>
      <c r="HM493" s="817">
        <v>0</v>
      </c>
      <c r="HN493" s="89">
        <v>6511</v>
      </c>
      <c r="HO493" s="817">
        <v>0</v>
      </c>
      <c r="HP493" s="89">
        <v>16511</v>
      </c>
      <c r="HQ493" s="817">
        <v>0</v>
      </c>
      <c r="HR493" s="89">
        <v>6511</v>
      </c>
      <c r="HS493" s="817">
        <v>0</v>
      </c>
      <c r="HT493" s="89">
        <v>6511</v>
      </c>
      <c r="HU493" s="817">
        <v>0</v>
      </c>
      <c r="HV493" s="89">
        <v>6511</v>
      </c>
      <c r="HW493" s="817">
        <v>0</v>
      </c>
      <c r="HX493" s="89">
        <v>6511</v>
      </c>
      <c r="HY493" s="817">
        <v>0</v>
      </c>
      <c r="HZ493" s="89">
        <v>0</v>
      </c>
      <c r="IA493" s="817">
        <v>0</v>
      </c>
      <c r="IB493" s="89">
        <v>0</v>
      </c>
      <c r="IC493" s="817">
        <v>0</v>
      </c>
      <c r="ID493" s="89">
        <v>0</v>
      </c>
      <c r="IE493" s="817">
        <v>0</v>
      </c>
      <c r="IF493" s="841">
        <f t="shared" si="12067"/>
        <v>66596.88</v>
      </c>
      <c r="IG493" s="263">
        <f t="shared" si="12068"/>
        <v>66596.88</v>
      </c>
      <c r="IH493" s="842">
        <f t="shared" si="12069"/>
        <v>66596.88</v>
      </c>
      <c r="II493" s="89">
        <v>5092.88</v>
      </c>
      <c r="IJ493" s="89">
        <f t="shared" si="12070"/>
        <v>5092.88</v>
      </c>
      <c r="IK493" s="89">
        <f t="shared" si="12071"/>
        <v>5092.88</v>
      </c>
      <c r="IL493" s="89">
        <f>11450.93-5092.88</f>
        <v>6358.05</v>
      </c>
      <c r="IM493" s="89">
        <f t="shared" si="12072"/>
        <v>6358.05</v>
      </c>
      <c r="IN493" s="89">
        <f t="shared" si="12073"/>
        <v>6358.05</v>
      </c>
      <c r="IO493" s="89">
        <f>15163.57-11450.93</f>
        <v>3712.6399999999994</v>
      </c>
      <c r="IP493" s="89">
        <f t="shared" si="12074"/>
        <v>3712.6399999999994</v>
      </c>
      <c r="IQ493" s="89">
        <f t="shared" si="12075"/>
        <v>3712.6399999999994</v>
      </c>
      <c r="IR493" s="89">
        <f>19635.31-15163.57</f>
        <v>4471.7400000000016</v>
      </c>
      <c r="IS493" s="89">
        <f t="shared" si="12076"/>
        <v>4471.7400000000016</v>
      </c>
      <c r="IT493" s="89">
        <f t="shared" si="12077"/>
        <v>4471.7400000000016</v>
      </c>
      <c r="IU493" s="89">
        <f>28020.6-19635.31</f>
        <v>8385.2899999999972</v>
      </c>
      <c r="IV493" s="89">
        <f t="shared" si="12078"/>
        <v>8385.2899999999972</v>
      </c>
      <c r="IW493" s="89">
        <f t="shared" si="12079"/>
        <v>8385.2899999999972</v>
      </c>
      <c r="IX493" s="89">
        <f>36915.93-28020.6</f>
        <v>8895.3300000000017</v>
      </c>
      <c r="IY493" s="89">
        <f t="shared" si="12080"/>
        <v>8895.3300000000017</v>
      </c>
      <c r="IZ493" s="89">
        <f t="shared" si="12081"/>
        <v>8895.3300000000017</v>
      </c>
      <c r="JA493" s="89">
        <f>46005.24-36915.93</f>
        <v>9089.3099999999977</v>
      </c>
      <c r="JB493" s="89">
        <f t="shared" si="12082"/>
        <v>9089.3099999999977</v>
      </c>
      <c r="JC493" s="89">
        <f t="shared" si="12083"/>
        <v>9089.3099999999977</v>
      </c>
      <c r="JD493" s="89">
        <f>58512.31-46005.24</f>
        <v>12507.07</v>
      </c>
      <c r="JE493" s="89">
        <f t="shared" si="12084"/>
        <v>12507.07</v>
      </c>
      <c r="JF493" s="89">
        <f t="shared" si="12085"/>
        <v>12507.07</v>
      </c>
      <c r="JG493" s="89">
        <f>65960.68-58512.31</f>
        <v>7448.3699999999953</v>
      </c>
      <c r="JH493" s="89">
        <f t="shared" si="12086"/>
        <v>7448.3699999999953</v>
      </c>
      <c r="JI493" s="89">
        <f t="shared" si="12087"/>
        <v>7448.3699999999953</v>
      </c>
      <c r="JJ493" s="89">
        <f>66596.88-65960.68</f>
        <v>636.20000000001164</v>
      </c>
      <c r="JK493" s="89">
        <f t="shared" si="12088"/>
        <v>636.20000000001164</v>
      </c>
      <c r="JL493" s="89">
        <f t="shared" si="12089"/>
        <v>636.20000000001164</v>
      </c>
      <c r="JM493" s="89">
        <v>0</v>
      </c>
      <c r="JN493" s="89">
        <f t="shared" si="12090"/>
        <v>0</v>
      </c>
      <c r="JO493" s="89">
        <f t="shared" si="12091"/>
        <v>0</v>
      </c>
      <c r="JP493" s="89">
        <v>0</v>
      </c>
      <c r="JQ493" s="89">
        <f t="shared" ref="JQ493:JR493" si="12100">JP493</f>
        <v>0</v>
      </c>
      <c r="JR493" s="89">
        <f t="shared" si="12100"/>
        <v>0</v>
      </c>
      <c r="JS493" s="74">
        <f t="shared" si="12093"/>
        <v>2003.1199999999953</v>
      </c>
      <c r="JT493" s="382">
        <f t="shared" si="12094"/>
        <v>2003.1199999999953</v>
      </c>
      <c r="JU493" s="665"/>
      <c r="JV493" s="524"/>
      <c r="JW493" s="525"/>
      <c r="JX493" s="549">
        <f t="shared" si="12095"/>
        <v>68600</v>
      </c>
      <c r="JY493" s="549">
        <f t="shared" si="12096"/>
        <v>0</v>
      </c>
      <c r="JZ493" s="581">
        <f t="shared" si="11276"/>
        <v>10000</v>
      </c>
      <c r="KA493" s="581">
        <f t="shared" si="11277"/>
        <v>0</v>
      </c>
      <c r="KB493" s="549">
        <f t="shared" si="11273"/>
        <v>68600</v>
      </c>
      <c r="KC493" s="709">
        <f t="shared" si="11275"/>
        <v>0</v>
      </c>
      <c r="KD493" s="36"/>
      <c r="KE493" s="36"/>
      <c r="KF493" s="36"/>
      <c r="KG493" s="36"/>
      <c r="KH493" s="36"/>
      <c r="KI493" s="36"/>
      <c r="KJ493" s="36"/>
      <c r="KK493" s="36"/>
    </row>
    <row r="494" spans="1:297" s="10" customFormat="1" ht="12.75" hidden="1" customHeight="1">
      <c r="A494" s="86" t="s">
        <v>1062</v>
      </c>
      <c r="B494" s="77" t="s">
        <v>190</v>
      </c>
      <c r="C494" s="74">
        <v>0</v>
      </c>
      <c r="D494" s="549">
        <v>0</v>
      </c>
      <c r="E494" s="675">
        <v>0</v>
      </c>
      <c r="F494" s="549">
        <v>0</v>
      </c>
      <c r="G494" s="675">
        <v>0</v>
      </c>
      <c r="H494" s="549">
        <v>0</v>
      </c>
      <c r="I494" s="675">
        <v>0</v>
      </c>
      <c r="J494" s="549">
        <v>0</v>
      </c>
      <c r="K494" s="675">
        <v>0</v>
      </c>
      <c r="L494" s="549">
        <v>0</v>
      </c>
      <c r="M494" s="675">
        <v>0</v>
      </c>
      <c r="N494" s="549">
        <v>0</v>
      </c>
      <c r="O494" s="675">
        <v>0</v>
      </c>
      <c r="P494" s="549">
        <v>0</v>
      </c>
      <c r="Q494" s="675">
        <v>0</v>
      </c>
      <c r="R494" s="549">
        <v>0</v>
      </c>
      <c r="S494" s="675">
        <v>0</v>
      </c>
      <c r="T494" s="549">
        <v>0</v>
      </c>
      <c r="U494" s="675">
        <v>0</v>
      </c>
      <c r="V494" s="549">
        <v>0</v>
      </c>
      <c r="W494" s="675">
        <v>0</v>
      </c>
      <c r="X494" s="549">
        <v>0</v>
      </c>
      <c r="Y494" s="675">
        <v>0</v>
      </c>
      <c r="Z494" s="549">
        <v>0</v>
      </c>
      <c r="AA494" s="675">
        <v>0</v>
      </c>
      <c r="AB494" s="549">
        <v>0</v>
      </c>
      <c r="AC494" s="675">
        <v>0</v>
      </c>
      <c r="AD494" s="549">
        <v>0</v>
      </c>
      <c r="AE494" s="675">
        <v>0</v>
      </c>
      <c r="AF494" s="549">
        <v>0</v>
      </c>
      <c r="AG494" s="675">
        <v>0</v>
      </c>
      <c r="AH494" s="549">
        <v>0</v>
      </c>
      <c r="AI494" s="675">
        <v>0</v>
      </c>
      <c r="AJ494" s="549">
        <v>0</v>
      </c>
      <c r="AK494" s="675">
        <v>0</v>
      </c>
      <c r="AL494" s="549">
        <v>0</v>
      </c>
      <c r="AM494" s="675">
        <v>0</v>
      </c>
      <c r="AN494" s="549">
        <v>0</v>
      </c>
      <c r="AO494" s="675">
        <v>0</v>
      </c>
      <c r="AP494" s="549">
        <v>0</v>
      </c>
      <c r="AQ494" s="675">
        <v>0</v>
      </c>
      <c r="AR494" s="549">
        <v>0</v>
      </c>
      <c r="AS494" s="675">
        <v>0</v>
      </c>
      <c r="AT494" s="549">
        <v>0</v>
      </c>
      <c r="AU494" s="675">
        <v>0</v>
      </c>
      <c r="AV494" s="549">
        <v>0</v>
      </c>
      <c r="AW494" s="675">
        <v>0</v>
      </c>
      <c r="AX494" s="549">
        <v>0</v>
      </c>
      <c r="AY494" s="675">
        <v>0</v>
      </c>
      <c r="AZ494" s="549">
        <v>0</v>
      </c>
      <c r="BA494" s="675">
        <v>0</v>
      </c>
      <c r="BB494" s="549">
        <v>0</v>
      </c>
      <c r="BC494" s="675">
        <v>0</v>
      </c>
      <c r="BD494" s="549">
        <v>0</v>
      </c>
      <c r="BE494" s="675">
        <v>0</v>
      </c>
      <c r="BF494" s="549">
        <v>0</v>
      </c>
      <c r="BG494" s="675">
        <v>0</v>
      </c>
      <c r="BH494" s="549">
        <v>0</v>
      </c>
      <c r="BI494" s="675">
        <v>0</v>
      </c>
      <c r="BJ494" s="549">
        <v>0</v>
      </c>
      <c r="BK494" s="675">
        <v>0</v>
      </c>
      <c r="BL494" s="549">
        <v>0</v>
      </c>
      <c r="BM494" s="675">
        <v>0</v>
      </c>
      <c r="BN494" s="549">
        <v>0</v>
      </c>
      <c r="BO494" s="675">
        <v>0</v>
      </c>
      <c r="BP494" s="549">
        <v>0</v>
      </c>
      <c r="BQ494" s="675">
        <v>0</v>
      </c>
      <c r="BR494" s="549">
        <v>0</v>
      </c>
      <c r="BS494" s="675">
        <v>0</v>
      </c>
      <c r="BT494" s="549">
        <v>0</v>
      </c>
      <c r="BU494" s="675">
        <v>0</v>
      </c>
      <c r="BV494" s="549">
        <v>0</v>
      </c>
      <c r="BW494" s="675">
        <v>0</v>
      </c>
      <c r="BX494" s="549">
        <v>0</v>
      </c>
      <c r="BY494" s="675">
        <v>0</v>
      </c>
      <c r="BZ494" s="549">
        <v>0</v>
      </c>
      <c r="CA494" s="675">
        <v>0</v>
      </c>
      <c r="CB494" s="549">
        <v>0</v>
      </c>
      <c r="CC494" s="675">
        <v>0</v>
      </c>
      <c r="CD494" s="549">
        <v>0</v>
      </c>
      <c r="CE494" s="675">
        <v>0</v>
      </c>
      <c r="CF494" s="549">
        <v>0</v>
      </c>
      <c r="CG494" s="675">
        <v>0</v>
      </c>
      <c r="CH494" s="549">
        <v>0</v>
      </c>
      <c r="CI494" s="675">
        <v>0</v>
      </c>
      <c r="CJ494" s="549">
        <v>0</v>
      </c>
      <c r="CK494" s="675">
        <v>0</v>
      </c>
      <c r="CL494" s="549">
        <v>0</v>
      </c>
      <c r="CM494" s="675">
        <v>0</v>
      </c>
      <c r="CN494" s="549">
        <v>0</v>
      </c>
      <c r="CO494" s="675">
        <v>0</v>
      </c>
      <c r="CP494" s="549">
        <v>0</v>
      </c>
      <c r="CQ494" s="675">
        <v>0</v>
      </c>
      <c r="CR494" s="549">
        <v>0</v>
      </c>
      <c r="CS494" s="675">
        <v>0</v>
      </c>
      <c r="CT494" s="549">
        <v>0</v>
      </c>
      <c r="CU494" s="675">
        <v>0</v>
      </c>
      <c r="CV494" s="549">
        <v>0</v>
      </c>
      <c r="CW494" s="675">
        <v>0</v>
      </c>
      <c r="CX494" s="549">
        <v>0</v>
      </c>
      <c r="CY494" s="675">
        <v>0</v>
      </c>
      <c r="CZ494" s="549">
        <v>0</v>
      </c>
      <c r="DA494" s="675">
        <v>0</v>
      </c>
      <c r="DB494" s="549">
        <v>0</v>
      </c>
      <c r="DC494" s="675">
        <v>0</v>
      </c>
      <c r="DD494" s="549">
        <v>0</v>
      </c>
      <c r="DE494" s="675">
        <v>0</v>
      </c>
      <c r="DF494" s="549">
        <v>0</v>
      </c>
      <c r="DG494" s="675">
        <v>0</v>
      </c>
      <c r="DH494" s="549">
        <v>0</v>
      </c>
      <c r="DI494" s="675">
        <v>0</v>
      </c>
      <c r="DJ494" s="549">
        <v>0</v>
      </c>
      <c r="DK494" s="675">
        <v>0</v>
      </c>
      <c r="DL494" s="549">
        <v>0</v>
      </c>
      <c r="DM494" s="675">
        <v>0</v>
      </c>
      <c r="DN494" s="549">
        <v>0</v>
      </c>
      <c r="DO494" s="675">
        <v>0</v>
      </c>
      <c r="DP494" s="549">
        <v>0</v>
      </c>
      <c r="DQ494" s="675">
        <v>0</v>
      </c>
      <c r="DR494" s="549">
        <v>0</v>
      </c>
      <c r="DS494" s="675">
        <v>0</v>
      </c>
      <c r="DT494" s="549">
        <v>0</v>
      </c>
      <c r="DU494" s="675">
        <v>0</v>
      </c>
      <c r="DV494" s="549">
        <v>0</v>
      </c>
      <c r="DW494" s="675">
        <v>0</v>
      </c>
      <c r="DX494" s="549">
        <v>0</v>
      </c>
      <c r="DY494" s="675">
        <v>0</v>
      </c>
      <c r="DZ494" s="549">
        <v>0</v>
      </c>
      <c r="EA494" s="675">
        <v>0</v>
      </c>
      <c r="EB494" s="549">
        <v>0</v>
      </c>
      <c r="EC494" s="675">
        <v>0</v>
      </c>
      <c r="ED494" s="549">
        <v>0</v>
      </c>
      <c r="EE494" s="675">
        <v>0</v>
      </c>
      <c r="EF494" s="549">
        <v>0</v>
      </c>
      <c r="EG494" s="675">
        <v>0</v>
      </c>
      <c r="EH494" s="549">
        <v>0</v>
      </c>
      <c r="EI494" s="675">
        <v>0</v>
      </c>
      <c r="EJ494" s="549">
        <v>0</v>
      </c>
      <c r="EK494" s="675">
        <v>0</v>
      </c>
      <c r="EL494" s="549">
        <v>0</v>
      </c>
      <c r="EM494" s="675">
        <v>0</v>
      </c>
      <c r="EN494" s="549">
        <v>0</v>
      </c>
      <c r="EO494" s="675">
        <v>0</v>
      </c>
      <c r="EP494" s="549">
        <v>0</v>
      </c>
      <c r="EQ494" s="675">
        <v>0</v>
      </c>
      <c r="ER494" s="549">
        <v>0</v>
      </c>
      <c r="ES494" s="675">
        <v>0</v>
      </c>
      <c r="ET494" s="549">
        <v>0</v>
      </c>
      <c r="EU494" s="675">
        <v>0</v>
      </c>
      <c r="EV494" s="549">
        <v>0</v>
      </c>
      <c r="EW494" s="675">
        <v>0</v>
      </c>
      <c r="EX494" s="549">
        <v>0</v>
      </c>
      <c r="EY494" s="675">
        <v>0</v>
      </c>
      <c r="EZ494" s="549">
        <v>0</v>
      </c>
      <c r="FA494" s="675">
        <v>0</v>
      </c>
      <c r="FB494" s="549">
        <v>0</v>
      </c>
      <c r="FC494" s="675">
        <v>0</v>
      </c>
      <c r="FD494" s="549">
        <v>0</v>
      </c>
      <c r="FE494" s="675">
        <v>0</v>
      </c>
      <c r="FF494" s="549">
        <v>0</v>
      </c>
      <c r="FG494" s="675">
        <v>0</v>
      </c>
      <c r="FH494" s="549">
        <v>0</v>
      </c>
      <c r="FI494" s="675">
        <v>0</v>
      </c>
      <c r="FJ494" s="549">
        <v>0</v>
      </c>
      <c r="FK494" s="675">
        <v>0</v>
      </c>
      <c r="FL494" s="549">
        <v>0</v>
      </c>
      <c r="FM494" s="675">
        <v>0</v>
      </c>
      <c r="FN494" s="549">
        <v>0</v>
      </c>
      <c r="FO494" s="675">
        <v>0</v>
      </c>
      <c r="FP494" s="549">
        <v>0</v>
      </c>
      <c r="FQ494" s="675">
        <v>0</v>
      </c>
      <c r="FR494" s="549">
        <v>0</v>
      </c>
      <c r="FS494" s="675">
        <v>0</v>
      </c>
      <c r="FT494" s="549">
        <v>0</v>
      </c>
      <c r="FU494" s="675">
        <v>0</v>
      </c>
      <c r="FV494" s="549">
        <v>0</v>
      </c>
      <c r="FW494" s="675">
        <v>0</v>
      </c>
      <c r="FX494" s="549">
        <v>0</v>
      </c>
      <c r="FY494" s="675">
        <v>0</v>
      </c>
      <c r="FZ494" s="549">
        <v>0</v>
      </c>
      <c r="GA494" s="675">
        <v>0</v>
      </c>
      <c r="GB494" s="549">
        <v>0</v>
      </c>
      <c r="GC494" s="675">
        <v>0</v>
      </c>
      <c r="GD494" s="549">
        <v>0</v>
      </c>
      <c r="GE494" s="675">
        <v>0</v>
      </c>
      <c r="GF494" s="549">
        <v>0</v>
      </c>
      <c r="GG494" s="675">
        <v>0</v>
      </c>
      <c r="GH494" s="549">
        <v>0</v>
      </c>
      <c r="GI494" s="675">
        <v>0</v>
      </c>
      <c r="GJ494" s="549">
        <v>0</v>
      </c>
      <c r="GK494" s="675">
        <v>0</v>
      </c>
      <c r="GL494" s="549">
        <v>0</v>
      </c>
      <c r="GM494" s="675">
        <v>0</v>
      </c>
      <c r="GN494" s="549">
        <v>0</v>
      </c>
      <c r="GO494" s="675">
        <v>0</v>
      </c>
      <c r="GP494" s="549">
        <f t="shared" si="12061"/>
        <v>0</v>
      </c>
      <c r="GQ494" s="675">
        <f t="shared" si="12062"/>
        <v>0</v>
      </c>
      <c r="GR494" s="74">
        <f t="shared" si="12063"/>
        <v>0</v>
      </c>
      <c r="GS494" s="74">
        <f t="shared" si="12064"/>
        <v>0</v>
      </c>
      <c r="GT494" s="568">
        <f t="shared" si="12065"/>
        <v>0</v>
      </c>
      <c r="GU494" s="275"/>
      <c r="GV494" s="275"/>
      <c r="GW494" s="275"/>
      <c r="GX494" s="275"/>
      <c r="GY494" s="275"/>
      <c r="GZ494" s="275"/>
      <c r="HA494" s="275"/>
      <c r="HB494" s="275"/>
      <c r="HC494" s="275"/>
      <c r="HD494" s="275">
        <v>0</v>
      </c>
      <c r="HE494" s="275">
        <v>0</v>
      </c>
      <c r="HF494" s="275">
        <v>0</v>
      </c>
      <c r="HG494" s="74">
        <f t="shared" si="12066"/>
        <v>0</v>
      </c>
      <c r="HH494" s="89">
        <v>0</v>
      </c>
      <c r="HI494" s="817">
        <v>0</v>
      </c>
      <c r="HJ494" s="89">
        <v>0</v>
      </c>
      <c r="HK494" s="817">
        <v>0</v>
      </c>
      <c r="HL494" s="89">
        <v>0</v>
      </c>
      <c r="HM494" s="817">
        <v>0</v>
      </c>
      <c r="HN494" s="89">
        <v>0</v>
      </c>
      <c r="HO494" s="817">
        <v>0</v>
      </c>
      <c r="HP494" s="89">
        <v>0</v>
      </c>
      <c r="HQ494" s="817">
        <v>0</v>
      </c>
      <c r="HR494" s="89">
        <v>0</v>
      </c>
      <c r="HS494" s="817">
        <v>0</v>
      </c>
      <c r="HT494" s="89">
        <v>0</v>
      </c>
      <c r="HU494" s="817">
        <v>0</v>
      </c>
      <c r="HV494" s="89">
        <v>0</v>
      </c>
      <c r="HW494" s="817">
        <v>0</v>
      </c>
      <c r="HX494" s="89">
        <v>0</v>
      </c>
      <c r="HY494" s="817">
        <v>0</v>
      </c>
      <c r="HZ494" s="89">
        <v>0</v>
      </c>
      <c r="IA494" s="817">
        <v>0</v>
      </c>
      <c r="IB494" s="89">
        <v>0</v>
      </c>
      <c r="IC494" s="817">
        <v>0</v>
      </c>
      <c r="ID494" s="89">
        <v>0</v>
      </c>
      <c r="IE494" s="817">
        <v>0</v>
      </c>
      <c r="IF494" s="841">
        <f t="shared" si="12067"/>
        <v>0</v>
      </c>
      <c r="IG494" s="263">
        <f t="shared" si="12068"/>
        <v>0</v>
      </c>
      <c r="IH494" s="842">
        <f t="shared" si="12069"/>
        <v>0</v>
      </c>
      <c r="II494" s="89">
        <v>0</v>
      </c>
      <c r="IJ494" s="89">
        <f t="shared" si="12070"/>
        <v>0</v>
      </c>
      <c r="IK494" s="89">
        <f t="shared" si="12071"/>
        <v>0</v>
      </c>
      <c r="IL494" s="89">
        <v>0</v>
      </c>
      <c r="IM494" s="89">
        <f t="shared" si="12072"/>
        <v>0</v>
      </c>
      <c r="IN494" s="89">
        <f t="shared" si="12073"/>
        <v>0</v>
      </c>
      <c r="IO494" s="89">
        <v>0</v>
      </c>
      <c r="IP494" s="89">
        <f t="shared" si="12074"/>
        <v>0</v>
      </c>
      <c r="IQ494" s="89">
        <f t="shared" si="12075"/>
        <v>0</v>
      </c>
      <c r="IR494" s="89">
        <v>0</v>
      </c>
      <c r="IS494" s="89">
        <f t="shared" si="12076"/>
        <v>0</v>
      </c>
      <c r="IT494" s="89">
        <f t="shared" si="12077"/>
        <v>0</v>
      </c>
      <c r="IU494" s="89">
        <v>0</v>
      </c>
      <c r="IV494" s="89">
        <f t="shared" si="12078"/>
        <v>0</v>
      </c>
      <c r="IW494" s="89">
        <f t="shared" si="12079"/>
        <v>0</v>
      </c>
      <c r="IX494" s="89">
        <v>0</v>
      </c>
      <c r="IY494" s="89">
        <f t="shared" si="12080"/>
        <v>0</v>
      </c>
      <c r="IZ494" s="89">
        <f t="shared" si="12081"/>
        <v>0</v>
      </c>
      <c r="JA494" s="89">
        <v>0</v>
      </c>
      <c r="JB494" s="89">
        <f t="shared" si="12082"/>
        <v>0</v>
      </c>
      <c r="JC494" s="89">
        <f t="shared" si="12083"/>
        <v>0</v>
      </c>
      <c r="JD494" s="89">
        <v>0</v>
      </c>
      <c r="JE494" s="89">
        <f t="shared" si="12084"/>
        <v>0</v>
      </c>
      <c r="JF494" s="89">
        <f t="shared" si="12085"/>
        <v>0</v>
      </c>
      <c r="JG494" s="89">
        <v>0</v>
      </c>
      <c r="JH494" s="89">
        <f t="shared" si="12086"/>
        <v>0</v>
      </c>
      <c r="JI494" s="89">
        <f t="shared" si="12087"/>
        <v>0</v>
      </c>
      <c r="JJ494" s="89">
        <v>0</v>
      </c>
      <c r="JK494" s="89">
        <f t="shared" si="12088"/>
        <v>0</v>
      </c>
      <c r="JL494" s="89">
        <f t="shared" si="12089"/>
        <v>0</v>
      </c>
      <c r="JM494" s="89">
        <v>0</v>
      </c>
      <c r="JN494" s="89">
        <f t="shared" si="12090"/>
        <v>0</v>
      </c>
      <c r="JO494" s="89">
        <f t="shared" si="12091"/>
        <v>0</v>
      </c>
      <c r="JP494" s="89">
        <v>0</v>
      </c>
      <c r="JQ494" s="89">
        <f t="shared" ref="JQ494:JR494" si="12101">JP494</f>
        <v>0</v>
      </c>
      <c r="JR494" s="89">
        <f t="shared" si="12101"/>
        <v>0</v>
      </c>
      <c r="JS494" s="74">
        <f>HG494-IF494</f>
        <v>0</v>
      </c>
      <c r="JT494" s="382">
        <f>GS494-IF494</f>
        <v>0</v>
      </c>
      <c r="JU494" s="665"/>
      <c r="JV494" s="524"/>
      <c r="JW494" s="525"/>
      <c r="JX494" s="549">
        <f>SUM(HH494,HJ494,HL494,HN494,HP494,HR494,HT494,HV494,HX494,HZ494,IB494,ID494)</f>
        <v>0</v>
      </c>
      <c r="JY494" s="549">
        <f>SUM(HI494,HK494,HM494,HO494,HQ494,HS494,HU494,HW494,HY494,IA494,IC494,IE494)</f>
        <v>0</v>
      </c>
      <c r="JZ494" s="581">
        <f t="shared" si="11276"/>
        <v>0</v>
      </c>
      <c r="KA494" s="581">
        <f t="shared" si="11277"/>
        <v>0</v>
      </c>
      <c r="KB494" s="549">
        <f t="shared" si="11273"/>
        <v>0</v>
      </c>
      <c r="KC494" s="709">
        <f t="shared" si="11275"/>
        <v>0</v>
      </c>
      <c r="KD494" s="36"/>
      <c r="KE494" s="36"/>
      <c r="KF494" s="36"/>
      <c r="KG494" s="36"/>
      <c r="KH494" s="36"/>
      <c r="KI494" s="36"/>
      <c r="KJ494" s="36"/>
      <c r="KK494" s="36"/>
    </row>
    <row r="495" spans="1:297" s="10" customFormat="1">
      <c r="A495" s="86" t="s">
        <v>493</v>
      </c>
      <c r="B495" s="77" t="s">
        <v>190</v>
      </c>
      <c r="C495" s="74">
        <v>3500</v>
      </c>
      <c r="D495" s="549">
        <v>0</v>
      </c>
      <c r="E495" s="675">
        <v>0</v>
      </c>
      <c r="F495" s="549">
        <v>0</v>
      </c>
      <c r="G495" s="675">
        <v>0</v>
      </c>
      <c r="H495" s="549">
        <v>0</v>
      </c>
      <c r="I495" s="675">
        <v>0</v>
      </c>
      <c r="J495" s="549">
        <v>0</v>
      </c>
      <c r="K495" s="675">
        <v>0</v>
      </c>
      <c r="L495" s="549">
        <v>0</v>
      </c>
      <c r="M495" s="675">
        <v>0</v>
      </c>
      <c r="N495" s="549">
        <v>0</v>
      </c>
      <c r="O495" s="675">
        <v>0</v>
      </c>
      <c r="P495" s="549">
        <v>0</v>
      </c>
      <c r="Q495" s="675">
        <v>0</v>
      </c>
      <c r="R495" s="549">
        <v>0</v>
      </c>
      <c r="S495" s="675">
        <v>0</v>
      </c>
      <c r="T495" s="549">
        <v>0</v>
      </c>
      <c r="U495" s="675">
        <v>0</v>
      </c>
      <c r="V495" s="549">
        <v>0</v>
      </c>
      <c r="W495" s="675">
        <v>0</v>
      </c>
      <c r="X495" s="549">
        <v>0</v>
      </c>
      <c r="Y495" s="675">
        <v>0</v>
      </c>
      <c r="Z495" s="549">
        <v>0</v>
      </c>
      <c r="AA495" s="675">
        <v>0</v>
      </c>
      <c r="AB495" s="549">
        <v>0</v>
      </c>
      <c r="AC495" s="675">
        <v>0</v>
      </c>
      <c r="AD495" s="549">
        <v>0</v>
      </c>
      <c r="AE495" s="675">
        <v>-2000</v>
      </c>
      <c r="AF495" s="549">
        <v>0</v>
      </c>
      <c r="AG495" s="675">
        <v>0</v>
      </c>
      <c r="AH495" s="549">
        <v>0</v>
      </c>
      <c r="AI495" s="675">
        <v>0</v>
      </c>
      <c r="AJ495" s="549">
        <v>0</v>
      </c>
      <c r="AK495" s="675">
        <v>0</v>
      </c>
      <c r="AL495" s="549">
        <v>0</v>
      </c>
      <c r="AM495" s="675">
        <v>0</v>
      </c>
      <c r="AN495" s="549">
        <v>0</v>
      </c>
      <c r="AO495" s="675">
        <v>0</v>
      </c>
      <c r="AP495" s="549">
        <v>0</v>
      </c>
      <c r="AQ495" s="675">
        <v>0</v>
      </c>
      <c r="AR495" s="549">
        <v>0</v>
      </c>
      <c r="AS495" s="675">
        <v>0</v>
      </c>
      <c r="AT495" s="549">
        <v>0</v>
      </c>
      <c r="AU495" s="675">
        <v>0</v>
      </c>
      <c r="AV495" s="549">
        <v>0</v>
      </c>
      <c r="AW495" s="675">
        <v>0</v>
      </c>
      <c r="AX495" s="549">
        <v>0</v>
      </c>
      <c r="AY495" s="675">
        <v>0</v>
      </c>
      <c r="AZ495" s="549">
        <v>0</v>
      </c>
      <c r="BA495" s="675">
        <v>0</v>
      </c>
      <c r="BB495" s="549">
        <v>0</v>
      </c>
      <c r="BC495" s="675">
        <v>0</v>
      </c>
      <c r="BD495" s="549">
        <v>0</v>
      </c>
      <c r="BE495" s="675">
        <v>0</v>
      </c>
      <c r="BF495" s="549">
        <v>0</v>
      </c>
      <c r="BG495" s="675">
        <v>0</v>
      </c>
      <c r="BH495" s="549">
        <v>0</v>
      </c>
      <c r="BI495" s="675">
        <v>0</v>
      </c>
      <c r="BJ495" s="549">
        <v>0</v>
      </c>
      <c r="BK495" s="675">
        <v>0</v>
      </c>
      <c r="BL495" s="549">
        <v>0</v>
      </c>
      <c r="BM495" s="675">
        <v>0</v>
      </c>
      <c r="BN495" s="549">
        <v>0</v>
      </c>
      <c r="BO495" s="675">
        <v>0</v>
      </c>
      <c r="BP495" s="549">
        <v>0</v>
      </c>
      <c r="BQ495" s="675">
        <v>0</v>
      </c>
      <c r="BR495" s="549">
        <v>0</v>
      </c>
      <c r="BS495" s="675">
        <v>0</v>
      </c>
      <c r="BT495" s="549">
        <v>0</v>
      </c>
      <c r="BU495" s="675">
        <v>0</v>
      </c>
      <c r="BV495" s="549">
        <v>0</v>
      </c>
      <c r="BW495" s="675">
        <v>0</v>
      </c>
      <c r="BX495" s="549">
        <v>0</v>
      </c>
      <c r="BY495" s="675">
        <v>0</v>
      </c>
      <c r="BZ495" s="549">
        <v>0</v>
      </c>
      <c r="CA495" s="675">
        <v>0</v>
      </c>
      <c r="CB495" s="549">
        <v>0</v>
      </c>
      <c r="CC495" s="675">
        <v>0</v>
      </c>
      <c r="CD495" s="549">
        <v>0</v>
      </c>
      <c r="CE495" s="675">
        <v>0</v>
      </c>
      <c r="CF495" s="549">
        <v>0</v>
      </c>
      <c r="CG495" s="675">
        <v>0</v>
      </c>
      <c r="CH495" s="549">
        <v>0</v>
      </c>
      <c r="CI495" s="675">
        <v>0</v>
      </c>
      <c r="CJ495" s="549">
        <v>0</v>
      </c>
      <c r="CK495" s="675">
        <v>-1500</v>
      </c>
      <c r="CL495" s="549">
        <v>0</v>
      </c>
      <c r="CM495" s="675">
        <v>0</v>
      </c>
      <c r="CN495" s="549">
        <v>0</v>
      </c>
      <c r="CO495" s="675">
        <v>0</v>
      </c>
      <c r="CP495" s="549">
        <v>0</v>
      </c>
      <c r="CQ495" s="675">
        <v>0</v>
      </c>
      <c r="CR495" s="549">
        <v>0</v>
      </c>
      <c r="CS495" s="675">
        <v>0</v>
      </c>
      <c r="CT495" s="549">
        <v>0</v>
      </c>
      <c r="CU495" s="675">
        <v>0</v>
      </c>
      <c r="CV495" s="549">
        <v>0</v>
      </c>
      <c r="CW495" s="675">
        <v>0</v>
      </c>
      <c r="CX495" s="549">
        <v>0</v>
      </c>
      <c r="CY495" s="675">
        <v>0</v>
      </c>
      <c r="CZ495" s="549">
        <v>0</v>
      </c>
      <c r="DA495" s="675">
        <v>0</v>
      </c>
      <c r="DB495" s="549">
        <v>0</v>
      </c>
      <c r="DC495" s="675">
        <v>0</v>
      </c>
      <c r="DD495" s="549">
        <v>0</v>
      </c>
      <c r="DE495" s="675">
        <v>0</v>
      </c>
      <c r="DF495" s="549">
        <v>0</v>
      </c>
      <c r="DG495" s="675">
        <v>0</v>
      </c>
      <c r="DH495" s="549">
        <v>0</v>
      </c>
      <c r="DI495" s="675">
        <v>0</v>
      </c>
      <c r="DJ495" s="549">
        <v>0</v>
      </c>
      <c r="DK495" s="675">
        <v>0</v>
      </c>
      <c r="DL495" s="549">
        <v>0</v>
      </c>
      <c r="DM495" s="675">
        <v>0</v>
      </c>
      <c r="DN495" s="549">
        <v>0</v>
      </c>
      <c r="DO495" s="675">
        <v>0</v>
      </c>
      <c r="DP495" s="549">
        <v>0</v>
      </c>
      <c r="DQ495" s="675">
        <v>0</v>
      </c>
      <c r="DR495" s="549">
        <v>0</v>
      </c>
      <c r="DS495" s="675">
        <v>0</v>
      </c>
      <c r="DT495" s="549">
        <v>0</v>
      </c>
      <c r="DU495" s="675">
        <v>0</v>
      </c>
      <c r="DV495" s="549">
        <v>0</v>
      </c>
      <c r="DW495" s="675">
        <v>0</v>
      </c>
      <c r="DX495" s="549">
        <v>0</v>
      </c>
      <c r="DY495" s="675">
        <v>0</v>
      </c>
      <c r="DZ495" s="549">
        <v>0</v>
      </c>
      <c r="EA495" s="675">
        <v>0</v>
      </c>
      <c r="EB495" s="549">
        <v>0</v>
      </c>
      <c r="EC495" s="675">
        <v>0</v>
      </c>
      <c r="ED495" s="549">
        <v>0</v>
      </c>
      <c r="EE495" s="675">
        <v>0</v>
      </c>
      <c r="EF495" s="549">
        <v>0</v>
      </c>
      <c r="EG495" s="675">
        <v>0</v>
      </c>
      <c r="EH495" s="549">
        <v>0</v>
      </c>
      <c r="EI495" s="675">
        <v>0</v>
      </c>
      <c r="EJ495" s="549">
        <v>0</v>
      </c>
      <c r="EK495" s="675">
        <v>0</v>
      </c>
      <c r="EL495" s="549">
        <v>0</v>
      </c>
      <c r="EM495" s="675">
        <v>0</v>
      </c>
      <c r="EN495" s="549">
        <v>0</v>
      </c>
      <c r="EO495" s="675">
        <v>0</v>
      </c>
      <c r="EP495" s="549">
        <v>0</v>
      </c>
      <c r="EQ495" s="675">
        <v>0</v>
      </c>
      <c r="ER495" s="549">
        <v>0</v>
      </c>
      <c r="ES495" s="675">
        <v>0</v>
      </c>
      <c r="ET495" s="549">
        <v>0</v>
      </c>
      <c r="EU495" s="675">
        <v>0</v>
      </c>
      <c r="EV495" s="549">
        <v>0</v>
      </c>
      <c r="EW495" s="675">
        <v>0</v>
      </c>
      <c r="EX495" s="549">
        <v>0</v>
      </c>
      <c r="EY495" s="675">
        <v>0</v>
      </c>
      <c r="EZ495" s="549">
        <v>0</v>
      </c>
      <c r="FA495" s="675">
        <v>0</v>
      </c>
      <c r="FB495" s="549">
        <v>0</v>
      </c>
      <c r="FC495" s="675">
        <v>0</v>
      </c>
      <c r="FD495" s="549">
        <v>0</v>
      </c>
      <c r="FE495" s="675">
        <v>0</v>
      </c>
      <c r="FF495" s="549">
        <v>0</v>
      </c>
      <c r="FG495" s="675">
        <v>0</v>
      </c>
      <c r="FH495" s="549">
        <v>0</v>
      </c>
      <c r="FI495" s="675">
        <v>0</v>
      </c>
      <c r="FJ495" s="549">
        <v>0</v>
      </c>
      <c r="FK495" s="675">
        <v>0</v>
      </c>
      <c r="FL495" s="549">
        <v>0</v>
      </c>
      <c r="FM495" s="675">
        <v>0</v>
      </c>
      <c r="FN495" s="549">
        <v>0</v>
      </c>
      <c r="FO495" s="675">
        <v>0</v>
      </c>
      <c r="FP495" s="549">
        <v>0</v>
      </c>
      <c r="FQ495" s="675">
        <v>0</v>
      </c>
      <c r="FR495" s="549">
        <v>0</v>
      </c>
      <c r="FS495" s="675">
        <v>0</v>
      </c>
      <c r="FT495" s="549">
        <v>0</v>
      </c>
      <c r="FU495" s="675">
        <v>0</v>
      </c>
      <c r="FV495" s="549">
        <v>0</v>
      </c>
      <c r="FW495" s="675">
        <v>0</v>
      </c>
      <c r="FX495" s="549">
        <v>0</v>
      </c>
      <c r="FY495" s="675">
        <v>0</v>
      </c>
      <c r="FZ495" s="549">
        <v>0</v>
      </c>
      <c r="GA495" s="675">
        <v>0</v>
      </c>
      <c r="GB495" s="549">
        <v>0</v>
      </c>
      <c r="GC495" s="675">
        <v>0</v>
      </c>
      <c r="GD495" s="549">
        <v>0</v>
      </c>
      <c r="GE495" s="675">
        <v>0</v>
      </c>
      <c r="GF495" s="549">
        <v>0</v>
      </c>
      <c r="GG495" s="675">
        <v>0</v>
      </c>
      <c r="GH495" s="549">
        <v>0</v>
      </c>
      <c r="GI495" s="675">
        <v>0</v>
      </c>
      <c r="GJ495" s="549">
        <v>0</v>
      </c>
      <c r="GK495" s="675">
        <v>0</v>
      </c>
      <c r="GL495" s="549">
        <v>0</v>
      </c>
      <c r="GM495" s="675">
        <v>0</v>
      </c>
      <c r="GN495" s="549">
        <v>0</v>
      </c>
      <c r="GO495" s="675">
        <v>0</v>
      </c>
      <c r="GP495" s="549">
        <f t="shared" si="12061"/>
        <v>0</v>
      </c>
      <c r="GQ495" s="675">
        <f t="shared" si="12062"/>
        <v>-3500</v>
      </c>
      <c r="GR495" s="74">
        <f t="shared" si="12063"/>
        <v>0</v>
      </c>
      <c r="GS495" s="74">
        <f t="shared" si="12064"/>
        <v>0</v>
      </c>
      <c r="GT495" s="568">
        <f t="shared" si="12065"/>
        <v>0</v>
      </c>
      <c r="GU495" s="275"/>
      <c r="GV495" s="275"/>
      <c r="GW495" s="275">
        <v>3500</v>
      </c>
      <c r="GX495" s="275"/>
      <c r="GY495" s="275"/>
      <c r="GZ495" s="275"/>
      <c r="HA495" s="275"/>
      <c r="HB495" s="275"/>
      <c r="HC495" s="275"/>
      <c r="HD495" s="275">
        <v>0</v>
      </c>
      <c r="HE495" s="275">
        <v>0</v>
      </c>
      <c r="HF495" s="275">
        <v>0</v>
      </c>
      <c r="HG495" s="74">
        <f t="shared" si="12066"/>
        <v>0</v>
      </c>
      <c r="HH495" s="89">
        <v>0</v>
      </c>
      <c r="HI495" s="817">
        <v>0</v>
      </c>
      <c r="HJ495" s="89">
        <v>0</v>
      </c>
      <c r="HK495" s="817">
        <v>0</v>
      </c>
      <c r="HL495" s="89">
        <v>0</v>
      </c>
      <c r="HM495" s="817">
        <v>0</v>
      </c>
      <c r="HN495" s="89">
        <v>0</v>
      </c>
      <c r="HO495" s="817">
        <v>0</v>
      </c>
      <c r="HP495" s="89">
        <v>0</v>
      </c>
      <c r="HQ495" s="817">
        <v>0</v>
      </c>
      <c r="HR495" s="89">
        <v>0</v>
      </c>
      <c r="HS495" s="817">
        <v>0</v>
      </c>
      <c r="HT495" s="89">
        <v>0</v>
      </c>
      <c r="HU495" s="817">
        <v>0</v>
      </c>
      <c r="HV495" s="89">
        <v>0</v>
      </c>
      <c r="HW495" s="817">
        <v>0</v>
      </c>
      <c r="HX495" s="89">
        <v>0</v>
      </c>
      <c r="HY495" s="817">
        <v>0</v>
      </c>
      <c r="HZ495" s="89">
        <v>0</v>
      </c>
      <c r="IA495" s="817">
        <v>0</v>
      </c>
      <c r="IB495" s="89">
        <v>0</v>
      </c>
      <c r="IC495" s="817">
        <v>0</v>
      </c>
      <c r="ID495" s="89">
        <v>0</v>
      </c>
      <c r="IE495" s="817">
        <v>0</v>
      </c>
      <c r="IF495" s="841">
        <f t="shared" si="12067"/>
        <v>0</v>
      </c>
      <c r="IG495" s="263">
        <f t="shared" si="12068"/>
        <v>0</v>
      </c>
      <c r="IH495" s="842">
        <f t="shared" si="12069"/>
        <v>0</v>
      </c>
      <c r="II495" s="89">
        <v>0</v>
      </c>
      <c r="IJ495" s="89">
        <f t="shared" si="12070"/>
        <v>0</v>
      </c>
      <c r="IK495" s="89">
        <f t="shared" si="12071"/>
        <v>0</v>
      </c>
      <c r="IL495" s="89">
        <v>0</v>
      </c>
      <c r="IM495" s="89">
        <f t="shared" si="12072"/>
        <v>0</v>
      </c>
      <c r="IN495" s="89">
        <f t="shared" si="12073"/>
        <v>0</v>
      </c>
      <c r="IO495" s="89">
        <v>0</v>
      </c>
      <c r="IP495" s="89">
        <f t="shared" si="12074"/>
        <v>0</v>
      </c>
      <c r="IQ495" s="89">
        <f t="shared" si="12075"/>
        <v>0</v>
      </c>
      <c r="IR495" s="89">
        <v>0</v>
      </c>
      <c r="IS495" s="89">
        <f t="shared" si="12076"/>
        <v>0</v>
      </c>
      <c r="IT495" s="89">
        <f t="shared" si="12077"/>
        <v>0</v>
      </c>
      <c r="IU495" s="89">
        <v>0</v>
      </c>
      <c r="IV495" s="89">
        <f t="shared" si="12078"/>
        <v>0</v>
      </c>
      <c r="IW495" s="89">
        <f t="shared" si="12079"/>
        <v>0</v>
      </c>
      <c r="IX495" s="89">
        <v>0</v>
      </c>
      <c r="IY495" s="89">
        <f t="shared" si="12080"/>
        <v>0</v>
      </c>
      <c r="IZ495" s="89">
        <f t="shared" si="12081"/>
        <v>0</v>
      </c>
      <c r="JA495" s="89">
        <v>0</v>
      </c>
      <c r="JB495" s="89">
        <f t="shared" si="12082"/>
        <v>0</v>
      </c>
      <c r="JC495" s="89">
        <f t="shared" si="12083"/>
        <v>0</v>
      </c>
      <c r="JD495" s="89">
        <v>0</v>
      </c>
      <c r="JE495" s="89">
        <f t="shared" si="12084"/>
        <v>0</v>
      </c>
      <c r="JF495" s="89">
        <f t="shared" si="12085"/>
        <v>0</v>
      </c>
      <c r="JG495" s="89">
        <v>0</v>
      </c>
      <c r="JH495" s="89">
        <f t="shared" si="12086"/>
        <v>0</v>
      </c>
      <c r="JI495" s="89">
        <f t="shared" si="12087"/>
        <v>0</v>
      </c>
      <c r="JJ495" s="89">
        <v>0</v>
      </c>
      <c r="JK495" s="89">
        <f t="shared" si="12088"/>
        <v>0</v>
      </c>
      <c r="JL495" s="89">
        <f t="shared" si="12089"/>
        <v>0</v>
      </c>
      <c r="JM495" s="89">
        <v>0</v>
      </c>
      <c r="JN495" s="89">
        <f t="shared" si="12090"/>
        <v>0</v>
      </c>
      <c r="JO495" s="89">
        <f t="shared" si="12091"/>
        <v>0</v>
      </c>
      <c r="JP495" s="89">
        <v>0</v>
      </c>
      <c r="JQ495" s="89">
        <f t="shared" ref="JQ495:JR495" si="12102">JP495</f>
        <v>0</v>
      </c>
      <c r="JR495" s="89">
        <f t="shared" si="12102"/>
        <v>0</v>
      </c>
      <c r="JS495" s="74">
        <f t="shared" si="12093"/>
        <v>0</v>
      </c>
      <c r="JT495" s="382">
        <f t="shared" si="12094"/>
        <v>0</v>
      </c>
      <c r="JU495" s="665"/>
      <c r="JV495" s="524"/>
      <c r="JW495" s="525"/>
      <c r="JX495" s="549">
        <f t="shared" si="12095"/>
        <v>0</v>
      </c>
      <c r="JY495" s="549">
        <f t="shared" si="12096"/>
        <v>0</v>
      </c>
      <c r="JZ495" s="581">
        <f t="shared" si="11276"/>
        <v>0</v>
      </c>
      <c r="KA495" s="581">
        <f t="shared" si="11277"/>
        <v>-3500</v>
      </c>
      <c r="KB495" s="549">
        <f t="shared" si="11273"/>
        <v>0</v>
      </c>
      <c r="KC495" s="709">
        <f t="shared" si="11275"/>
        <v>0</v>
      </c>
      <c r="KD495" s="36"/>
      <c r="KE495" s="36"/>
      <c r="KF495" s="36"/>
      <c r="KG495" s="36"/>
      <c r="KH495" s="36"/>
      <c r="KI495" s="36"/>
      <c r="KJ495" s="36"/>
      <c r="KK495" s="36"/>
    </row>
    <row r="496" spans="1:297" s="10" customFormat="1">
      <c r="A496" s="86" t="s">
        <v>298</v>
      </c>
      <c r="B496" s="77" t="s">
        <v>194</v>
      </c>
      <c r="C496" s="74">
        <v>52600</v>
      </c>
      <c r="D496" s="549">
        <v>0</v>
      </c>
      <c r="E496" s="675">
        <v>0</v>
      </c>
      <c r="F496" s="549">
        <v>0</v>
      </c>
      <c r="G496" s="675">
        <v>0</v>
      </c>
      <c r="H496" s="549">
        <v>0</v>
      </c>
      <c r="I496" s="675">
        <v>0</v>
      </c>
      <c r="J496" s="549">
        <v>0</v>
      </c>
      <c r="K496" s="675">
        <v>0</v>
      </c>
      <c r="L496" s="549">
        <v>0</v>
      </c>
      <c r="M496" s="675">
        <v>0</v>
      </c>
      <c r="N496" s="549">
        <v>0</v>
      </c>
      <c r="O496" s="675">
        <v>0</v>
      </c>
      <c r="P496" s="549">
        <v>0</v>
      </c>
      <c r="Q496" s="675">
        <v>0</v>
      </c>
      <c r="R496" s="549">
        <v>0</v>
      </c>
      <c r="S496" s="675">
        <v>0</v>
      </c>
      <c r="T496" s="549">
        <v>0</v>
      </c>
      <c r="U496" s="675">
        <v>0</v>
      </c>
      <c r="V496" s="549">
        <v>0</v>
      </c>
      <c r="W496" s="675">
        <v>-9000</v>
      </c>
      <c r="X496" s="549">
        <v>0</v>
      </c>
      <c r="Y496" s="675">
        <v>0</v>
      </c>
      <c r="Z496" s="549">
        <v>0</v>
      </c>
      <c r="AA496" s="675">
        <v>0</v>
      </c>
      <c r="AB496" s="549">
        <v>0</v>
      </c>
      <c r="AC496" s="675">
        <v>0</v>
      </c>
      <c r="AD496" s="549">
        <v>3000</v>
      </c>
      <c r="AE496" s="675">
        <v>0</v>
      </c>
      <c r="AF496" s="549">
        <v>0</v>
      </c>
      <c r="AG496" s="675">
        <v>0</v>
      </c>
      <c r="AH496" s="549">
        <v>0</v>
      </c>
      <c r="AI496" s="675">
        <v>0</v>
      </c>
      <c r="AJ496" s="549">
        <v>0</v>
      </c>
      <c r="AK496" s="675">
        <v>0</v>
      </c>
      <c r="AL496" s="549">
        <v>0</v>
      </c>
      <c r="AM496" s="675">
        <v>0</v>
      </c>
      <c r="AN496" s="549">
        <v>0</v>
      </c>
      <c r="AO496" s="675">
        <v>0</v>
      </c>
      <c r="AP496" s="549">
        <v>0</v>
      </c>
      <c r="AQ496" s="675">
        <v>0</v>
      </c>
      <c r="AR496" s="549">
        <v>0</v>
      </c>
      <c r="AS496" s="675">
        <v>0</v>
      </c>
      <c r="AT496" s="549">
        <v>0</v>
      </c>
      <c r="AU496" s="675">
        <v>0</v>
      </c>
      <c r="AV496" s="549">
        <v>0</v>
      </c>
      <c r="AW496" s="675">
        <v>0</v>
      </c>
      <c r="AX496" s="549">
        <v>0</v>
      </c>
      <c r="AY496" s="675">
        <v>0</v>
      </c>
      <c r="AZ496" s="549">
        <v>0</v>
      </c>
      <c r="BA496" s="675">
        <v>0</v>
      </c>
      <c r="BB496" s="549">
        <v>0</v>
      </c>
      <c r="BC496" s="675">
        <v>0</v>
      </c>
      <c r="BD496" s="549">
        <v>0</v>
      </c>
      <c r="BE496" s="675">
        <v>0</v>
      </c>
      <c r="BF496" s="549">
        <v>0</v>
      </c>
      <c r="BG496" s="675">
        <v>0</v>
      </c>
      <c r="BH496" s="549">
        <v>0</v>
      </c>
      <c r="BI496" s="675">
        <v>0</v>
      </c>
      <c r="BJ496" s="549">
        <v>0</v>
      </c>
      <c r="BK496" s="675">
        <v>0</v>
      </c>
      <c r="BL496" s="549">
        <v>0</v>
      </c>
      <c r="BM496" s="675">
        <v>0</v>
      </c>
      <c r="BN496" s="549">
        <v>0</v>
      </c>
      <c r="BO496" s="675">
        <v>0</v>
      </c>
      <c r="BP496" s="549">
        <v>0</v>
      </c>
      <c r="BQ496" s="675">
        <v>0</v>
      </c>
      <c r="BR496" s="549">
        <v>0</v>
      </c>
      <c r="BS496" s="675">
        <v>0</v>
      </c>
      <c r="BT496" s="549">
        <v>0</v>
      </c>
      <c r="BU496" s="675">
        <v>0</v>
      </c>
      <c r="BV496" s="549">
        <v>0</v>
      </c>
      <c r="BW496" s="675">
        <v>0</v>
      </c>
      <c r="BX496" s="549">
        <v>0</v>
      </c>
      <c r="BY496" s="675">
        <v>0</v>
      </c>
      <c r="BZ496" s="549">
        <v>0</v>
      </c>
      <c r="CA496" s="675">
        <v>0</v>
      </c>
      <c r="CB496" s="549">
        <v>0</v>
      </c>
      <c r="CC496" s="675">
        <v>0</v>
      </c>
      <c r="CD496" s="549">
        <v>0</v>
      </c>
      <c r="CE496" s="675">
        <v>0</v>
      </c>
      <c r="CF496" s="549">
        <v>0</v>
      </c>
      <c r="CG496" s="675">
        <v>0</v>
      </c>
      <c r="CH496" s="549">
        <v>3000</v>
      </c>
      <c r="CI496" s="675">
        <v>0</v>
      </c>
      <c r="CJ496" s="549">
        <v>0</v>
      </c>
      <c r="CK496" s="675">
        <v>-2000</v>
      </c>
      <c r="CL496" s="549">
        <v>0</v>
      </c>
      <c r="CM496" s="675">
        <v>0</v>
      </c>
      <c r="CN496" s="549">
        <v>0</v>
      </c>
      <c r="CO496" s="675">
        <v>0</v>
      </c>
      <c r="CP496" s="549">
        <v>0</v>
      </c>
      <c r="CQ496" s="675">
        <v>0</v>
      </c>
      <c r="CR496" s="549">
        <v>0</v>
      </c>
      <c r="CS496" s="675">
        <v>0</v>
      </c>
      <c r="CT496" s="549">
        <v>0</v>
      </c>
      <c r="CU496" s="675">
        <v>0</v>
      </c>
      <c r="CV496" s="549">
        <v>0</v>
      </c>
      <c r="CW496" s="675">
        <v>0</v>
      </c>
      <c r="CX496" s="549">
        <v>0</v>
      </c>
      <c r="CY496" s="675">
        <v>0</v>
      </c>
      <c r="CZ496" s="549">
        <v>0</v>
      </c>
      <c r="DA496" s="675">
        <v>0</v>
      </c>
      <c r="DB496" s="549">
        <v>0</v>
      </c>
      <c r="DC496" s="675">
        <v>0</v>
      </c>
      <c r="DD496" s="549">
        <v>0</v>
      </c>
      <c r="DE496" s="675">
        <v>0</v>
      </c>
      <c r="DF496" s="549">
        <v>0</v>
      </c>
      <c r="DG496" s="675">
        <v>0</v>
      </c>
      <c r="DH496" s="549">
        <v>0</v>
      </c>
      <c r="DI496" s="675">
        <v>0</v>
      </c>
      <c r="DJ496" s="549">
        <v>0</v>
      </c>
      <c r="DK496" s="675">
        <v>0</v>
      </c>
      <c r="DL496" s="549">
        <v>0</v>
      </c>
      <c r="DM496" s="675">
        <v>0</v>
      </c>
      <c r="DN496" s="549">
        <v>0</v>
      </c>
      <c r="DO496" s="675">
        <v>0</v>
      </c>
      <c r="DP496" s="549">
        <v>0</v>
      </c>
      <c r="DQ496" s="675">
        <v>0</v>
      </c>
      <c r="DR496" s="549">
        <v>0</v>
      </c>
      <c r="DS496" s="675">
        <v>0</v>
      </c>
      <c r="DT496" s="549">
        <v>0</v>
      </c>
      <c r="DU496" s="675">
        <v>0</v>
      </c>
      <c r="DV496" s="549">
        <v>0</v>
      </c>
      <c r="DW496" s="675">
        <v>0</v>
      </c>
      <c r="DX496" s="549">
        <v>0</v>
      </c>
      <c r="DY496" s="675">
        <v>0</v>
      </c>
      <c r="DZ496" s="549">
        <v>0</v>
      </c>
      <c r="EA496" s="675">
        <v>0</v>
      </c>
      <c r="EB496" s="549">
        <v>0</v>
      </c>
      <c r="EC496" s="675">
        <v>0</v>
      </c>
      <c r="ED496" s="549">
        <v>0</v>
      </c>
      <c r="EE496" s="675">
        <v>0</v>
      </c>
      <c r="EF496" s="549">
        <v>0</v>
      </c>
      <c r="EG496" s="675">
        <v>0</v>
      </c>
      <c r="EH496" s="549">
        <v>0</v>
      </c>
      <c r="EI496" s="675">
        <v>0</v>
      </c>
      <c r="EJ496" s="549">
        <v>0</v>
      </c>
      <c r="EK496" s="675">
        <v>0</v>
      </c>
      <c r="EL496" s="549">
        <v>0</v>
      </c>
      <c r="EM496" s="675">
        <v>0</v>
      </c>
      <c r="EN496" s="549">
        <v>0</v>
      </c>
      <c r="EO496" s="675">
        <v>0</v>
      </c>
      <c r="EP496" s="549">
        <v>0</v>
      </c>
      <c r="EQ496" s="675">
        <v>0</v>
      </c>
      <c r="ER496" s="549">
        <v>0</v>
      </c>
      <c r="ES496" s="675">
        <v>0</v>
      </c>
      <c r="ET496" s="549">
        <v>5000</v>
      </c>
      <c r="EU496" s="675">
        <v>0</v>
      </c>
      <c r="EV496" s="549">
        <v>0</v>
      </c>
      <c r="EW496" s="675">
        <v>0</v>
      </c>
      <c r="EX496" s="549">
        <v>0</v>
      </c>
      <c r="EY496" s="675">
        <v>0</v>
      </c>
      <c r="EZ496" s="549">
        <v>0</v>
      </c>
      <c r="FA496" s="675">
        <v>0</v>
      </c>
      <c r="FB496" s="549">
        <v>0</v>
      </c>
      <c r="FC496" s="675">
        <v>0</v>
      </c>
      <c r="FD496" s="549">
        <v>0</v>
      </c>
      <c r="FE496" s="675">
        <v>0</v>
      </c>
      <c r="FF496" s="549">
        <v>0</v>
      </c>
      <c r="FG496" s="675">
        <v>0</v>
      </c>
      <c r="FH496" s="549">
        <v>0</v>
      </c>
      <c r="FI496" s="675">
        <v>0</v>
      </c>
      <c r="FJ496" s="549">
        <v>0</v>
      </c>
      <c r="FK496" s="675">
        <v>0</v>
      </c>
      <c r="FL496" s="549">
        <v>5000</v>
      </c>
      <c r="FM496" s="675">
        <v>0</v>
      </c>
      <c r="FN496" s="549">
        <v>0</v>
      </c>
      <c r="FO496" s="675">
        <v>0</v>
      </c>
      <c r="FP496" s="549">
        <v>0</v>
      </c>
      <c r="FQ496" s="675">
        <v>0</v>
      </c>
      <c r="FR496" s="549">
        <v>0</v>
      </c>
      <c r="FS496" s="675">
        <v>0</v>
      </c>
      <c r="FT496" s="549">
        <v>0</v>
      </c>
      <c r="FU496" s="675">
        <v>0</v>
      </c>
      <c r="FV496" s="549">
        <v>0</v>
      </c>
      <c r="FW496" s="675">
        <v>0</v>
      </c>
      <c r="FX496" s="549">
        <v>0</v>
      </c>
      <c r="FY496" s="675">
        <v>0</v>
      </c>
      <c r="FZ496" s="549">
        <v>0</v>
      </c>
      <c r="GA496" s="675">
        <v>0</v>
      </c>
      <c r="GB496" s="549">
        <v>0</v>
      </c>
      <c r="GC496" s="675">
        <v>0</v>
      </c>
      <c r="GD496" s="549">
        <v>0</v>
      </c>
      <c r="GE496" s="675">
        <v>0</v>
      </c>
      <c r="GF496" s="549">
        <v>0</v>
      </c>
      <c r="GG496" s="675">
        <v>0</v>
      </c>
      <c r="GH496" s="549">
        <v>0</v>
      </c>
      <c r="GI496" s="675">
        <v>0</v>
      </c>
      <c r="GJ496" s="549">
        <v>0</v>
      </c>
      <c r="GK496" s="675">
        <v>0</v>
      </c>
      <c r="GL496" s="549">
        <v>0</v>
      </c>
      <c r="GM496" s="675">
        <v>0</v>
      </c>
      <c r="GN496" s="549">
        <v>0</v>
      </c>
      <c r="GO496" s="675">
        <v>0</v>
      </c>
      <c r="GP496" s="549">
        <f t="shared" si="12061"/>
        <v>16000</v>
      </c>
      <c r="GQ496" s="675">
        <f t="shared" si="12062"/>
        <v>-11000</v>
      </c>
      <c r="GR496" s="74">
        <f t="shared" si="12063"/>
        <v>57600</v>
      </c>
      <c r="GS496" s="74">
        <f t="shared" si="12064"/>
        <v>57600</v>
      </c>
      <c r="GT496" s="568">
        <f t="shared" si="12065"/>
        <v>57600</v>
      </c>
      <c r="GU496" s="275">
        <v>5848</v>
      </c>
      <c r="GV496" s="275">
        <v>5844</v>
      </c>
      <c r="GW496" s="275">
        <v>5844</v>
      </c>
      <c r="GX496" s="275">
        <v>5844</v>
      </c>
      <c r="GY496" s="275">
        <v>5844</v>
      </c>
      <c r="GZ496" s="275">
        <v>5844</v>
      </c>
      <c r="HA496" s="275">
        <v>5844</v>
      </c>
      <c r="HB496" s="275">
        <v>5844</v>
      </c>
      <c r="HC496" s="275">
        <v>5844</v>
      </c>
      <c r="HD496" s="275">
        <v>0</v>
      </c>
      <c r="HE496" s="275">
        <v>0</v>
      </c>
      <c r="HF496" s="275">
        <v>0</v>
      </c>
      <c r="HG496" s="74">
        <f t="shared" si="12066"/>
        <v>57600</v>
      </c>
      <c r="HH496" s="89">
        <v>5848</v>
      </c>
      <c r="HI496" s="817">
        <v>0</v>
      </c>
      <c r="HJ496" s="89">
        <v>5844</v>
      </c>
      <c r="HK496" s="817">
        <v>0</v>
      </c>
      <c r="HL496" s="89">
        <v>-156</v>
      </c>
      <c r="HM496" s="817">
        <v>0</v>
      </c>
      <c r="HN496" s="89">
        <v>5844</v>
      </c>
      <c r="HO496" s="817">
        <v>0</v>
      </c>
      <c r="HP496" s="89">
        <v>5844</v>
      </c>
      <c r="HQ496" s="817">
        <v>0</v>
      </c>
      <c r="HR496" s="89">
        <v>5844</v>
      </c>
      <c r="HS496" s="817">
        <v>0</v>
      </c>
      <c r="HT496" s="89">
        <v>3000</v>
      </c>
      <c r="HU496" s="817">
        <v>0</v>
      </c>
      <c r="HV496" s="89">
        <v>9688</v>
      </c>
      <c r="HW496" s="817">
        <v>0</v>
      </c>
      <c r="HX496" s="89">
        <f>15236.6-4392.6</f>
        <v>10844</v>
      </c>
      <c r="HY496" s="817">
        <v>0</v>
      </c>
      <c r="HZ496" s="89">
        <v>5000</v>
      </c>
      <c r="IA496" s="817">
        <v>0</v>
      </c>
      <c r="IB496" s="89">
        <v>0</v>
      </c>
      <c r="IC496" s="817">
        <v>0</v>
      </c>
      <c r="ID496" s="89">
        <v>0</v>
      </c>
      <c r="IE496" s="817">
        <v>0</v>
      </c>
      <c r="IF496" s="841">
        <f t="shared" si="12067"/>
        <v>47664.63</v>
      </c>
      <c r="IG496" s="263">
        <f t="shared" si="12068"/>
        <v>47664.63</v>
      </c>
      <c r="IH496" s="842">
        <f t="shared" si="12069"/>
        <v>47664.63</v>
      </c>
      <c r="II496" s="89">
        <v>1127.28</v>
      </c>
      <c r="IJ496" s="89">
        <f t="shared" si="12070"/>
        <v>1127.28</v>
      </c>
      <c r="IK496" s="89">
        <f t="shared" si="12071"/>
        <v>1127.28</v>
      </c>
      <c r="IL496" s="89">
        <f>1356.83-1127.28</f>
        <v>229.54999999999995</v>
      </c>
      <c r="IM496" s="89">
        <f t="shared" si="12072"/>
        <v>229.54999999999995</v>
      </c>
      <c r="IN496" s="89">
        <f t="shared" si="12073"/>
        <v>229.54999999999995</v>
      </c>
      <c r="IO496" s="89">
        <f>2276.35-1356.83</f>
        <v>919.52</v>
      </c>
      <c r="IP496" s="89">
        <f t="shared" si="12074"/>
        <v>919.52</v>
      </c>
      <c r="IQ496" s="89">
        <f t="shared" si="12075"/>
        <v>919.52</v>
      </c>
      <c r="IR496" s="89">
        <f>5118.68-2276.35</f>
        <v>2842.3300000000004</v>
      </c>
      <c r="IS496" s="89">
        <f t="shared" si="12076"/>
        <v>2842.3300000000004</v>
      </c>
      <c r="IT496" s="89">
        <f t="shared" si="12077"/>
        <v>2842.3300000000004</v>
      </c>
      <c r="IU496" s="89">
        <f>19909.01-5118.68</f>
        <v>14790.329999999998</v>
      </c>
      <c r="IV496" s="89">
        <f t="shared" si="12078"/>
        <v>14790.329999999998</v>
      </c>
      <c r="IW496" s="89">
        <f t="shared" si="12079"/>
        <v>14790.329999999998</v>
      </c>
      <c r="IX496" s="89">
        <f>23577.35-19909.01</f>
        <v>3668.34</v>
      </c>
      <c r="IY496" s="89">
        <f t="shared" si="12080"/>
        <v>3668.34</v>
      </c>
      <c r="IZ496" s="89">
        <f t="shared" si="12081"/>
        <v>3668.34</v>
      </c>
      <c r="JA496" s="89">
        <f>25443.19-23577.35</f>
        <v>1865.8400000000001</v>
      </c>
      <c r="JB496" s="89">
        <f t="shared" si="12082"/>
        <v>1865.8400000000001</v>
      </c>
      <c r="JC496" s="89">
        <f t="shared" si="12083"/>
        <v>1865.8400000000001</v>
      </c>
      <c r="JD496" s="89">
        <f>34788.45-25443.19</f>
        <v>9345.2599999999984</v>
      </c>
      <c r="JE496" s="89">
        <f t="shared" si="12084"/>
        <v>9345.2599999999984</v>
      </c>
      <c r="JF496" s="89">
        <f t="shared" si="12085"/>
        <v>9345.2599999999984</v>
      </c>
      <c r="JG496" s="89">
        <f>37363.4-34788.45</f>
        <v>2574.9500000000044</v>
      </c>
      <c r="JH496" s="89">
        <f t="shared" si="12086"/>
        <v>2574.9500000000044</v>
      </c>
      <c r="JI496" s="89">
        <f t="shared" si="12087"/>
        <v>2574.9500000000044</v>
      </c>
      <c r="JJ496" s="89">
        <f>47664.63-37363.4</f>
        <v>10301.229999999996</v>
      </c>
      <c r="JK496" s="89">
        <f t="shared" si="12088"/>
        <v>10301.229999999996</v>
      </c>
      <c r="JL496" s="89">
        <f t="shared" si="12089"/>
        <v>10301.229999999996</v>
      </c>
      <c r="JM496" s="89">
        <v>0</v>
      </c>
      <c r="JN496" s="89">
        <f t="shared" si="12090"/>
        <v>0</v>
      </c>
      <c r="JO496" s="89">
        <f t="shared" si="12091"/>
        <v>0</v>
      </c>
      <c r="JP496" s="89">
        <v>0</v>
      </c>
      <c r="JQ496" s="89">
        <f t="shared" ref="JQ496:JR496" si="12103">JP496</f>
        <v>0</v>
      </c>
      <c r="JR496" s="89">
        <f t="shared" si="12103"/>
        <v>0</v>
      </c>
      <c r="JS496" s="74">
        <f t="shared" si="12093"/>
        <v>9935.3700000000026</v>
      </c>
      <c r="JT496" s="382">
        <f t="shared" si="12094"/>
        <v>9935.3700000000026</v>
      </c>
      <c r="JU496" s="665"/>
      <c r="JV496" s="524"/>
      <c r="JW496" s="525"/>
      <c r="JX496" s="549">
        <f t="shared" si="12095"/>
        <v>57600</v>
      </c>
      <c r="JY496" s="549">
        <f t="shared" si="12096"/>
        <v>0</v>
      </c>
      <c r="JZ496" s="581">
        <f t="shared" si="11276"/>
        <v>16000</v>
      </c>
      <c r="KA496" s="581">
        <f t="shared" si="11277"/>
        <v>-11000</v>
      </c>
      <c r="KB496" s="549">
        <f t="shared" si="11273"/>
        <v>57600</v>
      </c>
      <c r="KC496" s="709">
        <f t="shared" si="11275"/>
        <v>0</v>
      </c>
      <c r="KD496" s="36"/>
      <c r="KE496" s="36"/>
      <c r="KF496" s="36"/>
      <c r="KG496" s="36"/>
      <c r="KH496" s="36"/>
      <c r="KI496" s="36"/>
      <c r="KJ496" s="36"/>
      <c r="KK496" s="36"/>
    </row>
    <row r="497" spans="1:297" s="10" customFormat="1">
      <c r="A497" s="86"/>
      <c r="B497" s="77"/>
      <c r="C497" s="74"/>
      <c r="D497" s="549"/>
      <c r="E497" s="675"/>
      <c r="F497" s="549"/>
      <c r="G497" s="675"/>
      <c r="H497" s="549"/>
      <c r="I497" s="675"/>
      <c r="J497" s="549"/>
      <c r="K497" s="675"/>
      <c r="L497" s="549"/>
      <c r="M497" s="675"/>
      <c r="N497" s="549"/>
      <c r="O497" s="675"/>
      <c r="P497" s="549"/>
      <c r="Q497" s="675"/>
      <c r="R497" s="549"/>
      <c r="S497" s="675"/>
      <c r="T497" s="549"/>
      <c r="U497" s="675"/>
      <c r="V497" s="549"/>
      <c r="W497" s="675"/>
      <c r="X497" s="549"/>
      <c r="Y497" s="675"/>
      <c r="Z497" s="549"/>
      <c r="AA497" s="675"/>
      <c r="AB497" s="549"/>
      <c r="AC497" s="675"/>
      <c r="AD497" s="549"/>
      <c r="AE497" s="675"/>
      <c r="AF497" s="549"/>
      <c r="AG497" s="675"/>
      <c r="AH497" s="549"/>
      <c r="AI497" s="675"/>
      <c r="AJ497" s="549"/>
      <c r="AK497" s="675"/>
      <c r="AL497" s="549"/>
      <c r="AM497" s="675"/>
      <c r="AN497" s="549"/>
      <c r="AO497" s="675"/>
      <c r="AP497" s="549"/>
      <c r="AQ497" s="675"/>
      <c r="AR497" s="549"/>
      <c r="AS497" s="675"/>
      <c r="AT497" s="549"/>
      <c r="AU497" s="675"/>
      <c r="AV497" s="549"/>
      <c r="AW497" s="675"/>
      <c r="AX497" s="549"/>
      <c r="AY497" s="675"/>
      <c r="AZ497" s="549"/>
      <c r="BA497" s="675"/>
      <c r="BB497" s="549"/>
      <c r="BC497" s="675"/>
      <c r="BD497" s="549"/>
      <c r="BE497" s="675"/>
      <c r="BF497" s="549"/>
      <c r="BG497" s="675"/>
      <c r="BH497" s="549"/>
      <c r="BI497" s="675"/>
      <c r="BJ497" s="549"/>
      <c r="BK497" s="675"/>
      <c r="BL497" s="549"/>
      <c r="BM497" s="675"/>
      <c r="BN497" s="549"/>
      <c r="BO497" s="675"/>
      <c r="BP497" s="549"/>
      <c r="BQ497" s="675"/>
      <c r="BR497" s="549"/>
      <c r="BS497" s="675"/>
      <c r="BT497" s="549"/>
      <c r="BU497" s="675"/>
      <c r="BV497" s="549"/>
      <c r="BW497" s="675"/>
      <c r="BX497" s="549"/>
      <c r="BY497" s="675"/>
      <c r="BZ497" s="549"/>
      <c r="CA497" s="675"/>
      <c r="CB497" s="549"/>
      <c r="CC497" s="675"/>
      <c r="CD497" s="549"/>
      <c r="CE497" s="675"/>
      <c r="CF497" s="549"/>
      <c r="CG497" s="675"/>
      <c r="CH497" s="549"/>
      <c r="CI497" s="675"/>
      <c r="CJ497" s="549"/>
      <c r="CK497" s="675"/>
      <c r="CL497" s="549"/>
      <c r="CM497" s="675"/>
      <c r="CN497" s="549"/>
      <c r="CO497" s="675"/>
      <c r="CP497" s="549"/>
      <c r="CQ497" s="675"/>
      <c r="CR497" s="549"/>
      <c r="CS497" s="675"/>
      <c r="CT497" s="549"/>
      <c r="CU497" s="675"/>
      <c r="CV497" s="549"/>
      <c r="CW497" s="675"/>
      <c r="CX497" s="549"/>
      <c r="CY497" s="675"/>
      <c r="CZ497" s="549"/>
      <c r="DA497" s="675"/>
      <c r="DB497" s="549"/>
      <c r="DC497" s="675"/>
      <c r="DD497" s="549"/>
      <c r="DE497" s="675"/>
      <c r="DF497" s="549"/>
      <c r="DG497" s="675"/>
      <c r="DH497" s="549"/>
      <c r="DI497" s="675"/>
      <c r="DJ497" s="549"/>
      <c r="DK497" s="675"/>
      <c r="DL497" s="549"/>
      <c r="DM497" s="675"/>
      <c r="DN497" s="549"/>
      <c r="DO497" s="675"/>
      <c r="DP497" s="549"/>
      <c r="DQ497" s="675"/>
      <c r="DR497" s="549"/>
      <c r="DS497" s="675"/>
      <c r="DT497" s="549"/>
      <c r="DU497" s="675"/>
      <c r="DV497" s="549"/>
      <c r="DW497" s="675"/>
      <c r="DX497" s="549"/>
      <c r="DY497" s="675"/>
      <c r="DZ497" s="549"/>
      <c r="EA497" s="675"/>
      <c r="EB497" s="549"/>
      <c r="EC497" s="675"/>
      <c r="ED497" s="549"/>
      <c r="EE497" s="675"/>
      <c r="EF497" s="549"/>
      <c r="EG497" s="675"/>
      <c r="EH497" s="549"/>
      <c r="EI497" s="675"/>
      <c r="EJ497" s="549"/>
      <c r="EK497" s="675"/>
      <c r="EL497" s="549"/>
      <c r="EM497" s="675"/>
      <c r="EN497" s="549"/>
      <c r="EO497" s="675"/>
      <c r="EP497" s="549"/>
      <c r="EQ497" s="675"/>
      <c r="ER497" s="549"/>
      <c r="ES497" s="675"/>
      <c r="ET497" s="549"/>
      <c r="EU497" s="675"/>
      <c r="EV497" s="549"/>
      <c r="EW497" s="675"/>
      <c r="EX497" s="549"/>
      <c r="EY497" s="675"/>
      <c r="EZ497" s="549"/>
      <c r="FA497" s="675"/>
      <c r="FB497" s="549"/>
      <c r="FC497" s="675"/>
      <c r="FD497" s="549"/>
      <c r="FE497" s="675"/>
      <c r="FF497" s="549"/>
      <c r="FG497" s="675"/>
      <c r="FH497" s="549"/>
      <c r="FI497" s="675"/>
      <c r="FJ497" s="549"/>
      <c r="FK497" s="675"/>
      <c r="FL497" s="549"/>
      <c r="FM497" s="675"/>
      <c r="FN497" s="549"/>
      <c r="FO497" s="675"/>
      <c r="FP497" s="549"/>
      <c r="FQ497" s="675"/>
      <c r="FR497" s="549"/>
      <c r="FS497" s="675"/>
      <c r="FT497" s="549"/>
      <c r="FU497" s="675"/>
      <c r="FV497" s="549"/>
      <c r="FW497" s="675"/>
      <c r="FX497" s="549"/>
      <c r="FY497" s="675"/>
      <c r="FZ497" s="549"/>
      <c r="GA497" s="675"/>
      <c r="GB497" s="549"/>
      <c r="GC497" s="675"/>
      <c r="GD497" s="549"/>
      <c r="GE497" s="675"/>
      <c r="GF497" s="549"/>
      <c r="GG497" s="675"/>
      <c r="GH497" s="549"/>
      <c r="GI497" s="675"/>
      <c r="GJ497" s="549"/>
      <c r="GK497" s="675"/>
      <c r="GL497" s="549"/>
      <c r="GM497" s="675"/>
      <c r="GN497" s="549"/>
      <c r="GO497" s="675"/>
      <c r="GP497" s="549"/>
      <c r="GQ497" s="675"/>
      <c r="GR497" s="74"/>
      <c r="GS497" s="74"/>
      <c r="GT497" s="568"/>
      <c r="GU497" s="89"/>
      <c r="GV497" s="89"/>
      <c r="GW497" s="568"/>
      <c r="GX497" s="568"/>
      <c r="GY497" s="89"/>
      <c r="GZ497" s="89"/>
      <c r="HA497" s="89"/>
      <c r="HB497" s="89"/>
      <c r="HC497" s="89"/>
      <c r="HD497" s="89"/>
      <c r="HE497" s="89"/>
      <c r="HF497" s="89"/>
      <c r="HG497" s="74"/>
      <c r="HH497" s="89"/>
      <c r="HI497" s="817"/>
      <c r="HJ497" s="89"/>
      <c r="HK497" s="817"/>
      <c r="HL497" s="89"/>
      <c r="HM497" s="817"/>
      <c r="HN497" s="89"/>
      <c r="HO497" s="817"/>
      <c r="HP497" s="89"/>
      <c r="HQ497" s="817"/>
      <c r="HR497" s="89"/>
      <c r="HS497" s="817"/>
      <c r="HT497" s="89"/>
      <c r="HU497" s="817"/>
      <c r="HV497" s="89"/>
      <c r="HW497" s="817"/>
      <c r="HX497" s="89"/>
      <c r="HY497" s="817"/>
      <c r="HZ497" s="89"/>
      <c r="IA497" s="817"/>
      <c r="IB497" s="89"/>
      <c r="IC497" s="817"/>
      <c r="ID497" s="89"/>
      <c r="IE497" s="817"/>
      <c r="IF497" s="841"/>
      <c r="IG497" s="263"/>
      <c r="IH497" s="842"/>
      <c r="II497" s="89"/>
      <c r="IJ497" s="89"/>
      <c r="IK497" s="89"/>
      <c r="IL497" s="89"/>
      <c r="IM497" s="89"/>
      <c r="IN497" s="89"/>
      <c r="IO497" s="89"/>
      <c r="IP497" s="89"/>
      <c r="IQ497" s="89"/>
      <c r="IR497" s="89"/>
      <c r="IS497" s="89"/>
      <c r="IT497" s="89"/>
      <c r="IU497" s="89"/>
      <c r="IV497" s="89"/>
      <c r="IW497" s="89"/>
      <c r="IX497" s="89"/>
      <c r="IY497" s="89"/>
      <c r="IZ497" s="89"/>
      <c r="JA497" s="89"/>
      <c r="JB497" s="89"/>
      <c r="JC497" s="89"/>
      <c r="JD497" s="89"/>
      <c r="JE497" s="89"/>
      <c r="JF497" s="89"/>
      <c r="JG497" s="89"/>
      <c r="JH497" s="89"/>
      <c r="JI497" s="89"/>
      <c r="JJ497" s="89"/>
      <c r="JK497" s="89"/>
      <c r="JL497" s="89"/>
      <c r="JM497" s="89"/>
      <c r="JN497" s="89"/>
      <c r="JO497" s="89"/>
      <c r="JP497" s="89"/>
      <c r="JQ497" s="89"/>
      <c r="JR497" s="89"/>
      <c r="JS497" s="74"/>
      <c r="JT497" s="382"/>
      <c r="JU497" s="665"/>
      <c r="JV497" s="524"/>
      <c r="JW497" s="525"/>
      <c r="JX497" s="549"/>
      <c r="JY497" s="549"/>
      <c r="JZ497" s="581">
        <f t="shared" si="11276"/>
        <v>0</v>
      </c>
      <c r="KA497" s="581">
        <f t="shared" si="11277"/>
        <v>0</v>
      </c>
      <c r="KB497" s="549">
        <f t="shared" si="11273"/>
        <v>0</v>
      </c>
      <c r="KC497" s="709">
        <f t="shared" si="11275"/>
        <v>0</v>
      </c>
      <c r="KD497" s="36"/>
      <c r="KE497" s="36"/>
      <c r="KF497" s="36"/>
      <c r="KG497" s="36"/>
      <c r="KH497" s="36"/>
      <c r="KI497" s="36"/>
      <c r="KJ497" s="36"/>
      <c r="KK497" s="36"/>
    </row>
    <row r="498" spans="1:297" s="8" customFormat="1">
      <c r="A498" s="80" t="s">
        <v>463</v>
      </c>
      <c r="B498" s="559" t="s">
        <v>196</v>
      </c>
      <c r="C498" s="74">
        <v>20000</v>
      </c>
      <c r="D498" s="549">
        <v>0</v>
      </c>
      <c r="E498" s="675">
        <v>0</v>
      </c>
      <c r="F498" s="549">
        <v>0</v>
      </c>
      <c r="G498" s="675">
        <v>0</v>
      </c>
      <c r="H498" s="549">
        <v>0</v>
      </c>
      <c r="I498" s="675">
        <v>0</v>
      </c>
      <c r="J498" s="549">
        <v>0</v>
      </c>
      <c r="K498" s="675">
        <v>0</v>
      </c>
      <c r="L498" s="549">
        <v>0</v>
      </c>
      <c r="M498" s="675">
        <v>0</v>
      </c>
      <c r="N498" s="549">
        <v>0</v>
      </c>
      <c r="O498" s="675">
        <v>0</v>
      </c>
      <c r="P498" s="549">
        <v>0</v>
      </c>
      <c r="Q498" s="675">
        <v>0</v>
      </c>
      <c r="R498" s="549">
        <v>0</v>
      </c>
      <c r="S498" s="675">
        <v>0</v>
      </c>
      <c r="T498" s="549">
        <v>0</v>
      </c>
      <c r="U498" s="675">
        <v>0</v>
      </c>
      <c r="V498" s="549">
        <v>0</v>
      </c>
      <c r="W498" s="675">
        <v>0</v>
      </c>
      <c r="X498" s="549">
        <v>0</v>
      </c>
      <c r="Y498" s="675">
        <v>0</v>
      </c>
      <c r="Z498" s="549">
        <v>0</v>
      </c>
      <c r="AA498" s="675">
        <v>0</v>
      </c>
      <c r="AB498" s="549">
        <v>0</v>
      </c>
      <c r="AC498" s="675">
        <v>0</v>
      </c>
      <c r="AD498" s="549">
        <v>0</v>
      </c>
      <c r="AE498" s="675">
        <v>0</v>
      </c>
      <c r="AF498" s="549">
        <v>0</v>
      </c>
      <c r="AG498" s="675">
        <v>0</v>
      </c>
      <c r="AH498" s="549">
        <v>0</v>
      </c>
      <c r="AI498" s="675">
        <v>0</v>
      </c>
      <c r="AJ498" s="549">
        <v>0</v>
      </c>
      <c r="AK498" s="675">
        <v>0</v>
      </c>
      <c r="AL498" s="549">
        <v>0</v>
      </c>
      <c r="AM498" s="675">
        <v>0</v>
      </c>
      <c r="AN498" s="549">
        <v>0</v>
      </c>
      <c r="AO498" s="675">
        <v>0</v>
      </c>
      <c r="AP498" s="549">
        <v>0</v>
      </c>
      <c r="AQ498" s="675">
        <v>0</v>
      </c>
      <c r="AR498" s="549">
        <v>0</v>
      </c>
      <c r="AS498" s="675">
        <v>0</v>
      </c>
      <c r="AT498" s="549">
        <v>0</v>
      </c>
      <c r="AU498" s="675">
        <v>0</v>
      </c>
      <c r="AV498" s="549">
        <v>0</v>
      </c>
      <c r="AW498" s="675">
        <v>0</v>
      </c>
      <c r="AX498" s="549">
        <v>0</v>
      </c>
      <c r="AY498" s="675">
        <v>0</v>
      </c>
      <c r="AZ498" s="549">
        <v>0</v>
      </c>
      <c r="BA498" s="675">
        <v>0</v>
      </c>
      <c r="BB498" s="549">
        <v>0</v>
      </c>
      <c r="BC498" s="675">
        <v>0</v>
      </c>
      <c r="BD498" s="549">
        <v>0</v>
      </c>
      <c r="BE498" s="675">
        <v>0</v>
      </c>
      <c r="BF498" s="549">
        <v>5000</v>
      </c>
      <c r="BG498" s="675">
        <v>0</v>
      </c>
      <c r="BH498" s="549">
        <v>0</v>
      </c>
      <c r="BI498" s="675">
        <v>0</v>
      </c>
      <c r="BJ498" s="549">
        <v>0</v>
      </c>
      <c r="BK498" s="675">
        <v>0</v>
      </c>
      <c r="BL498" s="549">
        <v>0</v>
      </c>
      <c r="BM498" s="675">
        <v>0</v>
      </c>
      <c r="BN498" s="549">
        <v>0</v>
      </c>
      <c r="BO498" s="675">
        <v>0</v>
      </c>
      <c r="BP498" s="549">
        <v>0</v>
      </c>
      <c r="BQ498" s="675">
        <v>0</v>
      </c>
      <c r="BR498" s="549">
        <v>0</v>
      </c>
      <c r="BS498" s="675">
        <v>0</v>
      </c>
      <c r="BT498" s="549">
        <v>0</v>
      </c>
      <c r="BU498" s="675">
        <v>0</v>
      </c>
      <c r="BV498" s="549">
        <v>0</v>
      </c>
      <c r="BW498" s="675">
        <v>0</v>
      </c>
      <c r="BX498" s="549">
        <v>0</v>
      </c>
      <c r="BY498" s="675">
        <v>0</v>
      </c>
      <c r="BZ498" s="549">
        <v>0</v>
      </c>
      <c r="CA498" s="675">
        <v>0</v>
      </c>
      <c r="CB498" s="549">
        <v>0</v>
      </c>
      <c r="CC498" s="675">
        <v>0</v>
      </c>
      <c r="CD498" s="549">
        <v>0</v>
      </c>
      <c r="CE498" s="675">
        <v>0</v>
      </c>
      <c r="CF498" s="549">
        <v>0</v>
      </c>
      <c r="CG498" s="675">
        <v>0</v>
      </c>
      <c r="CH498" s="549">
        <v>0</v>
      </c>
      <c r="CI498" s="675">
        <v>0</v>
      </c>
      <c r="CJ498" s="549">
        <v>0</v>
      </c>
      <c r="CK498" s="675">
        <v>0</v>
      </c>
      <c r="CL498" s="549">
        <v>0</v>
      </c>
      <c r="CM498" s="675">
        <v>0</v>
      </c>
      <c r="CN498" s="549">
        <v>0</v>
      </c>
      <c r="CO498" s="675">
        <v>0</v>
      </c>
      <c r="CP498" s="549">
        <v>0</v>
      </c>
      <c r="CQ498" s="675">
        <v>0</v>
      </c>
      <c r="CR498" s="549">
        <v>0</v>
      </c>
      <c r="CS498" s="675">
        <v>0</v>
      </c>
      <c r="CT498" s="549">
        <v>0</v>
      </c>
      <c r="CU498" s="675">
        <v>0</v>
      </c>
      <c r="CV498" s="549">
        <v>0</v>
      </c>
      <c r="CW498" s="675">
        <v>0</v>
      </c>
      <c r="CX498" s="549">
        <v>0</v>
      </c>
      <c r="CY498" s="675">
        <v>0</v>
      </c>
      <c r="CZ498" s="549">
        <v>0</v>
      </c>
      <c r="DA498" s="675">
        <v>0</v>
      </c>
      <c r="DB498" s="549">
        <v>0</v>
      </c>
      <c r="DC498" s="675">
        <v>0</v>
      </c>
      <c r="DD498" s="549">
        <v>0</v>
      </c>
      <c r="DE498" s="675">
        <v>0</v>
      </c>
      <c r="DF498" s="549">
        <v>0</v>
      </c>
      <c r="DG498" s="675">
        <v>0</v>
      </c>
      <c r="DH498" s="549">
        <v>0</v>
      </c>
      <c r="DI498" s="675">
        <v>0</v>
      </c>
      <c r="DJ498" s="549">
        <v>0</v>
      </c>
      <c r="DK498" s="675">
        <v>0</v>
      </c>
      <c r="DL498" s="549">
        <v>0</v>
      </c>
      <c r="DM498" s="675">
        <v>0</v>
      </c>
      <c r="DN498" s="549">
        <v>0</v>
      </c>
      <c r="DO498" s="675">
        <v>0</v>
      </c>
      <c r="DP498" s="549">
        <v>0</v>
      </c>
      <c r="DQ498" s="675">
        <v>-3000</v>
      </c>
      <c r="DR498" s="549">
        <v>0</v>
      </c>
      <c r="DS498" s="675">
        <v>0</v>
      </c>
      <c r="DT498" s="549">
        <v>0</v>
      </c>
      <c r="DU498" s="675">
        <v>0</v>
      </c>
      <c r="DV498" s="549">
        <v>0</v>
      </c>
      <c r="DW498" s="675">
        <v>0</v>
      </c>
      <c r="DX498" s="549">
        <v>0</v>
      </c>
      <c r="DY498" s="675">
        <v>0</v>
      </c>
      <c r="DZ498" s="549">
        <v>0</v>
      </c>
      <c r="EA498" s="675">
        <v>0</v>
      </c>
      <c r="EB498" s="549">
        <v>0</v>
      </c>
      <c r="EC498" s="675">
        <v>0</v>
      </c>
      <c r="ED498" s="549">
        <v>0</v>
      </c>
      <c r="EE498" s="675">
        <v>0</v>
      </c>
      <c r="EF498" s="549">
        <v>0</v>
      </c>
      <c r="EG498" s="675">
        <v>0</v>
      </c>
      <c r="EH498" s="549">
        <v>0</v>
      </c>
      <c r="EI498" s="675">
        <v>0</v>
      </c>
      <c r="EJ498" s="549">
        <v>0</v>
      </c>
      <c r="EK498" s="675">
        <v>0</v>
      </c>
      <c r="EL498" s="549">
        <v>5000</v>
      </c>
      <c r="EM498" s="675">
        <v>0</v>
      </c>
      <c r="EN498" s="549">
        <v>0</v>
      </c>
      <c r="EO498" s="675">
        <v>0</v>
      </c>
      <c r="EP498" s="549">
        <v>0</v>
      </c>
      <c r="EQ498" s="675">
        <v>0</v>
      </c>
      <c r="ER498" s="549">
        <v>0</v>
      </c>
      <c r="ES498" s="675">
        <v>0</v>
      </c>
      <c r="ET498" s="549">
        <v>0</v>
      </c>
      <c r="EU498" s="675">
        <v>0</v>
      </c>
      <c r="EV498" s="549">
        <v>0</v>
      </c>
      <c r="EW498" s="675">
        <v>0</v>
      </c>
      <c r="EX498" s="549">
        <v>0</v>
      </c>
      <c r="EY498" s="675">
        <v>0</v>
      </c>
      <c r="EZ498" s="549">
        <v>0</v>
      </c>
      <c r="FA498" s="675">
        <v>0</v>
      </c>
      <c r="FB498" s="549">
        <v>0</v>
      </c>
      <c r="FC498" s="675">
        <v>0</v>
      </c>
      <c r="FD498" s="549">
        <v>3000</v>
      </c>
      <c r="FE498" s="675">
        <v>0</v>
      </c>
      <c r="FF498" s="549">
        <v>0</v>
      </c>
      <c r="FG498" s="675">
        <v>0</v>
      </c>
      <c r="FH498" s="549">
        <v>0</v>
      </c>
      <c r="FI498" s="675">
        <v>0</v>
      </c>
      <c r="FJ498" s="549">
        <v>0</v>
      </c>
      <c r="FK498" s="675">
        <v>0</v>
      </c>
      <c r="FL498" s="549">
        <v>5000</v>
      </c>
      <c r="FM498" s="675">
        <v>0</v>
      </c>
      <c r="FN498" s="549">
        <v>0</v>
      </c>
      <c r="FO498" s="675">
        <v>0</v>
      </c>
      <c r="FP498" s="549">
        <v>0</v>
      </c>
      <c r="FQ498" s="675">
        <v>0</v>
      </c>
      <c r="FR498" s="549">
        <v>5000</v>
      </c>
      <c r="FS498" s="675">
        <v>0</v>
      </c>
      <c r="FT498" s="549">
        <v>0</v>
      </c>
      <c r="FU498" s="675">
        <v>0</v>
      </c>
      <c r="FV498" s="549">
        <v>0</v>
      </c>
      <c r="FW498" s="675">
        <v>0</v>
      </c>
      <c r="FX498" s="549">
        <v>0</v>
      </c>
      <c r="FY498" s="675">
        <v>0</v>
      </c>
      <c r="FZ498" s="549">
        <v>0</v>
      </c>
      <c r="GA498" s="675">
        <v>0</v>
      </c>
      <c r="GB498" s="549">
        <v>0</v>
      </c>
      <c r="GC498" s="675">
        <v>0</v>
      </c>
      <c r="GD498" s="549">
        <v>0</v>
      </c>
      <c r="GE498" s="675">
        <v>0</v>
      </c>
      <c r="GF498" s="549">
        <v>0</v>
      </c>
      <c r="GG498" s="675">
        <v>0</v>
      </c>
      <c r="GH498" s="549">
        <v>0</v>
      </c>
      <c r="GI498" s="675">
        <v>0</v>
      </c>
      <c r="GJ498" s="549">
        <v>0</v>
      </c>
      <c r="GK498" s="675">
        <v>0</v>
      </c>
      <c r="GL498" s="549">
        <v>0</v>
      </c>
      <c r="GM498" s="675">
        <v>0</v>
      </c>
      <c r="GN498" s="549">
        <v>0</v>
      </c>
      <c r="GO498" s="675">
        <v>0</v>
      </c>
      <c r="GP498" s="549">
        <f>+D498+F498+H498+J498+L498+N498+P498+R498+T498+V498+X498+Z498+AB498+AF498+AD498+AH498+AJ498+AL498+AN498+AP498+AR498+AT498+AV498+AX498+AZ498+BB498+BD498+BF498+BH498+BJ498+BL498+BN498+BP498+BR498+BT498+BV498+BX498+BZ498+CB498+CD498+CF498+CH498+CJ498+CL498+CN498+CP498+CR498+CT498+CV498+CX498+CZ498+DB498+DD498+DF498+DH498+DT498+EX498+DJ498+DL498+DN498+DP498+DR498+EJ498+EB498+DZ498+DX498+DV498+ED498+EF498+EH498+EL498+EN498+EP498+EV498+ET498+ER498+EZ498+FB498+FD498+GL498+FF498+FJ498+FL498+GJ498+FT498+FR498+FP498+FN498+FH498+GH498+GF498+GD498+GB498+FZ498+FX498+FV498+GN498</f>
        <v>23000</v>
      </c>
      <c r="GQ498" s="675">
        <f>+E498+G498+I498+K498+M498+O498+Q498+S498+U498+W498+Y498+AA498+AC498+AE498+AG498+AI498+AK498+AM498+AO498+AQ498+AS498+AU498+AW498+AY498+BA498+BC498+BE498+BG498+BI498+BK498+BM498+BO498+BQ498+BS498+BU498+BW498+BY498+CA498+CC498+CE498+CG498+CI498+CK498+CM498+CO498+CQ498+CS498+CU498+CW498+CY498+DA498+DC498+DE498+DG498+DI498+DU498+EY498+DK498+DM498+DO498+DQ498+DS498+EK498+EC498+EA498+DY498+DW498+EI498+EG498+EE498+EM498+EO498+EQ498+EW498+EU498+ES498+FA498+FC498+FE498+GM498+FG498+FK498+FM498+FO498+FQ498+FS498+FU498+GK498+FI498+GI498+GG498+GE498+GC498+GA498+FY498+FW498+GO498</f>
        <v>-3000</v>
      </c>
      <c r="GR498" s="74">
        <f>C498+GP498+GQ498</f>
        <v>40000</v>
      </c>
      <c r="GS498" s="74">
        <f>SUM(GU498:HD498)+GP498+GQ498</f>
        <v>40000</v>
      </c>
      <c r="GT498" s="568">
        <f>SUM(GU498:HF498)+GQ498+GP498</f>
        <v>40000</v>
      </c>
      <c r="GU498" s="275">
        <v>2858</v>
      </c>
      <c r="GV498" s="275">
        <v>2857</v>
      </c>
      <c r="GW498" s="275">
        <v>2857</v>
      </c>
      <c r="GX498" s="275">
        <v>2857</v>
      </c>
      <c r="GY498" s="275">
        <v>2857</v>
      </c>
      <c r="GZ498" s="275">
        <v>2857</v>
      </c>
      <c r="HA498" s="275">
        <v>2857</v>
      </c>
      <c r="HB498" s="275">
        <v>0</v>
      </c>
      <c r="HC498" s="275">
        <v>0</v>
      </c>
      <c r="HD498" s="275">
        <v>0</v>
      </c>
      <c r="HE498" s="275">
        <v>0</v>
      </c>
      <c r="HF498" s="275">
        <v>0</v>
      </c>
      <c r="HG498" s="74">
        <f>SUM(HH498:IE498)</f>
        <v>40000</v>
      </c>
      <c r="HH498" s="89">
        <v>2858</v>
      </c>
      <c r="HI498" s="817">
        <v>0</v>
      </c>
      <c r="HJ498" s="89">
        <v>2857</v>
      </c>
      <c r="HK498" s="817">
        <v>0</v>
      </c>
      <c r="HL498" s="89">
        <v>2857</v>
      </c>
      <c r="HM498" s="817">
        <v>0</v>
      </c>
      <c r="HN498" s="89">
        <v>2857</v>
      </c>
      <c r="HO498" s="817">
        <v>0</v>
      </c>
      <c r="HP498" s="89">
        <v>7857</v>
      </c>
      <c r="HQ498" s="817">
        <v>0</v>
      </c>
      <c r="HR498" s="89">
        <v>0</v>
      </c>
      <c r="HS498" s="817">
        <v>0</v>
      </c>
      <c r="HT498" s="89">
        <v>0</v>
      </c>
      <c r="HU498" s="817">
        <v>0</v>
      </c>
      <c r="HV498" s="89">
        <v>5070</v>
      </c>
      <c r="HW498" s="817">
        <v>0</v>
      </c>
      <c r="HX498" s="89">
        <v>1000</v>
      </c>
      <c r="HY498" s="817">
        <v>0</v>
      </c>
      <c r="HZ498" s="89">
        <f>40000-25356</f>
        <v>14644</v>
      </c>
      <c r="IA498" s="817">
        <v>0</v>
      </c>
      <c r="IB498" s="89">
        <v>0</v>
      </c>
      <c r="IC498" s="817">
        <v>0</v>
      </c>
      <c r="ID498" s="89">
        <v>0</v>
      </c>
      <c r="IE498" s="817">
        <v>0</v>
      </c>
      <c r="IF498" s="841">
        <f t="shared" ref="IF498" si="12104">SUM(II498,IL498,IO498,IR498,IU498,IX498,JA498,JD498,JG498,JJ498,JM498,JP498)</f>
        <v>26705.31</v>
      </c>
      <c r="IG498" s="263">
        <f t="shared" ref="IG498" si="12105">SUM(IJ498,IM498,IP498,IS498,IV498,IY498,JB498,JE498,JH498,JK498,JN498,JQ498)</f>
        <v>26705.31</v>
      </c>
      <c r="IH498" s="842">
        <f t="shared" ref="IH498" si="12106">SUM(IK498,IN498,IQ498,IT498,IW498,IZ498,JC498,JF498,JI498,JL498,JO498,JR498)</f>
        <v>26705.31</v>
      </c>
      <c r="II498" s="89">
        <v>466.41</v>
      </c>
      <c r="IJ498" s="89">
        <f t="shared" ref="IJ498" si="12107">II498</f>
        <v>466.41</v>
      </c>
      <c r="IK498" s="89">
        <f t="shared" ref="IK498" si="12108">IJ498</f>
        <v>466.41</v>
      </c>
      <c r="IL498" s="89">
        <f>513.61-466.41</f>
        <v>47.199999999999989</v>
      </c>
      <c r="IM498" s="89">
        <f t="shared" ref="IM498" si="12109">IL498</f>
        <v>47.199999999999989</v>
      </c>
      <c r="IN498" s="89">
        <f t="shared" ref="IN498" si="12110">IM498</f>
        <v>47.199999999999989</v>
      </c>
      <c r="IO498" s="89">
        <f>3480.83-513.61</f>
        <v>2967.22</v>
      </c>
      <c r="IP498" s="89">
        <f t="shared" ref="IP498" si="12111">IO498</f>
        <v>2967.22</v>
      </c>
      <c r="IQ498" s="89">
        <f t="shared" ref="IQ498" si="12112">IP498</f>
        <v>2967.22</v>
      </c>
      <c r="IR498" s="89">
        <f>4841.03-3480.83</f>
        <v>1360.1999999999998</v>
      </c>
      <c r="IS498" s="89">
        <f t="shared" ref="IS498" si="12113">IR498</f>
        <v>1360.1999999999998</v>
      </c>
      <c r="IT498" s="89">
        <f t="shared" ref="IT498" si="12114">IS498</f>
        <v>1360.1999999999998</v>
      </c>
      <c r="IU498" s="89">
        <f>11009.54-4841.03</f>
        <v>6168.5100000000011</v>
      </c>
      <c r="IV498" s="89">
        <f t="shared" ref="IV498" si="12115">IU498</f>
        <v>6168.5100000000011</v>
      </c>
      <c r="IW498" s="89">
        <f t="shared" ref="IW498" si="12116">IV498</f>
        <v>6168.5100000000011</v>
      </c>
      <c r="IX498" s="89">
        <f>11779.15-11009.54</f>
        <v>769.60999999999876</v>
      </c>
      <c r="IY498" s="89">
        <f t="shared" ref="IY498" si="12117">IX498</f>
        <v>769.60999999999876</v>
      </c>
      <c r="IZ498" s="89">
        <f t="shared" ref="IZ498" si="12118">IY498</f>
        <v>769.60999999999876</v>
      </c>
      <c r="JA498" s="89">
        <f>14474.79-11779.15</f>
        <v>2695.6400000000012</v>
      </c>
      <c r="JB498" s="89">
        <f t="shared" ref="JB498" si="12119">JA498</f>
        <v>2695.6400000000012</v>
      </c>
      <c r="JC498" s="89">
        <f t="shared" ref="JC498" si="12120">JB498</f>
        <v>2695.6400000000012</v>
      </c>
      <c r="JD498" s="89">
        <f>18787.98-14474.79</f>
        <v>4313.1899999999987</v>
      </c>
      <c r="JE498" s="89">
        <f t="shared" ref="JE498" si="12121">JD498</f>
        <v>4313.1899999999987</v>
      </c>
      <c r="JF498" s="89">
        <f t="shared" ref="JF498" si="12122">JE498</f>
        <v>4313.1899999999987</v>
      </c>
      <c r="JG498" s="89">
        <f>21602.2-18787.98</f>
        <v>2814.2200000000012</v>
      </c>
      <c r="JH498" s="89">
        <f t="shared" ref="JH498" si="12123">JG498</f>
        <v>2814.2200000000012</v>
      </c>
      <c r="JI498" s="89">
        <f t="shared" ref="JI498" si="12124">JH498</f>
        <v>2814.2200000000012</v>
      </c>
      <c r="JJ498" s="89">
        <f>26705.31-21602.2</f>
        <v>5103.1100000000006</v>
      </c>
      <c r="JK498" s="89">
        <f t="shared" ref="JK498" si="12125">JJ498</f>
        <v>5103.1100000000006</v>
      </c>
      <c r="JL498" s="89">
        <f t="shared" ref="JL498" si="12126">JK498</f>
        <v>5103.1100000000006</v>
      </c>
      <c r="JM498" s="89">
        <v>0</v>
      </c>
      <c r="JN498" s="89">
        <f t="shared" ref="JN498" si="12127">JM498</f>
        <v>0</v>
      </c>
      <c r="JO498" s="89">
        <f t="shared" ref="JO498" si="12128">JN498</f>
        <v>0</v>
      </c>
      <c r="JP498" s="89">
        <v>0</v>
      </c>
      <c r="JQ498" s="89">
        <f t="shared" ref="JQ498:JR498" si="12129">JP498</f>
        <v>0</v>
      </c>
      <c r="JR498" s="89">
        <f t="shared" si="12129"/>
        <v>0</v>
      </c>
      <c r="JS498" s="74">
        <f>HG498-IF498</f>
        <v>13294.689999999999</v>
      </c>
      <c r="JT498" s="382">
        <f>GS498-IF498</f>
        <v>13294.689999999999</v>
      </c>
      <c r="JU498" s="665"/>
      <c r="JV498" s="524"/>
      <c r="JW498" s="525"/>
      <c r="JX498" s="549">
        <f>SUM(HH498,HJ498,HL498,HN498,HP498,HR498,HT498,HV498,HX498,HZ498,IB498,ID498)</f>
        <v>40000</v>
      </c>
      <c r="JY498" s="549">
        <f>SUM(HI498,HK498,HM498,HO498,HQ498,HS498,HU498,HW498,HY498,IA498,IC498,IE498)</f>
        <v>0</v>
      </c>
      <c r="JZ498" s="581">
        <f t="shared" si="11276"/>
        <v>23000</v>
      </c>
      <c r="KA498" s="581">
        <f t="shared" si="11277"/>
        <v>-3000</v>
      </c>
      <c r="KB498" s="549">
        <f t="shared" si="11273"/>
        <v>40000</v>
      </c>
      <c r="KC498" s="709">
        <f t="shared" si="11275"/>
        <v>0</v>
      </c>
      <c r="KD498" s="36"/>
      <c r="KE498" s="36"/>
      <c r="KF498" s="36"/>
      <c r="KG498" s="36"/>
      <c r="KH498" s="36"/>
      <c r="KI498" s="36"/>
      <c r="KJ498" s="36"/>
      <c r="KK498" s="36"/>
    </row>
    <row r="499" spans="1:297" s="8" customFormat="1">
      <c r="A499" s="80"/>
      <c r="B499" s="72"/>
      <c r="C499" s="74"/>
      <c r="D499" s="549"/>
      <c r="E499" s="675"/>
      <c r="F499" s="549"/>
      <c r="G499" s="675"/>
      <c r="H499" s="549"/>
      <c r="I499" s="675"/>
      <c r="J499" s="549"/>
      <c r="K499" s="675"/>
      <c r="L499" s="549"/>
      <c r="M499" s="675"/>
      <c r="N499" s="549"/>
      <c r="O499" s="675"/>
      <c r="P499" s="549"/>
      <c r="Q499" s="675"/>
      <c r="R499" s="549"/>
      <c r="S499" s="675"/>
      <c r="T499" s="549"/>
      <c r="U499" s="675"/>
      <c r="V499" s="549"/>
      <c r="W499" s="675"/>
      <c r="X499" s="549"/>
      <c r="Y499" s="675"/>
      <c r="Z499" s="549"/>
      <c r="AA499" s="675"/>
      <c r="AB499" s="549"/>
      <c r="AC499" s="675"/>
      <c r="AD499" s="549"/>
      <c r="AE499" s="675"/>
      <c r="AF499" s="549"/>
      <c r="AG499" s="675"/>
      <c r="AH499" s="549"/>
      <c r="AI499" s="675"/>
      <c r="AJ499" s="549"/>
      <c r="AK499" s="675"/>
      <c r="AL499" s="549"/>
      <c r="AM499" s="675"/>
      <c r="AN499" s="549"/>
      <c r="AO499" s="675"/>
      <c r="AP499" s="549"/>
      <c r="AQ499" s="675"/>
      <c r="AR499" s="549"/>
      <c r="AS499" s="675"/>
      <c r="AT499" s="549"/>
      <c r="AU499" s="675"/>
      <c r="AV499" s="549"/>
      <c r="AW499" s="675"/>
      <c r="AX499" s="549"/>
      <c r="AY499" s="675"/>
      <c r="AZ499" s="549"/>
      <c r="BA499" s="675"/>
      <c r="BB499" s="549"/>
      <c r="BC499" s="675"/>
      <c r="BD499" s="549"/>
      <c r="BE499" s="675"/>
      <c r="BF499" s="549"/>
      <c r="BG499" s="675"/>
      <c r="BH499" s="549"/>
      <c r="BI499" s="675"/>
      <c r="BJ499" s="549"/>
      <c r="BK499" s="675"/>
      <c r="BL499" s="549"/>
      <c r="BM499" s="675"/>
      <c r="BN499" s="549"/>
      <c r="BO499" s="675"/>
      <c r="BP499" s="549"/>
      <c r="BQ499" s="675"/>
      <c r="BR499" s="549"/>
      <c r="BS499" s="675"/>
      <c r="BT499" s="549"/>
      <c r="BU499" s="675"/>
      <c r="BV499" s="549"/>
      <c r="BW499" s="675"/>
      <c r="BX499" s="549"/>
      <c r="BY499" s="675"/>
      <c r="BZ499" s="549"/>
      <c r="CA499" s="675"/>
      <c r="CB499" s="549"/>
      <c r="CC499" s="675"/>
      <c r="CD499" s="549"/>
      <c r="CE499" s="675"/>
      <c r="CF499" s="549"/>
      <c r="CG499" s="675"/>
      <c r="CH499" s="549"/>
      <c r="CI499" s="675"/>
      <c r="CJ499" s="549"/>
      <c r="CK499" s="675"/>
      <c r="CL499" s="549"/>
      <c r="CM499" s="675"/>
      <c r="CN499" s="549"/>
      <c r="CO499" s="675"/>
      <c r="CP499" s="549"/>
      <c r="CQ499" s="675"/>
      <c r="CR499" s="549"/>
      <c r="CS499" s="675"/>
      <c r="CT499" s="549"/>
      <c r="CU499" s="675"/>
      <c r="CV499" s="549"/>
      <c r="CW499" s="675"/>
      <c r="CX499" s="549"/>
      <c r="CY499" s="675"/>
      <c r="CZ499" s="549"/>
      <c r="DA499" s="675"/>
      <c r="DB499" s="549"/>
      <c r="DC499" s="675"/>
      <c r="DD499" s="549"/>
      <c r="DE499" s="675"/>
      <c r="DF499" s="549"/>
      <c r="DG499" s="675"/>
      <c r="DH499" s="549"/>
      <c r="DI499" s="675"/>
      <c r="DJ499" s="549"/>
      <c r="DK499" s="675"/>
      <c r="DL499" s="549"/>
      <c r="DM499" s="675"/>
      <c r="DN499" s="549"/>
      <c r="DO499" s="675"/>
      <c r="DP499" s="549"/>
      <c r="DQ499" s="675"/>
      <c r="DR499" s="549"/>
      <c r="DS499" s="675"/>
      <c r="DT499" s="549"/>
      <c r="DU499" s="675"/>
      <c r="DV499" s="549"/>
      <c r="DW499" s="675"/>
      <c r="DX499" s="549"/>
      <c r="DY499" s="675"/>
      <c r="DZ499" s="549"/>
      <c r="EA499" s="675"/>
      <c r="EB499" s="549"/>
      <c r="EC499" s="675"/>
      <c r="ED499" s="549"/>
      <c r="EE499" s="675"/>
      <c r="EF499" s="549"/>
      <c r="EG499" s="675"/>
      <c r="EH499" s="549"/>
      <c r="EI499" s="675"/>
      <c r="EJ499" s="549"/>
      <c r="EK499" s="675"/>
      <c r="EL499" s="549"/>
      <c r="EM499" s="675"/>
      <c r="EN499" s="549"/>
      <c r="EO499" s="675"/>
      <c r="EP499" s="549"/>
      <c r="EQ499" s="675"/>
      <c r="ER499" s="549"/>
      <c r="ES499" s="675"/>
      <c r="ET499" s="549"/>
      <c r="EU499" s="675"/>
      <c r="EV499" s="549"/>
      <c r="EW499" s="675"/>
      <c r="EX499" s="549"/>
      <c r="EY499" s="675"/>
      <c r="EZ499" s="549"/>
      <c r="FA499" s="675"/>
      <c r="FB499" s="549"/>
      <c r="FC499" s="675"/>
      <c r="FD499" s="549"/>
      <c r="FE499" s="675"/>
      <c r="FF499" s="549"/>
      <c r="FG499" s="675"/>
      <c r="FH499" s="549"/>
      <c r="FI499" s="675"/>
      <c r="FJ499" s="549"/>
      <c r="FK499" s="675"/>
      <c r="FL499" s="549"/>
      <c r="FM499" s="675"/>
      <c r="FN499" s="549"/>
      <c r="FO499" s="675"/>
      <c r="FP499" s="549"/>
      <c r="FQ499" s="675"/>
      <c r="FR499" s="549"/>
      <c r="FS499" s="675"/>
      <c r="FT499" s="549"/>
      <c r="FU499" s="675"/>
      <c r="FV499" s="549"/>
      <c r="FW499" s="675"/>
      <c r="FX499" s="549"/>
      <c r="FY499" s="675"/>
      <c r="FZ499" s="549"/>
      <c r="GA499" s="675"/>
      <c r="GB499" s="549"/>
      <c r="GC499" s="675"/>
      <c r="GD499" s="549"/>
      <c r="GE499" s="675"/>
      <c r="GF499" s="549"/>
      <c r="GG499" s="675"/>
      <c r="GH499" s="549"/>
      <c r="GI499" s="675"/>
      <c r="GJ499" s="549"/>
      <c r="GK499" s="675"/>
      <c r="GL499" s="549"/>
      <c r="GM499" s="675"/>
      <c r="GN499" s="549"/>
      <c r="GO499" s="675"/>
      <c r="GP499" s="549"/>
      <c r="GQ499" s="675"/>
      <c r="GR499" s="74"/>
      <c r="GS499" s="74"/>
      <c r="GT499" s="568"/>
      <c r="GU499" s="275"/>
      <c r="GV499" s="275"/>
      <c r="GW499" s="587"/>
      <c r="GX499" s="587"/>
      <c r="GY499" s="275"/>
      <c r="GZ499" s="275"/>
      <c r="HA499" s="275"/>
      <c r="HB499" s="275"/>
      <c r="HC499" s="275"/>
      <c r="HD499" s="275"/>
      <c r="HE499" s="275"/>
      <c r="HF499" s="275"/>
      <c r="HG499" s="74"/>
      <c r="HH499" s="89"/>
      <c r="HI499" s="817"/>
      <c r="HJ499" s="89"/>
      <c r="HK499" s="817"/>
      <c r="HL499" s="89"/>
      <c r="HM499" s="817"/>
      <c r="HN499" s="89"/>
      <c r="HO499" s="817"/>
      <c r="HP499" s="89"/>
      <c r="HQ499" s="817"/>
      <c r="HR499" s="89"/>
      <c r="HS499" s="817"/>
      <c r="HT499" s="89"/>
      <c r="HU499" s="817"/>
      <c r="HV499" s="89"/>
      <c r="HW499" s="817"/>
      <c r="HX499" s="89"/>
      <c r="HY499" s="817"/>
      <c r="HZ499" s="89"/>
      <c r="IA499" s="817"/>
      <c r="IB499" s="89"/>
      <c r="IC499" s="817"/>
      <c r="ID499" s="89"/>
      <c r="IE499" s="817"/>
      <c r="IF499" s="841"/>
      <c r="IG499" s="263"/>
      <c r="IH499" s="842"/>
      <c r="II499" s="89"/>
      <c r="IJ499" s="89"/>
      <c r="IK499" s="89"/>
      <c r="IL499" s="89"/>
      <c r="IM499" s="89"/>
      <c r="IN499" s="89"/>
      <c r="IO499" s="89"/>
      <c r="IP499" s="89"/>
      <c r="IQ499" s="89"/>
      <c r="IR499" s="89"/>
      <c r="IS499" s="89"/>
      <c r="IT499" s="89"/>
      <c r="IU499" s="89"/>
      <c r="IV499" s="89"/>
      <c r="IW499" s="89"/>
      <c r="IX499" s="89"/>
      <c r="IY499" s="89"/>
      <c r="IZ499" s="89"/>
      <c r="JA499" s="89"/>
      <c r="JB499" s="89"/>
      <c r="JC499" s="89"/>
      <c r="JD499" s="89"/>
      <c r="JE499" s="89"/>
      <c r="JF499" s="89"/>
      <c r="JG499" s="89"/>
      <c r="JH499" s="89"/>
      <c r="JI499" s="89"/>
      <c r="JJ499" s="89"/>
      <c r="JK499" s="89"/>
      <c r="JL499" s="89"/>
      <c r="JM499" s="89"/>
      <c r="JN499" s="89"/>
      <c r="JO499" s="89"/>
      <c r="JP499" s="89"/>
      <c r="JQ499" s="89"/>
      <c r="JR499" s="89"/>
      <c r="JS499" s="74"/>
      <c r="JT499" s="382"/>
      <c r="JU499" s="665"/>
      <c r="JV499" s="524"/>
      <c r="JW499" s="525"/>
      <c r="JX499" s="549"/>
      <c r="JY499" s="549"/>
      <c r="JZ499" s="581">
        <f t="shared" si="11276"/>
        <v>0</v>
      </c>
      <c r="KA499" s="581">
        <f t="shared" si="11277"/>
        <v>0</v>
      </c>
      <c r="KB499" s="549">
        <f t="shared" si="11273"/>
        <v>0</v>
      </c>
      <c r="KC499" s="709">
        <f t="shared" si="11275"/>
        <v>0</v>
      </c>
      <c r="KD499" s="36"/>
      <c r="KE499" s="36"/>
      <c r="KF499" s="36"/>
      <c r="KG499" s="36"/>
      <c r="KH499" s="36"/>
      <c r="KI499" s="36"/>
      <c r="KJ499" s="36"/>
      <c r="KK499" s="36"/>
    </row>
    <row r="500" spans="1:297" s="8" customFormat="1" ht="12.75" hidden="1" customHeight="1">
      <c r="A500" s="80" t="s">
        <v>795</v>
      </c>
      <c r="B500" s="72"/>
      <c r="C500" s="74">
        <f t="shared" ref="C500" si="12130">SUM(C501:C503)</f>
        <v>0</v>
      </c>
      <c r="D500" s="549">
        <f t="shared" ref="D500:E500" si="12131">SUM(D501:D503)</f>
        <v>0</v>
      </c>
      <c r="E500" s="675">
        <f t="shared" si="12131"/>
        <v>0</v>
      </c>
      <c r="F500" s="549">
        <f t="shared" ref="F500:G500" si="12132">SUM(F501:F503)</f>
        <v>0</v>
      </c>
      <c r="G500" s="675">
        <f t="shared" si="12132"/>
        <v>0</v>
      </c>
      <c r="H500" s="549">
        <f t="shared" ref="H500:I500" si="12133">SUM(H501:H503)</f>
        <v>0</v>
      </c>
      <c r="I500" s="675">
        <f t="shared" si="12133"/>
        <v>0</v>
      </c>
      <c r="J500" s="549">
        <f t="shared" ref="J500:K500" si="12134">SUM(J501:J503)</f>
        <v>0</v>
      </c>
      <c r="K500" s="675">
        <f t="shared" si="12134"/>
        <v>0</v>
      </c>
      <c r="L500" s="549">
        <f t="shared" ref="L500:M500" si="12135">SUM(L501:L503)</f>
        <v>0</v>
      </c>
      <c r="M500" s="675">
        <f t="shared" si="12135"/>
        <v>0</v>
      </c>
      <c r="N500" s="549">
        <f t="shared" ref="N500:O500" si="12136">SUM(N501:N503)</f>
        <v>0</v>
      </c>
      <c r="O500" s="675">
        <f t="shared" si="12136"/>
        <v>0</v>
      </c>
      <c r="P500" s="549">
        <f t="shared" ref="P500:Q500" si="12137">SUM(P501:P503)</f>
        <v>0</v>
      </c>
      <c r="Q500" s="675">
        <f t="shared" si="12137"/>
        <v>0</v>
      </c>
      <c r="R500" s="549">
        <f t="shared" ref="R500:S500" si="12138">SUM(R501:R503)</f>
        <v>0</v>
      </c>
      <c r="S500" s="675">
        <f t="shared" si="12138"/>
        <v>0</v>
      </c>
      <c r="T500" s="549">
        <f t="shared" ref="T500:AM500" si="12139">SUM(T501:T503)</f>
        <v>0</v>
      </c>
      <c r="U500" s="675">
        <f t="shared" si="12139"/>
        <v>0</v>
      </c>
      <c r="V500" s="549">
        <f t="shared" si="12139"/>
        <v>0</v>
      </c>
      <c r="W500" s="675">
        <f t="shared" si="12139"/>
        <v>0</v>
      </c>
      <c r="X500" s="549">
        <f t="shared" si="12139"/>
        <v>0</v>
      </c>
      <c r="Y500" s="675">
        <f t="shared" si="12139"/>
        <v>0</v>
      </c>
      <c r="Z500" s="549">
        <f t="shared" si="12139"/>
        <v>0</v>
      </c>
      <c r="AA500" s="675">
        <f t="shared" si="12139"/>
        <v>0</v>
      </c>
      <c r="AB500" s="549">
        <f t="shared" si="12139"/>
        <v>0</v>
      </c>
      <c r="AC500" s="675">
        <f t="shared" si="12139"/>
        <v>0</v>
      </c>
      <c r="AD500" s="549">
        <f t="shared" ref="AD500:AK500" si="12140">SUM(AD501:AD503)</f>
        <v>0</v>
      </c>
      <c r="AE500" s="675">
        <f t="shared" si="12140"/>
        <v>0</v>
      </c>
      <c r="AF500" s="549">
        <f t="shared" si="12140"/>
        <v>0</v>
      </c>
      <c r="AG500" s="675">
        <f t="shared" si="12140"/>
        <v>0</v>
      </c>
      <c r="AH500" s="549">
        <f t="shared" si="12140"/>
        <v>0</v>
      </c>
      <c r="AI500" s="675">
        <f t="shared" si="12140"/>
        <v>0</v>
      </c>
      <c r="AJ500" s="549">
        <f t="shared" si="12140"/>
        <v>0</v>
      </c>
      <c r="AK500" s="675">
        <f t="shared" si="12140"/>
        <v>0</v>
      </c>
      <c r="AL500" s="549">
        <f t="shared" si="12139"/>
        <v>0</v>
      </c>
      <c r="AM500" s="675">
        <f t="shared" si="12139"/>
        <v>0</v>
      </c>
      <c r="AN500" s="549">
        <f t="shared" ref="AN500:AS500" si="12141">SUM(AN501:AN503)</f>
        <v>0</v>
      </c>
      <c r="AO500" s="675">
        <f t="shared" si="12141"/>
        <v>0</v>
      </c>
      <c r="AP500" s="549">
        <f t="shared" si="12141"/>
        <v>0</v>
      </c>
      <c r="AQ500" s="675">
        <f t="shared" si="12141"/>
        <v>0</v>
      </c>
      <c r="AR500" s="549">
        <f t="shared" si="12141"/>
        <v>0</v>
      </c>
      <c r="AS500" s="675">
        <f t="shared" si="12141"/>
        <v>0</v>
      </c>
      <c r="AT500" s="549">
        <f t="shared" ref="AT500:AU500" si="12142">SUM(AT501:AT503)</f>
        <v>0</v>
      </c>
      <c r="AU500" s="675">
        <f t="shared" si="12142"/>
        <v>0</v>
      </c>
      <c r="AV500" s="549">
        <f t="shared" ref="AV500:AW500" si="12143">SUM(AV501:AV503)</f>
        <v>0</v>
      </c>
      <c r="AW500" s="675">
        <f t="shared" si="12143"/>
        <v>0</v>
      </c>
      <c r="AX500" s="549">
        <f t="shared" ref="AX500:AY500" si="12144">SUM(AX501:AX503)</f>
        <v>0</v>
      </c>
      <c r="AY500" s="675">
        <f t="shared" si="12144"/>
        <v>0</v>
      </c>
      <c r="AZ500" s="549">
        <f t="shared" ref="AZ500:BA500" si="12145">SUM(AZ501:AZ503)</f>
        <v>0</v>
      </c>
      <c r="BA500" s="675">
        <f t="shared" si="12145"/>
        <v>0</v>
      </c>
      <c r="BB500" s="549">
        <f t="shared" ref="BB500:BC500" si="12146">SUM(BB501:BB503)</f>
        <v>0</v>
      </c>
      <c r="BC500" s="675">
        <f t="shared" si="12146"/>
        <v>0</v>
      </c>
      <c r="BD500" s="549">
        <f t="shared" ref="BD500:BE500" si="12147">SUM(BD501:BD503)</f>
        <v>0</v>
      </c>
      <c r="BE500" s="675">
        <f t="shared" si="12147"/>
        <v>0</v>
      </c>
      <c r="BF500" s="549">
        <f t="shared" ref="BF500:BG500" si="12148">SUM(BF501:BF503)</f>
        <v>0</v>
      </c>
      <c r="BG500" s="675">
        <f t="shared" si="12148"/>
        <v>0</v>
      </c>
      <c r="BH500" s="549">
        <f t="shared" ref="BH500:BI500" si="12149">SUM(BH501:BH503)</f>
        <v>0</v>
      </c>
      <c r="BI500" s="675">
        <f t="shared" si="12149"/>
        <v>0</v>
      </c>
      <c r="BJ500" s="549">
        <f t="shared" ref="BJ500:BK500" si="12150">SUM(BJ501:BJ503)</f>
        <v>0</v>
      </c>
      <c r="BK500" s="675">
        <f t="shared" si="12150"/>
        <v>0</v>
      </c>
      <c r="BL500" s="549">
        <f t="shared" ref="BL500:BS500" si="12151">SUM(BL501:BL503)</f>
        <v>0</v>
      </c>
      <c r="BM500" s="675">
        <f t="shared" si="12151"/>
        <v>0</v>
      </c>
      <c r="BN500" s="549">
        <f t="shared" si="12151"/>
        <v>0</v>
      </c>
      <c r="BO500" s="675">
        <f t="shared" si="12151"/>
        <v>0</v>
      </c>
      <c r="BP500" s="549">
        <f t="shared" si="12151"/>
        <v>0</v>
      </c>
      <c r="BQ500" s="675">
        <f t="shared" si="12151"/>
        <v>0</v>
      </c>
      <c r="BR500" s="549">
        <f t="shared" si="12151"/>
        <v>0</v>
      </c>
      <c r="BS500" s="675">
        <f t="shared" si="12151"/>
        <v>0</v>
      </c>
      <c r="BT500" s="549">
        <f t="shared" ref="BT500:BU500" si="12152">SUM(BT501:BT503)</f>
        <v>0</v>
      </c>
      <c r="BU500" s="675">
        <f t="shared" si="12152"/>
        <v>0</v>
      </c>
      <c r="BV500" s="549">
        <f t="shared" ref="BV500:BW500" si="12153">SUM(BV501:BV503)</f>
        <v>0</v>
      </c>
      <c r="BW500" s="675">
        <f t="shared" si="12153"/>
        <v>0</v>
      </c>
      <c r="BX500" s="549">
        <f t="shared" ref="BX500:BY500" si="12154">SUM(BX501:BX503)</f>
        <v>0</v>
      </c>
      <c r="BY500" s="675">
        <f t="shared" si="12154"/>
        <v>0</v>
      </c>
      <c r="BZ500" s="549">
        <f t="shared" ref="BZ500:CA500" si="12155">SUM(BZ501:BZ503)</f>
        <v>0</v>
      </c>
      <c r="CA500" s="675">
        <f t="shared" si="12155"/>
        <v>0</v>
      </c>
      <c r="CB500" s="549">
        <f t="shared" ref="CB500:CE500" si="12156">SUM(CB501:CB503)</f>
        <v>0</v>
      </c>
      <c r="CC500" s="675">
        <f t="shared" si="12156"/>
        <v>0</v>
      </c>
      <c r="CD500" s="549">
        <f t="shared" si="12156"/>
        <v>0</v>
      </c>
      <c r="CE500" s="675">
        <f t="shared" si="12156"/>
        <v>0</v>
      </c>
      <c r="CF500" s="549">
        <f t="shared" ref="CF500:CQ500" si="12157">SUM(CF501:CF503)</f>
        <v>0</v>
      </c>
      <c r="CG500" s="675">
        <f t="shared" si="12157"/>
        <v>0</v>
      </c>
      <c r="CH500" s="549">
        <f t="shared" si="12157"/>
        <v>0</v>
      </c>
      <c r="CI500" s="675">
        <f t="shared" si="12157"/>
        <v>0</v>
      </c>
      <c r="CJ500" s="549">
        <f t="shared" si="12157"/>
        <v>0</v>
      </c>
      <c r="CK500" s="675">
        <f t="shared" si="12157"/>
        <v>0</v>
      </c>
      <c r="CL500" s="549">
        <f t="shared" si="12157"/>
        <v>0</v>
      </c>
      <c r="CM500" s="675">
        <f t="shared" si="12157"/>
        <v>0</v>
      </c>
      <c r="CN500" s="549">
        <f t="shared" si="12157"/>
        <v>0</v>
      </c>
      <c r="CO500" s="675">
        <f t="shared" si="12157"/>
        <v>0</v>
      </c>
      <c r="CP500" s="549">
        <f t="shared" si="12157"/>
        <v>0</v>
      </c>
      <c r="CQ500" s="675">
        <f t="shared" si="12157"/>
        <v>0</v>
      </c>
      <c r="CR500" s="549">
        <f t="shared" ref="CR500:CY500" si="12158">SUM(CR501:CR503)</f>
        <v>0</v>
      </c>
      <c r="CS500" s="675">
        <f t="shared" si="12158"/>
        <v>0</v>
      </c>
      <c r="CT500" s="549">
        <f t="shared" si="12158"/>
        <v>0</v>
      </c>
      <c r="CU500" s="675">
        <f t="shared" si="12158"/>
        <v>0</v>
      </c>
      <c r="CV500" s="549">
        <f t="shared" si="12158"/>
        <v>0</v>
      </c>
      <c r="CW500" s="675">
        <f t="shared" si="12158"/>
        <v>0</v>
      </c>
      <c r="CX500" s="549">
        <f t="shared" si="12158"/>
        <v>0</v>
      </c>
      <c r="CY500" s="675">
        <f t="shared" si="12158"/>
        <v>0</v>
      </c>
      <c r="CZ500" s="549">
        <f t="shared" ref="CZ500:DG500" si="12159">SUM(CZ501:CZ503)</f>
        <v>0</v>
      </c>
      <c r="DA500" s="675">
        <f t="shared" si="12159"/>
        <v>0</v>
      </c>
      <c r="DB500" s="549">
        <f t="shared" si="12159"/>
        <v>0</v>
      </c>
      <c r="DC500" s="675">
        <f t="shared" si="12159"/>
        <v>0</v>
      </c>
      <c r="DD500" s="549">
        <f t="shared" si="12159"/>
        <v>0</v>
      </c>
      <c r="DE500" s="675">
        <f t="shared" si="12159"/>
        <v>0</v>
      </c>
      <c r="DF500" s="549">
        <f t="shared" si="12159"/>
        <v>0</v>
      </c>
      <c r="DG500" s="675">
        <f t="shared" si="12159"/>
        <v>0</v>
      </c>
      <c r="DH500" s="549">
        <f t="shared" ref="DH500:HG500" si="12160">SUM(DH501:DH503)</f>
        <v>0</v>
      </c>
      <c r="DI500" s="675">
        <f t="shared" si="12160"/>
        <v>0</v>
      </c>
      <c r="DJ500" s="549">
        <f t="shared" si="12160"/>
        <v>0</v>
      </c>
      <c r="DK500" s="675">
        <f t="shared" si="12160"/>
        <v>0</v>
      </c>
      <c r="DL500" s="549">
        <f t="shared" si="12160"/>
        <v>0</v>
      </c>
      <c r="DM500" s="675">
        <f t="shared" si="12160"/>
        <v>0</v>
      </c>
      <c r="DN500" s="549">
        <f t="shared" si="12160"/>
        <v>0</v>
      </c>
      <c r="DO500" s="675">
        <f t="shared" si="12160"/>
        <v>0</v>
      </c>
      <c r="DP500" s="549">
        <f t="shared" si="12160"/>
        <v>0</v>
      </c>
      <c r="DQ500" s="675">
        <f t="shared" si="12160"/>
        <v>0</v>
      </c>
      <c r="DR500" s="549">
        <f t="shared" si="12160"/>
        <v>0</v>
      </c>
      <c r="DS500" s="675">
        <f t="shared" si="12160"/>
        <v>0</v>
      </c>
      <c r="DT500" s="549">
        <f t="shared" si="12160"/>
        <v>0</v>
      </c>
      <c r="DU500" s="675">
        <f t="shared" si="12160"/>
        <v>0</v>
      </c>
      <c r="DV500" s="549">
        <f t="shared" si="12160"/>
        <v>0</v>
      </c>
      <c r="DW500" s="675">
        <f t="shared" si="12160"/>
        <v>0</v>
      </c>
      <c r="DX500" s="549">
        <f t="shared" si="12160"/>
        <v>0</v>
      </c>
      <c r="DY500" s="675">
        <f t="shared" si="12160"/>
        <v>0</v>
      </c>
      <c r="DZ500" s="549">
        <f t="shared" ref="DZ500:FA500" si="12161">SUM(DZ501:DZ503)</f>
        <v>0</v>
      </c>
      <c r="EA500" s="675">
        <f t="shared" si="12161"/>
        <v>0</v>
      </c>
      <c r="EB500" s="549">
        <f t="shared" si="12161"/>
        <v>0</v>
      </c>
      <c r="EC500" s="675">
        <f t="shared" si="12161"/>
        <v>0</v>
      </c>
      <c r="ED500" s="549">
        <f t="shared" si="12161"/>
        <v>0</v>
      </c>
      <c r="EE500" s="675">
        <f t="shared" si="12161"/>
        <v>0</v>
      </c>
      <c r="EF500" s="549">
        <f t="shared" si="12161"/>
        <v>0</v>
      </c>
      <c r="EG500" s="675">
        <f t="shared" si="12161"/>
        <v>0</v>
      </c>
      <c r="EH500" s="549">
        <f t="shared" ref="EH500:EM500" si="12162">SUM(EH501:EH503)</f>
        <v>0</v>
      </c>
      <c r="EI500" s="675">
        <f t="shared" si="12162"/>
        <v>0</v>
      </c>
      <c r="EJ500" s="549">
        <f t="shared" si="12162"/>
        <v>0</v>
      </c>
      <c r="EK500" s="675">
        <f t="shared" si="12162"/>
        <v>0</v>
      </c>
      <c r="EL500" s="549">
        <f t="shared" si="12162"/>
        <v>0</v>
      </c>
      <c r="EM500" s="675">
        <f t="shared" si="12162"/>
        <v>0</v>
      </c>
      <c r="EN500" s="549">
        <f t="shared" si="12161"/>
        <v>0</v>
      </c>
      <c r="EO500" s="675">
        <f t="shared" si="12161"/>
        <v>0</v>
      </c>
      <c r="EP500" s="549">
        <f t="shared" si="12161"/>
        <v>0</v>
      </c>
      <c r="EQ500" s="675">
        <f t="shared" si="12161"/>
        <v>0</v>
      </c>
      <c r="ER500" s="549">
        <f t="shared" si="12161"/>
        <v>0</v>
      </c>
      <c r="ES500" s="675">
        <f t="shared" si="12161"/>
        <v>0</v>
      </c>
      <c r="ET500" s="549">
        <f t="shared" si="12161"/>
        <v>0</v>
      </c>
      <c r="EU500" s="675">
        <f t="shared" si="12161"/>
        <v>0</v>
      </c>
      <c r="EV500" s="549">
        <f t="shared" ref="EV500:EW500" si="12163">SUM(EV501:EV503)</f>
        <v>0</v>
      </c>
      <c r="EW500" s="675">
        <f t="shared" si="12163"/>
        <v>0</v>
      </c>
      <c r="EX500" s="549">
        <f t="shared" si="12161"/>
        <v>0</v>
      </c>
      <c r="EY500" s="675">
        <f t="shared" si="12161"/>
        <v>0</v>
      </c>
      <c r="EZ500" s="549">
        <f t="shared" si="12161"/>
        <v>0</v>
      </c>
      <c r="FA500" s="675">
        <f t="shared" si="12161"/>
        <v>0</v>
      </c>
      <c r="FB500" s="549">
        <f t="shared" si="12160"/>
        <v>0</v>
      </c>
      <c r="FC500" s="675">
        <f t="shared" si="12160"/>
        <v>0</v>
      </c>
      <c r="FD500" s="549">
        <f t="shared" si="12160"/>
        <v>0</v>
      </c>
      <c r="FE500" s="675">
        <f t="shared" si="12160"/>
        <v>0</v>
      </c>
      <c r="FF500" s="549">
        <f t="shared" ref="FF500:FG500" si="12164">SUM(FF501:FF503)</f>
        <v>0</v>
      </c>
      <c r="FG500" s="675">
        <f t="shared" si="12164"/>
        <v>0</v>
      </c>
      <c r="FH500" s="549">
        <f t="shared" ref="FH500:FI500" si="12165">SUM(FH501:FH503)</f>
        <v>0</v>
      </c>
      <c r="FI500" s="675">
        <f t="shared" si="12165"/>
        <v>0</v>
      </c>
      <c r="FJ500" s="549">
        <f t="shared" ref="FJ500:FK500" si="12166">SUM(FJ501:FJ503)</f>
        <v>0</v>
      </c>
      <c r="FK500" s="675">
        <f t="shared" si="12166"/>
        <v>0</v>
      </c>
      <c r="FL500" s="549">
        <f t="shared" ref="FL500:FM500" si="12167">SUM(FL501:FL503)</f>
        <v>0</v>
      </c>
      <c r="FM500" s="675">
        <f t="shared" si="12167"/>
        <v>0</v>
      </c>
      <c r="FN500" s="549">
        <f t="shared" ref="FN500:FO500" si="12168">SUM(FN501:FN503)</f>
        <v>0</v>
      </c>
      <c r="FO500" s="675">
        <f t="shared" si="12168"/>
        <v>0</v>
      </c>
      <c r="FP500" s="549">
        <f t="shared" ref="FP500:FQ500" si="12169">SUM(FP501:FP503)</f>
        <v>0</v>
      </c>
      <c r="FQ500" s="675">
        <f t="shared" si="12169"/>
        <v>0</v>
      </c>
      <c r="FR500" s="549">
        <f t="shared" ref="FR500:FS500" si="12170">SUM(FR501:FR503)</f>
        <v>0</v>
      </c>
      <c r="FS500" s="675">
        <f t="shared" si="12170"/>
        <v>0</v>
      </c>
      <c r="FT500" s="549">
        <f t="shared" ref="FT500:FU500" si="12171">SUM(FT501:FT503)</f>
        <v>0</v>
      </c>
      <c r="FU500" s="675">
        <f t="shared" si="12171"/>
        <v>0</v>
      </c>
      <c r="FV500" s="549">
        <f t="shared" ref="FV500:GK500" si="12172">SUM(FV501:FV503)</f>
        <v>0</v>
      </c>
      <c r="FW500" s="675">
        <f t="shared" si="12172"/>
        <v>0</v>
      </c>
      <c r="FX500" s="549">
        <f t="shared" si="12172"/>
        <v>0</v>
      </c>
      <c r="FY500" s="675">
        <f t="shared" si="12172"/>
        <v>0</v>
      </c>
      <c r="FZ500" s="549">
        <f t="shared" ref="FZ500:GI500" si="12173">SUM(FZ501:FZ503)</f>
        <v>0</v>
      </c>
      <c r="GA500" s="675">
        <f t="shared" si="12173"/>
        <v>0</v>
      </c>
      <c r="GB500" s="549">
        <f t="shared" si="12173"/>
        <v>0</v>
      </c>
      <c r="GC500" s="675">
        <f t="shared" si="12173"/>
        <v>0</v>
      </c>
      <c r="GD500" s="549">
        <f t="shared" si="12173"/>
        <v>0</v>
      </c>
      <c r="GE500" s="675">
        <f t="shared" si="12173"/>
        <v>0</v>
      </c>
      <c r="GF500" s="549">
        <f t="shared" si="12173"/>
        <v>0</v>
      </c>
      <c r="GG500" s="675">
        <f t="shared" si="12173"/>
        <v>0</v>
      </c>
      <c r="GH500" s="549">
        <f t="shared" si="12173"/>
        <v>0</v>
      </c>
      <c r="GI500" s="675">
        <f t="shared" si="12173"/>
        <v>0</v>
      </c>
      <c r="GJ500" s="549">
        <f t="shared" si="12172"/>
        <v>0</v>
      </c>
      <c r="GK500" s="675">
        <f t="shared" si="12172"/>
        <v>0</v>
      </c>
      <c r="GL500" s="549">
        <f t="shared" ref="GL500:GM500" si="12174">SUM(GL501:GL503)</f>
        <v>0</v>
      </c>
      <c r="GM500" s="675">
        <f t="shared" si="12174"/>
        <v>0</v>
      </c>
      <c r="GN500" s="549">
        <f t="shared" ref="GN500:GO500" si="12175">SUM(GN501:GN503)</f>
        <v>0</v>
      </c>
      <c r="GO500" s="675">
        <f t="shared" si="12175"/>
        <v>0</v>
      </c>
      <c r="GP500" s="549">
        <f t="shared" si="12160"/>
        <v>0</v>
      </c>
      <c r="GQ500" s="675">
        <f t="shared" si="12160"/>
        <v>0</v>
      </c>
      <c r="GR500" s="74">
        <f t="shared" si="12160"/>
        <v>0</v>
      </c>
      <c r="GS500" s="74">
        <f t="shared" si="12160"/>
        <v>0</v>
      </c>
      <c r="GT500" s="549">
        <f t="shared" si="12160"/>
        <v>0</v>
      </c>
      <c r="GU500" s="74">
        <f t="shared" si="12160"/>
        <v>0</v>
      </c>
      <c r="GV500" s="74">
        <f t="shared" si="12160"/>
        <v>0</v>
      </c>
      <c r="GW500" s="549">
        <f t="shared" si="12160"/>
        <v>0</v>
      </c>
      <c r="GX500" s="549">
        <f t="shared" si="12160"/>
        <v>0</v>
      </c>
      <c r="GY500" s="74">
        <f t="shared" si="12160"/>
        <v>0</v>
      </c>
      <c r="GZ500" s="74">
        <f t="shared" si="12160"/>
        <v>0</v>
      </c>
      <c r="HA500" s="74">
        <f t="shared" si="12160"/>
        <v>0</v>
      </c>
      <c r="HB500" s="74">
        <f t="shared" si="12160"/>
        <v>0</v>
      </c>
      <c r="HC500" s="74">
        <f t="shared" si="12160"/>
        <v>0</v>
      </c>
      <c r="HD500" s="74">
        <f t="shared" si="12160"/>
        <v>0</v>
      </c>
      <c r="HE500" s="74">
        <f t="shared" si="12160"/>
        <v>0</v>
      </c>
      <c r="HF500" s="74">
        <f t="shared" si="12160"/>
        <v>0</v>
      </c>
      <c r="HG500" s="74">
        <f t="shared" si="12160"/>
        <v>0</v>
      </c>
      <c r="HH500" s="74">
        <f t="shared" ref="HH500:HI500" si="12176">SUM(HH501:HH503)</f>
        <v>0</v>
      </c>
      <c r="HI500" s="792">
        <f t="shared" si="12176"/>
        <v>0</v>
      </c>
      <c r="HJ500" s="74">
        <f t="shared" ref="HJ500:HK500" si="12177">SUM(HJ501:HJ503)</f>
        <v>0</v>
      </c>
      <c r="HK500" s="792">
        <f t="shared" si="12177"/>
        <v>0</v>
      </c>
      <c r="HL500" s="74">
        <f t="shared" ref="HL500:HM500" si="12178">SUM(HL501:HL503)</f>
        <v>0</v>
      </c>
      <c r="HM500" s="792">
        <f t="shared" si="12178"/>
        <v>0</v>
      </c>
      <c r="HN500" s="74">
        <f t="shared" ref="HN500:HO500" si="12179">SUM(HN501:HN503)</f>
        <v>0</v>
      </c>
      <c r="HO500" s="792">
        <f t="shared" si="12179"/>
        <v>0</v>
      </c>
      <c r="HP500" s="74">
        <f t="shared" ref="HP500:HQ500" si="12180">SUM(HP501:HP503)</f>
        <v>0</v>
      </c>
      <c r="HQ500" s="792">
        <f t="shared" si="12180"/>
        <v>0</v>
      </c>
      <c r="HR500" s="74">
        <f t="shared" ref="HR500:HS500" si="12181">SUM(HR501:HR503)</f>
        <v>0</v>
      </c>
      <c r="HS500" s="792">
        <f t="shared" si="12181"/>
        <v>0</v>
      </c>
      <c r="HT500" s="74">
        <f t="shared" ref="HT500:HU500" si="12182">SUM(HT501:HT503)</f>
        <v>0</v>
      </c>
      <c r="HU500" s="792">
        <f t="shared" si="12182"/>
        <v>0</v>
      </c>
      <c r="HV500" s="74">
        <f t="shared" ref="HV500:HW500" si="12183">SUM(HV501:HV503)</f>
        <v>0</v>
      </c>
      <c r="HW500" s="792">
        <f t="shared" si="12183"/>
        <v>0</v>
      </c>
      <c r="HX500" s="74">
        <f t="shared" ref="HX500:HY500" si="12184">SUM(HX501:HX503)</f>
        <v>0</v>
      </c>
      <c r="HY500" s="792">
        <f t="shared" si="12184"/>
        <v>0</v>
      </c>
      <c r="HZ500" s="74">
        <f t="shared" ref="HZ500:IA500" si="12185">SUM(HZ501:HZ503)</f>
        <v>0</v>
      </c>
      <c r="IA500" s="792">
        <f t="shared" si="12185"/>
        <v>0</v>
      </c>
      <c r="IB500" s="74">
        <f t="shared" ref="IB500:IC500" si="12186">SUM(IB501:IB503)</f>
        <v>0</v>
      </c>
      <c r="IC500" s="792">
        <f t="shared" si="12186"/>
        <v>0</v>
      </c>
      <c r="ID500" s="74">
        <f t="shared" ref="ID500:IN500" si="12187">SUM(ID501:ID503)</f>
        <v>0</v>
      </c>
      <c r="IE500" s="792">
        <f t="shared" si="12187"/>
        <v>0</v>
      </c>
      <c r="IF500" s="841">
        <f t="shared" si="12187"/>
        <v>0</v>
      </c>
      <c r="IG500" s="263">
        <f t="shared" si="12187"/>
        <v>0</v>
      </c>
      <c r="IH500" s="842">
        <f t="shared" si="12187"/>
        <v>0</v>
      </c>
      <c r="II500" s="74">
        <f t="shared" si="12187"/>
        <v>0</v>
      </c>
      <c r="IJ500" s="74">
        <f t="shared" si="12187"/>
        <v>0</v>
      </c>
      <c r="IK500" s="74">
        <f t="shared" si="12187"/>
        <v>0</v>
      </c>
      <c r="IL500" s="74">
        <f t="shared" si="12187"/>
        <v>0</v>
      </c>
      <c r="IM500" s="74">
        <f t="shared" si="12187"/>
        <v>0</v>
      </c>
      <c r="IN500" s="74">
        <f t="shared" si="12187"/>
        <v>0</v>
      </c>
      <c r="IO500" s="74">
        <f t="shared" ref="IO500:JC500" si="12188">SUM(IO501:IO503)</f>
        <v>0</v>
      </c>
      <c r="IP500" s="74">
        <f t="shared" si="12188"/>
        <v>0</v>
      </c>
      <c r="IQ500" s="74">
        <f t="shared" si="12188"/>
        <v>0</v>
      </c>
      <c r="IR500" s="74">
        <f t="shared" si="12188"/>
        <v>0</v>
      </c>
      <c r="IS500" s="74">
        <f t="shared" si="12188"/>
        <v>0</v>
      </c>
      <c r="IT500" s="74">
        <f t="shared" si="12188"/>
        <v>0</v>
      </c>
      <c r="IU500" s="74">
        <f t="shared" si="12188"/>
        <v>0</v>
      </c>
      <c r="IV500" s="74">
        <f t="shared" si="12188"/>
        <v>0</v>
      </c>
      <c r="IW500" s="74">
        <f t="shared" si="12188"/>
        <v>0</v>
      </c>
      <c r="IX500" s="74">
        <f t="shared" si="12188"/>
        <v>0</v>
      </c>
      <c r="IY500" s="74">
        <f t="shared" si="12188"/>
        <v>0</v>
      </c>
      <c r="IZ500" s="74">
        <f t="shared" si="12188"/>
        <v>0</v>
      </c>
      <c r="JA500" s="74">
        <f t="shared" si="12188"/>
        <v>0</v>
      </c>
      <c r="JB500" s="74">
        <f t="shared" si="12188"/>
        <v>0</v>
      </c>
      <c r="JC500" s="74">
        <f t="shared" si="12188"/>
        <v>0</v>
      </c>
      <c r="JD500" s="74">
        <f t="shared" ref="JD500:JF500" si="12189">SUM(JD501:JD503)</f>
        <v>0</v>
      </c>
      <c r="JE500" s="74">
        <f t="shared" si="12189"/>
        <v>0</v>
      </c>
      <c r="JF500" s="74">
        <f t="shared" si="12189"/>
        <v>0</v>
      </c>
      <c r="JG500" s="74">
        <f t="shared" ref="JG500:JI500" si="12190">SUM(JG501:JG503)</f>
        <v>0</v>
      </c>
      <c r="JH500" s="74">
        <f t="shared" si="12190"/>
        <v>0</v>
      </c>
      <c r="JI500" s="74">
        <f t="shared" si="12190"/>
        <v>0</v>
      </c>
      <c r="JJ500" s="74">
        <f t="shared" ref="JJ500:JL500" si="12191">SUM(JJ501:JJ503)</f>
        <v>0</v>
      </c>
      <c r="JK500" s="74">
        <f t="shared" si="12191"/>
        <v>0</v>
      </c>
      <c r="JL500" s="74">
        <f t="shared" si="12191"/>
        <v>0</v>
      </c>
      <c r="JM500" s="74">
        <f t="shared" ref="JM500:JO500" si="12192">SUM(JM501:JM503)</f>
        <v>0</v>
      </c>
      <c r="JN500" s="74">
        <f t="shared" si="12192"/>
        <v>0</v>
      </c>
      <c r="JO500" s="74">
        <f t="shared" si="12192"/>
        <v>0</v>
      </c>
      <c r="JP500" s="74">
        <f t="shared" ref="JP500:JY500" si="12193">SUM(JP501:JP503)</f>
        <v>0</v>
      </c>
      <c r="JQ500" s="74">
        <f t="shared" si="12193"/>
        <v>0</v>
      </c>
      <c r="JR500" s="74">
        <f t="shared" si="12193"/>
        <v>0</v>
      </c>
      <c r="JS500" s="74">
        <f t="shared" si="12193"/>
        <v>0</v>
      </c>
      <c r="JT500" s="102">
        <f t="shared" si="12193"/>
        <v>0</v>
      </c>
      <c r="JU500" s="665"/>
      <c r="JV500" s="524"/>
      <c r="JW500" s="525"/>
      <c r="JX500" s="549">
        <f t="shared" si="12193"/>
        <v>0</v>
      </c>
      <c r="JY500" s="549">
        <f t="shared" si="12193"/>
        <v>0</v>
      </c>
      <c r="JZ500" s="581">
        <f t="shared" si="11276"/>
        <v>0</v>
      </c>
      <c r="KA500" s="581">
        <f t="shared" si="11277"/>
        <v>0</v>
      </c>
      <c r="KB500" s="549">
        <f t="shared" ref="KB500:KB565" si="12194">JX500</f>
        <v>0</v>
      </c>
      <c r="KC500" s="709">
        <f t="shared" si="11275"/>
        <v>0</v>
      </c>
      <c r="KD500" s="36"/>
      <c r="KE500" s="36"/>
      <c r="KF500" s="36"/>
      <c r="KG500" s="36"/>
      <c r="KH500" s="36"/>
      <c r="KI500" s="36"/>
      <c r="KJ500" s="36"/>
      <c r="KK500" s="36"/>
    </row>
    <row r="501" spans="1:297" s="8" customFormat="1" ht="12.75" hidden="1" customHeight="1">
      <c r="A501" s="86" t="s">
        <v>786</v>
      </c>
      <c r="B501" s="72"/>
      <c r="C501" s="74">
        <v>0</v>
      </c>
      <c r="D501" s="549">
        <v>0</v>
      </c>
      <c r="E501" s="675">
        <v>0</v>
      </c>
      <c r="F501" s="549">
        <v>0</v>
      </c>
      <c r="G501" s="675">
        <v>0</v>
      </c>
      <c r="H501" s="549">
        <v>0</v>
      </c>
      <c r="I501" s="675">
        <v>0</v>
      </c>
      <c r="J501" s="549">
        <v>0</v>
      </c>
      <c r="K501" s="675">
        <v>0</v>
      </c>
      <c r="L501" s="549">
        <v>0</v>
      </c>
      <c r="M501" s="675">
        <v>0</v>
      </c>
      <c r="N501" s="549">
        <v>0</v>
      </c>
      <c r="O501" s="675">
        <v>0</v>
      </c>
      <c r="P501" s="549">
        <v>0</v>
      </c>
      <c r="Q501" s="675">
        <v>0</v>
      </c>
      <c r="R501" s="549">
        <v>0</v>
      </c>
      <c r="S501" s="675">
        <v>0</v>
      </c>
      <c r="T501" s="549">
        <v>0</v>
      </c>
      <c r="U501" s="675">
        <v>0</v>
      </c>
      <c r="V501" s="549">
        <v>0</v>
      </c>
      <c r="W501" s="675">
        <v>0</v>
      </c>
      <c r="X501" s="549">
        <v>0</v>
      </c>
      <c r="Y501" s="675">
        <v>0</v>
      </c>
      <c r="Z501" s="549">
        <v>0</v>
      </c>
      <c r="AA501" s="675">
        <v>0</v>
      </c>
      <c r="AB501" s="549">
        <v>0</v>
      </c>
      <c r="AC501" s="675">
        <v>0</v>
      </c>
      <c r="AD501" s="549">
        <v>0</v>
      </c>
      <c r="AE501" s="675">
        <v>0</v>
      </c>
      <c r="AF501" s="549">
        <v>0</v>
      </c>
      <c r="AG501" s="675">
        <v>0</v>
      </c>
      <c r="AH501" s="549">
        <v>0</v>
      </c>
      <c r="AI501" s="675">
        <v>0</v>
      </c>
      <c r="AJ501" s="549">
        <v>0</v>
      </c>
      <c r="AK501" s="675">
        <v>0</v>
      </c>
      <c r="AL501" s="549">
        <v>0</v>
      </c>
      <c r="AM501" s="675">
        <v>0</v>
      </c>
      <c r="AN501" s="549">
        <v>0</v>
      </c>
      <c r="AO501" s="675">
        <v>0</v>
      </c>
      <c r="AP501" s="549">
        <v>0</v>
      </c>
      <c r="AQ501" s="675">
        <v>0</v>
      </c>
      <c r="AR501" s="549">
        <v>0</v>
      </c>
      <c r="AS501" s="675">
        <v>0</v>
      </c>
      <c r="AT501" s="549">
        <v>0</v>
      </c>
      <c r="AU501" s="675">
        <v>0</v>
      </c>
      <c r="AV501" s="549">
        <v>0</v>
      </c>
      <c r="AW501" s="675">
        <v>0</v>
      </c>
      <c r="AX501" s="549">
        <v>0</v>
      </c>
      <c r="AY501" s="675">
        <v>0</v>
      </c>
      <c r="AZ501" s="549">
        <v>0</v>
      </c>
      <c r="BA501" s="675">
        <v>0</v>
      </c>
      <c r="BB501" s="549">
        <v>0</v>
      </c>
      <c r="BC501" s="675">
        <v>0</v>
      </c>
      <c r="BD501" s="549">
        <v>0</v>
      </c>
      <c r="BE501" s="675">
        <v>0</v>
      </c>
      <c r="BF501" s="549">
        <v>0</v>
      </c>
      <c r="BG501" s="675">
        <v>0</v>
      </c>
      <c r="BH501" s="549">
        <v>0</v>
      </c>
      <c r="BI501" s="675">
        <v>0</v>
      </c>
      <c r="BJ501" s="549">
        <v>0</v>
      </c>
      <c r="BK501" s="675">
        <v>0</v>
      </c>
      <c r="BL501" s="549">
        <v>0</v>
      </c>
      <c r="BM501" s="675">
        <v>0</v>
      </c>
      <c r="BN501" s="549">
        <v>0</v>
      </c>
      <c r="BO501" s="675">
        <v>0</v>
      </c>
      <c r="BP501" s="549">
        <v>0</v>
      </c>
      <c r="BQ501" s="675">
        <v>0</v>
      </c>
      <c r="BR501" s="549">
        <v>0</v>
      </c>
      <c r="BS501" s="675">
        <v>0</v>
      </c>
      <c r="BT501" s="549">
        <v>0</v>
      </c>
      <c r="BU501" s="675">
        <v>0</v>
      </c>
      <c r="BV501" s="549">
        <v>0</v>
      </c>
      <c r="BW501" s="675">
        <v>0</v>
      </c>
      <c r="BX501" s="549">
        <v>0</v>
      </c>
      <c r="BY501" s="675">
        <v>0</v>
      </c>
      <c r="BZ501" s="549">
        <v>0</v>
      </c>
      <c r="CA501" s="675">
        <v>0</v>
      </c>
      <c r="CB501" s="549">
        <v>0</v>
      </c>
      <c r="CC501" s="675">
        <v>0</v>
      </c>
      <c r="CD501" s="549">
        <v>0</v>
      </c>
      <c r="CE501" s="675">
        <v>0</v>
      </c>
      <c r="CF501" s="549">
        <v>0</v>
      </c>
      <c r="CG501" s="675">
        <v>0</v>
      </c>
      <c r="CH501" s="549">
        <v>0</v>
      </c>
      <c r="CI501" s="675">
        <v>0</v>
      </c>
      <c r="CJ501" s="549">
        <v>0</v>
      </c>
      <c r="CK501" s="675">
        <v>0</v>
      </c>
      <c r="CL501" s="549">
        <v>0</v>
      </c>
      <c r="CM501" s="675">
        <v>0</v>
      </c>
      <c r="CN501" s="549">
        <v>0</v>
      </c>
      <c r="CO501" s="675">
        <v>0</v>
      </c>
      <c r="CP501" s="549">
        <v>0</v>
      </c>
      <c r="CQ501" s="675">
        <v>0</v>
      </c>
      <c r="CR501" s="549">
        <v>0</v>
      </c>
      <c r="CS501" s="675">
        <v>0</v>
      </c>
      <c r="CT501" s="549">
        <v>0</v>
      </c>
      <c r="CU501" s="675">
        <v>0</v>
      </c>
      <c r="CV501" s="549">
        <v>0</v>
      </c>
      <c r="CW501" s="675">
        <v>0</v>
      </c>
      <c r="CX501" s="549">
        <v>0</v>
      </c>
      <c r="CY501" s="675">
        <v>0</v>
      </c>
      <c r="CZ501" s="549">
        <v>0</v>
      </c>
      <c r="DA501" s="675">
        <v>0</v>
      </c>
      <c r="DB501" s="549">
        <v>0</v>
      </c>
      <c r="DC501" s="675">
        <v>0</v>
      </c>
      <c r="DD501" s="549">
        <v>0</v>
      </c>
      <c r="DE501" s="675">
        <v>0</v>
      </c>
      <c r="DF501" s="549">
        <v>0</v>
      </c>
      <c r="DG501" s="675">
        <v>0</v>
      </c>
      <c r="DH501" s="549">
        <v>0</v>
      </c>
      <c r="DI501" s="675">
        <v>0</v>
      </c>
      <c r="DJ501" s="549">
        <v>0</v>
      </c>
      <c r="DK501" s="675">
        <v>0</v>
      </c>
      <c r="DL501" s="549">
        <v>0</v>
      </c>
      <c r="DM501" s="675">
        <v>0</v>
      </c>
      <c r="DN501" s="549">
        <v>0</v>
      </c>
      <c r="DO501" s="675">
        <v>0</v>
      </c>
      <c r="DP501" s="549">
        <v>0</v>
      </c>
      <c r="DQ501" s="675">
        <v>0</v>
      </c>
      <c r="DR501" s="549">
        <v>0</v>
      </c>
      <c r="DS501" s="675">
        <v>0</v>
      </c>
      <c r="DT501" s="549">
        <v>0</v>
      </c>
      <c r="DU501" s="675">
        <v>0</v>
      </c>
      <c r="DV501" s="549">
        <v>0</v>
      </c>
      <c r="DW501" s="675">
        <v>0</v>
      </c>
      <c r="DX501" s="549">
        <v>0</v>
      </c>
      <c r="DY501" s="675">
        <v>0</v>
      </c>
      <c r="DZ501" s="549">
        <v>0</v>
      </c>
      <c r="EA501" s="675">
        <v>0</v>
      </c>
      <c r="EB501" s="549">
        <v>0</v>
      </c>
      <c r="EC501" s="675">
        <v>0</v>
      </c>
      <c r="ED501" s="549">
        <v>0</v>
      </c>
      <c r="EE501" s="675">
        <v>0</v>
      </c>
      <c r="EF501" s="549">
        <v>0</v>
      </c>
      <c r="EG501" s="675">
        <v>0</v>
      </c>
      <c r="EH501" s="549">
        <v>0</v>
      </c>
      <c r="EI501" s="675">
        <v>0</v>
      </c>
      <c r="EJ501" s="549">
        <v>0</v>
      </c>
      <c r="EK501" s="675">
        <v>0</v>
      </c>
      <c r="EL501" s="549">
        <v>0</v>
      </c>
      <c r="EM501" s="675">
        <v>0</v>
      </c>
      <c r="EN501" s="549">
        <v>0</v>
      </c>
      <c r="EO501" s="675">
        <v>0</v>
      </c>
      <c r="EP501" s="549">
        <v>0</v>
      </c>
      <c r="EQ501" s="675">
        <v>0</v>
      </c>
      <c r="ER501" s="549">
        <v>0</v>
      </c>
      <c r="ES501" s="675">
        <v>0</v>
      </c>
      <c r="ET501" s="549">
        <v>0</v>
      </c>
      <c r="EU501" s="675">
        <v>0</v>
      </c>
      <c r="EV501" s="549">
        <v>0</v>
      </c>
      <c r="EW501" s="675">
        <v>0</v>
      </c>
      <c r="EX501" s="549">
        <v>0</v>
      </c>
      <c r="EY501" s="675">
        <v>0</v>
      </c>
      <c r="EZ501" s="549">
        <v>0</v>
      </c>
      <c r="FA501" s="675">
        <v>0</v>
      </c>
      <c r="FB501" s="549">
        <v>0</v>
      </c>
      <c r="FC501" s="675">
        <v>0</v>
      </c>
      <c r="FD501" s="549">
        <v>0</v>
      </c>
      <c r="FE501" s="675">
        <v>0</v>
      </c>
      <c r="FF501" s="549">
        <v>0</v>
      </c>
      <c r="FG501" s="675">
        <v>0</v>
      </c>
      <c r="FH501" s="549">
        <v>0</v>
      </c>
      <c r="FI501" s="675">
        <v>0</v>
      </c>
      <c r="FJ501" s="549">
        <v>0</v>
      </c>
      <c r="FK501" s="675">
        <v>0</v>
      </c>
      <c r="FL501" s="549">
        <v>0</v>
      </c>
      <c r="FM501" s="675">
        <v>0</v>
      </c>
      <c r="FN501" s="549">
        <v>0</v>
      </c>
      <c r="FO501" s="675">
        <v>0</v>
      </c>
      <c r="FP501" s="549">
        <v>0</v>
      </c>
      <c r="FQ501" s="675">
        <v>0</v>
      </c>
      <c r="FR501" s="549">
        <v>0</v>
      </c>
      <c r="FS501" s="675">
        <v>0</v>
      </c>
      <c r="FT501" s="549">
        <v>0</v>
      </c>
      <c r="FU501" s="675">
        <v>0</v>
      </c>
      <c r="FV501" s="549">
        <v>0</v>
      </c>
      <c r="FW501" s="675">
        <v>0</v>
      </c>
      <c r="FX501" s="549">
        <v>0</v>
      </c>
      <c r="FY501" s="675">
        <v>0</v>
      </c>
      <c r="FZ501" s="549">
        <v>0</v>
      </c>
      <c r="GA501" s="675">
        <v>0</v>
      </c>
      <c r="GB501" s="549">
        <v>0</v>
      </c>
      <c r="GC501" s="675">
        <v>0</v>
      </c>
      <c r="GD501" s="549">
        <v>0</v>
      </c>
      <c r="GE501" s="675">
        <v>0</v>
      </c>
      <c r="GF501" s="549">
        <v>0</v>
      </c>
      <c r="GG501" s="675">
        <v>0</v>
      </c>
      <c r="GH501" s="549">
        <v>0</v>
      </c>
      <c r="GI501" s="675">
        <v>0</v>
      </c>
      <c r="GJ501" s="549">
        <v>0</v>
      </c>
      <c r="GK501" s="675">
        <v>0</v>
      </c>
      <c r="GL501" s="549">
        <v>0</v>
      </c>
      <c r="GM501" s="675">
        <v>0</v>
      </c>
      <c r="GN501" s="549">
        <v>0</v>
      </c>
      <c r="GO501" s="675">
        <v>0</v>
      </c>
      <c r="GP501" s="549">
        <f>+D501+F501+H501+J501+L501+N501+P501+R501+T501+V501+X501+Z501+AB501+AD501+AH501+AJ501+AL501+AN501+AP501+AR501+AT501+AV501+AX501+AZ501+BB501+BD501+BF501+BH501+BJ501+BL501+BN501+BP501+BR501+BT501+BV501+BX501+BZ501+CB501+CD501+CF501+CH501+CJ501+CL501+CN501+CP501+CR501+CT501+CV501+CX501+CZ501+DB501+DD501+DF501+DH501+DT501+EX501+DJ501+DL501+DN501+DP501+DR501+EJ501+EB501+DZ501+DX501+DV501+ED501+EF501+EH501+EL501+EN501+EP501+EV501+ET501+ER501+EZ501+FB501+FD501+GL501</f>
        <v>0</v>
      </c>
      <c r="GQ501" s="675">
        <f>+E501+G501+I501+K501+M501+O501+Q501+S501+U501+W501+Y501+AA501+AC501+AE501+AI501+AK501+AM501+AO501+AQ501+AS501+AU501+AW501+AY501+BA501+BC501+BE501+BG501+BI501+BK501+BM501+BO501+BQ501+BS501+BU501+BW501+BY501+CA501+CC501+CE501+CG501+CI501+CK501+CM501+CO501+CQ501+CS501+CU501+CW501+CY501+DA501+DC501+DE501+DG501+DI501+DU501+EY501+DK501+DM501+DO501+DQ501+DS501+EK501+EC501+EA501+DY501+DW501+EI501+EG501+EE501+EM501+EO501+EQ501+EW501+EU501+ES501+FA501+FC501+FE501+GM501</f>
        <v>0</v>
      </c>
      <c r="GR501" s="74">
        <f>C501+GP501+GQ501</f>
        <v>0</v>
      </c>
      <c r="GS501" s="74">
        <f t="shared" ref="GS501:GS503" si="12195">GU501</f>
        <v>0</v>
      </c>
      <c r="GT501" s="568">
        <f>SUM(GU501:HF501)+GQ501+GP501</f>
        <v>0</v>
      </c>
      <c r="GU501" s="275">
        <v>0</v>
      </c>
      <c r="GV501" s="275">
        <v>0</v>
      </c>
      <c r="GW501" s="588">
        <v>0</v>
      </c>
      <c r="GX501" s="588">
        <v>0</v>
      </c>
      <c r="GY501" s="275">
        <v>0</v>
      </c>
      <c r="GZ501" s="275">
        <v>0</v>
      </c>
      <c r="HA501" s="275">
        <v>0</v>
      </c>
      <c r="HB501" s="275">
        <v>0</v>
      </c>
      <c r="HC501" s="275">
        <v>0</v>
      </c>
      <c r="HD501" s="275">
        <v>0</v>
      </c>
      <c r="HE501" s="275">
        <v>0</v>
      </c>
      <c r="HF501" s="275">
        <v>0</v>
      </c>
      <c r="HG501" s="74">
        <f>SUM(HH501:IE501)</f>
        <v>0</v>
      </c>
      <c r="HH501" s="89">
        <v>0</v>
      </c>
      <c r="HI501" s="817">
        <v>0</v>
      </c>
      <c r="HJ501" s="89">
        <v>0</v>
      </c>
      <c r="HK501" s="817">
        <v>0</v>
      </c>
      <c r="HL501" s="89">
        <v>0</v>
      </c>
      <c r="HM501" s="817">
        <v>0</v>
      </c>
      <c r="HN501" s="89">
        <v>0</v>
      </c>
      <c r="HO501" s="817">
        <v>0</v>
      </c>
      <c r="HP501" s="89">
        <v>0</v>
      </c>
      <c r="HQ501" s="817">
        <v>0</v>
      </c>
      <c r="HR501" s="89">
        <v>0</v>
      </c>
      <c r="HS501" s="817">
        <v>0</v>
      </c>
      <c r="HT501" s="89">
        <v>0</v>
      </c>
      <c r="HU501" s="817">
        <v>0</v>
      </c>
      <c r="HV501" s="89">
        <v>0</v>
      </c>
      <c r="HW501" s="817">
        <v>0</v>
      </c>
      <c r="HX501" s="89">
        <v>0</v>
      </c>
      <c r="HY501" s="817">
        <v>0</v>
      </c>
      <c r="HZ501" s="89">
        <v>0</v>
      </c>
      <c r="IA501" s="817">
        <v>0</v>
      </c>
      <c r="IB501" s="89">
        <v>0</v>
      </c>
      <c r="IC501" s="817">
        <v>0</v>
      </c>
      <c r="ID501" s="89">
        <v>0</v>
      </c>
      <c r="IE501" s="817">
        <v>0</v>
      </c>
      <c r="IF501" s="841">
        <f t="shared" ref="IF501:IF503" si="12196">SUM(II501,IL501,IO501,IR501,IU501,IX501,JA501,JD501,JG501,JJ501,JM501,JP501)</f>
        <v>0</v>
      </c>
      <c r="IG501" s="263">
        <f t="shared" ref="IG501:IG503" si="12197">SUM(IJ501,IM501,IP501,IS501,IV501,IY501,JB501,JE501,JH501,JK501,JN501,JQ501)</f>
        <v>0</v>
      </c>
      <c r="IH501" s="842">
        <f t="shared" ref="IH501:IH503" si="12198">SUM(IK501,IN501,IQ501,IT501,IW501,IZ501,JC501,JF501,JI501,JL501,JO501,JR501)</f>
        <v>0</v>
      </c>
      <c r="II501" s="89">
        <v>0</v>
      </c>
      <c r="IJ501" s="89">
        <v>0</v>
      </c>
      <c r="IK501" s="89">
        <v>0</v>
      </c>
      <c r="IL501" s="89">
        <v>0</v>
      </c>
      <c r="IM501" s="89">
        <v>0</v>
      </c>
      <c r="IN501" s="89">
        <v>0</v>
      </c>
      <c r="IO501" s="89">
        <v>0</v>
      </c>
      <c r="IP501" s="89">
        <v>0</v>
      </c>
      <c r="IQ501" s="89">
        <v>0</v>
      </c>
      <c r="IR501" s="89">
        <v>0</v>
      </c>
      <c r="IS501" s="89">
        <v>0</v>
      </c>
      <c r="IT501" s="89">
        <v>0</v>
      </c>
      <c r="IU501" s="89">
        <v>0</v>
      </c>
      <c r="IV501" s="89">
        <v>0</v>
      </c>
      <c r="IW501" s="89">
        <v>0</v>
      </c>
      <c r="IX501" s="89">
        <v>0</v>
      </c>
      <c r="IY501" s="89">
        <v>0</v>
      </c>
      <c r="IZ501" s="89">
        <v>0</v>
      </c>
      <c r="JA501" s="89">
        <v>0</v>
      </c>
      <c r="JB501" s="89">
        <v>0</v>
      </c>
      <c r="JC501" s="89">
        <v>0</v>
      </c>
      <c r="JD501" s="89">
        <v>0</v>
      </c>
      <c r="JE501" s="89">
        <v>0</v>
      </c>
      <c r="JF501" s="89">
        <v>0</v>
      </c>
      <c r="JG501" s="89">
        <v>0</v>
      </c>
      <c r="JH501" s="89">
        <v>0</v>
      </c>
      <c r="JI501" s="89">
        <v>0</v>
      </c>
      <c r="JJ501" s="89">
        <v>0</v>
      </c>
      <c r="JK501" s="89">
        <v>0</v>
      </c>
      <c r="JL501" s="89">
        <v>0</v>
      </c>
      <c r="JM501" s="89">
        <v>0</v>
      </c>
      <c r="JN501" s="89">
        <v>0</v>
      </c>
      <c r="JO501" s="89">
        <v>0</v>
      </c>
      <c r="JP501" s="89">
        <v>0</v>
      </c>
      <c r="JQ501" s="89">
        <v>0</v>
      </c>
      <c r="JR501" s="89">
        <v>0</v>
      </c>
      <c r="JS501" s="74">
        <f>HG501-IF501</f>
        <v>0</v>
      </c>
      <c r="JT501" s="382">
        <f>GS501-IF501</f>
        <v>0</v>
      </c>
      <c r="JU501" s="665"/>
      <c r="JV501" s="524"/>
      <c r="JW501" s="525"/>
      <c r="JX501" s="549">
        <f t="shared" ref="JX501:JY503" si="12199">SUM(HH501,HJ501,HL501,HN501,HP501,HR501,HT501,HV501,HX501,HZ501,IB501,ID501)</f>
        <v>0</v>
      </c>
      <c r="JY501" s="549">
        <f t="shared" si="12199"/>
        <v>0</v>
      </c>
      <c r="JZ501" s="581">
        <f t="shared" si="11276"/>
        <v>0</v>
      </c>
      <c r="KA501" s="581">
        <f t="shared" si="11277"/>
        <v>0</v>
      </c>
      <c r="KB501" s="549">
        <f t="shared" si="12194"/>
        <v>0</v>
      </c>
      <c r="KC501" s="709">
        <f t="shared" si="11275"/>
        <v>0</v>
      </c>
      <c r="KD501" s="36"/>
      <c r="KE501" s="36"/>
      <c r="KF501" s="36"/>
      <c r="KG501" s="36"/>
      <c r="KH501" s="36"/>
      <c r="KI501" s="36"/>
      <c r="KJ501" s="36"/>
      <c r="KK501" s="36"/>
    </row>
    <row r="502" spans="1:297" s="8" customFormat="1" ht="12.75" hidden="1" customHeight="1">
      <c r="A502" s="86" t="s">
        <v>787</v>
      </c>
      <c r="B502" s="72"/>
      <c r="C502" s="74">
        <v>0</v>
      </c>
      <c r="D502" s="549">
        <v>0</v>
      </c>
      <c r="E502" s="675">
        <v>0</v>
      </c>
      <c r="F502" s="549">
        <v>0</v>
      </c>
      <c r="G502" s="675">
        <v>0</v>
      </c>
      <c r="H502" s="549">
        <v>0</v>
      </c>
      <c r="I502" s="675">
        <v>0</v>
      </c>
      <c r="J502" s="549">
        <v>0</v>
      </c>
      <c r="K502" s="675">
        <v>0</v>
      </c>
      <c r="L502" s="549">
        <v>0</v>
      </c>
      <c r="M502" s="675">
        <v>0</v>
      </c>
      <c r="N502" s="549">
        <v>0</v>
      </c>
      <c r="O502" s="675">
        <v>0</v>
      </c>
      <c r="P502" s="549">
        <v>0</v>
      </c>
      <c r="Q502" s="675">
        <v>0</v>
      </c>
      <c r="R502" s="549">
        <v>0</v>
      </c>
      <c r="S502" s="675">
        <v>0</v>
      </c>
      <c r="T502" s="549">
        <v>0</v>
      </c>
      <c r="U502" s="675">
        <v>0</v>
      </c>
      <c r="V502" s="549">
        <v>0</v>
      </c>
      <c r="W502" s="675">
        <v>0</v>
      </c>
      <c r="X502" s="549">
        <v>0</v>
      </c>
      <c r="Y502" s="675">
        <v>0</v>
      </c>
      <c r="Z502" s="549">
        <v>0</v>
      </c>
      <c r="AA502" s="675">
        <v>0</v>
      </c>
      <c r="AB502" s="549">
        <v>0</v>
      </c>
      <c r="AC502" s="675">
        <v>0</v>
      </c>
      <c r="AD502" s="549">
        <v>0</v>
      </c>
      <c r="AE502" s="675">
        <v>0</v>
      </c>
      <c r="AF502" s="549">
        <v>0</v>
      </c>
      <c r="AG502" s="675">
        <v>0</v>
      </c>
      <c r="AH502" s="549">
        <v>0</v>
      </c>
      <c r="AI502" s="675">
        <v>0</v>
      </c>
      <c r="AJ502" s="549">
        <v>0</v>
      </c>
      <c r="AK502" s="675">
        <v>0</v>
      </c>
      <c r="AL502" s="549">
        <v>0</v>
      </c>
      <c r="AM502" s="675">
        <v>0</v>
      </c>
      <c r="AN502" s="549">
        <v>0</v>
      </c>
      <c r="AO502" s="675">
        <v>0</v>
      </c>
      <c r="AP502" s="549">
        <v>0</v>
      </c>
      <c r="AQ502" s="675">
        <v>0</v>
      </c>
      <c r="AR502" s="549">
        <v>0</v>
      </c>
      <c r="AS502" s="675">
        <v>0</v>
      </c>
      <c r="AT502" s="549">
        <v>0</v>
      </c>
      <c r="AU502" s="675">
        <v>0</v>
      </c>
      <c r="AV502" s="549">
        <v>0</v>
      </c>
      <c r="AW502" s="675">
        <v>0</v>
      </c>
      <c r="AX502" s="549">
        <v>0</v>
      </c>
      <c r="AY502" s="675">
        <v>0</v>
      </c>
      <c r="AZ502" s="549">
        <v>0</v>
      </c>
      <c r="BA502" s="675">
        <v>0</v>
      </c>
      <c r="BB502" s="549">
        <v>0</v>
      </c>
      <c r="BC502" s="675">
        <v>0</v>
      </c>
      <c r="BD502" s="549">
        <v>0</v>
      </c>
      <c r="BE502" s="675">
        <v>0</v>
      </c>
      <c r="BF502" s="549">
        <v>0</v>
      </c>
      <c r="BG502" s="675">
        <v>0</v>
      </c>
      <c r="BH502" s="549">
        <v>0</v>
      </c>
      <c r="BI502" s="675">
        <v>0</v>
      </c>
      <c r="BJ502" s="549">
        <v>0</v>
      </c>
      <c r="BK502" s="675">
        <v>0</v>
      </c>
      <c r="BL502" s="549">
        <v>0</v>
      </c>
      <c r="BM502" s="675">
        <v>0</v>
      </c>
      <c r="BN502" s="549">
        <v>0</v>
      </c>
      <c r="BO502" s="675">
        <v>0</v>
      </c>
      <c r="BP502" s="549">
        <v>0</v>
      </c>
      <c r="BQ502" s="675">
        <v>0</v>
      </c>
      <c r="BR502" s="549">
        <v>0</v>
      </c>
      <c r="BS502" s="675">
        <v>0</v>
      </c>
      <c r="BT502" s="549">
        <v>0</v>
      </c>
      <c r="BU502" s="675">
        <v>0</v>
      </c>
      <c r="BV502" s="549">
        <v>0</v>
      </c>
      <c r="BW502" s="675">
        <v>0</v>
      </c>
      <c r="BX502" s="549">
        <v>0</v>
      </c>
      <c r="BY502" s="675">
        <v>0</v>
      </c>
      <c r="BZ502" s="549">
        <v>0</v>
      </c>
      <c r="CA502" s="675">
        <v>0</v>
      </c>
      <c r="CB502" s="549">
        <v>0</v>
      </c>
      <c r="CC502" s="675">
        <v>0</v>
      </c>
      <c r="CD502" s="549">
        <v>0</v>
      </c>
      <c r="CE502" s="675">
        <v>0</v>
      </c>
      <c r="CF502" s="549">
        <v>0</v>
      </c>
      <c r="CG502" s="675">
        <v>0</v>
      </c>
      <c r="CH502" s="549">
        <v>0</v>
      </c>
      <c r="CI502" s="675">
        <v>0</v>
      </c>
      <c r="CJ502" s="549">
        <v>0</v>
      </c>
      <c r="CK502" s="675">
        <v>0</v>
      </c>
      <c r="CL502" s="549">
        <v>0</v>
      </c>
      <c r="CM502" s="675">
        <v>0</v>
      </c>
      <c r="CN502" s="549">
        <v>0</v>
      </c>
      <c r="CO502" s="675">
        <v>0</v>
      </c>
      <c r="CP502" s="549">
        <v>0</v>
      </c>
      <c r="CQ502" s="675">
        <v>0</v>
      </c>
      <c r="CR502" s="549">
        <v>0</v>
      </c>
      <c r="CS502" s="675">
        <v>0</v>
      </c>
      <c r="CT502" s="549">
        <v>0</v>
      </c>
      <c r="CU502" s="675">
        <v>0</v>
      </c>
      <c r="CV502" s="549">
        <v>0</v>
      </c>
      <c r="CW502" s="675">
        <v>0</v>
      </c>
      <c r="CX502" s="549">
        <v>0</v>
      </c>
      <c r="CY502" s="675">
        <v>0</v>
      </c>
      <c r="CZ502" s="549">
        <v>0</v>
      </c>
      <c r="DA502" s="675">
        <v>0</v>
      </c>
      <c r="DB502" s="549">
        <v>0</v>
      </c>
      <c r="DC502" s="675">
        <v>0</v>
      </c>
      <c r="DD502" s="549">
        <v>0</v>
      </c>
      <c r="DE502" s="675">
        <v>0</v>
      </c>
      <c r="DF502" s="549">
        <v>0</v>
      </c>
      <c r="DG502" s="675">
        <v>0</v>
      </c>
      <c r="DH502" s="549">
        <v>0</v>
      </c>
      <c r="DI502" s="675">
        <v>0</v>
      </c>
      <c r="DJ502" s="549">
        <v>0</v>
      </c>
      <c r="DK502" s="675">
        <v>0</v>
      </c>
      <c r="DL502" s="549">
        <v>0</v>
      </c>
      <c r="DM502" s="675">
        <v>0</v>
      </c>
      <c r="DN502" s="549">
        <v>0</v>
      </c>
      <c r="DO502" s="675">
        <v>0</v>
      </c>
      <c r="DP502" s="549">
        <v>0</v>
      </c>
      <c r="DQ502" s="675">
        <v>0</v>
      </c>
      <c r="DR502" s="549">
        <v>0</v>
      </c>
      <c r="DS502" s="675">
        <v>0</v>
      </c>
      <c r="DT502" s="549">
        <v>0</v>
      </c>
      <c r="DU502" s="675">
        <v>0</v>
      </c>
      <c r="DV502" s="549">
        <v>0</v>
      </c>
      <c r="DW502" s="675">
        <v>0</v>
      </c>
      <c r="DX502" s="549">
        <v>0</v>
      </c>
      <c r="DY502" s="675">
        <v>0</v>
      </c>
      <c r="DZ502" s="549">
        <v>0</v>
      </c>
      <c r="EA502" s="675">
        <v>0</v>
      </c>
      <c r="EB502" s="549">
        <v>0</v>
      </c>
      <c r="EC502" s="675">
        <v>0</v>
      </c>
      <c r="ED502" s="549">
        <v>0</v>
      </c>
      <c r="EE502" s="675">
        <v>0</v>
      </c>
      <c r="EF502" s="549">
        <v>0</v>
      </c>
      <c r="EG502" s="675">
        <v>0</v>
      </c>
      <c r="EH502" s="549">
        <v>0</v>
      </c>
      <c r="EI502" s="675">
        <v>0</v>
      </c>
      <c r="EJ502" s="549">
        <v>0</v>
      </c>
      <c r="EK502" s="675">
        <v>0</v>
      </c>
      <c r="EL502" s="549">
        <v>0</v>
      </c>
      <c r="EM502" s="675">
        <v>0</v>
      </c>
      <c r="EN502" s="549">
        <v>0</v>
      </c>
      <c r="EO502" s="675">
        <v>0</v>
      </c>
      <c r="EP502" s="549">
        <v>0</v>
      </c>
      <c r="EQ502" s="675">
        <v>0</v>
      </c>
      <c r="ER502" s="549">
        <v>0</v>
      </c>
      <c r="ES502" s="675">
        <v>0</v>
      </c>
      <c r="ET502" s="549">
        <v>0</v>
      </c>
      <c r="EU502" s="675">
        <v>0</v>
      </c>
      <c r="EV502" s="549">
        <v>0</v>
      </c>
      <c r="EW502" s="675">
        <v>0</v>
      </c>
      <c r="EX502" s="549">
        <v>0</v>
      </c>
      <c r="EY502" s="675">
        <v>0</v>
      </c>
      <c r="EZ502" s="549">
        <v>0</v>
      </c>
      <c r="FA502" s="675">
        <v>0</v>
      </c>
      <c r="FB502" s="549">
        <v>0</v>
      </c>
      <c r="FC502" s="675">
        <v>0</v>
      </c>
      <c r="FD502" s="549">
        <v>0</v>
      </c>
      <c r="FE502" s="675">
        <v>0</v>
      </c>
      <c r="FF502" s="549">
        <v>0</v>
      </c>
      <c r="FG502" s="675">
        <v>0</v>
      </c>
      <c r="FH502" s="549">
        <v>0</v>
      </c>
      <c r="FI502" s="675">
        <v>0</v>
      </c>
      <c r="FJ502" s="549">
        <v>0</v>
      </c>
      <c r="FK502" s="675">
        <v>0</v>
      </c>
      <c r="FL502" s="549">
        <v>0</v>
      </c>
      <c r="FM502" s="675">
        <v>0</v>
      </c>
      <c r="FN502" s="549">
        <v>0</v>
      </c>
      <c r="FO502" s="675">
        <v>0</v>
      </c>
      <c r="FP502" s="549">
        <v>0</v>
      </c>
      <c r="FQ502" s="675">
        <v>0</v>
      </c>
      <c r="FR502" s="549">
        <v>0</v>
      </c>
      <c r="FS502" s="675">
        <v>0</v>
      </c>
      <c r="FT502" s="549">
        <v>0</v>
      </c>
      <c r="FU502" s="675">
        <v>0</v>
      </c>
      <c r="FV502" s="549">
        <v>0</v>
      </c>
      <c r="FW502" s="675">
        <v>0</v>
      </c>
      <c r="FX502" s="549">
        <v>0</v>
      </c>
      <c r="FY502" s="675">
        <v>0</v>
      </c>
      <c r="FZ502" s="549">
        <v>0</v>
      </c>
      <c r="GA502" s="675">
        <v>0</v>
      </c>
      <c r="GB502" s="549">
        <v>0</v>
      </c>
      <c r="GC502" s="675">
        <v>0</v>
      </c>
      <c r="GD502" s="549">
        <v>0</v>
      </c>
      <c r="GE502" s="675">
        <v>0</v>
      </c>
      <c r="GF502" s="549">
        <v>0</v>
      </c>
      <c r="GG502" s="675">
        <v>0</v>
      </c>
      <c r="GH502" s="549">
        <v>0</v>
      </c>
      <c r="GI502" s="675">
        <v>0</v>
      </c>
      <c r="GJ502" s="549">
        <v>0</v>
      </c>
      <c r="GK502" s="675">
        <v>0</v>
      </c>
      <c r="GL502" s="549">
        <v>0</v>
      </c>
      <c r="GM502" s="675">
        <v>0</v>
      </c>
      <c r="GN502" s="549">
        <v>0</v>
      </c>
      <c r="GO502" s="675">
        <v>0</v>
      </c>
      <c r="GP502" s="549">
        <f>+D502+F502+H502+J502+L502+N502+P502+R502+T502+V502+X502+Z502+AB502+AD502+AH502+AJ502+AL502+AN502+AP502+AR502+AT502+AV502+AX502+AZ502+BB502+BD502+BF502+BH502+BJ502+BL502+BN502+BP502+BR502+BT502+BV502+BX502+BZ502+CB502+CD502+CF502+CH502+CJ502+CL502+CN502+CP502+CR502+CT502+CV502+CX502+CZ502+DB502+DD502+DF502+DH502+DT502+EX502+DJ502+DL502+DN502+DP502+DR502+EJ502+EB502+DZ502+DX502+DV502+ED502+EF502+EH502+EL502+EN502+EP502+EV502+ET502+ER502+EZ502+FB502+FD502+GL502</f>
        <v>0</v>
      </c>
      <c r="GQ502" s="675">
        <f>+E502+G502+I502+K502+M502+O502+Q502+S502+U502+W502+Y502+AA502+AC502+AE502+AI502+AK502+AM502+AO502+AQ502+AS502+AU502+AW502+AY502+BA502+BC502+BE502+BG502+BI502+BK502+BM502+BO502+BQ502+BS502+BU502+BW502+BY502+CA502+CC502+CE502+CG502+CI502+CK502+CM502+CO502+CQ502+CS502+CU502+CW502+CY502+DA502+DC502+DE502+DG502+DI502+DU502+EY502+DK502+DM502+DO502+DQ502+DS502+EK502+EC502+EA502+DY502+DW502+EI502+EG502+EE502+EM502+EO502+EQ502+EW502+EU502+ES502+FA502+FC502+FE502+GM502</f>
        <v>0</v>
      </c>
      <c r="GR502" s="74">
        <f>C502+GP502+GQ502</f>
        <v>0</v>
      </c>
      <c r="GS502" s="74">
        <f t="shared" si="12195"/>
        <v>0</v>
      </c>
      <c r="GT502" s="568">
        <f>SUM(GU502:HF502)+GQ502+GP502</f>
        <v>0</v>
      </c>
      <c r="GU502" s="275">
        <v>0</v>
      </c>
      <c r="GV502" s="275">
        <v>0</v>
      </c>
      <c r="GW502" s="588">
        <v>0</v>
      </c>
      <c r="GX502" s="588">
        <v>0</v>
      </c>
      <c r="GY502" s="275">
        <v>0</v>
      </c>
      <c r="GZ502" s="275">
        <v>0</v>
      </c>
      <c r="HA502" s="275">
        <v>0</v>
      </c>
      <c r="HB502" s="275">
        <v>0</v>
      </c>
      <c r="HC502" s="275">
        <v>0</v>
      </c>
      <c r="HD502" s="275">
        <v>0</v>
      </c>
      <c r="HE502" s="275">
        <v>0</v>
      </c>
      <c r="HF502" s="275">
        <v>0</v>
      </c>
      <c r="HG502" s="74">
        <f>SUM(HH502:IE502)</f>
        <v>0</v>
      </c>
      <c r="HH502" s="89">
        <v>0</v>
      </c>
      <c r="HI502" s="817">
        <v>0</v>
      </c>
      <c r="HJ502" s="89">
        <v>0</v>
      </c>
      <c r="HK502" s="817">
        <v>0</v>
      </c>
      <c r="HL502" s="89">
        <v>0</v>
      </c>
      <c r="HM502" s="817">
        <v>0</v>
      </c>
      <c r="HN502" s="89">
        <v>0</v>
      </c>
      <c r="HO502" s="817">
        <v>0</v>
      </c>
      <c r="HP502" s="89">
        <v>0</v>
      </c>
      <c r="HQ502" s="817">
        <v>0</v>
      </c>
      <c r="HR502" s="89">
        <v>0</v>
      </c>
      <c r="HS502" s="817">
        <v>0</v>
      </c>
      <c r="HT502" s="89">
        <v>0</v>
      </c>
      <c r="HU502" s="817">
        <v>0</v>
      </c>
      <c r="HV502" s="89">
        <v>0</v>
      </c>
      <c r="HW502" s="817">
        <v>0</v>
      </c>
      <c r="HX502" s="89">
        <v>0</v>
      </c>
      <c r="HY502" s="817">
        <v>0</v>
      </c>
      <c r="HZ502" s="89">
        <v>0</v>
      </c>
      <c r="IA502" s="817">
        <v>0</v>
      </c>
      <c r="IB502" s="89">
        <v>0</v>
      </c>
      <c r="IC502" s="817">
        <v>0</v>
      </c>
      <c r="ID502" s="89">
        <v>0</v>
      </c>
      <c r="IE502" s="817">
        <v>0</v>
      </c>
      <c r="IF502" s="841">
        <f t="shared" si="12196"/>
        <v>0</v>
      </c>
      <c r="IG502" s="263">
        <f t="shared" si="12197"/>
        <v>0</v>
      </c>
      <c r="IH502" s="842">
        <f t="shared" si="12198"/>
        <v>0</v>
      </c>
      <c r="II502" s="89">
        <v>0</v>
      </c>
      <c r="IJ502" s="89">
        <v>0</v>
      </c>
      <c r="IK502" s="89">
        <v>0</v>
      </c>
      <c r="IL502" s="89">
        <v>0</v>
      </c>
      <c r="IM502" s="89">
        <v>0</v>
      </c>
      <c r="IN502" s="89">
        <v>0</v>
      </c>
      <c r="IO502" s="89">
        <v>0</v>
      </c>
      <c r="IP502" s="89">
        <v>0</v>
      </c>
      <c r="IQ502" s="89">
        <v>0</v>
      </c>
      <c r="IR502" s="89">
        <v>0</v>
      </c>
      <c r="IS502" s="89">
        <v>0</v>
      </c>
      <c r="IT502" s="89">
        <v>0</v>
      </c>
      <c r="IU502" s="89">
        <v>0</v>
      </c>
      <c r="IV502" s="89">
        <v>0</v>
      </c>
      <c r="IW502" s="89">
        <v>0</v>
      </c>
      <c r="IX502" s="89">
        <v>0</v>
      </c>
      <c r="IY502" s="89">
        <v>0</v>
      </c>
      <c r="IZ502" s="89">
        <v>0</v>
      </c>
      <c r="JA502" s="89">
        <v>0</v>
      </c>
      <c r="JB502" s="89">
        <v>0</v>
      </c>
      <c r="JC502" s="89">
        <v>0</v>
      </c>
      <c r="JD502" s="89">
        <v>0</v>
      </c>
      <c r="JE502" s="89">
        <v>0</v>
      </c>
      <c r="JF502" s="89">
        <v>0</v>
      </c>
      <c r="JG502" s="89">
        <v>0</v>
      </c>
      <c r="JH502" s="89">
        <v>0</v>
      </c>
      <c r="JI502" s="89">
        <v>0</v>
      </c>
      <c r="JJ502" s="89">
        <v>0</v>
      </c>
      <c r="JK502" s="89">
        <v>0</v>
      </c>
      <c r="JL502" s="89">
        <v>0</v>
      </c>
      <c r="JM502" s="89">
        <v>0</v>
      </c>
      <c r="JN502" s="89">
        <v>0</v>
      </c>
      <c r="JO502" s="89">
        <v>0</v>
      </c>
      <c r="JP502" s="89">
        <v>0</v>
      </c>
      <c r="JQ502" s="89">
        <v>0</v>
      </c>
      <c r="JR502" s="89">
        <v>0</v>
      </c>
      <c r="JS502" s="74">
        <f>HG502-IF502</f>
        <v>0</v>
      </c>
      <c r="JT502" s="382">
        <f>GS502-IF502</f>
        <v>0</v>
      </c>
      <c r="JU502" s="665"/>
      <c r="JV502" s="524"/>
      <c r="JW502" s="525"/>
      <c r="JX502" s="549">
        <f t="shared" si="12199"/>
        <v>0</v>
      </c>
      <c r="JY502" s="549">
        <f t="shared" si="12199"/>
        <v>0</v>
      </c>
      <c r="JZ502" s="581">
        <f t="shared" si="11276"/>
        <v>0</v>
      </c>
      <c r="KA502" s="581">
        <f t="shared" si="11277"/>
        <v>0</v>
      </c>
      <c r="KB502" s="549">
        <f t="shared" si="12194"/>
        <v>0</v>
      </c>
      <c r="KC502" s="709">
        <f t="shared" ref="KC502:KC575" si="12200">HG502-KB502</f>
        <v>0</v>
      </c>
      <c r="KD502" s="36"/>
      <c r="KE502" s="36"/>
      <c r="KF502" s="36"/>
      <c r="KG502" s="36"/>
      <c r="KH502" s="36"/>
      <c r="KI502" s="36"/>
      <c r="KJ502" s="36"/>
      <c r="KK502" s="36"/>
    </row>
    <row r="503" spans="1:297" s="8" customFormat="1" ht="12.75" hidden="1" customHeight="1">
      <c r="A503" s="86" t="s">
        <v>788</v>
      </c>
      <c r="B503" s="72"/>
      <c r="C503" s="74">
        <v>0</v>
      </c>
      <c r="D503" s="549">
        <v>0</v>
      </c>
      <c r="E503" s="675">
        <v>0</v>
      </c>
      <c r="F503" s="549">
        <v>0</v>
      </c>
      <c r="G503" s="675">
        <v>0</v>
      </c>
      <c r="H503" s="549">
        <v>0</v>
      </c>
      <c r="I503" s="675">
        <v>0</v>
      </c>
      <c r="J503" s="549">
        <v>0</v>
      </c>
      <c r="K503" s="675">
        <v>0</v>
      </c>
      <c r="L503" s="549">
        <v>0</v>
      </c>
      <c r="M503" s="675">
        <v>0</v>
      </c>
      <c r="N503" s="549">
        <v>0</v>
      </c>
      <c r="O503" s="675">
        <v>0</v>
      </c>
      <c r="P503" s="549">
        <v>0</v>
      </c>
      <c r="Q503" s="675">
        <v>0</v>
      </c>
      <c r="R503" s="549">
        <v>0</v>
      </c>
      <c r="S503" s="675">
        <v>0</v>
      </c>
      <c r="T503" s="549">
        <v>0</v>
      </c>
      <c r="U503" s="675">
        <v>0</v>
      </c>
      <c r="V503" s="549">
        <v>0</v>
      </c>
      <c r="W503" s="675">
        <v>0</v>
      </c>
      <c r="X503" s="549">
        <v>0</v>
      </c>
      <c r="Y503" s="675">
        <v>0</v>
      </c>
      <c r="Z503" s="549">
        <v>0</v>
      </c>
      <c r="AA503" s="675">
        <v>0</v>
      </c>
      <c r="AB503" s="549">
        <v>0</v>
      </c>
      <c r="AC503" s="675">
        <v>0</v>
      </c>
      <c r="AD503" s="549">
        <v>0</v>
      </c>
      <c r="AE503" s="675">
        <v>0</v>
      </c>
      <c r="AF503" s="549">
        <v>0</v>
      </c>
      <c r="AG503" s="675">
        <v>0</v>
      </c>
      <c r="AH503" s="549">
        <v>0</v>
      </c>
      <c r="AI503" s="675">
        <v>0</v>
      </c>
      <c r="AJ503" s="549">
        <v>0</v>
      </c>
      <c r="AK503" s="675">
        <v>0</v>
      </c>
      <c r="AL503" s="549">
        <v>0</v>
      </c>
      <c r="AM503" s="675">
        <v>0</v>
      </c>
      <c r="AN503" s="549">
        <v>0</v>
      </c>
      <c r="AO503" s="675">
        <v>0</v>
      </c>
      <c r="AP503" s="549">
        <v>0</v>
      </c>
      <c r="AQ503" s="675">
        <v>0</v>
      </c>
      <c r="AR503" s="549">
        <v>0</v>
      </c>
      <c r="AS503" s="675">
        <v>0</v>
      </c>
      <c r="AT503" s="549">
        <v>0</v>
      </c>
      <c r="AU503" s="675">
        <v>0</v>
      </c>
      <c r="AV503" s="549">
        <v>0</v>
      </c>
      <c r="AW503" s="675">
        <v>0</v>
      </c>
      <c r="AX503" s="549">
        <v>0</v>
      </c>
      <c r="AY503" s="675">
        <v>0</v>
      </c>
      <c r="AZ503" s="549">
        <v>0</v>
      </c>
      <c r="BA503" s="675">
        <v>0</v>
      </c>
      <c r="BB503" s="549">
        <v>0</v>
      </c>
      <c r="BC503" s="675">
        <v>0</v>
      </c>
      <c r="BD503" s="549">
        <v>0</v>
      </c>
      <c r="BE503" s="675">
        <v>0</v>
      </c>
      <c r="BF503" s="549">
        <v>0</v>
      </c>
      <c r="BG503" s="675">
        <v>0</v>
      </c>
      <c r="BH503" s="549">
        <v>0</v>
      </c>
      <c r="BI503" s="675">
        <v>0</v>
      </c>
      <c r="BJ503" s="549">
        <v>0</v>
      </c>
      <c r="BK503" s="675">
        <v>0</v>
      </c>
      <c r="BL503" s="549">
        <v>0</v>
      </c>
      <c r="BM503" s="675">
        <v>0</v>
      </c>
      <c r="BN503" s="549">
        <v>0</v>
      </c>
      <c r="BO503" s="675">
        <v>0</v>
      </c>
      <c r="BP503" s="549">
        <v>0</v>
      </c>
      <c r="BQ503" s="675">
        <v>0</v>
      </c>
      <c r="BR503" s="549">
        <v>0</v>
      </c>
      <c r="BS503" s="675">
        <v>0</v>
      </c>
      <c r="BT503" s="549">
        <v>0</v>
      </c>
      <c r="BU503" s="675">
        <v>0</v>
      </c>
      <c r="BV503" s="549">
        <v>0</v>
      </c>
      <c r="BW503" s="675">
        <v>0</v>
      </c>
      <c r="BX503" s="549">
        <v>0</v>
      </c>
      <c r="BY503" s="675">
        <v>0</v>
      </c>
      <c r="BZ503" s="549">
        <v>0</v>
      </c>
      <c r="CA503" s="675">
        <v>0</v>
      </c>
      <c r="CB503" s="549">
        <v>0</v>
      </c>
      <c r="CC503" s="675">
        <v>0</v>
      </c>
      <c r="CD503" s="549">
        <v>0</v>
      </c>
      <c r="CE503" s="675">
        <v>0</v>
      </c>
      <c r="CF503" s="549">
        <v>0</v>
      </c>
      <c r="CG503" s="675">
        <v>0</v>
      </c>
      <c r="CH503" s="549">
        <v>0</v>
      </c>
      <c r="CI503" s="675">
        <v>0</v>
      </c>
      <c r="CJ503" s="549">
        <v>0</v>
      </c>
      <c r="CK503" s="675">
        <v>0</v>
      </c>
      <c r="CL503" s="549">
        <v>0</v>
      </c>
      <c r="CM503" s="675">
        <v>0</v>
      </c>
      <c r="CN503" s="549">
        <v>0</v>
      </c>
      <c r="CO503" s="675">
        <v>0</v>
      </c>
      <c r="CP503" s="549">
        <v>0</v>
      </c>
      <c r="CQ503" s="675">
        <v>0</v>
      </c>
      <c r="CR503" s="549">
        <v>0</v>
      </c>
      <c r="CS503" s="675">
        <v>0</v>
      </c>
      <c r="CT503" s="549">
        <v>0</v>
      </c>
      <c r="CU503" s="675">
        <v>0</v>
      </c>
      <c r="CV503" s="549">
        <v>0</v>
      </c>
      <c r="CW503" s="675">
        <v>0</v>
      </c>
      <c r="CX503" s="549">
        <v>0</v>
      </c>
      <c r="CY503" s="675">
        <v>0</v>
      </c>
      <c r="CZ503" s="549">
        <v>0</v>
      </c>
      <c r="DA503" s="675">
        <v>0</v>
      </c>
      <c r="DB503" s="549">
        <v>0</v>
      </c>
      <c r="DC503" s="675">
        <v>0</v>
      </c>
      <c r="DD503" s="549">
        <v>0</v>
      </c>
      <c r="DE503" s="675">
        <v>0</v>
      </c>
      <c r="DF503" s="549">
        <v>0</v>
      </c>
      <c r="DG503" s="675">
        <v>0</v>
      </c>
      <c r="DH503" s="549">
        <v>0</v>
      </c>
      <c r="DI503" s="675">
        <v>0</v>
      </c>
      <c r="DJ503" s="549">
        <v>0</v>
      </c>
      <c r="DK503" s="675">
        <v>0</v>
      </c>
      <c r="DL503" s="549">
        <v>0</v>
      </c>
      <c r="DM503" s="675">
        <v>0</v>
      </c>
      <c r="DN503" s="549">
        <v>0</v>
      </c>
      <c r="DO503" s="675">
        <v>0</v>
      </c>
      <c r="DP503" s="549">
        <v>0</v>
      </c>
      <c r="DQ503" s="675">
        <v>0</v>
      </c>
      <c r="DR503" s="549">
        <v>0</v>
      </c>
      <c r="DS503" s="675">
        <v>0</v>
      </c>
      <c r="DT503" s="549">
        <v>0</v>
      </c>
      <c r="DU503" s="675">
        <v>0</v>
      </c>
      <c r="DV503" s="549">
        <v>0</v>
      </c>
      <c r="DW503" s="675">
        <v>0</v>
      </c>
      <c r="DX503" s="549">
        <v>0</v>
      </c>
      <c r="DY503" s="675">
        <v>0</v>
      </c>
      <c r="DZ503" s="549">
        <v>0</v>
      </c>
      <c r="EA503" s="675">
        <v>0</v>
      </c>
      <c r="EB503" s="549">
        <v>0</v>
      </c>
      <c r="EC503" s="675">
        <v>0</v>
      </c>
      <c r="ED503" s="549">
        <v>0</v>
      </c>
      <c r="EE503" s="675">
        <v>0</v>
      </c>
      <c r="EF503" s="549">
        <v>0</v>
      </c>
      <c r="EG503" s="675">
        <v>0</v>
      </c>
      <c r="EH503" s="549">
        <v>0</v>
      </c>
      <c r="EI503" s="675">
        <v>0</v>
      </c>
      <c r="EJ503" s="549">
        <v>0</v>
      </c>
      <c r="EK503" s="675">
        <v>0</v>
      </c>
      <c r="EL503" s="549">
        <v>0</v>
      </c>
      <c r="EM503" s="675">
        <v>0</v>
      </c>
      <c r="EN503" s="549">
        <v>0</v>
      </c>
      <c r="EO503" s="675">
        <v>0</v>
      </c>
      <c r="EP503" s="549">
        <v>0</v>
      </c>
      <c r="EQ503" s="675">
        <v>0</v>
      </c>
      <c r="ER503" s="549">
        <v>0</v>
      </c>
      <c r="ES503" s="675">
        <v>0</v>
      </c>
      <c r="ET503" s="549">
        <v>0</v>
      </c>
      <c r="EU503" s="675">
        <v>0</v>
      </c>
      <c r="EV503" s="549">
        <v>0</v>
      </c>
      <c r="EW503" s="675">
        <v>0</v>
      </c>
      <c r="EX503" s="549">
        <v>0</v>
      </c>
      <c r="EY503" s="675">
        <v>0</v>
      </c>
      <c r="EZ503" s="549">
        <v>0</v>
      </c>
      <c r="FA503" s="675">
        <v>0</v>
      </c>
      <c r="FB503" s="549">
        <v>0</v>
      </c>
      <c r="FC503" s="675">
        <v>0</v>
      </c>
      <c r="FD503" s="549">
        <v>0</v>
      </c>
      <c r="FE503" s="675">
        <v>0</v>
      </c>
      <c r="FF503" s="549">
        <v>0</v>
      </c>
      <c r="FG503" s="675">
        <v>0</v>
      </c>
      <c r="FH503" s="549">
        <v>0</v>
      </c>
      <c r="FI503" s="675">
        <v>0</v>
      </c>
      <c r="FJ503" s="549">
        <v>0</v>
      </c>
      <c r="FK503" s="675">
        <v>0</v>
      </c>
      <c r="FL503" s="549">
        <v>0</v>
      </c>
      <c r="FM503" s="675">
        <v>0</v>
      </c>
      <c r="FN503" s="549">
        <v>0</v>
      </c>
      <c r="FO503" s="675">
        <v>0</v>
      </c>
      <c r="FP503" s="549">
        <v>0</v>
      </c>
      <c r="FQ503" s="675">
        <v>0</v>
      </c>
      <c r="FR503" s="549">
        <v>0</v>
      </c>
      <c r="FS503" s="675">
        <v>0</v>
      </c>
      <c r="FT503" s="549">
        <v>0</v>
      </c>
      <c r="FU503" s="675">
        <v>0</v>
      </c>
      <c r="FV503" s="549">
        <v>0</v>
      </c>
      <c r="FW503" s="675">
        <v>0</v>
      </c>
      <c r="FX503" s="549">
        <v>0</v>
      </c>
      <c r="FY503" s="675">
        <v>0</v>
      </c>
      <c r="FZ503" s="549">
        <v>0</v>
      </c>
      <c r="GA503" s="675">
        <v>0</v>
      </c>
      <c r="GB503" s="549">
        <v>0</v>
      </c>
      <c r="GC503" s="675">
        <v>0</v>
      </c>
      <c r="GD503" s="549">
        <v>0</v>
      </c>
      <c r="GE503" s="675">
        <v>0</v>
      </c>
      <c r="GF503" s="549">
        <v>0</v>
      </c>
      <c r="GG503" s="675">
        <v>0</v>
      </c>
      <c r="GH503" s="549">
        <v>0</v>
      </c>
      <c r="GI503" s="675">
        <v>0</v>
      </c>
      <c r="GJ503" s="549">
        <v>0</v>
      </c>
      <c r="GK503" s="675">
        <v>0</v>
      </c>
      <c r="GL503" s="549">
        <v>0</v>
      </c>
      <c r="GM503" s="675">
        <v>0</v>
      </c>
      <c r="GN503" s="549">
        <v>0</v>
      </c>
      <c r="GO503" s="675">
        <v>0</v>
      </c>
      <c r="GP503" s="549">
        <f>+D503+F503+H503+J503+L503+N503+P503+R503+T503+V503+X503+Z503+AB503+AD503+AH503+AJ503+AL503+AN503+AP503+AR503+AT503+AV503+AX503+AZ503+BB503+BD503+BF503+BH503+BJ503+BL503+BN503+BP503+BR503+BT503+BV503+BX503+BZ503+CB503+CD503+CF503+CH503+CJ503+CL503+CN503+CP503+CR503+CT503+CV503+CX503+CZ503+DB503+DD503+DF503+DH503+DT503+EX503+DJ503+DL503+DN503+DP503+DR503+EJ503+EB503+DZ503+DX503+DV503+ED503+EF503+EH503+EL503+EN503+EP503+EV503+ET503+ER503+EZ503+FB503+FD503+GL503</f>
        <v>0</v>
      </c>
      <c r="GQ503" s="675">
        <f>+E503+G503+I503+K503+M503+O503+Q503+S503+U503+W503+Y503+AA503+AC503+AE503+AI503+AK503+AM503+AO503+AQ503+AS503+AU503+AW503+AY503+BA503+BC503+BE503+BG503+BI503+BK503+BM503+BO503+BQ503+BS503+BU503+BW503+BY503+CA503+CC503+CE503+CG503+CI503+CK503+CM503+CO503+CQ503+CS503+CU503+CW503+CY503+DA503+DC503+DE503+DG503+DI503+DU503+EY503+DK503+DM503+DO503+DQ503+DS503+EK503+EC503+EA503+DY503+DW503+EI503+EG503+EE503+EM503+EO503+EQ503+EW503+EU503+ES503+FA503+FC503+FE503+GM503</f>
        <v>0</v>
      </c>
      <c r="GR503" s="74">
        <f>C503+GP503+GQ503</f>
        <v>0</v>
      </c>
      <c r="GS503" s="74">
        <f t="shared" si="12195"/>
        <v>0</v>
      </c>
      <c r="GT503" s="568">
        <f>SUM(GU503:HF503)+GQ503+GP503</f>
        <v>0</v>
      </c>
      <c r="GU503" s="275">
        <v>0</v>
      </c>
      <c r="GV503" s="275">
        <v>0</v>
      </c>
      <c r="GW503" s="588">
        <v>0</v>
      </c>
      <c r="GX503" s="588">
        <v>0</v>
      </c>
      <c r="GY503" s="275">
        <v>0</v>
      </c>
      <c r="GZ503" s="275">
        <v>0</v>
      </c>
      <c r="HA503" s="275">
        <v>0</v>
      </c>
      <c r="HB503" s="275">
        <v>0</v>
      </c>
      <c r="HC503" s="275">
        <v>0</v>
      </c>
      <c r="HD503" s="275">
        <v>0</v>
      </c>
      <c r="HE503" s="275">
        <v>0</v>
      </c>
      <c r="HF503" s="275">
        <v>0</v>
      </c>
      <c r="HG503" s="74">
        <f>SUM(HH503:IE503)</f>
        <v>0</v>
      </c>
      <c r="HH503" s="89">
        <v>0</v>
      </c>
      <c r="HI503" s="817">
        <v>0</v>
      </c>
      <c r="HJ503" s="89">
        <v>0</v>
      </c>
      <c r="HK503" s="817">
        <v>0</v>
      </c>
      <c r="HL503" s="89">
        <v>0</v>
      </c>
      <c r="HM503" s="817">
        <v>0</v>
      </c>
      <c r="HN503" s="89">
        <v>0</v>
      </c>
      <c r="HO503" s="817">
        <v>0</v>
      </c>
      <c r="HP503" s="89">
        <v>0</v>
      </c>
      <c r="HQ503" s="817">
        <v>0</v>
      </c>
      <c r="HR503" s="89">
        <v>0</v>
      </c>
      <c r="HS503" s="817">
        <v>0</v>
      </c>
      <c r="HT503" s="89">
        <v>0</v>
      </c>
      <c r="HU503" s="817">
        <v>0</v>
      </c>
      <c r="HV503" s="89">
        <v>0</v>
      </c>
      <c r="HW503" s="817">
        <v>0</v>
      </c>
      <c r="HX503" s="89">
        <v>0</v>
      </c>
      <c r="HY503" s="817">
        <v>0</v>
      </c>
      <c r="HZ503" s="89">
        <v>0</v>
      </c>
      <c r="IA503" s="817">
        <v>0</v>
      </c>
      <c r="IB503" s="89">
        <v>0</v>
      </c>
      <c r="IC503" s="817">
        <v>0</v>
      </c>
      <c r="ID503" s="89">
        <v>0</v>
      </c>
      <c r="IE503" s="817">
        <v>0</v>
      </c>
      <c r="IF503" s="841">
        <f t="shared" si="12196"/>
        <v>0</v>
      </c>
      <c r="IG503" s="263">
        <f t="shared" si="12197"/>
        <v>0</v>
      </c>
      <c r="IH503" s="842">
        <f t="shared" si="12198"/>
        <v>0</v>
      </c>
      <c r="II503" s="89">
        <v>0</v>
      </c>
      <c r="IJ503" s="89">
        <v>0</v>
      </c>
      <c r="IK503" s="89">
        <v>0</v>
      </c>
      <c r="IL503" s="89">
        <v>0</v>
      </c>
      <c r="IM503" s="89">
        <v>0</v>
      </c>
      <c r="IN503" s="89">
        <v>0</v>
      </c>
      <c r="IO503" s="89">
        <v>0</v>
      </c>
      <c r="IP503" s="89">
        <v>0</v>
      </c>
      <c r="IQ503" s="89">
        <v>0</v>
      </c>
      <c r="IR503" s="89">
        <v>0</v>
      </c>
      <c r="IS503" s="89">
        <v>0</v>
      </c>
      <c r="IT503" s="89">
        <v>0</v>
      </c>
      <c r="IU503" s="89">
        <v>0</v>
      </c>
      <c r="IV503" s="89">
        <v>0</v>
      </c>
      <c r="IW503" s="89">
        <v>0</v>
      </c>
      <c r="IX503" s="89">
        <v>0</v>
      </c>
      <c r="IY503" s="89">
        <v>0</v>
      </c>
      <c r="IZ503" s="89">
        <v>0</v>
      </c>
      <c r="JA503" s="89">
        <v>0</v>
      </c>
      <c r="JB503" s="89">
        <v>0</v>
      </c>
      <c r="JC503" s="89">
        <v>0</v>
      </c>
      <c r="JD503" s="89">
        <v>0</v>
      </c>
      <c r="JE503" s="89">
        <v>0</v>
      </c>
      <c r="JF503" s="89">
        <v>0</v>
      </c>
      <c r="JG503" s="89">
        <v>0</v>
      </c>
      <c r="JH503" s="89">
        <v>0</v>
      </c>
      <c r="JI503" s="89">
        <v>0</v>
      </c>
      <c r="JJ503" s="89">
        <v>0</v>
      </c>
      <c r="JK503" s="89">
        <v>0</v>
      </c>
      <c r="JL503" s="89">
        <v>0</v>
      </c>
      <c r="JM503" s="89">
        <v>0</v>
      </c>
      <c r="JN503" s="89">
        <v>0</v>
      </c>
      <c r="JO503" s="89">
        <v>0</v>
      </c>
      <c r="JP503" s="89">
        <v>0</v>
      </c>
      <c r="JQ503" s="89">
        <v>0</v>
      </c>
      <c r="JR503" s="89">
        <v>0</v>
      </c>
      <c r="JS503" s="74">
        <f>HG503-IF503</f>
        <v>0</v>
      </c>
      <c r="JT503" s="382">
        <f>GS503-IF503</f>
        <v>0</v>
      </c>
      <c r="JU503" s="665"/>
      <c r="JV503" s="524"/>
      <c r="JW503" s="525"/>
      <c r="JX503" s="549">
        <f t="shared" si="12199"/>
        <v>0</v>
      </c>
      <c r="JY503" s="549">
        <f t="shared" si="12199"/>
        <v>0</v>
      </c>
      <c r="JZ503" s="581">
        <f t="shared" ref="JZ503:JZ576" si="12201">GP503</f>
        <v>0</v>
      </c>
      <c r="KA503" s="581">
        <f t="shared" ref="KA503:KA576" si="12202">GQ503</f>
        <v>0</v>
      </c>
      <c r="KB503" s="549">
        <f t="shared" si="12194"/>
        <v>0</v>
      </c>
      <c r="KC503" s="709">
        <f t="shared" si="12200"/>
        <v>0</v>
      </c>
      <c r="KD503" s="36"/>
      <c r="KE503" s="36"/>
      <c r="KF503" s="36"/>
      <c r="KG503" s="36"/>
      <c r="KH503" s="36"/>
      <c r="KI503" s="36"/>
      <c r="KJ503" s="36"/>
      <c r="KK503" s="36"/>
    </row>
    <row r="504" spans="1:297" s="8" customFormat="1" ht="12.75" hidden="1" customHeight="1">
      <c r="A504" s="80"/>
      <c r="B504" s="72"/>
      <c r="C504" s="74"/>
      <c r="D504" s="549"/>
      <c r="E504" s="675"/>
      <c r="F504" s="549"/>
      <c r="G504" s="675"/>
      <c r="H504" s="549"/>
      <c r="I504" s="675"/>
      <c r="J504" s="549"/>
      <c r="K504" s="675"/>
      <c r="L504" s="549"/>
      <c r="M504" s="675"/>
      <c r="N504" s="549"/>
      <c r="O504" s="675"/>
      <c r="P504" s="549"/>
      <c r="Q504" s="675"/>
      <c r="R504" s="549"/>
      <c r="S504" s="675"/>
      <c r="T504" s="549"/>
      <c r="U504" s="675"/>
      <c r="V504" s="549"/>
      <c r="W504" s="675"/>
      <c r="X504" s="549"/>
      <c r="Y504" s="675"/>
      <c r="Z504" s="549"/>
      <c r="AA504" s="675"/>
      <c r="AB504" s="549"/>
      <c r="AC504" s="675"/>
      <c r="AD504" s="549"/>
      <c r="AE504" s="675"/>
      <c r="AF504" s="549"/>
      <c r="AG504" s="675"/>
      <c r="AH504" s="549"/>
      <c r="AI504" s="675"/>
      <c r="AJ504" s="549"/>
      <c r="AK504" s="675"/>
      <c r="AL504" s="549"/>
      <c r="AM504" s="675"/>
      <c r="AN504" s="549"/>
      <c r="AO504" s="675"/>
      <c r="AP504" s="549"/>
      <c r="AQ504" s="675"/>
      <c r="AR504" s="549"/>
      <c r="AS504" s="675"/>
      <c r="AT504" s="549"/>
      <c r="AU504" s="675"/>
      <c r="AV504" s="549"/>
      <c r="AW504" s="675"/>
      <c r="AX504" s="549"/>
      <c r="AY504" s="675"/>
      <c r="AZ504" s="549"/>
      <c r="BA504" s="675"/>
      <c r="BB504" s="549"/>
      <c r="BC504" s="675"/>
      <c r="BD504" s="549"/>
      <c r="BE504" s="675"/>
      <c r="BF504" s="549"/>
      <c r="BG504" s="675"/>
      <c r="BH504" s="549"/>
      <c r="BI504" s="675"/>
      <c r="BJ504" s="549"/>
      <c r="BK504" s="675"/>
      <c r="BL504" s="549"/>
      <c r="BM504" s="675"/>
      <c r="BN504" s="549"/>
      <c r="BO504" s="675"/>
      <c r="BP504" s="549"/>
      <c r="BQ504" s="675"/>
      <c r="BR504" s="549"/>
      <c r="BS504" s="675"/>
      <c r="BT504" s="549"/>
      <c r="BU504" s="675"/>
      <c r="BV504" s="549"/>
      <c r="BW504" s="675"/>
      <c r="BX504" s="549"/>
      <c r="BY504" s="675"/>
      <c r="BZ504" s="549"/>
      <c r="CA504" s="675"/>
      <c r="CB504" s="549"/>
      <c r="CC504" s="675"/>
      <c r="CD504" s="549"/>
      <c r="CE504" s="675"/>
      <c r="CF504" s="549"/>
      <c r="CG504" s="675"/>
      <c r="CH504" s="549"/>
      <c r="CI504" s="675"/>
      <c r="CJ504" s="549"/>
      <c r="CK504" s="675"/>
      <c r="CL504" s="549"/>
      <c r="CM504" s="675"/>
      <c r="CN504" s="549"/>
      <c r="CO504" s="675"/>
      <c r="CP504" s="549"/>
      <c r="CQ504" s="675"/>
      <c r="CR504" s="549"/>
      <c r="CS504" s="675"/>
      <c r="CT504" s="549"/>
      <c r="CU504" s="675"/>
      <c r="CV504" s="549"/>
      <c r="CW504" s="675"/>
      <c r="CX504" s="549"/>
      <c r="CY504" s="675"/>
      <c r="CZ504" s="549"/>
      <c r="DA504" s="675"/>
      <c r="DB504" s="549"/>
      <c r="DC504" s="675"/>
      <c r="DD504" s="549"/>
      <c r="DE504" s="675"/>
      <c r="DF504" s="549"/>
      <c r="DG504" s="675"/>
      <c r="DH504" s="549"/>
      <c r="DI504" s="675"/>
      <c r="DJ504" s="549"/>
      <c r="DK504" s="675"/>
      <c r="DL504" s="549"/>
      <c r="DM504" s="675"/>
      <c r="DN504" s="549"/>
      <c r="DO504" s="675"/>
      <c r="DP504" s="549"/>
      <c r="DQ504" s="675"/>
      <c r="DR504" s="549"/>
      <c r="DS504" s="675"/>
      <c r="DT504" s="549"/>
      <c r="DU504" s="675"/>
      <c r="DV504" s="549"/>
      <c r="DW504" s="675"/>
      <c r="DX504" s="549"/>
      <c r="DY504" s="675"/>
      <c r="DZ504" s="549"/>
      <c r="EA504" s="675"/>
      <c r="EB504" s="549"/>
      <c r="EC504" s="675"/>
      <c r="ED504" s="549"/>
      <c r="EE504" s="675"/>
      <c r="EF504" s="549"/>
      <c r="EG504" s="675"/>
      <c r="EH504" s="549"/>
      <c r="EI504" s="675"/>
      <c r="EJ504" s="549"/>
      <c r="EK504" s="675"/>
      <c r="EL504" s="549"/>
      <c r="EM504" s="675"/>
      <c r="EN504" s="549"/>
      <c r="EO504" s="675"/>
      <c r="EP504" s="549"/>
      <c r="EQ504" s="675"/>
      <c r="ER504" s="549"/>
      <c r="ES504" s="675"/>
      <c r="ET504" s="549"/>
      <c r="EU504" s="675"/>
      <c r="EV504" s="549"/>
      <c r="EW504" s="675"/>
      <c r="EX504" s="549"/>
      <c r="EY504" s="675"/>
      <c r="EZ504" s="549"/>
      <c r="FA504" s="675"/>
      <c r="FB504" s="549"/>
      <c r="FC504" s="675"/>
      <c r="FD504" s="549"/>
      <c r="FE504" s="675"/>
      <c r="FF504" s="549"/>
      <c r="FG504" s="675"/>
      <c r="FH504" s="549"/>
      <c r="FI504" s="675"/>
      <c r="FJ504" s="549"/>
      <c r="FK504" s="675"/>
      <c r="FL504" s="549"/>
      <c r="FM504" s="675"/>
      <c r="FN504" s="549"/>
      <c r="FO504" s="675"/>
      <c r="FP504" s="549"/>
      <c r="FQ504" s="675"/>
      <c r="FR504" s="549"/>
      <c r="FS504" s="675"/>
      <c r="FT504" s="549"/>
      <c r="FU504" s="675"/>
      <c r="FV504" s="549"/>
      <c r="FW504" s="675"/>
      <c r="FX504" s="549"/>
      <c r="FY504" s="675"/>
      <c r="FZ504" s="549"/>
      <c r="GA504" s="675"/>
      <c r="GB504" s="549"/>
      <c r="GC504" s="675"/>
      <c r="GD504" s="549"/>
      <c r="GE504" s="675"/>
      <c r="GF504" s="549"/>
      <c r="GG504" s="675"/>
      <c r="GH504" s="549"/>
      <c r="GI504" s="675"/>
      <c r="GJ504" s="549"/>
      <c r="GK504" s="675"/>
      <c r="GL504" s="549"/>
      <c r="GM504" s="675"/>
      <c r="GN504" s="549"/>
      <c r="GO504" s="675"/>
      <c r="GP504" s="549"/>
      <c r="GQ504" s="675"/>
      <c r="GR504" s="74"/>
      <c r="GS504" s="74"/>
      <c r="GT504" s="568"/>
      <c r="GU504" s="90"/>
      <c r="GV504" s="90"/>
      <c r="GW504" s="568"/>
      <c r="GX504" s="568"/>
      <c r="GY504" s="90"/>
      <c r="GZ504" s="90"/>
      <c r="HA504" s="90"/>
      <c r="HB504" s="90"/>
      <c r="HC504" s="90"/>
      <c r="HD504" s="90"/>
      <c r="HE504" s="90"/>
      <c r="HF504" s="90"/>
      <c r="HG504" s="74"/>
      <c r="HH504" s="90"/>
      <c r="HI504" s="819"/>
      <c r="HJ504" s="90"/>
      <c r="HK504" s="819"/>
      <c r="HL504" s="90"/>
      <c r="HM504" s="819"/>
      <c r="HN504" s="90"/>
      <c r="HO504" s="819"/>
      <c r="HP504" s="90"/>
      <c r="HQ504" s="819"/>
      <c r="HR504" s="90"/>
      <c r="HS504" s="819"/>
      <c r="HT504" s="90"/>
      <c r="HU504" s="819"/>
      <c r="HV504" s="90"/>
      <c r="HW504" s="819"/>
      <c r="HX504" s="90"/>
      <c r="HY504" s="819"/>
      <c r="HZ504" s="90"/>
      <c r="IA504" s="819"/>
      <c r="IB504" s="90"/>
      <c r="IC504" s="819"/>
      <c r="ID504" s="90"/>
      <c r="IE504" s="819"/>
      <c r="IF504" s="841"/>
      <c r="IG504" s="263"/>
      <c r="IH504" s="842"/>
      <c r="II504" s="90"/>
      <c r="IJ504" s="90"/>
      <c r="IK504" s="90"/>
      <c r="IL504" s="90"/>
      <c r="IM504" s="90"/>
      <c r="IN504" s="90"/>
      <c r="IO504" s="90"/>
      <c r="IP504" s="90"/>
      <c r="IQ504" s="90"/>
      <c r="IR504" s="90"/>
      <c r="IS504" s="90"/>
      <c r="IT504" s="90"/>
      <c r="IU504" s="90"/>
      <c r="IV504" s="90"/>
      <c r="IW504" s="90"/>
      <c r="IX504" s="90"/>
      <c r="IY504" s="90"/>
      <c r="IZ504" s="90"/>
      <c r="JA504" s="90"/>
      <c r="JB504" s="90"/>
      <c r="JC504" s="90"/>
      <c r="JD504" s="90"/>
      <c r="JE504" s="90"/>
      <c r="JF504" s="90"/>
      <c r="JG504" s="90"/>
      <c r="JH504" s="90"/>
      <c r="JI504" s="90"/>
      <c r="JJ504" s="90"/>
      <c r="JK504" s="90"/>
      <c r="JL504" s="90"/>
      <c r="JM504" s="90"/>
      <c r="JN504" s="90"/>
      <c r="JO504" s="90"/>
      <c r="JP504" s="90"/>
      <c r="JQ504" s="90"/>
      <c r="JR504" s="90"/>
      <c r="JS504" s="74"/>
      <c r="JT504" s="382"/>
      <c r="JU504" s="665"/>
      <c r="JV504" s="524"/>
      <c r="JW504" s="525"/>
      <c r="JX504" s="549"/>
      <c r="JY504" s="549"/>
      <c r="JZ504" s="581">
        <f t="shared" si="12201"/>
        <v>0</v>
      </c>
      <c r="KA504" s="581">
        <f t="shared" si="12202"/>
        <v>0</v>
      </c>
      <c r="KB504" s="549">
        <f t="shared" si="12194"/>
        <v>0</v>
      </c>
      <c r="KC504" s="709">
        <f t="shared" si="12200"/>
        <v>0</v>
      </c>
      <c r="KD504" s="36"/>
      <c r="KE504" s="36"/>
      <c r="KF504" s="36"/>
      <c r="KG504" s="36"/>
      <c r="KH504" s="36"/>
      <c r="KI504" s="36"/>
      <c r="KJ504" s="36"/>
      <c r="KK504" s="36"/>
    </row>
    <row r="505" spans="1:297" s="8" customFormat="1">
      <c r="A505" s="80" t="s">
        <v>467</v>
      </c>
      <c r="B505" s="559" t="s">
        <v>1202</v>
      </c>
      <c r="C505" s="74">
        <f t="shared" ref="C505" si="12203">SUM(C524)+C522+C520+C512+C514+C516+C518+C526+C507</f>
        <v>559000</v>
      </c>
      <c r="D505" s="549">
        <f t="shared" ref="D505:E505" si="12204">SUM(D524)+D522+D520+D512+D514+D516+D518+D526+D507</f>
        <v>0</v>
      </c>
      <c r="E505" s="675">
        <f t="shared" si="12204"/>
        <v>0</v>
      </c>
      <c r="F505" s="549">
        <f t="shared" ref="F505:G505" si="12205">SUM(F524)+F522+F520+F512+F514+F516+F518+F526+F507</f>
        <v>0</v>
      </c>
      <c r="G505" s="675">
        <f t="shared" si="12205"/>
        <v>-13000</v>
      </c>
      <c r="H505" s="549">
        <f t="shared" ref="H505:I505" si="12206">SUM(H524)+H522+H520+H512+H514+H516+H518+H526+H507</f>
        <v>0</v>
      </c>
      <c r="I505" s="675">
        <f t="shared" si="12206"/>
        <v>0</v>
      </c>
      <c r="J505" s="549">
        <f t="shared" ref="J505:K505" si="12207">SUM(J524)+J522+J520+J512+J514+J516+J518+J526+J507</f>
        <v>0</v>
      </c>
      <c r="K505" s="675">
        <f t="shared" si="12207"/>
        <v>0</v>
      </c>
      <c r="L505" s="549">
        <f t="shared" ref="L505:M505" si="12208">SUM(L524)+L522+L520+L512+L514+L516+L518+L526+L507</f>
        <v>0</v>
      </c>
      <c r="M505" s="675">
        <f t="shared" si="12208"/>
        <v>0</v>
      </c>
      <c r="N505" s="549">
        <f t="shared" ref="N505:O505" si="12209">SUM(N524)+N522+N520+N512+N514+N516+N518+N526+N507</f>
        <v>0</v>
      </c>
      <c r="O505" s="675">
        <f t="shared" si="12209"/>
        <v>0</v>
      </c>
      <c r="P505" s="549">
        <f t="shared" ref="P505:Q505" si="12210">SUM(P524)+P522+P520+P512+P514+P516+P518+P526+P507</f>
        <v>0</v>
      </c>
      <c r="Q505" s="675">
        <f t="shared" si="12210"/>
        <v>0</v>
      </c>
      <c r="R505" s="549">
        <f t="shared" ref="R505:S505" si="12211">SUM(R524)+R522+R520+R512+R514+R516+R518+R526+R507</f>
        <v>0</v>
      </c>
      <c r="S505" s="675">
        <f t="shared" si="12211"/>
        <v>0</v>
      </c>
      <c r="T505" s="549">
        <f t="shared" ref="T505:U505" si="12212">SUM(T524)+T522+T520+T512+T514+T516+T518+T526+T507</f>
        <v>0</v>
      </c>
      <c r="U505" s="675">
        <f t="shared" si="12212"/>
        <v>0</v>
      </c>
      <c r="V505" s="549">
        <f t="shared" ref="V505:W505" si="12213">SUM(V524)+V522+V520+V512+V514+V516+V518+V526+V507</f>
        <v>0</v>
      </c>
      <c r="W505" s="675">
        <f t="shared" si="12213"/>
        <v>0</v>
      </c>
      <c r="X505" s="549">
        <f t="shared" ref="X505:Y505" si="12214">SUM(X524)+X522+X520+X512+X514+X516+X518+X526+X507</f>
        <v>0</v>
      </c>
      <c r="Y505" s="675">
        <f t="shared" si="12214"/>
        <v>0</v>
      </c>
      <c r="Z505" s="549">
        <f t="shared" ref="Z505:AA505" si="12215">SUM(Z524)+Z522+Z520+Z512+Z514+Z516+Z518+Z526+Z507</f>
        <v>0</v>
      </c>
      <c r="AA505" s="675">
        <f t="shared" si="12215"/>
        <v>0</v>
      </c>
      <c r="AB505" s="549">
        <f t="shared" ref="AB505:AC505" si="12216">SUM(AB524)+AB522+AB520+AB512+AB514+AB516+AB518+AB526+AB507</f>
        <v>0</v>
      </c>
      <c r="AC505" s="675">
        <f t="shared" si="12216"/>
        <v>0</v>
      </c>
      <c r="AD505" s="549">
        <f t="shared" ref="AD505:AE505" si="12217">SUM(AD524)+AD522+AD520+AD512+AD514+AD516+AD518+AD526+AD507</f>
        <v>0</v>
      </c>
      <c r="AE505" s="675">
        <f t="shared" si="12217"/>
        <v>0</v>
      </c>
      <c r="AF505" s="549">
        <f t="shared" ref="AF505:AI505" si="12218">SUM(AF524)+AF522+AF520+AF512+AF514+AF516+AF518+AF526+AF507</f>
        <v>0</v>
      </c>
      <c r="AG505" s="675">
        <f t="shared" si="12218"/>
        <v>0</v>
      </c>
      <c r="AH505" s="549">
        <f t="shared" si="12218"/>
        <v>123000</v>
      </c>
      <c r="AI505" s="675">
        <f t="shared" si="12218"/>
        <v>-123000</v>
      </c>
      <c r="AJ505" s="549">
        <f t="shared" ref="AJ505:AK505" si="12219">SUM(AJ524)+AJ522+AJ520+AJ512+AJ514+AJ516+AJ518+AJ526+AJ507</f>
        <v>0</v>
      </c>
      <c r="AK505" s="675">
        <f t="shared" si="12219"/>
        <v>0</v>
      </c>
      <c r="AL505" s="549">
        <f t="shared" ref="AL505:AM505" si="12220">SUM(AL524)+AL522+AL520+AL512+AL514+AL516+AL518+AL526+AL507</f>
        <v>0</v>
      </c>
      <c r="AM505" s="675">
        <f t="shared" si="12220"/>
        <v>0</v>
      </c>
      <c r="AN505" s="549">
        <f t="shared" ref="AN505:AS505" si="12221">SUM(AN524)+AN522+AN520+AN512+AN514+AN516+AN518+AN526+AN507</f>
        <v>0</v>
      </c>
      <c r="AO505" s="675">
        <f t="shared" si="12221"/>
        <v>0</v>
      </c>
      <c r="AP505" s="549">
        <f t="shared" si="12221"/>
        <v>0</v>
      </c>
      <c r="AQ505" s="675">
        <f t="shared" si="12221"/>
        <v>0</v>
      </c>
      <c r="AR505" s="549">
        <f t="shared" si="12221"/>
        <v>0</v>
      </c>
      <c r="AS505" s="675">
        <f t="shared" si="12221"/>
        <v>0</v>
      </c>
      <c r="AT505" s="549">
        <f t="shared" ref="AT505:AU505" si="12222">SUM(AT524)+AT522+AT520+AT512+AT514+AT516+AT518+AT526+AT507</f>
        <v>0</v>
      </c>
      <c r="AU505" s="675">
        <f t="shared" si="12222"/>
        <v>0</v>
      </c>
      <c r="AV505" s="549">
        <f t="shared" ref="AV505:AW505" si="12223">SUM(AV524)+AV522+AV520+AV512+AV514+AV516+AV518+AV526+AV507</f>
        <v>0</v>
      </c>
      <c r="AW505" s="675">
        <f t="shared" si="12223"/>
        <v>0</v>
      </c>
      <c r="AX505" s="549">
        <f t="shared" ref="AX505:AY505" si="12224">SUM(AX524)+AX522+AX520+AX512+AX514+AX516+AX518+AX526+AX507</f>
        <v>0</v>
      </c>
      <c r="AY505" s="675">
        <f t="shared" si="12224"/>
        <v>0</v>
      </c>
      <c r="AZ505" s="549">
        <f t="shared" ref="AZ505:BA505" si="12225">SUM(AZ524)+AZ522+AZ520+AZ512+AZ514+AZ516+AZ518+AZ526+AZ507</f>
        <v>0</v>
      </c>
      <c r="BA505" s="675">
        <f t="shared" si="12225"/>
        <v>0</v>
      </c>
      <c r="BB505" s="549">
        <f t="shared" ref="BB505:BC505" si="12226">SUM(BB524)+BB522+BB520+BB512+BB514+BB516+BB518+BB526+BB507</f>
        <v>0</v>
      </c>
      <c r="BC505" s="675">
        <f t="shared" si="12226"/>
        <v>0</v>
      </c>
      <c r="BD505" s="549">
        <f t="shared" ref="BD505:BE505" si="12227">SUM(BD524)+BD522+BD520+BD512+BD514+BD516+BD518+BD526+BD507</f>
        <v>0</v>
      </c>
      <c r="BE505" s="675">
        <f t="shared" si="12227"/>
        <v>-32000</v>
      </c>
      <c r="BF505" s="549">
        <f t="shared" ref="BF505:BG505" si="12228">SUM(BF524)+BF522+BF520+BF512+BF514+BF516+BF518+BF526+BF507</f>
        <v>0</v>
      </c>
      <c r="BG505" s="675">
        <f t="shared" si="12228"/>
        <v>-39000</v>
      </c>
      <c r="BH505" s="549">
        <f t="shared" ref="BH505:BI505" si="12229">SUM(BH524)+BH522+BH520+BH512+BH514+BH516+BH518+BH526+BH507</f>
        <v>0</v>
      </c>
      <c r="BI505" s="675">
        <f t="shared" si="12229"/>
        <v>-27000</v>
      </c>
      <c r="BJ505" s="549">
        <f t="shared" ref="BJ505:BK505" si="12230">SUM(BJ524)+BJ522+BJ520+BJ512+BJ514+BJ516+BJ518+BJ526+BJ507</f>
        <v>0</v>
      </c>
      <c r="BK505" s="675">
        <f t="shared" si="12230"/>
        <v>0</v>
      </c>
      <c r="BL505" s="549">
        <f t="shared" ref="BL505:BS505" si="12231">SUM(BL524)+BL522+BL520+BL512+BL514+BL516+BL518+BL526+BL507</f>
        <v>0</v>
      </c>
      <c r="BM505" s="675">
        <f t="shared" si="12231"/>
        <v>-6599</v>
      </c>
      <c r="BN505" s="549">
        <f t="shared" si="12231"/>
        <v>0</v>
      </c>
      <c r="BO505" s="675">
        <f t="shared" si="12231"/>
        <v>-5000</v>
      </c>
      <c r="BP505" s="549">
        <f t="shared" si="12231"/>
        <v>0</v>
      </c>
      <c r="BQ505" s="675">
        <f t="shared" si="12231"/>
        <v>-20000</v>
      </c>
      <c r="BR505" s="549">
        <f t="shared" si="12231"/>
        <v>0</v>
      </c>
      <c r="BS505" s="675">
        <f t="shared" si="12231"/>
        <v>0</v>
      </c>
      <c r="BT505" s="549">
        <f t="shared" ref="BT505:BU505" si="12232">SUM(BT524)+BT522+BT520+BT512+BT514+BT516+BT518+BT526+BT507</f>
        <v>0</v>
      </c>
      <c r="BU505" s="675">
        <f t="shared" si="12232"/>
        <v>0</v>
      </c>
      <c r="BV505" s="549">
        <f t="shared" ref="BV505:BW505" si="12233">SUM(BV524)+BV522+BV520+BV512+BV514+BV516+BV518+BV526+BV507</f>
        <v>0</v>
      </c>
      <c r="BW505" s="675">
        <f t="shared" si="12233"/>
        <v>0</v>
      </c>
      <c r="BX505" s="549">
        <f t="shared" ref="BX505:BY505" si="12234">SUM(BX524)+BX522+BX520+BX512+BX514+BX516+BX518+BX526+BX507</f>
        <v>0</v>
      </c>
      <c r="BY505" s="675">
        <f t="shared" si="12234"/>
        <v>0</v>
      </c>
      <c r="BZ505" s="549">
        <f t="shared" ref="BZ505:CA505" si="12235">SUM(BZ524)+BZ522+BZ520+BZ512+BZ514+BZ516+BZ518+BZ526+BZ507</f>
        <v>0</v>
      </c>
      <c r="CA505" s="675">
        <f t="shared" si="12235"/>
        <v>0</v>
      </c>
      <c r="CB505" s="549">
        <f t="shared" ref="CB505:CC505" si="12236">SUM(CB524)+CB522+CB520+CB512+CB514+CB516+CB518+CB526+CB507</f>
        <v>0</v>
      </c>
      <c r="CC505" s="675">
        <f t="shared" si="12236"/>
        <v>-15000</v>
      </c>
      <c r="CD505" s="549">
        <f t="shared" ref="CD505:CE505" si="12237">SUM(CD524)+CD522+CD520+CD512+CD514+CD516+CD518+CD526+CD507</f>
        <v>0</v>
      </c>
      <c r="CE505" s="675">
        <f t="shared" si="12237"/>
        <v>0</v>
      </c>
      <c r="CF505" s="549">
        <f t="shared" ref="CF505:CG505" si="12238">SUM(CF524)+CF522+CF520+CF512+CF514+CF516+CF518+CF526+CF507</f>
        <v>0</v>
      </c>
      <c r="CG505" s="675">
        <f t="shared" si="12238"/>
        <v>0</v>
      </c>
      <c r="CH505" s="549">
        <f t="shared" ref="CH505:CI505" si="12239">SUM(CH524)+CH522+CH520+CH512+CH514+CH516+CH518+CH526+CH507</f>
        <v>0</v>
      </c>
      <c r="CI505" s="675">
        <f t="shared" si="12239"/>
        <v>-4000</v>
      </c>
      <c r="CJ505" s="549">
        <f t="shared" ref="CJ505:CK505" si="12240">SUM(CJ524)+CJ522+CJ520+CJ512+CJ514+CJ516+CJ518+CJ526+CJ507</f>
        <v>0</v>
      </c>
      <c r="CK505" s="675">
        <f t="shared" si="12240"/>
        <v>-108700</v>
      </c>
      <c r="CL505" s="549">
        <f t="shared" ref="CL505:CM505" si="12241">SUM(CL524)+CL522+CL520+CL512+CL514+CL516+CL518+CL526+CL507</f>
        <v>0</v>
      </c>
      <c r="CM505" s="675">
        <f t="shared" si="12241"/>
        <v>0</v>
      </c>
      <c r="CN505" s="549">
        <f t="shared" ref="CN505:CO505" si="12242">SUM(CN524)+CN522+CN520+CN512+CN514+CN516+CN518+CN526+CN507</f>
        <v>0</v>
      </c>
      <c r="CO505" s="675">
        <f t="shared" si="12242"/>
        <v>0</v>
      </c>
      <c r="CP505" s="549">
        <f t="shared" ref="CP505:CQ505" si="12243">SUM(CP524)+CP522+CP520+CP512+CP514+CP516+CP518+CP526+CP507</f>
        <v>0</v>
      </c>
      <c r="CQ505" s="675">
        <f t="shared" si="12243"/>
        <v>0</v>
      </c>
      <c r="CR505" s="549">
        <f t="shared" ref="CR505:CS505" si="12244">SUM(CR524)+CR522+CR520+CR512+CR514+CR516+CR518+CR526+CR507</f>
        <v>0</v>
      </c>
      <c r="CS505" s="675">
        <f t="shared" si="12244"/>
        <v>0</v>
      </c>
      <c r="CT505" s="549">
        <f t="shared" ref="CT505:CU505" si="12245">SUM(CT524)+CT522+CT520+CT512+CT514+CT516+CT518+CT526+CT507</f>
        <v>0</v>
      </c>
      <c r="CU505" s="675">
        <f t="shared" si="12245"/>
        <v>0</v>
      </c>
      <c r="CV505" s="549">
        <f t="shared" ref="CV505:CW505" si="12246">SUM(CV524)+CV522+CV520+CV512+CV514+CV516+CV518+CV526+CV507</f>
        <v>0</v>
      </c>
      <c r="CW505" s="675">
        <f t="shared" si="12246"/>
        <v>0</v>
      </c>
      <c r="CX505" s="549">
        <f t="shared" ref="CX505:CY505" si="12247">SUM(CX524)+CX522+CX520+CX512+CX514+CX516+CX518+CX526+CX507</f>
        <v>0</v>
      </c>
      <c r="CY505" s="675">
        <f t="shared" si="12247"/>
        <v>0</v>
      </c>
      <c r="CZ505" s="549">
        <f t="shared" ref="CZ505:DG505" si="12248">SUM(CZ524)+CZ522+CZ520+CZ512+CZ514+CZ516+CZ518+CZ526+CZ507</f>
        <v>0</v>
      </c>
      <c r="DA505" s="675">
        <f t="shared" si="12248"/>
        <v>0</v>
      </c>
      <c r="DB505" s="549">
        <f t="shared" si="12248"/>
        <v>0</v>
      </c>
      <c r="DC505" s="675">
        <f t="shared" si="12248"/>
        <v>0</v>
      </c>
      <c r="DD505" s="549">
        <f t="shared" si="12248"/>
        <v>0</v>
      </c>
      <c r="DE505" s="675">
        <f t="shared" si="12248"/>
        <v>0</v>
      </c>
      <c r="DF505" s="549">
        <f t="shared" si="12248"/>
        <v>0</v>
      </c>
      <c r="DG505" s="675">
        <f t="shared" si="12248"/>
        <v>0</v>
      </c>
      <c r="DH505" s="549">
        <f t="shared" ref="DH505:DY505" si="12249">SUM(DH524)+DH522+DH520+DH512+DH514+DH516+DH518+DH526+DH507</f>
        <v>5000</v>
      </c>
      <c r="DI505" s="675">
        <f t="shared" si="12249"/>
        <v>0</v>
      </c>
      <c r="DJ505" s="549">
        <f t="shared" si="12249"/>
        <v>0</v>
      </c>
      <c r="DK505" s="675">
        <f t="shared" si="12249"/>
        <v>0</v>
      </c>
      <c r="DL505" s="549">
        <f t="shared" ref="DL505:DM505" si="12250">SUM(DL524)+DL522+DL520+DL512+DL514+DL516+DL518+DL526+DL507</f>
        <v>0</v>
      </c>
      <c r="DM505" s="675">
        <f t="shared" si="12250"/>
        <v>0</v>
      </c>
      <c r="DN505" s="549">
        <f t="shared" si="12249"/>
        <v>0</v>
      </c>
      <c r="DO505" s="675">
        <f t="shared" si="12249"/>
        <v>0</v>
      </c>
      <c r="DP505" s="549">
        <f t="shared" si="12249"/>
        <v>0</v>
      </c>
      <c r="DQ505" s="675">
        <f t="shared" si="12249"/>
        <v>-17000</v>
      </c>
      <c r="DR505" s="549">
        <f t="shared" si="12249"/>
        <v>0</v>
      </c>
      <c r="DS505" s="675">
        <f t="shared" si="12249"/>
        <v>0</v>
      </c>
      <c r="DT505" s="549">
        <f t="shared" si="12249"/>
        <v>0</v>
      </c>
      <c r="DU505" s="675">
        <f t="shared" si="12249"/>
        <v>0</v>
      </c>
      <c r="DV505" s="549">
        <f t="shared" si="12249"/>
        <v>0</v>
      </c>
      <c r="DW505" s="675">
        <f t="shared" si="12249"/>
        <v>0</v>
      </c>
      <c r="DX505" s="549">
        <f t="shared" si="12249"/>
        <v>0</v>
      </c>
      <c r="DY505" s="675">
        <f t="shared" si="12249"/>
        <v>0</v>
      </c>
      <c r="DZ505" s="549">
        <f t="shared" ref="DZ505:EA505" si="12251">SUM(DZ524)+DZ522+DZ520+DZ512+DZ514+DZ516+DZ518+DZ526+DZ507</f>
        <v>0</v>
      </c>
      <c r="EA505" s="675">
        <f t="shared" si="12251"/>
        <v>0</v>
      </c>
      <c r="EB505" s="549">
        <f t="shared" ref="EB505:EC505" si="12252">SUM(EB524)+EB522+EB520+EB512+EB514+EB516+EB518+EB526+EB507</f>
        <v>0</v>
      </c>
      <c r="EC505" s="675">
        <f t="shared" si="12252"/>
        <v>0</v>
      </c>
      <c r="ED505" s="549">
        <f t="shared" ref="ED505:EE505" si="12253">SUM(ED524)+ED522+ED520+ED512+ED514+ED516+ED518+ED526+ED507</f>
        <v>0</v>
      </c>
      <c r="EE505" s="675">
        <f t="shared" si="12253"/>
        <v>0</v>
      </c>
      <c r="EF505" s="549">
        <f t="shared" ref="EF505:EG505" si="12254">SUM(EF524)+EF522+EF520+EF512+EF514+EF516+EF518+EF526+EF507</f>
        <v>0</v>
      </c>
      <c r="EG505" s="675">
        <f t="shared" si="12254"/>
        <v>0</v>
      </c>
      <c r="EH505" s="549">
        <f t="shared" ref="EH505:EI505" si="12255">SUM(EH524)+EH522+EH520+EH512+EH514+EH516+EH518+EH526+EH507</f>
        <v>0</v>
      </c>
      <c r="EI505" s="675">
        <f t="shared" si="12255"/>
        <v>0</v>
      </c>
      <c r="EJ505" s="549">
        <f t="shared" ref="EJ505:EK505" si="12256">SUM(EJ524)+EJ522+EJ520+EJ512+EJ514+EJ516+EJ518+EJ526+EJ507</f>
        <v>0</v>
      </c>
      <c r="EK505" s="675">
        <f t="shared" si="12256"/>
        <v>0</v>
      </c>
      <c r="EL505" s="549">
        <f t="shared" ref="EL505:EM505" si="12257">SUM(EL524)+EL522+EL520+EL512+EL514+EL516+EL518+EL526+EL507</f>
        <v>0</v>
      </c>
      <c r="EM505" s="675">
        <f t="shared" si="12257"/>
        <v>-500</v>
      </c>
      <c r="EN505" s="549">
        <f t="shared" ref="EN505:EO505" si="12258">SUM(EN524)+EN522+EN520+EN512+EN514+EN516+EN518+EN526+EN507</f>
        <v>0</v>
      </c>
      <c r="EO505" s="675">
        <f t="shared" si="12258"/>
        <v>0</v>
      </c>
      <c r="EP505" s="549">
        <f t="shared" ref="EP505:EQ505" si="12259">SUM(EP524)+EP522+EP520+EP512+EP514+EP516+EP518+EP526+EP507</f>
        <v>0</v>
      </c>
      <c r="EQ505" s="675">
        <f t="shared" si="12259"/>
        <v>0</v>
      </c>
      <c r="ER505" s="549">
        <f t="shared" ref="ER505:ES505" si="12260">SUM(ER524)+ER522+ER520+ER512+ER514+ER516+ER518+ER526+ER507</f>
        <v>0</v>
      </c>
      <c r="ES505" s="675">
        <f t="shared" si="12260"/>
        <v>0</v>
      </c>
      <c r="ET505" s="549">
        <f t="shared" ref="ET505:EU505" si="12261">SUM(ET524)+ET522+ET520+ET512+ET514+ET516+ET518+ET526+ET507</f>
        <v>0</v>
      </c>
      <c r="EU505" s="675">
        <f t="shared" si="12261"/>
        <v>0</v>
      </c>
      <c r="EV505" s="549">
        <f t="shared" ref="EV505:EW505" si="12262">SUM(EV524)+EV522+EV520+EV512+EV514+EV516+EV518+EV526+EV507</f>
        <v>0</v>
      </c>
      <c r="EW505" s="675">
        <f t="shared" si="12262"/>
        <v>0</v>
      </c>
      <c r="EX505" s="549">
        <f t="shared" ref="EX505:EY505" si="12263">SUM(EX524)+EX522+EX520+EX512+EX514+EX516+EX518+EX526+EX507</f>
        <v>0</v>
      </c>
      <c r="EY505" s="675">
        <f t="shared" si="12263"/>
        <v>0</v>
      </c>
      <c r="EZ505" s="549">
        <f t="shared" ref="EZ505:FA505" si="12264">SUM(EZ524)+EZ522+EZ520+EZ512+EZ514+EZ516+EZ518+EZ526+EZ507</f>
        <v>0</v>
      </c>
      <c r="FA505" s="675">
        <f t="shared" si="12264"/>
        <v>0</v>
      </c>
      <c r="FB505" s="549">
        <f t="shared" ref="FB505:FC505" si="12265">SUM(FB524)+FB522+FB520+FB512+FB514+FB516+FB518+FB526+FB507</f>
        <v>0</v>
      </c>
      <c r="FC505" s="675">
        <f t="shared" si="12265"/>
        <v>0</v>
      </c>
      <c r="FD505" s="549">
        <f t="shared" ref="FD505:FE505" si="12266">SUM(FD524)+FD522+FD520+FD512+FD514+FD516+FD518+FD526+FD507</f>
        <v>0</v>
      </c>
      <c r="FE505" s="675">
        <f t="shared" si="12266"/>
        <v>-5785</v>
      </c>
      <c r="FF505" s="549">
        <f t="shared" ref="FF505:FG505" si="12267">SUM(FF524)+FF522+FF520+FF512+FF514+FF516+FF518+FF526+FF507</f>
        <v>0</v>
      </c>
      <c r="FG505" s="675">
        <f t="shared" si="12267"/>
        <v>0</v>
      </c>
      <c r="FH505" s="549">
        <f t="shared" ref="FH505:FI505" si="12268">SUM(FH524)+FH522+FH520+FH512+FH514+FH516+FH518+FH526+FH507</f>
        <v>0</v>
      </c>
      <c r="FI505" s="675">
        <f t="shared" si="12268"/>
        <v>0</v>
      </c>
      <c r="FJ505" s="549">
        <f t="shared" ref="FJ505:FK505" si="12269">SUM(FJ524)+FJ522+FJ520+FJ512+FJ514+FJ516+FJ518+FJ526+FJ507</f>
        <v>0</v>
      </c>
      <c r="FK505" s="675">
        <f t="shared" si="12269"/>
        <v>0</v>
      </c>
      <c r="FL505" s="549">
        <f t="shared" ref="FL505:FM505" si="12270">SUM(FL524)+FL522+FL520+FL512+FL514+FL516+FL518+FL526+FL507</f>
        <v>500</v>
      </c>
      <c r="FM505" s="675">
        <f t="shared" si="12270"/>
        <v>-2340</v>
      </c>
      <c r="FN505" s="549">
        <f t="shared" ref="FN505:FO505" si="12271">SUM(FN524)+FN522+FN520+FN512+FN514+FN516+FN518+FN526+FN507</f>
        <v>0</v>
      </c>
      <c r="FO505" s="675">
        <f t="shared" si="12271"/>
        <v>0</v>
      </c>
      <c r="FP505" s="549">
        <f t="shared" ref="FP505:FQ505" si="12272">SUM(FP524)+FP522+FP520+FP512+FP514+FP516+FP518+FP526+FP507</f>
        <v>0</v>
      </c>
      <c r="FQ505" s="675">
        <f t="shared" si="12272"/>
        <v>0</v>
      </c>
      <c r="FR505" s="549">
        <f t="shared" ref="FR505:FS505" si="12273">SUM(FR524)+FR522+FR520+FR512+FR514+FR516+FR518+FR526+FR507</f>
        <v>20000</v>
      </c>
      <c r="FS505" s="675">
        <f t="shared" si="12273"/>
        <v>0</v>
      </c>
      <c r="FT505" s="549">
        <f t="shared" ref="FT505:FU505" si="12274">SUM(FT524)+FT522+FT520+FT512+FT514+FT516+FT518+FT526+FT507</f>
        <v>0</v>
      </c>
      <c r="FU505" s="675">
        <f t="shared" si="12274"/>
        <v>0</v>
      </c>
      <c r="FV505" s="549">
        <f t="shared" ref="FV505:GK505" si="12275">SUM(FV524)+FV522+FV520+FV512+FV514+FV516+FV518+FV526+FV507</f>
        <v>0</v>
      </c>
      <c r="FW505" s="675">
        <f t="shared" si="12275"/>
        <v>0</v>
      </c>
      <c r="FX505" s="549">
        <f t="shared" si="12275"/>
        <v>0</v>
      </c>
      <c r="FY505" s="675">
        <f t="shared" si="12275"/>
        <v>0</v>
      </c>
      <c r="FZ505" s="549">
        <f t="shared" ref="FZ505:GI505" si="12276">SUM(FZ524)+FZ522+FZ520+FZ512+FZ514+FZ516+FZ518+FZ526+FZ507</f>
        <v>0</v>
      </c>
      <c r="GA505" s="675">
        <f t="shared" si="12276"/>
        <v>0</v>
      </c>
      <c r="GB505" s="549">
        <f t="shared" si="12276"/>
        <v>0</v>
      </c>
      <c r="GC505" s="675">
        <f t="shared" si="12276"/>
        <v>0</v>
      </c>
      <c r="GD505" s="549">
        <f t="shared" si="12276"/>
        <v>0</v>
      </c>
      <c r="GE505" s="675">
        <f t="shared" si="12276"/>
        <v>0</v>
      </c>
      <c r="GF505" s="549">
        <f t="shared" si="12276"/>
        <v>0</v>
      </c>
      <c r="GG505" s="675">
        <f t="shared" si="12276"/>
        <v>0</v>
      </c>
      <c r="GH505" s="549">
        <f t="shared" si="12276"/>
        <v>0</v>
      </c>
      <c r="GI505" s="675">
        <f t="shared" si="12276"/>
        <v>0</v>
      </c>
      <c r="GJ505" s="549">
        <f t="shared" si="12275"/>
        <v>0</v>
      </c>
      <c r="GK505" s="675">
        <f t="shared" si="12275"/>
        <v>0</v>
      </c>
      <c r="GL505" s="549">
        <f t="shared" ref="GL505:GM505" si="12277">SUM(GL524)+GL522+GL520+GL512+GL514+GL516+GL518+GL526+GL507</f>
        <v>0</v>
      </c>
      <c r="GM505" s="675">
        <f t="shared" si="12277"/>
        <v>0</v>
      </c>
      <c r="GN505" s="549">
        <f t="shared" ref="GN505:GO505" si="12278">SUM(GN524)+GN522+GN520+GN512+GN514+GN516+GN518+GN526+GN507</f>
        <v>0</v>
      </c>
      <c r="GO505" s="675">
        <f t="shared" si="12278"/>
        <v>0</v>
      </c>
      <c r="GP505" s="549">
        <f t="shared" ref="GP505" si="12279">SUM(GP524)+GP522+GP520+GP512+GP514+GP516+GP518+GP526+GP507</f>
        <v>148500</v>
      </c>
      <c r="GQ505" s="675">
        <f>SUM(GQ524)+GQ522+GQ520+GQ512+GQ514+GQ516+GQ518+GQ526+GQ507</f>
        <v>-418924</v>
      </c>
      <c r="GR505" s="74">
        <f t="shared" ref="GR505:JC505" si="12280">SUM(GR524)+GR522+GR520+GR512+GR514+GR516+GR518+GR526+GR507</f>
        <v>288576</v>
      </c>
      <c r="GS505" s="74">
        <f>SUM(GS524)+GS522+GS520+GS512+GS514+GS516+GS518+GS526+GS507</f>
        <v>288576</v>
      </c>
      <c r="GT505" s="549">
        <f>SUM(GT524)+GT522+GT520+GT512+GT514+GT516+GT518+GT526+GT507</f>
        <v>288576</v>
      </c>
      <c r="GU505" s="74">
        <f t="shared" si="12280"/>
        <v>77500</v>
      </c>
      <c r="GV505" s="74">
        <f t="shared" si="12280"/>
        <v>122500</v>
      </c>
      <c r="GW505" s="549">
        <f t="shared" si="12280"/>
        <v>107500</v>
      </c>
      <c r="GX505" s="549">
        <f t="shared" si="12280"/>
        <v>116500</v>
      </c>
      <c r="GY505" s="74">
        <f t="shared" si="12280"/>
        <v>57500</v>
      </c>
      <c r="GZ505" s="74">
        <f t="shared" si="12280"/>
        <v>57500</v>
      </c>
      <c r="HA505" s="74">
        <f t="shared" si="12280"/>
        <v>20000</v>
      </c>
      <c r="HB505" s="74">
        <f t="shared" si="12280"/>
        <v>0</v>
      </c>
      <c r="HC505" s="74">
        <f t="shared" si="12280"/>
        <v>0</v>
      </c>
      <c r="HD505" s="74">
        <f t="shared" si="12280"/>
        <v>0</v>
      </c>
      <c r="HE505" s="74">
        <f t="shared" si="12280"/>
        <v>0</v>
      </c>
      <c r="HF505" s="74">
        <f t="shared" si="12280"/>
        <v>0</v>
      </c>
      <c r="HG505" s="74">
        <f>SUM(HG524)+HG522+HG520+HG512+HG514+HG516+HG518+HG526+HG507</f>
        <v>288576</v>
      </c>
      <c r="HH505" s="74">
        <f t="shared" ref="HH505:HI505" si="12281">SUM(HH524)+HH522+HH520+HH512+HH514+HH516+HH518+HH526+HH507</f>
        <v>77500</v>
      </c>
      <c r="HI505" s="792">
        <f t="shared" si="12281"/>
        <v>0</v>
      </c>
      <c r="HJ505" s="74">
        <f t="shared" ref="HJ505:HK505" si="12282">SUM(HJ524)+HJ522+HJ520+HJ512+HJ514+HJ516+HJ518+HJ526+HJ507</f>
        <v>59500</v>
      </c>
      <c r="HK505" s="792">
        <f t="shared" si="12282"/>
        <v>0</v>
      </c>
      <c r="HL505" s="74">
        <f t="shared" ref="HL505:HM505" si="12283">SUM(HL524)+HL522+HL520+HL512+HL514+HL516+HL518+HL526+HL507</f>
        <v>156739.95000000001</v>
      </c>
      <c r="HM505" s="792">
        <f t="shared" si="12283"/>
        <v>0</v>
      </c>
      <c r="HN505" s="74">
        <f t="shared" ref="HN505:HO505" si="12284">SUM(HN524)+HN522+HN520+HN512+HN514+HN516+HN518+HN526+HN507</f>
        <v>51500</v>
      </c>
      <c r="HO505" s="792">
        <f t="shared" si="12284"/>
        <v>0</v>
      </c>
      <c r="HP505" s="74">
        <f t="shared" ref="HP505:HQ505" si="12285">SUM(HP524)+HP522+HP520+HP512+HP514+HP516+HP518+HP526+HP507</f>
        <v>-42099</v>
      </c>
      <c r="HQ505" s="792">
        <f t="shared" si="12285"/>
        <v>0</v>
      </c>
      <c r="HR505" s="74">
        <f t="shared" ref="HR505:HS505" si="12286">SUM(HR524)+HR522+HR520+HR512+HR514+HR516+HR518+HR526+HR507</f>
        <v>110</v>
      </c>
      <c r="HS505" s="792">
        <f t="shared" si="12286"/>
        <v>0</v>
      </c>
      <c r="HT505" s="74">
        <f t="shared" ref="HT505:HU505" si="12287">SUM(HT524)+HT522+HT520+HT512+HT514+HT516+HT518+HT526+HT507</f>
        <v>-28500</v>
      </c>
      <c r="HU505" s="792">
        <f t="shared" si="12287"/>
        <v>0</v>
      </c>
      <c r="HV505" s="74">
        <f t="shared" ref="HV505:HW505" si="12288">SUM(HV524)+HV522+HV520+HV512+HV514+HV516+HV518+HV526+HV507</f>
        <v>2105</v>
      </c>
      <c r="HW505" s="792">
        <f t="shared" si="12288"/>
        <v>0</v>
      </c>
      <c r="HX505" s="74">
        <f t="shared" ref="HX505:HY505" si="12289">SUM(HX524)+HX522+HX520+HX512+HX514+HX516+HX518+HX526+HX507</f>
        <v>-2000</v>
      </c>
      <c r="HY505" s="792">
        <f t="shared" si="12289"/>
        <v>0</v>
      </c>
      <c r="HZ505" s="74">
        <f t="shared" ref="HZ505:IA505" si="12290">SUM(HZ524)+HZ522+HZ520+HZ512+HZ514+HZ516+HZ518+HZ526+HZ507</f>
        <v>13720.05</v>
      </c>
      <c r="IA505" s="792">
        <f t="shared" si="12290"/>
        <v>0</v>
      </c>
      <c r="IB505" s="74">
        <f t="shared" ref="IB505:IC505" si="12291">SUM(IB524)+IB522+IB520+IB512+IB514+IB516+IB518+IB526+IB507</f>
        <v>0</v>
      </c>
      <c r="IC505" s="792">
        <f t="shared" si="12291"/>
        <v>0</v>
      </c>
      <c r="ID505" s="74">
        <f t="shared" si="12280"/>
        <v>0</v>
      </c>
      <c r="IE505" s="792">
        <f t="shared" si="12280"/>
        <v>0</v>
      </c>
      <c r="IF505" s="841">
        <f>SUM(IF524)+IF522+IF520+IF512+IF514+IF516+IF518+IF526+IF507</f>
        <v>265152.25</v>
      </c>
      <c r="IG505" s="263">
        <f t="shared" si="12280"/>
        <v>265152.25</v>
      </c>
      <c r="IH505" s="842">
        <f t="shared" si="12280"/>
        <v>265152.25</v>
      </c>
      <c r="II505" s="74">
        <f t="shared" si="12280"/>
        <v>277</v>
      </c>
      <c r="IJ505" s="74">
        <f t="shared" si="12280"/>
        <v>277</v>
      </c>
      <c r="IK505" s="74">
        <f t="shared" si="12280"/>
        <v>277</v>
      </c>
      <c r="IL505" s="74">
        <f t="shared" si="12280"/>
        <v>7075.95</v>
      </c>
      <c r="IM505" s="74">
        <f t="shared" si="12280"/>
        <v>7075.95</v>
      </c>
      <c r="IN505" s="74">
        <f t="shared" si="12280"/>
        <v>7075.95</v>
      </c>
      <c r="IO505" s="74">
        <f t="shared" si="12280"/>
        <v>125.27000000000044</v>
      </c>
      <c r="IP505" s="74">
        <f t="shared" si="12280"/>
        <v>125.27000000000044</v>
      </c>
      <c r="IQ505" s="74">
        <f t="shared" si="12280"/>
        <v>125.27000000000044</v>
      </c>
      <c r="IR505" s="74">
        <f t="shared" si="12280"/>
        <v>2891.0899999999992</v>
      </c>
      <c r="IS505" s="74">
        <f t="shared" si="12280"/>
        <v>2891.0899999999992</v>
      </c>
      <c r="IT505" s="74">
        <f t="shared" si="12280"/>
        <v>2891.0899999999992</v>
      </c>
      <c r="IU505" s="74">
        <f t="shared" si="12280"/>
        <v>15219.63</v>
      </c>
      <c r="IV505" s="74">
        <f t="shared" si="12280"/>
        <v>15219.63</v>
      </c>
      <c r="IW505" s="74">
        <f t="shared" si="12280"/>
        <v>15219.63</v>
      </c>
      <c r="IX505" s="74">
        <f t="shared" si="12280"/>
        <v>11657.64</v>
      </c>
      <c r="IY505" s="74">
        <f t="shared" si="12280"/>
        <v>11657.64</v>
      </c>
      <c r="IZ505" s="74">
        <f t="shared" si="12280"/>
        <v>11657.64</v>
      </c>
      <c r="JA505" s="74">
        <f t="shared" si="12280"/>
        <v>18522.79</v>
      </c>
      <c r="JB505" s="74">
        <f t="shared" si="12280"/>
        <v>18522.79</v>
      </c>
      <c r="JC505" s="74">
        <f t="shared" si="12280"/>
        <v>18522.79</v>
      </c>
      <c r="JD505" s="74">
        <f t="shared" ref="JD505:JF505" si="12292">SUM(JD524)+JD522+JD520+JD512+JD514+JD516+JD518+JD526+JD507</f>
        <v>205872.02</v>
      </c>
      <c r="JE505" s="74">
        <f t="shared" si="12292"/>
        <v>205872.02</v>
      </c>
      <c r="JF505" s="74">
        <f t="shared" si="12292"/>
        <v>205872.02</v>
      </c>
      <c r="JG505" s="74">
        <f t="shared" ref="JG505:JI505" si="12293">SUM(JG524)+JG522+JG520+JG512+JG514+JG516+JG518+JG526+JG507</f>
        <v>2701.1699999999946</v>
      </c>
      <c r="JH505" s="74">
        <f t="shared" si="12293"/>
        <v>2701.1699999999946</v>
      </c>
      <c r="JI505" s="74">
        <f t="shared" si="12293"/>
        <v>2701.1699999999946</v>
      </c>
      <c r="JJ505" s="74">
        <f t="shared" ref="JJ505:JL505" si="12294">SUM(JJ524)+JJ522+JJ520+JJ512+JJ514+JJ516+JJ518+JJ526+JJ507</f>
        <v>809.68999999999869</v>
      </c>
      <c r="JK505" s="74">
        <f t="shared" si="12294"/>
        <v>809.68999999999869</v>
      </c>
      <c r="JL505" s="74">
        <f t="shared" si="12294"/>
        <v>809.68999999999869</v>
      </c>
      <c r="JM505" s="74">
        <f t="shared" ref="JM505:JO505" si="12295">SUM(JM524)+JM522+JM520+JM512+JM514+JM516+JM518+JM526+JM507</f>
        <v>0</v>
      </c>
      <c r="JN505" s="74">
        <f t="shared" si="12295"/>
        <v>0</v>
      </c>
      <c r="JO505" s="74">
        <f t="shared" si="12295"/>
        <v>0</v>
      </c>
      <c r="JP505" s="74">
        <f t="shared" ref="JP505:JY505" si="12296">SUM(JP524)+JP522+JP520+JP512+JP514+JP516+JP518+JP526+JP507</f>
        <v>0</v>
      </c>
      <c r="JQ505" s="74">
        <f t="shared" si="12296"/>
        <v>0</v>
      </c>
      <c r="JR505" s="74">
        <f t="shared" si="12296"/>
        <v>0</v>
      </c>
      <c r="JS505" s="74">
        <f t="shared" si="12296"/>
        <v>23423.750000000004</v>
      </c>
      <c r="JT505" s="102">
        <f t="shared" si="12296"/>
        <v>23423.750000000004</v>
      </c>
      <c r="JU505" s="665"/>
      <c r="JV505" s="524"/>
      <c r="JW505" s="525"/>
      <c r="JX505" s="549">
        <f>SUM(JX524)+JX522+JX520+JX512+JX514+JX516+JX518+JX526+JX507</f>
        <v>288576</v>
      </c>
      <c r="JY505" s="549">
        <f t="shared" si="12296"/>
        <v>0</v>
      </c>
      <c r="JZ505" s="581">
        <f t="shared" si="12201"/>
        <v>148500</v>
      </c>
      <c r="KA505" s="581">
        <f t="shared" si="12202"/>
        <v>-418924</v>
      </c>
      <c r="KB505" s="549">
        <f t="shared" si="12194"/>
        <v>288576</v>
      </c>
      <c r="KC505" s="709">
        <f t="shared" si="12200"/>
        <v>0</v>
      </c>
      <c r="KD505" s="36"/>
      <c r="KE505" s="36"/>
      <c r="KF505" s="36"/>
      <c r="KG505" s="36"/>
      <c r="KH505" s="36"/>
      <c r="KI505" s="36"/>
      <c r="KJ505" s="36"/>
      <c r="KK505" s="36"/>
    </row>
    <row r="506" spans="1:297" s="8" customFormat="1">
      <c r="A506" s="80"/>
      <c r="B506" s="72"/>
      <c r="C506" s="74"/>
      <c r="D506" s="549"/>
      <c r="E506" s="675"/>
      <c r="F506" s="549"/>
      <c r="G506" s="675"/>
      <c r="H506" s="549"/>
      <c r="I506" s="675"/>
      <c r="J506" s="549"/>
      <c r="K506" s="675"/>
      <c r="L506" s="549"/>
      <c r="M506" s="675"/>
      <c r="N506" s="549"/>
      <c r="O506" s="675"/>
      <c r="P506" s="549"/>
      <c r="Q506" s="675"/>
      <c r="R506" s="549"/>
      <c r="S506" s="675"/>
      <c r="T506" s="549"/>
      <c r="U506" s="675"/>
      <c r="V506" s="549"/>
      <c r="W506" s="675"/>
      <c r="X506" s="549"/>
      <c r="Y506" s="675"/>
      <c r="Z506" s="549"/>
      <c r="AA506" s="675"/>
      <c r="AB506" s="549"/>
      <c r="AC506" s="675"/>
      <c r="AD506" s="549"/>
      <c r="AE506" s="675"/>
      <c r="AF506" s="549"/>
      <c r="AG506" s="675"/>
      <c r="AH506" s="549"/>
      <c r="AI506" s="675"/>
      <c r="AJ506" s="549"/>
      <c r="AK506" s="675"/>
      <c r="AL506" s="549"/>
      <c r="AM506" s="675"/>
      <c r="AN506" s="549"/>
      <c r="AO506" s="675"/>
      <c r="AP506" s="549"/>
      <c r="AQ506" s="675"/>
      <c r="AR506" s="549"/>
      <c r="AS506" s="675"/>
      <c r="AT506" s="549"/>
      <c r="AU506" s="675"/>
      <c r="AV506" s="549"/>
      <c r="AW506" s="675"/>
      <c r="AX506" s="549"/>
      <c r="AY506" s="675"/>
      <c r="AZ506" s="549"/>
      <c r="BA506" s="675"/>
      <c r="BB506" s="549"/>
      <c r="BC506" s="675"/>
      <c r="BD506" s="549"/>
      <c r="BE506" s="675"/>
      <c r="BF506" s="549"/>
      <c r="BG506" s="675"/>
      <c r="BH506" s="549"/>
      <c r="BI506" s="675"/>
      <c r="BJ506" s="549"/>
      <c r="BK506" s="675"/>
      <c r="BL506" s="549"/>
      <c r="BM506" s="675"/>
      <c r="BN506" s="549"/>
      <c r="BO506" s="675"/>
      <c r="BP506" s="549"/>
      <c r="BQ506" s="675"/>
      <c r="BR506" s="549"/>
      <c r="BS506" s="675"/>
      <c r="BT506" s="549"/>
      <c r="BU506" s="675"/>
      <c r="BV506" s="549"/>
      <c r="BW506" s="675"/>
      <c r="BX506" s="549"/>
      <c r="BY506" s="675"/>
      <c r="BZ506" s="549"/>
      <c r="CA506" s="675"/>
      <c r="CB506" s="549"/>
      <c r="CC506" s="675"/>
      <c r="CD506" s="549"/>
      <c r="CE506" s="675"/>
      <c r="CF506" s="549"/>
      <c r="CG506" s="675"/>
      <c r="CH506" s="549"/>
      <c r="CI506" s="675"/>
      <c r="CJ506" s="549"/>
      <c r="CK506" s="675"/>
      <c r="CL506" s="549"/>
      <c r="CM506" s="675"/>
      <c r="CN506" s="549"/>
      <c r="CO506" s="675"/>
      <c r="CP506" s="549"/>
      <c r="CQ506" s="675"/>
      <c r="CR506" s="549"/>
      <c r="CS506" s="675"/>
      <c r="CT506" s="549"/>
      <c r="CU506" s="675"/>
      <c r="CV506" s="549"/>
      <c r="CW506" s="675"/>
      <c r="CX506" s="549"/>
      <c r="CY506" s="675"/>
      <c r="CZ506" s="549"/>
      <c r="DA506" s="675"/>
      <c r="DB506" s="549"/>
      <c r="DC506" s="675"/>
      <c r="DD506" s="549"/>
      <c r="DE506" s="675"/>
      <c r="DF506" s="549"/>
      <c r="DG506" s="675"/>
      <c r="DH506" s="549"/>
      <c r="DI506" s="675"/>
      <c r="DJ506" s="549"/>
      <c r="DK506" s="675"/>
      <c r="DL506" s="549"/>
      <c r="DM506" s="675"/>
      <c r="DN506" s="549"/>
      <c r="DO506" s="675"/>
      <c r="DP506" s="549"/>
      <c r="DQ506" s="675"/>
      <c r="DR506" s="549"/>
      <c r="DS506" s="675"/>
      <c r="DT506" s="549"/>
      <c r="DU506" s="675"/>
      <c r="DV506" s="549"/>
      <c r="DW506" s="675"/>
      <c r="DX506" s="549"/>
      <c r="DY506" s="675"/>
      <c r="DZ506" s="549"/>
      <c r="EA506" s="675"/>
      <c r="EB506" s="549"/>
      <c r="EC506" s="675"/>
      <c r="ED506" s="549"/>
      <c r="EE506" s="675"/>
      <c r="EF506" s="549"/>
      <c r="EG506" s="675"/>
      <c r="EH506" s="549"/>
      <c r="EI506" s="675"/>
      <c r="EJ506" s="549"/>
      <c r="EK506" s="675"/>
      <c r="EL506" s="549"/>
      <c r="EM506" s="675"/>
      <c r="EN506" s="549"/>
      <c r="EO506" s="675"/>
      <c r="EP506" s="549"/>
      <c r="EQ506" s="675"/>
      <c r="ER506" s="549"/>
      <c r="ES506" s="675"/>
      <c r="ET506" s="549"/>
      <c r="EU506" s="675"/>
      <c r="EV506" s="549"/>
      <c r="EW506" s="675"/>
      <c r="EX506" s="549"/>
      <c r="EY506" s="675"/>
      <c r="EZ506" s="549"/>
      <c r="FA506" s="675"/>
      <c r="FB506" s="549"/>
      <c r="FC506" s="675"/>
      <c r="FD506" s="549"/>
      <c r="FE506" s="675"/>
      <c r="FF506" s="549"/>
      <c r="FG506" s="675"/>
      <c r="FH506" s="549"/>
      <c r="FI506" s="675"/>
      <c r="FJ506" s="549"/>
      <c r="FK506" s="675"/>
      <c r="FL506" s="549"/>
      <c r="FM506" s="675"/>
      <c r="FN506" s="549"/>
      <c r="FO506" s="675"/>
      <c r="FP506" s="549"/>
      <c r="FQ506" s="675"/>
      <c r="FR506" s="549"/>
      <c r="FS506" s="675"/>
      <c r="FT506" s="549"/>
      <c r="FU506" s="675"/>
      <c r="FV506" s="549"/>
      <c r="FW506" s="675"/>
      <c r="FX506" s="549"/>
      <c r="FY506" s="675"/>
      <c r="FZ506" s="549"/>
      <c r="GA506" s="675"/>
      <c r="GB506" s="549"/>
      <c r="GC506" s="675"/>
      <c r="GD506" s="549"/>
      <c r="GE506" s="675"/>
      <c r="GF506" s="549"/>
      <c r="GG506" s="675"/>
      <c r="GH506" s="549"/>
      <c r="GI506" s="675"/>
      <c r="GJ506" s="549"/>
      <c r="GK506" s="675"/>
      <c r="GL506" s="549"/>
      <c r="GM506" s="675"/>
      <c r="GN506" s="549"/>
      <c r="GO506" s="675"/>
      <c r="GP506" s="549"/>
      <c r="GQ506" s="675"/>
      <c r="GR506" s="74"/>
      <c r="GS506" s="74"/>
      <c r="GT506" s="568"/>
      <c r="GU506" s="74"/>
      <c r="GV506" s="74"/>
      <c r="GW506" s="549"/>
      <c r="GX506" s="549"/>
      <c r="GY506" s="74"/>
      <c r="GZ506" s="74"/>
      <c r="HA506" s="74"/>
      <c r="HB506" s="74"/>
      <c r="HC506" s="74"/>
      <c r="HD506" s="74"/>
      <c r="HE506" s="74"/>
      <c r="HF506" s="74"/>
      <c r="HG506" s="74"/>
      <c r="HH506" s="74"/>
      <c r="HI506" s="792"/>
      <c r="HJ506" s="74"/>
      <c r="HK506" s="792"/>
      <c r="HL506" s="74"/>
      <c r="HM506" s="792"/>
      <c r="HN506" s="74"/>
      <c r="HO506" s="792"/>
      <c r="HP506" s="74"/>
      <c r="HQ506" s="792"/>
      <c r="HR506" s="74"/>
      <c r="HS506" s="792"/>
      <c r="HT506" s="74"/>
      <c r="HU506" s="792"/>
      <c r="HV506" s="74"/>
      <c r="HW506" s="792"/>
      <c r="HX506" s="74"/>
      <c r="HY506" s="792"/>
      <c r="HZ506" s="74"/>
      <c r="IA506" s="792"/>
      <c r="IB506" s="74"/>
      <c r="IC506" s="792"/>
      <c r="ID506" s="74"/>
      <c r="IE506" s="792"/>
      <c r="IF506" s="841"/>
      <c r="IG506" s="263"/>
      <c r="IH506" s="842"/>
      <c r="II506" s="74"/>
      <c r="IJ506" s="74"/>
      <c r="IK506" s="74"/>
      <c r="IL506" s="74"/>
      <c r="IM506" s="74"/>
      <c r="IN506" s="74"/>
      <c r="IO506" s="74"/>
      <c r="IP506" s="74"/>
      <c r="IQ506" s="74"/>
      <c r="IR506" s="74"/>
      <c r="IS506" s="74"/>
      <c r="IT506" s="74"/>
      <c r="IU506" s="74"/>
      <c r="IV506" s="74"/>
      <c r="IW506" s="74"/>
      <c r="IX506" s="74"/>
      <c r="IY506" s="74"/>
      <c r="IZ506" s="74"/>
      <c r="JA506" s="74"/>
      <c r="JB506" s="74"/>
      <c r="JC506" s="74"/>
      <c r="JD506" s="74"/>
      <c r="JE506" s="74"/>
      <c r="JF506" s="74"/>
      <c r="JG506" s="74"/>
      <c r="JH506" s="74"/>
      <c r="JI506" s="74"/>
      <c r="JJ506" s="74"/>
      <c r="JK506" s="74"/>
      <c r="JL506" s="74"/>
      <c r="JM506" s="74"/>
      <c r="JN506" s="74"/>
      <c r="JO506" s="74"/>
      <c r="JP506" s="74"/>
      <c r="JQ506" s="74"/>
      <c r="JR506" s="74"/>
      <c r="JS506" s="74"/>
      <c r="JT506" s="382"/>
      <c r="JU506" s="665"/>
      <c r="JV506" s="524"/>
      <c r="JW506" s="525"/>
      <c r="JX506" s="549"/>
      <c r="JY506" s="549"/>
      <c r="JZ506" s="581">
        <f t="shared" si="12201"/>
        <v>0</v>
      </c>
      <c r="KA506" s="581">
        <f t="shared" si="12202"/>
        <v>0</v>
      </c>
      <c r="KB506" s="549">
        <f t="shared" si="12194"/>
        <v>0</v>
      </c>
      <c r="KC506" s="709">
        <f t="shared" si="12200"/>
        <v>0</v>
      </c>
      <c r="KD506" s="36"/>
      <c r="KE506" s="36"/>
      <c r="KF506" s="36"/>
      <c r="KG506" s="36"/>
      <c r="KH506" s="36"/>
      <c r="KI506" s="36"/>
      <c r="KJ506" s="36"/>
      <c r="KK506" s="36"/>
    </row>
    <row r="507" spans="1:297" s="8" customFormat="1">
      <c r="A507" s="558" t="s">
        <v>928</v>
      </c>
      <c r="B507" s="72"/>
      <c r="C507" s="74">
        <f>C509+C510+C508</f>
        <v>10000</v>
      </c>
      <c r="D507" s="549">
        <f t="shared" ref="D507:E507" si="12297">SUM(D508:D510)</f>
        <v>0</v>
      </c>
      <c r="E507" s="675">
        <f t="shared" si="12297"/>
        <v>0</v>
      </c>
      <c r="F507" s="549">
        <f t="shared" ref="F507:G507" si="12298">SUM(F508:F510)</f>
        <v>0</v>
      </c>
      <c r="G507" s="675">
        <f t="shared" si="12298"/>
        <v>0</v>
      </c>
      <c r="H507" s="549">
        <f t="shared" ref="H507:I507" si="12299">SUM(H508:H510)</f>
        <v>0</v>
      </c>
      <c r="I507" s="675">
        <f t="shared" si="12299"/>
        <v>0</v>
      </c>
      <c r="J507" s="549">
        <f t="shared" ref="J507:K507" si="12300">SUM(J508:J510)</f>
        <v>0</v>
      </c>
      <c r="K507" s="675">
        <f t="shared" si="12300"/>
        <v>0</v>
      </c>
      <c r="L507" s="549">
        <f t="shared" ref="L507:M507" si="12301">SUM(L508:L510)</f>
        <v>0</v>
      </c>
      <c r="M507" s="675">
        <f t="shared" si="12301"/>
        <v>0</v>
      </c>
      <c r="N507" s="549">
        <f t="shared" ref="N507:O507" si="12302">SUM(N508:N510)</f>
        <v>0</v>
      </c>
      <c r="O507" s="675">
        <f t="shared" si="12302"/>
        <v>0</v>
      </c>
      <c r="P507" s="549">
        <f t="shared" ref="P507:Q507" si="12303">SUM(P508:P510)</f>
        <v>0</v>
      </c>
      <c r="Q507" s="675">
        <f t="shared" si="12303"/>
        <v>0</v>
      </c>
      <c r="R507" s="549">
        <f t="shared" ref="R507:S507" si="12304">SUM(R508:R510)</f>
        <v>0</v>
      </c>
      <c r="S507" s="675">
        <f t="shared" si="12304"/>
        <v>0</v>
      </c>
      <c r="T507" s="549">
        <f t="shared" ref="T507:U507" si="12305">SUM(T508:T510)</f>
        <v>0</v>
      </c>
      <c r="U507" s="675">
        <f t="shared" si="12305"/>
        <v>0</v>
      </c>
      <c r="V507" s="549">
        <f t="shared" ref="V507:W507" si="12306">SUM(V508:V510)</f>
        <v>0</v>
      </c>
      <c r="W507" s="675">
        <f t="shared" si="12306"/>
        <v>0</v>
      </c>
      <c r="X507" s="549">
        <f t="shared" ref="X507:Y507" si="12307">SUM(X508:X510)</f>
        <v>0</v>
      </c>
      <c r="Y507" s="675">
        <f t="shared" si="12307"/>
        <v>0</v>
      </c>
      <c r="Z507" s="549">
        <f t="shared" ref="Z507:AA507" si="12308">SUM(Z508:Z510)</f>
        <v>0</v>
      </c>
      <c r="AA507" s="675">
        <f t="shared" si="12308"/>
        <v>0</v>
      </c>
      <c r="AB507" s="549">
        <f t="shared" ref="AB507:AC507" si="12309">SUM(AB508:AB510)</f>
        <v>0</v>
      </c>
      <c r="AC507" s="675">
        <f t="shared" si="12309"/>
        <v>0</v>
      </c>
      <c r="AD507" s="549">
        <f t="shared" ref="AD507:AE507" si="12310">SUM(AD508:AD510)</f>
        <v>0</v>
      </c>
      <c r="AE507" s="675">
        <f t="shared" si="12310"/>
        <v>0</v>
      </c>
      <c r="AF507" s="549">
        <f t="shared" ref="AF507:AI507" si="12311">SUM(AF508:AF510)</f>
        <v>0</v>
      </c>
      <c r="AG507" s="675">
        <f t="shared" si="12311"/>
        <v>0</v>
      </c>
      <c r="AH507" s="549">
        <f t="shared" si="12311"/>
        <v>0</v>
      </c>
      <c r="AI507" s="675">
        <f t="shared" si="12311"/>
        <v>-5000</v>
      </c>
      <c r="AJ507" s="549">
        <f t="shared" ref="AJ507:AK507" si="12312">SUM(AJ508:AJ510)</f>
        <v>0</v>
      </c>
      <c r="AK507" s="675">
        <f t="shared" si="12312"/>
        <v>0</v>
      </c>
      <c r="AL507" s="549">
        <f t="shared" ref="AL507:AM507" si="12313">SUM(AL508:AL510)</f>
        <v>0</v>
      </c>
      <c r="AM507" s="675">
        <f t="shared" si="12313"/>
        <v>0</v>
      </c>
      <c r="AN507" s="549">
        <f t="shared" ref="AN507:AO507" si="12314">SUM(AN508:AN510)</f>
        <v>0</v>
      </c>
      <c r="AO507" s="675">
        <f t="shared" si="12314"/>
        <v>0</v>
      </c>
      <c r="AP507" s="549">
        <f t="shared" ref="AP507:AQ507" si="12315">SUM(AP508:AP510)</f>
        <v>0</v>
      </c>
      <c r="AQ507" s="675">
        <f t="shared" si="12315"/>
        <v>0</v>
      </c>
      <c r="AR507" s="549">
        <f t="shared" ref="AR507:AS507" si="12316">SUM(AR508:AR510)</f>
        <v>0</v>
      </c>
      <c r="AS507" s="675">
        <f t="shared" si="12316"/>
        <v>0</v>
      </c>
      <c r="AT507" s="549">
        <f t="shared" ref="AT507:AU507" si="12317">SUM(AT508:AT510)</f>
        <v>0</v>
      </c>
      <c r="AU507" s="675">
        <f t="shared" si="12317"/>
        <v>0</v>
      </c>
      <c r="AV507" s="549">
        <f t="shared" ref="AV507:AW507" si="12318">SUM(AV508:AV510)</f>
        <v>0</v>
      </c>
      <c r="AW507" s="675">
        <f t="shared" si="12318"/>
        <v>0</v>
      </c>
      <c r="AX507" s="549">
        <f t="shared" ref="AX507:AY507" si="12319">SUM(AX508:AX510)</f>
        <v>0</v>
      </c>
      <c r="AY507" s="675">
        <f t="shared" si="12319"/>
        <v>0</v>
      </c>
      <c r="AZ507" s="549">
        <f t="shared" ref="AZ507:BA507" si="12320">SUM(AZ508:AZ510)</f>
        <v>0</v>
      </c>
      <c r="BA507" s="675">
        <f t="shared" si="12320"/>
        <v>0</v>
      </c>
      <c r="BB507" s="549">
        <f t="shared" ref="BB507:BC507" si="12321">SUM(BB508:BB510)</f>
        <v>0</v>
      </c>
      <c r="BC507" s="675">
        <f t="shared" si="12321"/>
        <v>0</v>
      </c>
      <c r="BD507" s="549">
        <f t="shared" ref="BD507:BE507" si="12322">SUM(BD508:BD510)</f>
        <v>0</v>
      </c>
      <c r="BE507" s="675">
        <f t="shared" si="12322"/>
        <v>0</v>
      </c>
      <c r="BF507" s="549">
        <f t="shared" ref="BF507:BG507" si="12323">SUM(BF508:BF510)</f>
        <v>0</v>
      </c>
      <c r="BG507" s="675">
        <f t="shared" si="12323"/>
        <v>0</v>
      </c>
      <c r="BH507" s="549">
        <f t="shared" ref="BH507:BI507" si="12324">SUM(BH508:BH510)</f>
        <v>0</v>
      </c>
      <c r="BI507" s="675">
        <f t="shared" si="12324"/>
        <v>0</v>
      </c>
      <c r="BJ507" s="549">
        <f t="shared" ref="BJ507:BK507" si="12325">SUM(BJ508:BJ510)</f>
        <v>0</v>
      </c>
      <c r="BK507" s="675">
        <f t="shared" si="12325"/>
        <v>0</v>
      </c>
      <c r="BL507" s="549">
        <f t="shared" ref="BL507:BM507" si="12326">SUM(BL508:BL510)</f>
        <v>0</v>
      </c>
      <c r="BM507" s="675">
        <f t="shared" si="12326"/>
        <v>0</v>
      </c>
      <c r="BN507" s="549">
        <f t="shared" ref="BN507:BO507" si="12327">SUM(BN508:BN510)</f>
        <v>0</v>
      </c>
      <c r="BO507" s="675">
        <f t="shared" si="12327"/>
        <v>0</v>
      </c>
      <c r="BP507" s="549">
        <f t="shared" ref="BP507:BQ507" si="12328">SUM(BP508:BP510)</f>
        <v>0</v>
      </c>
      <c r="BQ507" s="675">
        <f t="shared" si="12328"/>
        <v>0</v>
      </c>
      <c r="BR507" s="549">
        <f t="shared" ref="BR507:BS507" si="12329">SUM(BR508:BR510)</f>
        <v>0</v>
      </c>
      <c r="BS507" s="675">
        <f t="shared" si="12329"/>
        <v>0</v>
      </c>
      <c r="BT507" s="549">
        <f t="shared" ref="BT507:BU507" si="12330">SUM(BT508:BT510)</f>
        <v>0</v>
      </c>
      <c r="BU507" s="675">
        <f t="shared" si="12330"/>
        <v>0</v>
      </c>
      <c r="BV507" s="549">
        <f t="shared" ref="BV507:BW507" si="12331">SUM(BV508:BV510)</f>
        <v>0</v>
      </c>
      <c r="BW507" s="675">
        <f t="shared" si="12331"/>
        <v>0</v>
      </c>
      <c r="BX507" s="549">
        <f t="shared" ref="BX507:BY507" si="12332">SUM(BX508:BX510)</f>
        <v>0</v>
      </c>
      <c r="BY507" s="675">
        <f t="shared" si="12332"/>
        <v>0</v>
      </c>
      <c r="BZ507" s="549">
        <f t="shared" ref="BZ507:CA507" si="12333">SUM(BZ508:BZ510)</f>
        <v>0</v>
      </c>
      <c r="CA507" s="675">
        <f t="shared" si="12333"/>
        <v>0</v>
      </c>
      <c r="CB507" s="549">
        <f t="shared" ref="CB507:CC507" si="12334">SUM(CB508:CB510)</f>
        <v>0</v>
      </c>
      <c r="CC507" s="675">
        <f t="shared" si="12334"/>
        <v>0</v>
      </c>
      <c r="CD507" s="549">
        <f t="shared" ref="CD507:CE507" si="12335">SUM(CD508:CD510)</f>
        <v>0</v>
      </c>
      <c r="CE507" s="675">
        <f t="shared" si="12335"/>
        <v>0</v>
      </c>
      <c r="CF507" s="549">
        <f t="shared" ref="CF507:CG507" si="12336">SUM(CF508:CF510)</f>
        <v>0</v>
      </c>
      <c r="CG507" s="675">
        <f t="shared" si="12336"/>
        <v>0</v>
      </c>
      <c r="CH507" s="549">
        <f t="shared" ref="CH507:CI507" si="12337">SUM(CH508:CH510)</f>
        <v>0</v>
      </c>
      <c r="CI507" s="675">
        <f t="shared" si="12337"/>
        <v>0</v>
      </c>
      <c r="CJ507" s="549">
        <f t="shared" ref="CJ507:CK507" si="12338">SUM(CJ508:CJ510)</f>
        <v>0</v>
      </c>
      <c r="CK507" s="675">
        <f t="shared" si="12338"/>
        <v>-4000</v>
      </c>
      <c r="CL507" s="549">
        <f t="shared" ref="CL507:CM507" si="12339">SUM(CL508:CL510)</f>
        <v>0</v>
      </c>
      <c r="CM507" s="675">
        <f t="shared" si="12339"/>
        <v>0</v>
      </c>
      <c r="CN507" s="549">
        <f t="shared" ref="CN507:CO507" si="12340">SUM(CN508:CN510)</f>
        <v>0</v>
      </c>
      <c r="CO507" s="675">
        <f t="shared" si="12340"/>
        <v>0</v>
      </c>
      <c r="CP507" s="549">
        <f t="shared" ref="CP507:CQ507" si="12341">SUM(CP508:CP510)</f>
        <v>0</v>
      </c>
      <c r="CQ507" s="675">
        <f t="shared" si="12341"/>
        <v>0</v>
      </c>
      <c r="CR507" s="549">
        <f t="shared" ref="CR507:CS507" si="12342">SUM(CR508:CR510)</f>
        <v>0</v>
      </c>
      <c r="CS507" s="675">
        <f t="shared" si="12342"/>
        <v>0</v>
      </c>
      <c r="CT507" s="549">
        <f t="shared" ref="CT507:CU507" si="12343">SUM(CT508:CT510)</f>
        <v>0</v>
      </c>
      <c r="CU507" s="675">
        <f t="shared" si="12343"/>
        <v>0</v>
      </c>
      <c r="CV507" s="549">
        <f t="shared" ref="CV507:CW507" si="12344">SUM(CV508:CV510)</f>
        <v>0</v>
      </c>
      <c r="CW507" s="675">
        <f t="shared" si="12344"/>
        <v>0</v>
      </c>
      <c r="CX507" s="549">
        <f t="shared" ref="CX507:CY507" si="12345">SUM(CX508:CX510)</f>
        <v>0</v>
      </c>
      <c r="CY507" s="675">
        <f t="shared" si="12345"/>
        <v>0</v>
      </c>
      <c r="CZ507" s="549">
        <f t="shared" ref="CZ507:DA507" si="12346">SUM(CZ508:CZ510)</f>
        <v>0</v>
      </c>
      <c r="DA507" s="675">
        <f t="shared" si="12346"/>
        <v>0</v>
      </c>
      <c r="DB507" s="549">
        <f t="shared" ref="DB507:DC507" si="12347">SUM(DB508:DB510)</f>
        <v>0</v>
      </c>
      <c r="DC507" s="675">
        <f t="shared" si="12347"/>
        <v>0</v>
      </c>
      <c r="DD507" s="549">
        <f t="shared" ref="DD507:DE507" si="12348">SUM(DD508:DD510)</f>
        <v>0</v>
      </c>
      <c r="DE507" s="675">
        <f t="shared" si="12348"/>
        <v>0</v>
      </c>
      <c r="DF507" s="549">
        <f t="shared" ref="DF507:DG507" si="12349">SUM(DF508:DF510)</f>
        <v>0</v>
      </c>
      <c r="DG507" s="675">
        <f t="shared" si="12349"/>
        <v>0</v>
      </c>
      <c r="DH507" s="549">
        <f t="shared" ref="DH507:DI507" si="12350">SUM(DH508:DH510)</f>
        <v>0</v>
      </c>
      <c r="DI507" s="675">
        <f t="shared" si="12350"/>
        <v>0</v>
      </c>
      <c r="DJ507" s="549">
        <f t="shared" ref="DJ507:DK507" si="12351">SUM(DJ508:DJ510)</f>
        <v>0</v>
      </c>
      <c r="DK507" s="675">
        <f t="shared" si="12351"/>
        <v>0</v>
      </c>
      <c r="DL507" s="549">
        <f t="shared" ref="DL507:EQ507" si="12352">SUM(DL508:DL510)</f>
        <v>0</v>
      </c>
      <c r="DM507" s="675">
        <f t="shared" si="12352"/>
        <v>0</v>
      </c>
      <c r="DN507" s="549">
        <f t="shared" si="12352"/>
        <v>0</v>
      </c>
      <c r="DO507" s="675">
        <f t="shared" si="12352"/>
        <v>0</v>
      </c>
      <c r="DP507" s="549">
        <f t="shared" si="12352"/>
        <v>0</v>
      </c>
      <c r="DQ507" s="675">
        <f t="shared" si="12352"/>
        <v>0</v>
      </c>
      <c r="DR507" s="549">
        <f t="shared" si="12352"/>
        <v>0</v>
      </c>
      <c r="DS507" s="675">
        <f t="shared" si="12352"/>
        <v>0</v>
      </c>
      <c r="DT507" s="549">
        <f t="shared" si="12352"/>
        <v>0</v>
      </c>
      <c r="DU507" s="675">
        <f t="shared" si="12352"/>
        <v>0</v>
      </c>
      <c r="DV507" s="549">
        <f t="shared" si="12352"/>
        <v>0</v>
      </c>
      <c r="DW507" s="675">
        <f t="shared" si="12352"/>
        <v>0</v>
      </c>
      <c r="DX507" s="549">
        <f t="shared" si="12352"/>
        <v>0</v>
      </c>
      <c r="DY507" s="675">
        <f t="shared" si="12352"/>
        <v>0</v>
      </c>
      <c r="DZ507" s="549">
        <f t="shared" si="12352"/>
        <v>0</v>
      </c>
      <c r="EA507" s="675">
        <f t="shared" si="12352"/>
        <v>0</v>
      </c>
      <c r="EB507" s="549">
        <f t="shared" si="12352"/>
        <v>0</v>
      </c>
      <c r="EC507" s="675">
        <f t="shared" si="12352"/>
        <v>0</v>
      </c>
      <c r="ED507" s="549">
        <f t="shared" si="12352"/>
        <v>0</v>
      </c>
      <c r="EE507" s="675">
        <f t="shared" si="12352"/>
        <v>0</v>
      </c>
      <c r="EF507" s="549">
        <f t="shared" si="12352"/>
        <v>0</v>
      </c>
      <c r="EG507" s="675">
        <f t="shared" si="12352"/>
        <v>0</v>
      </c>
      <c r="EH507" s="549">
        <f t="shared" si="12352"/>
        <v>0</v>
      </c>
      <c r="EI507" s="675">
        <f t="shared" si="12352"/>
        <v>0</v>
      </c>
      <c r="EJ507" s="549">
        <f t="shared" si="12352"/>
        <v>0</v>
      </c>
      <c r="EK507" s="675">
        <f t="shared" si="12352"/>
        <v>0</v>
      </c>
      <c r="EL507" s="549">
        <f t="shared" si="12352"/>
        <v>0</v>
      </c>
      <c r="EM507" s="675">
        <f t="shared" si="12352"/>
        <v>0</v>
      </c>
      <c r="EN507" s="549">
        <f t="shared" si="12352"/>
        <v>0</v>
      </c>
      <c r="EO507" s="675">
        <f t="shared" si="12352"/>
        <v>0</v>
      </c>
      <c r="EP507" s="549">
        <f t="shared" si="12352"/>
        <v>0</v>
      </c>
      <c r="EQ507" s="675">
        <f t="shared" si="12352"/>
        <v>0</v>
      </c>
      <c r="ER507" s="549">
        <f t="shared" ref="ER507:GS507" si="12353">SUM(ER508:ER510)</f>
        <v>0</v>
      </c>
      <c r="ES507" s="675">
        <f t="shared" si="12353"/>
        <v>0</v>
      </c>
      <c r="ET507" s="549">
        <f t="shared" si="12353"/>
        <v>0</v>
      </c>
      <c r="EU507" s="675">
        <f t="shared" si="12353"/>
        <v>0</v>
      </c>
      <c r="EV507" s="549">
        <f t="shared" si="12353"/>
        <v>0</v>
      </c>
      <c r="EW507" s="675">
        <f t="shared" si="12353"/>
        <v>0</v>
      </c>
      <c r="EX507" s="549">
        <f t="shared" si="12353"/>
        <v>0</v>
      </c>
      <c r="EY507" s="675">
        <f t="shared" si="12353"/>
        <v>0</v>
      </c>
      <c r="EZ507" s="549">
        <f t="shared" si="12353"/>
        <v>0</v>
      </c>
      <c r="FA507" s="675">
        <f t="shared" si="12353"/>
        <v>0</v>
      </c>
      <c r="FB507" s="549">
        <f t="shared" si="12353"/>
        <v>0</v>
      </c>
      <c r="FC507" s="675">
        <f t="shared" si="12353"/>
        <v>0</v>
      </c>
      <c r="FD507" s="549">
        <f t="shared" si="12353"/>
        <v>0</v>
      </c>
      <c r="FE507" s="675">
        <f t="shared" si="12353"/>
        <v>-785</v>
      </c>
      <c r="FF507" s="549">
        <f t="shared" si="12353"/>
        <v>0</v>
      </c>
      <c r="FG507" s="675">
        <f t="shared" si="12353"/>
        <v>0</v>
      </c>
      <c r="FH507" s="549">
        <f t="shared" si="12353"/>
        <v>0</v>
      </c>
      <c r="FI507" s="675">
        <f t="shared" si="12353"/>
        <v>0</v>
      </c>
      <c r="FJ507" s="549">
        <f t="shared" si="12353"/>
        <v>0</v>
      </c>
      <c r="FK507" s="675">
        <f t="shared" si="12353"/>
        <v>0</v>
      </c>
      <c r="FL507" s="549">
        <f t="shared" ref="FL507:FM507" si="12354">SUM(FL508:FL510)</f>
        <v>500</v>
      </c>
      <c r="FM507" s="675">
        <f t="shared" si="12354"/>
        <v>0</v>
      </c>
      <c r="FN507" s="549">
        <f t="shared" ref="FN507:FO507" si="12355">SUM(FN508:FN510)</f>
        <v>0</v>
      </c>
      <c r="FO507" s="675">
        <f t="shared" si="12355"/>
        <v>0</v>
      </c>
      <c r="FP507" s="549">
        <f t="shared" ref="FP507:FQ507" si="12356">SUM(FP508:FP510)</f>
        <v>0</v>
      </c>
      <c r="FQ507" s="675">
        <f t="shared" si="12356"/>
        <v>0</v>
      </c>
      <c r="FR507" s="549">
        <f t="shared" ref="FR507:FS507" si="12357">SUM(FR508:FR510)</f>
        <v>0</v>
      </c>
      <c r="FS507" s="675">
        <f t="shared" si="12357"/>
        <v>0</v>
      </c>
      <c r="FT507" s="549">
        <f t="shared" ref="FT507:FU507" si="12358">SUM(FT508:FT510)</f>
        <v>0</v>
      </c>
      <c r="FU507" s="675">
        <f t="shared" si="12358"/>
        <v>0</v>
      </c>
      <c r="FV507" s="549">
        <f t="shared" ref="FV507:GK507" si="12359">SUM(FV508:FV510)</f>
        <v>0</v>
      </c>
      <c r="FW507" s="675">
        <f t="shared" si="12359"/>
        <v>0</v>
      </c>
      <c r="FX507" s="549">
        <f t="shared" si="12359"/>
        <v>0</v>
      </c>
      <c r="FY507" s="675">
        <f t="shared" si="12359"/>
        <v>0</v>
      </c>
      <c r="FZ507" s="549">
        <f t="shared" ref="FZ507:GI507" si="12360">SUM(FZ508:FZ510)</f>
        <v>0</v>
      </c>
      <c r="GA507" s="675">
        <f t="shared" si="12360"/>
        <v>0</v>
      </c>
      <c r="GB507" s="549">
        <f t="shared" si="12360"/>
        <v>0</v>
      </c>
      <c r="GC507" s="675">
        <f t="shared" si="12360"/>
        <v>0</v>
      </c>
      <c r="GD507" s="549">
        <f t="shared" si="12360"/>
        <v>0</v>
      </c>
      <c r="GE507" s="675">
        <f t="shared" si="12360"/>
        <v>0</v>
      </c>
      <c r="GF507" s="549">
        <f t="shared" si="12360"/>
        <v>0</v>
      </c>
      <c r="GG507" s="675">
        <f t="shared" si="12360"/>
        <v>0</v>
      </c>
      <c r="GH507" s="549">
        <f t="shared" si="12360"/>
        <v>0</v>
      </c>
      <c r="GI507" s="675">
        <f t="shared" si="12360"/>
        <v>0</v>
      </c>
      <c r="GJ507" s="549">
        <f t="shared" si="12359"/>
        <v>0</v>
      </c>
      <c r="GK507" s="675">
        <f t="shared" si="12359"/>
        <v>0</v>
      </c>
      <c r="GL507" s="549">
        <f t="shared" ref="GL507:GM507" si="12361">SUM(GL508:GL510)</f>
        <v>0</v>
      </c>
      <c r="GM507" s="675">
        <f t="shared" si="12361"/>
        <v>0</v>
      </c>
      <c r="GN507" s="549">
        <f t="shared" ref="GN507:GO507" si="12362">SUM(GN508:GN510)</f>
        <v>0</v>
      </c>
      <c r="GO507" s="675">
        <f t="shared" si="12362"/>
        <v>0</v>
      </c>
      <c r="GP507" s="549">
        <f t="shared" si="12353"/>
        <v>500</v>
      </c>
      <c r="GQ507" s="675">
        <f t="shared" si="12353"/>
        <v>-9785</v>
      </c>
      <c r="GR507" s="74">
        <f t="shared" si="12353"/>
        <v>715</v>
      </c>
      <c r="GS507" s="74">
        <f t="shared" si="12353"/>
        <v>715</v>
      </c>
      <c r="GT507" s="549">
        <f t="shared" ref="GT507:GU507" si="12363">SUM(GT508:GT510)</f>
        <v>715</v>
      </c>
      <c r="GU507" s="74">
        <f t="shared" si="12363"/>
        <v>0</v>
      </c>
      <c r="GV507" s="74">
        <f t="shared" ref="GV507:HF507" si="12364">SUM(GV508:GV510)</f>
        <v>5000</v>
      </c>
      <c r="GW507" s="74">
        <f t="shared" si="12364"/>
        <v>0</v>
      </c>
      <c r="GX507" s="74">
        <f t="shared" si="12364"/>
        <v>5000</v>
      </c>
      <c r="GY507" s="74">
        <f t="shared" si="12364"/>
        <v>0</v>
      </c>
      <c r="GZ507" s="74">
        <f t="shared" si="12364"/>
        <v>0</v>
      </c>
      <c r="HA507" s="74">
        <f t="shared" si="12364"/>
        <v>0</v>
      </c>
      <c r="HB507" s="74">
        <f t="shared" si="12364"/>
        <v>0</v>
      </c>
      <c r="HC507" s="74">
        <f t="shared" si="12364"/>
        <v>0</v>
      </c>
      <c r="HD507" s="74">
        <f t="shared" si="12364"/>
        <v>0</v>
      </c>
      <c r="HE507" s="74">
        <f t="shared" si="12364"/>
        <v>0</v>
      </c>
      <c r="HF507" s="74">
        <f t="shared" si="12364"/>
        <v>0</v>
      </c>
      <c r="HG507" s="74">
        <f t="shared" ref="HG507:IH507" si="12365">SUM(HG508:HG510)</f>
        <v>715</v>
      </c>
      <c r="HH507" s="74">
        <f t="shared" si="12365"/>
        <v>0</v>
      </c>
      <c r="HI507" s="792">
        <f t="shared" si="12365"/>
        <v>0</v>
      </c>
      <c r="HJ507" s="74">
        <f t="shared" si="12365"/>
        <v>5000</v>
      </c>
      <c r="HK507" s="792">
        <f t="shared" si="12365"/>
        <v>0</v>
      </c>
      <c r="HL507" s="74">
        <f t="shared" si="12365"/>
        <v>-5000</v>
      </c>
      <c r="HM507" s="792">
        <f t="shared" si="12365"/>
        <v>0</v>
      </c>
      <c r="HN507" s="74">
        <f t="shared" si="12365"/>
        <v>0</v>
      </c>
      <c r="HO507" s="792">
        <f t="shared" si="12365"/>
        <v>0</v>
      </c>
      <c r="HP507" s="74">
        <f t="shared" si="12365"/>
        <v>0</v>
      </c>
      <c r="HQ507" s="792">
        <f t="shared" si="12365"/>
        <v>0</v>
      </c>
      <c r="HR507" s="74">
        <f t="shared" si="12365"/>
        <v>110</v>
      </c>
      <c r="HS507" s="792">
        <f t="shared" si="12365"/>
        <v>0</v>
      </c>
      <c r="HT507" s="74">
        <f t="shared" si="12365"/>
        <v>0</v>
      </c>
      <c r="HU507" s="792">
        <f t="shared" si="12365"/>
        <v>0</v>
      </c>
      <c r="HV507" s="74">
        <f t="shared" si="12365"/>
        <v>105</v>
      </c>
      <c r="HW507" s="792">
        <f t="shared" si="12365"/>
        <v>0</v>
      </c>
      <c r="HX507" s="74">
        <f t="shared" si="12365"/>
        <v>0</v>
      </c>
      <c r="HY507" s="792">
        <f t="shared" si="12365"/>
        <v>0</v>
      </c>
      <c r="HZ507" s="74">
        <f t="shared" si="12365"/>
        <v>500</v>
      </c>
      <c r="IA507" s="792">
        <f t="shared" si="12365"/>
        <v>0</v>
      </c>
      <c r="IB507" s="74">
        <f t="shared" si="12365"/>
        <v>0</v>
      </c>
      <c r="IC507" s="792">
        <f t="shared" si="12365"/>
        <v>0</v>
      </c>
      <c r="ID507" s="74">
        <f t="shared" si="12365"/>
        <v>0</v>
      </c>
      <c r="IE507" s="792">
        <f t="shared" si="12365"/>
        <v>0</v>
      </c>
      <c r="IF507" s="841">
        <f t="shared" si="12365"/>
        <v>290</v>
      </c>
      <c r="IG507" s="263">
        <f t="shared" si="12365"/>
        <v>290</v>
      </c>
      <c r="IH507" s="842">
        <f t="shared" si="12365"/>
        <v>290</v>
      </c>
      <c r="II507" s="74">
        <f t="shared" ref="II507:JT507" si="12366">SUM(II508:II510)</f>
        <v>0</v>
      </c>
      <c r="IJ507" s="74">
        <f t="shared" si="12366"/>
        <v>0</v>
      </c>
      <c r="IK507" s="74">
        <f t="shared" si="12366"/>
        <v>0</v>
      </c>
      <c r="IL507" s="74">
        <f t="shared" si="12366"/>
        <v>0</v>
      </c>
      <c r="IM507" s="74">
        <f t="shared" si="12366"/>
        <v>0</v>
      </c>
      <c r="IN507" s="74">
        <f t="shared" si="12366"/>
        <v>0</v>
      </c>
      <c r="IO507" s="74">
        <f t="shared" si="12366"/>
        <v>0</v>
      </c>
      <c r="IP507" s="74">
        <f t="shared" si="12366"/>
        <v>0</v>
      </c>
      <c r="IQ507" s="74">
        <f t="shared" si="12366"/>
        <v>0</v>
      </c>
      <c r="IR507" s="74">
        <f t="shared" si="12366"/>
        <v>0</v>
      </c>
      <c r="IS507" s="74">
        <f t="shared" si="12366"/>
        <v>0</v>
      </c>
      <c r="IT507" s="74">
        <f t="shared" si="12366"/>
        <v>0</v>
      </c>
      <c r="IU507" s="74">
        <f t="shared" si="12366"/>
        <v>0</v>
      </c>
      <c r="IV507" s="74">
        <f t="shared" si="12366"/>
        <v>0</v>
      </c>
      <c r="IW507" s="74">
        <f t="shared" si="12366"/>
        <v>0</v>
      </c>
      <c r="IX507" s="74">
        <f t="shared" si="12366"/>
        <v>110</v>
      </c>
      <c r="IY507" s="74">
        <f t="shared" si="12366"/>
        <v>110</v>
      </c>
      <c r="IZ507" s="74">
        <f t="shared" si="12366"/>
        <v>110</v>
      </c>
      <c r="JA507" s="74">
        <f t="shared" si="12366"/>
        <v>0</v>
      </c>
      <c r="JB507" s="74">
        <f t="shared" si="12366"/>
        <v>0</v>
      </c>
      <c r="JC507" s="74">
        <f t="shared" si="12366"/>
        <v>0</v>
      </c>
      <c r="JD507" s="74">
        <f t="shared" si="12366"/>
        <v>105</v>
      </c>
      <c r="JE507" s="74">
        <f t="shared" si="12366"/>
        <v>105</v>
      </c>
      <c r="JF507" s="74">
        <f t="shared" si="12366"/>
        <v>105</v>
      </c>
      <c r="JG507" s="74">
        <f t="shared" si="12366"/>
        <v>0</v>
      </c>
      <c r="JH507" s="74">
        <f t="shared" si="12366"/>
        <v>0</v>
      </c>
      <c r="JI507" s="74">
        <f t="shared" si="12366"/>
        <v>0</v>
      </c>
      <c r="JJ507" s="74">
        <f t="shared" si="12366"/>
        <v>75</v>
      </c>
      <c r="JK507" s="74">
        <f t="shared" si="12366"/>
        <v>75</v>
      </c>
      <c r="JL507" s="74">
        <f t="shared" si="12366"/>
        <v>75</v>
      </c>
      <c r="JM507" s="74">
        <f t="shared" si="12366"/>
        <v>0</v>
      </c>
      <c r="JN507" s="74">
        <f t="shared" si="12366"/>
        <v>0</v>
      </c>
      <c r="JO507" s="74">
        <f t="shared" si="12366"/>
        <v>0</v>
      </c>
      <c r="JP507" s="74">
        <f t="shared" si="12366"/>
        <v>0</v>
      </c>
      <c r="JQ507" s="74">
        <f t="shared" si="12366"/>
        <v>0</v>
      </c>
      <c r="JR507" s="74">
        <f t="shared" si="12366"/>
        <v>0</v>
      </c>
      <c r="JS507" s="74">
        <f t="shared" si="12366"/>
        <v>425</v>
      </c>
      <c r="JT507" s="102">
        <f t="shared" si="12366"/>
        <v>425</v>
      </c>
      <c r="JU507" s="665"/>
      <c r="JV507" s="524"/>
      <c r="JW507" s="525"/>
      <c r="JX507" s="549">
        <f>JX509+JX510+JX508</f>
        <v>715</v>
      </c>
      <c r="JY507" s="549">
        <f>JY509+JY510+JY508</f>
        <v>0</v>
      </c>
      <c r="JZ507" s="581">
        <f>GP507</f>
        <v>500</v>
      </c>
      <c r="KA507" s="581">
        <f>GQ507</f>
        <v>-9785</v>
      </c>
      <c r="KB507" s="549">
        <f>JX507</f>
        <v>715</v>
      </c>
      <c r="KC507" s="709">
        <f t="shared" si="12200"/>
        <v>0</v>
      </c>
      <c r="KD507" s="36"/>
      <c r="KE507" s="36"/>
      <c r="KF507" s="36"/>
      <c r="KG507" s="36"/>
      <c r="KH507" s="36"/>
      <c r="KI507" s="36"/>
      <c r="KJ507" s="36"/>
      <c r="KK507" s="36"/>
    </row>
    <row r="508" spans="1:297" s="8" customFormat="1" ht="12.75" hidden="1" customHeight="1">
      <c r="A508" s="557" t="s">
        <v>1127</v>
      </c>
      <c r="B508" s="72"/>
      <c r="C508" s="74">
        <v>0</v>
      </c>
      <c r="D508" s="549">
        <v>0</v>
      </c>
      <c r="E508" s="675">
        <v>0</v>
      </c>
      <c r="F508" s="549">
        <v>0</v>
      </c>
      <c r="G508" s="675">
        <v>0</v>
      </c>
      <c r="H508" s="549">
        <v>0</v>
      </c>
      <c r="I508" s="675">
        <v>0</v>
      </c>
      <c r="J508" s="549">
        <v>0</v>
      </c>
      <c r="K508" s="675">
        <v>0</v>
      </c>
      <c r="L508" s="549">
        <v>0</v>
      </c>
      <c r="M508" s="675">
        <v>0</v>
      </c>
      <c r="N508" s="549">
        <v>0</v>
      </c>
      <c r="O508" s="675">
        <v>0</v>
      </c>
      <c r="P508" s="549">
        <v>0</v>
      </c>
      <c r="Q508" s="675">
        <v>0</v>
      </c>
      <c r="R508" s="549">
        <v>0</v>
      </c>
      <c r="S508" s="675">
        <v>0</v>
      </c>
      <c r="T508" s="549">
        <v>0</v>
      </c>
      <c r="U508" s="675">
        <v>0</v>
      </c>
      <c r="V508" s="549">
        <v>0</v>
      </c>
      <c r="W508" s="675">
        <v>0</v>
      </c>
      <c r="X508" s="549">
        <v>0</v>
      </c>
      <c r="Y508" s="675">
        <v>0</v>
      </c>
      <c r="Z508" s="549">
        <v>0</v>
      </c>
      <c r="AA508" s="675">
        <v>0</v>
      </c>
      <c r="AB508" s="549">
        <v>0</v>
      </c>
      <c r="AC508" s="675">
        <v>0</v>
      </c>
      <c r="AD508" s="549">
        <v>0</v>
      </c>
      <c r="AE508" s="675">
        <v>0</v>
      </c>
      <c r="AF508" s="549">
        <v>0</v>
      </c>
      <c r="AG508" s="675">
        <v>0</v>
      </c>
      <c r="AH508" s="549">
        <v>0</v>
      </c>
      <c r="AI508" s="675">
        <v>0</v>
      </c>
      <c r="AJ508" s="549">
        <v>0</v>
      </c>
      <c r="AK508" s="675">
        <v>0</v>
      </c>
      <c r="AL508" s="549">
        <v>0</v>
      </c>
      <c r="AM508" s="675">
        <v>0</v>
      </c>
      <c r="AN508" s="549">
        <v>0</v>
      </c>
      <c r="AO508" s="675">
        <v>0</v>
      </c>
      <c r="AP508" s="549">
        <v>0</v>
      </c>
      <c r="AQ508" s="675">
        <v>0</v>
      </c>
      <c r="AR508" s="549">
        <v>0</v>
      </c>
      <c r="AS508" s="675">
        <v>0</v>
      </c>
      <c r="AT508" s="549">
        <v>0</v>
      </c>
      <c r="AU508" s="675">
        <v>0</v>
      </c>
      <c r="AV508" s="549">
        <v>0</v>
      </c>
      <c r="AW508" s="675">
        <v>0</v>
      </c>
      <c r="AX508" s="549">
        <v>0</v>
      </c>
      <c r="AY508" s="675">
        <v>0</v>
      </c>
      <c r="AZ508" s="549">
        <v>0</v>
      </c>
      <c r="BA508" s="675">
        <v>0</v>
      </c>
      <c r="BB508" s="549">
        <v>0</v>
      </c>
      <c r="BC508" s="675">
        <v>0</v>
      </c>
      <c r="BD508" s="549">
        <v>0</v>
      </c>
      <c r="BE508" s="675">
        <v>0</v>
      </c>
      <c r="BF508" s="549">
        <v>0</v>
      </c>
      <c r="BG508" s="675">
        <v>0</v>
      </c>
      <c r="BH508" s="549">
        <v>0</v>
      </c>
      <c r="BI508" s="675">
        <v>0</v>
      </c>
      <c r="BJ508" s="549">
        <v>0</v>
      </c>
      <c r="BK508" s="675">
        <v>0</v>
      </c>
      <c r="BL508" s="549">
        <v>0</v>
      </c>
      <c r="BM508" s="675">
        <v>0</v>
      </c>
      <c r="BN508" s="549">
        <v>0</v>
      </c>
      <c r="BO508" s="675">
        <v>0</v>
      </c>
      <c r="BP508" s="549">
        <v>0</v>
      </c>
      <c r="BQ508" s="675">
        <v>0</v>
      </c>
      <c r="BR508" s="549">
        <v>0</v>
      </c>
      <c r="BS508" s="675">
        <v>0</v>
      </c>
      <c r="BT508" s="549">
        <v>0</v>
      </c>
      <c r="BU508" s="675">
        <v>0</v>
      </c>
      <c r="BV508" s="549">
        <v>0</v>
      </c>
      <c r="BW508" s="675">
        <v>0</v>
      </c>
      <c r="BX508" s="549">
        <v>0</v>
      </c>
      <c r="BY508" s="675">
        <v>0</v>
      </c>
      <c r="BZ508" s="549">
        <v>0</v>
      </c>
      <c r="CA508" s="675">
        <v>0</v>
      </c>
      <c r="CB508" s="549">
        <v>0</v>
      </c>
      <c r="CC508" s="675">
        <v>0</v>
      </c>
      <c r="CD508" s="549">
        <v>0</v>
      </c>
      <c r="CE508" s="675">
        <v>0</v>
      </c>
      <c r="CF508" s="549">
        <v>0</v>
      </c>
      <c r="CG508" s="675">
        <v>0</v>
      </c>
      <c r="CH508" s="549">
        <v>0</v>
      </c>
      <c r="CI508" s="675">
        <v>0</v>
      </c>
      <c r="CJ508" s="549">
        <v>0</v>
      </c>
      <c r="CK508" s="675">
        <v>0</v>
      </c>
      <c r="CL508" s="549">
        <v>0</v>
      </c>
      <c r="CM508" s="675">
        <v>0</v>
      </c>
      <c r="CN508" s="549">
        <v>0</v>
      </c>
      <c r="CO508" s="675">
        <v>0</v>
      </c>
      <c r="CP508" s="549">
        <v>0</v>
      </c>
      <c r="CQ508" s="675">
        <v>0</v>
      </c>
      <c r="CR508" s="549">
        <v>0</v>
      </c>
      <c r="CS508" s="675">
        <v>0</v>
      </c>
      <c r="CT508" s="549">
        <v>0</v>
      </c>
      <c r="CU508" s="675">
        <v>0</v>
      </c>
      <c r="CV508" s="549">
        <v>0</v>
      </c>
      <c r="CW508" s="675">
        <v>0</v>
      </c>
      <c r="CX508" s="549">
        <v>0</v>
      </c>
      <c r="CY508" s="675">
        <v>0</v>
      </c>
      <c r="CZ508" s="549">
        <v>0</v>
      </c>
      <c r="DA508" s="675">
        <v>0</v>
      </c>
      <c r="DB508" s="549">
        <v>0</v>
      </c>
      <c r="DC508" s="675">
        <v>0</v>
      </c>
      <c r="DD508" s="549">
        <v>0</v>
      </c>
      <c r="DE508" s="675">
        <v>0</v>
      </c>
      <c r="DF508" s="549">
        <v>0</v>
      </c>
      <c r="DG508" s="675">
        <v>0</v>
      </c>
      <c r="DH508" s="549">
        <v>0</v>
      </c>
      <c r="DI508" s="675">
        <v>0</v>
      </c>
      <c r="DJ508" s="549">
        <v>0</v>
      </c>
      <c r="DK508" s="675">
        <v>0</v>
      </c>
      <c r="DL508" s="549">
        <v>0</v>
      </c>
      <c r="DM508" s="675">
        <v>0</v>
      </c>
      <c r="DN508" s="549">
        <v>0</v>
      </c>
      <c r="DO508" s="675">
        <v>0</v>
      </c>
      <c r="DP508" s="549">
        <v>0</v>
      </c>
      <c r="DQ508" s="675">
        <v>0</v>
      </c>
      <c r="DR508" s="549">
        <v>0</v>
      </c>
      <c r="DS508" s="675">
        <v>0</v>
      </c>
      <c r="DT508" s="549">
        <v>0</v>
      </c>
      <c r="DU508" s="675">
        <v>0</v>
      </c>
      <c r="DV508" s="549">
        <v>0</v>
      </c>
      <c r="DW508" s="675">
        <v>0</v>
      </c>
      <c r="DX508" s="549">
        <v>0</v>
      </c>
      <c r="DY508" s="675">
        <v>0</v>
      </c>
      <c r="DZ508" s="549">
        <v>0</v>
      </c>
      <c r="EA508" s="675">
        <v>0</v>
      </c>
      <c r="EB508" s="549">
        <v>0</v>
      </c>
      <c r="EC508" s="675">
        <v>0</v>
      </c>
      <c r="ED508" s="549">
        <v>0</v>
      </c>
      <c r="EE508" s="675">
        <v>0</v>
      </c>
      <c r="EF508" s="549">
        <v>0</v>
      </c>
      <c r="EG508" s="675">
        <v>0</v>
      </c>
      <c r="EH508" s="549">
        <v>0</v>
      </c>
      <c r="EI508" s="675">
        <v>0</v>
      </c>
      <c r="EJ508" s="549">
        <v>0</v>
      </c>
      <c r="EK508" s="675">
        <v>0</v>
      </c>
      <c r="EL508" s="549">
        <v>0</v>
      </c>
      <c r="EM508" s="675">
        <v>0</v>
      </c>
      <c r="EN508" s="549">
        <v>0</v>
      </c>
      <c r="EO508" s="675">
        <v>0</v>
      </c>
      <c r="EP508" s="549">
        <v>0</v>
      </c>
      <c r="EQ508" s="675">
        <v>0</v>
      </c>
      <c r="ER508" s="549">
        <v>0</v>
      </c>
      <c r="ES508" s="675">
        <v>0</v>
      </c>
      <c r="ET508" s="549">
        <v>0</v>
      </c>
      <c r="EU508" s="675">
        <v>0</v>
      </c>
      <c r="EV508" s="549">
        <v>0</v>
      </c>
      <c r="EW508" s="675">
        <v>0</v>
      </c>
      <c r="EX508" s="549">
        <v>0</v>
      </c>
      <c r="EY508" s="675">
        <v>0</v>
      </c>
      <c r="EZ508" s="549">
        <v>0</v>
      </c>
      <c r="FA508" s="675">
        <v>0</v>
      </c>
      <c r="FB508" s="549">
        <v>0</v>
      </c>
      <c r="FC508" s="675">
        <v>0</v>
      </c>
      <c r="FD508" s="549">
        <v>0</v>
      </c>
      <c r="FE508" s="675">
        <v>0</v>
      </c>
      <c r="FF508" s="549">
        <v>0</v>
      </c>
      <c r="FG508" s="675">
        <v>0</v>
      </c>
      <c r="FH508" s="549">
        <v>0</v>
      </c>
      <c r="FI508" s="675">
        <v>0</v>
      </c>
      <c r="FJ508" s="549">
        <v>0</v>
      </c>
      <c r="FK508" s="675">
        <v>0</v>
      </c>
      <c r="FL508" s="549">
        <v>0</v>
      </c>
      <c r="FM508" s="675">
        <v>0</v>
      </c>
      <c r="FN508" s="549">
        <v>0</v>
      </c>
      <c r="FO508" s="675">
        <v>0</v>
      </c>
      <c r="FP508" s="549">
        <v>0</v>
      </c>
      <c r="FQ508" s="675">
        <v>0</v>
      </c>
      <c r="FR508" s="549">
        <v>0</v>
      </c>
      <c r="FS508" s="675">
        <v>0</v>
      </c>
      <c r="FT508" s="549">
        <v>0</v>
      </c>
      <c r="FU508" s="675">
        <v>0</v>
      </c>
      <c r="FV508" s="549">
        <v>0</v>
      </c>
      <c r="FW508" s="675">
        <v>0</v>
      </c>
      <c r="FX508" s="549">
        <v>0</v>
      </c>
      <c r="FY508" s="675">
        <v>0</v>
      </c>
      <c r="FZ508" s="549">
        <v>0</v>
      </c>
      <c r="GA508" s="675">
        <v>0</v>
      </c>
      <c r="GB508" s="549">
        <v>0</v>
      </c>
      <c r="GC508" s="675">
        <v>0</v>
      </c>
      <c r="GD508" s="549">
        <v>0</v>
      </c>
      <c r="GE508" s="675">
        <v>0</v>
      </c>
      <c r="GF508" s="549">
        <v>0</v>
      </c>
      <c r="GG508" s="675">
        <v>0</v>
      </c>
      <c r="GH508" s="549">
        <v>0</v>
      </c>
      <c r="GI508" s="675">
        <v>0</v>
      </c>
      <c r="GJ508" s="549">
        <v>0</v>
      </c>
      <c r="GK508" s="675">
        <v>0</v>
      </c>
      <c r="GL508" s="549">
        <v>0</v>
      </c>
      <c r="GM508" s="675">
        <v>0</v>
      </c>
      <c r="GN508" s="549">
        <v>0</v>
      </c>
      <c r="GO508" s="675">
        <v>0</v>
      </c>
      <c r="GP508" s="549">
        <f>+D508+F508+H508+J508+L508+N508+P508+R508+T508+V508+X508+Z508+AB508+AD508+AH508+AJ508+AL508+AN508+AP508+AR508+AT508+AV508+AX508+AZ508+BB508+BD508+BF508+BH508+BJ508+BL508+BN508+BP508+BR508+BT508+BV508+BX508+BZ508+CB508+CD508+CF508+CH508+CJ508+CL508+CN508+CP508+CR508+CT508+CV508+CX508+CZ508+DB508+DD508+DF508+DH508+DT508+EX508+DJ508+DL508+DN508+DP508+DR508+EJ508+EB508+DZ508+DX508+DV508+ED508+EF508+EH508+EL508+EN508+EP508+EV508+ET508+ER508+EZ508+FB508+FD508+GL508+FF508+FJ508+FL508+GJ508+FT508+FR508+FP508+FN508+FH508</f>
        <v>0</v>
      </c>
      <c r="GQ508" s="675">
        <f>+E508+G508+I508+K508+M508+O508+Q508+S508+U508+W508+Y508+AA508+AC508+AE508+AI508+AK508+AM508+AO508+AQ508+AS508+AU508+AW508+AY508+BA508+BC508+BE508+BG508+BI508+BK508+BM508+BO508+BQ508+BS508+BU508+BW508+BY508+CA508+CC508+CE508+CG508+CI508+CK508+CM508+CO508+CQ508+CS508+CU508+CW508+CY508+DA508+DC508+DE508+DG508+DI508+DU508+EY508+DK508+DM508+DO508+DQ508+DS508+EK508+EC508+EA508+DY508+DW508+EI508+EG508+EE508+EM508+EO508+EQ508+EW508+EU508+ES508+FA508+FC508+FE508+GM508+FG508+FK508+FM508+FO508+FQ508+FS508+FU508+GK508+FI508</f>
        <v>0</v>
      </c>
      <c r="GR508" s="74">
        <f>C508+GP508+GQ508</f>
        <v>0</v>
      </c>
      <c r="GS508" s="74">
        <f t="shared" ref="GS508:GS509" si="12367">SUM(GU508:HE508)+GP508+GQ508</f>
        <v>0</v>
      </c>
      <c r="GT508" s="568">
        <f t="shared" ref="GT508:GT510" si="12368">SUM(GU508:HF508)+GQ508+GP508</f>
        <v>0</v>
      </c>
      <c r="GU508" s="74"/>
      <c r="GV508" s="74"/>
      <c r="GW508" s="549"/>
      <c r="GX508" s="549"/>
      <c r="GY508" s="74"/>
      <c r="GZ508" s="74"/>
      <c r="HA508" s="74"/>
      <c r="HB508" s="74"/>
      <c r="HC508" s="74"/>
      <c r="HD508" s="74"/>
      <c r="HE508" s="74"/>
      <c r="HF508" s="74"/>
      <c r="HG508" s="74">
        <f>SUM(HH508:IE508)</f>
        <v>0</v>
      </c>
      <c r="HH508" s="89">
        <v>0</v>
      </c>
      <c r="HI508" s="817">
        <v>0</v>
      </c>
      <c r="HJ508" s="89">
        <v>0</v>
      </c>
      <c r="HK508" s="817">
        <v>0</v>
      </c>
      <c r="HL508" s="89">
        <v>0</v>
      </c>
      <c r="HM508" s="817">
        <v>0</v>
      </c>
      <c r="HN508" s="89">
        <v>0</v>
      </c>
      <c r="HO508" s="817">
        <v>0</v>
      </c>
      <c r="HP508" s="89">
        <v>0</v>
      </c>
      <c r="HQ508" s="817">
        <v>0</v>
      </c>
      <c r="HR508" s="89">
        <v>0</v>
      </c>
      <c r="HS508" s="817">
        <v>0</v>
      </c>
      <c r="HT508" s="89">
        <v>0</v>
      </c>
      <c r="HU508" s="817">
        <v>0</v>
      </c>
      <c r="HV508" s="89">
        <v>0</v>
      </c>
      <c r="HW508" s="817">
        <v>0</v>
      </c>
      <c r="HX508" s="89">
        <v>0</v>
      </c>
      <c r="HY508" s="817">
        <v>0</v>
      </c>
      <c r="HZ508" s="89">
        <v>0</v>
      </c>
      <c r="IA508" s="817">
        <v>0</v>
      </c>
      <c r="IB508" s="89">
        <v>0</v>
      </c>
      <c r="IC508" s="817">
        <v>0</v>
      </c>
      <c r="ID508" s="89">
        <v>0</v>
      </c>
      <c r="IE508" s="817">
        <v>0</v>
      </c>
      <c r="IF508" s="841">
        <f t="shared" ref="IF508:IF510" si="12369">SUM(II508,IL508,IO508,IR508,IU508,IX508,JA508,JD508,JG508,JJ508,JM508,JP508)</f>
        <v>0</v>
      </c>
      <c r="IG508" s="263">
        <f t="shared" ref="IG508:IG510" si="12370">SUM(IJ508,IM508,IP508,IS508,IV508,IY508,JB508,JE508,JH508,JK508,JN508,JQ508)</f>
        <v>0</v>
      </c>
      <c r="IH508" s="842">
        <f t="shared" ref="IH508:IH510" si="12371">SUM(IK508,IN508,IQ508,IT508,IW508,IZ508,JC508,JF508,JI508,JL508,JO508,JR508)</f>
        <v>0</v>
      </c>
      <c r="II508" s="89">
        <v>0</v>
      </c>
      <c r="IJ508" s="89">
        <f t="shared" ref="IJ508:IJ510" si="12372">II508</f>
        <v>0</v>
      </c>
      <c r="IK508" s="89">
        <f t="shared" ref="IK508:IK510" si="12373">IJ508</f>
        <v>0</v>
      </c>
      <c r="IL508" s="89">
        <v>0</v>
      </c>
      <c r="IM508" s="89">
        <f t="shared" ref="IM508:IM510" si="12374">IL508</f>
        <v>0</v>
      </c>
      <c r="IN508" s="89">
        <f t="shared" ref="IN508:IN510" si="12375">IM508</f>
        <v>0</v>
      </c>
      <c r="IO508" s="89">
        <v>0</v>
      </c>
      <c r="IP508" s="89">
        <f t="shared" ref="IP508:IP510" si="12376">IO508</f>
        <v>0</v>
      </c>
      <c r="IQ508" s="89">
        <f t="shared" ref="IQ508:IQ510" si="12377">IP508</f>
        <v>0</v>
      </c>
      <c r="IR508" s="89">
        <v>0</v>
      </c>
      <c r="IS508" s="89">
        <f t="shared" ref="IS508:IS510" si="12378">IR508</f>
        <v>0</v>
      </c>
      <c r="IT508" s="89">
        <f t="shared" ref="IT508:IT510" si="12379">IS508</f>
        <v>0</v>
      </c>
      <c r="IU508" s="89">
        <v>0</v>
      </c>
      <c r="IV508" s="89">
        <f t="shared" ref="IV508:IV510" si="12380">IU508</f>
        <v>0</v>
      </c>
      <c r="IW508" s="89">
        <f t="shared" ref="IW508:IW510" si="12381">IV508</f>
        <v>0</v>
      </c>
      <c r="IX508" s="89">
        <v>0</v>
      </c>
      <c r="IY508" s="89">
        <f t="shared" ref="IY508:IY510" si="12382">IX508</f>
        <v>0</v>
      </c>
      <c r="IZ508" s="89">
        <f t="shared" ref="IZ508:IZ510" si="12383">IY508</f>
        <v>0</v>
      </c>
      <c r="JA508" s="89">
        <v>0</v>
      </c>
      <c r="JB508" s="89">
        <f t="shared" ref="JB508:JB510" si="12384">JA508</f>
        <v>0</v>
      </c>
      <c r="JC508" s="89">
        <f t="shared" ref="JC508:JC510" si="12385">JB508</f>
        <v>0</v>
      </c>
      <c r="JD508" s="89">
        <v>0</v>
      </c>
      <c r="JE508" s="89">
        <f t="shared" ref="JE508:JE510" si="12386">JD508</f>
        <v>0</v>
      </c>
      <c r="JF508" s="89">
        <f t="shared" ref="JF508:JF510" si="12387">JE508</f>
        <v>0</v>
      </c>
      <c r="JG508" s="89">
        <v>0</v>
      </c>
      <c r="JH508" s="89">
        <f t="shared" ref="JH508:JH510" si="12388">JG508</f>
        <v>0</v>
      </c>
      <c r="JI508" s="89">
        <f t="shared" ref="JI508:JI510" si="12389">JH508</f>
        <v>0</v>
      </c>
      <c r="JJ508" s="89">
        <v>0</v>
      </c>
      <c r="JK508" s="89">
        <f t="shared" ref="JK508:JK510" si="12390">JJ508</f>
        <v>0</v>
      </c>
      <c r="JL508" s="89">
        <f t="shared" ref="JL508:JL510" si="12391">JK508</f>
        <v>0</v>
      </c>
      <c r="JM508" s="89">
        <v>0</v>
      </c>
      <c r="JN508" s="89">
        <f t="shared" ref="JN508:JN510" si="12392">JM508</f>
        <v>0</v>
      </c>
      <c r="JO508" s="89">
        <f t="shared" ref="JO508:JO510" si="12393">JN508</f>
        <v>0</v>
      </c>
      <c r="JP508" s="89">
        <v>0</v>
      </c>
      <c r="JQ508" s="89">
        <f t="shared" ref="JQ508:JR508" si="12394">JP508</f>
        <v>0</v>
      </c>
      <c r="JR508" s="89">
        <f t="shared" si="12394"/>
        <v>0</v>
      </c>
      <c r="JS508" s="74">
        <f>HG508-IF508</f>
        <v>0</v>
      </c>
      <c r="JT508" s="382">
        <f>GS508-IF508</f>
        <v>0</v>
      </c>
      <c r="JU508" s="665"/>
      <c r="JV508" s="524"/>
      <c r="JW508" s="525"/>
      <c r="JX508" s="549">
        <f t="shared" ref="JX508:JX509" si="12395">SUM(HH508,HJ508,HL508,HN508,HP508,HR508,HT508,HV508,HX508,HZ508,IB508,ID508)</f>
        <v>0</v>
      </c>
      <c r="JY508" s="549">
        <f t="shared" ref="JY508:JY509" si="12396">SUM(HI508,HK508,HM508,HO508,HQ508,HS508,HU508,HW508,HY508,IA508,IC508,IE508)</f>
        <v>0</v>
      </c>
      <c r="JZ508" s="581">
        <f t="shared" si="12201"/>
        <v>0</v>
      </c>
      <c r="KA508" s="581">
        <f t="shared" si="12202"/>
        <v>0</v>
      </c>
      <c r="KB508" s="549">
        <f t="shared" si="12194"/>
        <v>0</v>
      </c>
      <c r="KC508" s="709">
        <f t="shared" si="12200"/>
        <v>0</v>
      </c>
      <c r="KD508" s="36"/>
      <c r="KE508" s="36"/>
      <c r="KF508" s="36"/>
      <c r="KG508" s="36"/>
      <c r="KH508" s="36"/>
      <c r="KI508" s="36"/>
      <c r="KJ508" s="36"/>
      <c r="KK508" s="36"/>
    </row>
    <row r="509" spans="1:297" s="10" customFormat="1" ht="12.75" hidden="1" customHeight="1">
      <c r="A509" s="557" t="s">
        <v>927</v>
      </c>
      <c r="B509" s="77"/>
      <c r="C509" s="74">
        <v>0</v>
      </c>
      <c r="D509" s="549">
        <v>0</v>
      </c>
      <c r="E509" s="675">
        <v>0</v>
      </c>
      <c r="F509" s="549">
        <v>0</v>
      </c>
      <c r="G509" s="675">
        <v>0</v>
      </c>
      <c r="H509" s="549">
        <v>0</v>
      </c>
      <c r="I509" s="675">
        <v>0</v>
      </c>
      <c r="J509" s="549">
        <v>0</v>
      </c>
      <c r="K509" s="675">
        <v>0</v>
      </c>
      <c r="L509" s="549">
        <v>0</v>
      </c>
      <c r="M509" s="675">
        <v>0</v>
      </c>
      <c r="N509" s="549">
        <v>0</v>
      </c>
      <c r="O509" s="675">
        <v>0</v>
      </c>
      <c r="P509" s="549">
        <v>0</v>
      </c>
      <c r="Q509" s="675">
        <v>0</v>
      </c>
      <c r="R509" s="549">
        <v>0</v>
      </c>
      <c r="S509" s="675">
        <v>0</v>
      </c>
      <c r="T509" s="549">
        <v>0</v>
      </c>
      <c r="U509" s="675">
        <v>0</v>
      </c>
      <c r="V509" s="549">
        <v>0</v>
      </c>
      <c r="W509" s="675">
        <v>0</v>
      </c>
      <c r="X509" s="549">
        <v>0</v>
      </c>
      <c r="Y509" s="675">
        <v>0</v>
      </c>
      <c r="Z509" s="549">
        <v>0</v>
      </c>
      <c r="AA509" s="675">
        <v>0</v>
      </c>
      <c r="AB509" s="549">
        <v>0</v>
      </c>
      <c r="AC509" s="675">
        <v>0</v>
      </c>
      <c r="AD509" s="549">
        <v>0</v>
      </c>
      <c r="AE509" s="675">
        <v>0</v>
      </c>
      <c r="AF509" s="549">
        <v>0</v>
      </c>
      <c r="AG509" s="675">
        <v>0</v>
      </c>
      <c r="AH509" s="549">
        <v>0</v>
      </c>
      <c r="AI509" s="675">
        <v>0</v>
      </c>
      <c r="AJ509" s="549">
        <v>0</v>
      </c>
      <c r="AK509" s="675">
        <v>0</v>
      </c>
      <c r="AL509" s="549">
        <v>0</v>
      </c>
      <c r="AM509" s="675">
        <v>0</v>
      </c>
      <c r="AN509" s="549">
        <v>0</v>
      </c>
      <c r="AO509" s="675">
        <v>0</v>
      </c>
      <c r="AP509" s="549">
        <v>0</v>
      </c>
      <c r="AQ509" s="675">
        <v>0</v>
      </c>
      <c r="AR509" s="549">
        <v>0</v>
      </c>
      <c r="AS509" s="675">
        <v>0</v>
      </c>
      <c r="AT509" s="549">
        <v>0</v>
      </c>
      <c r="AU509" s="675">
        <v>0</v>
      </c>
      <c r="AV509" s="549">
        <v>0</v>
      </c>
      <c r="AW509" s="675">
        <v>0</v>
      </c>
      <c r="AX509" s="549">
        <v>0</v>
      </c>
      <c r="AY509" s="675">
        <v>0</v>
      </c>
      <c r="AZ509" s="549">
        <v>0</v>
      </c>
      <c r="BA509" s="675">
        <v>0</v>
      </c>
      <c r="BB509" s="549">
        <v>0</v>
      </c>
      <c r="BC509" s="675">
        <v>0</v>
      </c>
      <c r="BD509" s="549">
        <v>0</v>
      </c>
      <c r="BE509" s="675">
        <v>0</v>
      </c>
      <c r="BF509" s="549">
        <v>0</v>
      </c>
      <c r="BG509" s="675">
        <v>0</v>
      </c>
      <c r="BH509" s="549">
        <v>0</v>
      </c>
      <c r="BI509" s="675">
        <v>0</v>
      </c>
      <c r="BJ509" s="549">
        <v>0</v>
      </c>
      <c r="BK509" s="675">
        <v>0</v>
      </c>
      <c r="BL509" s="549">
        <v>0</v>
      </c>
      <c r="BM509" s="675">
        <v>0</v>
      </c>
      <c r="BN509" s="549">
        <v>0</v>
      </c>
      <c r="BO509" s="675">
        <v>0</v>
      </c>
      <c r="BP509" s="549">
        <v>0</v>
      </c>
      <c r="BQ509" s="675">
        <v>0</v>
      </c>
      <c r="BR509" s="549">
        <v>0</v>
      </c>
      <c r="BS509" s="675">
        <v>0</v>
      </c>
      <c r="BT509" s="549">
        <v>0</v>
      </c>
      <c r="BU509" s="675">
        <v>0</v>
      </c>
      <c r="BV509" s="549">
        <v>0</v>
      </c>
      <c r="BW509" s="675">
        <v>0</v>
      </c>
      <c r="BX509" s="549">
        <v>0</v>
      </c>
      <c r="BY509" s="675">
        <v>0</v>
      </c>
      <c r="BZ509" s="549">
        <v>0</v>
      </c>
      <c r="CA509" s="675">
        <v>0</v>
      </c>
      <c r="CB509" s="549">
        <v>0</v>
      </c>
      <c r="CC509" s="675">
        <v>0</v>
      </c>
      <c r="CD509" s="549">
        <v>0</v>
      </c>
      <c r="CE509" s="675">
        <v>0</v>
      </c>
      <c r="CF509" s="549">
        <v>0</v>
      </c>
      <c r="CG509" s="675">
        <v>0</v>
      </c>
      <c r="CH509" s="549">
        <v>0</v>
      </c>
      <c r="CI509" s="675">
        <v>0</v>
      </c>
      <c r="CJ509" s="549">
        <v>0</v>
      </c>
      <c r="CK509" s="675">
        <v>0</v>
      </c>
      <c r="CL509" s="549">
        <v>0</v>
      </c>
      <c r="CM509" s="675">
        <v>0</v>
      </c>
      <c r="CN509" s="549">
        <v>0</v>
      </c>
      <c r="CO509" s="675">
        <v>0</v>
      </c>
      <c r="CP509" s="549">
        <v>0</v>
      </c>
      <c r="CQ509" s="675">
        <v>0</v>
      </c>
      <c r="CR509" s="549">
        <v>0</v>
      </c>
      <c r="CS509" s="675">
        <v>0</v>
      </c>
      <c r="CT509" s="549">
        <v>0</v>
      </c>
      <c r="CU509" s="675">
        <v>0</v>
      </c>
      <c r="CV509" s="549">
        <v>0</v>
      </c>
      <c r="CW509" s="675">
        <v>0</v>
      </c>
      <c r="CX509" s="549">
        <v>0</v>
      </c>
      <c r="CY509" s="675">
        <v>0</v>
      </c>
      <c r="CZ509" s="549">
        <v>0</v>
      </c>
      <c r="DA509" s="675">
        <v>0</v>
      </c>
      <c r="DB509" s="549">
        <v>0</v>
      </c>
      <c r="DC509" s="675">
        <v>0</v>
      </c>
      <c r="DD509" s="549">
        <v>0</v>
      </c>
      <c r="DE509" s="675">
        <v>0</v>
      </c>
      <c r="DF509" s="549">
        <v>0</v>
      </c>
      <c r="DG509" s="675">
        <v>0</v>
      </c>
      <c r="DH509" s="549">
        <v>0</v>
      </c>
      <c r="DI509" s="675">
        <v>0</v>
      </c>
      <c r="DJ509" s="549">
        <v>0</v>
      </c>
      <c r="DK509" s="675">
        <v>0</v>
      </c>
      <c r="DL509" s="549">
        <v>0</v>
      </c>
      <c r="DM509" s="675">
        <v>0</v>
      </c>
      <c r="DN509" s="549">
        <v>0</v>
      </c>
      <c r="DO509" s="675">
        <v>0</v>
      </c>
      <c r="DP509" s="549">
        <v>0</v>
      </c>
      <c r="DQ509" s="675">
        <v>0</v>
      </c>
      <c r="DR509" s="549">
        <v>0</v>
      </c>
      <c r="DS509" s="675">
        <v>0</v>
      </c>
      <c r="DT509" s="549">
        <v>0</v>
      </c>
      <c r="DU509" s="675">
        <v>0</v>
      </c>
      <c r="DV509" s="549">
        <v>0</v>
      </c>
      <c r="DW509" s="675">
        <v>0</v>
      </c>
      <c r="DX509" s="549">
        <v>0</v>
      </c>
      <c r="DY509" s="675">
        <v>0</v>
      </c>
      <c r="DZ509" s="549">
        <v>0</v>
      </c>
      <c r="EA509" s="675">
        <v>0</v>
      </c>
      <c r="EB509" s="549">
        <v>0</v>
      </c>
      <c r="EC509" s="675">
        <v>0</v>
      </c>
      <c r="ED509" s="549">
        <v>0</v>
      </c>
      <c r="EE509" s="675">
        <v>0</v>
      </c>
      <c r="EF509" s="549">
        <v>0</v>
      </c>
      <c r="EG509" s="675">
        <v>0</v>
      </c>
      <c r="EH509" s="549">
        <v>0</v>
      </c>
      <c r="EI509" s="675">
        <v>0</v>
      </c>
      <c r="EJ509" s="549">
        <v>0</v>
      </c>
      <c r="EK509" s="675">
        <v>0</v>
      </c>
      <c r="EL509" s="549">
        <v>0</v>
      </c>
      <c r="EM509" s="675">
        <v>0</v>
      </c>
      <c r="EN509" s="549">
        <v>0</v>
      </c>
      <c r="EO509" s="675">
        <v>0</v>
      </c>
      <c r="EP509" s="549">
        <v>0</v>
      </c>
      <c r="EQ509" s="675">
        <v>0</v>
      </c>
      <c r="ER509" s="549">
        <v>0</v>
      </c>
      <c r="ES509" s="675">
        <v>0</v>
      </c>
      <c r="ET509" s="549">
        <v>0</v>
      </c>
      <c r="EU509" s="675">
        <v>0</v>
      </c>
      <c r="EV509" s="549">
        <v>0</v>
      </c>
      <c r="EW509" s="675">
        <v>0</v>
      </c>
      <c r="EX509" s="549">
        <v>0</v>
      </c>
      <c r="EY509" s="675">
        <v>0</v>
      </c>
      <c r="EZ509" s="549">
        <v>0</v>
      </c>
      <c r="FA509" s="675">
        <v>0</v>
      </c>
      <c r="FB509" s="549">
        <v>0</v>
      </c>
      <c r="FC509" s="675">
        <v>0</v>
      </c>
      <c r="FD509" s="549">
        <v>0</v>
      </c>
      <c r="FE509" s="675">
        <v>0</v>
      </c>
      <c r="FF509" s="549">
        <v>0</v>
      </c>
      <c r="FG509" s="675">
        <v>0</v>
      </c>
      <c r="FH509" s="549">
        <v>0</v>
      </c>
      <c r="FI509" s="675">
        <v>0</v>
      </c>
      <c r="FJ509" s="549">
        <v>0</v>
      </c>
      <c r="FK509" s="675">
        <v>0</v>
      </c>
      <c r="FL509" s="549">
        <v>0</v>
      </c>
      <c r="FM509" s="675">
        <v>0</v>
      </c>
      <c r="FN509" s="549">
        <v>0</v>
      </c>
      <c r="FO509" s="675">
        <v>0</v>
      </c>
      <c r="FP509" s="549">
        <v>0</v>
      </c>
      <c r="FQ509" s="675">
        <v>0</v>
      </c>
      <c r="FR509" s="549">
        <v>0</v>
      </c>
      <c r="FS509" s="675">
        <v>0</v>
      </c>
      <c r="FT509" s="549">
        <v>0</v>
      </c>
      <c r="FU509" s="675">
        <v>0</v>
      </c>
      <c r="FV509" s="549">
        <v>0</v>
      </c>
      <c r="FW509" s="675">
        <v>0</v>
      </c>
      <c r="FX509" s="549">
        <v>0</v>
      </c>
      <c r="FY509" s="675">
        <v>0</v>
      </c>
      <c r="FZ509" s="549">
        <v>0</v>
      </c>
      <c r="GA509" s="675">
        <v>0</v>
      </c>
      <c r="GB509" s="549">
        <v>0</v>
      </c>
      <c r="GC509" s="675">
        <v>0</v>
      </c>
      <c r="GD509" s="549">
        <v>0</v>
      </c>
      <c r="GE509" s="675">
        <v>0</v>
      </c>
      <c r="GF509" s="549">
        <v>0</v>
      </c>
      <c r="GG509" s="675">
        <v>0</v>
      </c>
      <c r="GH509" s="549">
        <v>0</v>
      </c>
      <c r="GI509" s="675">
        <v>0</v>
      </c>
      <c r="GJ509" s="549">
        <v>0</v>
      </c>
      <c r="GK509" s="675">
        <v>0</v>
      </c>
      <c r="GL509" s="549">
        <v>0</v>
      </c>
      <c r="GM509" s="675">
        <v>0</v>
      </c>
      <c r="GN509" s="549">
        <v>0</v>
      </c>
      <c r="GO509" s="675">
        <v>0</v>
      </c>
      <c r="GP509" s="549">
        <f>+D509+F509+H509+J509+L509+N509+P509+R509+T509+V509+X509+Z509+AB509+AD509+AH509+AJ509+AL509+AN509+AP509+AR509+AT509+AV509+AX509+AZ509+BB509+BD509+BF509+BH509+BJ509+BL509+BN509+BP509+BR509+BT509+BV509+BX509+BZ509+CB509+CD509+CF509+CH509+CJ509+CL509+CN509+CP509+CR509+CT509+CV509+CX509+CZ509+DB509+DD509+DF509+DH509+DT509+EX509+DJ509+DL509+DN509+DP509+DR509+EJ509+EB509+DZ509+DX509+DV509+ED509+EF509+EH509+EL509+EN509+EP509+EV509+ET509+ER509+EZ509+FB509+FD509+GL509+FF509+FJ509+FL509+GJ509+FT509+FR509+FP509+FN509+FH509</f>
        <v>0</v>
      </c>
      <c r="GQ509" s="675">
        <f>+E509+G509+I509+K509+M509+O509+Q509+S509+U509+W509+Y509+AA509+AC509+AE509+AI509+AK509+AM509+AO509+AQ509+AS509+AU509+AW509+AY509+BA509+BC509+BE509+BG509+BI509+BK509+BM509+BO509+BQ509+BS509+BU509+BW509+BY509+CA509+CC509+CE509+CG509+CI509+CK509+CM509+CO509+CQ509+CS509+CU509+CW509+CY509+DA509+DC509+DE509+DG509+DI509+DU509+EY509+DK509+DM509+DO509+DQ509+DS509+EK509+EC509+EA509+DY509+DW509+EI509+EG509+EE509+EM509+EO509+EQ509+EW509+EU509+ES509+FA509+FC509+FE509+GM509+FG509+FK509+FM509+FO509+FQ509+FS509+FU509+GK509+FI509</f>
        <v>0</v>
      </c>
      <c r="GR509" s="74">
        <f>C509+GP509+GQ509</f>
        <v>0</v>
      </c>
      <c r="GS509" s="74">
        <f t="shared" si="12367"/>
        <v>0</v>
      </c>
      <c r="GT509" s="568">
        <f t="shared" si="12368"/>
        <v>0</v>
      </c>
      <c r="GU509" s="275"/>
      <c r="GV509" s="832">
        <v>0</v>
      </c>
      <c r="GW509" s="833">
        <v>0</v>
      </c>
      <c r="GX509" s="588"/>
      <c r="GY509" s="275"/>
      <c r="GZ509" s="275"/>
      <c r="HA509" s="275"/>
      <c r="HB509" s="834">
        <v>0</v>
      </c>
      <c r="HC509" s="275">
        <v>0</v>
      </c>
      <c r="HD509" s="275"/>
      <c r="HE509" s="275"/>
      <c r="HF509" s="275"/>
      <c r="HG509" s="74">
        <f>SUM(HH509:IE509)</f>
        <v>0</v>
      </c>
      <c r="HH509" s="89">
        <v>0</v>
      </c>
      <c r="HI509" s="817">
        <v>0</v>
      </c>
      <c r="HJ509" s="89">
        <v>0</v>
      </c>
      <c r="HK509" s="817">
        <v>0</v>
      </c>
      <c r="HL509" s="89">
        <v>0</v>
      </c>
      <c r="HM509" s="817">
        <v>0</v>
      </c>
      <c r="HN509" s="89">
        <v>0</v>
      </c>
      <c r="HO509" s="817">
        <v>0</v>
      </c>
      <c r="HP509" s="89">
        <v>0</v>
      </c>
      <c r="HQ509" s="817">
        <v>0</v>
      </c>
      <c r="HR509" s="89">
        <v>0</v>
      </c>
      <c r="HS509" s="817">
        <v>0</v>
      </c>
      <c r="HT509" s="89">
        <v>0</v>
      </c>
      <c r="HU509" s="817">
        <v>0</v>
      </c>
      <c r="HV509" s="89">
        <v>0</v>
      </c>
      <c r="HW509" s="817">
        <v>0</v>
      </c>
      <c r="HX509" s="89">
        <v>0</v>
      </c>
      <c r="HY509" s="817">
        <v>0</v>
      </c>
      <c r="HZ509" s="89">
        <v>0</v>
      </c>
      <c r="IA509" s="817">
        <v>0</v>
      </c>
      <c r="IB509" s="89">
        <v>0</v>
      </c>
      <c r="IC509" s="817">
        <v>0</v>
      </c>
      <c r="ID509" s="89">
        <v>0</v>
      </c>
      <c r="IE509" s="817">
        <v>0</v>
      </c>
      <c r="IF509" s="841">
        <f t="shared" si="12369"/>
        <v>0</v>
      </c>
      <c r="IG509" s="263">
        <f t="shared" si="12370"/>
        <v>0</v>
      </c>
      <c r="IH509" s="842">
        <f t="shared" si="12371"/>
        <v>0</v>
      </c>
      <c r="II509" s="89">
        <v>0</v>
      </c>
      <c r="IJ509" s="89">
        <f t="shared" si="12372"/>
        <v>0</v>
      </c>
      <c r="IK509" s="89">
        <f t="shared" si="12373"/>
        <v>0</v>
      </c>
      <c r="IL509" s="89">
        <v>0</v>
      </c>
      <c r="IM509" s="89">
        <f t="shared" si="12374"/>
        <v>0</v>
      </c>
      <c r="IN509" s="89">
        <f t="shared" si="12375"/>
        <v>0</v>
      </c>
      <c r="IO509" s="89">
        <v>0</v>
      </c>
      <c r="IP509" s="89">
        <f t="shared" si="12376"/>
        <v>0</v>
      </c>
      <c r="IQ509" s="89">
        <f t="shared" si="12377"/>
        <v>0</v>
      </c>
      <c r="IR509" s="89">
        <v>0</v>
      </c>
      <c r="IS509" s="89">
        <f t="shared" si="12378"/>
        <v>0</v>
      </c>
      <c r="IT509" s="89">
        <f t="shared" si="12379"/>
        <v>0</v>
      </c>
      <c r="IU509" s="89">
        <v>0</v>
      </c>
      <c r="IV509" s="89">
        <f t="shared" si="12380"/>
        <v>0</v>
      </c>
      <c r="IW509" s="89">
        <f t="shared" si="12381"/>
        <v>0</v>
      </c>
      <c r="IX509" s="89">
        <v>0</v>
      </c>
      <c r="IY509" s="89">
        <f t="shared" si="12382"/>
        <v>0</v>
      </c>
      <c r="IZ509" s="89">
        <f t="shared" si="12383"/>
        <v>0</v>
      </c>
      <c r="JA509" s="89">
        <v>0</v>
      </c>
      <c r="JB509" s="89">
        <f t="shared" si="12384"/>
        <v>0</v>
      </c>
      <c r="JC509" s="89">
        <f t="shared" si="12385"/>
        <v>0</v>
      </c>
      <c r="JD509" s="89">
        <v>0</v>
      </c>
      <c r="JE509" s="89">
        <f t="shared" si="12386"/>
        <v>0</v>
      </c>
      <c r="JF509" s="89">
        <f t="shared" si="12387"/>
        <v>0</v>
      </c>
      <c r="JG509" s="89">
        <v>0</v>
      </c>
      <c r="JH509" s="89">
        <f t="shared" si="12388"/>
        <v>0</v>
      </c>
      <c r="JI509" s="89">
        <f t="shared" si="12389"/>
        <v>0</v>
      </c>
      <c r="JJ509" s="89">
        <v>0</v>
      </c>
      <c r="JK509" s="89">
        <f t="shared" si="12390"/>
        <v>0</v>
      </c>
      <c r="JL509" s="89">
        <f t="shared" si="12391"/>
        <v>0</v>
      </c>
      <c r="JM509" s="89">
        <v>0</v>
      </c>
      <c r="JN509" s="89">
        <f t="shared" si="12392"/>
        <v>0</v>
      </c>
      <c r="JO509" s="89">
        <f t="shared" si="12393"/>
        <v>0</v>
      </c>
      <c r="JP509" s="89">
        <v>0</v>
      </c>
      <c r="JQ509" s="89">
        <f t="shared" ref="JQ509:JR509" si="12397">JP509</f>
        <v>0</v>
      </c>
      <c r="JR509" s="89">
        <f t="shared" si="12397"/>
        <v>0</v>
      </c>
      <c r="JS509" s="74">
        <f>HG509-IF509</f>
        <v>0</v>
      </c>
      <c r="JT509" s="382">
        <f>GS509-IF509</f>
        <v>0</v>
      </c>
      <c r="JU509" s="665"/>
      <c r="JV509" s="524"/>
      <c r="JW509" s="525"/>
      <c r="JX509" s="549">
        <f t="shared" si="12395"/>
        <v>0</v>
      </c>
      <c r="JY509" s="549">
        <f t="shared" si="12396"/>
        <v>0</v>
      </c>
      <c r="JZ509" s="581">
        <f t="shared" si="12201"/>
        <v>0</v>
      </c>
      <c r="KA509" s="581">
        <f t="shared" si="12202"/>
        <v>0</v>
      </c>
      <c r="KB509" s="549">
        <f t="shared" si="12194"/>
        <v>0</v>
      </c>
      <c r="KC509" s="709">
        <f t="shared" si="12200"/>
        <v>0</v>
      </c>
      <c r="KD509" s="57"/>
      <c r="KE509" s="57"/>
      <c r="KF509" s="57"/>
      <c r="KG509" s="57"/>
      <c r="KH509" s="57"/>
      <c r="KI509" s="57"/>
      <c r="KJ509" s="57"/>
      <c r="KK509" s="57"/>
    </row>
    <row r="510" spans="1:297" s="10" customFormat="1">
      <c r="A510" s="86" t="s">
        <v>731</v>
      </c>
      <c r="B510" s="77"/>
      <c r="C510" s="74">
        <v>10000</v>
      </c>
      <c r="D510" s="549">
        <v>0</v>
      </c>
      <c r="E510" s="675">
        <v>0</v>
      </c>
      <c r="F510" s="549">
        <v>0</v>
      </c>
      <c r="G510" s="675">
        <v>0</v>
      </c>
      <c r="H510" s="549">
        <v>0</v>
      </c>
      <c r="I510" s="675">
        <v>0</v>
      </c>
      <c r="J510" s="549">
        <v>0</v>
      </c>
      <c r="K510" s="675">
        <v>0</v>
      </c>
      <c r="L510" s="549">
        <v>0</v>
      </c>
      <c r="M510" s="675">
        <v>0</v>
      </c>
      <c r="N510" s="549">
        <v>0</v>
      </c>
      <c r="O510" s="675">
        <v>0</v>
      </c>
      <c r="P510" s="549">
        <v>0</v>
      </c>
      <c r="Q510" s="675">
        <v>0</v>
      </c>
      <c r="R510" s="549">
        <v>0</v>
      </c>
      <c r="S510" s="675">
        <v>0</v>
      </c>
      <c r="T510" s="549">
        <v>0</v>
      </c>
      <c r="U510" s="675">
        <v>0</v>
      </c>
      <c r="V510" s="549">
        <v>0</v>
      </c>
      <c r="W510" s="675">
        <v>0</v>
      </c>
      <c r="X510" s="549">
        <v>0</v>
      </c>
      <c r="Y510" s="675">
        <v>0</v>
      </c>
      <c r="Z510" s="549">
        <v>0</v>
      </c>
      <c r="AA510" s="675">
        <v>0</v>
      </c>
      <c r="AB510" s="549">
        <v>0</v>
      </c>
      <c r="AC510" s="675">
        <v>0</v>
      </c>
      <c r="AD510" s="549">
        <v>0</v>
      </c>
      <c r="AE510" s="675">
        <v>0</v>
      </c>
      <c r="AF510" s="549">
        <v>0</v>
      </c>
      <c r="AG510" s="675">
        <v>0</v>
      </c>
      <c r="AH510" s="549">
        <v>0</v>
      </c>
      <c r="AI510" s="675">
        <v>-5000</v>
      </c>
      <c r="AJ510" s="549">
        <v>0</v>
      </c>
      <c r="AK510" s="675">
        <v>0</v>
      </c>
      <c r="AL510" s="549">
        <v>0</v>
      </c>
      <c r="AM510" s="675">
        <v>0</v>
      </c>
      <c r="AN510" s="549">
        <v>0</v>
      </c>
      <c r="AO510" s="675">
        <v>0</v>
      </c>
      <c r="AP510" s="549">
        <v>0</v>
      </c>
      <c r="AQ510" s="675">
        <v>0</v>
      </c>
      <c r="AR510" s="549">
        <v>0</v>
      </c>
      <c r="AS510" s="675">
        <v>0</v>
      </c>
      <c r="AT510" s="549">
        <v>0</v>
      </c>
      <c r="AU510" s="675">
        <v>0</v>
      </c>
      <c r="AV510" s="549">
        <v>0</v>
      </c>
      <c r="AW510" s="675">
        <v>0</v>
      </c>
      <c r="AX510" s="549">
        <v>0</v>
      </c>
      <c r="AY510" s="675">
        <v>0</v>
      </c>
      <c r="AZ510" s="549">
        <v>0</v>
      </c>
      <c r="BA510" s="675">
        <v>0</v>
      </c>
      <c r="BB510" s="549">
        <v>0</v>
      </c>
      <c r="BC510" s="675">
        <v>0</v>
      </c>
      <c r="BD510" s="549">
        <v>0</v>
      </c>
      <c r="BE510" s="675">
        <v>0</v>
      </c>
      <c r="BF510" s="549">
        <v>0</v>
      </c>
      <c r="BG510" s="675">
        <v>0</v>
      </c>
      <c r="BH510" s="549">
        <v>0</v>
      </c>
      <c r="BI510" s="675">
        <v>0</v>
      </c>
      <c r="BJ510" s="549">
        <v>0</v>
      </c>
      <c r="BK510" s="675">
        <v>0</v>
      </c>
      <c r="BL510" s="549">
        <v>0</v>
      </c>
      <c r="BM510" s="675">
        <v>0</v>
      </c>
      <c r="BN510" s="549">
        <v>0</v>
      </c>
      <c r="BO510" s="675">
        <v>0</v>
      </c>
      <c r="BP510" s="549">
        <v>0</v>
      </c>
      <c r="BQ510" s="675">
        <v>0</v>
      </c>
      <c r="BR510" s="549">
        <v>0</v>
      </c>
      <c r="BS510" s="675">
        <v>0</v>
      </c>
      <c r="BT510" s="549">
        <v>0</v>
      </c>
      <c r="BU510" s="675">
        <v>0</v>
      </c>
      <c r="BV510" s="549">
        <v>0</v>
      </c>
      <c r="BW510" s="675">
        <v>0</v>
      </c>
      <c r="BX510" s="549">
        <v>0</v>
      </c>
      <c r="BY510" s="675">
        <v>0</v>
      </c>
      <c r="BZ510" s="549">
        <v>0</v>
      </c>
      <c r="CA510" s="675">
        <v>0</v>
      </c>
      <c r="CB510" s="549">
        <v>0</v>
      </c>
      <c r="CC510" s="675">
        <v>0</v>
      </c>
      <c r="CD510" s="549">
        <v>0</v>
      </c>
      <c r="CE510" s="675">
        <v>0</v>
      </c>
      <c r="CF510" s="549">
        <v>0</v>
      </c>
      <c r="CG510" s="675">
        <v>0</v>
      </c>
      <c r="CH510" s="549">
        <v>0</v>
      </c>
      <c r="CI510" s="675">
        <v>0</v>
      </c>
      <c r="CJ510" s="549">
        <v>0</v>
      </c>
      <c r="CK510" s="675">
        <v>-4000</v>
      </c>
      <c r="CL510" s="549">
        <v>0</v>
      </c>
      <c r="CM510" s="675">
        <v>0</v>
      </c>
      <c r="CN510" s="549">
        <v>0</v>
      </c>
      <c r="CO510" s="675">
        <v>0</v>
      </c>
      <c r="CP510" s="549">
        <v>0</v>
      </c>
      <c r="CQ510" s="675">
        <v>0</v>
      </c>
      <c r="CR510" s="549">
        <v>0</v>
      </c>
      <c r="CS510" s="675">
        <v>0</v>
      </c>
      <c r="CT510" s="549">
        <v>0</v>
      </c>
      <c r="CU510" s="675">
        <v>0</v>
      </c>
      <c r="CV510" s="549">
        <v>0</v>
      </c>
      <c r="CW510" s="675">
        <v>0</v>
      </c>
      <c r="CX510" s="549">
        <v>0</v>
      </c>
      <c r="CY510" s="675">
        <v>0</v>
      </c>
      <c r="CZ510" s="549">
        <v>0</v>
      </c>
      <c r="DA510" s="675">
        <v>0</v>
      </c>
      <c r="DB510" s="549">
        <v>0</v>
      </c>
      <c r="DC510" s="675">
        <v>0</v>
      </c>
      <c r="DD510" s="549">
        <v>0</v>
      </c>
      <c r="DE510" s="675">
        <v>0</v>
      </c>
      <c r="DF510" s="549">
        <v>0</v>
      </c>
      <c r="DG510" s="675">
        <v>0</v>
      </c>
      <c r="DH510" s="549">
        <v>0</v>
      </c>
      <c r="DI510" s="675">
        <v>0</v>
      </c>
      <c r="DJ510" s="549">
        <v>0</v>
      </c>
      <c r="DK510" s="675">
        <v>0</v>
      </c>
      <c r="DL510" s="549">
        <v>0</v>
      </c>
      <c r="DM510" s="675">
        <v>0</v>
      </c>
      <c r="DN510" s="549">
        <v>0</v>
      </c>
      <c r="DO510" s="675">
        <v>0</v>
      </c>
      <c r="DP510" s="549">
        <v>0</v>
      </c>
      <c r="DQ510" s="675">
        <v>0</v>
      </c>
      <c r="DR510" s="549">
        <v>0</v>
      </c>
      <c r="DS510" s="675">
        <v>0</v>
      </c>
      <c r="DT510" s="549">
        <v>0</v>
      </c>
      <c r="DU510" s="675">
        <v>0</v>
      </c>
      <c r="DV510" s="549">
        <v>0</v>
      </c>
      <c r="DW510" s="675">
        <v>0</v>
      </c>
      <c r="DX510" s="549">
        <v>0</v>
      </c>
      <c r="DY510" s="675">
        <v>0</v>
      </c>
      <c r="DZ510" s="549">
        <v>0</v>
      </c>
      <c r="EA510" s="675">
        <v>0</v>
      </c>
      <c r="EB510" s="549">
        <v>0</v>
      </c>
      <c r="EC510" s="675">
        <v>0</v>
      </c>
      <c r="ED510" s="549">
        <v>0</v>
      </c>
      <c r="EE510" s="675">
        <v>0</v>
      </c>
      <c r="EF510" s="549">
        <v>0</v>
      </c>
      <c r="EG510" s="675">
        <v>0</v>
      </c>
      <c r="EH510" s="549">
        <v>0</v>
      </c>
      <c r="EI510" s="675">
        <v>0</v>
      </c>
      <c r="EJ510" s="549">
        <v>0</v>
      </c>
      <c r="EK510" s="675">
        <v>0</v>
      </c>
      <c r="EL510" s="549">
        <v>0</v>
      </c>
      <c r="EM510" s="675">
        <v>0</v>
      </c>
      <c r="EN510" s="549">
        <v>0</v>
      </c>
      <c r="EO510" s="675">
        <v>0</v>
      </c>
      <c r="EP510" s="549">
        <v>0</v>
      </c>
      <c r="EQ510" s="675">
        <v>0</v>
      </c>
      <c r="ER510" s="549">
        <v>0</v>
      </c>
      <c r="ES510" s="675">
        <v>0</v>
      </c>
      <c r="ET510" s="549">
        <v>0</v>
      </c>
      <c r="EU510" s="675">
        <v>0</v>
      </c>
      <c r="EV510" s="549">
        <v>0</v>
      </c>
      <c r="EW510" s="675">
        <v>0</v>
      </c>
      <c r="EX510" s="549">
        <v>0</v>
      </c>
      <c r="EY510" s="675">
        <v>0</v>
      </c>
      <c r="EZ510" s="549">
        <v>0</v>
      </c>
      <c r="FA510" s="675">
        <v>0</v>
      </c>
      <c r="FB510" s="549">
        <v>0</v>
      </c>
      <c r="FC510" s="675">
        <v>0</v>
      </c>
      <c r="FD510" s="549">
        <v>0</v>
      </c>
      <c r="FE510" s="675">
        <v>-785</v>
      </c>
      <c r="FF510" s="549">
        <v>0</v>
      </c>
      <c r="FG510" s="675">
        <v>0</v>
      </c>
      <c r="FH510" s="549">
        <v>0</v>
      </c>
      <c r="FI510" s="675">
        <v>0</v>
      </c>
      <c r="FJ510" s="549">
        <v>0</v>
      </c>
      <c r="FK510" s="675">
        <v>0</v>
      </c>
      <c r="FL510" s="549">
        <v>500</v>
      </c>
      <c r="FM510" s="675">
        <v>0</v>
      </c>
      <c r="FN510" s="549">
        <v>0</v>
      </c>
      <c r="FO510" s="675">
        <v>0</v>
      </c>
      <c r="FP510" s="549">
        <v>0</v>
      </c>
      <c r="FQ510" s="675">
        <v>0</v>
      </c>
      <c r="FR510" s="549">
        <v>0</v>
      </c>
      <c r="FS510" s="675">
        <v>0</v>
      </c>
      <c r="FT510" s="549">
        <v>0</v>
      </c>
      <c r="FU510" s="675">
        <v>0</v>
      </c>
      <c r="FV510" s="549">
        <v>0</v>
      </c>
      <c r="FW510" s="675">
        <v>0</v>
      </c>
      <c r="FX510" s="549">
        <v>0</v>
      </c>
      <c r="FY510" s="675">
        <v>0</v>
      </c>
      <c r="FZ510" s="549">
        <v>0</v>
      </c>
      <c r="GA510" s="675">
        <v>0</v>
      </c>
      <c r="GB510" s="549">
        <v>0</v>
      </c>
      <c r="GC510" s="675">
        <v>0</v>
      </c>
      <c r="GD510" s="549">
        <v>0</v>
      </c>
      <c r="GE510" s="675">
        <v>0</v>
      </c>
      <c r="GF510" s="549">
        <v>0</v>
      </c>
      <c r="GG510" s="675">
        <v>0</v>
      </c>
      <c r="GH510" s="549">
        <v>0</v>
      </c>
      <c r="GI510" s="675">
        <v>0</v>
      </c>
      <c r="GJ510" s="549">
        <v>0</v>
      </c>
      <c r="GK510" s="675">
        <v>0</v>
      </c>
      <c r="GL510" s="549">
        <v>0</v>
      </c>
      <c r="GM510" s="675">
        <v>0</v>
      </c>
      <c r="GN510" s="549">
        <v>0</v>
      </c>
      <c r="GO510" s="675">
        <v>0</v>
      </c>
      <c r="GP510" s="549">
        <f>+D510+F510+H510+J510+L510+N510+P510+R510+T510+V510+X510+Z510+AB510+AF510+AD510+AH510+AJ510+AL510+AN510+AP510+AR510+AT510+AV510+AX510+AZ510+BB510+BD510+BF510+BH510+BJ510+BL510+BN510+BP510+BR510+BT510+BV510+BX510+BZ510+CB510+CD510+CF510+CH510+CJ510+CL510+CN510+CP510+CR510+CT510+CV510+CX510+CZ510+DB510+DD510+DF510+DH510+DT510+EX510+DJ510+DL510+DN510+DP510+DR510+EJ510+EB510+DZ510+DX510+DV510+ED510+EF510+EH510+EL510+EN510+EP510+EV510+ET510+ER510+EZ510+FB510+FD510+GL510+FF510+FJ510+FL510+GJ510+FT510+FR510+FP510+FN510+FH510+GH510+GF510+GD510+GB510+FZ510+FX510+FV510+GN510</f>
        <v>500</v>
      </c>
      <c r="GQ510" s="675">
        <f>+E510+G510+I510+K510+M510+O510+Q510+S510+U510+W510+Y510+AA510+AC510+AE510+AG510+AI510+AK510+AM510+AO510+AQ510+AS510+AU510+AW510+AY510+BA510+BC510+BE510+BG510+BI510+BK510+BM510+BO510+BQ510+BS510+BU510+BW510+BY510+CA510+CC510+CE510+CG510+CI510+CK510+CM510+CO510+CQ510+CS510+CU510+CW510+CY510+DA510+DC510+DE510+DG510+DI510+DU510+EY510+DK510+DM510+DO510+DQ510+DS510+EK510+EC510+EA510+DY510+DW510+EI510+EG510+EE510+EM510+EO510+EQ510+EW510+EU510+ES510+FA510+FC510+FE510+GM510+FG510+FK510+FM510+FO510+FQ510+FS510+FU510+GK510+FI510+GI510+GG510+GE510+GC510+GA510+FY510+FW510+GO510</f>
        <v>-9785</v>
      </c>
      <c r="GR510" s="74">
        <f>C510+GP510+GQ510</f>
        <v>715</v>
      </c>
      <c r="GS510" s="74">
        <f>SUM(GU510:HD510)+GP510+GQ510</f>
        <v>715</v>
      </c>
      <c r="GT510" s="568">
        <f t="shared" si="12368"/>
        <v>715</v>
      </c>
      <c r="GU510" s="275"/>
      <c r="GV510" s="493">
        <v>5000</v>
      </c>
      <c r="GW510" s="589"/>
      <c r="GX510" s="493">
        <v>5000</v>
      </c>
      <c r="GY510" s="493"/>
      <c r="GZ510" s="275"/>
      <c r="HA510" s="275"/>
      <c r="HB510" s="834">
        <v>0</v>
      </c>
      <c r="HC510" s="275">
        <v>0</v>
      </c>
      <c r="HD510" s="275"/>
      <c r="HE510" s="275"/>
      <c r="HF510" s="275"/>
      <c r="HG510" s="74">
        <f>SUM(HH510:IE510)</f>
        <v>715</v>
      </c>
      <c r="HH510" s="89">
        <v>0</v>
      </c>
      <c r="HI510" s="817">
        <v>0</v>
      </c>
      <c r="HJ510" s="89">
        <v>5000</v>
      </c>
      <c r="HK510" s="817">
        <v>0</v>
      </c>
      <c r="HL510" s="89">
        <v>-5000</v>
      </c>
      <c r="HM510" s="817">
        <v>0</v>
      </c>
      <c r="HN510" s="89">
        <v>0</v>
      </c>
      <c r="HO510" s="817">
        <v>0</v>
      </c>
      <c r="HP510" s="89">
        <v>0</v>
      </c>
      <c r="HQ510" s="817">
        <v>0</v>
      </c>
      <c r="HR510" s="89">
        <v>110</v>
      </c>
      <c r="HS510" s="817">
        <v>0</v>
      </c>
      <c r="HT510" s="89">
        <v>0</v>
      </c>
      <c r="HU510" s="817">
        <v>0</v>
      </c>
      <c r="HV510" s="89">
        <v>105</v>
      </c>
      <c r="HW510" s="817">
        <v>0</v>
      </c>
      <c r="HX510" s="89">
        <v>0</v>
      </c>
      <c r="HY510" s="817">
        <v>0</v>
      </c>
      <c r="HZ510" s="89">
        <v>500</v>
      </c>
      <c r="IA510" s="817">
        <v>0</v>
      </c>
      <c r="IB510" s="89">
        <v>0</v>
      </c>
      <c r="IC510" s="817">
        <v>0</v>
      </c>
      <c r="ID510" s="89">
        <v>0</v>
      </c>
      <c r="IE510" s="817">
        <v>0</v>
      </c>
      <c r="IF510" s="841">
        <f t="shared" si="12369"/>
        <v>290</v>
      </c>
      <c r="IG510" s="263">
        <f t="shared" si="12370"/>
        <v>290</v>
      </c>
      <c r="IH510" s="842">
        <f t="shared" si="12371"/>
        <v>290</v>
      </c>
      <c r="II510" s="89">
        <v>0</v>
      </c>
      <c r="IJ510" s="89">
        <f t="shared" si="12372"/>
        <v>0</v>
      </c>
      <c r="IK510" s="89">
        <f t="shared" si="12373"/>
        <v>0</v>
      </c>
      <c r="IL510" s="89">
        <v>0</v>
      </c>
      <c r="IM510" s="89">
        <f t="shared" si="12374"/>
        <v>0</v>
      </c>
      <c r="IN510" s="89">
        <f t="shared" si="12375"/>
        <v>0</v>
      </c>
      <c r="IO510" s="89">
        <v>0</v>
      </c>
      <c r="IP510" s="89">
        <f t="shared" si="12376"/>
        <v>0</v>
      </c>
      <c r="IQ510" s="89">
        <f t="shared" si="12377"/>
        <v>0</v>
      </c>
      <c r="IR510" s="89">
        <v>0</v>
      </c>
      <c r="IS510" s="89">
        <f t="shared" si="12378"/>
        <v>0</v>
      </c>
      <c r="IT510" s="89">
        <f t="shared" si="12379"/>
        <v>0</v>
      </c>
      <c r="IU510" s="89">
        <v>0</v>
      </c>
      <c r="IV510" s="89">
        <f t="shared" si="12380"/>
        <v>0</v>
      </c>
      <c r="IW510" s="89">
        <f t="shared" si="12381"/>
        <v>0</v>
      </c>
      <c r="IX510" s="89">
        <v>110</v>
      </c>
      <c r="IY510" s="89">
        <f t="shared" si="12382"/>
        <v>110</v>
      </c>
      <c r="IZ510" s="89">
        <f t="shared" si="12383"/>
        <v>110</v>
      </c>
      <c r="JA510" s="89">
        <f>110-110</f>
        <v>0</v>
      </c>
      <c r="JB510" s="89">
        <f t="shared" si="12384"/>
        <v>0</v>
      </c>
      <c r="JC510" s="89">
        <f t="shared" si="12385"/>
        <v>0</v>
      </c>
      <c r="JD510" s="89">
        <f>215-110</f>
        <v>105</v>
      </c>
      <c r="JE510" s="89">
        <f t="shared" si="12386"/>
        <v>105</v>
      </c>
      <c r="JF510" s="89">
        <f t="shared" si="12387"/>
        <v>105</v>
      </c>
      <c r="JG510" s="89">
        <v>0</v>
      </c>
      <c r="JH510" s="89">
        <f t="shared" si="12388"/>
        <v>0</v>
      </c>
      <c r="JI510" s="89">
        <f t="shared" si="12389"/>
        <v>0</v>
      </c>
      <c r="JJ510" s="89">
        <f>290-215</f>
        <v>75</v>
      </c>
      <c r="JK510" s="89">
        <f t="shared" si="12390"/>
        <v>75</v>
      </c>
      <c r="JL510" s="89">
        <f t="shared" si="12391"/>
        <v>75</v>
      </c>
      <c r="JM510" s="89">
        <v>0</v>
      </c>
      <c r="JN510" s="89">
        <f t="shared" si="12392"/>
        <v>0</v>
      </c>
      <c r="JO510" s="89">
        <f t="shared" si="12393"/>
        <v>0</v>
      </c>
      <c r="JP510" s="89">
        <v>0</v>
      </c>
      <c r="JQ510" s="89">
        <f t="shared" ref="JQ510:JR510" si="12398">JP510</f>
        <v>0</v>
      </c>
      <c r="JR510" s="89">
        <f t="shared" si="12398"/>
        <v>0</v>
      </c>
      <c r="JS510" s="74">
        <f>HG510-IF510</f>
        <v>425</v>
      </c>
      <c r="JT510" s="382">
        <f>GS510-IF510</f>
        <v>425</v>
      </c>
      <c r="JU510" s="665"/>
      <c r="JV510" s="524"/>
      <c r="JW510" s="525"/>
      <c r="JX510" s="549">
        <f>SUM(HH510,HJ510,HL510,HN510,HP510,HR510,HT510,HV510,HX510,HZ510,IB510,ID510)</f>
        <v>715</v>
      </c>
      <c r="JY510" s="549">
        <f>SUM(HI510,HK510,HM510,HO510,HQ510,HS510,HU510,HW510,HY510,IA510,IC510,IE510)</f>
        <v>0</v>
      </c>
      <c r="JZ510" s="581">
        <f t="shared" si="12201"/>
        <v>500</v>
      </c>
      <c r="KA510" s="581">
        <f t="shared" si="12202"/>
        <v>-9785</v>
      </c>
      <c r="KB510" s="549">
        <f t="shared" si="12194"/>
        <v>715</v>
      </c>
      <c r="KC510" s="709">
        <f t="shared" si="12200"/>
        <v>0</v>
      </c>
      <c r="KD510" s="57"/>
      <c r="KE510" s="57"/>
      <c r="KF510" s="57"/>
      <c r="KG510" s="57"/>
      <c r="KH510" s="57"/>
      <c r="KI510" s="57"/>
      <c r="KJ510" s="57"/>
      <c r="KK510" s="57"/>
    </row>
    <row r="511" spans="1:297" s="8" customFormat="1">
      <c r="A511" s="80"/>
      <c r="B511" s="72"/>
      <c r="C511" s="74"/>
      <c r="D511" s="549"/>
      <c r="E511" s="675"/>
      <c r="F511" s="549"/>
      <c r="G511" s="675"/>
      <c r="H511" s="549"/>
      <c r="I511" s="675"/>
      <c r="J511" s="549"/>
      <c r="K511" s="675"/>
      <c r="L511" s="549"/>
      <c r="M511" s="675"/>
      <c r="N511" s="549"/>
      <c r="O511" s="675"/>
      <c r="P511" s="549"/>
      <c r="Q511" s="675"/>
      <c r="R511" s="549"/>
      <c r="S511" s="675"/>
      <c r="T511" s="549"/>
      <c r="U511" s="675"/>
      <c r="V511" s="549"/>
      <c r="W511" s="675"/>
      <c r="X511" s="549"/>
      <c r="Y511" s="675"/>
      <c r="Z511" s="549"/>
      <c r="AA511" s="675"/>
      <c r="AB511" s="549"/>
      <c r="AC511" s="675"/>
      <c r="AD511" s="549"/>
      <c r="AE511" s="675"/>
      <c r="AF511" s="549"/>
      <c r="AG511" s="675"/>
      <c r="AH511" s="549"/>
      <c r="AI511" s="675"/>
      <c r="AJ511" s="549"/>
      <c r="AK511" s="675"/>
      <c r="AL511" s="549"/>
      <c r="AM511" s="675"/>
      <c r="AN511" s="549"/>
      <c r="AO511" s="675"/>
      <c r="AP511" s="549"/>
      <c r="AQ511" s="675"/>
      <c r="AR511" s="549"/>
      <c r="AS511" s="675"/>
      <c r="AT511" s="549"/>
      <c r="AU511" s="675"/>
      <c r="AV511" s="549"/>
      <c r="AW511" s="675"/>
      <c r="AX511" s="549"/>
      <c r="AY511" s="675"/>
      <c r="AZ511" s="549"/>
      <c r="BA511" s="675"/>
      <c r="BB511" s="549"/>
      <c r="BC511" s="675"/>
      <c r="BD511" s="549"/>
      <c r="BE511" s="675"/>
      <c r="BF511" s="549"/>
      <c r="BG511" s="675"/>
      <c r="BH511" s="549"/>
      <c r="BI511" s="675"/>
      <c r="BJ511" s="549"/>
      <c r="BK511" s="675"/>
      <c r="BL511" s="549"/>
      <c r="BM511" s="675"/>
      <c r="BN511" s="549"/>
      <c r="BO511" s="675"/>
      <c r="BP511" s="549"/>
      <c r="BQ511" s="675"/>
      <c r="BR511" s="549"/>
      <c r="BS511" s="675"/>
      <c r="BT511" s="549"/>
      <c r="BU511" s="675"/>
      <c r="BV511" s="549"/>
      <c r="BW511" s="675"/>
      <c r="BX511" s="549"/>
      <c r="BY511" s="675"/>
      <c r="BZ511" s="549"/>
      <c r="CA511" s="675"/>
      <c r="CB511" s="549"/>
      <c r="CC511" s="675"/>
      <c r="CD511" s="549"/>
      <c r="CE511" s="675"/>
      <c r="CF511" s="549"/>
      <c r="CG511" s="675"/>
      <c r="CH511" s="549"/>
      <c r="CI511" s="675"/>
      <c r="CJ511" s="549"/>
      <c r="CK511" s="675"/>
      <c r="CL511" s="549"/>
      <c r="CM511" s="675"/>
      <c r="CN511" s="549"/>
      <c r="CO511" s="675"/>
      <c r="CP511" s="549"/>
      <c r="CQ511" s="675"/>
      <c r="CR511" s="549"/>
      <c r="CS511" s="675"/>
      <c r="CT511" s="549"/>
      <c r="CU511" s="675"/>
      <c r="CV511" s="549"/>
      <c r="CW511" s="675"/>
      <c r="CX511" s="549"/>
      <c r="CY511" s="675"/>
      <c r="CZ511" s="549"/>
      <c r="DA511" s="675"/>
      <c r="DB511" s="549"/>
      <c r="DC511" s="675"/>
      <c r="DD511" s="549"/>
      <c r="DE511" s="675"/>
      <c r="DF511" s="549"/>
      <c r="DG511" s="675"/>
      <c r="DH511" s="549"/>
      <c r="DI511" s="675"/>
      <c r="DJ511" s="549"/>
      <c r="DK511" s="675"/>
      <c r="DL511" s="549"/>
      <c r="DM511" s="675"/>
      <c r="DN511" s="549"/>
      <c r="DO511" s="675"/>
      <c r="DP511" s="549"/>
      <c r="DQ511" s="675"/>
      <c r="DR511" s="549"/>
      <c r="DS511" s="675"/>
      <c r="DT511" s="549"/>
      <c r="DU511" s="675"/>
      <c r="DV511" s="549"/>
      <c r="DW511" s="675"/>
      <c r="DX511" s="549"/>
      <c r="DY511" s="675"/>
      <c r="DZ511" s="549"/>
      <c r="EA511" s="675"/>
      <c r="EB511" s="549"/>
      <c r="EC511" s="675"/>
      <c r="ED511" s="549"/>
      <c r="EE511" s="675"/>
      <c r="EF511" s="549"/>
      <c r="EG511" s="675"/>
      <c r="EH511" s="549"/>
      <c r="EI511" s="675"/>
      <c r="EJ511" s="549"/>
      <c r="EK511" s="675"/>
      <c r="EL511" s="549"/>
      <c r="EM511" s="675"/>
      <c r="EN511" s="549"/>
      <c r="EO511" s="675"/>
      <c r="EP511" s="549"/>
      <c r="EQ511" s="675"/>
      <c r="ER511" s="549"/>
      <c r="ES511" s="675"/>
      <c r="ET511" s="549"/>
      <c r="EU511" s="675"/>
      <c r="EV511" s="549"/>
      <c r="EW511" s="675"/>
      <c r="EX511" s="549"/>
      <c r="EY511" s="675"/>
      <c r="EZ511" s="549"/>
      <c r="FA511" s="675"/>
      <c r="FB511" s="549"/>
      <c r="FC511" s="675"/>
      <c r="FD511" s="549"/>
      <c r="FE511" s="675"/>
      <c r="FF511" s="549"/>
      <c r="FG511" s="675"/>
      <c r="FH511" s="549"/>
      <c r="FI511" s="675"/>
      <c r="FJ511" s="549"/>
      <c r="FK511" s="675"/>
      <c r="FL511" s="549"/>
      <c r="FM511" s="675"/>
      <c r="FN511" s="549"/>
      <c r="FO511" s="675"/>
      <c r="FP511" s="549"/>
      <c r="FQ511" s="675"/>
      <c r="FR511" s="549"/>
      <c r="FS511" s="675"/>
      <c r="FT511" s="549"/>
      <c r="FU511" s="675"/>
      <c r="FV511" s="549"/>
      <c r="FW511" s="675"/>
      <c r="FX511" s="549"/>
      <c r="FY511" s="675"/>
      <c r="FZ511" s="549"/>
      <c r="GA511" s="675"/>
      <c r="GB511" s="549"/>
      <c r="GC511" s="675"/>
      <c r="GD511" s="549"/>
      <c r="GE511" s="675"/>
      <c r="GF511" s="549"/>
      <c r="GG511" s="675"/>
      <c r="GH511" s="549"/>
      <c r="GI511" s="675"/>
      <c r="GJ511" s="549"/>
      <c r="GK511" s="675"/>
      <c r="GL511" s="549"/>
      <c r="GM511" s="675"/>
      <c r="GN511" s="549"/>
      <c r="GO511" s="675"/>
      <c r="GP511" s="549"/>
      <c r="GQ511" s="675"/>
      <c r="GR511" s="74"/>
      <c r="GS511" s="74"/>
      <c r="GT511" s="568"/>
      <c r="GU511" s="275"/>
      <c r="GV511" s="493"/>
      <c r="GW511" s="884"/>
      <c r="GX511" s="884"/>
      <c r="GY511" s="493"/>
      <c r="GZ511" s="275"/>
      <c r="HA511" s="275"/>
      <c r="HB511" s="275"/>
      <c r="HC511" s="275"/>
      <c r="HD511" s="275"/>
      <c r="HE511" s="275"/>
      <c r="HF511" s="275"/>
      <c r="HG511" s="74"/>
      <c r="HH511" s="89"/>
      <c r="HI511" s="817"/>
      <c r="HJ511" s="89"/>
      <c r="HK511" s="817"/>
      <c r="HL511" s="89"/>
      <c r="HM511" s="817"/>
      <c r="HN511" s="89"/>
      <c r="HO511" s="817"/>
      <c r="HP511" s="89"/>
      <c r="HQ511" s="817"/>
      <c r="HR511" s="89"/>
      <c r="HS511" s="817"/>
      <c r="HT511" s="89"/>
      <c r="HU511" s="817"/>
      <c r="HV511" s="89"/>
      <c r="HW511" s="817"/>
      <c r="HX511" s="89"/>
      <c r="HY511" s="817"/>
      <c r="HZ511" s="89"/>
      <c r="IA511" s="817"/>
      <c r="IB511" s="89"/>
      <c r="IC511" s="817"/>
      <c r="ID511" s="89"/>
      <c r="IE511" s="817"/>
      <c r="IF511" s="841"/>
      <c r="IG511" s="263"/>
      <c r="IH511" s="842"/>
      <c r="II511" s="89"/>
      <c r="IJ511" s="89"/>
      <c r="IK511" s="89"/>
      <c r="IL511" s="89"/>
      <c r="IM511" s="89"/>
      <c r="IN511" s="89"/>
      <c r="IO511" s="89"/>
      <c r="IP511" s="89"/>
      <c r="IQ511" s="89"/>
      <c r="IR511" s="89"/>
      <c r="IS511" s="89"/>
      <c r="IT511" s="89"/>
      <c r="IU511" s="89"/>
      <c r="IV511" s="89"/>
      <c r="IW511" s="89"/>
      <c r="IX511" s="89"/>
      <c r="IY511" s="89"/>
      <c r="IZ511" s="89"/>
      <c r="JA511" s="89"/>
      <c r="JB511" s="89"/>
      <c r="JC511" s="89"/>
      <c r="JD511" s="89"/>
      <c r="JE511" s="89"/>
      <c r="JF511" s="89"/>
      <c r="JG511" s="89"/>
      <c r="JH511" s="89"/>
      <c r="JI511" s="89"/>
      <c r="JJ511" s="89"/>
      <c r="JK511" s="89"/>
      <c r="JL511" s="89"/>
      <c r="JM511" s="89"/>
      <c r="JN511" s="89"/>
      <c r="JO511" s="89"/>
      <c r="JP511" s="89"/>
      <c r="JQ511" s="89"/>
      <c r="JR511" s="89"/>
      <c r="JS511" s="74"/>
      <c r="JT511" s="382"/>
      <c r="JU511" s="665"/>
      <c r="JV511" s="524"/>
      <c r="JW511" s="525"/>
      <c r="JX511" s="549"/>
      <c r="JY511" s="549"/>
      <c r="JZ511" s="581">
        <f t="shared" si="12201"/>
        <v>0</v>
      </c>
      <c r="KA511" s="581">
        <f t="shared" si="12202"/>
        <v>0</v>
      </c>
      <c r="KB511" s="549">
        <f t="shared" si="12194"/>
        <v>0</v>
      </c>
      <c r="KC511" s="709">
        <f t="shared" si="12200"/>
        <v>0</v>
      </c>
      <c r="KD511" s="36"/>
      <c r="KE511" s="36"/>
      <c r="KF511" s="36"/>
      <c r="KG511" s="36"/>
      <c r="KH511" s="36"/>
      <c r="KI511" s="36"/>
      <c r="KJ511" s="36"/>
      <c r="KK511" s="36"/>
    </row>
    <row r="512" spans="1:297" s="8" customFormat="1" ht="12.75" customHeight="1">
      <c r="A512" s="80" t="s">
        <v>732</v>
      </c>
      <c r="B512" s="72"/>
      <c r="C512" s="74">
        <v>99000</v>
      </c>
      <c r="D512" s="549">
        <v>0</v>
      </c>
      <c r="E512" s="675">
        <v>0</v>
      </c>
      <c r="F512" s="549">
        <v>0</v>
      </c>
      <c r="G512" s="675">
        <v>0</v>
      </c>
      <c r="H512" s="549">
        <v>0</v>
      </c>
      <c r="I512" s="675">
        <v>0</v>
      </c>
      <c r="J512" s="549">
        <v>0</v>
      </c>
      <c r="K512" s="675">
        <v>0</v>
      </c>
      <c r="L512" s="549">
        <v>0</v>
      </c>
      <c r="M512" s="675">
        <v>0</v>
      </c>
      <c r="N512" s="549">
        <v>0</v>
      </c>
      <c r="O512" s="675">
        <v>0</v>
      </c>
      <c r="P512" s="549">
        <v>0</v>
      </c>
      <c r="Q512" s="675">
        <v>0</v>
      </c>
      <c r="R512" s="549">
        <v>0</v>
      </c>
      <c r="S512" s="675">
        <v>0</v>
      </c>
      <c r="T512" s="549">
        <v>0</v>
      </c>
      <c r="U512" s="675">
        <v>0</v>
      </c>
      <c r="V512" s="549">
        <v>0</v>
      </c>
      <c r="W512" s="675">
        <v>0</v>
      </c>
      <c r="X512" s="549">
        <v>0</v>
      </c>
      <c r="Y512" s="675">
        <v>0</v>
      </c>
      <c r="Z512" s="549">
        <v>0</v>
      </c>
      <c r="AA512" s="675">
        <v>0</v>
      </c>
      <c r="AB512" s="549">
        <v>0</v>
      </c>
      <c r="AC512" s="675">
        <v>0</v>
      </c>
      <c r="AD512" s="549">
        <v>0</v>
      </c>
      <c r="AE512" s="675">
        <v>0</v>
      </c>
      <c r="AF512" s="549">
        <v>0</v>
      </c>
      <c r="AG512" s="675">
        <v>0</v>
      </c>
      <c r="AH512" s="549">
        <v>0</v>
      </c>
      <c r="AI512" s="675">
        <v>-50000</v>
      </c>
      <c r="AJ512" s="549">
        <v>0</v>
      </c>
      <c r="AK512" s="675">
        <v>0</v>
      </c>
      <c r="AL512" s="549">
        <v>0</v>
      </c>
      <c r="AM512" s="675">
        <v>0</v>
      </c>
      <c r="AN512" s="549">
        <v>0</v>
      </c>
      <c r="AO512" s="675">
        <v>0</v>
      </c>
      <c r="AP512" s="549">
        <v>0</v>
      </c>
      <c r="AQ512" s="675">
        <v>0</v>
      </c>
      <c r="AR512" s="549">
        <v>0</v>
      </c>
      <c r="AS512" s="675">
        <v>0</v>
      </c>
      <c r="AT512" s="549">
        <v>0</v>
      </c>
      <c r="AU512" s="675">
        <v>0</v>
      </c>
      <c r="AV512" s="549">
        <v>0</v>
      </c>
      <c r="AW512" s="675">
        <v>0</v>
      </c>
      <c r="AX512" s="549">
        <v>0</v>
      </c>
      <c r="AY512" s="675">
        <v>0</v>
      </c>
      <c r="AZ512" s="549">
        <v>0</v>
      </c>
      <c r="BA512" s="675">
        <v>0</v>
      </c>
      <c r="BB512" s="549">
        <v>0</v>
      </c>
      <c r="BC512" s="675">
        <v>0</v>
      </c>
      <c r="BD512" s="549">
        <v>0</v>
      </c>
      <c r="BE512" s="675">
        <v>0</v>
      </c>
      <c r="BF512" s="549">
        <v>0</v>
      </c>
      <c r="BG512" s="675">
        <v>-39000</v>
      </c>
      <c r="BH512" s="549">
        <v>0</v>
      </c>
      <c r="BI512" s="675">
        <v>-10000</v>
      </c>
      <c r="BJ512" s="549">
        <v>0</v>
      </c>
      <c r="BK512" s="675">
        <v>0</v>
      </c>
      <c r="BL512" s="549">
        <v>0</v>
      </c>
      <c r="BM512" s="675">
        <v>0</v>
      </c>
      <c r="BN512" s="549">
        <v>0</v>
      </c>
      <c r="BO512" s="675">
        <v>0</v>
      </c>
      <c r="BP512" s="549">
        <v>0</v>
      </c>
      <c r="BQ512" s="675">
        <v>0</v>
      </c>
      <c r="BR512" s="549">
        <v>0</v>
      </c>
      <c r="BS512" s="675">
        <v>0</v>
      </c>
      <c r="BT512" s="549">
        <v>0</v>
      </c>
      <c r="BU512" s="675">
        <v>0</v>
      </c>
      <c r="BV512" s="549">
        <v>0</v>
      </c>
      <c r="BW512" s="675">
        <v>0</v>
      </c>
      <c r="BX512" s="549">
        <v>0</v>
      </c>
      <c r="BY512" s="675">
        <v>0</v>
      </c>
      <c r="BZ512" s="549">
        <v>0</v>
      </c>
      <c r="CA512" s="675">
        <v>0</v>
      </c>
      <c r="CB512" s="549">
        <v>0</v>
      </c>
      <c r="CC512" s="675">
        <v>0</v>
      </c>
      <c r="CD512" s="549">
        <v>0</v>
      </c>
      <c r="CE512" s="675">
        <v>0</v>
      </c>
      <c r="CF512" s="549">
        <v>0</v>
      </c>
      <c r="CG512" s="675">
        <v>0</v>
      </c>
      <c r="CH512" s="549">
        <v>0</v>
      </c>
      <c r="CI512" s="675">
        <v>0</v>
      </c>
      <c r="CJ512" s="549">
        <v>0</v>
      </c>
      <c r="CK512" s="675">
        <v>0</v>
      </c>
      <c r="CL512" s="549">
        <v>0</v>
      </c>
      <c r="CM512" s="675">
        <v>0</v>
      </c>
      <c r="CN512" s="549">
        <v>0</v>
      </c>
      <c r="CO512" s="675">
        <v>0</v>
      </c>
      <c r="CP512" s="549">
        <v>0</v>
      </c>
      <c r="CQ512" s="675">
        <v>0</v>
      </c>
      <c r="CR512" s="549">
        <v>0</v>
      </c>
      <c r="CS512" s="675">
        <v>0</v>
      </c>
      <c r="CT512" s="549">
        <v>0</v>
      </c>
      <c r="CU512" s="675">
        <v>0</v>
      </c>
      <c r="CV512" s="549">
        <v>0</v>
      </c>
      <c r="CW512" s="675">
        <v>0</v>
      </c>
      <c r="CX512" s="549">
        <v>0</v>
      </c>
      <c r="CY512" s="675">
        <v>0</v>
      </c>
      <c r="CZ512" s="549">
        <v>0</v>
      </c>
      <c r="DA512" s="675">
        <v>0</v>
      </c>
      <c r="DB512" s="549">
        <v>0</v>
      </c>
      <c r="DC512" s="675">
        <v>0</v>
      </c>
      <c r="DD512" s="549">
        <v>0</v>
      </c>
      <c r="DE512" s="675">
        <v>0</v>
      </c>
      <c r="DF512" s="549">
        <v>0</v>
      </c>
      <c r="DG512" s="675">
        <v>0</v>
      </c>
      <c r="DH512" s="549">
        <v>0</v>
      </c>
      <c r="DI512" s="675">
        <v>0</v>
      </c>
      <c r="DJ512" s="549">
        <v>0</v>
      </c>
      <c r="DK512" s="675">
        <v>0</v>
      </c>
      <c r="DL512" s="549">
        <v>0</v>
      </c>
      <c r="DM512" s="675">
        <v>0</v>
      </c>
      <c r="DN512" s="549">
        <v>0</v>
      </c>
      <c r="DO512" s="675">
        <v>0</v>
      </c>
      <c r="DP512" s="549">
        <v>0</v>
      </c>
      <c r="DQ512" s="675">
        <v>0</v>
      </c>
      <c r="DR512" s="549">
        <v>0</v>
      </c>
      <c r="DS512" s="675">
        <v>0</v>
      </c>
      <c r="DT512" s="549">
        <v>0</v>
      </c>
      <c r="DU512" s="675">
        <v>0</v>
      </c>
      <c r="DV512" s="549">
        <v>0</v>
      </c>
      <c r="DW512" s="675">
        <v>0</v>
      </c>
      <c r="DX512" s="549">
        <v>0</v>
      </c>
      <c r="DY512" s="675">
        <v>0</v>
      </c>
      <c r="DZ512" s="549">
        <v>0</v>
      </c>
      <c r="EA512" s="675">
        <v>0</v>
      </c>
      <c r="EB512" s="549">
        <v>0</v>
      </c>
      <c r="EC512" s="675">
        <v>0</v>
      </c>
      <c r="ED512" s="549">
        <v>0</v>
      </c>
      <c r="EE512" s="675">
        <v>0</v>
      </c>
      <c r="EF512" s="549">
        <v>0</v>
      </c>
      <c r="EG512" s="675">
        <v>0</v>
      </c>
      <c r="EH512" s="549">
        <v>0</v>
      </c>
      <c r="EI512" s="675">
        <v>0</v>
      </c>
      <c r="EJ512" s="549">
        <v>0</v>
      </c>
      <c r="EK512" s="675">
        <v>0</v>
      </c>
      <c r="EL512" s="549">
        <v>0</v>
      </c>
      <c r="EM512" s="675">
        <v>0</v>
      </c>
      <c r="EN512" s="549">
        <v>0</v>
      </c>
      <c r="EO512" s="675">
        <v>0</v>
      </c>
      <c r="EP512" s="549">
        <v>0</v>
      </c>
      <c r="EQ512" s="675">
        <v>0</v>
      </c>
      <c r="ER512" s="549">
        <v>0</v>
      </c>
      <c r="ES512" s="675">
        <v>0</v>
      </c>
      <c r="ET512" s="549">
        <v>0</v>
      </c>
      <c r="EU512" s="675">
        <v>0</v>
      </c>
      <c r="EV512" s="549">
        <v>0</v>
      </c>
      <c r="EW512" s="675">
        <v>0</v>
      </c>
      <c r="EX512" s="549">
        <v>0</v>
      </c>
      <c r="EY512" s="675">
        <v>0</v>
      </c>
      <c r="EZ512" s="549">
        <v>0</v>
      </c>
      <c r="FA512" s="675">
        <v>0</v>
      </c>
      <c r="FB512" s="549">
        <v>0</v>
      </c>
      <c r="FC512" s="675">
        <v>0</v>
      </c>
      <c r="FD512" s="549">
        <v>0</v>
      </c>
      <c r="FE512" s="675">
        <v>0</v>
      </c>
      <c r="FF512" s="549">
        <v>0</v>
      </c>
      <c r="FG512" s="675">
        <v>0</v>
      </c>
      <c r="FH512" s="549">
        <v>0</v>
      </c>
      <c r="FI512" s="675">
        <v>0</v>
      </c>
      <c r="FJ512" s="549">
        <v>0</v>
      </c>
      <c r="FK512" s="675">
        <v>0</v>
      </c>
      <c r="FL512" s="549">
        <v>0</v>
      </c>
      <c r="FM512" s="675">
        <v>0</v>
      </c>
      <c r="FN512" s="549">
        <v>0</v>
      </c>
      <c r="FO512" s="675">
        <v>0</v>
      </c>
      <c r="FP512" s="549">
        <v>0</v>
      </c>
      <c r="FQ512" s="675">
        <v>0</v>
      </c>
      <c r="FR512" s="549">
        <v>0</v>
      </c>
      <c r="FS512" s="675">
        <v>0</v>
      </c>
      <c r="FT512" s="549">
        <v>0</v>
      </c>
      <c r="FU512" s="675">
        <v>0</v>
      </c>
      <c r="FV512" s="549">
        <v>0</v>
      </c>
      <c r="FW512" s="675">
        <v>0</v>
      </c>
      <c r="FX512" s="549">
        <v>0</v>
      </c>
      <c r="FY512" s="675">
        <v>0</v>
      </c>
      <c r="FZ512" s="549">
        <v>0</v>
      </c>
      <c r="GA512" s="675">
        <v>0</v>
      </c>
      <c r="GB512" s="549">
        <v>0</v>
      </c>
      <c r="GC512" s="675">
        <v>0</v>
      </c>
      <c r="GD512" s="549">
        <v>0</v>
      </c>
      <c r="GE512" s="675">
        <v>0</v>
      </c>
      <c r="GF512" s="549">
        <v>0</v>
      </c>
      <c r="GG512" s="675">
        <v>0</v>
      </c>
      <c r="GH512" s="549">
        <v>0</v>
      </c>
      <c r="GI512" s="675">
        <v>0</v>
      </c>
      <c r="GJ512" s="549">
        <v>0</v>
      </c>
      <c r="GK512" s="675">
        <v>0</v>
      </c>
      <c r="GL512" s="549">
        <v>0</v>
      </c>
      <c r="GM512" s="675">
        <v>0</v>
      </c>
      <c r="GN512" s="549">
        <v>0</v>
      </c>
      <c r="GO512" s="675">
        <v>0</v>
      </c>
      <c r="GP512" s="549">
        <f>+D512+F512+H512+J512+L512+N512+P512+R512+T512+V512+X512+Z512+AB512+AD512+AH512+AJ512+AL512+AN512+AP512+AR512+AT512+AV512+AX512+AZ512+BB512+BD512+BF512+BH512+BJ512+BL512+BN512+BP512+BR512+BT512+BV512+BX512+BZ512+CB512+CD512+CF512+CH512+CJ512+CL512+CN512+CP512+CR512+CT512+CV512+CX512+CZ512+DB512+DD512+DF512+DH512+DT512+EX512+DJ512+DL512+DN512+DP512+DR512+EJ512+EB512+DZ512+DX512+DV512+ED512+EF512+EH512+EL512+EN512+EP512+EV512+ET512+ER512+EZ512+FB512+FD512+GL512</f>
        <v>0</v>
      </c>
      <c r="GQ512" s="675">
        <f>+E512+G512+I512+K512+M512+O512+Q512+S512+U512+W512+Y512+AA512+AC512+AE512+AI512+AK512+AM512+AO512+AQ512+AS512+AU512+AW512+AY512+BA512+BC512+BE512+BG512+BI512+BK512+BM512+BO512+BQ512+BS512+BU512+BW512+BY512+CA512+CC512+CE512+CG512+CI512+CK512+CM512+CO512+CQ512+CS512+CU512+CW512+CY512+DA512+DC512+DE512+DG512+DI512+DU512+EY512+DK512+DM512+DO512+DQ512+DS512+EK512+EC512+EA512+DY512+DW512+EI512+EG512+EE512+EM512+EO512+EQ512+EW512+EU512+ES512+FA512+FC512+FE512+GM512</f>
        <v>-99000</v>
      </c>
      <c r="GR512" s="74">
        <f>C512+GP512+GQ512</f>
        <v>0</v>
      </c>
      <c r="GS512" s="74">
        <f>SUM(GU512:HD512)+GP512+GQ512</f>
        <v>0</v>
      </c>
      <c r="GT512" s="568">
        <f>SUM(GU512:HF512)+GQ512+GP512</f>
        <v>0</v>
      </c>
      <c r="GU512" s="275"/>
      <c r="GV512" s="493">
        <v>50000</v>
      </c>
      <c r="GW512" s="589"/>
      <c r="GX512" s="493">
        <v>49000</v>
      </c>
      <c r="GY512" s="493"/>
      <c r="GZ512" s="275"/>
      <c r="HA512" s="275"/>
      <c r="HB512" s="834">
        <v>0</v>
      </c>
      <c r="HC512" s="275">
        <v>0</v>
      </c>
      <c r="HD512" s="275"/>
      <c r="HE512" s="275"/>
      <c r="HF512" s="275"/>
      <c r="HG512" s="74">
        <f>SUM(HH512:IE512)</f>
        <v>0</v>
      </c>
      <c r="HH512" s="89">
        <v>0</v>
      </c>
      <c r="HI512" s="817">
        <v>0</v>
      </c>
      <c r="HJ512" s="89">
        <v>0</v>
      </c>
      <c r="HK512" s="817">
        <v>0</v>
      </c>
      <c r="HL512" s="89">
        <v>0</v>
      </c>
      <c r="HM512" s="817">
        <v>0</v>
      </c>
      <c r="HN512" s="89">
        <v>0</v>
      </c>
      <c r="HO512" s="817">
        <v>0</v>
      </c>
      <c r="HP512" s="89">
        <v>0</v>
      </c>
      <c r="HQ512" s="817">
        <v>0</v>
      </c>
      <c r="HR512" s="89">
        <v>0</v>
      </c>
      <c r="HS512" s="817">
        <v>0</v>
      </c>
      <c r="HT512" s="89">
        <v>0</v>
      </c>
      <c r="HU512" s="817">
        <v>0</v>
      </c>
      <c r="HV512" s="89">
        <v>0</v>
      </c>
      <c r="HW512" s="817">
        <v>0</v>
      </c>
      <c r="HX512" s="89">
        <v>0</v>
      </c>
      <c r="HY512" s="817">
        <v>0</v>
      </c>
      <c r="HZ512" s="89">
        <v>0</v>
      </c>
      <c r="IA512" s="817">
        <v>0</v>
      </c>
      <c r="IB512" s="89">
        <v>0</v>
      </c>
      <c r="IC512" s="817">
        <v>0</v>
      </c>
      <c r="ID512" s="89">
        <v>0</v>
      </c>
      <c r="IE512" s="817">
        <v>0</v>
      </c>
      <c r="IF512" s="841">
        <f t="shared" ref="IF512" si="12399">SUM(II512,IL512,IO512,IR512,IU512,IX512,JA512,JD512,JG512,JJ512,JM512,JP512)</f>
        <v>0</v>
      </c>
      <c r="IG512" s="263">
        <f t="shared" ref="IG512" si="12400">SUM(IJ512,IM512,IP512,IS512,IV512,IY512,JB512,JE512,JH512,JK512,JN512,JQ512)</f>
        <v>0</v>
      </c>
      <c r="IH512" s="842">
        <f t="shared" ref="IH512" si="12401">SUM(IK512,IN512,IQ512,IT512,IW512,IZ512,JC512,JF512,JI512,JL512,JO512,JR512)</f>
        <v>0</v>
      </c>
      <c r="II512" s="89">
        <v>0</v>
      </c>
      <c r="IJ512" s="89">
        <v>0</v>
      </c>
      <c r="IK512" s="89">
        <v>0</v>
      </c>
      <c r="IL512" s="89">
        <v>0</v>
      </c>
      <c r="IM512" s="89">
        <v>0</v>
      </c>
      <c r="IN512" s="89">
        <v>0</v>
      </c>
      <c r="IO512" s="89">
        <v>0</v>
      </c>
      <c r="IP512" s="89">
        <v>0</v>
      </c>
      <c r="IQ512" s="89">
        <v>0</v>
      </c>
      <c r="IR512" s="89">
        <v>0</v>
      </c>
      <c r="IS512" s="89">
        <v>0</v>
      </c>
      <c r="IT512" s="89">
        <v>0</v>
      </c>
      <c r="IU512" s="89">
        <v>0</v>
      </c>
      <c r="IV512" s="89">
        <v>0</v>
      </c>
      <c r="IW512" s="89">
        <v>0</v>
      </c>
      <c r="IX512" s="89">
        <v>0</v>
      </c>
      <c r="IY512" s="89">
        <v>0</v>
      </c>
      <c r="IZ512" s="89">
        <v>0</v>
      </c>
      <c r="JA512" s="89">
        <v>0</v>
      </c>
      <c r="JB512" s="89">
        <v>0</v>
      </c>
      <c r="JC512" s="89">
        <v>0</v>
      </c>
      <c r="JD512" s="89">
        <v>0</v>
      </c>
      <c r="JE512" s="89">
        <v>0</v>
      </c>
      <c r="JF512" s="89">
        <v>0</v>
      </c>
      <c r="JG512" s="89">
        <v>0</v>
      </c>
      <c r="JH512" s="89">
        <v>0</v>
      </c>
      <c r="JI512" s="89">
        <v>0</v>
      </c>
      <c r="JJ512" s="89">
        <v>0</v>
      </c>
      <c r="JK512" s="89">
        <v>0</v>
      </c>
      <c r="JL512" s="89">
        <v>0</v>
      </c>
      <c r="JM512" s="89">
        <v>0</v>
      </c>
      <c r="JN512" s="89">
        <v>0</v>
      </c>
      <c r="JO512" s="89">
        <v>0</v>
      </c>
      <c r="JP512" s="89">
        <v>0</v>
      </c>
      <c r="JQ512" s="89">
        <v>0</v>
      </c>
      <c r="JR512" s="89">
        <v>0</v>
      </c>
      <c r="JS512" s="74">
        <f>HG512-IF512</f>
        <v>0</v>
      </c>
      <c r="JT512" s="382">
        <f>GS512-IF512</f>
        <v>0</v>
      </c>
      <c r="JU512" s="665"/>
      <c r="JV512" s="524"/>
      <c r="JW512" s="525"/>
      <c r="JX512" s="549">
        <f>SUM(HH512,HJ512,HL512,HN512,HP512,HR512,HT512,HV512,HX512,HZ512,IB512,ID512)</f>
        <v>0</v>
      </c>
      <c r="JY512" s="549">
        <f>SUM(HI512,HK512,HM512,HO512,HQ512,HS512,HU512,HW512,HY512,IA512,IC512,IE512)</f>
        <v>0</v>
      </c>
      <c r="JZ512" s="581">
        <f t="shared" si="12201"/>
        <v>0</v>
      </c>
      <c r="KA512" s="581">
        <f t="shared" si="12202"/>
        <v>-99000</v>
      </c>
      <c r="KB512" s="549">
        <f t="shared" si="12194"/>
        <v>0</v>
      </c>
      <c r="KC512" s="709">
        <f t="shared" si="12200"/>
        <v>0</v>
      </c>
      <c r="KD512" s="36"/>
      <c r="KE512" s="36"/>
      <c r="KF512" s="36"/>
      <c r="KG512" s="36"/>
      <c r="KH512" s="36"/>
      <c r="KI512" s="36"/>
      <c r="KJ512" s="36"/>
      <c r="KK512" s="36"/>
    </row>
    <row r="513" spans="1:297" s="8" customFormat="1" ht="12.75" customHeight="1">
      <c r="A513" s="80"/>
      <c r="B513" s="72"/>
      <c r="C513" s="74"/>
      <c r="D513" s="549"/>
      <c r="E513" s="675"/>
      <c r="F513" s="549"/>
      <c r="G513" s="675"/>
      <c r="H513" s="549"/>
      <c r="I513" s="675"/>
      <c r="J513" s="549"/>
      <c r="K513" s="675"/>
      <c r="L513" s="549"/>
      <c r="M513" s="675"/>
      <c r="N513" s="549"/>
      <c r="O513" s="675"/>
      <c r="P513" s="549"/>
      <c r="Q513" s="675"/>
      <c r="R513" s="549"/>
      <c r="S513" s="675"/>
      <c r="T513" s="549"/>
      <c r="U513" s="675"/>
      <c r="V513" s="549"/>
      <c r="W513" s="675"/>
      <c r="X513" s="549"/>
      <c r="Y513" s="675"/>
      <c r="Z513" s="549"/>
      <c r="AA513" s="675"/>
      <c r="AB513" s="549"/>
      <c r="AC513" s="675"/>
      <c r="AD513" s="549"/>
      <c r="AE513" s="675"/>
      <c r="AF513" s="549"/>
      <c r="AG513" s="675"/>
      <c r="AH513" s="549"/>
      <c r="AI513" s="675"/>
      <c r="AJ513" s="549"/>
      <c r="AK513" s="675"/>
      <c r="AL513" s="549"/>
      <c r="AM513" s="675"/>
      <c r="AN513" s="549"/>
      <c r="AO513" s="675"/>
      <c r="AP513" s="549"/>
      <c r="AQ513" s="675"/>
      <c r="AR513" s="549"/>
      <c r="AS513" s="675"/>
      <c r="AT513" s="549"/>
      <c r="AU513" s="675"/>
      <c r="AV513" s="549"/>
      <c r="AW513" s="675"/>
      <c r="AX513" s="549"/>
      <c r="AY513" s="675"/>
      <c r="AZ513" s="549"/>
      <c r="BA513" s="675"/>
      <c r="BB513" s="549"/>
      <c r="BC513" s="675"/>
      <c r="BD513" s="549"/>
      <c r="BE513" s="675"/>
      <c r="BF513" s="549"/>
      <c r="BG513" s="675"/>
      <c r="BH513" s="549"/>
      <c r="BI513" s="675"/>
      <c r="BJ513" s="549"/>
      <c r="BK513" s="675"/>
      <c r="BL513" s="549"/>
      <c r="BM513" s="675"/>
      <c r="BN513" s="549"/>
      <c r="BO513" s="675"/>
      <c r="BP513" s="549"/>
      <c r="BQ513" s="675"/>
      <c r="BR513" s="549"/>
      <c r="BS513" s="675"/>
      <c r="BT513" s="549"/>
      <c r="BU513" s="675"/>
      <c r="BV513" s="549"/>
      <c r="BW513" s="675"/>
      <c r="BX513" s="549"/>
      <c r="BY513" s="675"/>
      <c r="BZ513" s="549"/>
      <c r="CA513" s="675"/>
      <c r="CB513" s="549"/>
      <c r="CC513" s="675"/>
      <c r="CD513" s="549"/>
      <c r="CE513" s="675"/>
      <c r="CF513" s="549"/>
      <c r="CG513" s="675"/>
      <c r="CH513" s="549"/>
      <c r="CI513" s="675"/>
      <c r="CJ513" s="549"/>
      <c r="CK513" s="675"/>
      <c r="CL513" s="549"/>
      <c r="CM513" s="675"/>
      <c r="CN513" s="549"/>
      <c r="CO513" s="675"/>
      <c r="CP513" s="549"/>
      <c r="CQ513" s="675"/>
      <c r="CR513" s="549"/>
      <c r="CS513" s="675"/>
      <c r="CT513" s="549"/>
      <c r="CU513" s="675"/>
      <c r="CV513" s="549"/>
      <c r="CW513" s="675"/>
      <c r="CX513" s="549"/>
      <c r="CY513" s="675"/>
      <c r="CZ513" s="549"/>
      <c r="DA513" s="675"/>
      <c r="DB513" s="549"/>
      <c r="DC513" s="675"/>
      <c r="DD513" s="549"/>
      <c r="DE513" s="675"/>
      <c r="DF513" s="549"/>
      <c r="DG513" s="675"/>
      <c r="DH513" s="549"/>
      <c r="DI513" s="675"/>
      <c r="DJ513" s="549"/>
      <c r="DK513" s="675"/>
      <c r="DL513" s="549"/>
      <c r="DM513" s="675"/>
      <c r="DN513" s="549"/>
      <c r="DO513" s="675"/>
      <c r="DP513" s="549"/>
      <c r="DQ513" s="675"/>
      <c r="DR513" s="549"/>
      <c r="DS513" s="675"/>
      <c r="DT513" s="549"/>
      <c r="DU513" s="675"/>
      <c r="DV513" s="549"/>
      <c r="DW513" s="675"/>
      <c r="DX513" s="549"/>
      <c r="DY513" s="675"/>
      <c r="DZ513" s="549"/>
      <c r="EA513" s="675"/>
      <c r="EB513" s="549"/>
      <c r="EC513" s="675"/>
      <c r="ED513" s="549"/>
      <c r="EE513" s="675"/>
      <c r="EF513" s="549"/>
      <c r="EG513" s="675"/>
      <c r="EH513" s="549"/>
      <c r="EI513" s="675"/>
      <c r="EJ513" s="549"/>
      <c r="EK513" s="675"/>
      <c r="EL513" s="549"/>
      <c r="EM513" s="675"/>
      <c r="EN513" s="549"/>
      <c r="EO513" s="675"/>
      <c r="EP513" s="549"/>
      <c r="EQ513" s="675"/>
      <c r="ER513" s="549"/>
      <c r="ES513" s="675"/>
      <c r="ET513" s="549"/>
      <c r="EU513" s="675"/>
      <c r="EV513" s="549"/>
      <c r="EW513" s="675"/>
      <c r="EX513" s="549"/>
      <c r="EY513" s="675"/>
      <c r="EZ513" s="549"/>
      <c r="FA513" s="675"/>
      <c r="FB513" s="549"/>
      <c r="FC513" s="675"/>
      <c r="FD513" s="549"/>
      <c r="FE513" s="675"/>
      <c r="FF513" s="549"/>
      <c r="FG513" s="675"/>
      <c r="FH513" s="549"/>
      <c r="FI513" s="675"/>
      <c r="FJ513" s="549"/>
      <c r="FK513" s="675"/>
      <c r="FL513" s="549"/>
      <c r="FM513" s="675"/>
      <c r="FN513" s="549"/>
      <c r="FO513" s="675"/>
      <c r="FP513" s="549"/>
      <c r="FQ513" s="675"/>
      <c r="FR513" s="549"/>
      <c r="FS513" s="675"/>
      <c r="FT513" s="549"/>
      <c r="FU513" s="675"/>
      <c r="FV513" s="549"/>
      <c r="FW513" s="675"/>
      <c r="FX513" s="549"/>
      <c r="FY513" s="675"/>
      <c r="FZ513" s="549"/>
      <c r="GA513" s="675"/>
      <c r="GB513" s="549"/>
      <c r="GC513" s="675"/>
      <c r="GD513" s="549"/>
      <c r="GE513" s="675"/>
      <c r="GF513" s="549"/>
      <c r="GG513" s="675"/>
      <c r="GH513" s="549"/>
      <c r="GI513" s="675"/>
      <c r="GJ513" s="549"/>
      <c r="GK513" s="675"/>
      <c r="GL513" s="549"/>
      <c r="GM513" s="675"/>
      <c r="GN513" s="549"/>
      <c r="GO513" s="675"/>
      <c r="GP513" s="549"/>
      <c r="GQ513" s="675"/>
      <c r="GR513" s="74"/>
      <c r="GS513" s="74"/>
      <c r="GT513" s="568"/>
      <c r="GU513" s="275"/>
      <c r="GV513" s="493"/>
      <c r="GW513" s="884"/>
      <c r="GX513" s="884"/>
      <c r="GY513" s="493"/>
      <c r="GZ513" s="275"/>
      <c r="HA513" s="275"/>
      <c r="HB513" s="275"/>
      <c r="HC513" s="275"/>
      <c r="HD513" s="275"/>
      <c r="HE513" s="275"/>
      <c r="HF513" s="275"/>
      <c r="HG513" s="74"/>
      <c r="HH513" s="89"/>
      <c r="HI513" s="817"/>
      <c r="HJ513" s="89"/>
      <c r="HK513" s="817"/>
      <c r="HL513" s="89"/>
      <c r="HM513" s="817"/>
      <c r="HN513" s="89"/>
      <c r="HO513" s="817"/>
      <c r="HP513" s="89"/>
      <c r="HQ513" s="817"/>
      <c r="HR513" s="89"/>
      <c r="HS513" s="817"/>
      <c r="HT513" s="89"/>
      <c r="HU513" s="817"/>
      <c r="HV513" s="89"/>
      <c r="HW513" s="817"/>
      <c r="HX513" s="89"/>
      <c r="HY513" s="817"/>
      <c r="HZ513" s="89"/>
      <c r="IA513" s="817"/>
      <c r="IB513" s="89"/>
      <c r="IC513" s="817"/>
      <c r="ID513" s="89"/>
      <c r="IE513" s="817"/>
      <c r="IF513" s="841"/>
      <c r="IG513" s="263"/>
      <c r="IH513" s="842"/>
      <c r="II513" s="89"/>
      <c r="IJ513" s="89"/>
      <c r="IK513" s="89"/>
      <c r="IL513" s="89"/>
      <c r="IM513" s="89"/>
      <c r="IN513" s="89"/>
      <c r="IO513" s="89"/>
      <c r="IP513" s="89"/>
      <c r="IQ513" s="89"/>
      <c r="IR513" s="89"/>
      <c r="IS513" s="89"/>
      <c r="IT513" s="89"/>
      <c r="IU513" s="89"/>
      <c r="IV513" s="89"/>
      <c r="IW513" s="89"/>
      <c r="IX513" s="89"/>
      <c r="IY513" s="89"/>
      <c r="IZ513" s="89"/>
      <c r="JA513" s="89"/>
      <c r="JB513" s="89"/>
      <c r="JC513" s="89"/>
      <c r="JD513" s="89"/>
      <c r="JE513" s="89"/>
      <c r="JF513" s="89"/>
      <c r="JG513" s="89"/>
      <c r="JH513" s="89"/>
      <c r="JI513" s="89"/>
      <c r="JJ513" s="89"/>
      <c r="JK513" s="89"/>
      <c r="JL513" s="89"/>
      <c r="JM513" s="89"/>
      <c r="JN513" s="89"/>
      <c r="JO513" s="89"/>
      <c r="JP513" s="89"/>
      <c r="JQ513" s="89"/>
      <c r="JR513" s="89"/>
      <c r="JS513" s="74"/>
      <c r="JT513" s="382"/>
      <c r="JU513" s="665"/>
      <c r="JV513" s="524"/>
      <c r="JW513" s="525"/>
      <c r="JX513" s="549"/>
      <c r="JY513" s="549"/>
      <c r="JZ513" s="581">
        <f t="shared" si="12201"/>
        <v>0</v>
      </c>
      <c r="KA513" s="581">
        <f t="shared" si="12202"/>
        <v>0</v>
      </c>
      <c r="KB513" s="549">
        <f t="shared" si="12194"/>
        <v>0</v>
      </c>
      <c r="KC513" s="709">
        <f t="shared" si="12200"/>
        <v>0</v>
      </c>
      <c r="KD513" s="36"/>
      <c r="KE513" s="36"/>
      <c r="KF513" s="36"/>
      <c r="KG513" s="36"/>
      <c r="KH513" s="36"/>
      <c r="KI513" s="36"/>
      <c r="KJ513" s="36"/>
      <c r="KK513" s="36"/>
    </row>
    <row r="514" spans="1:297" s="8" customFormat="1">
      <c r="A514" s="80" t="s">
        <v>733</v>
      </c>
      <c r="B514" s="559" t="s">
        <v>963</v>
      </c>
      <c r="C514" s="74">
        <v>150000</v>
      </c>
      <c r="D514" s="549">
        <v>0</v>
      </c>
      <c r="E514" s="675">
        <v>0</v>
      </c>
      <c r="F514" s="549">
        <v>0</v>
      </c>
      <c r="G514" s="675">
        <v>-3000</v>
      </c>
      <c r="H514" s="549">
        <v>0</v>
      </c>
      <c r="I514" s="675">
        <v>0</v>
      </c>
      <c r="J514" s="549">
        <v>0</v>
      </c>
      <c r="K514" s="675">
        <v>0</v>
      </c>
      <c r="L514" s="549">
        <v>0</v>
      </c>
      <c r="M514" s="675">
        <v>0</v>
      </c>
      <c r="N514" s="549">
        <v>0</v>
      </c>
      <c r="O514" s="675">
        <v>0</v>
      </c>
      <c r="P514" s="549">
        <v>0</v>
      </c>
      <c r="Q514" s="675">
        <v>0</v>
      </c>
      <c r="R514" s="549">
        <v>0</v>
      </c>
      <c r="S514" s="675">
        <v>0</v>
      </c>
      <c r="T514" s="549">
        <v>0</v>
      </c>
      <c r="U514" s="675">
        <v>0</v>
      </c>
      <c r="V514" s="549">
        <v>0</v>
      </c>
      <c r="W514" s="675">
        <v>0</v>
      </c>
      <c r="X514" s="549">
        <v>0</v>
      </c>
      <c r="Y514" s="675">
        <v>0</v>
      </c>
      <c r="Z514" s="549">
        <v>0</v>
      </c>
      <c r="AA514" s="675">
        <v>0</v>
      </c>
      <c r="AB514" s="549">
        <v>0</v>
      </c>
      <c r="AC514" s="675">
        <v>0</v>
      </c>
      <c r="AD514" s="549">
        <v>0</v>
      </c>
      <c r="AE514" s="675">
        <v>0</v>
      </c>
      <c r="AF514" s="549">
        <v>0</v>
      </c>
      <c r="AG514" s="675">
        <v>0</v>
      </c>
      <c r="AH514" s="549">
        <v>123000</v>
      </c>
      <c r="AI514" s="675">
        <v>0</v>
      </c>
      <c r="AJ514" s="549">
        <v>0</v>
      </c>
      <c r="AK514" s="675">
        <v>0</v>
      </c>
      <c r="AL514" s="549">
        <v>0</v>
      </c>
      <c r="AM514" s="675">
        <v>0</v>
      </c>
      <c r="AN514" s="549">
        <v>0</v>
      </c>
      <c r="AO514" s="675">
        <v>0</v>
      </c>
      <c r="AP514" s="549">
        <v>0</v>
      </c>
      <c r="AQ514" s="675">
        <v>0</v>
      </c>
      <c r="AR514" s="549">
        <v>0</v>
      </c>
      <c r="AS514" s="675">
        <v>0</v>
      </c>
      <c r="AT514" s="549">
        <v>0</v>
      </c>
      <c r="AU514" s="675">
        <v>0</v>
      </c>
      <c r="AV514" s="549">
        <v>0</v>
      </c>
      <c r="AW514" s="675">
        <v>0</v>
      </c>
      <c r="AX514" s="549">
        <v>0</v>
      </c>
      <c r="AY514" s="675">
        <v>0</v>
      </c>
      <c r="AZ514" s="549">
        <v>0</v>
      </c>
      <c r="BA514" s="675">
        <v>0</v>
      </c>
      <c r="BB514" s="549">
        <v>0</v>
      </c>
      <c r="BC514" s="675">
        <v>0</v>
      </c>
      <c r="BD514" s="549">
        <v>0</v>
      </c>
      <c r="BE514" s="675">
        <v>0</v>
      </c>
      <c r="BF514" s="549">
        <v>0</v>
      </c>
      <c r="BG514" s="675">
        <v>0</v>
      </c>
      <c r="BH514" s="549">
        <v>0</v>
      </c>
      <c r="BI514" s="675">
        <v>0</v>
      </c>
      <c r="BJ514" s="549">
        <v>0</v>
      </c>
      <c r="BK514" s="675">
        <v>0</v>
      </c>
      <c r="BL514" s="549">
        <v>0</v>
      </c>
      <c r="BM514" s="675">
        <v>0</v>
      </c>
      <c r="BN514" s="549">
        <v>0</v>
      </c>
      <c r="BO514" s="675">
        <v>0</v>
      </c>
      <c r="BP514" s="549">
        <v>0</v>
      </c>
      <c r="BQ514" s="675">
        <v>0</v>
      </c>
      <c r="BR514" s="549">
        <v>0</v>
      </c>
      <c r="BS514" s="675">
        <v>0</v>
      </c>
      <c r="BT514" s="549">
        <v>0</v>
      </c>
      <c r="BU514" s="675">
        <v>0</v>
      </c>
      <c r="BV514" s="549">
        <v>0</v>
      </c>
      <c r="BW514" s="675">
        <v>0</v>
      </c>
      <c r="BX514" s="549">
        <v>0</v>
      </c>
      <c r="BY514" s="675">
        <v>0</v>
      </c>
      <c r="BZ514" s="549">
        <v>0</v>
      </c>
      <c r="CA514" s="675">
        <v>0</v>
      </c>
      <c r="CB514" s="549">
        <v>0</v>
      </c>
      <c r="CC514" s="675">
        <v>-5000</v>
      </c>
      <c r="CD514" s="549">
        <v>0</v>
      </c>
      <c r="CE514" s="675">
        <v>0</v>
      </c>
      <c r="CF514" s="549">
        <v>0</v>
      </c>
      <c r="CG514" s="675">
        <v>0</v>
      </c>
      <c r="CH514" s="549">
        <v>0</v>
      </c>
      <c r="CI514" s="675">
        <v>-2000</v>
      </c>
      <c r="CJ514" s="549">
        <v>0</v>
      </c>
      <c r="CK514" s="675">
        <v>-50000</v>
      </c>
      <c r="CL514" s="549">
        <v>0</v>
      </c>
      <c r="CM514" s="675">
        <v>0</v>
      </c>
      <c r="CN514" s="549">
        <v>0</v>
      </c>
      <c r="CO514" s="675">
        <v>0</v>
      </c>
      <c r="CP514" s="549">
        <v>0</v>
      </c>
      <c r="CQ514" s="675">
        <v>0</v>
      </c>
      <c r="CR514" s="549">
        <v>0</v>
      </c>
      <c r="CS514" s="675">
        <v>0</v>
      </c>
      <c r="CT514" s="549">
        <v>0</v>
      </c>
      <c r="CU514" s="675">
        <v>0</v>
      </c>
      <c r="CV514" s="549">
        <v>0</v>
      </c>
      <c r="CW514" s="675">
        <v>0</v>
      </c>
      <c r="CX514" s="549">
        <v>0</v>
      </c>
      <c r="CY514" s="675">
        <v>0</v>
      </c>
      <c r="CZ514" s="549">
        <v>0</v>
      </c>
      <c r="DA514" s="675">
        <v>0</v>
      </c>
      <c r="DB514" s="549">
        <v>0</v>
      </c>
      <c r="DC514" s="675">
        <v>0</v>
      </c>
      <c r="DD514" s="549">
        <v>0</v>
      </c>
      <c r="DE514" s="675">
        <v>0</v>
      </c>
      <c r="DF514" s="549">
        <v>0</v>
      </c>
      <c r="DG514" s="675">
        <v>0</v>
      </c>
      <c r="DH514" s="549">
        <v>0</v>
      </c>
      <c r="DI514" s="675">
        <v>0</v>
      </c>
      <c r="DJ514" s="549">
        <v>0</v>
      </c>
      <c r="DK514" s="675">
        <v>0</v>
      </c>
      <c r="DL514" s="549">
        <v>0</v>
      </c>
      <c r="DM514" s="675">
        <v>0</v>
      </c>
      <c r="DN514" s="549">
        <v>0</v>
      </c>
      <c r="DO514" s="675">
        <v>0</v>
      </c>
      <c r="DP514" s="549">
        <v>0</v>
      </c>
      <c r="DQ514" s="675">
        <v>-15000</v>
      </c>
      <c r="DR514" s="549">
        <v>0</v>
      </c>
      <c r="DS514" s="675">
        <v>0</v>
      </c>
      <c r="DT514" s="549">
        <v>0</v>
      </c>
      <c r="DU514" s="675">
        <v>0</v>
      </c>
      <c r="DV514" s="549">
        <v>0</v>
      </c>
      <c r="DW514" s="675">
        <v>0</v>
      </c>
      <c r="DX514" s="549">
        <v>0</v>
      </c>
      <c r="DY514" s="675">
        <v>0</v>
      </c>
      <c r="DZ514" s="549">
        <v>0</v>
      </c>
      <c r="EA514" s="675">
        <v>0</v>
      </c>
      <c r="EB514" s="549">
        <v>0</v>
      </c>
      <c r="EC514" s="675">
        <v>0</v>
      </c>
      <c r="ED514" s="549">
        <v>0</v>
      </c>
      <c r="EE514" s="675">
        <v>0</v>
      </c>
      <c r="EF514" s="549">
        <v>0</v>
      </c>
      <c r="EG514" s="675">
        <v>0</v>
      </c>
      <c r="EH514" s="549">
        <v>0</v>
      </c>
      <c r="EI514" s="675">
        <v>0</v>
      </c>
      <c r="EJ514" s="549">
        <v>0</v>
      </c>
      <c r="EK514" s="675">
        <v>0</v>
      </c>
      <c r="EL514" s="549">
        <v>0</v>
      </c>
      <c r="EM514" s="675">
        <v>0</v>
      </c>
      <c r="EN514" s="549">
        <v>0</v>
      </c>
      <c r="EO514" s="675">
        <v>0</v>
      </c>
      <c r="EP514" s="549">
        <v>0</v>
      </c>
      <c r="EQ514" s="675">
        <v>0</v>
      </c>
      <c r="ER514" s="549">
        <v>0</v>
      </c>
      <c r="ES514" s="675">
        <v>0</v>
      </c>
      <c r="ET514" s="549">
        <v>0</v>
      </c>
      <c r="EU514" s="675">
        <v>0</v>
      </c>
      <c r="EV514" s="549">
        <v>0</v>
      </c>
      <c r="EW514" s="675">
        <v>0</v>
      </c>
      <c r="EX514" s="549">
        <v>0</v>
      </c>
      <c r="EY514" s="675">
        <v>0</v>
      </c>
      <c r="EZ514" s="549">
        <v>0</v>
      </c>
      <c r="FA514" s="675">
        <v>0</v>
      </c>
      <c r="FB514" s="549">
        <v>0</v>
      </c>
      <c r="FC514" s="675">
        <v>0</v>
      </c>
      <c r="FD514" s="549">
        <v>0</v>
      </c>
      <c r="FE514" s="675">
        <v>-5000</v>
      </c>
      <c r="FF514" s="549">
        <v>0</v>
      </c>
      <c r="FG514" s="675">
        <v>0</v>
      </c>
      <c r="FH514" s="549">
        <v>0</v>
      </c>
      <c r="FI514" s="675">
        <v>0</v>
      </c>
      <c r="FJ514" s="549">
        <v>0</v>
      </c>
      <c r="FK514" s="675">
        <v>0</v>
      </c>
      <c r="FL514" s="549">
        <v>0</v>
      </c>
      <c r="FM514" s="675">
        <v>-289</v>
      </c>
      <c r="FN514" s="549">
        <v>0</v>
      </c>
      <c r="FO514" s="675">
        <v>0</v>
      </c>
      <c r="FP514" s="549">
        <v>0</v>
      </c>
      <c r="FQ514" s="675">
        <v>0</v>
      </c>
      <c r="FR514" s="549">
        <v>0</v>
      </c>
      <c r="FS514" s="675">
        <v>0</v>
      </c>
      <c r="FT514" s="549">
        <v>0</v>
      </c>
      <c r="FU514" s="675">
        <v>0</v>
      </c>
      <c r="FV514" s="549">
        <v>0</v>
      </c>
      <c r="FW514" s="675">
        <v>0</v>
      </c>
      <c r="FX514" s="549">
        <v>0</v>
      </c>
      <c r="FY514" s="675">
        <v>0</v>
      </c>
      <c r="FZ514" s="549">
        <v>0</v>
      </c>
      <c r="GA514" s="675">
        <v>0</v>
      </c>
      <c r="GB514" s="549">
        <v>0</v>
      </c>
      <c r="GC514" s="675">
        <v>0</v>
      </c>
      <c r="GD514" s="549">
        <v>0</v>
      </c>
      <c r="GE514" s="675">
        <v>0</v>
      </c>
      <c r="GF514" s="549">
        <v>0</v>
      </c>
      <c r="GG514" s="675">
        <v>0</v>
      </c>
      <c r="GH514" s="549">
        <v>0</v>
      </c>
      <c r="GI514" s="675">
        <v>0</v>
      </c>
      <c r="GJ514" s="549">
        <v>0</v>
      </c>
      <c r="GK514" s="675">
        <v>0</v>
      </c>
      <c r="GL514" s="549">
        <v>0</v>
      </c>
      <c r="GM514" s="675">
        <v>0</v>
      </c>
      <c r="GN514" s="549">
        <v>0</v>
      </c>
      <c r="GO514" s="675">
        <v>0</v>
      </c>
      <c r="GP514" s="549">
        <f>+D514+F514+H514+J514+L514+N514+P514+R514+T514+V514+X514+Z514+AB514+AF514+AD514+AH514+AJ514+AL514+AN514+AP514+AR514+AT514+AV514+AX514+AZ514+BB514+BD514+BF514+BH514+BJ514+BL514+BN514+BP514+BR514+BT514+BV514+BX514+BZ514+CB514+CD514+CF514+CH514+CJ514+CL514+CN514+CP514+CR514+CT514+CV514+CX514+CZ514+DB514+DD514+DF514+DH514+DT514+EX514+DJ514+DL514+DN514+DP514+DR514+EJ514+EB514+DZ514+DX514+DV514+ED514+EF514+EH514+EL514+EN514+EP514+EV514+ET514+ER514+EZ514+FB514+FD514+GL514+FF514+FJ514+FL514+GJ514+FT514+FR514+FP514+FN514+FH514+GH514+GF514+GD514+GB514+FZ514+FX514+FV514+GN514</f>
        <v>123000</v>
      </c>
      <c r="GQ514" s="675">
        <f>+E514+G514+I514+K514+M514+O514+Q514+S514+U514+W514+Y514+AA514+AC514+AE514+AG514+AI514+AK514+AM514+AO514+AQ514+AS514+AU514+AW514+AY514+BA514+BC514+BE514+BG514+BI514+BK514+BM514+BO514+BQ514+BS514+BU514+BW514+BY514+CA514+CC514+CE514+CG514+CI514+CK514+CM514+CO514+CQ514+CS514+CU514+CW514+CY514+DA514+DC514+DE514+DG514+DI514+DU514+EY514+DK514+DM514+DO514+DQ514+DS514+EK514+EC514+EA514+DY514+DW514+EI514+EG514+EE514+EM514+EO514+EQ514+EW514+EU514+ES514+FA514+FC514+FE514+GM514+FG514+FK514+FM514+FO514+FQ514+FS514+FU514+GK514+FI514+GI514+GG514+GE514+GC514+GA514+FY514+FW514+GO514</f>
        <v>-80289</v>
      </c>
      <c r="GR514" s="74">
        <f>C514+GP514+GQ514</f>
        <v>192711</v>
      </c>
      <c r="GS514" s="74">
        <f>SUM(GU514:HD514)+GP514+GQ514</f>
        <v>192711</v>
      </c>
      <c r="GT514" s="568">
        <f>SUM(GU514:HF514)+GQ514+GP514</f>
        <v>192711</v>
      </c>
      <c r="GU514" s="275">
        <v>30000</v>
      </c>
      <c r="GV514" s="493">
        <v>20000</v>
      </c>
      <c r="GW514" s="493">
        <v>20000</v>
      </c>
      <c r="GX514" s="493">
        <v>20000</v>
      </c>
      <c r="GY514" s="493">
        <v>20000</v>
      </c>
      <c r="GZ514" s="493">
        <v>20000</v>
      </c>
      <c r="HA514" s="493">
        <v>20000</v>
      </c>
      <c r="HB514" s="836">
        <v>0</v>
      </c>
      <c r="HC514" s="836">
        <v>0</v>
      </c>
      <c r="HD514" s="836">
        <v>0</v>
      </c>
      <c r="HE514" s="275">
        <v>0</v>
      </c>
      <c r="HF514" s="275"/>
      <c r="HG514" s="74">
        <f>SUM(HH514:IE514)</f>
        <v>192711</v>
      </c>
      <c r="HH514" s="89">
        <v>30000</v>
      </c>
      <c r="HI514" s="817">
        <v>0</v>
      </c>
      <c r="HJ514" s="89">
        <v>17000</v>
      </c>
      <c r="HK514" s="817">
        <v>0</v>
      </c>
      <c r="HL514" s="89">
        <v>143000</v>
      </c>
      <c r="HM514" s="817">
        <v>0</v>
      </c>
      <c r="HN514" s="89">
        <v>10000</v>
      </c>
      <c r="HO514" s="817">
        <v>0</v>
      </c>
      <c r="HP514" s="89">
        <v>0</v>
      </c>
      <c r="HQ514" s="817">
        <v>0</v>
      </c>
      <c r="HR514" s="89">
        <v>0</v>
      </c>
      <c r="HS514" s="817">
        <v>0</v>
      </c>
      <c r="HT514" s="89">
        <v>0</v>
      </c>
      <c r="HU514" s="817">
        <v>0</v>
      </c>
      <c r="HV514" s="89">
        <v>0</v>
      </c>
      <c r="HW514" s="817">
        <v>0</v>
      </c>
      <c r="HX514" s="89">
        <v>-2000</v>
      </c>
      <c r="HY514" s="817">
        <v>0</v>
      </c>
      <c r="HZ514" s="89">
        <v>-5289</v>
      </c>
      <c r="IA514" s="817">
        <v>0</v>
      </c>
      <c r="IB514" s="89">
        <v>0</v>
      </c>
      <c r="IC514" s="817">
        <v>0</v>
      </c>
      <c r="ID514" s="89">
        <v>0</v>
      </c>
      <c r="IE514" s="817">
        <v>0</v>
      </c>
      <c r="IF514" s="841">
        <f t="shared" ref="IF514" si="12402">SUM(II514,IL514,IO514,IR514,IU514,IX514,JA514,JD514,JG514,JJ514,JM514,JP514)</f>
        <v>192296.43</v>
      </c>
      <c r="IG514" s="263">
        <f t="shared" ref="IG514" si="12403">SUM(IJ514,IM514,IP514,IS514,IV514,IY514,JB514,JE514,JH514,JK514,JN514,JQ514)</f>
        <v>192296.43</v>
      </c>
      <c r="IH514" s="842">
        <f t="shared" ref="IH514" si="12404">SUM(IK514,IN514,IQ514,IT514,IW514,IZ514,JC514,JF514,JI514,JL514,JO514,JR514)</f>
        <v>192296.43</v>
      </c>
      <c r="II514" s="89">
        <v>0</v>
      </c>
      <c r="IJ514" s="89">
        <f t="shared" ref="IJ514" si="12405">II514</f>
        <v>0</v>
      </c>
      <c r="IK514" s="89">
        <f t="shared" ref="IK514" si="12406">IJ514</f>
        <v>0</v>
      </c>
      <c r="IL514" s="89">
        <v>0</v>
      </c>
      <c r="IM514" s="89">
        <f t="shared" ref="IM514" si="12407">IL514</f>
        <v>0</v>
      </c>
      <c r="IN514" s="89">
        <f t="shared" ref="IN514" si="12408">IM514</f>
        <v>0</v>
      </c>
      <c r="IO514" s="89">
        <v>0</v>
      </c>
      <c r="IP514" s="89">
        <f t="shared" ref="IP514" si="12409">IO514</f>
        <v>0</v>
      </c>
      <c r="IQ514" s="89">
        <f t="shared" ref="IQ514" si="12410">IP514</f>
        <v>0</v>
      </c>
      <c r="IR514" s="89">
        <v>0</v>
      </c>
      <c r="IS514" s="89">
        <f t="shared" ref="IS514" si="12411">IR514</f>
        <v>0</v>
      </c>
      <c r="IT514" s="89">
        <f t="shared" ref="IT514" si="12412">IS514</f>
        <v>0</v>
      </c>
      <c r="IU514" s="89">
        <v>0</v>
      </c>
      <c r="IV514" s="89">
        <f t="shared" ref="IV514" si="12413">IU514</f>
        <v>0</v>
      </c>
      <c r="IW514" s="89">
        <f t="shared" ref="IW514" si="12414">IV514</f>
        <v>0</v>
      </c>
      <c r="IX514" s="89">
        <v>1268.8</v>
      </c>
      <c r="IY514" s="89">
        <f t="shared" ref="IY514" si="12415">IX514</f>
        <v>1268.8</v>
      </c>
      <c r="IZ514" s="89">
        <f t="shared" ref="IZ514" si="12416">IY514</f>
        <v>1268.8</v>
      </c>
      <c r="JA514" s="89">
        <f>2132.48-1268.8</f>
        <v>863.68000000000006</v>
      </c>
      <c r="JB514" s="89">
        <f t="shared" ref="JB514" si="12417">JA514</f>
        <v>863.68000000000006</v>
      </c>
      <c r="JC514" s="89">
        <f t="shared" ref="JC514" si="12418">JB514</f>
        <v>863.68000000000006</v>
      </c>
      <c r="JD514" s="89">
        <f>191432.75-2132.48</f>
        <v>189300.27</v>
      </c>
      <c r="JE514" s="89">
        <f t="shared" ref="JE514" si="12419">JD514</f>
        <v>189300.27</v>
      </c>
      <c r="JF514" s="89">
        <f t="shared" ref="JF514" si="12420">JE514</f>
        <v>189300.27</v>
      </c>
      <c r="JG514" s="89">
        <f>192296.43-191432.75</f>
        <v>863.67999999999302</v>
      </c>
      <c r="JH514" s="89">
        <f t="shared" ref="JH514" si="12421">JG514</f>
        <v>863.67999999999302</v>
      </c>
      <c r="JI514" s="89">
        <f t="shared" ref="JI514" si="12422">JH514</f>
        <v>863.67999999999302</v>
      </c>
      <c r="JJ514" s="89">
        <v>0</v>
      </c>
      <c r="JK514" s="89">
        <f t="shared" ref="JK514" si="12423">JJ514</f>
        <v>0</v>
      </c>
      <c r="JL514" s="89">
        <f t="shared" ref="JL514" si="12424">JK514</f>
        <v>0</v>
      </c>
      <c r="JM514" s="89">
        <v>0</v>
      </c>
      <c r="JN514" s="89">
        <f t="shared" ref="JN514" si="12425">JM514</f>
        <v>0</v>
      </c>
      <c r="JO514" s="89">
        <f t="shared" ref="JO514" si="12426">JN514</f>
        <v>0</v>
      </c>
      <c r="JP514" s="89">
        <v>0</v>
      </c>
      <c r="JQ514" s="89">
        <f t="shared" ref="JQ514:JR514" si="12427">JP514</f>
        <v>0</v>
      </c>
      <c r="JR514" s="89">
        <f t="shared" si="12427"/>
        <v>0</v>
      </c>
      <c r="JS514" s="74">
        <f>HG514-IF514</f>
        <v>414.57000000000698</v>
      </c>
      <c r="JT514" s="382">
        <f>GS514-IF514</f>
        <v>414.57000000000698</v>
      </c>
      <c r="JU514" s="665"/>
      <c r="JV514" s="524"/>
      <c r="JW514" s="525"/>
      <c r="JX514" s="549">
        <f>SUM(HH514,HJ514,HL514,HN514,HP514,HR514,HT514,HV514,HX514,HZ514,IB514,ID514)</f>
        <v>192711</v>
      </c>
      <c r="JY514" s="549">
        <f>SUM(HI514,HK514,HM514,HO514,HQ514,HS514,HU514,HW514,HY514,IA514,IC514,IE514)</f>
        <v>0</v>
      </c>
      <c r="JZ514" s="581">
        <f t="shared" si="12201"/>
        <v>123000</v>
      </c>
      <c r="KA514" s="581">
        <f t="shared" si="12202"/>
        <v>-80289</v>
      </c>
      <c r="KB514" s="549">
        <f t="shared" si="12194"/>
        <v>192711</v>
      </c>
      <c r="KC514" s="709">
        <f t="shared" si="12200"/>
        <v>0</v>
      </c>
      <c r="KD514" s="36"/>
      <c r="KE514" s="36"/>
      <c r="KF514" s="36"/>
      <c r="KG514" s="36"/>
      <c r="KH514" s="36"/>
      <c r="KI514" s="36"/>
      <c r="KJ514" s="36"/>
      <c r="KK514" s="36"/>
    </row>
    <row r="515" spans="1:297" s="8" customFormat="1" ht="12.75" hidden="1" customHeight="1">
      <c r="A515" s="80"/>
      <c r="B515" s="72"/>
      <c r="C515" s="74"/>
      <c r="D515" s="549"/>
      <c r="E515" s="675"/>
      <c r="F515" s="549"/>
      <c r="G515" s="675"/>
      <c r="H515" s="549"/>
      <c r="I515" s="675"/>
      <c r="J515" s="549"/>
      <c r="K515" s="675"/>
      <c r="L515" s="549"/>
      <c r="M515" s="675"/>
      <c r="N515" s="549"/>
      <c r="O515" s="675"/>
      <c r="P515" s="549"/>
      <c r="Q515" s="675"/>
      <c r="R515" s="549"/>
      <c r="S515" s="675"/>
      <c r="T515" s="549"/>
      <c r="U515" s="675"/>
      <c r="V515" s="549"/>
      <c r="W515" s="675"/>
      <c r="X515" s="549"/>
      <c r="Y515" s="675"/>
      <c r="Z515" s="549"/>
      <c r="AA515" s="675"/>
      <c r="AB515" s="549"/>
      <c r="AC515" s="675"/>
      <c r="AD515" s="549"/>
      <c r="AE515" s="675"/>
      <c r="AF515" s="549"/>
      <c r="AG515" s="675"/>
      <c r="AH515" s="549"/>
      <c r="AI515" s="675"/>
      <c r="AJ515" s="549"/>
      <c r="AK515" s="675"/>
      <c r="AL515" s="549"/>
      <c r="AM515" s="675"/>
      <c r="AN515" s="549"/>
      <c r="AO515" s="675"/>
      <c r="AP515" s="549"/>
      <c r="AQ515" s="675"/>
      <c r="AR515" s="549"/>
      <c r="AS515" s="675"/>
      <c r="AT515" s="549"/>
      <c r="AU515" s="675"/>
      <c r="AV515" s="549"/>
      <c r="AW515" s="675"/>
      <c r="AX515" s="549"/>
      <c r="AY515" s="675"/>
      <c r="AZ515" s="549"/>
      <c r="BA515" s="675"/>
      <c r="BB515" s="549"/>
      <c r="BC515" s="675"/>
      <c r="BD515" s="549"/>
      <c r="BE515" s="675"/>
      <c r="BF515" s="549"/>
      <c r="BG515" s="675"/>
      <c r="BH515" s="549"/>
      <c r="BI515" s="675"/>
      <c r="BJ515" s="549"/>
      <c r="BK515" s="675"/>
      <c r="BL515" s="549"/>
      <c r="BM515" s="675"/>
      <c r="BN515" s="549"/>
      <c r="BO515" s="675"/>
      <c r="BP515" s="549"/>
      <c r="BQ515" s="675"/>
      <c r="BR515" s="549"/>
      <c r="BS515" s="675"/>
      <c r="BT515" s="549"/>
      <c r="BU515" s="675"/>
      <c r="BV515" s="549"/>
      <c r="BW515" s="675"/>
      <c r="BX515" s="549"/>
      <c r="BY515" s="675"/>
      <c r="BZ515" s="549"/>
      <c r="CA515" s="675"/>
      <c r="CB515" s="549"/>
      <c r="CC515" s="675"/>
      <c r="CD515" s="549"/>
      <c r="CE515" s="675"/>
      <c r="CF515" s="549"/>
      <c r="CG515" s="675"/>
      <c r="CH515" s="549"/>
      <c r="CI515" s="675"/>
      <c r="CJ515" s="549"/>
      <c r="CK515" s="675"/>
      <c r="CL515" s="549"/>
      <c r="CM515" s="675"/>
      <c r="CN515" s="549"/>
      <c r="CO515" s="675"/>
      <c r="CP515" s="549"/>
      <c r="CQ515" s="675"/>
      <c r="CR515" s="549"/>
      <c r="CS515" s="675"/>
      <c r="CT515" s="549"/>
      <c r="CU515" s="675"/>
      <c r="CV515" s="549"/>
      <c r="CW515" s="675"/>
      <c r="CX515" s="549"/>
      <c r="CY515" s="675"/>
      <c r="CZ515" s="549"/>
      <c r="DA515" s="675"/>
      <c r="DB515" s="549"/>
      <c r="DC515" s="675"/>
      <c r="DD515" s="549"/>
      <c r="DE515" s="675"/>
      <c r="DF515" s="549"/>
      <c r="DG515" s="675"/>
      <c r="DH515" s="549"/>
      <c r="DI515" s="675"/>
      <c r="DJ515" s="549"/>
      <c r="DK515" s="675"/>
      <c r="DL515" s="549"/>
      <c r="DM515" s="675"/>
      <c r="DN515" s="549"/>
      <c r="DO515" s="675"/>
      <c r="DP515" s="549"/>
      <c r="DQ515" s="675"/>
      <c r="DR515" s="549"/>
      <c r="DS515" s="675"/>
      <c r="DT515" s="549"/>
      <c r="DU515" s="675"/>
      <c r="DV515" s="549"/>
      <c r="DW515" s="675"/>
      <c r="DX515" s="549"/>
      <c r="DY515" s="675"/>
      <c r="DZ515" s="549"/>
      <c r="EA515" s="675"/>
      <c r="EB515" s="549"/>
      <c r="EC515" s="675"/>
      <c r="ED515" s="549"/>
      <c r="EE515" s="675"/>
      <c r="EF515" s="549"/>
      <c r="EG515" s="675"/>
      <c r="EH515" s="549"/>
      <c r="EI515" s="675"/>
      <c r="EJ515" s="549"/>
      <c r="EK515" s="675"/>
      <c r="EL515" s="549"/>
      <c r="EM515" s="675"/>
      <c r="EN515" s="549"/>
      <c r="EO515" s="675"/>
      <c r="EP515" s="549"/>
      <c r="EQ515" s="675"/>
      <c r="ER515" s="549"/>
      <c r="ES515" s="675"/>
      <c r="ET515" s="549"/>
      <c r="EU515" s="675"/>
      <c r="EV515" s="549"/>
      <c r="EW515" s="675"/>
      <c r="EX515" s="549"/>
      <c r="EY515" s="675"/>
      <c r="EZ515" s="549"/>
      <c r="FA515" s="675"/>
      <c r="FB515" s="549"/>
      <c r="FC515" s="675"/>
      <c r="FD515" s="549"/>
      <c r="FE515" s="675"/>
      <c r="FF515" s="549"/>
      <c r="FG515" s="675"/>
      <c r="FH515" s="549"/>
      <c r="FI515" s="675"/>
      <c r="FJ515" s="549"/>
      <c r="FK515" s="675"/>
      <c r="FL515" s="549"/>
      <c r="FM515" s="675"/>
      <c r="FN515" s="549"/>
      <c r="FO515" s="675"/>
      <c r="FP515" s="549"/>
      <c r="FQ515" s="675"/>
      <c r="FR515" s="549"/>
      <c r="FS515" s="675"/>
      <c r="FT515" s="549"/>
      <c r="FU515" s="675"/>
      <c r="FV515" s="549"/>
      <c r="FW515" s="675"/>
      <c r="FX515" s="549"/>
      <c r="FY515" s="675"/>
      <c r="FZ515" s="549"/>
      <c r="GA515" s="675"/>
      <c r="GB515" s="549"/>
      <c r="GC515" s="675"/>
      <c r="GD515" s="549"/>
      <c r="GE515" s="675"/>
      <c r="GF515" s="549"/>
      <c r="GG515" s="675"/>
      <c r="GH515" s="549"/>
      <c r="GI515" s="675"/>
      <c r="GJ515" s="549"/>
      <c r="GK515" s="675"/>
      <c r="GL515" s="549"/>
      <c r="GM515" s="675"/>
      <c r="GN515" s="549"/>
      <c r="GO515" s="675"/>
      <c r="GP515" s="549"/>
      <c r="GQ515" s="675"/>
      <c r="GR515" s="74"/>
      <c r="GS515" s="74"/>
      <c r="GT515" s="568"/>
      <c r="GU515" s="275"/>
      <c r="GV515" s="493"/>
      <c r="GW515" s="884"/>
      <c r="GX515" s="884"/>
      <c r="GY515" s="493"/>
      <c r="GZ515" s="275"/>
      <c r="HA515" s="275"/>
      <c r="HB515" s="275"/>
      <c r="HC515" s="275"/>
      <c r="HD515" s="275"/>
      <c r="HE515" s="275"/>
      <c r="HF515" s="275"/>
      <c r="HG515" s="74"/>
      <c r="HH515" s="89"/>
      <c r="HI515" s="817"/>
      <c r="HJ515" s="89"/>
      <c r="HK515" s="817"/>
      <c r="HL515" s="89"/>
      <c r="HM515" s="817"/>
      <c r="HN515" s="89"/>
      <c r="HO515" s="817"/>
      <c r="HP515" s="89"/>
      <c r="HQ515" s="817"/>
      <c r="HR515" s="89"/>
      <c r="HS515" s="817"/>
      <c r="HT515" s="89"/>
      <c r="HU515" s="817"/>
      <c r="HV515" s="89"/>
      <c r="HW515" s="817"/>
      <c r="HX515" s="89"/>
      <c r="HY515" s="817"/>
      <c r="HZ515" s="89"/>
      <c r="IA515" s="817"/>
      <c r="IB515" s="89"/>
      <c r="IC515" s="817"/>
      <c r="ID515" s="89"/>
      <c r="IE515" s="817"/>
      <c r="IF515" s="841"/>
      <c r="IG515" s="263"/>
      <c r="IH515" s="842"/>
      <c r="II515" s="89"/>
      <c r="IJ515" s="89"/>
      <c r="IK515" s="89"/>
      <c r="IL515" s="89"/>
      <c r="IM515" s="89"/>
      <c r="IN515" s="89"/>
      <c r="IO515" s="89"/>
      <c r="IP515" s="89"/>
      <c r="IQ515" s="89"/>
      <c r="IR515" s="89"/>
      <c r="IS515" s="89"/>
      <c r="IT515" s="89"/>
      <c r="IU515" s="89"/>
      <c r="IV515" s="89"/>
      <c r="IW515" s="89"/>
      <c r="IX515" s="89"/>
      <c r="IY515" s="89"/>
      <c r="IZ515" s="89"/>
      <c r="JA515" s="89"/>
      <c r="JB515" s="89"/>
      <c r="JC515" s="89"/>
      <c r="JD515" s="89"/>
      <c r="JE515" s="89"/>
      <c r="JF515" s="89"/>
      <c r="JG515" s="89"/>
      <c r="JH515" s="89"/>
      <c r="JI515" s="89"/>
      <c r="JJ515" s="89"/>
      <c r="JK515" s="89"/>
      <c r="JL515" s="89"/>
      <c r="JM515" s="89"/>
      <c r="JN515" s="89"/>
      <c r="JO515" s="89"/>
      <c r="JP515" s="89"/>
      <c r="JQ515" s="89"/>
      <c r="JR515" s="89"/>
      <c r="JS515" s="74"/>
      <c r="JT515" s="382"/>
      <c r="JU515" s="665"/>
      <c r="JV515" s="524"/>
      <c r="JW515" s="525"/>
      <c r="JX515" s="549"/>
      <c r="JY515" s="549"/>
      <c r="JZ515" s="581">
        <f t="shared" si="12201"/>
        <v>0</v>
      </c>
      <c r="KA515" s="581">
        <f t="shared" si="12202"/>
        <v>0</v>
      </c>
      <c r="KB515" s="549">
        <f t="shared" si="12194"/>
        <v>0</v>
      </c>
      <c r="KC515" s="709">
        <f t="shared" si="12200"/>
        <v>0</v>
      </c>
      <c r="KD515" s="36"/>
      <c r="KE515" s="36"/>
      <c r="KF515" s="36"/>
      <c r="KG515" s="36"/>
      <c r="KH515" s="36"/>
      <c r="KI515" s="36"/>
      <c r="KJ515" s="36"/>
      <c r="KK515" s="36"/>
    </row>
    <row r="516" spans="1:297" s="8" customFormat="1" ht="12.75" hidden="1" customHeight="1">
      <c r="A516" s="80" t="s">
        <v>1129</v>
      </c>
      <c r="B516" s="72"/>
      <c r="C516" s="74">
        <v>0</v>
      </c>
      <c r="D516" s="549">
        <v>0</v>
      </c>
      <c r="E516" s="675">
        <v>0</v>
      </c>
      <c r="F516" s="549">
        <v>0</v>
      </c>
      <c r="G516" s="675">
        <v>0</v>
      </c>
      <c r="H516" s="549">
        <v>0</v>
      </c>
      <c r="I516" s="675">
        <v>0</v>
      </c>
      <c r="J516" s="549">
        <v>0</v>
      </c>
      <c r="K516" s="675">
        <v>0</v>
      </c>
      <c r="L516" s="549">
        <v>0</v>
      </c>
      <c r="M516" s="675">
        <v>0</v>
      </c>
      <c r="N516" s="549">
        <v>0</v>
      </c>
      <c r="O516" s="675">
        <v>0</v>
      </c>
      <c r="P516" s="549">
        <v>0</v>
      </c>
      <c r="Q516" s="675">
        <v>0</v>
      </c>
      <c r="R516" s="549">
        <v>0</v>
      </c>
      <c r="S516" s="675">
        <v>0</v>
      </c>
      <c r="T516" s="549">
        <v>0</v>
      </c>
      <c r="U516" s="675">
        <v>0</v>
      </c>
      <c r="V516" s="549">
        <v>0</v>
      </c>
      <c r="W516" s="675">
        <v>0</v>
      </c>
      <c r="X516" s="549">
        <v>0</v>
      </c>
      <c r="Y516" s="675">
        <v>0</v>
      </c>
      <c r="Z516" s="549">
        <v>0</v>
      </c>
      <c r="AA516" s="675">
        <v>0</v>
      </c>
      <c r="AB516" s="549">
        <v>0</v>
      </c>
      <c r="AC516" s="675">
        <v>0</v>
      </c>
      <c r="AD516" s="549">
        <v>0</v>
      </c>
      <c r="AE516" s="675">
        <v>0</v>
      </c>
      <c r="AF516" s="549">
        <v>0</v>
      </c>
      <c r="AG516" s="675">
        <v>0</v>
      </c>
      <c r="AH516" s="549">
        <v>0</v>
      </c>
      <c r="AI516" s="675">
        <v>0</v>
      </c>
      <c r="AJ516" s="549">
        <v>0</v>
      </c>
      <c r="AK516" s="675">
        <v>0</v>
      </c>
      <c r="AL516" s="549">
        <v>0</v>
      </c>
      <c r="AM516" s="675">
        <v>0</v>
      </c>
      <c r="AN516" s="549">
        <v>0</v>
      </c>
      <c r="AO516" s="675">
        <v>0</v>
      </c>
      <c r="AP516" s="549">
        <v>0</v>
      </c>
      <c r="AQ516" s="675">
        <v>0</v>
      </c>
      <c r="AR516" s="549">
        <v>0</v>
      </c>
      <c r="AS516" s="675">
        <v>0</v>
      </c>
      <c r="AT516" s="549">
        <v>0</v>
      </c>
      <c r="AU516" s="675">
        <v>0</v>
      </c>
      <c r="AV516" s="549">
        <v>0</v>
      </c>
      <c r="AW516" s="675">
        <v>0</v>
      </c>
      <c r="AX516" s="549">
        <v>0</v>
      </c>
      <c r="AY516" s="675">
        <v>0</v>
      </c>
      <c r="AZ516" s="549">
        <v>0</v>
      </c>
      <c r="BA516" s="675">
        <v>0</v>
      </c>
      <c r="BB516" s="549">
        <v>0</v>
      </c>
      <c r="BC516" s="675">
        <v>0</v>
      </c>
      <c r="BD516" s="549">
        <v>0</v>
      </c>
      <c r="BE516" s="675">
        <v>0</v>
      </c>
      <c r="BF516" s="549">
        <v>0</v>
      </c>
      <c r="BG516" s="675">
        <v>0</v>
      </c>
      <c r="BH516" s="549">
        <v>0</v>
      </c>
      <c r="BI516" s="675">
        <v>0</v>
      </c>
      <c r="BJ516" s="549">
        <v>0</v>
      </c>
      <c r="BK516" s="675">
        <v>0</v>
      </c>
      <c r="BL516" s="549">
        <v>0</v>
      </c>
      <c r="BM516" s="675">
        <v>0</v>
      </c>
      <c r="BN516" s="549">
        <v>0</v>
      </c>
      <c r="BO516" s="675">
        <v>0</v>
      </c>
      <c r="BP516" s="549">
        <v>0</v>
      </c>
      <c r="BQ516" s="675">
        <v>0</v>
      </c>
      <c r="BR516" s="549">
        <v>0</v>
      </c>
      <c r="BS516" s="675">
        <v>0</v>
      </c>
      <c r="BT516" s="549">
        <v>0</v>
      </c>
      <c r="BU516" s="675">
        <v>0</v>
      </c>
      <c r="BV516" s="549">
        <v>0</v>
      </c>
      <c r="BW516" s="675">
        <v>0</v>
      </c>
      <c r="BX516" s="549">
        <v>0</v>
      </c>
      <c r="BY516" s="675">
        <v>0</v>
      </c>
      <c r="BZ516" s="549">
        <v>0</v>
      </c>
      <c r="CA516" s="675">
        <v>0</v>
      </c>
      <c r="CB516" s="549">
        <v>0</v>
      </c>
      <c r="CC516" s="675">
        <v>0</v>
      </c>
      <c r="CD516" s="549">
        <v>0</v>
      </c>
      <c r="CE516" s="675">
        <v>0</v>
      </c>
      <c r="CF516" s="549">
        <v>0</v>
      </c>
      <c r="CG516" s="675">
        <v>0</v>
      </c>
      <c r="CH516" s="549">
        <v>0</v>
      </c>
      <c r="CI516" s="675">
        <v>0</v>
      </c>
      <c r="CJ516" s="549">
        <v>0</v>
      </c>
      <c r="CK516" s="675">
        <v>0</v>
      </c>
      <c r="CL516" s="549">
        <v>0</v>
      </c>
      <c r="CM516" s="675">
        <v>0</v>
      </c>
      <c r="CN516" s="549">
        <v>0</v>
      </c>
      <c r="CO516" s="675">
        <v>0</v>
      </c>
      <c r="CP516" s="549">
        <v>0</v>
      </c>
      <c r="CQ516" s="675">
        <v>0</v>
      </c>
      <c r="CR516" s="549">
        <v>0</v>
      </c>
      <c r="CS516" s="675">
        <v>0</v>
      </c>
      <c r="CT516" s="549">
        <v>0</v>
      </c>
      <c r="CU516" s="675">
        <v>0</v>
      </c>
      <c r="CV516" s="549">
        <v>0</v>
      </c>
      <c r="CW516" s="675">
        <v>0</v>
      </c>
      <c r="CX516" s="549">
        <v>0</v>
      </c>
      <c r="CY516" s="675">
        <v>0</v>
      </c>
      <c r="CZ516" s="549">
        <v>0</v>
      </c>
      <c r="DA516" s="675">
        <v>0</v>
      </c>
      <c r="DB516" s="549">
        <v>0</v>
      </c>
      <c r="DC516" s="675">
        <v>0</v>
      </c>
      <c r="DD516" s="549">
        <v>0</v>
      </c>
      <c r="DE516" s="675">
        <v>0</v>
      </c>
      <c r="DF516" s="549">
        <v>0</v>
      </c>
      <c r="DG516" s="675">
        <v>0</v>
      </c>
      <c r="DH516" s="549">
        <v>0</v>
      </c>
      <c r="DI516" s="675">
        <v>0</v>
      </c>
      <c r="DJ516" s="549">
        <v>0</v>
      </c>
      <c r="DK516" s="675">
        <v>0</v>
      </c>
      <c r="DL516" s="549">
        <v>0</v>
      </c>
      <c r="DM516" s="675">
        <v>0</v>
      </c>
      <c r="DN516" s="549">
        <v>0</v>
      </c>
      <c r="DO516" s="675">
        <v>0</v>
      </c>
      <c r="DP516" s="549">
        <v>0</v>
      </c>
      <c r="DQ516" s="675">
        <v>0</v>
      </c>
      <c r="DR516" s="549">
        <v>0</v>
      </c>
      <c r="DS516" s="675">
        <v>0</v>
      </c>
      <c r="DT516" s="549">
        <v>0</v>
      </c>
      <c r="DU516" s="675">
        <v>0</v>
      </c>
      <c r="DV516" s="549">
        <v>0</v>
      </c>
      <c r="DW516" s="675">
        <v>0</v>
      </c>
      <c r="DX516" s="549">
        <v>0</v>
      </c>
      <c r="DY516" s="675">
        <v>0</v>
      </c>
      <c r="DZ516" s="549">
        <v>0</v>
      </c>
      <c r="EA516" s="675">
        <v>0</v>
      </c>
      <c r="EB516" s="549">
        <v>0</v>
      </c>
      <c r="EC516" s="675">
        <v>0</v>
      </c>
      <c r="ED516" s="549">
        <v>0</v>
      </c>
      <c r="EE516" s="675">
        <v>0</v>
      </c>
      <c r="EF516" s="549">
        <v>0</v>
      </c>
      <c r="EG516" s="675">
        <v>0</v>
      </c>
      <c r="EH516" s="549">
        <v>0</v>
      </c>
      <c r="EI516" s="675">
        <v>0</v>
      </c>
      <c r="EJ516" s="549">
        <v>0</v>
      </c>
      <c r="EK516" s="675">
        <v>0</v>
      </c>
      <c r="EL516" s="549">
        <v>0</v>
      </c>
      <c r="EM516" s="675">
        <v>0</v>
      </c>
      <c r="EN516" s="549">
        <v>0</v>
      </c>
      <c r="EO516" s="675">
        <v>0</v>
      </c>
      <c r="EP516" s="549">
        <v>0</v>
      </c>
      <c r="EQ516" s="675">
        <v>0</v>
      </c>
      <c r="ER516" s="549">
        <v>0</v>
      </c>
      <c r="ES516" s="675">
        <v>0</v>
      </c>
      <c r="ET516" s="549">
        <v>0</v>
      </c>
      <c r="EU516" s="675">
        <v>0</v>
      </c>
      <c r="EV516" s="549">
        <v>0</v>
      </c>
      <c r="EW516" s="675">
        <v>0</v>
      </c>
      <c r="EX516" s="549">
        <v>0</v>
      </c>
      <c r="EY516" s="675">
        <v>0</v>
      </c>
      <c r="EZ516" s="549">
        <v>0</v>
      </c>
      <c r="FA516" s="675">
        <v>0</v>
      </c>
      <c r="FB516" s="549">
        <v>0</v>
      </c>
      <c r="FC516" s="675">
        <v>0</v>
      </c>
      <c r="FD516" s="549">
        <v>0</v>
      </c>
      <c r="FE516" s="675">
        <v>0</v>
      </c>
      <c r="FF516" s="549">
        <v>0</v>
      </c>
      <c r="FG516" s="675">
        <v>0</v>
      </c>
      <c r="FH516" s="549">
        <v>0</v>
      </c>
      <c r="FI516" s="675">
        <v>0</v>
      </c>
      <c r="FJ516" s="549">
        <v>0</v>
      </c>
      <c r="FK516" s="675">
        <v>0</v>
      </c>
      <c r="FL516" s="549">
        <v>0</v>
      </c>
      <c r="FM516" s="675">
        <v>0</v>
      </c>
      <c r="FN516" s="549">
        <v>0</v>
      </c>
      <c r="FO516" s="675">
        <v>0</v>
      </c>
      <c r="FP516" s="549">
        <v>0</v>
      </c>
      <c r="FQ516" s="675">
        <v>0</v>
      </c>
      <c r="FR516" s="549">
        <v>0</v>
      </c>
      <c r="FS516" s="675">
        <v>0</v>
      </c>
      <c r="FT516" s="549">
        <v>0</v>
      </c>
      <c r="FU516" s="675">
        <v>0</v>
      </c>
      <c r="FV516" s="549">
        <v>0</v>
      </c>
      <c r="FW516" s="675">
        <v>0</v>
      </c>
      <c r="FX516" s="549">
        <v>0</v>
      </c>
      <c r="FY516" s="675">
        <v>0</v>
      </c>
      <c r="FZ516" s="549">
        <v>0</v>
      </c>
      <c r="GA516" s="675">
        <v>0</v>
      </c>
      <c r="GB516" s="549">
        <v>0</v>
      </c>
      <c r="GC516" s="675">
        <v>0</v>
      </c>
      <c r="GD516" s="549">
        <v>0</v>
      </c>
      <c r="GE516" s="675">
        <v>0</v>
      </c>
      <c r="GF516" s="549">
        <v>0</v>
      </c>
      <c r="GG516" s="675">
        <v>0</v>
      </c>
      <c r="GH516" s="549">
        <v>0</v>
      </c>
      <c r="GI516" s="675">
        <v>0</v>
      </c>
      <c r="GJ516" s="549">
        <v>0</v>
      </c>
      <c r="GK516" s="675">
        <v>0</v>
      </c>
      <c r="GL516" s="549">
        <v>0</v>
      </c>
      <c r="GM516" s="675">
        <v>0</v>
      </c>
      <c r="GN516" s="549">
        <v>0</v>
      </c>
      <c r="GO516" s="675">
        <v>0</v>
      </c>
      <c r="GP516" s="549">
        <f>+D516+F516+H516+J516+L516+N516+P516+R516+T516+V516+X516+Z516+AB516+AD516+AH516+AJ516+AL516+AN516+AP516+AR516+AT516+AV516+AX516+AZ516+BB516+BD516+BF516+BH516+BJ516+BL516+BN516+BP516+BR516+BT516+BV516+BX516+BZ516+CB516+CD516+CF516+CH516+CJ516+CL516+CN516+CP516+CR516+CT516+CV516+CX516+CZ516+DB516+DD516+DF516+DH516+DT516+EX516+DJ516+DL516+DN516+DP516+DR516+EJ516+EB516+DZ516+DX516+DV516+ED516+EF516+EH516+EL516+EN516+EP516+EV516+ET516+ER516+EZ516+FB516+FD516+GL516+FF516+FJ516+FL516+GJ516+FT516+FR516+FP516+FN516+FH516</f>
        <v>0</v>
      </c>
      <c r="GQ516" s="675">
        <f>+E516+G516+I516+K516+M516+O516+Q516+S516+U516+W516+Y516+AA516+AC516+AE516+AI516+AK516+AM516+AO516+AQ516+AS516+AU516+AW516+AY516+BA516+BC516+BE516+BG516+BI516+BK516+BM516+BO516+BQ516+BS516+BU516+BW516+BY516+CA516+CC516+CE516+CG516+CI516+CK516+CM516+CO516+CQ516+CS516+CU516+CW516+CY516+DA516+DC516+DE516+DG516+DI516+DU516+EY516+DK516+DM516+DO516+DQ516+DS516+EK516+EC516+EA516+DY516+DW516+EI516+EG516+EE516+EM516+EO516+EQ516+EW516+EU516+ES516+FA516+FC516+FE516+GM516+FG516+FK516+FM516+FO516+FQ516+FS516+FU516+GK516+FI516</f>
        <v>0</v>
      </c>
      <c r="GR516" s="74">
        <f>C516+GP516+GQ516</f>
        <v>0</v>
      </c>
      <c r="GS516" s="74">
        <f>SUM(GU516:HE516)+GP516+GQ516</f>
        <v>0</v>
      </c>
      <c r="GT516" s="568">
        <f>SUM(GU516:HF516)+GQ516+GP516</f>
        <v>0</v>
      </c>
      <c r="GU516" s="275">
        <v>0</v>
      </c>
      <c r="GV516" s="493"/>
      <c r="GW516" s="589"/>
      <c r="GX516" s="589"/>
      <c r="GY516" s="493"/>
      <c r="GZ516" s="275"/>
      <c r="HA516" s="275">
        <v>0</v>
      </c>
      <c r="HB516" s="275"/>
      <c r="HC516" s="275"/>
      <c r="HD516" s="275">
        <v>0</v>
      </c>
      <c r="HE516" s="275"/>
      <c r="HF516" s="275"/>
      <c r="HG516" s="74">
        <f>SUM(HH516:IE516)</f>
        <v>0</v>
      </c>
      <c r="HH516" s="89">
        <v>0</v>
      </c>
      <c r="HI516" s="817">
        <v>0</v>
      </c>
      <c r="HJ516" s="89">
        <v>0</v>
      </c>
      <c r="HK516" s="817">
        <v>0</v>
      </c>
      <c r="HL516" s="89">
        <v>0</v>
      </c>
      <c r="HM516" s="817">
        <v>0</v>
      </c>
      <c r="HN516" s="89">
        <v>0</v>
      </c>
      <c r="HO516" s="817">
        <v>0</v>
      </c>
      <c r="HP516" s="89">
        <v>0</v>
      </c>
      <c r="HQ516" s="817">
        <v>0</v>
      </c>
      <c r="HR516" s="89">
        <v>0</v>
      </c>
      <c r="HS516" s="817">
        <v>0</v>
      </c>
      <c r="HT516" s="89">
        <v>0</v>
      </c>
      <c r="HU516" s="817">
        <v>0</v>
      </c>
      <c r="HV516" s="89">
        <v>0</v>
      </c>
      <c r="HW516" s="817">
        <v>0</v>
      </c>
      <c r="HX516" s="89">
        <v>0</v>
      </c>
      <c r="HY516" s="817">
        <v>0</v>
      </c>
      <c r="HZ516" s="89">
        <v>0</v>
      </c>
      <c r="IA516" s="817">
        <v>0</v>
      </c>
      <c r="IB516" s="89">
        <v>0</v>
      </c>
      <c r="IC516" s="817">
        <v>0</v>
      </c>
      <c r="ID516" s="89">
        <v>0</v>
      </c>
      <c r="IE516" s="817">
        <v>0</v>
      </c>
      <c r="IF516" s="841">
        <f t="shared" ref="IF516" si="12428">SUM(II516,IL516,IO516,IR516,IU516,IX516,JA516,JD516,JG516,JJ516,JM516,JP516)</f>
        <v>0</v>
      </c>
      <c r="IG516" s="263">
        <f t="shared" ref="IG516" si="12429">SUM(IJ516,IM516,IP516,IS516,IV516,IY516,JB516,JE516,JH516,JK516,JN516,JQ516)</f>
        <v>0</v>
      </c>
      <c r="IH516" s="842">
        <f t="shared" ref="IH516" si="12430">SUM(IK516,IN516,IQ516,IT516,IW516,IZ516,JC516,JF516,JI516,JL516,JO516,JR516)</f>
        <v>0</v>
      </c>
      <c r="II516" s="89">
        <v>0</v>
      </c>
      <c r="IJ516" s="89">
        <v>0</v>
      </c>
      <c r="IK516" s="89">
        <v>0</v>
      </c>
      <c r="IL516" s="89">
        <v>0</v>
      </c>
      <c r="IM516" s="89">
        <v>0</v>
      </c>
      <c r="IN516" s="89">
        <v>0</v>
      </c>
      <c r="IO516" s="89">
        <v>0</v>
      </c>
      <c r="IP516" s="89">
        <v>0</v>
      </c>
      <c r="IQ516" s="89">
        <v>0</v>
      </c>
      <c r="IR516" s="89">
        <v>0</v>
      </c>
      <c r="IS516" s="89">
        <v>0</v>
      </c>
      <c r="IT516" s="89">
        <v>0</v>
      </c>
      <c r="IU516" s="89">
        <v>0</v>
      </c>
      <c r="IV516" s="89">
        <v>0</v>
      </c>
      <c r="IW516" s="89">
        <v>0</v>
      </c>
      <c r="IX516" s="89">
        <v>0</v>
      </c>
      <c r="IY516" s="89">
        <v>0</v>
      </c>
      <c r="IZ516" s="89">
        <v>0</v>
      </c>
      <c r="JA516" s="89">
        <v>0</v>
      </c>
      <c r="JB516" s="89">
        <v>0</v>
      </c>
      <c r="JC516" s="89">
        <v>0</v>
      </c>
      <c r="JD516" s="89">
        <v>0</v>
      </c>
      <c r="JE516" s="89">
        <v>0</v>
      </c>
      <c r="JF516" s="89">
        <v>0</v>
      </c>
      <c r="JG516" s="89">
        <v>0</v>
      </c>
      <c r="JH516" s="89">
        <v>0</v>
      </c>
      <c r="JI516" s="89">
        <v>0</v>
      </c>
      <c r="JJ516" s="89">
        <v>0</v>
      </c>
      <c r="JK516" s="89">
        <v>0</v>
      </c>
      <c r="JL516" s="89">
        <v>0</v>
      </c>
      <c r="JM516" s="89">
        <v>0</v>
      </c>
      <c r="JN516" s="89">
        <v>0</v>
      </c>
      <c r="JO516" s="89">
        <v>0</v>
      </c>
      <c r="JP516" s="89">
        <v>0</v>
      </c>
      <c r="JQ516" s="89">
        <v>0</v>
      </c>
      <c r="JR516" s="89">
        <v>0</v>
      </c>
      <c r="JS516" s="74">
        <f>HG516-IF516</f>
        <v>0</v>
      </c>
      <c r="JT516" s="382">
        <f>GS516-IF516</f>
        <v>0</v>
      </c>
      <c r="JU516" s="665"/>
      <c r="JV516" s="524"/>
      <c r="JW516" s="525"/>
      <c r="JX516" s="549">
        <f>SUM(HH516,HJ516,HL516,HN516,HP516,HR516,HT516,HV516,HX516,HZ516,IB516,ID516)</f>
        <v>0</v>
      </c>
      <c r="JY516" s="549">
        <f>SUM(HI516,HK516,HM516,HO516,HQ516,HS516,HU516,HW516,HY516,IA516,IC516,IE516)</f>
        <v>0</v>
      </c>
      <c r="JZ516" s="581">
        <f t="shared" si="12201"/>
        <v>0</v>
      </c>
      <c r="KA516" s="581">
        <f t="shared" si="12202"/>
        <v>0</v>
      </c>
      <c r="KB516" s="549">
        <f t="shared" si="12194"/>
        <v>0</v>
      </c>
      <c r="KC516" s="709">
        <f t="shared" si="12200"/>
        <v>0</v>
      </c>
      <c r="KD516" s="36"/>
      <c r="KE516" s="36"/>
      <c r="KF516" s="36"/>
      <c r="KG516" s="36"/>
      <c r="KH516" s="36"/>
      <c r="KI516" s="36"/>
      <c r="KJ516" s="36"/>
      <c r="KK516" s="36"/>
    </row>
    <row r="517" spans="1:297" s="8" customFormat="1">
      <c r="A517" s="80"/>
      <c r="B517" s="72"/>
      <c r="C517" s="74"/>
      <c r="D517" s="549"/>
      <c r="E517" s="675"/>
      <c r="F517" s="549"/>
      <c r="G517" s="675"/>
      <c r="H517" s="549"/>
      <c r="I517" s="675"/>
      <c r="J517" s="549"/>
      <c r="K517" s="675"/>
      <c r="L517" s="549"/>
      <c r="M517" s="675"/>
      <c r="N517" s="549"/>
      <c r="O517" s="675"/>
      <c r="P517" s="549"/>
      <c r="Q517" s="675"/>
      <c r="R517" s="549"/>
      <c r="S517" s="675"/>
      <c r="T517" s="549"/>
      <c r="U517" s="675"/>
      <c r="V517" s="549"/>
      <c r="W517" s="675"/>
      <c r="X517" s="549"/>
      <c r="Y517" s="675"/>
      <c r="Z517" s="549"/>
      <c r="AA517" s="675"/>
      <c r="AB517" s="549"/>
      <c r="AC517" s="675"/>
      <c r="AD517" s="549"/>
      <c r="AE517" s="675"/>
      <c r="AF517" s="549"/>
      <c r="AG517" s="675"/>
      <c r="AH517" s="549"/>
      <c r="AI517" s="675"/>
      <c r="AJ517" s="549"/>
      <c r="AK517" s="675"/>
      <c r="AL517" s="549"/>
      <c r="AM517" s="675"/>
      <c r="AN517" s="549"/>
      <c r="AO517" s="675"/>
      <c r="AP517" s="549"/>
      <c r="AQ517" s="675"/>
      <c r="AR517" s="549"/>
      <c r="AS517" s="675"/>
      <c r="AT517" s="549"/>
      <c r="AU517" s="675"/>
      <c r="AV517" s="549"/>
      <c r="AW517" s="675"/>
      <c r="AX517" s="549"/>
      <c r="AY517" s="675"/>
      <c r="AZ517" s="549"/>
      <c r="BA517" s="675"/>
      <c r="BB517" s="549"/>
      <c r="BC517" s="675"/>
      <c r="BD517" s="549"/>
      <c r="BE517" s="675"/>
      <c r="BF517" s="549"/>
      <c r="BG517" s="675"/>
      <c r="BH517" s="549"/>
      <c r="BI517" s="675"/>
      <c r="BJ517" s="549"/>
      <c r="BK517" s="675"/>
      <c r="BL517" s="549"/>
      <c r="BM517" s="675"/>
      <c r="BN517" s="549"/>
      <c r="BO517" s="675"/>
      <c r="BP517" s="549"/>
      <c r="BQ517" s="675"/>
      <c r="BR517" s="549"/>
      <c r="BS517" s="675"/>
      <c r="BT517" s="549"/>
      <c r="BU517" s="675"/>
      <c r="BV517" s="549"/>
      <c r="BW517" s="675"/>
      <c r="BX517" s="549"/>
      <c r="BY517" s="675"/>
      <c r="BZ517" s="549"/>
      <c r="CA517" s="675"/>
      <c r="CB517" s="549"/>
      <c r="CC517" s="675"/>
      <c r="CD517" s="549"/>
      <c r="CE517" s="675"/>
      <c r="CF517" s="549"/>
      <c r="CG517" s="675"/>
      <c r="CH517" s="549"/>
      <c r="CI517" s="675"/>
      <c r="CJ517" s="549"/>
      <c r="CK517" s="675"/>
      <c r="CL517" s="549"/>
      <c r="CM517" s="675"/>
      <c r="CN517" s="549"/>
      <c r="CO517" s="675"/>
      <c r="CP517" s="549"/>
      <c r="CQ517" s="675"/>
      <c r="CR517" s="549"/>
      <c r="CS517" s="675"/>
      <c r="CT517" s="549"/>
      <c r="CU517" s="675"/>
      <c r="CV517" s="549"/>
      <c r="CW517" s="675"/>
      <c r="CX517" s="549"/>
      <c r="CY517" s="675"/>
      <c r="CZ517" s="549"/>
      <c r="DA517" s="675"/>
      <c r="DB517" s="549"/>
      <c r="DC517" s="675"/>
      <c r="DD517" s="549"/>
      <c r="DE517" s="675"/>
      <c r="DF517" s="549"/>
      <c r="DG517" s="675"/>
      <c r="DH517" s="549"/>
      <c r="DI517" s="675"/>
      <c r="DJ517" s="549"/>
      <c r="DK517" s="675"/>
      <c r="DL517" s="549"/>
      <c r="DM517" s="675"/>
      <c r="DN517" s="549"/>
      <c r="DO517" s="675"/>
      <c r="DP517" s="549"/>
      <c r="DQ517" s="675"/>
      <c r="DR517" s="549"/>
      <c r="DS517" s="675"/>
      <c r="DT517" s="549"/>
      <c r="DU517" s="675"/>
      <c r="DV517" s="549"/>
      <c r="DW517" s="675"/>
      <c r="DX517" s="549"/>
      <c r="DY517" s="675"/>
      <c r="DZ517" s="549"/>
      <c r="EA517" s="675"/>
      <c r="EB517" s="549"/>
      <c r="EC517" s="675"/>
      <c r="ED517" s="549"/>
      <c r="EE517" s="675"/>
      <c r="EF517" s="549"/>
      <c r="EG517" s="675"/>
      <c r="EH517" s="549"/>
      <c r="EI517" s="675"/>
      <c r="EJ517" s="549"/>
      <c r="EK517" s="675"/>
      <c r="EL517" s="549"/>
      <c r="EM517" s="675"/>
      <c r="EN517" s="549"/>
      <c r="EO517" s="675"/>
      <c r="EP517" s="549"/>
      <c r="EQ517" s="675"/>
      <c r="ER517" s="549"/>
      <c r="ES517" s="675"/>
      <c r="ET517" s="549"/>
      <c r="EU517" s="675"/>
      <c r="EV517" s="549"/>
      <c r="EW517" s="675"/>
      <c r="EX517" s="549"/>
      <c r="EY517" s="675"/>
      <c r="EZ517" s="549"/>
      <c r="FA517" s="675"/>
      <c r="FB517" s="549"/>
      <c r="FC517" s="675"/>
      <c r="FD517" s="549"/>
      <c r="FE517" s="675"/>
      <c r="FF517" s="549"/>
      <c r="FG517" s="675"/>
      <c r="FH517" s="549"/>
      <c r="FI517" s="675"/>
      <c r="FJ517" s="549"/>
      <c r="FK517" s="675"/>
      <c r="FL517" s="549"/>
      <c r="FM517" s="675"/>
      <c r="FN517" s="549"/>
      <c r="FO517" s="675"/>
      <c r="FP517" s="549"/>
      <c r="FQ517" s="675"/>
      <c r="FR517" s="549"/>
      <c r="FS517" s="675"/>
      <c r="FT517" s="549"/>
      <c r="FU517" s="675"/>
      <c r="FV517" s="549"/>
      <c r="FW517" s="675"/>
      <c r="FX517" s="549"/>
      <c r="FY517" s="675"/>
      <c r="FZ517" s="549"/>
      <c r="GA517" s="675"/>
      <c r="GB517" s="549"/>
      <c r="GC517" s="675"/>
      <c r="GD517" s="549"/>
      <c r="GE517" s="675"/>
      <c r="GF517" s="549"/>
      <c r="GG517" s="675"/>
      <c r="GH517" s="549"/>
      <c r="GI517" s="675"/>
      <c r="GJ517" s="549"/>
      <c r="GK517" s="675"/>
      <c r="GL517" s="549"/>
      <c r="GM517" s="675"/>
      <c r="GN517" s="549"/>
      <c r="GO517" s="675"/>
      <c r="GP517" s="549"/>
      <c r="GQ517" s="675"/>
      <c r="GR517" s="74"/>
      <c r="GS517" s="74"/>
      <c r="GT517" s="568"/>
      <c r="GU517" s="275"/>
      <c r="GV517" s="493"/>
      <c r="GW517" s="884"/>
      <c r="GX517" s="884"/>
      <c r="GY517" s="493"/>
      <c r="GZ517" s="275"/>
      <c r="HA517" s="275"/>
      <c r="HB517" s="275"/>
      <c r="HC517" s="275"/>
      <c r="HD517" s="275"/>
      <c r="HE517" s="275"/>
      <c r="HF517" s="275"/>
      <c r="HG517" s="74"/>
      <c r="HH517" s="89"/>
      <c r="HI517" s="817"/>
      <c r="HJ517" s="89"/>
      <c r="HK517" s="817"/>
      <c r="HL517" s="89"/>
      <c r="HM517" s="817"/>
      <c r="HN517" s="89"/>
      <c r="HO517" s="817"/>
      <c r="HP517" s="89"/>
      <c r="HQ517" s="817"/>
      <c r="HR517" s="89"/>
      <c r="HS517" s="817"/>
      <c r="HT517" s="89"/>
      <c r="HU517" s="817"/>
      <c r="HV517" s="89"/>
      <c r="HW517" s="817"/>
      <c r="HX517" s="89"/>
      <c r="HY517" s="817"/>
      <c r="HZ517" s="89"/>
      <c r="IA517" s="817"/>
      <c r="IB517" s="89"/>
      <c r="IC517" s="817"/>
      <c r="ID517" s="89"/>
      <c r="IE517" s="817"/>
      <c r="IF517" s="841"/>
      <c r="IG517" s="263"/>
      <c r="IH517" s="842"/>
      <c r="II517" s="89"/>
      <c r="IJ517" s="89"/>
      <c r="IK517" s="89"/>
      <c r="IL517" s="89"/>
      <c r="IM517" s="89"/>
      <c r="IN517" s="89"/>
      <c r="IO517" s="89"/>
      <c r="IP517" s="89"/>
      <c r="IQ517" s="89"/>
      <c r="IR517" s="89"/>
      <c r="IS517" s="89"/>
      <c r="IT517" s="89"/>
      <c r="IU517" s="89"/>
      <c r="IV517" s="89"/>
      <c r="IW517" s="89"/>
      <c r="IX517" s="89"/>
      <c r="IY517" s="89"/>
      <c r="IZ517" s="89"/>
      <c r="JA517" s="89"/>
      <c r="JB517" s="89"/>
      <c r="JC517" s="89"/>
      <c r="JD517" s="89"/>
      <c r="JE517" s="89"/>
      <c r="JF517" s="89"/>
      <c r="JG517" s="89"/>
      <c r="JH517" s="89"/>
      <c r="JI517" s="89"/>
      <c r="JJ517" s="89"/>
      <c r="JK517" s="89"/>
      <c r="JL517" s="89"/>
      <c r="JM517" s="89"/>
      <c r="JN517" s="89"/>
      <c r="JO517" s="89"/>
      <c r="JP517" s="89"/>
      <c r="JQ517" s="89"/>
      <c r="JR517" s="89"/>
      <c r="JS517" s="74"/>
      <c r="JT517" s="382"/>
      <c r="JU517" s="665"/>
      <c r="JV517" s="524"/>
      <c r="JW517" s="525"/>
      <c r="JX517" s="549"/>
      <c r="JY517" s="549"/>
      <c r="JZ517" s="581">
        <f t="shared" si="12201"/>
        <v>0</v>
      </c>
      <c r="KA517" s="581">
        <f t="shared" si="12202"/>
        <v>0</v>
      </c>
      <c r="KB517" s="549">
        <f t="shared" si="12194"/>
        <v>0</v>
      </c>
      <c r="KC517" s="709">
        <f t="shared" si="12200"/>
        <v>0</v>
      </c>
      <c r="KD517" s="36"/>
      <c r="KE517" s="36"/>
      <c r="KF517" s="36"/>
      <c r="KG517" s="36"/>
      <c r="KH517" s="36"/>
      <c r="KI517" s="36"/>
      <c r="KJ517" s="36"/>
      <c r="KK517" s="36"/>
    </row>
    <row r="518" spans="1:297" s="8" customFormat="1">
      <c r="A518" s="80" t="s">
        <v>734</v>
      </c>
      <c r="B518" s="559" t="s">
        <v>1204</v>
      </c>
      <c r="C518" s="74">
        <v>45000</v>
      </c>
      <c r="D518" s="549">
        <v>0</v>
      </c>
      <c r="E518" s="675">
        <v>0</v>
      </c>
      <c r="F518" s="549">
        <v>0</v>
      </c>
      <c r="G518" s="675">
        <v>0</v>
      </c>
      <c r="H518" s="549">
        <v>0</v>
      </c>
      <c r="I518" s="675">
        <v>0</v>
      </c>
      <c r="J518" s="549">
        <v>0</v>
      </c>
      <c r="K518" s="675">
        <v>0</v>
      </c>
      <c r="L518" s="549">
        <v>0</v>
      </c>
      <c r="M518" s="675">
        <v>0</v>
      </c>
      <c r="N518" s="549">
        <v>0</v>
      </c>
      <c r="O518" s="675">
        <v>0</v>
      </c>
      <c r="P518" s="549">
        <v>0</v>
      </c>
      <c r="Q518" s="675">
        <v>0</v>
      </c>
      <c r="R518" s="549">
        <v>0</v>
      </c>
      <c r="S518" s="675">
        <v>0</v>
      </c>
      <c r="T518" s="549">
        <v>0</v>
      </c>
      <c r="U518" s="675">
        <v>0</v>
      </c>
      <c r="V518" s="549">
        <v>0</v>
      </c>
      <c r="W518" s="675">
        <v>0</v>
      </c>
      <c r="X518" s="549">
        <v>0</v>
      </c>
      <c r="Y518" s="675">
        <v>0</v>
      </c>
      <c r="Z518" s="549">
        <v>0</v>
      </c>
      <c r="AA518" s="675">
        <v>0</v>
      </c>
      <c r="AB518" s="549">
        <v>0</v>
      </c>
      <c r="AC518" s="675">
        <v>0</v>
      </c>
      <c r="AD518" s="549">
        <v>0</v>
      </c>
      <c r="AE518" s="675">
        <v>0</v>
      </c>
      <c r="AF518" s="549">
        <v>0</v>
      </c>
      <c r="AG518" s="675">
        <v>0</v>
      </c>
      <c r="AH518" s="549">
        <v>0</v>
      </c>
      <c r="AI518" s="675">
        <v>-44000</v>
      </c>
      <c r="AJ518" s="549">
        <v>0</v>
      </c>
      <c r="AK518" s="675">
        <v>0</v>
      </c>
      <c r="AL518" s="549">
        <v>0</v>
      </c>
      <c r="AM518" s="675">
        <v>0</v>
      </c>
      <c r="AN518" s="549">
        <v>0</v>
      </c>
      <c r="AO518" s="675">
        <v>0</v>
      </c>
      <c r="AP518" s="549">
        <v>0</v>
      </c>
      <c r="AQ518" s="675">
        <v>0</v>
      </c>
      <c r="AR518" s="549">
        <v>0</v>
      </c>
      <c r="AS518" s="675">
        <v>0</v>
      </c>
      <c r="AT518" s="549">
        <v>0</v>
      </c>
      <c r="AU518" s="675">
        <v>0</v>
      </c>
      <c r="AV518" s="549">
        <v>0</v>
      </c>
      <c r="AW518" s="675">
        <v>0</v>
      </c>
      <c r="AX518" s="549">
        <v>0</v>
      </c>
      <c r="AY518" s="675">
        <v>0</v>
      </c>
      <c r="AZ518" s="549">
        <v>0</v>
      </c>
      <c r="BA518" s="675">
        <v>0</v>
      </c>
      <c r="BB518" s="549">
        <v>0</v>
      </c>
      <c r="BC518" s="675">
        <v>0</v>
      </c>
      <c r="BD518" s="549">
        <v>0</v>
      </c>
      <c r="BE518" s="675">
        <v>0</v>
      </c>
      <c r="BF518" s="549">
        <v>0</v>
      </c>
      <c r="BG518" s="675">
        <v>0</v>
      </c>
      <c r="BH518" s="549">
        <v>0</v>
      </c>
      <c r="BI518" s="675">
        <v>0</v>
      </c>
      <c r="BJ518" s="549">
        <v>0</v>
      </c>
      <c r="BK518" s="675">
        <v>0</v>
      </c>
      <c r="BL518" s="549">
        <v>0</v>
      </c>
      <c r="BM518" s="675">
        <v>0</v>
      </c>
      <c r="BN518" s="549">
        <v>0</v>
      </c>
      <c r="BO518" s="675">
        <v>0</v>
      </c>
      <c r="BP518" s="549">
        <v>0</v>
      </c>
      <c r="BQ518" s="675">
        <v>0</v>
      </c>
      <c r="BR518" s="549">
        <v>0</v>
      </c>
      <c r="BS518" s="675">
        <v>0</v>
      </c>
      <c r="BT518" s="549">
        <v>0</v>
      </c>
      <c r="BU518" s="675">
        <v>0</v>
      </c>
      <c r="BV518" s="549">
        <v>0</v>
      </c>
      <c r="BW518" s="675">
        <v>0</v>
      </c>
      <c r="BX518" s="549">
        <v>0</v>
      </c>
      <c r="BY518" s="675">
        <v>0</v>
      </c>
      <c r="BZ518" s="549">
        <v>0</v>
      </c>
      <c r="CA518" s="675">
        <v>0</v>
      </c>
      <c r="CB518" s="549">
        <v>0</v>
      </c>
      <c r="CC518" s="675">
        <v>0</v>
      </c>
      <c r="CD518" s="549">
        <v>0</v>
      </c>
      <c r="CE518" s="675">
        <v>0</v>
      </c>
      <c r="CF518" s="549">
        <v>0</v>
      </c>
      <c r="CG518" s="675">
        <v>0</v>
      </c>
      <c r="CH518" s="549">
        <v>0</v>
      </c>
      <c r="CI518" s="675">
        <v>0</v>
      </c>
      <c r="CJ518" s="549">
        <v>0</v>
      </c>
      <c r="CK518" s="675">
        <v>-700</v>
      </c>
      <c r="CL518" s="549">
        <v>0</v>
      </c>
      <c r="CM518" s="675">
        <v>0</v>
      </c>
      <c r="CN518" s="549">
        <v>0</v>
      </c>
      <c r="CO518" s="675">
        <v>0</v>
      </c>
      <c r="CP518" s="549">
        <v>0</v>
      </c>
      <c r="CQ518" s="675">
        <v>0</v>
      </c>
      <c r="CR518" s="549">
        <v>0</v>
      </c>
      <c r="CS518" s="675">
        <v>0</v>
      </c>
      <c r="CT518" s="549">
        <v>0</v>
      </c>
      <c r="CU518" s="675">
        <v>0</v>
      </c>
      <c r="CV518" s="549">
        <v>0</v>
      </c>
      <c r="CW518" s="675">
        <v>0</v>
      </c>
      <c r="CX518" s="549">
        <v>0</v>
      </c>
      <c r="CY518" s="675">
        <v>0</v>
      </c>
      <c r="CZ518" s="549">
        <v>0</v>
      </c>
      <c r="DA518" s="675">
        <v>0</v>
      </c>
      <c r="DB518" s="549">
        <v>0</v>
      </c>
      <c r="DC518" s="675">
        <v>0</v>
      </c>
      <c r="DD518" s="549">
        <v>0</v>
      </c>
      <c r="DE518" s="675">
        <v>0</v>
      </c>
      <c r="DF518" s="549">
        <v>0</v>
      </c>
      <c r="DG518" s="675">
        <v>0</v>
      </c>
      <c r="DH518" s="549">
        <v>0</v>
      </c>
      <c r="DI518" s="675">
        <v>0</v>
      </c>
      <c r="DJ518" s="549">
        <v>0</v>
      </c>
      <c r="DK518" s="675">
        <v>0</v>
      </c>
      <c r="DL518" s="549">
        <v>0</v>
      </c>
      <c r="DM518" s="675">
        <v>0</v>
      </c>
      <c r="DN518" s="549">
        <v>0</v>
      </c>
      <c r="DO518" s="675">
        <v>0</v>
      </c>
      <c r="DP518" s="549">
        <v>0</v>
      </c>
      <c r="DQ518" s="675">
        <v>0</v>
      </c>
      <c r="DR518" s="549">
        <v>0</v>
      </c>
      <c r="DS518" s="675">
        <v>0</v>
      </c>
      <c r="DT518" s="549">
        <v>0</v>
      </c>
      <c r="DU518" s="675">
        <v>0</v>
      </c>
      <c r="DV518" s="549">
        <v>0</v>
      </c>
      <c r="DW518" s="675">
        <v>0</v>
      </c>
      <c r="DX518" s="549">
        <v>0</v>
      </c>
      <c r="DY518" s="675">
        <v>0</v>
      </c>
      <c r="DZ518" s="549">
        <v>0</v>
      </c>
      <c r="EA518" s="675">
        <v>0</v>
      </c>
      <c r="EB518" s="549">
        <v>0</v>
      </c>
      <c r="EC518" s="675">
        <v>0</v>
      </c>
      <c r="ED518" s="549">
        <v>0</v>
      </c>
      <c r="EE518" s="675">
        <v>0</v>
      </c>
      <c r="EF518" s="549">
        <v>0</v>
      </c>
      <c r="EG518" s="675">
        <v>0</v>
      </c>
      <c r="EH518" s="549">
        <v>0</v>
      </c>
      <c r="EI518" s="675">
        <v>0</v>
      </c>
      <c r="EJ518" s="549">
        <v>0</v>
      </c>
      <c r="EK518" s="675">
        <v>0</v>
      </c>
      <c r="EL518" s="549">
        <v>0</v>
      </c>
      <c r="EM518" s="675">
        <v>0</v>
      </c>
      <c r="EN518" s="549">
        <v>0</v>
      </c>
      <c r="EO518" s="675">
        <v>0</v>
      </c>
      <c r="EP518" s="549">
        <v>0</v>
      </c>
      <c r="EQ518" s="675">
        <v>0</v>
      </c>
      <c r="ER518" s="549">
        <v>0</v>
      </c>
      <c r="ES518" s="675">
        <v>0</v>
      </c>
      <c r="ET518" s="549">
        <v>0</v>
      </c>
      <c r="EU518" s="675">
        <v>0</v>
      </c>
      <c r="EV518" s="549">
        <v>0</v>
      </c>
      <c r="EW518" s="675">
        <v>0</v>
      </c>
      <c r="EX518" s="549">
        <v>0</v>
      </c>
      <c r="EY518" s="675">
        <v>0</v>
      </c>
      <c r="EZ518" s="549">
        <v>0</v>
      </c>
      <c r="FA518" s="675">
        <v>0</v>
      </c>
      <c r="FB518" s="549">
        <v>0</v>
      </c>
      <c r="FC518" s="675">
        <v>0</v>
      </c>
      <c r="FD518" s="549">
        <v>0</v>
      </c>
      <c r="FE518" s="675">
        <v>0</v>
      </c>
      <c r="FF518" s="549">
        <v>0</v>
      </c>
      <c r="FG518" s="675">
        <v>0</v>
      </c>
      <c r="FH518" s="549">
        <v>0</v>
      </c>
      <c r="FI518" s="675">
        <v>0</v>
      </c>
      <c r="FJ518" s="549">
        <v>0</v>
      </c>
      <c r="FK518" s="675">
        <v>0</v>
      </c>
      <c r="FL518" s="549">
        <v>0</v>
      </c>
      <c r="FM518" s="675">
        <v>0</v>
      </c>
      <c r="FN518" s="549">
        <v>0</v>
      </c>
      <c r="FO518" s="675">
        <v>0</v>
      </c>
      <c r="FP518" s="549">
        <v>0</v>
      </c>
      <c r="FQ518" s="675">
        <v>0</v>
      </c>
      <c r="FR518" s="549">
        <v>0</v>
      </c>
      <c r="FS518" s="675">
        <v>0</v>
      </c>
      <c r="FT518" s="549">
        <v>0</v>
      </c>
      <c r="FU518" s="675">
        <v>0</v>
      </c>
      <c r="FV518" s="549">
        <v>0</v>
      </c>
      <c r="FW518" s="675">
        <v>0</v>
      </c>
      <c r="FX518" s="549">
        <v>0</v>
      </c>
      <c r="FY518" s="675">
        <v>0</v>
      </c>
      <c r="FZ518" s="549">
        <v>0</v>
      </c>
      <c r="GA518" s="675">
        <v>0</v>
      </c>
      <c r="GB518" s="549">
        <v>0</v>
      </c>
      <c r="GC518" s="675">
        <v>0</v>
      </c>
      <c r="GD518" s="549">
        <v>0</v>
      </c>
      <c r="GE518" s="675">
        <v>0</v>
      </c>
      <c r="GF518" s="549">
        <v>0</v>
      </c>
      <c r="GG518" s="675">
        <v>0</v>
      </c>
      <c r="GH518" s="549">
        <v>0</v>
      </c>
      <c r="GI518" s="675">
        <v>0</v>
      </c>
      <c r="GJ518" s="549">
        <v>0</v>
      </c>
      <c r="GK518" s="675">
        <v>0</v>
      </c>
      <c r="GL518" s="549">
        <v>0</v>
      </c>
      <c r="GM518" s="675">
        <v>0</v>
      </c>
      <c r="GN518" s="549">
        <v>0</v>
      </c>
      <c r="GO518" s="675">
        <v>0</v>
      </c>
      <c r="GP518" s="549">
        <f>+D518+F518+H518+J518+L518+N518+P518+R518+T518+V518+X518+Z518+AB518+AF518+AD518+AH518+AJ518+AL518+AN518+AP518+AR518+AT518+AV518+AX518+AZ518+BB518+BD518+BF518+BH518+BJ518+BL518+BN518+BP518+BR518+BT518+BV518+BX518+BZ518+CB518+CD518+CF518+CH518+CJ518+CL518+CN518+CP518+CR518+CT518+CV518+CX518+CZ518+DB518+DD518+DF518+DH518+DT518+EX518+DJ518+DL518+DN518+DP518+DR518+EJ518+EB518+DZ518+DX518+DV518+ED518+EF518+EH518+EL518+EN518+EP518+EV518+ET518+ER518+EZ518+FB518+FD518+GL518+FF518+FJ518+FL518+GJ518+FT518+FR518+FP518+FN518+FH518+GH518+GF518+GD518+GB518+FZ518+FX518+FV518+GN518</f>
        <v>0</v>
      </c>
      <c r="GQ518" s="675">
        <f>+E518+G518+I518+K518+M518+O518+Q518+S518+U518+W518+Y518+AA518+AC518+AE518+AG518+AI518+AK518+AM518+AO518+AQ518+AS518+AU518+AW518+AY518+BA518+BC518+BE518+BG518+BI518+BK518+BM518+BO518+BQ518+BS518+BU518+BW518+BY518+CA518+CC518+CE518+CG518+CI518+CK518+CM518+CO518+CQ518+CS518+CU518+CW518+CY518+DA518+DC518+DE518+DG518+DI518+DU518+EY518+DK518+DM518+DO518+DQ518+DS518+EK518+EC518+EA518+DY518+DW518+EI518+EG518+EE518+EM518+EO518+EQ518+EW518+EU518+ES518+FA518+FC518+FE518+GM518+FG518+FK518+FM518+FO518+FQ518+FS518+FU518+GK518+FI518+GI518+GG518+GE518+GC518+GA518+FY518+FW518+GO518</f>
        <v>-44700</v>
      </c>
      <c r="GR518" s="74">
        <f>C518+GP518+GQ518</f>
        <v>300</v>
      </c>
      <c r="GS518" s="74">
        <f>SUM(GU518:HD518)+GP518+GQ518</f>
        <v>300</v>
      </c>
      <c r="GT518" s="568">
        <f>SUM(GU518:HF518)+GQ518+GP518</f>
        <v>300</v>
      </c>
      <c r="GU518" s="275"/>
      <c r="GV518" s="493"/>
      <c r="GW518" s="493">
        <v>45000</v>
      </c>
      <c r="GX518" s="589"/>
      <c r="GY518" s="493"/>
      <c r="GZ518" s="836">
        <v>0</v>
      </c>
      <c r="HA518" s="275">
        <v>0</v>
      </c>
      <c r="HB518" s="836">
        <v>0</v>
      </c>
      <c r="HC518" s="275"/>
      <c r="HD518" s="275">
        <v>0</v>
      </c>
      <c r="HE518" s="275"/>
      <c r="HF518" s="275"/>
      <c r="HG518" s="74">
        <f>SUM(HH518:IE518)</f>
        <v>300</v>
      </c>
      <c r="HH518" s="89">
        <v>0</v>
      </c>
      <c r="HI518" s="817">
        <v>0</v>
      </c>
      <c r="HJ518" s="89">
        <v>0</v>
      </c>
      <c r="HK518" s="817">
        <v>0</v>
      </c>
      <c r="HL518" s="89">
        <v>239.95</v>
      </c>
      <c r="HM518" s="817">
        <v>0</v>
      </c>
      <c r="HN518" s="89">
        <v>0</v>
      </c>
      <c r="HO518" s="817">
        <v>0</v>
      </c>
      <c r="HP518" s="89">
        <v>0</v>
      </c>
      <c r="HQ518" s="817">
        <v>0</v>
      </c>
      <c r="HR518" s="89">
        <v>0</v>
      </c>
      <c r="HS518" s="817">
        <v>0</v>
      </c>
      <c r="HT518" s="89">
        <v>0</v>
      </c>
      <c r="HU518" s="817">
        <v>0</v>
      </c>
      <c r="HV518" s="89">
        <v>0</v>
      </c>
      <c r="HW518" s="817">
        <v>0</v>
      </c>
      <c r="HX518" s="89">
        <v>0</v>
      </c>
      <c r="HY518" s="817">
        <v>0</v>
      </c>
      <c r="HZ518" s="89">
        <f>300-239.95</f>
        <v>60.050000000000011</v>
      </c>
      <c r="IA518" s="817">
        <v>0</v>
      </c>
      <c r="IB518" s="89">
        <v>0</v>
      </c>
      <c r="IC518" s="817">
        <v>0</v>
      </c>
      <c r="ID518" s="89">
        <v>0</v>
      </c>
      <c r="IE518" s="817">
        <v>0</v>
      </c>
      <c r="IF518" s="841">
        <f t="shared" ref="IF518" si="12431">SUM(II518,IL518,IO518,IR518,IU518,IX518,JA518,JD518,JG518,JJ518,JM518,JP518)</f>
        <v>239.95</v>
      </c>
      <c r="IG518" s="263">
        <f t="shared" ref="IG518" si="12432">SUM(IJ518,IM518,IP518,IS518,IV518,IY518,JB518,JE518,JH518,JK518,JN518,JQ518)</f>
        <v>239.95</v>
      </c>
      <c r="IH518" s="842">
        <f t="shared" ref="IH518" si="12433">SUM(IK518,IN518,IQ518,IT518,IW518,IZ518,JC518,JF518,JI518,JL518,JO518,JR518)</f>
        <v>239.95</v>
      </c>
      <c r="II518" s="89">
        <v>0</v>
      </c>
      <c r="IJ518" s="89">
        <f t="shared" ref="IJ518" si="12434">II518</f>
        <v>0</v>
      </c>
      <c r="IK518" s="89">
        <f t="shared" ref="IK518" si="12435">IJ518</f>
        <v>0</v>
      </c>
      <c r="IL518" s="89">
        <v>0</v>
      </c>
      <c r="IM518" s="89">
        <f t="shared" ref="IM518" si="12436">IL518</f>
        <v>0</v>
      </c>
      <c r="IN518" s="89">
        <f t="shared" ref="IN518" si="12437">IM518</f>
        <v>0</v>
      </c>
      <c r="IO518" s="89">
        <v>0</v>
      </c>
      <c r="IP518" s="89">
        <f t="shared" ref="IP518" si="12438">IO518</f>
        <v>0</v>
      </c>
      <c r="IQ518" s="89">
        <f t="shared" ref="IQ518" si="12439">IP518</f>
        <v>0</v>
      </c>
      <c r="IR518" s="89">
        <v>239.95</v>
      </c>
      <c r="IS518" s="89">
        <f t="shared" ref="IS518" si="12440">IR518</f>
        <v>239.95</v>
      </c>
      <c r="IT518" s="89">
        <f t="shared" ref="IT518" si="12441">IS518</f>
        <v>239.95</v>
      </c>
      <c r="IU518" s="89">
        <v>0</v>
      </c>
      <c r="IV518" s="89">
        <f t="shared" ref="IV518" si="12442">IU518</f>
        <v>0</v>
      </c>
      <c r="IW518" s="89">
        <f t="shared" ref="IW518" si="12443">IV518</f>
        <v>0</v>
      </c>
      <c r="IX518" s="89">
        <v>0</v>
      </c>
      <c r="IY518" s="89">
        <f t="shared" ref="IY518" si="12444">IX518</f>
        <v>0</v>
      </c>
      <c r="IZ518" s="89">
        <f t="shared" ref="IZ518" si="12445">IY518</f>
        <v>0</v>
      </c>
      <c r="JA518" s="89">
        <f>239.95-239.95</f>
        <v>0</v>
      </c>
      <c r="JB518" s="89">
        <f t="shared" ref="JB518" si="12446">JA518</f>
        <v>0</v>
      </c>
      <c r="JC518" s="89">
        <f t="shared" ref="JC518" si="12447">JB518</f>
        <v>0</v>
      </c>
      <c r="JD518" s="89">
        <v>0</v>
      </c>
      <c r="JE518" s="89">
        <f t="shared" ref="JE518" si="12448">JD518</f>
        <v>0</v>
      </c>
      <c r="JF518" s="89">
        <f t="shared" ref="JF518" si="12449">JE518</f>
        <v>0</v>
      </c>
      <c r="JG518" s="89">
        <v>0</v>
      </c>
      <c r="JH518" s="89">
        <f t="shared" ref="JH518" si="12450">JG518</f>
        <v>0</v>
      </c>
      <c r="JI518" s="89">
        <f t="shared" ref="JI518" si="12451">JH518</f>
        <v>0</v>
      </c>
      <c r="JJ518" s="89">
        <v>0</v>
      </c>
      <c r="JK518" s="89">
        <f t="shared" ref="JK518" si="12452">JJ518</f>
        <v>0</v>
      </c>
      <c r="JL518" s="89">
        <f t="shared" ref="JL518" si="12453">JK518</f>
        <v>0</v>
      </c>
      <c r="JM518" s="89">
        <v>0</v>
      </c>
      <c r="JN518" s="89">
        <f t="shared" ref="JN518" si="12454">JM518</f>
        <v>0</v>
      </c>
      <c r="JO518" s="89">
        <f t="shared" ref="JO518" si="12455">JN518</f>
        <v>0</v>
      </c>
      <c r="JP518" s="89">
        <v>0</v>
      </c>
      <c r="JQ518" s="89">
        <f t="shared" ref="JQ518:JR518" si="12456">JP518</f>
        <v>0</v>
      </c>
      <c r="JR518" s="89">
        <f t="shared" si="12456"/>
        <v>0</v>
      </c>
      <c r="JS518" s="74">
        <f>HG518-IF518</f>
        <v>60.050000000000011</v>
      </c>
      <c r="JT518" s="382">
        <f>GS518-IF518</f>
        <v>60.050000000000011</v>
      </c>
      <c r="JU518" s="665"/>
      <c r="JV518" s="524"/>
      <c r="JW518" s="525"/>
      <c r="JX518" s="549">
        <f>SUM(HH518,HJ518,HL518,HN518,HP518,HR518,HT518,HV518,HX518,HZ518,IB518,ID518)</f>
        <v>300</v>
      </c>
      <c r="JY518" s="549">
        <f>SUM(HI518,HK518,HM518,HO518,HQ518,HS518,HU518,HW518,HY518,IA518,IC518,IE518)</f>
        <v>0</v>
      </c>
      <c r="JZ518" s="581">
        <f t="shared" si="12201"/>
        <v>0</v>
      </c>
      <c r="KA518" s="581">
        <f t="shared" si="12202"/>
        <v>-44700</v>
      </c>
      <c r="KB518" s="549">
        <f t="shared" si="12194"/>
        <v>300</v>
      </c>
      <c r="KC518" s="709">
        <f t="shared" si="12200"/>
        <v>0</v>
      </c>
      <c r="KD518" s="36"/>
      <c r="KE518" s="36"/>
      <c r="KF518" s="36"/>
      <c r="KG518" s="36"/>
      <c r="KH518" s="36"/>
      <c r="KI518" s="36"/>
      <c r="KJ518" s="36"/>
      <c r="KK518" s="36"/>
    </row>
    <row r="519" spans="1:297" s="8" customFormat="1">
      <c r="A519" s="80"/>
      <c r="B519" s="72"/>
      <c r="C519" s="74"/>
      <c r="D519" s="549"/>
      <c r="E519" s="675"/>
      <c r="F519" s="549"/>
      <c r="G519" s="675"/>
      <c r="H519" s="549"/>
      <c r="I519" s="675"/>
      <c r="J519" s="549"/>
      <c r="K519" s="675"/>
      <c r="L519" s="549"/>
      <c r="M519" s="675"/>
      <c r="N519" s="549"/>
      <c r="O519" s="675"/>
      <c r="P519" s="549"/>
      <c r="Q519" s="675"/>
      <c r="R519" s="549"/>
      <c r="S519" s="675"/>
      <c r="T519" s="549"/>
      <c r="U519" s="675"/>
      <c r="V519" s="549"/>
      <c r="W519" s="675"/>
      <c r="X519" s="549"/>
      <c r="Y519" s="675"/>
      <c r="Z519" s="549"/>
      <c r="AA519" s="675"/>
      <c r="AB519" s="549"/>
      <c r="AC519" s="675"/>
      <c r="AD519" s="549"/>
      <c r="AE519" s="675"/>
      <c r="AF519" s="549"/>
      <c r="AG519" s="675"/>
      <c r="AH519" s="549"/>
      <c r="AI519" s="675"/>
      <c r="AJ519" s="549"/>
      <c r="AK519" s="675"/>
      <c r="AL519" s="549"/>
      <c r="AM519" s="675"/>
      <c r="AN519" s="549"/>
      <c r="AO519" s="675"/>
      <c r="AP519" s="549"/>
      <c r="AQ519" s="675"/>
      <c r="AR519" s="549"/>
      <c r="AS519" s="675"/>
      <c r="AT519" s="549"/>
      <c r="AU519" s="675"/>
      <c r="AV519" s="549"/>
      <c r="AW519" s="675"/>
      <c r="AX519" s="549"/>
      <c r="AY519" s="675"/>
      <c r="AZ519" s="549"/>
      <c r="BA519" s="675"/>
      <c r="BB519" s="549"/>
      <c r="BC519" s="675"/>
      <c r="BD519" s="549"/>
      <c r="BE519" s="675"/>
      <c r="BF519" s="549"/>
      <c r="BG519" s="675"/>
      <c r="BH519" s="549"/>
      <c r="BI519" s="675"/>
      <c r="BJ519" s="549"/>
      <c r="BK519" s="675"/>
      <c r="BL519" s="549"/>
      <c r="BM519" s="675"/>
      <c r="BN519" s="549"/>
      <c r="BO519" s="675"/>
      <c r="BP519" s="549"/>
      <c r="BQ519" s="675"/>
      <c r="BR519" s="549"/>
      <c r="BS519" s="675"/>
      <c r="BT519" s="549"/>
      <c r="BU519" s="675"/>
      <c r="BV519" s="549"/>
      <c r="BW519" s="675"/>
      <c r="BX519" s="549"/>
      <c r="BY519" s="675"/>
      <c r="BZ519" s="549"/>
      <c r="CA519" s="675"/>
      <c r="CB519" s="549"/>
      <c r="CC519" s="675"/>
      <c r="CD519" s="549"/>
      <c r="CE519" s="675"/>
      <c r="CF519" s="549"/>
      <c r="CG519" s="675"/>
      <c r="CH519" s="549"/>
      <c r="CI519" s="675"/>
      <c r="CJ519" s="549"/>
      <c r="CK519" s="675"/>
      <c r="CL519" s="549"/>
      <c r="CM519" s="675"/>
      <c r="CN519" s="549"/>
      <c r="CO519" s="675"/>
      <c r="CP519" s="549"/>
      <c r="CQ519" s="675"/>
      <c r="CR519" s="549"/>
      <c r="CS519" s="675"/>
      <c r="CT519" s="549"/>
      <c r="CU519" s="675"/>
      <c r="CV519" s="549"/>
      <c r="CW519" s="675"/>
      <c r="CX519" s="549"/>
      <c r="CY519" s="675"/>
      <c r="CZ519" s="549"/>
      <c r="DA519" s="675"/>
      <c r="DB519" s="549"/>
      <c r="DC519" s="675"/>
      <c r="DD519" s="549"/>
      <c r="DE519" s="675"/>
      <c r="DF519" s="549"/>
      <c r="DG519" s="675"/>
      <c r="DH519" s="549"/>
      <c r="DI519" s="675"/>
      <c r="DJ519" s="549"/>
      <c r="DK519" s="675"/>
      <c r="DL519" s="549"/>
      <c r="DM519" s="675"/>
      <c r="DN519" s="549"/>
      <c r="DO519" s="675"/>
      <c r="DP519" s="549"/>
      <c r="DQ519" s="675"/>
      <c r="DR519" s="549"/>
      <c r="DS519" s="675"/>
      <c r="DT519" s="549"/>
      <c r="DU519" s="675"/>
      <c r="DV519" s="549"/>
      <c r="DW519" s="675"/>
      <c r="DX519" s="549"/>
      <c r="DY519" s="675"/>
      <c r="DZ519" s="549"/>
      <c r="EA519" s="675"/>
      <c r="EB519" s="549"/>
      <c r="EC519" s="675"/>
      <c r="ED519" s="549"/>
      <c r="EE519" s="675"/>
      <c r="EF519" s="549"/>
      <c r="EG519" s="675"/>
      <c r="EH519" s="549"/>
      <c r="EI519" s="675"/>
      <c r="EJ519" s="549"/>
      <c r="EK519" s="675"/>
      <c r="EL519" s="549"/>
      <c r="EM519" s="675"/>
      <c r="EN519" s="549"/>
      <c r="EO519" s="675"/>
      <c r="EP519" s="549"/>
      <c r="EQ519" s="675"/>
      <c r="ER519" s="549"/>
      <c r="ES519" s="675"/>
      <c r="ET519" s="549"/>
      <c r="EU519" s="675"/>
      <c r="EV519" s="549"/>
      <c r="EW519" s="675"/>
      <c r="EX519" s="549"/>
      <c r="EY519" s="675"/>
      <c r="EZ519" s="549"/>
      <c r="FA519" s="675"/>
      <c r="FB519" s="549"/>
      <c r="FC519" s="675"/>
      <c r="FD519" s="549"/>
      <c r="FE519" s="675"/>
      <c r="FF519" s="549"/>
      <c r="FG519" s="675"/>
      <c r="FH519" s="549"/>
      <c r="FI519" s="675"/>
      <c r="FJ519" s="549"/>
      <c r="FK519" s="675"/>
      <c r="FL519" s="549"/>
      <c r="FM519" s="675"/>
      <c r="FN519" s="549"/>
      <c r="FO519" s="675"/>
      <c r="FP519" s="549"/>
      <c r="FQ519" s="675"/>
      <c r="FR519" s="549"/>
      <c r="FS519" s="675"/>
      <c r="FT519" s="549"/>
      <c r="FU519" s="675"/>
      <c r="FV519" s="549"/>
      <c r="FW519" s="675"/>
      <c r="FX519" s="549"/>
      <c r="FY519" s="675"/>
      <c r="FZ519" s="549"/>
      <c r="GA519" s="675"/>
      <c r="GB519" s="549"/>
      <c r="GC519" s="675"/>
      <c r="GD519" s="549"/>
      <c r="GE519" s="675"/>
      <c r="GF519" s="549"/>
      <c r="GG519" s="675"/>
      <c r="GH519" s="549"/>
      <c r="GI519" s="675"/>
      <c r="GJ519" s="549"/>
      <c r="GK519" s="675"/>
      <c r="GL519" s="549"/>
      <c r="GM519" s="675"/>
      <c r="GN519" s="549"/>
      <c r="GO519" s="675"/>
      <c r="GP519" s="549"/>
      <c r="GQ519" s="675"/>
      <c r="GR519" s="74"/>
      <c r="GS519" s="74"/>
      <c r="GT519" s="568"/>
      <c r="GU519" s="275"/>
      <c r="GV519" s="493"/>
      <c r="GW519" s="884"/>
      <c r="GX519" s="884"/>
      <c r="GY519" s="493"/>
      <c r="GZ519" s="275"/>
      <c r="HA519" s="275"/>
      <c r="HB519" s="275"/>
      <c r="HC519" s="275"/>
      <c r="HD519" s="275"/>
      <c r="HE519" s="275"/>
      <c r="HF519" s="275"/>
      <c r="HG519" s="74"/>
      <c r="HH519" s="89"/>
      <c r="HI519" s="817"/>
      <c r="HJ519" s="89"/>
      <c r="HK519" s="817"/>
      <c r="HL519" s="89"/>
      <c r="HM519" s="817"/>
      <c r="HN519" s="89"/>
      <c r="HO519" s="817"/>
      <c r="HP519" s="89"/>
      <c r="HQ519" s="817"/>
      <c r="HR519" s="89"/>
      <c r="HS519" s="817"/>
      <c r="HT519" s="89"/>
      <c r="HU519" s="817"/>
      <c r="HV519" s="89"/>
      <c r="HW519" s="817"/>
      <c r="HX519" s="89"/>
      <c r="HY519" s="817"/>
      <c r="HZ519" s="89"/>
      <c r="IA519" s="817"/>
      <c r="IB519" s="89"/>
      <c r="IC519" s="817"/>
      <c r="ID519" s="89"/>
      <c r="IE519" s="817"/>
      <c r="IF519" s="841"/>
      <c r="IG519" s="263"/>
      <c r="IH519" s="842"/>
      <c r="II519" s="89"/>
      <c r="IJ519" s="89"/>
      <c r="IK519" s="89"/>
      <c r="IL519" s="89"/>
      <c r="IM519" s="89"/>
      <c r="IN519" s="89"/>
      <c r="IO519" s="89"/>
      <c r="IP519" s="89"/>
      <c r="IQ519" s="89"/>
      <c r="IR519" s="89"/>
      <c r="IS519" s="89"/>
      <c r="IT519" s="89"/>
      <c r="IU519" s="89"/>
      <c r="IV519" s="89"/>
      <c r="IW519" s="89"/>
      <c r="IX519" s="89"/>
      <c r="IY519" s="89"/>
      <c r="IZ519" s="89"/>
      <c r="JA519" s="89"/>
      <c r="JB519" s="89"/>
      <c r="JC519" s="89"/>
      <c r="JD519" s="89"/>
      <c r="JE519" s="89"/>
      <c r="JF519" s="89"/>
      <c r="JG519" s="89"/>
      <c r="JH519" s="89"/>
      <c r="JI519" s="89"/>
      <c r="JJ519" s="89"/>
      <c r="JK519" s="89"/>
      <c r="JL519" s="89"/>
      <c r="JM519" s="89"/>
      <c r="JN519" s="89"/>
      <c r="JO519" s="89"/>
      <c r="JP519" s="89"/>
      <c r="JQ519" s="89"/>
      <c r="JR519" s="89"/>
      <c r="JS519" s="74"/>
      <c r="JT519" s="382"/>
      <c r="JU519" s="665"/>
      <c r="JV519" s="524"/>
      <c r="JW519" s="525"/>
      <c r="JX519" s="549"/>
      <c r="JY519" s="549"/>
      <c r="JZ519" s="581">
        <f t="shared" si="12201"/>
        <v>0</v>
      </c>
      <c r="KA519" s="581">
        <f t="shared" si="12202"/>
        <v>0</v>
      </c>
      <c r="KB519" s="549">
        <f t="shared" si="12194"/>
        <v>0</v>
      </c>
      <c r="KC519" s="709">
        <f t="shared" si="12200"/>
        <v>0</v>
      </c>
      <c r="KD519" s="36"/>
      <c r="KE519" s="36"/>
      <c r="KF519" s="36"/>
      <c r="KG519" s="36"/>
      <c r="KH519" s="36"/>
      <c r="KI519" s="36"/>
      <c r="KJ519" s="36"/>
      <c r="KK519" s="36"/>
    </row>
    <row r="520" spans="1:297" s="8" customFormat="1">
      <c r="A520" s="80" t="s">
        <v>494</v>
      </c>
      <c r="B520" s="559" t="s">
        <v>939</v>
      </c>
      <c r="C520" s="74">
        <v>80000</v>
      </c>
      <c r="D520" s="549">
        <v>0</v>
      </c>
      <c r="E520" s="675">
        <v>0</v>
      </c>
      <c r="F520" s="549">
        <v>0</v>
      </c>
      <c r="G520" s="675">
        <v>-5000</v>
      </c>
      <c r="H520" s="549">
        <v>0</v>
      </c>
      <c r="I520" s="675">
        <v>0</v>
      </c>
      <c r="J520" s="549">
        <v>0</v>
      </c>
      <c r="K520" s="675">
        <v>0</v>
      </c>
      <c r="L520" s="549">
        <v>0</v>
      </c>
      <c r="M520" s="675">
        <v>0</v>
      </c>
      <c r="N520" s="549">
        <v>0</v>
      </c>
      <c r="O520" s="675">
        <v>0</v>
      </c>
      <c r="P520" s="549">
        <v>0</v>
      </c>
      <c r="Q520" s="675">
        <v>0</v>
      </c>
      <c r="R520" s="549">
        <v>0</v>
      </c>
      <c r="S520" s="675">
        <v>0</v>
      </c>
      <c r="T520" s="549">
        <v>0</v>
      </c>
      <c r="U520" s="675">
        <v>0</v>
      </c>
      <c r="V520" s="549">
        <v>0</v>
      </c>
      <c r="W520" s="675">
        <v>0</v>
      </c>
      <c r="X520" s="549">
        <v>0</v>
      </c>
      <c r="Y520" s="675">
        <v>0</v>
      </c>
      <c r="Z520" s="549">
        <v>0</v>
      </c>
      <c r="AA520" s="675">
        <v>0</v>
      </c>
      <c r="AB520" s="549">
        <v>0</v>
      </c>
      <c r="AC520" s="675">
        <v>0</v>
      </c>
      <c r="AD520" s="549">
        <v>0</v>
      </c>
      <c r="AE520" s="675">
        <v>0</v>
      </c>
      <c r="AF520" s="549">
        <v>0</v>
      </c>
      <c r="AG520" s="675">
        <v>0</v>
      </c>
      <c r="AH520" s="549">
        <v>0</v>
      </c>
      <c r="AI520" s="675">
        <v>-24000</v>
      </c>
      <c r="AJ520" s="549">
        <v>0</v>
      </c>
      <c r="AK520" s="675">
        <v>0</v>
      </c>
      <c r="AL520" s="549">
        <v>0</v>
      </c>
      <c r="AM520" s="675">
        <v>0</v>
      </c>
      <c r="AN520" s="549">
        <v>0</v>
      </c>
      <c r="AO520" s="675">
        <v>0</v>
      </c>
      <c r="AP520" s="549">
        <v>0</v>
      </c>
      <c r="AQ520" s="675">
        <v>0</v>
      </c>
      <c r="AR520" s="549">
        <v>0</v>
      </c>
      <c r="AS520" s="675">
        <v>0</v>
      </c>
      <c r="AT520" s="549">
        <v>0</v>
      </c>
      <c r="AU520" s="675">
        <v>0</v>
      </c>
      <c r="AV520" s="549">
        <v>0</v>
      </c>
      <c r="AW520" s="675">
        <v>0</v>
      </c>
      <c r="AX520" s="549">
        <v>0</v>
      </c>
      <c r="AY520" s="675">
        <v>0</v>
      </c>
      <c r="AZ520" s="549">
        <v>0</v>
      </c>
      <c r="BA520" s="675">
        <v>0</v>
      </c>
      <c r="BB520" s="549">
        <v>0</v>
      </c>
      <c r="BC520" s="675">
        <v>0</v>
      </c>
      <c r="BD520" s="549">
        <v>0</v>
      </c>
      <c r="BE520" s="675">
        <v>0</v>
      </c>
      <c r="BF520" s="549">
        <v>0</v>
      </c>
      <c r="BG520" s="675">
        <v>0</v>
      </c>
      <c r="BH520" s="549">
        <v>0</v>
      </c>
      <c r="BI520" s="675">
        <v>-17000</v>
      </c>
      <c r="BJ520" s="549">
        <v>0</v>
      </c>
      <c r="BK520" s="675">
        <v>0</v>
      </c>
      <c r="BL520" s="549">
        <v>0</v>
      </c>
      <c r="BM520" s="675">
        <v>-6599</v>
      </c>
      <c r="BN520" s="549">
        <v>0</v>
      </c>
      <c r="BO520" s="675">
        <v>0</v>
      </c>
      <c r="BP520" s="549">
        <v>0</v>
      </c>
      <c r="BQ520" s="675">
        <v>0</v>
      </c>
      <c r="BR520" s="549">
        <v>0</v>
      </c>
      <c r="BS520" s="675">
        <v>0</v>
      </c>
      <c r="BT520" s="549">
        <v>0</v>
      </c>
      <c r="BU520" s="675">
        <v>0</v>
      </c>
      <c r="BV520" s="549">
        <v>0</v>
      </c>
      <c r="BW520" s="675">
        <v>0</v>
      </c>
      <c r="BX520" s="549">
        <v>0</v>
      </c>
      <c r="BY520" s="675">
        <v>0</v>
      </c>
      <c r="BZ520" s="549">
        <v>0</v>
      </c>
      <c r="CA520" s="675">
        <v>0</v>
      </c>
      <c r="CB520" s="549">
        <v>0</v>
      </c>
      <c r="CC520" s="675">
        <v>0</v>
      </c>
      <c r="CD520" s="549">
        <v>0</v>
      </c>
      <c r="CE520" s="675">
        <v>0</v>
      </c>
      <c r="CF520" s="549">
        <v>0</v>
      </c>
      <c r="CG520" s="675">
        <v>0</v>
      </c>
      <c r="CH520" s="549">
        <v>0</v>
      </c>
      <c r="CI520" s="675">
        <v>-2000</v>
      </c>
      <c r="CJ520" s="549">
        <v>0</v>
      </c>
      <c r="CK520" s="675">
        <v>-14000</v>
      </c>
      <c r="CL520" s="549">
        <v>0</v>
      </c>
      <c r="CM520" s="675">
        <v>0</v>
      </c>
      <c r="CN520" s="549">
        <v>0</v>
      </c>
      <c r="CO520" s="675">
        <v>0</v>
      </c>
      <c r="CP520" s="549">
        <v>0</v>
      </c>
      <c r="CQ520" s="675">
        <v>0</v>
      </c>
      <c r="CR520" s="549">
        <v>0</v>
      </c>
      <c r="CS520" s="675">
        <v>0</v>
      </c>
      <c r="CT520" s="549">
        <v>0</v>
      </c>
      <c r="CU520" s="675">
        <v>0</v>
      </c>
      <c r="CV520" s="549">
        <v>0</v>
      </c>
      <c r="CW520" s="675">
        <v>0</v>
      </c>
      <c r="CX520" s="549">
        <v>0</v>
      </c>
      <c r="CY520" s="675">
        <v>0</v>
      </c>
      <c r="CZ520" s="549">
        <v>0</v>
      </c>
      <c r="DA520" s="675">
        <v>0</v>
      </c>
      <c r="DB520" s="549">
        <v>0</v>
      </c>
      <c r="DC520" s="675">
        <v>0</v>
      </c>
      <c r="DD520" s="549">
        <v>0</v>
      </c>
      <c r="DE520" s="675">
        <v>0</v>
      </c>
      <c r="DF520" s="549">
        <v>0</v>
      </c>
      <c r="DG520" s="675">
        <v>0</v>
      </c>
      <c r="DH520" s="549">
        <v>0</v>
      </c>
      <c r="DI520" s="675">
        <v>0</v>
      </c>
      <c r="DJ520" s="549">
        <v>0</v>
      </c>
      <c r="DK520" s="675">
        <v>0</v>
      </c>
      <c r="DL520" s="549">
        <v>0</v>
      </c>
      <c r="DM520" s="675">
        <v>0</v>
      </c>
      <c r="DN520" s="549">
        <v>0</v>
      </c>
      <c r="DO520" s="675">
        <v>0</v>
      </c>
      <c r="DP520" s="549">
        <v>0</v>
      </c>
      <c r="DQ520" s="675">
        <v>0</v>
      </c>
      <c r="DR520" s="549">
        <v>0</v>
      </c>
      <c r="DS520" s="675">
        <v>0</v>
      </c>
      <c r="DT520" s="549">
        <v>0</v>
      </c>
      <c r="DU520" s="675">
        <v>0</v>
      </c>
      <c r="DV520" s="549">
        <v>0</v>
      </c>
      <c r="DW520" s="675">
        <v>0</v>
      </c>
      <c r="DX520" s="549">
        <v>0</v>
      </c>
      <c r="DY520" s="675">
        <v>0</v>
      </c>
      <c r="DZ520" s="549">
        <v>0</v>
      </c>
      <c r="EA520" s="675">
        <v>0</v>
      </c>
      <c r="EB520" s="549">
        <v>0</v>
      </c>
      <c r="EC520" s="675">
        <v>0</v>
      </c>
      <c r="ED520" s="549">
        <v>0</v>
      </c>
      <c r="EE520" s="675">
        <v>0</v>
      </c>
      <c r="EF520" s="549">
        <v>0</v>
      </c>
      <c r="EG520" s="675">
        <v>0</v>
      </c>
      <c r="EH520" s="549">
        <v>0</v>
      </c>
      <c r="EI520" s="675">
        <v>0</v>
      </c>
      <c r="EJ520" s="549">
        <v>0</v>
      </c>
      <c r="EK520" s="675">
        <v>0</v>
      </c>
      <c r="EL520" s="549">
        <v>0</v>
      </c>
      <c r="EM520" s="675">
        <v>0</v>
      </c>
      <c r="EN520" s="549">
        <v>0</v>
      </c>
      <c r="EO520" s="675">
        <v>0</v>
      </c>
      <c r="EP520" s="549">
        <v>0</v>
      </c>
      <c r="EQ520" s="675">
        <v>0</v>
      </c>
      <c r="ER520" s="549">
        <v>0</v>
      </c>
      <c r="ES520" s="675">
        <v>0</v>
      </c>
      <c r="ET520" s="549">
        <v>0</v>
      </c>
      <c r="EU520" s="675">
        <v>0</v>
      </c>
      <c r="EV520" s="549">
        <v>0</v>
      </c>
      <c r="EW520" s="675">
        <v>0</v>
      </c>
      <c r="EX520" s="549">
        <v>0</v>
      </c>
      <c r="EY520" s="675">
        <v>0</v>
      </c>
      <c r="EZ520" s="549">
        <v>0</v>
      </c>
      <c r="FA520" s="675">
        <v>0</v>
      </c>
      <c r="FB520" s="549">
        <v>0</v>
      </c>
      <c r="FC520" s="675">
        <v>0</v>
      </c>
      <c r="FD520" s="549">
        <v>0</v>
      </c>
      <c r="FE520" s="675">
        <v>0</v>
      </c>
      <c r="FF520" s="549">
        <v>0</v>
      </c>
      <c r="FG520" s="675">
        <v>0</v>
      </c>
      <c r="FH520" s="549">
        <v>0</v>
      </c>
      <c r="FI520" s="675">
        <v>0</v>
      </c>
      <c r="FJ520" s="549">
        <v>0</v>
      </c>
      <c r="FK520" s="675">
        <v>0</v>
      </c>
      <c r="FL520" s="549">
        <v>0</v>
      </c>
      <c r="FM520" s="675">
        <v>-391</v>
      </c>
      <c r="FN520" s="549">
        <v>0</v>
      </c>
      <c r="FO520" s="675">
        <v>0</v>
      </c>
      <c r="FP520" s="549">
        <v>0</v>
      </c>
      <c r="FQ520" s="675">
        <v>0</v>
      </c>
      <c r="FR520" s="549">
        <v>0</v>
      </c>
      <c r="FS520" s="675">
        <v>0</v>
      </c>
      <c r="FT520" s="549">
        <v>0</v>
      </c>
      <c r="FU520" s="675">
        <v>0</v>
      </c>
      <c r="FV520" s="549">
        <v>0</v>
      </c>
      <c r="FW520" s="675">
        <v>0</v>
      </c>
      <c r="FX520" s="549">
        <v>0</v>
      </c>
      <c r="FY520" s="675">
        <v>0</v>
      </c>
      <c r="FZ520" s="549">
        <v>0</v>
      </c>
      <c r="GA520" s="675">
        <v>0</v>
      </c>
      <c r="GB520" s="549">
        <v>0</v>
      </c>
      <c r="GC520" s="675">
        <v>0</v>
      </c>
      <c r="GD520" s="549">
        <v>0</v>
      </c>
      <c r="GE520" s="675">
        <v>0</v>
      </c>
      <c r="GF520" s="549">
        <v>0</v>
      </c>
      <c r="GG520" s="675">
        <v>0</v>
      </c>
      <c r="GH520" s="549">
        <v>0</v>
      </c>
      <c r="GI520" s="675">
        <v>0</v>
      </c>
      <c r="GJ520" s="549">
        <v>0</v>
      </c>
      <c r="GK520" s="675">
        <v>0</v>
      </c>
      <c r="GL520" s="549">
        <v>0</v>
      </c>
      <c r="GM520" s="675">
        <v>0</v>
      </c>
      <c r="GN520" s="549">
        <v>0</v>
      </c>
      <c r="GO520" s="675">
        <v>0</v>
      </c>
      <c r="GP520" s="549">
        <f>+D520+F520+H520+J520+L520+N520+P520+R520+T520+V520+X520+Z520+AB520+AF520+AD520+AH520+AJ520+AL520+AN520+AP520+AR520+AT520+AV520+AX520+AZ520+BB520+BD520+BF520+BH520+BJ520+BL520+BN520+BP520+BR520+BT520+BV520+BX520+BZ520+CB520+CD520+CF520+CH520+CJ520+CL520+CN520+CP520+CR520+CT520+CV520+CX520+CZ520+DB520+DD520+DF520+DH520+DT520+EX520+DJ520+DL520+DN520+DP520+DR520+EJ520+EB520+DZ520+DX520+DV520+ED520+EF520+EH520+EL520+EN520+EP520+EV520+ET520+ER520+EZ520+FB520+FD520+GL520+FF520+FJ520+FL520+GJ520+FT520+FR520+FP520+FN520+FH520+GH520+GF520+GD520+GB520+FZ520+FX520+FV520+GN520</f>
        <v>0</v>
      </c>
      <c r="GQ520" s="675">
        <f>+E520+G520+I520+K520+M520+O520+Q520+S520+U520+W520+Y520+AA520+AC520+AE520+AG520+AI520+AK520+AM520+AO520+AQ520+AS520+AU520+AW520+AY520+BA520+BC520+BE520+BG520+BI520+BK520+BM520+BO520+BQ520+BS520+BU520+BW520+BY520+CA520+CC520+CE520+CG520+CI520+CK520+CM520+CO520+CQ520+CS520+CU520+CW520+CY520+DA520+DC520+DE520+DG520+DI520+DU520+EY520+DK520+DM520+DO520+DQ520+DS520+EK520+EC520+EA520+DY520+DW520+EI520+EG520+EE520+EM520+EO520+EQ520+EW520+EU520+ES520+FA520+FC520+FE520+GM520+FG520+FK520+FM520+FO520+FQ520+FS520+FU520+GK520+FI520+GI520+GG520+GE520+GC520+GA520+FY520+FW520+GO520</f>
        <v>-68990</v>
      </c>
      <c r="GR520" s="74">
        <f>C520+GP520+GQ520</f>
        <v>11010</v>
      </c>
      <c r="GS520" s="74">
        <f>SUM(GU520:HD520)+GP520+GQ520</f>
        <v>11010</v>
      </c>
      <c r="GT520" s="568">
        <f>SUM(GU520:HF520)+GQ520+GP520</f>
        <v>11010</v>
      </c>
      <c r="GU520" s="275">
        <v>15000</v>
      </c>
      <c r="GV520" s="275">
        <v>15000</v>
      </c>
      <c r="GW520" s="275">
        <v>15000</v>
      </c>
      <c r="GX520" s="275">
        <v>15000</v>
      </c>
      <c r="GY520" s="493">
        <v>10000</v>
      </c>
      <c r="GZ520" s="836">
        <v>10000</v>
      </c>
      <c r="HA520" s="836"/>
      <c r="HB520" s="836"/>
      <c r="HC520" s="836"/>
      <c r="HD520" s="836"/>
      <c r="HE520" s="275"/>
      <c r="HF520" s="275"/>
      <c r="HG520" s="74">
        <f>SUM(HH520:IE520)</f>
        <v>11010</v>
      </c>
      <c r="HH520" s="89">
        <v>15000</v>
      </c>
      <c r="HI520" s="817">
        <v>0</v>
      </c>
      <c r="HJ520" s="89">
        <v>10000</v>
      </c>
      <c r="HK520" s="817">
        <v>0</v>
      </c>
      <c r="HL520" s="89">
        <v>-9000</v>
      </c>
      <c r="HM520" s="817">
        <v>0</v>
      </c>
      <c r="HN520" s="89">
        <v>15000</v>
      </c>
      <c r="HO520" s="817">
        <v>0</v>
      </c>
      <c r="HP520" s="89">
        <v>-13599</v>
      </c>
      <c r="HQ520" s="817">
        <v>0</v>
      </c>
      <c r="HR520" s="89">
        <v>0</v>
      </c>
      <c r="HS520" s="817">
        <v>0</v>
      </c>
      <c r="HT520" s="837">
        <v>-6000</v>
      </c>
      <c r="HU520" s="817">
        <v>0</v>
      </c>
      <c r="HV520" s="89">
        <v>0</v>
      </c>
      <c r="HW520" s="817">
        <v>0</v>
      </c>
      <c r="HX520" s="89">
        <v>0</v>
      </c>
      <c r="HY520" s="817">
        <v>0</v>
      </c>
      <c r="HZ520" s="89">
        <f>145.26-536.26</f>
        <v>-391</v>
      </c>
      <c r="IA520" s="817">
        <v>0</v>
      </c>
      <c r="IB520" s="89">
        <v>0</v>
      </c>
      <c r="IC520" s="817">
        <v>0</v>
      </c>
      <c r="ID520" s="89">
        <v>0</v>
      </c>
      <c r="IE520" s="817">
        <v>0</v>
      </c>
      <c r="IF520" s="841">
        <f t="shared" ref="IF520" si="12457">SUM(II520,IL520,IO520,IR520,IU520,IX520,JA520,JD520,JG520,JJ520,JM520,JP520)</f>
        <v>10864.74</v>
      </c>
      <c r="IG520" s="263">
        <f t="shared" ref="IG520" si="12458">SUM(IJ520,IM520,IP520,IS520,IV520,IY520,JB520,JE520,JH520,JK520,JN520,JQ520)</f>
        <v>10864.74</v>
      </c>
      <c r="IH520" s="842">
        <f t="shared" ref="IH520" si="12459">SUM(IK520,IN520,IQ520,IT520,IW520,IZ520,JC520,JF520,JI520,JL520,JO520,JR520)</f>
        <v>10864.74</v>
      </c>
      <c r="II520" s="89">
        <v>277</v>
      </c>
      <c r="IJ520" s="89">
        <f t="shared" ref="IJ520" si="12460">II520</f>
        <v>277</v>
      </c>
      <c r="IK520" s="89">
        <f t="shared" ref="IK520" si="12461">IJ520</f>
        <v>277</v>
      </c>
      <c r="IL520" s="89">
        <v>0</v>
      </c>
      <c r="IM520" s="89">
        <f t="shared" ref="IM520" si="12462">IL520</f>
        <v>0</v>
      </c>
      <c r="IN520" s="89">
        <f t="shared" ref="IN520" si="12463">IM520</f>
        <v>0</v>
      </c>
      <c r="IO520" s="89">
        <v>0</v>
      </c>
      <c r="IP520" s="89">
        <f t="shared" ref="IP520" si="12464">IO520</f>
        <v>0</v>
      </c>
      <c r="IQ520" s="89">
        <f t="shared" ref="IQ520" si="12465">IP520</f>
        <v>0</v>
      </c>
      <c r="IR520" s="89">
        <f>402-277</f>
        <v>125</v>
      </c>
      <c r="IS520" s="89">
        <f t="shared" ref="IS520" si="12466">IR520</f>
        <v>125</v>
      </c>
      <c r="IT520" s="89">
        <f t="shared" ref="IT520" si="12467">IS520</f>
        <v>125</v>
      </c>
      <c r="IU520" s="89">
        <f>2567-402</f>
        <v>2165</v>
      </c>
      <c r="IV520" s="89">
        <f t="shared" ref="IV520" si="12468">IU520</f>
        <v>2165</v>
      </c>
      <c r="IW520" s="89">
        <f t="shared" ref="IW520" si="12469">IV520</f>
        <v>2165</v>
      </c>
      <c r="IX520" s="89">
        <f>5255-2567</f>
        <v>2688</v>
      </c>
      <c r="IY520" s="89">
        <f t="shared" ref="IY520" si="12470">IX520</f>
        <v>2688</v>
      </c>
      <c r="IZ520" s="89">
        <f t="shared" ref="IZ520" si="12471">IY520</f>
        <v>2688</v>
      </c>
      <c r="JA520" s="89">
        <f>7645-5255</f>
        <v>2390</v>
      </c>
      <c r="JB520" s="89">
        <f t="shared" ref="JB520" si="12472">JA520</f>
        <v>2390</v>
      </c>
      <c r="JC520" s="89">
        <f t="shared" ref="JC520" si="12473">JB520</f>
        <v>2390</v>
      </c>
      <c r="JD520" s="89">
        <f>10064.99-7645</f>
        <v>2419.9899999999998</v>
      </c>
      <c r="JE520" s="89">
        <f t="shared" ref="JE520" si="12474">JD520</f>
        <v>2419.9899999999998</v>
      </c>
      <c r="JF520" s="89">
        <f t="shared" ref="JF520" si="12475">JE520</f>
        <v>2419.9899999999998</v>
      </c>
      <c r="JG520" s="89">
        <f>10374.99-10064.99</f>
        <v>310</v>
      </c>
      <c r="JH520" s="89">
        <f t="shared" ref="JH520" si="12476">JG520</f>
        <v>310</v>
      </c>
      <c r="JI520" s="89">
        <f t="shared" ref="JI520" si="12477">JH520</f>
        <v>310</v>
      </c>
      <c r="JJ520" s="89">
        <f>10864.74-10374.99</f>
        <v>489.75</v>
      </c>
      <c r="JK520" s="89">
        <f t="shared" ref="JK520" si="12478">JJ520</f>
        <v>489.75</v>
      </c>
      <c r="JL520" s="89">
        <f t="shared" ref="JL520" si="12479">JK520</f>
        <v>489.75</v>
      </c>
      <c r="JM520" s="89">
        <v>0</v>
      </c>
      <c r="JN520" s="89">
        <f t="shared" ref="JN520" si="12480">JM520</f>
        <v>0</v>
      </c>
      <c r="JO520" s="89">
        <f t="shared" ref="JO520" si="12481">JN520</f>
        <v>0</v>
      </c>
      <c r="JP520" s="89">
        <v>0</v>
      </c>
      <c r="JQ520" s="89">
        <f t="shared" ref="JQ520:JR520" si="12482">JP520</f>
        <v>0</v>
      </c>
      <c r="JR520" s="89">
        <f t="shared" si="12482"/>
        <v>0</v>
      </c>
      <c r="JS520" s="263">
        <f>HG520-IF520</f>
        <v>145.26000000000022</v>
      </c>
      <c r="JT520" s="382">
        <f>GS520-IF520</f>
        <v>145.26000000000022</v>
      </c>
      <c r="JU520" s="665"/>
      <c r="JV520" s="524"/>
      <c r="JW520" s="525"/>
      <c r="JX520" s="549">
        <f>SUM(HH520,HJ520,HL520,HN520,HP520,HR520,HT520,HV520,HX520,HZ520,IB520,ID520)</f>
        <v>11010</v>
      </c>
      <c r="JY520" s="549">
        <f>SUM(HI520,HK520,HM520,HO520,HQ520,HS520,HU520,HW520,HY520,IA520,IC520,IE520)</f>
        <v>0</v>
      </c>
      <c r="JZ520" s="581">
        <f t="shared" si="12201"/>
        <v>0</v>
      </c>
      <c r="KA520" s="581">
        <f t="shared" si="12202"/>
        <v>-68990</v>
      </c>
      <c r="KB520" s="549">
        <f t="shared" si="12194"/>
        <v>11010</v>
      </c>
      <c r="KC520" s="709">
        <f t="shared" si="12200"/>
        <v>0</v>
      </c>
      <c r="KD520" s="36"/>
      <c r="KE520" s="36"/>
      <c r="KF520" s="36"/>
      <c r="KG520" s="36"/>
      <c r="KH520" s="36"/>
      <c r="KI520" s="36"/>
      <c r="KJ520" s="36"/>
      <c r="KK520" s="36"/>
    </row>
    <row r="521" spans="1:297" s="8" customFormat="1">
      <c r="A521" s="80"/>
      <c r="B521" s="72"/>
      <c r="C521" s="74"/>
      <c r="D521" s="549"/>
      <c r="E521" s="675"/>
      <c r="F521" s="549"/>
      <c r="G521" s="675"/>
      <c r="H521" s="549"/>
      <c r="I521" s="675"/>
      <c r="J521" s="549"/>
      <c r="K521" s="675"/>
      <c r="L521" s="549"/>
      <c r="M521" s="675"/>
      <c r="N521" s="549"/>
      <c r="O521" s="675"/>
      <c r="P521" s="549"/>
      <c r="Q521" s="675"/>
      <c r="R521" s="549"/>
      <c r="S521" s="675"/>
      <c r="T521" s="549"/>
      <c r="U521" s="675"/>
      <c r="V521" s="549"/>
      <c r="W521" s="675"/>
      <c r="X521" s="549"/>
      <c r="Y521" s="675"/>
      <c r="Z521" s="549"/>
      <c r="AA521" s="675"/>
      <c r="AB521" s="549"/>
      <c r="AC521" s="675"/>
      <c r="AD521" s="549"/>
      <c r="AE521" s="675"/>
      <c r="AF521" s="549"/>
      <c r="AG521" s="675"/>
      <c r="AH521" s="549"/>
      <c r="AI521" s="675"/>
      <c r="AJ521" s="549"/>
      <c r="AK521" s="675"/>
      <c r="AL521" s="549"/>
      <c r="AM521" s="675"/>
      <c r="AN521" s="549"/>
      <c r="AO521" s="675"/>
      <c r="AP521" s="549"/>
      <c r="AQ521" s="675"/>
      <c r="AR521" s="549"/>
      <c r="AS521" s="675"/>
      <c r="AT521" s="549"/>
      <c r="AU521" s="675"/>
      <c r="AV521" s="549"/>
      <c r="AW521" s="675"/>
      <c r="AX521" s="549"/>
      <c r="AY521" s="675"/>
      <c r="AZ521" s="549"/>
      <c r="BA521" s="675"/>
      <c r="BB521" s="549"/>
      <c r="BC521" s="675"/>
      <c r="BD521" s="549"/>
      <c r="BE521" s="675"/>
      <c r="BF521" s="549"/>
      <c r="BG521" s="675"/>
      <c r="BH521" s="549"/>
      <c r="BI521" s="675"/>
      <c r="BJ521" s="549"/>
      <c r="BK521" s="675"/>
      <c r="BL521" s="549"/>
      <c r="BM521" s="675"/>
      <c r="BN521" s="549"/>
      <c r="BO521" s="675"/>
      <c r="BP521" s="549"/>
      <c r="BQ521" s="675"/>
      <c r="BR521" s="549"/>
      <c r="BS521" s="675"/>
      <c r="BT521" s="549"/>
      <c r="BU521" s="675"/>
      <c r="BV521" s="549"/>
      <c r="BW521" s="675"/>
      <c r="BX521" s="549"/>
      <c r="BY521" s="675"/>
      <c r="BZ521" s="549"/>
      <c r="CA521" s="675"/>
      <c r="CB521" s="549"/>
      <c r="CC521" s="675"/>
      <c r="CD521" s="549"/>
      <c r="CE521" s="675"/>
      <c r="CF521" s="549"/>
      <c r="CG521" s="675"/>
      <c r="CH521" s="549"/>
      <c r="CI521" s="675"/>
      <c r="CJ521" s="549"/>
      <c r="CK521" s="675"/>
      <c r="CL521" s="549"/>
      <c r="CM521" s="675"/>
      <c r="CN521" s="549"/>
      <c r="CO521" s="675"/>
      <c r="CP521" s="549"/>
      <c r="CQ521" s="675"/>
      <c r="CR521" s="549"/>
      <c r="CS521" s="675"/>
      <c r="CT521" s="549"/>
      <c r="CU521" s="675"/>
      <c r="CV521" s="549"/>
      <c r="CW521" s="675"/>
      <c r="CX521" s="549"/>
      <c r="CY521" s="675"/>
      <c r="CZ521" s="549"/>
      <c r="DA521" s="675"/>
      <c r="DB521" s="549"/>
      <c r="DC521" s="675"/>
      <c r="DD521" s="549"/>
      <c r="DE521" s="675"/>
      <c r="DF521" s="549"/>
      <c r="DG521" s="675"/>
      <c r="DH521" s="549"/>
      <c r="DI521" s="675"/>
      <c r="DJ521" s="549"/>
      <c r="DK521" s="675"/>
      <c r="DL521" s="549"/>
      <c r="DM521" s="675"/>
      <c r="DN521" s="549"/>
      <c r="DO521" s="675"/>
      <c r="DP521" s="549"/>
      <c r="DQ521" s="675"/>
      <c r="DR521" s="549"/>
      <c r="DS521" s="675"/>
      <c r="DT521" s="549"/>
      <c r="DU521" s="675"/>
      <c r="DV521" s="549"/>
      <c r="DW521" s="675"/>
      <c r="DX521" s="549"/>
      <c r="DY521" s="675"/>
      <c r="DZ521" s="549"/>
      <c r="EA521" s="675"/>
      <c r="EB521" s="549"/>
      <c r="EC521" s="675"/>
      <c r="ED521" s="549"/>
      <c r="EE521" s="675"/>
      <c r="EF521" s="549"/>
      <c r="EG521" s="675"/>
      <c r="EH521" s="549"/>
      <c r="EI521" s="675"/>
      <c r="EJ521" s="549"/>
      <c r="EK521" s="675"/>
      <c r="EL521" s="549"/>
      <c r="EM521" s="675"/>
      <c r="EN521" s="549"/>
      <c r="EO521" s="675"/>
      <c r="EP521" s="549"/>
      <c r="EQ521" s="675"/>
      <c r="ER521" s="549"/>
      <c r="ES521" s="675"/>
      <c r="ET521" s="549"/>
      <c r="EU521" s="675"/>
      <c r="EV521" s="549"/>
      <c r="EW521" s="675"/>
      <c r="EX521" s="549"/>
      <c r="EY521" s="675"/>
      <c r="EZ521" s="549"/>
      <c r="FA521" s="675"/>
      <c r="FB521" s="549"/>
      <c r="FC521" s="675"/>
      <c r="FD521" s="549"/>
      <c r="FE521" s="675"/>
      <c r="FF521" s="549"/>
      <c r="FG521" s="675"/>
      <c r="FH521" s="549"/>
      <c r="FI521" s="675"/>
      <c r="FJ521" s="549"/>
      <c r="FK521" s="675"/>
      <c r="FL521" s="549"/>
      <c r="FM521" s="675"/>
      <c r="FN521" s="549"/>
      <c r="FO521" s="675"/>
      <c r="FP521" s="549"/>
      <c r="FQ521" s="675"/>
      <c r="FR521" s="549"/>
      <c r="FS521" s="675"/>
      <c r="FT521" s="549"/>
      <c r="FU521" s="675"/>
      <c r="FV521" s="549"/>
      <c r="FW521" s="675"/>
      <c r="FX521" s="549"/>
      <c r="FY521" s="675"/>
      <c r="FZ521" s="549"/>
      <c r="GA521" s="675"/>
      <c r="GB521" s="549"/>
      <c r="GC521" s="675"/>
      <c r="GD521" s="549"/>
      <c r="GE521" s="675"/>
      <c r="GF521" s="549"/>
      <c r="GG521" s="675"/>
      <c r="GH521" s="549"/>
      <c r="GI521" s="675"/>
      <c r="GJ521" s="549"/>
      <c r="GK521" s="675"/>
      <c r="GL521" s="549"/>
      <c r="GM521" s="675"/>
      <c r="GN521" s="549"/>
      <c r="GO521" s="675"/>
      <c r="GP521" s="549"/>
      <c r="GQ521" s="675"/>
      <c r="GR521" s="74"/>
      <c r="GS521" s="74"/>
      <c r="GT521" s="568"/>
      <c r="GU521" s="275"/>
      <c r="GV521" s="275"/>
      <c r="GW521" s="587"/>
      <c r="GX521" s="587"/>
      <c r="GY521" s="275"/>
      <c r="GZ521" s="275"/>
      <c r="HA521" s="275"/>
      <c r="HB521" s="275"/>
      <c r="HC521" s="275"/>
      <c r="HD521" s="275"/>
      <c r="HE521" s="275"/>
      <c r="HF521" s="275"/>
      <c r="HG521" s="74"/>
      <c r="HH521" s="89"/>
      <c r="HI521" s="817"/>
      <c r="HJ521" s="89"/>
      <c r="HK521" s="817"/>
      <c r="HL521" s="89"/>
      <c r="HM521" s="817"/>
      <c r="HN521" s="89"/>
      <c r="HO521" s="817"/>
      <c r="HP521" s="89"/>
      <c r="HQ521" s="817"/>
      <c r="HR521" s="89"/>
      <c r="HS521" s="817"/>
      <c r="HT521" s="89"/>
      <c r="HU521" s="817"/>
      <c r="HV521" s="89"/>
      <c r="HW521" s="817"/>
      <c r="HX521" s="89"/>
      <c r="HY521" s="817"/>
      <c r="HZ521" s="89"/>
      <c r="IA521" s="817"/>
      <c r="IB521" s="89"/>
      <c r="IC521" s="817"/>
      <c r="ID521" s="89"/>
      <c r="IE521" s="817"/>
      <c r="IF521" s="841"/>
      <c r="IG521" s="263"/>
      <c r="IH521" s="842"/>
      <c r="II521" s="89"/>
      <c r="IJ521" s="89"/>
      <c r="IK521" s="89"/>
      <c r="IL521" s="89"/>
      <c r="IM521" s="89"/>
      <c r="IN521" s="89"/>
      <c r="IO521" s="89"/>
      <c r="IP521" s="89"/>
      <c r="IQ521" s="89"/>
      <c r="IR521" s="89"/>
      <c r="IS521" s="89"/>
      <c r="IT521" s="89"/>
      <c r="IU521" s="89"/>
      <c r="IV521" s="89"/>
      <c r="IW521" s="89"/>
      <c r="IX521" s="89"/>
      <c r="IY521" s="89"/>
      <c r="IZ521" s="89"/>
      <c r="JA521" s="89"/>
      <c r="JB521" s="89"/>
      <c r="JC521" s="89"/>
      <c r="JD521" s="89"/>
      <c r="JE521" s="89"/>
      <c r="JF521" s="89"/>
      <c r="JG521" s="89"/>
      <c r="JH521" s="89"/>
      <c r="JI521" s="89"/>
      <c r="JJ521" s="89"/>
      <c r="JK521" s="89"/>
      <c r="JL521" s="89"/>
      <c r="JM521" s="89"/>
      <c r="JN521" s="89"/>
      <c r="JO521" s="89"/>
      <c r="JP521" s="89"/>
      <c r="JQ521" s="89"/>
      <c r="JR521" s="89"/>
      <c r="JS521" s="263"/>
      <c r="JT521" s="382"/>
      <c r="JU521" s="665"/>
      <c r="JV521" s="524"/>
      <c r="JW521" s="525"/>
      <c r="JX521" s="549"/>
      <c r="JY521" s="549"/>
      <c r="JZ521" s="581">
        <f t="shared" si="12201"/>
        <v>0</v>
      </c>
      <c r="KA521" s="581">
        <f t="shared" si="12202"/>
        <v>0</v>
      </c>
      <c r="KB521" s="549">
        <f t="shared" si="12194"/>
        <v>0</v>
      </c>
      <c r="KC521" s="709">
        <f t="shared" si="12200"/>
        <v>0</v>
      </c>
      <c r="KD521" s="36"/>
      <c r="KE521" s="36"/>
      <c r="KF521" s="36"/>
      <c r="KG521" s="36"/>
      <c r="KH521" s="36"/>
      <c r="KI521" s="36"/>
      <c r="KJ521" s="36"/>
      <c r="KK521" s="36"/>
    </row>
    <row r="522" spans="1:297" s="8" customFormat="1">
      <c r="A522" s="80" t="s">
        <v>474</v>
      </c>
      <c r="B522" s="559" t="s">
        <v>1205</v>
      </c>
      <c r="C522" s="74">
        <v>75000</v>
      </c>
      <c r="D522" s="549">
        <v>0</v>
      </c>
      <c r="E522" s="675">
        <v>0</v>
      </c>
      <c r="F522" s="549">
        <v>0</v>
      </c>
      <c r="G522" s="675">
        <v>-5000</v>
      </c>
      <c r="H522" s="549">
        <v>0</v>
      </c>
      <c r="I522" s="675">
        <v>0</v>
      </c>
      <c r="J522" s="549">
        <v>0</v>
      </c>
      <c r="K522" s="675">
        <v>0</v>
      </c>
      <c r="L522" s="549">
        <v>0</v>
      </c>
      <c r="M522" s="675">
        <v>0</v>
      </c>
      <c r="N522" s="549">
        <v>0</v>
      </c>
      <c r="O522" s="675">
        <v>0</v>
      </c>
      <c r="P522" s="549">
        <v>0</v>
      </c>
      <c r="Q522" s="675">
        <v>0</v>
      </c>
      <c r="R522" s="549">
        <v>0</v>
      </c>
      <c r="S522" s="675">
        <v>0</v>
      </c>
      <c r="T522" s="549">
        <v>0</v>
      </c>
      <c r="U522" s="675">
        <v>0</v>
      </c>
      <c r="V522" s="549">
        <v>0</v>
      </c>
      <c r="W522" s="675">
        <v>0</v>
      </c>
      <c r="X522" s="549">
        <v>0</v>
      </c>
      <c r="Y522" s="675">
        <v>0</v>
      </c>
      <c r="Z522" s="549">
        <v>0</v>
      </c>
      <c r="AA522" s="675">
        <v>0</v>
      </c>
      <c r="AB522" s="549">
        <v>0</v>
      </c>
      <c r="AC522" s="675">
        <v>0</v>
      </c>
      <c r="AD522" s="549">
        <v>0</v>
      </c>
      <c r="AE522" s="675">
        <v>0</v>
      </c>
      <c r="AF522" s="549">
        <v>0</v>
      </c>
      <c r="AG522" s="675">
        <v>0</v>
      </c>
      <c r="AH522" s="549">
        <v>0</v>
      </c>
      <c r="AI522" s="675">
        <v>0</v>
      </c>
      <c r="AJ522" s="549">
        <v>0</v>
      </c>
      <c r="AK522" s="675">
        <v>0</v>
      </c>
      <c r="AL522" s="549">
        <v>0</v>
      </c>
      <c r="AM522" s="675">
        <v>0</v>
      </c>
      <c r="AN522" s="549">
        <v>0</v>
      </c>
      <c r="AO522" s="675">
        <v>0</v>
      </c>
      <c r="AP522" s="549">
        <v>0</v>
      </c>
      <c r="AQ522" s="675">
        <v>0</v>
      </c>
      <c r="AR522" s="549">
        <v>0</v>
      </c>
      <c r="AS522" s="675">
        <v>0</v>
      </c>
      <c r="AT522" s="549">
        <v>0</v>
      </c>
      <c r="AU522" s="675">
        <v>0</v>
      </c>
      <c r="AV522" s="549">
        <v>0</v>
      </c>
      <c r="AW522" s="675">
        <v>0</v>
      </c>
      <c r="AX522" s="549">
        <v>0</v>
      </c>
      <c r="AY522" s="675">
        <v>0</v>
      </c>
      <c r="AZ522" s="549">
        <v>0</v>
      </c>
      <c r="BA522" s="675">
        <v>0</v>
      </c>
      <c r="BB522" s="549">
        <v>0</v>
      </c>
      <c r="BC522" s="675">
        <v>0</v>
      </c>
      <c r="BD522" s="549">
        <v>0</v>
      </c>
      <c r="BE522" s="675">
        <v>0</v>
      </c>
      <c r="BF522" s="549">
        <v>0</v>
      </c>
      <c r="BG522" s="675">
        <v>0</v>
      </c>
      <c r="BH522" s="549">
        <v>0</v>
      </c>
      <c r="BI522" s="675">
        <v>0</v>
      </c>
      <c r="BJ522" s="549">
        <v>0</v>
      </c>
      <c r="BK522" s="675">
        <v>0</v>
      </c>
      <c r="BL522" s="549">
        <v>0</v>
      </c>
      <c r="BM522" s="675">
        <v>0</v>
      </c>
      <c r="BN522" s="549">
        <v>0</v>
      </c>
      <c r="BO522" s="675">
        <v>0</v>
      </c>
      <c r="BP522" s="549">
        <v>0</v>
      </c>
      <c r="BQ522" s="675">
        <v>-20000</v>
      </c>
      <c r="BR522" s="549">
        <v>0</v>
      </c>
      <c r="BS522" s="675">
        <v>0</v>
      </c>
      <c r="BT522" s="549">
        <v>0</v>
      </c>
      <c r="BU522" s="675">
        <v>0</v>
      </c>
      <c r="BV522" s="549">
        <v>0</v>
      </c>
      <c r="BW522" s="675">
        <v>0</v>
      </c>
      <c r="BX522" s="549">
        <v>0</v>
      </c>
      <c r="BY522" s="675">
        <v>0</v>
      </c>
      <c r="BZ522" s="549">
        <v>0</v>
      </c>
      <c r="CA522" s="675">
        <v>0</v>
      </c>
      <c r="CB522" s="549">
        <v>0</v>
      </c>
      <c r="CC522" s="675">
        <v>-10000</v>
      </c>
      <c r="CD522" s="549">
        <v>0</v>
      </c>
      <c r="CE522" s="675">
        <v>0</v>
      </c>
      <c r="CF522" s="549">
        <v>0</v>
      </c>
      <c r="CG522" s="675">
        <v>0</v>
      </c>
      <c r="CH522" s="549">
        <v>0</v>
      </c>
      <c r="CI522" s="675">
        <v>0</v>
      </c>
      <c r="CJ522" s="549">
        <v>0</v>
      </c>
      <c r="CK522" s="675">
        <v>-10000</v>
      </c>
      <c r="CL522" s="549">
        <v>0</v>
      </c>
      <c r="CM522" s="675">
        <v>0</v>
      </c>
      <c r="CN522" s="549">
        <v>0</v>
      </c>
      <c r="CO522" s="675">
        <v>0</v>
      </c>
      <c r="CP522" s="549">
        <v>0</v>
      </c>
      <c r="CQ522" s="675">
        <v>0</v>
      </c>
      <c r="CR522" s="549">
        <v>0</v>
      </c>
      <c r="CS522" s="675">
        <v>0</v>
      </c>
      <c r="CT522" s="549">
        <v>0</v>
      </c>
      <c r="CU522" s="675">
        <v>0</v>
      </c>
      <c r="CV522" s="549">
        <v>0</v>
      </c>
      <c r="CW522" s="675">
        <v>0</v>
      </c>
      <c r="CX522" s="549">
        <v>0</v>
      </c>
      <c r="CY522" s="675">
        <v>0</v>
      </c>
      <c r="CZ522" s="549">
        <v>0</v>
      </c>
      <c r="DA522" s="675">
        <v>0</v>
      </c>
      <c r="DB522" s="549">
        <v>0</v>
      </c>
      <c r="DC522" s="675">
        <v>0</v>
      </c>
      <c r="DD522" s="549">
        <v>0</v>
      </c>
      <c r="DE522" s="675">
        <v>0</v>
      </c>
      <c r="DF522" s="549">
        <v>0</v>
      </c>
      <c r="DG522" s="675">
        <v>0</v>
      </c>
      <c r="DH522" s="549">
        <v>0</v>
      </c>
      <c r="DI522" s="675">
        <v>0</v>
      </c>
      <c r="DJ522" s="549">
        <v>0</v>
      </c>
      <c r="DK522" s="675">
        <v>0</v>
      </c>
      <c r="DL522" s="549">
        <v>0</v>
      </c>
      <c r="DM522" s="675">
        <v>0</v>
      </c>
      <c r="DN522" s="549">
        <v>0</v>
      </c>
      <c r="DO522" s="675">
        <v>0</v>
      </c>
      <c r="DP522" s="549">
        <v>0</v>
      </c>
      <c r="DQ522" s="675">
        <v>0</v>
      </c>
      <c r="DR522" s="549">
        <v>0</v>
      </c>
      <c r="DS522" s="675">
        <v>0</v>
      </c>
      <c r="DT522" s="549">
        <v>0</v>
      </c>
      <c r="DU522" s="675">
        <v>0</v>
      </c>
      <c r="DV522" s="549">
        <v>0</v>
      </c>
      <c r="DW522" s="675">
        <v>0</v>
      </c>
      <c r="DX522" s="549">
        <v>0</v>
      </c>
      <c r="DY522" s="675">
        <v>0</v>
      </c>
      <c r="DZ522" s="549">
        <v>0</v>
      </c>
      <c r="EA522" s="675">
        <v>0</v>
      </c>
      <c r="EB522" s="549">
        <v>0</v>
      </c>
      <c r="EC522" s="675">
        <v>0</v>
      </c>
      <c r="ED522" s="549">
        <v>0</v>
      </c>
      <c r="EE522" s="675">
        <v>0</v>
      </c>
      <c r="EF522" s="549">
        <v>0</v>
      </c>
      <c r="EG522" s="675">
        <v>0</v>
      </c>
      <c r="EH522" s="549">
        <v>0</v>
      </c>
      <c r="EI522" s="675">
        <v>0</v>
      </c>
      <c r="EJ522" s="549">
        <v>0</v>
      </c>
      <c r="EK522" s="675">
        <v>0</v>
      </c>
      <c r="EL522" s="549">
        <v>0</v>
      </c>
      <c r="EM522" s="675">
        <v>0</v>
      </c>
      <c r="EN522" s="549">
        <v>0</v>
      </c>
      <c r="EO522" s="675">
        <v>0</v>
      </c>
      <c r="EP522" s="549">
        <v>0</v>
      </c>
      <c r="EQ522" s="675">
        <v>0</v>
      </c>
      <c r="ER522" s="549">
        <v>0</v>
      </c>
      <c r="ES522" s="675">
        <v>0</v>
      </c>
      <c r="ET522" s="549">
        <v>0</v>
      </c>
      <c r="EU522" s="675">
        <v>0</v>
      </c>
      <c r="EV522" s="549">
        <v>0</v>
      </c>
      <c r="EW522" s="675">
        <v>0</v>
      </c>
      <c r="EX522" s="549">
        <v>0</v>
      </c>
      <c r="EY522" s="675">
        <v>0</v>
      </c>
      <c r="EZ522" s="549">
        <v>0</v>
      </c>
      <c r="FA522" s="675">
        <v>0</v>
      </c>
      <c r="FB522" s="549">
        <v>0</v>
      </c>
      <c r="FC522" s="675">
        <v>0</v>
      </c>
      <c r="FD522" s="549">
        <v>0</v>
      </c>
      <c r="FE522" s="675">
        <v>0</v>
      </c>
      <c r="FF522" s="549">
        <v>0</v>
      </c>
      <c r="FG522" s="675">
        <v>0</v>
      </c>
      <c r="FH522" s="549">
        <v>0</v>
      </c>
      <c r="FI522" s="675">
        <v>0</v>
      </c>
      <c r="FJ522" s="549">
        <v>0</v>
      </c>
      <c r="FK522" s="675">
        <v>0</v>
      </c>
      <c r="FL522" s="549">
        <v>0</v>
      </c>
      <c r="FM522" s="675">
        <v>-970</v>
      </c>
      <c r="FN522" s="549">
        <v>0</v>
      </c>
      <c r="FO522" s="675">
        <v>0</v>
      </c>
      <c r="FP522" s="549">
        <v>0</v>
      </c>
      <c r="FQ522" s="675">
        <v>0</v>
      </c>
      <c r="FR522" s="549">
        <v>10000</v>
      </c>
      <c r="FS522" s="675">
        <v>0</v>
      </c>
      <c r="FT522" s="549">
        <v>0</v>
      </c>
      <c r="FU522" s="675">
        <v>0</v>
      </c>
      <c r="FV522" s="549">
        <v>0</v>
      </c>
      <c r="FW522" s="675">
        <v>0</v>
      </c>
      <c r="FX522" s="549">
        <v>0</v>
      </c>
      <c r="FY522" s="675">
        <v>0</v>
      </c>
      <c r="FZ522" s="549">
        <v>0</v>
      </c>
      <c r="GA522" s="675">
        <v>0</v>
      </c>
      <c r="GB522" s="549">
        <v>0</v>
      </c>
      <c r="GC522" s="675">
        <v>0</v>
      </c>
      <c r="GD522" s="549">
        <v>0</v>
      </c>
      <c r="GE522" s="675">
        <v>0</v>
      </c>
      <c r="GF522" s="549">
        <v>0</v>
      </c>
      <c r="GG522" s="675">
        <v>0</v>
      </c>
      <c r="GH522" s="549">
        <v>0</v>
      </c>
      <c r="GI522" s="675">
        <v>0</v>
      </c>
      <c r="GJ522" s="549">
        <v>0</v>
      </c>
      <c r="GK522" s="675">
        <v>0</v>
      </c>
      <c r="GL522" s="549">
        <v>0</v>
      </c>
      <c r="GM522" s="675">
        <v>0</v>
      </c>
      <c r="GN522" s="549">
        <v>0</v>
      </c>
      <c r="GO522" s="675">
        <v>0</v>
      </c>
      <c r="GP522" s="549">
        <f>+D522+F522+H522+J522+L522+N522+P522+R522+T522+V522+X522+Z522+AB522+AF522+AD522+AH522+AJ522+AL522+AN522+AP522+AR522+AT522+AV522+AX522+AZ522+BB522+BD522+BF522+BH522+BJ522+BL522+BN522+BP522+BR522+BT522+BV522+BX522+BZ522+CB522+CD522+CF522+CH522+CJ522+CL522+CN522+CP522+CR522+CT522+CV522+CX522+CZ522+DB522+DD522+DF522+DH522+DT522+EX522+DJ522+DL522+DN522+DP522+DR522+EJ522+EB522+DZ522+DX522+DV522+ED522+EF522+EH522+EL522+EN522+EP522+EV522+ET522+ER522+EZ522+FB522+FD522+GL522+FF522+FJ522+FL522+GJ522+FT522+FR522+FP522+FN522+FH522+GH522+GF522+GD522+GB522+FZ522+FX522+FV522+GN522</f>
        <v>10000</v>
      </c>
      <c r="GQ522" s="675">
        <f>+E522+G522+I522+K522+M522+O522+Q522+S522+U522+W522+Y522+AA522+AC522+AE522+AG522+AI522+AK522+AM522+AO522+AQ522+AS522+AU522+AW522+AY522+BA522+BC522+BE522+BG522+BI522+BK522+BM522+BO522+BQ522+BS522+BU522+BW522+BY522+CA522+CC522+CE522+CG522+CI522+CK522+CM522+CO522+CQ522+CS522+CU522+CW522+CY522+DA522+DC522+DE522+DG522+DI522+DU522+EY522+DK522+DM522+DO522+DQ522+DS522+EK522+EC522+EA522+DY522+DW522+EI522+EG522+EE522+EM522+EO522+EQ522+EW522+EU522+ES522+FA522+FC522+FE522+GM522+FG522+FK522+FM522+FO522+FQ522+FS522+FU522+GK522+FI522+GI522+GG522+GE522+GC522+GA522+FY522+FW522+GO522</f>
        <v>-45970</v>
      </c>
      <c r="GR522" s="74">
        <f>C522+GP522+GQ522</f>
        <v>39030</v>
      </c>
      <c r="GS522" s="74">
        <f>SUM(GU522:HD522)+GP522+GQ522</f>
        <v>39030</v>
      </c>
      <c r="GT522" s="568">
        <f>SUM(GU522:HF522)+GQ522+GP522</f>
        <v>39030</v>
      </c>
      <c r="GU522" s="275">
        <v>12500</v>
      </c>
      <c r="GV522" s="275">
        <v>12500</v>
      </c>
      <c r="GW522" s="275">
        <v>12500</v>
      </c>
      <c r="GX522" s="275">
        <v>12500</v>
      </c>
      <c r="GY522" s="275">
        <v>12500</v>
      </c>
      <c r="GZ522" s="275">
        <v>12500</v>
      </c>
      <c r="HA522" s="836"/>
      <c r="HB522" s="836"/>
      <c r="HC522" s="836"/>
      <c r="HD522" s="836"/>
      <c r="HE522" s="275"/>
      <c r="HF522" s="275"/>
      <c r="HG522" s="74">
        <f>SUM(HH522:IE522)</f>
        <v>39030</v>
      </c>
      <c r="HH522" s="89">
        <v>12500</v>
      </c>
      <c r="HI522" s="817">
        <v>0</v>
      </c>
      <c r="HJ522" s="89">
        <v>7500</v>
      </c>
      <c r="HK522" s="817">
        <v>0</v>
      </c>
      <c r="HL522" s="89">
        <v>12500</v>
      </c>
      <c r="HM522" s="817">
        <v>0</v>
      </c>
      <c r="HN522" s="89">
        <v>12500</v>
      </c>
      <c r="HO522" s="817">
        <v>0</v>
      </c>
      <c r="HP522" s="89">
        <v>-7500</v>
      </c>
      <c r="HQ522" s="817">
        <v>0</v>
      </c>
      <c r="HR522" s="89">
        <v>0</v>
      </c>
      <c r="HS522" s="817">
        <v>0</v>
      </c>
      <c r="HT522" s="837">
        <v>-7500</v>
      </c>
      <c r="HU522" s="817">
        <v>0</v>
      </c>
      <c r="HV522" s="89">
        <v>0</v>
      </c>
      <c r="HW522" s="817">
        <v>0</v>
      </c>
      <c r="HX522" s="89">
        <v>0</v>
      </c>
      <c r="HY522" s="817">
        <v>0</v>
      </c>
      <c r="HZ522" s="89">
        <f>39030-30000</f>
        <v>9030</v>
      </c>
      <c r="IA522" s="817">
        <v>0</v>
      </c>
      <c r="IB522" s="89">
        <v>0</v>
      </c>
      <c r="IC522" s="817">
        <v>0</v>
      </c>
      <c r="ID522" s="89">
        <v>0</v>
      </c>
      <c r="IE522" s="817">
        <v>0</v>
      </c>
      <c r="IF522" s="841">
        <f t="shared" ref="IF522" si="12483">SUM(II522,IL522,IO522,IR522,IU522,IX522,JA522,JD522,JG522,JJ522,JM522,JP522)</f>
        <v>28560.880000000001</v>
      </c>
      <c r="IG522" s="263">
        <f t="shared" ref="IG522" si="12484">SUM(IJ522,IM522,IP522,IS522,IV522,IY522,JB522,JE522,JH522,JK522,JN522,JQ522)</f>
        <v>28560.880000000001</v>
      </c>
      <c r="IH522" s="842">
        <f t="shared" ref="IH522" si="12485">SUM(IK522,IN522,IQ522,IT522,IW522,IZ522,JC522,JF522,JI522,JL522,JO522,JR522)</f>
        <v>28560.880000000001</v>
      </c>
      <c r="II522" s="89">
        <v>0</v>
      </c>
      <c r="IJ522" s="89">
        <f t="shared" ref="IJ522" si="12486">II522</f>
        <v>0</v>
      </c>
      <c r="IK522" s="89">
        <f t="shared" ref="IK522" si="12487">IJ522</f>
        <v>0</v>
      </c>
      <c r="IL522" s="89">
        <v>6886</v>
      </c>
      <c r="IM522" s="89">
        <f t="shared" ref="IM522" si="12488">IL522</f>
        <v>6886</v>
      </c>
      <c r="IN522" s="89">
        <f t="shared" ref="IN522" si="12489">IM522</f>
        <v>6886</v>
      </c>
      <c r="IO522" s="89">
        <f>7011.27-6886</f>
        <v>125.27000000000044</v>
      </c>
      <c r="IP522" s="89">
        <f t="shared" ref="IP522" si="12490">IO522</f>
        <v>125.27000000000044</v>
      </c>
      <c r="IQ522" s="89">
        <f t="shared" ref="IQ522" si="12491">IP522</f>
        <v>125.27000000000044</v>
      </c>
      <c r="IR522" s="89">
        <f>8977.41-7011.27</f>
        <v>1966.1399999999994</v>
      </c>
      <c r="IS522" s="89">
        <f t="shared" ref="IS522" si="12492">IR522</f>
        <v>1966.1399999999994</v>
      </c>
      <c r="IT522" s="89">
        <f t="shared" ref="IT522" si="12493">IS522</f>
        <v>1966.1399999999994</v>
      </c>
      <c r="IU522" s="89">
        <f>18477.69-8977.41</f>
        <v>9500.2799999999988</v>
      </c>
      <c r="IV522" s="89">
        <f t="shared" ref="IV522" si="12494">IU522</f>
        <v>9500.2799999999988</v>
      </c>
      <c r="IW522" s="89">
        <f t="shared" ref="IW522" si="12495">IV522</f>
        <v>9500.2799999999988</v>
      </c>
      <c r="IX522" s="89">
        <f>19476.69-18477.69</f>
        <v>999</v>
      </c>
      <c r="IY522" s="89">
        <f t="shared" ref="IY522" si="12496">IX522</f>
        <v>999</v>
      </c>
      <c r="IZ522" s="89">
        <f t="shared" ref="IZ522" si="12497">IY522</f>
        <v>999</v>
      </c>
      <c r="JA522" s="89">
        <f>25428.5-19476.69</f>
        <v>5951.8100000000013</v>
      </c>
      <c r="JB522" s="89">
        <f t="shared" ref="JB522" si="12498">JA522</f>
        <v>5951.8100000000013</v>
      </c>
      <c r="JC522" s="89">
        <f t="shared" ref="JC522" si="12499">JB522</f>
        <v>5951.8100000000013</v>
      </c>
      <c r="JD522" s="89">
        <f>27374.43-25428.5</f>
        <v>1945.9300000000003</v>
      </c>
      <c r="JE522" s="89">
        <f t="shared" ref="JE522" si="12500">JD522</f>
        <v>1945.9300000000003</v>
      </c>
      <c r="JF522" s="89">
        <f t="shared" ref="JF522" si="12501">JE522</f>
        <v>1945.9300000000003</v>
      </c>
      <c r="JG522" s="89">
        <f>28424.93-27374.43</f>
        <v>1050.5</v>
      </c>
      <c r="JH522" s="89">
        <f t="shared" ref="JH522" si="12502">JG522</f>
        <v>1050.5</v>
      </c>
      <c r="JI522" s="89">
        <f t="shared" ref="JI522" si="12503">JH522</f>
        <v>1050.5</v>
      </c>
      <c r="JJ522" s="89">
        <f>28560.88-28424.93</f>
        <v>135.95000000000073</v>
      </c>
      <c r="JK522" s="89">
        <f t="shared" ref="JK522" si="12504">JJ522</f>
        <v>135.95000000000073</v>
      </c>
      <c r="JL522" s="89">
        <f t="shared" ref="JL522" si="12505">JK522</f>
        <v>135.95000000000073</v>
      </c>
      <c r="JM522" s="89">
        <v>0</v>
      </c>
      <c r="JN522" s="89">
        <f t="shared" ref="JN522" si="12506">JM522</f>
        <v>0</v>
      </c>
      <c r="JO522" s="89">
        <f t="shared" ref="JO522" si="12507">JN522</f>
        <v>0</v>
      </c>
      <c r="JP522" s="89">
        <v>0</v>
      </c>
      <c r="JQ522" s="89">
        <f t="shared" ref="JQ522:JR522" si="12508">JP522</f>
        <v>0</v>
      </c>
      <c r="JR522" s="89">
        <f t="shared" si="12508"/>
        <v>0</v>
      </c>
      <c r="JS522" s="263">
        <f>HG522-IF522</f>
        <v>10469.119999999999</v>
      </c>
      <c r="JT522" s="382">
        <f>GS522-IF522</f>
        <v>10469.119999999999</v>
      </c>
      <c r="JU522" s="665"/>
      <c r="JV522" s="524"/>
      <c r="JW522" s="525"/>
      <c r="JX522" s="549">
        <f>SUM(HH522,HJ522,HL522,HN522,HP522,HR522,HT522,HV522,HX522,HZ522,IB522,ID522)</f>
        <v>39030</v>
      </c>
      <c r="JY522" s="549">
        <f>SUM(HI522,HK522,HM522,HO522,HQ522,HS522,HU522,HW522,HY522,IA522,IC522,IE522)</f>
        <v>0</v>
      </c>
      <c r="JZ522" s="581">
        <f t="shared" si="12201"/>
        <v>10000</v>
      </c>
      <c r="KA522" s="581">
        <f t="shared" si="12202"/>
        <v>-45970</v>
      </c>
      <c r="KB522" s="549">
        <f t="shared" si="12194"/>
        <v>39030</v>
      </c>
      <c r="KC522" s="709">
        <f t="shared" si="12200"/>
        <v>0</v>
      </c>
      <c r="KD522" s="36"/>
      <c r="KE522" s="36"/>
      <c r="KF522" s="36"/>
      <c r="KG522" s="36"/>
      <c r="KH522" s="36"/>
      <c r="KI522" s="36"/>
      <c r="KJ522" s="36"/>
      <c r="KK522" s="36"/>
    </row>
    <row r="523" spans="1:297" s="8" customFormat="1">
      <c r="A523" s="80"/>
      <c r="B523" s="72"/>
      <c r="C523" s="74"/>
      <c r="D523" s="549"/>
      <c r="E523" s="675"/>
      <c r="F523" s="549"/>
      <c r="G523" s="675"/>
      <c r="H523" s="549"/>
      <c r="I523" s="675"/>
      <c r="J523" s="549"/>
      <c r="K523" s="675"/>
      <c r="L523" s="549"/>
      <c r="M523" s="675"/>
      <c r="N523" s="549"/>
      <c r="O523" s="675"/>
      <c r="P523" s="549"/>
      <c r="Q523" s="675"/>
      <c r="R523" s="549"/>
      <c r="S523" s="675"/>
      <c r="T523" s="549"/>
      <c r="U523" s="675"/>
      <c r="V523" s="549"/>
      <c r="W523" s="675"/>
      <c r="X523" s="549"/>
      <c r="Y523" s="675"/>
      <c r="Z523" s="549"/>
      <c r="AA523" s="675"/>
      <c r="AB523" s="549"/>
      <c r="AC523" s="675"/>
      <c r="AD523" s="549"/>
      <c r="AE523" s="675"/>
      <c r="AF523" s="549"/>
      <c r="AG523" s="675"/>
      <c r="AH523" s="549"/>
      <c r="AI523" s="675"/>
      <c r="AJ523" s="549"/>
      <c r="AK523" s="675"/>
      <c r="AL523" s="549"/>
      <c r="AM523" s="675"/>
      <c r="AN523" s="549"/>
      <c r="AO523" s="675"/>
      <c r="AP523" s="549"/>
      <c r="AQ523" s="675"/>
      <c r="AR523" s="549"/>
      <c r="AS523" s="675"/>
      <c r="AT523" s="549"/>
      <c r="AU523" s="675"/>
      <c r="AV523" s="549"/>
      <c r="AW523" s="675"/>
      <c r="AX523" s="549"/>
      <c r="AY523" s="675"/>
      <c r="AZ523" s="549"/>
      <c r="BA523" s="675"/>
      <c r="BB523" s="549"/>
      <c r="BC523" s="675"/>
      <c r="BD523" s="549"/>
      <c r="BE523" s="675"/>
      <c r="BF523" s="549"/>
      <c r="BG523" s="675"/>
      <c r="BH523" s="549"/>
      <c r="BI523" s="675"/>
      <c r="BJ523" s="549"/>
      <c r="BK523" s="675"/>
      <c r="BL523" s="549"/>
      <c r="BM523" s="675"/>
      <c r="BN523" s="549"/>
      <c r="BO523" s="675"/>
      <c r="BP523" s="549"/>
      <c r="BQ523" s="675"/>
      <c r="BR523" s="549"/>
      <c r="BS523" s="675"/>
      <c r="BT523" s="549"/>
      <c r="BU523" s="675"/>
      <c r="BV523" s="549"/>
      <c r="BW523" s="675"/>
      <c r="BX523" s="549"/>
      <c r="BY523" s="675"/>
      <c r="BZ523" s="549"/>
      <c r="CA523" s="675"/>
      <c r="CB523" s="549"/>
      <c r="CC523" s="675"/>
      <c r="CD523" s="549"/>
      <c r="CE523" s="675"/>
      <c r="CF523" s="549"/>
      <c r="CG523" s="675"/>
      <c r="CH523" s="549"/>
      <c r="CI523" s="675"/>
      <c r="CJ523" s="549"/>
      <c r="CK523" s="675"/>
      <c r="CL523" s="549"/>
      <c r="CM523" s="675"/>
      <c r="CN523" s="549"/>
      <c r="CO523" s="675"/>
      <c r="CP523" s="549"/>
      <c r="CQ523" s="675"/>
      <c r="CR523" s="549"/>
      <c r="CS523" s="675"/>
      <c r="CT523" s="549"/>
      <c r="CU523" s="675"/>
      <c r="CV523" s="549"/>
      <c r="CW523" s="675"/>
      <c r="CX523" s="549"/>
      <c r="CY523" s="675"/>
      <c r="CZ523" s="549"/>
      <c r="DA523" s="675"/>
      <c r="DB523" s="549"/>
      <c r="DC523" s="675"/>
      <c r="DD523" s="549"/>
      <c r="DE523" s="675"/>
      <c r="DF523" s="549"/>
      <c r="DG523" s="675"/>
      <c r="DH523" s="549"/>
      <c r="DI523" s="675"/>
      <c r="DJ523" s="549"/>
      <c r="DK523" s="675"/>
      <c r="DL523" s="549"/>
      <c r="DM523" s="675"/>
      <c r="DN523" s="549"/>
      <c r="DO523" s="675"/>
      <c r="DP523" s="549"/>
      <c r="DQ523" s="675"/>
      <c r="DR523" s="549"/>
      <c r="DS523" s="675"/>
      <c r="DT523" s="549"/>
      <c r="DU523" s="675"/>
      <c r="DV523" s="549"/>
      <c r="DW523" s="675"/>
      <c r="DX523" s="549"/>
      <c r="DY523" s="675"/>
      <c r="DZ523" s="549"/>
      <c r="EA523" s="675"/>
      <c r="EB523" s="549"/>
      <c r="EC523" s="675"/>
      <c r="ED523" s="549"/>
      <c r="EE523" s="675"/>
      <c r="EF523" s="549"/>
      <c r="EG523" s="675"/>
      <c r="EH523" s="549"/>
      <c r="EI523" s="675"/>
      <c r="EJ523" s="549"/>
      <c r="EK523" s="675"/>
      <c r="EL523" s="549"/>
      <c r="EM523" s="675"/>
      <c r="EN523" s="549"/>
      <c r="EO523" s="675"/>
      <c r="EP523" s="549"/>
      <c r="EQ523" s="675"/>
      <c r="ER523" s="549"/>
      <c r="ES523" s="675"/>
      <c r="ET523" s="549"/>
      <c r="EU523" s="675"/>
      <c r="EV523" s="549"/>
      <c r="EW523" s="675"/>
      <c r="EX523" s="549"/>
      <c r="EY523" s="675"/>
      <c r="EZ523" s="549"/>
      <c r="FA523" s="675"/>
      <c r="FB523" s="549"/>
      <c r="FC523" s="675"/>
      <c r="FD523" s="549"/>
      <c r="FE523" s="675"/>
      <c r="FF523" s="549"/>
      <c r="FG523" s="675"/>
      <c r="FH523" s="549"/>
      <c r="FI523" s="675"/>
      <c r="FJ523" s="549"/>
      <c r="FK523" s="675"/>
      <c r="FL523" s="549"/>
      <c r="FM523" s="675"/>
      <c r="FN523" s="549"/>
      <c r="FO523" s="675"/>
      <c r="FP523" s="549"/>
      <c r="FQ523" s="675"/>
      <c r="FR523" s="549"/>
      <c r="FS523" s="675"/>
      <c r="FT523" s="549"/>
      <c r="FU523" s="675"/>
      <c r="FV523" s="549"/>
      <c r="FW523" s="675"/>
      <c r="FX523" s="549"/>
      <c r="FY523" s="675"/>
      <c r="FZ523" s="549"/>
      <c r="GA523" s="675"/>
      <c r="GB523" s="549"/>
      <c r="GC523" s="675"/>
      <c r="GD523" s="549"/>
      <c r="GE523" s="675"/>
      <c r="GF523" s="549"/>
      <c r="GG523" s="675"/>
      <c r="GH523" s="549"/>
      <c r="GI523" s="675"/>
      <c r="GJ523" s="549"/>
      <c r="GK523" s="675"/>
      <c r="GL523" s="549"/>
      <c r="GM523" s="675"/>
      <c r="GN523" s="549"/>
      <c r="GO523" s="675"/>
      <c r="GP523" s="549"/>
      <c r="GQ523" s="675"/>
      <c r="GR523" s="74"/>
      <c r="GS523" s="74"/>
      <c r="GT523" s="568"/>
      <c r="GU523" s="275"/>
      <c r="GV523" s="275"/>
      <c r="GW523" s="587"/>
      <c r="GX523" s="587"/>
      <c r="GY523" s="275"/>
      <c r="GZ523" s="275"/>
      <c r="HA523" s="275"/>
      <c r="HB523" s="275"/>
      <c r="HC523" s="275"/>
      <c r="HD523" s="275"/>
      <c r="HE523" s="275"/>
      <c r="HF523" s="275"/>
      <c r="HG523" s="74"/>
      <c r="HH523" s="89"/>
      <c r="HI523" s="817"/>
      <c r="HJ523" s="89"/>
      <c r="HK523" s="817"/>
      <c r="HL523" s="89"/>
      <c r="HM523" s="817"/>
      <c r="HN523" s="89"/>
      <c r="HO523" s="817"/>
      <c r="HP523" s="89"/>
      <c r="HQ523" s="817"/>
      <c r="HR523" s="89"/>
      <c r="HS523" s="817"/>
      <c r="HT523" s="89"/>
      <c r="HU523" s="817"/>
      <c r="HV523" s="89"/>
      <c r="HW523" s="817"/>
      <c r="HX523" s="89"/>
      <c r="HY523" s="817"/>
      <c r="HZ523" s="89"/>
      <c r="IA523" s="817"/>
      <c r="IB523" s="89"/>
      <c r="IC523" s="817"/>
      <c r="ID523" s="89"/>
      <c r="IE523" s="817"/>
      <c r="IF523" s="841"/>
      <c r="IG523" s="263"/>
      <c r="IH523" s="842"/>
      <c r="II523" s="89"/>
      <c r="IJ523" s="89"/>
      <c r="IK523" s="89"/>
      <c r="IL523" s="89"/>
      <c r="IM523" s="89"/>
      <c r="IN523" s="89"/>
      <c r="IO523" s="89"/>
      <c r="IP523" s="89"/>
      <c r="IQ523" s="89"/>
      <c r="IR523" s="89"/>
      <c r="IS523" s="89"/>
      <c r="IT523" s="89"/>
      <c r="IU523" s="89"/>
      <c r="IV523" s="89"/>
      <c r="IW523" s="89"/>
      <c r="IX523" s="89"/>
      <c r="IY523" s="89"/>
      <c r="IZ523" s="89"/>
      <c r="JA523" s="89"/>
      <c r="JB523" s="89"/>
      <c r="JC523" s="89"/>
      <c r="JD523" s="89"/>
      <c r="JE523" s="89"/>
      <c r="JF523" s="89"/>
      <c r="JG523" s="89"/>
      <c r="JH523" s="89"/>
      <c r="JI523" s="89"/>
      <c r="JJ523" s="89"/>
      <c r="JK523" s="89"/>
      <c r="JL523" s="89"/>
      <c r="JM523" s="89"/>
      <c r="JN523" s="89"/>
      <c r="JO523" s="89"/>
      <c r="JP523" s="89"/>
      <c r="JQ523" s="89"/>
      <c r="JR523" s="89"/>
      <c r="JS523" s="74"/>
      <c r="JT523" s="382"/>
      <c r="JU523" s="665"/>
      <c r="JV523" s="524"/>
      <c r="JW523" s="525"/>
      <c r="JX523" s="549"/>
      <c r="JY523" s="549"/>
      <c r="JZ523" s="581">
        <f t="shared" si="12201"/>
        <v>0</v>
      </c>
      <c r="KA523" s="581">
        <f t="shared" si="12202"/>
        <v>0</v>
      </c>
      <c r="KB523" s="549">
        <f t="shared" si="12194"/>
        <v>0</v>
      </c>
      <c r="KC523" s="709">
        <f t="shared" si="12200"/>
        <v>0</v>
      </c>
      <c r="KD523" s="36"/>
      <c r="KE523" s="36"/>
      <c r="KF523" s="36"/>
      <c r="KG523" s="36"/>
      <c r="KH523" s="36"/>
      <c r="KI523" s="36"/>
      <c r="KJ523" s="36"/>
      <c r="KK523" s="36"/>
    </row>
    <row r="524" spans="1:297" s="8" customFormat="1">
      <c r="A524" s="80" t="s">
        <v>465</v>
      </c>
      <c r="B524" s="559" t="s">
        <v>940</v>
      </c>
      <c r="C524" s="74">
        <v>100000</v>
      </c>
      <c r="D524" s="549">
        <v>0</v>
      </c>
      <c r="E524" s="675">
        <v>0</v>
      </c>
      <c r="F524" s="549">
        <v>0</v>
      </c>
      <c r="G524" s="675">
        <v>0</v>
      </c>
      <c r="H524" s="549">
        <v>0</v>
      </c>
      <c r="I524" s="675">
        <v>0</v>
      </c>
      <c r="J524" s="549">
        <v>0</v>
      </c>
      <c r="K524" s="675">
        <v>0</v>
      </c>
      <c r="L524" s="549">
        <v>0</v>
      </c>
      <c r="M524" s="675">
        <v>0</v>
      </c>
      <c r="N524" s="549">
        <v>0</v>
      </c>
      <c r="O524" s="675">
        <v>0</v>
      </c>
      <c r="P524" s="549">
        <v>0</v>
      </c>
      <c r="Q524" s="675">
        <v>0</v>
      </c>
      <c r="R524" s="549">
        <v>0</v>
      </c>
      <c r="S524" s="675">
        <v>0</v>
      </c>
      <c r="T524" s="549">
        <v>0</v>
      </c>
      <c r="U524" s="675">
        <v>0</v>
      </c>
      <c r="V524" s="549">
        <v>0</v>
      </c>
      <c r="W524" s="675">
        <v>0</v>
      </c>
      <c r="X524" s="549">
        <v>0</v>
      </c>
      <c r="Y524" s="675">
        <v>0</v>
      </c>
      <c r="Z524" s="549">
        <v>0</v>
      </c>
      <c r="AA524" s="675">
        <v>0</v>
      </c>
      <c r="AB524" s="549">
        <v>0</v>
      </c>
      <c r="AC524" s="675">
        <v>0</v>
      </c>
      <c r="AD524" s="549">
        <v>0</v>
      </c>
      <c r="AE524" s="675">
        <v>0</v>
      </c>
      <c r="AF524" s="549">
        <v>0</v>
      </c>
      <c r="AG524" s="675">
        <v>0</v>
      </c>
      <c r="AH524" s="549">
        <v>0</v>
      </c>
      <c r="AI524" s="675">
        <v>0</v>
      </c>
      <c r="AJ524" s="549">
        <v>0</v>
      </c>
      <c r="AK524" s="675">
        <v>0</v>
      </c>
      <c r="AL524" s="549">
        <v>0</v>
      </c>
      <c r="AM524" s="675">
        <v>0</v>
      </c>
      <c r="AN524" s="549">
        <v>0</v>
      </c>
      <c r="AO524" s="675">
        <v>0</v>
      </c>
      <c r="AP524" s="549">
        <v>0</v>
      </c>
      <c r="AQ524" s="675">
        <v>0</v>
      </c>
      <c r="AR524" s="549">
        <v>0</v>
      </c>
      <c r="AS524" s="675">
        <v>0</v>
      </c>
      <c r="AT524" s="549">
        <v>0</v>
      </c>
      <c r="AU524" s="675">
        <v>0</v>
      </c>
      <c r="AV524" s="549">
        <v>0</v>
      </c>
      <c r="AW524" s="675">
        <v>0</v>
      </c>
      <c r="AX524" s="549">
        <v>0</v>
      </c>
      <c r="AY524" s="675">
        <v>0</v>
      </c>
      <c r="AZ524" s="549">
        <v>0</v>
      </c>
      <c r="BA524" s="675">
        <v>0</v>
      </c>
      <c r="BB524" s="549">
        <v>0</v>
      </c>
      <c r="BC524" s="675">
        <v>0</v>
      </c>
      <c r="BD524" s="549">
        <v>0</v>
      </c>
      <c r="BE524" s="675">
        <v>-32000</v>
      </c>
      <c r="BF524" s="549">
        <v>0</v>
      </c>
      <c r="BG524" s="675">
        <v>0</v>
      </c>
      <c r="BH524" s="549">
        <v>0</v>
      </c>
      <c r="BI524" s="675">
        <v>0</v>
      </c>
      <c r="BJ524" s="549">
        <v>0</v>
      </c>
      <c r="BK524" s="675">
        <v>0</v>
      </c>
      <c r="BL524" s="549">
        <v>0</v>
      </c>
      <c r="BM524" s="675">
        <v>0</v>
      </c>
      <c r="BN524" s="549">
        <v>0</v>
      </c>
      <c r="BO524" s="675">
        <v>-5000</v>
      </c>
      <c r="BP524" s="549">
        <v>0</v>
      </c>
      <c r="BQ524" s="675">
        <v>0</v>
      </c>
      <c r="BR524" s="549">
        <v>0</v>
      </c>
      <c r="BS524" s="675">
        <v>0</v>
      </c>
      <c r="BT524" s="549">
        <v>0</v>
      </c>
      <c r="BU524" s="675">
        <v>0</v>
      </c>
      <c r="BV524" s="549">
        <v>0</v>
      </c>
      <c r="BW524" s="675">
        <v>0</v>
      </c>
      <c r="BX524" s="549">
        <v>0</v>
      </c>
      <c r="BY524" s="675">
        <v>0</v>
      </c>
      <c r="BZ524" s="549">
        <v>0</v>
      </c>
      <c r="CA524" s="675">
        <v>0</v>
      </c>
      <c r="CB524" s="549">
        <v>0</v>
      </c>
      <c r="CC524" s="675">
        <v>0</v>
      </c>
      <c r="CD524" s="549">
        <v>0</v>
      </c>
      <c r="CE524" s="675">
        <v>0</v>
      </c>
      <c r="CF524" s="549">
        <v>0</v>
      </c>
      <c r="CG524" s="675">
        <v>0</v>
      </c>
      <c r="CH524" s="549">
        <v>0</v>
      </c>
      <c r="CI524" s="675">
        <v>0</v>
      </c>
      <c r="CJ524" s="549">
        <v>0</v>
      </c>
      <c r="CK524" s="675">
        <v>-30000</v>
      </c>
      <c r="CL524" s="549">
        <v>0</v>
      </c>
      <c r="CM524" s="675">
        <v>0</v>
      </c>
      <c r="CN524" s="549">
        <v>0</v>
      </c>
      <c r="CO524" s="675">
        <v>0</v>
      </c>
      <c r="CP524" s="549">
        <v>0</v>
      </c>
      <c r="CQ524" s="675">
        <v>0</v>
      </c>
      <c r="CR524" s="549">
        <v>0</v>
      </c>
      <c r="CS524" s="675">
        <v>0</v>
      </c>
      <c r="CT524" s="549">
        <v>0</v>
      </c>
      <c r="CU524" s="675">
        <v>0</v>
      </c>
      <c r="CV524" s="549">
        <v>0</v>
      </c>
      <c r="CW524" s="675">
        <v>0</v>
      </c>
      <c r="CX524" s="549">
        <v>0</v>
      </c>
      <c r="CY524" s="675">
        <v>0</v>
      </c>
      <c r="CZ524" s="549">
        <v>0</v>
      </c>
      <c r="DA524" s="675">
        <v>0</v>
      </c>
      <c r="DB524" s="549">
        <v>0</v>
      </c>
      <c r="DC524" s="675">
        <v>0</v>
      </c>
      <c r="DD524" s="549">
        <v>0</v>
      </c>
      <c r="DE524" s="675">
        <v>0</v>
      </c>
      <c r="DF524" s="549">
        <v>0</v>
      </c>
      <c r="DG524" s="675">
        <v>0</v>
      </c>
      <c r="DH524" s="549">
        <v>5000</v>
      </c>
      <c r="DI524" s="675">
        <v>0</v>
      </c>
      <c r="DJ524" s="549">
        <v>0</v>
      </c>
      <c r="DK524" s="675">
        <v>0</v>
      </c>
      <c r="DL524" s="549">
        <v>0</v>
      </c>
      <c r="DM524" s="675">
        <v>0</v>
      </c>
      <c r="DN524" s="549">
        <v>0</v>
      </c>
      <c r="DO524" s="675">
        <v>0</v>
      </c>
      <c r="DP524" s="549">
        <v>0</v>
      </c>
      <c r="DQ524" s="675">
        <v>-2000</v>
      </c>
      <c r="DR524" s="549">
        <v>0</v>
      </c>
      <c r="DS524" s="675">
        <v>0</v>
      </c>
      <c r="DT524" s="549">
        <v>0</v>
      </c>
      <c r="DU524" s="675">
        <v>0</v>
      </c>
      <c r="DV524" s="549">
        <v>0</v>
      </c>
      <c r="DW524" s="675">
        <v>0</v>
      </c>
      <c r="DX524" s="549">
        <v>0</v>
      </c>
      <c r="DY524" s="675">
        <v>0</v>
      </c>
      <c r="DZ524" s="549">
        <v>0</v>
      </c>
      <c r="EA524" s="675">
        <v>0</v>
      </c>
      <c r="EB524" s="549">
        <v>0</v>
      </c>
      <c r="EC524" s="675">
        <v>0</v>
      </c>
      <c r="ED524" s="549">
        <v>0</v>
      </c>
      <c r="EE524" s="675">
        <v>0</v>
      </c>
      <c r="EF524" s="549">
        <v>0</v>
      </c>
      <c r="EG524" s="675">
        <v>0</v>
      </c>
      <c r="EH524" s="549">
        <v>0</v>
      </c>
      <c r="EI524" s="675">
        <v>0</v>
      </c>
      <c r="EJ524" s="549">
        <v>0</v>
      </c>
      <c r="EK524" s="675">
        <v>0</v>
      </c>
      <c r="EL524" s="549">
        <v>0</v>
      </c>
      <c r="EM524" s="675">
        <v>-500</v>
      </c>
      <c r="EN524" s="549">
        <v>0</v>
      </c>
      <c r="EO524" s="675">
        <v>0</v>
      </c>
      <c r="EP524" s="549">
        <v>0</v>
      </c>
      <c r="EQ524" s="675">
        <v>0</v>
      </c>
      <c r="ER524" s="549">
        <v>0</v>
      </c>
      <c r="ES524" s="675">
        <v>0</v>
      </c>
      <c r="ET524" s="549">
        <v>0</v>
      </c>
      <c r="EU524" s="675">
        <v>0</v>
      </c>
      <c r="EV524" s="549">
        <v>0</v>
      </c>
      <c r="EW524" s="675">
        <v>0</v>
      </c>
      <c r="EX524" s="549">
        <v>0</v>
      </c>
      <c r="EY524" s="675">
        <v>0</v>
      </c>
      <c r="EZ524" s="549">
        <v>0</v>
      </c>
      <c r="FA524" s="675">
        <v>0</v>
      </c>
      <c r="FB524" s="549">
        <v>0</v>
      </c>
      <c r="FC524" s="675">
        <v>0</v>
      </c>
      <c r="FD524" s="549">
        <v>0</v>
      </c>
      <c r="FE524" s="675">
        <v>0</v>
      </c>
      <c r="FF524" s="549">
        <v>0</v>
      </c>
      <c r="FG524" s="675">
        <v>0</v>
      </c>
      <c r="FH524" s="549">
        <v>0</v>
      </c>
      <c r="FI524" s="675">
        <v>0</v>
      </c>
      <c r="FJ524" s="549">
        <v>0</v>
      </c>
      <c r="FK524" s="675">
        <v>0</v>
      </c>
      <c r="FL524" s="549">
        <v>0</v>
      </c>
      <c r="FM524" s="675">
        <v>-690</v>
      </c>
      <c r="FN524" s="549">
        <v>0</v>
      </c>
      <c r="FO524" s="675">
        <v>0</v>
      </c>
      <c r="FP524" s="549">
        <v>0</v>
      </c>
      <c r="FQ524" s="675">
        <v>0</v>
      </c>
      <c r="FR524" s="549">
        <v>10000</v>
      </c>
      <c r="FS524" s="675">
        <v>0</v>
      </c>
      <c r="FT524" s="549">
        <v>0</v>
      </c>
      <c r="FU524" s="675">
        <v>0</v>
      </c>
      <c r="FV524" s="549">
        <v>0</v>
      </c>
      <c r="FW524" s="675">
        <v>0</v>
      </c>
      <c r="FX524" s="549">
        <v>0</v>
      </c>
      <c r="FY524" s="675">
        <v>0</v>
      </c>
      <c r="FZ524" s="549">
        <v>0</v>
      </c>
      <c r="GA524" s="675">
        <v>0</v>
      </c>
      <c r="GB524" s="549">
        <v>0</v>
      </c>
      <c r="GC524" s="675">
        <v>0</v>
      </c>
      <c r="GD524" s="549">
        <v>0</v>
      </c>
      <c r="GE524" s="675">
        <v>0</v>
      </c>
      <c r="GF524" s="549">
        <v>0</v>
      </c>
      <c r="GG524" s="675">
        <v>0</v>
      </c>
      <c r="GH524" s="549">
        <v>0</v>
      </c>
      <c r="GI524" s="675">
        <v>0</v>
      </c>
      <c r="GJ524" s="549">
        <v>0</v>
      </c>
      <c r="GK524" s="675">
        <v>0</v>
      </c>
      <c r="GL524" s="549">
        <v>0</v>
      </c>
      <c r="GM524" s="675">
        <v>0</v>
      </c>
      <c r="GN524" s="549">
        <v>0</v>
      </c>
      <c r="GO524" s="675">
        <v>0</v>
      </c>
      <c r="GP524" s="549">
        <f>+D524+F524+H524+J524+L524+N524+P524+R524+T524+V524+X524+Z524+AB524+AF524+AD524+AH524+AJ524+AL524+AN524+AP524+AR524+AT524+AV524+AX524+AZ524+BB524+BD524+BF524+BH524+BJ524+BL524+BN524+BP524+BR524+BT524+BV524+BX524+BZ524+CB524+CD524+CF524+CH524+CJ524+CL524+CN524+CP524+CR524+CT524+CV524+CX524+CZ524+DB524+DD524+DF524+DH524+DT524+EX524+DJ524+DL524+DN524+DP524+DR524+EJ524+EB524+DZ524+DX524+DV524+ED524+EF524+EH524+EL524+EN524+EP524+EV524+ET524+ER524+EZ524+FB524+FD524+GL524+FF524+FJ524+FL524+GJ524+FT524+FR524+FP524+FN524+FH524+GH524+GF524+GD524+GB524+FZ524+FX524+FV524+GN524</f>
        <v>15000</v>
      </c>
      <c r="GQ524" s="675">
        <f>+E524+G524+I524+K524+M524+O524+Q524+S524+U524+W524+Y524+AA524+AC524+AE524+AG524+AI524+AK524+AM524+AO524+AQ524+AS524+AU524+AW524+AY524+BA524+BC524+BE524+BG524+BI524+BK524+BM524+BO524+BQ524+BS524+BU524+BW524+BY524+CA524+CC524+CE524+CG524+CI524+CK524+CM524+CO524+CQ524+CS524+CU524+CW524+CY524+DA524+DC524+DE524+DG524+DI524+DU524+EY524+DK524+DM524+DO524+DQ524+DS524+EK524+EC524+EA524+DY524+DW524+EI524+EG524+EE524+EM524+EO524+EQ524+EW524+EU524+ES524+FA524+FC524+FE524+GM524+FG524+FK524+FM524+FO524+FQ524+FS524+FU524+GK524+FI524+GI524+GG524+GE524+GC524+GA524+FY524+FW524+GO524</f>
        <v>-70190</v>
      </c>
      <c r="GR524" s="74">
        <f>C524+GP524+GQ524</f>
        <v>44810</v>
      </c>
      <c r="GS524" s="74">
        <f>SUM(GU524:HD524)+GP524+GQ524</f>
        <v>44810</v>
      </c>
      <c r="GT524" s="568">
        <f>SUM(GU524:HF524)+GQ524+GP524</f>
        <v>44810</v>
      </c>
      <c r="GU524" s="275">
        <v>20000</v>
      </c>
      <c r="GV524" s="275">
        <v>20000</v>
      </c>
      <c r="GW524" s="275">
        <v>15000</v>
      </c>
      <c r="GX524" s="275">
        <v>15000</v>
      </c>
      <c r="GY524" s="275">
        <v>15000</v>
      </c>
      <c r="GZ524" s="275">
        <v>15000</v>
      </c>
      <c r="HA524" s="836"/>
      <c r="HB524" s="836"/>
      <c r="HC524" s="836"/>
      <c r="HD524" s="836"/>
      <c r="HE524" s="275"/>
      <c r="HF524" s="275"/>
      <c r="HG524" s="74">
        <f>SUM(HH524:IE524)</f>
        <v>44810</v>
      </c>
      <c r="HH524" s="89">
        <v>20000</v>
      </c>
      <c r="HI524" s="817">
        <v>0</v>
      </c>
      <c r="HJ524" s="89">
        <v>20000</v>
      </c>
      <c r="HK524" s="817">
        <v>0</v>
      </c>
      <c r="HL524" s="89">
        <v>15000</v>
      </c>
      <c r="HM524" s="817">
        <v>0</v>
      </c>
      <c r="HN524" s="89">
        <v>14000</v>
      </c>
      <c r="HO524" s="817">
        <v>0</v>
      </c>
      <c r="HP524" s="89">
        <v>-21000</v>
      </c>
      <c r="HQ524" s="817">
        <v>0</v>
      </c>
      <c r="HR524" s="89">
        <v>0</v>
      </c>
      <c r="HS524" s="817">
        <v>0</v>
      </c>
      <c r="HT524" s="89">
        <v>-15000</v>
      </c>
      <c r="HU524" s="817">
        <v>0</v>
      </c>
      <c r="HV524" s="89">
        <v>2000</v>
      </c>
      <c r="HW524" s="817">
        <v>0</v>
      </c>
      <c r="HX524" s="89">
        <v>0</v>
      </c>
      <c r="HY524" s="817">
        <v>0</v>
      </c>
      <c r="HZ524" s="89">
        <f>44810-35000</f>
        <v>9810</v>
      </c>
      <c r="IA524" s="817">
        <v>0</v>
      </c>
      <c r="IB524" s="89">
        <v>0</v>
      </c>
      <c r="IC524" s="817">
        <v>0</v>
      </c>
      <c r="ID524" s="89">
        <v>0</v>
      </c>
      <c r="IE524" s="817">
        <v>0</v>
      </c>
      <c r="IF524" s="841">
        <f t="shared" ref="IF524" si="12509">SUM(II524,IL524,IO524,IR524,IU524,IX524,JA524,JD524,JG524,JJ524,JM524,JP524)</f>
        <v>32900.25</v>
      </c>
      <c r="IG524" s="263">
        <f t="shared" ref="IG524" si="12510">SUM(IJ524,IM524,IP524,IS524,IV524,IY524,JB524,JE524,JH524,JK524,JN524,JQ524)</f>
        <v>32900.25</v>
      </c>
      <c r="IH524" s="842">
        <f t="shared" ref="IH524" si="12511">SUM(IK524,IN524,IQ524,IT524,IW524,IZ524,JC524,JF524,JI524,JL524,JO524,JR524)</f>
        <v>32900.25</v>
      </c>
      <c r="II524" s="89">
        <v>0</v>
      </c>
      <c r="IJ524" s="89">
        <f t="shared" ref="IJ524" si="12512">II524</f>
        <v>0</v>
      </c>
      <c r="IK524" s="89">
        <f t="shared" ref="IK524" si="12513">IJ524</f>
        <v>0</v>
      </c>
      <c r="IL524" s="89">
        <v>189.95</v>
      </c>
      <c r="IM524" s="89">
        <f t="shared" ref="IM524" si="12514">IL524</f>
        <v>189.95</v>
      </c>
      <c r="IN524" s="89">
        <f t="shared" ref="IN524" si="12515">IM524</f>
        <v>189.95</v>
      </c>
      <c r="IO524" s="89">
        <v>0</v>
      </c>
      <c r="IP524" s="89">
        <f t="shared" ref="IP524" si="12516">IO524</f>
        <v>0</v>
      </c>
      <c r="IQ524" s="89">
        <f t="shared" ref="IQ524" si="12517">IP524</f>
        <v>0</v>
      </c>
      <c r="IR524" s="89">
        <f>749.95-189.95</f>
        <v>560</v>
      </c>
      <c r="IS524" s="89">
        <f t="shared" ref="IS524" si="12518">IR524</f>
        <v>560</v>
      </c>
      <c r="IT524" s="89">
        <f t="shared" ref="IT524" si="12519">IS524</f>
        <v>560</v>
      </c>
      <c r="IU524" s="89">
        <f>4304.3-749.95</f>
        <v>3554.3500000000004</v>
      </c>
      <c r="IV524" s="89">
        <f t="shared" ref="IV524" si="12520">IU524</f>
        <v>3554.3500000000004</v>
      </c>
      <c r="IW524" s="89">
        <f t="shared" ref="IW524" si="12521">IV524</f>
        <v>3554.3500000000004</v>
      </c>
      <c r="IX524" s="89">
        <f>10896.14-4304.3</f>
        <v>6591.8399999999992</v>
      </c>
      <c r="IY524" s="89">
        <f t="shared" ref="IY524" si="12522">IX524</f>
        <v>6591.8399999999992</v>
      </c>
      <c r="IZ524" s="89">
        <f t="shared" ref="IZ524" si="12523">IY524</f>
        <v>6591.8399999999992</v>
      </c>
      <c r="JA524" s="89">
        <f>20213.44-10896.14</f>
        <v>9317.2999999999993</v>
      </c>
      <c r="JB524" s="89">
        <f t="shared" ref="JB524" si="12524">JA524</f>
        <v>9317.2999999999993</v>
      </c>
      <c r="JC524" s="89">
        <f t="shared" ref="JC524" si="12525">JB524</f>
        <v>9317.2999999999993</v>
      </c>
      <c r="JD524" s="89">
        <f>32314.27-20213.44</f>
        <v>12100.830000000002</v>
      </c>
      <c r="JE524" s="89">
        <f t="shared" ref="JE524" si="12526">JD524</f>
        <v>12100.830000000002</v>
      </c>
      <c r="JF524" s="89">
        <f t="shared" ref="JF524" si="12527">JE524</f>
        <v>12100.830000000002</v>
      </c>
      <c r="JG524" s="89">
        <f>32791.26-32314.27</f>
        <v>476.9900000000016</v>
      </c>
      <c r="JH524" s="89">
        <f t="shared" ref="JH524" si="12528">JG524</f>
        <v>476.9900000000016</v>
      </c>
      <c r="JI524" s="89">
        <f t="shared" ref="JI524" si="12529">JH524</f>
        <v>476.9900000000016</v>
      </c>
      <c r="JJ524" s="89">
        <f>32900.25-32791.26</f>
        <v>108.98999999999796</v>
      </c>
      <c r="JK524" s="89">
        <f t="shared" ref="JK524" si="12530">JJ524</f>
        <v>108.98999999999796</v>
      </c>
      <c r="JL524" s="89">
        <f t="shared" ref="JL524" si="12531">JK524</f>
        <v>108.98999999999796</v>
      </c>
      <c r="JM524" s="89">
        <v>0</v>
      </c>
      <c r="JN524" s="89">
        <f t="shared" ref="JN524" si="12532">JM524</f>
        <v>0</v>
      </c>
      <c r="JO524" s="89">
        <f t="shared" ref="JO524" si="12533">JN524</f>
        <v>0</v>
      </c>
      <c r="JP524" s="89">
        <v>0</v>
      </c>
      <c r="JQ524" s="89">
        <f t="shared" ref="JQ524:JR524" si="12534">JP524</f>
        <v>0</v>
      </c>
      <c r="JR524" s="89">
        <f t="shared" si="12534"/>
        <v>0</v>
      </c>
      <c r="JS524" s="74">
        <f>HG524-IF524</f>
        <v>11909.75</v>
      </c>
      <c r="JT524" s="382">
        <f>GS524-IF524</f>
        <v>11909.75</v>
      </c>
      <c r="JU524" s="665"/>
      <c r="JV524" s="524"/>
      <c r="JW524" s="525"/>
      <c r="JX524" s="549">
        <f>SUM(HH524,HJ524,HL524,HN524,HP524,HR524,HT524,HV524,HX524,HZ524,IB524,ID524)</f>
        <v>44810</v>
      </c>
      <c r="JY524" s="549">
        <f>SUM(HI524,HK524,HM524,HO524,HQ524,HS524,HU524,HW524,HY524,IA524,IC524,IE524)</f>
        <v>0</v>
      </c>
      <c r="JZ524" s="581">
        <f t="shared" si="12201"/>
        <v>15000</v>
      </c>
      <c r="KA524" s="581">
        <f t="shared" si="12202"/>
        <v>-70190</v>
      </c>
      <c r="KB524" s="549">
        <f t="shared" si="12194"/>
        <v>44810</v>
      </c>
      <c r="KC524" s="709">
        <f t="shared" si="12200"/>
        <v>0</v>
      </c>
      <c r="KD524" s="36"/>
      <c r="KE524" s="36"/>
      <c r="KF524" s="36"/>
      <c r="KG524" s="36"/>
      <c r="KH524" s="36"/>
      <c r="KI524" s="36"/>
      <c r="KJ524" s="36"/>
      <c r="KK524" s="36"/>
    </row>
    <row r="525" spans="1:297" s="8" customFormat="1">
      <c r="A525" s="80"/>
      <c r="B525" s="72"/>
      <c r="C525" s="74"/>
      <c r="D525" s="549"/>
      <c r="E525" s="675"/>
      <c r="F525" s="549"/>
      <c r="G525" s="675"/>
      <c r="H525" s="549"/>
      <c r="I525" s="675"/>
      <c r="J525" s="549"/>
      <c r="K525" s="675"/>
      <c r="L525" s="549"/>
      <c r="M525" s="675"/>
      <c r="N525" s="549"/>
      <c r="O525" s="675"/>
      <c r="P525" s="549"/>
      <c r="Q525" s="675"/>
      <c r="R525" s="549"/>
      <c r="S525" s="675"/>
      <c r="T525" s="549"/>
      <c r="U525" s="675"/>
      <c r="V525" s="549"/>
      <c r="W525" s="675"/>
      <c r="X525" s="549"/>
      <c r="Y525" s="675"/>
      <c r="Z525" s="549"/>
      <c r="AA525" s="675"/>
      <c r="AB525" s="549"/>
      <c r="AC525" s="675"/>
      <c r="AD525" s="549"/>
      <c r="AE525" s="675"/>
      <c r="AF525" s="549"/>
      <c r="AG525" s="675"/>
      <c r="AH525" s="549"/>
      <c r="AI525" s="675"/>
      <c r="AJ525" s="549"/>
      <c r="AK525" s="675"/>
      <c r="AL525" s="549"/>
      <c r="AM525" s="675"/>
      <c r="AN525" s="549"/>
      <c r="AO525" s="675"/>
      <c r="AP525" s="549"/>
      <c r="AQ525" s="675"/>
      <c r="AR525" s="549"/>
      <c r="AS525" s="675"/>
      <c r="AT525" s="549"/>
      <c r="AU525" s="675"/>
      <c r="AV525" s="549"/>
      <c r="AW525" s="675"/>
      <c r="AX525" s="549"/>
      <c r="AY525" s="675"/>
      <c r="AZ525" s="549"/>
      <c r="BA525" s="675"/>
      <c r="BB525" s="549"/>
      <c r="BC525" s="675"/>
      <c r="BD525" s="549"/>
      <c r="BE525" s="675"/>
      <c r="BF525" s="549"/>
      <c r="BG525" s="675"/>
      <c r="BH525" s="549"/>
      <c r="BI525" s="675"/>
      <c r="BJ525" s="549"/>
      <c r="BK525" s="675"/>
      <c r="BL525" s="549"/>
      <c r="BM525" s="675"/>
      <c r="BN525" s="549"/>
      <c r="BO525" s="675"/>
      <c r="BP525" s="549"/>
      <c r="BQ525" s="675"/>
      <c r="BR525" s="549"/>
      <c r="BS525" s="675"/>
      <c r="BT525" s="549"/>
      <c r="BU525" s="675"/>
      <c r="BV525" s="549"/>
      <c r="BW525" s="675"/>
      <c r="BX525" s="549"/>
      <c r="BY525" s="675"/>
      <c r="BZ525" s="549"/>
      <c r="CA525" s="675"/>
      <c r="CB525" s="549"/>
      <c r="CC525" s="675"/>
      <c r="CD525" s="549"/>
      <c r="CE525" s="675"/>
      <c r="CF525" s="549"/>
      <c r="CG525" s="675"/>
      <c r="CH525" s="549"/>
      <c r="CI525" s="675"/>
      <c r="CJ525" s="549"/>
      <c r="CK525" s="675"/>
      <c r="CL525" s="549"/>
      <c r="CM525" s="675"/>
      <c r="CN525" s="549"/>
      <c r="CO525" s="675"/>
      <c r="CP525" s="549"/>
      <c r="CQ525" s="675"/>
      <c r="CR525" s="549"/>
      <c r="CS525" s="675"/>
      <c r="CT525" s="549"/>
      <c r="CU525" s="675"/>
      <c r="CV525" s="549"/>
      <c r="CW525" s="675"/>
      <c r="CX525" s="549"/>
      <c r="CY525" s="675"/>
      <c r="CZ525" s="549"/>
      <c r="DA525" s="675"/>
      <c r="DB525" s="549"/>
      <c r="DC525" s="675"/>
      <c r="DD525" s="549"/>
      <c r="DE525" s="675"/>
      <c r="DF525" s="549"/>
      <c r="DG525" s="675"/>
      <c r="DH525" s="549"/>
      <c r="DI525" s="675"/>
      <c r="DJ525" s="549"/>
      <c r="DK525" s="675"/>
      <c r="DL525" s="549"/>
      <c r="DM525" s="675"/>
      <c r="DN525" s="549"/>
      <c r="DO525" s="675"/>
      <c r="DP525" s="549"/>
      <c r="DQ525" s="675"/>
      <c r="DR525" s="549"/>
      <c r="DS525" s="675"/>
      <c r="DT525" s="549"/>
      <c r="DU525" s="675"/>
      <c r="DV525" s="549"/>
      <c r="DW525" s="675"/>
      <c r="DX525" s="549"/>
      <c r="DY525" s="675"/>
      <c r="DZ525" s="549"/>
      <c r="EA525" s="675"/>
      <c r="EB525" s="549"/>
      <c r="EC525" s="675"/>
      <c r="ED525" s="549"/>
      <c r="EE525" s="675"/>
      <c r="EF525" s="549"/>
      <c r="EG525" s="675"/>
      <c r="EH525" s="549"/>
      <c r="EI525" s="675"/>
      <c r="EJ525" s="549"/>
      <c r="EK525" s="675"/>
      <c r="EL525" s="549"/>
      <c r="EM525" s="675"/>
      <c r="EN525" s="549"/>
      <c r="EO525" s="675"/>
      <c r="EP525" s="549"/>
      <c r="EQ525" s="675"/>
      <c r="ER525" s="549"/>
      <c r="ES525" s="675"/>
      <c r="ET525" s="549"/>
      <c r="EU525" s="675"/>
      <c r="EV525" s="549"/>
      <c r="EW525" s="675"/>
      <c r="EX525" s="549"/>
      <c r="EY525" s="675"/>
      <c r="EZ525" s="549"/>
      <c r="FA525" s="675"/>
      <c r="FB525" s="549"/>
      <c r="FC525" s="675"/>
      <c r="FD525" s="549"/>
      <c r="FE525" s="675"/>
      <c r="FF525" s="549"/>
      <c r="FG525" s="675"/>
      <c r="FH525" s="549"/>
      <c r="FI525" s="675"/>
      <c r="FJ525" s="549"/>
      <c r="FK525" s="675"/>
      <c r="FL525" s="549"/>
      <c r="FM525" s="675"/>
      <c r="FN525" s="549"/>
      <c r="FO525" s="675"/>
      <c r="FP525" s="549"/>
      <c r="FQ525" s="675"/>
      <c r="FR525" s="549"/>
      <c r="FS525" s="675"/>
      <c r="FT525" s="549"/>
      <c r="FU525" s="675"/>
      <c r="FV525" s="549"/>
      <c r="FW525" s="675"/>
      <c r="FX525" s="549"/>
      <c r="FY525" s="675"/>
      <c r="FZ525" s="549"/>
      <c r="GA525" s="675"/>
      <c r="GB525" s="549"/>
      <c r="GC525" s="675"/>
      <c r="GD525" s="549"/>
      <c r="GE525" s="675"/>
      <c r="GF525" s="549"/>
      <c r="GG525" s="675"/>
      <c r="GH525" s="549"/>
      <c r="GI525" s="675"/>
      <c r="GJ525" s="549"/>
      <c r="GK525" s="675"/>
      <c r="GL525" s="549"/>
      <c r="GM525" s="675"/>
      <c r="GN525" s="549"/>
      <c r="GO525" s="675"/>
      <c r="GP525" s="549"/>
      <c r="GQ525" s="675"/>
      <c r="GR525" s="74"/>
      <c r="GS525" s="74"/>
      <c r="GT525" s="568"/>
      <c r="GU525" s="275"/>
      <c r="GV525" s="275"/>
      <c r="GW525" s="587"/>
      <c r="GX525" s="587"/>
      <c r="GY525" s="275"/>
      <c r="GZ525" s="275"/>
      <c r="HA525" s="275"/>
      <c r="HB525" s="275"/>
      <c r="HC525" s="275"/>
      <c r="HD525" s="275"/>
      <c r="HE525" s="275"/>
      <c r="HF525" s="275"/>
      <c r="HG525" s="74"/>
      <c r="HH525" s="89"/>
      <c r="HI525" s="817"/>
      <c r="HJ525" s="89"/>
      <c r="HK525" s="817"/>
      <c r="HL525" s="89"/>
      <c r="HM525" s="817"/>
      <c r="HN525" s="89"/>
      <c r="HO525" s="817"/>
      <c r="HP525" s="89"/>
      <c r="HQ525" s="817"/>
      <c r="HR525" s="89"/>
      <c r="HS525" s="817"/>
      <c r="HT525" s="89"/>
      <c r="HU525" s="817"/>
      <c r="HV525" s="89"/>
      <c r="HW525" s="817"/>
      <c r="HX525" s="89"/>
      <c r="HY525" s="817"/>
      <c r="HZ525" s="89"/>
      <c r="IA525" s="817"/>
      <c r="IB525" s="89"/>
      <c r="IC525" s="817"/>
      <c r="ID525" s="89"/>
      <c r="IE525" s="817"/>
      <c r="IF525" s="841"/>
      <c r="IG525" s="263"/>
      <c r="IH525" s="842"/>
      <c r="II525" s="89"/>
      <c r="IJ525" s="89"/>
      <c r="IK525" s="89"/>
      <c r="IL525" s="89"/>
      <c r="IM525" s="89"/>
      <c r="IN525" s="89"/>
      <c r="IO525" s="89"/>
      <c r="IP525" s="89"/>
      <c r="IQ525" s="89"/>
      <c r="IR525" s="89"/>
      <c r="IS525" s="89"/>
      <c r="IT525" s="89"/>
      <c r="IU525" s="89"/>
      <c r="IV525" s="89"/>
      <c r="IW525" s="89"/>
      <c r="IX525" s="89"/>
      <c r="IY525" s="89"/>
      <c r="IZ525" s="89"/>
      <c r="JA525" s="89"/>
      <c r="JB525" s="89"/>
      <c r="JC525" s="89"/>
      <c r="JD525" s="89"/>
      <c r="JE525" s="89"/>
      <c r="JF525" s="89"/>
      <c r="JG525" s="89"/>
      <c r="JH525" s="89"/>
      <c r="JI525" s="89"/>
      <c r="JJ525" s="89"/>
      <c r="JK525" s="89"/>
      <c r="JL525" s="89"/>
      <c r="JM525" s="89"/>
      <c r="JN525" s="89"/>
      <c r="JO525" s="89"/>
      <c r="JP525" s="89"/>
      <c r="JQ525" s="89"/>
      <c r="JR525" s="89"/>
      <c r="JS525" s="74"/>
      <c r="JT525" s="382"/>
      <c r="JU525" s="665"/>
      <c r="JV525" s="524"/>
      <c r="JW525" s="525"/>
      <c r="JX525" s="549"/>
      <c r="JY525" s="549"/>
      <c r="JZ525" s="581">
        <f t="shared" si="12201"/>
        <v>0</v>
      </c>
      <c r="KA525" s="581">
        <f t="shared" si="12202"/>
        <v>0</v>
      </c>
      <c r="KB525" s="549">
        <f t="shared" si="12194"/>
        <v>0</v>
      </c>
      <c r="KC525" s="709">
        <f t="shared" si="12200"/>
        <v>0</v>
      </c>
      <c r="KD525" s="36"/>
      <c r="KE525" s="36"/>
      <c r="KF525" s="36"/>
      <c r="KG525" s="36"/>
      <c r="KH525" s="36"/>
      <c r="KI525" s="36"/>
      <c r="KJ525" s="36"/>
      <c r="KK525" s="36"/>
    </row>
    <row r="526" spans="1:297" s="8" customFormat="1" ht="12.75" hidden="1" customHeight="1">
      <c r="A526" s="80" t="s">
        <v>800</v>
      </c>
      <c r="B526" s="72"/>
      <c r="C526" s="74">
        <f t="shared" ref="C526" si="12535">SUM(C527:C528)</f>
        <v>0</v>
      </c>
      <c r="D526" s="549">
        <f t="shared" ref="D526:E526" si="12536">SUM(D527:D528)</f>
        <v>0</v>
      </c>
      <c r="E526" s="675">
        <f t="shared" si="12536"/>
        <v>0</v>
      </c>
      <c r="F526" s="549">
        <f t="shared" ref="F526:G526" si="12537">SUM(F527:F528)</f>
        <v>0</v>
      </c>
      <c r="G526" s="675">
        <f t="shared" si="12537"/>
        <v>0</v>
      </c>
      <c r="H526" s="549">
        <f t="shared" ref="H526:I526" si="12538">SUM(H527:H528)</f>
        <v>0</v>
      </c>
      <c r="I526" s="675">
        <f t="shared" si="12538"/>
        <v>0</v>
      </c>
      <c r="J526" s="549">
        <f t="shared" ref="J526:K526" si="12539">SUM(J527:J528)</f>
        <v>0</v>
      </c>
      <c r="K526" s="675">
        <f t="shared" si="12539"/>
        <v>0</v>
      </c>
      <c r="L526" s="549">
        <f t="shared" ref="L526:M526" si="12540">SUM(L527:L528)</f>
        <v>0</v>
      </c>
      <c r="M526" s="675">
        <f t="shared" si="12540"/>
        <v>0</v>
      </c>
      <c r="N526" s="549">
        <f t="shared" ref="N526:O526" si="12541">SUM(N527:N528)</f>
        <v>0</v>
      </c>
      <c r="O526" s="675">
        <f t="shared" si="12541"/>
        <v>0</v>
      </c>
      <c r="P526" s="549">
        <f t="shared" ref="P526:Q526" si="12542">SUM(P527:P528)</f>
        <v>0</v>
      </c>
      <c r="Q526" s="675">
        <f t="shared" si="12542"/>
        <v>0</v>
      </c>
      <c r="R526" s="549">
        <f t="shared" ref="R526:S526" si="12543">SUM(R527:R528)</f>
        <v>0</v>
      </c>
      <c r="S526" s="675">
        <f t="shared" si="12543"/>
        <v>0</v>
      </c>
      <c r="T526" s="549">
        <f t="shared" ref="T526:AM526" si="12544">SUM(T527:T528)</f>
        <v>0</v>
      </c>
      <c r="U526" s="675">
        <f t="shared" si="12544"/>
        <v>0</v>
      </c>
      <c r="V526" s="549">
        <f t="shared" si="12544"/>
        <v>0</v>
      </c>
      <c r="W526" s="675">
        <f t="shared" si="12544"/>
        <v>0</v>
      </c>
      <c r="X526" s="549">
        <f t="shared" si="12544"/>
        <v>0</v>
      </c>
      <c r="Y526" s="675">
        <f t="shared" si="12544"/>
        <v>0</v>
      </c>
      <c r="Z526" s="549">
        <f t="shared" si="12544"/>
        <v>0</v>
      </c>
      <c r="AA526" s="675">
        <f t="shared" si="12544"/>
        <v>0</v>
      </c>
      <c r="AB526" s="549">
        <f t="shared" si="12544"/>
        <v>0</v>
      </c>
      <c r="AC526" s="675">
        <f t="shared" si="12544"/>
        <v>0</v>
      </c>
      <c r="AD526" s="549">
        <f t="shared" ref="AD526:AK526" si="12545">SUM(AD527:AD528)</f>
        <v>0</v>
      </c>
      <c r="AE526" s="675">
        <f t="shared" si="12545"/>
        <v>0</v>
      </c>
      <c r="AF526" s="549">
        <f t="shared" si="12545"/>
        <v>0</v>
      </c>
      <c r="AG526" s="675">
        <f t="shared" si="12545"/>
        <v>0</v>
      </c>
      <c r="AH526" s="549">
        <f t="shared" si="12545"/>
        <v>0</v>
      </c>
      <c r="AI526" s="675">
        <f t="shared" si="12545"/>
        <v>0</v>
      </c>
      <c r="AJ526" s="549">
        <f t="shared" si="12545"/>
        <v>0</v>
      </c>
      <c r="AK526" s="675">
        <f t="shared" si="12545"/>
        <v>0</v>
      </c>
      <c r="AL526" s="549">
        <f t="shared" si="12544"/>
        <v>0</v>
      </c>
      <c r="AM526" s="675">
        <f t="shared" si="12544"/>
        <v>0</v>
      </c>
      <c r="AN526" s="549">
        <f t="shared" ref="AN526:AS526" si="12546">SUM(AN527:AN528)</f>
        <v>0</v>
      </c>
      <c r="AO526" s="675">
        <f t="shared" si="12546"/>
        <v>0</v>
      </c>
      <c r="AP526" s="549">
        <f t="shared" si="12546"/>
        <v>0</v>
      </c>
      <c r="AQ526" s="675">
        <f t="shared" si="12546"/>
        <v>0</v>
      </c>
      <c r="AR526" s="549">
        <f t="shared" si="12546"/>
        <v>0</v>
      </c>
      <c r="AS526" s="675">
        <f t="shared" si="12546"/>
        <v>0</v>
      </c>
      <c r="AT526" s="549">
        <f t="shared" ref="AT526:AU526" si="12547">SUM(AT527:AT528)</f>
        <v>0</v>
      </c>
      <c r="AU526" s="675">
        <f t="shared" si="12547"/>
        <v>0</v>
      </c>
      <c r="AV526" s="549">
        <f t="shared" ref="AV526:AW526" si="12548">SUM(AV527:AV528)</f>
        <v>0</v>
      </c>
      <c r="AW526" s="675">
        <f t="shared" si="12548"/>
        <v>0</v>
      </c>
      <c r="AX526" s="549">
        <f t="shared" ref="AX526:AY526" si="12549">SUM(AX527:AX528)</f>
        <v>0</v>
      </c>
      <c r="AY526" s="675">
        <f t="shared" si="12549"/>
        <v>0</v>
      </c>
      <c r="AZ526" s="549">
        <f t="shared" ref="AZ526:BA526" si="12550">SUM(AZ527:AZ528)</f>
        <v>0</v>
      </c>
      <c r="BA526" s="675">
        <f t="shared" si="12550"/>
        <v>0</v>
      </c>
      <c r="BB526" s="549">
        <f t="shared" ref="BB526:BC526" si="12551">SUM(BB527:BB528)</f>
        <v>0</v>
      </c>
      <c r="BC526" s="675">
        <f t="shared" si="12551"/>
        <v>0</v>
      </c>
      <c r="BD526" s="549">
        <f t="shared" ref="BD526:BE526" si="12552">SUM(BD527:BD528)</f>
        <v>0</v>
      </c>
      <c r="BE526" s="675">
        <f t="shared" si="12552"/>
        <v>0</v>
      </c>
      <c r="BF526" s="549">
        <f t="shared" ref="BF526:BG526" si="12553">SUM(BF527:BF528)</f>
        <v>0</v>
      </c>
      <c r="BG526" s="675">
        <f t="shared" si="12553"/>
        <v>0</v>
      </c>
      <c r="BH526" s="549">
        <f t="shared" ref="BH526:BI526" si="12554">SUM(BH527:BH528)</f>
        <v>0</v>
      </c>
      <c r="BI526" s="675">
        <f t="shared" si="12554"/>
        <v>0</v>
      </c>
      <c r="BJ526" s="549">
        <f t="shared" ref="BJ526:BK526" si="12555">SUM(BJ527:BJ528)</f>
        <v>0</v>
      </c>
      <c r="BK526" s="675">
        <f t="shared" si="12555"/>
        <v>0</v>
      </c>
      <c r="BL526" s="549">
        <f t="shared" ref="BL526:BS526" si="12556">SUM(BL527:BL528)</f>
        <v>0</v>
      </c>
      <c r="BM526" s="675">
        <f t="shared" si="12556"/>
        <v>0</v>
      </c>
      <c r="BN526" s="549">
        <f t="shared" si="12556"/>
        <v>0</v>
      </c>
      <c r="BO526" s="675">
        <f t="shared" si="12556"/>
        <v>0</v>
      </c>
      <c r="BP526" s="549">
        <f t="shared" si="12556"/>
        <v>0</v>
      </c>
      <c r="BQ526" s="675">
        <f t="shared" si="12556"/>
        <v>0</v>
      </c>
      <c r="BR526" s="549">
        <f t="shared" si="12556"/>
        <v>0</v>
      </c>
      <c r="BS526" s="675">
        <f t="shared" si="12556"/>
        <v>0</v>
      </c>
      <c r="BT526" s="549">
        <f t="shared" ref="BT526:BU526" si="12557">SUM(BT527:BT528)</f>
        <v>0</v>
      </c>
      <c r="BU526" s="675">
        <f t="shared" si="12557"/>
        <v>0</v>
      </c>
      <c r="BV526" s="549">
        <f t="shared" ref="BV526:BW526" si="12558">SUM(BV527:BV528)</f>
        <v>0</v>
      </c>
      <c r="BW526" s="675">
        <f t="shared" si="12558"/>
        <v>0</v>
      </c>
      <c r="BX526" s="549">
        <f t="shared" ref="BX526:BY526" si="12559">SUM(BX527:BX528)</f>
        <v>0</v>
      </c>
      <c r="BY526" s="675">
        <f t="shared" si="12559"/>
        <v>0</v>
      </c>
      <c r="BZ526" s="549">
        <f t="shared" ref="BZ526:CA526" si="12560">SUM(BZ527:BZ528)</f>
        <v>0</v>
      </c>
      <c r="CA526" s="675">
        <f t="shared" si="12560"/>
        <v>0</v>
      </c>
      <c r="CB526" s="549">
        <f t="shared" ref="CB526:CE526" si="12561">SUM(CB527:CB528)</f>
        <v>0</v>
      </c>
      <c r="CC526" s="675">
        <f t="shared" si="12561"/>
        <v>0</v>
      </c>
      <c r="CD526" s="549">
        <f t="shared" si="12561"/>
        <v>0</v>
      </c>
      <c r="CE526" s="675">
        <f t="shared" si="12561"/>
        <v>0</v>
      </c>
      <c r="CF526" s="549">
        <f t="shared" ref="CF526:CQ526" si="12562">SUM(CF527:CF528)</f>
        <v>0</v>
      </c>
      <c r="CG526" s="675">
        <f t="shared" si="12562"/>
        <v>0</v>
      </c>
      <c r="CH526" s="549">
        <f t="shared" si="12562"/>
        <v>0</v>
      </c>
      <c r="CI526" s="675">
        <f t="shared" si="12562"/>
        <v>0</v>
      </c>
      <c r="CJ526" s="549">
        <f t="shared" si="12562"/>
        <v>0</v>
      </c>
      <c r="CK526" s="675">
        <f t="shared" si="12562"/>
        <v>0</v>
      </c>
      <c r="CL526" s="549">
        <f t="shared" si="12562"/>
        <v>0</v>
      </c>
      <c r="CM526" s="675">
        <f t="shared" si="12562"/>
        <v>0</v>
      </c>
      <c r="CN526" s="549">
        <f t="shared" si="12562"/>
        <v>0</v>
      </c>
      <c r="CO526" s="675">
        <f t="shared" si="12562"/>
        <v>0</v>
      </c>
      <c r="CP526" s="549">
        <f t="shared" si="12562"/>
        <v>0</v>
      </c>
      <c r="CQ526" s="675">
        <f t="shared" si="12562"/>
        <v>0</v>
      </c>
      <c r="CR526" s="549">
        <f t="shared" ref="CR526:CY526" si="12563">SUM(CR527:CR528)</f>
        <v>0</v>
      </c>
      <c r="CS526" s="675">
        <f t="shared" si="12563"/>
        <v>0</v>
      </c>
      <c r="CT526" s="549">
        <f t="shared" si="12563"/>
        <v>0</v>
      </c>
      <c r="CU526" s="675">
        <f t="shared" si="12563"/>
        <v>0</v>
      </c>
      <c r="CV526" s="549">
        <f t="shared" si="12563"/>
        <v>0</v>
      </c>
      <c r="CW526" s="675">
        <f t="shared" si="12563"/>
        <v>0</v>
      </c>
      <c r="CX526" s="549">
        <f t="shared" si="12563"/>
        <v>0</v>
      </c>
      <c r="CY526" s="675">
        <f t="shared" si="12563"/>
        <v>0</v>
      </c>
      <c r="CZ526" s="549">
        <f t="shared" ref="CZ526:DG526" si="12564">SUM(CZ527:CZ528)</f>
        <v>0</v>
      </c>
      <c r="DA526" s="675">
        <f t="shared" si="12564"/>
        <v>0</v>
      </c>
      <c r="DB526" s="549">
        <f t="shared" si="12564"/>
        <v>0</v>
      </c>
      <c r="DC526" s="675">
        <f t="shared" si="12564"/>
        <v>0</v>
      </c>
      <c r="DD526" s="549">
        <f t="shared" si="12564"/>
        <v>0</v>
      </c>
      <c r="DE526" s="675">
        <f t="shared" si="12564"/>
        <v>0</v>
      </c>
      <c r="DF526" s="549">
        <f t="shared" si="12564"/>
        <v>0</v>
      </c>
      <c r="DG526" s="675">
        <f t="shared" si="12564"/>
        <v>0</v>
      </c>
      <c r="DH526" s="549">
        <f t="shared" ref="DH526:HG526" si="12565">SUM(DH527:DH528)</f>
        <v>0</v>
      </c>
      <c r="DI526" s="675">
        <f t="shared" si="12565"/>
        <v>0</v>
      </c>
      <c r="DJ526" s="549">
        <f t="shared" si="12565"/>
        <v>0</v>
      </c>
      <c r="DK526" s="675">
        <f t="shared" si="12565"/>
        <v>0</v>
      </c>
      <c r="DL526" s="549">
        <f t="shared" si="12565"/>
        <v>0</v>
      </c>
      <c r="DM526" s="675">
        <f t="shared" si="12565"/>
        <v>0</v>
      </c>
      <c r="DN526" s="549">
        <f t="shared" si="12565"/>
        <v>0</v>
      </c>
      <c r="DO526" s="675">
        <f t="shared" si="12565"/>
        <v>0</v>
      </c>
      <c r="DP526" s="549">
        <f t="shared" si="12565"/>
        <v>0</v>
      </c>
      <c r="DQ526" s="675">
        <f t="shared" si="12565"/>
        <v>0</v>
      </c>
      <c r="DR526" s="549">
        <f t="shared" si="12565"/>
        <v>0</v>
      </c>
      <c r="DS526" s="675">
        <f t="shared" si="12565"/>
        <v>0</v>
      </c>
      <c r="DT526" s="549">
        <f t="shared" si="12565"/>
        <v>0</v>
      </c>
      <c r="DU526" s="675">
        <f t="shared" si="12565"/>
        <v>0</v>
      </c>
      <c r="DV526" s="549">
        <f t="shared" si="12565"/>
        <v>0</v>
      </c>
      <c r="DW526" s="675">
        <f t="shared" si="12565"/>
        <v>0</v>
      </c>
      <c r="DX526" s="549">
        <f t="shared" si="12565"/>
        <v>0</v>
      </c>
      <c r="DY526" s="675">
        <f t="shared" si="12565"/>
        <v>0</v>
      </c>
      <c r="DZ526" s="549">
        <f t="shared" ref="DZ526:FA526" si="12566">SUM(DZ527:DZ528)</f>
        <v>0</v>
      </c>
      <c r="EA526" s="675">
        <f t="shared" si="12566"/>
        <v>0</v>
      </c>
      <c r="EB526" s="549">
        <f t="shared" si="12566"/>
        <v>0</v>
      </c>
      <c r="EC526" s="675">
        <f t="shared" si="12566"/>
        <v>0</v>
      </c>
      <c r="ED526" s="549">
        <f t="shared" si="12566"/>
        <v>0</v>
      </c>
      <c r="EE526" s="675">
        <f t="shared" si="12566"/>
        <v>0</v>
      </c>
      <c r="EF526" s="549">
        <f t="shared" si="12566"/>
        <v>0</v>
      </c>
      <c r="EG526" s="675">
        <f t="shared" si="12566"/>
        <v>0</v>
      </c>
      <c r="EH526" s="549">
        <f t="shared" ref="EH526:EM526" si="12567">SUM(EH527:EH528)</f>
        <v>0</v>
      </c>
      <c r="EI526" s="675">
        <f t="shared" si="12567"/>
        <v>0</v>
      </c>
      <c r="EJ526" s="549">
        <f t="shared" si="12567"/>
        <v>0</v>
      </c>
      <c r="EK526" s="675">
        <f t="shared" si="12567"/>
        <v>0</v>
      </c>
      <c r="EL526" s="549">
        <f t="shared" si="12567"/>
        <v>0</v>
      </c>
      <c r="EM526" s="675">
        <f t="shared" si="12567"/>
        <v>0</v>
      </c>
      <c r="EN526" s="549">
        <f t="shared" si="12566"/>
        <v>0</v>
      </c>
      <c r="EO526" s="675">
        <f t="shared" si="12566"/>
        <v>0</v>
      </c>
      <c r="EP526" s="549">
        <f t="shared" si="12566"/>
        <v>0</v>
      </c>
      <c r="EQ526" s="675">
        <f t="shared" si="12566"/>
        <v>0</v>
      </c>
      <c r="ER526" s="549">
        <f t="shared" si="12566"/>
        <v>0</v>
      </c>
      <c r="ES526" s="675">
        <f t="shared" si="12566"/>
        <v>0</v>
      </c>
      <c r="ET526" s="549">
        <f t="shared" si="12566"/>
        <v>0</v>
      </c>
      <c r="EU526" s="675">
        <f t="shared" si="12566"/>
        <v>0</v>
      </c>
      <c r="EV526" s="549">
        <f t="shared" ref="EV526:EW526" si="12568">SUM(EV527:EV528)</f>
        <v>0</v>
      </c>
      <c r="EW526" s="675">
        <f t="shared" si="12568"/>
        <v>0</v>
      </c>
      <c r="EX526" s="549">
        <f t="shared" si="12566"/>
        <v>0</v>
      </c>
      <c r="EY526" s="675">
        <f t="shared" si="12566"/>
        <v>0</v>
      </c>
      <c r="EZ526" s="549">
        <f t="shared" si="12566"/>
        <v>0</v>
      </c>
      <c r="FA526" s="675">
        <f t="shared" si="12566"/>
        <v>0</v>
      </c>
      <c r="FB526" s="549">
        <f t="shared" si="12565"/>
        <v>0</v>
      </c>
      <c r="FC526" s="675">
        <f t="shared" si="12565"/>
        <v>0</v>
      </c>
      <c r="FD526" s="549">
        <f t="shared" si="12565"/>
        <v>0</v>
      </c>
      <c r="FE526" s="675">
        <f t="shared" si="12565"/>
        <v>0</v>
      </c>
      <c r="FF526" s="549">
        <f t="shared" ref="FF526:FG526" si="12569">SUM(FF527:FF528)</f>
        <v>0</v>
      </c>
      <c r="FG526" s="675">
        <f t="shared" si="12569"/>
        <v>0</v>
      </c>
      <c r="FH526" s="549">
        <f t="shared" ref="FH526:FI526" si="12570">SUM(FH527:FH528)</f>
        <v>0</v>
      </c>
      <c r="FI526" s="675">
        <f t="shared" si="12570"/>
        <v>0</v>
      </c>
      <c r="FJ526" s="549">
        <f t="shared" ref="FJ526:FK526" si="12571">SUM(FJ527:FJ528)</f>
        <v>0</v>
      </c>
      <c r="FK526" s="675">
        <f t="shared" si="12571"/>
        <v>0</v>
      </c>
      <c r="FL526" s="549">
        <f t="shared" ref="FL526:FM526" si="12572">SUM(FL527:FL528)</f>
        <v>0</v>
      </c>
      <c r="FM526" s="675">
        <f t="shared" si="12572"/>
        <v>0</v>
      </c>
      <c r="FN526" s="549">
        <f t="shared" ref="FN526:FO526" si="12573">SUM(FN527:FN528)</f>
        <v>0</v>
      </c>
      <c r="FO526" s="675">
        <f t="shared" si="12573"/>
        <v>0</v>
      </c>
      <c r="FP526" s="549">
        <f t="shared" ref="FP526:FQ526" si="12574">SUM(FP527:FP528)</f>
        <v>0</v>
      </c>
      <c r="FQ526" s="675">
        <f t="shared" si="12574"/>
        <v>0</v>
      </c>
      <c r="FR526" s="549">
        <f t="shared" ref="FR526:FS526" si="12575">SUM(FR527:FR528)</f>
        <v>0</v>
      </c>
      <c r="FS526" s="675">
        <f t="shared" si="12575"/>
        <v>0</v>
      </c>
      <c r="FT526" s="549">
        <f t="shared" ref="FT526:FU526" si="12576">SUM(FT527:FT528)</f>
        <v>0</v>
      </c>
      <c r="FU526" s="675">
        <f t="shared" si="12576"/>
        <v>0</v>
      </c>
      <c r="FV526" s="549">
        <f t="shared" ref="FV526:GK526" si="12577">SUM(FV527:FV528)</f>
        <v>0</v>
      </c>
      <c r="FW526" s="675">
        <f t="shared" si="12577"/>
        <v>0</v>
      </c>
      <c r="FX526" s="549">
        <f t="shared" si="12577"/>
        <v>0</v>
      </c>
      <c r="FY526" s="675">
        <f t="shared" si="12577"/>
        <v>0</v>
      </c>
      <c r="FZ526" s="549">
        <f t="shared" ref="FZ526:GI526" si="12578">SUM(FZ527:FZ528)</f>
        <v>0</v>
      </c>
      <c r="GA526" s="675">
        <f t="shared" si="12578"/>
        <v>0</v>
      </c>
      <c r="GB526" s="549">
        <f t="shared" si="12578"/>
        <v>0</v>
      </c>
      <c r="GC526" s="675">
        <f t="shared" si="12578"/>
        <v>0</v>
      </c>
      <c r="GD526" s="549">
        <f t="shared" si="12578"/>
        <v>0</v>
      </c>
      <c r="GE526" s="675">
        <f t="shared" si="12578"/>
        <v>0</v>
      </c>
      <c r="GF526" s="549">
        <f t="shared" si="12578"/>
        <v>0</v>
      </c>
      <c r="GG526" s="675">
        <f t="shared" si="12578"/>
        <v>0</v>
      </c>
      <c r="GH526" s="549">
        <f t="shared" si="12578"/>
        <v>0</v>
      </c>
      <c r="GI526" s="675">
        <f t="shared" si="12578"/>
        <v>0</v>
      </c>
      <c r="GJ526" s="549">
        <f t="shared" si="12577"/>
        <v>0</v>
      </c>
      <c r="GK526" s="675">
        <f t="shared" si="12577"/>
        <v>0</v>
      </c>
      <c r="GL526" s="549">
        <f t="shared" ref="GL526:GM526" si="12579">SUM(GL527:GL528)</f>
        <v>0</v>
      </c>
      <c r="GM526" s="675">
        <f t="shared" si="12579"/>
        <v>0</v>
      </c>
      <c r="GN526" s="549">
        <f t="shared" ref="GN526:GO526" si="12580">SUM(GN527:GN528)</f>
        <v>0</v>
      </c>
      <c r="GO526" s="675">
        <f t="shared" si="12580"/>
        <v>0</v>
      </c>
      <c r="GP526" s="549">
        <f t="shared" si="12565"/>
        <v>0</v>
      </c>
      <c r="GQ526" s="675">
        <f t="shared" si="12565"/>
        <v>0</v>
      </c>
      <c r="GR526" s="74">
        <f t="shared" si="12565"/>
        <v>0</v>
      </c>
      <c r="GS526" s="74">
        <f t="shared" si="12565"/>
        <v>0</v>
      </c>
      <c r="GT526" s="549">
        <f t="shared" si="12565"/>
        <v>0</v>
      </c>
      <c r="GU526" s="74">
        <f t="shared" si="12565"/>
        <v>0</v>
      </c>
      <c r="GV526" s="74">
        <f t="shared" si="12565"/>
        <v>0</v>
      </c>
      <c r="GW526" s="549">
        <f t="shared" si="12565"/>
        <v>0</v>
      </c>
      <c r="GX526" s="549">
        <f t="shared" si="12565"/>
        <v>0</v>
      </c>
      <c r="GY526" s="74">
        <f t="shared" si="12565"/>
        <v>0</v>
      </c>
      <c r="GZ526" s="74">
        <f t="shared" si="12565"/>
        <v>0</v>
      </c>
      <c r="HA526" s="74">
        <f t="shared" si="12565"/>
        <v>0</v>
      </c>
      <c r="HB526" s="74">
        <f t="shared" si="12565"/>
        <v>0</v>
      </c>
      <c r="HC526" s="74">
        <f t="shared" si="12565"/>
        <v>0</v>
      </c>
      <c r="HD526" s="74">
        <f t="shared" si="12565"/>
        <v>0</v>
      </c>
      <c r="HE526" s="74">
        <f t="shared" si="12565"/>
        <v>0</v>
      </c>
      <c r="HF526" s="74">
        <f t="shared" si="12565"/>
        <v>0</v>
      </c>
      <c r="HG526" s="74">
        <f t="shared" si="12565"/>
        <v>0</v>
      </c>
      <c r="HH526" s="74">
        <f t="shared" ref="HH526:HI526" si="12581">SUM(HH527:HH528)</f>
        <v>0</v>
      </c>
      <c r="HI526" s="792">
        <f t="shared" si="12581"/>
        <v>0</v>
      </c>
      <c r="HJ526" s="74">
        <f t="shared" ref="HJ526:HK526" si="12582">SUM(HJ527:HJ528)</f>
        <v>0</v>
      </c>
      <c r="HK526" s="792">
        <f t="shared" si="12582"/>
        <v>0</v>
      </c>
      <c r="HL526" s="74">
        <f t="shared" ref="HL526:HM526" si="12583">SUM(HL527:HL528)</f>
        <v>0</v>
      </c>
      <c r="HM526" s="792">
        <f t="shared" si="12583"/>
        <v>0</v>
      </c>
      <c r="HN526" s="74">
        <f t="shared" ref="HN526:HO526" si="12584">SUM(HN527:HN528)</f>
        <v>0</v>
      </c>
      <c r="HO526" s="792">
        <f t="shared" si="12584"/>
        <v>0</v>
      </c>
      <c r="HP526" s="74">
        <f t="shared" ref="HP526:HQ526" si="12585">SUM(HP527:HP528)</f>
        <v>0</v>
      </c>
      <c r="HQ526" s="792">
        <f t="shared" si="12585"/>
        <v>0</v>
      </c>
      <c r="HR526" s="74">
        <f t="shared" ref="HR526:HS526" si="12586">SUM(HR527:HR528)</f>
        <v>0</v>
      </c>
      <c r="HS526" s="792">
        <f t="shared" si="12586"/>
        <v>0</v>
      </c>
      <c r="HT526" s="74">
        <f t="shared" ref="HT526:HU526" si="12587">SUM(HT527:HT528)</f>
        <v>0</v>
      </c>
      <c r="HU526" s="792">
        <f t="shared" si="12587"/>
        <v>0</v>
      </c>
      <c r="HV526" s="74">
        <f t="shared" ref="HV526:HW526" si="12588">SUM(HV527:HV528)</f>
        <v>0</v>
      </c>
      <c r="HW526" s="792">
        <f t="shared" si="12588"/>
        <v>0</v>
      </c>
      <c r="HX526" s="74">
        <f t="shared" ref="HX526:HY526" si="12589">SUM(HX527:HX528)</f>
        <v>0</v>
      </c>
      <c r="HY526" s="792">
        <f t="shared" si="12589"/>
        <v>0</v>
      </c>
      <c r="HZ526" s="74">
        <f t="shared" ref="HZ526:IA526" si="12590">SUM(HZ527:HZ528)</f>
        <v>0</v>
      </c>
      <c r="IA526" s="792">
        <f t="shared" si="12590"/>
        <v>0</v>
      </c>
      <c r="IB526" s="74">
        <f t="shared" ref="IB526:IC526" si="12591">SUM(IB527:IB528)</f>
        <v>0</v>
      </c>
      <c r="IC526" s="792">
        <f t="shared" si="12591"/>
        <v>0</v>
      </c>
      <c r="ID526" s="74">
        <f t="shared" ref="ID526:IN526" si="12592">SUM(ID527:ID528)</f>
        <v>0</v>
      </c>
      <c r="IE526" s="792">
        <f t="shared" si="12592"/>
        <v>0</v>
      </c>
      <c r="IF526" s="841">
        <f t="shared" si="12592"/>
        <v>0</v>
      </c>
      <c r="IG526" s="263">
        <f t="shared" si="12592"/>
        <v>0</v>
      </c>
      <c r="IH526" s="842">
        <f t="shared" si="12592"/>
        <v>0</v>
      </c>
      <c r="II526" s="74">
        <f t="shared" si="12592"/>
        <v>0</v>
      </c>
      <c r="IJ526" s="74">
        <f t="shared" si="12592"/>
        <v>0</v>
      </c>
      <c r="IK526" s="74">
        <f t="shared" si="12592"/>
        <v>0</v>
      </c>
      <c r="IL526" s="74">
        <f t="shared" si="12592"/>
        <v>0</v>
      </c>
      <c r="IM526" s="74">
        <f t="shared" si="12592"/>
        <v>0</v>
      </c>
      <c r="IN526" s="74">
        <f t="shared" si="12592"/>
        <v>0</v>
      </c>
      <c r="IO526" s="74">
        <f t="shared" ref="IO526:JC526" si="12593">SUM(IO527:IO528)</f>
        <v>0</v>
      </c>
      <c r="IP526" s="74">
        <f t="shared" si="12593"/>
        <v>0</v>
      </c>
      <c r="IQ526" s="74">
        <f t="shared" si="12593"/>
        <v>0</v>
      </c>
      <c r="IR526" s="74">
        <f t="shared" si="12593"/>
        <v>0</v>
      </c>
      <c r="IS526" s="74">
        <f t="shared" si="12593"/>
        <v>0</v>
      </c>
      <c r="IT526" s="74">
        <f t="shared" si="12593"/>
        <v>0</v>
      </c>
      <c r="IU526" s="74">
        <f t="shared" si="12593"/>
        <v>0</v>
      </c>
      <c r="IV526" s="74">
        <f t="shared" si="12593"/>
        <v>0</v>
      </c>
      <c r="IW526" s="74">
        <f t="shared" si="12593"/>
        <v>0</v>
      </c>
      <c r="IX526" s="74">
        <f t="shared" si="12593"/>
        <v>0</v>
      </c>
      <c r="IY526" s="74">
        <f t="shared" si="12593"/>
        <v>0</v>
      </c>
      <c r="IZ526" s="74">
        <f t="shared" si="12593"/>
        <v>0</v>
      </c>
      <c r="JA526" s="74">
        <f t="shared" si="12593"/>
        <v>0</v>
      </c>
      <c r="JB526" s="74">
        <f t="shared" si="12593"/>
        <v>0</v>
      </c>
      <c r="JC526" s="74">
        <f t="shared" si="12593"/>
        <v>0</v>
      </c>
      <c r="JD526" s="74">
        <f t="shared" ref="JD526:JF526" si="12594">SUM(JD527:JD528)</f>
        <v>0</v>
      </c>
      <c r="JE526" s="74">
        <f t="shared" si="12594"/>
        <v>0</v>
      </c>
      <c r="JF526" s="74">
        <f t="shared" si="12594"/>
        <v>0</v>
      </c>
      <c r="JG526" s="74">
        <f t="shared" ref="JG526:JI526" si="12595">SUM(JG527:JG528)</f>
        <v>0</v>
      </c>
      <c r="JH526" s="74">
        <f t="shared" si="12595"/>
        <v>0</v>
      </c>
      <c r="JI526" s="74">
        <f t="shared" si="12595"/>
        <v>0</v>
      </c>
      <c r="JJ526" s="74">
        <f t="shared" ref="JJ526:JL526" si="12596">SUM(JJ527:JJ528)</f>
        <v>0</v>
      </c>
      <c r="JK526" s="74">
        <f t="shared" si="12596"/>
        <v>0</v>
      </c>
      <c r="JL526" s="74">
        <f t="shared" si="12596"/>
        <v>0</v>
      </c>
      <c r="JM526" s="74">
        <f t="shared" ref="JM526:JO526" si="12597">SUM(JM527:JM528)</f>
        <v>0</v>
      </c>
      <c r="JN526" s="74">
        <f t="shared" si="12597"/>
        <v>0</v>
      </c>
      <c r="JO526" s="74">
        <f t="shared" si="12597"/>
        <v>0</v>
      </c>
      <c r="JP526" s="74">
        <f t="shared" ref="JP526:JY526" si="12598">SUM(JP527:JP528)</f>
        <v>0</v>
      </c>
      <c r="JQ526" s="74">
        <f t="shared" si="12598"/>
        <v>0</v>
      </c>
      <c r="JR526" s="74">
        <f t="shared" si="12598"/>
        <v>0</v>
      </c>
      <c r="JS526" s="74">
        <f t="shared" si="12598"/>
        <v>0</v>
      </c>
      <c r="JT526" s="102">
        <f t="shared" si="12598"/>
        <v>0</v>
      </c>
      <c r="JU526" s="665"/>
      <c r="JV526" s="524"/>
      <c r="JW526" s="525"/>
      <c r="JX526" s="549">
        <f t="shared" si="12598"/>
        <v>0</v>
      </c>
      <c r="JY526" s="549">
        <f t="shared" si="12598"/>
        <v>0</v>
      </c>
      <c r="JZ526" s="581">
        <f t="shared" si="12201"/>
        <v>0</v>
      </c>
      <c r="KA526" s="581">
        <f t="shared" si="12202"/>
        <v>0</v>
      </c>
      <c r="KB526" s="549">
        <f t="shared" si="12194"/>
        <v>0</v>
      </c>
      <c r="KC526" s="709">
        <f t="shared" si="12200"/>
        <v>0</v>
      </c>
      <c r="KD526" s="36"/>
      <c r="KE526" s="36"/>
      <c r="KF526" s="36"/>
      <c r="KG526" s="36"/>
      <c r="KH526" s="36"/>
      <c r="KI526" s="36"/>
      <c r="KJ526" s="36"/>
      <c r="KK526" s="36"/>
    </row>
    <row r="527" spans="1:297" s="10" customFormat="1" ht="12.75" hidden="1" customHeight="1">
      <c r="A527" s="86" t="s">
        <v>789</v>
      </c>
      <c r="B527" s="77"/>
      <c r="C527" s="74">
        <v>0</v>
      </c>
      <c r="D527" s="549">
        <v>0</v>
      </c>
      <c r="E527" s="675">
        <v>0</v>
      </c>
      <c r="F527" s="549">
        <v>0</v>
      </c>
      <c r="G527" s="675">
        <v>0</v>
      </c>
      <c r="H527" s="549">
        <v>0</v>
      </c>
      <c r="I527" s="675">
        <v>0</v>
      </c>
      <c r="J527" s="549">
        <v>0</v>
      </c>
      <c r="K527" s="675">
        <v>0</v>
      </c>
      <c r="L527" s="549">
        <v>0</v>
      </c>
      <c r="M527" s="675">
        <v>0</v>
      </c>
      <c r="N527" s="549">
        <v>0</v>
      </c>
      <c r="O527" s="675">
        <v>0</v>
      </c>
      <c r="P527" s="549">
        <v>0</v>
      </c>
      <c r="Q527" s="675">
        <v>0</v>
      </c>
      <c r="R527" s="549">
        <v>0</v>
      </c>
      <c r="S527" s="675">
        <v>0</v>
      </c>
      <c r="T527" s="549">
        <v>0</v>
      </c>
      <c r="U527" s="675">
        <v>0</v>
      </c>
      <c r="V527" s="549">
        <v>0</v>
      </c>
      <c r="W527" s="675">
        <v>0</v>
      </c>
      <c r="X527" s="549">
        <v>0</v>
      </c>
      <c r="Y527" s="675">
        <v>0</v>
      </c>
      <c r="Z527" s="549">
        <v>0</v>
      </c>
      <c r="AA527" s="675">
        <v>0</v>
      </c>
      <c r="AB527" s="549">
        <v>0</v>
      </c>
      <c r="AC527" s="675">
        <v>0</v>
      </c>
      <c r="AD527" s="549">
        <v>0</v>
      </c>
      <c r="AE527" s="675">
        <v>0</v>
      </c>
      <c r="AF527" s="549">
        <v>0</v>
      </c>
      <c r="AG527" s="675">
        <v>0</v>
      </c>
      <c r="AH527" s="549">
        <v>0</v>
      </c>
      <c r="AI527" s="675">
        <v>0</v>
      </c>
      <c r="AJ527" s="549">
        <v>0</v>
      </c>
      <c r="AK527" s="675">
        <v>0</v>
      </c>
      <c r="AL527" s="549">
        <v>0</v>
      </c>
      <c r="AM527" s="675">
        <v>0</v>
      </c>
      <c r="AN527" s="549">
        <v>0</v>
      </c>
      <c r="AO527" s="675">
        <v>0</v>
      </c>
      <c r="AP527" s="549">
        <v>0</v>
      </c>
      <c r="AQ527" s="675">
        <v>0</v>
      </c>
      <c r="AR527" s="549">
        <v>0</v>
      </c>
      <c r="AS527" s="675">
        <v>0</v>
      </c>
      <c r="AT527" s="549">
        <v>0</v>
      </c>
      <c r="AU527" s="675">
        <v>0</v>
      </c>
      <c r="AV527" s="549">
        <v>0</v>
      </c>
      <c r="AW527" s="675">
        <v>0</v>
      </c>
      <c r="AX527" s="549">
        <v>0</v>
      </c>
      <c r="AY527" s="675">
        <v>0</v>
      </c>
      <c r="AZ527" s="549">
        <v>0</v>
      </c>
      <c r="BA527" s="675">
        <v>0</v>
      </c>
      <c r="BB527" s="549">
        <v>0</v>
      </c>
      <c r="BC527" s="675">
        <v>0</v>
      </c>
      <c r="BD527" s="549">
        <v>0</v>
      </c>
      <c r="BE527" s="675">
        <v>0</v>
      </c>
      <c r="BF527" s="549">
        <v>0</v>
      </c>
      <c r="BG527" s="675">
        <v>0</v>
      </c>
      <c r="BH527" s="549">
        <v>0</v>
      </c>
      <c r="BI527" s="675">
        <v>0</v>
      </c>
      <c r="BJ527" s="549">
        <v>0</v>
      </c>
      <c r="BK527" s="675">
        <v>0</v>
      </c>
      <c r="BL527" s="549">
        <v>0</v>
      </c>
      <c r="BM527" s="675">
        <v>0</v>
      </c>
      <c r="BN527" s="549">
        <v>0</v>
      </c>
      <c r="BO527" s="675">
        <v>0</v>
      </c>
      <c r="BP527" s="549">
        <v>0</v>
      </c>
      <c r="BQ527" s="675">
        <v>0</v>
      </c>
      <c r="BR527" s="549">
        <v>0</v>
      </c>
      <c r="BS527" s="675">
        <v>0</v>
      </c>
      <c r="BT527" s="549">
        <v>0</v>
      </c>
      <c r="BU527" s="675">
        <v>0</v>
      </c>
      <c r="BV527" s="549">
        <v>0</v>
      </c>
      <c r="BW527" s="675">
        <v>0</v>
      </c>
      <c r="BX527" s="549">
        <v>0</v>
      </c>
      <c r="BY527" s="675">
        <v>0</v>
      </c>
      <c r="BZ527" s="549">
        <v>0</v>
      </c>
      <c r="CA527" s="675">
        <v>0</v>
      </c>
      <c r="CB527" s="549">
        <v>0</v>
      </c>
      <c r="CC527" s="675">
        <v>0</v>
      </c>
      <c r="CD527" s="549">
        <v>0</v>
      </c>
      <c r="CE527" s="675">
        <v>0</v>
      </c>
      <c r="CF527" s="549">
        <v>0</v>
      </c>
      <c r="CG527" s="675">
        <v>0</v>
      </c>
      <c r="CH527" s="549">
        <v>0</v>
      </c>
      <c r="CI527" s="675">
        <v>0</v>
      </c>
      <c r="CJ527" s="549">
        <v>0</v>
      </c>
      <c r="CK527" s="675">
        <v>0</v>
      </c>
      <c r="CL527" s="549">
        <v>0</v>
      </c>
      <c r="CM527" s="675">
        <v>0</v>
      </c>
      <c r="CN527" s="549">
        <v>0</v>
      </c>
      <c r="CO527" s="675">
        <v>0</v>
      </c>
      <c r="CP527" s="549">
        <v>0</v>
      </c>
      <c r="CQ527" s="675">
        <v>0</v>
      </c>
      <c r="CR527" s="549">
        <v>0</v>
      </c>
      <c r="CS527" s="675">
        <v>0</v>
      </c>
      <c r="CT527" s="549">
        <v>0</v>
      </c>
      <c r="CU527" s="675">
        <v>0</v>
      </c>
      <c r="CV527" s="549">
        <v>0</v>
      </c>
      <c r="CW527" s="675">
        <v>0</v>
      </c>
      <c r="CX527" s="549">
        <v>0</v>
      </c>
      <c r="CY527" s="675">
        <v>0</v>
      </c>
      <c r="CZ527" s="549">
        <v>0</v>
      </c>
      <c r="DA527" s="675">
        <v>0</v>
      </c>
      <c r="DB527" s="549">
        <v>0</v>
      </c>
      <c r="DC527" s="675">
        <v>0</v>
      </c>
      <c r="DD527" s="549">
        <v>0</v>
      </c>
      <c r="DE527" s="675">
        <v>0</v>
      </c>
      <c r="DF527" s="549">
        <v>0</v>
      </c>
      <c r="DG527" s="675">
        <v>0</v>
      </c>
      <c r="DH527" s="549">
        <v>0</v>
      </c>
      <c r="DI527" s="675">
        <v>0</v>
      </c>
      <c r="DJ527" s="549">
        <v>0</v>
      </c>
      <c r="DK527" s="675">
        <v>0</v>
      </c>
      <c r="DL527" s="549">
        <v>0</v>
      </c>
      <c r="DM527" s="675">
        <v>0</v>
      </c>
      <c r="DN527" s="549">
        <v>0</v>
      </c>
      <c r="DO527" s="675">
        <v>0</v>
      </c>
      <c r="DP527" s="549">
        <v>0</v>
      </c>
      <c r="DQ527" s="675">
        <v>0</v>
      </c>
      <c r="DR527" s="549">
        <v>0</v>
      </c>
      <c r="DS527" s="675">
        <v>0</v>
      </c>
      <c r="DT527" s="549">
        <v>0</v>
      </c>
      <c r="DU527" s="675">
        <v>0</v>
      </c>
      <c r="DV527" s="549">
        <v>0</v>
      </c>
      <c r="DW527" s="675">
        <v>0</v>
      </c>
      <c r="DX527" s="549">
        <v>0</v>
      </c>
      <c r="DY527" s="675">
        <v>0</v>
      </c>
      <c r="DZ527" s="549">
        <v>0</v>
      </c>
      <c r="EA527" s="675">
        <v>0</v>
      </c>
      <c r="EB527" s="549">
        <v>0</v>
      </c>
      <c r="EC527" s="675">
        <v>0</v>
      </c>
      <c r="ED527" s="549">
        <v>0</v>
      </c>
      <c r="EE527" s="675">
        <v>0</v>
      </c>
      <c r="EF527" s="549">
        <v>0</v>
      </c>
      <c r="EG527" s="675">
        <v>0</v>
      </c>
      <c r="EH527" s="549">
        <v>0</v>
      </c>
      <c r="EI527" s="675">
        <v>0</v>
      </c>
      <c r="EJ527" s="549">
        <v>0</v>
      </c>
      <c r="EK527" s="675">
        <v>0</v>
      </c>
      <c r="EL527" s="549">
        <v>0</v>
      </c>
      <c r="EM527" s="675">
        <v>0</v>
      </c>
      <c r="EN527" s="549">
        <v>0</v>
      </c>
      <c r="EO527" s="675">
        <v>0</v>
      </c>
      <c r="EP527" s="549">
        <v>0</v>
      </c>
      <c r="EQ527" s="675">
        <v>0</v>
      </c>
      <c r="ER527" s="549">
        <v>0</v>
      </c>
      <c r="ES527" s="675">
        <v>0</v>
      </c>
      <c r="ET527" s="549">
        <v>0</v>
      </c>
      <c r="EU527" s="675">
        <v>0</v>
      </c>
      <c r="EV527" s="549">
        <v>0</v>
      </c>
      <c r="EW527" s="675">
        <v>0</v>
      </c>
      <c r="EX527" s="549">
        <v>0</v>
      </c>
      <c r="EY527" s="675">
        <v>0</v>
      </c>
      <c r="EZ527" s="549">
        <v>0</v>
      </c>
      <c r="FA527" s="675">
        <v>0</v>
      </c>
      <c r="FB527" s="549">
        <v>0</v>
      </c>
      <c r="FC527" s="675">
        <v>0</v>
      </c>
      <c r="FD527" s="549">
        <v>0</v>
      </c>
      <c r="FE527" s="675">
        <v>0</v>
      </c>
      <c r="FF527" s="549">
        <v>0</v>
      </c>
      <c r="FG527" s="675">
        <v>0</v>
      </c>
      <c r="FH527" s="549">
        <v>0</v>
      </c>
      <c r="FI527" s="675">
        <v>0</v>
      </c>
      <c r="FJ527" s="549">
        <v>0</v>
      </c>
      <c r="FK527" s="675">
        <v>0</v>
      </c>
      <c r="FL527" s="549">
        <v>0</v>
      </c>
      <c r="FM527" s="675">
        <v>0</v>
      </c>
      <c r="FN527" s="549">
        <v>0</v>
      </c>
      <c r="FO527" s="675">
        <v>0</v>
      </c>
      <c r="FP527" s="549">
        <v>0</v>
      </c>
      <c r="FQ527" s="675">
        <v>0</v>
      </c>
      <c r="FR527" s="549">
        <v>0</v>
      </c>
      <c r="FS527" s="675">
        <v>0</v>
      </c>
      <c r="FT527" s="549">
        <v>0</v>
      </c>
      <c r="FU527" s="675">
        <v>0</v>
      </c>
      <c r="FV527" s="549">
        <v>0</v>
      </c>
      <c r="FW527" s="675">
        <v>0</v>
      </c>
      <c r="FX527" s="549">
        <v>0</v>
      </c>
      <c r="FY527" s="675">
        <v>0</v>
      </c>
      <c r="FZ527" s="549">
        <v>0</v>
      </c>
      <c r="GA527" s="675">
        <v>0</v>
      </c>
      <c r="GB527" s="549">
        <v>0</v>
      </c>
      <c r="GC527" s="675">
        <v>0</v>
      </c>
      <c r="GD527" s="549">
        <v>0</v>
      </c>
      <c r="GE527" s="675">
        <v>0</v>
      </c>
      <c r="GF527" s="549">
        <v>0</v>
      </c>
      <c r="GG527" s="675">
        <v>0</v>
      </c>
      <c r="GH527" s="549">
        <v>0</v>
      </c>
      <c r="GI527" s="675">
        <v>0</v>
      </c>
      <c r="GJ527" s="549">
        <v>0</v>
      </c>
      <c r="GK527" s="675">
        <v>0</v>
      </c>
      <c r="GL527" s="549">
        <v>0</v>
      </c>
      <c r="GM527" s="675">
        <v>0</v>
      </c>
      <c r="GN527" s="549">
        <v>0</v>
      </c>
      <c r="GO527" s="675">
        <v>0</v>
      </c>
      <c r="GP527" s="549">
        <f>+D527+F527+H527+J527+L527+N527+P527+R527+T527+V527+X527+Z527+AB527+AD527+AH527+AJ527+AL527+AN527+AP527+AR527+AT527+AV527+AX527+AZ527+BB527+BD527+BF527+BH527+BJ527+BL527+BN527+BP527+BR527+BT527+BV527+BX527+BZ527+CB527+CD527+CF527+CH527+CJ527+CL527+CN527+CP527+CR527+CT527+CV527+CX527+CZ527+DB527+DD527+DF527+DH527+DT527+EX527+DJ527+DL527+DN527+DP527+DR527+EJ527+EB527+DZ527+DX527+DV527+ED527+EF527+EH527+EL527+EN527+EP527+EV527+ET527+ER527+EZ527+FB527+FD527+GL527</f>
        <v>0</v>
      </c>
      <c r="GQ527" s="675">
        <f>+E527+G527+I527+K527+M527+O527+Q527+S527+U527+W527+Y527+AA527+AC527+AE527+AI527+AK527+AM527+AO527+AQ527+AS527+AU527+AW527+AY527+BA527+BC527+BE527+BG527+BI527+BK527+BM527+BO527+BQ527+BS527+BU527+BW527+BY527+CA527+CC527+CE527+CG527+CI527+CK527+CM527+CO527+CQ527+CS527+CU527+CW527+CY527+DA527+DC527+DE527+DG527+DI527+DU527+EY527+DK527+DM527+DO527+DQ527+DS527+EK527+EC527+EA527+DY527+DW527+EI527+EG527+EE527+EM527+EO527+EQ527+EW527+EU527+ES527+FA527+FC527+FE527+GM527</f>
        <v>0</v>
      </c>
      <c r="GR527" s="74">
        <f>C527+GP527+GQ527</f>
        <v>0</v>
      </c>
      <c r="GS527" s="74">
        <f t="shared" ref="GS527:GS528" si="12599">GU527</f>
        <v>0</v>
      </c>
      <c r="GT527" s="568">
        <f>SUM(GU527:HF527)+GQ527+GP527</f>
        <v>0</v>
      </c>
      <c r="GU527" s="275">
        <v>0</v>
      </c>
      <c r="GV527" s="275">
        <v>0</v>
      </c>
      <c r="GW527" s="588">
        <v>0</v>
      </c>
      <c r="GX527" s="588">
        <v>0</v>
      </c>
      <c r="GY527" s="275">
        <v>0</v>
      </c>
      <c r="GZ527" s="275">
        <v>0</v>
      </c>
      <c r="HA527" s="275">
        <v>0</v>
      </c>
      <c r="HB527" s="275">
        <v>0</v>
      </c>
      <c r="HC527" s="275">
        <v>0</v>
      </c>
      <c r="HD527" s="275">
        <v>0</v>
      </c>
      <c r="HE527" s="275">
        <v>0</v>
      </c>
      <c r="HF527" s="275">
        <v>0</v>
      </c>
      <c r="HG527" s="74">
        <f>SUM(HH527:IE527)</f>
        <v>0</v>
      </c>
      <c r="HH527" s="89">
        <v>0</v>
      </c>
      <c r="HI527" s="817">
        <v>0</v>
      </c>
      <c r="HJ527" s="89">
        <v>0</v>
      </c>
      <c r="HK527" s="817">
        <v>0</v>
      </c>
      <c r="HL527" s="89">
        <v>0</v>
      </c>
      <c r="HM527" s="817">
        <v>0</v>
      </c>
      <c r="HN527" s="89">
        <v>0</v>
      </c>
      <c r="HO527" s="817">
        <v>0</v>
      </c>
      <c r="HP527" s="89">
        <v>0</v>
      </c>
      <c r="HQ527" s="817">
        <v>0</v>
      </c>
      <c r="HR527" s="89">
        <v>0</v>
      </c>
      <c r="HS527" s="817">
        <v>0</v>
      </c>
      <c r="HT527" s="89">
        <v>0</v>
      </c>
      <c r="HU527" s="817">
        <v>0</v>
      </c>
      <c r="HV527" s="89">
        <v>0</v>
      </c>
      <c r="HW527" s="817">
        <v>0</v>
      </c>
      <c r="HX527" s="89">
        <v>0</v>
      </c>
      <c r="HY527" s="817">
        <v>0</v>
      </c>
      <c r="HZ527" s="89">
        <v>0</v>
      </c>
      <c r="IA527" s="817">
        <v>0</v>
      </c>
      <c r="IB527" s="89">
        <v>0</v>
      </c>
      <c r="IC527" s="817">
        <v>0</v>
      </c>
      <c r="ID527" s="89">
        <v>0</v>
      </c>
      <c r="IE527" s="817">
        <v>0</v>
      </c>
      <c r="IF527" s="841">
        <f t="shared" ref="IF527:IF528" si="12600">SUM(II527,IL527,IO527,IR527,IU527,IX527,JA527,JD527,JG527,JJ527,JM527,JP527)</f>
        <v>0</v>
      </c>
      <c r="IG527" s="263">
        <f t="shared" ref="IG527:IG528" si="12601">SUM(IJ527,IM527,IP527,IS527,IV527,IY527,JB527,JE527,JH527,JK527,JN527,JQ527)</f>
        <v>0</v>
      </c>
      <c r="IH527" s="842">
        <f t="shared" ref="IH527:IH528" si="12602">SUM(IK527,IN527,IQ527,IT527,IW527,IZ527,JC527,JF527,JI527,JL527,JO527,JR527)</f>
        <v>0</v>
      </c>
      <c r="II527" s="89">
        <v>0</v>
      </c>
      <c r="IJ527" s="89">
        <v>0</v>
      </c>
      <c r="IK527" s="89">
        <v>0</v>
      </c>
      <c r="IL527" s="89">
        <v>0</v>
      </c>
      <c r="IM527" s="89">
        <v>0</v>
      </c>
      <c r="IN527" s="89">
        <v>0</v>
      </c>
      <c r="IO527" s="89">
        <v>0</v>
      </c>
      <c r="IP527" s="89">
        <v>0</v>
      </c>
      <c r="IQ527" s="89">
        <v>0</v>
      </c>
      <c r="IR527" s="89">
        <v>0</v>
      </c>
      <c r="IS527" s="89">
        <v>0</v>
      </c>
      <c r="IT527" s="89">
        <v>0</v>
      </c>
      <c r="IU527" s="89">
        <v>0</v>
      </c>
      <c r="IV527" s="89">
        <v>0</v>
      </c>
      <c r="IW527" s="89">
        <v>0</v>
      </c>
      <c r="IX527" s="89">
        <v>0</v>
      </c>
      <c r="IY527" s="89">
        <v>0</v>
      </c>
      <c r="IZ527" s="89">
        <v>0</v>
      </c>
      <c r="JA527" s="89">
        <v>0</v>
      </c>
      <c r="JB527" s="89">
        <v>0</v>
      </c>
      <c r="JC527" s="89">
        <v>0</v>
      </c>
      <c r="JD527" s="89">
        <v>0</v>
      </c>
      <c r="JE527" s="89">
        <v>0</v>
      </c>
      <c r="JF527" s="89">
        <v>0</v>
      </c>
      <c r="JG527" s="89">
        <v>0</v>
      </c>
      <c r="JH527" s="89">
        <v>0</v>
      </c>
      <c r="JI527" s="89">
        <v>0</v>
      </c>
      <c r="JJ527" s="89">
        <v>0</v>
      </c>
      <c r="JK527" s="89">
        <v>0</v>
      </c>
      <c r="JL527" s="89">
        <v>0</v>
      </c>
      <c r="JM527" s="89">
        <v>0</v>
      </c>
      <c r="JN527" s="89">
        <v>0</v>
      </c>
      <c r="JO527" s="89">
        <v>0</v>
      </c>
      <c r="JP527" s="89">
        <v>0</v>
      </c>
      <c r="JQ527" s="89">
        <v>0</v>
      </c>
      <c r="JR527" s="89">
        <v>0</v>
      </c>
      <c r="JS527" s="74">
        <f>HG527-IF527</f>
        <v>0</v>
      </c>
      <c r="JT527" s="382">
        <f>GS527-IF527</f>
        <v>0</v>
      </c>
      <c r="JU527" s="665"/>
      <c r="JV527" s="524"/>
      <c r="JW527" s="525"/>
      <c r="JX527" s="549">
        <f>SUM(HH527,HJ527,HL527,HN527,HP527,HR527,HT527,HV527,HX527,HZ527,IB527,ID527)</f>
        <v>0</v>
      </c>
      <c r="JY527" s="549">
        <f>SUM(HI527,HK527,HM527,HO527,HQ527,HS527,HU527,HW527,HY527,IA527,IC527,IE527)</f>
        <v>0</v>
      </c>
      <c r="JZ527" s="581">
        <f t="shared" si="12201"/>
        <v>0</v>
      </c>
      <c r="KA527" s="581">
        <f t="shared" si="12202"/>
        <v>0</v>
      </c>
      <c r="KB527" s="549">
        <f t="shared" si="12194"/>
        <v>0</v>
      </c>
      <c r="KC527" s="709">
        <f t="shared" si="12200"/>
        <v>0</v>
      </c>
      <c r="KD527" s="36"/>
      <c r="KE527" s="36"/>
      <c r="KF527" s="36"/>
      <c r="KG527" s="36"/>
      <c r="KH527" s="36"/>
      <c r="KI527" s="36"/>
      <c r="KJ527" s="36"/>
      <c r="KK527" s="36"/>
    </row>
    <row r="528" spans="1:297" s="10" customFormat="1" ht="12.75" hidden="1" customHeight="1">
      <c r="A528" s="86" t="s">
        <v>790</v>
      </c>
      <c r="B528" s="77"/>
      <c r="C528" s="74">
        <v>0</v>
      </c>
      <c r="D528" s="549">
        <v>0</v>
      </c>
      <c r="E528" s="675">
        <v>0</v>
      </c>
      <c r="F528" s="549">
        <v>0</v>
      </c>
      <c r="G528" s="675">
        <v>0</v>
      </c>
      <c r="H528" s="549">
        <v>0</v>
      </c>
      <c r="I528" s="675">
        <v>0</v>
      </c>
      <c r="J528" s="549">
        <v>0</v>
      </c>
      <c r="K528" s="675">
        <v>0</v>
      </c>
      <c r="L528" s="549">
        <v>0</v>
      </c>
      <c r="M528" s="675">
        <v>0</v>
      </c>
      <c r="N528" s="549">
        <v>0</v>
      </c>
      <c r="O528" s="675">
        <v>0</v>
      </c>
      <c r="P528" s="549">
        <v>0</v>
      </c>
      <c r="Q528" s="675">
        <v>0</v>
      </c>
      <c r="R528" s="549">
        <v>0</v>
      </c>
      <c r="S528" s="675">
        <v>0</v>
      </c>
      <c r="T528" s="549">
        <v>0</v>
      </c>
      <c r="U528" s="675">
        <v>0</v>
      </c>
      <c r="V528" s="549">
        <v>0</v>
      </c>
      <c r="W528" s="675">
        <v>0</v>
      </c>
      <c r="X528" s="549">
        <v>0</v>
      </c>
      <c r="Y528" s="675">
        <v>0</v>
      </c>
      <c r="Z528" s="549">
        <v>0</v>
      </c>
      <c r="AA528" s="675">
        <v>0</v>
      </c>
      <c r="AB528" s="549">
        <v>0</v>
      </c>
      <c r="AC528" s="675">
        <v>0</v>
      </c>
      <c r="AD528" s="549">
        <v>0</v>
      </c>
      <c r="AE528" s="675">
        <v>0</v>
      </c>
      <c r="AF528" s="549">
        <v>0</v>
      </c>
      <c r="AG528" s="675">
        <v>0</v>
      </c>
      <c r="AH528" s="549">
        <v>0</v>
      </c>
      <c r="AI528" s="675">
        <v>0</v>
      </c>
      <c r="AJ528" s="549">
        <v>0</v>
      </c>
      <c r="AK528" s="675">
        <v>0</v>
      </c>
      <c r="AL528" s="549">
        <v>0</v>
      </c>
      <c r="AM528" s="675">
        <v>0</v>
      </c>
      <c r="AN528" s="549">
        <v>0</v>
      </c>
      <c r="AO528" s="675">
        <v>0</v>
      </c>
      <c r="AP528" s="549">
        <v>0</v>
      </c>
      <c r="AQ528" s="675">
        <v>0</v>
      </c>
      <c r="AR528" s="549">
        <v>0</v>
      </c>
      <c r="AS528" s="675">
        <v>0</v>
      </c>
      <c r="AT528" s="549">
        <v>0</v>
      </c>
      <c r="AU528" s="675">
        <v>0</v>
      </c>
      <c r="AV528" s="549">
        <v>0</v>
      </c>
      <c r="AW528" s="675">
        <v>0</v>
      </c>
      <c r="AX528" s="549">
        <v>0</v>
      </c>
      <c r="AY528" s="675">
        <v>0</v>
      </c>
      <c r="AZ528" s="549">
        <v>0</v>
      </c>
      <c r="BA528" s="675">
        <v>0</v>
      </c>
      <c r="BB528" s="549">
        <v>0</v>
      </c>
      <c r="BC528" s="675">
        <v>0</v>
      </c>
      <c r="BD528" s="549">
        <v>0</v>
      </c>
      <c r="BE528" s="675">
        <v>0</v>
      </c>
      <c r="BF528" s="549">
        <v>0</v>
      </c>
      <c r="BG528" s="675">
        <v>0</v>
      </c>
      <c r="BH528" s="549">
        <v>0</v>
      </c>
      <c r="BI528" s="675">
        <v>0</v>
      </c>
      <c r="BJ528" s="549">
        <v>0</v>
      </c>
      <c r="BK528" s="675">
        <v>0</v>
      </c>
      <c r="BL528" s="549">
        <v>0</v>
      </c>
      <c r="BM528" s="675">
        <v>0</v>
      </c>
      <c r="BN528" s="549">
        <v>0</v>
      </c>
      <c r="BO528" s="675">
        <v>0</v>
      </c>
      <c r="BP528" s="549">
        <v>0</v>
      </c>
      <c r="BQ528" s="675">
        <v>0</v>
      </c>
      <c r="BR528" s="549">
        <v>0</v>
      </c>
      <c r="BS528" s="675">
        <v>0</v>
      </c>
      <c r="BT528" s="549">
        <v>0</v>
      </c>
      <c r="BU528" s="675">
        <v>0</v>
      </c>
      <c r="BV528" s="549">
        <v>0</v>
      </c>
      <c r="BW528" s="675">
        <v>0</v>
      </c>
      <c r="BX528" s="549">
        <v>0</v>
      </c>
      <c r="BY528" s="675">
        <v>0</v>
      </c>
      <c r="BZ528" s="549">
        <v>0</v>
      </c>
      <c r="CA528" s="675">
        <v>0</v>
      </c>
      <c r="CB528" s="549">
        <v>0</v>
      </c>
      <c r="CC528" s="675">
        <v>0</v>
      </c>
      <c r="CD528" s="549">
        <v>0</v>
      </c>
      <c r="CE528" s="675">
        <v>0</v>
      </c>
      <c r="CF528" s="549">
        <v>0</v>
      </c>
      <c r="CG528" s="675">
        <v>0</v>
      </c>
      <c r="CH528" s="549">
        <v>0</v>
      </c>
      <c r="CI528" s="675">
        <v>0</v>
      </c>
      <c r="CJ528" s="549">
        <v>0</v>
      </c>
      <c r="CK528" s="675">
        <v>0</v>
      </c>
      <c r="CL528" s="549">
        <v>0</v>
      </c>
      <c r="CM528" s="675">
        <v>0</v>
      </c>
      <c r="CN528" s="549">
        <v>0</v>
      </c>
      <c r="CO528" s="675">
        <v>0</v>
      </c>
      <c r="CP528" s="549">
        <v>0</v>
      </c>
      <c r="CQ528" s="675">
        <v>0</v>
      </c>
      <c r="CR528" s="549">
        <v>0</v>
      </c>
      <c r="CS528" s="675">
        <v>0</v>
      </c>
      <c r="CT528" s="549">
        <v>0</v>
      </c>
      <c r="CU528" s="675">
        <v>0</v>
      </c>
      <c r="CV528" s="549">
        <v>0</v>
      </c>
      <c r="CW528" s="675">
        <v>0</v>
      </c>
      <c r="CX528" s="549">
        <v>0</v>
      </c>
      <c r="CY528" s="675">
        <v>0</v>
      </c>
      <c r="CZ528" s="549">
        <v>0</v>
      </c>
      <c r="DA528" s="675">
        <v>0</v>
      </c>
      <c r="DB528" s="549">
        <v>0</v>
      </c>
      <c r="DC528" s="675">
        <v>0</v>
      </c>
      <c r="DD528" s="549">
        <v>0</v>
      </c>
      <c r="DE528" s="675">
        <v>0</v>
      </c>
      <c r="DF528" s="549">
        <v>0</v>
      </c>
      <c r="DG528" s="675">
        <v>0</v>
      </c>
      <c r="DH528" s="549">
        <v>0</v>
      </c>
      <c r="DI528" s="675">
        <v>0</v>
      </c>
      <c r="DJ528" s="549">
        <v>0</v>
      </c>
      <c r="DK528" s="675">
        <v>0</v>
      </c>
      <c r="DL528" s="549">
        <v>0</v>
      </c>
      <c r="DM528" s="675">
        <v>0</v>
      </c>
      <c r="DN528" s="549">
        <v>0</v>
      </c>
      <c r="DO528" s="675">
        <v>0</v>
      </c>
      <c r="DP528" s="549">
        <v>0</v>
      </c>
      <c r="DQ528" s="675">
        <v>0</v>
      </c>
      <c r="DR528" s="549">
        <v>0</v>
      </c>
      <c r="DS528" s="675">
        <v>0</v>
      </c>
      <c r="DT528" s="549">
        <v>0</v>
      </c>
      <c r="DU528" s="675">
        <v>0</v>
      </c>
      <c r="DV528" s="549">
        <v>0</v>
      </c>
      <c r="DW528" s="675">
        <v>0</v>
      </c>
      <c r="DX528" s="549">
        <v>0</v>
      </c>
      <c r="DY528" s="675">
        <v>0</v>
      </c>
      <c r="DZ528" s="549">
        <v>0</v>
      </c>
      <c r="EA528" s="675">
        <v>0</v>
      </c>
      <c r="EB528" s="549">
        <v>0</v>
      </c>
      <c r="EC528" s="675">
        <v>0</v>
      </c>
      <c r="ED528" s="549">
        <v>0</v>
      </c>
      <c r="EE528" s="675">
        <v>0</v>
      </c>
      <c r="EF528" s="549">
        <v>0</v>
      </c>
      <c r="EG528" s="675">
        <v>0</v>
      </c>
      <c r="EH528" s="549">
        <v>0</v>
      </c>
      <c r="EI528" s="675">
        <v>0</v>
      </c>
      <c r="EJ528" s="549">
        <v>0</v>
      </c>
      <c r="EK528" s="675">
        <v>0</v>
      </c>
      <c r="EL528" s="549">
        <v>0</v>
      </c>
      <c r="EM528" s="675">
        <v>0</v>
      </c>
      <c r="EN528" s="549">
        <v>0</v>
      </c>
      <c r="EO528" s="675">
        <v>0</v>
      </c>
      <c r="EP528" s="549">
        <v>0</v>
      </c>
      <c r="EQ528" s="675">
        <v>0</v>
      </c>
      <c r="ER528" s="549">
        <v>0</v>
      </c>
      <c r="ES528" s="675">
        <v>0</v>
      </c>
      <c r="ET528" s="549">
        <v>0</v>
      </c>
      <c r="EU528" s="675">
        <v>0</v>
      </c>
      <c r="EV528" s="549">
        <v>0</v>
      </c>
      <c r="EW528" s="675">
        <v>0</v>
      </c>
      <c r="EX528" s="549">
        <v>0</v>
      </c>
      <c r="EY528" s="675">
        <v>0</v>
      </c>
      <c r="EZ528" s="549">
        <v>0</v>
      </c>
      <c r="FA528" s="675">
        <v>0</v>
      </c>
      <c r="FB528" s="549">
        <v>0</v>
      </c>
      <c r="FC528" s="675">
        <v>0</v>
      </c>
      <c r="FD528" s="549">
        <v>0</v>
      </c>
      <c r="FE528" s="675">
        <v>0</v>
      </c>
      <c r="FF528" s="549">
        <v>0</v>
      </c>
      <c r="FG528" s="675">
        <v>0</v>
      </c>
      <c r="FH528" s="549">
        <v>0</v>
      </c>
      <c r="FI528" s="675">
        <v>0</v>
      </c>
      <c r="FJ528" s="549">
        <v>0</v>
      </c>
      <c r="FK528" s="675">
        <v>0</v>
      </c>
      <c r="FL528" s="549">
        <v>0</v>
      </c>
      <c r="FM528" s="675">
        <v>0</v>
      </c>
      <c r="FN528" s="549">
        <v>0</v>
      </c>
      <c r="FO528" s="675">
        <v>0</v>
      </c>
      <c r="FP528" s="549">
        <v>0</v>
      </c>
      <c r="FQ528" s="675">
        <v>0</v>
      </c>
      <c r="FR528" s="549">
        <v>0</v>
      </c>
      <c r="FS528" s="675">
        <v>0</v>
      </c>
      <c r="FT528" s="549">
        <v>0</v>
      </c>
      <c r="FU528" s="675">
        <v>0</v>
      </c>
      <c r="FV528" s="549">
        <v>0</v>
      </c>
      <c r="FW528" s="675">
        <v>0</v>
      </c>
      <c r="FX528" s="549">
        <v>0</v>
      </c>
      <c r="FY528" s="675">
        <v>0</v>
      </c>
      <c r="FZ528" s="549">
        <v>0</v>
      </c>
      <c r="GA528" s="675">
        <v>0</v>
      </c>
      <c r="GB528" s="549">
        <v>0</v>
      </c>
      <c r="GC528" s="675">
        <v>0</v>
      </c>
      <c r="GD528" s="549">
        <v>0</v>
      </c>
      <c r="GE528" s="675">
        <v>0</v>
      </c>
      <c r="GF528" s="549">
        <v>0</v>
      </c>
      <c r="GG528" s="675">
        <v>0</v>
      </c>
      <c r="GH528" s="549">
        <v>0</v>
      </c>
      <c r="GI528" s="675">
        <v>0</v>
      </c>
      <c r="GJ528" s="549">
        <v>0</v>
      </c>
      <c r="GK528" s="675">
        <v>0</v>
      </c>
      <c r="GL528" s="549">
        <v>0</v>
      </c>
      <c r="GM528" s="675">
        <v>0</v>
      </c>
      <c r="GN528" s="549">
        <v>0</v>
      </c>
      <c r="GO528" s="675">
        <v>0</v>
      </c>
      <c r="GP528" s="549">
        <f>+D528+F528+H528+J528+L528+N528+P528+R528+T528+V528+X528+Z528+AB528+AD528+AH528+AJ528+AL528+AN528+AP528+AR528+AT528+AV528+AX528+AZ528+BB528+BD528+BF528+BH528+BJ528+BL528+BN528+BP528+BR528+BT528+BV528+BX528+BZ528+CB528+CD528+CF528+CH528+CJ528+CL528+CN528+CP528+CR528+CT528+CV528+CX528+CZ528+DB528+DD528+DF528+DH528+DT528+EX528+DJ528+DL528+DN528+DP528+DR528+EJ528+EB528+DZ528+DX528+DV528+ED528+EF528+EH528+EL528+EN528+EP528+EV528+ET528+ER528+EZ528+FB528+FD528+GL528</f>
        <v>0</v>
      </c>
      <c r="GQ528" s="675">
        <f>+E528+G528+I528+K528+M528+O528+Q528+S528+U528+W528+Y528+AA528+AC528+AE528+AI528+AK528+AM528+AO528+AQ528+AS528+AU528+AW528+AY528+BA528+BC528+BE528+BG528+BI528+BK528+BM528+BO528+BQ528+BS528+BU528+BW528+BY528+CA528+CC528+CE528+CG528+CI528+CK528+CM528+CO528+CQ528+CS528+CU528+CW528+CY528+DA528+DC528+DE528+DG528+DI528+DU528+EY528+DK528+DM528+DO528+DQ528+DS528+EK528+EC528+EA528+DY528+DW528+EI528+EG528+EE528+EM528+EO528+EQ528+EW528+EU528+ES528+FA528+FC528+FE528+GM528</f>
        <v>0</v>
      </c>
      <c r="GR528" s="74">
        <f>C528+GP528+GQ528</f>
        <v>0</v>
      </c>
      <c r="GS528" s="74">
        <f t="shared" si="12599"/>
        <v>0</v>
      </c>
      <c r="GT528" s="568">
        <f>SUM(GU528:HF528)+GQ528+GP528</f>
        <v>0</v>
      </c>
      <c r="GU528" s="275">
        <v>0</v>
      </c>
      <c r="GV528" s="275">
        <v>0</v>
      </c>
      <c r="GW528" s="588">
        <v>0</v>
      </c>
      <c r="GX528" s="588">
        <v>0</v>
      </c>
      <c r="GY528" s="275">
        <v>0</v>
      </c>
      <c r="GZ528" s="275">
        <v>0</v>
      </c>
      <c r="HA528" s="275">
        <v>0</v>
      </c>
      <c r="HB528" s="275">
        <v>0</v>
      </c>
      <c r="HC528" s="275">
        <v>0</v>
      </c>
      <c r="HD528" s="275">
        <v>0</v>
      </c>
      <c r="HE528" s="275">
        <v>0</v>
      </c>
      <c r="HF528" s="275">
        <v>0</v>
      </c>
      <c r="HG528" s="74">
        <f>SUM(HH528:IE528)</f>
        <v>0</v>
      </c>
      <c r="HH528" s="89">
        <v>0</v>
      </c>
      <c r="HI528" s="817">
        <v>0</v>
      </c>
      <c r="HJ528" s="89">
        <v>0</v>
      </c>
      <c r="HK528" s="817">
        <v>0</v>
      </c>
      <c r="HL528" s="89">
        <v>0</v>
      </c>
      <c r="HM528" s="817">
        <v>0</v>
      </c>
      <c r="HN528" s="89">
        <v>0</v>
      </c>
      <c r="HO528" s="817">
        <v>0</v>
      </c>
      <c r="HP528" s="89">
        <v>0</v>
      </c>
      <c r="HQ528" s="817">
        <v>0</v>
      </c>
      <c r="HR528" s="89">
        <v>0</v>
      </c>
      <c r="HS528" s="817">
        <v>0</v>
      </c>
      <c r="HT528" s="89">
        <v>0</v>
      </c>
      <c r="HU528" s="817">
        <v>0</v>
      </c>
      <c r="HV528" s="89">
        <v>0</v>
      </c>
      <c r="HW528" s="817">
        <v>0</v>
      </c>
      <c r="HX528" s="89">
        <v>0</v>
      </c>
      <c r="HY528" s="817">
        <v>0</v>
      </c>
      <c r="HZ528" s="89">
        <v>0</v>
      </c>
      <c r="IA528" s="817">
        <v>0</v>
      </c>
      <c r="IB528" s="89">
        <v>0</v>
      </c>
      <c r="IC528" s="817">
        <v>0</v>
      </c>
      <c r="ID528" s="89">
        <v>0</v>
      </c>
      <c r="IE528" s="817">
        <v>0</v>
      </c>
      <c r="IF528" s="841">
        <f t="shared" si="12600"/>
        <v>0</v>
      </c>
      <c r="IG528" s="263">
        <f t="shared" si="12601"/>
        <v>0</v>
      </c>
      <c r="IH528" s="842">
        <f t="shared" si="12602"/>
        <v>0</v>
      </c>
      <c r="II528" s="89">
        <v>0</v>
      </c>
      <c r="IJ528" s="89">
        <v>0</v>
      </c>
      <c r="IK528" s="89">
        <v>0</v>
      </c>
      <c r="IL528" s="89">
        <v>0</v>
      </c>
      <c r="IM528" s="89">
        <v>0</v>
      </c>
      <c r="IN528" s="89">
        <v>0</v>
      </c>
      <c r="IO528" s="89">
        <v>0</v>
      </c>
      <c r="IP528" s="89">
        <v>0</v>
      </c>
      <c r="IQ528" s="89">
        <v>0</v>
      </c>
      <c r="IR528" s="89">
        <v>0</v>
      </c>
      <c r="IS528" s="89">
        <v>0</v>
      </c>
      <c r="IT528" s="89">
        <v>0</v>
      </c>
      <c r="IU528" s="89">
        <v>0</v>
      </c>
      <c r="IV528" s="89">
        <v>0</v>
      </c>
      <c r="IW528" s="89">
        <v>0</v>
      </c>
      <c r="IX528" s="89">
        <v>0</v>
      </c>
      <c r="IY528" s="89">
        <v>0</v>
      </c>
      <c r="IZ528" s="89">
        <v>0</v>
      </c>
      <c r="JA528" s="89">
        <v>0</v>
      </c>
      <c r="JB528" s="89">
        <v>0</v>
      </c>
      <c r="JC528" s="89">
        <v>0</v>
      </c>
      <c r="JD528" s="89">
        <v>0</v>
      </c>
      <c r="JE528" s="89">
        <v>0</v>
      </c>
      <c r="JF528" s="89">
        <v>0</v>
      </c>
      <c r="JG528" s="89">
        <v>0</v>
      </c>
      <c r="JH528" s="89">
        <v>0</v>
      </c>
      <c r="JI528" s="89">
        <v>0</v>
      </c>
      <c r="JJ528" s="89">
        <v>0</v>
      </c>
      <c r="JK528" s="89">
        <v>0</v>
      </c>
      <c r="JL528" s="89">
        <v>0</v>
      </c>
      <c r="JM528" s="89">
        <v>0</v>
      </c>
      <c r="JN528" s="89">
        <v>0</v>
      </c>
      <c r="JO528" s="89">
        <v>0</v>
      </c>
      <c r="JP528" s="89">
        <v>0</v>
      </c>
      <c r="JQ528" s="89">
        <v>0</v>
      </c>
      <c r="JR528" s="89">
        <v>0</v>
      </c>
      <c r="JS528" s="74">
        <f>HG528-IF528</f>
        <v>0</v>
      </c>
      <c r="JT528" s="382">
        <f>GS528-IF528</f>
        <v>0</v>
      </c>
      <c r="JU528" s="665"/>
      <c r="JV528" s="524"/>
      <c r="JW528" s="525"/>
      <c r="JX528" s="549">
        <f>SUM(HH528,HJ528,HL528,HN528,HP528,HR528,HT528,HV528,HX528,HZ528,IB528,ID528)</f>
        <v>0</v>
      </c>
      <c r="JY528" s="549">
        <f>SUM(HI528,HK528,HM528,HO528,HQ528,HS528,HU528,HW528,HY528,IA528,IC528,IE528)</f>
        <v>0</v>
      </c>
      <c r="JZ528" s="581">
        <f t="shared" si="12201"/>
        <v>0</v>
      </c>
      <c r="KA528" s="581">
        <f t="shared" si="12202"/>
        <v>0</v>
      </c>
      <c r="KB528" s="549">
        <f t="shared" si="12194"/>
        <v>0</v>
      </c>
      <c r="KC528" s="709">
        <f t="shared" si="12200"/>
        <v>0</v>
      </c>
      <c r="KD528" s="36"/>
      <c r="KE528" s="36"/>
      <c r="KF528" s="36"/>
      <c r="KG528" s="36"/>
      <c r="KH528" s="36"/>
      <c r="KI528" s="36"/>
      <c r="KJ528" s="36"/>
      <c r="KK528" s="36"/>
    </row>
    <row r="529" spans="1:297" s="8" customFormat="1" ht="12.75" hidden="1" customHeight="1">
      <c r="A529" s="80"/>
      <c r="B529" s="72"/>
      <c r="C529" s="74"/>
      <c r="D529" s="549"/>
      <c r="E529" s="675"/>
      <c r="F529" s="549"/>
      <c r="G529" s="675"/>
      <c r="H529" s="549"/>
      <c r="I529" s="675"/>
      <c r="J529" s="549"/>
      <c r="K529" s="675"/>
      <c r="L529" s="549"/>
      <c r="M529" s="675"/>
      <c r="N529" s="549"/>
      <c r="O529" s="675"/>
      <c r="P529" s="549"/>
      <c r="Q529" s="675"/>
      <c r="R529" s="549"/>
      <c r="S529" s="675"/>
      <c r="T529" s="549"/>
      <c r="U529" s="675"/>
      <c r="V529" s="549"/>
      <c r="W529" s="675"/>
      <c r="X529" s="549"/>
      <c r="Y529" s="675"/>
      <c r="Z529" s="549"/>
      <c r="AA529" s="675"/>
      <c r="AB529" s="549"/>
      <c r="AC529" s="675"/>
      <c r="AD529" s="549"/>
      <c r="AE529" s="675"/>
      <c r="AF529" s="549"/>
      <c r="AG529" s="675"/>
      <c r="AH529" s="549"/>
      <c r="AI529" s="675"/>
      <c r="AJ529" s="549"/>
      <c r="AK529" s="675"/>
      <c r="AL529" s="549"/>
      <c r="AM529" s="675"/>
      <c r="AN529" s="549"/>
      <c r="AO529" s="675"/>
      <c r="AP529" s="549"/>
      <c r="AQ529" s="675"/>
      <c r="AR529" s="549"/>
      <c r="AS529" s="675"/>
      <c r="AT529" s="549"/>
      <c r="AU529" s="675"/>
      <c r="AV529" s="549"/>
      <c r="AW529" s="675"/>
      <c r="AX529" s="549"/>
      <c r="AY529" s="675"/>
      <c r="AZ529" s="549"/>
      <c r="BA529" s="675"/>
      <c r="BB529" s="549"/>
      <c r="BC529" s="675"/>
      <c r="BD529" s="549"/>
      <c r="BE529" s="675"/>
      <c r="BF529" s="549"/>
      <c r="BG529" s="675"/>
      <c r="BH529" s="549"/>
      <c r="BI529" s="675"/>
      <c r="BJ529" s="549"/>
      <c r="BK529" s="675"/>
      <c r="BL529" s="549"/>
      <c r="BM529" s="675"/>
      <c r="BN529" s="549"/>
      <c r="BO529" s="675"/>
      <c r="BP529" s="549"/>
      <c r="BQ529" s="675"/>
      <c r="BR529" s="549"/>
      <c r="BS529" s="675"/>
      <c r="BT529" s="549"/>
      <c r="BU529" s="675"/>
      <c r="BV529" s="549"/>
      <c r="BW529" s="675"/>
      <c r="BX529" s="549"/>
      <c r="BY529" s="675"/>
      <c r="BZ529" s="549"/>
      <c r="CA529" s="675"/>
      <c r="CB529" s="549"/>
      <c r="CC529" s="675"/>
      <c r="CD529" s="549"/>
      <c r="CE529" s="675"/>
      <c r="CF529" s="549"/>
      <c r="CG529" s="675"/>
      <c r="CH529" s="549"/>
      <c r="CI529" s="675"/>
      <c r="CJ529" s="549"/>
      <c r="CK529" s="675"/>
      <c r="CL529" s="549"/>
      <c r="CM529" s="675"/>
      <c r="CN529" s="549"/>
      <c r="CO529" s="675"/>
      <c r="CP529" s="549"/>
      <c r="CQ529" s="675"/>
      <c r="CR529" s="549"/>
      <c r="CS529" s="675"/>
      <c r="CT529" s="549"/>
      <c r="CU529" s="675"/>
      <c r="CV529" s="549"/>
      <c r="CW529" s="675"/>
      <c r="CX529" s="549"/>
      <c r="CY529" s="675"/>
      <c r="CZ529" s="549"/>
      <c r="DA529" s="675"/>
      <c r="DB529" s="549"/>
      <c r="DC529" s="675"/>
      <c r="DD529" s="549"/>
      <c r="DE529" s="675"/>
      <c r="DF529" s="549"/>
      <c r="DG529" s="675"/>
      <c r="DH529" s="549"/>
      <c r="DI529" s="675"/>
      <c r="DJ529" s="549"/>
      <c r="DK529" s="675"/>
      <c r="DL529" s="549"/>
      <c r="DM529" s="675"/>
      <c r="DN529" s="549"/>
      <c r="DO529" s="675"/>
      <c r="DP529" s="549"/>
      <c r="DQ529" s="675"/>
      <c r="DR529" s="549"/>
      <c r="DS529" s="675"/>
      <c r="DT529" s="549"/>
      <c r="DU529" s="675"/>
      <c r="DV529" s="549"/>
      <c r="DW529" s="675"/>
      <c r="DX529" s="549"/>
      <c r="DY529" s="675"/>
      <c r="DZ529" s="549"/>
      <c r="EA529" s="675"/>
      <c r="EB529" s="549"/>
      <c r="EC529" s="675"/>
      <c r="ED529" s="549"/>
      <c r="EE529" s="675"/>
      <c r="EF529" s="549"/>
      <c r="EG529" s="675"/>
      <c r="EH529" s="549"/>
      <c r="EI529" s="675"/>
      <c r="EJ529" s="549"/>
      <c r="EK529" s="675"/>
      <c r="EL529" s="549"/>
      <c r="EM529" s="675"/>
      <c r="EN529" s="549"/>
      <c r="EO529" s="675"/>
      <c r="EP529" s="549"/>
      <c r="EQ529" s="675"/>
      <c r="ER529" s="549"/>
      <c r="ES529" s="675"/>
      <c r="ET529" s="549"/>
      <c r="EU529" s="675"/>
      <c r="EV529" s="549"/>
      <c r="EW529" s="675"/>
      <c r="EX529" s="549"/>
      <c r="EY529" s="675"/>
      <c r="EZ529" s="549"/>
      <c r="FA529" s="675"/>
      <c r="FB529" s="549"/>
      <c r="FC529" s="675"/>
      <c r="FD529" s="549"/>
      <c r="FE529" s="675"/>
      <c r="FF529" s="549"/>
      <c r="FG529" s="675"/>
      <c r="FH529" s="549"/>
      <c r="FI529" s="675"/>
      <c r="FJ529" s="549"/>
      <c r="FK529" s="675"/>
      <c r="FL529" s="549"/>
      <c r="FM529" s="675"/>
      <c r="FN529" s="549"/>
      <c r="FO529" s="675"/>
      <c r="FP529" s="549"/>
      <c r="FQ529" s="675"/>
      <c r="FR529" s="549"/>
      <c r="FS529" s="675"/>
      <c r="FT529" s="549"/>
      <c r="FU529" s="675"/>
      <c r="FV529" s="549"/>
      <c r="FW529" s="675"/>
      <c r="FX529" s="549"/>
      <c r="FY529" s="675"/>
      <c r="FZ529" s="549"/>
      <c r="GA529" s="675"/>
      <c r="GB529" s="549"/>
      <c r="GC529" s="675"/>
      <c r="GD529" s="549"/>
      <c r="GE529" s="675"/>
      <c r="GF529" s="549"/>
      <c r="GG529" s="675"/>
      <c r="GH529" s="549"/>
      <c r="GI529" s="675"/>
      <c r="GJ529" s="549"/>
      <c r="GK529" s="675"/>
      <c r="GL529" s="549"/>
      <c r="GM529" s="675"/>
      <c r="GN529" s="549"/>
      <c r="GO529" s="675"/>
      <c r="GP529" s="549"/>
      <c r="GQ529" s="675"/>
      <c r="GR529" s="74"/>
      <c r="GS529" s="74"/>
      <c r="GT529" s="568"/>
      <c r="GU529" s="90"/>
      <c r="GV529" s="90"/>
      <c r="GW529" s="568"/>
      <c r="GX529" s="568"/>
      <c r="GY529" s="90"/>
      <c r="GZ529" s="90"/>
      <c r="HA529" s="90"/>
      <c r="HB529" s="90"/>
      <c r="HC529" s="90"/>
      <c r="HD529" s="90"/>
      <c r="HE529" s="90"/>
      <c r="HF529" s="90"/>
      <c r="HG529" s="74"/>
      <c r="HH529" s="90"/>
      <c r="HI529" s="819"/>
      <c r="HJ529" s="90"/>
      <c r="HK529" s="819"/>
      <c r="HL529" s="90"/>
      <c r="HM529" s="819"/>
      <c r="HN529" s="90"/>
      <c r="HO529" s="819"/>
      <c r="HP529" s="90"/>
      <c r="HQ529" s="819"/>
      <c r="HR529" s="90"/>
      <c r="HS529" s="819"/>
      <c r="HT529" s="90"/>
      <c r="HU529" s="819"/>
      <c r="HV529" s="90"/>
      <c r="HW529" s="819"/>
      <c r="HX529" s="90"/>
      <c r="HY529" s="819"/>
      <c r="HZ529" s="90"/>
      <c r="IA529" s="819"/>
      <c r="IB529" s="90"/>
      <c r="IC529" s="819"/>
      <c r="ID529" s="90"/>
      <c r="IE529" s="819"/>
      <c r="IF529" s="841"/>
      <c r="IG529" s="263"/>
      <c r="IH529" s="842"/>
      <c r="II529" s="90"/>
      <c r="IJ529" s="90"/>
      <c r="IK529" s="90"/>
      <c r="IL529" s="90"/>
      <c r="IM529" s="90"/>
      <c r="IN529" s="90"/>
      <c r="IO529" s="90"/>
      <c r="IP529" s="90"/>
      <c r="IQ529" s="90"/>
      <c r="IR529" s="90"/>
      <c r="IS529" s="90"/>
      <c r="IT529" s="90"/>
      <c r="IU529" s="90"/>
      <c r="IV529" s="90"/>
      <c r="IW529" s="90"/>
      <c r="IX529" s="90"/>
      <c r="IY529" s="90"/>
      <c r="IZ529" s="90"/>
      <c r="JA529" s="90"/>
      <c r="JB529" s="90"/>
      <c r="JC529" s="90"/>
      <c r="JD529" s="90"/>
      <c r="JE529" s="90"/>
      <c r="JF529" s="90"/>
      <c r="JG529" s="90"/>
      <c r="JH529" s="90"/>
      <c r="JI529" s="90"/>
      <c r="JJ529" s="90"/>
      <c r="JK529" s="90"/>
      <c r="JL529" s="90"/>
      <c r="JM529" s="90"/>
      <c r="JN529" s="90"/>
      <c r="JO529" s="90"/>
      <c r="JP529" s="90"/>
      <c r="JQ529" s="90"/>
      <c r="JR529" s="90"/>
      <c r="JS529" s="74"/>
      <c r="JT529" s="382"/>
      <c r="JU529" s="665"/>
      <c r="JV529" s="524"/>
      <c r="JW529" s="525"/>
      <c r="JX529" s="549"/>
      <c r="JY529" s="549"/>
      <c r="JZ529" s="581">
        <f t="shared" si="12201"/>
        <v>0</v>
      </c>
      <c r="KA529" s="581">
        <f t="shared" si="12202"/>
        <v>0</v>
      </c>
      <c r="KB529" s="549">
        <f t="shared" si="12194"/>
        <v>0</v>
      </c>
      <c r="KC529" s="709">
        <f t="shared" si="12200"/>
        <v>0</v>
      </c>
      <c r="KD529" s="36"/>
      <c r="KE529" s="36"/>
      <c r="KF529" s="36"/>
      <c r="KG529" s="36"/>
      <c r="KH529" s="36"/>
      <c r="KI529" s="36"/>
      <c r="KJ529" s="36"/>
      <c r="KK529" s="36"/>
    </row>
    <row r="530" spans="1:297" s="8" customFormat="1">
      <c r="A530" s="80" t="s">
        <v>299</v>
      </c>
      <c r="B530" s="72" t="s">
        <v>198</v>
      </c>
      <c r="C530" s="74">
        <f>C535+C532+C538</f>
        <v>615300</v>
      </c>
      <c r="D530" s="549">
        <f t="shared" ref="D530:E530" si="12603">D535</f>
        <v>0</v>
      </c>
      <c r="E530" s="675">
        <f t="shared" si="12603"/>
        <v>0</v>
      </c>
      <c r="F530" s="549">
        <f t="shared" ref="F530:O530" si="12604">F535</f>
        <v>0</v>
      </c>
      <c r="G530" s="675">
        <f t="shared" si="12604"/>
        <v>0</v>
      </c>
      <c r="H530" s="549">
        <f t="shared" si="12604"/>
        <v>0</v>
      </c>
      <c r="I530" s="675">
        <f t="shared" si="12604"/>
        <v>0</v>
      </c>
      <c r="J530" s="549">
        <f t="shared" si="12604"/>
        <v>0</v>
      </c>
      <c r="K530" s="675">
        <f t="shared" si="12604"/>
        <v>0</v>
      </c>
      <c r="L530" s="549">
        <f t="shared" si="12604"/>
        <v>0</v>
      </c>
      <c r="M530" s="675">
        <f t="shared" si="12604"/>
        <v>0</v>
      </c>
      <c r="N530" s="549">
        <f t="shared" si="12604"/>
        <v>0</v>
      </c>
      <c r="O530" s="675">
        <f t="shared" si="12604"/>
        <v>0</v>
      </c>
      <c r="P530" s="549">
        <f t="shared" ref="P530:AU530" si="12605">P535+P538</f>
        <v>3724</v>
      </c>
      <c r="Q530" s="675">
        <f t="shared" si="12605"/>
        <v>-3724</v>
      </c>
      <c r="R530" s="549">
        <f t="shared" si="12605"/>
        <v>0</v>
      </c>
      <c r="S530" s="675">
        <f t="shared" si="12605"/>
        <v>0</v>
      </c>
      <c r="T530" s="549">
        <f t="shared" si="12605"/>
        <v>0</v>
      </c>
      <c r="U530" s="675">
        <f t="shared" si="12605"/>
        <v>0</v>
      </c>
      <c r="V530" s="549">
        <f t="shared" si="12605"/>
        <v>0</v>
      </c>
      <c r="W530" s="675">
        <f t="shared" si="12605"/>
        <v>-8700</v>
      </c>
      <c r="X530" s="549">
        <f t="shared" si="12605"/>
        <v>0</v>
      </c>
      <c r="Y530" s="675">
        <f t="shared" si="12605"/>
        <v>0</v>
      </c>
      <c r="Z530" s="549">
        <f t="shared" si="12605"/>
        <v>0</v>
      </c>
      <c r="AA530" s="675">
        <f t="shared" si="12605"/>
        <v>0</v>
      </c>
      <c r="AB530" s="549">
        <f t="shared" si="12605"/>
        <v>0</v>
      </c>
      <c r="AC530" s="675">
        <f t="shared" si="12605"/>
        <v>0</v>
      </c>
      <c r="AD530" s="549">
        <f t="shared" si="12605"/>
        <v>0</v>
      </c>
      <c r="AE530" s="675">
        <f t="shared" si="12605"/>
        <v>0</v>
      </c>
      <c r="AF530" s="549">
        <f t="shared" si="12605"/>
        <v>0</v>
      </c>
      <c r="AG530" s="675">
        <f t="shared" si="12605"/>
        <v>0</v>
      </c>
      <c r="AH530" s="549">
        <f t="shared" si="12605"/>
        <v>0</v>
      </c>
      <c r="AI530" s="675">
        <f t="shared" si="12605"/>
        <v>0</v>
      </c>
      <c r="AJ530" s="549">
        <f t="shared" si="12605"/>
        <v>0</v>
      </c>
      <c r="AK530" s="675">
        <f t="shared" si="12605"/>
        <v>0</v>
      </c>
      <c r="AL530" s="549">
        <f t="shared" si="12605"/>
        <v>0</v>
      </c>
      <c r="AM530" s="675">
        <f t="shared" si="12605"/>
        <v>0</v>
      </c>
      <c r="AN530" s="549">
        <f t="shared" si="12605"/>
        <v>0</v>
      </c>
      <c r="AO530" s="675">
        <f t="shared" si="12605"/>
        <v>0</v>
      </c>
      <c r="AP530" s="549">
        <f t="shared" si="12605"/>
        <v>0</v>
      </c>
      <c r="AQ530" s="675">
        <f t="shared" si="12605"/>
        <v>0</v>
      </c>
      <c r="AR530" s="549">
        <f t="shared" si="12605"/>
        <v>0</v>
      </c>
      <c r="AS530" s="675">
        <f t="shared" si="12605"/>
        <v>0</v>
      </c>
      <c r="AT530" s="549">
        <f t="shared" si="12605"/>
        <v>0</v>
      </c>
      <c r="AU530" s="675">
        <f t="shared" si="12605"/>
        <v>0</v>
      </c>
      <c r="AV530" s="549">
        <f t="shared" ref="AV530:CA530" si="12606">AV535+AV538</f>
        <v>0</v>
      </c>
      <c r="AW530" s="675">
        <f t="shared" si="12606"/>
        <v>0</v>
      </c>
      <c r="AX530" s="549">
        <f t="shared" si="12606"/>
        <v>0</v>
      </c>
      <c r="AY530" s="675">
        <f t="shared" si="12606"/>
        <v>0</v>
      </c>
      <c r="AZ530" s="549">
        <f t="shared" si="12606"/>
        <v>0</v>
      </c>
      <c r="BA530" s="675">
        <f t="shared" si="12606"/>
        <v>0</v>
      </c>
      <c r="BB530" s="549">
        <f t="shared" si="12606"/>
        <v>0</v>
      </c>
      <c r="BC530" s="675">
        <f t="shared" si="12606"/>
        <v>0</v>
      </c>
      <c r="BD530" s="549">
        <f t="shared" si="12606"/>
        <v>0</v>
      </c>
      <c r="BE530" s="675">
        <f t="shared" si="12606"/>
        <v>0</v>
      </c>
      <c r="BF530" s="549">
        <f t="shared" si="12606"/>
        <v>0</v>
      </c>
      <c r="BG530" s="675">
        <f t="shared" si="12606"/>
        <v>0</v>
      </c>
      <c r="BH530" s="549">
        <f t="shared" si="12606"/>
        <v>0</v>
      </c>
      <c r="BI530" s="675">
        <f t="shared" si="12606"/>
        <v>0</v>
      </c>
      <c r="BJ530" s="549">
        <f t="shared" si="12606"/>
        <v>0</v>
      </c>
      <c r="BK530" s="675">
        <f t="shared" si="12606"/>
        <v>0</v>
      </c>
      <c r="BL530" s="549">
        <f t="shared" si="12606"/>
        <v>0</v>
      </c>
      <c r="BM530" s="675">
        <f t="shared" si="12606"/>
        <v>0</v>
      </c>
      <c r="BN530" s="549">
        <f t="shared" si="12606"/>
        <v>0</v>
      </c>
      <c r="BO530" s="675">
        <f t="shared" si="12606"/>
        <v>0</v>
      </c>
      <c r="BP530" s="549">
        <f t="shared" si="12606"/>
        <v>0</v>
      </c>
      <c r="BQ530" s="675">
        <f t="shared" si="12606"/>
        <v>0</v>
      </c>
      <c r="BR530" s="549">
        <f t="shared" si="12606"/>
        <v>0</v>
      </c>
      <c r="BS530" s="675">
        <f t="shared" si="12606"/>
        <v>0</v>
      </c>
      <c r="BT530" s="549">
        <f t="shared" si="12606"/>
        <v>0</v>
      </c>
      <c r="BU530" s="675">
        <f t="shared" si="12606"/>
        <v>0</v>
      </c>
      <c r="BV530" s="549">
        <f t="shared" si="12606"/>
        <v>0</v>
      </c>
      <c r="BW530" s="675">
        <f t="shared" si="12606"/>
        <v>0</v>
      </c>
      <c r="BX530" s="549">
        <f t="shared" si="12606"/>
        <v>0</v>
      </c>
      <c r="BY530" s="675">
        <f t="shared" si="12606"/>
        <v>0</v>
      </c>
      <c r="BZ530" s="549">
        <f t="shared" si="12606"/>
        <v>0</v>
      </c>
      <c r="CA530" s="675">
        <f t="shared" si="12606"/>
        <v>0</v>
      </c>
      <c r="CB530" s="549">
        <f t="shared" ref="CB530:DG530" si="12607">CB535+CB538</f>
        <v>0</v>
      </c>
      <c r="CC530" s="675">
        <f t="shared" si="12607"/>
        <v>0</v>
      </c>
      <c r="CD530" s="549">
        <f t="shared" si="12607"/>
        <v>0</v>
      </c>
      <c r="CE530" s="675">
        <f t="shared" si="12607"/>
        <v>0</v>
      </c>
      <c r="CF530" s="549">
        <f t="shared" si="12607"/>
        <v>0</v>
      </c>
      <c r="CG530" s="675">
        <f t="shared" si="12607"/>
        <v>0</v>
      </c>
      <c r="CH530" s="549">
        <f t="shared" si="12607"/>
        <v>0</v>
      </c>
      <c r="CI530" s="675">
        <f t="shared" si="12607"/>
        <v>0</v>
      </c>
      <c r="CJ530" s="549">
        <f t="shared" si="12607"/>
        <v>0</v>
      </c>
      <c r="CK530" s="675">
        <f t="shared" si="12607"/>
        <v>-52768</v>
      </c>
      <c r="CL530" s="549">
        <f t="shared" si="12607"/>
        <v>0</v>
      </c>
      <c r="CM530" s="675">
        <f t="shared" si="12607"/>
        <v>0</v>
      </c>
      <c r="CN530" s="549">
        <f t="shared" si="12607"/>
        <v>0</v>
      </c>
      <c r="CO530" s="675">
        <f t="shared" si="12607"/>
        <v>0</v>
      </c>
      <c r="CP530" s="549">
        <f t="shared" si="12607"/>
        <v>0</v>
      </c>
      <c r="CQ530" s="675">
        <f t="shared" si="12607"/>
        <v>0</v>
      </c>
      <c r="CR530" s="549">
        <f t="shared" si="12607"/>
        <v>0</v>
      </c>
      <c r="CS530" s="675">
        <f t="shared" si="12607"/>
        <v>0</v>
      </c>
      <c r="CT530" s="549">
        <f t="shared" si="12607"/>
        <v>0</v>
      </c>
      <c r="CU530" s="675">
        <f t="shared" si="12607"/>
        <v>0</v>
      </c>
      <c r="CV530" s="549">
        <f t="shared" si="12607"/>
        <v>0</v>
      </c>
      <c r="CW530" s="675">
        <f t="shared" si="12607"/>
        <v>0</v>
      </c>
      <c r="CX530" s="549">
        <f t="shared" si="12607"/>
        <v>0</v>
      </c>
      <c r="CY530" s="675">
        <f t="shared" si="12607"/>
        <v>0</v>
      </c>
      <c r="CZ530" s="549">
        <f t="shared" si="12607"/>
        <v>0</v>
      </c>
      <c r="DA530" s="675">
        <f t="shared" si="12607"/>
        <v>-35000</v>
      </c>
      <c r="DB530" s="549">
        <f t="shared" si="12607"/>
        <v>0</v>
      </c>
      <c r="DC530" s="675">
        <f t="shared" si="12607"/>
        <v>0</v>
      </c>
      <c r="DD530" s="549">
        <f t="shared" si="12607"/>
        <v>0</v>
      </c>
      <c r="DE530" s="675">
        <f t="shared" si="12607"/>
        <v>0</v>
      </c>
      <c r="DF530" s="549">
        <f t="shared" si="12607"/>
        <v>0</v>
      </c>
      <c r="DG530" s="675">
        <f t="shared" si="12607"/>
        <v>0</v>
      </c>
      <c r="DH530" s="549">
        <f t="shared" ref="DH530:EM530" si="12608">DH535+DH538</f>
        <v>0</v>
      </c>
      <c r="DI530" s="675">
        <f t="shared" si="12608"/>
        <v>0</v>
      </c>
      <c r="DJ530" s="549">
        <f t="shared" si="12608"/>
        <v>0</v>
      </c>
      <c r="DK530" s="675">
        <f t="shared" si="12608"/>
        <v>0</v>
      </c>
      <c r="DL530" s="549">
        <f t="shared" si="12608"/>
        <v>0</v>
      </c>
      <c r="DM530" s="675">
        <f t="shared" si="12608"/>
        <v>0</v>
      </c>
      <c r="DN530" s="549">
        <f t="shared" si="12608"/>
        <v>0</v>
      </c>
      <c r="DO530" s="675">
        <f t="shared" si="12608"/>
        <v>0</v>
      </c>
      <c r="DP530" s="549">
        <f t="shared" si="12608"/>
        <v>0</v>
      </c>
      <c r="DQ530" s="675">
        <f t="shared" si="12608"/>
        <v>-20560</v>
      </c>
      <c r="DR530" s="549">
        <f t="shared" si="12608"/>
        <v>0</v>
      </c>
      <c r="DS530" s="675">
        <f t="shared" si="12608"/>
        <v>0</v>
      </c>
      <c r="DT530" s="549">
        <f t="shared" si="12608"/>
        <v>0</v>
      </c>
      <c r="DU530" s="675">
        <f t="shared" si="12608"/>
        <v>0</v>
      </c>
      <c r="DV530" s="549">
        <f t="shared" si="12608"/>
        <v>0</v>
      </c>
      <c r="DW530" s="675">
        <f t="shared" si="12608"/>
        <v>0</v>
      </c>
      <c r="DX530" s="549">
        <f t="shared" si="12608"/>
        <v>0</v>
      </c>
      <c r="DY530" s="675">
        <f t="shared" si="12608"/>
        <v>0</v>
      </c>
      <c r="DZ530" s="549">
        <f t="shared" si="12608"/>
        <v>0</v>
      </c>
      <c r="EA530" s="675">
        <f t="shared" si="12608"/>
        <v>0</v>
      </c>
      <c r="EB530" s="549">
        <f t="shared" si="12608"/>
        <v>0</v>
      </c>
      <c r="EC530" s="675">
        <f t="shared" si="12608"/>
        <v>0</v>
      </c>
      <c r="ED530" s="549">
        <f t="shared" si="12608"/>
        <v>0</v>
      </c>
      <c r="EE530" s="675">
        <f t="shared" si="12608"/>
        <v>0</v>
      </c>
      <c r="EF530" s="549">
        <f t="shared" si="12608"/>
        <v>0</v>
      </c>
      <c r="EG530" s="675">
        <f t="shared" si="12608"/>
        <v>0</v>
      </c>
      <c r="EH530" s="549">
        <f t="shared" si="12608"/>
        <v>0</v>
      </c>
      <c r="EI530" s="675">
        <f t="shared" si="12608"/>
        <v>0</v>
      </c>
      <c r="EJ530" s="549">
        <f t="shared" si="12608"/>
        <v>0</v>
      </c>
      <c r="EK530" s="675">
        <f t="shared" si="12608"/>
        <v>0</v>
      </c>
      <c r="EL530" s="549">
        <f t="shared" si="12608"/>
        <v>0</v>
      </c>
      <c r="EM530" s="675">
        <f t="shared" si="12608"/>
        <v>0</v>
      </c>
      <c r="EN530" s="549">
        <f t="shared" ref="EN530:FS530" si="12609">EN535+EN538</f>
        <v>0</v>
      </c>
      <c r="EO530" s="675">
        <f t="shared" si="12609"/>
        <v>0</v>
      </c>
      <c r="EP530" s="549">
        <f t="shared" si="12609"/>
        <v>0</v>
      </c>
      <c r="EQ530" s="675">
        <f t="shared" si="12609"/>
        <v>0</v>
      </c>
      <c r="ER530" s="549">
        <f t="shared" si="12609"/>
        <v>0</v>
      </c>
      <c r="ES530" s="675">
        <f t="shared" si="12609"/>
        <v>0</v>
      </c>
      <c r="ET530" s="549">
        <f t="shared" si="12609"/>
        <v>0</v>
      </c>
      <c r="EU530" s="675">
        <f t="shared" si="12609"/>
        <v>0</v>
      </c>
      <c r="EV530" s="549">
        <f t="shared" si="12609"/>
        <v>0</v>
      </c>
      <c r="EW530" s="675">
        <f t="shared" si="12609"/>
        <v>0</v>
      </c>
      <c r="EX530" s="549">
        <f t="shared" si="12609"/>
        <v>0</v>
      </c>
      <c r="EY530" s="675">
        <f t="shared" si="12609"/>
        <v>0</v>
      </c>
      <c r="EZ530" s="549">
        <f t="shared" si="12609"/>
        <v>0</v>
      </c>
      <c r="FA530" s="675">
        <f t="shared" si="12609"/>
        <v>0</v>
      </c>
      <c r="FB530" s="549">
        <f t="shared" si="12609"/>
        <v>0</v>
      </c>
      <c r="FC530" s="675">
        <f t="shared" si="12609"/>
        <v>0</v>
      </c>
      <c r="FD530" s="549">
        <f t="shared" si="12609"/>
        <v>0</v>
      </c>
      <c r="FE530" s="675">
        <f t="shared" si="12609"/>
        <v>0</v>
      </c>
      <c r="FF530" s="549">
        <f t="shared" si="12609"/>
        <v>0</v>
      </c>
      <c r="FG530" s="675">
        <f t="shared" si="12609"/>
        <v>0</v>
      </c>
      <c r="FH530" s="549">
        <f t="shared" si="12609"/>
        <v>0</v>
      </c>
      <c r="FI530" s="675">
        <f t="shared" si="12609"/>
        <v>0</v>
      </c>
      <c r="FJ530" s="549">
        <f t="shared" si="12609"/>
        <v>0</v>
      </c>
      <c r="FK530" s="675">
        <f t="shared" si="12609"/>
        <v>0</v>
      </c>
      <c r="FL530" s="549">
        <f t="shared" si="12609"/>
        <v>0</v>
      </c>
      <c r="FM530" s="675">
        <f t="shared" si="12609"/>
        <v>-8671</v>
      </c>
      <c r="FN530" s="549">
        <f t="shared" si="12609"/>
        <v>0</v>
      </c>
      <c r="FO530" s="675">
        <f t="shared" si="12609"/>
        <v>0</v>
      </c>
      <c r="FP530" s="549">
        <f t="shared" si="12609"/>
        <v>0</v>
      </c>
      <c r="FQ530" s="675">
        <f t="shared" si="12609"/>
        <v>0</v>
      </c>
      <c r="FR530" s="549">
        <f t="shared" si="12609"/>
        <v>0</v>
      </c>
      <c r="FS530" s="675">
        <f t="shared" si="12609"/>
        <v>-46143</v>
      </c>
      <c r="FT530" s="549">
        <f t="shared" ref="FT530:GQ530" si="12610">FT535+FT538</f>
        <v>0</v>
      </c>
      <c r="FU530" s="675">
        <f t="shared" si="12610"/>
        <v>-10857</v>
      </c>
      <c r="FV530" s="549">
        <f t="shared" si="12610"/>
        <v>0</v>
      </c>
      <c r="FW530" s="675">
        <f t="shared" si="12610"/>
        <v>0</v>
      </c>
      <c r="FX530" s="549">
        <f t="shared" si="12610"/>
        <v>0</v>
      </c>
      <c r="FY530" s="675">
        <f t="shared" si="12610"/>
        <v>-6703</v>
      </c>
      <c r="FZ530" s="549">
        <f t="shared" si="12610"/>
        <v>0</v>
      </c>
      <c r="GA530" s="675">
        <f t="shared" si="12610"/>
        <v>0</v>
      </c>
      <c r="GB530" s="549">
        <f t="shared" si="12610"/>
        <v>0</v>
      </c>
      <c r="GC530" s="675">
        <f t="shared" si="12610"/>
        <v>0</v>
      </c>
      <c r="GD530" s="549">
        <f t="shared" si="12610"/>
        <v>0</v>
      </c>
      <c r="GE530" s="675">
        <f t="shared" si="12610"/>
        <v>0</v>
      </c>
      <c r="GF530" s="549">
        <f t="shared" si="12610"/>
        <v>0</v>
      </c>
      <c r="GG530" s="675">
        <f t="shared" si="12610"/>
        <v>0</v>
      </c>
      <c r="GH530" s="549">
        <f t="shared" si="12610"/>
        <v>0</v>
      </c>
      <c r="GI530" s="675">
        <f t="shared" si="12610"/>
        <v>0</v>
      </c>
      <c r="GJ530" s="549">
        <f t="shared" si="12610"/>
        <v>0</v>
      </c>
      <c r="GK530" s="675">
        <f t="shared" si="12610"/>
        <v>0</v>
      </c>
      <c r="GL530" s="549">
        <f t="shared" si="12610"/>
        <v>0</v>
      </c>
      <c r="GM530" s="675">
        <f t="shared" si="12610"/>
        <v>0</v>
      </c>
      <c r="GN530" s="549">
        <f t="shared" si="12610"/>
        <v>0</v>
      </c>
      <c r="GO530" s="675">
        <f t="shared" si="12610"/>
        <v>0</v>
      </c>
      <c r="GP530" s="549">
        <f t="shared" si="12610"/>
        <v>3724</v>
      </c>
      <c r="GQ530" s="675">
        <f t="shared" si="12610"/>
        <v>-193126</v>
      </c>
      <c r="GR530" s="74">
        <f>SUM(GR535)+GR532+GR538</f>
        <v>425898</v>
      </c>
      <c r="GS530" s="74">
        <f>+GS535+GS532+GS538</f>
        <v>425898</v>
      </c>
      <c r="GT530" s="74">
        <f>+GT535+GT532+GT538</f>
        <v>425898</v>
      </c>
      <c r="GU530" s="74">
        <f t="shared" ref="GU530:HF530" si="12611">+GU535+GU532</f>
        <v>61530</v>
      </c>
      <c r="GV530" s="74">
        <f t="shared" si="12611"/>
        <v>61530</v>
      </c>
      <c r="GW530" s="74">
        <f t="shared" si="12611"/>
        <v>61530</v>
      </c>
      <c r="GX530" s="74">
        <f t="shared" si="12611"/>
        <v>61530</v>
      </c>
      <c r="GY530" s="74">
        <f t="shared" si="12611"/>
        <v>61530</v>
      </c>
      <c r="GZ530" s="74">
        <f t="shared" si="12611"/>
        <v>61530</v>
      </c>
      <c r="HA530" s="74">
        <f t="shared" si="12611"/>
        <v>61530</v>
      </c>
      <c r="HB530" s="74">
        <f t="shared" si="12611"/>
        <v>61530</v>
      </c>
      <c r="HC530" s="74">
        <f t="shared" si="12611"/>
        <v>61530</v>
      </c>
      <c r="HD530" s="74">
        <f t="shared" si="12611"/>
        <v>61530</v>
      </c>
      <c r="HE530" s="74">
        <f t="shared" si="12611"/>
        <v>0</v>
      </c>
      <c r="HF530" s="74">
        <f t="shared" si="12611"/>
        <v>0</v>
      </c>
      <c r="HG530" s="74">
        <f>+HG535+HG532+HG538</f>
        <v>425897.5</v>
      </c>
      <c r="HH530" s="89">
        <f t="shared" ref="HH530:HI530" si="12612">+HH535+HH532</f>
        <v>61530</v>
      </c>
      <c r="HI530" s="817">
        <f t="shared" si="12612"/>
        <v>0</v>
      </c>
      <c r="HJ530" s="282">
        <f>+HJ535+HJ532+HJ538</f>
        <v>11107.67</v>
      </c>
      <c r="HK530" s="888">
        <f>+HK535+HK532+HK538</f>
        <v>0</v>
      </c>
      <c r="HL530" s="888">
        <f t="shared" ref="HL530:JT530" si="12613">+HL535+HL532+HL538</f>
        <v>45976.46</v>
      </c>
      <c r="HM530" s="888">
        <f t="shared" si="12613"/>
        <v>0</v>
      </c>
      <c r="HN530" s="888">
        <f t="shared" si="12613"/>
        <v>31992.68</v>
      </c>
      <c r="HO530" s="888">
        <f t="shared" si="12613"/>
        <v>0</v>
      </c>
      <c r="HP530" s="888">
        <f t="shared" si="12613"/>
        <v>127170.21</v>
      </c>
      <c r="HQ530" s="888">
        <f t="shared" si="12613"/>
        <v>0</v>
      </c>
      <c r="HR530" s="888">
        <f t="shared" si="12613"/>
        <v>69727</v>
      </c>
      <c r="HS530" s="888">
        <f t="shared" si="12613"/>
        <v>0</v>
      </c>
      <c r="HT530" s="888">
        <f t="shared" si="12613"/>
        <v>-13262.52</v>
      </c>
      <c r="HU530" s="888">
        <f t="shared" si="12613"/>
        <v>0</v>
      </c>
      <c r="HV530" s="888">
        <f t="shared" si="12613"/>
        <v>40000</v>
      </c>
      <c r="HW530" s="888">
        <f t="shared" si="12613"/>
        <v>0</v>
      </c>
      <c r="HX530" s="888">
        <f t="shared" si="12613"/>
        <v>62500</v>
      </c>
      <c r="HY530" s="888">
        <f t="shared" si="12613"/>
        <v>0</v>
      </c>
      <c r="HZ530" s="888">
        <f t="shared" si="12613"/>
        <v>-10844</v>
      </c>
      <c r="IA530" s="888">
        <f t="shared" si="12613"/>
        <v>0</v>
      </c>
      <c r="IB530" s="888">
        <f t="shared" si="12613"/>
        <v>0</v>
      </c>
      <c r="IC530" s="888">
        <f t="shared" si="12613"/>
        <v>0</v>
      </c>
      <c r="ID530" s="888">
        <f t="shared" si="12613"/>
        <v>0</v>
      </c>
      <c r="IE530" s="888">
        <f t="shared" si="12613"/>
        <v>0</v>
      </c>
      <c r="IF530" s="841">
        <f t="shared" si="12613"/>
        <v>380473.54</v>
      </c>
      <c r="IG530" s="263">
        <f t="shared" si="12613"/>
        <v>380473.54</v>
      </c>
      <c r="IH530" s="842">
        <f t="shared" si="12613"/>
        <v>380473.54</v>
      </c>
      <c r="II530" s="888">
        <f t="shared" si="12613"/>
        <v>18301.75</v>
      </c>
      <c r="IJ530" s="888">
        <f t="shared" si="12613"/>
        <v>18301.75</v>
      </c>
      <c r="IK530" s="888">
        <f t="shared" si="12613"/>
        <v>18301.75</v>
      </c>
      <c r="IL530" s="888">
        <f t="shared" si="12613"/>
        <v>23376.339999999997</v>
      </c>
      <c r="IM530" s="888">
        <f t="shared" si="12613"/>
        <v>23376.339999999997</v>
      </c>
      <c r="IN530" s="888">
        <f t="shared" si="12613"/>
        <v>23376.339999999997</v>
      </c>
      <c r="IO530" s="888">
        <f t="shared" si="12613"/>
        <v>23542.25</v>
      </c>
      <c r="IP530" s="888">
        <f t="shared" si="12613"/>
        <v>23542.25</v>
      </c>
      <c r="IQ530" s="888">
        <f t="shared" si="12613"/>
        <v>23542.25</v>
      </c>
      <c r="IR530" s="888">
        <f t="shared" si="12613"/>
        <v>36203.03</v>
      </c>
      <c r="IS530" s="888">
        <f t="shared" si="12613"/>
        <v>36203.03</v>
      </c>
      <c r="IT530" s="888">
        <f t="shared" si="12613"/>
        <v>36203.03</v>
      </c>
      <c r="IU530" s="888">
        <f t="shared" si="12613"/>
        <v>81866.179999999993</v>
      </c>
      <c r="IV530" s="888">
        <f t="shared" si="12613"/>
        <v>81866.179999999993</v>
      </c>
      <c r="IW530" s="888">
        <f t="shared" si="12613"/>
        <v>81866.179999999993</v>
      </c>
      <c r="IX530" s="888">
        <f t="shared" si="12613"/>
        <v>46100.160000000003</v>
      </c>
      <c r="IY530" s="888">
        <f t="shared" si="12613"/>
        <v>46100.160000000003</v>
      </c>
      <c r="IZ530" s="888">
        <f t="shared" si="12613"/>
        <v>46100.160000000003</v>
      </c>
      <c r="JA530" s="888">
        <f t="shared" si="12613"/>
        <v>42005.810000000027</v>
      </c>
      <c r="JB530" s="888">
        <f t="shared" si="12613"/>
        <v>42005.810000000027</v>
      </c>
      <c r="JC530" s="888">
        <f t="shared" si="12613"/>
        <v>42005.810000000027</v>
      </c>
      <c r="JD530" s="888">
        <f t="shared" si="12613"/>
        <v>27949.510000000009</v>
      </c>
      <c r="JE530" s="888">
        <f t="shared" si="12613"/>
        <v>27949.510000000009</v>
      </c>
      <c r="JF530" s="888">
        <f t="shared" si="12613"/>
        <v>27949.510000000009</v>
      </c>
      <c r="JG530" s="888">
        <f t="shared" si="12613"/>
        <v>72560.129999999946</v>
      </c>
      <c r="JH530" s="888">
        <f t="shared" si="12613"/>
        <v>72560.129999999946</v>
      </c>
      <c r="JI530" s="888">
        <f t="shared" si="12613"/>
        <v>72560.129999999946</v>
      </c>
      <c r="JJ530" s="888">
        <f t="shared" si="12613"/>
        <v>8568.3800000000047</v>
      </c>
      <c r="JK530" s="888">
        <f t="shared" si="12613"/>
        <v>8568.3800000000047</v>
      </c>
      <c r="JL530" s="888">
        <f t="shared" si="12613"/>
        <v>8568.3800000000047</v>
      </c>
      <c r="JM530" s="888">
        <f t="shared" si="12613"/>
        <v>0</v>
      </c>
      <c r="JN530" s="888">
        <f t="shared" si="12613"/>
        <v>0</v>
      </c>
      <c r="JO530" s="888">
        <f t="shared" si="12613"/>
        <v>0</v>
      </c>
      <c r="JP530" s="888">
        <f t="shared" si="12613"/>
        <v>0</v>
      </c>
      <c r="JQ530" s="888">
        <f t="shared" si="12613"/>
        <v>0</v>
      </c>
      <c r="JR530" s="888">
        <f t="shared" si="12613"/>
        <v>0</v>
      </c>
      <c r="JS530" s="888">
        <f t="shared" si="12613"/>
        <v>45423.960000000021</v>
      </c>
      <c r="JT530" s="888">
        <f t="shared" si="12613"/>
        <v>45424.460000000021</v>
      </c>
      <c r="JU530" s="665"/>
      <c r="JV530" s="524"/>
      <c r="JW530" s="525"/>
      <c r="JX530" s="549">
        <f>JX535+JX532+JX538</f>
        <v>425897.5</v>
      </c>
      <c r="JY530" s="549">
        <f>JY535+JY532+JY538</f>
        <v>0</v>
      </c>
      <c r="JZ530" s="549">
        <f>JZ535+JZ532+JZ538</f>
        <v>3724</v>
      </c>
      <c r="KA530" s="549">
        <f>KA535+KA532+KA538</f>
        <v>-193126</v>
      </c>
      <c r="KB530" s="549">
        <f>KB535+KB532+KB538</f>
        <v>425897.5</v>
      </c>
      <c r="KC530" s="709">
        <f t="shared" si="12200"/>
        <v>0</v>
      </c>
      <c r="KD530" s="36"/>
      <c r="KE530" s="36"/>
      <c r="KF530" s="36"/>
      <c r="KG530" s="36"/>
      <c r="KH530" s="36"/>
      <c r="KI530" s="36"/>
      <c r="KJ530" s="36"/>
      <c r="KK530" s="36"/>
    </row>
    <row r="531" spans="1:297" s="8" customFormat="1">
      <c r="A531" s="80"/>
      <c r="B531" s="72"/>
      <c r="C531" s="74"/>
      <c r="D531" s="549"/>
      <c r="E531" s="675"/>
      <c r="F531" s="549"/>
      <c r="G531" s="675"/>
      <c r="H531" s="549"/>
      <c r="I531" s="675"/>
      <c r="J531" s="549"/>
      <c r="K531" s="675"/>
      <c r="L531" s="549"/>
      <c r="M531" s="675"/>
      <c r="N531" s="549"/>
      <c r="O531" s="675"/>
      <c r="P531" s="549"/>
      <c r="Q531" s="675"/>
      <c r="R531" s="549"/>
      <c r="S531" s="675"/>
      <c r="T531" s="549"/>
      <c r="U531" s="675"/>
      <c r="V531" s="549"/>
      <c r="W531" s="675"/>
      <c r="X531" s="549"/>
      <c r="Y531" s="675"/>
      <c r="Z531" s="549"/>
      <c r="AA531" s="675"/>
      <c r="AB531" s="549"/>
      <c r="AC531" s="675"/>
      <c r="AD531" s="549"/>
      <c r="AE531" s="675"/>
      <c r="AF531" s="549"/>
      <c r="AG531" s="675"/>
      <c r="AH531" s="549"/>
      <c r="AI531" s="675"/>
      <c r="AJ531" s="549"/>
      <c r="AK531" s="675"/>
      <c r="AL531" s="549"/>
      <c r="AM531" s="675"/>
      <c r="AN531" s="549"/>
      <c r="AO531" s="675"/>
      <c r="AP531" s="549"/>
      <c r="AQ531" s="675"/>
      <c r="AR531" s="549"/>
      <c r="AS531" s="675"/>
      <c r="AT531" s="549"/>
      <c r="AU531" s="675"/>
      <c r="AV531" s="549"/>
      <c r="AW531" s="675"/>
      <c r="AX531" s="549"/>
      <c r="AY531" s="675"/>
      <c r="AZ531" s="549"/>
      <c r="BA531" s="675"/>
      <c r="BB531" s="549"/>
      <c r="BC531" s="675"/>
      <c r="BD531" s="549"/>
      <c r="BE531" s="675"/>
      <c r="BF531" s="549"/>
      <c r="BG531" s="675"/>
      <c r="BH531" s="549"/>
      <c r="BI531" s="675"/>
      <c r="BJ531" s="549"/>
      <c r="BK531" s="675"/>
      <c r="BL531" s="549"/>
      <c r="BM531" s="675"/>
      <c r="BN531" s="549"/>
      <c r="BO531" s="675"/>
      <c r="BP531" s="549"/>
      <c r="BQ531" s="675"/>
      <c r="BR531" s="549"/>
      <c r="BS531" s="675"/>
      <c r="BT531" s="549"/>
      <c r="BU531" s="675"/>
      <c r="BV531" s="549"/>
      <c r="BW531" s="675"/>
      <c r="BX531" s="549"/>
      <c r="BY531" s="675"/>
      <c r="BZ531" s="549"/>
      <c r="CA531" s="675"/>
      <c r="CB531" s="549"/>
      <c r="CC531" s="675"/>
      <c r="CD531" s="549"/>
      <c r="CE531" s="675"/>
      <c r="CF531" s="549"/>
      <c r="CG531" s="675"/>
      <c r="CH531" s="549"/>
      <c r="CI531" s="675"/>
      <c r="CJ531" s="549"/>
      <c r="CK531" s="675"/>
      <c r="CL531" s="549"/>
      <c r="CM531" s="675"/>
      <c r="CN531" s="549"/>
      <c r="CO531" s="675"/>
      <c r="CP531" s="549"/>
      <c r="CQ531" s="675"/>
      <c r="CR531" s="549"/>
      <c r="CS531" s="675"/>
      <c r="CT531" s="549"/>
      <c r="CU531" s="675"/>
      <c r="CV531" s="549"/>
      <c r="CW531" s="675"/>
      <c r="CX531" s="549"/>
      <c r="CY531" s="675"/>
      <c r="CZ531" s="549"/>
      <c r="DA531" s="675"/>
      <c r="DB531" s="549"/>
      <c r="DC531" s="675"/>
      <c r="DD531" s="549"/>
      <c r="DE531" s="675"/>
      <c r="DF531" s="549"/>
      <c r="DG531" s="675"/>
      <c r="DH531" s="549"/>
      <c r="DI531" s="675"/>
      <c r="DJ531" s="549"/>
      <c r="DK531" s="675"/>
      <c r="DL531" s="549"/>
      <c r="DM531" s="675"/>
      <c r="DN531" s="549"/>
      <c r="DO531" s="675"/>
      <c r="DP531" s="549"/>
      <c r="DQ531" s="675"/>
      <c r="DR531" s="549"/>
      <c r="DS531" s="675"/>
      <c r="DT531" s="549"/>
      <c r="DU531" s="675"/>
      <c r="DV531" s="549"/>
      <c r="DW531" s="675"/>
      <c r="DX531" s="549"/>
      <c r="DY531" s="675"/>
      <c r="DZ531" s="549"/>
      <c r="EA531" s="675"/>
      <c r="EB531" s="549"/>
      <c r="EC531" s="675"/>
      <c r="ED531" s="549"/>
      <c r="EE531" s="675"/>
      <c r="EF531" s="549"/>
      <c r="EG531" s="675"/>
      <c r="EH531" s="549"/>
      <c r="EI531" s="675"/>
      <c r="EJ531" s="549"/>
      <c r="EK531" s="675"/>
      <c r="EL531" s="549"/>
      <c r="EM531" s="675"/>
      <c r="EN531" s="549"/>
      <c r="EO531" s="675"/>
      <c r="EP531" s="549"/>
      <c r="EQ531" s="675"/>
      <c r="ER531" s="549"/>
      <c r="ES531" s="675"/>
      <c r="ET531" s="549"/>
      <c r="EU531" s="675"/>
      <c r="EV531" s="549"/>
      <c r="EW531" s="675"/>
      <c r="EX531" s="549"/>
      <c r="EY531" s="675"/>
      <c r="EZ531" s="549"/>
      <c r="FA531" s="675"/>
      <c r="FB531" s="549"/>
      <c r="FC531" s="675"/>
      <c r="FD531" s="549"/>
      <c r="FE531" s="675"/>
      <c r="FF531" s="549"/>
      <c r="FG531" s="675"/>
      <c r="FH531" s="549"/>
      <c r="FI531" s="675"/>
      <c r="FJ531" s="549"/>
      <c r="FK531" s="675"/>
      <c r="FL531" s="549"/>
      <c r="FM531" s="675"/>
      <c r="FN531" s="549"/>
      <c r="FO531" s="675"/>
      <c r="FP531" s="549"/>
      <c r="FQ531" s="675"/>
      <c r="FR531" s="549"/>
      <c r="FS531" s="675"/>
      <c r="FT531" s="549"/>
      <c r="FU531" s="675"/>
      <c r="FV531" s="549"/>
      <c r="FW531" s="675"/>
      <c r="FX531" s="549"/>
      <c r="FY531" s="675"/>
      <c r="FZ531" s="549"/>
      <c r="GA531" s="675"/>
      <c r="GB531" s="549"/>
      <c r="GC531" s="675"/>
      <c r="GD531" s="549"/>
      <c r="GE531" s="675"/>
      <c r="GF531" s="549"/>
      <c r="GG531" s="675"/>
      <c r="GH531" s="549"/>
      <c r="GI531" s="675"/>
      <c r="GJ531" s="549"/>
      <c r="GK531" s="675"/>
      <c r="GL531" s="549"/>
      <c r="GM531" s="675"/>
      <c r="GN531" s="549"/>
      <c r="GO531" s="675"/>
      <c r="GP531" s="549"/>
      <c r="GQ531" s="675"/>
      <c r="GR531" s="74"/>
      <c r="GS531" s="74"/>
      <c r="GT531" s="549"/>
      <c r="GU531" s="74"/>
      <c r="GV531" s="74"/>
      <c r="GW531" s="549"/>
      <c r="GX531" s="549"/>
      <c r="GY531" s="74"/>
      <c r="GZ531" s="74"/>
      <c r="HA531" s="74"/>
      <c r="HB531" s="74"/>
      <c r="HC531" s="74"/>
      <c r="HD531" s="74"/>
      <c r="HE531" s="74"/>
      <c r="HF531" s="74"/>
      <c r="HG531" s="74"/>
      <c r="HH531" s="89"/>
      <c r="HI531" s="817"/>
      <c r="HJ531" s="89"/>
      <c r="HK531" s="817"/>
      <c r="HL531" s="89"/>
      <c r="HM531" s="817"/>
      <c r="HN531" s="89"/>
      <c r="HO531" s="817"/>
      <c r="HP531" s="89"/>
      <c r="HQ531" s="817"/>
      <c r="HR531" s="89"/>
      <c r="HS531" s="817"/>
      <c r="HT531" s="89"/>
      <c r="HU531" s="817"/>
      <c r="HV531" s="89"/>
      <c r="HW531" s="817"/>
      <c r="HX531" s="89"/>
      <c r="HY531" s="817"/>
      <c r="HZ531" s="89"/>
      <c r="IA531" s="817"/>
      <c r="IB531" s="89"/>
      <c r="IC531" s="817"/>
      <c r="ID531" s="89"/>
      <c r="IE531" s="817"/>
      <c r="IF531" s="841"/>
      <c r="IG531" s="263"/>
      <c r="IH531" s="842"/>
      <c r="II531" s="74"/>
      <c r="IJ531" s="74"/>
      <c r="IK531" s="74"/>
      <c r="IL531" s="74"/>
      <c r="IM531" s="74"/>
      <c r="IN531" s="74"/>
      <c r="IO531" s="74"/>
      <c r="IP531" s="74"/>
      <c r="IQ531" s="74"/>
      <c r="IR531" s="74"/>
      <c r="IS531" s="74"/>
      <c r="IT531" s="74"/>
      <c r="IU531" s="74"/>
      <c r="IV531" s="74"/>
      <c r="IW531" s="74"/>
      <c r="IX531" s="74"/>
      <c r="IY531" s="74"/>
      <c r="IZ531" s="74"/>
      <c r="JA531" s="74"/>
      <c r="JB531" s="74"/>
      <c r="JC531" s="74"/>
      <c r="JD531" s="74"/>
      <c r="JE531" s="74"/>
      <c r="JF531" s="74"/>
      <c r="JG531" s="74"/>
      <c r="JH531" s="74"/>
      <c r="JI531" s="74"/>
      <c r="JJ531" s="74"/>
      <c r="JK531" s="74"/>
      <c r="JL531" s="74"/>
      <c r="JM531" s="74"/>
      <c r="JN531" s="74"/>
      <c r="JO531" s="74"/>
      <c r="JP531" s="74"/>
      <c r="JQ531" s="74"/>
      <c r="JR531" s="74"/>
      <c r="JS531" s="74"/>
      <c r="JT531" s="382"/>
      <c r="JU531" s="665"/>
      <c r="JV531" s="524"/>
      <c r="JW531" s="525"/>
      <c r="JX531" s="549"/>
      <c r="JY531" s="549"/>
      <c r="JZ531" s="581"/>
      <c r="KA531" s="581"/>
      <c r="KB531" s="549"/>
      <c r="KC531" s="709"/>
      <c r="KD531" s="36"/>
      <c r="KE531" s="36"/>
      <c r="KF531" s="36"/>
      <c r="KG531" s="36"/>
      <c r="KH531" s="36"/>
      <c r="KI531" s="36"/>
      <c r="KJ531" s="36"/>
      <c r="KK531" s="36"/>
    </row>
    <row r="532" spans="1:297" s="8" customFormat="1" hidden="1">
      <c r="A532" s="80" t="s">
        <v>1231</v>
      </c>
      <c r="B532" s="72"/>
      <c r="C532" s="74">
        <f>C533</f>
        <v>0</v>
      </c>
      <c r="D532" s="549">
        <f t="shared" ref="D532:GR532" si="12614">D533</f>
        <v>0</v>
      </c>
      <c r="E532" s="675">
        <f t="shared" si="12614"/>
        <v>0</v>
      </c>
      <c r="F532" s="549">
        <f t="shared" si="12614"/>
        <v>0</v>
      </c>
      <c r="G532" s="675">
        <f t="shared" si="12614"/>
        <v>0</v>
      </c>
      <c r="H532" s="549">
        <f t="shared" si="12614"/>
        <v>0</v>
      </c>
      <c r="I532" s="675">
        <f t="shared" si="12614"/>
        <v>0</v>
      </c>
      <c r="J532" s="549">
        <f t="shared" si="12614"/>
        <v>0</v>
      </c>
      <c r="K532" s="675">
        <f t="shared" si="12614"/>
        <v>0</v>
      </c>
      <c r="L532" s="549">
        <f t="shared" si="12614"/>
        <v>0</v>
      </c>
      <c r="M532" s="675">
        <f t="shared" si="12614"/>
        <v>0</v>
      </c>
      <c r="N532" s="549">
        <f t="shared" si="12614"/>
        <v>0</v>
      </c>
      <c r="O532" s="675">
        <f t="shared" si="12614"/>
        <v>0</v>
      </c>
      <c r="P532" s="549">
        <f t="shared" si="12614"/>
        <v>0</v>
      </c>
      <c r="Q532" s="675">
        <f t="shared" si="12614"/>
        <v>0</v>
      </c>
      <c r="R532" s="549">
        <f t="shared" si="12614"/>
        <v>0</v>
      </c>
      <c r="S532" s="675">
        <f t="shared" si="12614"/>
        <v>0</v>
      </c>
      <c r="T532" s="549">
        <f t="shared" si="12614"/>
        <v>0</v>
      </c>
      <c r="U532" s="675">
        <f t="shared" si="12614"/>
        <v>0</v>
      </c>
      <c r="V532" s="549">
        <f t="shared" si="12614"/>
        <v>0</v>
      </c>
      <c r="W532" s="675">
        <f t="shared" si="12614"/>
        <v>0</v>
      </c>
      <c r="X532" s="549">
        <f t="shared" si="12614"/>
        <v>0</v>
      </c>
      <c r="Y532" s="675">
        <f t="shared" si="12614"/>
        <v>0</v>
      </c>
      <c r="Z532" s="549">
        <f t="shared" si="12614"/>
        <v>0</v>
      </c>
      <c r="AA532" s="675">
        <f t="shared" si="12614"/>
        <v>0</v>
      </c>
      <c r="AB532" s="549">
        <f t="shared" si="12614"/>
        <v>0</v>
      </c>
      <c r="AC532" s="675">
        <f t="shared" si="12614"/>
        <v>0</v>
      </c>
      <c r="AD532" s="549">
        <f t="shared" si="12614"/>
        <v>0</v>
      </c>
      <c r="AE532" s="675">
        <f t="shared" si="12614"/>
        <v>0</v>
      </c>
      <c r="AF532" s="549">
        <f t="shared" si="12614"/>
        <v>0</v>
      </c>
      <c r="AG532" s="675">
        <f t="shared" si="12614"/>
        <v>0</v>
      </c>
      <c r="AH532" s="549">
        <f t="shared" si="12614"/>
        <v>0</v>
      </c>
      <c r="AI532" s="675">
        <f t="shared" si="12614"/>
        <v>0</v>
      </c>
      <c r="AJ532" s="549">
        <f t="shared" si="12614"/>
        <v>0</v>
      </c>
      <c r="AK532" s="675">
        <f t="shared" si="12614"/>
        <v>0</v>
      </c>
      <c r="AL532" s="549">
        <f t="shared" si="12614"/>
        <v>0</v>
      </c>
      <c r="AM532" s="675">
        <f t="shared" si="12614"/>
        <v>0</v>
      </c>
      <c r="AN532" s="549">
        <f t="shared" si="12614"/>
        <v>0</v>
      </c>
      <c r="AO532" s="675">
        <f t="shared" si="12614"/>
        <v>0</v>
      </c>
      <c r="AP532" s="549">
        <f t="shared" si="12614"/>
        <v>0</v>
      </c>
      <c r="AQ532" s="675">
        <f t="shared" si="12614"/>
        <v>0</v>
      </c>
      <c r="AR532" s="549">
        <f t="shared" si="12614"/>
        <v>0</v>
      </c>
      <c r="AS532" s="675">
        <f t="shared" si="12614"/>
        <v>0</v>
      </c>
      <c r="AT532" s="549">
        <f t="shared" si="12614"/>
        <v>0</v>
      </c>
      <c r="AU532" s="675">
        <f t="shared" si="12614"/>
        <v>0</v>
      </c>
      <c r="AV532" s="549">
        <f t="shared" si="12614"/>
        <v>0</v>
      </c>
      <c r="AW532" s="675">
        <f t="shared" si="12614"/>
        <v>0</v>
      </c>
      <c r="AX532" s="549">
        <f t="shared" si="12614"/>
        <v>0</v>
      </c>
      <c r="AY532" s="675">
        <f t="shared" si="12614"/>
        <v>0</v>
      </c>
      <c r="AZ532" s="549">
        <f t="shared" si="12614"/>
        <v>0</v>
      </c>
      <c r="BA532" s="675">
        <f t="shared" si="12614"/>
        <v>0</v>
      </c>
      <c r="BB532" s="549">
        <f t="shared" si="12614"/>
        <v>0</v>
      </c>
      <c r="BC532" s="675">
        <f t="shared" si="12614"/>
        <v>0</v>
      </c>
      <c r="BD532" s="549">
        <f t="shared" si="12614"/>
        <v>0</v>
      </c>
      <c r="BE532" s="675">
        <f t="shared" si="12614"/>
        <v>0</v>
      </c>
      <c r="BF532" s="549">
        <f t="shared" si="12614"/>
        <v>0</v>
      </c>
      <c r="BG532" s="675">
        <f t="shared" si="12614"/>
        <v>0</v>
      </c>
      <c r="BH532" s="549">
        <f t="shared" si="12614"/>
        <v>0</v>
      </c>
      <c r="BI532" s="675">
        <f t="shared" si="12614"/>
        <v>0</v>
      </c>
      <c r="BJ532" s="549">
        <f t="shared" si="12614"/>
        <v>0</v>
      </c>
      <c r="BK532" s="675">
        <f t="shared" si="12614"/>
        <v>0</v>
      </c>
      <c r="BL532" s="549">
        <f t="shared" si="12614"/>
        <v>0</v>
      </c>
      <c r="BM532" s="675">
        <f t="shared" si="12614"/>
        <v>0</v>
      </c>
      <c r="BN532" s="549">
        <f t="shared" si="12614"/>
        <v>0</v>
      </c>
      <c r="BO532" s="675">
        <f t="shared" si="12614"/>
        <v>0</v>
      </c>
      <c r="BP532" s="549">
        <f t="shared" si="12614"/>
        <v>0</v>
      </c>
      <c r="BQ532" s="675">
        <f t="shared" si="12614"/>
        <v>0</v>
      </c>
      <c r="BR532" s="549">
        <f t="shared" si="12614"/>
        <v>0</v>
      </c>
      <c r="BS532" s="675">
        <f t="shared" si="12614"/>
        <v>0</v>
      </c>
      <c r="BT532" s="549">
        <f t="shared" si="12614"/>
        <v>0</v>
      </c>
      <c r="BU532" s="675">
        <f t="shared" si="12614"/>
        <v>0</v>
      </c>
      <c r="BV532" s="549">
        <f t="shared" si="12614"/>
        <v>0</v>
      </c>
      <c r="BW532" s="675">
        <f t="shared" si="12614"/>
        <v>0</v>
      </c>
      <c r="BX532" s="549">
        <f t="shared" si="12614"/>
        <v>0</v>
      </c>
      <c r="BY532" s="675">
        <f t="shared" si="12614"/>
        <v>0</v>
      </c>
      <c r="BZ532" s="549">
        <f t="shared" si="12614"/>
        <v>0</v>
      </c>
      <c r="CA532" s="675">
        <f t="shared" si="12614"/>
        <v>0</v>
      </c>
      <c r="CB532" s="549">
        <f t="shared" si="12614"/>
        <v>0</v>
      </c>
      <c r="CC532" s="675">
        <f t="shared" si="12614"/>
        <v>0</v>
      </c>
      <c r="CD532" s="549">
        <f t="shared" si="12614"/>
        <v>0</v>
      </c>
      <c r="CE532" s="675">
        <f t="shared" si="12614"/>
        <v>0</v>
      </c>
      <c r="CF532" s="549">
        <f t="shared" si="12614"/>
        <v>0</v>
      </c>
      <c r="CG532" s="675">
        <f t="shared" si="12614"/>
        <v>0</v>
      </c>
      <c r="CH532" s="549">
        <f t="shared" si="12614"/>
        <v>0</v>
      </c>
      <c r="CI532" s="675">
        <f t="shared" si="12614"/>
        <v>0</v>
      </c>
      <c r="CJ532" s="549">
        <f t="shared" si="12614"/>
        <v>0</v>
      </c>
      <c r="CK532" s="675">
        <f t="shared" si="12614"/>
        <v>0</v>
      </c>
      <c r="CL532" s="549">
        <f t="shared" si="12614"/>
        <v>0</v>
      </c>
      <c r="CM532" s="675">
        <f t="shared" si="12614"/>
        <v>0</v>
      </c>
      <c r="CN532" s="549">
        <f t="shared" si="12614"/>
        <v>0</v>
      </c>
      <c r="CO532" s="675">
        <f t="shared" si="12614"/>
        <v>0</v>
      </c>
      <c r="CP532" s="549">
        <f t="shared" si="12614"/>
        <v>0</v>
      </c>
      <c r="CQ532" s="675">
        <f t="shared" si="12614"/>
        <v>0</v>
      </c>
      <c r="CR532" s="549">
        <f t="shared" si="12614"/>
        <v>0</v>
      </c>
      <c r="CS532" s="675">
        <f t="shared" si="12614"/>
        <v>0</v>
      </c>
      <c r="CT532" s="549">
        <f t="shared" si="12614"/>
        <v>0</v>
      </c>
      <c r="CU532" s="675">
        <f t="shared" si="12614"/>
        <v>0</v>
      </c>
      <c r="CV532" s="549">
        <f t="shared" si="12614"/>
        <v>0</v>
      </c>
      <c r="CW532" s="675">
        <f t="shared" si="12614"/>
        <v>0</v>
      </c>
      <c r="CX532" s="549">
        <f t="shared" si="12614"/>
        <v>0</v>
      </c>
      <c r="CY532" s="675">
        <f t="shared" si="12614"/>
        <v>0</v>
      </c>
      <c r="CZ532" s="549">
        <f t="shared" si="12614"/>
        <v>0</v>
      </c>
      <c r="DA532" s="675">
        <f t="shared" si="12614"/>
        <v>0</v>
      </c>
      <c r="DB532" s="549">
        <f t="shared" si="12614"/>
        <v>0</v>
      </c>
      <c r="DC532" s="675">
        <f t="shared" si="12614"/>
        <v>0</v>
      </c>
      <c r="DD532" s="549">
        <f t="shared" si="12614"/>
        <v>0</v>
      </c>
      <c r="DE532" s="675">
        <f t="shared" si="12614"/>
        <v>0</v>
      </c>
      <c r="DF532" s="549">
        <f t="shared" si="12614"/>
        <v>0</v>
      </c>
      <c r="DG532" s="675">
        <f t="shared" si="12614"/>
        <v>0</v>
      </c>
      <c r="DH532" s="549">
        <f t="shared" si="12614"/>
        <v>0</v>
      </c>
      <c r="DI532" s="675">
        <f t="shared" si="12614"/>
        <v>0</v>
      </c>
      <c r="DJ532" s="549">
        <f t="shared" si="12614"/>
        <v>0</v>
      </c>
      <c r="DK532" s="675">
        <f t="shared" si="12614"/>
        <v>0</v>
      </c>
      <c r="DL532" s="549">
        <f t="shared" si="12614"/>
        <v>0</v>
      </c>
      <c r="DM532" s="675">
        <f t="shared" si="12614"/>
        <v>0</v>
      </c>
      <c r="DN532" s="549">
        <f t="shared" si="12614"/>
        <v>0</v>
      </c>
      <c r="DO532" s="675">
        <f t="shared" si="12614"/>
        <v>0</v>
      </c>
      <c r="DP532" s="549">
        <f t="shared" si="12614"/>
        <v>0</v>
      </c>
      <c r="DQ532" s="675">
        <f t="shared" si="12614"/>
        <v>0</v>
      </c>
      <c r="DR532" s="549">
        <f t="shared" si="12614"/>
        <v>0</v>
      </c>
      <c r="DS532" s="675">
        <f t="shared" si="12614"/>
        <v>0</v>
      </c>
      <c r="DT532" s="549">
        <f t="shared" si="12614"/>
        <v>0</v>
      </c>
      <c r="DU532" s="675">
        <f t="shared" si="12614"/>
        <v>0</v>
      </c>
      <c r="DV532" s="549">
        <f t="shared" si="12614"/>
        <v>0</v>
      </c>
      <c r="DW532" s="675">
        <f t="shared" si="12614"/>
        <v>0</v>
      </c>
      <c r="DX532" s="549">
        <f t="shared" si="12614"/>
        <v>0</v>
      </c>
      <c r="DY532" s="675">
        <f t="shared" si="12614"/>
        <v>0</v>
      </c>
      <c r="DZ532" s="549">
        <f t="shared" si="12614"/>
        <v>0</v>
      </c>
      <c r="EA532" s="675">
        <f t="shared" si="12614"/>
        <v>0</v>
      </c>
      <c r="EB532" s="549">
        <f t="shared" si="12614"/>
        <v>0</v>
      </c>
      <c r="EC532" s="675">
        <f t="shared" si="12614"/>
        <v>0</v>
      </c>
      <c r="ED532" s="549">
        <f t="shared" si="12614"/>
        <v>0</v>
      </c>
      <c r="EE532" s="675">
        <f t="shared" si="12614"/>
        <v>0</v>
      </c>
      <c r="EF532" s="549">
        <f t="shared" si="12614"/>
        <v>0</v>
      </c>
      <c r="EG532" s="675">
        <f t="shared" si="12614"/>
        <v>0</v>
      </c>
      <c r="EH532" s="549">
        <f t="shared" si="12614"/>
        <v>0</v>
      </c>
      <c r="EI532" s="675">
        <f t="shared" si="12614"/>
        <v>0</v>
      </c>
      <c r="EJ532" s="549">
        <f t="shared" si="12614"/>
        <v>0</v>
      </c>
      <c r="EK532" s="675">
        <f t="shared" si="12614"/>
        <v>0</v>
      </c>
      <c r="EL532" s="549">
        <f t="shared" si="12614"/>
        <v>0</v>
      </c>
      <c r="EM532" s="675">
        <f t="shared" si="12614"/>
        <v>0</v>
      </c>
      <c r="EN532" s="549">
        <f t="shared" si="12614"/>
        <v>0</v>
      </c>
      <c r="EO532" s="675">
        <f t="shared" si="12614"/>
        <v>0</v>
      </c>
      <c r="EP532" s="549">
        <f t="shared" si="12614"/>
        <v>0</v>
      </c>
      <c r="EQ532" s="675">
        <f t="shared" si="12614"/>
        <v>0</v>
      </c>
      <c r="ER532" s="549">
        <f t="shared" si="12614"/>
        <v>0</v>
      </c>
      <c r="ES532" s="675">
        <f t="shared" si="12614"/>
        <v>0</v>
      </c>
      <c r="ET532" s="549">
        <f t="shared" si="12614"/>
        <v>0</v>
      </c>
      <c r="EU532" s="675">
        <f t="shared" si="12614"/>
        <v>0</v>
      </c>
      <c r="EV532" s="549">
        <f t="shared" si="12614"/>
        <v>0</v>
      </c>
      <c r="EW532" s="675">
        <f t="shared" si="12614"/>
        <v>0</v>
      </c>
      <c r="EX532" s="549">
        <f t="shared" si="12614"/>
        <v>0</v>
      </c>
      <c r="EY532" s="675">
        <f t="shared" si="12614"/>
        <v>0</v>
      </c>
      <c r="EZ532" s="549">
        <f t="shared" si="12614"/>
        <v>0</v>
      </c>
      <c r="FA532" s="675">
        <f t="shared" si="12614"/>
        <v>0</v>
      </c>
      <c r="FB532" s="549">
        <f t="shared" si="12614"/>
        <v>0</v>
      </c>
      <c r="FC532" s="675">
        <f t="shared" si="12614"/>
        <v>0</v>
      </c>
      <c r="FD532" s="549">
        <f t="shared" si="12614"/>
        <v>0</v>
      </c>
      <c r="FE532" s="675">
        <f t="shared" si="12614"/>
        <v>0</v>
      </c>
      <c r="FF532" s="549">
        <f t="shared" si="12614"/>
        <v>0</v>
      </c>
      <c r="FG532" s="675">
        <f t="shared" si="12614"/>
        <v>0</v>
      </c>
      <c r="FH532" s="549">
        <f t="shared" si="12614"/>
        <v>0</v>
      </c>
      <c r="FI532" s="675">
        <f t="shared" si="12614"/>
        <v>0</v>
      </c>
      <c r="FJ532" s="549">
        <f t="shared" si="12614"/>
        <v>0</v>
      </c>
      <c r="FK532" s="675">
        <f t="shared" si="12614"/>
        <v>0</v>
      </c>
      <c r="FL532" s="549">
        <f t="shared" si="12614"/>
        <v>0</v>
      </c>
      <c r="FM532" s="675">
        <f t="shared" si="12614"/>
        <v>0</v>
      </c>
      <c r="FN532" s="549">
        <f t="shared" si="12614"/>
        <v>0</v>
      </c>
      <c r="FO532" s="675">
        <f t="shared" si="12614"/>
        <v>0</v>
      </c>
      <c r="FP532" s="549">
        <f t="shared" si="12614"/>
        <v>0</v>
      </c>
      <c r="FQ532" s="675">
        <f t="shared" si="12614"/>
        <v>0</v>
      </c>
      <c r="FR532" s="549">
        <f t="shared" si="12614"/>
        <v>0</v>
      </c>
      <c r="FS532" s="675">
        <f t="shared" si="12614"/>
        <v>0</v>
      </c>
      <c r="FT532" s="549">
        <f t="shared" si="12614"/>
        <v>0</v>
      </c>
      <c r="FU532" s="675">
        <f t="shared" si="12614"/>
        <v>0</v>
      </c>
      <c r="FV532" s="549">
        <f t="shared" si="12614"/>
        <v>0</v>
      </c>
      <c r="FW532" s="675">
        <f t="shared" si="12614"/>
        <v>0</v>
      </c>
      <c r="FX532" s="549">
        <f t="shared" si="12614"/>
        <v>0</v>
      </c>
      <c r="FY532" s="675">
        <f t="shared" si="12614"/>
        <v>0</v>
      </c>
      <c r="FZ532" s="549">
        <f t="shared" si="12614"/>
        <v>0</v>
      </c>
      <c r="GA532" s="675">
        <f t="shared" si="12614"/>
        <v>0</v>
      </c>
      <c r="GB532" s="549">
        <f t="shared" si="12614"/>
        <v>0</v>
      </c>
      <c r="GC532" s="675">
        <f t="shared" si="12614"/>
        <v>0</v>
      </c>
      <c r="GD532" s="549">
        <f t="shared" si="12614"/>
        <v>0</v>
      </c>
      <c r="GE532" s="675">
        <f t="shared" si="12614"/>
        <v>0</v>
      </c>
      <c r="GF532" s="549">
        <f t="shared" si="12614"/>
        <v>0</v>
      </c>
      <c r="GG532" s="675">
        <f t="shared" si="12614"/>
        <v>0</v>
      </c>
      <c r="GH532" s="549">
        <f t="shared" si="12614"/>
        <v>0</v>
      </c>
      <c r="GI532" s="675">
        <f t="shared" si="12614"/>
        <v>0</v>
      </c>
      <c r="GJ532" s="549">
        <f t="shared" si="12614"/>
        <v>0</v>
      </c>
      <c r="GK532" s="675">
        <f t="shared" si="12614"/>
        <v>0</v>
      </c>
      <c r="GL532" s="549">
        <f t="shared" si="12614"/>
        <v>0</v>
      </c>
      <c r="GM532" s="675">
        <f t="shared" si="12614"/>
        <v>0</v>
      </c>
      <c r="GN532" s="549">
        <f t="shared" si="12614"/>
        <v>0</v>
      </c>
      <c r="GO532" s="675">
        <f t="shared" si="12614"/>
        <v>0</v>
      </c>
      <c r="GP532" s="549">
        <f t="shared" si="12614"/>
        <v>0</v>
      </c>
      <c r="GQ532" s="675">
        <f t="shared" si="12614"/>
        <v>0</v>
      </c>
      <c r="GR532" s="74">
        <f t="shared" si="12614"/>
        <v>0</v>
      </c>
      <c r="GS532" s="74">
        <f t="shared" ref="GS532:JC532" si="12615">GS533</f>
        <v>0</v>
      </c>
      <c r="GT532" s="74">
        <f t="shared" si="12615"/>
        <v>0</v>
      </c>
      <c r="GU532" s="74">
        <f t="shared" si="12615"/>
        <v>0</v>
      </c>
      <c r="GV532" s="74">
        <f t="shared" si="12615"/>
        <v>0</v>
      </c>
      <c r="GW532" s="74">
        <f t="shared" si="12615"/>
        <v>0</v>
      </c>
      <c r="GX532" s="74">
        <f t="shared" si="12615"/>
        <v>0</v>
      </c>
      <c r="GY532" s="74">
        <f t="shared" si="12615"/>
        <v>0</v>
      </c>
      <c r="GZ532" s="74">
        <f t="shared" si="12615"/>
        <v>0</v>
      </c>
      <c r="HA532" s="74">
        <f t="shared" si="12615"/>
        <v>0</v>
      </c>
      <c r="HB532" s="74">
        <f t="shared" si="12615"/>
        <v>0</v>
      </c>
      <c r="HC532" s="74">
        <f t="shared" si="12615"/>
        <v>0</v>
      </c>
      <c r="HD532" s="74">
        <f t="shared" si="12615"/>
        <v>0</v>
      </c>
      <c r="HE532" s="74">
        <f t="shared" si="12615"/>
        <v>0</v>
      </c>
      <c r="HF532" s="74">
        <f t="shared" si="12615"/>
        <v>0</v>
      </c>
      <c r="HG532" s="74">
        <f t="shared" si="12615"/>
        <v>0</v>
      </c>
      <c r="HH532" s="89">
        <f t="shared" si="12615"/>
        <v>0</v>
      </c>
      <c r="HI532" s="817">
        <f t="shared" si="12615"/>
        <v>0</v>
      </c>
      <c r="HJ532" s="89">
        <f t="shared" si="12615"/>
        <v>0</v>
      </c>
      <c r="HK532" s="817">
        <f t="shared" si="12615"/>
        <v>0</v>
      </c>
      <c r="HL532" s="89">
        <f t="shared" si="12615"/>
        <v>0</v>
      </c>
      <c r="HM532" s="817">
        <f t="shared" si="12615"/>
        <v>0</v>
      </c>
      <c r="HN532" s="89">
        <f t="shared" si="12615"/>
        <v>0</v>
      </c>
      <c r="HO532" s="817">
        <f t="shared" si="12615"/>
        <v>0</v>
      </c>
      <c r="HP532" s="89">
        <f t="shared" si="12615"/>
        <v>0</v>
      </c>
      <c r="HQ532" s="817">
        <f t="shared" si="12615"/>
        <v>0</v>
      </c>
      <c r="HR532" s="89">
        <f t="shared" si="12615"/>
        <v>0</v>
      </c>
      <c r="HS532" s="817">
        <f t="shared" si="12615"/>
        <v>0</v>
      </c>
      <c r="HT532" s="89">
        <f t="shared" si="12615"/>
        <v>0</v>
      </c>
      <c r="HU532" s="817">
        <f t="shared" si="12615"/>
        <v>0</v>
      </c>
      <c r="HV532" s="89">
        <f t="shared" si="12615"/>
        <v>0</v>
      </c>
      <c r="HW532" s="817">
        <f t="shared" si="12615"/>
        <v>0</v>
      </c>
      <c r="HX532" s="89">
        <f t="shared" si="12615"/>
        <v>0</v>
      </c>
      <c r="HY532" s="817">
        <f t="shared" si="12615"/>
        <v>0</v>
      </c>
      <c r="HZ532" s="89">
        <f t="shared" si="12615"/>
        <v>0</v>
      </c>
      <c r="IA532" s="817">
        <f t="shared" si="12615"/>
        <v>0</v>
      </c>
      <c r="IB532" s="89">
        <f t="shared" si="12615"/>
        <v>0</v>
      </c>
      <c r="IC532" s="817">
        <f t="shared" si="12615"/>
        <v>0</v>
      </c>
      <c r="ID532" s="89">
        <f t="shared" si="12615"/>
        <v>0</v>
      </c>
      <c r="IE532" s="817">
        <f t="shared" si="12615"/>
        <v>0</v>
      </c>
      <c r="IF532" s="841">
        <f t="shared" si="12615"/>
        <v>0</v>
      </c>
      <c r="IG532" s="74">
        <f t="shared" si="12615"/>
        <v>0</v>
      </c>
      <c r="IH532" s="74">
        <f t="shared" si="12615"/>
        <v>0</v>
      </c>
      <c r="II532" s="74">
        <f t="shared" si="12615"/>
        <v>0</v>
      </c>
      <c r="IJ532" s="74">
        <f t="shared" si="12615"/>
        <v>0</v>
      </c>
      <c r="IK532" s="74">
        <f t="shared" si="12615"/>
        <v>0</v>
      </c>
      <c r="IL532" s="74">
        <f t="shared" si="12615"/>
        <v>0</v>
      </c>
      <c r="IM532" s="74">
        <f t="shared" si="12615"/>
        <v>0</v>
      </c>
      <c r="IN532" s="74">
        <f t="shared" si="12615"/>
        <v>0</v>
      </c>
      <c r="IO532" s="74">
        <f t="shared" si="12615"/>
        <v>0</v>
      </c>
      <c r="IP532" s="74">
        <f t="shared" si="12615"/>
        <v>0</v>
      </c>
      <c r="IQ532" s="74">
        <f t="shared" si="12615"/>
        <v>0</v>
      </c>
      <c r="IR532" s="74">
        <f t="shared" si="12615"/>
        <v>0</v>
      </c>
      <c r="IS532" s="74">
        <f t="shared" si="12615"/>
        <v>0</v>
      </c>
      <c r="IT532" s="74">
        <f t="shared" si="12615"/>
        <v>0</v>
      </c>
      <c r="IU532" s="74">
        <f t="shared" si="12615"/>
        <v>0</v>
      </c>
      <c r="IV532" s="74">
        <f t="shared" si="12615"/>
        <v>0</v>
      </c>
      <c r="IW532" s="74">
        <f t="shared" si="12615"/>
        <v>0</v>
      </c>
      <c r="IX532" s="74">
        <f t="shared" si="12615"/>
        <v>0</v>
      </c>
      <c r="IY532" s="74">
        <f t="shared" si="12615"/>
        <v>0</v>
      </c>
      <c r="IZ532" s="74">
        <f t="shared" si="12615"/>
        <v>0</v>
      </c>
      <c r="JA532" s="74">
        <f t="shared" si="12615"/>
        <v>0</v>
      </c>
      <c r="JB532" s="74">
        <f t="shared" si="12615"/>
        <v>0</v>
      </c>
      <c r="JC532" s="74">
        <f t="shared" si="12615"/>
        <v>0</v>
      </c>
      <c r="JD532" s="74">
        <f t="shared" ref="JD532:JT532" si="12616">JD533</f>
        <v>0</v>
      </c>
      <c r="JE532" s="74">
        <f t="shared" si="12616"/>
        <v>0</v>
      </c>
      <c r="JF532" s="74">
        <f t="shared" si="12616"/>
        <v>0</v>
      </c>
      <c r="JG532" s="74">
        <f t="shared" si="12616"/>
        <v>0</v>
      </c>
      <c r="JH532" s="74">
        <f t="shared" si="12616"/>
        <v>0</v>
      </c>
      <c r="JI532" s="74">
        <f t="shared" si="12616"/>
        <v>0</v>
      </c>
      <c r="JJ532" s="74">
        <f t="shared" si="12616"/>
        <v>0</v>
      </c>
      <c r="JK532" s="74">
        <f t="shared" si="12616"/>
        <v>0</v>
      </c>
      <c r="JL532" s="74">
        <f t="shared" si="12616"/>
        <v>0</v>
      </c>
      <c r="JM532" s="74">
        <f t="shared" si="12616"/>
        <v>0</v>
      </c>
      <c r="JN532" s="74">
        <f t="shared" si="12616"/>
        <v>0</v>
      </c>
      <c r="JO532" s="74">
        <f t="shared" si="12616"/>
        <v>0</v>
      </c>
      <c r="JP532" s="74">
        <f t="shared" si="12616"/>
        <v>0</v>
      </c>
      <c r="JQ532" s="74">
        <f t="shared" si="12616"/>
        <v>0</v>
      </c>
      <c r="JR532" s="74">
        <f t="shared" si="12616"/>
        <v>0</v>
      </c>
      <c r="JS532" s="74">
        <f t="shared" si="12616"/>
        <v>0</v>
      </c>
      <c r="JT532" s="74">
        <f t="shared" si="12616"/>
        <v>0</v>
      </c>
      <c r="JU532" s="665"/>
      <c r="JV532" s="524"/>
      <c r="JW532" s="525"/>
      <c r="JX532" s="549">
        <f>SUM(JX533:JX533)</f>
        <v>0</v>
      </c>
      <c r="JY532" s="549">
        <f>SUM(JY533:JY533)</f>
        <v>0</v>
      </c>
      <c r="JZ532" s="581">
        <f>GP532</f>
        <v>0</v>
      </c>
      <c r="KA532" s="581">
        <f t="shared" ref="KA532" si="12617">GQ532</f>
        <v>0</v>
      </c>
      <c r="KB532" s="549">
        <f t="shared" ref="KB532" si="12618">JX532</f>
        <v>0</v>
      </c>
      <c r="KC532" s="709">
        <f t="shared" ref="KC532" si="12619">HG532-KB532</f>
        <v>0</v>
      </c>
      <c r="KD532" s="36"/>
      <c r="KE532" s="36"/>
      <c r="KF532" s="36"/>
      <c r="KG532" s="36"/>
      <c r="KH532" s="36"/>
      <c r="KI532" s="36"/>
      <c r="KJ532" s="36"/>
      <c r="KK532" s="36"/>
    </row>
    <row r="533" spans="1:297" s="8" customFormat="1" hidden="1">
      <c r="A533" s="86" t="s">
        <v>1230</v>
      </c>
      <c r="B533" s="72"/>
      <c r="C533" s="74">
        <v>0</v>
      </c>
      <c r="D533" s="549">
        <v>0</v>
      </c>
      <c r="E533" s="675">
        <v>0</v>
      </c>
      <c r="F533" s="549">
        <v>0</v>
      </c>
      <c r="G533" s="675">
        <v>0</v>
      </c>
      <c r="H533" s="549">
        <v>0</v>
      </c>
      <c r="I533" s="675">
        <v>0</v>
      </c>
      <c r="J533" s="549">
        <v>0</v>
      </c>
      <c r="K533" s="675">
        <v>0</v>
      </c>
      <c r="L533" s="549">
        <v>0</v>
      </c>
      <c r="M533" s="675">
        <v>0</v>
      </c>
      <c r="N533" s="549">
        <v>0</v>
      </c>
      <c r="O533" s="675">
        <v>0</v>
      </c>
      <c r="P533" s="549">
        <v>0</v>
      </c>
      <c r="Q533" s="675">
        <v>0</v>
      </c>
      <c r="R533" s="549">
        <v>0</v>
      </c>
      <c r="S533" s="675">
        <v>0</v>
      </c>
      <c r="T533" s="549">
        <v>0</v>
      </c>
      <c r="U533" s="675">
        <v>0</v>
      </c>
      <c r="V533" s="549">
        <v>0</v>
      </c>
      <c r="W533" s="675">
        <v>0</v>
      </c>
      <c r="X533" s="549">
        <v>0</v>
      </c>
      <c r="Y533" s="675">
        <v>0</v>
      </c>
      <c r="Z533" s="549">
        <v>0</v>
      </c>
      <c r="AA533" s="675">
        <v>0</v>
      </c>
      <c r="AB533" s="549">
        <v>0</v>
      </c>
      <c r="AC533" s="675">
        <v>0</v>
      </c>
      <c r="AD533" s="549">
        <v>0</v>
      </c>
      <c r="AE533" s="675">
        <v>0</v>
      </c>
      <c r="AF533" s="549">
        <v>0</v>
      </c>
      <c r="AG533" s="675">
        <v>0</v>
      </c>
      <c r="AH533" s="549">
        <v>0</v>
      </c>
      <c r="AI533" s="675">
        <v>0</v>
      </c>
      <c r="AJ533" s="549">
        <v>0</v>
      </c>
      <c r="AK533" s="675">
        <v>0</v>
      </c>
      <c r="AL533" s="549">
        <v>0</v>
      </c>
      <c r="AM533" s="675">
        <v>0</v>
      </c>
      <c r="AN533" s="549">
        <v>0</v>
      </c>
      <c r="AO533" s="675">
        <v>0</v>
      </c>
      <c r="AP533" s="549">
        <v>0</v>
      </c>
      <c r="AQ533" s="675">
        <v>0</v>
      </c>
      <c r="AR533" s="549">
        <v>0</v>
      </c>
      <c r="AS533" s="675">
        <v>0</v>
      </c>
      <c r="AT533" s="549">
        <v>0</v>
      </c>
      <c r="AU533" s="675">
        <v>0</v>
      </c>
      <c r="AV533" s="549">
        <v>0</v>
      </c>
      <c r="AW533" s="675">
        <v>0</v>
      </c>
      <c r="AX533" s="549">
        <v>0</v>
      </c>
      <c r="AY533" s="675">
        <v>0</v>
      </c>
      <c r="AZ533" s="549">
        <v>0</v>
      </c>
      <c r="BA533" s="675">
        <v>0</v>
      </c>
      <c r="BB533" s="549">
        <v>0</v>
      </c>
      <c r="BC533" s="675">
        <v>0</v>
      </c>
      <c r="BD533" s="549">
        <v>0</v>
      </c>
      <c r="BE533" s="675">
        <v>0</v>
      </c>
      <c r="BF533" s="549">
        <v>0</v>
      </c>
      <c r="BG533" s="675">
        <v>0</v>
      </c>
      <c r="BH533" s="549">
        <v>0</v>
      </c>
      <c r="BI533" s="675">
        <v>0</v>
      </c>
      <c r="BJ533" s="549">
        <v>0</v>
      </c>
      <c r="BK533" s="675">
        <v>0</v>
      </c>
      <c r="BL533" s="549">
        <v>0</v>
      </c>
      <c r="BM533" s="675">
        <v>0</v>
      </c>
      <c r="BN533" s="549">
        <v>0</v>
      </c>
      <c r="BO533" s="675">
        <v>0</v>
      </c>
      <c r="BP533" s="549">
        <v>0</v>
      </c>
      <c r="BQ533" s="675">
        <v>0</v>
      </c>
      <c r="BR533" s="549">
        <v>0</v>
      </c>
      <c r="BS533" s="675">
        <v>0</v>
      </c>
      <c r="BT533" s="549">
        <v>0</v>
      </c>
      <c r="BU533" s="675">
        <v>0</v>
      </c>
      <c r="BV533" s="549">
        <v>0</v>
      </c>
      <c r="BW533" s="675">
        <v>0</v>
      </c>
      <c r="BX533" s="549">
        <v>0</v>
      </c>
      <c r="BY533" s="675">
        <v>0</v>
      </c>
      <c r="BZ533" s="549">
        <v>0</v>
      </c>
      <c r="CA533" s="675">
        <v>0</v>
      </c>
      <c r="CB533" s="549">
        <v>0</v>
      </c>
      <c r="CC533" s="675">
        <v>0</v>
      </c>
      <c r="CD533" s="549">
        <v>0</v>
      </c>
      <c r="CE533" s="675">
        <v>0</v>
      </c>
      <c r="CF533" s="549">
        <v>0</v>
      </c>
      <c r="CG533" s="675">
        <v>0</v>
      </c>
      <c r="CH533" s="549">
        <v>0</v>
      </c>
      <c r="CI533" s="675">
        <v>0</v>
      </c>
      <c r="CJ533" s="549">
        <v>0</v>
      </c>
      <c r="CK533" s="675">
        <v>0</v>
      </c>
      <c r="CL533" s="549">
        <v>0</v>
      </c>
      <c r="CM533" s="675">
        <v>0</v>
      </c>
      <c r="CN533" s="549">
        <v>0</v>
      </c>
      <c r="CO533" s="675">
        <v>0</v>
      </c>
      <c r="CP533" s="549">
        <v>0</v>
      </c>
      <c r="CQ533" s="675">
        <v>0</v>
      </c>
      <c r="CR533" s="549">
        <v>0</v>
      </c>
      <c r="CS533" s="675">
        <v>0</v>
      </c>
      <c r="CT533" s="549">
        <v>0</v>
      </c>
      <c r="CU533" s="675">
        <v>0</v>
      </c>
      <c r="CV533" s="549">
        <v>0</v>
      </c>
      <c r="CW533" s="675">
        <v>0</v>
      </c>
      <c r="CX533" s="549">
        <v>0</v>
      </c>
      <c r="CY533" s="675">
        <v>0</v>
      </c>
      <c r="CZ533" s="549">
        <v>0</v>
      </c>
      <c r="DA533" s="675">
        <v>0</v>
      </c>
      <c r="DB533" s="549">
        <v>0</v>
      </c>
      <c r="DC533" s="675">
        <v>0</v>
      </c>
      <c r="DD533" s="549">
        <v>0</v>
      </c>
      <c r="DE533" s="675">
        <v>0</v>
      </c>
      <c r="DF533" s="549">
        <v>0</v>
      </c>
      <c r="DG533" s="675">
        <v>0</v>
      </c>
      <c r="DH533" s="549">
        <v>0</v>
      </c>
      <c r="DI533" s="675">
        <v>0</v>
      </c>
      <c r="DJ533" s="549">
        <v>0</v>
      </c>
      <c r="DK533" s="675">
        <v>0</v>
      </c>
      <c r="DL533" s="549">
        <v>0</v>
      </c>
      <c r="DM533" s="675">
        <v>0</v>
      </c>
      <c r="DN533" s="549">
        <v>0</v>
      </c>
      <c r="DO533" s="675">
        <v>0</v>
      </c>
      <c r="DP533" s="549">
        <v>0</v>
      </c>
      <c r="DQ533" s="675">
        <v>0</v>
      </c>
      <c r="DR533" s="549">
        <v>0</v>
      </c>
      <c r="DS533" s="675">
        <v>0</v>
      </c>
      <c r="DT533" s="549">
        <v>0</v>
      </c>
      <c r="DU533" s="675">
        <v>0</v>
      </c>
      <c r="DV533" s="549">
        <v>0</v>
      </c>
      <c r="DW533" s="675">
        <v>0</v>
      </c>
      <c r="DX533" s="549">
        <v>0</v>
      </c>
      <c r="DY533" s="675">
        <v>0</v>
      </c>
      <c r="DZ533" s="549">
        <v>0</v>
      </c>
      <c r="EA533" s="675">
        <v>0</v>
      </c>
      <c r="EB533" s="549">
        <v>0</v>
      </c>
      <c r="EC533" s="675">
        <v>0</v>
      </c>
      <c r="ED533" s="549">
        <v>0</v>
      </c>
      <c r="EE533" s="675">
        <v>0</v>
      </c>
      <c r="EF533" s="549">
        <v>0</v>
      </c>
      <c r="EG533" s="675">
        <v>0</v>
      </c>
      <c r="EH533" s="549">
        <v>0</v>
      </c>
      <c r="EI533" s="675">
        <v>0</v>
      </c>
      <c r="EJ533" s="549">
        <v>0</v>
      </c>
      <c r="EK533" s="675">
        <v>0</v>
      </c>
      <c r="EL533" s="549">
        <v>0</v>
      </c>
      <c r="EM533" s="675">
        <v>0</v>
      </c>
      <c r="EN533" s="549">
        <v>0</v>
      </c>
      <c r="EO533" s="675">
        <v>0</v>
      </c>
      <c r="EP533" s="549">
        <v>0</v>
      </c>
      <c r="EQ533" s="675">
        <v>0</v>
      </c>
      <c r="ER533" s="549">
        <v>0</v>
      </c>
      <c r="ES533" s="675">
        <v>0</v>
      </c>
      <c r="ET533" s="549">
        <v>0</v>
      </c>
      <c r="EU533" s="675">
        <v>0</v>
      </c>
      <c r="EV533" s="549">
        <v>0</v>
      </c>
      <c r="EW533" s="675">
        <v>0</v>
      </c>
      <c r="EX533" s="549">
        <v>0</v>
      </c>
      <c r="EY533" s="675">
        <v>0</v>
      </c>
      <c r="EZ533" s="549">
        <v>0</v>
      </c>
      <c r="FA533" s="675">
        <v>0</v>
      </c>
      <c r="FB533" s="549">
        <v>0</v>
      </c>
      <c r="FC533" s="675">
        <v>0</v>
      </c>
      <c r="FD533" s="549">
        <v>0</v>
      </c>
      <c r="FE533" s="675">
        <v>0</v>
      </c>
      <c r="FF533" s="549">
        <v>0</v>
      </c>
      <c r="FG533" s="675">
        <v>0</v>
      </c>
      <c r="FH533" s="549">
        <v>0</v>
      </c>
      <c r="FI533" s="675">
        <v>0</v>
      </c>
      <c r="FJ533" s="549">
        <v>0</v>
      </c>
      <c r="FK533" s="675">
        <v>0</v>
      </c>
      <c r="FL533" s="549">
        <v>0</v>
      </c>
      <c r="FM533" s="675">
        <v>0</v>
      </c>
      <c r="FN533" s="549">
        <v>0</v>
      </c>
      <c r="FO533" s="675">
        <v>0</v>
      </c>
      <c r="FP533" s="549">
        <v>0</v>
      </c>
      <c r="FQ533" s="675">
        <v>0</v>
      </c>
      <c r="FR533" s="549">
        <v>0</v>
      </c>
      <c r="FS533" s="675">
        <v>0</v>
      </c>
      <c r="FT533" s="549">
        <v>0</v>
      </c>
      <c r="FU533" s="675">
        <v>0</v>
      </c>
      <c r="FV533" s="549">
        <v>0</v>
      </c>
      <c r="FW533" s="675">
        <v>0</v>
      </c>
      <c r="FX533" s="549">
        <v>0</v>
      </c>
      <c r="FY533" s="675">
        <v>0</v>
      </c>
      <c r="FZ533" s="549">
        <v>0</v>
      </c>
      <c r="GA533" s="675">
        <v>0</v>
      </c>
      <c r="GB533" s="549">
        <v>0</v>
      </c>
      <c r="GC533" s="675">
        <v>0</v>
      </c>
      <c r="GD533" s="549">
        <v>0</v>
      </c>
      <c r="GE533" s="675">
        <v>0</v>
      </c>
      <c r="GF533" s="549">
        <v>0</v>
      </c>
      <c r="GG533" s="675">
        <v>0</v>
      </c>
      <c r="GH533" s="549">
        <v>0</v>
      </c>
      <c r="GI533" s="675">
        <v>0</v>
      </c>
      <c r="GJ533" s="549">
        <v>0</v>
      </c>
      <c r="GK533" s="675">
        <v>0</v>
      </c>
      <c r="GL533" s="549">
        <v>0</v>
      </c>
      <c r="GM533" s="675">
        <v>0</v>
      </c>
      <c r="GN533" s="549">
        <v>0</v>
      </c>
      <c r="GO533" s="675">
        <v>0</v>
      </c>
      <c r="GP533" s="549">
        <f>+D533+F533+H533+J533+L533+N533+P533+R533+T533+V533+X533+Z533+AB533+AF533+AD533+AH533+AJ533+AL533+AN533+AP533+AR533+AT533+AV533+AX533+AZ533+BB533+BD533+BF533+BH533+BJ533+BL533+BN533+BP533+BR533+BT533+BV533+BX533+BZ533+CB533+CD533+CF533+CH533+CJ533+CL533+CN533+CP533+CR533+CT533+CV533+CX533+CZ533+DB533+DD533+DF533+DH533+DT533+EX533+DJ533+DL533+DN533+DP533+DR533+EJ533+EB533+DZ533+DX533+DV533+ED533+EF533+EH533+EL533+EN533+EP533+EV533+ET533+ER533+EZ533+FB533+FD533+GL533+FF533+FJ533+FL533+GJ533+FT533+FR533+FP533+FN533+FH533+GH533+GF533+GD533+GB533+FZ533+FX533+FV533+GN533</f>
        <v>0</v>
      </c>
      <c r="GQ533" s="675">
        <f>+E533+G533+I533+K533+M533+O533+Q533+S533+U533+W533+Y533+AA533+AC533+AE533+AG533+AI533+AK533+AM533+AO533+AQ533+AS533+AU533+AW533+AY533+BA533+BC533+BE533+BG533+BI533+BK533+BM533+BO533+BQ533+BS533+BU533+BW533+BY533+CA533+CC533+CE533+CG533+CI533+CK533+CM533+CO533+CQ533+CS533+CU533+CW533+CY533+DA533+DC533+DE533+DG533+DI533+DU533+EY533+DK533+DM533+DO533+DQ533+DS533+EK533+EC533+EA533+DY533+DW533+EI533+EG533+EE533+EM533+EO533+EQ533+EW533+EU533+ES533+FA533+FC533+FE533+GM533+FG533+FK533+FM533+FO533+FQ533+FS533+FU533+GK533+FI533+GI533+GG533+GE533+GC533+GA533+FY533+FW533+GO533</f>
        <v>0</v>
      </c>
      <c r="GR533" s="74">
        <f>C533+GP533+GQ533</f>
        <v>0</v>
      </c>
      <c r="GS533" s="74">
        <f>SUM(GU533:GV533)+GP533+GQ533+GW533+GX533+GY533+GZ533+HA533+HB533+HC533+HD533+HE533+HF533</f>
        <v>0</v>
      </c>
      <c r="GT533" s="568">
        <f>SUM(GU533:HF533)+GQ533+GP533</f>
        <v>0</v>
      </c>
      <c r="GU533" s="275">
        <v>0</v>
      </c>
      <c r="GV533" s="275">
        <v>0</v>
      </c>
      <c r="GW533" s="275">
        <v>0</v>
      </c>
      <c r="GX533" s="275">
        <v>0</v>
      </c>
      <c r="GY533" s="275">
        <v>0</v>
      </c>
      <c r="GZ533" s="275">
        <v>0</v>
      </c>
      <c r="HA533" s="275">
        <v>0</v>
      </c>
      <c r="HB533" s="275">
        <v>0</v>
      </c>
      <c r="HC533" s="275">
        <v>0</v>
      </c>
      <c r="HD533" s="275">
        <v>0</v>
      </c>
      <c r="HE533" s="275">
        <v>0</v>
      </c>
      <c r="HF533" s="275"/>
      <c r="HG533" s="74">
        <f>SUM(HH533:IE533)</f>
        <v>0</v>
      </c>
      <c r="HH533" s="89">
        <v>0</v>
      </c>
      <c r="HI533" s="817">
        <v>0</v>
      </c>
      <c r="HJ533" s="89">
        <v>0</v>
      </c>
      <c r="HK533" s="817">
        <v>0</v>
      </c>
      <c r="HL533" s="89">
        <v>0</v>
      </c>
      <c r="HM533" s="817">
        <v>0</v>
      </c>
      <c r="HN533" s="89">
        <v>0</v>
      </c>
      <c r="HO533" s="817">
        <v>0</v>
      </c>
      <c r="HP533" s="89">
        <v>0</v>
      </c>
      <c r="HQ533" s="817">
        <v>0</v>
      </c>
      <c r="HR533" s="89">
        <v>0</v>
      </c>
      <c r="HS533" s="817">
        <v>0</v>
      </c>
      <c r="HT533" s="89">
        <v>0</v>
      </c>
      <c r="HU533" s="817">
        <v>0</v>
      </c>
      <c r="HV533" s="89">
        <v>0</v>
      </c>
      <c r="HW533" s="817">
        <v>0</v>
      </c>
      <c r="HX533" s="89">
        <v>0</v>
      </c>
      <c r="HY533" s="817">
        <v>0</v>
      </c>
      <c r="HZ533" s="89">
        <v>0</v>
      </c>
      <c r="IA533" s="817">
        <v>0</v>
      </c>
      <c r="IB533" s="89">
        <v>0</v>
      </c>
      <c r="IC533" s="817">
        <v>0</v>
      </c>
      <c r="ID533" s="89">
        <v>0</v>
      </c>
      <c r="IE533" s="817">
        <v>0</v>
      </c>
      <c r="IF533" s="841">
        <f t="shared" ref="IF533" si="12620">SUM(II533,IL533,IO533,IR533,IU533,IX533,JA533,JD533,JG533,JJ533,JM533,JP533)</f>
        <v>0</v>
      </c>
      <c r="IG533" s="263">
        <f t="shared" ref="IG533" si="12621">SUM(IJ533,IM533,IP533,IS533,IV533,IY533,JB533,JE533,JH533,JK533,JN533,JQ533)</f>
        <v>0</v>
      </c>
      <c r="IH533" s="842">
        <f t="shared" ref="IH533" si="12622">SUM(IK533,IN533,IQ533,IT533,IW533,IZ533,JC533,JF533,JI533,JL533,JO533,JR533)</f>
        <v>0</v>
      </c>
      <c r="II533" s="89">
        <v>0</v>
      </c>
      <c r="IJ533" s="89">
        <f t="shared" ref="IJ533" si="12623">II533</f>
        <v>0</v>
      </c>
      <c r="IK533" s="89">
        <f t="shared" ref="IK533" si="12624">IJ533</f>
        <v>0</v>
      </c>
      <c r="IL533" s="89">
        <v>0</v>
      </c>
      <c r="IM533" s="89">
        <f t="shared" ref="IM533" si="12625">IL533</f>
        <v>0</v>
      </c>
      <c r="IN533" s="89">
        <f t="shared" ref="IN533" si="12626">IM533</f>
        <v>0</v>
      </c>
      <c r="IO533" s="89">
        <v>0</v>
      </c>
      <c r="IP533" s="89">
        <f t="shared" ref="IP533" si="12627">IO533</f>
        <v>0</v>
      </c>
      <c r="IQ533" s="89">
        <f t="shared" ref="IQ533" si="12628">IP533</f>
        <v>0</v>
      </c>
      <c r="IR533" s="89">
        <v>0</v>
      </c>
      <c r="IS533" s="89">
        <f t="shared" ref="IS533" si="12629">IR533</f>
        <v>0</v>
      </c>
      <c r="IT533" s="89">
        <f t="shared" ref="IT533" si="12630">IS533</f>
        <v>0</v>
      </c>
      <c r="IU533" s="89">
        <v>0</v>
      </c>
      <c r="IV533" s="89">
        <f t="shared" ref="IV533" si="12631">IU533</f>
        <v>0</v>
      </c>
      <c r="IW533" s="89">
        <f t="shared" ref="IW533" si="12632">IV533</f>
        <v>0</v>
      </c>
      <c r="IX533" s="89">
        <v>0</v>
      </c>
      <c r="IY533" s="89">
        <f t="shared" ref="IY533" si="12633">IX533</f>
        <v>0</v>
      </c>
      <c r="IZ533" s="89">
        <f t="shared" ref="IZ533" si="12634">IY533</f>
        <v>0</v>
      </c>
      <c r="JA533" s="89">
        <v>0</v>
      </c>
      <c r="JB533" s="89">
        <f t="shared" ref="JB533" si="12635">JA533</f>
        <v>0</v>
      </c>
      <c r="JC533" s="89">
        <f t="shared" ref="JC533" si="12636">JB533</f>
        <v>0</v>
      </c>
      <c r="JD533" s="89">
        <v>0</v>
      </c>
      <c r="JE533" s="89">
        <f t="shared" ref="JE533" si="12637">JD533</f>
        <v>0</v>
      </c>
      <c r="JF533" s="89">
        <f t="shared" ref="JF533" si="12638">JE533</f>
        <v>0</v>
      </c>
      <c r="JG533" s="89">
        <v>0</v>
      </c>
      <c r="JH533" s="89">
        <f t="shared" ref="JH533" si="12639">JG533</f>
        <v>0</v>
      </c>
      <c r="JI533" s="89">
        <f t="shared" ref="JI533" si="12640">JH533</f>
        <v>0</v>
      </c>
      <c r="JJ533" s="89">
        <v>0</v>
      </c>
      <c r="JK533" s="89">
        <f t="shared" ref="JK533" si="12641">JJ533</f>
        <v>0</v>
      </c>
      <c r="JL533" s="89">
        <f t="shared" ref="JL533" si="12642">JK533</f>
        <v>0</v>
      </c>
      <c r="JM533" s="89">
        <v>0</v>
      </c>
      <c r="JN533" s="89">
        <f t="shared" ref="JN533" si="12643">JM533</f>
        <v>0</v>
      </c>
      <c r="JO533" s="89">
        <f t="shared" ref="JO533" si="12644">JN533</f>
        <v>0</v>
      </c>
      <c r="JP533" s="89">
        <v>0</v>
      </c>
      <c r="JQ533" s="89">
        <f t="shared" ref="JQ533" si="12645">JP533</f>
        <v>0</v>
      </c>
      <c r="JR533" s="89">
        <f t="shared" ref="JR533" si="12646">JQ533</f>
        <v>0</v>
      </c>
      <c r="JS533" s="74">
        <f>HG533-IF533</f>
        <v>0</v>
      </c>
      <c r="JT533" s="382">
        <f>GS533-IF533</f>
        <v>0</v>
      </c>
      <c r="JU533" s="665"/>
      <c r="JV533" s="524"/>
      <c r="JW533" s="525"/>
      <c r="JX533" s="549">
        <f>SUM(HH533,HJ533,HL533,HN533,HP533,HR533,HT533,HV533,HX533,HZ533,IB533,ID533)</f>
        <v>0</v>
      </c>
      <c r="JY533" s="549">
        <f>SUM(HI533,HK533,HM533,HO533,HQ533,HS533,HU533,HW533,HY533,IA533,IC533,IE533)</f>
        <v>0</v>
      </c>
      <c r="JZ533" s="581">
        <f t="shared" ref="JZ533" si="12647">GP533</f>
        <v>0</v>
      </c>
      <c r="KA533" s="581">
        <f t="shared" ref="KA533" si="12648">GQ533</f>
        <v>0</v>
      </c>
      <c r="KB533" s="549">
        <f>JX533</f>
        <v>0</v>
      </c>
      <c r="KC533" s="709">
        <f t="shared" ref="KC533" si="12649">HG533-KB533</f>
        <v>0</v>
      </c>
      <c r="KD533" s="36"/>
      <c r="KE533" s="36"/>
      <c r="KF533" s="36"/>
      <c r="KG533" s="36"/>
      <c r="KH533" s="36"/>
      <c r="KI533" s="36"/>
      <c r="KJ533" s="36"/>
      <c r="KK533" s="36"/>
    </row>
    <row r="534" spans="1:297" s="10" customFormat="1" hidden="1">
      <c r="A534" s="91"/>
      <c r="B534" s="77"/>
      <c r="C534" s="74"/>
      <c r="D534" s="549"/>
      <c r="E534" s="675"/>
      <c r="F534" s="549"/>
      <c r="G534" s="675"/>
      <c r="H534" s="549"/>
      <c r="I534" s="675"/>
      <c r="J534" s="549"/>
      <c r="K534" s="675"/>
      <c r="L534" s="549"/>
      <c r="M534" s="675"/>
      <c r="N534" s="549"/>
      <c r="O534" s="675"/>
      <c r="P534" s="549"/>
      <c r="Q534" s="675"/>
      <c r="R534" s="549"/>
      <c r="S534" s="675"/>
      <c r="T534" s="549"/>
      <c r="U534" s="675"/>
      <c r="V534" s="549"/>
      <c r="W534" s="675"/>
      <c r="X534" s="549"/>
      <c r="Y534" s="675"/>
      <c r="Z534" s="549"/>
      <c r="AA534" s="675"/>
      <c r="AB534" s="549"/>
      <c r="AC534" s="675"/>
      <c r="AD534" s="549"/>
      <c r="AE534" s="675"/>
      <c r="AF534" s="549"/>
      <c r="AG534" s="675"/>
      <c r="AH534" s="549"/>
      <c r="AI534" s="675"/>
      <c r="AJ534" s="549"/>
      <c r="AK534" s="675"/>
      <c r="AL534" s="549"/>
      <c r="AM534" s="675"/>
      <c r="AN534" s="549"/>
      <c r="AO534" s="675"/>
      <c r="AP534" s="549"/>
      <c r="AQ534" s="675"/>
      <c r="AR534" s="549"/>
      <c r="AS534" s="675"/>
      <c r="AT534" s="549"/>
      <c r="AU534" s="675"/>
      <c r="AV534" s="549"/>
      <c r="AW534" s="675"/>
      <c r="AX534" s="549"/>
      <c r="AY534" s="675"/>
      <c r="AZ534" s="549"/>
      <c r="BA534" s="675"/>
      <c r="BB534" s="549"/>
      <c r="BC534" s="675"/>
      <c r="BD534" s="549"/>
      <c r="BE534" s="675"/>
      <c r="BF534" s="549"/>
      <c r="BG534" s="675"/>
      <c r="BH534" s="549"/>
      <c r="BI534" s="675"/>
      <c r="BJ534" s="549"/>
      <c r="BK534" s="675"/>
      <c r="BL534" s="549"/>
      <c r="BM534" s="675"/>
      <c r="BN534" s="549"/>
      <c r="BO534" s="675"/>
      <c r="BP534" s="549"/>
      <c r="BQ534" s="675"/>
      <c r="BR534" s="549"/>
      <c r="BS534" s="675"/>
      <c r="BT534" s="549"/>
      <c r="BU534" s="675"/>
      <c r="BV534" s="549"/>
      <c r="BW534" s="675"/>
      <c r="BX534" s="549"/>
      <c r="BY534" s="675"/>
      <c r="BZ534" s="549"/>
      <c r="CA534" s="675"/>
      <c r="CB534" s="549"/>
      <c r="CC534" s="675"/>
      <c r="CD534" s="549"/>
      <c r="CE534" s="675"/>
      <c r="CF534" s="549"/>
      <c r="CG534" s="675"/>
      <c r="CH534" s="549"/>
      <c r="CI534" s="675"/>
      <c r="CJ534" s="549"/>
      <c r="CK534" s="675"/>
      <c r="CL534" s="549"/>
      <c r="CM534" s="675"/>
      <c r="CN534" s="549"/>
      <c r="CO534" s="675"/>
      <c r="CP534" s="549"/>
      <c r="CQ534" s="675"/>
      <c r="CR534" s="549"/>
      <c r="CS534" s="675"/>
      <c r="CT534" s="549"/>
      <c r="CU534" s="675"/>
      <c r="CV534" s="549"/>
      <c r="CW534" s="675"/>
      <c r="CX534" s="549"/>
      <c r="CY534" s="675"/>
      <c r="CZ534" s="549"/>
      <c r="DA534" s="675"/>
      <c r="DB534" s="549"/>
      <c r="DC534" s="675"/>
      <c r="DD534" s="549"/>
      <c r="DE534" s="675"/>
      <c r="DF534" s="549"/>
      <c r="DG534" s="675"/>
      <c r="DH534" s="549"/>
      <c r="DI534" s="675"/>
      <c r="DJ534" s="549"/>
      <c r="DK534" s="675"/>
      <c r="DL534" s="549"/>
      <c r="DM534" s="675"/>
      <c r="DN534" s="549"/>
      <c r="DO534" s="675"/>
      <c r="DP534" s="549"/>
      <c r="DQ534" s="675"/>
      <c r="DR534" s="549"/>
      <c r="DS534" s="675"/>
      <c r="DT534" s="549"/>
      <c r="DU534" s="675"/>
      <c r="DV534" s="549"/>
      <c r="DW534" s="675"/>
      <c r="DX534" s="549"/>
      <c r="DY534" s="675"/>
      <c r="DZ534" s="549"/>
      <c r="EA534" s="675"/>
      <c r="EB534" s="549"/>
      <c r="EC534" s="675"/>
      <c r="ED534" s="549"/>
      <c r="EE534" s="675"/>
      <c r="EF534" s="549"/>
      <c r="EG534" s="675"/>
      <c r="EH534" s="549"/>
      <c r="EI534" s="675"/>
      <c r="EJ534" s="549"/>
      <c r="EK534" s="675"/>
      <c r="EL534" s="549"/>
      <c r="EM534" s="675"/>
      <c r="EN534" s="549"/>
      <c r="EO534" s="675"/>
      <c r="EP534" s="549"/>
      <c r="EQ534" s="675"/>
      <c r="ER534" s="549"/>
      <c r="ES534" s="675"/>
      <c r="ET534" s="549"/>
      <c r="EU534" s="675"/>
      <c r="EV534" s="549"/>
      <c r="EW534" s="675"/>
      <c r="EX534" s="549"/>
      <c r="EY534" s="675"/>
      <c r="EZ534" s="549"/>
      <c r="FA534" s="675"/>
      <c r="FB534" s="549"/>
      <c r="FC534" s="675"/>
      <c r="FD534" s="549"/>
      <c r="FE534" s="675"/>
      <c r="FF534" s="549"/>
      <c r="FG534" s="675"/>
      <c r="FH534" s="549"/>
      <c r="FI534" s="675"/>
      <c r="FJ534" s="549"/>
      <c r="FK534" s="675"/>
      <c r="FL534" s="549"/>
      <c r="FM534" s="675"/>
      <c r="FN534" s="549"/>
      <c r="FO534" s="675"/>
      <c r="FP534" s="549"/>
      <c r="FQ534" s="675"/>
      <c r="FR534" s="549"/>
      <c r="FS534" s="675"/>
      <c r="FT534" s="549"/>
      <c r="FU534" s="675"/>
      <c r="FV534" s="549"/>
      <c r="FW534" s="675"/>
      <c r="FX534" s="549"/>
      <c r="FY534" s="675"/>
      <c r="FZ534" s="549"/>
      <c r="GA534" s="675"/>
      <c r="GB534" s="549"/>
      <c r="GC534" s="675"/>
      <c r="GD534" s="549"/>
      <c r="GE534" s="675"/>
      <c r="GF534" s="549"/>
      <c r="GG534" s="675"/>
      <c r="GH534" s="549"/>
      <c r="GI534" s="675"/>
      <c r="GJ534" s="549"/>
      <c r="GK534" s="675"/>
      <c r="GL534" s="549"/>
      <c r="GM534" s="675"/>
      <c r="GN534" s="549"/>
      <c r="GO534" s="675"/>
      <c r="GP534" s="549"/>
      <c r="GQ534" s="675"/>
      <c r="GR534" s="74"/>
      <c r="GS534" s="74"/>
      <c r="GT534" s="549"/>
      <c r="GU534" s="73"/>
      <c r="GV534" s="73"/>
      <c r="GW534" s="549"/>
      <c r="GX534" s="549"/>
      <c r="GY534" s="73"/>
      <c r="GZ534" s="73"/>
      <c r="HA534" s="73"/>
      <c r="HB534" s="73"/>
      <c r="HC534" s="73"/>
      <c r="HD534" s="73"/>
      <c r="HE534" s="73"/>
      <c r="HF534" s="73"/>
      <c r="HG534" s="74"/>
      <c r="HH534" s="89"/>
      <c r="HI534" s="817"/>
      <c r="HJ534" s="89"/>
      <c r="HK534" s="817"/>
      <c r="HL534" s="89"/>
      <c r="HM534" s="817"/>
      <c r="HN534" s="89"/>
      <c r="HO534" s="817"/>
      <c r="HP534" s="89"/>
      <c r="HQ534" s="817"/>
      <c r="HR534" s="89"/>
      <c r="HS534" s="817"/>
      <c r="HT534" s="89"/>
      <c r="HU534" s="817"/>
      <c r="HV534" s="89"/>
      <c r="HW534" s="817"/>
      <c r="HX534" s="89"/>
      <c r="HY534" s="817"/>
      <c r="HZ534" s="89"/>
      <c r="IA534" s="817"/>
      <c r="IB534" s="89"/>
      <c r="IC534" s="817"/>
      <c r="ID534" s="89"/>
      <c r="IE534" s="817"/>
      <c r="IF534" s="841"/>
      <c r="IG534" s="263"/>
      <c r="IH534" s="842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  <c r="JD534" s="73"/>
      <c r="JE534" s="73"/>
      <c r="JF534" s="73"/>
      <c r="JG534" s="73"/>
      <c r="JH534" s="73"/>
      <c r="JI534" s="73"/>
      <c r="JJ534" s="73"/>
      <c r="JK534" s="73"/>
      <c r="JL534" s="73"/>
      <c r="JM534" s="73"/>
      <c r="JN534" s="73"/>
      <c r="JO534" s="73"/>
      <c r="JP534" s="73"/>
      <c r="JQ534" s="73"/>
      <c r="JR534" s="73"/>
      <c r="JS534" s="74"/>
      <c r="JT534" s="382"/>
      <c r="JU534" s="665"/>
      <c r="JV534" s="524"/>
      <c r="JW534" s="525"/>
      <c r="JX534" s="549"/>
      <c r="JY534" s="549"/>
      <c r="JZ534" s="581">
        <f t="shared" si="12201"/>
        <v>0</v>
      </c>
      <c r="KA534" s="581">
        <f t="shared" si="12202"/>
        <v>0</v>
      </c>
      <c r="KB534" s="549">
        <f t="shared" si="12194"/>
        <v>0</v>
      </c>
      <c r="KC534" s="709">
        <f t="shared" si="12200"/>
        <v>0</v>
      </c>
      <c r="KD534" s="36"/>
      <c r="KE534" s="36"/>
      <c r="KF534" s="36"/>
      <c r="KG534" s="36"/>
      <c r="KH534" s="36"/>
      <c r="KI534" s="36"/>
      <c r="KJ534" s="36"/>
      <c r="KK534" s="36"/>
    </row>
    <row r="535" spans="1:297" s="8" customFormat="1">
      <c r="A535" s="80" t="s">
        <v>300</v>
      </c>
      <c r="B535" s="72" t="s">
        <v>200</v>
      </c>
      <c r="C535" s="74">
        <f>SUM(C536)</f>
        <v>615300</v>
      </c>
      <c r="D535" s="549">
        <f t="shared" ref="D535:AZ535" si="12650">SUM(D536:D536)</f>
        <v>0</v>
      </c>
      <c r="E535" s="675">
        <f t="shared" ref="E535:GO535" si="12651">SUM(E536:E536)</f>
        <v>0</v>
      </c>
      <c r="F535" s="549">
        <f t="shared" si="12650"/>
        <v>0</v>
      </c>
      <c r="G535" s="675">
        <f t="shared" si="12651"/>
        <v>0</v>
      </c>
      <c r="H535" s="549">
        <f t="shared" si="12650"/>
        <v>0</v>
      </c>
      <c r="I535" s="675">
        <f t="shared" si="12651"/>
        <v>0</v>
      </c>
      <c r="J535" s="549">
        <f t="shared" si="12650"/>
        <v>0</v>
      </c>
      <c r="K535" s="675">
        <f t="shared" si="12651"/>
        <v>0</v>
      </c>
      <c r="L535" s="549">
        <f t="shared" si="12650"/>
        <v>0</v>
      </c>
      <c r="M535" s="675">
        <f t="shared" si="12651"/>
        <v>0</v>
      </c>
      <c r="N535" s="549">
        <f t="shared" si="12650"/>
        <v>0</v>
      </c>
      <c r="O535" s="675">
        <f t="shared" si="12651"/>
        <v>0</v>
      </c>
      <c r="P535" s="549">
        <f t="shared" si="12650"/>
        <v>0</v>
      </c>
      <c r="Q535" s="675">
        <f t="shared" si="12651"/>
        <v>-3724</v>
      </c>
      <c r="R535" s="549">
        <f t="shared" si="12650"/>
        <v>0</v>
      </c>
      <c r="S535" s="675">
        <f t="shared" si="12651"/>
        <v>0</v>
      </c>
      <c r="T535" s="549">
        <f t="shared" si="12650"/>
        <v>0</v>
      </c>
      <c r="U535" s="675">
        <f t="shared" si="12651"/>
        <v>0</v>
      </c>
      <c r="V535" s="549">
        <f t="shared" si="12650"/>
        <v>0</v>
      </c>
      <c r="W535" s="675">
        <f t="shared" si="12651"/>
        <v>-8700</v>
      </c>
      <c r="X535" s="549">
        <f t="shared" si="12650"/>
        <v>0</v>
      </c>
      <c r="Y535" s="675">
        <f t="shared" si="12651"/>
        <v>0</v>
      </c>
      <c r="Z535" s="549">
        <f t="shared" si="12650"/>
        <v>0</v>
      </c>
      <c r="AA535" s="675">
        <f t="shared" si="12651"/>
        <v>0</v>
      </c>
      <c r="AB535" s="549">
        <f t="shared" si="12650"/>
        <v>0</v>
      </c>
      <c r="AC535" s="675">
        <f t="shared" si="12651"/>
        <v>0</v>
      </c>
      <c r="AD535" s="549">
        <f t="shared" si="12650"/>
        <v>0</v>
      </c>
      <c r="AE535" s="675">
        <f t="shared" si="12651"/>
        <v>0</v>
      </c>
      <c r="AF535" s="549">
        <f t="shared" si="12650"/>
        <v>0</v>
      </c>
      <c r="AG535" s="675">
        <f t="shared" si="12651"/>
        <v>0</v>
      </c>
      <c r="AH535" s="549">
        <f t="shared" si="12650"/>
        <v>0</v>
      </c>
      <c r="AI535" s="675">
        <f t="shared" si="12651"/>
        <v>0</v>
      </c>
      <c r="AJ535" s="549">
        <f t="shared" si="12650"/>
        <v>0</v>
      </c>
      <c r="AK535" s="675">
        <f t="shared" si="12651"/>
        <v>0</v>
      </c>
      <c r="AL535" s="549">
        <f t="shared" si="12650"/>
        <v>0</v>
      </c>
      <c r="AM535" s="675">
        <f t="shared" si="12651"/>
        <v>0</v>
      </c>
      <c r="AN535" s="549">
        <f t="shared" si="12650"/>
        <v>0</v>
      </c>
      <c r="AO535" s="675">
        <f t="shared" si="12651"/>
        <v>0</v>
      </c>
      <c r="AP535" s="549">
        <f t="shared" si="12650"/>
        <v>0</v>
      </c>
      <c r="AQ535" s="675">
        <f t="shared" si="12651"/>
        <v>0</v>
      </c>
      <c r="AR535" s="549">
        <f t="shared" si="12650"/>
        <v>0</v>
      </c>
      <c r="AS535" s="675">
        <f t="shared" si="12651"/>
        <v>0</v>
      </c>
      <c r="AT535" s="549">
        <f t="shared" si="12650"/>
        <v>0</v>
      </c>
      <c r="AU535" s="675">
        <f t="shared" si="12651"/>
        <v>0</v>
      </c>
      <c r="AV535" s="549">
        <f t="shared" si="12650"/>
        <v>0</v>
      </c>
      <c r="AW535" s="675">
        <f t="shared" si="12651"/>
        <v>0</v>
      </c>
      <c r="AX535" s="549">
        <f t="shared" si="12650"/>
        <v>0</v>
      </c>
      <c r="AY535" s="675">
        <f t="shared" si="12651"/>
        <v>0</v>
      </c>
      <c r="AZ535" s="549">
        <f t="shared" si="12650"/>
        <v>0</v>
      </c>
      <c r="BA535" s="675">
        <f t="shared" si="12651"/>
        <v>0</v>
      </c>
      <c r="BB535" s="549">
        <f t="shared" ref="BB535" si="12652">SUM(BB536:BB536)</f>
        <v>0</v>
      </c>
      <c r="BC535" s="675">
        <f t="shared" si="12651"/>
        <v>0</v>
      </c>
      <c r="BD535" s="549">
        <f t="shared" ref="BD535" si="12653">SUM(BD536:BD536)</f>
        <v>0</v>
      </c>
      <c r="BE535" s="675">
        <f t="shared" si="12651"/>
        <v>0</v>
      </c>
      <c r="BF535" s="549">
        <f t="shared" ref="BF535" si="12654">SUM(BF536:BF536)</f>
        <v>0</v>
      </c>
      <c r="BG535" s="675">
        <f t="shared" si="12651"/>
        <v>0</v>
      </c>
      <c r="BH535" s="549">
        <f t="shared" ref="BH535" si="12655">SUM(BH536:BH536)</f>
        <v>0</v>
      </c>
      <c r="BI535" s="675">
        <f t="shared" si="12651"/>
        <v>0</v>
      </c>
      <c r="BJ535" s="549">
        <f t="shared" ref="BJ535" si="12656">SUM(BJ536:BJ536)</f>
        <v>0</v>
      </c>
      <c r="BK535" s="675">
        <f t="shared" si="12651"/>
        <v>0</v>
      </c>
      <c r="BL535" s="549">
        <f t="shared" ref="BL535" si="12657">SUM(BL536:BL536)</f>
        <v>0</v>
      </c>
      <c r="BM535" s="675">
        <f t="shared" si="12651"/>
        <v>0</v>
      </c>
      <c r="BN535" s="549">
        <f t="shared" ref="BN535" si="12658">SUM(BN536:BN536)</f>
        <v>0</v>
      </c>
      <c r="BO535" s="675">
        <f t="shared" si="12651"/>
        <v>0</v>
      </c>
      <c r="BP535" s="549">
        <f t="shared" ref="BP535" si="12659">SUM(BP536:BP536)</f>
        <v>0</v>
      </c>
      <c r="BQ535" s="675">
        <f t="shared" si="12651"/>
        <v>0</v>
      </c>
      <c r="BR535" s="549">
        <f t="shared" ref="BR535" si="12660">SUM(BR536:BR536)</f>
        <v>0</v>
      </c>
      <c r="BS535" s="675">
        <f t="shared" si="12651"/>
        <v>0</v>
      </c>
      <c r="BT535" s="549">
        <f t="shared" ref="BT535:GN535" si="12661">SUM(BT536:BT536)</f>
        <v>0</v>
      </c>
      <c r="BU535" s="675">
        <f t="shared" si="12651"/>
        <v>0</v>
      </c>
      <c r="BV535" s="549">
        <f t="shared" si="12661"/>
        <v>0</v>
      </c>
      <c r="BW535" s="675">
        <f t="shared" si="12651"/>
        <v>0</v>
      </c>
      <c r="BX535" s="549">
        <f t="shared" si="12661"/>
        <v>0</v>
      </c>
      <c r="BY535" s="675">
        <f t="shared" si="12651"/>
        <v>0</v>
      </c>
      <c r="BZ535" s="549">
        <f t="shared" si="12661"/>
        <v>0</v>
      </c>
      <c r="CA535" s="675">
        <f t="shared" si="12651"/>
        <v>0</v>
      </c>
      <c r="CB535" s="549">
        <f t="shared" si="12661"/>
        <v>0</v>
      </c>
      <c r="CC535" s="675">
        <f t="shared" si="12651"/>
        <v>0</v>
      </c>
      <c r="CD535" s="549">
        <f t="shared" si="12661"/>
        <v>0</v>
      </c>
      <c r="CE535" s="675">
        <f t="shared" si="12651"/>
        <v>0</v>
      </c>
      <c r="CF535" s="549">
        <f t="shared" si="12661"/>
        <v>0</v>
      </c>
      <c r="CG535" s="675">
        <f t="shared" si="12651"/>
        <v>0</v>
      </c>
      <c r="CH535" s="549">
        <f t="shared" si="12661"/>
        <v>0</v>
      </c>
      <c r="CI535" s="675">
        <f t="shared" si="12651"/>
        <v>0</v>
      </c>
      <c r="CJ535" s="549">
        <f t="shared" si="12661"/>
        <v>0</v>
      </c>
      <c r="CK535" s="675">
        <f t="shared" si="12651"/>
        <v>-52768</v>
      </c>
      <c r="CL535" s="549">
        <f t="shared" si="12661"/>
        <v>0</v>
      </c>
      <c r="CM535" s="675">
        <f t="shared" si="12651"/>
        <v>0</v>
      </c>
      <c r="CN535" s="549">
        <f t="shared" si="12661"/>
        <v>0</v>
      </c>
      <c r="CO535" s="675">
        <f t="shared" si="12651"/>
        <v>0</v>
      </c>
      <c r="CP535" s="549">
        <f t="shared" si="12661"/>
        <v>0</v>
      </c>
      <c r="CQ535" s="675">
        <f t="shared" si="12651"/>
        <v>0</v>
      </c>
      <c r="CR535" s="549">
        <f t="shared" si="12661"/>
        <v>0</v>
      </c>
      <c r="CS535" s="675">
        <f t="shared" si="12651"/>
        <v>0</v>
      </c>
      <c r="CT535" s="549">
        <f t="shared" si="12661"/>
        <v>0</v>
      </c>
      <c r="CU535" s="675">
        <f t="shared" si="12651"/>
        <v>0</v>
      </c>
      <c r="CV535" s="549">
        <f t="shared" si="12661"/>
        <v>0</v>
      </c>
      <c r="CW535" s="675">
        <f t="shared" si="12651"/>
        <v>0</v>
      </c>
      <c r="CX535" s="549">
        <f t="shared" si="12661"/>
        <v>0</v>
      </c>
      <c r="CY535" s="675">
        <f t="shared" si="12651"/>
        <v>0</v>
      </c>
      <c r="CZ535" s="549">
        <f t="shared" si="12661"/>
        <v>0</v>
      </c>
      <c r="DA535" s="675">
        <f t="shared" si="12651"/>
        <v>-35000</v>
      </c>
      <c r="DB535" s="549">
        <f t="shared" si="12661"/>
        <v>0</v>
      </c>
      <c r="DC535" s="675">
        <f t="shared" si="12651"/>
        <v>0</v>
      </c>
      <c r="DD535" s="549">
        <f t="shared" si="12661"/>
        <v>0</v>
      </c>
      <c r="DE535" s="675">
        <f t="shared" si="12651"/>
        <v>0</v>
      </c>
      <c r="DF535" s="549">
        <f t="shared" si="12661"/>
        <v>0</v>
      </c>
      <c r="DG535" s="675">
        <f t="shared" si="12651"/>
        <v>0</v>
      </c>
      <c r="DH535" s="549">
        <f t="shared" si="12661"/>
        <v>0</v>
      </c>
      <c r="DI535" s="675">
        <f t="shared" si="12651"/>
        <v>0</v>
      </c>
      <c r="DJ535" s="549">
        <f t="shared" si="12661"/>
        <v>0</v>
      </c>
      <c r="DK535" s="675">
        <f t="shared" si="12651"/>
        <v>0</v>
      </c>
      <c r="DL535" s="549">
        <f t="shared" si="12661"/>
        <v>0</v>
      </c>
      <c r="DM535" s="675">
        <f t="shared" si="12651"/>
        <v>0</v>
      </c>
      <c r="DN535" s="549">
        <f t="shared" si="12661"/>
        <v>0</v>
      </c>
      <c r="DO535" s="675">
        <f t="shared" si="12651"/>
        <v>0</v>
      </c>
      <c r="DP535" s="549">
        <f t="shared" si="12661"/>
        <v>0</v>
      </c>
      <c r="DQ535" s="675">
        <f t="shared" si="12651"/>
        <v>-20560</v>
      </c>
      <c r="DR535" s="549">
        <f t="shared" si="12661"/>
        <v>0</v>
      </c>
      <c r="DS535" s="675">
        <f t="shared" si="12651"/>
        <v>0</v>
      </c>
      <c r="DT535" s="549">
        <f t="shared" si="12661"/>
        <v>0</v>
      </c>
      <c r="DU535" s="675">
        <f t="shared" si="12651"/>
        <v>0</v>
      </c>
      <c r="DV535" s="549">
        <f t="shared" si="12661"/>
        <v>0</v>
      </c>
      <c r="DW535" s="675">
        <f t="shared" si="12651"/>
        <v>0</v>
      </c>
      <c r="DX535" s="549">
        <f t="shared" si="12661"/>
        <v>0</v>
      </c>
      <c r="DY535" s="675">
        <f t="shared" si="12651"/>
        <v>0</v>
      </c>
      <c r="DZ535" s="549">
        <f t="shared" si="12661"/>
        <v>0</v>
      </c>
      <c r="EA535" s="675">
        <f t="shared" si="12651"/>
        <v>0</v>
      </c>
      <c r="EB535" s="549">
        <f t="shared" si="12661"/>
        <v>0</v>
      </c>
      <c r="EC535" s="675">
        <f t="shared" si="12651"/>
        <v>0</v>
      </c>
      <c r="ED535" s="549">
        <f t="shared" si="12661"/>
        <v>0</v>
      </c>
      <c r="EE535" s="675">
        <f t="shared" si="12651"/>
        <v>0</v>
      </c>
      <c r="EF535" s="549">
        <f t="shared" si="12661"/>
        <v>0</v>
      </c>
      <c r="EG535" s="675">
        <f t="shared" si="12651"/>
        <v>0</v>
      </c>
      <c r="EH535" s="549">
        <f t="shared" si="12661"/>
        <v>0</v>
      </c>
      <c r="EI535" s="675">
        <f t="shared" si="12651"/>
        <v>0</v>
      </c>
      <c r="EJ535" s="549">
        <f t="shared" si="12661"/>
        <v>0</v>
      </c>
      <c r="EK535" s="675">
        <f t="shared" si="12651"/>
        <v>0</v>
      </c>
      <c r="EL535" s="549">
        <f t="shared" si="12661"/>
        <v>0</v>
      </c>
      <c r="EM535" s="675">
        <f t="shared" si="12651"/>
        <v>0</v>
      </c>
      <c r="EN535" s="549">
        <f t="shared" si="12661"/>
        <v>0</v>
      </c>
      <c r="EO535" s="675">
        <f t="shared" si="12651"/>
        <v>0</v>
      </c>
      <c r="EP535" s="549">
        <f t="shared" si="12661"/>
        <v>0</v>
      </c>
      <c r="EQ535" s="675">
        <f t="shared" si="12651"/>
        <v>0</v>
      </c>
      <c r="ER535" s="549">
        <f t="shared" si="12661"/>
        <v>0</v>
      </c>
      <c r="ES535" s="675">
        <f t="shared" si="12651"/>
        <v>0</v>
      </c>
      <c r="ET535" s="549">
        <f t="shared" si="12661"/>
        <v>0</v>
      </c>
      <c r="EU535" s="675">
        <f t="shared" si="12651"/>
        <v>0</v>
      </c>
      <c r="EV535" s="549">
        <f t="shared" si="12661"/>
        <v>0</v>
      </c>
      <c r="EW535" s="675">
        <f t="shared" si="12651"/>
        <v>0</v>
      </c>
      <c r="EX535" s="549">
        <f t="shared" si="12661"/>
        <v>0</v>
      </c>
      <c r="EY535" s="675">
        <f t="shared" si="12651"/>
        <v>0</v>
      </c>
      <c r="EZ535" s="549">
        <f t="shared" si="12661"/>
        <v>0</v>
      </c>
      <c r="FA535" s="675">
        <f t="shared" si="12651"/>
        <v>0</v>
      </c>
      <c r="FB535" s="549">
        <f t="shared" si="12661"/>
        <v>0</v>
      </c>
      <c r="FC535" s="675">
        <f t="shared" si="12651"/>
        <v>0</v>
      </c>
      <c r="FD535" s="549">
        <f t="shared" si="12661"/>
        <v>0</v>
      </c>
      <c r="FE535" s="675">
        <f t="shared" si="12651"/>
        <v>0</v>
      </c>
      <c r="FF535" s="549">
        <f t="shared" si="12661"/>
        <v>0</v>
      </c>
      <c r="FG535" s="675">
        <f t="shared" si="12651"/>
        <v>0</v>
      </c>
      <c r="FH535" s="549">
        <f t="shared" si="12661"/>
        <v>0</v>
      </c>
      <c r="FI535" s="675">
        <f t="shared" si="12651"/>
        <v>0</v>
      </c>
      <c r="FJ535" s="549">
        <f t="shared" si="12661"/>
        <v>0</v>
      </c>
      <c r="FK535" s="675">
        <f t="shared" si="12651"/>
        <v>0</v>
      </c>
      <c r="FL535" s="549">
        <f t="shared" si="12661"/>
        <v>0</v>
      </c>
      <c r="FM535" s="675">
        <f t="shared" si="12651"/>
        <v>-8671</v>
      </c>
      <c r="FN535" s="549">
        <f t="shared" si="12661"/>
        <v>0</v>
      </c>
      <c r="FO535" s="675">
        <f t="shared" si="12651"/>
        <v>0</v>
      </c>
      <c r="FP535" s="549">
        <f t="shared" si="12661"/>
        <v>0</v>
      </c>
      <c r="FQ535" s="675">
        <f t="shared" si="12651"/>
        <v>0</v>
      </c>
      <c r="FR535" s="549">
        <f t="shared" si="12661"/>
        <v>0</v>
      </c>
      <c r="FS535" s="675">
        <f t="shared" si="12651"/>
        <v>-46143</v>
      </c>
      <c r="FT535" s="549">
        <f t="shared" si="12661"/>
        <v>0</v>
      </c>
      <c r="FU535" s="675">
        <f t="shared" si="12651"/>
        <v>-10857</v>
      </c>
      <c r="FV535" s="549">
        <f t="shared" si="12661"/>
        <v>0</v>
      </c>
      <c r="FW535" s="675">
        <f t="shared" si="12651"/>
        <v>0</v>
      </c>
      <c r="FX535" s="549">
        <f t="shared" si="12661"/>
        <v>0</v>
      </c>
      <c r="FY535" s="675">
        <f t="shared" si="12651"/>
        <v>-6703</v>
      </c>
      <c r="FZ535" s="549">
        <f t="shared" si="12661"/>
        <v>0</v>
      </c>
      <c r="GA535" s="675">
        <f t="shared" si="12651"/>
        <v>0</v>
      </c>
      <c r="GB535" s="549">
        <f t="shared" si="12661"/>
        <v>0</v>
      </c>
      <c r="GC535" s="675">
        <f t="shared" si="12651"/>
        <v>0</v>
      </c>
      <c r="GD535" s="549">
        <f t="shared" si="12661"/>
        <v>0</v>
      </c>
      <c r="GE535" s="675">
        <f t="shared" si="12651"/>
        <v>0</v>
      </c>
      <c r="GF535" s="549">
        <f t="shared" si="12661"/>
        <v>0</v>
      </c>
      <c r="GG535" s="675">
        <f t="shared" si="12651"/>
        <v>0</v>
      </c>
      <c r="GH535" s="549">
        <f t="shared" si="12661"/>
        <v>0</v>
      </c>
      <c r="GI535" s="675">
        <f t="shared" si="12651"/>
        <v>0</v>
      </c>
      <c r="GJ535" s="549">
        <f t="shared" si="12661"/>
        <v>0</v>
      </c>
      <c r="GK535" s="675">
        <f t="shared" si="12651"/>
        <v>0</v>
      </c>
      <c r="GL535" s="549">
        <f t="shared" si="12661"/>
        <v>0</v>
      </c>
      <c r="GM535" s="675">
        <f t="shared" si="12651"/>
        <v>0</v>
      </c>
      <c r="GN535" s="549">
        <f t="shared" si="12661"/>
        <v>0</v>
      </c>
      <c r="GO535" s="675">
        <f t="shared" si="12651"/>
        <v>0</v>
      </c>
      <c r="GP535" s="549">
        <f>SUM(GP536:GP536)</f>
        <v>0</v>
      </c>
      <c r="GQ535" s="675">
        <f>SUM(GQ536:GQ536)</f>
        <v>-193126</v>
      </c>
      <c r="GR535" s="74">
        <f>GR536</f>
        <v>422174</v>
      </c>
      <c r="GS535" s="74">
        <f>GS536</f>
        <v>422174</v>
      </c>
      <c r="GT535" s="549">
        <f t="shared" ref="GT535:HF535" si="12662">SUM(GT536:GT536)</f>
        <v>422174</v>
      </c>
      <c r="GU535" s="74">
        <f t="shared" si="12662"/>
        <v>61530</v>
      </c>
      <c r="GV535" s="74">
        <f t="shared" si="12662"/>
        <v>61530</v>
      </c>
      <c r="GW535" s="549">
        <f t="shared" si="12662"/>
        <v>61530</v>
      </c>
      <c r="GX535" s="549">
        <f t="shared" si="12662"/>
        <v>61530</v>
      </c>
      <c r="GY535" s="74">
        <f t="shared" si="12662"/>
        <v>61530</v>
      </c>
      <c r="GZ535" s="74">
        <f t="shared" si="12662"/>
        <v>61530</v>
      </c>
      <c r="HA535" s="74">
        <f t="shared" si="12662"/>
        <v>61530</v>
      </c>
      <c r="HB535" s="74">
        <f t="shared" si="12662"/>
        <v>61530</v>
      </c>
      <c r="HC535" s="74">
        <f t="shared" si="12662"/>
        <v>61530</v>
      </c>
      <c r="HD535" s="74">
        <f t="shared" si="12662"/>
        <v>61530</v>
      </c>
      <c r="HE535" s="74">
        <f t="shared" si="12662"/>
        <v>0</v>
      </c>
      <c r="HF535" s="74">
        <f t="shared" si="12662"/>
        <v>0</v>
      </c>
      <c r="HG535" s="74">
        <f t="shared" ref="HG535:JR535" si="12663">SUM(HG536:HG536)</f>
        <v>422174</v>
      </c>
      <c r="HH535" s="74">
        <f t="shared" si="12663"/>
        <v>61530</v>
      </c>
      <c r="HI535" s="792">
        <f t="shared" si="12663"/>
        <v>0</v>
      </c>
      <c r="HJ535" s="74">
        <f t="shared" si="12663"/>
        <v>11107.67</v>
      </c>
      <c r="HK535" s="792">
        <f t="shared" si="12663"/>
        <v>0</v>
      </c>
      <c r="HL535" s="74">
        <f t="shared" si="12663"/>
        <v>42252.959999999999</v>
      </c>
      <c r="HM535" s="792">
        <f t="shared" si="12663"/>
        <v>0</v>
      </c>
      <c r="HN535" s="74">
        <f t="shared" si="12663"/>
        <v>31992.68</v>
      </c>
      <c r="HO535" s="792">
        <f t="shared" si="12663"/>
        <v>0</v>
      </c>
      <c r="HP535" s="74">
        <f t="shared" si="12663"/>
        <v>127170.21</v>
      </c>
      <c r="HQ535" s="792">
        <f t="shared" si="12663"/>
        <v>0</v>
      </c>
      <c r="HR535" s="74">
        <f t="shared" si="12663"/>
        <v>69727</v>
      </c>
      <c r="HS535" s="792">
        <f t="shared" si="12663"/>
        <v>0</v>
      </c>
      <c r="HT535" s="74">
        <f t="shared" si="12663"/>
        <v>-13262.52</v>
      </c>
      <c r="HU535" s="792">
        <f t="shared" si="12663"/>
        <v>0</v>
      </c>
      <c r="HV535" s="74">
        <f t="shared" si="12663"/>
        <v>40000</v>
      </c>
      <c r="HW535" s="792">
        <f t="shared" si="12663"/>
        <v>0</v>
      </c>
      <c r="HX535" s="74">
        <f t="shared" si="12663"/>
        <v>62500</v>
      </c>
      <c r="HY535" s="792">
        <f t="shared" si="12663"/>
        <v>0</v>
      </c>
      <c r="HZ535" s="74">
        <f t="shared" si="12663"/>
        <v>-10844</v>
      </c>
      <c r="IA535" s="792">
        <f t="shared" si="12663"/>
        <v>0</v>
      </c>
      <c r="IB535" s="74">
        <f t="shared" si="12663"/>
        <v>0</v>
      </c>
      <c r="IC535" s="792">
        <f t="shared" si="12663"/>
        <v>0</v>
      </c>
      <c r="ID535" s="74">
        <f t="shared" si="12663"/>
        <v>0</v>
      </c>
      <c r="IE535" s="792">
        <f t="shared" si="12663"/>
        <v>0</v>
      </c>
      <c r="IF535" s="841">
        <f t="shared" si="12663"/>
        <v>376750.04</v>
      </c>
      <c r="IG535" s="263">
        <f t="shared" si="12663"/>
        <v>376750.04</v>
      </c>
      <c r="IH535" s="842">
        <f t="shared" si="12663"/>
        <v>376750.04</v>
      </c>
      <c r="II535" s="74">
        <f t="shared" si="12663"/>
        <v>18301.75</v>
      </c>
      <c r="IJ535" s="74">
        <f t="shared" si="12663"/>
        <v>18301.75</v>
      </c>
      <c r="IK535" s="74">
        <f t="shared" si="12663"/>
        <v>18301.75</v>
      </c>
      <c r="IL535" s="74">
        <f t="shared" si="12663"/>
        <v>23376.339999999997</v>
      </c>
      <c r="IM535" s="74">
        <f t="shared" si="12663"/>
        <v>23376.339999999997</v>
      </c>
      <c r="IN535" s="74">
        <f t="shared" si="12663"/>
        <v>23376.339999999997</v>
      </c>
      <c r="IO535" s="74">
        <f t="shared" si="12663"/>
        <v>19818.75</v>
      </c>
      <c r="IP535" s="74">
        <f t="shared" si="12663"/>
        <v>19818.75</v>
      </c>
      <c r="IQ535" s="74">
        <f t="shared" si="12663"/>
        <v>19818.75</v>
      </c>
      <c r="IR535" s="74">
        <f t="shared" si="12663"/>
        <v>36203.03</v>
      </c>
      <c r="IS535" s="74">
        <f t="shared" si="12663"/>
        <v>36203.03</v>
      </c>
      <c r="IT535" s="74">
        <f t="shared" si="12663"/>
        <v>36203.03</v>
      </c>
      <c r="IU535" s="74">
        <f t="shared" si="12663"/>
        <v>81866.179999999993</v>
      </c>
      <c r="IV535" s="74">
        <f t="shared" si="12663"/>
        <v>81866.179999999993</v>
      </c>
      <c r="IW535" s="74">
        <f t="shared" si="12663"/>
        <v>81866.179999999993</v>
      </c>
      <c r="IX535" s="74">
        <f t="shared" si="12663"/>
        <v>46100.160000000003</v>
      </c>
      <c r="IY535" s="74">
        <f t="shared" si="12663"/>
        <v>46100.160000000003</v>
      </c>
      <c r="IZ535" s="74">
        <f t="shared" si="12663"/>
        <v>46100.160000000003</v>
      </c>
      <c r="JA535" s="74">
        <f t="shared" si="12663"/>
        <v>42005.810000000027</v>
      </c>
      <c r="JB535" s="74">
        <f t="shared" si="12663"/>
        <v>42005.810000000027</v>
      </c>
      <c r="JC535" s="74">
        <f t="shared" si="12663"/>
        <v>42005.810000000027</v>
      </c>
      <c r="JD535" s="74">
        <f t="shared" si="12663"/>
        <v>27949.510000000009</v>
      </c>
      <c r="JE535" s="74">
        <f t="shared" si="12663"/>
        <v>27949.510000000009</v>
      </c>
      <c r="JF535" s="74">
        <f t="shared" si="12663"/>
        <v>27949.510000000009</v>
      </c>
      <c r="JG535" s="74">
        <f t="shared" si="12663"/>
        <v>72560.129999999946</v>
      </c>
      <c r="JH535" s="74">
        <f t="shared" si="12663"/>
        <v>72560.129999999946</v>
      </c>
      <c r="JI535" s="74">
        <f t="shared" si="12663"/>
        <v>72560.129999999946</v>
      </c>
      <c r="JJ535" s="74">
        <f t="shared" si="12663"/>
        <v>8568.3800000000047</v>
      </c>
      <c r="JK535" s="74">
        <f t="shared" si="12663"/>
        <v>8568.3800000000047</v>
      </c>
      <c r="JL535" s="74">
        <f t="shared" si="12663"/>
        <v>8568.3800000000047</v>
      </c>
      <c r="JM535" s="74">
        <f t="shared" si="12663"/>
        <v>0</v>
      </c>
      <c r="JN535" s="74">
        <f t="shared" si="12663"/>
        <v>0</v>
      </c>
      <c r="JO535" s="74">
        <f t="shared" si="12663"/>
        <v>0</v>
      </c>
      <c r="JP535" s="74">
        <f t="shared" si="12663"/>
        <v>0</v>
      </c>
      <c r="JQ535" s="74">
        <f t="shared" si="12663"/>
        <v>0</v>
      </c>
      <c r="JR535" s="74">
        <f t="shared" si="12663"/>
        <v>0</v>
      </c>
      <c r="JS535" s="74">
        <f>SUM(JS536:JS536)</f>
        <v>45423.960000000021</v>
      </c>
      <c r="JT535" s="382">
        <f>SUM(JT536:JT536)</f>
        <v>45423.960000000021</v>
      </c>
      <c r="JU535" s="665"/>
      <c r="JV535" s="524"/>
      <c r="JW535" s="525"/>
      <c r="JX535" s="549">
        <f>SUM(JX536:JX536)</f>
        <v>422174</v>
      </c>
      <c r="JY535" s="549">
        <f>SUM(JY536:JY536)</f>
        <v>0</v>
      </c>
      <c r="JZ535" s="581">
        <f>GP535</f>
        <v>0</v>
      </c>
      <c r="KA535" s="581">
        <f t="shared" si="12202"/>
        <v>-193126</v>
      </c>
      <c r="KB535" s="549">
        <f t="shared" si="12194"/>
        <v>422174</v>
      </c>
      <c r="KC535" s="709">
        <f t="shared" si="12200"/>
        <v>0</v>
      </c>
      <c r="KD535" s="270"/>
      <c r="KE535" s="270"/>
      <c r="KF535" s="270"/>
      <c r="KG535" s="270"/>
      <c r="KH535" s="270"/>
      <c r="KI535" s="270"/>
      <c r="KJ535" s="270"/>
      <c r="KK535" s="270"/>
    </row>
    <row r="536" spans="1:297" s="10" customFormat="1">
      <c r="A536" s="86" t="s">
        <v>301</v>
      </c>
      <c r="B536" s="77" t="s">
        <v>202</v>
      </c>
      <c r="C536" s="74">
        <v>615300</v>
      </c>
      <c r="D536" s="549">
        <v>0</v>
      </c>
      <c r="E536" s="675">
        <v>0</v>
      </c>
      <c r="F536" s="549">
        <v>0</v>
      </c>
      <c r="G536" s="675">
        <v>0</v>
      </c>
      <c r="H536" s="549">
        <v>0</v>
      </c>
      <c r="I536" s="675">
        <v>0</v>
      </c>
      <c r="J536" s="549">
        <v>0</v>
      </c>
      <c r="K536" s="675">
        <v>0</v>
      </c>
      <c r="L536" s="549">
        <v>0</v>
      </c>
      <c r="M536" s="675">
        <v>0</v>
      </c>
      <c r="N536" s="549">
        <v>0</v>
      </c>
      <c r="O536" s="675">
        <v>0</v>
      </c>
      <c r="P536" s="549">
        <v>0</v>
      </c>
      <c r="Q536" s="675">
        <v>-3724</v>
      </c>
      <c r="R536" s="549">
        <v>0</v>
      </c>
      <c r="S536" s="675">
        <v>0</v>
      </c>
      <c r="T536" s="549">
        <v>0</v>
      </c>
      <c r="U536" s="675">
        <v>0</v>
      </c>
      <c r="V536" s="549">
        <v>0</v>
      </c>
      <c r="W536" s="675">
        <v>-8700</v>
      </c>
      <c r="X536" s="549">
        <v>0</v>
      </c>
      <c r="Y536" s="675">
        <v>0</v>
      </c>
      <c r="Z536" s="549">
        <v>0</v>
      </c>
      <c r="AA536" s="675">
        <v>0</v>
      </c>
      <c r="AB536" s="549">
        <v>0</v>
      </c>
      <c r="AC536" s="675">
        <v>0</v>
      </c>
      <c r="AD536" s="549">
        <v>0</v>
      </c>
      <c r="AE536" s="675">
        <v>0</v>
      </c>
      <c r="AF536" s="549">
        <v>0</v>
      </c>
      <c r="AG536" s="675">
        <v>0</v>
      </c>
      <c r="AH536" s="549">
        <v>0</v>
      </c>
      <c r="AI536" s="675">
        <v>0</v>
      </c>
      <c r="AJ536" s="549">
        <v>0</v>
      </c>
      <c r="AK536" s="675">
        <v>0</v>
      </c>
      <c r="AL536" s="549">
        <v>0</v>
      </c>
      <c r="AM536" s="675">
        <v>0</v>
      </c>
      <c r="AN536" s="549">
        <v>0</v>
      </c>
      <c r="AO536" s="675">
        <v>0</v>
      </c>
      <c r="AP536" s="549">
        <v>0</v>
      </c>
      <c r="AQ536" s="675">
        <v>0</v>
      </c>
      <c r="AR536" s="549">
        <v>0</v>
      </c>
      <c r="AS536" s="675">
        <v>0</v>
      </c>
      <c r="AT536" s="549">
        <v>0</v>
      </c>
      <c r="AU536" s="675">
        <v>0</v>
      </c>
      <c r="AV536" s="549">
        <v>0</v>
      </c>
      <c r="AW536" s="675">
        <v>0</v>
      </c>
      <c r="AX536" s="549">
        <v>0</v>
      </c>
      <c r="AY536" s="675">
        <v>0</v>
      </c>
      <c r="AZ536" s="549">
        <v>0</v>
      </c>
      <c r="BA536" s="675">
        <v>0</v>
      </c>
      <c r="BB536" s="549">
        <v>0</v>
      </c>
      <c r="BC536" s="675">
        <v>0</v>
      </c>
      <c r="BD536" s="549">
        <v>0</v>
      </c>
      <c r="BE536" s="675">
        <v>0</v>
      </c>
      <c r="BF536" s="549">
        <v>0</v>
      </c>
      <c r="BG536" s="675">
        <v>0</v>
      </c>
      <c r="BH536" s="549">
        <v>0</v>
      </c>
      <c r="BI536" s="675">
        <v>0</v>
      </c>
      <c r="BJ536" s="549">
        <v>0</v>
      </c>
      <c r="BK536" s="675">
        <v>0</v>
      </c>
      <c r="BL536" s="549">
        <v>0</v>
      </c>
      <c r="BM536" s="675">
        <v>0</v>
      </c>
      <c r="BN536" s="549">
        <v>0</v>
      </c>
      <c r="BO536" s="675">
        <v>0</v>
      </c>
      <c r="BP536" s="549">
        <v>0</v>
      </c>
      <c r="BQ536" s="675">
        <v>0</v>
      </c>
      <c r="BR536" s="549">
        <v>0</v>
      </c>
      <c r="BS536" s="675">
        <v>0</v>
      </c>
      <c r="BT536" s="549">
        <v>0</v>
      </c>
      <c r="BU536" s="675">
        <v>0</v>
      </c>
      <c r="BV536" s="549">
        <v>0</v>
      </c>
      <c r="BW536" s="675">
        <v>0</v>
      </c>
      <c r="BX536" s="549">
        <v>0</v>
      </c>
      <c r="BY536" s="675">
        <v>0</v>
      </c>
      <c r="BZ536" s="549">
        <v>0</v>
      </c>
      <c r="CA536" s="675">
        <v>0</v>
      </c>
      <c r="CB536" s="549">
        <v>0</v>
      </c>
      <c r="CC536" s="675">
        <v>0</v>
      </c>
      <c r="CD536" s="549">
        <v>0</v>
      </c>
      <c r="CE536" s="675">
        <v>0</v>
      </c>
      <c r="CF536" s="549">
        <v>0</v>
      </c>
      <c r="CG536" s="675">
        <v>0</v>
      </c>
      <c r="CH536" s="549">
        <v>0</v>
      </c>
      <c r="CI536" s="675">
        <v>0</v>
      </c>
      <c r="CJ536" s="549">
        <v>0</v>
      </c>
      <c r="CK536" s="675">
        <v>-52768</v>
      </c>
      <c r="CL536" s="549">
        <v>0</v>
      </c>
      <c r="CM536" s="675">
        <v>0</v>
      </c>
      <c r="CN536" s="549">
        <v>0</v>
      </c>
      <c r="CO536" s="675">
        <v>0</v>
      </c>
      <c r="CP536" s="549">
        <v>0</v>
      </c>
      <c r="CQ536" s="675">
        <v>0</v>
      </c>
      <c r="CR536" s="549">
        <v>0</v>
      </c>
      <c r="CS536" s="675">
        <v>0</v>
      </c>
      <c r="CT536" s="549">
        <v>0</v>
      </c>
      <c r="CU536" s="675">
        <v>0</v>
      </c>
      <c r="CV536" s="549">
        <v>0</v>
      </c>
      <c r="CW536" s="675">
        <v>0</v>
      </c>
      <c r="CX536" s="549">
        <v>0</v>
      </c>
      <c r="CY536" s="675">
        <v>0</v>
      </c>
      <c r="CZ536" s="549">
        <v>0</v>
      </c>
      <c r="DA536" s="675">
        <v>-35000</v>
      </c>
      <c r="DB536" s="549">
        <v>0</v>
      </c>
      <c r="DC536" s="675">
        <v>0</v>
      </c>
      <c r="DD536" s="549">
        <v>0</v>
      </c>
      <c r="DE536" s="675">
        <v>0</v>
      </c>
      <c r="DF536" s="549">
        <v>0</v>
      </c>
      <c r="DG536" s="675">
        <v>0</v>
      </c>
      <c r="DH536" s="549">
        <v>0</v>
      </c>
      <c r="DI536" s="675">
        <v>0</v>
      </c>
      <c r="DJ536" s="549">
        <v>0</v>
      </c>
      <c r="DK536" s="675">
        <v>0</v>
      </c>
      <c r="DL536" s="549">
        <v>0</v>
      </c>
      <c r="DM536" s="675">
        <v>0</v>
      </c>
      <c r="DN536" s="549">
        <v>0</v>
      </c>
      <c r="DO536" s="675">
        <v>0</v>
      </c>
      <c r="DP536" s="549">
        <v>0</v>
      </c>
      <c r="DQ536" s="675">
        <v>-20560</v>
      </c>
      <c r="DR536" s="549">
        <v>0</v>
      </c>
      <c r="DS536" s="675">
        <v>0</v>
      </c>
      <c r="DT536" s="549">
        <v>0</v>
      </c>
      <c r="DU536" s="675">
        <v>0</v>
      </c>
      <c r="DV536" s="549">
        <v>0</v>
      </c>
      <c r="DW536" s="675">
        <v>0</v>
      </c>
      <c r="DX536" s="549">
        <v>0</v>
      </c>
      <c r="DY536" s="675">
        <v>0</v>
      </c>
      <c r="DZ536" s="549">
        <v>0</v>
      </c>
      <c r="EA536" s="675">
        <v>0</v>
      </c>
      <c r="EB536" s="549">
        <v>0</v>
      </c>
      <c r="EC536" s="675">
        <v>0</v>
      </c>
      <c r="ED536" s="549">
        <v>0</v>
      </c>
      <c r="EE536" s="675">
        <v>0</v>
      </c>
      <c r="EF536" s="549">
        <v>0</v>
      </c>
      <c r="EG536" s="675">
        <v>0</v>
      </c>
      <c r="EH536" s="549">
        <v>0</v>
      </c>
      <c r="EI536" s="675">
        <v>0</v>
      </c>
      <c r="EJ536" s="549">
        <v>0</v>
      </c>
      <c r="EK536" s="675">
        <v>0</v>
      </c>
      <c r="EL536" s="549">
        <v>0</v>
      </c>
      <c r="EM536" s="675">
        <v>0</v>
      </c>
      <c r="EN536" s="549">
        <v>0</v>
      </c>
      <c r="EO536" s="675">
        <v>0</v>
      </c>
      <c r="EP536" s="549">
        <v>0</v>
      </c>
      <c r="EQ536" s="675">
        <v>0</v>
      </c>
      <c r="ER536" s="549">
        <v>0</v>
      </c>
      <c r="ES536" s="675">
        <v>0</v>
      </c>
      <c r="ET536" s="549">
        <v>0</v>
      </c>
      <c r="EU536" s="675">
        <v>0</v>
      </c>
      <c r="EV536" s="549">
        <v>0</v>
      </c>
      <c r="EW536" s="675">
        <v>0</v>
      </c>
      <c r="EX536" s="549">
        <v>0</v>
      </c>
      <c r="EY536" s="675">
        <v>0</v>
      </c>
      <c r="EZ536" s="549">
        <v>0</v>
      </c>
      <c r="FA536" s="675">
        <v>0</v>
      </c>
      <c r="FB536" s="549">
        <v>0</v>
      </c>
      <c r="FC536" s="675">
        <v>0</v>
      </c>
      <c r="FD536" s="549">
        <v>0</v>
      </c>
      <c r="FE536" s="675">
        <v>0</v>
      </c>
      <c r="FF536" s="549">
        <v>0</v>
      </c>
      <c r="FG536" s="675">
        <v>0</v>
      </c>
      <c r="FH536" s="549">
        <v>0</v>
      </c>
      <c r="FI536" s="675">
        <v>0</v>
      </c>
      <c r="FJ536" s="549">
        <v>0</v>
      </c>
      <c r="FK536" s="675">
        <v>0</v>
      </c>
      <c r="FL536" s="549">
        <v>0</v>
      </c>
      <c r="FM536" s="675">
        <v>-8671</v>
      </c>
      <c r="FN536" s="549">
        <v>0</v>
      </c>
      <c r="FO536" s="675">
        <v>0</v>
      </c>
      <c r="FP536" s="549">
        <v>0</v>
      </c>
      <c r="FQ536" s="675">
        <v>0</v>
      </c>
      <c r="FR536" s="549">
        <v>0</v>
      </c>
      <c r="FS536" s="675">
        <v>-46143</v>
      </c>
      <c r="FT536" s="549">
        <v>0</v>
      </c>
      <c r="FU536" s="675">
        <v>-10857</v>
      </c>
      <c r="FV536" s="549">
        <v>0</v>
      </c>
      <c r="FW536" s="675">
        <v>0</v>
      </c>
      <c r="FX536" s="549">
        <v>0</v>
      </c>
      <c r="FY536" s="675">
        <v>-6703</v>
      </c>
      <c r="FZ536" s="549">
        <v>0</v>
      </c>
      <c r="GA536" s="675">
        <v>0</v>
      </c>
      <c r="GB536" s="549">
        <v>0</v>
      </c>
      <c r="GC536" s="675">
        <v>0</v>
      </c>
      <c r="GD536" s="549">
        <v>0</v>
      </c>
      <c r="GE536" s="675">
        <v>0</v>
      </c>
      <c r="GF536" s="549">
        <v>0</v>
      </c>
      <c r="GG536" s="675">
        <v>0</v>
      </c>
      <c r="GH536" s="549">
        <v>0</v>
      </c>
      <c r="GI536" s="675">
        <v>0</v>
      </c>
      <c r="GJ536" s="549">
        <v>0</v>
      </c>
      <c r="GK536" s="675">
        <v>0</v>
      </c>
      <c r="GL536" s="549">
        <v>0</v>
      </c>
      <c r="GM536" s="675">
        <v>0</v>
      </c>
      <c r="GN536" s="549">
        <v>0</v>
      </c>
      <c r="GO536" s="675">
        <v>0</v>
      </c>
      <c r="GP536" s="549">
        <f>+D536+F536+H536+J536+L536+N536+P536+R536+T536+V536+X536+Z536+AB536+AF536+AD536+AH536+AJ536+AL536+AN536+AP536+AR536+AT536+AV536+AX536+AZ536+BB536+BD536+BF536+BH536+BJ536+BL536+BN536+BP536+BR536+BT536+BV536+BX536+BZ536+CB536+CD536+CF536+CH536+CJ536+CL536+CN536+CP536+CR536+CT536+CV536+CX536+CZ536+DB536+DD536+DF536+DH536+DT536+EX536+DJ536+DL536+DN536+DP536+DR536+EJ536+EB536+DZ536+DX536+DV536+ED536+EF536+EH536+EL536+EN536+EP536+EV536+ET536+ER536+EZ536+FB536+FD536+GL536+FF536+FJ536+FL536+GJ536+FT536+FR536+FP536+FN536+FH536+GH536+GF536+GD536+GB536+FZ536+FX536+FV536+GN536</f>
        <v>0</v>
      </c>
      <c r="GQ536" s="675">
        <f>+E536+G536+I536+K536+M536+O536+Q536+S536+U536+W536+Y536+AA536+AC536+AE536+AG536+AI536+AK536+AM536+AO536+AQ536+AS536+AU536+AW536+AY536+BA536+BC536+BE536+BG536+BI536+BK536+BM536+BO536+BQ536+BS536+BU536+BW536+BY536+CA536+CC536+CE536+CG536+CI536+CK536+CM536+CO536+CQ536+CS536+CU536+CW536+CY536+DA536+DC536+DE536+DG536+DI536+DU536+EY536+DK536+DM536+DO536+DQ536+DS536+EK536+EC536+EA536+DY536+DW536+EI536+EG536+EE536+EM536+EO536+EQ536+EW536+EU536+ES536+FA536+FC536+FE536+GM536+FG536+FK536+FM536+FO536+FQ536+FS536+FU536+GK536+FI536+GI536+GG536+GE536+GC536+GA536+FY536+FW536+GO536</f>
        <v>-193126</v>
      </c>
      <c r="GR536" s="74">
        <f>C536+GP536+GQ536</f>
        <v>422174</v>
      </c>
      <c r="GS536" s="74">
        <f>SUM(GU536:HD536)+GP536+GQ536</f>
        <v>422174</v>
      </c>
      <c r="GT536" s="568">
        <f>SUM(GU536:HF536)+GQ536+GP536</f>
        <v>422174</v>
      </c>
      <c r="GU536" s="275">
        <v>61530</v>
      </c>
      <c r="GV536" s="275">
        <v>61530</v>
      </c>
      <c r="GW536" s="275">
        <v>61530</v>
      </c>
      <c r="GX536" s="275">
        <v>61530</v>
      </c>
      <c r="GY536" s="275">
        <v>61530</v>
      </c>
      <c r="GZ536" s="275">
        <v>61530</v>
      </c>
      <c r="HA536" s="275">
        <v>61530</v>
      </c>
      <c r="HB536" s="275">
        <v>61530</v>
      </c>
      <c r="HC536" s="275">
        <v>61530</v>
      </c>
      <c r="HD536" s="275">
        <v>61530</v>
      </c>
      <c r="HE536" s="275">
        <v>0</v>
      </c>
      <c r="HF536" s="275"/>
      <c r="HG536" s="74">
        <f>SUM(HH536:IE536)</f>
        <v>422174</v>
      </c>
      <c r="HH536" s="89">
        <v>61530</v>
      </c>
      <c r="HI536" s="817">
        <v>0</v>
      </c>
      <c r="HJ536" s="89">
        <v>11107.67</v>
      </c>
      <c r="HK536" s="817">
        <v>0</v>
      </c>
      <c r="HL536" s="89">
        <v>42252.959999999999</v>
      </c>
      <c r="HM536" s="817">
        <v>0</v>
      </c>
      <c r="HN536" s="89">
        <v>31992.68</v>
      </c>
      <c r="HO536" s="817">
        <v>0</v>
      </c>
      <c r="HP536" s="89">
        <v>127170.21</v>
      </c>
      <c r="HQ536" s="817">
        <v>0</v>
      </c>
      <c r="HR536" s="89">
        <v>69727</v>
      </c>
      <c r="HS536" s="817">
        <v>0</v>
      </c>
      <c r="HT536" s="837">
        <v>-13262.52</v>
      </c>
      <c r="HU536" s="817">
        <v>0</v>
      </c>
      <c r="HV536" s="89">
        <v>40000</v>
      </c>
      <c r="HW536" s="817">
        <v>0</v>
      </c>
      <c r="HX536" s="89">
        <v>62500</v>
      </c>
      <c r="HY536" s="817">
        <v>0</v>
      </c>
      <c r="HZ536" s="89">
        <f>45423.96-56267.96</f>
        <v>-10844</v>
      </c>
      <c r="IA536" s="817">
        <v>0</v>
      </c>
      <c r="IB536" s="89">
        <v>0</v>
      </c>
      <c r="IC536" s="817">
        <v>0</v>
      </c>
      <c r="ID536" s="89">
        <v>0</v>
      </c>
      <c r="IE536" s="817">
        <v>0</v>
      </c>
      <c r="IF536" s="841">
        <f t="shared" ref="IF536" si="12664">SUM(II536,IL536,IO536,IR536,IU536,IX536,JA536,JD536,JG536,JJ536,JM536,JP536)</f>
        <v>376750.04</v>
      </c>
      <c r="IG536" s="263">
        <f t="shared" ref="IG536" si="12665">SUM(IJ536,IM536,IP536,IS536,IV536,IY536,JB536,JE536,JH536,JK536,JN536,JQ536)</f>
        <v>376750.04</v>
      </c>
      <c r="IH536" s="842">
        <f t="shared" ref="IH536" si="12666">SUM(IK536,IN536,IQ536,IT536,IW536,IZ536,JC536,JF536,JI536,JL536,JO536,JR536)</f>
        <v>376750.04</v>
      </c>
      <c r="II536" s="89">
        <v>18301.75</v>
      </c>
      <c r="IJ536" s="89">
        <f t="shared" ref="IJ536" si="12667">II536</f>
        <v>18301.75</v>
      </c>
      <c r="IK536" s="89">
        <f t="shared" ref="IK536" si="12668">IJ536</f>
        <v>18301.75</v>
      </c>
      <c r="IL536" s="89">
        <f>41678.09-18301.75</f>
        <v>23376.339999999997</v>
      </c>
      <c r="IM536" s="89">
        <f t="shared" ref="IM536" si="12669">IL536</f>
        <v>23376.339999999997</v>
      </c>
      <c r="IN536" s="89">
        <f t="shared" ref="IN536" si="12670">IM536</f>
        <v>23376.339999999997</v>
      </c>
      <c r="IO536" s="89">
        <f>61496.84-41678.09</f>
        <v>19818.75</v>
      </c>
      <c r="IP536" s="89">
        <f t="shared" ref="IP536" si="12671">IO536</f>
        <v>19818.75</v>
      </c>
      <c r="IQ536" s="89">
        <f t="shared" ref="IQ536" si="12672">IP536</f>
        <v>19818.75</v>
      </c>
      <c r="IR536" s="89">
        <f>97699.87-61496.84</f>
        <v>36203.03</v>
      </c>
      <c r="IS536" s="89">
        <f t="shared" ref="IS536" si="12673">IR536</f>
        <v>36203.03</v>
      </c>
      <c r="IT536" s="89">
        <f t="shared" ref="IT536" si="12674">IS536</f>
        <v>36203.03</v>
      </c>
      <c r="IU536" s="89">
        <f>179566.05-97699.87</f>
        <v>81866.179999999993</v>
      </c>
      <c r="IV536" s="89">
        <f t="shared" ref="IV536" si="12675">IU536</f>
        <v>81866.179999999993</v>
      </c>
      <c r="IW536" s="89">
        <f t="shared" ref="IW536" si="12676">IV536</f>
        <v>81866.179999999993</v>
      </c>
      <c r="IX536" s="89">
        <f>225666.21-179566.05</f>
        <v>46100.160000000003</v>
      </c>
      <c r="IY536" s="89">
        <f t="shared" ref="IY536" si="12677">IX536</f>
        <v>46100.160000000003</v>
      </c>
      <c r="IZ536" s="89">
        <f t="shared" ref="IZ536" si="12678">IY536</f>
        <v>46100.160000000003</v>
      </c>
      <c r="JA536" s="89">
        <f>267672.02-225666.21</f>
        <v>42005.810000000027</v>
      </c>
      <c r="JB536" s="89">
        <f t="shared" ref="JB536" si="12679">JA536</f>
        <v>42005.810000000027</v>
      </c>
      <c r="JC536" s="89">
        <f t="shared" ref="JC536" si="12680">JB536</f>
        <v>42005.810000000027</v>
      </c>
      <c r="JD536" s="89">
        <f>295621.53-267672.02</f>
        <v>27949.510000000009</v>
      </c>
      <c r="JE536" s="89">
        <f t="shared" ref="JE536" si="12681">JD536</f>
        <v>27949.510000000009</v>
      </c>
      <c r="JF536" s="89">
        <f t="shared" ref="JF536" si="12682">JE536</f>
        <v>27949.510000000009</v>
      </c>
      <c r="JG536" s="89">
        <f>368181.66-295621.53</f>
        <v>72560.129999999946</v>
      </c>
      <c r="JH536" s="89">
        <f t="shared" ref="JH536" si="12683">JG536</f>
        <v>72560.129999999946</v>
      </c>
      <c r="JI536" s="89">
        <f t="shared" ref="JI536" si="12684">JH536</f>
        <v>72560.129999999946</v>
      </c>
      <c r="JJ536" s="89">
        <f>376750.04-368181.66</f>
        <v>8568.3800000000047</v>
      </c>
      <c r="JK536" s="89">
        <f t="shared" ref="JK536" si="12685">JJ536</f>
        <v>8568.3800000000047</v>
      </c>
      <c r="JL536" s="89">
        <f t="shared" ref="JL536" si="12686">JK536</f>
        <v>8568.3800000000047</v>
      </c>
      <c r="JM536" s="89">
        <v>0</v>
      </c>
      <c r="JN536" s="89">
        <f t="shared" ref="JN536" si="12687">JM536</f>
        <v>0</v>
      </c>
      <c r="JO536" s="89">
        <f t="shared" ref="JO536" si="12688">JN536</f>
        <v>0</v>
      </c>
      <c r="JP536" s="89">
        <v>0</v>
      </c>
      <c r="JQ536" s="89">
        <f t="shared" ref="JQ536:JR536" si="12689">JP536</f>
        <v>0</v>
      </c>
      <c r="JR536" s="89">
        <f t="shared" si="12689"/>
        <v>0</v>
      </c>
      <c r="JS536" s="263">
        <f>HG536-IF536</f>
        <v>45423.960000000021</v>
      </c>
      <c r="JT536" s="382">
        <f>GS536-IF536</f>
        <v>45423.960000000021</v>
      </c>
      <c r="JU536" s="665"/>
      <c r="JV536" s="524"/>
      <c r="JW536" s="525"/>
      <c r="JX536" s="549">
        <f>SUM(HH536,HJ536,HL536,HN536,HP536,HR536,HT536,HV536,HX536,HZ536,IB536,ID536)</f>
        <v>422174</v>
      </c>
      <c r="JY536" s="549">
        <f>SUM(HI536,HK536,HM536,HO536,HQ536,HS536,HU536,HW536,HY536,IA536,IC536,IE536)</f>
        <v>0</v>
      </c>
      <c r="JZ536" s="581">
        <f t="shared" si="12201"/>
        <v>0</v>
      </c>
      <c r="KA536" s="581">
        <f t="shared" si="12202"/>
        <v>-193126</v>
      </c>
      <c r="KB536" s="549">
        <f>JX536</f>
        <v>422174</v>
      </c>
      <c r="KC536" s="709">
        <f t="shared" si="12200"/>
        <v>0</v>
      </c>
      <c r="KD536" s="36"/>
      <c r="KE536" s="36"/>
      <c r="KF536" s="36"/>
      <c r="KG536" s="36"/>
      <c r="KH536" s="36"/>
      <c r="KI536" s="36"/>
      <c r="KJ536" s="36"/>
      <c r="KK536" s="36"/>
    </row>
    <row r="537" spans="1:297" s="10" customFormat="1">
      <c r="A537" s="86"/>
      <c r="B537" s="77"/>
      <c r="C537" s="74"/>
      <c r="D537" s="549"/>
      <c r="E537" s="675"/>
      <c r="F537" s="549"/>
      <c r="G537" s="675"/>
      <c r="H537" s="549"/>
      <c r="I537" s="675"/>
      <c r="J537" s="549"/>
      <c r="K537" s="675"/>
      <c r="L537" s="549"/>
      <c r="M537" s="675"/>
      <c r="N537" s="549"/>
      <c r="O537" s="675"/>
      <c r="P537" s="549"/>
      <c r="Q537" s="675"/>
      <c r="R537" s="549"/>
      <c r="S537" s="675"/>
      <c r="T537" s="549"/>
      <c r="U537" s="675"/>
      <c r="V537" s="549"/>
      <c r="W537" s="675"/>
      <c r="X537" s="549"/>
      <c r="Y537" s="675"/>
      <c r="Z537" s="549"/>
      <c r="AA537" s="675"/>
      <c r="AB537" s="549"/>
      <c r="AC537" s="675"/>
      <c r="AD537" s="549"/>
      <c r="AE537" s="675"/>
      <c r="AF537" s="549"/>
      <c r="AG537" s="675"/>
      <c r="AH537" s="549"/>
      <c r="AI537" s="675"/>
      <c r="AJ537" s="549"/>
      <c r="AK537" s="675"/>
      <c r="AL537" s="549"/>
      <c r="AM537" s="675"/>
      <c r="AN537" s="549"/>
      <c r="AO537" s="675"/>
      <c r="AP537" s="549"/>
      <c r="AQ537" s="675"/>
      <c r="AR537" s="549"/>
      <c r="AS537" s="675"/>
      <c r="AT537" s="549"/>
      <c r="AU537" s="675"/>
      <c r="AV537" s="549"/>
      <c r="AW537" s="675"/>
      <c r="AX537" s="549"/>
      <c r="AY537" s="675"/>
      <c r="AZ537" s="549"/>
      <c r="BA537" s="675"/>
      <c r="BB537" s="549"/>
      <c r="BC537" s="675"/>
      <c r="BD537" s="549"/>
      <c r="BE537" s="675"/>
      <c r="BF537" s="549"/>
      <c r="BG537" s="675"/>
      <c r="BH537" s="549"/>
      <c r="BI537" s="675"/>
      <c r="BJ537" s="549"/>
      <c r="BK537" s="675"/>
      <c r="BL537" s="549"/>
      <c r="BM537" s="675"/>
      <c r="BN537" s="549"/>
      <c r="BO537" s="675"/>
      <c r="BP537" s="549"/>
      <c r="BQ537" s="675"/>
      <c r="BR537" s="549"/>
      <c r="BS537" s="675"/>
      <c r="BT537" s="549"/>
      <c r="BU537" s="675"/>
      <c r="BV537" s="549"/>
      <c r="BW537" s="675"/>
      <c r="BX537" s="549"/>
      <c r="BY537" s="675"/>
      <c r="BZ537" s="549"/>
      <c r="CA537" s="675"/>
      <c r="CB537" s="549"/>
      <c r="CC537" s="675"/>
      <c r="CD537" s="549"/>
      <c r="CE537" s="675"/>
      <c r="CF537" s="549"/>
      <c r="CG537" s="675"/>
      <c r="CH537" s="549"/>
      <c r="CI537" s="675"/>
      <c r="CJ537" s="549"/>
      <c r="CK537" s="675"/>
      <c r="CL537" s="549"/>
      <c r="CM537" s="675"/>
      <c r="CN537" s="549"/>
      <c r="CO537" s="675"/>
      <c r="CP537" s="549"/>
      <c r="CQ537" s="675"/>
      <c r="CR537" s="549"/>
      <c r="CS537" s="675"/>
      <c r="CT537" s="549"/>
      <c r="CU537" s="675"/>
      <c r="CV537" s="549"/>
      <c r="CW537" s="675"/>
      <c r="CX537" s="549"/>
      <c r="CY537" s="675"/>
      <c r="CZ537" s="549"/>
      <c r="DA537" s="675"/>
      <c r="DB537" s="549"/>
      <c r="DC537" s="675"/>
      <c r="DD537" s="549"/>
      <c r="DE537" s="675"/>
      <c r="DF537" s="549"/>
      <c r="DG537" s="675"/>
      <c r="DH537" s="549"/>
      <c r="DI537" s="675"/>
      <c r="DJ537" s="549"/>
      <c r="DK537" s="675"/>
      <c r="DL537" s="549"/>
      <c r="DM537" s="675"/>
      <c r="DN537" s="549"/>
      <c r="DO537" s="675"/>
      <c r="DP537" s="549"/>
      <c r="DQ537" s="675"/>
      <c r="DR537" s="549"/>
      <c r="DS537" s="675"/>
      <c r="DT537" s="549"/>
      <c r="DU537" s="675"/>
      <c r="DV537" s="549"/>
      <c r="DW537" s="675"/>
      <c r="DX537" s="549"/>
      <c r="DY537" s="675"/>
      <c r="DZ537" s="549"/>
      <c r="EA537" s="675"/>
      <c r="EB537" s="549"/>
      <c r="EC537" s="675"/>
      <c r="ED537" s="549"/>
      <c r="EE537" s="675"/>
      <c r="EF537" s="549"/>
      <c r="EG537" s="675"/>
      <c r="EH537" s="549"/>
      <c r="EI537" s="675"/>
      <c r="EJ537" s="549"/>
      <c r="EK537" s="675"/>
      <c r="EL537" s="549"/>
      <c r="EM537" s="675"/>
      <c r="EN537" s="549"/>
      <c r="EO537" s="675"/>
      <c r="EP537" s="549"/>
      <c r="EQ537" s="675"/>
      <c r="ER537" s="549"/>
      <c r="ES537" s="675"/>
      <c r="ET537" s="549"/>
      <c r="EU537" s="675"/>
      <c r="EV537" s="549"/>
      <c r="EW537" s="675"/>
      <c r="EX537" s="549"/>
      <c r="EY537" s="675"/>
      <c r="EZ537" s="549"/>
      <c r="FA537" s="675"/>
      <c r="FB537" s="549"/>
      <c r="FC537" s="675"/>
      <c r="FD537" s="549"/>
      <c r="FE537" s="675"/>
      <c r="FF537" s="549"/>
      <c r="FG537" s="675"/>
      <c r="FH537" s="549"/>
      <c r="FI537" s="675"/>
      <c r="FJ537" s="549"/>
      <c r="FK537" s="675"/>
      <c r="FL537" s="549"/>
      <c r="FM537" s="675"/>
      <c r="FN537" s="549"/>
      <c r="FO537" s="675"/>
      <c r="FP537" s="549"/>
      <c r="FQ537" s="675"/>
      <c r="FR537" s="549"/>
      <c r="FS537" s="675"/>
      <c r="FT537" s="549"/>
      <c r="FU537" s="675"/>
      <c r="FV537" s="549"/>
      <c r="FW537" s="675"/>
      <c r="FX537" s="549"/>
      <c r="FY537" s="675"/>
      <c r="FZ537" s="549"/>
      <c r="GA537" s="675"/>
      <c r="GB537" s="549"/>
      <c r="GC537" s="675"/>
      <c r="GD537" s="549"/>
      <c r="GE537" s="675"/>
      <c r="GF537" s="549"/>
      <c r="GG537" s="675"/>
      <c r="GH537" s="549"/>
      <c r="GI537" s="675"/>
      <c r="GJ537" s="549"/>
      <c r="GK537" s="675"/>
      <c r="GL537" s="549"/>
      <c r="GM537" s="675"/>
      <c r="GN537" s="549"/>
      <c r="GO537" s="675"/>
      <c r="GP537" s="549"/>
      <c r="GQ537" s="675"/>
      <c r="GR537" s="74"/>
      <c r="GS537" s="74"/>
      <c r="GT537" s="568"/>
      <c r="GU537" s="275"/>
      <c r="GV537" s="275"/>
      <c r="GW537" s="275"/>
      <c r="GX537" s="275"/>
      <c r="GY537" s="275"/>
      <c r="GZ537" s="275"/>
      <c r="HA537" s="275"/>
      <c r="HB537" s="275"/>
      <c r="HC537" s="275"/>
      <c r="HD537" s="275"/>
      <c r="HE537" s="275"/>
      <c r="HF537" s="275"/>
      <c r="HG537" s="74"/>
      <c r="HH537" s="89"/>
      <c r="HI537" s="817"/>
      <c r="HJ537" s="89"/>
      <c r="HK537" s="817"/>
      <c r="HL537" s="89"/>
      <c r="HM537" s="817"/>
      <c r="HN537" s="89"/>
      <c r="HO537" s="817"/>
      <c r="HP537" s="89"/>
      <c r="HQ537" s="817"/>
      <c r="HR537" s="89"/>
      <c r="HS537" s="817"/>
      <c r="HT537" s="89"/>
      <c r="HU537" s="817"/>
      <c r="HV537" s="89"/>
      <c r="HW537" s="817"/>
      <c r="HX537" s="89"/>
      <c r="HY537" s="817"/>
      <c r="HZ537" s="89"/>
      <c r="IA537" s="817"/>
      <c r="IB537" s="89"/>
      <c r="IC537" s="817"/>
      <c r="ID537" s="89"/>
      <c r="IE537" s="817"/>
      <c r="IF537" s="841"/>
      <c r="IG537" s="263"/>
      <c r="IH537" s="842"/>
      <c r="II537" s="89"/>
      <c r="IJ537" s="89"/>
      <c r="IK537" s="89"/>
      <c r="IL537" s="89"/>
      <c r="IM537" s="89"/>
      <c r="IN537" s="89"/>
      <c r="IO537" s="89"/>
      <c r="IP537" s="89"/>
      <c r="IQ537" s="89"/>
      <c r="IR537" s="89"/>
      <c r="IS537" s="89"/>
      <c r="IT537" s="89"/>
      <c r="IU537" s="89"/>
      <c r="IV537" s="89"/>
      <c r="IW537" s="89"/>
      <c r="IX537" s="89"/>
      <c r="IY537" s="89"/>
      <c r="IZ537" s="89"/>
      <c r="JA537" s="89"/>
      <c r="JB537" s="89"/>
      <c r="JC537" s="89"/>
      <c r="JD537" s="89"/>
      <c r="JE537" s="89"/>
      <c r="JF537" s="89"/>
      <c r="JG537" s="89"/>
      <c r="JH537" s="89"/>
      <c r="JI537" s="89"/>
      <c r="JJ537" s="89"/>
      <c r="JK537" s="89"/>
      <c r="JL537" s="89"/>
      <c r="JM537" s="89"/>
      <c r="JN537" s="89"/>
      <c r="JO537" s="89"/>
      <c r="JP537" s="89"/>
      <c r="JQ537" s="89"/>
      <c r="JR537" s="89"/>
      <c r="JS537" s="74"/>
      <c r="JT537" s="382"/>
      <c r="JU537" s="665"/>
      <c r="JV537" s="524"/>
      <c r="JW537" s="525"/>
      <c r="JX537" s="549"/>
      <c r="JY537" s="549"/>
      <c r="JZ537" s="581"/>
      <c r="KA537" s="581"/>
      <c r="KB537" s="549"/>
      <c r="KC537" s="709">
        <f t="shared" si="12200"/>
        <v>0</v>
      </c>
      <c r="KD537" s="36"/>
      <c r="KE537" s="36"/>
      <c r="KF537" s="36"/>
      <c r="KG537" s="36"/>
      <c r="KH537" s="36"/>
      <c r="KI537" s="36"/>
      <c r="KJ537" s="36"/>
      <c r="KK537" s="36"/>
    </row>
    <row r="538" spans="1:297" s="10" customFormat="1">
      <c r="A538" s="80" t="s">
        <v>1265</v>
      </c>
      <c r="B538" s="77"/>
      <c r="C538" s="74">
        <f>C539</f>
        <v>0</v>
      </c>
      <c r="D538" s="549"/>
      <c r="E538" s="675"/>
      <c r="F538" s="549"/>
      <c r="G538" s="675"/>
      <c r="H538" s="549"/>
      <c r="I538" s="675"/>
      <c r="J538" s="549"/>
      <c r="K538" s="675"/>
      <c r="L538" s="549"/>
      <c r="M538" s="675"/>
      <c r="N538" s="549"/>
      <c r="O538" s="675"/>
      <c r="P538" s="549">
        <f t="shared" ref="P538:AU538" si="12690">P539</f>
        <v>3724</v>
      </c>
      <c r="Q538" s="675">
        <f t="shared" si="12690"/>
        <v>0</v>
      </c>
      <c r="R538" s="549">
        <f t="shared" si="12690"/>
        <v>0</v>
      </c>
      <c r="S538" s="675">
        <f t="shared" si="12690"/>
        <v>0</v>
      </c>
      <c r="T538" s="549">
        <f t="shared" si="12690"/>
        <v>0</v>
      </c>
      <c r="U538" s="675">
        <f t="shared" si="12690"/>
        <v>0</v>
      </c>
      <c r="V538" s="549">
        <f t="shared" si="12690"/>
        <v>0</v>
      </c>
      <c r="W538" s="675">
        <f t="shared" si="12690"/>
        <v>0</v>
      </c>
      <c r="X538" s="549">
        <f t="shared" si="12690"/>
        <v>0</v>
      </c>
      <c r="Y538" s="675">
        <f t="shared" si="12690"/>
        <v>0</v>
      </c>
      <c r="Z538" s="549">
        <f t="shared" si="12690"/>
        <v>0</v>
      </c>
      <c r="AA538" s="675">
        <f t="shared" si="12690"/>
        <v>0</v>
      </c>
      <c r="AB538" s="549">
        <f t="shared" si="12690"/>
        <v>0</v>
      </c>
      <c r="AC538" s="675">
        <f t="shared" si="12690"/>
        <v>0</v>
      </c>
      <c r="AD538" s="549">
        <f t="shared" si="12690"/>
        <v>0</v>
      </c>
      <c r="AE538" s="675">
        <f t="shared" si="12690"/>
        <v>0</v>
      </c>
      <c r="AF538" s="549">
        <f t="shared" si="12690"/>
        <v>0</v>
      </c>
      <c r="AG538" s="675">
        <f t="shared" si="12690"/>
        <v>0</v>
      </c>
      <c r="AH538" s="549">
        <f t="shared" si="12690"/>
        <v>0</v>
      </c>
      <c r="AI538" s="675">
        <f t="shared" si="12690"/>
        <v>0</v>
      </c>
      <c r="AJ538" s="549">
        <f t="shared" si="12690"/>
        <v>0</v>
      </c>
      <c r="AK538" s="675">
        <f t="shared" si="12690"/>
        <v>0</v>
      </c>
      <c r="AL538" s="549">
        <f t="shared" si="12690"/>
        <v>0</v>
      </c>
      <c r="AM538" s="675">
        <f t="shared" si="12690"/>
        <v>0</v>
      </c>
      <c r="AN538" s="549">
        <f t="shared" si="12690"/>
        <v>0</v>
      </c>
      <c r="AO538" s="675">
        <f t="shared" si="12690"/>
        <v>0</v>
      </c>
      <c r="AP538" s="549">
        <f t="shared" si="12690"/>
        <v>0</v>
      </c>
      <c r="AQ538" s="675">
        <f t="shared" si="12690"/>
        <v>0</v>
      </c>
      <c r="AR538" s="549">
        <f t="shared" si="12690"/>
        <v>0</v>
      </c>
      <c r="AS538" s="675">
        <f t="shared" si="12690"/>
        <v>0</v>
      </c>
      <c r="AT538" s="549">
        <f t="shared" si="12690"/>
        <v>0</v>
      </c>
      <c r="AU538" s="675">
        <f t="shared" si="12690"/>
        <v>0</v>
      </c>
      <c r="AV538" s="549">
        <f t="shared" ref="AV538:CA538" si="12691">AV539</f>
        <v>0</v>
      </c>
      <c r="AW538" s="675">
        <f t="shared" si="12691"/>
        <v>0</v>
      </c>
      <c r="AX538" s="549">
        <f t="shared" si="12691"/>
        <v>0</v>
      </c>
      <c r="AY538" s="675">
        <f t="shared" si="12691"/>
        <v>0</v>
      </c>
      <c r="AZ538" s="549">
        <f t="shared" si="12691"/>
        <v>0</v>
      </c>
      <c r="BA538" s="675">
        <f t="shared" si="12691"/>
        <v>0</v>
      </c>
      <c r="BB538" s="549">
        <f t="shared" si="12691"/>
        <v>0</v>
      </c>
      <c r="BC538" s="675">
        <f t="shared" si="12691"/>
        <v>0</v>
      </c>
      <c r="BD538" s="549">
        <f t="shared" si="12691"/>
        <v>0</v>
      </c>
      <c r="BE538" s="675">
        <f t="shared" si="12691"/>
        <v>0</v>
      </c>
      <c r="BF538" s="549">
        <f t="shared" si="12691"/>
        <v>0</v>
      </c>
      <c r="BG538" s="675">
        <f t="shared" si="12691"/>
        <v>0</v>
      </c>
      <c r="BH538" s="549">
        <f t="shared" si="12691"/>
        <v>0</v>
      </c>
      <c r="BI538" s="675">
        <f t="shared" si="12691"/>
        <v>0</v>
      </c>
      <c r="BJ538" s="549">
        <f t="shared" si="12691"/>
        <v>0</v>
      </c>
      <c r="BK538" s="675">
        <f t="shared" si="12691"/>
        <v>0</v>
      </c>
      <c r="BL538" s="549">
        <f t="shared" si="12691"/>
        <v>0</v>
      </c>
      <c r="BM538" s="675">
        <f t="shared" si="12691"/>
        <v>0</v>
      </c>
      <c r="BN538" s="549">
        <f t="shared" si="12691"/>
        <v>0</v>
      </c>
      <c r="BO538" s="675">
        <f t="shared" si="12691"/>
        <v>0</v>
      </c>
      <c r="BP538" s="549">
        <f t="shared" si="12691"/>
        <v>0</v>
      </c>
      <c r="BQ538" s="675">
        <f t="shared" si="12691"/>
        <v>0</v>
      </c>
      <c r="BR538" s="549">
        <f t="shared" si="12691"/>
        <v>0</v>
      </c>
      <c r="BS538" s="675">
        <f t="shared" si="12691"/>
        <v>0</v>
      </c>
      <c r="BT538" s="549">
        <f t="shared" si="12691"/>
        <v>0</v>
      </c>
      <c r="BU538" s="675">
        <f t="shared" si="12691"/>
        <v>0</v>
      </c>
      <c r="BV538" s="549">
        <f t="shared" si="12691"/>
        <v>0</v>
      </c>
      <c r="BW538" s="675">
        <f t="shared" si="12691"/>
        <v>0</v>
      </c>
      <c r="BX538" s="549">
        <f t="shared" si="12691"/>
        <v>0</v>
      </c>
      <c r="BY538" s="675">
        <f t="shared" si="12691"/>
        <v>0</v>
      </c>
      <c r="BZ538" s="549">
        <f t="shared" si="12691"/>
        <v>0</v>
      </c>
      <c r="CA538" s="675">
        <f t="shared" si="12691"/>
        <v>0</v>
      </c>
      <c r="CB538" s="549">
        <f t="shared" ref="CB538:DG538" si="12692">CB539</f>
        <v>0</v>
      </c>
      <c r="CC538" s="675">
        <f t="shared" si="12692"/>
        <v>0</v>
      </c>
      <c r="CD538" s="549">
        <f t="shared" si="12692"/>
        <v>0</v>
      </c>
      <c r="CE538" s="675">
        <f t="shared" si="12692"/>
        <v>0</v>
      </c>
      <c r="CF538" s="549">
        <f t="shared" si="12692"/>
        <v>0</v>
      </c>
      <c r="CG538" s="675">
        <f t="shared" si="12692"/>
        <v>0</v>
      </c>
      <c r="CH538" s="549">
        <f t="shared" si="12692"/>
        <v>0</v>
      </c>
      <c r="CI538" s="675">
        <f t="shared" si="12692"/>
        <v>0</v>
      </c>
      <c r="CJ538" s="549">
        <f t="shared" si="12692"/>
        <v>0</v>
      </c>
      <c r="CK538" s="675">
        <f t="shared" si="12692"/>
        <v>0</v>
      </c>
      <c r="CL538" s="549">
        <f t="shared" si="12692"/>
        <v>0</v>
      </c>
      <c r="CM538" s="675">
        <f t="shared" si="12692"/>
        <v>0</v>
      </c>
      <c r="CN538" s="549">
        <f t="shared" si="12692"/>
        <v>0</v>
      </c>
      <c r="CO538" s="675">
        <f t="shared" si="12692"/>
        <v>0</v>
      </c>
      <c r="CP538" s="549">
        <f t="shared" si="12692"/>
        <v>0</v>
      </c>
      <c r="CQ538" s="675">
        <f t="shared" si="12692"/>
        <v>0</v>
      </c>
      <c r="CR538" s="549">
        <f t="shared" si="12692"/>
        <v>0</v>
      </c>
      <c r="CS538" s="675">
        <f t="shared" si="12692"/>
        <v>0</v>
      </c>
      <c r="CT538" s="549">
        <f t="shared" si="12692"/>
        <v>0</v>
      </c>
      <c r="CU538" s="675">
        <f t="shared" si="12692"/>
        <v>0</v>
      </c>
      <c r="CV538" s="549">
        <f t="shared" si="12692"/>
        <v>0</v>
      </c>
      <c r="CW538" s="675">
        <f t="shared" si="12692"/>
        <v>0</v>
      </c>
      <c r="CX538" s="549">
        <f t="shared" si="12692"/>
        <v>0</v>
      </c>
      <c r="CY538" s="675">
        <f t="shared" si="12692"/>
        <v>0</v>
      </c>
      <c r="CZ538" s="549">
        <f t="shared" si="12692"/>
        <v>0</v>
      </c>
      <c r="DA538" s="675">
        <f t="shared" si="12692"/>
        <v>0</v>
      </c>
      <c r="DB538" s="549">
        <f t="shared" si="12692"/>
        <v>0</v>
      </c>
      <c r="DC538" s="675">
        <f t="shared" si="12692"/>
        <v>0</v>
      </c>
      <c r="DD538" s="549">
        <f t="shared" si="12692"/>
        <v>0</v>
      </c>
      <c r="DE538" s="675">
        <f t="shared" si="12692"/>
        <v>0</v>
      </c>
      <c r="DF538" s="549">
        <f t="shared" si="12692"/>
        <v>0</v>
      </c>
      <c r="DG538" s="675">
        <f t="shared" si="12692"/>
        <v>0</v>
      </c>
      <c r="DH538" s="549">
        <f t="shared" ref="DH538:EM538" si="12693">DH539</f>
        <v>0</v>
      </c>
      <c r="DI538" s="675">
        <f t="shared" si="12693"/>
        <v>0</v>
      </c>
      <c r="DJ538" s="549">
        <f t="shared" si="12693"/>
        <v>0</v>
      </c>
      <c r="DK538" s="675">
        <f t="shared" si="12693"/>
        <v>0</v>
      </c>
      <c r="DL538" s="549">
        <f t="shared" si="12693"/>
        <v>0</v>
      </c>
      <c r="DM538" s="675">
        <f t="shared" si="12693"/>
        <v>0</v>
      </c>
      <c r="DN538" s="549">
        <f t="shared" si="12693"/>
        <v>0</v>
      </c>
      <c r="DO538" s="675">
        <f t="shared" si="12693"/>
        <v>0</v>
      </c>
      <c r="DP538" s="549">
        <f t="shared" si="12693"/>
        <v>0</v>
      </c>
      <c r="DQ538" s="675">
        <f t="shared" si="12693"/>
        <v>0</v>
      </c>
      <c r="DR538" s="549">
        <f t="shared" si="12693"/>
        <v>0</v>
      </c>
      <c r="DS538" s="675">
        <f t="shared" si="12693"/>
        <v>0</v>
      </c>
      <c r="DT538" s="549">
        <f t="shared" si="12693"/>
        <v>0</v>
      </c>
      <c r="DU538" s="675">
        <f t="shared" si="12693"/>
        <v>0</v>
      </c>
      <c r="DV538" s="549">
        <f t="shared" si="12693"/>
        <v>0</v>
      </c>
      <c r="DW538" s="675">
        <f t="shared" si="12693"/>
        <v>0</v>
      </c>
      <c r="DX538" s="549">
        <f t="shared" si="12693"/>
        <v>0</v>
      </c>
      <c r="DY538" s="675">
        <f t="shared" si="12693"/>
        <v>0</v>
      </c>
      <c r="DZ538" s="549">
        <f t="shared" si="12693"/>
        <v>0</v>
      </c>
      <c r="EA538" s="675">
        <f t="shared" si="12693"/>
        <v>0</v>
      </c>
      <c r="EB538" s="549">
        <f t="shared" si="12693"/>
        <v>0</v>
      </c>
      <c r="EC538" s="675">
        <f t="shared" si="12693"/>
        <v>0</v>
      </c>
      <c r="ED538" s="549">
        <f t="shared" si="12693"/>
        <v>0</v>
      </c>
      <c r="EE538" s="675">
        <f t="shared" si="12693"/>
        <v>0</v>
      </c>
      <c r="EF538" s="549">
        <f t="shared" si="12693"/>
        <v>0</v>
      </c>
      <c r="EG538" s="675">
        <f t="shared" si="12693"/>
        <v>0</v>
      </c>
      <c r="EH538" s="549">
        <f t="shared" si="12693"/>
        <v>0</v>
      </c>
      <c r="EI538" s="675">
        <f t="shared" si="12693"/>
        <v>0</v>
      </c>
      <c r="EJ538" s="549">
        <f t="shared" si="12693"/>
        <v>0</v>
      </c>
      <c r="EK538" s="675">
        <f t="shared" si="12693"/>
        <v>0</v>
      </c>
      <c r="EL538" s="549">
        <f t="shared" si="12693"/>
        <v>0</v>
      </c>
      <c r="EM538" s="675">
        <f t="shared" si="12693"/>
        <v>0</v>
      </c>
      <c r="EN538" s="549">
        <f t="shared" ref="EN538:FS538" si="12694">EN539</f>
        <v>0</v>
      </c>
      <c r="EO538" s="675">
        <f t="shared" si="12694"/>
        <v>0</v>
      </c>
      <c r="EP538" s="549">
        <f t="shared" si="12694"/>
        <v>0</v>
      </c>
      <c r="EQ538" s="675">
        <f t="shared" si="12694"/>
        <v>0</v>
      </c>
      <c r="ER538" s="549">
        <f t="shared" si="12694"/>
        <v>0</v>
      </c>
      <c r="ES538" s="675">
        <f t="shared" si="12694"/>
        <v>0</v>
      </c>
      <c r="ET538" s="549">
        <f t="shared" si="12694"/>
        <v>0</v>
      </c>
      <c r="EU538" s="675">
        <f t="shared" si="12694"/>
        <v>0</v>
      </c>
      <c r="EV538" s="549">
        <f t="shared" si="12694"/>
        <v>0</v>
      </c>
      <c r="EW538" s="675">
        <f t="shared" si="12694"/>
        <v>0</v>
      </c>
      <c r="EX538" s="549">
        <f t="shared" si="12694"/>
        <v>0</v>
      </c>
      <c r="EY538" s="675">
        <f t="shared" si="12694"/>
        <v>0</v>
      </c>
      <c r="EZ538" s="549">
        <f t="shared" si="12694"/>
        <v>0</v>
      </c>
      <c r="FA538" s="675">
        <f t="shared" si="12694"/>
        <v>0</v>
      </c>
      <c r="FB538" s="549">
        <f t="shared" si="12694"/>
        <v>0</v>
      </c>
      <c r="FC538" s="675">
        <f t="shared" si="12694"/>
        <v>0</v>
      </c>
      <c r="FD538" s="549">
        <f t="shared" si="12694"/>
        <v>0</v>
      </c>
      <c r="FE538" s="675">
        <f t="shared" si="12694"/>
        <v>0</v>
      </c>
      <c r="FF538" s="549">
        <f t="shared" si="12694"/>
        <v>0</v>
      </c>
      <c r="FG538" s="675">
        <f t="shared" si="12694"/>
        <v>0</v>
      </c>
      <c r="FH538" s="549">
        <f t="shared" si="12694"/>
        <v>0</v>
      </c>
      <c r="FI538" s="675">
        <f t="shared" si="12694"/>
        <v>0</v>
      </c>
      <c r="FJ538" s="549">
        <f t="shared" si="12694"/>
        <v>0</v>
      </c>
      <c r="FK538" s="675">
        <f t="shared" si="12694"/>
        <v>0</v>
      </c>
      <c r="FL538" s="549">
        <f t="shared" si="12694"/>
        <v>0</v>
      </c>
      <c r="FM538" s="675">
        <f t="shared" si="12694"/>
        <v>0</v>
      </c>
      <c r="FN538" s="549">
        <f t="shared" si="12694"/>
        <v>0</v>
      </c>
      <c r="FO538" s="675">
        <f t="shared" si="12694"/>
        <v>0</v>
      </c>
      <c r="FP538" s="549">
        <f t="shared" si="12694"/>
        <v>0</v>
      </c>
      <c r="FQ538" s="675">
        <f t="shared" si="12694"/>
        <v>0</v>
      </c>
      <c r="FR538" s="549">
        <f t="shared" si="12694"/>
        <v>0</v>
      </c>
      <c r="FS538" s="675">
        <f t="shared" si="12694"/>
        <v>0</v>
      </c>
      <c r="FT538" s="549">
        <f t="shared" ref="FT538:GO538" si="12695">FT539</f>
        <v>0</v>
      </c>
      <c r="FU538" s="675">
        <f t="shared" si="12695"/>
        <v>0</v>
      </c>
      <c r="FV538" s="549">
        <f t="shared" si="12695"/>
        <v>0</v>
      </c>
      <c r="FW538" s="675">
        <f t="shared" si="12695"/>
        <v>0</v>
      </c>
      <c r="FX538" s="549">
        <f t="shared" si="12695"/>
        <v>0</v>
      </c>
      <c r="FY538" s="675">
        <f t="shared" si="12695"/>
        <v>0</v>
      </c>
      <c r="FZ538" s="549">
        <f t="shared" si="12695"/>
        <v>0</v>
      </c>
      <c r="GA538" s="675">
        <f t="shared" si="12695"/>
        <v>0</v>
      </c>
      <c r="GB538" s="549">
        <f t="shared" si="12695"/>
        <v>0</v>
      </c>
      <c r="GC538" s="675">
        <f t="shared" si="12695"/>
        <v>0</v>
      </c>
      <c r="GD538" s="549">
        <f t="shared" si="12695"/>
        <v>0</v>
      </c>
      <c r="GE538" s="675">
        <f t="shared" si="12695"/>
        <v>0</v>
      </c>
      <c r="GF538" s="549">
        <f t="shared" si="12695"/>
        <v>0</v>
      </c>
      <c r="GG538" s="675">
        <f t="shared" si="12695"/>
        <v>0</v>
      </c>
      <c r="GH538" s="549">
        <f t="shared" si="12695"/>
        <v>0</v>
      </c>
      <c r="GI538" s="675">
        <f t="shared" si="12695"/>
        <v>0</v>
      </c>
      <c r="GJ538" s="549">
        <f t="shared" si="12695"/>
        <v>0</v>
      </c>
      <c r="GK538" s="675">
        <f t="shared" si="12695"/>
        <v>0</v>
      </c>
      <c r="GL538" s="549">
        <f t="shared" si="12695"/>
        <v>0</v>
      </c>
      <c r="GM538" s="675">
        <f t="shared" si="12695"/>
        <v>0</v>
      </c>
      <c r="GN538" s="549">
        <f t="shared" si="12695"/>
        <v>0</v>
      </c>
      <c r="GO538" s="675">
        <f t="shared" si="12695"/>
        <v>0</v>
      </c>
      <c r="GP538" s="549">
        <f>SUM(GP539:GP539)</f>
        <v>3724</v>
      </c>
      <c r="GQ538" s="675">
        <f>SUM(GQ539:GQ539)</f>
        <v>0</v>
      </c>
      <c r="GR538" s="74">
        <f>GR539</f>
        <v>3724</v>
      </c>
      <c r="GS538" s="74">
        <f t="shared" ref="GS538:JD538" si="12696">GS539</f>
        <v>3724</v>
      </c>
      <c r="GT538" s="74">
        <f t="shared" si="12696"/>
        <v>3724</v>
      </c>
      <c r="GU538" s="74">
        <f t="shared" si="12696"/>
        <v>0</v>
      </c>
      <c r="GV538" s="74">
        <f t="shared" si="12696"/>
        <v>0</v>
      </c>
      <c r="GW538" s="74">
        <f t="shared" si="12696"/>
        <v>0</v>
      </c>
      <c r="GX538" s="74">
        <f t="shared" si="12696"/>
        <v>0</v>
      </c>
      <c r="GY538" s="74">
        <f t="shared" si="12696"/>
        <v>0</v>
      </c>
      <c r="GZ538" s="74">
        <f t="shared" si="12696"/>
        <v>0</v>
      </c>
      <c r="HA538" s="74">
        <f t="shared" si="12696"/>
        <v>0</v>
      </c>
      <c r="HB538" s="74">
        <f t="shared" si="12696"/>
        <v>0</v>
      </c>
      <c r="HC538" s="74">
        <f t="shared" si="12696"/>
        <v>0</v>
      </c>
      <c r="HD538" s="74">
        <f t="shared" si="12696"/>
        <v>0</v>
      </c>
      <c r="HE538" s="74">
        <f t="shared" si="12696"/>
        <v>0</v>
      </c>
      <c r="HF538" s="74">
        <f t="shared" si="12696"/>
        <v>0</v>
      </c>
      <c r="HG538" s="74">
        <f t="shared" si="12696"/>
        <v>3723.5</v>
      </c>
      <c r="HH538" s="74">
        <f t="shared" si="12696"/>
        <v>0</v>
      </c>
      <c r="HI538" s="74">
        <f>HI539</f>
        <v>0</v>
      </c>
      <c r="HJ538" s="74">
        <f>HJ539</f>
        <v>0</v>
      </c>
      <c r="HK538" s="74">
        <f>HK539</f>
        <v>0</v>
      </c>
      <c r="HL538" s="74">
        <f t="shared" si="12696"/>
        <v>3723.5</v>
      </c>
      <c r="HM538" s="74">
        <f t="shared" si="12696"/>
        <v>0</v>
      </c>
      <c r="HN538" s="74">
        <f t="shared" si="12696"/>
        <v>0</v>
      </c>
      <c r="HO538" s="74">
        <f t="shared" si="12696"/>
        <v>0</v>
      </c>
      <c r="HP538" s="74">
        <f t="shared" si="12696"/>
        <v>0</v>
      </c>
      <c r="HQ538" s="74">
        <f t="shared" si="12696"/>
        <v>0</v>
      </c>
      <c r="HR538" s="74">
        <f t="shared" si="12696"/>
        <v>0</v>
      </c>
      <c r="HS538" s="74">
        <f t="shared" si="12696"/>
        <v>0</v>
      </c>
      <c r="HT538" s="74">
        <f t="shared" si="12696"/>
        <v>0</v>
      </c>
      <c r="HU538" s="74">
        <f t="shared" si="12696"/>
        <v>0</v>
      </c>
      <c r="HV538" s="74">
        <f t="shared" si="12696"/>
        <v>0</v>
      </c>
      <c r="HW538" s="74">
        <f t="shared" si="12696"/>
        <v>0</v>
      </c>
      <c r="HX538" s="74">
        <f t="shared" si="12696"/>
        <v>0</v>
      </c>
      <c r="HY538" s="74">
        <f t="shared" si="12696"/>
        <v>0</v>
      </c>
      <c r="HZ538" s="74">
        <f t="shared" si="12696"/>
        <v>0</v>
      </c>
      <c r="IA538" s="74">
        <f t="shared" si="12696"/>
        <v>0</v>
      </c>
      <c r="IB538" s="74">
        <f t="shared" si="12696"/>
        <v>0</v>
      </c>
      <c r="IC538" s="74">
        <f t="shared" si="12696"/>
        <v>0</v>
      </c>
      <c r="ID538" s="74">
        <f>ID539</f>
        <v>0</v>
      </c>
      <c r="IE538" s="74">
        <f t="shared" si="12696"/>
        <v>0</v>
      </c>
      <c r="IF538" s="841">
        <f t="shared" si="12696"/>
        <v>3723.5</v>
      </c>
      <c r="IG538" s="263">
        <f>IG539</f>
        <v>3723.5</v>
      </c>
      <c r="IH538" s="842">
        <f t="shared" si="12696"/>
        <v>3723.5</v>
      </c>
      <c r="II538" s="74">
        <f t="shared" si="12696"/>
        <v>0</v>
      </c>
      <c r="IJ538" s="74">
        <f t="shared" si="12696"/>
        <v>0</v>
      </c>
      <c r="IK538" s="74">
        <f>IK539</f>
        <v>0</v>
      </c>
      <c r="IL538" s="74">
        <f t="shared" si="12696"/>
        <v>0</v>
      </c>
      <c r="IM538" s="74">
        <f t="shared" si="12696"/>
        <v>0</v>
      </c>
      <c r="IN538" s="74">
        <f t="shared" si="12696"/>
        <v>0</v>
      </c>
      <c r="IO538" s="74">
        <f t="shared" si="12696"/>
        <v>3723.5</v>
      </c>
      <c r="IP538" s="74">
        <f t="shared" si="12696"/>
        <v>3723.5</v>
      </c>
      <c r="IQ538" s="74">
        <f t="shared" si="12696"/>
        <v>3723.5</v>
      </c>
      <c r="IR538" s="74">
        <f t="shared" si="12696"/>
        <v>0</v>
      </c>
      <c r="IS538" s="74">
        <f t="shared" si="12696"/>
        <v>0</v>
      </c>
      <c r="IT538" s="74">
        <f t="shared" si="12696"/>
        <v>0</v>
      </c>
      <c r="IU538" s="74">
        <f t="shared" si="12696"/>
        <v>0</v>
      </c>
      <c r="IV538" s="74">
        <f t="shared" si="12696"/>
        <v>0</v>
      </c>
      <c r="IW538" s="74">
        <f t="shared" si="12696"/>
        <v>0</v>
      </c>
      <c r="IX538" s="74">
        <f t="shared" si="12696"/>
        <v>0</v>
      </c>
      <c r="IY538" s="74">
        <f t="shared" si="12696"/>
        <v>0</v>
      </c>
      <c r="IZ538" s="74">
        <f t="shared" si="12696"/>
        <v>0</v>
      </c>
      <c r="JA538" s="74">
        <f t="shared" si="12696"/>
        <v>0</v>
      </c>
      <c r="JB538" s="74">
        <f t="shared" si="12696"/>
        <v>0</v>
      </c>
      <c r="JC538" s="74">
        <f t="shared" si="12696"/>
        <v>0</v>
      </c>
      <c r="JD538" s="74">
        <f t="shared" si="12696"/>
        <v>0</v>
      </c>
      <c r="JE538" s="74">
        <f t="shared" ref="JE538:JT538" si="12697">JE539</f>
        <v>0</v>
      </c>
      <c r="JF538" s="74">
        <f t="shared" si="12697"/>
        <v>0</v>
      </c>
      <c r="JG538" s="74">
        <f t="shared" si="12697"/>
        <v>0</v>
      </c>
      <c r="JH538" s="74">
        <f t="shared" si="12697"/>
        <v>0</v>
      </c>
      <c r="JI538" s="74">
        <f t="shared" si="12697"/>
        <v>0</v>
      </c>
      <c r="JJ538" s="74">
        <f t="shared" si="12697"/>
        <v>0</v>
      </c>
      <c r="JK538" s="74">
        <f t="shared" si="12697"/>
        <v>0</v>
      </c>
      <c r="JL538" s="74">
        <f t="shared" si="12697"/>
        <v>0</v>
      </c>
      <c r="JM538" s="74">
        <f t="shared" si="12697"/>
        <v>0</v>
      </c>
      <c r="JN538" s="74">
        <f t="shared" si="12697"/>
        <v>0</v>
      </c>
      <c r="JO538" s="74">
        <f t="shared" si="12697"/>
        <v>0</v>
      </c>
      <c r="JP538" s="74">
        <f t="shared" si="12697"/>
        <v>0</v>
      </c>
      <c r="JQ538" s="74">
        <f t="shared" si="12697"/>
        <v>0</v>
      </c>
      <c r="JR538" s="74">
        <f t="shared" si="12697"/>
        <v>0</v>
      </c>
      <c r="JS538" s="74">
        <f t="shared" si="12697"/>
        <v>0</v>
      </c>
      <c r="JT538" s="74">
        <f t="shared" si="12697"/>
        <v>0.5</v>
      </c>
      <c r="JU538" s="665"/>
      <c r="JV538" s="524"/>
      <c r="JW538" s="525"/>
      <c r="JX538" s="549">
        <f>SUM(JX539:JX539)</f>
        <v>3723.5</v>
      </c>
      <c r="JY538" s="549">
        <f>SUM(JY539:JY539)</f>
        <v>0</v>
      </c>
      <c r="JZ538" s="581">
        <f>GP538</f>
        <v>3724</v>
      </c>
      <c r="KA538" s="581">
        <f t="shared" ref="KA538:KA539" si="12698">GQ538</f>
        <v>0</v>
      </c>
      <c r="KB538" s="549">
        <f t="shared" ref="KB538" si="12699">JX538</f>
        <v>3723.5</v>
      </c>
      <c r="KC538" s="709">
        <f t="shared" si="12200"/>
        <v>0</v>
      </c>
      <c r="KD538" s="36"/>
      <c r="KE538" s="36"/>
      <c r="KF538" s="36"/>
      <c r="KG538" s="36"/>
      <c r="KH538" s="36"/>
      <c r="KI538" s="36"/>
      <c r="KJ538" s="36"/>
      <c r="KK538" s="36"/>
    </row>
    <row r="539" spans="1:297" s="10" customFormat="1">
      <c r="A539" s="86" t="s">
        <v>1264</v>
      </c>
      <c r="B539" s="77"/>
      <c r="C539" s="74">
        <v>0</v>
      </c>
      <c r="D539" s="549"/>
      <c r="E539" s="675"/>
      <c r="F539" s="549"/>
      <c r="G539" s="675"/>
      <c r="H539" s="549"/>
      <c r="I539" s="675"/>
      <c r="J539" s="549"/>
      <c r="K539" s="675"/>
      <c r="L539" s="549"/>
      <c r="M539" s="675"/>
      <c r="N539" s="549"/>
      <c r="O539" s="675"/>
      <c r="P539" s="549">
        <v>3724</v>
      </c>
      <c r="Q539" s="675">
        <v>0</v>
      </c>
      <c r="R539" s="549">
        <v>0</v>
      </c>
      <c r="S539" s="675">
        <v>0</v>
      </c>
      <c r="T539" s="549">
        <v>0</v>
      </c>
      <c r="U539" s="675">
        <v>0</v>
      </c>
      <c r="V539" s="549">
        <v>0</v>
      </c>
      <c r="W539" s="675">
        <v>0</v>
      </c>
      <c r="X539" s="549">
        <v>0</v>
      </c>
      <c r="Y539" s="675">
        <v>0</v>
      </c>
      <c r="Z539" s="549">
        <v>0</v>
      </c>
      <c r="AA539" s="675">
        <v>0</v>
      </c>
      <c r="AB539" s="549">
        <v>0</v>
      </c>
      <c r="AC539" s="675">
        <v>0</v>
      </c>
      <c r="AD539" s="549">
        <v>0</v>
      </c>
      <c r="AE539" s="675">
        <v>0</v>
      </c>
      <c r="AF539" s="549">
        <v>0</v>
      </c>
      <c r="AG539" s="675">
        <v>0</v>
      </c>
      <c r="AH539" s="549">
        <v>0</v>
      </c>
      <c r="AI539" s="675">
        <v>0</v>
      </c>
      <c r="AJ539" s="549">
        <v>0</v>
      </c>
      <c r="AK539" s="675">
        <v>0</v>
      </c>
      <c r="AL539" s="549">
        <v>0</v>
      </c>
      <c r="AM539" s="675">
        <v>0</v>
      </c>
      <c r="AN539" s="549">
        <v>0</v>
      </c>
      <c r="AO539" s="675">
        <v>0</v>
      </c>
      <c r="AP539" s="549">
        <v>0</v>
      </c>
      <c r="AQ539" s="675">
        <v>0</v>
      </c>
      <c r="AR539" s="549">
        <v>0</v>
      </c>
      <c r="AS539" s="675">
        <v>0</v>
      </c>
      <c r="AT539" s="549">
        <v>0</v>
      </c>
      <c r="AU539" s="675">
        <v>0</v>
      </c>
      <c r="AV539" s="549">
        <v>0</v>
      </c>
      <c r="AW539" s="675">
        <v>0</v>
      </c>
      <c r="AX539" s="549">
        <v>0</v>
      </c>
      <c r="AY539" s="675">
        <v>0</v>
      </c>
      <c r="AZ539" s="549">
        <v>0</v>
      </c>
      <c r="BA539" s="675">
        <v>0</v>
      </c>
      <c r="BB539" s="549">
        <v>0</v>
      </c>
      <c r="BC539" s="675">
        <v>0</v>
      </c>
      <c r="BD539" s="549">
        <v>0</v>
      </c>
      <c r="BE539" s="675">
        <v>0</v>
      </c>
      <c r="BF539" s="549">
        <v>0</v>
      </c>
      <c r="BG539" s="675">
        <v>0</v>
      </c>
      <c r="BH539" s="549">
        <v>0</v>
      </c>
      <c r="BI539" s="675">
        <v>0</v>
      </c>
      <c r="BJ539" s="549">
        <v>0</v>
      </c>
      <c r="BK539" s="675">
        <v>0</v>
      </c>
      <c r="BL539" s="549">
        <v>0</v>
      </c>
      <c r="BM539" s="675">
        <v>0</v>
      </c>
      <c r="BN539" s="549">
        <v>0</v>
      </c>
      <c r="BO539" s="675">
        <v>0</v>
      </c>
      <c r="BP539" s="549">
        <v>0</v>
      </c>
      <c r="BQ539" s="675">
        <v>0</v>
      </c>
      <c r="BR539" s="549">
        <v>0</v>
      </c>
      <c r="BS539" s="675">
        <v>0</v>
      </c>
      <c r="BT539" s="549">
        <v>0</v>
      </c>
      <c r="BU539" s="675">
        <v>0</v>
      </c>
      <c r="BV539" s="549">
        <v>0</v>
      </c>
      <c r="BW539" s="675">
        <v>0</v>
      </c>
      <c r="BX539" s="549">
        <v>0</v>
      </c>
      <c r="BY539" s="675">
        <v>0</v>
      </c>
      <c r="BZ539" s="549">
        <v>0</v>
      </c>
      <c r="CA539" s="675">
        <v>0</v>
      </c>
      <c r="CB539" s="549">
        <v>0</v>
      </c>
      <c r="CC539" s="675">
        <v>0</v>
      </c>
      <c r="CD539" s="549">
        <v>0</v>
      </c>
      <c r="CE539" s="675">
        <v>0</v>
      </c>
      <c r="CF539" s="549">
        <v>0</v>
      </c>
      <c r="CG539" s="675">
        <v>0</v>
      </c>
      <c r="CH539" s="549">
        <v>0</v>
      </c>
      <c r="CI539" s="675">
        <v>0</v>
      </c>
      <c r="CJ539" s="549">
        <v>0</v>
      </c>
      <c r="CK539" s="675">
        <v>0</v>
      </c>
      <c r="CL539" s="549">
        <v>0</v>
      </c>
      <c r="CM539" s="675">
        <v>0</v>
      </c>
      <c r="CN539" s="549">
        <v>0</v>
      </c>
      <c r="CO539" s="675">
        <v>0</v>
      </c>
      <c r="CP539" s="549">
        <v>0</v>
      </c>
      <c r="CQ539" s="675">
        <v>0</v>
      </c>
      <c r="CR539" s="549">
        <v>0</v>
      </c>
      <c r="CS539" s="675">
        <v>0</v>
      </c>
      <c r="CT539" s="549">
        <v>0</v>
      </c>
      <c r="CU539" s="675">
        <v>0</v>
      </c>
      <c r="CV539" s="549">
        <v>0</v>
      </c>
      <c r="CW539" s="675">
        <v>0</v>
      </c>
      <c r="CX539" s="549">
        <v>0</v>
      </c>
      <c r="CY539" s="675">
        <v>0</v>
      </c>
      <c r="CZ539" s="549">
        <v>0</v>
      </c>
      <c r="DA539" s="675">
        <v>0</v>
      </c>
      <c r="DB539" s="549">
        <v>0</v>
      </c>
      <c r="DC539" s="675">
        <v>0</v>
      </c>
      <c r="DD539" s="549">
        <v>0</v>
      </c>
      <c r="DE539" s="675">
        <v>0</v>
      </c>
      <c r="DF539" s="549">
        <v>0</v>
      </c>
      <c r="DG539" s="675">
        <v>0</v>
      </c>
      <c r="DH539" s="549">
        <v>0</v>
      </c>
      <c r="DI539" s="675">
        <v>0</v>
      </c>
      <c r="DJ539" s="549">
        <v>0</v>
      </c>
      <c r="DK539" s="675">
        <v>0</v>
      </c>
      <c r="DL539" s="549">
        <v>0</v>
      </c>
      <c r="DM539" s="675">
        <v>0</v>
      </c>
      <c r="DN539" s="549">
        <v>0</v>
      </c>
      <c r="DO539" s="675">
        <v>0</v>
      </c>
      <c r="DP539" s="549">
        <v>0</v>
      </c>
      <c r="DQ539" s="675">
        <v>0</v>
      </c>
      <c r="DR539" s="549">
        <v>0</v>
      </c>
      <c r="DS539" s="675">
        <v>0</v>
      </c>
      <c r="DT539" s="549">
        <v>0</v>
      </c>
      <c r="DU539" s="675">
        <v>0</v>
      </c>
      <c r="DV539" s="549">
        <v>0</v>
      </c>
      <c r="DW539" s="675">
        <v>0</v>
      </c>
      <c r="DX539" s="549">
        <v>0</v>
      </c>
      <c r="DY539" s="675">
        <v>0</v>
      </c>
      <c r="DZ539" s="549">
        <v>0</v>
      </c>
      <c r="EA539" s="675">
        <v>0</v>
      </c>
      <c r="EB539" s="549">
        <v>0</v>
      </c>
      <c r="EC539" s="675">
        <v>0</v>
      </c>
      <c r="ED539" s="549">
        <v>0</v>
      </c>
      <c r="EE539" s="675">
        <v>0</v>
      </c>
      <c r="EF539" s="549">
        <v>0</v>
      </c>
      <c r="EG539" s="675">
        <v>0</v>
      </c>
      <c r="EH539" s="549">
        <v>0</v>
      </c>
      <c r="EI539" s="675">
        <v>0</v>
      </c>
      <c r="EJ539" s="549">
        <v>0</v>
      </c>
      <c r="EK539" s="675">
        <v>0</v>
      </c>
      <c r="EL539" s="549">
        <v>0</v>
      </c>
      <c r="EM539" s="675">
        <v>0</v>
      </c>
      <c r="EN539" s="549">
        <v>0</v>
      </c>
      <c r="EO539" s="675">
        <v>0</v>
      </c>
      <c r="EP539" s="549">
        <v>0</v>
      </c>
      <c r="EQ539" s="675">
        <v>0</v>
      </c>
      <c r="ER539" s="549">
        <v>0</v>
      </c>
      <c r="ES539" s="675">
        <v>0</v>
      </c>
      <c r="ET539" s="549">
        <v>0</v>
      </c>
      <c r="EU539" s="675">
        <v>0</v>
      </c>
      <c r="EV539" s="549">
        <v>0</v>
      </c>
      <c r="EW539" s="675">
        <v>0</v>
      </c>
      <c r="EX539" s="549">
        <v>0</v>
      </c>
      <c r="EY539" s="675">
        <v>0</v>
      </c>
      <c r="EZ539" s="549">
        <v>0</v>
      </c>
      <c r="FA539" s="675">
        <v>0</v>
      </c>
      <c r="FB539" s="549">
        <v>0</v>
      </c>
      <c r="FC539" s="675">
        <v>0</v>
      </c>
      <c r="FD539" s="549">
        <v>0</v>
      </c>
      <c r="FE539" s="675">
        <v>0</v>
      </c>
      <c r="FF539" s="549">
        <v>0</v>
      </c>
      <c r="FG539" s="675">
        <v>0</v>
      </c>
      <c r="FH539" s="549">
        <v>0</v>
      </c>
      <c r="FI539" s="675">
        <v>0</v>
      </c>
      <c r="FJ539" s="549">
        <v>0</v>
      </c>
      <c r="FK539" s="675">
        <v>0</v>
      </c>
      <c r="FL539" s="549">
        <v>0</v>
      </c>
      <c r="FM539" s="675">
        <v>0</v>
      </c>
      <c r="FN539" s="549">
        <v>0</v>
      </c>
      <c r="FO539" s="675">
        <v>0</v>
      </c>
      <c r="FP539" s="549">
        <v>0</v>
      </c>
      <c r="FQ539" s="675">
        <v>0</v>
      </c>
      <c r="FR539" s="549">
        <v>0</v>
      </c>
      <c r="FS539" s="675">
        <v>0</v>
      </c>
      <c r="FT539" s="549">
        <v>0</v>
      </c>
      <c r="FU539" s="675">
        <v>0</v>
      </c>
      <c r="FV539" s="549">
        <v>0</v>
      </c>
      <c r="FW539" s="675">
        <v>0</v>
      </c>
      <c r="FX539" s="549">
        <v>0</v>
      </c>
      <c r="FY539" s="675">
        <v>0</v>
      </c>
      <c r="FZ539" s="549">
        <v>0</v>
      </c>
      <c r="GA539" s="675">
        <v>0</v>
      </c>
      <c r="GB539" s="549">
        <v>0</v>
      </c>
      <c r="GC539" s="675">
        <v>0</v>
      </c>
      <c r="GD539" s="549">
        <v>0</v>
      </c>
      <c r="GE539" s="675">
        <v>0</v>
      </c>
      <c r="GF539" s="549">
        <v>0</v>
      </c>
      <c r="GG539" s="675">
        <v>0</v>
      </c>
      <c r="GH539" s="549">
        <v>0</v>
      </c>
      <c r="GI539" s="675">
        <v>0</v>
      </c>
      <c r="GJ539" s="549">
        <v>0</v>
      </c>
      <c r="GK539" s="675">
        <v>0</v>
      </c>
      <c r="GL539" s="549">
        <v>0</v>
      </c>
      <c r="GM539" s="675">
        <v>0</v>
      </c>
      <c r="GN539" s="549">
        <v>0</v>
      </c>
      <c r="GO539" s="675">
        <v>0</v>
      </c>
      <c r="GP539" s="549">
        <f>+D539+F539+H539+J539+L539+N539+P539+R539+T539+V539+X539+Z539+AB539+AF539+AD539+AH539+AJ539+AL539+AN539+AP539+AR539+AT539+AV539+AX539+AZ539+BB539+BD539+BF539+BH539+BJ539+BL539+BN539+BP539+BR539+BT539+BV539+BX539+BZ539+CB539+CD539+CF539+CH539+CJ539+CL539+CN539+CP539+CR539+CT539+CV539+CX539+CZ539+DB539+DD539+DF539+DH539+DT539+EX539+DJ539+DL539+DN539+DP539+DR539+EJ539+EB539+DZ539+DX539+DV539+ED539+EF539+EH539+EL539+EN539+EP539+EV539+ET539+ER539+EZ539+FB539+FD539+GL539+FF539+FJ539+FL539+GJ539+FT539+FR539+FP539+FN539+FH539+GH539+GF539+GD539+GB539+FZ539+FX539+FV539+GN539</f>
        <v>3724</v>
      </c>
      <c r="GQ539" s="675">
        <f>+E539+G539+I539+K539+M539+O539+Q539+S539+U539+W539+Y539+AA539+AC539+AE539+AG539+AI539+AK539+AM539+AO539+AQ539+AS539+AU539+AW539+AY539+BA539+BC539+BE539+BG539+BI539+BK539+BM539+BO539+BQ539+BS539+BU539+BW539+BY539+CA539+CC539+CE539+CG539+CI539+CK539+CM539+CO539+CQ539+CS539+CU539+CW539+CY539+DA539+DC539+DE539+DG539+DI539+DU539+EY539+DK539+DM539+DO539+DQ539+DS539+EK539+EC539+EA539+DY539+DW539+EI539+EG539+EE539+EM539+EO539+EQ539+EW539+EU539+ES539+FA539+FC539+FE539+GM539+FG539+FK539+FM539+FO539+FQ539+FS539+FU539+GK539+FI539+GI539+GG539+GE539+GC539+GA539+FY539+FW539+GO539</f>
        <v>0</v>
      </c>
      <c r="GR539" s="74">
        <f>C539+GP539+GQ539</f>
        <v>3724</v>
      </c>
      <c r="GS539" s="74">
        <f>SUM(GU539:HD539)+GP539+GQ539</f>
        <v>3724</v>
      </c>
      <c r="GT539" s="568">
        <f>SUM(GU539:HF539)+GQ539+GP539</f>
        <v>3724</v>
      </c>
      <c r="GU539" s="275">
        <v>0</v>
      </c>
      <c r="GV539" s="275">
        <v>0</v>
      </c>
      <c r="GW539" s="275">
        <v>0</v>
      </c>
      <c r="GX539" s="275">
        <v>0</v>
      </c>
      <c r="GY539" s="275">
        <v>0</v>
      </c>
      <c r="GZ539" s="275">
        <v>0</v>
      </c>
      <c r="HA539" s="275">
        <v>0</v>
      </c>
      <c r="HB539" s="275">
        <v>0</v>
      </c>
      <c r="HC539" s="275">
        <v>0</v>
      </c>
      <c r="HD539" s="275">
        <v>0</v>
      </c>
      <c r="HE539" s="275">
        <v>0</v>
      </c>
      <c r="HF539" s="275"/>
      <c r="HG539" s="74">
        <f>SUM(HH539:IE539)</f>
        <v>3723.5</v>
      </c>
      <c r="HH539" s="74">
        <v>0</v>
      </c>
      <c r="HI539" s="74">
        <v>0</v>
      </c>
      <c r="HJ539" s="74">
        <v>0</v>
      </c>
      <c r="HK539" s="74">
        <v>0</v>
      </c>
      <c r="HL539" s="74">
        <v>3723.5</v>
      </c>
      <c r="HM539" s="74">
        <v>0</v>
      </c>
      <c r="HN539" s="74">
        <v>0</v>
      </c>
      <c r="HO539" s="74">
        <v>0</v>
      </c>
      <c r="HP539" s="74">
        <v>0</v>
      </c>
      <c r="HQ539" s="74">
        <v>0</v>
      </c>
      <c r="HR539" s="74">
        <v>0</v>
      </c>
      <c r="HS539" s="74">
        <v>0</v>
      </c>
      <c r="HT539" s="74">
        <v>0</v>
      </c>
      <c r="HU539" s="74">
        <v>0</v>
      </c>
      <c r="HV539" s="74">
        <v>0</v>
      </c>
      <c r="HW539" s="74">
        <v>0</v>
      </c>
      <c r="HX539" s="74">
        <v>0</v>
      </c>
      <c r="HY539" s="74">
        <v>0</v>
      </c>
      <c r="HZ539" s="74">
        <v>0</v>
      </c>
      <c r="IA539" s="74">
        <v>0</v>
      </c>
      <c r="IB539" s="74">
        <v>0</v>
      </c>
      <c r="IC539" s="74">
        <v>0</v>
      </c>
      <c r="ID539" s="74">
        <v>0</v>
      </c>
      <c r="IE539" s="74">
        <v>0</v>
      </c>
      <c r="IF539" s="841">
        <f t="shared" ref="IF539" si="12700">SUM(II539,IL539,IO539,IR539,IU539,IX539,JA539,JD539,JG539,JJ539,JM539,JP539)</f>
        <v>3723.5</v>
      </c>
      <c r="IG539" s="263">
        <f t="shared" ref="IG539" si="12701">SUM(IJ539,IM539,IP539,IS539,IV539,IY539,JB539,JE539,JH539,JK539,JN539,JQ539)</f>
        <v>3723.5</v>
      </c>
      <c r="IH539" s="842">
        <f t="shared" ref="IH539" si="12702">SUM(IK539,IN539,IQ539,IT539,IW539,IZ539,JC539,JF539,JI539,JL539,JO539,JR539)</f>
        <v>3723.5</v>
      </c>
      <c r="II539" s="74">
        <v>0</v>
      </c>
      <c r="IJ539" s="74">
        <v>0</v>
      </c>
      <c r="IK539" s="74">
        <v>0</v>
      </c>
      <c r="IL539" s="74">
        <v>0</v>
      </c>
      <c r="IM539" s="74">
        <v>0</v>
      </c>
      <c r="IN539" s="74">
        <v>0</v>
      </c>
      <c r="IO539" s="74">
        <v>3723.5</v>
      </c>
      <c r="IP539" s="74">
        <f>IO539</f>
        <v>3723.5</v>
      </c>
      <c r="IQ539" s="74">
        <f>IP539</f>
        <v>3723.5</v>
      </c>
      <c r="IR539" s="74">
        <v>0</v>
      </c>
      <c r="IS539" s="74">
        <v>0</v>
      </c>
      <c r="IT539" s="74">
        <v>0</v>
      </c>
      <c r="IU539" s="74">
        <v>0</v>
      </c>
      <c r="IV539" s="74">
        <v>0</v>
      </c>
      <c r="IW539" s="74">
        <v>0</v>
      </c>
      <c r="IX539" s="74">
        <v>0</v>
      </c>
      <c r="IY539" s="74">
        <v>0</v>
      </c>
      <c r="IZ539" s="74">
        <v>0</v>
      </c>
      <c r="JA539" s="74">
        <f>3723.5-3723.5</f>
        <v>0</v>
      </c>
      <c r="JB539" s="74">
        <v>0</v>
      </c>
      <c r="JC539" s="74">
        <v>0</v>
      </c>
      <c r="JD539" s="74">
        <v>0</v>
      </c>
      <c r="JE539" s="74">
        <v>0</v>
      </c>
      <c r="JF539" s="74">
        <v>0</v>
      </c>
      <c r="JG539" s="74">
        <v>0</v>
      </c>
      <c r="JH539" s="74">
        <v>0</v>
      </c>
      <c r="JI539" s="74">
        <v>0</v>
      </c>
      <c r="JJ539" s="74">
        <v>0</v>
      </c>
      <c r="JK539" s="74">
        <v>0</v>
      </c>
      <c r="JL539" s="74">
        <v>0</v>
      </c>
      <c r="JM539" s="74">
        <v>0</v>
      </c>
      <c r="JN539" s="74">
        <v>0</v>
      </c>
      <c r="JO539" s="74">
        <v>0</v>
      </c>
      <c r="JP539" s="74">
        <v>0</v>
      </c>
      <c r="JQ539" s="74">
        <v>0</v>
      </c>
      <c r="JR539" s="74">
        <v>0</v>
      </c>
      <c r="JS539" s="74">
        <f>HG539-IF539</f>
        <v>0</v>
      </c>
      <c r="JT539" s="74">
        <f>GS539-IF539</f>
        <v>0.5</v>
      </c>
      <c r="JU539" s="665"/>
      <c r="JV539" s="524"/>
      <c r="JW539" s="525"/>
      <c r="JX539" s="549">
        <f>SUM(HH539,HJ539,HL539,HN539,HP539,HR539,HT539,HV539,HX539,HZ539,IB539,ID539)</f>
        <v>3723.5</v>
      </c>
      <c r="JY539" s="549">
        <f>SUM(HI539,HK539,HM539,HO539,HQ539,HS539,HU539,HW539,HY539,IA539,IC539,IE539)</f>
        <v>0</v>
      </c>
      <c r="JZ539" s="581">
        <f t="shared" ref="JZ539" si="12703">GP539</f>
        <v>3724</v>
      </c>
      <c r="KA539" s="581">
        <f t="shared" si="12698"/>
        <v>0</v>
      </c>
      <c r="KB539" s="549">
        <f>JX539</f>
        <v>3723.5</v>
      </c>
      <c r="KC539" s="709">
        <f t="shared" si="12200"/>
        <v>0</v>
      </c>
      <c r="KD539" s="36"/>
      <c r="KE539" s="36"/>
      <c r="KF539" s="36"/>
      <c r="KG539" s="36"/>
      <c r="KH539" s="36"/>
      <c r="KI539" s="36"/>
      <c r="KJ539" s="36"/>
      <c r="KK539" s="36"/>
    </row>
    <row r="540" spans="1:297" s="10" customFormat="1">
      <c r="A540" s="91"/>
      <c r="B540" s="77"/>
      <c r="C540" s="74"/>
      <c r="D540" s="549"/>
      <c r="E540" s="675"/>
      <c r="F540" s="549"/>
      <c r="G540" s="675"/>
      <c r="H540" s="549"/>
      <c r="I540" s="675"/>
      <c r="J540" s="549"/>
      <c r="K540" s="675"/>
      <c r="L540" s="549"/>
      <c r="M540" s="675"/>
      <c r="N540" s="549"/>
      <c r="O540" s="675"/>
      <c r="P540" s="549"/>
      <c r="Q540" s="675"/>
      <c r="R540" s="549"/>
      <c r="S540" s="675"/>
      <c r="T540" s="549"/>
      <c r="U540" s="675"/>
      <c r="V540" s="549"/>
      <c r="W540" s="675"/>
      <c r="X540" s="549"/>
      <c r="Y540" s="675"/>
      <c r="Z540" s="549"/>
      <c r="AA540" s="675"/>
      <c r="AB540" s="549"/>
      <c r="AC540" s="675"/>
      <c r="AD540" s="549"/>
      <c r="AE540" s="675"/>
      <c r="AF540" s="549"/>
      <c r="AG540" s="675"/>
      <c r="AH540" s="549"/>
      <c r="AI540" s="675"/>
      <c r="AJ540" s="549"/>
      <c r="AK540" s="675"/>
      <c r="AL540" s="549"/>
      <c r="AM540" s="675"/>
      <c r="AN540" s="549"/>
      <c r="AO540" s="675"/>
      <c r="AP540" s="549"/>
      <c r="AQ540" s="675"/>
      <c r="AR540" s="549"/>
      <c r="AS540" s="675"/>
      <c r="AT540" s="549"/>
      <c r="AU540" s="675"/>
      <c r="AV540" s="549"/>
      <c r="AW540" s="675"/>
      <c r="AX540" s="549"/>
      <c r="AY540" s="675"/>
      <c r="AZ540" s="549"/>
      <c r="BA540" s="675"/>
      <c r="BB540" s="549"/>
      <c r="BC540" s="675"/>
      <c r="BD540" s="549"/>
      <c r="BE540" s="675"/>
      <c r="BF540" s="549"/>
      <c r="BG540" s="675"/>
      <c r="BH540" s="549"/>
      <c r="BI540" s="675"/>
      <c r="BJ540" s="549"/>
      <c r="BK540" s="675"/>
      <c r="BL540" s="549"/>
      <c r="BM540" s="675"/>
      <c r="BN540" s="549"/>
      <c r="BO540" s="675"/>
      <c r="BP540" s="549"/>
      <c r="BQ540" s="675"/>
      <c r="BR540" s="549"/>
      <c r="BS540" s="675"/>
      <c r="BT540" s="549"/>
      <c r="BU540" s="675"/>
      <c r="BV540" s="549"/>
      <c r="BW540" s="675"/>
      <c r="BX540" s="549"/>
      <c r="BY540" s="675"/>
      <c r="BZ540" s="549"/>
      <c r="CA540" s="675"/>
      <c r="CB540" s="549"/>
      <c r="CC540" s="675"/>
      <c r="CD540" s="549"/>
      <c r="CE540" s="675"/>
      <c r="CF540" s="549"/>
      <c r="CG540" s="675"/>
      <c r="CH540" s="549"/>
      <c r="CI540" s="675"/>
      <c r="CJ540" s="549"/>
      <c r="CK540" s="675"/>
      <c r="CL540" s="549"/>
      <c r="CM540" s="675"/>
      <c r="CN540" s="549"/>
      <c r="CO540" s="675"/>
      <c r="CP540" s="549"/>
      <c r="CQ540" s="675"/>
      <c r="CR540" s="549"/>
      <c r="CS540" s="675"/>
      <c r="CT540" s="549"/>
      <c r="CU540" s="675"/>
      <c r="CV540" s="549"/>
      <c r="CW540" s="675"/>
      <c r="CX540" s="549"/>
      <c r="CY540" s="675"/>
      <c r="CZ540" s="549"/>
      <c r="DA540" s="675"/>
      <c r="DB540" s="549"/>
      <c r="DC540" s="675"/>
      <c r="DD540" s="549"/>
      <c r="DE540" s="675"/>
      <c r="DF540" s="549"/>
      <c r="DG540" s="675"/>
      <c r="DH540" s="549"/>
      <c r="DI540" s="675"/>
      <c r="DJ540" s="549"/>
      <c r="DK540" s="675"/>
      <c r="DL540" s="549"/>
      <c r="DM540" s="675"/>
      <c r="DN540" s="549"/>
      <c r="DO540" s="675"/>
      <c r="DP540" s="549"/>
      <c r="DQ540" s="675"/>
      <c r="DR540" s="549"/>
      <c r="DS540" s="675"/>
      <c r="DT540" s="549"/>
      <c r="DU540" s="675"/>
      <c r="DV540" s="549"/>
      <c r="DW540" s="675"/>
      <c r="DX540" s="549"/>
      <c r="DY540" s="675"/>
      <c r="DZ540" s="549"/>
      <c r="EA540" s="675"/>
      <c r="EB540" s="549"/>
      <c r="EC540" s="675"/>
      <c r="ED540" s="549"/>
      <c r="EE540" s="675"/>
      <c r="EF540" s="549"/>
      <c r="EG540" s="675"/>
      <c r="EH540" s="549"/>
      <c r="EI540" s="675"/>
      <c r="EJ540" s="549"/>
      <c r="EK540" s="675"/>
      <c r="EL540" s="549"/>
      <c r="EM540" s="675"/>
      <c r="EN540" s="549"/>
      <c r="EO540" s="675"/>
      <c r="EP540" s="549"/>
      <c r="EQ540" s="675"/>
      <c r="ER540" s="549"/>
      <c r="ES540" s="675"/>
      <c r="ET540" s="549"/>
      <c r="EU540" s="675"/>
      <c r="EV540" s="549"/>
      <c r="EW540" s="675"/>
      <c r="EX540" s="549"/>
      <c r="EY540" s="675"/>
      <c r="EZ540" s="549"/>
      <c r="FA540" s="675"/>
      <c r="FB540" s="549"/>
      <c r="FC540" s="675"/>
      <c r="FD540" s="549"/>
      <c r="FE540" s="675"/>
      <c r="FF540" s="549"/>
      <c r="FG540" s="675"/>
      <c r="FH540" s="549"/>
      <c r="FI540" s="675"/>
      <c r="FJ540" s="549"/>
      <c r="FK540" s="675"/>
      <c r="FL540" s="549"/>
      <c r="FM540" s="675"/>
      <c r="FN540" s="549"/>
      <c r="FO540" s="675"/>
      <c r="FP540" s="549"/>
      <c r="FQ540" s="675"/>
      <c r="FR540" s="549"/>
      <c r="FS540" s="675"/>
      <c r="FT540" s="549"/>
      <c r="FU540" s="675"/>
      <c r="FV540" s="549"/>
      <c r="FW540" s="675"/>
      <c r="FX540" s="549"/>
      <c r="FY540" s="675"/>
      <c r="FZ540" s="549"/>
      <c r="GA540" s="675"/>
      <c r="GB540" s="549"/>
      <c r="GC540" s="675"/>
      <c r="GD540" s="549"/>
      <c r="GE540" s="675"/>
      <c r="GF540" s="549"/>
      <c r="GG540" s="675"/>
      <c r="GH540" s="549"/>
      <c r="GI540" s="675"/>
      <c r="GJ540" s="549"/>
      <c r="GK540" s="675"/>
      <c r="GL540" s="549"/>
      <c r="GM540" s="675"/>
      <c r="GN540" s="549"/>
      <c r="GO540" s="675"/>
      <c r="GP540" s="549"/>
      <c r="GQ540" s="675"/>
      <c r="GR540" s="74"/>
      <c r="GS540" s="74"/>
      <c r="GT540" s="549"/>
      <c r="GU540" s="73"/>
      <c r="GV540" s="73"/>
      <c r="GW540" s="549"/>
      <c r="GX540" s="549"/>
      <c r="GY540" s="73"/>
      <c r="GZ540" s="73"/>
      <c r="HA540" s="73"/>
      <c r="HB540" s="73"/>
      <c r="HC540" s="73"/>
      <c r="HD540" s="73"/>
      <c r="HE540" s="73"/>
      <c r="HF540" s="73"/>
      <c r="HG540" s="74"/>
      <c r="HH540" s="73"/>
      <c r="HI540" s="815"/>
      <c r="HJ540" s="73"/>
      <c r="HK540" s="815"/>
      <c r="HL540" s="73"/>
      <c r="HM540" s="815"/>
      <c r="HN540" s="73"/>
      <c r="HO540" s="815"/>
      <c r="HP540" s="73"/>
      <c r="HQ540" s="815"/>
      <c r="HR540" s="73"/>
      <c r="HS540" s="815"/>
      <c r="HT540" s="73"/>
      <c r="HU540" s="815"/>
      <c r="HV540" s="73"/>
      <c r="HW540" s="815"/>
      <c r="HX540" s="73"/>
      <c r="HY540" s="815"/>
      <c r="HZ540" s="73"/>
      <c r="IA540" s="815"/>
      <c r="IB540" s="73"/>
      <c r="IC540" s="815"/>
      <c r="ID540" s="73"/>
      <c r="IE540" s="815"/>
      <c r="IF540" s="841"/>
      <c r="IG540" s="263"/>
      <c r="IH540" s="842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  <c r="JD540" s="73"/>
      <c r="JE540" s="73"/>
      <c r="JF540" s="73"/>
      <c r="JG540" s="73"/>
      <c r="JH540" s="73"/>
      <c r="JI540" s="73"/>
      <c r="JJ540" s="73"/>
      <c r="JK540" s="73"/>
      <c r="JL540" s="73"/>
      <c r="JM540" s="73"/>
      <c r="JN540" s="73"/>
      <c r="JO540" s="73"/>
      <c r="JP540" s="73"/>
      <c r="JQ540" s="73"/>
      <c r="JR540" s="73"/>
      <c r="JS540" s="74"/>
      <c r="JT540" s="382"/>
      <c r="JU540" s="665"/>
      <c r="JV540" s="524"/>
      <c r="JW540" s="525"/>
      <c r="JX540" s="549"/>
      <c r="JY540" s="549"/>
      <c r="JZ540" s="581">
        <f t="shared" si="12201"/>
        <v>0</v>
      </c>
      <c r="KA540" s="581">
        <f t="shared" si="12202"/>
        <v>0</v>
      </c>
      <c r="KB540" s="549">
        <f t="shared" si="12194"/>
        <v>0</v>
      </c>
      <c r="KC540" s="709">
        <f t="shared" si="12200"/>
        <v>0</v>
      </c>
      <c r="KD540" s="36"/>
      <c r="KE540" s="36"/>
      <c r="KF540" s="36"/>
      <c r="KG540" s="36"/>
      <c r="KH540" s="36"/>
      <c r="KI540" s="36"/>
      <c r="KJ540" s="36"/>
      <c r="KK540" s="36"/>
    </row>
    <row r="541" spans="1:297" s="8" customFormat="1">
      <c r="A541" s="80" t="s">
        <v>302</v>
      </c>
      <c r="B541" s="72" t="s">
        <v>204</v>
      </c>
      <c r="C541" s="74">
        <f t="shared" ref="C541:AM541" si="12704">SUM(C543,C549)+C558+C563+C555</f>
        <v>195000</v>
      </c>
      <c r="D541" s="549">
        <f t="shared" si="12704"/>
        <v>0</v>
      </c>
      <c r="E541" s="675">
        <f t="shared" si="12704"/>
        <v>0</v>
      </c>
      <c r="F541" s="549">
        <f t="shared" si="12704"/>
        <v>0</v>
      </c>
      <c r="G541" s="675">
        <f t="shared" si="12704"/>
        <v>0</v>
      </c>
      <c r="H541" s="549">
        <f t="shared" si="12704"/>
        <v>0</v>
      </c>
      <c r="I541" s="675">
        <f t="shared" si="12704"/>
        <v>0</v>
      </c>
      <c r="J541" s="549">
        <f t="shared" si="12704"/>
        <v>0</v>
      </c>
      <c r="K541" s="675">
        <f t="shared" si="12704"/>
        <v>0</v>
      </c>
      <c r="L541" s="549">
        <f t="shared" si="12704"/>
        <v>0</v>
      </c>
      <c r="M541" s="675">
        <f t="shared" si="12704"/>
        <v>0</v>
      </c>
      <c r="N541" s="549">
        <f t="shared" si="12704"/>
        <v>0</v>
      </c>
      <c r="O541" s="675">
        <f t="shared" si="12704"/>
        <v>0</v>
      </c>
      <c r="P541" s="549">
        <f t="shared" si="12704"/>
        <v>0</v>
      </c>
      <c r="Q541" s="675">
        <f t="shared" si="12704"/>
        <v>0</v>
      </c>
      <c r="R541" s="549">
        <f t="shared" si="12704"/>
        <v>0</v>
      </c>
      <c r="S541" s="675">
        <f t="shared" si="12704"/>
        <v>0</v>
      </c>
      <c r="T541" s="549">
        <f t="shared" si="12704"/>
        <v>0</v>
      </c>
      <c r="U541" s="675">
        <f t="shared" si="12704"/>
        <v>0</v>
      </c>
      <c r="V541" s="549">
        <f t="shared" si="12704"/>
        <v>0</v>
      </c>
      <c r="W541" s="675">
        <f t="shared" si="12704"/>
        <v>0</v>
      </c>
      <c r="X541" s="549">
        <f t="shared" si="12704"/>
        <v>0</v>
      </c>
      <c r="Y541" s="675">
        <f t="shared" si="12704"/>
        <v>0</v>
      </c>
      <c r="Z541" s="549">
        <f t="shared" si="12704"/>
        <v>0</v>
      </c>
      <c r="AA541" s="675">
        <f t="shared" si="12704"/>
        <v>0</v>
      </c>
      <c r="AB541" s="549">
        <f t="shared" si="12704"/>
        <v>0</v>
      </c>
      <c r="AC541" s="675">
        <f t="shared" si="12704"/>
        <v>0</v>
      </c>
      <c r="AD541" s="549">
        <f t="shared" ref="AD541:AK541" si="12705">SUM(AD543,AD549)+AD558+AD563+AD555</f>
        <v>0</v>
      </c>
      <c r="AE541" s="675">
        <f t="shared" si="12705"/>
        <v>0</v>
      </c>
      <c r="AF541" s="549">
        <f t="shared" si="12705"/>
        <v>0</v>
      </c>
      <c r="AG541" s="675">
        <f t="shared" si="12705"/>
        <v>0</v>
      </c>
      <c r="AH541" s="549">
        <f t="shared" ref="AH541:AI541" si="12706">SUM(AH543,AH549)+AH558+AH563+AH555</f>
        <v>0</v>
      </c>
      <c r="AI541" s="675">
        <f t="shared" si="12706"/>
        <v>0</v>
      </c>
      <c r="AJ541" s="549">
        <f t="shared" si="12705"/>
        <v>0</v>
      </c>
      <c r="AK541" s="675">
        <f t="shared" si="12705"/>
        <v>0</v>
      </c>
      <c r="AL541" s="549">
        <f t="shared" si="12704"/>
        <v>0</v>
      </c>
      <c r="AM541" s="675">
        <f t="shared" si="12704"/>
        <v>0</v>
      </c>
      <c r="AN541" s="549">
        <f t="shared" ref="AN541:AS541" si="12707">SUM(AN543,AN549)+AN558+AN563+AN555</f>
        <v>0</v>
      </c>
      <c r="AO541" s="675">
        <f t="shared" si="12707"/>
        <v>0</v>
      </c>
      <c r="AP541" s="549">
        <f t="shared" si="12707"/>
        <v>0</v>
      </c>
      <c r="AQ541" s="675">
        <f t="shared" si="12707"/>
        <v>0</v>
      </c>
      <c r="AR541" s="549">
        <f t="shared" si="12707"/>
        <v>0</v>
      </c>
      <c r="AS541" s="675">
        <f t="shared" si="12707"/>
        <v>0</v>
      </c>
      <c r="AT541" s="549">
        <f t="shared" ref="AT541:AU541" si="12708">SUM(AT543,AT549)+AT558+AT563+AT555</f>
        <v>0</v>
      </c>
      <c r="AU541" s="675">
        <f t="shared" si="12708"/>
        <v>0</v>
      </c>
      <c r="AV541" s="549">
        <f t="shared" ref="AV541:AW541" si="12709">SUM(AV543,AV549)+AV558+AV563+AV555</f>
        <v>0</v>
      </c>
      <c r="AW541" s="675">
        <f t="shared" si="12709"/>
        <v>0</v>
      </c>
      <c r="AX541" s="549">
        <f t="shared" ref="AX541:AY541" si="12710">SUM(AX543,AX549)+AX558+AX563+AX555</f>
        <v>0</v>
      </c>
      <c r="AY541" s="675">
        <f t="shared" si="12710"/>
        <v>0</v>
      </c>
      <c r="AZ541" s="549">
        <f t="shared" ref="AZ541:BA541" si="12711">SUM(AZ543,AZ549)+AZ558+AZ563+AZ555</f>
        <v>0</v>
      </c>
      <c r="BA541" s="675">
        <f t="shared" si="12711"/>
        <v>0</v>
      </c>
      <c r="BB541" s="549">
        <f t="shared" ref="BB541:BC541" si="12712">SUM(BB543,BB549)+BB558+BB563+BB555</f>
        <v>0</v>
      </c>
      <c r="BC541" s="675">
        <f t="shared" si="12712"/>
        <v>0</v>
      </c>
      <c r="BD541" s="549">
        <f t="shared" ref="BD541:BE541" si="12713">SUM(BD543,BD549)+BD558+BD563+BD555</f>
        <v>0</v>
      </c>
      <c r="BE541" s="675">
        <f t="shared" si="12713"/>
        <v>0</v>
      </c>
      <c r="BF541" s="549">
        <f t="shared" ref="BF541:BG541" si="12714">SUM(BF543,BF549)+BF558+BF563+BF555</f>
        <v>0</v>
      </c>
      <c r="BG541" s="675">
        <f t="shared" si="12714"/>
        <v>0</v>
      </c>
      <c r="BH541" s="549">
        <f t="shared" ref="BH541:BI541" si="12715">SUM(BH543,BH549)+BH558+BH563+BH555</f>
        <v>18000</v>
      </c>
      <c r="BI541" s="675">
        <f t="shared" si="12715"/>
        <v>0</v>
      </c>
      <c r="BJ541" s="549">
        <f t="shared" ref="BJ541:BK541" si="12716">SUM(BJ543,BJ549)+BJ558+BJ563+BJ555</f>
        <v>0</v>
      </c>
      <c r="BK541" s="675">
        <f t="shared" si="12716"/>
        <v>0</v>
      </c>
      <c r="BL541" s="549">
        <f t="shared" ref="BL541:BS541" si="12717">SUM(BL543,BL549)+BL558+BL563+BL555</f>
        <v>0</v>
      </c>
      <c r="BM541" s="675">
        <f t="shared" si="12717"/>
        <v>0</v>
      </c>
      <c r="BN541" s="549">
        <f t="shared" si="12717"/>
        <v>0</v>
      </c>
      <c r="BO541" s="675">
        <f t="shared" si="12717"/>
        <v>0</v>
      </c>
      <c r="BP541" s="549">
        <f t="shared" si="12717"/>
        <v>0</v>
      </c>
      <c r="BQ541" s="675">
        <f t="shared" si="12717"/>
        <v>0</v>
      </c>
      <c r="BR541" s="549">
        <f t="shared" si="12717"/>
        <v>0</v>
      </c>
      <c r="BS541" s="675">
        <f t="shared" si="12717"/>
        <v>0</v>
      </c>
      <c r="BT541" s="549">
        <f t="shared" ref="BT541:BU541" si="12718">SUM(BT543,BT549)+BT558+BT563+BT555</f>
        <v>0</v>
      </c>
      <c r="BU541" s="675">
        <f t="shared" si="12718"/>
        <v>0</v>
      </c>
      <c r="BV541" s="549">
        <f t="shared" ref="BV541:BW541" si="12719">SUM(BV543,BV549)+BV558+BV563+BV555</f>
        <v>0</v>
      </c>
      <c r="BW541" s="675">
        <f t="shared" si="12719"/>
        <v>0</v>
      </c>
      <c r="BX541" s="549">
        <f t="shared" ref="BX541:BY541" si="12720">SUM(BX543,BX549)+BX558+BX563+BX555</f>
        <v>0</v>
      </c>
      <c r="BY541" s="675">
        <f t="shared" si="12720"/>
        <v>0</v>
      </c>
      <c r="BZ541" s="549">
        <f t="shared" ref="BZ541:CA541" si="12721">SUM(BZ543,BZ549)+BZ558+BZ563+BZ555</f>
        <v>0</v>
      </c>
      <c r="CA541" s="675">
        <f t="shared" si="12721"/>
        <v>0</v>
      </c>
      <c r="CB541" s="549">
        <f t="shared" ref="CB541:CE541" si="12722">SUM(CB543,CB549)+CB558+CB563+CB555</f>
        <v>0</v>
      </c>
      <c r="CC541" s="675">
        <f t="shared" si="12722"/>
        <v>0</v>
      </c>
      <c r="CD541" s="549">
        <f t="shared" si="12722"/>
        <v>0</v>
      </c>
      <c r="CE541" s="675">
        <f t="shared" si="12722"/>
        <v>0</v>
      </c>
      <c r="CF541" s="549">
        <f t="shared" ref="CF541:CQ541" si="12723">SUM(CF543,CF549)+CF558+CF563+CF555</f>
        <v>0</v>
      </c>
      <c r="CG541" s="675">
        <f t="shared" si="12723"/>
        <v>0</v>
      </c>
      <c r="CH541" s="549">
        <f t="shared" si="12723"/>
        <v>0</v>
      </c>
      <c r="CI541" s="675">
        <f t="shared" si="12723"/>
        <v>0</v>
      </c>
      <c r="CJ541" s="549">
        <f t="shared" si="12723"/>
        <v>0</v>
      </c>
      <c r="CK541" s="675">
        <f t="shared" si="12723"/>
        <v>-32000</v>
      </c>
      <c r="CL541" s="549">
        <f t="shared" si="12723"/>
        <v>0</v>
      </c>
      <c r="CM541" s="675">
        <f t="shared" si="12723"/>
        <v>0</v>
      </c>
      <c r="CN541" s="549">
        <f t="shared" si="12723"/>
        <v>0</v>
      </c>
      <c r="CO541" s="675">
        <f t="shared" si="12723"/>
        <v>0</v>
      </c>
      <c r="CP541" s="549">
        <f t="shared" si="12723"/>
        <v>0</v>
      </c>
      <c r="CQ541" s="675">
        <f t="shared" si="12723"/>
        <v>0</v>
      </c>
      <c r="CR541" s="549">
        <f t="shared" ref="CR541:CY541" si="12724">SUM(CR543,CR549)+CR558+CR563+CR555</f>
        <v>0</v>
      </c>
      <c r="CS541" s="675">
        <f t="shared" si="12724"/>
        <v>0</v>
      </c>
      <c r="CT541" s="549">
        <f t="shared" si="12724"/>
        <v>0</v>
      </c>
      <c r="CU541" s="675">
        <f t="shared" si="12724"/>
        <v>0</v>
      </c>
      <c r="CV541" s="549">
        <f t="shared" si="12724"/>
        <v>0</v>
      </c>
      <c r="CW541" s="675">
        <f t="shared" si="12724"/>
        <v>0</v>
      </c>
      <c r="CX541" s="549">
        <f t="shared" si="12724"/>
        <v>0</v>
      </c>
      <c r="CY541" s="675">
        <f t="shared" si="12724"/>
        <v>0</v>
      </c>
      <c r="CZ541" s="549">
        <f t="shared" ref="CZ541:DG541" si="12725">SUM(CZ543,CZ549)+CZ558+CZ563+CZ555</f>
        <v>0</v>
      </c>
      <c r="DA541" s="675">
        <f t="shared" si="12725"/>
        <v>0</v>
      </c>
      <c r="DB541" s="549">
        <f t="shared" si="12725"/>
        <v>0</v>
      </c>
      <c r="DC541" s="675">
        <f t="shared" si="12725"/>
        <v>0</v>
      </c>
      <c r="DD541" s="549">
        <f t="shared" si="12725"/>
        <v>0</v>
      </c>
      <c r="DE541" s="675">
        <f t="shared" si="12725"/>
        <v>0</v>
      </c>
      <c r="DF541" s="549">
        <f t="shared" si="12725"/>
        <v>0</v>
      </c>
      <c r="DG541" s="675">
        <f t="shared" si="12725"/>
        <v>0</v>
      </c>
      <c r="DH541" s="549">
        <f t="shared" ref="DH541:DY541" si="12726">SUM(DH543,DH549)+DH558+DH563+DH555</f>
        <v>0</v>
      </c>
      <c r="DI541" s="675">
        <f t="shared" si="12726"/>
        <v>0</v>
      </c>
      <c r="DJ541" s="549">
        <f t="shared" si="12726"/>
        <v>0</v>
      </c>
      <c r="DK541" s="675">
        <f t="shared" si="12726"/>
        <v>0</v>
      </c>
      <c r="DL541" s="549">
        <f t="shared" si="12726"/>
        <v>0</v>
      </c>
      <c r="DM541" s="675">
        <f t="shared" si="12726"/>
        <v>0</v>
      </c>
      <c r="DN541" s="549">
        <f t="shared" si="12726"/>
        <v>0</v>
      </c>
      <c r="DO541" s="675">
        <f t="shared" si="12726"/>
        <v>0</v>
      </c>
      <c r="DP541" s="549">
        <f t="shared" si="12726"/>
        <v>0</v>
      </c>
      <c r="DQ541" s="675">
        <f t="shared" si="12726"/>
        <v>-8040</v>
      </c>
      <c r="DR541" s="549">
        <f t="shared" si="12726"/>
        <v>0</v>
      </c>
      <c r="DS541" s="675">
        <f t="shared" si="12726"/>
        <v>0</v>
      </c>
      <c r="DT541" s="549">
        <f t="shared" si="12726"/>
        <v>0</v>
      </c>
      <c r="DU541" s="675">
        <f t="shared" si="12726"/>
        <v>0</v>
      </c>
      <c r="DV541" s="549">
        <f t="shared" si="12726"/>
        <v>0</v>
      </c>
      <c r="DW541" s="675">
        <f t="shared" si="12726"/>
        <v>0</v>
      </c>
      <c r="DX541" s="549">
        <f t="shared" si="12726"/>
        <v>0</v>
      </c>
      <c r="DY541" s="675">
        <f t="shared" si="12726"/>
        <v>0</v>
      </c>
      <c r="DZ541" s="549">
        <f t="shared" ref="DZ541:FA541" si="12727">SUM(DZ543,DZ549)+DZ558+DZ563+DZ555</f>
        <v>0</v>
      </c>
      <c r="EA541" s="675">
        <f t="shared" si="12727"/>
        <v>0</v>
      </c>
      <c r="EB541" s="549">
        <f t="shared" si="12727"/>
        <v>0</v>
      </c>
      <c r="EC541" s="675">
        <f t="shared" si="12727"/>
        <v>0</v>
      </c>
      <c r="ED541" s="549">
        <f t="shared" si="12727"/>
        <v>0</v>
      </c>
      <c r="EE541" s="675">
        <f t="shared" si="12727"/>
        <v>0</v>
      </c>
      <c r="EF541" s="549">
        <f t="shared" si="12727"/>
        <v>0</v>
      </c>
      <c r="EG541" s="675">
        <f t="shared" si="12727"/>
        <v>0</v>
      </c>
      <c r="EH541" s="549">
        <f t="shared" ref="EH541:EM541" si="12728">SUM(EH543,EH549)+EH558+EH563+EH555</f>
        <v>0</v>
      </c>
      <c r="EI541" s="675">
        <f t="shared" si="12728"/>
        <v>0</v>
      </c>
      <c r="EJ541" s="549">
        <f t="shared" si="12728"/>
        <v>52500</v>
      </c>
      <c r="EK541" s="675">
        <f t="shared" si="12728"/>
        <v>0</v>
      </c>
      <c r="EL541" s="549">
        <f t="shared" si="12728"/>
        <v>9500</v>
      </c>
      <c r="EM541" s="675">
        <f t="shared" si="12728"/>
        <v>0</v>
      </c>
      <c r="EN541" s="549">
        <f t="shared" si="12727"/>
        <v>0</v>
      </c>
      <c r="EO541" s="675">
        <f t="shared" si="12727"/>
        <v>0</v>
      </c>
      <c r="EP541" s="549">
        <f t="shared" si="12727"/>
        <v>0</v>
      </c>
      <c r="EQ541" s="675">
        <f t="shared" si="12727"/>
        <v>0</v>
      </c>
      <c r="ER541" s="549">
        <f t="shared" si="12727"/>
        <v>0</v>
      </c>
      <c r="ES541" s="675">
        <f t="shared" si="12727"/>
        <v>0</v>
      </c>
      <c r="ET541" s="549">
        <f t="shared" si="12727"/>
        <v>0</v>
      </c>
      <c r="EU541" s="675">
        <f t="shared" si="12727"/>
        <v>0</v>
      </c>
      <c r="EV541" s="549">
        <f t="shared" ref="EV541:EW541" si="12729">SUM(EV543,EV549)+EV558+EV563+EV555</f>
        <v>0</v>
      </c>
      <c r="EW541" s="675">
        <f t="shared" si="12729"/>
        <v>0</v>
      </c>
      <c r="EX541" s="549">
        <f t="shared" si="12727"/>
        <v>0</v>
      </c>
      <c r="EY541" s="675">
        <f t="shared" si="12727"/>
        <v>0</v>
      </c>
      <c r="EZ541" s="549">
        <f t="shared" si="12727"/>
        <v>15400</v>
      </c>
      <c r="FA541" s="675">
        <f t="shared" si="12727"/>
        <v>0</v>
      </c>
      <c r="FB541" s="549">
        <f t="shared" ref="FB541:FC541" si="12730">SUM(FB543,FB549)+FB558+FB563+FB555</f>
        <v>0</v>
      </c>
      <c r="FC541" s="675">
        <f t="shared" si="12730"/>
        <v>0</v>
      </c>
      <c r="FD541" s="549">
        <f t="shared" ref="FD541:FE541" si="12731">SUM(FD543,FD549)+FD558+FD563+FD555</f>
        <v>2600</v>
      </c>
      <c r="FE541" s="675">
        <f t="shared" si="12731"/>
        <v>0</v>
      </c>
      <c r="FF541" s="549">
        <f t="shared" ref="FF541:FG541" si="12732">SUM(FF543,FF549)+FF558+FF563+FF555</f>
        <v>0</v>
      </c>
      <c r="FG541" s="675">
        <f t="shared" si="12732"/>
        <v>0</v>
      </c>
      <c r="FH541" s="549">
        <f t="shared" ref="FH541:FI541" si="12733">SUM(FH543,FH549)+FH558+FH563+FH555</f>
        <v>0</v>
      </c>
      <c r="FI541" s="675">
        <f t="shared" si="12733"/>
        <v>0</v>
      </c>
      <c r="FJ541" s="549">
        <f t="shared" ref="FJ541:FK541" si="12734">SUM(FJ543,FJ549)+FJ558+FJ563+FJ555</f>
        <v>0</v>
      </c>
      <c r="FK541" s="675">
        <f t="shared" si="12734"/>
        <v>0</v>
      </c>
      <c r="FL541" s="549">
        <f t="shared" ref="FL541:FM541" si="12735">SUM(FL543,FL549)+FL558+FL563+FL555</f>
        <v>0</v>
      </c>
      <c r="FM541" s="675">
        <f t="shared" si="12735"/>
        <v>0</v>
      </c>
      <c r="FN541" s="549">
        <f t="shared" ref="FN541:FO541" si="12736">SUM(FN543,FN549)+FN558+FN563+FN555</f>
        <v>0</v>
      </c>
      <c r="FO541" s="675">
        <f t="shared" si="12736"/>
        <v>0</v>
      </c>
      <c r="FP541" s="549">
        <f t="shared" ref="FP541:FQ541" si="12737">SUM(FP543,FP549)+FP558+FP563+FP555</f>
        <v>0</v>
      </c>
      <c r="FQ541" s="675">
        <f t="shared" si="12737"/>
        <v>0</v>
      </c>
      <c r="FR541" s="549">
        <f t="shared" ref="FR541:FS541" si="12738">SUM(FR543,FR549)+FR558+FR563+FR555</f>
        <v>0</v>
      </c>
      <c r="FS541" s="675">
        <f t="shared" si="12738"/>
        <v>-3202</v>
      </c>
      <c r="FT541" s="549">
        <f t="shared" ref="FT541:FU541" si="12739">SUM(FT543,FT549)+FT558+FT563+FT555</f>
        <v>10857</v>
      </c>
      <c r="FU541" s="675">
        <f t="shared" si="12739"/>
        <v>0</v>
      </c>
      <c r="FV541" s="549">
        <f t="shared" ref="FV541:GK541" si="12740">SUM(FV543,FV549)+FV558+FV563+FV555</f>
        <v>0</v>
      </c>
      <c r="FW541" s="675">
        <f t="shared" si="12740"/>
        <v>0</v>
      </c>
      <c r="FX541" s="549">
        <f t="shared" si="12740"/>
        <v>2000</v>
      </c>
      <c r="FY541" s="675">
        <f t="shared" si="12740"/>
        <v>0</v>
      </c>
      <c r="FZ541" s="549">
        <f t="shared" ref="FZ541:GI541" si="12741">SUM(FZ543,FZ549)+FZ558+FZ563+FZ555</f>
        <v>0</v>
      </c>
      <c r="GA541" s="675">
        <f t="shared" si="12741"/>
        <v>0</v>
      </c>
      <c r="GB541" s="549">
        <f t="shared" si="12741"/>
        <v>0</v>
      </c>
      <c r="GC541" s="675">
        <f t="shared" si="12741"/>
        <v>0</v>
      </c>
      <c r="GD541" s="549">
        <f t="shared" si="12741"/>
        <v>0</v>
      </c>
      <c r="GE541" s="675">
        <f t="shared" si="12741"/>
        <v>0</v>
      </c>
      <c r="GF541" s="549">
        <f t="shared" si="12741"/>
        <v>0</v>
      </c>
      <c r="GG541" s="675">
        <f t="shared" si="12741"/>
        <v>0</v>
      </c>
      <c r="GH541" s="549">
        <f t="shared" si="12741"/>
        <v>0</v>
      </c>
      <c r="GI541" s="675">
        <f t="shared" si="12741"/>
        <v>0</v>
      </c>
      <c r="GJ541" s="549">
        <f t="shared" si="12740"/>
        <v>0</v>
      </c>
      <c r="GK541" s="675">
        <f t="shared" si="12740"/>
        <v>0</v>
      </c>
      <c r="GL541" s="549">
        <f t="shared" ref="GL541:GM541" si="12742">SUM(GL543,GL549)+GL558+GL563+GL555</f>
        <v>0</v>
      </c>
      <c r="GM541" s="675">
        <f t="shared" si="12742"/>
        <v>0</v>
      </c>
      <c r="GN541" s="549">
        <f t="shared" ref="GN541:GO541" si="12743">SUM(GN543,GN549)+GN558+GN563+GN555</f>
        <v>0</v>
      </c>
      <c r="GO541" s="675">
        <f t="shared" si="12743"/>
        <v>0</v>
      </c>
      <c r="GP541" s="549">
        <f>SUM(GP543,GP549)+GP558+GP563+GP555</f>
        <v>110857</v>
      </c>
      <c r="GQ541" s="675">
        <f t="shared" ref="GQ541:JB541" si="12744">SUM(GQ543,GQ549)+GQ558+GQ563+GQ555</f>
        <v>-43242</v>
      </c>
      <c r="GR541" s="74">
        <f t="shared" si="12744"/>
        <v>262615</v>
      </c>
      <c r="GS541" s="74">
        <f>SUM(GS543,GS549)+GS558+GS563+GS555</f>
        <v>262615</v>
      </c>
      <c r="GT541" s="549">
        <f>SUM(GT543,GT549)+GT558+GT563+GT555</f>
        <v>262615</v>
      </c>
      <c r="GU541" s="74">
        <f t="shared" si="12744"/>
        <v>46700</v>
      </c>
      <c r="GV541" s="74">
        <f t="shared" si="12744"/>
        <v>6000</v>
      </c>
      <c r="GW541" s="549">
        <f t="shared" si="12744"/>
        <v>67300</v>
      </c>
      <c r="GX541" s="549">
        <f t="shared" si="12744"/>
        <v>5000</v>
      </c>
      <c r="GY541" s="74">
        <f t="shared" si="12744"/>
        <v>35000</v>
      </c>
      <c r="GZ541" s="74">
        <f t="shared" si="12744"/>
        <v>5000</v>
      </c>
      <c r="HA541" s="74">
        <f t="shared" si="12744"/>
        <v>0</v>
      </c>
      <c r="HB541" s="74">
        <f t="shared" si="12744"/>
        <v>30000</v>
      </c>
      <c r="HC541" s="74">
        <f t="shared" si="12744"/>
        <v>0</v>
      </c>
      <c r="HD541" s="74">
        <f t="shared" si="12744"/>
        <v>0</v>
      </c>
      <c r="HE541" s="74">
        <f t="shared" si="12744"/>
        <v>0</v>
      </c>
      <c r="HF541" s="74">
        <f t="shared" si="12744"/>
        <v>0</v>
      </c>
      <c r="HG541" s="74">
        <f>SUM(HG543,HG549)+HG558+HG563+HG555</f>
        <v>262615</v>
      </c>
      <c r="HH541" s="74">
        <f t="shared" ref="HH541:HI541" si="12745">SUM(HH543,HH549)+HH558+HH563+HH555</f>
        <v>46700</v>
      </c>
      <c r="HI541" s="792">
        <f t="shared" si="12745"/>
        <v>0</v>
      </c>
      <c r="HJ541" s="74">
        <f t="shared" ref="HJ541:HK541" si="12746">SUM(HJ543,HJ549)+HJ558+HJ563+HJ555</f>
        <v>0</v>
      </c>
      <c r="HK541" s="792">
        <f t="shared" si="12746"/>
        <v>0</v>
      </c>
      <c r="HL541" s="74">
        <f t="shared" ref="HL541:HM541" si="12747">SUM(HL543,HL549)+HL558+HL563+HL555</f>
        <v>41300</v>
      </c>
      <c r="HM541" s="792">
        <f t="shared" si="12747"/>
        <v>0</v>
      </c>
      <c r="HN541" s="74">
        <f t="shared" ref="HN541:HO541" si="12748">SUM(HN543,HN549)+HN558+HN563+HN555</f>
        <v>1000</v>
      </c>
      <c r="HO541" s="792">
        <f t="shared" si="12748"/>
        <v>0</v>
      </c>
      <c r="HP541" s="74">
        <f t="shared" ref="HP541:HQ541" si="12749">SUM(HP543,HP549)+HP558+HP563+HP555</f>
        <v>21195</v>
      </c>
      <c r="HQ541" s="792">
        <f t="shared" si="12749"/>
        <v>0</v>
      </c>
      <c r="HR541" s="74">
        <f t="shared" ref="HR541:HS541" si="12750">SUM(HR543,HR549)+HR558+HR563+HR555</f>
        <v>14740</v>
      </c>
      <c r="HS541" s="792">
        <f t="shared" si="12750"/>
        <v>0</v>
      </c>
      <c r="HT541" s="74">
        <f t="shared" ref="HT541:HU541" si="12751">SUM(HT543,HT549)+HT558+HT563+HT555</f>
        <v>-2935</v>
      </c>
      <c r="HU541" s="792">
        <f t="shared" si="12751"/>
        <v>0</v>
      </c>
      <c r="HV541" s="74">
        <f t="shared" ref="HV541:HW541" si="12752">SUM(HV543,HV549)+HV558+HV563+HV555</f>
        <v>44925</v>
      </c>
      <c r="HW541" s="792">
        <f t="shared" si="12752"/>
        <v>0</v>
      </c>
      <c r="HX541" s="74">
        <f t="shared" ref="HX541:HY541" si="12753">SUM(HX543,HX549)+HX558+HX563+HX555</f>
        <v>83435</v>
      </c>
      <c r="HY541" s="792">
        <f t="shared" si="12753"/>
        <v>0</v>
      </c>
      <c r="HZ541" s="74">
        <f t="shared" ref="HZ541:IA541" si="12754">SUM(HZ543,HZ549)+HZ558+HZ563+HZ555</f>
        <v>12255</v>
      </c>
      <c r="IA541" s="792">
        <f t="shared" si="12754"/>
        <v>0</v>
      </c>
      <c r="IB541" s="74">
        <f t="shared" ref="IB541:IC541" si="12755">SUM(IB543,IB549)+IB558+IB563+IB555</f>
        <v>0</v>
      </c>
      <c r="IC541" s="792">
        <f t="shared" si="12755"/>
        <v>0</v>
      </c>
      <c r="ID541" s="74">
        <f t="shared" si="12744"/>
        <v>0</v>
      </c>
      <c r="IE541" s="792">
        <f t="shared" si="12744"/>
        <v>0</v>
      </c>
      <c r="IF541" s="841">
        <f>SUM(IF543,IF549)+IF558+IF563+IF555</f>
        <v>257160.16</v>
      </c>
      <c r="IG541" s="263">
        <f t="shared" si="12744"/>
        <v>257160.16</v>
      </c>
      <c r="IH541" s="842">
        <f t="shared" si="12744"/>
        <v>257160.16</v>
      </c>
      <c r="II541" s="74">
        <f t="shared" si="12744"/>
        <v>234.8</v>
      </c>
      <c r="IJ541" s="74">
        <f t="shared" si="12744"/>
        <v>234.8</v>
      </c>
      <c r="IK541" s="74">
        <f t="shared" si="12744"/>
        <v>234.8</v>
      </c>
      <c r="IL541" s="74">
        <f t="shared" si="12744"/>
        <v>24249.4</v>
      </c>
      <c r="IM541" s="74">
        <f t="shared" si="12744"/>
        <v>24249.4</v>
      </c>
      <c r="IN541" s="74">
        <f t="shared" si="12744"/>
        <v>24249.4</v>
      </c>
      <c r="IO541" s="74">
        <f t="shared" si="12744"/>
        <v>5054.93</v>
      </c>
      <c r="IP541" s="74">
        <f t="shared" si="12744"/>
        <v>5054.93</v>
      </c>
      <c r="IQ541" s="74">
        <f t="shared" si="12744"/>
        <v>5054.93</v>
      </c>
      <c r="IR541" s="74">
        <f t="shared" si="12744"/>
        <v>4804</v>
      </c>
      <c r="IS541" s="74">
        <f t="shared" si="12744"/>
        <v>4804</v>
      </c>
      <c r="IT541" s="74">
        <f t="shared" si="12744"/>
        <v>4804</v>
      </c>
      <c r="IU541" s="74">
        <f t="shared" si="12744"/>
        <v>19074.2</v>
      </c>
      <c r="IV541" s="74">
        <f t="shared" si="12744"/>
        <v>19074.2</v>
      </c>
      <c r="IW541" s="74">
        <f t="shared" si="12744"/>
        <v>19074.2</v>
      </c>
      <c r="IX541" s="74">
        <f t="shared" si="12744"/>
        <v>27374.019999999997</v>
      </c>
      <c r="IY541" s="74">
        <f t="shared" si="12744"/>
        <v>27374.019999999997</v>
      </c>
      <c r="IZ541" s="74">
        <f t="shared" si="12744"/>
        <v>27374.019999999997</v>
      </c>
      <c r="JA541" s="74">
        <f t="shared" si="12744"/>
        <v>11492.989999999998</v>
      </c>
      <c r="JB541" s="74">
        <f t="shared" si="12744"/>
        <v>11492.989999999998</v>
      </c>
      <c r="JC541" s="74">
        <f t="shared" ref="JC541" si="12756">SUM(JC543,JC549)+JC558+JC563+JC555</f>
        <v>11492.989999999998</v>
      </c>
      <c r="JD541" s="74">
        <f t="shared" ref="JD541:JF541" si="12757">SUM(JD543,JD549)+JD558+JD563+JD555</f>
        <v>46585.58</v>
      </c>
      <c r="JE541" s="74">
        <f t="shared" si="12757"/>
        <v>46585.58</v>
      </c>
      <c r="JF541" s="74">
        <f t="shared" si="12757"/>
        <v>46585.58</v>
      </c>
      <c r="JG541" s="74">
        <f t="shared" ref="JG541:JI541" si="12758">SUM(JG543,JG549)+JG558+JG563+JG555</f>
        <v>73940.5</v>
      </c>
      <c r="JH541" s="74">
        <f t="shared" si="12758"/>
        <v>73940.5</v>
      </c>
      <c r="JI541" s="74">
        <f t="shared" si="12758"/>
        <v>73940.5</v>
      </c>
      <c r="JJ541" s="74">
        <f t="shared" ref="JJ541:JL541" si="12759">SUM(JJ543,JJ549)+JJ558+JJ563+JJ555</f>
        <v>44349.740000000005</v>
      </c>
      <c r="JK541" s="74">
        <f t="shared" si="12759"/>
        <v>44349.740000000005</v>
      </c>
      <c r="JL541" s="74">
        <f t="shared" si="12759"/>
        <v>44349.740000000005</v>
      </c>
      <c r="JM541" s="74">
        <f t="shared" ref="JM541:JO541" si="12760">SUM(JM543,JM549)+JM558+JM563+JM555</f>
        <v>0</v>
      </c>
      <c r="JN541" s="74">
        <f t="shared" si="12760"/>
        <v>0</v>
      </c>
      <c r="JO541" s="74">
        <f t="shared" si="12760"/>
        <v>0</v>
      </c>
      <c r="JP541" s="74">
        <f t="shared" ref="JP541:JY541" si="12761">SUM(JP543,JP549)+JP558+JP563+JP555</f>
        <v>0</v>
      </c>
      <c r="JQ541" s="74">
        <f t="shared" si="12761"/>
        <v>0</v>
      </c>
      <c r="JR541" s="74">
        <f t="shared" si="12761"/>
        <v>0</v>
      </c>
      <c r="JS541" s="74">
        <f t="shared" si="12761"/>
        <v>5454.8399999999965</v>
      </c>
      <c r="JT541" s="102">
        <f t="shared" si="12761"/>
        <v>5454.8399999999965</v>
      </c>
      <c r="JU541" s="665"/>
      <c r="JV541" s="524"/>
      <c r="JW541" s="525"/>
      <c r="JX541" s="549">
        <f>SUM(JX543,JX549)+JX558+JX563+JX555</f>
        <v>262615</v>
      </c>
      <c r="JY541" s="549">
        <f t="shared" si="12761"/>
        <v>0</v>
      </c>
      <c r="JZ541" s="581">
        <f t="shared" si="12201"/>
        <v>110857</v>
      </c>
      <c r="KA541" s="581">
        <f t="shared" si="12202"/>
        <v>-43242</v>
      </c>
      <c r="KB541" s="549">
        <f t="shared" si="12194"/>
        <v>262615</v>
      </c>
      <c r="KC541" s="709">
        <f t="shared" si="12200"/>
        <v>0</v>
      </c>
      <c r="KD541" s="36"/>
      <c r="KE541" s="36"/>
      <c r="KF541" s="36"/>
      <c r="KG541" s="36"/>
      <c r="KH541" s="36"/>
      <c r="KI541" s="36"/>
      <c r="KJ541" s="36"/>
      <c r="KK541" s="36"/>
    </row>
    <row r="542" spans="1:297" s="10" customFormat="1">
      <c r="A542" s="80"/>
      <c r="B542" s="72"/>
      <c r="C542" s="74"/>
      <c r="D542" s="549"/>
      <c r="E542" s="675"/>
      <c r="F542" s="549"/>
      <c r="G542" s="675"/>
      <c r="H542" s="549"/>
      <c r="I542" s="675"/>
      <c r="J542" s="549"/>
      <c r="K542" s="675"/>
      <c r="L542" s="549"/>
      <c r="M542" s="675"/>
      <c r="N542" s="549"/>
      <c r="O542" s="675"/>
      <c r="P542" s="549"/>
      <c r="Q542" s="675"/>
      <c r="R542" s="549"/>
      <c r="S542" s="675"/>
      <c r="T542" s="549"/>
      <c r="U542" s="675"/>
      <c r="V542" s="549"/>
      <c r="W542" s="675"/>
      <c r="X542" s="549"/>
      <c r="Y542" s="675"/>
      <c r="Z542" s="549"/>
      <c r="AA542" s="675"/>
      <c r="AB542" s="549"/>
      <c r="AC542" s="675"/>
      <c r="AD542" s="549"/>
      <c r="AE542" s="675"/>
      <c r="AF542" s="549"/>
      <c r="AG542" s="675"/>
      <c r="AH542" s="549"/>
      <c r="AI542" s="675"/>
      <c r="AJ542" s="549"/>
      <c r="AK542" s="675"/>
      <c r="AL542" s="549"/>
      <c r="AM542" s="675"/>
      <c r="AN542" s="549"/>
      <c r="AO542" s="675"/>
      <c r="AP542" s="549"/>
      <c r="AQ542" s="675"/>
      <c r="AR542" s="549"/>
      <c r="AS542" s="675"/>
      <c r="AT542" s="549"/>
      <c r="AU542" s="675"/>
      <c r="AV542" s="549"/>
      <c r="AW542" s="675"/>
      <c r="AX542" s="549"/>
      <c r="AY542" s="675"/>
      <c r="AZ542" s="549"/>
      <c r="BA542" s="675"/>
      <c r="BB542" s="549"/>
      <c r="BC542" s="675"/>
      <c r="BD542" s="549"/>
      <c r="BE542" s="675"/>
      <c r="BF542" s="549"/>
      <c r="BG542" s="675"/>
      <c r="BH542" s="549"/>
      <c r="BI542" s="675"/>
      <c r="BJ542" s="549"/>
      <c r="BK542" s="675"/>
      <c r="BL542" s="549"/>
      <c r="BM542" s="675"/>
      <c r="BN542" s="549"/>
      <c r="BO542" s="675"/>
      <c r="BP542" s="549"/>
      <c r="BQ542" s="675"/>
      <c r="BR542" s="549"/>
      <c r="BS542" s="675"/>
      <c r="BT542" s="549"/>
      <c r="BU542" s="675"/>
      <c r="BV542" s="549"/>
      <c r="BW542" s="675"/>
      <c r="BX542" s="549"/>
      <c r="BY542" s="675"/>
      <c r="BZ542" s="549"/>
      <c r="CA542" s="675"/>
      <c r="CB542" s="549"/>
      <c r="CC542" s="675"/>
      <c r="CD542" s="549"/>
      <c r="CE542" s="675"/>
      <c r="CF542" s="549"/>
      <c r="CG542" s="675"/>
      <c r="CH542" s="549"/>
      <c r="CI542" s="675"/>
      <c r="CJ542" s="549"/>
      <c r="CK542" s="675"/>
      <c r="CL542" s="549"/>
      <c r="CM542" s="675"/>
      <c r="CN542" s="549"/>
      <c r="CO542" s="675"/>
      <c r="CP542" s="549"/>
      <c r="CQ542" s="675"/>
      <c r="CR542" s="549"/>
      <c r="CS542" s="675"/>
      <c r="CT542" s="549"/>
      <c r="CU542" s="675"/>
      <c r="CV542" s="549"/>
      <c r="CW542" s="675"/>
      <c r="CX542" s="549"/>
      <c r="CY542" s="675"/>
      <c r="CZ542" s="549"/>
      <c r="DA542" s="675"/>
      <c r="DB542" s="549"/>
      <c r="DC542" s="675"/>
      <c r="DD542" s="549"/>
      <c r="DE542" s="675"/>
      <c r="DF542" s="549"/>
      <c r="DG542" s="675"/>
      <c r="DH542" s="549"/>
      <c r="DI542" s="675"/>
      <c r="DJ542" s="549"/>
      <c r="DK542" s="675"/>
      <c r="DL542" s="549"/>
      <c r="DM542" s="675"/>
      <c r="DN542" s="549"/>
      <c r="DO542" s="675"/>
      <c r="DP542" s="549"/>
      <c r="DQ542" s="675"/>
      <c r="DR542" s="549"/>
      <c r="DS542" s="675"/>
      <c r="DT542" s="549"/>
      <c r="DU542" s="675"/>
      <c r="DV542" s="549"/>
      <c r="DW542" s="675"/>
      <c r="DX542" s="549"/>
      <c r="DY542" s="675"/>
      <c r="DZ542" s="549"/>
      <c r="EA542" s="675"/>
      <c r="EB542" s="549"/>
      <c r="EC542" s="675"/>
      <c r="ED542" s="549"/>
      <c r="EE542" s="675"/>
      <c r="EF542" s="549"/>
      <c r="EG542" s="675"/>
      <c r="EH542" s="549"/>
      <c r="EI542" s="675"/>
      <c r="EJ542" s="549"/>
      <c r="EK542" s="675"/>
      <c r="EL542" s="549"/>
      <c r="EM542" s="675"/>
      <c r="EN542" s="549"/>
      <c r="EO542" s="675"/>
      <c r="EP542" s="549"/>
      <c r="EQ542" s="675"/>
      <c r="ER542" s="549"/>
      <c r="ES542" s="675"/>
      <c r="ET542" s="549"/>
      <c r="EU542" s="675"/>
      <c r="EV542" s="549"/>
      <c r="EW542" s="675"/>
      <c r="EX542" s="549"/>
      <c r="EY542" s="675"/>
      <c r="EZ542" s="549"/>
      <c r="FA542" s="675"/>
      <c r="FB542" s="549"/>
      <c r="FC542" s="675"/>
      <c r="FD542" s="549"/>
      <c r="FE542" s="675"/>
      <c r="FF542" s="549"/>
      <c r="FG542" s="675"/>
      <c r="FH542" s="549"/>
      <c r="FI542" s="675"/>
      <c r="FJ542" s="549"/>
      <c r="FK542" s="675"/>
      <c r="FL542" s="549"/>
      <c r="FM542" s="675"/>
      <c r="FN542" s="549"/>
      <c r="FO542" s="675"/>
      <c r="FP542" s="549"/>
      <c r="FQ542" s="675"/>
      <c r="FR542" s="549"/>
      <c r="FS542" s="675"/>
      <c r="FT542" s="549"/>
      <c r="FU542" s="675"/>
      <c r="FV542" s="549"/>
      <c r="FW542" s="675"/>
      <c r="FX542" s="549"/>
      <c r="FY542" s="675"/>
      <c r="FZ542" s="549"/>
      <c r="GA542" s="675"/>
      <c r="GB542" s="549"/>
      <c r="GC542" s="675"/>
      <c r="GD542" s="549"/>
      <c r="GE542" s="675"/>
      <c r="GF542" s="549"/>
      <c r="GG542" s="675"/>
      <c r="GH542" s="549"/>
      <c r="GI542" s="675"/>
      <c r="GJ542" s="549"/>
      <c r="GK542" s="675"/>
      <c r="GL542" s="549"/>
      <c r="GM542" s="675"/>
      <c r="GN542" s="549"/>
      <c r="GO542" s="675"/>
      <c r="GP542" s="549"/>
      <c r="GQ542" s="675"/>
      <c r="GR542" s="74"/>
      <c r="GS542" s="74"/>
      <c r="GT542" s="549"/>
      <c r="GU542" s="73"/>
      <c r="GV542" s="73"/>
      <c r="GW542" s="549"/>
      <c r="GX542" s="549"/>
      <c r="GY542" s="73"/>
      <c r="GZ542" s="73"/>
      <c r="HA542" s="73"/>
      <c r="HB542" s="73"/>
      <c r="HC542" s="73"/>
      <c r="HD542" s="73"/>
      <c r="HE542" s="73"/>
      <c r="HF542" s="73"/>
      <c r="HG542" s="74"/>
      <c r="HH542" s="73"/>
      <c r="HI542" s="815"/>
      <c r="HJ542" s="73"/>
      <c r="HK542" s="815"/>
      <c r="HL542" s="73"/>
      <c r="HM542" s="815"/>
      <c r="HN542" s="73"/>
      <c r="HO542" s="815"/>
      <c r="HP542" s="73"/>
      <c r="HQ542" s="815"/>
      <c r="HR542" s="73"/>
      <c r="HS542" s="815"/>
      <c r="HT542" s="73"/>
      <c r="HU542" s="815"/>
      <c r="HV542" s="73"/>
      <c r="HW542" s="815"/>
      <c r="HX542" s="73"/>
      <c r="HY542" s="815"/>
      <c r="HZ542" s="73"/>
      <c r="IA542" s="815"/>
      <c r="IB542" s="73"/>
      <c r="IC542" s="815"/>
      <c r="ID542" s="73"/>
      <c r="IE542" s="815"/>
      <c r="IF542" s="841"/>
      <c r="IG542" s="263"/>
      <c r="IH542" s="842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  <c r="JD542" s="73"/>
      <c r="JE542" s="73"/>
      <c r="JF542" s="73"/>
      <c r="JG542" s="73"/>
      <c r="JH542" s="73"/>
      <c r="JI542" s="73"/>
      <c r="JJ542" s="73"/>
      <c r="JK542" s="73"/>
      <c r="JL542" s="73"/>
      <c r="JM542" s="73"/>
      <c r="JN542" s="73"/>
      <c r="JO542" s="73"/>
      <c r="JP542" s="73"/>
      <c r="JQ542" s="73"/>
      <c r="JR542" s="73"/>
      <c r="JS542" s="74"/>
      <c r="JT542" s="382"/>
      <c r="JU542" s="665"/>
      <c r="JV542" s="524"/>
      <c r="JW542" s="525"/>
      <c r="JX542" s="549"/>
      <c r="JY542" s="549"/>
      <c r="JZ542" s="581">
        <f t="shared" si="12201"/>
        <v>0</v>
      </c>
      <c r="KA542" s="581">
        <f t="shared" si="12202"/>
        <v>0</v>
      </c>
      <c r="KB542" s="549">
        <f t="shared" si="12194"/>
        <v>0</v>
      </c>
      <c r="KC542" s="709">
        <f t="shared" si="12200"/>
        <v>0</v>
      </c>
      <c r="KD542" s="36"/>
      <c r="KE542" s="36"/>
      <c r="KF542" s="36"/>
      <c r="KG542" s="36"/>
      <c r="KH542" s="36"/>
      <c r="KI542" s="36"/>
      <c r="KJ542" s="36"/>
      <c r="KK542" s="36"/>
    </row>
    <row r="543" spans="1:297" s="8" customFormat="1">
      <c r="A543" s="80" t="s">
        <v>303</v>
      </c>
      <c r="B543" s="72" t="s">
        <v>205</v>
      </c>
      <c r="C543" s="74">
        <f>SUM(C544:C547)</f>
        <v>100000</v>
      </c>
      <c r="D543" s="549">
        <f t="shared" ref="D543:E543" si="12762">SUM(D544:D547)</f>
        <v>0</v>
      </c>
      <c r="E543" s="675">
        <f t="shared" si="12762"/>
        <v>0</v>
      </c>
      <c r="F543" s="549">
        <f t="shared" ref="F543:G543" si="12763">SUM(F544:F547)</f>
        <v>0</v>
      </c>
      <c r="G543" s="675">
        <f t="shared" si="12763"/>
        <v>0</v>
      </c>
      <c r="H543" s="549">
        <f t="shared" ref="H543:I543" si="12764">SUM(H544:H547)</f>
        <v>0</v>
      </c>
      <c r="I543" s="675">
        <f t="shared" si="12764"/>
        <v>0</v>
      </c>
      <c r="J543" s="549">
        <f t="shared" ref="J543:K543" si="12765">SUM(J544:J547)</f>
        <v>0</v>
      </c>
      <c r="K543" s="675">
        <f t="shared" si="12765"/>
        <v>0</v>
      </c>
      <c r="L543" s="549">
        <f t="shared" ref="L543:M543" si="12766">SUM(L544:L547)</f>
        <v>0</v>
      </c>
      <c r="M543" s="675">
        <f t="shared" si="12766"/>
        <v>0</v>
      </c>
      <c r="N543" s="549">
        <f t="shared" ref="N543:O543" si="12767">SUM(N544:N547)</f>
        <v>0</v>
      </c>
      <c r="O543" s="675">
        <f t="shared" si="12767"/>
        <v>0</v>
      </c>
      <c r="P543" s="549">
        <f t="shared" ref="P543:Q543" si="12768">SUM(P544:P547)</f>
        <v>0</v>
      </c>
      <c r="Q543" s="675">
        <f t="shared" si="12768"/>
        <v>0</v>
      </c>
      <c r="R543" s="549">
        <f t="shared" ref="R543:S543" si="12769">SUM(R544:R547)</f>
        <v>0</v>
      </c>
      <c r="S543" s="675">
        <f t="shared" si="12769"/>
        <v>0</v>
      </c>
      <c r="T543" s="549">
        <f t="shared" ref="T543:U543" si="12770">SUM(T544:T547)</f>
        <v>0</v>
      </c>
      <c r="U543" s="675">
        <f t="shared" si="12770"/>
        <v>0</v>
      </c>
      <c r="V543" s="549">
        <f t="shared" ref="V543:W543" si="12771">SUM(V544:V547)</f>
        <v>0</v>
      </c>
      <c r="W543" s="675">
        <f t="shared" si="12771"/>
        <v>0</v>
      </c>
      <c r="X543" s="549">
        <f t="shared" ref="X543:Y543" si="12772">SUM(X544:X547)</f>
        <v>0</v>
      </c>
      <c r="Y543" s="675">
        <f t="shared" si="12772"/>
        <v>0</v>
      </c>
      <c r="Z543" s="549">
        <f t="shared" ref="Z543:AA543" si="12773">SUM(Z544:Z547)</f>
        <v>0</v>
      </c>
      <c r="AA543" s="675">
        <f t="shared" si="12773"/>
        <v>0</v>
      </c>
      <c r="AB543" s="549">
        <f t="shared" ref="AB543:AC543" si="12774">SUM(AB544:AB547)</f>
        <v>0</v>
      </c>
      <c r="AC543" s="675">
        <f t="shared" si="12774"/>
        <v>0</v>
      </c>
      <c r="AD543" s="549">
        <f t="shared" ref="AD543:AE543" si="12775">SUM(AD544:AD547)</f>
        <v>0</v>
      </c>
      <c r="AE543" s="675">
        <f t="shared" si="12775"/>
        <v>0</v>
      </c>
      <c r="AF543" s="549">
        <f t="shared" ref="AF543:AG543" si="12776">SUM(AF544:AF547)</f>
        <v>0</v>
      </c>
      <c r="AG543" s="675">
        <f t="shared" si="12776"/>
        <v>0</v>
      </c>
      <c r="AH543" s="549">
        <f t="shared" ref="AH543:AI543" si="12777">SUM(AH544:AH547)</f>
        <v>0</v>
      </c>
      <c r="AI543" s="675">
        <f t="shared" si="12777"/>
        <v>0</v>
      </c>
      <c r="AJ543" s="549">
        <f t="shared" ref="AJ543:AK543" si="12778">SUM(AJ544:AJ547)</f>
        <v>0</v>
      </c>
      <c r="AK543" s="675">
        <f t="shared" si="12778"/>
        <v>0</v>
      </c>
      <c r="AL543" s="549">
        <f t="shared" ref="AL543:AM543" si="12779">SUM(AL544:AL547)</f>
        <v>0</v>
      </c>
      <c r="AM543" s="675">
        <f t="shared" si="12779"/>
        <v>0</v>
      </c>
      <c r="AN543" s="549">
        <f t="shared" ref="AN543:AO543" si="12780">SUM(AN544:AN547)</f>
        <v>0</v>
      </c>
      <c r="AO543" s="675">
        <f t="shared" si="12780"/>
        <v>0</v>
      </c>
      <c r="AP543" s="549">
        <f t="shared" ref="AP543:AQ543" si="12781">SUM(AP544:AP547)</f>
        <v>0</v>
      </c>
      <c r="AQ543" s="675">
        <f t="shared" si="12781"/>
        <v>0</v>
      </c>
      <c r="AR543" s="549">
        <f t="shared" ref="AR543:AS543" si="12782">SUM(AR544:AR547)</f>
        <v>0</v>
      </c>
      <c r="AS543" s="675">
        <f t="shared" si="12782"/>
        <v>0</v>
      </c>
      <c r="AT543" s="549">
        <f t="shared" ref="AT543:AU543" si="12783">SUM(AT544:AT547)</f>
        <v>0</v>
      </c>
      <c r="AU543" s="675">
        <f t="shared" si="12783"/>
        <v>0</v>
      </c>
      <c r="AV543" s="549">
        <f t="shared" ref="AV543:AW543" si="12784">SUM(AV544:AV547)</f>
        <v>0</v>
      </c>
      <c r="AW543" s="675">
        <f t="shared" si="12784"/>
        <v>0</v>
      </c>
      <c r="AX543" s="549">
        <f t="shared" ref="AX543:AY543" si="12785">SUM(AX544:AX547)</f>
        <v>0</v>
      </c>
      <c r="AY543" s="675">
        <f t="shared" si="12785"/>
        <v>0</v>
      </c>
      <c r="AZ543" s="549">
        <f t="shared" ref="AZ543:BQ543" si="12786">SUM(AZ544:AZ547)</f>
        <v>0</v>
      </c>
      <c r="BA543" s="675">
        <f t="shared" si="12786"/>
        <v>0</v>
      </c>
      <c r="BB543" s="549">
        <f t="shared" si="12786"/>
        <v>0</v>
      </c>
      <c r="BC543" s="675">
        <f t="shared" si="12786"/>
        <v>0</v>
      </c>
      <c r="BD543" s="549">
        <f t="shared" si="12786"/>
        <v>0</v>
      </c>
      <c r="BE543" s="675">
        <f t="shared" si="12786"/>
        <v>0</v>
      </c>
      <c r="BF543" s="549">
        <f t="shared" si="12786"/>
        <v>0</v>
      </c>
      <c r="BG543" s="675">
        <f t="shared" si="12786"/>
        <v>0</v>
      </c>
      <c r="BH543" s="549">
        <f t="shared" si="12786"/>
        <v>18000</v>
      </c>
      <c r="BI543" s="675">
        <f t="shared" si="12786"/>
        <v>0</v>
      </c>
      <c r="BJ543" s="549">
        <f t="shared" si="12786"/>
        <v>0</v>
      </c>
      <c r="BK543" s="675">
        <f t="shared" si="12786"/>
        <v>0</v>
      </c>
      <c r="BL543" s="549">
        <f t="shared" si="12786"/>
        <v>0</v>
      </c>
      <c r="BM543" s="675">
        <f t="shared" si="12786"/>
        <v>0</v>
      </c>
      <c r="BN543" s="549">
        <f t="shared" si="12786"/>
        <v>0</v>
      </c>
      <c r="BO543" s="675">
        <f t="shared" si="12786"/>
        <v>0</v>
      </c>
      <c r="BP543" s="549">
        <f t="shared" si="12786"/>
        <v>0</v>
      </c>
      <c r="BQ543" s="675">
        <f t="shared" si="12786"/>
        <v>0</v>
      </c>
      <c r="BR543" s="549">
        <f t="shared" ref="BR543:BS543" si="12787">SUM(BR544:BR547)</f>
        <v>0</v>
      </c>
      <c r="BS543" s="675">
        <f t="shared" si="12787"/>
        <v>0</v>
      </c>
      <c r="BT543" s="549">
        <f t="shared" ref="BT543:BU543" si="12788">SUM(BT544:BT547)</f>
        <v>0</v>
      </c>
      <c r="BU543" s="675">
        <f t="shared" si="12788"/>
        <v>0</v>
      </c>
      <c r="BV543" s="549">
        <f t="shared" ref="BV543:BW543" si="12789">SUM(BV544:BV547)</f>
        <v>0</v>
      </c>
      <c r="BW543" s="675">
        <f t="shared" si="12789"/>
        <v>0</v>
      </c>
      <c r="BX543" s="549">
        <f t="shared" ref="BX543:BY543" si="12790">SUM(BX544:BX547)</f>
        <v>0</v>
      </c>
      <c r="BY543" s="675">
        <f t="shared" si="12790"/>
        <v>0</v>
      </c>
      <c r="BZ543" s="549">
        <f t="shared" ref="BZ543:CA543" si="12791">SUM(BZ544:BZ547)</f>
        <v>0</v>
      </c>
      <c r="CA543" s="675">
        <f t="shared" si="12791"/>
        <v>0</v>
      </c>
      <c r="CB543" s="549">
        <f t="shared" ref="CB543:EE543" si="12792">SUM(CB544:CB547)</f>
        <v>0</v>
      </c>
      <c r="CC543" s="675">
        <f t="shared" si="12792"/>
        <v>0</v>
      </c>
      <c r="CD543" s="549">
        <f t="shared" si="12792"/>
        <v>0</v>
      </c>
      <c r="CE543" s="675">
        <f t="shared" si="12792"/>
        <v>0</v>
      </c>
      <c r="CF543" s="549">
        <f t="shared" si="12792"/>
        <v>0</v>
      </c>
      <c r="CG543" s="675">
        <f t="shared" si="12792"/>
        <v>0</v>
      </c>
      <c r="CH543" s="549">
        <f t="shared" si="12792"/>
        <v>0</v>
      </c>
      <c r="CI543" s="675">
        <f t="shared" si="12792"/>
        <v>0</v>
      </c>
      <c r="CJ543" s="549">
        <f t="shared" si="12792"/>
        <v>0</v>
      </c>
      <c r="CK543" s="675">
        <f t="shared" si="12792"/>
        <v>0</v>
      </c>
      <c r="CL543" s="549">
        <f t="shared" si="12792"/>
        <v>0</v>
      </c>
      <c r="CM543" s="675">
        <f t="shared" si="12792"/>
        <v>0</v>
      </c>
      <c r="CN543" s="549">
        <f t="shared" si="12792"/>
        <v>0</v>
      </c>
      <c r="CO543" s="675">
        <f t="shared" si="12792"/>
        <v>0</v>
      </c>
      <c r="CP543" s="549">
        <f t="shared" si="12792"/>
        <v>0</v>
      </c>
      <c r="CQ543" s="675">
        <f t="shared" si="12792"/>
        <v>0</v>
      </c>
      <c r="CR543" s="549">
        <f t="shared" si="12792"/>
        <v>0</v>
      </c>
      <c r="CS543" s="675">
        <f t="shared" si="12792"/>
        <v>0</v>
      </c>
      <c r="CT543" s="549">
        <f t="shared" si="12792"/>
        <v>0</v>
      </c>
      <c r="CU543" s="675">
        <f t="shared" si="12792"/>
        <v>0</v>
      </c>
      <c r="CV543" s="549">
        <f t="shared" si="12792"/>
        <v>0</v>
      </c>
      <c r="CW543" s="675">
        <f t="shared" si="12792"/>
        <v>0</v>
      </c>
      <c r="CX543" s="549">
        <f t="shared" si="12792"/>
        <v>0</v>
      </c>
      <c r="CY543" s="675">
        <f t="shared" si="12792"/>
        <v>0</v>
      </c>
      <c r="CZ543" s="549">
        <f t="shared" si="12792"/>
        <v>0</v>
      </c>
      <c r="DA543" s="675">
        <f t="shared" si="12792"/>
        <v>0</v>
      </c>
      <c r="DB543" s="549">
        <f t="shared" si="12792"/>
        <v>0</v>
      </c>
      <c r="DC543" s="675">
        <f t="shared" si="12792"/>
        <v>0</v>
      </c>
      <c r="DD543" s="549">
        <f t="shared" si="12792"/>
        <v>0</v>
      </c>
      <c r="DE543" s="675">
        <f t="shared" si="12792"/>
        <v>0</v>
      </c>
      <c r="DF543" s="549">
        <f t="shared" si="12792"/>
        <v>0</v>
      </c>
      <c r="DG543" s="675">
        <f t="shared" si="12792"/>
        <v>0</v>
      </c>
      <c r="DH543" s="549">
        <f t="shared" si="12792"/>
        <v>0</v>
      </c>
      <c r="DI543" s="675">
        <f t="shared" si="12792"/>
        <v>0</v>
      </c>
      <c r="DJ543" s="549">
        <f t="shared" si="12792"/>
        <v>0</v>
      </c>
      <c r="DK543" s="675">
        <f t="shared" si="12792"/>
        <v>0</v>
      </c>
      <c r="DL543" s="549">
        <f t="shared" si="12792"/>
        <v>0</v>
      </c>
      <c r="DM543" s="675">
        <f t="shared" si="12792"/>
        <v>0</v>
      </c>
      <c r="DN543" s="549">
        <f t="shared" si="12792"/>
        <v>0</v>
      </c>
      <c r="DO543" s="675">
        <f t="shared" si="12792"/>
        <v>0</v>
      </c>
      <c r="DP543" s="549">
        <f t="shared" si="12792"/>
        <v>0</v>
      </c>
      <c r="DQ543" s="675">
        <f t="shared" si="12792"/>
        <v>-3275</v>
      </c>
      <c r="DR543" s="549">
        <f t="shared" si="12792"/>
        <v>0</v>
      </c>
      <c r="DS543" s="675">
        <f t="shared" si="12792"/>
        <v>0</v>
      </c>
      <c r="DT543" s="549">
        <f t="shared" si="12792"/>
        <v>0</v>
      </c>
      <c r="DU543" s="675">
        <f t="shared" si="12792"/>
        <v>0</v>
      </c>
      <c r="DV543" s="549">
        <f t="shared" si="12792"/>
        <v>0</v>
      </c>
      <c r="DW543" s="675">
        <f t="shared" si="12792"/>
        <v>0</v>
      </c>
      <c r="DX543" s="549">
        <f t="shared" si="12792"/>
        <v>0</v>
      </c>
      <c r="DY543" s="675">
        <f t="shared" si="12792"/>
        <v>0</v>
      </c>
      <c r="DZ543" s="549">
        <f t="shared" si="12792"/>
        <v>0</v>
      </c>
      <c r="EA543" s="675">
        <f t="shared" si="12792"/>
        <v>0</v>
      </c>
      <c r="EB543" s="549">
        <f t="shared" si="12792"/>
        <v>0</v>
      </c>
      <c r="EC543" s="675">
        <f t="shared" si="12792"/>
        <v>0</v>
      </c>
      <c r="ED543" s="549">
        <f t="shared" si="12792"/>
        <v>0</v>
      </c>
      <c r="EE543" s="675">
        <f t="shared" si="12792"/>
        <v>0</v>
      </c>
      <c r="EF543" s="549">
        <f t="shared" ref="EF543:EG543" si="12793">SUM(EF544:EF547)</f>
        <v>0</v>
      </c>
      <c r="EG543" s="675">
        <f t="shared" si="12793"/>
        <v>0</v>
      </c>
      <c r="EH543" s="549">
        <f t="shared" ref="EH543:HW543" si="12794">SUM(EH544:EH547)</f>
        <v>0</v>
      </c>
      <c r="EI543" s="675">
        <f t="shared" si="12794"/>
        <v>0</v>
      </c>
      <c r="EJ543" s="549">
        <f t="shared" si="12794"/>
        <v>47500</v>
      </c>
      <c r="EK543" s="675">
        <f t="shared" si="12794"/>
        <v>0</v>
      </c>
      <c r="EL543" s="549">
        <f t="shared" si="12794"/>
        <v>9500</v>
      </c>
      <c r="EM543" s="675">
        <f t="shared" si="12794"/>
        <v>0</v>
      </c>
      <c r="EN543" s="549">
        <f t="shared" si="12794"/>
        <v>0</v>
      </c>
      <c r="EO543" s="675">
        <f t="shared" si="12794"/>
        <v>0</v>
      </c>
      <c r="EP543" s="549">
        <f t="shared" si="12794"/>
        <v>0</v>
      </c>
      <c r="EQ543" s="675">
        <f t="shared" si="12794"/>
        <v>0</v>
      </c>
      <c r="ER543" s="549">
        <f t="shared" si="12794"/>
        <v>0</v>
      </c>
      <c r="ES543" s="675">
        <f t="shared" si="12794"/>
        <v>0</v>
      </c>
      <c r="ET543" s="549">
        <f t="shared" si="12794"/>
        <v>0</v>
      </c>
      <c r="EU543" s="675">
        <f t="shared" si="12794"/>
        <v>0</v>
      </c>
      <c r="EV543" s="549">
        <f t="shared" si="12794"/>
        <v>0</v>
      </c>
      <c r="EW543" s="675">
        <f t="shared" si="12794"/>
        <v>0</v>
      </c>
      <c r="EX543" s="549">
        <f t="shared" si="12794"/>
        <v>0</v>
      </c>
      <c r="EY543" s="675">
        <f t="shared" si="12794"/>
        <v>0</v>
      </c>
      <c r="EZ543" s="549">
        <f t="shared" si="12794"/>
        <v>15400</v>
      </c>
      <c r="FA543" s="675">
        <f t="shared" si="12794"/>
        <v>0</v>
      </c>
      <c r="FB543" s="549">
        <f t="shared" si="12794"/>
        <v>0</v>
      </c>
      <c r="FC543" s="675">
        <f t="shared" si="12794"/>
        <v>0</v>
      </c>
      <c r="FD543" s="549">
        <f t="shared" si="12794"/>
        <v>2600</v>
      </c>
      <c r="FE543" s="675">
        <f t="shared" si="12794"/>
        <v>0</v>
      </c>
      <c r="FF543" s="549">
        <f t="shared" si="12794"/>
        <v>0</v>
      </c>
      <c r="FG543" s="675">
        <f t="shared" si="12794"/>
        <v>0</v>
      </c>
      <c r="FH543" s="549">
        <f t="shared" si="12794"/>
        <v>0</v>
      </c>
      <c r="FI543" s="675">
        <f t="shared" si="12794"/>
        <v>0</v>
      </c>
      <c r="FJ543" s="549">
        <f t="shared" si="12794"/>
        <v>0</v>
      </c>
      <c r="FK543" s="675">
        <f t="shared" si="12794"/>
        <v>0</v>
      </c>
      <c r="FL543" s="549">
        <f t="shared" ref="FL543:FQ543" si="12795">SUM(FL544:FL547)</f>
        <v>0</v>
      </c>
      <c r="FM543" s="675">
        <f t="shared" si="12795"/>
        <v>0</v>
      </c>
      <c r="FN543" s="549">
        <f t="shared" si="12795"/>
        <v>0</v>
      </c>
      <c r="FO543" s="675">
        <f t="shared" si="12795"/>
        <v>0</v>
      </c>
      <c r="FP543" s="549">
        <f t="shared" si="12795"/>
        <v>0</v>
      </c>
      <c r="FQ543" s="675">
        <f t="shared" si="12795"/>
        <v>0</v>
      </c>
      <c r="FR543" s="549">
        <f t="shared" ref="FR543:FS543" si="12796">SUM(FR544:FR547)</f>
        <v>0</v>
      </c>
      <c r="FS543" s="675">
        <f t="shared" si="12796"/>
        <v>0</v>
      </c>
      <c r="FT543" s="549">
        <f t="shared" ref="FT543:FW543" si="12797">SUM(FT544:FT547)</f>
        <v>10857</v>
      </c>
      <c r="FU543" s="675">
        <f t="shared" si="12797"/>
        <v>0</v>
      </c>
      <c r="FV543" s="549">
        <f t="shared" si="12797"/>
        <v>0</v>
      </c>
      <c r="FW543" s="675">
        <f t="shared" si="12797"/>
        <v>0</v>
      </c>
      <c r="FX543" s="549">
        <f t="shared" ref="FX543:GM543" si="12798">SUM(FX544:FX547)</f>
        <v>2000</v>
      </c>
      <c r="FY543" s="675">
        <f t="shared" si="12798"/>
        <v>0</v>
      </c>
      <c r="FZ543" s="549">
        <f t="shared" ref="FZ543:GK543" si="12799">SUM(FZ544:FZ547)</f>
        <v>0</v>
      </c>
      <c r="GA543" s="675">
        <f t="shared" si="12799"/>
        <v>0</v>
      </c>
      <c r="GB543" s="549">
        <f t="shared" ref="GB543:GI543" si="12800">SUM(GB544:GB547)</f>
        <v>0</v>
      </c>
      <c r="GC543" s="675">
        <f t="shared" si="12800"/>
        <v>0</v>
      </c>
      <c r="GD543" s="549">
        <f t="shared" si="12800"/>
        <v>0</v>
      </c>
      <c r="GE543" s="675">
        <f t="shared" si="12800"/>
        <v>0</v>
      </c>
      <c r="GF543" s="549">
        <f t="shared" si="12800"/>
        <v>0</v>
      </c>
      <c r="GG543" s="675">
        <f t="shared" si="12800"/>
        <v>0</v>
      </c>
      <c r="GH543" s="549">
        <f t="shared" si="12800"/>
        <v>0</v>
      </c>
      <c r="GI543" s="675">
        <f t="shared" si="12800"/>
        <v>0</v>
      </c>
      <c r="GJ543" s="549">
        <f t="shared" si="12799"/>
        <v>0</v>
      </c>
      <c r="GK543" s="675">
        <f t="shared" si="12799"/>
        <v>0</v>
      </c>
      <c r="GL543" s="549">
        <f t="shared" si="12798"/>
        <v>0</v>
      </c>
      <c r="GM543" s="675">
        <f t="shared" si="12798"/>
        <v>0</v>
      </c>
      <c r="GN543" s="549">
        <f t="shared" ref="GN543:GO543" si="12801">SUM(GN544:GN547)</f>
        <v>0</v>
      </c>
      <c r="GO543" s="675">
        <f t="shared" si="12801"/>
        <v>0</v>
      </c>
      <c r="GP543" s="549">
        <f t="shared" si="12794"/>
        <v>105857</v>
      </c>
      <c r="GQ543" s="675">
        <f t="shared" si="12794"/>
        <v>-3275</v>
      </c>
      <c r="GR543" s="74">
        <f t="shared" si="12794"/>
        <v>202582</v>
      </c>
      <c r="GS543" s="74">
        <f t="shared" si="12794"/>
        <v>202582</v>
      </c>
      <c r="GT543" s="549">
        <f t="shared" si="12794"/>
        <v>202582</v>
      </c>
      <c r="GU543" s="74">
        <f t="shared" si="12794"/>
        <v>30000</v>
      </c>
      <c r="GV543" s="74">
        <f t="shared" si="12794"/>
        <v>0</v>
      </c>
      <c r="GW543" s="549">
        <f t="shared" si="12794"/>
        <v>30000</v>
      </c>
      <c r="GX543" s="549">
        <f t="shared" si="12794"/>
        <v>0</v>
      </c>
      <c r="GY543" s="74">
        <f t="shared" si="12794"/>
        <v>20000</v>
      </c>
      <c r="GZ543" s="74">
        <f t="shared" si="12794"/>
        <v>0</v>
      </c>
      <c r="HA543" s="74">
        <f t="shared" si="12794"/>
        <v>0</v>
      </c>
      <c r="HB543" s="74">
        <f t="shared" si="12794"/>
        <v>20000</v>
      </c>
      <c r="HC543" s="74">
        <f t="shared" si="12794"/>
        <v>0</v>
      </c>
      <c r="HD543" s="74">
        <f t="shared" si="12794"/>
        <v>0</v>
      </c>
      <c r="HE543" s="74">
        <f t="shared" si="12794"/>
        <v>0</v>
      </c>
      <c r="HF543" s="74">
        <f t="shared" si="12794"/>
        <v>0</v>
      </c>
      <c r="HG543" s="74">
        <f t="shared" si="12794"/>
        <v>202582</v>
      </c>
      <c r="HH543" s="74">
        <f t="shared" si="12794"/>
        <v>30000</v>
      </c>
      <c r="HI543" s="792">
        <f t="shared" si="12794"/>
        <v>0</v>
      </c>
      <c r="HJ543" s="74">
        <f t="shared" si="12794"/>
        <v>0</v>
      </c>
      <c r="HK543" s="792">
        <f t="shared" si="12794"/>
        <v>0</v>
      </c>
      <c r="HL543" s="74">
        <f t="shared" si="12794"/>
        <v>25000</v>
      </c>
      <c r="HM543" s="792">
        <f t="shared" si="12794"/>
        <v>0</v>
      </c>
      <c r="HN543" s="74">
        <f t="shared" si="12794"/>
        <v>0</v>
      </c>
      <c r="HO543" s="792">
        <f t="shared" si="12794"/>
        <v>0</v>
      </c>
      <c r="HP543" s="74">
        <f t="shared" si="12794"/>
        <v>20000</v>
      </c>
      <c r="HQ543" s="792">
        <f t="shared" si="12794"/>
        <v>0</v>
      </c>
      <c r="HR543" s="74">
        <f t="shared" si="12794"/>
        <v>14000</v>
      </c>
      <c r="HS543" s="792">
        <f t="shared" si="12794"/>
        <v>0</v>
      </c>
      <c r="HT543" s="74">
        <f t="shared" si="12794"/>
        <v>5000</v>
      </c>
      <c r="HU543" s="792">
        <f t="shared" si="12794"/>
        <v>0</v>
      </c>
      <c r="HV543" s="74">
        <f t="shared" si="12794"/>
        <v>16725</v>
      </c>
      <c r="HW543" s="792">
        <f t="shared" si="12794"/>
        <v>0</v>
      </c>
      <c r="HX543" s="74">
        <f t="shared" ref="HX543:HY543" si="12802">SUM(HX544:HX547)</f>
        <v>76400</v>
      </c>
      <c r="HY543" s="792">
        <f t="shared" si="12802"/>
        <v>0</v>
      </c>
      <c r="HZ543" s="74">
        <f t="shared" ref="HZ543:IA543" si="12803">SUM(HZ544:HZ547)</f>
        <v>15457</v>
      </c>
      <c r="IA543" s="792">
        <f t="shared" si="12803"/>
        <v>0</v>
      </c>
      <c r="IB543" s="74">
        <f t="shared" ref="IB543:IC543" si="12804">SUM(IB544:IB547)</f>
        <v>0</v>
      </c>
      <c r="IC543" s="792">
        <f t="shared" si="12804"/>
        <v>0</v>
      </c>
      <c r="ID543" s="74">
        <f t="shared" ref="ID543:JT543" si="12805">SUM(ID544:ID547)</f>
        <v>0</v>
      </c>
      <c r="IE543" s="792">
        <f t="shared" si="12805"/>
        <v>0</v>
      </c>
      <c r="IF543" s="841">
        <f t="shared" si="12805"/>
        <v>200615.16</v>
      </c>
      <c r="IG543" s="263">
        <f t="shared" si="12805"/>
        <v>200615.16</v>
      </c>
      <c r="IH543" s="842">
        <f t="shared" si="12805"/>
        <v>200615.16</v>
      </c>
      <c r="II543" s="74">
        <f t="shared" ref="II543:IK543" si="12806">SUM(II544:II547)</f>
        <v>234.8</v>
      </c>
      <c r="IJ543" s="74">
        <f t="shared" si="12806"/>
        <v>234.8</v>
      </c>
      <c r="IK543" s="74">
        <f t="shared" si="12806"/>
        <v>234.8</v>
      </c>
      <c r="IL543" s="74">
        <f t="shared" ref="IL543:IN543" si="12807">SUM(IL544:IL547)</f>
        <v>24249.4</v>
      </c>
      <c r="IM543" s="74">
        <f t="shared" si="12807"/>
        <v>24249.4</v>
      </c>
      <c r="IN543" s="74">
        <f t="shared" si="12807"/>
        <v>24249.4</v>
      </c>
      <c r="IO543" s="74">
        <f t="shared" ref="IO543:IQ543" si="12808">SUM(IO544:IO547)</f>
        <v>2643.9300000000003</v>
      </c>
      <c r="IP543" s="74">
        <f t="shared" si="12808"/>
        <v>2643.9300000000003</v>
      </c>
      <c r="IQ543" s="74">
        <f t="shared" si="12808"/>
        <v>2643.9300000000003</v>
      </c>
      <c r="IR543" s="74">
        <f t="shared" ref="IR543:IT543" si="12809">SUM(IR544:IR547)</f>
        <v>2985</v>
      </c>
      <c r="IS543" s="74">
        <f t="shared" si="12809"/>
        <v>2985</v>
      </c>
      <c r="IT543" s="74">
        <f t="shared" si="12809"/>
        <v>2985</v>
      </c>
      <c r="IU543" s="74">
        <f t="shared" ref="IU543:IW543" si="12810">SUM(IU544:IU547)</f>
        <v>14923.7</v>
      </c>
      <c r="IV543" s="74">
        <f t="shared" si="12810"/>
        <v>14923.7</v>
      </c>
      <c r="IW543" s="74">
        <f t="shared" si="12810"/>
        <v>14923.7</v>
      </c>
      <c r="IX543" s="74">
        <f t="shared" ref="IX543:IZ543" si="12811">SUM(IX544:IX547)</f>
        <v>24928.519999999997</v>
      </c>
      <c r="IY543" s="74">
        <f t="shared" si="12811"/>
        <v>24928.519999999997</v>
      </c>
      <c r="IZ543" s="74">
        <f t="shared" si="12811"/>
        <v>24928.519999999997</v>
      </c>
      <c r="JA543" s="74">
        <f t="shared" ref="JA543:JC543" si="12812">SUM(JA544:JA547)</f>
        <v>9842.989999999998</v>
      </c>
      <c r="JB543" s="74">
        <f t="shared" si="12812"/>
        <v>9842.989999999998</v>
      </c>
      <c r="JC543" s="74">
        <f t="shared" si="12812"/>
        <v>9842.989999999998</v>
      </c>
      <c r="JD543" s="74">
        <f t="shared" ref="JD543:JF543" si="12813">SUM(JD544:JD547)</f>
        <v>16884.080000000002</v>
      </c>
      <c r="JE543" s="74">
        <f t="shared" si="12813"/>
        <v>16884.080000000002</v>
      </c>
      <c r="JF543" s="74">
        <f t="shared" si="12813"/>
        <v>16884.080000000002</v>
      </c>
      <c r="JG543" s="74">
        <f t="shared" ref="JG543:JI543" si="12814">SUM(JG544:JG547)</f>
        <v>61835</v>
      </c>
      <c r="JH543" s="74">
        <f t="shared" si="12814"/>
        <v>61835</v>
      </c>
      <c r="JI543" s="74">
        <f t="shared" si="12814"/>
        <v>61835</v>
      </c>
      <c r="JJ543" s="74">
        <f t="shared" ref="JJ543:JL543" si="12815">SUM(JJ544:JJ547)</f>
        <v>42087.740000000005</v>
      </c>
      <c r="JK543" s="74">
        <f t="shared" si="12815"/>
        <v>42087.740000000005</v>
      </c>
      <c r="JL543" s="74">
        <f t="shared" si="12815"/>
        <v>42087.740000000005</v>
      </c>
      <c r="JM543" s="74">
        <f t="shared" ref="JM543:JO543" si="12816">SUM(JM544:JM547)</f>
        <v>0</v>
      </c>
      <c r="JN543" s="74">
        <f t="shared" si="12816"/>
        <v>0</v>
      </c>
      <c r="JO543" s="74">
        <f t="shared" si="12816"/>
        <v>0</v>
      </c>
      <c r="JP543" s="74">
        <f t="shared" si="12805"/>
        <v>0</v>
      </c>
      <c r="JQ543" s="74">
        <f t="shared" si="12805"/>
        <v>0</v>
      </c>
      <c r="JR543" s="74">
        <f t="shared" si="12805"/>
        <v>0</v>
      </c>
      <c r="JS543" s="74">
        <f t="shared" si="12805"/>
        <v>1966.8399999999965</v>
      </c>
      <c r="JT543" s="382">
        <f t="shared" si="12805"/>
        <v>1966.8399999999965</v>
      </c>
      <c r="JU543" s="665"/>
      <c r="JV543" s="524"/>
      <c r="JW543" s="525"/>
      <c r="JX543" s="549">
        <f>SUM(JX544:JX547)</f>
        <v>202582</v>
      </c>
      <c r="JY543" s="549">
        <f t="shared" ref="JY543:KB543" si="12817">SUM(JY544:JY547)</f>
        <v>0</v>
      </c>
      <c r="JZ543" s="798">
        <f t="shared" si="12817"/>
        <v>105857</v>
      </c>
      <c r="KA543" s="798">
        <f t="shared" si="12817"/>
        <v>-3275</v>
      </c>
      <c r="KB543" s="549">
        <f t="shared" si="12817"/>
        <v>202582</v>
      </c>
      <c r="KC543" s="709">
        <f t="shared" si="12200"/>
        <v>0</v>
      </c>
      <c r="KD543" s="270"/>
      <c r="KE543" s="270"/>
      <c r="KF543" s="270"/>
      <c r="KG543" s="270"/>
      <c r="KH543" s="270"/>
      <c r="KI543" s="270"/>
      <c r="KJ543" s="270"/>
      <c r="KK543" s="270"/>
    </row>
    <row r="544" spans="1:297" s="10" customFormat="1">
      <c r="A544" s="86" t="s">
        <v>304</v>
      </c>
      <c r="B544" s="77" t="s">
        <v>206</v>
      </c>
      <c r="C544" s="74">
        <v>90000</v>
      </c>
      <c r="D544" s="549">
        <v>0</v>
      </c>
      <c r="E544" s="675">
        <v>0</v>
      </c>
      <c r="F544" s="549">
        <v>0</v>
      </c>
      <c r="G544" s="675">
        <v>0</v>
      </c>
      <c r="H544" s="549">
        <v>0</v>
      </c>
      <c r="I544" s="675">
        <v>0</v>
      </c>
      <c r="J544" s="549">
        <v>0</v>
      </c>
      <c r="K544" s="675">
        <v>0</v>
      </c>
      <c r="L544" s="549">
        <v>0</v>
      </c>
      <c r="M544" s="675">
        <v>0</v>
      </c>
      <c r="N544" s="549">
        <v>0</v>
      </c>
      <c r="O544" s="675">
        <v>0</v>
      </c>
      <c r="P544" s="549">
        <v>0</v>
      </c>
      <c r="Q544" s="675">
        <v>0</v>
      </c>
      <c r="R544" s="549">
        <v>0</v>
      </c>
      <c r="S544" s="675">
        <v>0</v>
      </c>
      <c r="T544" s="549">
        <v>0</v>
      </c>
      <c r="U544" s="675">
        <v>0</v>
      </c>
      <c r="V544" s="549">
        <v>0</v>
      </c>
      <c r="W544" s="675">
        <v>0</v>
      </c>
      <c r="X544" s="549">
        <v>0</v>
      </c>
      <c r="Y544" s="675">
        <v>0</v>
      </c>
      <c r="Z544" s="549">
        <v>0</v>
      </c>
      <c r="AA544" s="675">
        <v>0</v>
      </c>
      <c r="AB544" s="549">
        <v>0</v>
      </c>
      <c r="AC544" s="675">
        <v>0</v>
      </c>
      <c r="AD544" s="549">
        <v>0</v>
      </c>
      <c r="AE544" s="675">
        <v>0</v>
      </c>
      <c r="AF544" s="549">
        <v>0</v>
      </c>
      <c r="AG544" s="675">
        <v>0</v>
      </c>
      <c r="AH544" s="549">
        <v>0</v>
      </c>
      <c r="AI544" s="675">
        <v>0</v>
      </c>
      <c r="AJ544" s="549">
        <v>0</v>
      </c>
      <c r="AK544" s="675">
        <v>0</v>
      </c>
      <c r="AL544" s="549">
        <v>0</v>
      </c>
      <c r="AM544" s="675">
        <v>0</v>
      </c>
      <c r="AN544" s="549">
        <v>0</v>
      </c>
      <c r="AO544" s="675">
        <v>0</v>
      </c>
      <c r="AP544" s="549">
        <v>0</v>
      </c>
      <c r="AQ544" s="675">
        <v>0</v>
      </c>
      <c r="AR544" s="549">
        <v>0</v>
      </c>
      <c r="AS544" s="675">
        <v>0</v>
      </c>
      <c r="AT544" s="549">
        <v>0</v>
      </c>
      <c r="AU544" s="675">
        <v>0</v>
      </c>
      <c r="AV544" s="549">
        <v>0</v>
      </c>
      <c r="AW544" s="675">
        <v>0</v>
      </c>
      <c r="AX544" s="549">
        <v>0</v>
      </c>
      <c r="AY544" s="675">
        <v>0</v>
      </c>
      <c r="AZ544" s="549">
        <v>0</v>
      </c>
      <c r="BA544" s="675">
        <v>0</v>
      </c>
      <c r="BB544" s="549">
        <v>0</v>
      </c>
      <c r="BC544" s="675">
        <v>0</v>
      </c>
      <c r="BD544" s="549">
        <v>0</v>
      </c>
      <c r="BE544" s="675">
        <v>0</v>
      </c>
      <c r="BF544" s="549">
        <v>0</v>
      </c>
      <c r="BG544" s="675">
        <v>0</v>
      </c>
      <c r="BH544" s="549">
        <v>0</v>
      </c>
      <c r="BI544" s="675">
        <v>0</v>
      </c>
      <c r="BJ544" s="549">
        <v>0</v>
      </c>
      <c r="BK544" s="675">
        <v>0</v>
      </c>
      <c r="BL544" s="549">
        <v>0</v>
      </c>
      <c r="BM544" s="675">
        <v>0</v>
      </c>
      <c r="BN544" s="549">
        <v>0</v>
      </c>
      <c r="BO544" s="675">
        <v>0</v>
      </c>
      <c r="BP544" s="549">
        <v>0</v>
      </c>
      <c r="BQ544" s="675">
        <v>0</v>
      </c>
      <c r="BR544" s="549">
        <v>0</v>
      </c>
      <c r="BS544" s="675">
        <v>0</v>
      </c>
      <c r="BT544" s="549">
        <v>0</v>
      </c>
      <c r="BU544" s="675">
        <v>0</v>
      </c>
      <c r="BV544" s="549">
        <v>0</v>
      </c>
      <c r="BW544" s="675">
        <v>0</v>
      </c>
      <c r="BX544" s="549">
        <v>0</v>
      </c>
      <c r="BY544" s="675">
        <v>0</v>
      </c>
      <c r="BZ544" s="549">
        <v>0</v>
      </c>
      <c r="CA544" s="675">
        <v>0</v>
      </c>
      <c r="CB544" s="549">
        <v>0</v>
      </c>
      <c r="CC544" s="675">
        <v>0</v>
      </c>
      <c r="CD544" s="549">
        <v>0</v>
      </c>
      <c r="CE544" s="675">
        <v>0</v>
      </c>
      <c r="CF544" s="549">
        <v>0</v>
      </c>
      <c r="CG544" s="675">
        <v>0</v>
      </c>
      <c r="CH544" s="549">
        <v>0</v>
      </c>
      <c r="CI544" s="675">
        <v>0</v>
      </c>
      <c r="CJ544" s="549">
        <v>0</v>
      </c>
      <c r="CK544" s="675">
        <v>0</v>
      </c>
      <c r="CL544" s="549">
        <v>0</v>
      </c>
      <c r="CM544" s="675">
        <v>0</v>
      </c>
      <c r="CN544" s="549">
        <v>0</v>
      </c>
      <c r="CO544" s="675">
        <v>0</v>
      </c>
      <c r="CP544" s="549">
        <v>0</v>
      </c>
      <c r="CQ544" s="675">
        <v>0</v>
      </c>
      <c r="CR544" s="549">
        <v>0</v>
      </c>
      <c r="CS544" s="675">
        <v>0</v>
      </c>
      <c r="CT544" s="549">
        <v>0</v>
      </c>
      <c r="CU544" s="675">
        <v>0</v>
      </c>
      <c r="CV544" s="549">
        <v>0</v>
      </c>
      <c r="CW544" s="675">
        <v>0</v>
      </c>
      <c r="CX544" s="549">
        <v>0</v>
      </c>
      <c r="CY544" s="675">
        <v>0</v>
      </c>
      <c r="CZ544" s="549">
        <v>0</v>
      </c>
      <c r="DA544" s="675">
        <v>0</v>
      </c>
      <c r="DB544" s="549">
        <v>0</v>
      </c>
      <c r="DC544" s="675">
        <v>0</v>
      </c>
      <c r="DD544" s="549">
        <v>0</v>
      </c>
      <c r="DE544" s="675">
        <v>0</v>
      </c>
      <c r="DF544" s="549">
        <v>0</v>
      </c>
      <c r="DG544" s="675">
        <v>0</v>
      </c>
      <c r="DH544" s="549">
        <v>0</v>
      </c>
      <c r="DI544" s="675">
        <v>0</v>
      </c>
      <c r="DJ544" s="549">
        <v>0</v>
      </c>
      <c r="DK544" s="675">
        <v>0</v>
      </c>
      <c r="DL544" s="549">
        <v>0</v>
      </c>
      <c r="DM544" s="675">
        <v>0</v>
      </c>
      <c r="DN544" s="549">
        <v>0</v>
      </c>
      <c r="DO544" s="675">
        <v>0</v>
      </c>
      <c r="DP544" s="549">
        <v>0</v>
      </c>
      <c r="DQ544" s="675">
        <v>0</v>
      </c>
      <c r="DR544" s="549">
        <v>0</v>
      </c>
      <c r="DS544" s="675">
        <v>0</v>
      </c>
      <c r="DT544" s="549">
        <v>0</v>
      </c>
      <c r="DU544" s="675">
        <v>0</v>
      </c>
      <c r="DV544" s="549">
        <v>0</v>
      </c>
      <c r="DW544" s="675">
        <v>0</v>
      </c>
      <c r="DX544" s="549">
        <v>0</v>
      </c>
      <c r="DY544" s="675">
        <v>0</v>
      </c>
      <c r="DZ544" s="549">
        <v>0</v>
      </c>
      <c r="EA544" s="675">
        <v>0</v>
      </c>
      <c r="EB544" s="549">
        <v>0</v>
      </c>
      <c r="EC544" s="675">
        <v>0</v>
      </c>
      <c r="ED544" s="549">
        <v>0</v>
      </c>
      <c r="EE544" s="675">
        <v>0</v>
      </c>
      <c r="EF544" s="549">
        <v>0</v>
      </c>
      <c r="EG544" s="675">
        <v>0</v>
      </c>
      <c r="EH544" s="549">
        <v>0</v>
      </c>
      <c r="EI544" s="675">
        <v>0</v>
      </c>
      <c r="EJ544" s="549">
        <v>0</v>
      </c>
      <c r="EK544" s="675">
        <v>0</v>
      </c>
      <c r="EL544" s="549">
        <v>9500</v>
      </c>
      <c r="EM544" s="675">
        <v>0</v>
      </c>
      <c r="EN544" s="549">
        <v>0</v>
      </c>
      <c r="EO544" s="675">
        <v>0</v>
      </c>
      <c r="EP544" s="549">
        <v>0</v>
      </c>
      <c r="EQ544" s="675">
        <v>0</v>
      </c>
      <c r="ER544" s="549">
        <v>0</v>
      </c>
      <c r="ES544" s="675">
        <v>0</v>
      </c>
      <c r="ET544" s="549">
        <v>0</v>
      </c>
      <c r="EU544" s="675">
        <v>0</v>
      </c>
      <c r="EV544" s="549">
        <v>0</v>
      </c>
      <c r="EW544" s="675">
        <v>0</v>
      </c>
      <c r="EX544" s="549">
        <v>0</v>
      </c>
      <c r="EY544" s="675">
        <v>0</v>
      </c>
      <c r="EZ544" s="549">
        <v>0</v>
      </c>
      <c r="FA544" s="675">
        <v>0</v>
      </c>
      <c r="FB544" s="549">
        <v>0</v>
      </c>
      <c r="FC544" s="675">
        <v>0</v>
      </c>
      <c r="FD544" s="549">
        <v>0</v>
      </c>
      <c r="FE544" s="675">
        <v>0</v>
      </c>
      <c r="FF544" s="549">
        <v>0</v>
      </c>
      <c r="FG544" s="675">
        <v>0</v>
      </c>
      <c r="FH544" s="549">
        <v>0</v>
      </c>
      <c r="FI544" s="675">
        <v>0</v>
      </c>
      <c r="FJ544" s="549">
        <v>0</v>
      </c>
      <c r="FK544" s="675">
        <v>0</v>
      </c>
      <c r="FL544" s="549">
        <v>0</v>
      </c>
      <c r="FM544" s="675">
        <v>0</v>
      </c>
      <c r="FN544" s="549">
        <v>0</v>
      </c>
      <c r="FO544" s="675">
        <v>0</v>
      </c>
      <c r="FP544" s="549">
        <v>0</v>
      </c>
      <c r="FQ544" s="675">
        <v>0</v>
      </c>
      <c r="FR544" s="549">
        <v>0</v>
      </c>
      <c r="FS544" s="675">
        <v>0</v>
      </c>
      <c r="FT544" s="549">
        <v>10557</v>
      </c>
      <c r="FU544" s="675">
        <v>0</v>
      </c>
      <c r="FV544" s="549">
        <v>0</v>
      </c>
      <c r="FW544" s="675">
        <v>0</v>
      </c>
      <c r="FX544" s="549">
        <v>2000</v>
      </c>
      <c r="FY544" s="675">
        <v>0</v>
      </c>
      <c r="FZ544" s="549">
        <v>0</v>
      </c>
      <c r="GA544" s="675">
        <v>0</v>
      </c>
      <c r="GB544" s="549">
        <v>0</v>
      </c>
      <c r="GC544" s="675">
        <v>0</v>
      </c>
      <c r="GD544" s="549">
        <v>0</v>
      </c>
      <c r="GE544" s="675">
        <v>0</v>
      </c>
      <c r="GF544" s="549">
        <v>0</v>
      </c>
      <c r="GG544" s="675">
        <v>0</v>
      </c>
      <c r="GH544" s="549">
        <v>0</v>
      </c>
      <c r="GI544" s="675">
        <v>0</v>
      </c>
      <c r="GJ544" s="549">
        <v>0</v>
      </c>
      <c r="GK544" s="675">
        <v>0</v>
      </c>
      <c r="GL544" s="549">
        <v>0</v>
      </c>
      <c r="GM544" s="675">
        <v>0</v>
      </c>
      <c r="GN544" s="549">
        <v>0</v>
      </c>
      <c r="GO544" s="675">
        <v>0</v>
      </c>
      <c r="GP544" s="549">
        <f t="shared" ref="GP544:GP547" si="12818">+D544+F544+H544+J544+L544+N544+P544+R544+T544+V544+X544+Z544+AB544+AF544+AD544+AH544+AJ544+AL544+AN544+AP544+AR544+AT544+AV544+AX544+AZ544+BB544+BD544+BF544+BH544+BJ544+BL544+BN544+BP544+BR544+BT544+BV544+BX544+BZ544+CB544+CD544+CF544+CH544+CJ544+CL544+CN544+CP544+CR544+CT544+CV544+CX544+CZ544+DB544+DD544+DF544+DH544+DT544+EX544+DJ544+DL544+DN544+DP544+DR544+EJ544+EB544+DZ544+DX544+DV544+ED544+EF544+EH544+EL544+EN544+EP544+EV544+ET544+ER544+EZ544+FB544+FD544+GL544+FF544+FJ544+FL544+GJ544+FT544+FR544+FP544+FN544+FH544+GH544+GF544+GD544+GB544+FZ544+FX544+FV544+GN544</f>
        <v>22057</v>
      </c>
      <c r="GQ544" s="675">
        <f t="shared" ref="GQ544:GQ547" si="12819">+E544+G544+I544+K544+M544+O544+Q544+S544+U544+W544+Y544+AA544+AC544+AE544+AG544+AI544+AK544+AM544+AO544+AQ544+AS544+AU544+AW544+AY544+BA544+BC544+BE544+BG544+BI544+BK544+BM544+BO544+BQ544+BS544+BU544+BW544+BY544+CA544+CC544+CE544+CG544+CI544+CK544+CM544+CO544+CQ544+CS544+CU544+CW544+CY544+DA544+DC544+DE544+DG544+DI544+DU544+EY544+DK544+DM544+DO544+DQ544+DS544+EK544+EC544+EA544+DY544+DW544+EI544+EG544+EE544+EM544+EO544+EQ544+EW544+EU544+ES544+FA544+FC544+FE544+GM544+FG544+FK544+FM544+FO544+FQ544+FS544+FU544+GK544+FI544+GI544+GG544+GE544+GC544+GA544+FY544+FW544+GO544</f>
        <v>0</v>
      </c>
      <c r="GR544" s="74">
        <f>C544+GP544+GQ544</f>
        <v>112057</v>
      </c>
      <c r="GS544" s="74">
        <f t="shared" ref="GS544:GS547" si="12820">SUM(GU544:HD544)+GP544+GQ544</f>
        <v>112057</v>
      </c>
      <c r="GT544" s="568">
        <f t="shared" ref="GT544:GT547" si="12821">SUM(GU544:HF544)+GQ544+GP544</f>
        <v>112057</v>
      </c>
      <c r="GU544" s="275">
        <v>25000</v>
      </c>
      <c r="GV544" s="275"/>
      <c r="GW544" s="588">
        <v>25000</v>
      </c>
      <c r="GX544" s="588"/>
      <c r="GY544" s="275">
        <v>20000</v>
      </c>
      <c r="GZ544" s="275"/>
      <c r="HA544" s="275"/>
      <c r="HB544" s="275">
        <v>20000</v>
      </c>
      <c r="HC544" s="275"/>
      <c r="HD544" s="275"/>
      <c r="HE544" s="275">
        <v>0</v>
      </c>
      <c r="HF544" s="275">
        <v>0</v>
      </c>
      <c r="HG544" s="74">
        <f>SUM(HH544:IE544)</f>
        <v>112057</v>
      </c>
      <c r="HH544" s="89">
        <v>25000</v>
      </c>
      <c r="HI544" s="817">
        <v>0</v>
      </c>
      <c r="HJ544" s="89">
        <v>0</v>
      </c>
      <c r="HK544" s="817">
        <v>0</v>
      </c>
      <c r="HL544" s="89">
        <v>25000</v>
      </c>
      <c r="HM544" s="817">
        <v>0</v>
      </c>
      <c r="HN544" s="89">
        <v>0</v>
      </c>
      <c r="HO544" s="817">
        <v>0</v>
      </c>
      <c r="HP544" s="89">
        <v>20000</v>
      </c>
      <c r="HQ544" s="817">
        <v>0</v>
      </c>
      <c r="HR544" s="89">
        <v>0</v>
      </c>
      <c r="HS544" s="817">
        <v>0</v>
      </c>
      <c r="HT544" s="89">
        <v>0</v>
      </c>
      <c r="HU544" s="817">
        <v>0</v>
      </c>
      <c r="HV544" s="89">
        <v>16000</v>
      </c>
      <c r="HW544" s="817">
        <v>0</v>
      </c>
      <c r="HX544" s="89">
        <v>13500</v>
      </c>
      <c r="HY544" s="817">
        <v>0</v>
      </c>
      <c r="HZ544" s="89">
        <v>12557</v>
      </c>
      <c r="IA544" s="817">
        <v>0</v>
      </c>
      <c r="IB544" s="89">
        <v>0</v>
      </c>
      <c r="IC544" s="817">
        <v>0</v>
      </c>
      <c r="ID544" s="89">
        <v>0</v>
      </c>
      <c r="IE544" s="817">
        <v>0</v>
      </c>
      <c r="IF544" s="841">
        <f t="shared" ref="IF544:IF547" si="12822">SUM(II544,IL544,IO544,IR544,IU544,IX544,JA544,JD544,JG544,JJ544,JM544,JP544)</f>
        <v>110390.16</v>
      </c>
      <c r="IG544" s="263">
        <f t="shared" ref="IG544:IG547" si="12823">SUM(IJ544,IM544,IP544,IS544,IV544,IY544,JB544,JE544,JH544,JK544,JN544,JQ544)</f>
        <v>110390.16</v>
      </c>
      <c r="IH544" s="842">
        <f t="shared" ref="IH544:IH547" si="12824">SUM(IK544,IN544,IQ544,IT544,IW544,IZ544,JC544,JF544,JI544,JL544,JO544,JR544)</f>
        <v>110390.16</v>
      </c>
      <c r="II544" s="89">
        <v>234.8</v>
      </c>
      <c r="IJ544" s="89">
        <f t="shared" ref="IJ544:IJ547" si="12825">II544</f>
        <v>234.8</v>
      </c>
      <c r="IK544" s="89">
        <f t="shared" ref="IK544:IK547" si="12826">IJ544</f>
        <v>234.8</v>
      </c>
      <c r="IL544" s="89">
        <f>24484.2-234.8</f>
        <v>24249.4</v>
      </c>
      <c r="IM544" s="89">
        <f t="shared" ref="IM544:IM547" si="12827">IL544</f>
        <v>24249.4</v>
      </c>
      <c r="IN544" s="89">
        <f t="shared" ref="IN544:IN547" si="12828">IM544</f>
        <v>24249.4</v>
      </c>
      <c r="IO544" s="89">
        <f>27128.13-24484.2</f>
        <v>2643.9300000000003</v>
      </c>
      <c r="IP544" s="89">
        <f t="shared" ref="IP544:IP547" si="12829">IO544</f>
        <v>2643.9300000000003</v>
      </c>
      <c r="IQ544" s="89">
        <f t="shared" ref="IQ544:IQ547" si="12830">IP544</f>
        <v>2643.9300000000003</v>
      </c>
      <c r="IR544" s="89">
        <f>29113.13-27128.13</f>
        <v>1985</v>
      </c>
      <c r="IS544" s="89">
        <f t="shared" ref="IS544:IS547" si="12831">IR544</f>
        <v>1985</v>
      </c>
      <c r="IT544" s="89">
        <f t="shared" ref="IT544:IT547" si="12832">IS544</f>
        <v>1985</v>
      </c>
      <c r="IU544" s="89">
        <f>44036.83-29113.13</f>
        <v>14923.7</v>
      </c>
      <c r="IV544" s="89">
        <f t="shared" ref="IV544:IV547" si="12833">IU544</f>
        <v>14923.7</v>
      </c>
      <c r="IW544" s="89">
        <f t="shared" ref="IW544:IW547" si="12834">IV544</f>
        <v>14923.7</v>
      </c>
      <c r="IX544" s="89">
        <f>50965.35-44036.83</f>
        <v>6928.5199999999968</v>
      </c>
      <c r="IY544" s="89">
        <f t="shared" ref="IY544:IY547" si="12835">IX544</f>
        <v>6928.5199999999968</v>
      </c>
      <c r="IZ544" s="89">
        <f t="shared" ref="IZ544:IZ547" si="12836">IY544</f>
        <v>6928.5199999999968</v>
      </c>
      <c r="JA544" s="89">
        <f>59183.34-50965.35</f>
        <v>8217.989999999998</v>
      </c>
      <c r="JB544" s="89">
        <f t="shared" ref="JB544:JB547" si="12837">JA544</f>
        <v>8217.989999999998</v>
      </c>
      <c r="JC544" s="89">
        <f t="shared" ref="JC544:JC547" si="12838">JB544</f>
        <v>8217.989999999998</v>
      </c>
      <c r="JD544" s="89">
        <f>71967.42-59183.34</f>
        <v>12784.080000000002</v>
      </c>
      <c r="JE544" s="89">
        <f t="shared" ref="JE544:JE547" si="12839">JD544</f>
        <v>12784.080000000002</v>
      </c>
      <c r="JF544" s="89">
        <f t="shared" ref="JF544:JF547" si="12840">JE544</f>
        <v>12784.080000000002</v>
      </c>
      <c r="JG544" s="89">
        <f>86302.42-71967.42</f>
        <v>14335</v>
      </c>
      <c r="JH544" s="89">
        <f t="shared" ref="JH544:JH547" si="12841">JG544</f>
        <v>14335</v>
      </c>
      <c r="JI544" s="89">
        <f t="shared" ref="JI544:JI547" si="12842">JH544</f>
        <v>14335</v>
      </c>
      <c r="JJ544" s="89">
        <f>110390.16-86302.42</f>
        <v>24087.740000000005</v>
      </c>
      <c r="JK544" s="89">
        <f t="shared" ref="JK544:JK547" si="12843">JJ544</f>
        <v>24087.740000000005</v>
      </c>
      <c r="JL544" s="89">
        <f t="shared" ref="JL544:JL547" si="12844">JK544</f>
        <v>24087.740000000005</v>
      </c>
      <c r="JM544" s="89">
        <v>0</v>
      </c>
      <c r="JN544" s="89">
        <f t="shared" ref="JN544:JN547" si="12845">JM544</f>
        <v>0</v>
      </c>
      <c r="JO544" s="89">
        <f t="shared" ref="JO544:JO547" si="12846">JN544</f>
        <v>0</v>
      </c>
      <c r="JP544" s="89">
        <v>0</v>
      </c>
      <c r="JQ544" s="89">
        <f t="shared" ref="JQ544:JR544" si="12847">JP544</f>
        <v>0</v>
      </c>
      <c r="JR544" s="89">
        <f t="shared" si="12847"/>
        <v>0</v>
      </c>
      <c r="JS544" s="74">
        <f>HG544-IF544</f>
        <v>1666.8399999999965</v>
      </c>
      <c r="JT544" s="382">
        <f>GS544-IF544</f>
        <v>1666.8399999999965</v>
      </c>
      <c r="JU544" s="665"/>
      <c r="JV544" s="524"/>
      <c r="JW544" s="525"/>
      <c r="JX544" s="549">
        <f t="shared" ref="JX544:JY547" si="12848">SUM(HH544,HJ544,HL544,HN544,HP544,HR544,HT544,HV544,HX544,HZ544,IB544,ID544)</f>
        <v>112057</v>
      </c>
      <c r="JY544" s="549">
        <f t="shared" si="12848"/>
        <v>0</v>
      </c>
      <c r="JZ544" s="581">
        <f t="shared" si="12201"/>
        <v>22057</v>
      </c>
      <c r="KA544" s="581">
        <f t="shared" si="12202"/>
        <v>0</v>
      </c>
      <c r="KB544" s="549">
        <f t="shared" si="12194"/>
        <v>112057</v>
      </c>
      <c r="KC544" s="709">
        <f t="shared" si="12200"/>
        <v>0</v>
      </c>
      <c r="KD544" s="36"/>
      <c r="KE544" s="36"/>
      <c r="KF544" s="36"/>
      <c r="KG544" s="36"/>
      <c r="KH544" s="36"/>
      <c r="KI544" s="36"/>
      <c r="KJ544" s="36"/>
      <c r="KK544" s="36"/>
    </row>
    <row r="545" spans="1:297" s="10" customFormat="1" ht="12.75" hidden="1" customHeight="1">
      <c r="A545" s="86" t="s">
        <v>1174</v>
      </c>
      <c r="B545" s="77"/>
      <c r="C545" s="74">
        <v>0</v>
      </c>
      <c r="D545" s="549">
        <v>0</v>
      </c>
      <c r="E545" s="675">
        <v>0</v>
      </c>
      <c r="F545" s="549">
        <v>0</v>
      </c>
      <c r="G545" s="675">
        <v>0</v>
      </c>
      <c r="H545" s="549">
        <v>0</v>
      </c>
      <c r="I545" s="675">
        <v>0</v>
      </c>
      <c r="J545" s="549">
        <v>0</v>
      </c>
      <c r="K545" s="675">
        <v>0</v>
      </c>
      <c r="L545" s="549">
        <v>0</v>
      </c>
      <c r="M545" s="675">
        <v>0</v>
      </c>
      <c r="N545" s="549">
        <v>0</v>
      </c>
      <c r="O545" s="675">
        <v>0</v>
      </c>
      <c r="P545" s="549">
        <v>0</v>
      </c>
      <c r="Q545" s="675">
        <v>0</v>
      </c>
      <c r="R545" s="549">
        <v>0</v>
      </c>
      <c r="S545" s="675">
        <v>0</v>
      </c>
      <c r="T545" s="549">
        <v>0</v>
      </c>
      <c r="U545" s="675">
        <v>0</v>
      </c>
      <c r="V545" s="549">
        <v>0</v>
      </c>
      <c r="W545" s="675">
        <v>0</v>
      </c>
      <c r="X545" s="549">
        <v>0</v>
      </c>
      <c r="Y545" s="675">
        <v>0</v>
      </c>
      <c r="Z545" s="549">
        <v>0</v>
      </c>
      <c r="AA545" s="675">
        <v>0</v>
      </c>
      <c r="AB545" s="549">
        <v>0</v>
      </c>
      <c r="AC545" s="675">
        <v>0</v>
      </c>
      <c r="AD545" s="549">
        <v>0</v>
      </c>
      <c r="AE545" s="675">
        <v>0</v>
      </c>
      <c r="AF545" s="549">
        <v>0</v>
      </c>
      <c r="AG545" s="675">
        <v>0</v>
      </c>
      <c r="AH545" s="549">
        <v>0</v>
      </c>
      <c r="AI545" s="675">
        <v>0</v>
      </c>
      <c r="AJ545" s="549">
        <v>0</v>
      </c>
      <c r="AK545" s="675">
        <v>0</v>
      </c>
      <c r="AL545" s="549">
        <v>0</v>
      </c>
      <c r="AM545" s="675">
        <v>0</v>
      </c>
      <c r="AN545" s="549">
        <v>0</v>
      </c>
      <c r="AO545" s="675">
        <v>0</v>
      </c>
      <c r="AP545" s="549">
        <v>0</v>
      </c>
      <c r="AQ545" s="675">
        <v>0</v>
      </c>
      <c r="AR545" s="549">
        <v>0</v>
      </c>
      <c r="AS545" s="675">
        <v>0</v>
      </c>
      <c r="AT545" s="549">
        <v>0</v>
      </c>
      <c r="AU545" s="675">
        <v>0</v>
      </c>
      <c r="AV545" s="549">
        <v>0</v>
      </c>
      <c r="AW545" s="675">
        <v>0</v>
      </c>
      <c r="AX545" s="549">
        <v>0</v>
      </c>
      <c r="AY545" s="675">
        <v>0</v>
      </c>
      <c r="AZ545" s="549">
        <v>0</v>
      </c>
      <c r="BA545" s="675">
        <v>0</v>
      </c>
      <c r="BB545" s="549">
        <v>0</v>
      </c>
      <c r="BC545" s="675">
        <v>0</v>
      </c>
      <c r="BD545" s="549">
        <v>0</v>
      </c>
      <c r="BE545" s="675">
        <v>0</v>
      </c>
      <c r="BF545" s="549">
        <v>0</v>
      </c>
      <c r="BG545" s="675">
        <v>0</v>
      </c>
      <c r="BH545" s="549">
        <v>0</v>
      </c>
      <c r="BI545" s="675">
        <v>0</v>
      </c>
      <c r="BJ545" s="549">
        <v>0</v>
      </c>
      <c r="BK545" s="675">
        <v>0</v>
      </c>
      <c r="BL545" s="549">
        <v>0</v>
      </c>
      <c r="BM545" s="675">
        <v>0</v>
      </c>
      <c r="BN545" s="549">
        <v>0</v>
      </c>
      <c r="BO545" s="675">
        <v>0</v>
      </c>
      <c r="BP545" s="549">
        <v>0</v>
      </c>
      <c r="BQ545" s="675">
        <v>0</v>
      </c>
      <c r="BR545" s="549">
        <v>0</v>
      </c>
      <c r="BS545" s="675">
        <v>0</v>
      </c>
      <c r="BT545" s="549">
        <v>0</v>
      </c>
      <c r="BU545" s="675">
        <v>0</v>
      </c>
      <c r="BV545" s="549">
        <v>0</v>
      </c>
      <c r="BW545" s="675">
        <v>0</v>
      </c>
      <c r="BX545" s="549">
        <v>0</v>
      </c>
      <c r="BY545" s="675">
        <v>0</v>
      </c>
      <c r="BZ545" s="549">
        <v>0</v>
      </c>
      <c r="CA545" s="675">
        <v>0</v>
      </c>
      <c r="CB545" s="549">
        <v>0</v>
      </c>
      <c r="CC545" s="675">
        <v>0</v>
      </c>
      <c r="CD545" s="549">
        <v>0</v>
      </c>
      <c r="CE545" s="675">
        <v>0</v>
      </c>
      <c r="CF545" s="549">
        <v>0</v>
      </c>
      <c r="CG545" s="675">
        <v>0</v>
      </c>
      <c r="CH545" s="549">
        <v>0</v>
      </c>
      <c r="CI545" s="675">
        <v>0</v>
      </c>
      <c r="CJ545" s="549">
        <v>0</v>
      </c>
      <c r="CK545" s="675">
        <v>0</v>
      </c>
      <c r="CL545" s="549">
        <v>0</v>
      </c>
      <c r="CM545" s="675">
        <v>0</v>
      </c>
      <c r="CN545" s="549">
        <v>0</v>
      </c>
      <c r="CO545" s="675">
        <v>0</v>
      </c>
      <c r="CP545" s="549">
        <v>0</v>
      </c>
      <c r="CQ545" s="675">
        <v>0</v>
      </c>
      <c r="CR545" s="549">
        <v>0</v>
      </c>
      <c r="CS545" s="675">
        <v>0</v>
      </c>
      <c r="CT545" s="549">
        <v>0</v>
      </c>
      <c r="CU545" s="675">
        <v>0</v>
      </c>
      <c r="CV545" s="549">
        <v>0</v>
      </c>
      <c r="CW545" s="675">
        <v>0</v>
      </c>
      <c r="CX545" s="549">
        <v>0</v>
      </c>
      <c r="CY545" s="675">
        <v>0</v>
      </c>
      <c r="CZ545" s="549">
        <v>0</v>
      </c>
      <c r="DA545" s="675">
        <v>0</v>
      </c>
      <c r="DB545" s="549">
        <v>0</v>
      </c>
      <c r="DC545" s="675">
        <v>0</v>
      </c>
      <c r="DD545" s="549">
        <v>0</v>
      </c>
      <c r="DE545" s="675">
        <v>0</v>
      </c>
      <c r="DF545" s="549">
        <v>0</v>
      </c>
      <c r="DG545" s="675">
        <v>0</v>
      </c>
      <c r="DH545" s="549">
        <v>0</v>
      </c>
      <c r="DI545" s="675">
        <v>0</v>
      </c>
      <c r="DJ545" s="549">
        <v>0</v>
      </c>
      <c r="DK545" s="675">
        <v>0</v>
      </c>
      <c r="DL545" s="549">
        <v>0</v>
      </c>
      <c r="DM545" s="675">
        <v>0</v>
      </c>
      <c r="DN545" s="549">
        <v>0</v>
      </c>
      <c r="DO545" s="675">
        <v>0</v>
      </c>
      <c r="DP545" s="549">
        <v>0</v>
      </c>
      <c r="DQ545" s="675">
        <v>0</v>
      </c>
      <c r="DR545" s="549">
        <v>0</v>
      </c>
      <c r="DS545" s="675">
        <v>0</v>
      </c>
      <c r="DT545" s="549">
        <v>0</v>
      </c>
      <c r="DU545" s="675">
        <v>0</v>
      </c>
      <c r="DV545" s="549">
        <v>0</v>
      </c>
      <c r="DW545" s="675">
        <v>0</v>
      </c>
      <c r="DX545" s="549">
        <v>0</v>
      </c>
      <c r="DY545" s="675">
        <v>0</v>
      </c>
      <c r="DZ545" s="549">
        <v>0</v>
      </c>
      <c r="EA545" s="675">
        <v>0</v>
      </c>
      <c r="EB545" s="549">
        <v>0</v>
      </c>
      <c r="EC545" s="675">
        <v>0</v>
      </c>
      <c r="ED545" s="549">
        <v>0</v>
      </c>
      <c r="EE545" s="675">
        <v>0</v>
      </c>
      <c r="EF545" s="549">
        <v>0</v>
      </c>
      <c r="EG545" s="675">
        <v>0</v>
      </c>
      <c r="EH545" s="549">
        <v>0</v>
      </c>
      <c r="EI545" s="675">
        <v>0</v>
      </c>
      <c r="EJ545" s="549">
        <v>0</v>
      </c>
      <c r="EK545" s="675">
        <v>0</v>
      </c>
      <c r="EL545" s="549">
        <v>0</v>
      </c>
      <c r="EM545" s="675">
        <v>0</v>
      </c>
      <c r="EN545" s="549">
        <v>0</v>
      </c>
      <c r="EO545" s="675">
        <v>0</v>
      </c>
      <c r="EP545" s="549">
        <v>0</v>
      </c>
      <c r="EQ545" s="675">
        <v>0</v>
      </c>
      <c r="ER545" s="549">
        <v>0</v>
      </c>
      <c r="ES545" s="675">
        <v>0</v>
      </c>
      <c r="ET545" s="549">
        <v>0</v>
      </c>
      <c r="EU545" s="675">
        <v>0</v>
      </c>
      <c r="EV545" s="549">
        <v>0</v>
      </c>
      <c r="EW545" s="675">
        <v>0</v>
      </c>
      <c r="EX545" s="549">
        <v>0</v>
      </c>
      <c r="EY545" s="675">
        <v>0</v>
      </c>
      <c r="EZ545" s="549">
        <v>0</v>
      </c>
      <c r="FA545" s="675">
        <v>0</v>
      </c>
      <c r="FB545" s="549">
        <v>0</v>
      </c>
      <c r="FC545" s="675">
        <v>0</v>
      </c>
      <c r="FD545" s="549">
        <v>0</v>
      </c>
      <c r="FE545" s="675">
        <v>0</v>
      </c>
      <c r="FF545" s="549">
        <v>0</v>
      </c>
      <c r="FG545" s="675">
        <v>0</v>
      </c>
      <c r="FH545" s="549">
        <v>0</v>
      </c>
      <c r="FI545" s="675">
        <v>0</v>
      </c>
      <c r="FJ545" s="549">
        <v>0</v>
      </c>
      <c r="FK545" s="675">
        <v>0</v>
      </c>
      <c r="FL545" s="549">
        <v>0</v>
      </c>
      <c r="FM545" s="675">
        <v>0</v>
      </c>
      <c r="FN545" s="549">
        <v>0</v>
      </c>
      <c r="FO545" s="675">
        <v>0</v>
      </c>
      <c r="FP545" s="549">
        <v>0</v>
      </c>
      <c r="FQ545" s="675">
        <v>0</v>
      </c>
      <c r="FR545" s="549">
        <v>0</v>
      </c>
      <c r="FS545" s="675">
        <v>0</v>
      </c>
      <c r="FT545" s="549">
        <v>0</v>
      </c>
      <c r="FU545" s="675">
        <v>0</v>
      </c>
      <c r="FV545" s="549">
        <v>0</v>
      </c>
      <c r="FW545" s="675">
        <v>0</v>
      </c>
      <c r="FX545" s="549">
        <v>0</v>
      </c>
      <c r="FY545" s="675">
        <v>0</v>
      </c>
      <c r="FZ545" s="549">
        <v>0</v>
      </c>
      <c r="GA545" s="675">
        <v>0</v>
      </c>
      <c r="GB545" s="549">
        <v>0</v>
      </c>
      <c r="GC545" s="675">
        <v>0</v>
      </c>
      <c r="GD545" s="549">
        <v>0</v>
      </c>
      <c r="GE545" s="675">
        <v>0</v>
      </c>
      <c r="GF545" s="549">
        <v>0</v>
      </c>
      <c r="GG545" s="675">
        <v>0</v>
      </c>
      <c r="GH545" s="549">
        <v>0</v>
      </c>
      <c r="GI545" s="675">
        <v>0</v>
      </c>
      <c r="GJ545" s="549">
        <v>0</v>
      </c>
      <c r="GK545" s="675">
        <v>0</v>
      </c>
      <c r="GL545" s="549">
        <v>0</v>
      </c>
      <c r="GM545" s="675">
        <v>0</v>
      </c>
      <c r="GN545" s="549">
        <v>0</v>
      </c>
      <c r="GO545" s="675">
        <v>0</v>
      </c>
      <c r="GP545" s="549">
        <f t="shared" si="12818"/>
        <v>0</v>
      </c>
      <c r="GQ545" s="675">
        <f t="shared" si="12819"/>
        <v>0</v>
      </c>
      <c r="GR545" s="74">
        <f>C545+GP545+GQ545</f>
        <v>0</v>
      </c>
      <c r="GS545" s="74">
        <f t="shared" si="12820"/>
        <v>0</v>
      </c>
      <c r="GT545" s="568">
        <f t="shared" si="12821"/>
        <v>0</v>
      </c>
      <c r="GU545" s="275"/>
      <c r="GV545" s="275"/>
      <c r="GW545" s="588"/>
      <c r="GX545" s="588"/>
      <c r="GY545" s="275"/>
      <c r="GZ545" s="275"/>
      <c r="HA545" s="275"/>
      <c r="HB545" s="275"/>
      <c r="HC545" s="275"/>
      <c r="HD545" s="275"/>
      <c r="HE545" s="275"/>
      <c r="HF545" s="275"/>
      <c r="HG545" s="74">
        <f>SUM(HH545:IE545)</f>
        <v>0</v>
      </c>
      <c r="HH545" s="89">
        <v>0</v>
      </c>
      <c r="HI545" s="817">
        <v>0</v>
      </c>
      <c r="HJ545" s="89">
        <v>0</v>
      </c>
      <c r="HK545" s="817">
        <v>0</v>
      </c>
      <c r="HL545" s="89">
        <v>0</v>
      </c>
      <c r="HM545" s="817">
        <v>0</v>
      </c>
      <c r="HN545" s="89">
        <v>0</v>
      </c>
      <c r="HO545" s="817">
        <v>0</v>
      </c>
      <c r="HP545" s="89">
        <v>0</v>
      </c>
      <c r="HQ545" s="817">
        <v>0</v>
      </c>
      <c r="HR545" s="89">
        <v>0</v>
      </c>
      <c r="HS545" s="817">
        <v>0</v>
      </c>
      <c r="HT545" s="89">
        <v>0</v>
      </c>
      <c r="HU545" s="817">
        <v>0</v>
      </c>
      <c r="HV545" s="89">
        <v>0</v>
      </c>
      <c r="HW545" s="817">
        <v>0</v>
      </c>
      <c r="HX545" s="89">
        <v>0</v>
      </c>
      <c r="HY545" s="817">
        <v>0</v>
      </c>
      <c r="HZ545" s="89">
        <v>0</v>
      </c>
      <c r="IA545" s="817">
        <v>0</v>
      </c>
      <c r="IB545" s="89">
        <v>0</v>
      </c>
      <c r="IC545" s="817">
        <v>0</v>
      </c>
      <c r="ID545" s="89">
        <v>0</v>
      </c>
      <c r="IE545" s="817">
        <v>0</v>
      </c>
      <c r="IF545" s="841">
        <f t="shared" si="12822"/>
        <v>0</v>
      </c>
      <c r="IG545" s="263">
        <f t="shared" si="12823"/>
        <v>0</v>
      </c>
      <c r="IH545" s="842">
        <f t="shared" si="12824"/>
        <v>0</v>
      </c>
      <c r="II545" s="89">
        <v>0</v>
      </c>
      <c r="IJ545" s="89">
        <f t="shared" si="12825"/>
        <v>0</v>
      </c>
      <c r="IK545" s="89">
        <f t="shared" si="12826"/>
        <v>0</v>
      </c>
      <c r="IL545" s="89">
        <v>0</v>
      </c>
      <c r="IM545" s="89">
        <f t="shared" si="12827"/>
        <v>0</v>
      </c>
      <c r="IN545" s="89">
        <f t="shared" si="12828"/>
        <v>0</v>
      </c>
      <c r="IO545" s="89">
        <v>0</v>
      </c>
      <c r="IP545" s="89">
        <f t="shared" si="12829"/>
        <v>0</v>
      </c>
      <c r="IQ545" s="89">
        <f t="shared" si="12830"/>
        <v>0</v>
      </c>
      <c r="IR545" s="89">
        <v>0</v>
      </c>
      <c r="IS545" s="89">
        <f t="shared" si="12831"/>
        <v>0</v>
      </c>
      <c r="IT545" s="89">
        <f t="shared" si="12832"/>
        <v>0</v>
      </c>
      <c r="IU545" s="89">
        <v>0</v>
      </c>
      <c r="IV545" s="89">
        <f t="shared" si="12833"/>
        <v>0</v>
      </c>
      <c r="IW545" s="89">
        <f t="shared" si="12834"/>
        <v>0</v>
      </c>
      <c r="IX545" s="89">
        <v>0</v>
      </c>
      <c r="IY545" s="89">
        <f t="shared" si="12835"/>
        <v>0</v>
      </c>
      <c r="IZ545" s="89">
        <f t="shared" si="12836"/>
        <v>0</v>
      </c>
      <c r="JA545" s="89">
        <v>0</v>
      </c>
      <c r="JB545" s="89">
        <f t="shared" si="12837"/>
        <v>0</v>
      </c>
      <c r="JC545" s="89">
        <f t="shared" si="12838"/>
        <v>0</v>
      </c>
      <c r="JD545" s="89">
        <v>0</v>
      </c>
      <c r="JE545" s="89">
        <f t="shared" si="12839"/>
        <v>0</v>
      </c>
      <c r="JF545" s="89">
        <f t="shared" si="12840"/>
        <v>0</v>
      </c>
      <c r="JG545" s="89">
        <v>0</v>
      </c>
      <c r="JH545" s="89">
        <f t="shared" si="12841"/>
        <v>0</v>
      </c>
      <c r="JI545" s="89">
        <f t="shared" si="12842"/>
        <v>0</v>
      </c>
      <c r="JJ545" s="89">
        <v>0</v>
      </c>
      <c r="JK545" s="89">
        <f t="shared" si="12843"/>
        <v>0</v>
      </c>
      <c r="JL545" s="89">
        <f t="shared" si="12844"/>
        <v>0</v>
      </c>
      <c r="JM545" s="89">
        <v>0</v>
      </c>
      <c r="JN545" s="89">
        <f t="shared" si="12845"/>
        <v>0</v>
      </c>
      <c r="JO545" s="89">
        <f t="shared" si="12846"/>
        <v>0</v>
      </c>
      <c r="JP545" s="89">
        <v>0</v>
      </c>
      <c r="JQ545" s="89">
        <f t="shared" ref="JQ545:JR545" si="12849">JP545</f>
        <v>0</v>
      </c>
      <c r="JR545" s="89">
        <f t="shared" si="12849"/>
        <v>0</v>
      </c>
      <c r="JS545" s="74">
        <f>HG545-IF545</f>
        <v>0</v>
      </c>
      <c r="JT545" s="382">
        <f>GS545-IF545</f>
        <v>0</v>
      </c>
      <c r="JU545" s="665"/>
      <c r="JV545" s="524"/>
      <c r="JW545" s="525"/>
      <c r="JX545" s="549">
        <f t="shared" si="12848"/>
        <v>0</v>
      </c>
      <c r="JY545" s="549">
        <f t="shared" si="12848"/>
        <v>0</v>
      </c>
      <c r="JZ545" s="581">
        <f t="shared" si="12201"/>
        <v>0</v>
      </c>
      <c r="KA545" s="581">
        <f t="shared" si="12202"/>
        <v>0</v>
      </c>
      <c r="KB545" s="549">
        <f t="shared" si="12194"/>
        <v>0</v>
      </c>
      <c r="KC545" s="709">
        <f t="shared" si="12200"/>
        <v>0</v>
      </c>
      <c r="KD545" s="36"/>
      <c r="KE545" s="36"/>
      <c r="KF545" s="36"/>
      <c r="KG545" s="36"/>
      <c r="KH545" s="36"/>
      <c r="KI545" s="36"/>
      <c r="KJ545" s="36"/>
      <c r="KK545" s="36"/>
    </row>
    <row r="546" spans="1:297" s="10" customFormat="1" ht="12.75" hidden="1" customHeight="1">
      <c r="A546" s="86" t="s">
        <v>1150</v>
      </c>
      <c r="B546" s="77"/>
      <c r="C546" s="74">
        <v>0</v>
      </c>
      <c r="D546" s="549">
        <v>0</v>
      </c>
      <c r="E546" s="675">
        <v>0</v>
      </c>
      <c r="F546" s="549">
        <v>0</v>
      </c>
      <c r="G546" s="675">
        <v>0</v>
      </c>
      <c r="H546" s="549">
        <v>0</v>
      </c>
      <c r="I546" s="675">
        <v>0</v>
      </c>
      <c r="J546" s="549">
        <v>0</v>
      </c>
      <c r="K546" s="675">
        <v>0</v>
      </c>
      <c r="L546" s="549">
        <v>0</v>
      </c>
      <c r="M546" s="675">
        <v>0</v>
      </c>
      <c r="N546" s="549">
        <v>0</v>
      </c>
      <c r="O546" s="675">
        <v>0</v>
      </c>
      <c r="P546" s="549">
        <v>0</v>
      </c>
      <c r="Q546" s="675">
        <v>0</v>
      </c>
      <c r="R546" s="549">
        <v>0</v>
      </c>
      <c r="S546" s="675">
        <v>0</v>
      </c>
      <c r="T546" s="549">
        <v>0</v>
      </c>
      <c r="U546" s="675">
        <v>0</v>
      </c>
      <c r="V546" s="549">
        <v>0</v>
      </c>
      <c r="W546" s="675">
        <v>0</v>
      </c>
      <c r="X546" s="549">
        <v>0</v>
      </c>
      <c r="Y546" s="675">
        <v>0</v>
      </c>
      <c r="Z546" s="549">
        <v>0</v>
      </c>
      <c r="AA546" s="675">
        <v>0</v>
      </c>
      <c r="AB546" s="549">
        <v>0</v>
      </c>
      <c r="AC546" s="675">
        <v>0</v>
      </c>
      <c r="AD546" s="549">
        <v>0</v>
      </c>
      <c r="AE546" s="675">
        <v>0</v>
      </c>
      <c r="AF546" s="549">
        <v>0</v>
      </c>
      <c r="AG546" s="675">
        <v>0</v>
      </c>
      <c r="AH546" s="549">
        <v>0</v>
      </c>
      <c r="AI546" s="675">
        <v>0</v>
      </c>
      <c r="AJ546" s="549">
        <v>0</v>
      </c>
      <c r="AK546" s="675">
        <v>0</v>
      </c>
      <c r="AL546" s="549">
        <v>0</v>
      </c>
      <c r="AM546" s="675">
        <v>0</v>
      </c>
      <c r="AN546" s="549">
        <v>0</v>
      </c>
      <c r="AO546" s="675">
        <v>0</v>
      </c>
      <c r="AP546" s="549">
        <v>0</v>
      </c>
      <c r="AQ546" s="675">
        <v>0</v>
      </c>
      <c r="AR546" s="549">
        <v>0</v>
      </c>
      <c r="AS546" s="675">
        <v>0</v>
      </c>
      <c r="AT546" s="549">
        <v>0</v>
      </c>
      <c r="AU546" s="675">
        <v>0</v>
      </c>
      <c r="AV546" s="549">
        <v>0</v>
      </c>
      <c r="AW546" s="675">
        <v>0</v>
      </c>
      <c r="AX546" s="549">
        <v>0</v>
      </c>
      <c r="AY546" s="675">
        <v>0</v>
      </c>
      <c r="AZ546" s="549">
        <v>0</v>
      </c>
      <c r="BA546" s="675">
        <v>0</v>
      </c>
      <c r="BB546" s="549">
        <v>0</v>
      </c>
      <c r="BC546" s="675">
        <v>0</v>
      </c>
      <c r="BD546" s="549">
        <v>0</v>
      </c>
      <c r="BE546" s="675">
        <v>0</v>
      </c>
      <c r="BF546" s="549">
        <v>0</v>
      </c>
      <c r="BG546" s="675">
        <v>0</v>
      </c>
      <c r="BH546" s="549">
        <v>0</v>
      </c>
      <c r="BI546" s="675">
        <v>0</v>
      </c>
      <c r="BJ546" s="549">
        <v>0</v>
      </c>
      <c r="BK546" s="675">
        <v>0</v>
      </c>
      <c r="BL546" s="549">
        <v>0</v>
      </c>
      <c r="BM546" s="675">
        <v>0</v>
      </c>
      <c r="BN546" s="549">
        <v>0</v>
      </c>
      <c r="BO546" s="675">
        <v>0</v>
      </c>
      <c r="BP546" s="549">
        <v>0</v>
      </c>
      <c r="BQ546" s="675">
        <v>0</v>
      </c>
      <c r="BR546" s="549">
        <v>0</v>
      </c>
      <c r="BS546" s="675">
        <v>0</v>
      </c>
      <c r="BT546" s="549">
        <v>0</v>
      </c>
      <c r="BU546" s="675">
        <v>0</v>
      </c>
      <c r="BV546" s="549">
        <v>0</v>
      </c>
      <c r="BW546" s="675">
        <v>0</v>
      </c>
      <c r="BX546" s="549">
        <v>0</v>
      </c>
      <c r="BY546" s="675">
        <v>0</v>
      </c>
      <c r="BZ546" s="549">
        <v>0</v>
      </c>
      <c r="CA546" s="675">
        <v>0</v>
      </c>
      <c r="CB546" s="549">
        <v>0</v>
      </c>
      <c r="CC546" s="675">
        <v>0</v>
      </c>
      <c r="CD546" s="549">
        <v>0</v>
      </c>
      <c r="CE546" s="675">
        <v>0</v>
      </c>
      <c r="CF546" s="549">
        <v>0</v>
      </c>
      <c r="CG546" s="675">
        <v>0</v>
      </c>
      <c r="CH546" s="549">
        <v>0</v>
      </c>
      <c r="CI546" s="675">
        <v>0</v>
      </c>
      <c r="CJ546" s="549">
        <v>0</v>
      </c>
      <c r="CK546" s="675">
        <v>0</v>
      </c>
      <c r="CL546" s="549">
        <v>0</v>
      </c>
      <c r="CM546" s="675">
        <v>0</v>
      </c>
      <c r="CN546" s="549">
        <v>0</v>
      </c>
      <c r="CO546" s="675">
        <v>0</v>
      </c>
      <c r="CP546" s="549">
        <v>0</v>
      </c>
      <c r="CQ546" s="675">
        <v>0</v>
      </c>
      <c r="CR546" s="549">
        <v>0</v>
      </c>
      <c r="CS546" s="675">
        <v>0</v>
      </c>
      <c r="CT546" s="549">
        <v>0</v>
      </c>
      <c r="CU546" s="675">
        <v>0</v>
      </c>
      <c r="CV546" s="549">
        <v>0</v>
      </c>
      <c r="CW546" s="675">
        <v>0</v>
      </c>
      <c r="CX546" s="549">
        <v>0</v>
      </c>
      <c r="CY546" s="675">
        <v>0</v>
      </c>
      <c r="CZ546" s="549">
        <v>0</v>
      </c>
      <c r="DA546" s="675">
        <v>0</v>
      </c>
      <c r="DB546" s="549">
        <v>0</v>
      </c>
      <c r="DC546" s="675">
        <v>0</v>
      </c>
      <c r="DD546" s="549">
        <v>0</v>
      </c>
      <c r="DE546" s="675">
        <v>0</v>
      </c>
      <c r="DF546" s="549">
        <v>0</v>
      </c>
      <c r="DG546" s="675">
        <v>0</v>
      </c>
      <c r="DH546" s="549">
        <v>0</v>
      </c>
      <c r="DI546" s="675">
        <v>0</v>
      </c>
      <c r="DJ546" s="549">
        <v>0</v>
      </c>
      <c r="DK546" s="675">
        <v>0</v>
      </c>
      <c r="DL546" s="549">
        <v>0</v>
      </c>
      <c r="DM546" s="675">
        <v>0</v>
      </c>
      <c r="DN546" s="549">
        <v>0</v>
      </c>
      <c r="DO546" s="675">
        <v>0</v>
      </c>
      <c r="DP546" s="549">
        <v>0</v>
      </c>
      <c r="DQ546" s="675">
        <v>0</v>
      </c>
      <c r="DR546" s="549">
        <v>0</v>
      </c>
      <c r="DS546" s="675">
        <v>0</v>
      </c>
      <c r="DT546" s="549">
        <v>0</v>
      </c>
      <c r="DU546" s="675">
        <v>0</v>
      </c>
      <c r="DV546" s="549">
        <v>0</v>
      </c>
      <c r="DW546" s="675">
        <v>0</v>
      </c>
      <c r="DX546" s="549">
        <v>0</v>
      </c>
      <c r="DY546" s="675">
        <v>0</v>
      </c>
      <c r="DZ546" s="549">
        <v>0</v>
      </c>
      <c r="EA546" s="675">
        <v>0</v>
      </c>
      <c r="EB546" s="549">
        <v>0</v>
      </c>
      <c r="EC546" s="675">
        <v>0</v>
      </c>
      <c r="ED546" s="549">
        <v>0</v>
      </c>
      <c r="EE546" s="675">
        <v>0</v>
      </c>
      <c r="EF546" s="549">
        <v>0</v>
      </c>
      <c r="EG546" s="675">
        <v>0</v>
      </c>
      <c r="EH546" s="549">
        <v>0</v>
      </c>
      <c r="EI546" s="675">
        <v>0</v>
      </c>
      <c r="EJ546" s="549">
        <v>0</v>
      </c>
      <c r="EK546" s="675">
        <v>0</v>
      </c>
      <c r="EL546" s="549">
        <v>0</v>
      </c>
      <c r="EM546" s="675">
        <v>0</v>
      </c>
      <c r="EN546" s="549">
        <v>0</v>
      </c>
      <c r="EO546" s="675">
        <v>0</v>
      </c>
      <c r="EP546" s="549">
        <v>0</v>
      </c>
      <c r="EQ546" s="675">
        <v>0</v>
      </c>
      <c r="ER546" s="549">
        <v>0</v>
      </c>
      <c r="ES546" s="675">
        <v>0</v>
      </c>
      <c r="ET546" s="549">
        <v>0</v>
      </c>
      <c r="EU546" s="675">
        <v>0</v>
      </c>
      <c r="EV546" s="549">
        <v>0</v>
      </c>
      <c r="EW546" s="675">
        <v>0</v>
      </c>
      <c r="EX546" s="549">
        <v>0</v>
      </c>
      <c r="EY546" s="675">
        <v>0</v>
      </c>
      <c r="EZ546" s="549">
        <v>0</v>
      </c>
      <c r="FA546" s="675">
        <v>0</v>
      </c>
      <c r="FB546" s="549">
        <v>0</v>
      </c>
      <c r="FC546" s="675">
        <v>0</v>
      </c>
      <c r="FD546" s="549">
        <v>0</v>
      </c>
      <c r="FE546" s="675">
        <v>0</v>
      </c>
      <c r="FF546" s="549">
        <v>0</v>
      </c>
      <c r="FG546" s="675">
        <v>0</v>
      </c>
      <c r="FH546" s="549">
        <v>0</v>
      </c>
      <c r="FI546" s="675">
        <v>0</v>
      </c>
      <c r="FJ546" s="549">
        <v>0</v>
      </c>
      <c r="FK546" s="675">
        <v>0</v>
      </c>
      <c r="FL546" s="549">
        <v>0</v>
      </c>
      <c r="FM546" s="675">
        <v>0</v>
      </c>
      <c r="FN546" s="549">
        <v>0</v>
      </c>
      <c r="FO546" s="675">
        <v>0</v>
      </c>
      <c r="FP546" s="549">
        <v>0</v>
      </c>
      <c r="FQ546" s="675">
        <v>0</v>
      </c>
      <c r="FR546" s="549">
        <v>0</v>
      </c>
      <c r="FS546" s="675">
        <v>0</v>
      </c>
      <c r="FT546" s="549">
        <v>0</v>
      </c>
      <c r="FU546" s="675">
        <v>0</v>
      </c>
      <c r="FV546" s="549">
        <v>0</v>
      </c>
      <c r="FW546" s="675">
        <v>0</v>
      </c>
      <c r="FX546" s="549">
        <v>0</v>
      </c>
      <c r="FY546" s="675">
        <v>0</v>
      </c>
      <c r="FZ546" s="549">
        <v>0</v>
      </c>
      <c r="GA546" s="675">
        <v>0</v>
      </c>
      <c r="GB546" s="549">
        <v>0</v>
      </c>
      <c r="GC546" s="675">
        <v>0</v>
      </c>
      <c r="GD546" s="549">
        <v>0</v>
      </c>
      <c r="GE546" s="675">
        <v>0</v>
      </c>
      <c r="GF546" s="549">
        <v>0</v>
      </c>
      <c r="GG546" s="675">
        <v>0</v>
      </c>
      <c r="GH546" s="549">
        <v>0</v>
      </c>
      <c r="GI546" s="675">
        <v>0</v>
      </c>
      <c r="GJ546" s="549">
        <v>0</v>
      </c>
      <c r="GK546" s="675">
        <v>0</v>
      </c>
      <c r="GL546" s="549">
        <v>0</v>
      </c>
      <c r="GM546" s="675">
        <v>0</v>
      </c>
      <c r="GN546" s="549">
        <v>0</v>
      </c>
      <c r="GO546" s="675">
        <v>0</v>
      </c>
      <c r="GP546" s="549">
        <f t="shared" si="12818"/>
        <v>0</v>
      </c>
      <c r="GQ546" s="675">
        <f t="shared" si="12819"/>
        <v>0</v>
      </c>
      <c r="GR546" s="74">
        <f>C546+GP546+GQ546</f>
        <v>0</v>
      </c>
      <c r="GS546" s="74">
        <f t="shared" si="12820"/>
        <v>0</v>
      </c>
      <c r="GT546" s="568">
        <f t="shared" si="12821"/>
        <v>0</v>
      </c>
      <c r="GU546" s="275"/>
      <c r="GV546" s="275"/>
      <c r="GW546" s="588"/>
      <c r="GX546" s="588"/>
      <c r="GY546" s="275"/>
      <c r="GZ546" s="275"/>
      <c r="HA546" s="275"/>
      <c r="HB546" s="275"/>
      <c r="HC546" s="275"/>
      <c r="HD546" s="275"/>
      <c r="HE546" s="275">
        <v>0</v>
      </c>
      <c r="HF546" s="275">
        <v>0</v>
      </c>
      <c r="HG546" s="74">
        <f>SUM(HH546:IE546)</f>
        <v>0</v>
      </c>
      <c r="HH546" s="89">
        <v>0</v>
      </c>
      <c r="HI546" s="817">
        <v>0</v>
      </c>
      <c r="HJ546" s="89">
        <v>0</v>
      </c>
      <c r="HK546" s="817">
        <v>0</v>
      </c>
      <c r="HL546" s="89">
        <v>0</v>
      </c>
      <c r="HM546" s="817">
        <v>0</v>
      </c>
      <c r="HN546" s="89">
        <v>0</v>
      </c>
      <c r="HO546" s="817">
        <v>0</v>
      </c>
      <c r="HP546" s="89">
        <v>0</v>
      </c>
      <c r="HQ546" s="817">
        <v>0</v>
      </c>
      <c r="HR546" s="89">
        <v>0</v>
      </c>
      <c r="HS546" s="817">
        <v>0</v>
      </c>
      <c r="HT546" s="89">
        <v>0</v>
      </c>
      <c r="HU546" s="817">
        <v>0</v>
      </c>
      <c r="HV546" s="89">
        <v>0</v>
      </c>
      <c r="HW546" s="817">
        <v>0</v>
      </c>
      <c r="HX546" s="89">
        <v>0</v>
      </c>
      <c r="HY546" s="817">
        <v>0</v>
      </c>
      <c r="HZ546" s="89">
        <v>0</v>
      </c>
      <c r="IA546" s="817">
        <v>0</v>
      </c>
      <c r="IB546" s="89">
        <v>0</v>
      </c>
      <c r="IC546" s="817">
        <v>0</v>
      </c>
      <c r="ID546" s="89">
        <v>0</v>
      </c>
      <c r="IE546" s="817">
        <v>0</v>
      </c>
      <c r="IF546" s="841">
        <f t="shared" si="12822"/>
        <v>0</v>
      </c>
      <c r="IG546" s="263">
        <f t="shared" si="12823"/>
        <v>0</v>
      </c>
      <c r="IH546" s="842">
        <f t="shared" si="12824"/>
        <v>0</v>
      </c>
      <c r="II546" s="89">
        <v>0</v>
      </c>
      <c r="IJ546" s="89">
        <f t="shared" si="12825"/>
        <v>0</v>
      </c>
      <c r="IK546" s="89">
        <f t="shared" si="12826"/>
        <v>0</v>
      </c>
      <c r="IL546" s="89">
        <v>0</v>
      </c>
      <c r="IM546" s="89">
        <f t="shared" si="12827"/>
        <v>0</v>
      </c>
      <c r="IN546" s="89">
        <f t="shared" si="12828"/>
        <v>0</v>
      </c>
      <c r="IO546" s="89">
        <v>0</v>
      </c>
      <c r="IP546" s="89">
        <f t="shared" si="12829"/>
        <v>0</v>
      </c>
      <c r="IQ546" s="89">
        <f t="shared" si="12830"/>
        <v>0</v>
      </c>
      <c r="IR546" s="89">
        <v>0</v>
      </c>
      <c r="IS546" s="89">
        <f t="shared" si="12831"/>
        <v>0</v>
      </c>
      <c r="IT546" s="89">
        <f t="shared" si="12832"/>
        <v>0</v>
      </c>
      <c r="IU546" s="89">
        <v>0</v>
      </c>
      <c r="IV546" s="89">
        <f t="shared" si="12833"/>
        <v>0</v>
      </c>
      <c r="IW546" s="89">
        <f t="shared" si="12834"/>
        <v>0</v>
      </c>
      <c r="IX546" s="89">
        <v>0</v>
      </c>
      <c r="IY546" s="89">
        <f t="shared" si="12835"/>
        <v>0</v>
      </c>
      <c r="IZ546" s="89">
        <f t="shared" si="12836"/>
        <v>0</v>
      </c>
      <c r="JA546" s="89">
        <v>0</v>
      </c>
      <c r="JB546" s="89">
        <f t="shared" si="12837"/>
        <v>0</v>
      </c>
      <c r="JC546" s="89">
        <f t="shared" si="12838"/>
        <v>0</v>
      </c>
      <c r="JD546" s="89">
        <v>0</v>
      </c>
      <c r="JE546" s="89">
        <f t="shared" si="12839"/>
        <v>0</v>
      </c>
      <c r="JF546" s="89">
        <f t="shared" si="12840"/>
        <v>0</v>
      </c>
      <c r="JG546" s="89">
        <v>0</v>
      </c>
      <c r="JH546" s="89">
        <f t="shared" si="12841"/>
        <v>0</v>
      </c>
      <c r="JI546" s="89">
        <f t="shared" si="12842"/>
        <v>0</v>
      </c>
      <c r="JJ546" s="89">
        <v>0</v>
      </c>
      <c r="JK546" s="89">
        <f t="shared" si="12843"/>
        <v>0</v>
      </c>
      <c r="JL546" s="89">
        <f t="shared" si="12844"/>
        <v>0</v>
      </c>
      <c r="JM546" s="89">
        <v>0</v>
      </c>
      <c r="JN546" s="89">
        <f t="shared" si="12845"/>
        <v>0</v>
      </c>
      <c r="JO546" s="89">
        <f t="shared" si="12846"/>
        <v>0</v>
      </c>
      <c r="JP546" s="89">
        <v>0</v>
      </c>
      <c r="JQ546" s="89">
        <f t="shared" ref="JQ546:JR546" si="12850">JP546</f>
        <v>0</v>
      </c>
      <c r="JR546" s="89">
        <f t="shared" si="12850"/>
        <v>0</v>
      </c>
      <c r="JS546" s="74">
        <f>HG546-IF546</f>
        <v>0</v>
      </c>
      <c r="JT546" s="382">
        <f>GS546-IF546</f>
        <v>0</v>
      </c>
      <c r="JU546" s="665"/>
      <c r="JV546" s="524"/>
      <c r="JW546" s="525"/>
      <c r="JX546" s="549">
        <f t="shared" si="12848"/>
        <v>0</v>
      </c>
      <c r="JY546" s="549">
        <f t="shared" si="12848"/>
        <v>0</v>
      </c>
      <c r="JZ546" s="581">
        <f t="shared" si="12201"/>
        <v>0</v>
      </c>
      <c r="KA546" s="581">
        <f t="shared" si="12202"/>
        <v>0</v>
      </c>
      <c r="KB546" s="549">
        <f t="shared" si="12194"/>
        <v>0</v>
      </c>
      <c r="KC546" s="709">
        <f t="shared" si="12200"/>
        <v>0</v>
      </c>
      <c r="KD546" s="36"/>
      <c r="KE546" s="36"/>
      <c r="KF546" s="36"/>
      <c r="KG546" s="36"/>
      <c r="KH546" s="36"/>
      <c r="KI546" s="36"/>
      <c r="KJ546" s="36"/>
      <c r="KK546" s="36"/>
    </row>
    <row r="547" spans="1:297" s="10" customFormat="1">
      <c r="A547" s="86" t="s">
        <v>1176</v>
      </c>
      <c r="B547" s="77"/>
      <c r="C547" s="74">
        <v>10000</v>
      </c>
      <c r="D547" s="549">
        <v>0</v>
      </c>
      <c r="E547" s="675">
        <v>0</v>
      </c>
      <c r="F547" s="549">
        <v>0</v>
      </c>
      <c r="G547" s="675">
        <v>0</v>
      </c>
      <c r="H547" s="549">
        <v>0</v>
      </c>
      <c r="I547" s="675">
        <v>0</v>
      </c>
      <c r="J547" s="549">
        <v>0</v>
      </c>
      <c r="K547" s="675">
        <v>0</v>
      </c>
      <c r="L547" s="549">
        <v>0</v>
      </c>
      <c r="M547" s="675">
        <v>0</v>
      </c>
      <c r="N547" s="549">
        <v>0</v>
      </c>
      <c r="O547" s="675">
        <v>0</v>
      </c>
      <c r="P547" s="549">
        <v>0</v>
      </c>
      <c r="Q547" s="675">
        <v>0</v>
      </c>
      <c r="R547" s="549">
        <v>0</v>
      </c>
      <c r="S547" s="675">
        <v>0</v>
      </c>
      <c r="T547" s="549">
        <v>0</v>
      </c>
      <c r="U547" s="675">
        <v>0</v>
      </c>
      <c r="V547" s="549">
        <v>0</v>
      </c>
      <c r="W547" s="675">
        <v>0</v>
      </c>
      <c r="X547" s="549">
        <v>0</v>
      </c>
      <c r="Y547" s="675">
        <v>0</v>
      </c>
      <c r="Z547" s="549">
        <v>0</v>
      </c>
      <c r="AA547" s="675">
        <v>0</v>
      </c>
      <c r="AB547" s="549">
        <v>0</v>
      </c>
      <c r="AC547" s="675">
        <v>0</v>
      </c>
      <c r="AD547" s="549">
        <v>0</v>
      </c>
      <c r="AE547" s="675">
        <v>0</v>
      </c>
      <c r="AF547" s="549">
        <v>0</v>
      </c>
      <c r="AG547" s="675">
        <v>0</v>
      </c>
      <c r="AH547" s="549">
        <v>0</v>
      </c>
      <c r="AI547" s="675">
        <v>0</v>
      </c>
      <c r="AJ547" s="549">
        <v>0</v>
      </c>
      <c r="AK547" s="675">
        <v>0</v>
      </c>
      <c r="AL547" s="549">
        <v>0</v>
      </c>
      <c r="AM547" s="675">
        <v>0</v>
      </c>
      <c r="AN547" s="549">
        <v>0</v>
      </c>
      <c r="AO547" s="675">
        <v>0</v>
      </c>
      <c r="AP547" s="549">
        <v>0</v>
      </c>
      <c r="AQ547" s="675">
        <v>0</v>
      </c>
      <c r="AR547" s="549">
        <v>0</v>
      </c>
      <c r="AS547" s="675">
        <v>0</v>
      </c>
      <c r="AT547" s="549">
        <v>0</v>
      </c>
      <c r="AU547" s="675">
        <v>0</v>
      </c>
      <c r="AV547" s="549">
        <v>0</v>
      </c>
      <c r="AW547" s="675">
        <v>0</v>
      </c>
      <c r="AX547" s="549">
        <v>0</v>
      </c>
      <c r="AY547" s="675">
        <v>0</v>
      </c>
      <c r="AZ547" s="549">
        <v>0</v>
      </c>
      <c r="BA547" s="675">
        <v>0</v>
      </c>
      <c r="BB547" s="549">
        <v>0</v>
      </c>
      <c r="BC547" s="675">
        <v>0</v>
      </c>
      <c r="BD547" s="549">
        <v>0</v>
      </c>
      <c r="BE547" s="675">
        <v>0</v>
      </c>
      <c r="BF547" s="549">
        <v>0</v>
      </c>
      <c r="BG547" s="675">
        <v>0</v>
      </c>
      <c r="BH547" s="549">
        <v>18000</v>
      </c>
      <c r="BI547" s="675">
        <v>0</v>
      </c>
      <c r="BJ547" s="549">
        <v>0</v>
      </c>
      <c r="BK547" s="675">
        <v>0</v>
      </c>
      <c r="BL547" s="549">
        <v>0</v>
      </c>
      <c r="BM547" s="675">
        <v>0</v>
      </c>
      <c r="BN547" s="549">
        <v>0</v>
      </c>
      <c r="BO547" s="675">
        <v>0</v>
      </c>
      <c r="BP547" s="549">
        <v>0</v>
      </c>
      <c r="BQ547" s="675">
        <v>0</v>
      </c>
      <c r="BR547" s="549">
        <v>0</v>
      </c>
      <c r="BS547" s="675">
        <v>0</v>
      </c>
      <c r="BT547" s="549">
        <v>0</v>
      </c>
      <c r="BU547" s="675">
        <v>0</v>
      </c>
      <c r="BV547" s="549">
        <v>0</v>
      </c>
      <c r="BW547" s="675">
        <v>0</v>
      </c>
      <c r="BX547" s="549">
        <v>0</v>
      </c>
      <c r="BY547" s="675">
        <v>0</v>
      </c>
      <c r="BZ547" s="549">
        <v>0</v>
      </c>
      <c r="CA547" s="675">
        <v>0</v>
      </c>
      <c r="CB547" s="549">
        <v>0</v>
      </c>
      <c r="CC547" s="675">
        <v>0</v>
      </c>
      <c r="CD547" s="549">
        <v>0</v>
      </c>
      <c r="CE547" s="675">
        <v>0</v>
      </c>
      <c r="CF547" s="549">
        <v>0</v>
      </c>
      <c r="CG547" s="675">
        <v>0</v>
      </c>
      <c r="CH547" s="549">
        <v>0</v>
      </c>
      <c r="CI547" s="675">
        <v>0</v>
      </c>
      <c r="CJ547" s="549">
        <v>0</v>
      </c>
      <c r="CK547" s="675">
        <v>0</v>
      </c>
      <c r="CL547" s="549">
        <v>0</v>
      </c>
      <c r="CM547" s="675">
        <v>0</v>
      </c>
      <c r="CN547" s="549">
        <v>0</v>
      </c>
      <c r="CO547" s="675">
        <v>0</v>
      </c>
      <c r="CP547" s="549">
        <v>0</v>
      </c>
      <c r="CQ547" s="675">
        <v>0</v>
      </c>
      <c r="CR547" s="549">
        <v>0</v>
      </c>
      <c r="CS547" s="675">
        <v>0</v>
      </c>
      <c r="CT547" s="549">
        <v>0</v>
      </c>
      <c r="CU547" s="675">
        <v>0</v>
      </c>
      <c r="CV547" s="549">
        <v>0</v>
      </c>
      <c r="CW547" s="675">
        <v>0</v>
      </c>
      <c r="CX547" s="549">
        <v>0</v>
      </c>
      <c r="CY547" s="675">
        <v>0</v>
      </c>
      <c r="CZ547" s="549">
        <v>0</v>
      </c>
      <c r="DA547" s="675">
        <v>0</v>
      </c>
      <c r="DB547" s="549">
        <v>0</v>
      </c>
      <c r="DC547" s="675">
        <v>0</v>
      </c>
      <c r="DD547" s="549">
        <v>0</v>
      </c>
      <c r="DE547" s="675">
        <v>0</v>
      </c>
      <c r="DF547" s="549">
        <v>0</v>
      </c>
      <c r="DG547" s="675">
        <v>0</v>
      </c>
      <c r="DH547" s="549">
        <v>0</v>
      </c>
      <c r="DI547" s="675">
        <v>0</v>
      </c>
      <c r="DJ547" s="549">
        <v>0</v>
      </c>
      <c r="DK547" s="675">
        <v>0</v>
      </c>
      <c r="DL547" s="549">
        <v>0</v>
      </c>
      <c r="DM547" s="675">
        <v>0</v>
      </c>
      <c r="DN547" s="549">
        <v>0</v>
      </c>
      <c r="DO547" s="675">
        <v>0</v>
      </c>
      <c r="DP547" s="549">
        <v>0</v>
      </c>
      <c r="DQ547" s="675">
        <v>-3275</v>
      </c>
      <c r="DR547" s="549">
        <v>0</v>
      </c>
      <c r="DS547" s="675">
        <v>0</v>
      </c>
      <c r="DT547" s="549">
        <v>0</v>
      </c>
      <c r="DU547" s="675">
        <v>0</v>
      </c>
      <c r="DV547" s="549">
        <v>0</v>
      </c>
      <c r="DW547" s="675">
        <v>0</v>
      </c>
      <c r="DX547" s="549">
        <v>0</v>
      </c>
      <c r="DY547" s="675">
        <v>0</v>
      </c>
      <c r="DZ547" s="549">
        <v>0</v>
      </c>
      <c r="EA547" s="675">
        <v>0</v>
      </c>
      <c r="EB547" s="549">
        <v>0</v>
      </c>
      <c r="EC547" s="675">
        <v>0</v>
      </c>
      <c r="ED547" s="549">
        <v>0</v>
      </c>
      <c r="EE547" s="675">
        <v>0</v>
      </c>
      <c r="EF547" s="549">
        <v>0</v>
      </c>
      <c r="EG547" s="675">
        <v>0</v>
      </c>
      <c r="EH547" s="549">
        <v>0</v>
      </c>
      <c r="EI547" s="675">
        <v>0</v>
      </c>
      <c r="EJ547" s="549">
        <v>47500</v>
      </c>
      <c r="EK547" s="675">
        <v>0</v>
      </c>
      <c r="EL547" s="549">
        <v>0</v>
      </c>
      <c r="EM547" s="675">
        <v>0</v>
      </c>
      <c r="EN547" s="549">
        <v>0</v>
      </c>
      <c r="EO547" s="675">
        <v>0</v>
      </c>
      <c r="EP547" s="549">
        <v>0</v>
      </c>
      <c r="EQ547" s="675">
        <v>0</v>
      </c>
      <c r="ER547" s="549">
        <v>0</v>
      </c>
      <c r="ES547" s="675">
        <v>0</v>
      </c>
      <c r="ET547" s="549">
        <v>0</v>
      </c>
      <c r="EU547" s="675">
        <v>0</v>
      </c>
      <c r="EV547" s="549">
        <v>0</v>
      </c>
      <c r="EW547" s="675">
        <v>0</v>
      </c>
      <c r="EX547" s="549">
        <v>0</v>
      </c>
      <c r="EY547" s="675">
        <v>0</v>
      </c>
      <c r="EZ547" s="549">
        <v>15400</v>
      </c>
      <c r="FA547" s="675">
        <v>0</v>
      </c>
      <c r="FB547" s="549">
        <v>0</v>
      </c>
      <c r="FC547" s="675">
        <v>0</v>
      </c>
      <c r="FD547" s="549">
        <v>2600</v>
      </c>
      <c r="FE547" s="675">
        <v>0</v>
      </c>
      <c r="FF547" s="549">
        <v>0</v>
      </c>
      <c r="FG547" s="675">
        <v>0</v>
      </c>
      <c r="FH547" s="549">
        <v>0</v>
      </c>
      <c r="FI547" s="675">
        <v>0</v>
      </c>
      <c r="FJ547" s="549">
        <v>0</v>
      </c>
      <c r="FK547" s="675">
        <v>0</v>
      </c>
      <c r="FL547" s="549">
        <v>0</v>
      </c>
      <c r="FM547" s="675">
        <v>0</v>
      </c>
      <c r="FN547" s="549">
        <v>0</v>
      </c>
      <c r="FO547" s="675">
        <v>0</v>
      </c>
      <c r="FP547" s="549">
        <v>0</v>
      </c>
      <c r="FQ547" s="675">
        <v>0</v>
      </c>
      <c r="FR547" s="549">
        <v>0</v>
      </c>
      <c r="FS547" s="675">
        <v>0</v>
      </c>
      <c r="FT547" s="549">
        <v>300</v>
      </c>
      <c r="FU547" s="675">
        <v>0</v>
      </c>
      <c r="FV547" s="549">
        <v>0</v>
      </c>
      <c r="FW547" s="675">
        <v>0</v>
      </c>
      <c r="FX547" s="549">
        <v>0</v>
      </c>
      <c r="FY547" s="675">
        <v>0</v>
      </c>
      <c r="FZ547" s="549">
        <v>0</v>
      </c>
      <c r="GA547" s="675">
        <v>0</v>
      </c>
      <c r="GB547" s="549">
        <v>0</v>
      </c>
      <c r="GC547" s="675">
        <v>0</v>
      </c>
      <c r="GD547" s="549">
        <v>0</v>
      </c>
      <c r="GE547" s="675">
        <v>0</v>
      </c>
      <c r="GF547" s="549">
        <v>0</v>
      </c>
      <c r="GG547" s="675">
        <v>0</v>
      </c>
      <c r="GH547" s="549">
        <v>0</v>
      </c>
      <c r="GI547" s="675">
        <v>0</v>
      </c>
      <c r="GJ547" s="549">
        <v>0</v>
      </c>
      <c r="GK547" s="675">
        <v>0</v>
      </c>
      <c r="GL547" s="549">
        <v>0</v>
      </c>
      <c r="GM547" s="675">
        <v>0</v>
      </c>
      <c r="GN547" s="549">
        <v>0</v>
      </c>
      <c r="GO547" s="675">
        <v>0</v>
      </c>
      <c r="GP547" s="549">
        <f t="shared" si="12818"/>
        <v>83800</v>
      </c>
      <c r="GQ547" s="675">
        <f t="shared" si="12819"/>
        <v>-3275</v>
      </c>
      <c r="GR547" s="74">
        <f>C547+GP547+GQ547</f>
        <v>90525</v>
      </c>
      <c r="GS547" s="74">
        <f t="shared" si="12820"/>
        <v>90525</v>
      </c>
      <c r="GT547" s="568">
        <f t="shared" si="12821"/>
        <v>90525</v>
      </c>
      <c r="GU547" s="275">
        <v>5000</v>
      </c>
      <c r="GV547" s="275"/>
      <c r="GW547" s="588">
        <v>5000</v>
      </c>
      <c r="GX547" s="588"/>
      <c r="GY547" s="275"/>
      <c r="GZ547" s="275"/>
      <c r="HA547" s="275"/>
      <c r="HB547" s="275"/>
      <c r="HC547" s="275"/>
      <c r="HD547" s="275"/>
      <c r="HE547" s="275"/>
      <c r="HF547" s="275"/>
      <c r="HG547" s="74">
        <f>SUM(HH547:IE547)</f>
        <v>90525</v>
      </c>
      <c r="HH547" s="89">
        <v>5000</v>
      </c>
      <c r="HI547" s="817">
        <v>0</v>
      </c>
      <c r="HJ547" s="89">
        <v>0</v>
      </c>
      <c r="HK547" s="817">
        <v>0</v>
      </c>
      <c r="HL547" s="89">
        <v>0</v>
      </c>
      <c r="HM547" s="817">
        <v>0</v>
      </c>
      <c r="HN547" s="89">
        <v>0</v>
      </c>
      <c r="HO547" s="817">
        <v>0</v>
      </c>
      <c r="HP547" s="89">
        <v>0</v>
      </c>
      <c r="HQ547" s="817">
        <v>0</v>
      </c>
      <c r="HR547" s="89">
        <v>14000</v>
      </c>
      <c r="HS547" s="817">
        <v>0</v>
      </c>
      <c r="HT547" s="89">
        <v>5000</v>
      </c>
      <c r="HU547" s="817">
        <v>0</v>
      </c>
      <c r="HV547" s="89">
        <v>725</v>
      </c>
      <c r="HW547" s="817">
        <v>0</v>
      </c>
      <c r="HX547" s="89">
        <v>62900</v>
      </c>
      <c r="HY547" s="817">
        <v>0</v>
      </c>
      <c r="HZ547" s="89">
        <f>90525-87625</f>
        <v>2900</v>
      </c>
      <c r="IA547" s="817">
        <v>0</v>
      </c>
      <c r="IB547" s="89">
        <v>0</v>
      </c>
      <c r="IC547" s="817">
        <v>0</v>
      </c>
      <c r="ID547" s="89">
        <v>0</v>
      </c>
      <c r="IE547" s="817">
        <v>0</v>
      </c>
      <c r="IF547" s="841">
        <f t="shared" si="12822"/>
        <v>90225</v>
      </c>
      <c r="IG547" s="263">
        <f t="shared" si="12823"/>
        <v>90225</v>
      </c>
      <c r="IH547" s="842">
        <f t="shared" si="12824"/>
        <v>90225</v>
      </c>
      <c r="II547" s="89">
        <v>0</v>
      </c>
      <c r="IJ547" s="89">
        <f t="shared" si="12825"/>
        <v>0</v>
      </c>
      <c r="IK547" s="89">
        <f t="shared" si="12826"/>
        <v>0</v>
      </c>
      <c r="IL547" s="89">
        <v>0</v>
      </c>
      <c r="IM547" s="89">
        <f t="shared" si="12827"/>
        <v>0</v>
      </c>
      <c r="IN547" s="89">
        <f t="shared" si="12828"/>
        <v>0</v>
      </c>
      <c r="IO547" s="89">
        <v>0</v>
      </c>
      <c r="IP547" s="89">
        <f t="shared" si="12829"/>
        <v>0</v>
      </c>
      <c r="IQ547" s="89">
        <f t="shared" si="12830"/>
        <v>0</v>
      </c>
      <c r="IR547" s="89">
        <v>1000</v>
      </c>
      <c r="IS547" s="89">
        <f t="shared" si="12831"/>
        <v>1000</v>
      </c>
      <c r="IT547" s="89">
        <f t="shared" si="12832"/>
        <v>1000</v>
      </c>
      <c r="IU547" s="89">
        <v>0</v>
      </c>
      <c r="IV547" s="89">
        <f t="shared" si="12833"/>
        <v>0</v>
      </c>
      <c r="IW547" s="89">
        <f t="shared" si="12834"/>
        <v>0</v>
      </c>
      <c r="IX547" s="89">
        <v>18000</v>
      </c>
      <c r="IY547" s="89">
        <f t="shared" si="12835"/>
        <v>18000</v>
      </c>
      <c r="IZ547" s="89">
        <f t="shared" si="12836"/>
        <v>18000</v>
      </c>
      <c r="JA547" s="89">
        <f>20625-19000</f>
        <v>1625</v>
      </c>
      <c r="JB547" s="89">
        <f t="shared" si="12837"/>
        <v>1625</v>
      </c>
      <c r="JC547" s="89">
        <f t="shared" si="12838"/>
        <v>1625</v>
      </c>
      <c r="JD547" s="89">
        <f>24725-20625</f>
        <v>4100</v>
      </c>
      <c r="JE547" s="89">
        <f t="shared" si="12839"/>
        <v>4100</v>
      </c>
      <c r="JF547" s="89">
        <f t="shared" si="12840"/>
        <v>4100</v>
      </c>
      <c r="JG547" s="89">
        <f>72225-24725</f>
        <v>47500</v>
      </c>
      <c r="JH547" s="89">
        <f t="shared" si="12841"/>
        <v>47500</v>
      </c>
      <c r="JI547" s="89">
        <f t="shared" si="12842"/>
        <v>47500</v>
      </c>
      <c r="JJ547" s="89">
        <f>90225-72225</f>
        <v>18000</v>
      </c>
      <c r="JK547" s="89">
        <f t="shared" si="12843"/>
        <v>18000</v>
      </c>
      <c r="JL547" s="89">
        <f t="shared" si="12844"/>
        <v>18000</v>
      </c>
      <c r="JM547" s="89">
        <v>0</v>
      </c>
      <c r="JN547" s="89">
        <f t="shared" si="12845"/>
        <v>0</v>
      </c>
      <c r="JO547" s="89">
        <f t="shared" si="12846"/>
        <v>0</v>
      </c>
      <c r="JP547" s="89">
        <v>0</v>
      </c>
      <c r="JQ547" s="89">
        <f t="shared" ref="JQ547:JR547" si="12851">JP547</f>
        <v>0</v>
      </c>
      <c r="JR547" s="89">
        <f t="shared" si="12851"/>
        <v>0</v>
      </c>
      <c r="JS547" s="74">
        <f>HG547-IF547</f>
        <v>300</v>
      </c>
      <c r="JT547" s="382">
        <f>GS547-IF547</f>
        <v>300</v>
      </c>
      <c r="JU547" s="665"/>
      <c r="JV547" s="524"/>
      <c r="JW547" s="525"/>
      <c r="JX547" s="549">
        <f t="shared" si="12848"/>
        <v>90525</v>
      </c>
      <c r="JY547" s="549">
        <f t="shared" si="12848"/>
        <v>0</v>
      </c>
      <c r="JZ547" s="581">
        <f t="shared" si="12201"/>
        <v>83800</v>
      </c>
      <c r="KA547" s="581">
        <f t="shared" si="12202"/>
        <v>-3275</v>
      </c>
      <c r="KB547" s="549">
        <f t="shared" si="12194"/>
        <v>90525</v>
      </c>
      <c r="KC547" s="709">
        <f t="shared" si="12200"/>
        <v>0</v>
      </c>
      <c r="KD547" s="36"/>
      <c r="KE547" s="36"/>
      <c r="KF547" s="36"/>
      <c r="KG547" s="36"/>
      <c r="KH547" s="36"/>
      <c r="KI547" s="36"/>
      <c r="KJ547" s="36"/>
      <c r="KK547" s="36"/>
    </row>
    <row r="548" spans="1:297" s="10" customFormat="1">
      <c r="A548" s="86"/>
      <c r="B548" s="77"/>
      <c r="C548" s="74"/>
      <c r="D548" s="549"/>
      <c r="E548" s="675"/>
      <c r="F548" s="549"/>
      <c r="G548" s="675"/>
      <c r="H548" s="549"/>
      <c r="I548" s="675"/>
      <c r="J548" s="549"/>
      <c r="K548" s="675"/>
      <c r="L548" s="549"/>
      <c r="M548" s="675"/>
      <c r="N548" s="549"/>
      <c r="O548" s="675"/>
      <c r="P548" s="549"/>
      <c r="Q548" s="675"/>
      <c r="R548" s="549"/>
      <c r="S548" s="675"/>
      <c r="T548" s="549"/>
      <c r="U548" s="675"/>
      <c r="V548" s="549"/>
      <c r="W548" s="675"/>
      <c r="X548" s="549"/>
      <c r="Y548" s="675"/>
      <c r="Z548" s="549"/>
      <c r="AA548" s="675"/>
      <c r="AB548" s="549"/>
      <c r="AC548" s="675"/>
      <c r="AD548" s="549"/>
      <c r="AE548" s="675"/>
      <c r="AF548" s="549"/>
      <c r="AG548" s="675"/>
      <c r="AH548" s="549"/>
      <c r="AI548" s="675"/>
      <c r="AJ548" s="549"/>
      <c r="AK548" s="675"/>
      <c r="AL548" s="549"/>
      <c r="AM548" s="675"/>
      <c r="AN548" s="549"/>
      <c r="AO548" s="675"/>
      <c r="AP548" s="549"/>
      <c r="AQ548" s="675"/>
      <c r="AR548" s="549"/>
      <c r="AS548" s="675"/>
      <c r="AT548" s="549"/>
      <c r="AU548" s="675"/>
      <c r="AV548" s="549"/>
      <c r="AW548" s="675"/>
      <c r="AX548" s="549"/>
      <c r="AY548" s="675"/>
      <c r="AZ548" s="549"/>
      <c r="BA548" s="675"/>
      <c r="BB548" s="549"/>
      <c r="BC548" s="675"/>
      <c r="BD548" s="549"/>
      <c r="BE548" s="675"/>
      <c r="BF548" s="549"/>
      <c r="BG548" s="675"/>
      <c r="BH548" s="549"/>
      <c r="BI548" s="675"/>
      <c r="BJ548" s="549"/>
      <c r="BK548" s="675"/>
      <c r="BL548" s="549"/>
      <c r="BM548" s="675"/>
      <c r="BN548" s="549"/>
      <c r="BO548" s="675"/>
      <c r="BP548" s="549"/>
      <c r="BQ548" s="675"/>
      <c r="BR548" s="549"/>
      <c r="BS548" s="675"/>
      <c r="BT548" s="549"/>
      <c r="BU548" s="675"/>
      <c r="BV548" s="549"/>
      <c r="BW548" s="675"/>
      <c r="BX548" s="549"/>
      <c r="BY548" s="675"/>
      <c r="BZ548" s="549"/>
      <c r="CA548" s="675"/>
      <c r="CB548" s="549"/>
      <c r="CC548" s="675"/>
      <c r="CD548" s="549"/>
      <c r="CE548" s="675"/>
      <c r="CF548" s="549"/>
      <c r="CG548" s="675"/>
      <c r="CH548" s="549"/>
      <c r="CI548" s="675"/>
      <c r="CJ548" s="549"/>
      <c r="CK548" s="675"/>
      <c r="CL548" s="549"/>
      <c r="CM548" s="675"/>
      <c r="CN548" s="549"/>
      <c r="CO548" s="675"/>
      <c r="CP548" s="549"/>
      <c r="CQ548" s="675"/>
      <c r="CR548" s="549"/>
      <c r="CS548" s="675"/>
      <c r="CT548" s="549"/>
      <c r="CU548" s="675"/>
      <c r="CV548" s="549"/>
      <c r="CW548" s="675"/>
      <c r="CX548" s="549"/>
      <c r="CY548" s="675"/>
      <c r="CZ548" s="549"/>
      <c r="DA548" s="675"/>
      <c r="DB548" s="549"/>
      <c r="DC548" s="675"/>
      <c r="DD548" s="549"/>
      <c r="DE548" s="675"/>
      <c r="DF548" s="549"/>
      <c r="DG548" s="675"/>
      <c r="DH548" s="549"/>
      <c r="DI548" s="675"/>
      <c r="DJ548" s="549"/>
      <c r="DK548" s="675"/>
      <c r="DL548" s="549"/>
      <c r="DM548" s="675"/>
      <c r="DN548" s="549"/>
      <c r="DO548" s="675"/>
      <c r="DP548" s="549"/>
      <c r="DQ548" s="675"/>
      <c r="DR548" s="549"/>
      <c r="DS548" s="675"/>
      <c r="DT548" s="549"/>
      <c r="DU548" s="675"/>
      <c r="DV548" s="549"/>
      <c r="DW548" s="675"/>
      <c r="DX548" s="549"/>
      <c r="DY548" s="675"/>
      <c r="DZ548" s="549"/>
      <c r="EA548" s="675"/>
      <c r="EB548" s="549"/>
      <c r="EC548" s="675"/>
      <c r="ED548" s="549"/>
      <c r="EE548" s="675"/>
      <c r="EF548" s="549"/>
      <c r="EG548" s="675"/>
      <c r="EH548" s="549"/>
      <c r="EI548" s="675"/>
      <c r="EJ548" s="549"/>
      <c r="EK548" s="675"/>
      <c r="EL548" s="549"/>
      <c r="EM548" s="675"/>
      <c r="EN548" s="549"/>
      <c r="EO548" s="675"/>
      <c r="EP548" s="549"/>
      <c r="EQ548" s="675"/>
      <c r="ER548" s="549"/>
      <c r="ES548" s="675"/>
      <c r="ET548" s="549"/>
      <c r="EU548" s="675"/>
      <c r="EV548" s="549"/>
      <c r="EW548" s="675"/>
      <c r="EX548" s="549"/>
      <c r="EY548" s="675"/>
      <c r="EZ548" s="549"/>
      <c r="FA548" s="675"/>
      <c r="FB548" s="549"/>
      <c r="FC548" s="675"/>
      <c r="FD548" s="549"/>
      <c r="FE548" s="675"/>
      <c r="FF548" s="549"/>
      <c r="FG548" s="675"/>
      <c r="FH548" s="549"/>
      <c r="FI548" s="675"/>
      <c r="FJ548" s="549"/>
      <c r="FK548" s="675"/>
      <c r="FL548" s="549"/>
      <c r="FM548" s="675"/>
      <c r="FN548" s="549"/>
      <c r="FO548" s="675"/>
      <c r="FP548" s="549"/>
      <c r="FQ548" s="675"/>
      <c r="FR548" s="549"/>
      <c r="FS548" s="675"/>
      <c r="FT548" s="549"/>
      <c r="FU548" s="675"/>
      <c r="FV548" s="549"/>
      <c r="FW548" s="675"/>
      <c r="FX548" s="549"/>
      <c r="FY548" s="675"/>
      <c r="FZ548" s="549"/>
      <c r="GA548" s="675"/>
      <c r="GB548" s="549"/>
      <c r="GC548" s="675"/>
      <c r="GD548" s="549"/>
      <c r="GE548" s="675"/>
      <c r="GF548" s="549"/>
      <c r="GG548" s="675"/>
      <c r="GH548" s="549"/>
      <c r="GI548" s="675"/>
      <c r="GJ548" s="549"/>
      <c r="GK548" s="675"/>
      <c r="GL548" s="549"/>
      <c r="GM548" s="675"/>
      <c r="GN548" s="549"/>
      <c r="GO548" s="675"/>
      <c r="GP548" s="549"/>
      <c r="GQ548" s="675"/>
      <c r="GR548" s="74"/>
      <c r="GS548" s="74"/>
      <c r="GT548" s="549"/>
      <c r="GU548" s="73"/>
      <c r="GV548" s="73"/>
      <c r="GW548" s="549"/>
      <c r="GX548" s="549"/>
      <c r="GY548" s="73"/>
      <c r="GZ548" s="73"/>
      <c r="HA548" s="73"/>
      <c r="HB548" s="73"/>
      <c r="HC548" s="73"/>
      <c r="HD548" s="73"/>
      <c r="HE548" s="73"/>
      <c r="HF548" s="73"/>
      <c r="HG548" s="74"/>
      <c r="HH548" s="73"/>
      <c r="HI548" s="815"/>
      <c r="HJ548" s="73"/>
      <c r="HK548" s="815"/>
      <c r="HL548" s="73"/>
      <c r="HM548" s="815"/>
      <c r="HN548" s="73"/>
      <c r="HO548" s="815"/>
      <c r="HP548" s="73"/>
      <c r="HQ548" s="815"/>
      <c r="HR548" s="73"/>
      <c r="HS548" s="815"/>
      <c r="HT548" s="73"/>
      <c r="HU548" s="815"/>
      <c r="HV548" s="73"/>
      <c r="HW548" s="815"/>
      <c r="HX548" s="73"/>
      <c r="HY548" s="815"/>
      <c r="HZ548" s="73"/>
      <c r="IA548" s="815"/>
      <c r="IB548" s="73"/>
      <c r="IC548" s="815"/>
      <c r="ID548" s="73"/>
      <c r="IE548" s="815"/>
      <c r="IF548" s="841"/>
      <c r="IG548" s="263"/>
      <c r="IH548" s="842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  <c r="JD548" s="73"/>
      <c r="JE548" s="73"/>
      <c r="JF548" s="73"/>
      <c r="JG548" s="73"/>
      <c r="JH548" s="73"/>
      <c r="JI548" s="73"/>
      <c r="JJ548" s="73"/>
      <c r="JK548" s="73"/>
      <c r="JL548" s="73"/>
      <c r="JM548" s="73"/>
      <c r="JN548" s="73"/>
      <c r="JO548" s="73"/>
      <c r="JP548" s="73"/>
      <c r="JQ548" s="73"/>
      <c r="JR548" s="73"/>
      <c r="JS548" s="74"/>
      <c r="JT548" s="382"/>
      <c r="JU548" s="665"/>
      <c r="JV548" s="524"/>
      <c r="JW548" s="525"/>
      <c r="JX548" s="549"/>
      <c r="JY548" s="549"/>
      <c r="JZ548" s="581">
        <f t="shared" si="12201"/>
        <v>0</v>
      </c>
      <c r="KA548" s="581">
        <f t="shared" si="12202"/>
        <v>0</v>
      </c>
      <c r="KB548" s="549">
        <f t="shared" si="12194"/>
        <v>0</v>
      </c>
      <c r="KC548" s="709">
        <f t="shared" si="12200"/>
        <v>0</v>
      </c>
      <c r="KD548" s="36"/>
      <c r="KE548" s="36"/>
      <c r="KF548" s="36"/>
      <c r="KG548" s="36"/>
      <c r="KH548" s="36"/>
      <c r="KI548" s="36"/>
      <c r="KJ548" s="36"/>
      <c r="KK548" s="36"/>
    </row>
    <row r="549" spans="1:297" s="8" customFormat="1">
      <c r="A549" s="80" t="s">
        <v>305</v>
      </c>
      <c r="B549" s="72" t="s">
        <v>208</v>
      </c>
      <c r="C549" s="74">
        <f t="shared" ref="C549" si="12852">SUM(C550:C553)</f>
        <v>50000</v>
      </c>
      <c r="D549" s="549">
        <f t="shared" ref="D549:E549" si="12853">SUM(D550:D553)</f>
        <v>0</v>
      </c>
      <c r="E549" s="675">
        <f t="shared" si="12853"/>
        <v>0</v>
      </c>
      <c r="F549" s="549">
        <f t="shared" ref="F549:G549" si="12854">SUM(F550:F553)</f>
        <v>0</v>
      </c>
      <c r="G549" s="675">
        <f t="shared" si="12854"/>
        <v>0</v>
      </c>
      <c r="H549" s="549">
        <f t="shared" ref="H549:I549" si="12855">SUM(H550:H553)</f>
        <v>0</v>
      </c>
      <c r="I549" s="675">
        <f t="shared" si="12855"/>
        <v>0</v>
      </c>
      <c r="J549" s="549">
        <f t="shared" ref="J549:K549" si="12856">SUM(J550:J553)</f>
        <v>0</v>
      </c>
      <c r="K549" s="675">
        <f t="shared" si="12856"/>
        <v>0</v>
      </c>
      <c r="L549" s="549">
        <f t="shared" ref="L549:M549" si="12857">SUM(L550:L553)</f>
        <v>0</v>
      </c>
      <c r="M549" s="675">
        <f t="shared" si="12857"/>
        <v>0</v>
      </c>
      <c r="N549" s="549">
        <f t="shared" ref="N549:O549" si="12858">SUM(N550:N553)</f>
        <v>0</v>
      </c>
      <c r="O549" s="675">
        <f t="shared" si="12858"/>
        <v>0</v>
      </c>
      <c r="P549" s="549">
        <f t="shared" ref="P549:Q549" si="12859">SUM(P550:P553)</f>
        <v>0</v>
      </c>
      <c r="Q549" s="675">
        <f t="shared" si="12859"/>
        <v>0</v>
      </c>
      <c r="R549" s="549">
        <f t="shared" ref="R549:S549" si="12860">SUM(R550:R553)</f>
        <v>0</v>
      </c>
      <c r="S549" s="675">
        <f t="shared" si="12860"/>
        <v>0</v>
      </c>
      <c r="T549" s="549">
        <f t="shared" ref="T549:AM549" si="12861">SUM(T550:T553)</f>
        <v>0</v>
      </c>
      <c r="U549" s="675">
        <f t="shared" si="12861"/>
        <v>0</v>
      </c>
      <c r="V549" s="549">
        <f t="shared" si="12861"/>
        <v>0</v>
      </c>
      <c r="W549" s="675">
        <f t="shared" si="12861"/>
        <v>0</v>
      </c>
      <c r="X549" s="549">
        <f t="shared" si="12861"/>
        <v>0</v>
      </c>
      <c r="Y549" s="675">
        <f t="shared" si="12861"/>
        <v>0</v>
      </c>
      <c r="Z549" s="549">
        <f t="shared" si="12861"/>
        <v>0</v>
      </c>
      <c r="AA549" s="675">
        <f t="shared" si="12861"/>
        <v>0</v>
      </c>
      <c r="AB549" s="549">
        <f t="shared" si="12861"/>
        <v>0</v>
      </c>
      <c r="AC549" s="675">
        <f t="shared" si="12861"/>
        <v>0</v>
      </c>
      <c r="AD549" s="549">
        <f t="shared" ref="AD549:AK549" si="12862">SUM(AD550:AD553)</f>
        <v>0</v>
      </c>
      <c r="AE549" s="675">
        <f t="shared" si="12862"/>
        <v>0</v>
      </c>
      <c r="AF549" s="549">
        <f t="shared" si="12862"/>
        <v>0</v>
      </c>
      <c r="AG549" s="675">
        <f t="shared" si="12862"/>
        <v>0</v>
      </c>
      <c r="AH549" s="549">
        <f t="shared" si="12862"/>
        <v>0</v>
      </c>
      <c r="AI549" s="675">
        <f t="shared" si="12862"/>
        <v>0</v>
      </c>
      <c r="AJ549" s="549">
        <f t="shared" si="12862"/>
        <v>0</v>
      </c>
      <c r="AK549" s="675">
        <f t="shared" si="12862"/>
        <v>0</v>
      </c>
      <c r="AL549" s="549">
        <f t="shared" si="12861"/>
        <v>0</v>
      </c>
      <c r="AM549" s="675">
        <f t="shared" si="12861"/>
        <v>0</v>
      </c>
      <c r="AN549" s="549">
        <f t="shared" ref="AN549:AS549" si="12863">SUM(AN550:AN553)</f>
        <v>0</v>
      </c>
      <c r="AO549" s="675">
        <f t="shared" si="12863"/>
        <v>0</v>
      </c>
      <c r="AP549" s="549">
        <f t="shared" si="12863"/>
        <v>0</v>
      </c>
      <c r="AQ549" s="675">
        <f t="shared" si="12863"/>
        <v>0</v>
      </c>
      <c r="AR549" s="549">
        <f t="shared" si="12863"/>
        <v>0</v>
      </c>
      <c r="AS549" s="675">
        <f t="shared" si="12863"/>
        <v>0</v>
      </c>
      <c r="AT549" s="549">
        <f t="shared" ref="AT549:AU549" si="12864">SUM(AT550:AT553)</f>
        <v>0</v>
      </c>
      <c r="AU549" s="675">
        <f t="shared" si="12864"/>
        <v>0</v>
      </c>
      <c r="AV549" s="549">
        <f t="shared" ref="AV549:AW549" si="12865">SUM(AV550:AV553)</f>
        <v>0</v>
      </c>
      <c r="AW549" s="675">
        <f t="shared" si="12865"/>
        <v>0</v>
      </c>
      <c r="AX549" s="549">
        <f t="shared" ref="AX549:AY549" si="12866">SUM(AX550:AX553)</f>
        <v>0</v>
      </c>
      <c r="AY549" s="675">
        <f t="shared" si="12866"/>
        <v>0</v>
      </c>
      <c r="AZ549" s="549">
        <f t="shared" ref="AZ549:BA549" si="12867">SUM(AZ550:AZ553)</f>
        <v>0</v>
      </c>
      <c r="BA549" s="675">
        <f t="shared" si="12867"/>
        <v>0</v>
      </c>
      <c r="BB549" s="549">
        <f t="shared" ref="BB549:BC549" si="12868">SUM(BB550:BB553)</f>
        <v>0</v>
      </c>
      <c r="BC549" s="675">
        <f t="shared" si="12868"/>
        <v>0</v>
      </c>
      <c r="BD549" s="549">
        <f t="shared" ref="BD549:BE549" si="12869">SUM(BD550:BD553)</f>
        <v>0</v>
      </c>
      <c r="BE549" s="675">
        <f t="shared" si="12869"/>
        <v>0</v>
      </c>
      <c r="BF549" s="549">
        <f t="shared" ref="BF549:BG549" si="12870">SUM(BF550:BF553)</f>
        <v>0</v>
      </c>
      <c r="BG549" s="675">
        <f t="shared" si="12870"/>
        <v>0</v>
      </c>
      <c r="BH549" s="549">
        <f t="shared" ref="BH549:BI549" si="12871">SUM(BH550:BH553)</f>
        <v>0</v>
      </c>
      <c r="BI549" s="675">
        <f t="shared" si="12871"/>
        <v>0</v>
      </c>
      <c r="BJ549" s="549">
        <f t="shared" ref="BJ549:BK549" si="12872">SUM(BJ550:BJ553)</f>
        <v>0</v>
      </c>
      <c r="BK549" s="675">
        <f t="shared" si="12872"/>
        <v>0</v>
      </c>
      <c r="BL549" s="549">
        <f t="shared" ref="BL549:BS549" si="12873">SUM(BL550:BL553)</f>
        <v>0</v>
      </c>
      <c r="BM549" s="675">
        <f t="shared" si="12873"/>
        <v>0</v>
      </c>
      <c r="BN549" s="549">
        <f t="shared" si="12873"/>
        <v>0</v>
      </c>
      <c r="BO549" s="675">
        <f t="shared" si="12873"/>
        <v>0</v>
      </c>
      <c r="BP549" s="549">
        <f t="shared" si="12873"/>
        <v>0</v>
      </c>
      <c r="BQ549" s="675">
        <f t="shared" si="12873"/>
        <v>0</v>
      </c>
      <c r="BR549" s="549">
        <f t="shared" si="12873"/>
        <v>0</v>
      </c>
      <c r="BS549" s="675">
        <f t="shared" si="12873"/>
        <v>0</v>
      </c>
      <c r="BT549" s="549">
        <f t="shared" ref="BT549:BU549" si="12874">SUM(BT550:BT553)</f>
        <v>0</v>
      </c>
      <c r="BU549" s="675">
        <f t="shared" si="12874"/>
        <v>0</v>
      </c>
      <c r="BV549" s="549">
        <f t="shared" ref="BV549:BW549" si="12875">SUM(BV550:BV553)</f>
        <v>0</v>
      </c>
      <c r="BW549" s="675">
        <f t="shared" si="12875"/>
        <v>0</v>
      </c>
      <c r="BX549" s="549">
        <f t="shared" ref="BX549:BY549" si="12876">SUM(BX550:BX553)</f>
        <v>0</v>
      </c>
      <c r="BY549" s="675">
        <f t="shared" si="12876"/>
        <v>0</v>
      </c>
      <c r="BZ549" s="549">
        <f t="shared" ref="BZ549:CA549" si="12877">SUM(BZ550:BZ553)</f>
        <v>0</v>
      </c>
      <c r="CA549" s="675">
        <f t="shared" si="12877"/>
        <v>0</v>
      </c>
      <c r="CB549" s="549">
        <f t="shared" ref="CB549:CE549" si="12878">SUM(CB550:CB553)</f>
        <v>0</v>
      </c>
      <c r="CC549" s="675">
        <f t="shared" si="12878"/>
        <v>0</v>
      </c>
      <c r="CD549" s="549">
        <f t="shared" si="12878"/>
        <v>0</v>
      </c>
      <c r="CE549" s="675">
        <f t="shared" si="12878"/>
        <v>0</v>
      </c>
      <c r="CF549" s="549">
        <f t="shared" ref="CF549:CQ549" si="12879">SUM(CF550:CF553)</f>
        <v>0</v>
      </c>
      <c r="CG549" s="675">
        <f t="shared" si="12879"/>
        <v>0</v>
      </c>
      <c r="CH549" s="549">
        <f t="shared" si="12879"/>
        <v>0</v>
      </c>
      <c r="CI549" s="675">
        <f t="shared" si="12879"/>
        <v>0</v>
      </c>
      <c r="CJ549" s="549">
        <f t="shared" si="12879"/>
        <v>0</v>
      </c>
      <c r="CK549" s="675">
        <f t="shared" si="12879"/>
        <v>-32000</v>
      </c>
      <c r="CL549" s="549">
        <f t="shared" si="12879"/>
        <v>0</v>
      </c>
      <c r="CM549" s="675">
        <f t="shared" si="12879"/>
        <v>0</v>
      </c>
      <c r="CN549" s="549">
        <f t="shared" si="12879"/>
        <v>0</v>
      </c>
      <c r="CO549" s="675">
        <f t="shared" si="12879"/>
        <v>0</v>
      </c>
      <c r="CP549" s="549">
        <f t="shared" si="12879"/>
        <v>0</v>
      </c>
      <c r="CQ549" s="675">
        <f t="shared" si="12879"/>
        <v>0</v>
      </c>
      <c r="CR549" s="549">
        <f t="shared" ref="CR549:CY549" si="12880">SUM(CR550:CR553)</f>
        <v>0</v>
      </c>
      <c r="CS549" s="675">
        <f t="shared" si="12880"/>
        <v>0</v>
      </c>
      <c r="CT549" s="549">
        <f t="shared" si="12880"/>
        <v>0</v>
      </c>
      <c r="CU549" s="675">
        <f t="shared" si="12880"/>
        <v>0</v>
      </c>
      <c r="CV549" s="549">
        <f t="shared" si="12880"/>
        <v>0</v>
      </c>
      <c r="CW549" s="675">
        <f t="shared" si="12880"/>
        <v>0</v>
      </c>
      <c r="CX549" s="549">
        <f t="shared" si="12880"/>
        <v>0</v>
      </c>
      <c r="CY549" s="675">
        <f t="shared" si="12880"/>
        <v>0</v>
      </c>
      <c r="CZ549" s="549">
        <f t="shared" ref="CZ549:DG549" si="12881">SUM(CZ550:CZ553)</f>
        <v>0</v>
      </c>
      <c r="DA549" s="675">
        <f t="shared" si="12881"/>
        <v>0</v>
      </c>
      <c r="DB549" s="549">
        <f t="shared" si="12881"/>
        <v>0</v>
      </c>
      <c r="DC549" s="675">
        <f t="shared" si="12881"/>
        <v>0</v>
      </c>
      <c r="DD549" s="549">
        <f t="shared" si="12881"/>
        <v>0</v>
      </c>
      <c r="DE549" s="675">
        <f t="shared" si="12881"/>
        <v>0</v>
      </c>
      <c r="DF549" s="549">
        <f t="shared" si="12881"/>
        <v>0</v>
      </c>
      <c r="DG549" s="675">
        <f t="shared" si="12881"/>
        <v>0</v>
      </c>
      <c r="DH549" s="549">
        <f t="shared" ref="DH549:HG549" si="12882">SUM(DH550:DH553)</f>
        <v>0</v>
      </c>
      <c r="DI549" s="675">
        <f t="shared" si="12882"/>
        <v>0</v>
      </c>
      <c r="DJ549" s="549">
        <f t="shared" si="12882"/>
        <v>0</v>
      </c>
      <c r="DK549" s="675">
        <f t="shared" si="12882"/>
        <v>0</v>
      </c>
      <c r="DL549" s="549">
        <f t="shared" si="12882"/>
        <v>0</v>
      </c>
      <c r="DM549" s="675">
        <f t="shared" si="12882"/>
        <v>0</v>
      </c>
      <c r="DN549" s="549">
        <f t="shared" si="12882"/>
        <v>0</v>
      </c>
      <c r="DO549" s="675">
        <f t="shared" si="12882"/>
        <v>0</v>
      </c>
      <c r="DP549" s="549">
        <f t="shared" si="12882"/>
        <v>0</v>
      </c>
      <c r="DQ549" s="675">
        <f t="shared" si="12882"/>
        <v>-4765</v>
      </c>
      <c r="DR549" s="549">
        <f t="shared" si="12882"/>
        <v>0</v>
      </c>
      <c r="DS549" s="675">
        <f t="shared" si="12882"/>
        <v>0</v>
      </c>
      <c r="DT549" s="549">
        <f t="shared" si="12882"/>
        <v>0</v>
      </c>
      <c r="DU549" s="675">
        <f t="shared" si="12882"/>
        <v>0</v>
      </c>
      <c r="DV549" s="549">
        <f t="shared" si="12882"/>
        <v>0</v>
      </c>
      <c r="DW549" s="675">
        <f t="shared" si="12882"/>
        <v>0</v>
      </c>
      <c r="DX549" s="549">
        <f t="shared" si="12882"/>
        <v>0</v>
      </c>
      <c r="DY549" s="675">
        <f t="shared" si="12882"/>
        <v>0</v>
      </c>
      <c r="DZ549" s="549">
        <f t="shared" ref="DZ549:FA549" si="12883">SUM(DZ550:DZ553)</f>
        <v>0</v>
      </c>
      <c r="EA549" s="675">
        <f t="shared" si="12883"/>
        <v>0</v>
      </c>
      <c r="EB549" s="549">
        <f t="shared" si="12883"/>
        <v>0</v>
      </c>
      <c r="EC549" s="675">
        <f t="shared" si="12883"/>
        <v>0</v>
      </c>
      <c r="ED549" s="549">
        <f t="shared" si="12883"/>
        <v>0</v>
      </c>
      <c r="EE549" s="675">
        <f t="shared" si="12883"/>
        <v>0</v>
      </c>
      <c r="EF549" s="549">
        <f t="shared" si="12883"/>
        <v>0</v>
      </c>
      <c r="EG549" s="675">
        <f t="shared" si="12883"/>
        <v>0</v>
      </c>
      <c r="EH549" s="549">
        <f t="shared" ref="EH549:EM549" si="12884">SUM(EH550:EH553)</f>
        <v>0</v>
      </c>
      <c r="EI549" s="675">
        <f t="shared" si="12884"/>
        <v>0</v>
      </c>
      <c r="EJ549" s="549">
        <f t="shared" si="12884"/>
        <v>5000</v>
      </c>
      <c r="EK549" s="675">
        <f t="shared" si="12884"/>
        <v>0</v>
      </c>
      <c r="EL549" s="549">
        <f t="shared" si="12884"/>
        <v>0</v>
      </c>
      <c r="EM549" s="675">
        <f t="shared" si="12884"/>
        <v>0</v>
      </c>
      <c r="EN549" s="549">
        <f t="shared" si="12883"/>
        <v>0</v>
      </c>
      <c r="EO549" s="675">
        <f t="shared" si="12883"/>
        <v>0</v>
      </c>
      <c r="EP549" s="549">
        <f t="shared" si="12883"/>
        <v>0</v>
      </c>
      <c r="EQ549" s="675">
        <f t="shared" si="12883"/>
        <v>0</v>
      </c>
      <c r="ER549" s="549">
        <f t="shared" si="12883"/>
        <v>0</v>
      </c>
      <c r="ES549" s="675">
        <f t="shared" si="12883"/>
        <v>0</v>
      </c>
      <c r="ET549" s="549">
        <f t="shared" si="12883"/>
        <v>0</v>
      </c>
      <c r="EU549" s="675">
        <f t="shared" si="12883"/>
        <v>0</v>
      </c>
      <c r="EV549" s="549">
        <f t="shared" ref="EV549:EW549" si="12885">SUM(EV550:EV553)</f>
        <v>0</v>
      </c>
      <c r="EW549" s="675">
        <f t="shared" si="12885"/>
        <v>0</v>
      </c>
      <c r="EX549" s="549">
        <f t="shared" si="12883"/>
        <v>0</v>
      </c>
      <c r="EY549" s="675">
        <f t="shared" si="12883"/>
        <v>0</v>
      </c>
      <c r="EZ549" s="549">
        <f t="shared" si="12883"/>
        <v>0</v>
      </c>
      <c r="FA549" s="675">
        <f t="shared" si="12883"/>
        <v>0</v>
      </c>
      <c r="FB549" s="549">
        <f t="shared" si="12882"/>
        <v>0</v>
      </c>
      <c r="FC549" s="675">
        <f t="shared" si="12882"/>
        <v>0</v>
      </c>
      <c r="FD549" s="549">
        <f t="shared" si="12882"/>
        <v>0</v>
      </c>
      <c r="FE549" s="675">
        <f t="shared" si="12882"/>
        <v>0</v>
      </c>
      <c r="FF549" s="549">
        <f t="shared" ref="FF549:FG549" si="12886">SUM(FF550:FF553)</f>
        <v>0</v>
      </c>
      <c r="FG549" s="675">
        <f t="shared" si="12886"/>
        <v>0</v>
      </c>
      <c r="FH549" s="549">
        <f t="shared" ref="FH549:FI549" si="12887">SUM(FH550:FH553)</f>
        <v>0</v>
      </c>
      <c r="FI549" s="675">
        <f t="shared" si="12887"/>
        <v>0</v>
      </c>
      <c r="FJ549" s="549">
        <f t="shared" ref="FJ549:FK549" si="12888">SUM(FJ550:FJ553)</f>
        <v>0</v>
      </c>
      <c r="FK549" s="675">
        <f t="shared" si="12888"/>
        <v>0</v>
      </c>
      <c r="FL549" s="549">
        <f t="shared" ref="FL549:FM549" si="12889">SUM(FL550:FL553)</f>
        <v>0</v>
      </c>
      <c r="FM549" s="675">
        <f t="shared" si="12889"/>
        <v>0</v>
      </c>
      <c r="FN549" s="549">
        <f t="shared" ref="FN549:FO549" si="12890">SUM(FN550:FN553)</f>
        <v>0</v>
      </c>
      <c r="FO549" s="675">
        <f t="shared" si="12890"/>
        <v>0</v>
      </c>
      <c r="FP549" s="549">
        <f t="shared" ref="FP549:FQ549" si="12891">SUM(FP550:FP553)</f>
        <v>0</v>
      </c>
      <c r="FQ549" s="675">
        <f t="shared" si="12891"/>
        <v>0</v>
      </c>
      <c r="FR549" s="549">
        <f t="shared" ref="FR549:FS549" si="12892">SUM(FR550:FR553)</f>
        <v>0</v>
      </c>
      <c r="FS549" s="675">
        <f t="shared" si="12892"/>
        <v>-3202</v>
      </c>
      <c r="FT549" s="549">
        <f t="shared" ref="FT549:FU549" si="12893">SUM(FT550:FT553)</f>
        <v>0</v>
      </c>
      <c r="FU549" s="675">
        <f t="shared" si="12893"/>
        <v>0</v>
      </c>
      <c r="FV549" s="549">
        <f t="shared" ref="FV549:GK549" si="12894">SUM(FV550:FV553)</f>
        <v>0</v>
      </c>
      <c r="FW549" s="675">
        <f t="shared" si="12894"/>
        <v>0</v>
      </c>
      <c r="FX549" s="549">
        <f t="shared" si="12894"/>
        <v>0</v>
      </c>
      <c r="FY549" s="675">
        <f t="shared" si="12894"/>
        <v>0</v>
      </c>
      <c r="FZ549" s="549">
        <f t="shared" ref="FZ549:GI549" si="12895">SUM(FZ550:FZ553)</f>
        <v>0</v>
      </c>
      <c r="GA549" s="675">
        <f t="shared" si="12895"/>
        <v>0</v>
      </c>
      <c r="GB549" s="549">
        <f t="shared" si="12895"/>
        <v>0</v>
      </c>
      <c r="GC549" s="675">
        <f t="shared" si="12895"/>
        <v>0</v>
      </c>
      <c r="GD549" s="549">
        <f t="shared" si="12895"/>
        <v>0</v>
      </c>
      <c r="GE549" s="675">
        <f t="shared" si="12895"/>
        <v>0</v>
      </c>
      <c r="GF549" s="549">
        <f t="shared" si="12895"/>
        <v>0</v>
      </c>
      <c r="GG549" s="675">
        <f t="shared" si="12895"/>
        <v>0</v>
      </c>
      <c r="GH549" s="549">
        <f t="shared" si="12895"/>
        <v>0</v>
      </c>
      <c r="GI549" s="675">
        <f t="shared" si="12895"/>
        <v>0</v>
      </c>
      <c r="GJ549" s="549">
        <f t="shared" si="12894"/>
        <v>0</v>
      </c>
      <c r="GK549" s="675">
        <f t="shared" si="12894"/>
        <v>0</v>
      </c>
      <c r="GL549" s="549">
        <f t="shared" ref="GL549:GM549" si="12896">SUM(GL550:GL553)</f>
        <v>0</v>
      </c>
      <c r="GM549" s="675">
        <f t="shared" si="12896"/>
        <v>0</v>
      </c>
      <c r="GN549" s="549">
        <f t="shared" ref="GN549:GO549" si="12897">SUM(GN550:GN553)</f>
        <v>0</v>
      </c>
      <c r="GO549" s="675">
        <f t="shared" si="12897"/>
        <v>0</v>
      </c>
      <c r="GP549" s="549">
        <f t="shared" si="12882"/>
        <v>5000</v>
      </c>
      <c r="GQ549" s="675">
        <f t="shared" si="12882"/>
        <v>-39967</v>
      </c>
      <c r="GR549" s="74">
        <f t="shared" si="12882"/>
        <v>15033</v>
      </c>
      <c r="GS549" s="74">
        <f t="shared" si="12882"/>
        <v>15033</v>
      </c>
      <c r="GT549" s="549">
        <f t="shared" si="12882"/>
        <v>15033</v>
      </c>
      <c r="GU549" s="74">
        <f t="shared" si="12882"/>
        <v>6700</v>
      </c>
      <c r="GV549" s="74">
        <f t="shared" si="12882"/>
        <v>6000</v>
      </c>
      <c r="GW549" s="549">
        <f t="shared" si="12882"/>
        <v>22300</v>
      </c>
      <c r="GX549" s="549">
        <f t="shared" si="12882"/>
        <v>5000</v>
      </c>
      <c r="GY549" s="74">
        <f t="shared" si="12882"/>
        <v>5000</v>
      </c>
      <c r="GZ549" s="74">
        <f t="shared" si="12882"/>
        <v>5000</v>
      </c>
      <c r="HA549" s="74">
        <f t="shared" si="12882"/>
        <v>0</v>
      </c>
      <c r="HB549" s="74">
        <f t="shared" si="12882"/>
        <v>0</v>
      </c>
      <c r="HC549" s="74">
        <f t="shared" si="12882"/>
        <v>0</v>
      </c>
      <c r="HD549" s="74">
        <f t="shared" si="12882"/>
        <v>0</v>
      </c>
      <c r="HE549" s="74">
        <f t="shared" si="12882"/>
        <v>0</v>
      </c>
      <c r="HF549" s="74">
        <f t="shared" si="12882"/>
        <v>0</v>
      </c>
      <c r="HG549" s="74">
        <f t="shared" si="12882"/>
        <v>15033</v>
      </c>
      <c r="HH549" s="74">
        <f t="shared" ref="HH549:HI549" si="12898">SUM(HH550:HH553)</f>
        <v>6700</v>
      </c>
      <c r="HI549" s="792">
        <f t="shared" si="12898"/>
        <v>0</v>
      </c>
      <c r="HJ549" s="74">
        <f t="shared" ref="HJ549:HK549" si="12899">SUM(HJ550:HJ553)</f>
        <v>0</v>
      </c>
      <c r="HK549" s="792">
        <f t="shared" si="12899"/>
        <v>0</v>
      </c>
      <c r="HL549" s="74">
        <f t="shared" ref="HL549:HM549" si="12900">SUM(HL550:HL553)</f>
        <v>16300</v>
      </c>
      <c r="HM549" s="792">
        <f t="shared" si="12900"/>
        <v>0</v>
      </c>
      <c r="HN549" s="74">
        <f t="shared" ref="HN549:HO549" si="12901">SUM(HN550:HN553)</f>
        <v>1000</v>
      </c>
      <c r="HO549" s="792">
        <f t="shared" si="12901"/>
        <v>0</v>
      </c>
      <c r="HP549" s="74">
        <f t="shared" ref="HP549:HQ549" si="12902">SUM(HP550:HP553)</f>
        <v>1195</v>
      </c>
      <c r="HQ549" s="792">
        <f t="shared" si="12902"/>
        <v>0</v>
      </c>
      <c r="HR549" s="74">
        <f t="shared" ref="HR549:HS549" si="12903">SUM(HR550:HR553)</f>
        <v>740</v>
      </c>
      <c r="HS549" s="792">
        <f t="shared" si="12903"/>
        <v>0</v>
      </c>
      <c r="HT549" s="74">
        <f t="shared" ref="HT549:HU549" si="12904">SUM(HT550:HT553)</f>
        <v>-7935</v>
      </c>
      <c r="HU549" s="792">
        <f t="shared" si="12904"/>
        <v>0</v>
      </c>
      <c r="HV549" s="74">
        <f t="shared" ref="HV549:HW549" si="12905">SUM(HV550:HV553)</f>
        <v>0</v>
      </c>
      <c r="HW549" s="792">
        <f t="shared" si="12905"/>
        <v>0</v>
      </c>
      <c r="HX549" s="74">
        <f t="shared" ref="HX549:HY549" si="12906">SUM(HX550:HX553)</f>
        <v>235</v>
      </c>
      <c r="HY549" s="792">
        <f t="shared" si="12906"/>
        <v>0</v>
      </c>
      <c r="HZ549" s="74">
        <f t="shared" ref="HZ549:IA549" si="12907">SUM(HZ550:HZ553)</f>
        <v>-3202</v>
      </c>
      <c r="IA549" s="792">
        <f t="shared" si="12907"/>
        <v>0</v>
      </c>
      <c r="IB549" s="74">
        <f t="shared" ref="IB549:IC549" si="12908">SUM(IB550:IB553)</f>
        <v>0</v>
      </c>
      <c r="IC549" s="792">
        <f t="shared" si="12908"/>
        <v>0</v>
      </c>
      <c r="ID549" s="74">
        <f t="shared" ref="ID549:IN549" si="12909">SUM(ID550:ID553)</f>
        <v>0</v>
      </c>
      <c r="IE549" s="792">
        <f t="shared" si="12909"/>
        <v>0</v>
      </c>
      <c r="IF549" s="841">
        <f t="shared" si="12909"/>
        <v>11545</v>
      </c>
      <c r="IG549" s="263">
        <f t="shared" si="12909"/>
        <v>11545</v>
      </c>
      <c r="IH549" s="842">
        <f t="shared" si="12909"/>
        <v>11545</v>
      </c>
      <c r="II549" s="74">
        <f t="shared" si="12909"/>
        <v>0</v>
      </c>
      <c r="IJ549" s="74">
        <f t="shared" si="12909"/>
        <v>0</v>
      </c>
      <c r="IK549" s="74">
        <f t="shared" si="12909"/>
        <v>0</v>
      </c>
      <c r="IL549" s="74">
        <f t="shared" si="12909"/>
        <v>0</v>
      </c>
      <c r="IM549" s="74">
        <f t="shared" si="12909"/>
        <v>0</v>
      </c>
      <c r="IN549" s="74">
        <f t="shared" si="12909"/>
        <v>0</v>
      </c>
      <c r="IO549" s="74">
        <f t="shared" ref="IO549:JC549" si="12910">SUM(IO550:IO553)</f>
        <v>1911</v>
      </c>
      <c r="IP549" s="74">
        <f t="shared" si="12910"/>
        <v>1911</v>
      </c>
      <c r="IQ549" s="74">
        <f t="shared" si="12910"/>
        <v>1911</v>
      </c>
      <c r="IR549" s="74">
        <f t="shared" si="12910"/>
        <v>1819</v>
      </c>
      <c r="IS549" s="74">
        <f t="shared" si="12910"/>
        <v>1819</v>
      </c>
      <c r="IT549" s="74">
        <f t="shared" si="12910"/>
        <v>1819</v>
      </c>
      <c r="IU549" s="74">
        <f t="shared" si="12910"/>
        <v>2150.5</v>
      </c>
      <c r="IV549" s="74">
        <f t="shared" si="12910"/>
        <v>2150.5</v>
      </c>
      <c r="IW549" s="74">
        <f t="shared" si="12910"/>
        <v>2150.5</v>
      </c>
      <c r="IX549" s="74">
        <f t="shared" si="12910"/>
        <v>1695.5</v>
      </c>
      <c r="IY549" s="74">
        <f t="shared" si="12910"/>
        <v>1695.5</v>
      </c>
      <c r="IZ549" s="74">
        <f t="shared" si="12910"/>
        <v>1695.5</v>
      </c>
      <c r="JA549" s="74">
        <f t="shared" si="12910"/>
        <v>0</v>
      </c>
      <c r="JB549" s="74">
        <f t="shared" si="12910"/>
        <v>0</v>
      </c>
      <c r="JC549" s="74">
        <f t="shared" si="12910"/>
        <v>0</v>
      </c>
      <c r="JD549" s="74">
        <f t="shared" ref="JD549:JF549" si="12911">SUM(JD550:JD553)</f>
        <v>1501.5</v>
      </c>
      <c r="JE549" s="74">
        <f t="shared" si="12911"/>
        <v>1501.5</v>
      </c>
      <c r="JF549" s="74">
        <f t="shared" si="12911"/>
        <v>1501.5</v>
      </c>
      <c r="JG549" s="74">
        <f t="shared" ref="JG549:JI549" si="12912">SUM(JG550:JG553)</f>
        <v>955.5</v>
      </c>
      <c r="JH549" s="74">
        <f t="shared" si="12912"/>
        <v>955.5</v>
      </c>
      <c r="JI549" s="74">
        <f t="shared" si="12912"/>
        <v>955.5</v>
      </c>
      <c r="JJ549" s="74">
        <f t="shared" ref="JJ549:JL549" si="12913">SUM(JJ550:JJ553)</f>
        <v>1512</v>
      </c>
      <c r="JK549" s="74">
        <f t="shared" si="12913"/>
        <v>1512</v>
      </c>
      <c r="JL549" s="74">
        <f t="shared" si="12913"/>
        <v>1512</v>
      </c>
      <c r="JM549" s="74">
        <f t="shared" ref="JM549:JO549" si="12914">SUM(JM550:JM553)</f>
        <v>0</v>
      </c>
      <c r="JN549" s="74">
        <f t="shared" si="12914"/>
        <v>0</v>
      </c>
      <c r="JO549" s="74">
        <f t="shared" si="12914"/>
        <v>0</v>
      </c>
      <c r="JP549" s="74">
        <f t="shared" ref="JP549:JY549" si="12915">SUM(JP550:JP553)</f>
        <v>0</v>
      </c>
      <c r="JQ549" s="74">
        <f t="shared" si="12915"/>
        <v>0</v>
      </c>
      <c r="JR549" s="74">
        <f t="shared" si="12915"/>
        <v>0</v>
      </c>
      <c r="JS549" s="74">
        <f t="shared" si="12915"/>
        <v>3488</v>
      </c>
      <c r="JT549" s="102">
        <f>SUM(JT550:JT553)</f>
        <v>3488</v>
      </c>
      <c r="JU549" s="665"/>
      <c r="JV549" s="524"/>
      <c r="JW549" s="525"/>
      <c r="JX549" s="549">
        <f t="shared" si="12915"/>
        <v>15033</v>
      </c>
      <c r="JY549" s="549">
        <f t="shared" si="12915"/>
        <v>0</v>
      </c>
      <c r="JZ549" s="581">
        <f t="shared" si="12201"/>
        <v>5000</v>
      </c>
      <c r="KA549" s="581">
        <f t="shared" si="12202"/>
        <v>-39967</v>
      </c>
      <c r="KB549" s="549">
        <f t="shared" si="12194"/>
        <v>15033</v>
      </c>
      <c r="KC549" s="709">
        <f t="shared" si="12200"/>
        <v>0</v>
      </c>
      <c r="KD549" s="36"/>
      <c r="KE549" s="36"/>
      <c r="KF549" s="36"/>
      <c r="KG549" s="36"/>
      <c r="KH549" s="36"/>
      <c r="KI549" s="36"/>
      <c r="KJ549" s="36"/>
      <c r="KK549" s="36"/>
    </row>
    <row r="550" spans="1:297" s="10" customFormat="1" ht="12.75" hidden="1" customHeight="1">
      <c r="A550" s="557" t="s">
        <v>929</v>
      </c>
      <c r="B550" s="77" t="s">
        <v>209</v>
      </c>
      <c r="C550" s="74">
        <v>0</v>
      </c>
      <c r="D550" s="549">
        <v>0</v>
      </c>
      <c r="E550" s="675">
        <v>0</v>
      </c>
      <c r="F550" s="549">
        <v>0</v>
      </c>
      <c r="G550" s="675">
        <v>0</v>
      </c>
      <c r="H550" s="549">
        <v>0</v>
      </c>
      <c r="I550" s="675">
        <v>0</v>
      </c>
      <c r="J550" s="549">
        <v>0</v>
      </c>
      <c r="K550" s="675">
        <v>0</v>
      </c>
      <c r="L550" s="549">
        <v>0</v>
      </c>
      <c r="M550" s="675">
        <v>0</v>
      </c>
      <c r="N550" s="549">
        <v>0</v>
      </c>
      <c r="O550" s="675">
        <v>0</v>
      </c>
      <c r="P550" s="549">
        <v>0</v>
      </c>
      <c r="Q550" s="675">
        <v>0</v>
      </c>
      <c r="R550" s="549">
        <v>0</v>
      </c>
      <c r="S550" s="675">
        <v>0</v>
      </c>
      <c r="T550" s="549">
        <v>0</v>
      </c>
      <c r="U550" s="675">
        <v>0</v>
      </c>
      <c r="V550" s="549">
        <v>0</v>
      </c>
      <c r="W550" s="675">
        <v>0</v>
      </c>
      <c r="X550" s="549">
        <v>0</v>
      </c>
      <c r="Y550" s="675">
        <v>0</v>
      </c>
      <c r="Z550" s="549">
        <v>0</v>
      </c>
      <c r="AA550" s="675">
        <v>0</v>
      </c>
      <c r="AB550" s="549">
        <v>0</v>
      </c>
      <c r="AC550" s="675">
        <v>0</v>
      </c>
      <c r="AD550" s="549">
        <v>0</v>
      </c>
      <c r="AE550" s="675">
        <v>0</v>
      </c>
      <c r="AF550" s="549">
        <v>0</v>
      </c>
      <c r="AG550" s="675">
        <v>0</v>
      </c>
      <c r="AH550" s="549">
        <v>0</v>
      </c>
      <c r="AI550" s="675">
        <v>0</v>
      </c>
      <c r="AJ550" s="549">
        <v>0</v>
      </c>
      <c r="AK550" s="675">
        <v>0</v>
      </c>
      <c r="AL550" s="549">
        <v>0</v>
      </c>
      <c r="AM550" s="675">
        <v>0</v>
      </c>
      <c r="AN550" s="549">
        <v>0</v>
      </c>
      <c r="AO550" s="675">
        <v>0</v>
      </c>
      <c r="AP550" s="549">
        <v>0</v>
      </c>
      <c r="AQ550" s="675">
        <v>0</v>
      </c>
      <c r="AR550" s="549">
        <v>0</v>
      </c>
      <c r="AS550" s="675">
        <v>0</v>
      </c>
      <c r="AT550" s="549">
        <v>0</v>
      </c>
      <c r="AU550" s="675">
        <v>0</v>
      </c>
      <c r="AV550" s="549">
        <v>0</v>
      </c>
      <c r="AW550" s="675">
        <v>0</v>
      </c>
      <c r="AX550" s="549">
        <v>0</v>
      </c>
      <c r="AY550" s="675">
        <v>0</v>
      </c>
      <c r="AZ550" s="549">
        <v>0</v>
      </c>
      <c r="BA550" s="675">
        <v>0</v>
      </c>
      <c r="BB550" s="549">
        <v>0</v>
      </c>
      <c r="BC550" s="675">
        <v>0</v>
      </c>
      <c r="BD550" s="549">
        <v>0</v>
      </c>
      <c r="BE550" s="675">
        <v>0</v>
      </c>
      <c r="BF550" s="549">
        <v>0</v>
      </c>
      <c r="BG550" s="675">
        <v>0</v>
      </c>
      <c r="BH550" s="549">
        <v>0</v>
      </c>
      <c r="BI550" s="675">
        <v>0</v>
      </c>
      <c r="BJ550" s="549">
        <v>0</v>
      </c>
      <c r="BK550" s="675">
        <v>0</v>
      </c>
      <c r="BL550" s="549">
        <v>0</v>
      </c>
      <c r="BM550" s="675">
        <v>0</v>
      </c>
      <c r="BN550" s="549">
        <v>0</v>
      </c>
      <c r="BO550" s="675">
        <v>0</v>
      </c>
      <c r="BP550" s="549">
        <v>0</v>
      </c>
      <c r="BQ550" s="675">
        <v>0</v>
      </c>
      <c r="BR550" s="549">
        <v>0</v>
      </c>
      <c r="BS550" s="675">
        <v>0</v>
      </c>
      <c r="BT550" s="549">
        <v>0</v>
      </c>
      <c r="BU550" s="675">
        <v>0</v>
      </c>
      <c r="BV550" s="549">
        <v>0</v>
      </c>
      <c r="BW550" s="675">
        <v>0</v>
      </c>
      <c r="BX550" s="549">
        <v>0</v>
      </c>
      <c r="BY550" s="675">
        <v>0</v>
      </c>
      <c r="BZ550" s="549">
        <v>0</v>
      </c>
      <c r="CA550" s="675">
        <v>0</v>
      </c>
      <c r="CB550" s="549">
        <v>0</v>
      </c>
      <c r="CC550" s="675">
        <v>0</v>
      </c>
      <c r="CD550" s="549">
        <v>0</v>
      </c>
      <c r="CE550" s="675">
        <v>0</v>
      </c>
      <c r="CF550" s="549">
        <v>0</v>
      </c>
      <c r="CG550" s="675">
        <v>0</v>
      </c>
      <c r="CH550" s="549">
        <v>0</v>
      </c>
      <c r="CI550" s="675">
        <v>0</v>
      </c>
      <c r="CJ550" s="549">
        <v>0</v>
      </c>
      <c r="CK550" s="675">
        <v>0</v>
      </c>
      <c r="CL550" s="549">
        <v>0</v>
      </c>
      <c r="CM550" s="675">
        <v>0</v>
      </c>
      <c r="CN550" s="549">
        <v>0</v>
      </c>
      <c r="CO550" s="675">
        <v>0</v>
      </c>
      <c r="CP550" s="549">
        <v>0</v>
      </c>
      <c r="CQ550" s="675">
        <v>0</v>
      </c>
      <c r="CR550" s="549">
        <v>0</v>
      </c>
      <c r="CS550" s="675">
        <v>0</v>
      </c>
      <c r="CT550" s="549">
        <v>0</v>
      </c>
      <c r="CU550" s="675">
        <v>0</v>
      </c>
      <c r="CV550" s="549">
        <v>0</v>
      </c>
      <c r="CW550" s="675">
        <v>0</v>
      </c>
      <c r="CX550" s="549">
        <v>0</v>
      </c>
      <c r="CY550" s="675">
        <v>0</v>
      </c>
      <c r="CZ550" s="549">
        <v>0</v>
      </c>
      <c r="DA550" s="675">
        <v>0</v>
      </c>
      <c r="DB550" s="549">
        <v>0</v>
      </c>
      <c r="DC550" s="675">
        <v>0</v>
      </c>
      <c r="DD550" s="549">
        <v>0</v>
      </c>
      <c r="DE550" s="675">
        <v>0</v>
      </c>
      <c r="DF550" s="549">
        <v>0</v>
      </c>
      <c r="DG550" s="675">
        <v>0</v>
      </c>
      <c r="DH550" s="549">
        <v>0</v>
      </c>
      <c r="DI550" s="675">
        <v>0</v>
      </c>
      <c r="DJ550" s="549">
        <v>0</v>
      </c>
      <c r="DK550" s="675">
        <v>0</v>
      </c>
      <c r="DL550" s="549">
        <v>0</v>
      </c>
      <c r="DM550" s="675">
        <v>0</v>
      </c>
      <c r="DN550" s="549">
        <v>0</v>
      </c>
      <c r="DO550" s="675">
        <v>0</v>
      </c>
      <c r="DP550" s="549">
        <v>0</v>
      </c>
      <c r="DQ550" s="675">
        <v>0</v>
      </c>
      <c r="DR550" s="549">
        <v>0</v>
      </c>
      <c r="DS550" s="675">
        <v>0</v>
      </c>
      <c r="DT550" s="549">
        <v>0</v>
      </c>
      <c r="DU550" s="675">
        <v>0</v>
      </c>
      <c r="DV550" s="549">
        <v>0</v>
      </c>
      <c r="DW550" s="675">
        <v>0</v>
      </c>
      <c r="DX550" s="549">
        <v>0</v>
      </c>
      <c r="DY550" s="675">
        <v>0</v>
      </c>
      <c r="DZ550" s="549">
        <v>0</v>
      </c>
      <c r="EA550" s="675">
        <v>0</v>
      </c>
      <c r="EB550" s="549">
        <v>0</v>
      </c>
      <c r="EC550" s="675">
        <v>0</v>
      </c>
      <c r="ED550" s="549">
        <v>0</v>
      </c>
      <c r="EE550" s="675">
        <v>0</v>
      </c>
      <c r="EF550" s="549">
        <v>0</v>
      </c>
      <c r="EG550" s="675">
        <v>0</v>
      </c>
      <c r="EH550" s="549">
        <v>0</v>
      </c>
      <c r="EI550" s="675">
        <v>0</v>
      </c>
      <c r="EJ550" s="549">
        <v>0</v>
      </c>
      <c r="EK550" s="675">
        <v>0</v>
      </c>
      <c r="EL550" s="549">
        <v>0</v>
      </c>
      <c r="EM550" s="675">
        <v>0</v>
      </c>
      <c r="EN550" s="549">
        <v>0</v>
      </c>
      <c r="EO550" s="675">
        <v>0</v>
      </c>
      <c r="EP550" s="549">
        <v>0</v>
      </c>
      <c r="EQ550" s="675">
        <v>0</v>
      </c>
      <c r="ER550" s="549">
        <v>0</v>
      </c>
      <c r="ES550" s="675">
        <v>0</v>
      </c>
      <c r="ET550" s="549">
        <v>0</v>
      </c>
      <c r="EU550" s="675">
        <v>0</v>
      </c>
      <c r="EV550" s="549">
        <v>0</v>
      </c>
      <c r="EW550" s="675">
        <v>0</v>
      </c>
      <c r="EX550" s="549">
        <v>0</v>
      </c>
      <c r="EY550" s="675">
        <v>0</v>
      </c>
      <c r="EZ550" s="549">
        <v>0</v>
      </c>
      <c r="FA550" s="675">
        <v>0</v>
      </c>
      <c r="FB550" s="549">
        <v>0</v>
      </c>
      <c r="FC550" s="675">
        <v>0</v>
      </c>
      <c r="FD550" s="549">
        <v>0</v>
      </c>
      <c r="FE550" s="675">
        <v>0</v>
      </c>
      <c r="FF550" s="549">
        <v>0</v>
      </c>
      <c r="FG550" s="675">
        <v>0</v>
      </c>
      <c r="FH550" s="549">
        <v>0</v>
      </c>
      <c r="FI550" s="675">
        <v>0</v>
      </c>
      <c r="FJ550" s="549">
        <v>0</v>
      </c>
      <c r="FK550" s="675">
        <v>0</v>
      </c>
      <c r="FL550" s="549">
        <v>0</v>
      </c>
      <c r="FM550" s="675">
        <v>0</v>
      </c>
      <c r="FN550" s="549">
        <v>0</v>
      </c>
      <c r="FO550" s="675">
        <v>0</v>
      </c>
      <c r="FP550" s="549">
        <v>0</v>
      </c>
      <c r="FQ550" s="675">
        <v>0</v>
      </c>
      <c r="FR550" s="549">
        <v>0</v>
      </c>
      <c r="FS550" s="675">
        <v>0</v>
      </c>
      <c r="FT550" s="549">
        <v>0</v>
      </c>
      <c r="FU550" s="675">
        <v>0</v>
      </c>
      <c r="FV550" s="549">
        <v>0</v>
      </c>
      <c r="FW550" s="675">
        <v>0</v>
      </c>
      <c r="FX550" s="549">
        <v>0</v>
      </c>
      <c r="FY550" s="675">
        <v>0</v>
      </c>
      <c r="FZ550" s="549">
        <v>0</v>
      </c>
      <c r="GA550" s="675">
        <v>0</v>
      </c>
      <c r="GB550" s="549">
        <v>0</v>
      </c>
      <c r="GC550" s="675">
        <v>0</v>
      </c>
      <c r="GD550" s="549">
        <v>0</v>
      </c>
      <c r="GE550" s="675">
        <v>0</v>
      </c>
      <c r="GF550" s="549">
        <v>0</v>
      </c>
      <c r="GG550" s="675">
        <v>0</v>
      </c>
      <c r="GH550" s="549">
        <v>0</v>
      </c>
      <c r="GI550" s="675">
        <v>0</v>
      </c>
      <c r="GJ550" s="549">
        <v>0</v>
      </c>
      <c r="GK550" s="675">
        <v>0</v>
      </c>
      <c r="GL550" s="549">
        <v>0</v>
      </c>
      <c r="GM550" s="675">
        <v>0</v>
      </c>
      <c r="GN550" s="549">
        <v>0</v>
      </c>
      <c r="GO550" s="675">
        <v>0</v>
      </c>
      <c r="GP550" s="549">
        <f>+D550+F550+H550+J550+L550+N550+P550+R550+T550+V550+X550+Z550+AB550+AD550+AH550+AJ550+AL550+AN550+AP550+AR550+AT550+AV550+AX550+AZ550+BB550+BD550+BF550+BH550+BJ550+BL550+BN550+BP550+BR550+BT550+BV550+BX550+BZ550+CB550+CD550+CF550+CH550+CJ550+CL550+CN550+CP550+CR550+CT550+CV550+CX550+CZ550+DB550+DD550+DF550+DH550+DT550+EX550+DJ550+DL550+DN550+DP550+DR550+EJ550+EB550+DZ550+DX550+DV550+ED550+EF550+EH550+EL550+EN550+EP550+EV550+ET550+ER550+EZ550+FB550+FD550+GL550</f>
        <v>0</v>
      </c>
      <c r="GQ550" s="675">
        <f>+E550+G550+I550+K550+M550+O550+Q550+S550+U550+W550+Y550+AA550+AC550+AE550+AI550+AK550+AM550+AO550+AQ550+AS550+AU550+AW550+AY550+BA550+BC550+BE550+BG550+BI550+BK550+BM550+BO550+BQ550+BS550+BU550+BW550+BY550+CA550+CC550+CE550+CG550+CI550+CK550+CM550+CO550+CQ550+CS550+CU550+CW550+CY550+DA550+DC550+DE550+DG550+DI550+DU550+EY550+DK550+DM550+DO550+DQ550+DS550+EK550+EC550+EA550+DY550+DW550+EI550+EG550+EE550+EM550+EO550+EQ550+EW550+EU550+ES550+FA550+FC550+FE550+GM550</f>
        <v>0</v>
      </c>
      <c r="GR550" s="74">
        <f>C550+GP550+GQ550</f>
        <v>0</v>
      </c>
      <c r="GS550" s="74">
        <f t="shared" ref="GS550" si="12916">GU550</f>
        <v>0</v>
      </c>
      <c r="GT550" s="568">
        <f>SUM(GU550:HF550)+GQ550+GP550</f>
        <v>0</v>
      </c>
      <c r="GU550" s="275"/>
      <c r="GV550" s="832">
        <v>0</v>
      </c>
      <c r="GW550" s="833">
        <v>0</v>
      </c>
      <c r="GX550" s="588"/>
      <c r="GY550" s="275"/>
      <c r="GZ550" s="275"/>
      <c r="HA550" s="275"/>
      <c r="HB550" s="275">
        <v>0</v>
      </c>
      <c r="HC550" s="275">
        <v>0</v>
      </c>
      <c r="HD550" s="275"/>
      <c r="HE550" s="275"/>
      <c r="HF550" s="275"/>
      <c r="HG550" s="74">
        <f>SUM(HH550:IE550)</f>
        <v>0</v>
      </c>
      <c r="HH550" s="89">
        <v>0</v>
      </c>
      <c r="HI550" s="817">
        <v>0</v>
      </c>
      <c r="HJ550" s="89">
        <v>0</v>
      </c>
      <c r="HK550" s="817">
        <v>0</v>
      </c>
      <c r="HL550" s="89">
        <v>0</v>
      </c>
      <c r="HM550" s="817">
        <v>0</v>
      </c>
      <c r="HN550" s="89">
        <v>0</v>
      </c>
      <c r="HO550" s="817">
        <v>0</v>
      </c>
      <c r="HP550" s="89">
        <v>0</v>
      </c>
      <c r="HQ550" s="817">
        <v>0</v>
      </c>
      <c r="HR550" s="89">
        <v>0</v>
      </c>
      <c r="HS550" s="817">
        <v>0</v>
      </c>
      <c r="HT550" s="89">
        <v>0</v>
      </c>
      <c r="HU550" s="817">
        <v>0</v>
      </c>
      <c r="HV550" s="89">
        <v>0</v>
      </c>
      <c r="HW550" s="817">
        <v>0</v>
      </c>
      <c r="HX550" s="89">
        <v>0</v>
      </c>
      <c r="HY550" s="817">
        <v>0</v>
      </c>
      <c r="HZ550" s="89">
        <v>0</v>
      </c>
      <c r="IA550" s="817">
        <v>0</v>
      </c>
      <c r="IB550" s="89">
        <v>0</v>
      </c>
      <c r="IC550" s="817">
        <v>0</v>
      </c>
      <c r="ID550" s="89">
        <v>0</v>
      </c>
      <c r="IE550" s="817">
        <v>0</v>
      </c>
      <c r="IF550" s="841">
        <f t="shared" ref="IF550:IF553" si="12917">SUM(II550,IL550,IO550,IR550,IU550,IX550,JA550,JD550,JG550,JJ550,JM550,JP550)</f>
        <v>0</v>
      </c>
      <c r="IG550" s="263">
        <f t="shared" ref="IG550:IG553" si="12918">SUM(IJ550,IM550,IP550,IS550,IV550,IY550,JB550,JE550,JH550,JK550,JN550,JQ550)</f>
        <v>0</v>
      </c>
      <c r="IH550" s="842">
        <f t="shared" ref="IH550:IH553" si="12919">SUM(IK550,IN550,IQ550,IT550,IW550,IZ550,JC550,JF550,JI550,JL550,JO550,JR550)</f>
        <v>0</v>
      </c>
      <c r="II550" s="89">
        <v>0</v>
      </c>
      <c r="IJ550" s="89">
        <v>0</v>
      </c>
      <c r="IK550" s="89">
        <v>0</v>
      </c>
      <c r="IL550" s="89">
        <v>0</v>
      </c>
      <c r="IM550" s="89">
        <v>0</v>
      </c>
      <c r="IN550" s="89">
        <v>0</v>
      </c>
      <c r="IO550" s="89">
        <v>0</v>
      </c>
      <c r="IP550" s="89">
        <v>0</v>
      </c>
      <c r="IQ550" s="89">
        <v>0</v>
      </c>
      <c r="IR550" s="89">
        <v>0</v>
      </c>
      <c r="IS550" s="89">
        <v>0</v>
      </c>
      <c r="IT550" s="89">
        <v>0</v>
      </c>
      <c r="IU550" s="89">
        <v>0</v>
      </c>
      <c r="IV550" s="89">
        <v>0</v>
      </c>
      <c r="IW550" s="89">
        <v>0</v>
      </c>
      <c r="IX550" s="89">
        <v>0</v>
      </c>
      <c r="IY550" s="89">
        <v>0</v>
      </c>
      <c r="IZ550" s="89">
        <v>0</v>
      </c>
      <c r="JA550" s="89">
        <v>0</v>
      </c>
      <c r="JB550" s="89">
        <v>0</v>
      </c>
      <c r="JC550" s="89">
        <v>0</v>
      </c>
      <c r="JD550" s="89">
        <v>0</v>
      </c>
      <c r="JE550" s="89">
        <v>0</v>
      </c>
      <c r="JF550" s="89">
        <v>0</v>
      </c>
      <c r="JG550" s="89">
        <v>0</v>
      </c>
      <c r="JH550" s="89">
        <v>0</v>
      </c>
      <c r="JI550" s="89">
        <v>0</v>
      </c>
      <c r="JJ550" s="89">
        <v>0</v>
      </c>
      <c r="JK550" s="89">
        <v>0</v>
      </c>
      <c r="JL550" s="89">
        <v>0</v>
      </c>
      <c r="JM550" s="89">
        <v>0</v>
      </c>
      <c r="JN550" s="89">
        <v>0</v>
      </c>
      <c r="JO550" s="89">
        <v>0</v>
      </c>
      <c r="JP550" s="89">
        <v>0</v>
      </c>
      <c r="JQ550" s="89">
        <v>0</v>
      </c>
      <c r="JR550" s="89">
        <v>0</v>
      </c>
      <c r="JS550" s="74">
        <f>HG550-IF550</f>
        <v>0</v>
      </c>
      <c r="JT550" s="382">
        <f>GS550-IF550</f>
        <v>0</v>
      </c>
      <c r="JU550" s="665"/>
      <c r="JV550" s="524"/>
      <c r="JW550" s="525"/>
      <c r="JX550" s="549">
        <f t="shared" ref="JX550:JY553" si="12920">SUM(HH550,HJ550,HL550,HN550,HP550,HR550,HT550,HV550,HX550,HZ550,IB550,ID550)</f>
        <v>0</v>
      </c>
      <c r="JY550" s="549">
        <f t="shared" si="12920"/>
        <v>0</v>
      </c>
      <c r="JZ550" s="581">
        <f t="shared" si="12201"/>
        <v>0</v>
      </c>
      <c r="KA550" s="581">
        <f t="shared" si="12202"/>
        <v>0</v>
      </c>
      <c r="KB550" s="549">
        <f t="shared" si="12194"/>
        <v>0</v>
      </c>
      <c r="KC550" s="709">
        <f t="shared" si="12200"/>
        <v>0</v>
      </c>
      <c r="KD550" s="36"/>
      <c r="KE550" s="36"/>
      <c r="KF550" s="36"/>
      <c r="KG550" s="36"/>
      <c r="KH550" s="36"/>
      <c r="KI550" s="36"/>
      <c r="KJ550" s="36"/>
      <c r="KK550" s="36"/>
    </row>
    <row r="551" spans="1:297" s="10" customFormat="1" ht="12.75" hidden="1" customHeight="1">
      <c r="A551" s="86" t="s">
        <v>306</v>
      </c>
      <c r="B551" s="77" t="s">
        <v>209</v>
      </c>
      <c r="C551" s="74">
        <v>0</v>
      </c>
      <c r="D551" s="549">
        <v>0</v>
      </c>
      <c r="E551" s="675">
        <v>0</v>
      </c>
      <c r="F551" s="549">
        <v>0</v>
      </c>
      <c r="G551" s="675">
        <v>0</v>
      </c>
      <c r="H551" s="549">
        <v>0</v>
      </c>
      <c r="I551" s="675">
        <v>0</v>
      </c>
      <c r="J551" s="549">
        <v>0</v>
      </c>
      <c r="K551" s="675">
        <v>0</v>
      </c>
      <c r="L551" s="549">
        <v>0</v>
      </c>
      <c r="M551" s="675">
        <v>0</v>
      </c>
      <c r="N551" s="549">
        <v>0</v>
      </c>
      <c r="O551" s="675">
        <v>0</v>
      </c>
      <c r="P551" s="549">
        <v>0</v>
      </c>
      <c r="Q551" s="675">
        <v>0</v>
      </c>
      <c r="R551" s="549">
        <v>0</v>
      </c>
      <c r="S551" s="675">
        <v>0</v>
      </c>
      <c r="T551" s="549">
        <v>0</v>
      </c>
      <c r="U551" s="675">
        <v>0</v>
      </c>
      <c r="V551" s="549">
        <v>0</v>
      </c>
      <c r="W551" s="675">
        <v>0</v>
      </c>
      <c r="X551" s="549">
        <v>0</v>
      </c>
      <c r="Y551" s="675">
        <v>0</v>
      </c>
      <c r="Z551" s="549">
        <v>0</v>
      </c>
      <c r="AA551" s="675">
        <v>0</v>
      </c>
      <c r="AB551" s="549">
        <v>0</v>
      </c>
      <c r="AC551" s="675">
        <v>0</v>
      </c>
      <c r="AD551" s="549">
        <v>0</v>
      </c>
      <c r="AE551" s="675">
        <v>0</v>
      </c>
      <c r="AF551" s="549">
        <v>0</v>
      </c>
      <c r="AG551" s="675">
        <v>0</v>
      </c>
      <c r="AH551" s="549">
        <v>0</v>
      </c>
      <c r="AI551" s="675">
        <v>0</v>
      </c>
      <c r="AJ551" s="549">
        <v>0</v>
      </c>
      <c r="AK551" s="675">
        <v>0</v>
      </c>
      <c r="AL551" s="549">
        <v>0</v>
      </c>
      <c r="AM551" s="675">
        <v>0</v>
      </c>
      <c r="AN551" s="549">
        <v>0</v>
      </c>
      <c r="AO551" s="675">
        <v>0</v>
      </c>
      <c r="AP551" s="549">
        <v>0</v>
      </c>
      <c r="AQ551" s="675">
        <v>0</v>
      </c>
      <c r="AR551" s="549">
        <v>0</v>
      </c>
      <c r="AS551" s="675">
        <v>0</v>
      </c>
      <c r="AT551" s="549">
        <v>0</v>
      </c>
      <c r="AU551" s="675">
        <v>0</v>
      </c>
      <c r="AV551" s="549">
        <v>0</v>
      </c>
      <c r="AW551" s="675">
        <v>0</v>
      </c>
      <c r="AX551" s="549">
        <v>0</v>
      </c>
      <c r="AY551" s="675">
        <v>0</v>
      </c>
      <c r="AZ551" s="549">
        <v>0</v>
      </c>
      <c r="BA551" s="675">
        <v>0</v>
      </c>
      <c r="BB551" s="549">
        <v>0</v>
      </c>
      <c r="BC551" s="675">
        <v>0</v>
      </c>
      <c r="BD551" s="549">
        <v>0</v>
      </c>
      <c r="BE551" s="675">
        <v>0</v>
      </c>
      <c r="BF551" s="549">
        <v>0</v>
      </c>
      <c r="BG551" s="675">
        <v>0</v>
      </c>
      <c r="BH551" s="549">
        <v>0</v>
      </c>
      <c r="BI551" s="675">
        <v>0</v>
      </c>
      <c r="BJ551" s="549">
        <v>0</v>
      </c>
      <c r="BK551" s="675">
        <v>0</v>
      </c>
      <c r="BL551" s="549">
        <v>0</v>
      </c>
      <c r="BM551" s="675">
        <v>0</v>
      </c>
      <c r="BN551" s="549">
        <v>0</v>
      </c>
      <c r="BO551" s="675">
        <v>0</v>
      </c>
      <c r="BP551" s="549">
        <v>0</v>
      </c>
      <c r="BQ551" s="675">
        <v>0</v>
      </c>
      <c r="BR551" s="549">
        <v>0</v>
      </c>
      <c r="BS551" s="675">
        <v>0</v>
      </c>
      <c r="BT551" s="549">
        <v>0</v>
      </c>
      <c r="BU551" s="675">
        <v>0</v>
      </c>
      <c r="BV551" s="549">
        <v>0</v>
      </c>
      <c r="BW551" s="675">
        <v>0</v>
      </c>
      <c r="BX551" s="549">
        <v>0</v>
      </c>
      <c r="BY551" s="675">
        <v>0</v>
      </c>
      <c r="BZ551" s="549">
        <v>0</v>
      </c>
      <c r="CA551" s="675">
        <v>0</v>
      </c>
      <c r="CB551" s="549">
        <v>0</v>
      </c>
      <c r="CC551" s="675">
        <v>0</v>
      </c>
      <c r="CD551" s="549">
        <v>0</v>
      </c>
      <c r="CE551" s="675">
        <v>0</v>
      </c>
      <c r="CF551" s="549">
        <v>0</v>
      </c>
      <c r="CG551" s="675">
        <v>0</v>
      </c>
      <c r="CH551" s="549">
        <v>0</v>
      </c>
      <c r="CI551" s="675">
        <v>0</v>
      </c>
      <c r="CJ551" s="549">
        <v>0</v>
      </c>
      <c r="CK551" s="675">
        <v>0</v>
      </c>
      <c r="CL551" s="549">
        <v>0</v>
      </c>
      <c r="CM551" s="675">
        <v>0</v>
      </c>
      <c r="CN551" s="549">
        <v>0</v>
      </c>
      <c r="CO551" s="675">
        <v>0</v>
      </c>
      <c r="CP551" s="549">
        <v>0</v>
      </c>
      <c r="CQ551" s="675">
        <v>0</v>
      </c>
      <c r="CR551" s="549">
        <v>0</v>
      </c>
      <c r="CS551" s="675">
        <v>0</v>
      </c>
      <c r="CT551" s="549">
        <v>0</v>
      </c>
      <c r="CU551" s="675">
        <v>0</v>
      </c>
      <c r="CV551" s="549">
        <v>0</v>
      </c>
      <c r="CW551" s="675">
        <v>0</v>
      </c>
      <c r="CX551" s="549">
        <v>0</v>
      </c>
      <c r="CY551" s="675">
        <v>0</v>
      </c>
      <c r="CZ551" s="549">
        <v>0</v>
      </c>
      <c r="DA551" s="675">
        <v>0</v>
      </c>
      <c r="DB551" s="549">
        <v>0</v>
      </c>
      <c r="DC551" s="675">
        <v>0</v>
      </c>
      <c r="DD551" s="549">
        <v>0</v>
      </c>
      <c r="DE551" s="675">
        <v>0</v>
      </c>
      <c r="DF551" s="549">
        <v>0</v>
      </c>
      <c r="DG551" s="675">
        <v>0</v>
      </c>
      <c r="DH551" s="549">
        <v>0</v>
      </c>
      <c r="DI551" s="675">
        <v>0</v>
      </c>
      <c r="DJ551" s="549">
        <v>0</v>
      </c>
      <c r="DK551" s="675">
        <v>0</v>
      </c>
      <c r="DL551" s="549">
        <v>0</v>
      </c>
      <c r="DM551" s="675">
        <v>0</v>
      </c>
      <c r="DN551" s="549">
        <v>0</v>
      </c>
      <c r="DO551" s="675">
        <v>0</v>
      </c>
      <c r="DP551" s="549">
        <v>0</v>
      </c>
      <c r="DQ551" s="675">
        <v>0</v>
      </c>
      <c r="DR551" s="549">
        <v>0</v>
      </c>
      <c r="DS551" s="675">
        <v>0</v>
      </c>
      <c r="DT551" s="549">
        <v>0</v>
      </c>
      <c r="DU551" s="675">
        <v>0</v>
      </c>
      <c r="DV551" s="549">
        <v>0</v>
      </c>
      <c r="DW551" s="675">
        <v>0</v>
      </c>
      <c r="DX551" s="549">
        <v>0</v>
      </c>
      <c r="DY551" s="675">
        <v>0</v>
      </c>
      <c r="DZ551" s="549">
        <v>0</v>
      </c>
      <c r="EA551" s="675">
        <v>0</v>
      </c>
      <c r="EB551" s="549">
        <v>0</v>
      </c>
      <c r="EC551" s="675">
        <v>0</v>
      </c>
      <c r="ED551" s="549">
        <v>0</v>
      </c>
      <c r="EE551" s="675">
        <v>0</v>
      </c>
      <c r="EF551" s="549">
        <v>0</v>
      </c>
      <c r="EG551" s="675">
        <v>0</v>
      </c>
      <c r="EH551" s="549">
        <v>0</v>
      </c>
      <c r="EI551" s="675">
        <v>0</v>
      </c>
      <c r="EJ551" s="549">
        <v>0</v>
      </c>
      <c r="EK551" s="675">
        <v>0</v>
      </c>
      <c r="EL551" s="549">
        <v>0</v>
      </c>
      <c r="EM551" s="675">
        <v>0</v>
      </c>
      <c r="EN551" s="549">
        <v>0</v>
      </c>
      <c r="EO551" s="675">
        <v>0</v>
      </c>
      <c r="EP551" s="549">
        <v>0</v>
      </c>
      <c r="EQ551" s="675">
        <v>0</v>
      </c>
      <c r="ER551" s="549">
        <v>0</v>
      </c>
      <c r="ES551" s="675">
        <v>0</v>
      </c>
      <c r="ET551" s="549">
        <v>0</v>
      </c>
      <c r="EU551" s="675">
        <v>0</v>
      </c>
      <c r="EV551" s="549">
        <v>0</v>
      </c>
      <c r="EW551" s="675">
        <v>0</v>
      </c>
      <c r="EX551" s="549">
        <v>0</v>
      </c>
      <c r="EY551" s="675">
        <v>0</v>
      </c>
      <c r="EZ551" s="549">
        <v>0</v>
      </c>
      <c r="FA551" s="675">
        <v>0</v>
      </c>
      <c r="FB551" s="549">
        <v>0</v>
      </c>
      <c r="FC551" s="675">
        <v>0</v>
      </c>
      <c r="FD551" s="549">
        <v>0</v>
      </c>
      <c r="FE551" s="675">
        <v>0</v>
      </c>
      <c r="FF551" s="549">
        <v>0</v>
      </c>
      <c r="FG551" s="675">
        <v>0</v>
      </c>
      <c r="FH551" s="549">
        <v>0</v>
      </c>
      <c r="FI551" s="675">
        <v>0</v>
      </c>
      <c r="FJ551" s="549">
        <v>0</v>
      </c>
      <c r="FK551" s="675">
        <v>0</v>
      </c>
      <c r="FL551" s="549">
        <v>0</v>
      </c>
      <c r="FM551" s="675">
        <v>0</v>
      </c>
      <c r="FN551" s="549">
        <v>0</v>
      </c>
      <c r="FO551" s="675">
        <v>0</v>
      </c>
      <c r="FP551" s="549">
        <v>0</v>
      </c>
      <c r="FQ551" s="675">
        <v>0</v>
      </c>
      <c r="FR551" s="549">
        <v>0</v>
      </c>
      <c r="FS551" s="675">
        <v>0</v>
      </c>
      <c r="FT551" s="549">
        <v>0</v>
      </c>
      <c r="FU551" s="675">
        <v>0</v>
      </c>
      <c r="FV551" s="549">
        <v>0</v>
      </c>
      <c r="FW551" s="675">
        <v>0</v>
      </c>
      <c r="FX551" s="549">
        <v>0</v>
      </c>
      <c r="FY551" s="675">
        <v>0</v>
      </c>
      <c r="FZ551" s="549">
        <v>0</v>
      </c>
      <c r="GA551" s="675">
        <v>0</v>
      </c>
      <c r="GB551" s="549">
        <v>0</v>
      </c>
      <c r="GC551" s="675">
        <v>0</v>
      </c>
      <c r="GD551" s="549">
        <v>0</v>
      </c>
      <c r="GE551" s="675">
        <v>0</v>
      </c>
      <c r="GF551" s="549">
        <v>0</v>
      </c>
      <c r="GG551" s="675">
        <v>0</v>
      </c>
      <c r="GH551" s="549">
        <v>0</v>
      </c>
      <c r="GI551" s="675">
        <v>0</v>
      </c>
      <c r="GJ551" s="549">
        <v>0</v>
      </c>
      <c r="GK551" s="675">
        <v>0</v>
      </c>
      <c r="GL551" s="549">
        <v>0</v>
      </c>
      <c r="GM551" s="675">
        <v>0</v>
      </c>
      <c r="GN551" s="549">
        <v>0</v>
      </c>
      <c r="GO551" s="675">
        <v>0</v>
      </c>
      <c r="GP551" s="549">
        <f>+D551+F551+H551+J551+L551+N551+P551+R551+T551+V551+X551+Z551+AB551+AD551+AH551+AJ551+AL551+AN551+AP551+AR551+AT551+AV551+AX551+AZ551+BB551+BD551+BF551+BH551+BJ551+BL551+BN551+BP551+BR551+BT551+BV551+BX551+BZ551+CB551+CD551+CF551+CH551+CJ551+CL551+CN551+CP551+CR551+CT551+CV551+CX551+CZ551+DB551+DD551+DF551+DH551+DT551+EX551+DJ551+DL551+DN551+DP551+DR551+EJ551+EB551+DZ551+DX551+DV551+ED551+EF551+EH551+EL551+EN551+EP551+EV551+ET551+ER551+EZ551+FB551+FD551+GL551+FF551+FJ551+FL551+GJ551+FT551+FR551+FP551+FN551+FH551</f>
        <v>0</v>
      </c>
      <c r="GQ551" s="675">
        <f>+E551+G551+I551+K551+M551+O551+Q551+S551+U551+W551+Y551+AA551+AC551+AE551+AI551+AK551+AM551+AO551+AQ551+AS551+AU551+AW551+AY551+BA551+BC551+BE551+BG551+BI551+BK551+BM551+BO551+BQ551+BS551+BU551+BW551+BY551+CA551+CC551+CE551+CG551+CI551+CK551+CM551+CO551+CQ551+CS551+CU551+CW551+CY551+DA551+DC551+DE551+DG551+DI551+DU551+EY551+DK551+DM551+DO551+DQ551+DS551+EK551+EC551+EA551+DY551+DW551+EI551+EG551+EE551+EM551+EO551+EQ551+EW551+EU551+ES551+FA551+FC551+FE551+GM551+FG551+FK551+FM551+FO551+FQ551+FS551+FU551+GK551+FI551</f>
        <v>0</v>
      </c>
      <c r="GR551" s="74">
        <f>C551+GP551+GQ551</f>
        <v>0</v>
      </c>
      <c r="GS551" s="74">
        <f t="shared" ref="GS551" si="12921">SUM(GU551:HE551)+GP551+GQ551</f>
        <v>0</v>
      </c>
      <c r="GT551" s="568">
        <f t="shared" ref="GT551:GT552" si="12922">SUM(GU551:HF551)+GQ551+GP551</f>
        <v>0</v>
      </c>
      <c r="GU551" s="275">
        <v>0</v>
      </c>
      <c r="GV551" s="275">
        <v>0</v>
      </c>
      <c r="GW551" s="275">
        <v>0</v>
      </c>
      <c r="GX551" s="275">
        <v>0</v>
      </c>
      <c r="GY551" s="275">
        <v>0</v>
      </c>
      <c r="GZ551" s="275">
        <v>0</v>
      </c>
      <c r="HA551" s="275">
        <v>0</v>
      </c>
      <c r="HB551" s="275">
        <v>0</v>
      </c>
      <c r="HC551" s="275">
        <v>0</v>
      </c>
      <c r="HD551" s="275">
        <v>0</v>
      </c>
      <c r="HE551" s="275">
        <v>0</v>
      </c>
      <c r="HF551" s="275">
        <v>0</v>
      </c>
      <c r="HG551" s="74">
        <f>SUM(HH551:IE551)</f>
        <v>0</v>
      </c>
      <c r="HH551" s="89">
        <v>0</v>
      </c>
      <c r="HI551" s="817">
        <v>0</v>
      </c>
      <c r="HJ551" s="89">
        <v>0</v>
      </c>
      <c r="HK551" s="817">
        <v>0</v>
      </c>
      <c r="HL551" s="89">
        <v>0</v>
      </c>
      <c r="HM551" s="817">
        <v>0</v>
      </c>
      <c r="HN551" s="89">
        <v>0</v>
      </c>
      <c r="HO551" s="817">
        <v>0</v>
      </c>
      <c r="HP551" s="89">
        <v>0</v>
      </c>
      <c r="HQ551" s="817">
        <v>0</v>
      </c>
      <c r="HR551" s="89">
        <v>0</v>
      </c>
      <c r="HS551" s="817">
        <v>0</v>
      </c>
      <c r="HT551" s="89">
        <v>0</v>
      </c>
      <c r="HU551" s="817">
        <v>0</v>
      </c>
      <c r="HV551" s="89">
        <v>0</v>
      </c>
      <c r="HW551" s="817">
        <v>0</v>
      </c>
      <c r="HX551" s="89">
        <v>0</v>
      </c>
      <c r="HY551" s="817">
        <v>0</v>
      </c>
      <c r="HZ551" s="89">
        <v>0</v>
      </c>
      <c r="IA551" s="817">
        <v>0</v>
      </c>
      <c r="IB551" s="89">
        <v>0</v>
      </c>
      <c r="IC551" s="817">
        <v>0</v>
      </c>
      <c r="ID551" s="89">
        <v>0</v>
      </c>
      <c r="IE551" s="817">
        <v>0</v>
      </c>
      <c r="IF551" s="841">
        <f t="shared" si="12917"/>
        <v>0</v>
      </c>
      <c r="IG551" s="263">
        <f t="shared" si="12918"/>
        <v>0</v>
      </c>
      <c r="IH551" s="842">
        <f t="shared" si="12919"/>
        <v>0</v>
      </c>
      <c r="II551" s="89">
        <v>0</v>
      </c>
      <c r="IJ551" s="89">
        <f t="shared" ref="IJ551:IJ553" si="12923">II551</f>
        <v>0</v>
      </c>
      <c r="IK551" s="89">
        <f t="shared" ref="IK551:IK553" si="12924">IJ551</f>
        <v>0</v>
      </c>
      <c r="IL551" s="89">
        <v>0</v>
      </c>
      <c r="IM551" s="89">
        <f t="shared" ref="IM551:IM553" si="12925">IL551</f>
        <v>0</v>
      </c>
      <c r="IN551" s="89">
        <f t="shared" ref="IN551:IN553" si="12926">IM551</f>
        <v>0</v>
      </c>
      <c r="IO551" s="89">
        <v>0</v>
      </c>
      <c r="IP551" s="89">
        <f t="shared" ref="IP551:IP553" si="12927">IO551</f>
        <v>0</v>
      </c>
      <c r="IQ551" s="89">
        <f t="shared" ref="IQ551:IQ553" si="12928">IP551</f>
        <v>0</v>
      </c>
      <c r="IR551" s="89">
        <v>0</v>
      </c>
      <c r="IS551" s="89">
        <f t="shared" ref="IS551:IS553" si="12929">IR551</f>
        <v>0</v>
      </c>
      <c r="IT551" s="89">
        <f t="shared" ref="IT551:IT553" si="12930">IS551</f>
        <v>0</v>
      </c>
      <c r="IU551" s="89">
        <v>0</v>
      </c>
      <c r="IV551" s="89">
        <f t="shared" ref="IV551:IV553" si="12931">IU551</f>
        <v>0</v>
      </c>
      <c r="IW551" s="89">
        <f t="shared" ref="IW551:IW553" si="12932">IV551</f>
        <v>0</v>
      </c>
      <c r="IX551" s="89">
        <v>0</v>
      </c>
      <c r="IY551" s="89">
        <f t="shared" ref="IY551:IY553" si="12933">IX551</f>
        <v>0</v>
      </c>
      <c r="IZ551" s="89">
        <f t="shared" ref="IZ551:IZ553" si="12934">IY551</f>
        <v>0</v>
      </c>
      <c r="JA551" s="89">
        <v>0</v>
      </c>
      <c r="JB551" s="89">
        <f t="shared" ref="JB551:JB553" si="12935">JA551</f>
        <v>0</v>
      </c>
      <c r="JC551" s="89">
        <f t="shared" ref="JC551:JC553" si="12936">JB551</f>
        <v>0</v>
      </c>
      <c r="JD551" s="89">
        <v>0</v>
      </c>
      <c r="JE551" s="89">
        <f t="shared" ref="JE551:JE553" si="12937">JD551</f>
        <v>0</v>
      </c>
      <c r="JF551" s="89">
        <f t="shared" ref="JF551:JF553" si="12938">JE551</f>
        <v>0</v>
      </c>
      <c r="JG551" s="89">
        <v>0</v>
      </c>
      <c r="JH551" s="89">
        <f t="shared" ref="JH551:JH553" si="12939">JG551</f>
        <v>0</v>
      </c>
      <c r="JI551" s="89">
        <f t="shared" ref="JI551:JI553" si="12940">JH551</f>
        <v>0</v>
      </c>
      <c r="JJ551" s="89">
        <v>0</v>
      </c>
      <c r="JK551" s="89">
        <f t="shared" ref="JK551:JK553" si="12941">JJ551</f>
        <v>0</v>
      </c>
      <c r="JL551" s="89">
        <f t="shared" ref="JL551:JL553" si="12942">JK551</f>
        <v>0</v>
      </c>
      <c r="JM551" s="89">
        <v>0</v>
      </c>
      <c r="JN551" s="89">
        <f t="shared" ref="JN551:JN553" si="12943">JM551</f>
        <v>0</v>
      </c>
      <c r="JO551" s="89">
        <f t="shared" ref="JO551:JO553" si="12944">JN551</f>
        <v>0</v>
      </c>
      <c r="JP551" s="89">
        <v>0</v>
      </c>
      <c r="JQ551" s="89">
        <f t="shared" ref="JQ551:JR551" si="12945">JP551</f>
        <v>0</v>
      </c>
      <c r="JR551" s="89">
        <f t="shared" si="12945"/>
        <v>0</v>
      </c>
      <c r="JS551" s="74">
        <f>HG551-IF551</f>
        <v>0</v>
      </c>
      <c r="JT551" s="382">
        <f>GS551-IF551</f>
        <v>0</v>
      </c>
      <c r="JU551" s="665"/>
      <c r="JV551" s="524"/>
      <c r="JW551" s="525"/>
      <c r="JX551" s="549">
        <f t="shared" si="12920"/>
        <v>0</v>
      </c>
      <c r="JY551" s="549">
        <f t="shared" si="12920"/>
        <v>0</v>
      </c>
      <c r="JZ551" s="581">
        <f t="shared" si="12201"/>
        <v>0</v>
      </c>
      <c r="KA551" s="581">
        <f t="shared" si="12202"/>
        <v>0</v>
      </c>
      <c r="KB551" s="549">
        <f t="shared" si="12194"/>
        <v>0</v>
      </c>
      <c r="KC551" s="709">
        <f t="shared" si="12200"/>
        <v>0</v>
      </c>
      <c r="KD551" s="36"/>
      <c r="KE551" s="36"/>
      <c r="KF551" s="36"/>
      <c r="KG551" s="36"/>
      <c r="KH551" s="36"/>
      <c r="KI551" s="36"/>
      <c r="KJ551" s="36"/>
      <c r="KK551" s="36"/>
    </row>
    <row r="552" spans="1:297" s="10" customFormat="1">
      <c r="A552" s="86" t="s">
        <v>495</v>
      </c>
      <c r="B552" s="77" t="s">
        <v>210</v>
      </c>
      <c r="C552" s="74">
        <v>33700</v>
      </c>
      <c r="D552" s="549">
        <v>0</v>
      </c>
      <c r="E552" s="675">
        <v>0</v>
      </c>
      <c r="F552" s="549">
        <v>0</v>
      </c>
      <c r="G552" s="675">
        <v>0</v>
      </c>
      <c r="H552" s="549">
        <v>0</v>
      </c>
      <c r="I552" s="675">
        <v>0</v>
      </c>
      <c r="J552" s="549">
        <v>0</v>
      </c>
      <c r="K552" s="675">
        <v>0</v>
      </c>
      <c r="L552" s="549">
        <v>0</v>
      </c>
      <c r="M552" s="675">
        <v>0</v>
      </c>
      <c r="N552" s="549">
        <v>0</v>
      </c>
      <c r="O552" s="675">
        <v>0</v>
      </c>
      <c r="P552" s="549">
        <v>0</v>
      </c>
      <c r="Q552" s="675">
        <v>0</v>
      </c>
      <c r="R552" s="549">
        <v>0</v>
      </c>
      <c r="S552" s="675">
        <v>0</v>
      </c>
      <c r="T552" s="549">
        <v>0</v>
      </c>
      <c r="U552" s="675">
        <v>0</v>
      </c>
      <c r="V552" s="549">
        <v>0</v>
      </c>
      <c r="W552" s="675">
        <v>0</v>
      </c>
      <c r="X552" s="549">
        <v>0</v>
      </c>
      <c r="Y552" s="675">
        <v>0</v>
      </c>
      <c r="Z552" s="549">
        <v>0</v>
      </c>
      <c r="AA552" s="675">
        <v>0</v>
      </c>
      <c r="AB552" s="549">
        <v>0</v>
      </c>
      <c r="AC552" s="675">
        <v>0</v>
      </c>
      <c r="AD552" s="549">
        <v>0</v>
      </c>
      <c r="AE552" s="675">
        <v>0</v>
      </c>
      <c r="AF552" s="549">
        <v>0</v>
      </c>
      <c r="AG552" s="675">
        <v>0</v>
      </c>
      <c r="AH552" s="549">
        <v>0</v>
      </c>
      <c r="AI552" s="675">
        <v>0</v>
      </c>
      <c r="AJ552" s="549">
        <v>0</v>
      </c>
      <c r="AK552" s="675">
        <v>0</v>
      </c>
      <c r="AL552" s="549">
        <v>0</v>
      </c>
      <c r="AM552" s="675">
        <v>0</v>
      </c>
      <c r="AN552" s="549">
        <v>0</v>
      </c>
      <c r="AO552" s="675">
        <v>0</v>
      </c>
      <c r="AP552" s="549">
        <v>0</v>
      </c>
      <c r="AQ552" s="675">
        <v>0</v>
      </c>
      <c r="AR552" s="549">
        <v>0</v>
      </c>
      <c r="AS552" s="675">
        <v>0</v>
      </c>
      <c r="AT552" s="549">
        <v>0</v>
      </c>
      <c r="AU552" s="675">
        <v>0</v>
      </c>
      <c r="AV552" s="549">
        <v>0</v>
      </c>
      <c r="AW552" s="675">
        <v>0</v>
      </c>
      <c r="AX552" s="549">
        <v>0</v>
      </c>
      <c r="AY552" s="675">
        <v>0</v>
      </c>
      <c r="AZ552" s="549">
        <v>0</v>
      </c>
      <c r="BA552" s="675">
        <v>0</v>
      </c>
      <c r="BB552" s="549">
        <v>0</v>
      </c>
      <c r="BC552" s="675">
        <v>0</v>
      </c>
      <c r="BD552" s="549">
        <v>0</v>
      </c>
      <c r="BE552" s="675">
        <v>0</v>
      </c>
      <c r="BF552" s="549">
        <v>0</v>
      </c>
      <c r="BG552" s="675">
        <v>0</v>
      </c>
      <c r="BH552" s="549">
        <v>0</v>
      </c>
      <c r="BI552" s="675">
        <v>0</v>
      </c>
      <c r="BJ552" s="549">
        <v>0</v>
      </c>
      <c r="BK552" s="675">
        <v>0</v>
      </c>
      <c r="BL552" s="549">
        <v>0</v>
      </c>
      <c r="BM552" s="675">
        <v>0</v>
      </c>
      <c r="BN552" s="549">
        <v>0</v>
      </c>
      <c r="BO552" s="675">
        <v>0</v>
      </c>
      <c r="BP552" s="549">
        <v>0</v>
      </c>
      <c r="BQ552" s="675">
        <v>0</v>
      </c>
      <c r="BR552" s="549">
        <v>0</v>
      </c>
      <c r="BS552" s="675">
        <v>0</v>
      </c>
      <c r="BT552" s="549">
        <v>0</v>
      </c>
      <c r="BU552" s="675">
        <v>0</v>
      </c>
      <c r="BV552" s="549">
        <v>0</v>
      </c>
      <c r="BW552" s="675">
        <v>0</v>
      </c>
      <c r="BX552" s="549">
        <v>0</v>
      </c>
      <c r="BY552" s="675">
        <v>0</v>
      </c>
      <c r="BZ552" s="549">
        <v>0</v>
      </c>
      <c r="CA552" s="675">
        <v>0</v>
      </c>
      <c r="CB552" s="549">
        <v>0</v>
      </c>
      <c r="CC552" s="675">
        <v>0</v>
      </c>
      <c r="CD552" s="549">
        <v>0</v>
      </c>
      <c r="CE552" s="675">
        <v>0</v>
      </c>
      <c r="CF552" s="549">
        <v>0</v>
      </c>
      <c r="CG552" s="675">
        <v>0</v>
      </c>
      <c r="CH552" s="549">
        <v>0</v>
      </c>
      <c r="CI552" s="675">
        <v>0</v>
      </c>
      <c r="CJ552" s="549">
        <v>0</v>
      </c>
      <c r="CK552" s="675">
        <v>-26000</v>
      </c>
      <c r="CL552" s="549">
        <v>0</v>
      </c>
      <c r="CM552" s="675">
        <v>0</v>
      </c>
      <c r="CN552" s="549">
        <v>0</v>
      </c>
      <c r="CO552" s="675">
        <v>0</v>
      </c>
      <c r="CP552" s="549">
        <v>0</v>
      </c>
      <c r="CQ552" s="675">
        <v>0</v>
      </c>
      <c r="CR552" s="549">
        <v>0</v>
      </c>
      <c r="CS552" s="675">
        <v>0</v>
      </c>
      <c r="CT552" s="549">
        <v>0</v>
      </c>
      <c r="CU552" s="675">
        <v>0</v>
      </c>
      <c r="CV552" s="549">
        <v>0</v>
      </c>
      <c r="CW552" s="675">
        <v>0</v>
      </c>
      <c r="CX552" s="549">
        <v>0</v>
      </c>
      <c r="CY552" s="675">
        <v>0</v>
      </c>
      <c r="CZ552" s="549">
        <v>0</v>
      </c>
      <c r="DA552" s="675">
        <v>0</v>
      </c>
      <c r="DB552" s="549">
        <v>0</v>
      </c>
      <c r="DC552" s="675">
        <v>0</v>
      </c>
      <c r="DD552" s="549">
        <v>0</v>
      </c>
      <c r="DE552" s="675">
        <v>0</v>
      </c>
      <c r="DF552" s="549">
        <v>0</v>
      </c>
      <c r="DG552" s="675">
        <v>0</v>
      </c>
      <c r="DH552" s="549">
        <v>0</v>
      </c>
      <c r="DI552" s="675">
        <v>0</v>
      </c>
      <c r="DJ552" s="549">
        <v>0</v>
      </c>
      <c r="DK552" s="675">
        <v>0</v>
      </c>
      <c r="DL552" s="549">
        <v>0</v>
      </c>
      <c r="DM552" s="675">
        <v>0</v>
      </c>
      <c r="DN552" s="549">
        <v>0</v>
      </c>
      <c r="DO552" s="675">
        <v>0</v>
      </c>
      <c r="DP552" s="549">
        <v>0</v>
      </c>
      <c r="DQ552" s="675">
        <v>-4765</v>
      </c>
      <c r="DR552" s="549">
        <v>0</v>
      </c>
      <c r="DS552" s="675">
        <v>0</v>
      </c>
      <c r="DT552" s="549">
        <v>0</v>
      </c>
      <c r="DU552" s="675">
        <v>0</v>
      </c>
      <c r="DV552" s="549">
        <v>0</v>
      </c>
      <c r="DW552" s="675">
        <v>0</v>
      </c>
      <c r="DX552" s="549">
        <v>0</v>
      </c>
      <c r="DY552" s="675">
        <v>0</v>
      </c>
      <c r="DZ552" s="549">
        <v>0</v>
      </c>
      <c r="EA552" s="675">
        <v>0</v>
      </c>
      <c r="EB552" s="549">
        <v>0</v>
      </c>
      <c r="EC552" s="675">
        <v>0</v>
      </c>
      <c r="ED552" s="549">
        <v>0</v>
      </c>
      <c r="EE552" s="675">
        <v>0</v>
      </c>
      <c r="EF552" s="549">
        <v>0</v>
      </c>
      <c r="EG552" s="675">
        <v>0</v>
      </c>
      <c r="EH552" s="549">
        <v>0</v>
      </c>
      <c r="EI552" s="675">
        <v>0</v>
      </c>
      <c r="EJ552" s="549">
        <v>5000</v>
      </c>
      <c r="EK552" s="675">
        <v>0</v>
      </c>
      <c r="EL552" s="549">
        <v>0</v>
      </c>
      <c r="EM552" s="675">
        <v>0</v>
      </c>
      <c r="EN552" s="549">
        <v>0</v>
      </c>
      <c r="EO552" s="675">
        <v>0</v>
      </c>
      <c r="EP552" s="549">
        <v>0</v>
      </c>
      <c r="EQ552" s="675">
        <v>0</v>
      </c>
      <c r="ER552" s="549">
        <v>0</v>
      </c>
      <c r="ES552" s="675">
        <v>0</v>
      </c>
      <c r="ET552" s="549">
        <v>0</v>
      </c>
      <c r="EU552" s="675">
        <v>0</v>
      </c>
      <c r="EV552" s="549">
        <v>0</v>
      </c>
      <c r="EW552" s="675">
        <v>0</v>
      </c>
      <c r="EX552" s="549">
        <v>0</v>
      </c>
      <c r="EY552" s="675">
        <v>0</v>
      </c>
      <c r="EZ552" s="549">
        <v>0</v>
      </c>
      <c r="FA552" s="675">
        <v>0</v>
      </c>
      <c r="FB552" s="549">
        <v>0</v>
      </c>
      <c r="FC552" s="675">
        <v>0</v>
      </c>
      <c r="FD552" s="549">
        <v>0</v>
      </c>
      <c r="FE552" s="675">
        <v>0</v>
      </c>
      <c r="FF552" s="549">
        <v>0</v>
      </c>
      <c r="FG552" s="675">
        <v>0</v>
      </c>
      <c r="FH552" s="549">
        <v>0</v>
      </c>
      <c r="FI552" s="675">
        <v>0</v>
      </c>
      <c r="FJ552" s="549">
        <v>0</v>
      </c>
      <c r="FK552" s="675">
        <v>0</v>
      </c>
      <c r="FL552" s="549">
        <v>0</v>
      </c>
      <c r="FM552" s="675">
        <v>0</v>
      </c>
      <c r="FN552" s="549">
        <v>0</v>
      </c>
      <c r="FO552" s="675">
        <v>0</v>
      </c>
      <c r="FP552" s="549">
        <v>0</v>
      </c>
      <c r="FQ552" s="675">
        <v>0</v>
      </c>
      <c r="FR552" s="549">
        <v>0</v>
      </c>
      <c r="FS552" s="675">
        <v>0</v>
      </c>
      <c r="FT552" s="549">
        <v>0</v>
      </c>
      <c r="FU552" s="675">
        <v>0</v>
      </c>
      <c r="FV552" s="549">
        <v>0</v>
      </c>
      <c r="FW552" s="675">
        <v>0</v>
      </c>
      <c r="FX552" s="549">
        <v>0</v>
      </c>
      <c r="FY552" s="675">
        <v>0</v>
      </c>
      <c r="FZ552" s="549">
        <v>0</v>
      </c>
      <c r="GA552" s="675">
        <v>0</v>
      </c>
      <c r="GB552" s="549">
        <v>0</v>
      </c>
      <c r="GC552" s="675">
        <v>0</v>
      </c>
      <c r="GD552" s="549">
        <v>0</v>
      </c>
      <c r="GE552" s="675">
        <v>0</v>
      </c>
      <c r="GF552" s="549">
        <v>0</v>
      </c>
      <c r="GG552" s="675">
        <v>0</v>
      </c>
      <c r="GH552" s="549">
        <v>0</v>
      </c>
      <c r="GI552" s="675">
        <v>0</v>
      </c>
      <c r="GJ552" s="549">
        <v>0</v>
      </c>
      <c r="GK552" s="675">
        <v>0</v>
      </c>
      <c r="GL552" s="549">
        <v>0</v>
      </c>
      <c r="GM552" s="675">
        <v>0</v>
      </c>
      <c r="GN552" s="549">
        <v>0</v>
      </c>
      <c r="GO552" s="675">
        <v>0</v>
      </c>
      <c r="GP552" s="549">
        <f t="shared" ref="GP552:GP553" si="12946">+D552+F552+H552+J552+L552+N552+P552+R552+T552+V552+X552+Z552+AB552+AF552+AD552+AH552+AJ552+AL552+AN552+AP552+AR552+AT552+AV552+AX552+AZ552+BB552+BD552+BF552+BH552+BJ552+BL552+BN552+BP552+BR552+BT552+BV552+BX552+BZ552+CB552+CD552+CF552+CH552+CJ552+CL552+CN552+CP552+CR552+CT552+CV552+CX552+CZ552+DB552+DD552+DF552+DH552+DT552+EX552+DJ552+DL552+DN552+DP552+DR552+EJ552+EB552+DZ552+DX552+DV552+ED552+EF552+EH552+EL552+EN552+EP552+EV552+ET552+ER552+EZ552+FB552+FD552+GL552+FF552+FJ552+FL552+GJ552+FT552+FR552+FP552+FN552+FH552+GH552+GF552+GD552+GB552+FZ552+FX552+FV552+GN552</f>
        <v>5000</v>
      </c>
      <c r="GQ552" s="675">
        <f t="shared" ref="GQ552:GQ553" si="12947">+E552+G552+I552+K552+M552+O552+Q552+S552+U552+W552+Y552+AA552+AC552+AE552+AG552+AI552+AK552+AM552+AO552+AQ552+AS552+AU552+AW552+AY552+BA552+BC552+BE552+BG552+BI552+BK552+BM552+BO552+BQ552+BS552+BU552+BW552+BY552+CA552+CC552+CE552+CG552+CI552+CK552+CM552+CO552+CQ552+CS552+CU552+CW552+CY552+DA552+DC552+DE552+DG552+DI552+DU552+EY552+DK552+DM552+DO552+DQ552+DS552+EK552+EC552+EA552+DY552+DW552+EI552+EG552+EE552+EM552+EO552+EQ552+EW552+EU552+ES552+FA552+FC552+FE552+GM552+FG552+FK552+FM552+FO552+FQ552+FS552+FU552+GK552+FI552+GI552+GG552+GE552+GC552+GA552+FY552+FW552+GO552</f>
        <v>-30765</v>
      </c>
      <c r="GR552" s="74">
        <f>C552+GP552+GQ552</f>
        <v>7935</v>
      </c>
      <c r="GS552" s="74">
        <f t="shared" ref="GS552:GS553" si="12948">SUM(GU552:HD552)+GP552+GQ552</f>
        <v>7935</v>
      </c>
      <c r="GT552" s="568">
        <f t="shared" si="12922"/>
        <v>7935</v>
      </c>
      <c r="GU552" s="275">
        <v>6700</v>
      </c>
      <c r="GV552" s="275">
        <v>6000</v>
      </c>
      <c r="GW552" s="275">
        <v>6000</v>
      </c>
      <c r="GX552" s="275">
        <v>5000</v>
      </c>
      <c r="GY552" s="275">
        <v>5000</v>
      </c>
      <c r="GZ552" s="275">
        <v>5000</v>
      </c>
      <c r="HA552" s="275">
        <v>0</v>
      </c>
      <c r="HB552" s="275">
        <v>0</v>
      </c>
      <c r="HC552" s="275">
        <v>0</v>
      </c>
      <c r="HD552" s="275">
        <v>0</v>
      </c>
      <c r="HE552" s="275">
        <v>0</v>
      </c>
      <c r="HF552" s="275">
        <v>0</v>
      </c>
      <c r="HG552" s="74">
        <f>SUM(HH552:IE552)</f>
        <v>7935</v>
      </c>
      <c r="HH552" s="89">
        <v>6700</v>
      </c>
      <c r="HI552" s="817">
        <v>0</v>
      </c>
      <c r="HJ552" s="89">
        <v>0</v>
      </c>
      <c r="HK552" s="817">
        <v>0</v>
      </c>
      <c r="HL552" s="89">
        <v>0</v>
      </c>
      <c r="HM552" s="817">
        <v>0</v>
      </c>
      <c r="HN552" s="89">
        <v>1000</v>
      </c>
      <c r="HO552" s="817">
        <v>0</v>
      </c>
      <c r="HP552" s="89">
        <v>1195</v>
      </c>
      <c r="HQ552" s="817">
        <v>0</v>
      </c>
      <c r="HR552" s="89">
        <v>740</v>
      </c>
      <c r="HS552" s="817">
        <v>0</v>
      </c>
      <c r="HT552" s="837">
        <v>-1935</v>
      </c>
      <c r="HU552" s="817">
        <v>0</v>
      </c>
      <c r="HV552" s="89">
        <v>0</v>
      </c>
      <c r="HW552" s="817">
        <v>0</v>
      </c>
      <c r="HX552" s="89">
        <v>235</v>
      </c>
      <c r="HY552" s="817">
        <v>0</v>
      </c>
      <c r="HZ552" s="89">
        <v>0</v>
      </c>
      <c r="IA552" s="817">
        <v>0</v>
      </c>
      <c r="IB552" s="89">
        <v>0</v>
      </c>
      <c r="IC552" s="817">
        <v>0</v>
      </c>
      <c r="ID552" s="89">
        <v>0</v>
      </c>
      <c r="IE552" s="817">
        <v>0</v>
      </c>
      <c r="IF552" s="841">
        <f t="shared" si="12917"/>
        <v>4447</v>
      </c>
      <c r="IG552" s="263">
        <f t="shared" si="12918"/>
        <v>4447</v>
      </c>
      <c r="IH552" s="842">
        <f t="shared" si="12919"/>
        <v>4447</v>
      </c>
      <c r="II552" s="89">
        <v>0</v>
      </c>
      <c r="IJ552" s="89">
        <f t="shared" si="12923"/>
        <v>0</v>
      </c>
      <c r="IK552" s="89">
        <f t="shared" si="12924"/>
        <v>0</v>
      </c>
      <c r="IL552" s="89">
        <v>0</v>
      </c>
      <c r="IM552" s="89">
        <f t="shared" si="12925"/>
        <v>0</v>
      </c>
      <c r="IN552" s="89">
        <f t="shared" si="12926"/>
        <v>0</v>
      </c>
      <c r="IO552" s="89">
        <v>0</v>
      </c>
      <c r="IP552" s="89">
        <f t="shared" si="12927"/>
        <v>0</v>
      </c>
      <c r="IQ552" s="89">
        <f t="shared" si="12928"/>
        <v>0</v>
      </c>
      <c r="IR552" s="89">
        <v>1000</v>
      </c>
      <c r="IS552" s="89">
        <f t="shared" si="12929"/>
        <v>1000</v>
      </c>
      <c r="IT552" s="89">
        <f t="shared" si="12930"/>
        <v>1000</v>
      </c>
      <c r="IU552" s="89">
        <f>2195-1000</f>
        <v>1195</v>
      </c>
      <c r="IV552" s="89">
        <f t="shared" si="12931"/>
        <v>1195</v>
      </c>
      <c r="IW552" s="89">
        <f t="shared" si="12932"/>
        <v>1195</v>
      </c>
      <c r="IX552" s="89">
        <f>2935-2195</f>
        <v>740</v>
      </c>
      <c r="IY552" s="89">
        <f t="shared" si="12933"/>
        <v>740</v>
      </c>
      <c r="IZ552" s="89">
        <f t="shared" si="12934"/>
        <v>740</v>
      </c>
      <c r="JA552" s="89">
        <f>2935-2935</f>
        <v>0</v>
      </c>
      <c r="JB552" s="89">
        <f t="shared" si="12935"/>
        <v>0</v>
      </c>
      <c r="JC552" s="89">
        <f t="shared" si="12936"/>
        <v>0</v>
      </c>
      <c r="JD552" s="89">
        <v>0</v>
      </c>
      <c r="JE552" s="89">
        <f t="shared" si="12937"/>
        <v>0</v>
      </c>
      <c r="JF552" s="89">
        <f t="shared" si="12938"/>
        <v>0</v>
      </c>
      <c r="JG552" s="89">
        <v>0</v>
      </c>
      <c r="JH552" s="89">
        <f t="shared" si="12939"/>
        <v>0</v>
      </c>
      <c r="JI552" s="89">
        <f t="shared" si="12940"/>
        <v>0</v>
      </c>
      <c r="JJ552" s="89">
        <f>4447-2935</f>
        <v>1512</v>
      </c>
      <c r="JK552" s="89">
        <f t="shared" si="12941"/>
        <v>1512</v>
      </c>
      <c r="JL552" s="89">
        <f t="shared" si="12942"/>
        <v>1512</v>
      </c>
      <c r="JM552" s="89">
        <v>0</v>
      </c>
      <c r="JN552" s="89">
        <f t="shared" si="12943"/>
        <v>0</v>
      </c>
      <c r="JO552" s="89">
        <f t="shared" si="12944"/>
        <v>0</v>
      </c>
      <c r="JP552" s="89">
        <v>0</v>
      </c>
      <c r="JQ552" s="89">
        <f t="shared" ref="JQ552:JR552" si="12949">JP552</f>
        <v>0</v>
      </c>
      <c r="JR552" s="89">
        <f t="shared" si="12949"/>
        <v>0</v>
      </c>
      <c r="JS552" s="263">
        <f>HG552-IF552</f>
        <v>3488</v>
      </c>
      <c r="JT552" s="382">
        <f>GS552-IF552</f>
        <v>3488</v>
      </c>
      <c r="JU552" s="665"/>
      <c r="JV552" s="524"/>
      <c r="JW552" s="525"/>
      <c r="JX552" s="549">
        <f t="shared" si="12920"/>
        <v>7935</v>
      </c>
      <c r="JY552" s="549">
        <f t="shared" si="12920"/>
        <v>0</v>
      </c>
      <c r="JZ552" s="581">
        <f t="shared" si="12201"/>
        <v>5000</v>
      </c>
      <c r="KA552" s="581">
        <f t="shared" si="12202"/>
        <v>-30765</v>
      </c>
      <c r="KB552" s="549">
        <f t="shared" si="12194"/>
        <v>7935</v>
      </c>
      <c r="KC552" s="709">
        <f t="shared" si="12200"/>
        <v>0</v>
      </c>
      <c r="KD552" s="36"/>
      <c r="KE552" s="36"/>
      <c r="KF552" s="36"/>
      <c r="KG552" s="36"/>
      <c r="KH552" s="36"/>
      <c r="KI552" s="36"/>
      <c r="KJ552" s="36"/>
      <c r="KK552" s="36"/>
    </row>
    <row r="553" spans="1:297" s="10" customFormat="1" ht="12.75" customHeight="1">
      <c r="A553" s="86" t="s">
        <v>307</v>
      </c>
      <c r="B553" s="77" t="s">
        <v>210</v>
      </c>
      <c r="C553" s="74">
        <v>16300</v>
      </c>
      <c r="D553" s="549">
        <v>0</v>
      </c>
      <c r="E553" s="675">
        <v>0</v>
      </c>
      <c r="F553" s="549">
        <v>0</v>
      </c>
      <c r="G553" s="675">
        <v>0</v>
      </c>
      <c r="H553" s="549">
        <v>0</v>
      </c>
      <c r="I553" s="675">
        <v>0</v>
      </c>
      <c r="J553" s="549">
        <v>0</v>
      </c>
      <c r="K553" s="675">
        <v>0</v>
      </c>
      <c r="L553" s="549">
        <v>0</v>
      </c>
      <c r="M553" s="675">
        <v>0</v>
      </c>
      <c r="N553" s="549">
        <v>0</v>
      </c>
      <c r="O553" s="675">
        <v>0</v>
      </c>
      <c r="P553" s="549">
        <v>0</v>
      </c>
      <c r="Q553" s="675">
        <v>0</v>
      </c>
      <c r="R553" s="549">
        <v>0</v>
      </c>
      <c r="S553" s="675">
        <v>0</v>
      </c>
      <c r="T553" s="549">
        <v>0</v>
      </c>
      <c r="U553" s="675">
        <v>0</v>
      </c>
      <c r="V553" s="549">
        <v>0</v>
      </c>
      <c r="W553" s="675">
        <v>0</v>
      </c>
      <c r="X553" s="549">
        <v>0</v>
      </c>
      <c r="Y553" s="675">
        <v>0</v>
      </c>
      <c r="Z553" s="549">
        <v>0</v>
      </c>
      <c r="AA553" s="675">
        <v>0</v>
      </c>
      <c r="AB553" s="549">
        <v>0</v>
      </c>
      <c r="AC553" s="675">
        <v>0</v>
      </c>
      <c r="AD553" s="549">
        <v>0</v>
      </c>
      <c r="AE553" s="675">
        <v>0</v>
      </c>
      <c r="AF553" s="549">
        <v>0</v>
      </c>
      <c r="AG553" s="675">
        <v>0</v>
      </c>
      <c r="AH553" s="549">
        <v>0</v>
      </c>
      <c r="AI553" s="675">
        <v>0</v>
      </c>
      <c r="AJ553" s="549">
        <v>0</v>
      </c>
      <c r="AK553" s="675">
        <v>0</v>
      </c>
      <c r="AL553" s="549">
        <v>0</v>
      </c>
      <c r="AM553" s="675">
        <v>0</v>
      </c>
      <c r="AN553" s="549">
        <v>0</v>
      </c>
      <c r="AO553" s="675">
        <v>0</v>
      </c>
      <c r="AP553" s="549">
        <v>0</v>
      </c>
      <c r="AQ553" s="675">
        <v>0</v>
      </c>
      <c r="AR553" s="549">
        <v>0</v>
      </c>
      <c r="AS553" s="675">
        <v>0</v>
      </c>
      <c r="AT553" s="549">
        <v>0</v>
      </c>
      <c r="AU553" s="675">
        <v>0</v>
      </c>
      <c r="AV553" s="549">
        <v>0</v>
      </c>
      <c r="AW553" s="675">
        <v>0</v>
      </c>
      <c r="AX553" s="549">
        <v>0</v>
      </c>
      <c r="AY553" s="675">
        <v>0</v>
      </c>
      <c r="AZ553" s="549">
        <v>0</v>
      </c>
      <c r="BA553" s="675">
        <v>0</v>
      </c>
      <c r="BB553" s="549">
        <v>0</v>
      </c>
      <c r="BC553" s="675">
        <v>0</v>
      </c>
      <c r="BD553" s="549">
        <v>0</v>
      </c>
      <c r="BE553" s="675">
        <v>0</v>
      </c>
      <c r="BF553" s="549">
        <v>0</v>
      </c>
      <c r="BG553" s="675">
        <v>0</v>
      </c>
      <c r="BH553" s="549">
        <v>0</v>
      </c>
      <c r="BI553" s="675">
        <v>0</v>
      </c>
      <c r="BJ553" s="549">
        <v>0</v>
      </c>
      <c r="BK553" s="675">
        <v>0</v>
      </c>
      <c r="BL553" s="549">
        <v>0</v>
      </c>
      <c r="BM553" s="675">
        <v>0</v>
      </c>
      <c r="BN553" s="549">
        <v>0</v>
      </c>
      <c r="BO553" s="675">
        <v>0</v>
      </c>
      <c r="BP553" s="549">
        <v>0</v>
      </c>
      <c r="BQ553" s="675">
        <v>0</v>
      </c>
      <c r="BR553" s="549">
        <v>0</v>
      </c>
      <c r="BS553" s="675">
        <v>0</v>
      </c>
      <c r="BT553" s="549">
        <v>0</v>
      </c>
      <c r="BU553" s="675">
        <v>0</v>
      </c>
      <c r="BV553" s="549">
        <v>0</v>
      </c>
      <c r="BW553" s="675">
        <v>0</v>
      </c>
      <c r="BX553" s="549">
        <v>0</v>
      </c>
      <c r="BY553" s="675">
        <v>0</v>
      </c>
      <c r="BZ553" s="549">
        <v>0</v>
      </c>
      <c r="CA553" s="675">
        <v>0</v>
      </c>
      <c r="CB553" s="549">
        <v>0</v>
      </c>
      <c r="CC553" s="675">
        <v>0</v>
      </c>
      <c r="CD553" s="549">
        <v>0</v>
      </c>
      <c r="CE553" s="675">
        <v>0</v>
      </c>
      <c r="CF553" s="549">
        <v>0</v>
      </c>
      <c r="CG553" s="675">
        <v>0</v>
      </c>
      <c r="CH553" s="549">
        <v>0</v>
      </c>
      <c r="CI553" s="675">
        <v>0</v>
      </c>
      <c r="CJ553" s="549">
        <v>0</v>
      </c>
      <c r="CK553" s="675">
        <v>-6000</v>
      </c>
      <c r="CL553" s="549">
        <v>0</v>
      </c>
      <c r="CM553" s="675">
        <v>0</v>
      </c>
      <c r="CN553" s="549">
        <v>0</v>
      </c>
      <c r="CO553" s="675">
        <v>0</v>
      </c>
      <c r="CP553" s="549">
        <v>0</v>
      </c>
      <c r="CQ553" s="675">
        <v>0</v>
      </c>
      <c r="CR553" s="549">
        <v>0</v>
      </c>
      <c r="CS553" s="675">
        <v>0</v>
      </c>
      <c r="CT553" s="549">
        <v>0</v>
      </c>
      <c r="CU553" s="675">
        <v>0</v>
      </c>
      <c r="CV553" s="549">
        <v>0</v>
      </c>
      <c r="CW553" s="675">
        <v>0</v>
      </c>
      <c r="CX553" s="549">
        <v>0</v>
      </c>
      <c r="CY553" s="675">
        <v>0</v>
      </c>
      <c r="CZ553" s="549">
        <v>0</v>
      </c>
      <c r="DA553" s="675">
        <v>0</v>
      </c>
      <c r="DB553" s="549">
        <v>0</v>
      </c>
      <c r="DC553" s="675">
        <v>0</v>
      </c>
      <c r="DD553" s="549">
        <v>0</v>
      </c>
      <c r="DE553" s="675">
        <v>0</v>
      </c>
      <c r="DF553" s="549">
        <v>0</v>
      </c>
      <c r="DG553" s="675">
        <v>0</v>
      </c>
      <c r="DH553" s="549">
        <v>0</v>
      </c>
      <c r="DI553" s="675">
        <v>0</v>
      </c>
      <c r="DJ553" s="549">
        <v>0</v>
      </c>
      <c r="DK553" s="675">
        <v>0</v>
      </c>
      <c r="DL553" s="549">
        <v>0</v>
      </c>
      <c r="DM553" s="675">
        <v>0</v>
      </c>
      <c r="DN553" s="549">
        <v>0</v>
      </c>
      <c r="DO553" s="675">
        <v>0</v>
      </c>
      <c r="DP553" s="549">
        <v>0</v>
      </c>
      <c r="DQ553" s="675">
        <v>0</v>
      </c>
      <c r="DR553" s="549">
        <v>0</v>
      </c>
      <c r="DS553" s="675">
        <v>0</v>
      </c>
      <c r="DT553" s="549">
        <v>0</v>
      </c>
      <c r="DU553" s="675">
        <v>0</v>
      </c>
      <c r="DV553" s="549">
        <v>0</v>
      </c>
      <c r="DW553" s="675">
        <v>0</v>
      </c>
      <c r="DX553" s="549">
        <v>0</v>
      </c>
      <c r="DY553" s="675">
        <v>0</v>
      </c>
      <c r="DZ553" s="549">
        <v>0</v>
      </c>
      <c r="EA553" s="675">
        <v>0</v>
      </c>
      <c r="EB553" s="549">
        <v>0</v>
      </c>
      <c r="EC553" s="675">
        <v>0</v>
      </c>
      <c r="ED553" s="549">
        <v>0</v>
      </c>
      <c r="EE553" s="675">
        <v>0</v>
      </c>
      <c r="EF553" s="549">
        <v>0</v>
      </c>
      <c r="EG553" s="675">
        <v>0</v>
      </c>
      <c r="EH553" s="549">
        <v>0</v>
      </c>
      <c r="EI553" s="675">
        <v>0</v>
      </c>
      <c r="EJ553" s="549">
        <v>0</v>
      </c>
      <c r="EK553" s="675">
        <v>0</v>
      </c>
      <c r="EL553" s="549">
        <v>0</v>
      </c>
      <c r="EM553" s="675">
        <v>0</v>
      </c>
      <c r="EN553" s="549">
        <v>0</v>
      </c>
      <c r="EO553" s="675">
        <v>0</v>
      </c>
      <c r="EP553" s="549">
        <v>0</v>
      </c>
      <c r="EQ553" s="675">
        <v>0</v>
      </c>
      <c r="ER553" s="549">
        <v>0</v>
      </c>
      <c r="ES553" s="675">
        <v>0</v>
      </c>
      <c r="ET553" s="549">
        <v>0</v>
      </c>
      <c r="EU553" s="675">
        <v>0</v>
      </c>
      <c r="EV553" s="549">
        <v>0</v>
      </c>
      <c r="EW553" s="675">
        <v>0</v>
      </c>
      <c r="EX553" s="549">
        <v>0</v>
      </c>
      <c r="EY553" s="675">
        <v>0</v>
      </c>
      <c r="EZ553" s="549">
        <v>0</v>
      </c>
      <c r="FA553" s="675">
        <v>0</v>
      </c>
      <c r="FB553" s="549">
        <v>0</v>
      </c>
      <c r="FC553" s="675">
        <v>0</v>
      </c>
      <c r="FD553" s="549">
        <v>0</v>
      </c>
      <c r="FE553" s="675">
        <v>0</v>
      </c>
      <c r="FF553" s="549">
        <v>0</v>
      </c>
      <c r="FG553" s="675">
        <v>0</v>
      </c>
      <c r="FH553" s="549">
        <v>0</v>
      </c>
      <c r="FI553" s="675">
        <v>0</v>
      </c>
      <c r="FJ553" s="549">
        <v>0</v>
      </c>
      <c r="FK553" s="675">
        <v>0</v>
      </c>
      <c r="FL553" s="549">
        <v>0</v>
      </c>
      <c r="FM553" s="675">
        <v>0</v>
      </c>
      <c r="FN553" s="549">
        <v>0</v>
      </c>
      <c r="FO553" s="675">
        <v>0</v>
      </c>
      <c r="FP553" s="549">
        <v>0</v>
      </c>
      <c r="FQ553" s="675">
        <v>0</v>
      </c>
      <c r="FR553" s="549">
        <v>0</v>
      </c>
      <c r="FS553" s="675">
        <v>-3202</v>
      </c>
      <c r="FT553" s="549">
        <v>0</v>
      </c>
      <c r="FU553" s="675">
        <v>0</v>
      </c>
      <c r="FV553" s="549">
        <v>0</v>
      </c>
      <c r="FW553" s="675">
        <v>0</v>
      </c>
      <c r="FX553" s="549">
        <v>0</v>
      </c>
      <c r="FY553" s="675">
        <v>0</v>
      </c>
      <c r="FZ553" s="549">
        <v>0</v>
      </c>
      <c r="GA553" s="675">
        <v>0</v>
      </c>
      <c r="GB553" s="549">
        <v>0</v>
      </c>
      <c r="GC553" s="675">
        <v>0</v>
      </c>
      <c r="GD553" s="549">
        <v>0</v>
      </c>
      <c r="GE553" s="675">
        <v>0</v>
      </c>
      <c r="GF553" s="549">
        <v>0</v>
      </c>
      <c r="GG553" s="675">
        <v>0</v>
      </c>
      <c r="GH553" s="549">
        <v>0</v>
      </c>
      <c r="GI553" s="675">
        <v>0</v>
      </c>
      <c r="GJ553" s="549">
        <v>0</v>
      </c>
      <c r="GK553" s="675">
        <v>0</v>
      </c>
      <c r="GL553" s="549">
        <v>0</v>
      </c>
      <c r="GM553" s="675">
        <v>0</v>
      </c>
      <c r="GN553" s="549">
        <v>0</v>
      </c>
      <c r="GO553" s="675">
        <v>0</v>
      </c>
      <c r="GP553" s="549">
        <f t="shared" si="12946"/>
        <v>0</v>
      </c>
      <c r="GQ553" s="675">
        <f t="shared" si="12947"/>
        <v>-9202</v>
      </c>
      <c r="GR553" s="74">
        <f>C553+GP553+GQ553</f>
        <v>7098</v>
      </c>
      <c r="GS553" s="74">
        <f t="shared" si="12948"/>
        <v>7098</v>
      </c>
      <c r="GT553" s="568">
        <f>SUM(GU553:HF553)+GQ553+GP553</f>
        <v>7098</v>
      </c>
      <c r="GU553" s="275">
        <v>0</v>
      </c>
      <c r="GV553" s="275">
        <v>0</v>
      </c>
      <c r="GW553" s="275">
        <v>16300</v>
      </c>
      <c r="GX553" s="275">
        <v>0</v>
      </c>
      <c r="GY553" s="275">
        <v>0</v>
      </c>
      <c r="GZ553" s="275">
        <v>0</v>
      </c>
      <c r="HA553" s="275">
        <v>0</v>
      </c>
      <c r="HB553" s="275">
        <v>0</v>
      </c>
      <c r="HC553" s="275">
        <v>0</v>
      </c>
      <c r="HD553" s="275">
        <v>0</v>
      </c>
      <c r="HE553" s="275">
        <v>0</v>
      </c>
      <c r="HF553" s="275">
        <v>0</v>
      </c>
      <c r="HG553" s="74">
        <f>SUM(HH553:IE553)</f>
        <v>7098</v>
      </c>
      <c r="HH553" s="89">
        <v>0</v>
      </c>
      <c r="HI553" s="817">
        <v>0</v>
      </c>
      <c r="HJ553" s="89">
        <v>0</v>
      </c>
      <c r="HK553" s="817">
        <v>0</v>
      </c>
      <c r="HL553" s="89">
        <v>16300</v>
      </c>
      <c r="HM553" s="817">
        <v>0</v>
      </c>
      <c r="HN553" s="89">
        <v>0</v>
      </c>
      <c r="HO553" s="817">
        <v>0</v>
      </c>
      <c r="HP553" s="89">
        <v>0</v>
      </c>
      <c r="HQ553" s="817">
        <v>0</v>
      </c>
      <c r="HR553" s="89">
        <v>0</v>
      </c>
      <c r="HS553" s="817">
        <v>0</v>
      </c>
      <c r="HT553" s="89">
        <v>-6000</v>
      </c>
      <c r="HU553" s="817">
        <v>0</v>
      </c>
      <c r="HV553" s="89">
        <v>0</v>
      </c>
      <c r="HW553" s="817">
        <v>0</v>
      </c>
      <c r="HX553" s="89">
        <v>0</v>
      </c>
      <c r="HY553" s="817">
        <v>0</v>
      </c>
      <c r="HZ553" s="89">
        <v>-3202</v>
      </c>
      <c r="IA553" s="817">
        <v>0</v>
      </c>
      <c r="IB553" s="89">
        <v>0</v>
      </c>
      <c r="IC553" s="817">
        <v>0</v>
      </c>
      <c r="ID553" s="89">
        <v>0</v>
      </c>
      <c r="IE553" s="817">
        <v>0</v>
      </c>
      <c r="IF553" s="841">
        <f t="shared" si="12917"/>
        <v>7098</v>
      </c>
      <c r="IG553" s="263">
        <f t="shared" si="12918"/>
        <v>7098</v>
      </c>
      <c r="IH553" s="842">
        <f t="shared" si="12919"/>
        <v>7098</v>
      </c>
      <c r="II553" s="89">
        <v>0</v>
      </c>
      <c r="IJ553" s="89">
        <f t="shared" si="12923"/>
        <v>0</v>
      </c>
      <c r="IK553" s="89">
        <f t="shared" si="12924"/>
        <v>0</v>
      </c>
      <c r="IL553" s="89">
        <v>0</v>
      </c>
      <c r="IM553" s="89">
        <f t="shared" si="12925"/>
        <v>0</v>
      </c>
      <c r="IN553" s="89">
        <f t="shared" si="12926"/>
        <v>0</v>
      </c>
      <c r="IO553" s="89">
        <v>1911</v>
      </c>
      <c r="IP553" s="89">
        <f t="shared" si="12927"/>
        <v>1911</v>
      </c>
      <c r="IQ553" s="89">
        <f t="shared" si="12928"/>
        <v>1911</v>
      </c>
      <c r="IR553" s="89">
        <f>2730-1911</f>
        <v>819</v>
      </c>
      <c r="IS553" s="89">
        <f t="shared" si="12929"/>
        <v>819</v>
      </c>
      <c r="IT553" s="89">
        <f t="shared" si="12930"/>
        <v>819</v>
      </c>
      <c r="IU553" s="89">
        <f>3685.5-2730</f>
        <v>955.5</v>
      </c>
      <c r="IV553" s="89">
        <f t="shared" si="12931"/>
        <v>955.5</v>
      </c>
      <c r="IW553" s="89">
        <f t="shared" si="12932"/>
        <v>955.5</v>
      </c>
      <c r="IX553" s="89">
        <f>4641-3685.5</f>
        <v>955.5</v>
      </c>
      <c r="IY553" s="89">
        <f t="shared" si="12933"/>
        <v>955.5</v>
      </c>
      <c r="IZ553" s="89">
        <f t="shared" si="12934"/>
        <v>955.5</v>
      </c>
      <c r="JA553" s="89">
        <f>4641-4641</f>
        <v>0</v>
      </c>
      <c r="JB553" s="89">
        <f t="shared" si="12935"/>
        <v>0</v>
      </c>
      <c r="JC553" s="89">
        <f t="shared" si="12936"/>
        <v>0</v>
      </c>
      <c r="JD553" s="89">
        <f>6142.5-4641</f>
        <v>1501.5</v>
      </c>
      <c r="JE553" s="89">
        <f t="shared" si="12937"/>
        <v>1501.5</v>
      </c>
      <c r="JF553" s="89">
        <f t="shared" si="12938"/>
        <v>1501.5</v>
      </c>
      <c r="JG553" s="89">
        <f>7098-6142.5</f>
        <v>955.5</v>
      </c>
      <c r="JH553" s="89">
        <f t="shared" si="12939"/>
        <v>955.5</v>
      </c>
      <c r="JI553" s="89">
        <f t="shared" si="12940"/>
        <v>955.5</v>
      </c>
      <c r="JJ553" s="89">
        <v>0</v>
      </c>
      <c r="JK553" s="89">
        <f t="shared" si="12941"/>
        <v>0</v>
      </c>
      <c r="JL553" s="89">
        <f t="shared" si="12942"/>
        <v>0</v>
      </c>
      <c r="JM553" s="89">
        <v>0</v>
      </c>
      <c r="JN553" s="89">
        <f t="shared" si="12943"/>
        <v>0</v>
      </c>
      <c r="JO553" s="89">
        <f t="shared" si="12944"/>
        <v>0</v>
      </c>
      <c r="JP553" s="89">
        <v>0</v>
      </c>
      <c r="JQ553" s="89">
        <f t="shared" ref="JQ553:JR553" si="12950">JP553</f>
        <v>0</v>
      </c>
      <c r="JR553" s="89">
        <f t="shared" si="12950"/>
        <v>0</v>
      </c>
      <c r="JS553" s="74">
        <f>HG553-IF553</f>
        <v>0</v>
      </c>
      <c r="JT553" s="382">
        <f>GS553-IF553</f>
        <v>0</v>
      </c>
      <c r="JU553" s="665"/>
      <c r="JV553" s="524"/>
      <c r="JW553" s="525"/>
      <c r="JX553" s="549">
        <f t="shared" si="12920"/>
        <v>7098</v>
      </c>
      <c r="JY553" s="549">
        <f t="shared" si="12920"/>
        <v>0</v>
      </c>
      <c r="JZ553" s="581">
        <f t="shared" si="12201"/>
        <v>0</v>
      </c>
      <c r="KA553" s="581">
        <f t="shared" si="12202"/>
        <v>-9202</v>
      </c>
      <c r="KB553" s="549">
        <f t="shared" si="12194"/>
        <v>7098</v>
      </c>
      <c r="KC553" s="709">
        <f t="shared" si="12200"/>
        <v>0</v>
      </c>
      <c r="KD553" s="36"/>
      <c r="KE553" s="36"/>
      <c r="KF553" s="36"/>
      <c r="KG553" s="36"/>
      <c r="KH553" s="36"/>
      <c r="KI553" s="36"/>
      <c r="KJ553" s="36"/>
      <c r="KK553" s="36"/>
    </row>
    <row r="554" spans="1:297" s="10" customFormat="1">
      <c r="A554" s="86"/>
      <c r="B554" s="77"/>
      <c r="C554" s="74"/>
      <c r="D554" s="549"/>
      <c r="E554" s="675"/>
      <c r="F554" s="549"/>
      <c r="G554" s="675"/>
      <c r="H554" s="549"/>
      <c r="I554" s="675"/>
      <c r="J554" s="549"/>
      <c r="K554" s="675"/>
      <c r="L554" s="549"/>
      <c r="M554" s="675"/>
      <c r="N554" s="549"/>
      <c r="O554" s="675"/>
      <c r="P554" s="549"/>
      <c r="Q554" s="675"/>
      <c r="R554" s="549"/>
      <c r="S554" s="675"/>
      <c r="T554" s="549"/>
      <c r="U554" s="675"/>
      <c r="V554" s="549"/>
      <c r="W554" s="675"/>
      <c r="X554" s="549"/>
      <c r="Y554" s="675"/>
      <c r="Z554" s="549"/>
      <c r="AA554" s="675"/>
      <c r="AB554" s="549"/>
      <c r="AC554" s="675"/>
      <c r="AD554" s="549"/>
      <c r="AE554" s="675"/>
      <c r="AF554" s="549"/>
      <c r="AG554" s="675"/>
      <c r="AH554" s="549"/>
      <c r="AI554" s="675"/>
      <c r="AJ554" s="549"/>
      <c r="AK554" s="675"/>
      <c r="AL554" s="549"/>
      <c r="AM554" s="675"/>
      <c r="AN554" s="549"/>
      <c r="AO554" s="675"/>
      <c r="AP554" s="549"/>
      <c r="AQ554" s="675"/>
      <c r="AR554" s="549"/>
      <c r="AS554" s="675"/>
      <c r="AT554" s="549"/>
      <c r="AU554" s="675"/>
      <c r="AV554" s="549"/>
      <c r="AW554" s="675"/>
      <c r="AX554" s="549"/>
      <c r="AY554" s="675"/>
      <c r="AZ554" s="549"/>
      <c r="BA554" s="675"/>
      <c r="BB554" s="549"/>
      <c r="BC554" s="675"/>
      <c r="BD554" s="549"/>
      <c r="BE554" s="675"/>
      <c r="BF554" s="549"/>
      <c r="BG554" s="675"/>
      <c r="BH554" s="549"/>
      <c r="BI554" s="675"/>
      <c r="BJ554" s="549"/>
      <c r="BK554" s="675"/>
      <c r="BL554" s="549"/>
      <c r="BM554" s="675"/>
      <c r="BN554" s="549"/>
      <c r="BO554" s="675"/>
      <c r="BP554" s="549"/>
      <c r="BQ554" s="675"/>
      <c r="BR554" s="549"/>
      <c r="BS554" s="675"/>
      <c r="BT554" s="549"/>
      <c r="BU554" s="675"/>
      <c r="BV554" s="549"/>
      <c r="BW554" s="675"/>
      <c r="BX554" s="549"/>
      <c r="BY554" s="675"/>
      <c r="BZ554" s="549"/>
      <c r="CA554" s="675"/>
      <c r="CB554" s="549"/>
      <c r="CC554" s="675"/>
      <c r="CD554" s="549"/>
      <c r="CE554" s="675"/>
      <c r="CF554" s="549"/>
      <c r="CG554" s="675"/>
      <c r="CH554" s="549"/>
      <c r="CI554" s="675"/>
      <c r="CJ554" s="549"/>
      <c r="CK554" s="675"/>
      <c r="CL554" s="549"/>
      <c r="CM554" s="675"/>
      <c r="CN554" s="549"/>
      <c r="CO554" s="675"/>
      <c r="CP554" s="549"/>
      <c r="CQ554" s="675"/>
      <c r="CR554" s="549"/>
      <c r="CS554" s="675"/>
      <c r="CT554" s="549"/>
      <c r="CU554" s="675"/>
      <c r="CV554" s="549"/>
      <c r="CW554" s="675"/>
      <c r="CX554" s="549"/>
      <c r="CY554" s="675"/>
      <c r="CZ554" s="549"/>
      <c r="DA554" s="675"/>
      <c r="DB554" s="549"/>
      <c r="DC554" s="675"/>
      <c r="DD554" s="549"/>
      <c r="DE554" s="675"/>
      <c r="DF554" s="549"/>
      <c r="DG554" s="675"/>
      <c r="DH554" s="549"/>
      <c r="DI554" s="675"/>
      <c r="DJ554" s="549"/>
      <c r="DK554" s="675"/>
      <c r="DL554" s="549"/>
      <c r="DM554" s="675"/>
      <c r="DN554" s="549"/>
      <c r="DO554" s="675"/>
      <c r="DP554" s="549"/>
      <c r="DQ554" s="675"/>
      <c r="DR554" s="549"/>
      <c r="DS554" s="675"/>
      <c r="DT554" s="549"/>
      <c r="DU554" s="675"/>
      <c r="DV554" s="549"/>
      <c r="DW554" s="675"/>
      <c r="DX554" s="549"/>
      <c r="DY554" s="675"/>
      <c r="DZ554" s="549"/>
      <c r="EA554" s="675"/>
      <c r="EB554" s="549"/>
      <c r="EC554" s="675"/>
      <c r="ED554" s="549"/>
      <c r="EE554" s="675"/>
      <c r="EF554" s="549"/>
      <c r="EG554" s="675"/>
      <c r="EH554" s="549"/>
      <c r="EI554" s="675"/>
      <c r="EJ554" s="549"/>
      <c r="EK554" s="675"/>
      <c r="EL554" s="549"/>
      <c r="EM554" s="675"/>
      <c r="EN554" s="549"/>
      <c r="EO554" s="675"/>
      <c r="EP554" s="549"/>
      <c r="EQ554" s="675"/>
      <c r="ER554" s="549"/>
      <c r="ES554" s="675"/>
      <c r="ET554" s="549"/>
      <c r="EU554" s="675"/>
      <c r="EV554" s="549"/>
      <c r="EW554" s="675"/>
      <c r="EX554" s="549"/>
      <c r="EY554" s="675"/>
      <c r="EZ554" s="549"/>
      <c r="FA554" s="675"/>
      <c r="FB554" s="549"/>
      <c r="FC554" s="675"/>
      <c r="FD554" s="549"/>
      <c r="FE554" s="675"/>
      <c r="FF554" s="549"/>
      <c r="FG554" s="675"/>
      <c r="FH554" s="549"/>
      <c r="FI554" s="675"/>
      <c r="FJ554" s="549"/>
      <c r="FK554" s="675"/>
      <c r="FL554" s="549"/>
      <c r="FM554" s="675"/>
      <c r="FN554" s="549"/>
      <c r="FO554" s="675"/>
      <c r="FP554" s="549"/>
      <c r="FQ554" s="675"/>
      <c r="FR554" s="549"/>
      <c r="FS554" s="675"/>
      <c r="FT554" s="549"/>
      <c r="FU554" s="675"/>
      <c r="FV554" s="549"/>
      <c r="FW554" s="675"/>
      <c r="FX554" s="549"/>
      <c r="FY554" s="675"/>
      <c r="FZ554" s="549"/>
      <c r="GA554" s="675"/>
      <c r="GB554" s="549"/>
      <c r="GC554" s="675"/>
      <c r="GD554" s="549"/>
      <c r="GE554" s="675"/>
      <c r="GF554" s="549"/>
      <c r="GG554" s="675"/>
      <c r="GH554" s="549"/>
      <c r="GI554" s="675"/>
      <c r="GJ554" s="549"/>
      <c r="GK554" s="675"/>
      <c r="GL554" s="549"/>
      <c r="GM554" s="675"/>
      <c r="GN554" s="549"/>
      <c r="GO554" s="675"/>
      <c r="GP554" s="549"/>
      <c r="GQ554" s="675"/>
      <c r="GR554" s="74"/>
      <c r="GS554" s="74"/>
      <c r="GT554" s="568"/>
      <c r="GU554" s="89"/>
      <c r="GV554" s="89"/>
      <c r="GW554" s="568"/>
      <c r="GX554" s="568"/>
      <c r="GY554" s="89"/>
      <c r="GZ554" s="89"/>
      <c r="HA554" s="89"/>
      <c r="HB554" s="89"/>
      <c r="HC554" s="89"/>
      <c r="HD554" s="89"/>
      <c r="HE554" s="89"/>
      <c r="HF554" s="89"/>
      <c r="HG554" s="74"/>
      <c r="HH554" s="89"/>
      <c r="HI554" s="817"/>
      <c r="HJ554" s="89"/>
      <c r="HK554" s="817"/>
      <c r="HL554" s="89"/>
      <c r="HM554" s="817"/>
      <c r="HN554" s="89"/>
      <c r="HO554" s="817"/>
      <c r="HP554" s="89"/>
      <c r="HQ554" s="817"/>
      <c r="HR554" s="89"/>
      <c r="HS554" s="817"/>
      <c r="HT554" s="89"/>
      <c r="HU554" s="817"/>
      <c r="HV554" s="89"/>
      <c r="HW554" s="817"/>
      <c r="HX554" s="89"/>
      <c r="HY554" s="817"/>
      <c r="HZ554" s="89"/>
      <c r="IA554" s="817"/>
      <c r="IB554" s="89"/>
      <c r="IC554" s="817"/>
      <c r="ID554" s="89"/>
      <c r="IE554" s="817"/>
      <c r="IF554" s="841"/>
      <c r="IG554" s="263"/>
      <c r="IH554" s="842"/>
      <c r="II554" s="89"/>
      <c r="IJ554" s="89"/>
      <c r="IK554" s="89"/>
      <c r="IL554" s="89"/>
      <c r="IM554" s="89"/>
      <c r="IN554" s="89"/>
      <c r="IO554" s="89"/>
      <c r="IP554" s="89"/>
      <c r="IQ554" s="89"/>
      <c r="IR554" s="89"/>
      <c r="IS554" s="89"/>
      <c r="IT554" s="89"/>
      <c r="IU554" s="89"/>
      <c r="IV554" s="89"/>
      <c r="IW554" s="89"/>
      <c r="IX554" s="89"/>
      <c r="IY554" s="89"/>
      <c r="IZ554" s="89"/>
      <c r="JA554" s="89"/>
      <c r="JB554" s="89"/>
      <c r="JC554" s="89"/>
      <c r="JD554" s="89"/>
      <c r="JE554" s="89"/>
      <c r="JF554" s="89"/>
      <c r="JG554" s="89"/>
      <c r="JH554" s="89"/>
      <c r="JI554" s="89"/>
      <c r="JJ554" s="89"/>
      <c r="JK554" s="89"/>
      <c r="JL554" s="89"/>
      <c r="JM554" s="89"/>
      <c r="JN554" s="89"/>
      <c r="JO554" s="89"/>
      <c r="JP554" s="89"/>
      <c r="JQ554" s="89"/>
      <c r="JR554" s="89"/>
      <c r="JS554" s="74"/>
      <c r="JT554" s="382"/>
      <c r="JU554" s="665"/>
      <c r="JV554" s="524"/>
      <c r="JW554" s="525"/>
      <c r="JX554" s="549"/>
      <c r="JY554" s="549"/>
      <c r="JZ554" s="581">
        <f t="shared" si="12201"/>
        <v>0</v>
      </c>
      <c r="KA554" s="581">
        <f t="shared" si="12202"/>
        <v>0</v>
      </c>
      <c r="KB554" s="549">
        <f t="shared" si="12194"/>
        <v>0</v>
      </c>
      <c r="KC554" s="709">
        <f t="shared" si="12200"/>
        <v>0</v>
      </c>
      <c r="KD554" s="36"/>
      <c r="KE554" s="36"/>
      <c r="KF554" s="36"/>
      <c r="KG554" s="36"/>
      <c r="KH554" s="36"/>
      <c r="KI554" s="36"/>
      <c r="KJ554" s="36"/>
      <c r="KK554" s="36"/>
    </row>
    <row r="555" spans="1:297" s="8" customFormat="1" ht="12.75" hidden="1" customHeight="1">
      <c r="A555" s="80" t="s">
        <v>1215</v>
      </c>
      <c r="B555" s="72" t="s">
        <v>211</v>
      </c>
      <c r="C555" s="74">
        <f>SUM(C556)</f>
        <v>0</v>
      </c>
      <c r="D555" s="549">
        <f t="shared" ref="D555:E555" si="12951">SUM(D556)</f>
        <v>0</v>
      </c>
      <c r="E555" s="675">
        <f t="shared" si="12951"/>
        <v>0</v>
      </c>
      <c r="F555" s="549">
        <f t="shared" ref="F555:G555" si="12952">SUM(F556)</f>
        <v>0</v>
      </c>
      <c r="G555" s="675">
        <f t="shared" si="12952"/>
        <v>0</v>
      </c>
      <c r="H555" s="549">
        <f t="shared" ref="H555:I555" si="12953">SUM(H556)</f>
        <v>0</v>
      </c>
      <c r="I555" s="675">
        <f t="shared" si="12953"/>
        <v>0</v>
      </c>
      <c r="J555" s="549">
        <f t="shared" ref="J555:K555" si="12954">SUM(J556)</f>
        <v>0</v>
      </c>
      <c r="K555" s="675">
        <f t="shared" si="12954"/>
        <v>0</v>
      </c>
      <c r="L555" s="549">
        <f t="shared" ref="L555:M555" si="12955">SUM(L556)</f>
        <v>0</v>
      </c>
      <c r="M555" s="675">
        <f t="shared" si="12955"/>
        <v>0</v>
      </c>
      <c r="N555" s="549">
        <f t="shared" ref="N555:O555" si="12956">SUM(N556)</f>
        <v>0</v>
      </c>
      <c r="O555" s="675">
        <f t="shared" si="12956"/>
        <v>0</v>
      </c>
      <c r="P555" s="549">
        <f t="shared" ref="P555:Q555" si="12957">SUM(P556)</f>
        <v>0</v>
      </c>
      <c r="Q555" s="675">
        <f t="shared" si="12957"/>
        <v>0</v>
      </c>
      <c r="R555" s="549">
        <f t="shared" ref="R555:S555" si="12958">SUM(R556)</f>
        <v>0</v>
      </c>
      <c r="S555" s="675">
        <f t="shared" si="12958"/>
        <v>0</v>
      </c>
      <c r="T555" s="549">
        <f t="shared" ref="T555:IH555" si="12959">SUM(T556)</f>
        <v>0</v>
      </c>
      <c r="U555" s="675">
        <f t="shared" si="12959"/>
        <v>0</v>
      </c>
      <c r="V555" s="549">
        <f t="shared" si="12959"/>
        <v>0</v>
      </c>
      <c r="W555" s="675">
        <f t="shared" si="12959"/>
        <v>0</v>
      </c>
      <c r="X555" s="549">
        <f t="shared" si="12959"/>
        <v>0</v>
      </c>
      <c r="Y555" s="675">
        <f t="shared" si="12959"/>
        <v>0</v>
      </c>
      <c r="Z555" s="549">
        <f t="shared" si="12959"/>
        <v>0</v>
      </c>
      <c r="AA555" s="675">
        <f t="shared" si="12959"/>
        <v>0</v>
      </c>
      <c r="AB555" s="549">
        <f t="shared" si="12959"/>
        <v>0</v>
      </c>
      <c r="AC555" s="675">
        <f t="shared" si="12959"/>
        <v>0</v>
      </c>
      <c r="AD555" s="549">
        <f t="shared" si="12959"/>
        <v>0</v>
      </c>
      <c r="AE555" s="675">
        <f t="shared" si="12959"/>
        <v>0</v>
      </c>
      <c r="AF555" s="549">
        <f t="shared" si="12959"/>
        <v>0</v>
      </c>
      <c r="AG555" s="675">
        <f t="shared" si="12959"/>
        <v>0</v>
      </c>
      <c r="AH555" s="549">
        <f t="shared" si="12959"/>
        <v>0</v>
      </c>
      <c r="AI555" s="675">
        <f t="shared" si="12959"/>
        <v>0</v>
      </c>
      <c r="AJ555" s="549">
        <f t="shared" si="12959"/>
        <v>0</v>
      </c>
      <c r="AK555" s="675">
        <f t="shared" si="12959"/>
        <v>0</v>
      </c>
      <c r="AL555" s="549">
        <f t="shared" si="12959"/>
        <v>0</v>
      </c>
      <c r="AM555" s="675">
        <f t="shared" si="12959"/>
        <v>0</v>
      </c>
      <c r="AN555" s="549">
        <f t="shared" si="12959"/>
        <v>0</v>
      </c>
      <c r="AO555" s="675">
        <f t="shared" si="12959"/>
        <v>0</v>
      </c>
      <c r="AP555" s="549">
        <f t="shared" si="12959"/>
        <v>0</v>
      </c>
      <c r="AQ555" s="675">
        <f t="shared" si="12959"/>
        <v>0</v>
      </c>
      <c r="AR555" s="549">
        <f t="shared" si="12959"/>
        <v>0</v>
      </c>
      <c r="AS555" s="675">
        <f t="shared" si="12959"/>
        <v>0</v>
      </c>
      <c r="AT555" s="549">
        <f t="shared" si="12959"/>
        <v>0</v>
      </c>
      <c r="AU555" s="675">
        <f t="shared" si="12959"/>
        <v>0</v>
      </c>
      <c r="AV555" s="549">
        <f t="shared" si="12959"/>
        <v>0</v>
      </c>
      <c r="AW555" s="675">
        <f t="shared" si="12959"/>
        <v>0</v>
      </c>
      <c r="AX555" s="549">
        <f t="shared" si="12959"/>
        <v>0</v>
      </c>
      <c r="AY555" s="675">
        <f t="shared" si="12959"/>
        <v>0</v>
      </c>
      <c r="AZ555" s="549">
        <f t="shared" si="12959"/>
        <v>0</v>
      </c>
      <c r="BA555" s="675">
        <f t="shared" si="12959"/>
        <v>0</v>
      </c>
      <c r="BB555" s="549">
        <f t="shared" si="12959"/>
        <v>0</v>
      </c>
      <c r="BC555" s="675">
        <f t="shared" si="12959"/>
        <v>0</v>
      </c>
      <c r="BD555" s="549">
        <f t="shared" si="12959"/>
        <v>0</v>
      </c>
      <c r="BE555" s="675">
        <f t="shared" si="12959"/>
        <v>0</v>
      </c>
      <c r="BF555" s="549">
        <f t="shared" si="12959"/>
        <v>0</v>
      </c>
      <c r="BG555" s="675">
        <f t="shared" si="12959"/>
        <v>0</v>
      </c>
      <c r="BH555" s="549">
        <f t="shared" si="12959"/>
        <v>0</v>
      </c>
      <c r="BI555" s="675">
        <f t="shared" si="12959"/>
        <v>0</v>
      </c>
      <c r="BJ555" s="549">
        <f t="shared" si="12959"/>
        <v>0</v>
      </c>
      <c r="BK555" s="675">
        <f t="shared" si="12959"/>
        <v>0</v>
      </c>
      <c r="BL555" s="549">
        <f t="shared" si="12959"/>
        <v>0</v>
      </c>
      <c r="BM555" s="675">
        <f t="shared" si="12959"/>
        <v>0</v>
      </c>
      <c r="BN555" s="549">
        <f t="shared" si="12959"/>
        <v>0</v>
      </c>
      <c r="BO555" s="675">
        <f t="shared" si="12959"/>
        <v>0</v>
      </c>
      <c r="BP555" s="549">
        <f t="shared" si="12959"/>
        <v>0</v>
      </c>
      <c r="BQ555" s="675">
        <f t="shared" si="12959"/>
        <v>0</v>
      </c>
      <c r="BR555" s="549">
        <f t="shared" si="12959"/>
        <v>0</v>
      </c>
      <c r="BS555" s="675">
        <f t="shared" si="12959"/>
        <v>0</v>
      </c>
      <c r="BT555" s="549">
        <f t="shared" si="12959"/>
        <v>0</v>
      </c>
      <c r="BU555" s="675">
        <f t="shared" si="12959"/>
        <v>0</v>
      </c>
      <c r="BV555" s="549">
        <f t="shared" si="12959"/>
        <v>0</v>
      </c>
      <c r="BW555" s="675">
        <f t="shared" si="12959"/>
        <v>0</v>
      </c>
      <c r="BX555" s="549">
        <f t="shared" si="12959"/>
        <v>0</v>
      </c>
      <c r="BY555" s="675">
        <f t="shared" si="12959"/>
        <v>0</v>
      </c>
      <c r="BZ555" s="549">
        <f t="shared" si="12959"/>
        <v>0</v>
      </c>
      <c r="CA555" s="675">
        <f t="shared" si="12959"/>
        <v>0</v>
      </c>
      <c r="CB555" s="549">
        <f t="shared" si="12959"/>
        <v>0</v>
      </c>
      <c r="CC555" s="675">
        <f t="shared" si="12959"/>
        <v>0</v>
      </c>
      <c r="CD555" s="549">
        <f t="shared" si="12959"/>
        <v>0</v>
      </c>
      <c r="CE555" s="675">
        <f t="shared" si="12959"/>
        <v>0</v>
      </c>
      <c r="CF555" s="549">
        <f t="shared" si="12959"/>
        <v>0</v>
      </c>
      <c r="CG555" s="675">
        <f t="shared" si="12959"/>
        <v>0</v>
      </c>
      <c r="CH555" s="549">
        <f t="shared" si="12959"/>
        <v>0</v>
      </c>
      <c r="CI555" s="675">
        <f t="shared" si="12959"/>
        <v>0</v>
      </c>
      <c r="CJ555" s="549">
        <f t="shared" si="12959"/>
        <v>0</v>
      </c>
      <c r="CK555" s="675">
        <f t="shared" si="12959"/>
        <v>0</v>
      </c>
      <c r="CL555" s="549">
        <f t="shared" si="12959"/>
        <v>0</v>
      </c>
      <c r="CM555" s="675">
        <f t="shared" si="12959"/>
        <v>0</v>
      </c>
      <c r="CN555" s="549">
        <f t="shared" si="12959"/>
        <v>0</v>
      </c>
      <c r="CO555" s="675">
        <f t="shared" si="12959"/>
        <v>0</v>
      </c>
      <c r="CP555" s="549">
        <f t="shared" si="12959"/>
        <v>0</v>
      </c>
      <c r="CQ555" s="675">
        <f t="shared" si="12959"/>
        <v>0</v>
      </c>
      <c r="CR555" s="549">
        <f t="shared" si="12959"/>
        <v>0</v>
      </c>
      <c r="CS555" s="675">
        <f t="shared" si="12959"/>
        <v>0</v>
      </c>
      <c r="CT555" s="549">
        <f t="shared" si="12959"/>
        <v>0</v>
      </c>
      <c r="CU555" s="675">
        <f t="shared" si="12959"/>
        <v>0</v>
      </c>
      <c r="CV555" s="549">
        <f t="shared" si="12959"/>
        <v>0</v>
      </c>
      <c r="CW555" s="675">
        <f t="shared" si="12959"/>
        <v>0</v>
      </c>
      <c r="CX555" s="549">
        <f t="shared" si="12959"/>
        <v>0</v>
      </c>
      <c r="CY555" s="675">
        <f t="shared" si="12959"/>
        <v>0</v>
      </c>
      <c r="CZ555" s="549">
        <f t="shared" si="12959"/>
        <v>0</v>
      </c>
      <c r="DA555" s="675">
        <f t="shared" si="12959"/>
        <v>0</v>
      </c>
      <c r="DB555" s="549">
        <f t="shared" si="12959"/>
        <v>0</v>
      </c>
      <c r="DC555" s="675">
        <f t="shared" si="12959"/>
        <v>0</v>
      </c>
      <c r="DD555" s="549">
        <f t="shared" si="12959"/>
        <v>0</v>
      </c>
      <c r="DE555" s="675">
        <f t="shared" si="12959"/>
        <v>0</v>
      </c>
      <c r="DF555" s="549">
        <f t="shared" si="12959"/>
        <v>0</v>
      </c>
      <c r="DG555" s="675">
        <f t="shared" si="12959"/>
        <v>0</v>
      </c>
      <c r="DH555" s="549">
        <f t="shared" si="12959"/>
        <v>0</v>
      </c>
      <c r="DI555" s="675">
        <f t="shared" si="12959"/>
        <v>0</v>
      </c>
      <c r="DJ555" s="549">
        <f t="shared" si="12959"/>
        <v>0</v>
      </c>
      <c r="DK555" s="675">
        <f t="shared" si="12959"/>
        <v>0</v>
      </c>
      <c r="DL555" s="549">
        <f t="shared" si="12959"/>
        <v>0</v>
      </c>
      <c r="DM555" s="675">
        <f t="shared" si="12959"/>
        <v>0</v>
      </c>
      <c r="DN555" s="549">
        <f t="shared" si="12959"/>
        <v>0</v>
      </c>
      <c r="DO555" s="675">
        <f t="shared" si="12959"/>
        <v>0</v>
      </c>
      <c r="DP555" s="549">
        <f t="shared" si="12959"/>
        <v>0</v>
      </c>
      <c r="DQ555" s="675">
        <f t="shared" si="12959"/>
        <v>0</v>
      </c>
      <c r="DR555" s="549">
        <f t="shared" si="12959"/>
        <v>0</v>
      </c>
      <c r="DS555" s="675">
        <f t="shared" si="12959"/>
        <v>0</v>
      </c>
      <c r="DT555" s="549">
        <f t="shared" si="12959"/>
        <v>0</v>
      </c>
      <c r="DU555" s="675">
        <f t="shared" si="12959"/>
        <v>0</v>
      </c>
      <c r="DV555" s="549">
        <f t="shared" si="12959"/>
        <v>0</v>
      </c>
      <c r="DW555" s="675">
        <f t="shared" si="12959"/>
        <v>0</v>
      </c>
      <c r="DX555" s="549">
        <f t="shared" si="12959"/>
        <v>0</v>
      </c>
      <c r="DY555" s="675">
        <f t="shared" si="12959"/>
        <v>0</v>
      </c>
      <c r="DZ555" s="549">
        <f t="shared" si="12959"/>
        <v>0</v>
      </c>
      <c r="EA555" s="675">
        <f t="shared" si="12959"/>
        <v>0</v>
      </c>
      <c r="EB555" s="549">
        <f t="shared" si="12959"/>
        <v>0</v>
      </c>
      <c r="EC555" s="675">
        <f t="shared" si="12959"/>
        <v>0</v>
      </c>
      <c r="ED555" s="549">
        <f t="shared" si="12959"/>
        <v>0</v>
      </c>
      <c r="EE555" s="675">
        <f t="shared" si="12959"/>
        <v>0</v>
      </c>
      <c r="EF555" s="549">
        <f t="shared" si="12959"/>
        <v>0</v>
      </c>
      <c r="EG555" s="675">
        <f t="shared" si="12959"/>
        <v>0</v>
      </c>
      <c r="EH555" s="549">
        <f t="shared" si="12959"/>
        <v>0</v>
      </c>
      <c r="EI555" s="675">
        <f t="shared" si="12959"/>
        <v>0</v>
      </c>
      <c r="EJ555" s="549">
        <f t="shared" si="12959"/>
        <v>0</v>
      </c>
      <c r="EK555" s="675">
        <f t="shared" si="12959"/>
        <v>0</v>
      </c>
      <c r="EL555" s="549">
        <f t="shared" si="12959"/>
        <v>0</v>
      </c>
      <c r="EM555" s="675">
        <f t="shared" si="12959"/>
        <v>0</v>
      </c>
      <c r="EN555" s="549">
        <f t="shared" si="12959"/>
        <v>0</v>
      </c>
      <c r="EO555" s="675">
        <f t="shared" si="12959"/>
        <v>0</v>
      </c>
      <c r="EP555" s="549">
        <f t="shared" si="12959"/>
        <v>0</v>
      </c>
      <c r="EQ555" s="675">
        <f t="shared" si="12959"/>
        <v>0</v>
      </c>
      <c r="ER555" s="549">
        <f t="shared" si="12959"/>
        <v>0</v>
      </c>
      <c r="ES555" s="675">
        <f t="shared" si="12959"/>
        <v>0</v>
      </c>
      <c r="ET555" s="549">
        <f t="shared" si="12959"/>
        <v>0</v>
      </c>
      <c r="EU555" s="675">
        <f t="shared" si="12959"/>
        <v>0</v>
      </c>
      <c r="EV555" s="549">
        <f t="shared" si="12959"/>
        <v>0</v>
      </c>
      <c r="EW555" s="675">
        <f t="shared" si="12959"/>
        <v>0</v>
      </c>
      <c r="EX555" s="549">
        <f t="shared" si="12959"/>
        <v>0</v>
      </c>
      <c r="EY555" s="675">
        <f t="shared" si="12959"/>
        <v>0</v>
      </c>
      <c r="EZ555" s="549">
        <f t="shared" si="12959"/>
        <v>0</v>
      </c>
      <c r="FA555" s="675">
        <f t="shared" si="12959"/>
        <v>0</v>
      </c>
      <c r="FB555" s="549">
        <f t="shared" si="12959"/>
        <v>0</v>
      </c>
      <c r="FC555" s="675">
        <f t="shared" si="12959"/>
        <v>0</v>
      </c>
      <c r="FD555" s="549">
        <f t="shared" si="12959"/>
        <v>0</v>
      </c>
      <c r="FE555" s="675">
        <f t="shared" si="12959"/>
        <v>0</v>
      </c>
      <c r="FF555" s="549">
        <f t="shared" si="12959"/>
        <v>0</v>
      </c>
      <c r="FG555" s="675">
        <f t="shared" si="12959"/>
        <v>0</v>
      </c>
      <c r="FH555" s="549">
        <f t="shared" si="12959"/>
        <v>0</v>
      </c>
      <c r="FI555" s="675">
        <f t="shared" si="12959"/>
        <v>0</v>
      </c>
      <c r="FJ555" s="549">
        <f t="shared" si="12959"/>
        <v>0</v>
      </c>
      <c r="FK555" s="675">
        <f t="shared" si="12959"/>
        <v>0</v>
      </c>
      <c r="FL555" s="549">
        <f t="shared" si="12959"/>
        <v>0</v>
      </c>
      <c r="FM555" s="675">
        <f t="shared" si="12959"/>
        <v>0</v>
      </c>
      <c r="FN555" s="549">
        <f t="shared" si="12959"/>
        <v>0</v>
      </c>
      <c r="FO555" s="675">
        <f t="shared" si="12959"/>
        <v>0</v>
      </c>
      <c r="FP555" s="549">
        <f t="shared" si="12959"/>
        <v>0</v>
      </c>
      <c r="FQ555" s="675">
        <f t="shared" si="12959"/>
        <v>0</v>
      </c>
      <c r="FR555" s="549">
        <f t="shared" si="12959"/>
        <v>0</v>
      </c>
      <c r="FS555" s="675">
        <f t="shared" si="12959"/>
        <v>0</v>
      </c>
      <c r="FT555" s="549">
        <f t="shared" si="12959"/>
        <v>0</v>
      </c>
      <c r="FU555" s="675">
        <f t="shared" si="12959"/>
        <v>0</v>
      </c>
      <c r="FV555" s="549">
        <f t="shared" si="12959"/>
        <v>0</v>
      </c>
      <c r="FW555" s="675">
        <f t="shared" si="12959"/>
        <v>0</v>
      </c>
      <c r="FX555" s="549">
        <f t="shared" si="12959"/>
        <v>0</v>
      </c>
      <c r="FY555" s="675">
        <f t="shared" si="12959"/>
        <v>0</v>
      </c>
      <c r="FZ555" s="549">
        <f t="shared" si="12959"/>
        <v>0</v>
      </c>
      <c r="GA555" s="675">
        <f t="shared" si="12959"/>
        <v>0</v>
      </c>
      <c r="GB555" s="549">
        <f t="shared" si="12959"/>
        <v>0</v>
      </c>
      <c r="GC555" s="675">
        <f t="shared" si="12959"/>
        <v>0</v>
      </c>
      <c r="GD555" s="549">
        <f t="shared" si="12959"/>
        <v>0</v>
      </c>
      <c r="GE555" s="675">
        <f t="shared" si="12959"/>
        <v>0</v>
      </c>
      <c r="GF555" s="549">
        <f t="shared" si="12959"/>
        <v>0</v>
      </c>
      <c r="GG555" s="675">
        <f t="shared" si="12959"/>
        <v>0</v>
      </c>
      <c r="GH555" s="549">
        <f t="shared" si="12959"/>
        <v>0</v>
      </c>
      <c r="GI555" s="675">
        <f t="shared" si="12959"/>
        <v>0</v>
      </c>
      <c r="GJ555" s="549">
        <f t="shared" si="12959"/>
        <v>0</v>
      </c>
      <c r="GK555" s="675">
        <f t="shared" si="12959"/>
        <v>0</v>
      </c>
      <c r="GL555" s="549">
        <f t="shared" si="12959"/>
        <v>0</v>
      </c>
      <c r="GM555" s="675">
        <f t="shared" si="12959"/>
        <v>0</v>
      </c>
      <c r="GN555" s="549">
        <f t="shared" si="12959"/>
        <v>0</v>
      </c>
      <c r="GO555" s="675">
        <f t="shared" si="12959"/>
        <v>0</v>
      </c>
      <c r="GP555" s="549">
        <f t="shared" si="12959"/>
        <v>0</v>
      </c>
      <c r="GQ555" s="675">
        <f t="shared" si="12959"/>
        <v>0</v>
      </c>
      <c r="GR555" s="74">
        <f t="shared" si="12959"/>
        <v>0</v>
      </c>
      <c r="GS555" s="74">
        <f t="shared" si="12959"/>
        <v>0</v>
      </c>
      <c r="GT555" s="549">
        <f t="shared" si="12959"/>
        <v>0</v>
      </c>
      <c r="GU555" s="74">
        <f t="shared" si="12959"/>
        <v>0</v>
      </c>
      <c r="GV555" s="74">
        <f t="shared" si="12959"/>
        <v>0</v>
      </c>
      <c r="GW555" s="549">
        <f t="shared" si="12959"/>
        <v>0</v>
      </c>
      <c r="GX555" s="549">
        <f t="shared" si="12959"/>
        <v>0</v>
      </c>
      <c r="GY555" s="74">
        <f t="shared" si="12959"/>
        <v>0</v>
      </c>
      <c r="GZ555" s="74">
        <f t="shared" si="12959"/>
        <v>0</v>
      </c>
      <c r="HA555" s="74">
        <f t="shared" si="12959"/>
        <v>0</v>
      </c>
      <c r="HB555" s="74">
        <f t="shared" si="12959"/>
        <v>0</v>
      </c>
      <c r="HC555" s="74">
        <f t="shared" si="12959"/>
        <v>0</v>
      </c>
      <c r="HD555" s="74">
        <f t="shared" si="12959"/>
        <v>0</v>
      </c>
      <c r="HE555" s="74">
        <f t="shared" si="12959"/>
        <v>0</v>
      </c>
      <c r="HF555" s="74">
        <f t="shared" si="12959"/>
        <v>0</v>
      </c>
      <c r="HG555" s="74">
        <f t="shared" si="12959"/>
        <v>0</v>
      </c>
      <c r="HH555" s="74">
        <f t="shared" ref="HH555:HI555" si="12960">SUM(HH556)</f>
        <v>0</v>
      </c>
      <c r="HI555" s="792">
        <f t="shared" si="12960"/>
        <v>0</v>
      </c>
      <c r="HJ555" s="74">
        <f t="shared" ref="HJ555:HK555" si="12961">SUM(HJ556)</f>
        <v>0</v>
      </c>
      <c r="HK555" s="792">
        <f t="shared" si="12961"/>
        <v>0</v>
      </c>
      <c r="HL555" s="74">
        <f t="shared" ref="HL555:HM555" si="12962">SUM(HL556)</f>
        <v>0</v>
      </c>
      <c r="HM555" s="792">
        <f t="shared" si="12962"/>
        <v>0</v>
      </c>
      <c r="HN555" s="74">
        <f t="shared" ref="HN555:HO555" si="12963">SUM(HN556)</f>
        <v>0</v>
      </c>
      <c r="HO555" s="792">
        <f t="shared" si="12963"/>
        <v>0</v>
      </c>
      <c r="HP555" s="74">
        <f t="shared" ref="HP555:HQ555" si="12964">SUM(HP556)</f>
        <v>0</v>
      </c>
      <c r="HQ555" s="792">
        <f t="shared" si="12964"/>
        <v>0</v>
      </c>
      <c r="HR555" s="74">
        <f t="shared" ref="HR555:HS555" si="12965">SUM(HR556)</f>
        <v>0</v>
      </c>
      <c r="HS555" s="792">
        <f t="shared" si="12965"/>
        <v>0</v>
      </c>
      <c r="HT555" s="74">
        <f t="shared" ref="HT555:HU555" si="12966">SUM(HT556)</f>
        <v>0</v>
      </c>
      <c r="HU555" s="792">
        <f t="shared" si="12966"/>
        <v>0</v>
      </c>
      <c r="HV555" s="74">
        <f t="shared" ref="HV555:HW555" si="12967">SUM(HV556)</f>
        <v>0</v>
      </c>
      <c r="HW555" s="792">
        <f t="shared" si="12967"/>
        <v>0</v>
      </c>
      <c r="HX555" s="74">
        <f t="shared" ref="HX555:HY555" si="12968">SUM(HX556)</f>
        <v>0</v>
      </c>
      <c r="HY555" s="792">
        <f t="shared" si="12968"/>
        <v>0</v>
      </c>
      <c r="HZ555" s="74">
        <f t="shared" ref="HZ555:IA555" si="12969">SUM(HZ556)</f>
        <v>0</v>
      </c>
      <c r="IA555" s="792">
        <f t="shared" si="12969"/>
        <v>0</v>
      </c>
      <c r="IB555" s="74">
        <f t="shared" ref="IB555:IC555" si="12970">SUM(IB556)</f>
        <v>0</v>
      </c>
      <c r="IC555" s="792">
        <f t="shared" si="12970"/>
        <v>0</v>
      </c>
      <c r="ID555" s="74">
        <f t="shared" si="12959"/>
        <v>0</v>
      </c>
      <c r="IE555" s="792">
        <f t="shared" si="12959"/>
        <v>0</v>
      </c>
      <c r="IF555" s="841">
        <f t="shared" si="12959"/>
        <v>0</v>
      </c>
      <c r="IG555" s="263">
        <f t="shared" si="12959"/>
        <v>0</v>
      </c>
      <c r="IH555" s="842">
        <f t="shared" si="12959"/>
        <v>0</v>
      </c>
      <c r="II555" s="74">
        <f t="shared" ref="II555:JR555" si="12971">SUM(II556)</f>
        <v>0</v>
      </c>
      <c r="IJ555" s="74">
        <f t="shared" si="12971"/>
        <v>0</v>
      </c>
      <c r="IK555" s="74">
        <f t="shared" si="12971"/>
        <v>0</v>
      </c>
      <c r="IL555" s="74">
        <f t="shared" si="12971"/>
        <v>0</v>
      </c>
      <c r="IM555" s="74">
        <f t="shared" si="12971"/>
        <v>0</v>
      </c>
      <c r="IN555" s="74">
        <f t="shared" si="12971"/>
        <v>0</v>
      </c>
      <c r="IO555" s="74">
        <f t="shared" si="12971"/>
        <v>0</v>
      </c>
      <c r="IP555" s="74">
        <f t="shared" si="12971"/>
        <v>0</v>
      </c>
      <c r="IQ555" s="74">
        <f t="shared" si="12971"/>
        <v>0</v>
      </c>
      <c r="IR555" s="74">
        <f t="shared" si="12971"/>
        <v>0</v>
      </c>
      <c r="IS555" s="74">
        <f t="shared" si="12971"/>
        <v>0</v>
      </c>
      <c r="IT555" s="74">
        <f t="shared" si="12971"/>
        <v>0</v>
      </c>
      <c r="IU555" s="74">
        <f t="shared" si="12971"/>
        <v>0</v>
      </c>
      <c r="IV555" s="74">
        <f t="shared" si="12971"/>
        <v>0</v>
      </c>
      <c r="IW555" s="74">
        <f t="shared" si="12971"/>
        <v>0</v>
      </c>
      <c r="IX555" s="74">
        <f t="shared" si="12971"/>
        <v>0</v>
      </c>
      <c r="IY555" s="74">
        <f t="shared" si="12971"/>
        <v>0</v>
      </c>
      <c r="IZ555" s="74">
        <f t="shared" si="12971"/>
        <v>0</v>
      </c>
      <c r="JA555" s="74">
        <f t="shared" si="12971"/>
        <v>0</v>
      </c>
      <c r="JB555" s="74">
        <f t="shared" si="12971"/>
        <v>0</v>
      </c>
      <c r="JC555" s="74">
        <f t="shared" si="12971"/>
        <v>0</v>
      </c>
      <c r="JD555" s="74">
        <f t="shared" si="12971"/>
        <v>0</v>
      </c>
      <c r="JE555" s="74">
        <f t="shared" si="12971"/>
        <v>0</v>
      </c>
      <c r="JF555" s="74">
        <f t="shared" si="12971"/>
        <v>0</v>
      </c>
      <c r="JG555" s="74">
        <f t="shared" si="12971"/>
        <v>0</v>
      </c>
      <c r="JH555" s="74">
        <f t="shared" si="12971"/>
        <v>0</v>
      </c>
      <c r="JI555" s="74">
        <f t="shared" si="12971"/>
        <v>0</v>
      </c>
      <c r="JJ555" s="74">
        <f t="shared" si="12971"/>
        <v>0</v>
      </c>
      <c r="JK555" s="74">
        <f t="shared" si="12971"/>
        <v>0</v>
      </c>
      <c r="JL555" s="74">
        <f t="shared" si="12971"/>
        <v>0</v>
      </c>
      <c r="JM555" s="74">
        <f t="shared" si="12971"/>
        <v>0</v>
      </c>
      <c r="JN555" s="74">
        <f t="shared" si="12971"/>
        <v>0</v>
      </c>
      <c r="JO555" s="74">
        <f t="shared" si="12971"/>
        <v>0</v>
      </c>
      <c r="JP555" s="74">
        <f t="shared" si="12971"/>
        <v>0</v>
      </c>
      <c r="JQ555" s="74">
        <f t="shared" si="12971"/>
        <v>0</v>
      </c>
      <c r="JR555" s="74">
        <f t="shared" si="12971"/>
        <v>0</v>
      </c>
      <c r="JS555" s="74">
        <f t="shared" ref="JS555:JY555" si="12972">SUM(JS556)</f>
        <v>0</v>
      </c>
      <c r="JT555" s="382">
        <f t="shared" si="12972"/>
        <v>0</v>
      </c>
      <c r="JU555" s="665"/>
      <c r="JV555" s="524"/>
      <c r="JW555" s="525"/>
      <c r="JX555" s="549">
        <f t="shared" si="12972"/>
        <v>0</v>
      </c>
      <c r="JY555" s="549">
        <f t="shared" si="12972"/>
        <v>0</v>
      </c>
      <c r="JZ555" s="581">
        <f t="shared" si="12201"/>
        <v>0</v>
      </c>
      <c r="KA555" s="581">
        <f t="shared" si="12202"/>
        <v>0</v>
      </c>
      <c r="KB555" s="549">
        <f t="shared" si="12194"/>
        <v>0</v>
      </c>
      <c r="KC555" s="709">
        <f t="shared" si="12200"/>
        <v>0</v>
      </c>
      <c r="KD555" s="36"/>
      <c r="KE555" s="36"/>
      <c r="KF555" s="36"/>
      <c r="KG555" s="36"/>
      <c r="KH555" s="36"/>
      <c r="KI555" s="36"/>
      <c r="KJ555" s="36"/>
      <c r="KK555" s="36"/>
    </row>
    <row r="556" spans="1:297" s="10" customFormat="1" ht="12.75" hidden="1" customHeight="1">
      <c r="A556" s="557" t="s">
        <v>1214</v>
      </c>
      <c r="B556" s="77" t="s">
        <v>308</v>
      </c>
      <c r="C556" s="74">
        <v>0</v>
      </c>
      <c r="D556" s="549">
        <v>0</v>
      </c>
      <c r="E556" s="675">
        <v>0</v>
      </c>
      <c r="F556" s="549">
        <v>0</v>
      </c>
      <c r="G556" s="675">
        <v>0</v>
      </c>
      <c r="H556" s="549">
        <v>0</v>
      </c>
      <c r="I556" s="675">
        <v>0</v>
      </c>
      <c r="J556" s="549">
        <v>0</v>
      </c>
      <c r="K556" s="675">
        <v>0</v>
      </c>
      <c r="L556" s="549">
        <v>0</v>
      </c>
      <c r="M556" s="675">
        <v>0</v>
      </c>
      <c r="N556" s="549">
        <v>0</v>
      </c>
      <c r="O556" s="675">
        <v>0</v>
      </c>
      <c r="P556" s="549">
        <v>0</v>
      </c>
      <c r="Q556" s="675">
        <v>0</v>
      </c>
      <c r="R556" s="549">
        <v>0</v>
      </c>
      <c r="S556" s="675">
        <v>0</v>
      </c>
      <c r="T556" s="549">
        <v>0</v>
      </c>
      <c r="U556" s="675">
        <v>0</v>
      </c>
      <c r="V556" s="549">
        <v>0</v>
      </c>
      <c r="W556" s="675">
        <v>0</v>
      </c>
      <c r="X556" s="549">
        <v>0</v>
      </c>
      <c r="Y556" s="675">
        <v>0</v>
      </c>
      <c r="Z556" s="549">
        <v>0</v>
      </c>
      <c r="AA556" s="675">
        <v>0</v>
      </c>
      <c r="AB556" s="549">
        <v>0</v>
      </c>
      <c r="AC556" s="675">
        <v>0</v>
      </c>
      <c r="AD556" s="549">
        <v>0</v>
      </c>
      <c r="AE556" s="675">
        <v>0</v>
      </c>
      <c r="AF556" s="549">
        <v>0</v>
      </c>
      <c r="AG556" s="675">
        <v>0</v>
      </c>
      <c r="AH556" s="549">
        <v>0</v>
      </c>
      <c r="AI556" s="675">
        <v>0</v>
      </c>
      <c r="AJ556" s="549">
        <v>0</v>
      </c>
      <c r="AK556" s="675">
        <v>0</v>
      </c>
      <c r="AL556" s="549">
        <v>0</v>
      </c>
      <c r="AM556" s="675">
        <v>0</v>
      </c>
      <c r="AN556" s="549">
        <v>0</v>
      </c>
      <c r="AO556" s="675">
        <v>0</v>
      </c>
      <c r="AP556" s="549">
        <v>0</v>
      </c>
      <c r="AQ556" s="675">
        <v>0</v>
      </c>
      <c r="AR556" s="549">
        <v>0</v>
      </c>
      <c r="AS556" s="675">
        <v>0</v>
      </c>
      <c r="AT556" s="549">
        <v>0</v>
      </c>
      <c r="AU556" s="675">
        <v>0</v>
      </c>
      <c r="AV556" s="549">
        <v>0</v>
      </c>
      <c r="AW556" s="675">
        <v>0</v>
      </c>
      <c r="AX556" s="549">
        <v>0</v>
      </c>
      <c r="AY556" s="675">
        <v>0</v>
      </c>
      <c r="AZ556" s="549">
        <v>0</v>
      </c>
      <c r="BA556" s="675">
        <v>0</v>
      </c>
      <c r="BB556" s="549">
        <v>0</v>
      </c>
      <c r="BC556" s="675">
        <v>0</v>
      </c>
      <c r="BD556" s="549">
        <v>0</v>
      </c>
      <c r="BE556" s="675">
        <v>0</v>
      </c>
      <c r="BF556" s="549">
        <v>0</v>
      </c>
      <c r="BG556" s="675">
        <v>0</v>
      </c>
      <c r="BH556" s="549">
        <v>0</v>
      </c>
      <c r="BI556" s="675">
        <v>0</v>
      </c>
      <c r="BJ556" s="549">
        <v>0</v>
      </c>
      <c r="BK556" s="675">
        <v>0</v>
      </c>
      <c r="BL556" s="549">
        <v>0</v>
      </c>
      <c r="BM556" s="675">
        <v>0</v>
      </c>
      <c r="BN556" s="549">
        <v>0</v>
      </c>
      <c r="BO556" s="675">
        <v>0</v>
      </c>
      <c r="BP556" s="549">
        <v>0</v>
      </c>
      <c r="BQ556" s="675">
        <v>0</v>
      </c>
      <c r="BR556" s="549">
        <v>0</v>
      </c>
      <c r="BS556" s="675">
        <v>0</v>
      </c>
      <c r="BT556" s="549">
        <v>0</v>
      </c>
      <c r="BU556" s="675">
        <v>0</v>
      </c>
      <c r="BV556" s="549">
        <v>0</v>
      </c>
      <c r="BW556" s="675">
        <v>0</v>
      </c>
      <c r="BX556" s="549">
        <v>0</v>
      </c>
      <c r="BY556" s="675">
        <v>0</v>
      </c>
      <c r="BZ556" s="549">
        <v>0</v>
      </c>
      <c r="CA556" s="675">
        <v>0</v>
      </c>
      <c r="CB556" s="549">
        <v>0</v>
      </c>
      <c r="CC556" s="675">
        <v>0</v>
      </c>
      <c r="CD556" s="549">
        <v>0</v>
      </c>
      <c r="CE556" s="675">
        <v>0</v>
      </c>
      <c r="CF556" s="549">
        <v>0</v>
      </c>
      <c r="CG556" s="675">
        <v>0</v>
      </c>
      <c r="CH556" s="549">
        <v>0</v>
      </c>
      <c r="CI556" s="675">
        <v>0</v>
      </c>
      <c r="CJ556" s="549">
        <v>0</v>
      </c>
      <c r="CK556" s="675">
        <v>0</v>
      </c>
      <c r="CL556" s="549">
        <v>0</v>
      </c>
      <c r="CM556" s="675">
        <v>0</v>
      </c>
      <c r="CN556" s="549">
        <v>0</v>
      </c>
      <c r="CO556" s="675">
        <v>0</v>
      </c>
      <c r="CP556" s="549">
        <v>0</v>
      </c>
      <c r="CQ556" s="675">
        <v>0</v>
      </c>
      <c r="CR556" s="549">
        <v>0</v>
      </c>
      <c r="CS556" s="675">
        <v>0</v>
      </c>
      <c r="CT556" s="549">
        <v>0</v>
      </c>
      <c r="CU556" s="675">
        <v>0</v>
      </c>
      <c r="CV556" s="549">
        <v>0</v>
      </c>
      <c r="CW556" s="675">
        <v>0</v>
      </c>
      <c r="CX556" s="549">
        <v>0</v>
      </c>
      <c r="CY556" s="675">
        <v>0</v>
      </c>
      <c r="CZ556" s="549">
        <v>0</v>
      </c>
      <c r="DA556" s="675">
        <v>0</v>
      </c>
      <c r="DB556" s="549">
        <v>0</v>
      </c>
      <c r="DC556" s="675">
        <v>0</v>
      </c>
      <c r="DD556" s="549">
        <v>0</v>
      </c>
      <c r="DE556" s="675">
        <v>0</v>
      </c>
      <c r="DF556" s="549">
        <v>0</v>
      </c>
      <c r="DG556" s="675">
        <v>0</v>
      </c>
      <c r="DH556" s="549">
        <v>0</v>
      </c>
      <c r="DI556" s="675">
        <v>0</v>
      </c>
      <c r="DJ556" s="549">
        <v>0</v>
      </c>
      <c r="DK556" s="675">
        <v>0</v>
      </c>
      <c r="DL556" s="549">
        <v>0</v>
      </c>
      <c r="DM556" s="675">
        <v>0</v>
      </c>
      <c r="DN556" s="549">
        <v>0</v>
      </c>
      <c r="DO556" s="675">
        <v>0</v>
      </c>
      <c r="DP556" s="549">
        <v>0</v>
      </c>
      <c r="DQ556" s="675">
        <v>0</v>
      </c>
      <c r="DR556" s="549">
        <v>0</v>
      </c>
      <c r="DS556" s="675">
        <v>0</v>
      </c>
      <c r="DT556" s="549">
        <v>0</v>
      </c>
      <c r="DU556" s="675">
        <v>0</v>
      </c>
      <c r="DV556" s="549">
        <v>0</v>
      </c>
      <c r="DW556" s="675">
        <v>0</v>
      </c>
      <c r="DX556" s="549">
        <v>0</v>
      </c>
      <c r="DY556" s="675">
        <v>0</v>
      </c>
      <c r="DZ556" s="549">
        <v>0</v>
      </c>
      <c r="EA556" s="675">
        <v>0</v>
      </c>
      <c r="EB556" s="549">
        <v>0</v>
      </c>
      <c r="EC556" s="675">
        <v>0</v>
      </c>
      <c r="ED556" s="549">
        <v>0</v>
      </c>
      <c r="EE556" s="675">
        <v>0</v>
      </c>
      <c r="EF556" s="549">
        <v>0</v>
      </c>
      <c r="EG556" s="675">
        <v>0</v>
      </c>
      <c r="EH556" s="549">
        <v>0</v>
      </c>
      <c r="EI556" s="675">
        <v>0</v>
      </c>
      <c r="EJ556" s="549">
        <v>0</v>
      </c>
      <c r="EK556" s="675">
        <v>0</v>
      </c>
      <c r="EL556" s="549">
        <v>0</v>
      </c>
      <c r="EM556" s="675">
        <v>0</v>
      </c>
      <c r="EN556" s="549">
        <v>0</v>
      </c>
      <c r="EO556" s="675">
        <v>0</v>
      </c>
      <c r="EP556" s="549">
        <v>0</v>
      </c>
      <c r="EQ556" s="675">
        <v>0</v>
      </c>
      <c r="ER556" s="549">
        <v>0</v>
      </c>
      <c r="ES556" s="675">
        <v>0</v>
      </c>
      <c r="ET556" s="549">
        <v>0</v>
      </c>
      <c r="EU556" s="675">
        <v>0</v>
      </c>
      <c r="EV556" s="549">
        <v>0</v>
      </c>
      <c r="EW556" s="675">
        <v>0</v>
      </c>
      <c r="EX556" s="549">
        <v>0</v>
      </c>
      <c r="EY556" s="675">
        <v>0</v>
      </c>
      <c r="EZ556" s="549">
        <v>0</v>
      </c>
      <c r="FA556" s="675">
        <v>0</v>
      </c>
      <c r="FB556" s="549">
        <v>0</v>
      </c>
      <c r="FC556" s="675">
        <v>0</v>
      </c>
      <c r="FD556" s="549">
        <v>0</v>
      </c>
      <c r="FE556" s="675">
        <v>0</v>
      </c>
      <c r="FF556" s="549">
        <v>0</v>
      </c>
      <c r="FG556" s="675">
        <v>0</v>
      </c>
      <c r="FH556" s="549">
        <v>0</v>
      </c>
      <c r="FI556" s="675">
        <v>0</v>
      </c>
      <c r="FJ556" s="549">
        <v>0</v>
      </c>
      <c r="FK556" s="675">
        <v>0</v>
      </c>
      <c r="FL556" s="549">
        <v>0</v>
      </c>
      <c r="FM556" s="675">
        <v>0</v>
      </c>
      <c r="FN556" s="549">
        <v>0</v>
      </c>
      <c r="FO556" s="675">
        <v>0</v>
      </c>
      <c r="FP556" s="549">
        <v>0</v>
      </c>
      <c r="FQ556" s="675">
        <v>0</v>
      </c>
      <c r="FR556" s="549">
        <v>0</v>
      </c>
      <c r="FS556" s="675">
        <v>0</v>
      </c>
      <c r="FT556" s="549">
        <v>0</v>
      </c>
      <c r="FU556" s="675">
        <v>0</v>
      </c>
      <c r="FV556" s="549">
        <v>0</v>
      </c>
      <c r="FW556" s="675">
        <v>0</v>
      </c>
      <c r="FX556" s="549">
        <v>0</v>
      </c>
      <c r="FY556" s="675">
        <v>0</v>
      </c>
      <c r="FZ556" s="549">
        <v>0</v>
      </c>
      <c r="GA556" s="675">
        <v>0</v>
      </c>
      <c r="GB556" s="549">
        <v>0</v>
      </c>
      <c r="GC556" s="675">
        <v>0</v>
      </c>
      <c r="GD556" s="549">
        <v>0</v>
      </c>
      <c r="GE556" s="675">
        <v>0</v>
      </c>
      <c r="GF556" s="549">
        <v>0</v>
      </c>
      <c r="GG556" s="675">
        <v>0</v>
      </c>
      <c r="GH556" s="549">
        <v>0</v>
      </c>
      <c r="GI556" s="675">
        <v>0</v>
      </c>
      <c r="GJ556" s="549">
        <v>0</v>
      </c>
      <c r="GK556" s="675">
        <v>0</v>
      </c>
      <c r="GL556" s="549">
        <v>0</v>
      </c>
      <c r="GM556" s="675">
        <v>0</v>
      </c>
      <c r="GN556" s="549">
        <v>0</v>
      </c>
      <c r="GO556" s="675">
        <v>0</v>
      </c>
      <c r="GP556" s="549">
        <f>+D556+F556+H556+J556+L556+N556+P556+R556+T556+V556+X556+Z556+AB556+AF556+AD556+AH556+AJ556+AL556+AN556+AP556+AR556+AT556+AV556+AX556+AZ556+BB556+BD556+BF556+BH556+BJ556+BL556+BN556+BP556+BR556+BT556+BV556+BX556+BZ556+CB556+CD556+CF556+CH556+CJ556+CL556+CN556+CP556+CR556+CT556+CV556+CX556+CZ556+DB556+DD556+DF556+DH556+DT556+EX556+DJ556+DL556+DN556+DP556+DR556+EJ556+EB556+DZ556+DX556+DV556+ED556+EF556+EH556+EL556+EN556+EP556+EV556+ET556+ER556+EZ556+FB556+FD556+GL556+FF556+FJ556+FL556+GJ556+FT556+FR556+FP556+FN556+FH556+GH556+GF556+GD556+GB556+FZ556+FX556+FV556+GN556</f>
        <v>0</v>
      </c>
      <c r="GQ556" s="675">
        <f>+E556+G556+I556+K556+M556+O556+Q556+S556+U556+W556+Y556+AA556+AC556+AE556+AG556+AI556+AK556+AM556+AO556+AQ556+AS556+AU556+AW556+AY556+BA556+BC556+BE556+BG556+BI556+BK556+BM556+BO556+BQ556+BS556+BU556+BW556+BY556+CA556+CC556+CE556+CG556+CI556+CK556+CM556+CO556+CQ556+CS556+CU556+CW556+CY556+DA556+DC556+DE556+DG556+DI556+DU556+EY556+DK556+DM556+DO556+DQ556+DS556+EK556+EC556+EA556+DY556+DW556+EI556+EG556+EE556+EM556+EO556+EQ556+EW556+EU556+ES556+FA556+FC556+FE556+GM556+FG556+FK556+FM556+FO556+FQ556+FS556+FU556+GK556+FI556+GI556+GG556+GE556+GC556+GA556+FY556+FW556+GO556</f>
        <v>0</v>
      </c>
      <c r="GR556" s="74">
        <f>C556+GP556+GQ556</f>
        <v>0</v>
      </c>
      <c r="GS556" s="74">
        <f>SUM(GU556:GV556)+GP556+GQ556+GW556+GX556+GY556+GZ556+HA556+HB556+HC556+HD556+HE556+HF556</f>
        <v>0</v>
      </c>
      <c r="GT556" s="568">
        <f>SUM(GU556:HF556)+GQ556+GP556</f>
        <v>0</v>
      </c>
      <c r="GU556" s="275">
        <v>0</v>
      </c>
      <c r="GV556" s="275">
        <v>0</v>
      </c>
      <c r="GW556" s="588">
        <v>0</v>
      </c>
      <c r="GX556" s="588">
        <v>0</v>
      </c>
      <c r="GY556" s="275">
        <v>0</v>
      </c>
      <c r="GZ556" s="275">
        <v>0</v>
      </c>
      <c r="HA556" s="275">
        <v>0</v>
      </c>
      <c r="HB556" s="275">
        <v>0</v>
      </c>
      <c r="HC556" s="275">
        <v>0</v>
      </c>
      <c r="HD556" s="275">
        <v>0</v>
      </c>
      <c r="HE556" s="275">
        <v>0</v>
      </c>
      <c r="HF556" s="275">
        <v>0</v>
      </c>
      <c r="HG556" s="74">
        <f>SUM(HH556:IE556)</f>
        <v>0</v>
      </c>
      <c r="HH556" s="89">
        <v>0</v>
      </c>
      <c r="HI556" s="817">
        <v>0</v>
      </c>
      <c r="HJ556" s="89">
        <v>0</v>
      </c>
      <c r="HK556" s="817">
        <v>0</v>
      </c>
      <c r="HL556" s="89">
        <v>0</v>
      </c>
      <c r="HM556" s="817">
        <v>0</v>
      </c>
      <c r="HN556" s="89">
        <v>0</v>
      </c>
      <c r="HO556" s="817">
        <v>0</v>
      </c>
      <c r="HP556" s="89">
        <v>0</v>
      </c>
      <c r="HQ556" s="817">
        <v>0</v>
      </c>
      <c r="HR556" s="89">
        <v>0</v>
      </c>
      <c r="HS556" s="817">
        <v>0</v>
      </c>
      <c r="HT556" s="89">
        <v>0</v>
      </c>
      <c r="HU556" s="817">
        <v>0</v>
      </c>
      <c r="HV556" s="89">
        <v>0</v>
      </c>
      <c r="HW556" s="817">
        <v>0</v>
      </c>
      <c r="HX556" s="89">
        <v>0</v>
      </c>
      <c r="HY556" s="817">
        <v>0</v>
      </c>
      <c r="HZ556" s="89">
        <v>0</v>
      </c>
      <c r="IA556" s="817">
        <v>0</v>
      </c>
      <c r="IB556" s="89">
        <v>0</v>
      </c>
      <c r="IC556" s="817">
        <v>0</v>
      </c>
      <c r="ID556" s="89">
        <v>0</v>
      </c>
      <c r="IE556" s="817">
        <v>0</v>
      </c>
      <c r="IF556" s="841">
        <f t="shared" ref="IF556" si="12973">SUM(II556,IL556,IO556,IR556,IU556,IX556,JA556,JD556,JG556,JJ556,JM556,JP556)</f>
        <v>0</v>
      </c>
      <c r="IG556" s="263">
        <f t="shared" ref="IG556" si="12974">SUM(IJ556,IM556,IP556,IS556,IV556,IY556,JB556,JE556,JH556,JK556,JN556,JQ556)</f>
        <v>0</v>
      </c>
      <c r="IH556" s="842">
        <f t="shared" ref="IH556" si="12975">SUM(IK556,IN556,IQ556,IT556,IW556,IZ556,JC556,JF556,JI556,JL556,JO556,JR556)</f>
        <v>0</v>
      </c>
      <c r="II556" s="89">
        <v>0</v>
      </c>
      <c r="IJ556" s="89">
        <v>0</v>
      </c>
      <c r="IK556" s="89">
        <v>0</v>
      </c>
      <c r="IL556" s="89">
        <v>0</v>
      </c>
      <c r="IM556" s="89">
        <v>0</v>
      </c>
      <c r="IN556" s="89">
        <v>0</v>
      </c>
      <c r="IO556" s="89">
        <v>0</v>
      </c>
      <c r="IP556" s="89">
        <v>0</v>
      </c>
      <c r="IQ556" s="89">
        <v>0</v>
      </c>
      <c r="IR556" s="89">
        <v>0</v>
      </c>
      <c r="IS556" s="89">
        <v>0</v>
      </c>
      <c r="IT556" s="89">
        <v>0</v>
      </c>
      <c r="IU556" s="89">
        <v>0</v>
      </c>
      <c r="IV556" s="89">
        <v>0</v>
      </c>
      <c r="IW556" s="89">
        <v>0</v>
      </c>
      <c r="IX556" s="89">
        <v>0</v>
      </c>
      <c r="IY556" s="89">
        <v>0</v>
      </c>
      <c r="IZ556" s="89">
        <v>0</v>
      </c>
      <c r="JA556" s="89">
        <v>0</v>
      </c>
      <c r="JB556" s="89">
        <v>0</v>
      </c>
      <c r="JC556" s="89">
        <v>0</v>
      </c>
      <c r="JD556" s="89">
        <v>0</v>
      </c>
      <c r="JE556" s="89">
        <v>0</v>
      </c>
      <c r="JF556" s="89">
        <v>0</v>
      </c>
      <c r="JG556" s="89">
        <v>0</v>
      </c>
      <c r="JH556" s="89">
        <v>0</v>
      </c>
      <c r="JI556" s="89">
        <v>0</v>
      </c>
      <c r="JJ556" s="89">
        <v>0</v>
      </c>
      <c r="JK556" s="89">
        <v>0</v>
      </c>
      <c r="JL556" s="89">
        <v>0</v>
      </c>
      <c r="JM556" s="89">
        <v>0</v>
      </c>
      <c r="JN556" s="89">
        <v>0</v>
      </c>
      <c r="JO556" s="89">
        <v>0</v>
      </c>
      <c r="JP556" s="89">
        <v>0</v>
      </c>
      <c r="JQ556" s="89">
        <v>0</v>
      </c>
      <c r="JR556" s="89">
        <v>0</v>
      </c>
      <c r="JS556" s="74">
        <f>HG556-IF556</f>
        <v>0</v>
      </c>
      <c r="JT556" s="382">
        <f>GS556-IF556</f>
        <v>0</v>
      </c>
      <c r="JU556" s="665"/>
      <c r="JV556" s="524"/>
      <c r="JW556" s="525"/>
      <c r="JX556" s="549">
        <f>SUM(HH556,HJ556,HL556,HN556,HP556,HR556,HT556,HV556,HX556,HZ556,IB556,ID556)</f>
        <v>0</v>
      </c>
      <c r="JY556" s="549">
        <f>SUM(HI556,HK556,HM556,HO556,HQ556,HS556,HU556,HW556,HY556,IA556,IC556,IE556)</f>
        <v>0</v>
      </c>
      <c r="JZ556" s="581">
        <f t="shared" si="12201"/>
        <v>0</v>
      </c>
      <c r="KA556" s="581">
        <f t="shared" si="12202"/>
        <v>0</v>
      </c>
      <c r="KB556" s="549">
        <f t="shared" si="12194"/>
        <v>0</v>
      </c>
      <c r="KC556" s="709">
        <f t="shared" si="12200"/>
        <v>0</v>
      </c>
      <c r="KD556" s="36"/>
      <c r="KE556" s="36"/>
      <c r="KF556" s="36"/>
      <c r="KG556" s="36"/>
      <c r="KH556" s="36"/>
      <c r="KI556" s="36"/>
      <c r="KJ556" s="36"/>
      <c r="KK556" s="36"/>
    </row>
    <row r="557" spans="1:297" s="10" customFormat="1" ht="12.75" hidden="1" customHeight="1">
      <c r="A557" s="86"/>
      <c r="B557" s="77"/>
      <c r="C557" s="74"/>
      <c r="D557" s="549"/>
      <c r="E557" s="675"/>
      <c r="F557" s="549"/>
      <c r="G557" s="675"/>
      <c r="H557" s="549"/>
      <c r="I557" s="675"/>
      <c r="J557" s="549"/>
      <c r="K557" s="675"/>
      <c r="L557" s="549"/>
      <c r="M557" s="675"/>
      <c r="N557" s="549"/>
      <c r="O557" s="675"/>
      <c r="P557" s="549"/>
      <c r="Q557" s="675"/>
      <c r="R557" s="549"/>
      <c r="S557" s="675"/>
      <c r="T557" s="549"/>
      <c r="U557" s="675"/>
      <c r="V557" s="549"/>
      <c r="W557" s="675"/>
      <c r="X557" s="549"/>
      <c r="Y557" s="675"/>
      <c r="Z557" s="549"/>
      <c r="AA557" s="675"/>
      <c r="AB557" s="549"/>
      <c r="AC557" s="675"/>
      <c r="AD557" s="549"/>
      <c r="AE557" s="675"/>
      <c r="AF557" s="549"/>
      <c r="AG557" s="675"/>
      <c r="AH557" s="549"/>
      <c r="AI557" s="675"/>
      <c r="AJ557" s="549"/>
      <c r="AK557" s="675"/>
      <c r="AL557" s="549"/>
      <c r="AM557" s="675"/>
      <c r="AN557" s="549"/>
      <c r="AO557" s="675"/>
      <c r="AP557" s="549"/>
      <c r="AQ557" s="675"/>
      <c r="AR557" s="549"/>
      <c r="AS557" s="675"/>
      <c r="AT557" s="549"/>
      <c r="AU557" s="675"/>
      <c r="AV557" s="549"/>
      <c r="AW557" s="675"/>
      <c r="AX557" s="549"/>
      <c r="AY557" s="675"/>
      <c r="AZ557" s="549"/>
      <c r="BA557" s="675"/>
      <c r="BB557" s="549"/>
      <c r="BC557" s="675"/>
      <c r="BD557" s="549"/>
      <c r="BE557" s="675"/>
      <c r="BF557" s="549"/>
      <c r="BG557" s="675"/>
      <c r="BH557" s="549"/>
      <c r="BI557" s="675"/>
      <c r="BJ557" s="549"/>
      <c r="BK557" s="675"/>
      <c r="BL557" s="549"/>
      <c r="BM557" s="675"/>
      <c r="BN557" s="549"/>
      <c r="BO557" s="675"/>
      <c r="BP557" s="549"/>
      <c r="BQ557" s="675"/>
      <c r="BR557" s="549"/>
      <c r="BS557" s="675"/>
      <c r="BT557" s="549"/>
      <c r="BU557" s="675"/>
      <c r="BV557" s="549"/>
      <c r="BW557" s="675"/>
      <c r="BX557" s="549"/>
      <c r="BY557" s="675"/>
      <c r="BZ557" s="549"/>
      <c r="CA557" s="675"/>
      <c r="CB557" s="549"/>
      <c r="CC557" s="675"/>
      <c r="CD557" s="549"/>
      <c r="CE557" s="675"/>
      <c r="CF557" s="549"/>
      <c r="CG557" s="675"/>
      <c r="CH557" s="549"/>
      <c r="CI557" s="675"/>
      <c r="CJ557" s="549"/>
      <c r="CK557" s="675"/>
      <c r="CL557" s="549"/>
      <c r="CM557" s="675"/>
      <c r="CN557" s="549"/>
      <c r="CO557" s="675"/>
      <c r="CP557" s="549"/>
      <c r="CQ557" s="675"/>
      <c r="CR557" s="549"/>
      <c r="CS557" s="675"/>
      <c r="CT557" s="549"/>
      <c r="CU557" s="675"/>
      <c r="CV557" s="549"/>
      <c r="CW557" s="675"/>
      <c r="CX557" s="549"/>
      <c r="CY557" s="675"/>
      <c r="CZ557" s="549"/>
      <c r="DA557" s="675"/>
      <c r="DB557" s="549"/>
      <c r="DC557" s="675"/>
      <c r="DD557" s="549"/>
      <c r="DE557" s="675"/>
      <c r="DF557" s="549"/>
      <c r="DG557" s="675"/>
      <c r="DH557" s="549"/>
      <c r="DI557" s="675"/>
      <c r="DJ557" s="549"/>
      <c r="DK557" s="675"/>
      <c r="DL557" s="549"/>
      <c r="DM557" s="675"/>
      <c r="DN557" s="549"/>
      <c r="DO557" s="675"/>
      <c r="DP557" s="549"/>
      <c r="DQ557" s="675"/>
      <c r="DR557" s="549"/>
      <c r="DS557" s="675"/>
      <c r="DT557" s="549"/>
      <c r="DU557" s="675"/>
      <c r="DV557" s="549"/>
      <c r="DW557" s="675"/>
      <c r="DX557" s="549"/>
      <c r="DY557" s="675"/>
      <c r="DZ557" s="549"/>
      <c r="EA557" s="675"/>
      <c r="EB557" s="549"/>
      <c r="EC557" s="675"/>
      <c r="ED557" s="549"/>
      <c r="EE557" s="675"/>
      <c r="EF557" s="549"/>
      <c r="EG557" s="675"/>
      <c r="EH557" s="549"/>
      <c r="EI557" s="675"/>
      <c r="EJ557" s="549"/>
      <c r="EK557" s="675"/>
      <c r="EL557" s="549"/>
      <c r="EM557" s="675"/>
      <c r="EN557" s="549"/>
      <c r="EO557" s="675"/>
      <c r="EP557" s="549"/>
      <c r="EQ557" s="675"/>
      <c r="ER557" s="549"/>
      <c r="ES557" s="675"/>
      <c r="ET557" s="549"/>
      <c r="EU557" s="675"/>
      <c r="EV557" s="549"/>
      <c r="EW557" s="675"/>
      <c r="EX557" s="549"/>
      <c r="EY557" s="675"/>
      <c r="EZ557" s="549"/>
      <c r="FA557" s="675"/>
      <c r="FB557" s="549"/>
      <c r="FC557" s="675"/>
      <c r="FD557" s="549"/>
      <c r="FE557" s="675"/>
      <c r="FF557" s="549"/>
      <c r="FG557" s="675"/>
      <c r="FH557" s="549"/>
      <c r="FI557" s="675"/>
      <c r="FJ557" s="549"/>
      <c r="FK557" s="675"/>
      <c r="FL557" s="549"/>
      <c r="FM557" s="675"/>
      <c r="FN557" s="549"/>
      <c r="FO557" s="675"/>
      <c r="FP557" s="549"/>
      <c r="FQ557" s="675"/>
      <c r="FR557" s="549"/>
      <c r="FS557" s="675"/>
      <c r="FT557" s="549"/>
      <c r="FU557" s="675"/>
      <c r="FV557" s="549"/>
      <c r="FW557" s="675"/>
      <c r="FX557" s="549"/>
      <c r="FY557" s="675"/>
      <c r="FZ557" s="549"/>
      <c r="GA557" s="675"/>
      <c r="GB557" s="549"/>
      <c r="GC557" s="675"/>
      <c r="GD557" s="549"/>
      <c r="GE557" s="675"/>
      <c r="GF557" s="549"/>
      <c r="GG557" s="675"/>
      <c r="GH557" s="549"/>
      <c r="GI557" s="675"/>
      <c r="GJ557" s="549"/>
      <c r="GK557" s="675"/>
      <c r="GL557" s="549"/>
      <c r="GM557" s="675"/>
      <c r="GN557" s="549"/>
      <c r="GO557" s="675"/>
      <c r="GP557" s="549"/>
      <c r="GQ557" s="675"/>
      <c r="GR557" s="74"/>
      <c r="GS557" s="74"/>
      <c r="GT557" s="568"/>
      <c r="GU557" s="275"/>
      <c r="GV557" s="275"/>
      <c r="GW557" s="588"/>
      <c r="GX557" s="588"/>
      <c r="GY557" s="275"/>
      <c r="GZ557" s="275"/>
      <c r="HA557" s="275"/>
      <c r="HB557" s="275"/>
      <c r="HC557" s="275"/>
      <c r="HD557" s="275"/>
      <c r="HE557" s="275"/>
      <c r="HF557" s="275"/>
      <c r="HG557" s="74"/>
      <c r="HH557" s="89"/>
      <c r="HI557" s="817"/>
      <c r="HJ557" s="89"/>
      <c r="HK557" s="817"/>
      <c r="HL557" s="89"/>
      <c r="HM557" s="817"/>
      <c r="HN557" s="89"/>
      <c r="HO557" s="817"/>
      <c r="HP557" s="89"/>
      <c r="HQ557" s="817"/>
      <c r="HR557" s="89"/>
      <c r="HS557" s="817"/>
      <c r="HT557" s="89"/>
      <c r="HU557" s="817"/>
      <c r="HV557" s="89"/>
      <c r="HW557" s="817"/>
      <c r="HX557" s="89"/>
      <c r="HY557" s="817"/>
      <c r="HZ557" s="89"/>
      <c r="IA557" s="817"/>
      <c r="IB557" s="89"/>
      <c r="IC557" s="817"/>
      <c r="ID557" s="89"/>
      <c r="IE557" s="817"/>
      <c r="IF557" s="841"/>
      <c r="IG557" s="263"/>
      <c r="IH557" s="842"/>
      <c r="II557" s="89"/>
      <c r="IJ557" s="89"/>
      <c r="IK557" s="89"/>
      <c r="IL557" s="89"/>
      <c r="IM557" s="89"/>
      <c r="IN557" s="89"/>
      <c r="IO557" s="89"/>
      <c r="IP557" s="89"/>
      <c r="IQ557" s="89"/>
      <c r="IR557" s="89"/>
      <c r="IS557" s="89"/>
      <c r="IT557" s="89"/>
      <c r="IU557" s="89"/>
      <c r="IV557" s="89"/>
      <c r="IW557" s="89"/>
      <c r="IX557" s="89"/>
      <c r="IY557" s="89"/>
      <c r="IZ557" s="89"/>
      <c r="JA557" s="89"/>
      <c r="JB557" s="89"/>
      <c r="JC557" s="89"/>
      <c r="JD557" s="89"/>
      <c r="JE557" s="89"/>
      <c r="JF557" s="89"/>
      <c r="JG557" s="89"/>
      <c r="JH557" s="89"/>
      <c r="JI557" s="89"/>
      <c r="JJ557" s="89"/>
      <c r="JK557" s="89"/>
      <c r="JL557" s="89"/>
      <c r="JM557" s="89"/>
      <c r="JN557" s="89"/>
      <c r="JO557" s="89"/>
      <c r="JP557" s="89"/>
      <c r="JQ557" s="89"/>
      <c r="JR557" s="89"/>
      <c r="JS557" s="74"/>
      <c r="JT557" s="382"/>
      <c r="JU557" s="665"/>
      <c r="JV557" s="524"/>
      <c r="JW557" s="525"/>
      <c r="JX557" s="549"/>
      <c r="JY557" s="549"/>
      <c r="JZ557" s="581">
        <f t="shared" si="12201"/>
        <v>0</v>
      </c>
      <c r="KA557" s="581">
        <f t="shared" si="12202"/>
        <v>0</v>
      </c>
      <c r="KB557" s="549">
        <f t="shared" si="12194"/>
        <v>0</v>
      </c>
      <c r="KC557" s="709">
        <f t="shared" si="12200"/>
        <v>0</v>
      </c>
      <c r="KD557" s="36"/>
      <c r="KE557" s="36"/>
      <c r="KF557" s="36"/>
      <c r="KG557" s="36"/>
      <c r="KH557" s="36"/>
      <c r="KI557" s="36"/>
      <c r="KJ557" s="36"/>
      <c r="KK557" s="36"/>
    </row>
    <row r="558" spans="1:297" s="8" customFormat="1">
      <c r="A558" s="80" t="s">
        <v>496</v>
      </c>
      <c r="B558" s="72" t="s">
        <v>211</v>
      </c>
      <c r="C558" s="74">
        <f t="shared" ref="C558" si="12976">SUM(C559:C561)</f>
        <v>45000</v>
      </c>
      <c r="D558" s="549">
        <f t="shared" ref="D558:E558" si="12977">SUM(D559:D561)</f>
        <v>0</v>
      </c>
      <c r="E558" s="675">
        <f t="shared" si="12977"/>
        <v>0</v>
      </c>
      <c r="F558" s="549">
        <f t="shared" ref="F558:G558" si="12978">SUM(F559:F561)</f>
        <v>0</v>
      </c>
      <c r="G558" s="675">
        <f t="shared" si="12978"/>
        <v>0</v>
      </c>
      <c r="H558" s="549">
        <f t="shared" ref="H558:I558" si="12979">SUM(H559:H561)</f>
        <v>0</v>
      </c>
      <c r="I558" s="675">
        <f t="shared" si="12979"/>
        <v>0</v>
      </c>
      <c r="J558" s="549">
        <f t="shared" ref="J558:K558" si="12980">SUM(J559:J561)</f>
        <v>0</v>
      </c>
      <c r="K558" s="675">
        <f t="shared" si="12980"/>
        <v>0</v>
      </c>
      <c r="L558" s="549">
        <f t="shared" ref="L558:M558" si="12981">SUM(L559:L561)</f>
        <v>0</v>
      </c>
      <c r="M558" s="675">
        <f t="shared" si="12981"/>
        <v>0</v>
      </c>
      <c r="N558" s="549">
        <f t="shared" ref="N558:O558" si="12982">SUM(N559:N561)</f>
        <v>0</v>
      </c>
      <c r="O558" s="675">
        <f t="shared" si="12982"/>
        <v>0</v>
      </c>
      <c r="P558" s="549">
        <f t="shared" ref="P558:Q558" si="12983">SUM(P559:P561)</f>
        <v>0</v>
      </c>
      <c r="Q558" s="675">
        <f t="shared" si="12983"/>
        <v>0</v>
      </c>
      <c r="R558" s="549">
        <f t="shared" ref="R558:S558" si="12984">SUM(R559:R561)</f>
        <v>0</v>
      </c>
      <c r="S558" s="675">
        <f t="shared" si="12984"/>
        <v>0</v>
      </c>
      <c r="T558" s="549">
        <f t="shared" ref="T558:U558" si="12985">SUM(T559:T561)</f>
        <v>0</v>
      </c>
      <c r="U558" s="675">
        <f t="shared" si="12985"/>
        <v>0</v>
      </c>
      <c r="V558" s="549">
        <f t="shared" ref="V558:W558" si="12986">SUM(V559:V561)</f>
        <v>0</v>
      </c>
      <c r="W558" s="675">
        <f t="shared" si="12986"/>
        <v>0</v>
      </c>
      <c r="X558" s="549">
        <f t="shared" ref="X558:Y558" si="12987">SUM(X559:X561)</f>
        <v>0</v>
      </c>
      <c r="Y558" s="675">
        <f t="shared" si="12987"/>
        <v>0</v>
      </c>
      <c r="Z558" s="549">
        <f t="shared" ref="Z558:AA558" si="12988">SUM(Z559:Z561)</f>
        <v>0</v>
      </c>
      <c r="AA558" s="675">
        <f t="shared" si="12988"/>
        <v>0</v>
      </c>
      <c r="AB558" s="549">
        <f t="shared" ref="AB558:AC558" si="12989">SUM(AB559:AB561)</f>
        <v>0</v>
      </c>
      <c r="AC558" s="675">
        <f t="shared" si="12989"/>
        <v>0</v>
      </c>
      <c r="AD558" s="549">
        <f t="shared" ref="AD558:AE558" si="12990">SUM(AD559:AD561)</f>
        <v>0</v>
      </c>
      <c r="AE558" s="675">
        <f t="shared" si="12990"/>
        <v>0</v>
      </c>
      <c r="AF558" s="549">
        <f t="shared" ref="AF558:AI558" si="12991">SUM(AF559:AF561)</f>
        <v>0</v>
      </c>
      <c r="AG558" s="675">
        <f t="shared" si="12991"/>
        <v>0</v>
      </c>
      <c r="AH558" s="549">
        <f t="shared" si="12991"/>
        <v>0</v>
      </c>
      <c r="AI558" s="675">
        <f t="shared" si="12991"/>
        <v>0</v>
      </c>
      <c r="AJ558" s="549">
        <f t="shared" ref="AJ558:AK558" si="12992">SUM(AJ559:AJ561)</f>
        <v>0</v>
      </c>
      <c r="AK558" s="675">
        <f t="shared" si="12992"/>
        <v>0</v>
      </c>
      <c r="AL558" s="549">
        <f t="shared" ref="AL558:AM558" si="12993">SUM(AL559:AL561)</f>
        <v>0</v>
      </c>
      <c r="AM558" s="675">
        <f t="shared" si="12993"/>
        <v>0</v>
      </c>
      <c r="AN558" s="549">
        <f t="shared" ref="AN558:AO558" si="12994">SUM(AN559:AN561)</f>
        <v>0</v>
      </c>
      <c r="AO558" s="675">
        <f t="shared" si="12994"/>
        <v>0</v>
      </c>
      <c r="AP558" s="549">
        <f t="shared" ref="AP558:AQ558" si="12995">SUM(AP559:AP561)</f>
        <v>0</v>
      </c>
      <c r="AQ558" s="675">
        <f t="shared" si="12995"/>
        <v>0</v>
      </c>
      <c r="AR558" s="549">
        <f t="shared" ref="AR558:AS558" si="12996">SUM(AR559:AR561)</f>
        <v>0</v>
      </c>
      <c r="AS558" s="675">
        <f t="shared" si="12996"/>
        <v>0</v>
      </c>
      <c r="AT558" s="549">
        <f t="shared" ref="AT558:AU558" si="12997">SUM(AT559:AT561)</f>
        <v>0</v>
      </c>
      <c r="AU558" s="675">
        <f t="shared" si="12997"/>
        <v>0</v>
      </c>
      <c r="AV558" s="549">
        <f t="shared" ref="AV558:AW558" si="12998">SUM(AV559:AV561)</f>
        <v>0</v>
      </c>
      <c r="AW558" s="675">
        <f t="shared" si="12998"/>
        <v>0</v>
      </c>
      <c r="AX558" s="549">
        <f t="shared" ref="AX558:AY558" si="12999">SUM(AX559:AX561)</f>
        <v>0</v>
      </c>
      <c r="AY558" s="675">
        <f t="shared" si="12999"/>
        <v>0</v>
      </c>
      <c r="AZ558" s="549">
        <f t="shared" ref="AZ558:BA558" si="13000">SUM(AZ559:AZ561)</f>
        <v>0</v>
      </c>
      <c r="BA558" s="675">
        <f t="shared" si="13000"/>
        <v>0</v>
      </c>
      <c r="BB558" s="549">
        <f t="shared" ref="BB558:BC558" si="13001">SUM(BB559:BB561)</f>
        <v>0</v>
      </c>
      <c r="BC558" s="675">
        <f t="shared" si="13001"/>
        <v>0</v>
      </c>
      <c r="BD558" s="549">
        <f t="shared" ref="BD558:BE558" si="13002">SUM(BD559:BD561)</f>
        <v>0</v>
      </c>
      <c r="BE558" s="675">
        <f t="shared" si="13002"/>
        <v>0</v>
      </c>
      <c r="BF558" s="549">
        <f t="shared" ref="BF558:BG558" si="13003">SUM(BF559:BF561)</f>
        <v>0</v>
      </c>
      <c r="BG558" s="675">
        <f t="shared" si="13003"/>
        <v>0</v>
      </c>
      <c r="BH558" s="549">
        <f t="shared" ref="BH558:BI558" si="13004">SUM(BH559:BH561)</f>
        <v>0</v>
      </c>
      <c r="BI558" s="675">
        <f t="shared" si="13004"/>
        <v>0</v>
      </c>
      <c r="BJ558" s="549">
        <f t="shared" ref="BJ558:BK558" si="13005">SUM(BJ559:BJ561)</f>
        <v>0</v>
      </c>
      <c r="BK558" s="675">
        <f t="shared" si="13005"/>
        <v>0</v>
      </c>
      <c r="BL558" s="549">
        <f t="shared" ref="BL558:BS558" si="13006">SUM(BL559:BL561)</f>
        <v>0</v>
      </c>
      <c r="BM558" s="675">
        <f t="shared" si="13006"/>
        <v>0</v>
      </c>
      <c r="BN558" s="549">
        <f t="shared" si="13006"/>
        <v>0</v>
      </c>
      <c r="BO558" s="675">
        <f t="shared" si="13006"/>
        <v>0</v>
      </c>
      <c r="BP558" s="549">
        <f t="shared" si="13006"/>
        <v>0</v>
      </c>
      <c r="BQ558" s="675">
        <f t="shared" si="13006"/>
        <v>0</v>
      </c>
      <c r="BR558" s="549">
        <f t="shared" si="13006"/>
        <v>0</v>
      </c>
      <c r="BS558" s="675">
        <f t="shared" si="13006"/>
        <v>0</v>
      </c>
      <c r="BT558" s="549">
        <f t="shared" ref="BT558:BU558" si="13007">SUM(BT559:BT561)</f>
        <v>0</v>
      </c>
      <c r="BU558" s="675">
        <f t="shared" si="13007"/>
        <v>0</v>
      </c>
      <c r="BV558" s="549">
        <f t="shared" ref="BV558:BW558" si="13008">SUM(BV559:BV561)</f>
        <v>0</v>
      </c>
      <c r="BW558" s="675">
        <f t="shared" si="13008"/>
        <v>0</v>
      </c>
      <c r="BX558" s="549">
        <f t="shared" ref="BX558:BY558" si="13009">SUM(BX559:BX561)</f>
        <v>0</v>
      </c>
      <c r="BY558" s="675">
        <f t="shared" si="13009"/>
        <v>0</v>
      </c>
      <c r="BZ558" s="549">
        <f t="shared" ref="BZ558:CA558" si="13010">SUM(BZ559:BZ561)</f>
        <v>0</v>
      </c>
      <c r="CA558" s="675">
        <f t="shared" si="13010"/>
        <v>0</v>
      </c>
      <c r="CB558" s="549">
        <f t="shared" ref="CB558:CE558" si="13011">SUM(CB559:CB561)</f>
        <v>0</v>
      </c>
      <c r="CC558" s="675">
        <f t="shared" si="13011"/>
        <v>0</v>
      </c>
      <c r="CD558" s="549">
        <f t="shared" si="13011"/>
        <v>0</v>
      </c>
      <c r="CE558" s="675">
        <f t="shared" si="13011"/>
        <v>0</v>
      </c>
      <c r="CF558" s="549">
        <f t="shared" ref="CF558:CQ558" si="13012">SUM(CF559:CF561)</f>
        <v>0</v>
      </c>
      <c r="CG558" s="675">
        <f t="shared" si="13012"/>
        <v>0</v>
      </c>
      <c r="CH558" s="549">
        <f t="shared" si="13012"/>
        <v>0</v>
      </c>
      <c r="CI558" s="675">
        <f t="shared" si="13012"/>
        <v>0</v>
      </c>
      <c r="CJ558" s="549">
        <f t="shared" si="13012"/>
        <v>0</v>
      </c>
      <c r="CK558" s="675">
        <f t="shared" si="13012"/>
        <v>0</v>
      </c>
      <c r="CL558" s="549">
        <f t="shared" si="13012"/>
        <v>0</v>
      </c>
      <c r="CM558" s="675">
        <f t="shared" si="13012"/>
        <v>0</v>
      </c>
      <c r="CN558" s="549">
        <f t="shared" si="13012"/>
        <v>0</v>
      </c>
      <c r="CO558" s="675">
        <f t="shared" si="13012"/>
        <v>0</v>
      </c>
      <c r="CP558" s="549">
        <f t="shared" si="13012"/>
        <v>0</v>
      </c>
      <c r="CQ558" s="675">
        <f t="shared" si="13012"/>
        <v>0</v>
      </c>
      <c r="CR558" s="549">
        <f t="shared" ref="CR558:CY558" si="13013">SUM(CR559:CR561)</f>
        <v>0</v>
      </c>
      <c r="CS558" s="675">
        <f t="shared" si="13013"/>
        <v>0</v>
      </c>
      <c r="CT558" s="549">
        <f t="shared" si="13013"/>
        <v>0</v>
      </c>
      <c r="CU558" s="675">
        <f t="shared" si="13013"/>
        <v>0</v>
      </c>
      <c r="CV558" s="549">
        <f t="shared" si="13013"/>
        <v>0</v>
      </c>
      <c r="CW558" s="675">
        <f t="shared" si="13013"/>
        <v>0</v>
      </c>
      <c r="CX558" s="549">
        <f t="shared" si="13013"/>
        <v>0</v>
      </c>
      <c r="CY558" s="675">
        <f t="shared" si="13013"/>
        <v>0</v>
      </c>
      <c r="CZ558" s="549">
        <f t="shared" ref="CZ558:DI558" si="13014">SUM(CZ559:CZ561)</f>
        <v>0</v>
      </c>
      <c r="DA558" s="675">
        <f t="shared" si="13014"/>
        <v>0</v>
      </c>
      <c r="DB558" s="549">
        <f t="shared" si="13014"/>
        <v>0</v>
      </c>
      <c r="DC558" s="675">
        <f t="shared" si="13014"/>
        <v>0</v>
      </c>
      <c r="DD558" s="549">
        <f t="shared" si="13014"/>
        <v>0</v>
      </c>
      <c r="DE558" s="675">
        <f t="shared" si="13014"/>
        <v>0</v>
      </c>
      <c r="DF558" s="549">
        <f t="shared" si="13014"/>
        <v>0</v>
      </c>
      <c r="DG558" s="675">
        <f t="shared" si="13014"/>
        <v>0</v>
      </c>
      <c r="DH558" s="549">
        <f t="shared" si="13014"/>
        <v>0</v>
      </c>
      <c r="DI558" s="675">
        <f t="shared" si="13014"/>
        <v>0</v>
      </c>
      <c r="DJ558" s="549">
        <f t="shared" ref="DJ558:DY558" si="13015">SUM(DJ559:DJ561)</f>
        <v>0</v>
      </c>
      <c r="DK558" s="675">
        <f t="shared" si="13015"/>
        <v>0</v>
      </c>
      <c r="DL558" s="549">
        <f t="shared" si="13015"/>
        <v>0</v>
      </c>
      <c r="DM558" s="675">
        <f t="shared" si="13015"/>
        <v>0</v>
      </c>
      <c r="DN558" s="549">
        <f t="shared" si="13015"/>
        <v>0</v>
      </c>
      <c r="DO558" s="675">
        <f t="shared" si="13015"/>
        <v>0</v>
      </c>
      <c r="DP558" s="549">
        <f t="shared" si="13015"/>
        <v>0</v>
      </c>
      <c r="DQ558" s="675">
        <f t="shared" si="13015"/>
        <v>0</v>
      </c>
      <c r="DR558" s="549">
        <f t="shared" si="13015"/>
        <v>0</v>
      </c>
      <c r="DS558" s="675">
        <f t="shared" si="13015"/>
        <v>0</v>
      </c>
      <c r="DT558" s="549">
        <f t="shared" si="13015"/>
        <v>0</v>
      </c>
      <c r="DU558" s="675">
        <f t="shared" si="13015"/>
        <v>0</v>
      </c>
      <c r="DV558" s="549">
        <f t="shared" si="13015"/>
        <v>0</v>
      </c>
      <c r="DW558" s="675">
        <f t="shared" si="13015"/>
        <v>0</v>
      </c>
      <c r="DX558" s="549">
        <f t="shared" si="13015"/>
        <v>0</v>
      </c>
      <c r="DY558" s="675">
        <f t="shared" si="13015"/>
        <v>0</v>
      </c>
      <c r="DZ558" s="549">
        <f t="shared" ref="DZ558:EU558" si="13016">SUM(DZ559:DZ561)</f>
        <v>0</v>
      </c>
      <c r="EA558" s="675">
        <f t="shared" si="13016"/>
        <v>0</v>
      </c>
      <c r="EB558" s="549">
        <f t="shared" si="13016"/>
        <v>0</v>
      </c>
      <c r="EC558" s="675">
        <f t="shared" si="13016"/>
        <v>0</v>
      </c>
      <c r="ED558" s="549">
        <f t="shared" si="13016"/>
        <v>0</v>
      </c>
      <c r="EE558" s="675">
        <f t="shared" si="13016"/>
        <v>0</v>
      </c>
      <c r="EF558" s="549">
        <f t="shared" si="13016"/>
        <v>0</v>
      </c>
      <c r="EG558" s="675">
        <f t="shared" si="13016"/>
        <v>0</v>
      </c>
      <c r="EH558" s="549">
        <f t="shared" ref="EH558:EM558" si="13017">SUM(EH559:EH561)</f>
        <v>0</v>
      </c>
      <c r="EI558" s="675">
        <f t="shared" si="13017"/>
        <v>0</v>
      </c>
      <c r="EJ558" s="549">
        <f t="shared" si="13017"/>
        <v>0</v>
      </c>
      <c r="EK558" s="675">
        <f t="shared" si="13017"/>
        <v>0</v>
      </c>
      <c r="EL558" s="549">
        <f t="shared" si="13017"/>
        <v>0</v>
      </c>
      <c r="EM558" s="675">
        <f t="shared" si="13017"/>
        <v>0</v>
      </c>
      <c r="EN558" s="549">
        <f t="shared" si="13016"/>
        <v>0</v>
      </c>
      <c r="EO558" s="675">
        <f t="shared" si="13016"/>
        <v>0</v>
      </c>
      <c r="EP558" s="549">
        <f t="shared" si="13016"/>
        <v>0</v>
      </c>
      <c r="EQ558" s="675">
        <f t="shared" si="13016"/>
        <v>0</v>
      </c>
      <c r="ER558" s="549">
        <f t="shared" si="13016"/>
        <v>0</v>
      </c>
      <c r="ES558" s="675">
        <f t="shared" si="13016"/>
        <v>0</v>
      </c>
      <c r="ET558" s="549">
        <f t="shared" si="13016"/>
        <v>0</v>
      </c>
      <c r="EU558" s="675">
        <f t="shared" si="13016"/>
        <v>0</v>
      </c>
      <c r="EV558" s="549">
        <f t="shared" ref="EV558:FE558" si="13018">SUM(EV559:EV561)</f>
        <v>0</v>
      </c>
      <c r="EW558" s="675">
        <f t="shared" si="13018"/>
        <v>0</v>
      </c>
      <c r="EX558" s="549">
        <f t="shared" si="13018"/>
        <v>0</v>
      </c>
      <c r="EY558" s="675">
        <f t="shared" si="13018"/>
        <v>0</v>
      </c>
      <c r="EZ558" s="549">
        <f t="shared" si="13018"/>
        <v>0</v>
      </c>
      <c r="FA558" s="675">
        <f t="shared" si="13018"/>
        <v>0</v>
      </c>
      <c r="FB558" s="549">
        <f t="shared" si="13018"/>
        <v>0</v>
      </c>
      <c r="FC558" s="675">
        <f t="shared" si="13018"/>
        <v>0</v>
      </c>
      <c r="FD558" s="549">
        <f t="shared" si="13018"/>
        <v>0</v>
      </c>
      <c r="FE558" s="675">
        <f t="shared" si="13018"/>
        <v>0</v>
      </c>
      <c r="FF558" s="549">
        <f t="shared" ref="FF558:FG558" si="13019">SUM(FF559:FF561)</f>
        <v>0</v>
      </c>
      <c r="FG558" s="675">
        <f t="shared" si="13019"/>
        <v>0</v>
      </c>
      <c r="FH558" s="549">
        <f t="shared" ref="FH558:FI558" si="13020">SUM(FH559:FH561)</f>
        <v>0</v>
      </c>
      <c r="FI558" s="675">
        <f t="shared" si="13020"/>
        <v>0</v>
      </c>
      <c r="FJ558" s="549">
        <f t="shared" ref="FJ558:FK558" si="13021">SUM(FJ559:FJ561)</f>
        <v>0</v>
      </c>
      <c r="FK558" s="675">
        <f t="shared" si="13021"/>
        <v>0</v>
      </c>
      <c r="FL558" s="549">
        <f t="shared" ref="FL558:FM558" si="13022">SUM(FL559:FL561)</f>
        <v>0</v>
      </c>
      <c r="FM558" s="675">
        <f t="shared" si="13022"/>
        <v>0</v>
      </c>
      <c r="FN558" s="549">
        <f t="shared" ref="FN558:FO558" si="13023">SUM(FN559:FN561)</f>
        <v>0</v>
      </c>
      <c r="FO558" s="675">
        <f t="shared" si="13023"/>
        <v>0</v>
      </c>
      <c r="FP558" s="549">
        <f t="shared" ref="FP558:FQ558" si="13024">SUM(FP559:FP561)</f>
        <v>0</v>
      </c>
      <c r="FQ558" s="675">
        <f t="shared" si="13024"/>
        <v>0</v>
      </c>
      <c r="FR558" s="549">
        <f t="shared" ref="FR558:FS558" si="13025">SUM(FR559:FR561)</f>
        <v>0</v>
      </c>
      <c r="FS558" s="675">
        <f t="shared" si="13025"/>
        <v>0</v>
      </c>
      <c r="FT558" s="549">
        <f t="shared" ref="FT558:FU558" si="13026">SUM(FT559:FT561)</f>
        <v>0</v>
      </c>
      <c r="FU558" s="675">
        <f t="shared" si="13026"/>
        <v>0</v>
      </c>
      <c r="FV558" s="549">
        <f t="shared" ref="FV558:GK558" si="13027">SUM(FV559:FV561)</f>
        <v>0</v>
      </c>
      <c r="FW558" s="675">
        <f t="shared" si="13027"/>
        <v>0</v>
      </c>
      <c r="FX558" s="549">
        <f t="shared" si="13027"/>
        <v>0</v>
      </c>
      <c r="FY558" s="675">
        <f t="shared" si="13027"/>
        <v>0</v>
      </c>
      <c r="FZ558" s="549">
        <f t="shared" ref="FZ558:GI558" si="13028">SUM(FZ559:FZ561)</f>
        <v>0</v>
      </c>
      <c r="GA558" s="675">
        <f t="shared" si="13028"/>
        <v>0</v>
      </c>
      <c r="GB558" s="549">
        <f t="shared" si="13028"/>
        <v>0</v>
      </c>
      <c r="GC558" s="675">
        <f t="shared" si="13028"/>
        <v>0</v>
      </c>
      <c r="GD558" s="549">
        <f t="shared" si="13028"/>
        <v>0</v>
      </c>
      <c r="GE558" s="675">
        <f t="shared" si="13028"/>
        <v>0</v>
      </c>
      <c r="GF558" s="549">
        <f t="shared" si="13028"/>
        <v>0</v>
      </c>
      <c r="GG558" s="675">
        <f t="shared" si="13028"/>
        <v>0</v>
      </c>
      <c r="GH558" s="549">
        <f t="shared" si="13028"/>
        <v>0</v>
      </c>
      <c r="GI558" s="675">
        <f t="shared" si="13028"/>
        <v>0</v>
      </c>
      <c r="GJ558" s="549">
        <f t="shared" si="13027"/>
        <v>0</v>
      </c>
      <c r="GK558" s="675">
        <f t="shared" si="13027"/>
        <v>0</v>
      </c>
      <c r="GL558" s="549">
        <f t="shared" ref="GL558:GM558" si="13029">SUM(GL559:GL561)</f>
        <v>0</v>
      </c>
      <c r="GM558" s="675">
        <f t="shared" si="13029"/>
        <v>0</v>
      </c>
      <c r="GN558" s="549">
        <f t="shared" ref="GN558:GO558" si="13030">SUM(GN559:GN561)</f>
        <v>0</v>
      </c>
      <c r="GO558" s="675">
        <f t="shared" si="13030"/>
        <v>0</v>
      </c>
      <c r="GP558" s="549">
        <f>SUM(GP559:GP561)</f>
        <v>0</v>
      </c>
      <c r="GQ558" s="675">
        <f t="shared" ref="GQ558:HG558" si="13031">SUM(GQ559:GQ561)</f>
        <v>0</v>
      </c>
      <c r="GR558" s="74">
        <f t="shared" si="13031"/>
        <v>45000</v>
      </c>
      <c r="GS558" s="74">
        <f t="shared" si="13031"/>
        <v>45000</v>
      </c>
      <c r="GT558" s="74">
        <f t="shared" si="13031"/>
        <v>45000</v>
      </c>
      <c r="GU558" s="74">
        <f t="shared" si="13031"/>
        <v>10000</v>
      </c>
      <c r="GV558" s="74">
        <f t="shared" si="13031"/>
        <v>0</v>
      </c>
      <c r="GW558" s="74">
        <f t="shared" si="13031"/>
        <v>15000</v>
      </c>
      <c r="GX558" s="74">
        <f t="shared" si="13031"/>
        <v>0</v>
      </c>
      <c r="GY558" s="74">
        <f t="shared" si="13031"/>
        <v>10000</v>
      </c>
      <c r="GZ558" s="74">
        <f t="shared" si="13031"/>
        <v>0</v>
      </c>
      <c r="HA558" s="74">
        <f t="shared" si="13031"/>
        <v>0</v>
      </c>
      <c r="HB558" s="74">
        <f t="shared" si="13031"/>
        <v>10000</v>
      </c>
      <c r="HC558" s="74">
        <f t="shared" si="13031"/>
        <v>0</v>
      </c>
      <c r="HD558" s="74">
        <f t="shared" si="13031"/>
        <v>0</v>
      </c>
      <c r="HE558" s="74">
        <f t="shared" si="13031"/>
        <v>0</v>
      </c>
      <c r="HF558" s="74">
        <f t="shared" si="13031"/>
        <v>0</v>
      </c>
      <c r="HG558" s="74">
        <f t="shared" si="13031"/>
        <v>45000</v>
      </c>
      <c r="HH558" s="74">
        <f>SUM(HH559:HH561)</f>
        <v>10000</v>
      </c>
      <c r="HI558" s="792">
        <f t="shared" ref="HI558" si="13032">SUM(HI559:HI561)</f>
        <v>0</v>
      </c>
      <c r="HJ558" s="74">
        <f>SUM(HJ559:HJ561)</f>
        <v>0</v>
      </c>
      <c r="HK558" s="792">
        <f t="shared" ref="HK558" si="13033">SUM(HK559:HK561)</f>
        <v>0</v>
      </c>
      <c r="HL558" s="74">
        <f>SUM(HL559:HL561)</f>
        <v>0</v>
      </c>
      <c r="HM558" s="792">
        <f t="shared" ref="HM558" si="13034">SUM(HM559:HM561)</f>
        <v>0</v>
      </c>
      <c r="HN558" s="74">
        <f>SUM(HN559:HN561)</f>
        <v>0</v>
      </c>
      <c r="HO558" s="792">
        <f t="shared" ref="HO558" si="13035">SUM(HO559:HO561)</f>
        <v>0</v>
      </c>
      <c r="HP558" s="74">
        <f>SUM(HP559:HP561)</f>
        <v>0</v>
      </c>
      <c r="HQ558" s="792">
        <f t="shared" ref="HQ558" si="13036">SUM(HQ559:HQ561)</f>
        <v>0</v>
      </c>
      <c r="HR558" s="74">
        <f>SUM(HR559:HR561)</f>
        <v>0</v>
      </c>
      <c r="HS558" s="792">
        <f t="shared" ref="HS558" si="13037">SUM(HS559:HS561)</f>
        <v>0</v>
      </c>
      <c r="HT558" s="74">
        <f>SUM(HT559:HT561)</f>
        <v>0</v>
      </c>
      <c r="HU558" s="792">
        <f t="shared" ref="HU558" si="13038">SUM(HU559:HU561)</f>
        <v>0</v>
      </c>
      <c r="HV558" s="74">
        <f>SUM(HV559:HV561)</f>
        <v>28200</v>
      </c>
      <c r="HW558" s="792">
        <f t="shared" ref="HW558" si="13039">SUM(HW559:HW561)</f>
        <v>0</v>
      </c>
      <c r="HX558" s="74">
        <f>SUM(HX559:HX561)</f>
        <v>6800</v>
      </c>
      <c r="HY558" s="792">
        <f t="shared" ref="HY558" si="13040">SUM(HY559:HY561)</f>
        <v>0</v>
      </c>
      <c r="HZ558" s="74">
        <f>SUM(HZ559:HZ561)</f>
        <v>0</v>
      </c>
      <c r="IA558" s="792">
        <f t="shared" ref="IA558" si="13041">SUM(IA559:IA561)</f>
        <v>0</v>
      </c>
      <c r="IB558" s="74">
        <f>SUM(IB559:IB561)</f>
        <v>0</v>
      </c>
      <c r="IC558" s="792">
        <f t="shared" ref="IC558" si="13042">SUM(IC559:IC561)</f>
        <v>0</v>
      </c>
      <c r="ID558" s="74">
        <f>SUM(ID559:ID561)</f>
        <v>0</v>
      </c>
      <c r="IE558" s="792">
        <f t="shared" ref="IE558:JT558" si="13043">SUM(IE559:IE561)</f>
        <v>0</v>
      </c>
      <c r="IF558" s="841">
        <f t="shared" si="13043"/>
        <v>45000</v>
      </c>
      <c r="IG558" s="263">
        <f t="shared" si="13043"/>
        <v>45000</v>
      </c>
      <c r="IH558" s="842">
        <f t="shared" si="13043"/>
        <v>45000</v>
      </c>
      <c r="II558" s="74">
        <f t="shared" ref="II558:IK558" si="13044">SUM(II559:II561)</f>
        <v>0</v>
      </c>
      <c r="IJ558" s="74">
        <f t="shared" si="13044"/>
        <v>0</v>
      </c>
      <c r="IK558" s="74">
        <f t="shared" si="13044"/>
        <v>0</v>
      </c>
      <c r="IL558" s="74">
        <f t="shared" ref="IL558:IN558" si="13045">SUM(IL559:IL561)</f>
        <v>0</v>
      </c>
      <c r="IM558" s="74">
        <f t="shared" si="13045"/>
        <v>0</v>
      </c>
      <c r="IN558" s="74">
        <f t="shared" si="13045"/>
        <v>0</v>
      </c>
      <c r="IO558" s="74">
        <f t="shared" ref="IO558:IQ558" si="13046">SUM(IO559:IO561)</f>
        <v>500</v>
      </c>
      <c r="IP558" s="74">
        <f t="shared" si="13046"/>
        <v>500</v>
      </c>
      <c r="IQ558" s="74">
        <f t="shared" si="13046"/>
        <v>500</v>
      </c>
      <c r="IR558" s="74">
        <f t="shared" ref="IR558:IT558" si="13047">SUM(IR559:IR561)</f>
        <v>0</v>
      </c>
      <c r="IS558" s="74">
        <f t="shared" si="13047"/>
        <v>0</v>
      </c>
      <c r="IT558" s="74">
        <f t="shared" si="13047"/>
        <v>0</v>
      </c>
      <c r="IU558" s="74">
        <f t="shared" ref="IU558:IW558" si="13048">SUM(IU559:IU561)</f>
        <v>2000</v>
      </c>
      <c r="IV558" s="74">
        <f t="shared" si="13048"/>
        <v>2000</v>
      </c>
      <c r="IW558" s="74">
        <f t="shared" si="13048"/>
        <v>2000</v>
      </c>
      <c r="IX558" s="74">
        <f t="shared" ref="IX558:IZ558" si="13049">SUM(IX559:IX561)</f>
        <v>750</v>
      </c>
      <c r="IY558" s="74">
        <f t="shared" si="13049"/>
        <v>750</v>
      </c>
      <c r="IZ558" s="74">
        <f t="shared" si="13049"/>
        <v>750</v>
      </c>
      <c r="JA558" s="74">
        <f t="shared" ref="JA558:JC558" si="13050">SUM(JA559:JA561)</f>
        <v>1650</v>
      </c>
      <c r="JB558" s="74">
        <f t="shared" si="13050"/>
        <v>1650</v>
      </c>
      <c r="JC558" s="74">
        <f t="shared" si="13050"/>
        <v>1650</v>
      </c>
      <c r="JD558" s="74">
        <f t="shared" ref="JD558:JF558" si="13051">SUM(JD559:JD561)</f>
        <v>28200</v>
      </c>
      <c r="JE558" s="74">
        <f t="shared" si="13051"/>
        <v>28200</v>
      </c>
      <c r="JF558" s="74">
        <f t="shared" si="13051"/>
        <v>28200</v>
      </c>
      <c r="JG558" s="74">
        <f t="shared" ref="JG558:JI558" si="13052">SUM(JG559:JG561)</f>
        <v>11150</v>
      </c>
      <c r="JH558" s="74">
        <f t="shared" si="13052"/>
        <v>11150</v>
      </c>
      <c r="JI558" s="74">
        <f t="shared" si="13052"/>
        <v>11150</v>
      </c>
      <c r="JJ558" s="74">
        <f t="shared" ref="JJ558:JL558" si="13053">SUM(JJ559:JJ561)</f>
        <v>750</v>
      </c>
      <c r="JK558" s="74">
        <f t="shared" si="13053"/>
        <v>750</v>
      </c>
      <c r="JL558" s="74">
        <f t="shared" si="13053"/>
        <v>750</v>
      </c>
      <c r="JM558" s="74">
        <f t="shared" ref="JM558:JO558" si="13054">SUM(JM559:JM561)</f>
        <v>0</v>
      </c>
      <c r="JN558" s="74">
        <f t="shared" si="13054"/>
        <v>0</v>
      </c>
      <c r="JO558" s="74">
        <f t="shared" si="13054"/>
        <v>0</v>
      </c>
      <c r="JP558" s="74">
        <f t="shared" si="13043"/>
        <v>0</v>
      </c>
      <c r="JQ558" s="74">
        <f t="shared" si="13043"/>
        <v>0</v>
      </c>
      <c r="JR558" s="74">
        <f t="shared" si="13043"/>
        <v>0</v>
      </c>
      <c r="JS558" s="74">
        <f t="shared" si="13043"/>
        <v>0</v>
      </c>
      <c r="JT558" s="102">
        <f t="shared" si="13043"/>
        <v>0</v>
      </c>
      <c r="JU558" s="665"/>
      <c r="JV558" s="524"/>
      <c r="JW558" s="525"/>
      <c r="JX558" s="549">
        <f>SUM(JX559:JX561)</f>
        <v>45000</v>
      </c>
      <c r="JY558" s="549">
        <f>SUM(JY559:JY561)</f>
        <v>0</v>
      </c>
      <c r="JZ558" s="581">
        <f>GP558</f>
        <v>0</v>
      </c>
      <c r="KA558" s="581">
        <f t="shared" si="12202"/>
        <v>0</v>
      </c>
      <c r="KB558" s="549">
        <f>JX558</f>
        <v>45000</v>
      </c>
      <c r="KC558" s="709">
        <f t="shared" si="12200"/>
        <v>0</v>
      </c>
      <c r="KD558" s="36"/>
      <c r="KE558" s="36"/>
      <c r="KF558" s="36"/>
      <c r="KG558" s="36"/>
      <c r="KH558" s="36"/>
      <c r="KI558" s="36"/>
      <c r="KJ558" s="36"/>
      <c r="KK558" s="36"/>
    </row>
    <row r="559" spans="1:297" s="10" customFormat="1" ht="12.75" hidden="1" customHeight="1">
      <c r="A559" s="86" t="s">
        <v>1132</v>
      </c>
      <c r="B559" s="77" t="s">
        <v>308</v>
      </c>
      <c r="C559" s="74">
        <v>0</v>
      </c>
      <c r="D559" s="549">
        <v>0</v>
      </c>
      <c r="E559" s="675">
        <v>0</v>
      </c>
      <c r="F559" s="549">
        <v>0</v>
      </c>
      <c r="G559" s="675">
        <v>0</v>
      </c>
      <c r="H559" s="549">
        <v>0</v>
      </c>
      <c r="I559" s="675">
        <v>0</v>
      </c>
      <c r="J559" s="549">
        <v>0</v>
      </c>
      <c r="K559" s="675">
        <v>0</v>
      </c>
      <c r="L559" s="549">
        <v>0</v>
      </c>
      <c r="M559" s="675">
        <v>0</v>
      </c>
      <c r="N559" s="549">
        <v>0</v>
      </c>
      <c r="O559" s="675">
        <v>0</v>
      </c>
      <c r="P559" s="549">
        <v>0</v>
      </c>
      <c r="Q559" s="675">
        <v>0</v>
      </c>
      <c r="R559" s="549">
        <v>0</v>
      </c>
      <c r="S559" s="675">
        <v>0</v>
      </c>
      <c r="T559" s="549">
        <v>0</v>
      </c>
      <c r="U559" s="675">
        <v>0</v>
      </c>
      <c r="V559" s="549">
        <v>0</v>
      </c>
      <c r="W559" s="675">
        <v>0</v>
      </c>
      <c r="X559" s="549">
        <v>0</v>
      </c>
      <c r="Y559" s="675">
        <v>0</v>
      </c>
      <c r="Z559" s="549">
        <v>0</v>
      </c>
      <c r="AA559" s="675">
        <v>0</v>
      </c>
      <c r="AB559" s="549">
        <v>0</v>
      </c>
      <c r="AC559" s="675">
        <v>0</v>
      </c>
      <c r="AD559" s="549">
        <v>0</v>
      </c>
      <c r="AE559" s="675">
        <v>0</v>
      </c>
      <c r="AF559" s="549">
        <v>0</v>
      </c>
      <c r="AG559" s="675">
        <v>0</v>
      </c>
      <c r="AH559" s="549">
        <v>0</v>
      </c>
      <c r="AI559" s="675">
        <v>0</v>
      </c>
      <c r="AJ559" s="549">
        <v>0</v>
      </c>
      <c r="AK559" s="675">
        <v>0</v>
      </c>
      <c r="AL559" s="549">
        <v>0</v>
      </c>
      <c r="AM559" s="675">
        <v>0</v>
      </c>
      <c r="AN559" s="549">
        <v>0</v>
      </c>
      <c r="AO559" s="675">
        <v>0</v>
      </c>
      <c r="AP559" s="549">
        <v>0</v>
      </c>
      <c r="AQ559" s="675">
        <v>0</v>
      </c>
      <c r="AR559" s="549">
        <v>0</v>
      </c>
      <c r="AS559" s="675">
        <v>0</v>
      </c>
      <c r="AT559" s="549">
        <v>0</v>
      </c>
      <c r="AU559" s="675">
        <v>0</v>
      </c>
      <c r="AV559" s="549">
        <v>0</v>
      </c>
      <c r="AW559" s="675">
        <v>0</v>
      </c>
      <c r="AX559" s="549">
        <v>0</v>
      </c>
      <c r="AY559" s="675">
        <v>0</v>
      </c>
      <c r="AZ559" s="549">
        <v>0</v>
      </c>
      <c r="BA559" s="675">
        <v>0</v>
      </c>
      <c r="BB559" s="549">
        <v>0</v>
      </c>
      <c r="BC559" s="675">
        <v>0</v>
      </c>
      <c r="BD559" s="549">
        <v>0</v>
      </c>
      <c r="BE559" s="675">
        <v>0</v>
      </c>
      <c r="BF559" s="549">
        <v>0</v>
      </c>
      <c r="BG559" s="675">
        <v>0</v>
      </c>
      <c r="BH559" s="549">
        <v>0</v>
      </c>
      <c r="BI559" s="675">
        <v>0</v>
      </c>
      <c r="BJ559" s="549">
        <v>0</v>
      </c>
      <c r="BK559" s="675">
        <v>0</v>
      </c>
      <c r="BL559" s="549">
        <v>0</v>
      </c>
      <c r="BM559" s="675">
        <v>0</v>
      </c>
      <c r="BN559" s="549">
        <v>0</v>
      </c>
      <c r="BO559" s="675">
        <v>0</v>
      </c>
      <c r="BP559" s="549">
        <v>0</v>
      </c>
      <c r="BQ559" s="675">
        <v>0</v>
      </c>
      <c r="BR559" s="549">
        <v>0</v>
      </c>
      <c r="BS559" s="675">
        <v>0</v>
      </c>
      <c r="BT559" s="549">
        <v>0</v>
      </c>
      <c r="BU559" s="675">
        <v>0</v>
      </c>
      <c r="BV559" s="549">
        <v>0</v>
      </c>
      <c r="BW559" s="675">
        <v>0</v>
      </c>
      <c r="BX559" s="549">
        <v>0</v>
      </c>
      <c r="BY559" s="675">
        <v>0</v>
      </c>
      <c r="BZ559" s="549">
        <v>0</v>
      </c>
      <c r="CA559" s="675">
        <v>0</v>
      </c>
      <c r="CB559" s="549">
        <v>0</v>
      </c>
      <c r="CC559" s="675">
        <v>0</v>
      </c>
      <c r="CD559" s="549">
        <v>0</v>
      </c>
      <c r="CE559" s="675">
        <v>0</v>
      </c>
      <c r="CF559" s="549">
        <v>0</v>
      </c>
      <c r="CG559" s="675">
        <v>0</v>
      </c>
      <c r="CH559" s="549">
        <v>0</v>
      </c>
      <c r="CI559" s="675">
        <v>0</v>
      </c>
      <c r="CJ559" s="549">
        <v>0</v>
      </c>
      <c r="CK559" s="675">
        <v>0</v>
      </c>
      <c r="CL559" s="549">
        <v>0</v>
      </c>
      <c r="CM559" s="675">
        <v>0</v>
      </c>
      <c r="CN559" s="549">
        <v>0</v>
      </c>
      <c r="CO559" s="675">
        <v>0</v>
      </c>
      <c r="CP559" s="549">
        <v>0</v>
      </c>
      <c r="CQ559" s="675">
        <v>0</v>
      </c>
      <c r="CR559" s="549">
        <v>0</v>
      </c>
      <c r="CS559" s="675">
        <v>0</v>
      </c>
      <c r="CT559" s="549">
        <v>0</v>
      </c>
      <c r="CU559" s="675">
        <v>0</v>
      </c>
      <c r="CV559" s="549">
        <v>0</v>
      </c>
      <c r="CW559" s="675">
        <v>0</v>
      </c>
      <c r="CX559" s="549">
        <v>0</v>
      </c>
      <c r="CY559" s="675">
        <v>0</v>
      </c>
      <c r="CZ559" s="549">
        <v>0</v>
      </c>
      <c r="DA559" s="675">
        <v>0</v>
      </c>
      <c r="DB559" s="549">
        <v>0</v>
      </c>
      <c r="DC559" s="675">
        <v>0</v>
      </c>
      <c r="DD559" s="549">
        <v>0</v>
      </c>
      <c r="DE559" s="675">
        <v>0</v>
      </c>
      <c r="DF559" s="549">
        <v>0</v>
      </c>
      <c r="DG559" s="675">
        <v>0</v>
      </c>
      <c r="DH559" s="549">
        <v>0</v>
      </c>
      <c r="DI559" s="675">
        <v>0</v>
      </c>
      <c r="DJ559" s="549">
        <v>0</v>
      </c>
      <c r="DK559" s="675">
        <v>0</v>
      </c>
      <c r="DL559" s="549">
        <v>0</v>
      </c>
      <c r="DM559" s="675">
        <v>0</v>
      </c>
      <c r="DN559" s="549">
        <v>0</v>
      </c>
      <c r="DO559" s="675">
        <v>0</v>
      </c>
      <c r="DP559" s="549">
        <v>0</v>
      </c>
      <c r="DQ559" s="675">
        <v>0</v>
      </c>
      <c r="DR559" s="549">
        <v>0</v>
      </c>
      <c r="DS559" s="675">
        <v>0</v>
      </c>
      <c r="DT559" s="549">
        <v>0</v>
      </c>
      <c r="DU559" s="675">
        <v>0</v>
      </c>
      <c r="DV559" s="549">
        <v>0</v>
      </c>
      <c r="DW559" s="675">
        <v>0</v>
      </c>
      <c r="DX559" s="549">
        <v>0</v>
      </c>
      <c r="DY559" s="675">
        <v>0</v>
      </c>
      <c r="DZ559" s="549">
        <v>0</v>
      </c>
      <c r="EA559" s="675">
        <v>0</v>
      </c>
      <c r="EB559" s="549">
        <v>0</v>
      </c>
      <c r="EC559" s="675">
        <v>0</v>
      </c>
      <c r="ED559" s="549">
        <v>0</v>
      </c>
      <c r="EE559" s="675">
        <v>0</v>
      </c>
      <c r="EF559" s="549">
        <v>0</v>
      </c>
      <c r="EG559" s="675">
        <v>0</v>
      </c>
      <c r="EH559" s="549">
        <v>0</v>
      </c>
      <c r="EI559" s="675">
        <v>0</v>
      </c>
      <c r="EJ559" s="549">
        <v>0</v>
      </c>
      <c r="EK559" s="675">
        <v>0</v>
      </c>
      <c r="EL559" s="549">
        <v>0</v>
      </c>
      <c r="EM559" s="675">
        <v>0</v>
      </c>
      <c r="EN559" s="549">
        <v>0</v>
      </c>
      <c r="EO559" s="675">
        <v>0</v>
      </c>
      <c r="EP559" s="549">
        <v>0</v>
      </c>
      <c r="EQ559" s="675">
        <v>0</v>
      </c>
      <c r="ER559" s="549">
        <v>0</v>
      </c>
      <c r="ES559" s="675">
        <v>0</v>
      </c>
      <c r="ET559" s="549">
        <v>0</v>
      </c>
      <c r="EU559" s="675">
        <v>0</v>
      </c>
      <c r="EV559" s="549">
        <v>0</v>
      </c>
      <c r="EW559" s="675">
        <v>0</v>
      </c>
      <c r="EX559" s="549">
        <v>0</v>
      </c>
      <c r="EY559" s="675">
        <v>0</v>
      </c>
      <c r="EZ559" s="549">
        <v>0</v>
      </c>
      <c r="FA559" s="675">
        <v>0</v>
      </c>
      <c r="FB559" s="549">
        <v>0</v>
      </c>
      <c r="FC559" s="675">
        <v>0</v>
      </c>
      <c r="FD559" s="549">
        <v>0</v>
      </c>
      <c r="FE559" s="675">
        <v>0</v>
      </c>
      <c r="FF559" s="549">
        <v>0</v>
      </c>
      <c r="FG559" s="675">
        <v>0</v>
      </c>
      <c r="FH559" s="549">
        <v>0</v>
      </c>
      <c r="FI559" s="675">
        <v>0</v>
      </c>
      <c r="FJ559" s="549">
        <v>0</v>
      </c>
      <c r="FK559" s="675">
        <v>0</v>
      </c>
      <c r="FL559" s="549">
        <v>0</v>
      </c>
      <c r="FM559" s="675">
        <v>0</v>
      </c>
      <c r="FN559" s="549">
        <v>0</v>
      </c>
      <c r="FO559" s="675">
        <v>0</v>
      </c>
      <c r="FP559" s="549">
        <v>0</v>
      </c>
      <c r="FQ559" s="675">
        <v>0</v>
      </c>
      <c r="FR559" s="549">
        <v>0</v>
      </c>
      <c r="FS559" s="675">
        <v>0</v>
      </c>
      <c r="FT559" s="549">
        <v>0</v>
      </c>
      <c r="FU559" s="675">
        <v>0</v>
      </c>
      <c r="FV559" s="549">
        <v>0</v>
      </c>
      <c r="FW559" s="675">
        <v>0</v>
      </c>
      <c r="FX559" s="549">
        <v>0</v>
      </c>
      <c r="FY559" s="675">
        <v>0</v>
      </c>
      <c r="FZ559" s="549">
        <v>0</v>
      </c>
      <c r="GA559" s="675">
        <v>0</v>
      </c>
      <c r="GB559" s="549">
        <v>0</v>
      </c>
      <c r="GC559" s="675">
        <v>0</v>
      </c>
      <c r="GD559" s="549">
        <v>0</v>
      </c>
      <c r="GE559" s="675">
        <v>0</v>
      </c>
      <c r="GF559" s="549">
        <v>0</v>
      </c>
      <c r="GG559" s="675">
        <v>0</v>
      </c>
      <c r="GH559" s="549">
        <v>0</v>
      </c>
      <c r="GI559" s="675">
        <v>0</v>
      </c>
      <c r="GJ559" s="549">
        <v>0</v>
      </c>
      <c r="GK559" s="675">
        <v>0</v>
      </c>
      <c r="GL559" s="549">
        <v>0</v>
      </c>
      <c r="GM559" s="675">
        <v>0</v>
      </c>
      <c r="GN559" s="549">
        <v>0</v>
      </c>
      <c r="GO559" s="675">
        <v>0</v>
      </c>
      <c r="GP559" s="549">
        <f>+D559+F559+H559+J559+L559+N559+P559+R559+T559+V559+X559+Z559+AB559+AD559+AH559+AJ559+AL559+AN559+AP559+AR559+AT559+AV559+AX559+AZ559+BB559+BD559+BF559+BH559+BJ559+BL559+BN559+BP559+BR559+BT559+BV559+BX559+BZ559+CB559+CD559+CF559+CH559+CJ559+CL559+CN559+CP559+CR559+CT559+CV559+CX559+CZ559+DB559+DD559+DF559+DH559+DT559+EX559+DJ559+DL559+DN559+DP559+DR559+EJ559+EB559+DZ559+DX559+DV559+ED559+EF559+EH559+EL559+EN559+EP559+EV559+ET559+ER559+EZ559+FB559+FD559+GL559+FF559+FJ559+FL559+GJ559+FT559+FR559+FP559+FN559+FH559</f>
        <v>0</v>
      </c>
      <c r="GQ559" s="675">
        <f>+E559+G559+I559+K559+M559+O559+Q559+S559+U559+W559+Y559+AA559+AC559+AE559+AI559+AK559+AM559+AO559+AQ559+AS559+AU559+AW559+AY559+BA559+BC559+BE559+BG559+BI559+BK559+BM559+BO559+BQ559+BS559+BU559+BW559+BY559+CA559+CC559+CE559+CG559+CI559+CK559+CM559+CO559+CQ559+CS559+CU559+CW559+CY559+DA559+DC559+DE559+DG559+DI559+DU559+EY559+DK559+DM559+DO559+DQ559+DS559+EK559+EC559+EA559+DY559+DW559+EI559+EG559+EE559+EM559+EO559+EQ559+EW559+EU559+ES559+FA559+FC559+FE559+GM559+FG559+FK559+FM559+FO559+FQ559+FS559+FU559+GK559+FI559</f>
        <v>0</v>
      </c>
      <c r="GR559" s="74">
        <f>C559+GP559+GQ559</f>
        <v>0</v>
      </c>
      <c r="GS559" s="74">
        <f t="shared" ref="GS559:GS560" si="13055">SUM(GU559:HE559)+GP559+GQ559</f>
        <v>0</v>
      </c>
      <c r="GT559" s="568">
        <f t="shared" ref="GT559:GT561" si="13056">SUM(GU559:HF559)+GQ559+GP559</f>
        <v>0</v>
      </c>
      <c r="GU559" s="275">
        <v>0</v>
      </c>
      <c r="GV559" s="275">
        <v>0</v>
      </c>
      <c r="GW559" s="275">
        <v>0</v>
      </c>
      <c r="GX559" s="275">
        <v>0</v>
      </c>
      <c r="GY559" s="275">
        <v>0</v>
      </c>
      <c r="GZ559" s="275">
        <v>0</v>
      </c>
      <c r="HA559" s="275">
        <v>0</v>
      </c>
      <c r="HB559" s="275">
        <v>0</v>
      </c>
      <c r="HC559" s="275">
        <v>0</v>
      </c>
      <c r="HD559" s="275">
        <v>0</v>
      </c>
      <c r="HE559" s="275">
        <v>0</v>
      </c>
      <c r="HF559" s="275">
        <v>0</v>
      </c>
      <c r="HG559" s="74">
        <f>SUM(HH559:IE559)</f>
        <v>0</v>
      </c>
      <c r="HH559" s="837">
        <v>0</v>
      </c>
      <c r="HI559" s="847">
        <v>0</v>
      </c>
      <c r="HJ559" s="837">
        <v>0</v>
      </c>
      <c r="HK559" s="847">
        <v>0</v>
      </c>
      <c r="HL559" s="837">
        <v>0</v>
      </c>
      <c r="HM559" s="847">
        <v>0</v>
      </c>
      <c r="HN559" s="837">
        <v>0</v>
      </c>
      <c r="HO559" s="847">
        <v>0</v>
      </c>
      <c r="HP559" s="837">
        <v>0</v>
      </c>
      <c r="HQ559" s="847">
        <v>0</v>
      </c>
      <c r="HR559" s="837">
        <v>0</v>
      </c>
      <c r="HS559" s="847">
        <v>0</v>
      </c>
      <c r="HT559" s="837">
        <v>0</v>
      </c>
      <c r="HU559" s="847">
        <v>0</v>
      </c>
      <c r="HV559" s="837">
        <v>0</v>
      </c>
      <c r="HW559" s="847">
        <v>0</v>
      </c>
      <c r="HX559" s="837">
        <v>0</v>
      </c>
      <c r="HY559" s="847">
        <v>0</v>
      </c>
      <c r="HZ559" s="837">
        <v>0</v>
      </c>
      <c r="IA559" s="847">
        <v>0</v>
      </c>
      <c r="IB559" s="837">
        <v>0</v>
      </c>
      <c r="IC559" s="847">
        <v>0</v>
      </c>
      <c r="ID559" s="837">
        <v>0</v>
      </c>
      <c r="IE559" s="847">
        <v>0</v>
      </c>
      <c r="IF559" s="841">
        <f t="shared" ref="IF559:IF561" si="13057">SUM(II559,IL559,IO559,IR559,IU559,IX559,JA559,JD559,JG559,JJ559,JM559,JP559)</f>
        <v>0</v>
      </c>
      <c r="IG559" s="263">
        <f t="shared" ref="IG559:IG561" si="13058">SUM(IJ559,IM559,IP559,IS559,IV559,IY559,JB559,JE559,JH559,JK559,JN559,JQ559)</f>
        <v>0</v>
      </c>
      <c r="IH559" s="842">
        <f t="shared" ref="IH559:IH561" si="13059">SUM(IK559,IN559,IQ559,IT559,IW559,IZ559,JC559,JF559,JI559,JL559,JO559,JR559)</f>
        <v>0</v>
      </c>
      <c r="II559" s="89">
        <v>0</v>
      </c>
      <c r="IJ559" s="89">
        <f t="shared" ref="IJ559:IJ561" si="13060">II559</f>
        <v>0</v>
      </c>
      <c r="IK559" s="89">
        <f t="shared" ref="IK559:IK561" si="13061">IJ559</f>
        <v>0</v>
      </c>
      <c r="IL559" s="89">
        <v>0</v>
      </c>
      <c r="IM559" s="89">
        <f t="shared" ref="IM559:IM561" si="13062">IL559</f>
        <v>0</v>
      </c>
      <c r="IN559" s="89">
        <f t="shared" ref="IN559:IN561" si="13063">IM559</f>
        <v>0</v>
      </c>
      <c r="IO559" s="89">
        <v>0</v>
      </c>
      <c r="IP559" s="89">
        <f t="shared" ref="IP559:IP561" si="13064">IO559</f>
        <v>0</v>
      </c>
      <c r="IQ559" s="89">
        <f t="shared" ref="IQ559:IQ561" si="13065">IP559</f>
        <v>0</v>
      </c>
      <c r="IR559" s="89">
        <v>0</v>
      </c>
      <c r="IS559" s="89">
        <f t="shared" ref="IS559:IS561" si="13066">IR559</f>
        <v>0</v>
      </c>
      <c r="IT559" s="89">
        <f t="shared" ref="IT559:IT561" si="13067">IS559</f>
        <v>0</v>
      </c>
      <c r="IU559" s="89">
        <v>0</v>
      </c>
      <c r="IV559" s="89">
        <f t="shared" ref="IV559:IV561" si="13068">IU559</f>
        <v>0</v>
      </c>
      <c r="IW559" s="89">
        <f t="shared" ref="IW559:IW561" si="13069">IV559</f>
        <v>0</v>
      </c>
      <c r="IX559" s="89">
        <v>0</v>
      </c>
      <c r="IY559" s="89">
        <f t="shared" ref="IY559:IY561" si="13070">IX559</f>
        <v>0</v>
      </c>
      <c r="IZ559" s="89">
        <f t="shared" ref="IZ559:IZ561" si="13071">IY559</f>
        <v>0</v>
      </c>
      <c r="JA559" s="89">
        <v>0</v>
      </c>
      <c r="JB559" s="89">
        <f t="shared" ref="JB559:JB561" si="13072">JA559</f>
        <v>0</v>
      </c>
      <c r="JC559" s="89">
        <f t="shared" ref="JC559:JC561" si="13073">JB559</f>
        <v>0</v>
      </c>
      <c r="JD559" s="89">
        <v>0</v>
      </c>
      <c r="JE559" s="89">
        <f t="shared" ref="JE559:JE561" si="13074">JD559</f>
        <v>0</v>
      </c>
      <c r="JF559" s="89">
        <f t="shared" ref="JF559:JF561" si="13075">JE559</f>
        <v>0</v>
      </c>
      <c r="JG559" s="89">
        <v>0</v>
      </c>
      <c r="JH559" s="89">
        <f t="shared" ref="JH559:JH561" si="13076">JG559</f>
        <v>0</v>
      </c>
      <c r="JI559" s="89">
        <f t="shared" ref="JI559:JI561" si="13077">JH559</f>
        <v>0</v>
      </c>
      <c r="JJ559" s="89">
        <v>0</v>
      </c>
      <c r="JK559" s="89">
        <f t="shared" ref="JK559:JK561" si="13078">JJ559</f>
        <v>0</v>
      </c>
      <c r="JL559" s="89">
        <f t="shared" ref="JL559:JL561" si="13079">JK559</f>
        <v>0</v>
      </c>
      <c r="JM559" s="89">
        <v>0</v>
      </c>
      <c r="JN559" s="89">
        <f t="shared" ref="JN559:JN561" si="13080">JM559</f>
        <v>0</v>
      </c>
      <c r="JO559" s="89">
        <f t="shared" ref="JO559:JO561" si="13081">JN559</f>
        <v>0</v>
      </c>
      <c r="JP559" s="89">
        <v>0</v>
      </c>
      <c r="JQ559" s="89">
        <f t="shared" ref="JQ559:JR559" si="13082">JP559</f>
        <v>0</v>
      </c>
      <c r="JR559" s="89">
        <f t="shared" si="13082"/>
        <v>0</v>
      </c>
      <c r="JS559" s="74">
        <f>HG559-IF559</f>
        <v>0</v>
      </c>
      <c r="JT559" s="382">
        <f>GS559-IF559</f>
        <v>0</v>
      </c>
      <c r="JU559" s="665"/>
      <c r="JV559" s="524"/>
      <c r="JW559" s="525"/>
      <c r="JX559" s="549">
        <f t="shared" ref="JX559:JY561" si="13083">SUM(HH559,HJ559,HL559,HN559,HP559,HR559,HT559,HV559,HX559,HZ559,IB559,ID559)</f>
        <v>0</v>
      </c>
      <c r="JY559" s="549">
        <f t="shared" si="13083"/>
        <v>0</v>
      </c>
      <c r="JZ559" s="581">
        <f t="shared" si="12201"/>
        <v>0</v>
      </c>
      <c r="KA559" s="581">
        <f t="shared" si="12202"/>
        <v>0</v>
      </c>
      <c r="KB559" s="549">
        <f t="shared" si="12194"/>
        <v>0</v>
      </c>
      <c r="KC559" s="709">
        <f t="shared" si="12200"/>
        <v>0</v>
      </c>
      <c r="KD559" s="36"/>
      <c r="KE559" s="36"/>
      <c r="KF559" s="36"/>
      <c r="KG559" s="36"/>
      <c r="KH559" s="36"/>
      <c r="KI559" s="36"/>
      <c r="KJ559" s="36"/>
      <c r="KK559" s="36"/>
    </row>
    <row r="560" spans="1:297" s="10" customFormat="1" ht="12.75" hidden="1" customHeight="1">
      <c r="A560" s="86" t="s">
        <v>1133</v>
      </c>
      <c r="B560" s="77"/>
      <c r="C560" s="74">
        <v>0</v>
      </c>
      <c r="D560" s="549"/>
      <c r="E560" s="675"/>
      <c r="F560" s="549"/>
      <c r="G560" s="675"/>
      <c r="H560" s="549"/>
      <c r="I560" s="675"/>
      <c r="J560" s="549"/>
      <c r="K560" s="675"/>
      <c r="L560" s="549"/>
      <c r="M560" s="675"/>
      <c r="N560" s="549"/>
      <c r="O560" s="675"/>
      <c r="P560" s="549"/>
      <c r="Q560" s="675"/>
      <c r="R560" s="549"/>
      <c r="S560" s="675"/>
      <c r="T560" s="549"/>
      <c r="U560" s="675"/>
      <c r="V560" s="549"/>
      <c r="W560" s="675"/>
      <c r="X560" s="549"/>
      <c r="Y560" s="675"/>
      <c r="Z560" s="549"/>
      <c r="AA560" s="675"/>
      <c r="AB560" s="549"/>
      <c r="AC560" s="675"/>
      <c r="AD560" s="549"/>
      <c r="AE560" s="675"/>
      <c r="AF560" s="549"/>
      <c r="AG560" s="675"/>
      <c r="AH560" s="549"/>
      <c r="AI560" s="675"/>
      <c r="AJ560" s="549"/>
      <c r="AK560" s="675"/>
      <c r="AL560" s="549"/>
      <c r="AM560" s="675"/>
      <c r="AN560" s="549"/>
      <c r="AO560" s="675"/>
      <c r="AP560" s="549"/>
      <c r="AQ560" s="675"/>
      <c r="AR560" s="549"/>
      <c r="AS560" s="675"/>
      <c r="AT560" s="549"/>
      <c r="AU560" s="675"/>
      <c r="AV560" s="549"/>
      <c r="AW560" s="675"/>
      <c r="AX560" s="549"/>
      <c r="AY560" s="675"/>
      <c r="AZ560" s="549"/>
      <c r="BA560" s="675"/>
      <c r="BB560" s="549"/>
      <c r="BC560" s="675"/>
      <c r="BD560" s="549"/>
      <c r="BE560" s="675"/>
      <c r="BF560" s="549"/>
      <c r="BG560" s="675"/>
      <c r="BH560" s="549"/>
      <c r="BI560" s="675"/>
      <c r="BJ560" s="549"/>
      <c r="BK560" s="675"/>
      <c r="BL560" s="549"/>
      <c r="BM560" s="675"/>
      <c r="BN560" s="549"/>
      <c r="BO560" s="675"/>
      <c r="BP560" s="549"/>
      <c r="BQ560" s="675"/>
      <c r="BR560" s="549"/>
      <c r="BS560" s="675"/>
      <c r="BT560" s="549"/>
      <c r="BU560" s="675"/>
      <c r="BV560" s="549"/>
      <c r="BW560" s="675"/>
      <c r="BX560" s="549"/>
      <c r="BY560" s="675"/>
      <c r="BZ560" s="549"/>
      <c r="CA560" s="675"/>
      <c r="CB560" s="549"/>
      <c r="CC560" s="675"/>
      <c r="CD560" s="549"/>
      <c r="CE560" s="675"/>
      <c r="CF560" s="549"/>
      <c r="CG560" s="675"/>
      <c r="CH560" s="549"/>
      <c r="CI560" s="675"/>
      <c r="CJ560" s="549"/>
      <c r="CK560" s="675"/>
      <c r="CL560" s="549"/>
      <c r="CM560" s="675"/>
      <c r="CN560" s="549"/>
      <c r="CO560" s="675"/>
      <c r="CP560" s="549"/>
      <c r="CQ560" s="675"/>
      <c r="CR560" s="549"/>
      <c r="CS560" s="675"/>
      <c r="CT560" s="549"/>
      <c r="CU560" s="675"/>
      <c r="CV560" s="549"/>
      <c r="CW560" s="675"/>
      <c r="CX560" s="549"/>
      <c r="CY560" s="675"/>
      <c r="CZ560" s="549"/>
      <c r="DA560" s="675"/>
      <c r="DB560" s="549"/>
      <c r="DC560" s="675"/>
      <c r="DD560" s="549"/>
      <c r="DE560" s="675"/>
      <c r="DF560" s="549"/>
      <c r="DG560" s="675"/>
      <c r="DH560" s="549"/>
      <c r="DI560" s="675"/>
      <c r="DJ560" s="549"/>
      <c r="DK560" s="675"/>
      <c r="DL560" s="549"/>
      <c r="DM560" s="675"/>
      <c r="DN560" s="549"/>
      <c r="DO560" s="675"/>
      <c r="DP560" s="549"/>
      <c r="DQ560" s="675"/>
      <c r="DR560" s="549"/>
      <c r="DS560" s="675"/>
      <c r="DT560" s="549"/>
      <c r="DU560" s="675"/>
      <c r="DV560" s="549"/>
      <c r="DW560" s="675"/>
      <c r="DX560" s="549"/>
      <c r="DY560" s="675"/>
      <c r="DZ560" s="549"/>
      <c r="EA560" s="675"/>
      <c r="EB560" s="549"/>
      <c r="EC560" s="675"/>
      <c r="ED560" s="549"/>
      <c r="EE560" s="675"/>
      <c r="EF560" s="549"/>
      <c r="EG560" s="675"/>
      <c r="EH560" s="549"/>
      <c r="EI560" s="675"/>
      <c r="EJ560" s="549"/>
      <c r="EK560" s="675"/>
      <c r="EL560" s="549"/>
      <c r="EM560" s="675"/>
      <c r="EN560" s="549"/>
      <c r="EO560" s="675"/>
      <c r="EP560" s="549"/>
      <c r="EQ560" s="675"/>
      <c r="ER560" s="549"/>
      <c r="ES560" s="675"/>
      <c r="ET560" s="549"/>
      <c r="EU560" s="675"/>
      <c r="EV560" s="549"/>
      <c r="EW560" s="675"/>
      <c r="EX560" s="549"/>
      <c r="EY560" s="675"/>
      <c r="EZ560" s="549"/>
      <c r="FA560" s="675"/>
      <c r="FB560" s="549"/>
      <c r="FC560" s="675"/>
      <c r="FD560" s="549"/>
      <c r="FE560" s="675"/>
      <c r="FF560" s="549"/>
      <c r="FG560" s="675"/>
      <c r="FH560" s="549"/>
      <c r="FI560" s="675"/>
      <c r="FJ560" s="549"/>
      <c r="FK560" s="675"/>
      <c r="FL560" s="549"/>
      <c r="FM560" s="675"/>
      <c r="FN560" s="549"/>
      <c r="FO560" s="675"/>
      <c r="FP560" s="549"/>
      <c r="FQ560" s="675"/>
      <c r="FR560" s="549"/>
      <c r="FS560" s="675"/>
      <c r="FT560" s="549"/>
      <c r="FU560" s="675"/>
      <c r="FV560" s="549"/>
      <c r="FW560" s="675"/>
      <c r="FX560" s="549"/>
      <c r="FY560" s="675"/>
      <c r="FZ560" s="549"/>
      <c r="GA560" s="675"/>
      <c r="GB560" s="549"/>
      <c r="GC560" s="675"/>
      <c r="GD560" s="549"/>
      <c r="GE560" s="675"/>
      <c r="GF560" s="549"/>
      <c r="GG560" s="675"/>
      <c r="GH560" s="549"/>
      <c r="GI560" s="675"/>
      <c r="GJ560" s="549"/>
      <c r="GK560" s="675"/>
      <c r="GL560" s="549"/>
      <c r="GM560" s="675"/>
      <c r="GN560" s="549"/>
      <c r="GO560" s="675"/>
      <c r="GP560" s="549">
        <f>+D560+F560+H560+J560+L560+N560+P560+R560+T560+V560+X560+Z560+AB560+AD560+AH560+AJ560+AL560+AN560+AP560+AR560+AT560+AV560+AX560+AZ560+BB560+BD560+BF560+BH560+BJ560+BL560+BN560+BP560+BR560+BT560+BV560+BX560+BZ560+CB560+CD560+CF560+CH560+CJ560+CL560+CN560+CP560+CR560+CT560+CV560+CX560+CZ560+DB560+DD560+DF560+DH560+DT560+EX560+DJ560+DL560+DN560+DP560+DR560+EJ560+EB560+DZ560+DX560+DV560+ED560+EF560+EH560+EL560+EN560+EP560+EV560+ET560+ER560+EZ560+FB560+FD560+GL560+FF560+FJ560+FL560+GJ560+FT560+FR560+FP560+FN560+FH560</f>
        <v>0</v>
      </c>
      <c r="GQ560" s="675">
        <f>+E560+G560+I560+K560+M560+O560+Q560+S560+U560+W560+Y560+AA560+AC560+AE560+AI560+AK560+AM560+AO560+AQ560+AS560+AU560+AW560+AY560+BA560+BC560+BE560+BG560+BI560+BK560+BM560+BO560+BQ560+BS560+BU560+BW560+BY560+CA560+CC560+CE560+CG560+CI560+CK560+CM560+CO560+CQ560+CS560+CU560+CW560+CY560+DA560+DC560+DE560+DG560+DI560+DU560+EY560+DK560+DM560+DO560+DQ560+DS560+EK560+EC560+EA560+DY560+DW560+EI560+EG560+EE560+EM560+EO560+EQ560+EW560+EU560+ES560+FA560+FC560+FE560+GM560+FG560+FK560+FM560+FO560+FQ560+FS560+FU560+GK560+FI560</f>
        <v>0</v>
      </c>
      <c r="GR560" s="74">
        <f>C560+GP560+GQ560</f>
        <v>0</v>
      </c>
      <c r="GS560" s="74">
        <f t="shared" si="13055"/>
        <v>0</v>
      </c>
      <c r="GT560" s="568">
        <f t="shared" si="13056"/>
        <v>0</v>
      </c>
      <c r="GU560" s="275">
        <v>0</v>
      </c>
      <c r="GV560" s="275">
        <v>0</v>
      </c>
      <c r="GW560" s="275">
        <v>0</v>
      </c>
      <c r="GX560" s="275">
        <v>0</v>
      </c>
      <c r="GY560" s="275">
        <v>0</v>
      </c>
      <c r="GZ560" s="275">
        <v>0</v>
      </c>
      <c r="HA560" s="275">
        <v>0</v>
      </c>
      <c r="HB560" s="275">
        <v>0</v>
      </c>
      <c r="HC560" s="275">
        <v>0</v>
      </c>
      <c r="HD560" s="275">
        <v>0</v>
      </c>
      <c r="HE560" s="275">
        <v>0</v>
      </c>
      <c r="HF560" s="275">
        <v>0</v>
      </c>
      <c r="HG560" s="74">
        <f>SUM(HH560:IE560)</f>
        <v>0</v>
      </c>
      <c r="HH560" s="837">
        <v>0</v>
      </c>
      <c r="HI560" s="847">
        <v>0</v>
      </c>
      <c r="HJ560" s="837">
        <v>0</v>
      </c>
      <c r="HK560" s="847">
        <v>0</v>
      </c>
      <c r="HL560" s="837">
        <v>0</v>
      </c>
      <c r="HM560" s="847">
        <v>0</v>
      </c>
      <c r="HN560" s="837">
        <v>0</v>
      </c>
      <c r="HO560" s="847">
        <v>0</v>
      </c>
      <c r="HP560" s="837">
        <v>0</v>
      </c>
      <c r="HQ560" s="847">
        <v>0</v>
      </c>
      <c r="HR560" s="837">
        <v>0</v>
      </c>
      <c r="HS560" s="847">
        <v>0</v>
      </c>
      <c r="HT560" s="837">
        <v>0</v>
      </c>
      <c r="HU560" s="847">
        <v>0</v>
      </c>
      <c r="HV560" s="837">
        <v>0</v>
      </c>
      <c r="HW560" s="847">
        <v>0</v>
      </c>
      <c r="HX560" s="837">
        <v>0</v>
      </c>
      <c r="HY560" s="847">
        <v>0</v>
      </c>
      <c r="HZ560" s="837">
        <v>0</v>
      </c>
      <c r="IA560" s="847">
        <v>0</v>
      </c>
      <c r="IB560" s="837">
        <v>0</v>
      </c>
      <c r="IC560" s="847">
        <v>0</v>
      </c>
      <c r="ID560" s="837">
        <v>0</v>
      </c>
      <c r="IE560" s="847">
        <v>0</v>
      </c>
      <c r="IF560" s="841">
        <f t="shared" si="13057"/>
        <v>0</v>
      </c>
      <c r="IG560" s="263">
        <f t="shared" si="13058"/>
        <v>0</v>
      </c>
      <c r="IH560" s="842">
        <f t="shared" si="13059"/>
        <v>0</v>
      </c>
      <c r="II560" s="89">
        <v>0</v>
      </c>
      <c r="IJ560" s="89">
        <f t="shared" si="13060"/>
        <v>0</v>
      </c>
      <c r="IK560" s="89">
        <f t="shared" si="13061"/>
        <v>0</v>
      </c>
      <c r="IL560" s="89">
        <v>0</v>
      </c>
      <c r="IM560" s="89">
        <f t="shared" si="13062"/>
        <v>0</v>
      </c>
      <c r="IN560" s="89">
        <f t="shared" si="13063"/>
        <v>0</v>
      </c>
      <c r="IO560" s="89">
        <v>0</v>
      </c>
      <c r="IP560" s="89">
        <f t="shared" si="13064"/>
        <v>0</v>
      </c>
      <c r="IQ560" s="89">
        <f t="shared" si="13065"/>
        <v>0</v>
      </c>
      <c r="IR560" s="89">
        <v>0</v>
      </c>
      <c r="IS560" s="89">
        <f t="shared" si="13066"/>
        <v>0</v>
      </c>
      <c r="IT560" s="89">
        <f t="shared" si="13067"/>
        <v>0</v>
      </c>
      <c r="IU560" s="89">
        <v>0</v>
      </c>
      <c r="IV560" s="89">
        <f t="shared" si="13068"/>
        <v>0</v>
      </c>
      <c r="IW560" s="89">
        <f t="shared" si="13069"/>
        <v>0</v>
      </c>
      <c r="IX560" s="89">
        <v>0</v>
      </c>
      <c r="IY560" s="89">
        <f t="shared" si="13070"/>
        <v>0</v>
      </c>
      <c r="IZ560" s="89">
        <f t="shared" si="13071"/>
        <v>0</v>
      </c>
      <c r="JA560" s="89">
        <v>0</v>
      </c>
      <c r="JB560" s="89">
        <f t="shared" si="13072"/>
        <v>0</v>
      </c>
      <c r="JC560" s="89">
        <f t="shared" si="13073"/>
        <v>0</v>
      </c>
      <c r="JD560" s="89">
        <v>0</v>
      </c>
      <c r="JE560" s="89">
        <f t="shared" si="13074"/>
        <v>0</v>
      </c>
      <c r="JF560" s="89">
        <f t="shared" si="13075"/>
        <v>0</v>
      </c>
      <c r="JG560" s="89">
        <v>0</v>
      </c>
      <c r="JH560" s="89">
        <f t="shared" si="13076"/>
        <v>0</v>
      </c>
      <c r="JI560" s="89">
        <f t="shared" si="13077"/>
        <v>0</v>
      </c>
      <c r="JJ560" s="89">
        <v>0</v>
      </c>
      <c r="JK560" s="89">
        <f t="shared" si="13078"/>
        <v>0</v>
      </c>
      <c r="JL560" s="89">
        <f t="shared" si="13079"/>
        <v>0</v>
      </c>
      <c r="JM560" s="89">
        <v>0</v>
      </c>
      <c r="JN560" s="89">
        <f t="shared" si="13080"/>
        <v>0</v>
      </c>
      <c r="JO560" s="89">
        <f t="shared" si="13081"/>
        <v>0</v>
      </c>
      <c r="JP560" s="89">
        <v>0</v>
      </c>
      <c r="JQ560" s="89">
        <f t="shared" ref="JQ560:JR560" si="13084">JP560</f>
        <v>0</v>
      </c>
      <c r="JR560" s="89">
        <f t="shared" si="13084"/>
        <v>0</v>
      </c>
      <c r="JS560" s="74">
        <f>HG560-IF560</f>
        <v>0</v>
      </c>
      <c r="JT560" s="382">
        <f>GS560-IF560</f>
        <v>0</v>
      </c>
      <c r="JU560" s="665"/>
      <c r="JV560" s="524"/>
      <c r="JW560" s="525"/>
      <c r="JX560" s="549">
        <f t="shared" si="13083"/>
        <v>0</v>
      </c>
      <c r="JY560" s="549">
        <f t="shared" si="13083"/>
        <v>0</v>
      </c>
      <c r="JZ560" s="581">
        <f t="shared" si="12201"/>
        <v>0</v>
      </c>
      <c r="KA560" s="581">
        <f t="shared" si="12202"/>
        <v>0</v>
      </c>
      <c r="KB560" s="549">
        <f t="shared" si="12194"/>
        <v>0</v>
      </c>
      <c r="KC560" s="709">
        <f>HG560-KB560</f>
        <v>0</v>
      </c>
      <c r="KD560" s="36"/>
      <c r="KE560" s="36"/>
      <c r="KF560" s="36"/>
      <c r="KG560" s="36"/>
      <c r="KH560" s="36"/>
      <c r="KI560" s="36"/>
      <c r="KJ560" s="36"/>
      <c r="KK560" s="36"/>
    </row>
    <row r="561" spans="1:297" s="10" customFormat="1">
      <c r="A561" s="86" t="s">
        <v>1182</v>
      </c>
      <c r="B561" s="77" t="s">
        <v>308</v>
      </c>
      <c r="C561" s="74">
        <v>45000</v>
      </c>
      <c r="D561" s="549">
        <v>0</v>
      </c>
      <c r="E561" s="675">
        <v>0</v>
      </c>
      <c r="F561" s="549">
        <v>0</v>
      </c>
      <c r="G561" s="675">
        <v>0</v>
      </c>
      <c r="H561" s="549">
        <v>0</v>
      </c>
      <c r="I561" s="675">
        <v>0</v>
      </c>
      <c r="J561" s="549">
        <v>0</v>
      </c>
      <c r="K561" s="675">
        <v>0</v>
      </c>
      <c r="L561" s="549">
        <v>0</v>
      </c>
      <c r="M561" s="675">
        <v>0</v>
      </c>
      <c r="N561" s="549">
        <v>0</v>
      </c>
      <c r="O561" s="675">
        <v>0</v>
      </c>
      <c r="P561" s="549">
        <v>0</v>
      </c>
      <c r="Q561" s="675">
        <v>0</v>
      </c>
      <c r="R561" s="549">
        <v>0</v>
      </c>
      <c r="S561" s="675">
        <v>0</v>
      </c>
      <c r="T561" s="549">
        <v>0</v>
      </c>
      <c r="U561" s="675">
        <v>0</v>
      </c>
      <c r="V561" s="549">
        <v>0</v>
      </c>
      <c r="W561" s="675">
        <v>0</v>
      </c>
      <c r="X561" s="549">
        <v>0</v>
      </c>
      <c r="Y561" s="675">
        <v>0</v>
      </c>
      <c r="Z561" s="549">
        <v>0</v>
      </c>
      <c r="AA561" s="675">
        <v>0</v>
      </c>
      <c r="AB561" s="549">
        <v>0</v>
      </c>
      <c r="AC561" s="675">
        <v>0</v>
      </c>
      <c r="AD561" s="549">
        <v>0</v>
      </c>
      <c r="AE561" s="675">
        <v>0</v>
      </c>
      <c r="AF561" s="549">
        <v>0</v>
      </c>
      <c r="AG561" s="675">
        <v>0</v>
      </c>
      <c r="AH561" s="549">
        <v>0</v>
      </c>
      <c r="AI561" s="675">
        <v>0</v>
      </c>
      <c r="AJ561" s="549">
        <v>0</v>
      </c>
      <c r="AK561" s="675">
        <v>0</v>
      </c>
      <c r="AL561" s="549">
        <v>0</v>
      </c>
      <c r="AM561" s="675">
        <v>0</v>
      </c>
      <c r="AN561" s="549">
        <v>0</v>
      </c>
      <c r="AO561" s="675">
        <v>0</v>
      </c>
      <c r="AP561" s="549">
        <v>0</v>
      </c>
      <c r="AQ561" s="675">
        <v>0</v>
      </c>
      <c r="AR561" s="549">
        <v>0</v>
      </c>
      <c r="AS561" s="675">
        <v>0</v>
      </c>
      <c r="AT561" s="549">
        <v>0</v>
      </c>
      <c r="AU561" s="675">
        <v>0</v>
      </c>
      <c r="AV561" s="549">
        <v>0</v>
      </c>
      <c r="AW561" s="675">
        <v>0</v>
      </c>
      <c r="AX561" s="549">
        <v>0</v>
      </c>
      <c r="AY561" s="675">
        <v>0</v>
      </c>
      <c r="AZ561" s="549">
        <v>0</v>
      </c>
      <c r="BA561" s="675">
        <v>0</v>
      </c>
      <c r="BB561" s="549">
        <v>0</v>
      </c>
      <c r="BC561" s="675">
        <v>0</v>
      </c>
      <c r="BD561" s="549">
        <v>0</v>
      </c>
      <c r="BE561" s="675">
        <v>0</v>
      </c>
      <c r="BF561" s="549">
        <v>0</v>
      </c>
      <c r="BG561" s="675">
        <v>0</v>
      </c>
      <c r="BH561" s="549">
        <v>0</v>
      </c>
      <c r="BI561" s="675">
        <v>0</v>
      </c>
      <c r="BJ561" s="549">
        <v>0</v>
      </c>
      <c r="BK561" s="675">
        <v>0</v>
      </c>
      <c r="BL561" s="549">
        <v>0</v>
      </c>
      <c r="BM561" s="675">
        <v>0</v>
      </c>
      <c r="BN561" s="549">
        <v>0</v>
      </c>
      <c r="BO561" s="675">
        <v>0</v>
      </c>
      <c r="BP561" s="549">
        <v>0</v>
      </c>
      <c r="BQ561" s="675">
        <v>0</v>
      </c>
      <c r="BR561" s="549">
        <v>0</v>
      </c>
      <c r="BS561" s="675">
        <v>0</v>
      </c>
      <c r="BT561" s="549">
        <v>0</v>
      </c>
      <c r="BU561" s="675">
        <v>0</v>
      </c>
      <c r="BV561" s="549">
        <v>0</v>
      </c>
      <c r="BW561" s="675">
        <v>0</v>
      </c>
      <c r="BX561" s="549">
        <v>0</v>
      </c>
      <c r="BY561" s="675">
        <v>0</v>
      </c>
      <c r="BZ561" s="549">
        <v>0</v>
      </c>
      <c r="CA561" s="675">
        <v>0</v>
      </c>
      <c r="CB561" s="549">
        <v>0</v>
      </c>
      <c r="CC561" s="675">
        <v>0</v>
      </c>
      <c r="CD561" s="549">
        <v>0</v>
      </c>
      <c r="CE561" s="675">
        <v>0</v>
      </c>
      <c r="CF561" s="549">
        <v>0</v>
      </c>
      <c r="CG561" s="675">
        <v>0</v>
      </c>
      <c r="CH561" s="549">
        <v>0</v>
      </c>
      <c r="CI561" s="675">
        <v>0</v>
      </c>
      <c r="CJ561" s="549">
        <v>0</v>
      </c>
      <c r="CK561" s="675">
        <v>0</v>
      </c>
      <c r="CL561" s="549">
        <v>0</v>
      </c>
      <c r="CM561" s="675">
        <v>0</v>
      </c>
      <c r="CN561" s="549">
        <v>0</v>
      </c>
      <c r="CO561" s="675">
        <v>0</v>
      </c>
      <c r="CP561" s="549">
        <v>0</v>
      </c>
      <c r="CQ561" s="675">
        <v>0</v>
      </c>
      <c r="CR561" s="549">
        <v>0</v>
      </c>
      <c r="CS561" s="675">
        <v>0</v>
      </c>
      <c r="CT561" s="549">
        <v>0</v>
      </c>
      <c r="CU561" s="675">
        <v>0</v>
      </c>
      <c r="CV561" s="549">
        <v>0</v>
      </c>
      <c r="CW561" s="675">
        <v>0</v>
      </c>
      <c r="CX561" s="549">
        <v>0</v>
      </c>
      <c r="CY561" s="675">
        <v>0</v>
      </c>
      <c r="CZ561" s="549">
        <v>0</v>
      </c>
      <c r="DA561" s="675">
        <v>0</v>
      </c>
      <c r="DB561" s="549">
        <v>0</v>
      </c>
      <c r="DC561" s="675">
        <v>0</v>
      </c>
      <c r="DD561" s="549">
        <v>0</v>
      </c>
      <c r="DE561" s="675">
        <v>0</v>
      </c>
      <c r="DF561" s="549">
        <v>0</v>
      </c>
      <c r="DG561" s="675">
        <v>0</v>
      </c>
      <c r="DH561" s="549">
        <v>0</v>
      </c>
      <c r="DI561" s="675">
        <v>0</v>
      </c>
      <c r="DJ561" s="549">
        <v>0</v>
      </c>
      <c r="DK561" s="675">
        <v>0</v>
      </c>
      <c r="DL561" s="549">
        <v>0</v>
      </c>
      <c r="DM561" s="675">
        <v>0</v>
      </c>
      <c r="DN561" s="549">
        <v>0</v>
      </c>
      <c r="DO561" s="675">
        <v>0</v>
      </c>
      <c r="DP561" s="549">
        <v>0</v>
      </c>
      <c r="DQ561" s="675">
        <v>0</v>
      </c>
      <c r="DR561" s="549">
        <v>0</v>
      </c>
      <c r="DS561" s="675">
        <v>0</v>
      </c>
      <c r="DT561" s="549">
        <v>0</v>
      </c>
      <c r="DU561" s="675">
        <v>0</v>
      </c>
      <c r="DV561" s="549">
        <v>0</v>
      </c>
      <c r="DW561" s="675">
        <v>0</v>
      </c>
      <c r="DX561" s="549">
        <v>0</v>
      </c>
      <c r="DY561" s="675">
        <v>0</v>
      </c>
      <c r="DZ561" s="549">
        <v>0</v>
      </c>
      <c r="EA561" s="675">
        <v>0</v>
      </c>
      <c r="EB561" s="549">
        <v>0</v>
      </c>
      <c r="EC561" s="675">
        <v>0</v>
      </c>
      <c r="ED561" s="549">
        <v>0</v>
      </c>
      <c r="EE561" s="675">
        <v>0</v>
      </c>
      <c r="EF561" s="549">
        <v>0</v>
      </c>
      <c r="EG561" s="675">
        <v>0</v>
      </c>
      <c r="EH561" s="549">
        <v>0</v>
      </c>
      <c r="EI561" s="675">
        <v>0</v>
      </c>
      <c r="EJ561" s="549">
        <v>0</v>
      </c>
      <c r="EK561" s="675">
        <v>0</v>
      </c>
      <c r="EL561" s="549">
        <v>0</v>
      </c>
      <c r="EM561" s="675">
        <v>0</v>
      </c>
      <c r="EN561" s="549">
        <v>0</v>
      </c>
      <c r="EO561" s="675">
        <v>0</v>
      </c>
      <c r="EP561" s="549">
        <v>0</v>
      </c>
      <c r="EQ561" s="675">
        <v>0</v>
      </c>
      <c r="ER561" s="549">
        <v>0</v>
      </c>
      <c r="ES561" s="675">
        <v>0</v>
      </c>
      <c r="ET561" s="549">
        <v>0</v>
      </c>
      <c r="EU561" s="675">
        <v>0</v>
      </c>
      <c r="EV561" s="549">
        <v>0</v>
      </c>
      <c r="EW561" s="675">
        <v>0</v>
      </c>
      <c r="EX561" s="549">
        <v>0</v>
      </c>
      <c r="EY561" s="675">
        <v>0</v>
      </c>
      <c r="EZ561" s="549">
        <v>0</v>
      </c>
      <c r="FA561" s="675">
        <v>0</v>
      </c>
      <c r="FB561" s="549">
        <v>0</v>
      </c>
      <c r="FC561" s="675">
        <v>0</v>
      </c>
      <c r="FD561" s="549">
        <v>0</v>
      </c>
      <c r="FE561" s="675">
        <v>0</v>
      </c>
      <c r="FF561" s="549">
        <v>0</v>
      </c>
      <c r="FG561" s="675">
        <v>0</v>
      </c>
      <c r="FH561" s="549">
        <v>0</v>
      </c>
      <c r="FI561" s="675">
        <v>0</v>
      </c>
      <c r="FJ561" s="549">
        <v>0</v>
      </c>
      <c r="FK561" s="675">
        <v>0</v>
      </c>
      <c r="FL561" s="549">
        <v>0</v>
      </c>
      <c r="FM561" s="675">
        <v>0</v>
      </c>
      <c r="FN561" s="549">
        <v>0</v>
      </c>
      <c r="FO561" s="675">
        <v>0</v>
      </c>
      <c r="FP561" s="549">
        <v>0</v>
      </c>
      <c r="FQ561" s="675">
        <v>0</v>
      </c>
      <c r="FR561" s="549">
        <v>0</v>
      </c>
      <c r="FS561" s="675">
        <v>0</v>
      </c>
      <c r="FT561" s="549">
        <v>0</v>
      </c>
      <c r="FU561" s="675">
        <v>0</v>
      </c>
      <c r="FV561" s="549">
        <v>0</v>
      </c>
      <c r="FW561" s="675">
        <v>0</v>
      </c>
      <c r="FX561" s="549">
        <v>0</v>
      </c>
      <c r="FY561" s="675">
        <v>0</v>
      </c>
      <c r="FZ561" s="549">
        <v>0</v>
      </c>
      <c r="GA561" s="675">
        <v>0</v>
      </c>
      <c r="GB561" s="549">
        <v>0</v>
      </c>
      <c r="GC561" s="675">
        <v>0</v>
      </c>
      <c r="GD561" s="549">
        <v>0</v>
      </c>
      <c r="GE561" s="675">
        <v>0</v>
      </c>
      <c r="GF561" s="549">
        <v>0</v>
      </c>
      <c r="GG561" s="675">
        <v>0</v>
      </c>
      <c r="GH561" s="549">
        <v>0</v>
      </c>
      <c r="GI561" s="675">
        <v>0</v>
      </c>
      <c r="GJ561" s="549">
        <v>0</v>
      </c>
      <c r="GK561" s="675">
        <v>0</v>
      </c>
      <c r="GL561" s="549">
        <v>0</v>
      </c>
      <c r="GM561" s="675">
        <v>0</v>
      </c>
      <c r="GN561" s="549">
        <v>0</v>
      </c>
      <c r="GO561" s="675">
        <v>0</v>
      </c>
      <c r="GP561" s="549">
        <f>+D561+F561+H561+J561+L561+N561+P561+R561+T561+V561+X561+Z561+AB561+AF561+AD561+AH561+AJ561+AL561+AN561+AP561+AR561+AT561+AV561+AX561+AZ561+BB561+BD561+BF561+BH561+BJ561+BL561+BN561+BP561+BR561+BT561+BV561+BX561+BZ561+CB561+CD561+CF561+CH561+CJ561+CL561+CN561+CP561+CR561+CT561+CV561+CX561+CZ561+DB561+DD561+DF561+DH561+DT561+EX561+DJ561+DL561+DN561+DP561+DR561+EJ561+EB561+DZ561+DX561+DV561+ED561+EF561+EH561+EL561+EN561+EP561+EV561+ET561+ER561+EZ561+FB561+FD561+GL561+FF561+FJ561+FL561+GJ561+FT561+FR561+FP561+FN561+FH561+GH561+GF561+GD561+GB561+FZ561+FX561+FV561+GN561</f>
        <v>0</v>
      </c>
      <c r="GQ561" s="675">
        <f>+E561+G561+I561+K561+M561+O561+Q561+S561+U561+W561+Y561+AA561+AC561+AE561+AG561+AI561+AK561+AM561+AO561+AQ561+AS561+AU561+AW561+AY561+BA561+BC561+BE561+BG561+BI561+BK561+BM561+BO561+BQ561+BS561+BU561+BW561+BY561+CA561+CC561+CE561+CG561+CI561+CK561+CM561+CO561+CQ561+CS561+CU561+CW561+CY561+DA561+DC561+DE561+DG561+DI561+DU561+EY561+DK561+DM561+DO561+DQ561+DS561+EK561+EC561+EA561+DY561+DW561+EI561+EG561+EE561+EM561+EO561+EQ561+EW561+EU561+ES561+FA561+FC561+FE561+GM561+FG561+FK561+FM561+FO561+FQ561+FS561+FU561+GK561+FI561+GI561+GG561+GE561+GC561+GA561+FY561+FW561+GO561</f>
        <v>0</v>
      </c>
      <c r="GR561" s="74">
        <f>C561+GP561+GQ561</f>
        <v>45000</v>
      </c>
      <c r="GS561" s="74">
        <f>SUM(GU561:HD561)+GP561+GQ561</f>
        <v>45000</v>
      </c>
      <c r="GT561" s="568">
        <f t="shared" si="13056"/>
        <v>45000</v>
      </c>
      <c r="GU561" s="275">
        <v>10000</v>
      </c>
      <c r="GV561" s="275"/>
      <c r="GW561" s="275">
        <v>15000</v>
      </c>
      <c r="GX561" s="275"/>
      <c r="GY561" s="275">
        <v>10000</v>
      </c>
      <c r="GZ561" s="275"/>
      <c r="HA561" s="275"/>
      <c r="HB561" s="275">
        <v>10000</v>
      </c>
      <c r="HC561" s="275">
        <v>0</v>
      </c>
      <c r="HD561" s="275">
        <v>0</v>
      </c>
      <c r="HE561" s="275">
        <v>0</v>
      </c>
      <c r="HF561" s="275">
        <v>0</v>
      </c>
      <c r="HG561" s="74">
        <f>SUM(HH561:IE561)</f>
        <v>45000</v>
      </c>
      <c r="HH561" s="837">
        <v>10000</v>
      </c>
      <c r="HI561" s="847">
        <v>0</v>
      </c>
      <c r="HJ561" s="837">
        <v>0</v>
      </c>
      <c r="HK561" s="847">
        <v>0</v>
      </c>
      <c r="HL561" s="837">
        <v>0</v>
      </c>
      <c r="HM561" s="847">
        <v>0</v>
      </c>
      <c r="HN561" s="837">
        <v>0</v>
      </c>
      <c r="HO561" s="847">
        <v>0</v>
      </c>
      <c r="HP561" s="837">
        <v>0</v>
      </c>
      <c r="HQ561" s="847">
        <v>0</v>
      </c>
      <c r="HR561" s="837">
        <v>0</v>
      </c>
      <c r="HS561" s="847">
        <v>0</v>
      </c>
      <c r="HT561" s="837">
        <v>0</v>
      </c>
      <c r="HU561" s="847">
        <v>0</v>
      </c>
      <c r="HV561" s="837">
        <v>28200</v>
      </c>
      <c r="HW561" s="847">
        <v>0</v>
      </c>
      <c r="HX561" s="837">
        <v>6800</v>
      </c>
      <c r="HY561" s="847">
        <v>0</v>
      </c>
      <c r="HZ561" s="837">
        <v>0</v>
      </c>
      <c r="IA561" s="847">
        <v>0</v>
      </c>
      <c r="IB561" s="837">
        <v>0</v>
      </c>
      <c r="IC561" s="847">
        <v>0</v>
      </c>
      <c r="ID561" s="837">
        <v>0</v>
      </c>
      <c r="IE561" s="847">
        <v>0</v>
      </c>
      <c r="IF561" s="841">
        <f t="shared" si="13057"/>
        <v>45000</v>
      </c>
      <c r="IG561" s="263">
        <f t="shared" si="13058"/>
        <v>45000</v>
      </c>
      <c r="IH561" s="842">
        <f t="shared" si="13059"/>
        <v>45000</v>
      </c>
      <c r="II561" s="89">
        <v>0</v>
      </c>
      <c r="IJ561" s="89">
        <f t="shared" si="13060"/>
        <v>0</v>
      </c>
      <c r="IK561" s="89">
        <f t="shared" si="13061"/>
        <v>0</v>
      </c>
      <c r="IL561" s="89">
        <v>0</v>
      </c>
      <c r="IM561" s="89">
        <f t="shared" si="13062"/>
        <v>0</v>
      </c>
      <c r="IN561" s="89">
        <f t="shared" si="13063"/>
        <v>0</v>
      </c>
      <c r="IO561" s="89">
        <v>500</v>
      </c>
      <c r="IP561" s="89">
        <f t="shared" si="13064"/>
        <v>500</v>
      </c>
      <c r="IQ561" s="89">
        <f t="shared" si="13065"/>
        <v>500</v>
      </c>
      <c r="IR561" s="89">
        <v>0</v>
      </c>
      <c r="IS561" s="89">
        <f t="shared" si="13066"/>
        <v>0</v>
      </c>
      <c r="IT561" s="89">
        <f t="shared" si="13067"/>
        <v>0</v>
      </c>
      <c r="IU561" s="89">
        <v>2000</v>
      </c>
      <c r="IV561" s="89">
        <f t="shared" si="13068"/>
        <v>2000</v>
      </c>
      <c r="IW561" s="89">
        <f t="shared" si="13069"/>
        <v>2000</v>
      </c>
      <c r="IX561" s="89">
        <f>3250-2500</f>
        <v>750</v>
      </c>
      <c r="IY561" s="89">
        <f t="shared" si="13070"/>
        <v>750</v>
      </c>
      <c r="IZ561" s="89">
        <f t="shared" si="13071"/>
        <v>750</v>
      </c>
      <c r="JA561" s="89">
        <f>4900-3250</f>
        <v>1650</v>
      </c>
      <c r="JB561" s="89">
        <f t="shared" si="13072"/>
        <v>1650</v>
      </c>
      <c r="JC561" s="89">
        <f t="shared" si="13073"/>
        <v>1650</v>
      </c>
      <c r="JD561" s="89">
        <f>33100-4900</f>
        <v>28200</v>
      </c>
      <c r="JE561" s="89">
        <f t="shared" si="13074"/>
        <v>28200</v>
      </c>
      <c r="JF561" s="89">
        <f t="shared" si="13075"/>
        <v>28200</v>
      </c>
      <c r="JG561" s="89">
        <f>44250-33100</f>
        <v>11150</v>
      </c>
      <c r="JH561" s="89">
        <f t="shared" si="13076"/>
        <v>11150</v>
      </c>
      <c r="JI561" s="89">
        <f t="shared" si="13077"/>
        <v>11150</v>
      </c>
      <c r="JJ561" s="89">
        <f>45000-44250</f>
        <v>750</v>
      </c>
      <c r="JK561" s="89">
        <f t="shared" si="13078"/>
        <v>750</v>
      </c>
      <c r="JL561" s="89">
        <f t="shared" si="13079"/>
        <v>750</v>
      </c>
      <c r="JM561" s="89">
        <v>0</v>
      </c>
      <c r="JN561" s="89">
        <f t="shared" si="13080"/>
        <v>0</v>
      </c>
      <c r="JO561" s="89">
        <f t="shared" si="13081"/>
        <v>0</v>
      </c>
      <c r="JP561" s="89">
        <v>0</v>
      </c>
      <c r="JQ561" s="89">
        <f t="shared" ref="JQ561:JR561" si="13085">JP561</f>
        <v>0</v>
      </c>
      <c r="JR561" s="89">
        <f t="shared" si="13085"/>
        <v>0</v>
      </c>
      <c r="JS561" s="74">
        <f>HG561-IF561</f>
        <v>0</v>
      </c>
      <c r="JT561" s="382">
        <f>GS561-IF561</f>
        <v>0</v>
      </c>
      <c r="JU561" s="665"/>
      <c r="JV561" s="524"/>
      <c r="JW561" s="525"/>
      <c r="JX561" s="549">
        <f t="shared" si="13083"/>
        <v>45000</v>
      </c>
      <c r="JY561" s="549">
        <f t="shared" si="13083"/>
        <v>0</v>
      </c>
      <c r="JZ561" s="581">
        <f t="shared" si="12201"/>
        <v>0</v>
      </c>
      <c r="KA561" s="581">
        <f t="shared" si="12202"/>
        <v>0</v>
      </c>
      <c r="KB561" s="549">
        <f t="shared" si="12194"/>
        <v>45000</v>
      </c>
      <c r="KC561" s="709">
        <f t="shared" si="12200"/>
        <v>0</v>
      </c>
      <c r="KD561" s="36"/>
      <c r="KE561" s="36"/>
      <c r="KF561" s="36"/>
      <c r="KG561" s="36"/>
      <c r="KH561" s="36"/>
      <c r="KI561" s="36"/>
      <c r="KJ561" s="36"/>
      <c r="KK561" s="36"/>
    </row>
    <row r="562" spans="1:297" s="10" customFormat="1">
      <c r="A562" s="86"/>
      <c r="B562" s="77"/>
      <c r="C562" s="74"/>
      <c r="D562" s="549"/>
      <c r="E562" s="675"/>
      <c r="F562" s="549"/>
      <c r="G562" s="675"/>
      <c r="H562" s="549"/>
      <c r="I562" s="675"/>
      <c r="J562" s="549"/>
      <c r="K562" s="675"/>
      <c r="L562" s="549"/>
      <c r="M562" s="675"/>
      <c r="N562" s="549"/>
      <c r="O562" s="675"/>
      <c r="P562" s="549"/>
      <c r="Q562" s="675"/>
      <c r="R562" s="549"/>
      <c r="S562" s="675"/>
      <c r="T562" s="549"/>
      <c r="U562" s="675"/>
      <c r="V562" s="549"/>
      <c r="W562" s="675"/>
      <c r="X562" s="549"/>
      <c r="Y562" s="675"/>
      <c r="Z562" s="549"/>
      <c r="AA562" s="675"/>
      <c r="AB562" s="549"/>
      <c r="AC562" s="675"/>
      <c r="AD562" s="549"/>
      <c r="AE562" s="675"/>
      <c r="AF562" s="549"/>
      <c r="AG562" s="675"/>
      <c r="AH562" s="549"/>
      <c r="AI562" s="675"/>
      <c r="AJ562" s="549"/>
      <c r="AK562" s="675"/>
      <c r="AL562" s="549"/>
      <c r="AM562" s="675"/>
      <c r="AN562" s="549"/>
      <c r="AO562" s="675"/>
      <c r="AP562" s="549"/>
      <c r="AQ562" s="675"/>
      <c r="AR562" s="549"/>
      <c r="AS562" s="675"/>
      <c r="AT562" s="549"/>
      <c r="AU562" s="675"/>
      <c r="AV562" s="549"/>
      <c r="AW562" s="675"/>
      <c r="AX562" s="549"/>
      <c r="AY562" s="675"/>
      <c r="AZ562" s="549"/>
      <c r="BA562" s="675"/>
      <c r="BB562" s="549"/>
      <c r="BC562" s="675"/>
      <c r="BD562" s="549"/>
      <c r="BE562" s="675"/>
      <c r="BF562" s="549"/>
      <c r="BG562" s="675"/>
      <c r="BH562" s="549"/>
      <c r="BI562" s="675"/>
      <c r="BJ562" s="549"/>
      <c r="BK562" s="675"/>
      <c r="BL562" s="549"/>
      <c r="BM562" s="675"/>
      <c r="BN562" s="549"/>
      <c r="BO562" s="675"/>
      <c r="BP562" s="549"/>
      <c r="BQ562" s="675"/>
      <c r="BR562" s="549"/>
      <c r="BS562" s="675"/>
      <c r="BT562" s="549"/>
      <c r="BU562" s="675"/>
      <c r="BV562" s="549"/>
      <c r="BW562" s="675"/>
      <c r="BX562" s="549"/>
      <c r="BY562" s="675"/>
      <c r="BZ562" s="549"/>
      <c r="CA562" s="675"/>
      <c r="CB562" s="549"/>
      <c r="CC562" s="675"/>
      <c r="CD562" s="549"/>
      <c r="CE562" s="675"/>
      <c r="CF562" s="549"/>
      <c r="CG562" s="675"/>
      <c r="CH562" s="549"/>
      <c r="CI562" s="675"/>
      <c r="CJ562" s="549"/>
      <c r="CK562" s="675"/>
      <c r="CL562" s="549"/>
      <c r="CM562" s="675"/>
      <c r="CN562" s="549"/>
      <c r="CO562" s="675"/>
      <c r="CP562" s="549"/>
      <c r="CQ562" s="675"/>
      <c r="CR562" s="549"/>
      <c r="CS562" s="675"/>
      <c r="CT562" s="549"/>
      <c r="CU562" s="675"/>
      <c r="CV562" s="549"/>
      <c r="CW562" s="675"/>
      <c r="CX562" s="549"/>
      <c r="CY562" s="675"/>
      <c r="CZ562" s="549"/>
      <c r="DA562" s="675"/>
      <c r="DB562" s="549"/>
      <c r="DC562" s="675"/>
      <c r="DD562" s="549"/>
      <c r="DE562" s="675"/>
      <c r="DF562" s="549"/>
      <c r="DG562" s="675"/>
      <c r="DH562" s="549"/>
      <c r="DI562" s="675"/>
      <c r="DJ562" s="549"/>
      <c r="DK562" s="675"/>
      <c r="DL562" s="549"/>
      <c r="DM562" s="675"/>
      <c r="DN562" s="549"/>
      <c r="DO562" s="675"/>
      <c r="DP562" s="549"/>
      <c r="DQ562" s="675"/>
      <c r="DR562" s="549"/>
      <c r="DS562" s="675"/>
      <c r="DT562" s="549"/>
      <c r="DU562" s="675"/>
      <c r="DV562" s="549"/>
      <c r="DW562" s="675"/>
      <c r="DX562" s="549"/>
      <c r="DY562" s="675"/>
      <c r="DZ562" s="549"/>
      <c r="EA562" s="675"/>
      <c r="EB562" s="549"/>
      <c r="EC562" s="675"/>
      <c r="ED562" s="549"/>
      <c r="EE562" s="675"/>
      <c r="EF562" s="549"/>
      <c r="EG562" s="675"/>
      <c r="EH562" s="549"/>
      <c r="EI562" s="675"/>
      <c r="EJ562" s="549"/>
      <c r="EK562" s="675"/>
      <c r="EL562" s="549"/>
      <c r="EM562" s="675"/>
      <c r="EN562" s="549"/>
      <c r="EO562" s="675"/>
      <c r="EP562" s="549"/>
      <c r="EQ562" s="675"/>
      <c r="ER562" s="549"/>
      <c r="ES562" s="675"/>
      <c r="ET562" s="549"/>
      <c r="EU562" s="675"/>
      <c r="EV562" s="549"/>
      <c r="EW562" s="675"/>
      <c r="EX562" s="549"/>
      <c r="EY562" s="675"/>
      <c r="EZ562" s="549"/>
      <c r="FA562" s="675"/>
      <c r="FB562" s="549"/>
      <c r="FC562" s="675"/>
      <c r="FD562" s="549"/>
      <c r="FE562" s="675"/>
      <c r="FF562" s="549"/>
      <c r="FG562" s="675"/>
      <c r="FH562" s="549"/>
      <c r="FI562" s="675"/>
      <c r="FJ562" s="549"/>
      <c r="FK562" s="675"/>
      <c r="FL562" s="549"/>
      <c r="FM562" s="675"/>
      <c r="FN562" s="549"/>
      <c r="FO562" s="675"/>
      <c r="FP562" s="549"/>
      <c r="FQ562" s="675"/>
      <c r="FR562" s="549"/>
      <c r="FS562" s="675"/>
      <c r="FT562" s="549"/>
      <c r="FU562" s="675"/>
      <c r="FV562" s="549"/>
      <c r="FW562" s="675"/>
      <c r="FX562" s="549"/>
      <c r="FY562" s="675"/>
      <c r="FZ562" s="549"/>
      <c r="GA562" s="675"/>
      <c r="GB562" s="549"/>
      <c r="GC562" s="675"/>
      <c r="GD562" s="549"/>
      <c r="GE562" s="675"/>
      <c r="GF562" s="549"/>
      <c r="GG562" s="675"/>
      <c r="GH562" s="549"/>
      <c r="GI562" s="675"/>
      <c r="GJ562" s="549"/>
      <c r="GK562" s="675"/>
      <c r="GL562" s="549"/>
      <c r="GM562" s="675"/>
      <c r="GN562" s="549"/>
      <c r="GO562" s="675"/>
      <c r="GP562" s="549"/>
      <c r="GQ562" s="675"/>
      <c r="GR562" s="74"/>
      <c r="GS562" s="74"/>
      <c r="GT562" s="568"/>
      <c r="GU562" s="275"/>
      <c r="GV562" s="275"/>
      <c r="GW562" s="588"/>
      <c r="GX562" s="588"/>
      <c r="GY562" s="275"/>
      <c r="GZ562" s="275"/>
      <c r="HA562" s="275"/>
      <c r="HB562" s="275"/>
      <c r="HC562" s="275"/>
      <c r="HD562" s="275"/>
      <c r="HE562" s="275"/>
      <c r="HF562" s="275"/>
      <c r="HG562" s="74"/>
      <c r="HH562" s="89"/>
      <c r="HI562" s="817"/>
      <c r="HJ562" s="89"/>
      <c r="HK562" s="817"/>
      <c r="HL562" s="89"/>
      <c r="HM562" s="817"/>
      <c r="HN562" s="89"/>
      <c r="HO562" s="817"/>
      <c r="HP562" s="89"/>
      <c r="HQ562" s="817"/>
      <c r="HR562" s="89"/>
      <c r="HS562" s="817"/>
      <c r="HT562" s="89"/>
      <c r="HU562" s="817"/>
      <c r="HV562" s="89"/>
      <c r="HW562" s="817"/>
      <c r="HX562" s="89"/>
      <c r="HY562" s="817"/>
      <c r="HZ562" s="89"/>
      <c r="IA562" s="817"/>
      <c r="IB562" s="89"/>
      <c r="IC562" s="817"/>
      <c r="ID562" s="89"/>
      <c r="IE562" s="817"/>
      <c r="IF562" s="841"/>
      <c r="IG562" s="263"/>
      <c r="IH562" s="842"/>
      <c r="II562" s="89"/>
      <c r="IJ562" s="89"/>
      <c r="IK562" s="89"/>
      <c r="IL562" s="89"/>
      <c r="IM562" s="89"/>
      <c r="IN562" s="89"/>
      <c r="IO562" s="89"/>
      <c r="IP562" s="89"/>
      <c r="IQ562" s="89"/>
      <c r="IR562" s="89"/>
      <c r="IS562" s="89"/>
      <c r="IT562" s="89"/>
      <c r="IU562" s="89"/>
      <c r="IV562" s="89"/>
      <c r="IW562" s="89"/>
      <c r="IX562" s="89"/>
      <c r="IY562" s="89"/>
      <c r="IZ562" s="89"/>
      <c r="JA562" s="89"/>
      <c r="JB562" s="89"/>
      <c r="JC562" s="89"/>
      <c r="JD562" s="89"/>
      <c r="JE562" s="89"/>
      <c r="JF562" s="89"/>
      <c r="JG562" s="89"/>
      <c r="JH562" s="89"/>
      <c r="JI562" s="89"/>
      <c r="JJ562" s="89"/>
      <c r="JK562" s="89"/>
      <c r="JL562" s="89"/>
      <c r="JM562" s="89"/>
      <c r="JN562" s="89"/>
      <c r="JO562" s="89"/>
      <c r="JP562" s="89"/>
      <c r="JQ562" s="89"/>
      <c r="JR562" s="89"/>
      <c r="JS562" s="74"/>
      <c r="JT562" s="382"/>
      <c r="JU562" s="665"/>
      <c r="JV562" s="524"/>
      <c r="JW562" s="525"/>
      <c r="JX562" s="549"/>
      <c r="JY562" s="549"/>
      <c r="JZ562" s="581">
        <f t="shared" si="12201"/>
        <v>0</v>
      </c>
      <c r="KA562" s="581">
        <f t="shared" si="12202"/>
        <v>0</v>
      </c>
      <c r="KB562" s="549">
        <f t="shared" si="12194"/>
        <v>0</v>
      </c>
      <c r="KC562" s="709">
        <f t="shared" si="12200"/>
        <v>0</v>
      </c>
      <c r="KD562" s="36"/>
      <c r="KE562" s="36"/>
      <c r="KF562" s="36"/>
      <c r="KG562" s="36"/>
      <c r="KH562" s="36"/>
      <c r="KI562" s="36"/>
      <c r="KJ562" s="36"/>
      <c r="KK562" s="36"/>
    </row>
    <row r="563" spans="1:297" s="10" customFormat="1" ht="12.75" hidden="1" customHeight="1">
      <c r="A563" s="80" t="s">
        <v>878</v>
      </c>
      <c r="B563" s="77"/>
      <c r="C563" s="74">
        <f>C564</f>
        <v>0</v>
      </c>
      <c r="D563" s="549">
        <f t="shared" ref="D563:E563" si="13086">SUM(D564:D565)</f>
        <v>0</v>
      </c>
      <c r="E563" s="675">
        <f t="shared" si="13086"/>
        <v>0</v>
      </c>
      <c r="F563" s="549">
        <f t="shared" ref="F563:G563" si="13087">SUM(F564:F565)</f>
        <v>0</v>
      </c>
      <c r="G563" s="675">
        <f t="shared" si="13087"/>
        <v>0</v>
      </c>
      <c r="H563" s="549">
        <f t="shared" ref="H563:I563" si="13088">SUM(H564:H565)</f>
        <v>0</v>
      </c>
      <c r="I563" s="675">
        <f t="shared" si="13088"/>
        <v>0</v>
      </c>
      <c r="J563" s="549">
        <f t="shared" ref="J563:K563" si="13089">SUM(J564:J565)</f>
        <v>0</v>
      </c>
      <c r="K563" s="675">
        <f t="shared" si="13089"/>
        <v>0</v>
      </c>
      <c r="L563" s="549">
        <f t="shared" ref="L563:M563" si="13090">SUM(L564:L565)</f>
        <v>0</v>
      </c>
      <c r="M563" s="675">
        <f t="shared" si="13090"/>
        <v>0</v>
      </c>
      <c r="N563" s="549">
        <f t="shared" ref="N563:O563" si="13091">SUM(N564:N565)</f>
        <v>0</v>
      </c>
      <c r="O563" s="675">
        <f t="shared" si="13091"/>
        <v>0</v>
      </c>
      <c r="P563" s="549">
        <f t="shared" ref="P563:Q563" si="13092">SUM(P564:P565)</f>
        <v>0</v>
      </c>
      <c r="Q563" s="675">
        <f t="shared" si="13092"/>
        <v>0</v>
      </c>
      <c r="R563" s="549">
        <f t="shared" ref="R563:S563" si="13093">SUM(R564:R565)</f>
        <v>0</v>
      </c>
      <c r="S563" s="675">
        <f t="shared" si="13093"/>
        <v>0</v>
      </c>
      <c r="T563" s="549">
        <f t="shared" ref="T563:U563" si="13094">SUM(T564:T565)</f>
        <v>0</v>
      </c>
      <c r="U563" s="675">
        <f t="shared" si="13094"/>
        <v>0</v>
      </c>
      <c r="V563" s="549">
        <f t="shared" ref="V563:W563" si="13095">SUM(V564:V565)</f>
        <v>0</v>
      </c>
      <c r="W563" s="675">
        <f t="shared" si="13095"/>
        <v>0</v>
      </c>
      <c r="X563" s="549">
        <f t="shared" ref="X563:Y563" si="13096">SUM(X564:X565)</f>
        <v>0</v>
      </c>
      <c r="Y563" s="675">
        <f t="shared" si="13096"/>
        <v>0</v>
      </c>
      <c r="Z563" s="549">
        <f t="shared" ref="Z563:AA563" si="13097">SUM(Z564:Z565)</f>
        <v>0</v>
      </c>
      <c r="AA563" s="675">
        <f t="shared" si="13097"/>
        <v>0</v>
      </c>
      <c r="AB563" s="549">
        <f t="shared" ref="AB563:AC563" si="13098">SUM(AB564:AB565)</f>
        <v>0</v>
      </c>
      <c r="AC563" s="675">
        <f t="shared" si="13098"/>
        <v>0</v>
      </c>
      <c r="AD563" s="549">
        <f t="shared" ref="AD563:AK563" si="13099">SUM(AD564:AD565)</f>
        <v>0</v>
      </c>
      <c r="AE563" s="675">
        <f t="shared" si="13099"/>
        <v>0</v>
      </c>
      <c r="AF563" s="549">
        <f t="shared" si="13099"/>
        <v>0</v>
      </c>
      <c r="AG563" s="675">
        <f t="shared" si="13099"/>
        <v>0</v>
      </c>
      <c r="AH563" s="549">
        <f t="shared" si="13099"/>
        <v>0</v>
      </c>
      <c r="AI563" s="675">
        <f t="shared" si="13099"/>
        <v>0</v>
      </c>
      <c r="AJ563" s="549">
        <f t="shared" si="13099"/>
        <v>0</v>
      </c>
      <c r="AK563" s="675">
        <f t="shared" si="13099"/>
        <v>0</v>
      </c>
      <c r="AL563" s="549">
        <f t="shared" ref="AL563:AM563" si="13100">SUM(AL564:AL565)</f>
        <v>0</v>
      </c>
      <c r="AM563" s="675">
        <f t="shared" si="13100"/>
        <v>0</v>
      </c>
      <c r="AN563" s="549">
        <f t="shared" ref="AN563:AS563" si="13101">SUM(AN564:AN565)</f>
        <v>0</v>
      </c>
      <c r="AO563" s="675">
        <f t="shared" si="13101"/>
        <v>0</v>
      </c>
      <c r="AP563" s="549">
        <f t="shared" si="13101"/>
        <v>0</v>
      </c>
      <c r="AQ563" s="675">
        <f t="shared" si="13101"/>
        <v>0</v>
      </c>
      <c r="AR563" s="549">
        <f t="shared" si="13101"/>
        <v>0</v>
      </c>
      <c r="AS563" s="675">
        <f t="shared" si="13101"/>
        <v>0</v>
      </c>
      <c r="AT563" s="549">
        <f t="shared" ref="AT563:AU563" si="13102">SUM(AT564:AT565)</f>
        <v>0</v>
      </c>
      <c r="AU563" s="675">
        <f t="shared" si="13102"/>
        <v>0</v>
      </c>
      <c r="AV563" s="549">
        <f t="shared" ref="AV563:AW563" si="13103">SUM(AV564:AV565)</f>
        <v>0</v>
      </c>
      <c r="AW563" s="675">
        <f t="shared" si="13103"/>
        <v>0</v>
      </c>
      <c r="AX563" s="549">
        <f t="shared" ref="AX563:AY563" si="13104">SUM(AX564:AX565)</f>
        <v>0</v>
      </c>
      <c r="AY563" s="675">
        <f t="shared" si="13104"/>
        <v>0</v>
      </c>
      <c r="AZ563" s="549">
        <f t="shared" ref="AZ563:BA563" si="13105">SUM(AZ564:AZ565)</f>
        <v>0</v>
      </c>
      <c r="BA563" s="675">
        <f t="shared" si="13105"/>
        <v>0</v>
      </c>
      <c r="BB563" s="549">
        <f t="shared" ref="BB563:BC563" si="13106">SUM(BB564:BB565)</f>
        <v>0</v>
      </c>
      <c r="BC563" s="675">
        <f t="shared" si="13106"/>
        <v>0</v>
      </c>
      <c r="BD563" s="549">
        <f t="shared" ref="BD563:BE563" si="13107">SUM(BD564:BD565)</f>
        <v>0</v>
      </c>
      <c r="BE563" s="675">
        <f t="shared" si="13107"/>
        <v>0</v>
      </c>
      <c r="BF563" s="549">
        <f t="shared" ref="BF563:BG563" si="13108">SUM(BF564:BF565)</f>
        <v>0</v>
      </c>
      <c r="BG563" s="675">
        <f t="shared" si="13108"/>
        <v>0</v>
      </c>
      <c r="BH563" s="549">
        <f t="shared" ref="BH563:BI563" si="13109">SUM(BH564:BH565)</f>
        <v>0</v>
      </c>
      <c r="BI563" s="675">
        <f t="shared" si="13109"/>
        <v>0</v>
      </c>
      <c r="BJ563" s="549">
        <f t="shared" ref="BJ563:BK563" si="13110">SUM(BJ564:BJ565)</f>
        <v>0</v>
      </c>
      <c r="BK563" s="675">
        <f t="shared" si="13110"/>
        <v>0</v>
      </c>
      <c r="BL563" s="549">
        <f t="shared" ref="BL563:BS563" si="13111">SUM(BL564:BL565)</f>
        <v>0</v>
      </c>
      <c r="BM563" s="675">
        <f t="shared" si="13111"/>
        <v>0</v>
      </c>
      <c r="BN563" s="549">
        <f t="shared" si="13111"/>
        <v>0</v>
      </c>
      <c r="BO563" s="675">
        <f t="shared" si="13111"/>
        <v>0</v>
      </c>
      <c r="BP563" s="549">
        <f t="shared" si="13111"/>
        <v>0</v>
      </c>
      <c r="BQ563" s="675">
        <f t="shared" si="13111"/>
        <v>0</v>
      </c>
      <c r="BR563" s="549">
        <f t="shared" si="13111"/>
        <v>0</v>
      </c>
      <c r="BS563" s="675">
        <f t="shared" si="13111"/>
        <v>0</v>
      </c>
      <c r="BT563" s="549">
        <f t="shared" ref="BT563:BU563" si="13112">SUM(BT564:BT565)</f>
        <v>0</v>
      </c>
      <c r="BU563" s="675">
        <f t="shared" si="13112"/>
        <v>0</v>
      </c>
      <c r="BV563" s="549">
        <f t="shared" ref="BV563:BW563" si="13113">SUM(BV564:BV565)</f>
        <v>0</v>
      </c>
      <c r="BW563" s="675">
        <f t="shared" si="13113"/>
        <v>0</v>
      </c>
      <c r="BX563" s="549">
        <f t="shared" ref="BX563:BY563" si="13114">SUM(BX564:BX565)</f>
        <v>0</v>
      </c>
      <c r="BY563" s="675">
        <f t="shared" si="13114"/>
        <v>0</v>
      </c>
      <c r="BZ563" s="549">
        <f t="shared" ref="BZ563:CA563" si="13115">SUM(BZ564:BZ565)</f>
        <v>0</v>
      </c>
      <c r="CA563" s="675">
        <f t="shared" si="13115"/>
        <v>0</v>
      </c>
      <c r="CB563" s="549">
        <f t="shared" ref="CB563:CE563" si="13116">SUM(CB564:CB565)</f>
        <v>0</v>
      </c>
      <c r="CC563" s="675">
        <f t="shared" si="13116"/>
        <v>0</v>
      </c>
      <c r="CD563" s="549">
        <f t="shared" si="13116"/>
        <v>0</v>
      </c>
      <c r="CE563" s="675">
        <f t="shared" si="13116"/>
        <v>0</v>
      </c>
      <c r="CF563" s="549">
        <f t="shared" ref="CF563:CQ563" si="13117">SUM(CF564:CF565)</f>
        <v>0</v>
      </c>
      <c r="CG563" s="675">
        <f t="shared" si="13117"/>
        <v>0</v>
      </c>
      <c r="CH563" s="549">
        <f t="shared" si="13117"/>
        <v>0</v>
      </c>
      <c r="CI563" s="675">
        <f t="shared" si="13117"/>
        <v>0</v>
      </c>
      <c r="CJ563" s="549">
        <f t="shared" si="13117"/>
        <v>0</v>
      </c>
      <c r="CK563" s="675">
        <f t="shared" si="13117"/>
        <v>0</v>
      </c>
      <c r="CL563" s="549">
        <f t="shared" si="13117"/>
        <v>0</v>
      </c>
      <c r="CM563" s="675">
        <f t="shared" si="13117"/>
        <v>0</v>
      </c>
      <c r="CN563" s="549">
        <f t="shared" si="13117"/>
        <v>0</v>
      </c>
      <c r="CO563" s="675">
        <f t="shared" si="13117"/>
        <v>0</v>
      </c>
      <c r="CP563" s="549">
        <f t="shared" si="13117"/>
        <v>0</v>
      </c>
      <c r="CQ563" s="675">
        <f t="shared" si="13117"/>
        <v>0</v>
      </c>
      <c r="CR563" s="549">
        <f t="shared" ref="CR563:CY563" si="13118">SUM(CR564:CR565)</f>
        <v>0</v>
      </c>
      <c r="CS563" s="675">
        <f t="shared" si="13118"/>
        <v>0</v>
      </c>
      <c r="CT563" s="549">
        <f t="shared" si="13118"/>
        <v>0</v>
      </c>
      <c r="CU563" s="675">
        <f t="shared" si="13118"/>
        <v>0</v>
      </c>
      <c r="CV563" s="549">
        <f t="shared" si="13118"/>
        <v>0</v>
      </c>
      <c r="CW563" s="675">
        <f t="shared" si="13118"/>
        <v>0</v>
      </c>
      <c r="CX563" s="549">
        <f t="shared" si="13118"/>
        <v>0</v>
      </c>
      <c r="CY563" s="675">
        <f t="shared" si="13118"/>
        <v>0</v>
      </c>
      <c r="CZ563" s="549">
        <f t="shared" ref="CZ563:DI563" si="13119">SUM(CZ564:CZ565)</f>
        <v>0</v>
      </c>
      <c r="DA563" s="675">
        <f t="shared" si="13119"/>
        <v>0</v>
      </c>
      <c r="DB563" s="549">
        <f t="shared" si="13119"/>
        <v>0</v>
      </c>
      <c r="DC563" s="675">
        <f t="shared" si="13119"/>
        <v>0</v>
      </c>
      <c r="DD563" s="549">
        <f t="shared" si="13119"/>
        <v>0</v>
      </c>
      <c r="DE563" s="675">
        <f t="shared" si="13119"/>
        <v>0</v>
      </c>
      <c r="DF563" s="549">
        <f t="shared" si="13119"/>
        <v>0</v>
      </c>
      <c r="DG563" s="675">
        <f t="shared" si="13119"/>
        <v>0</v>
      </c>
      <c r="DH563" s="549">
        <f t="shared" si="13119"/>
        <v>0</v>
      </c>
      <c r="DI563" s="675">
        <f t="shared" si="13119"/>
        <v>0</v>
      </c>
      <c r="DJ563" s="549">
        <f t="shared" ref="DJ563:DY563" si="13120">SUM(DJ564:DJ565)</f>
        <v>0</v>
      </c>
      <c r="DK563" s="675">
        <f t="shared" si="13120"/>
        <v>0</v>
      </c>
      <c r="DL563" s="549">
        <f t="shared" si="13120"/>
        <v>0</v>
      </c>
      <c r="DM563" s="675">
        <f t="shared" si="13120"/>
        <v>0</v>
      </c>
      <c r="DN563" s="549">
        <f t="shared" si="13120"/>
        <v>0</v>
      </c>
      <c r="DO563" s="675">
        <f t="shared" si="13120"/>
        <v>0</v>
      </c>
      <c r="DP563" s="549">
        <f t="shared" si="13120"/>
        <v>0</v>
      </c>
      <c r="DQ563" s="675">
        <f t="shared" si="13120"/>
        <v>0</v>
      </c>
      <c r="DR563" s="549">
        <f t="shared" si="13120"/>
        <v>0</v>
      </c>
      <c r="DS563" s="675">
        <f t="shared" si="13120"/>
        <v>0</v>
      </c>
      <c r="DT563" s="549">
        <f t="shared" si="13120"/>
        <v>0</v>
      </c>
      <c r="DU563" s="675">
        <f t="shared" si="13120"/>
        <v>0</v>
      </c>
      <c r="DV563" s="549">
        <f t="shared" si="13120"/>
        <v>0</v>
      </c>
      <c r="DW563" s="675">
        <f t="shared" si="13120"/>
        <v>0</v>
      </c>
      <c r="DX563" s="549">
        <f t="shared" si="13120"/>
        <v>0</v>
      </c>
      <c r="DY563" s="675">
        <f t="shared" si="13120"/>
        <v>0</v>
      </c>
      <c r="DZ563" s="549">
        <f t="shared" ref="DZ563:EU563" si="13121">SUM(DZ564:DZ565)</f>
        <v>0</v>
      </c>
      <c r="EA563" s="675">
        <f t="shared" si="13121"/>
        <v>0</v>
      </c>
      <c r="EB563" s="549">
        <f t="shared" si="13121"/>
        <v>0</v>
      </c>
      <c r="EC563" s="675">
        <f t="shared" si="13121"/>
        <v>0</v>
      </c>
      <c r="ED563" s="549">
        <f t="shared" si="13121"/>
        <v>0</v>
      </c>
      <c r="EE563" s="675">
        <f t="shared" si="13121"/>
        <v>0</v>
      </c>
      <c r="EF563" s="549">
        <f t="shared" si="13121"/>
        <v>0</v>
      </c>
      <c r="EG563" s="675">
        <f t="shared" si="13121"/>
        <v>0</v>
      </c>
      <c r="EH563" s="549">
        <f t="shared" ref="EH563:EM563" si="13122">SUM(EH564:EH565)</f>
        <v>0</v>
      </c>
      <c r="EI563" s="675">
        <f t="shared" si="13122"/>
        <v>0</v>
      </c>
      <c r="EJ563" s="549">
        <f t="shared" si="13122"/>
        <v>0</v>
      </c>
      <c r="EK563" s="675">
        <f t="shared" si="13122"/>
        <v>0</v>
      </c>
      <c r="EL563" s="549">
        <f t="shared" si="13122"/>
        <v>0</v>
      </c>
      <c r="EM563" s="675">
        <f t="shared" si="13122"/>
        <v>0</v>
      </c>
      <c r="EN563" s="549">
        <f t="shared" si="13121"/>
        <v>0</v>
      </c>
      <c r="EO563" s="675">
        <f t="shared" si="13121"/>
        <v>0</v>
      </c>
      <c r="EP563" s="549">
        <f t="shared" si="13121"/>
        <v>0</v>
      </c>
      <c r="EQ563" s="675">
        <f t="shared" si="13121"/>
        <v>0</v>
      </c>
      <c r="ER563" s="549">
        <f t="shared" si="13121"/>
        <v>0</v>
      </c>
      <c r="ES563" s="675">
        <f t="shared" si="13121"/>
        <v>0</v>
      </c>
      <c r="ET563" s="549">
        <f t="shared" si="13121"/>
        <v>0</v>
      </c>
      <c r="EU563" s="675">
        <f t="shared" si="13121"/>
        <v>0</v>
      </c>
      <c r="EV563" s="549">
        <f t="shared" ref="EV563:FE563" si="13123">SUM(EV564:EV565)</f>
        <v>0</v>
      </c>
      <c r="EW563" s="675">
        <f t="shared" si="13123"/>
        <v>0</v>
      </c>
      <c r="EX563" s="549">
        <f t="shared" si="13123"/>
        <v>0</v>
      </c>
      <c r="EY563" s="675">
        <f t="shared" si="13123"/>
        <v>0</v>
      </c>
      <c r="EZ563" s="549">
        <f t="shared" si="13123"/>
        <v>0</v>
      </c>
      <c r="FA563" s="675">
        <f t="shared" si="13123"/>
        <v>0</v>
      </c>
      <c r="FB563" s="549">
        <f t="shared" si="13123"/>
        <v>0</v>
      </c>
      <c r="FC563" s="675">
        <f t="shared" si="13123"/>
        <v>0</v>
      </c>
      <c r="FD563" s="549">
        <f t="shared" si="13123"/>
        <v>0</v>
      </c>
      <c r="FE563" s="675">
        <f t="shared" si="13123"/>
        <v>0</v>
      </c>
      <c r="FF563" s="549">
        <f t="shared" ref="FF563:FG563" si="13124">SUM(FF564:FF565)</f>
        <v>0</v>
      </c>
      <c r="FG563" s="675">
        <f t="shared" si="13124"/>
        <v>0</v>
      </c>
      <c r="FH563" s="549">
        <f t="shared" ref="FH563:FI563" si="13125">SUM(FH564:FH565)</f>
        <v>0</v>
      </c>
      <c r="FI563" s="675">
        <f t="shared" si="13125"/>
        <v>0</v>
      </c>
      <c r="FJ563" s="549">
        <f t="shared" ref="FJ563:FK563" si="13126">SUM(FJ564:FJ565)</f>
        <v>0</v>
      </c>
      <c r="FK563" s="675">
        <f t="shared" si="13126"/>
        <v>0</v>
      </c>
      <c r="FL563" s="549">
        <f t="shared" ref="FL563:FM563" si="13127">SUM(FL564:FL565)</f>
        <v>0</v>
      </c>
      <c r="FM563" s="675">
        <f t="shared" si="13127"/>
        <v>0</v>
      </c>
      <c r="FN563" s="549">
        <f t="shared" ref="FN563:FO563" si="13128">SUM(FN564:FN565)</f>
        <v>0</v>
      </c>
      <c r="FO563" s="675">
        <f t="shared" si="13128"/>
        <v>0</v>
      </c>
      <c r="FP563" s="549">
        <f t="shared" ref="FP563:FQ563" si="13129">SUM(FP564:FP565)</f>
        <v>0</v>
      </c>
      <c r="FQ563" s="675">
        <f t="shared" si="13129"/>
        <v>0</v>
      </c>
      <c r="FR563" s="549">
        <f t="shared" ref="FR563:FS563" si="13130">SUM(FR564:FR565)</f>
        <v>0</v>
      </c>
      <c r="FS563" s="675">
        <f t="shared" si="13130"/>
        <v>0</v>
      </c>
      <c r="FT563" s="549">
        <f t="shared" ref="FT563:FU563" si="13131">SUM(FT564:FT565)</f>
        <v>0</v>
      </c>
      <c r="FU563" s="675">
        <f t="shared" si="13131"/>
        <v>0</v>
      </c>
      <c r="FV563" s="549">
        <f t="shared" ref="FV563:GK563" si="13132">SUM(FV564:FV565)</f>
        <v>0</v>
      </c>
      <c r="FW563" s="675">
        <f t="shared" si="13132"/>
        <v>0</v>
      </c>
      <c r="FX563" s="549">
        <f t="shared" si="13132"/>
        <v>0</v>
      </c>
      <c r="FY563" s="675">
        <f t="shared" si="13132"/>
        <v>0</v>
      </c>
      <c r="FZ563" s="549">
        <f t="shared" ref="FZ563:GI563" si="13133">SUM(FZ564:FZ565)</f>
        <v>0</v>
      </c>
      <c r="GA563" s="675">
        <f t="shared" si="13133"/>
        <v>0</v>
      </c>
      <c r="GB563" s="549">
        <f t="shared" si="13133"/>
        <v>0</v>
      </c>
      <c r="GC563" s="675">
        <f t="shared" si="13133"/>
        <v>0</v>
      </c>
      <c r="GD563" s="549">
        <f t="shared" si="13133"/>
        <v>0</v>
      </c>
      <c r="GE563" s="675">
        <f t="shared" si="13133"/>
        <v>0</v>
      </c>
      <c r="GF563" s="549">
        <f t="shared" si="13133"/>
        <v>0</v>
      </c>
      <c r="GG563" s="675">
        <f t="shared" si="13133"/>
        <v>0</v>
      </c>
      <c r="GH563" s="549">
        <f t="shared" si="13133"/>
        <v>0</v>
      </c>
      <c r="GI563" s="675">
        <f t="shared" si="13133"/>
        <v>0</v>
      </c>
      <c r="GJ563" s="549">
        <f t="shared" si="13132"/>
        <v>0</v>
      </c>
      <c r="GK563" s="675">
        <f t="shared" si="13132"/>
        <v>0</v>
      </c>
      <c r="GL563" s="549">
        <f t="shared" ref="GL563:GM563" si="13134">SUM(GL564:GL565)</f>
        <v>0</v>
      </c>
      <c r="GM563" s="675">
        <f t="shared" si="13134"/>
        <v>0</v>
      </c>
      <c r="GN563" s="549">
        <f t="shared" ref="GN563:GO563" si="13135">SUM(GN564:GN565)</f>
        <v>0</v>
      </c>
      <c r="GO563" s="675">
        <f t="shared" si="13135"/>
        <v>0</v>
      </c>
      <c r="GP563" s="549">
        <f t="shared" ref="GP563:IK563" si="13136">SUM(GP564:GP565)</f>
        <v>0</v>
      </c>
      <c r="GQ563" s="675">
        <f t="shared" si="13136"/>
        <v>0</v>
      </c>
      <c r="GR563" s="263">
        <f t="shared" si="13136"/>
        <v>0</v>
      </c>
      <c r="GS563" s="263">
        <f t="shared" si="13136"/>
        <v>0</v>
      </c>
      <c r="GT563" s="549">
        <f t="shared" si="13136"/>
        <v>0</v>
      </c>
      <c r="GU563" s="263">
        <f t="shared" si="13136"/>
        <v>0</v>
      </c>
      <c r="GV563" s="263">
        <f t="shared" si="13136"/>
        <v>0</v>
      </c>
      <c r="GW563" s="549">
        <f t="shared" si="13136"/>
        <v>0</v>
      </c>
      <c r="GX563" s="549">
        <f t="shared" si="13136"/>
        <v>0</v>
      </c>
      <c r="GY563" s="263">
        <f t="shared" si="13136"/>
        <v>0</v>
      </c>
      <c r="GZ563" s="263">
        <f t="shared" si="13136"/>
        <v>0</v>
      </c>
      <c r="HA563" s="263">
        <f t="shared" si="13136"/>
        <v>0</v>
      </c>
      <c r="HB563" s="263">
        <f t="shared" si="13136"/>
        <v>0</v>
      </c>
      <c r="HC563" s="263">
        <f t="shared" si="13136"/>
        <v>0</v>
      </c>
      <c r="HD563" s="263">
        <f t="shared" si="13136"/>
        <v>0</v>
      </c>
      <c r="HE563" s="263">
        <f t="shared" si="13136"/>
        <v>0</v>
      </c>
      <c r="HF563" s="263">
        <f t="shared" si="13136"/>
        <v>0</v>
      </c>
      <c r="HG563" s="263">
        <f>SUM(HG564:HG565)</f>
        <v>0</v>
      </c>
      <c r="HH563" s="263">
        <f t="shared" ref="HH563:HI563" si="13137">SUM(HH564:HH565)</f>
        <v>0</v>
      </c>
      <c r="HI563" s="812">
        <f t="shared" si="13137"/>
        <v>0</v>
      </c>
      <c r="HJ563" s="263">
        <f t="shared" ref="HJ563:HK563" si="13138">SUM(HJ564:HJ565)</f>
        <v>0</v>
      </c>
      <c r="HK563" s="812">
        <f t="shared" si="13138"/>
        <v>0</v>
      </c>
      <c r="HL563" s="263">
        <f t="shared" ref="HL563:HM563" si="13139">SUM(HL564:HL565)</f>
        <v>0</v>
      </c>
      <c r="HM563" s="812">
        <f t="shared" si="13139"/>
        <v>0</v>
      </c>
      <c r="HN563" s="263">
        <f t="shared" ref="HN563:HO563" si="13140">SUM(HN564:HN565)</f>
        <v>0</v>
      </c>
      <c r="HO563" s="812">
        <f t="shared" si="13140"/>
        <v>0</v>
      </c>
      <c r="HP563" s="263">
        <f t="shared" ref="HP563:HQ563" si="13141">SUM(HP564:HP565)</f>
        <v>0</v>
      </c>
      <c r="HQ563" s="812">
        <f t="shared" si="13141"/>
        <v>0</v>
      </c>
      <c r="HR563" s="263">
        <f t="shared" ref="HR563:HS563" si="13142">SUM(HR564:HR565)</f>
        <v>0</v>
      </c>
      <c r="HS563" s="812">
        <f t="shared" si="13142"/>
        <v>0</v>
      </c>
      <c r="HT563" s="263">
        <f t="shared" ref="HT563:HU563" si="13143">SUM(HT564:HT565)</f>
        <v>0</v>
      </c>
      <c r="HU563" s="812">
        <f t="shared" si="13143"/>
        <v>0</v>
      </c>
      <c r="HV563" s="263">
        <f t="shared" ref="HV563:HW563" si="13144">SUM(HV564:HV565)</f>
        <v>0</v>
      </c>
      <c r="HW563" s="812">
        <f t="shared" si="13144"/>
        <v>0</v>
      </c>
      <c r="HX563" s="263">
        <f t="shared" ref="HX563:HY563" si="13145">SUM(HX564:HX565)</f>
        <v>0</v>
      </c>
      <c r="HY563" s="812">
        <f t="shared" si="13145"/>
        <v>0</v>
      </c>
      <c r="HZ563" s="263">
        <f t="shared" ref="HZ563:IA563" si="13146">SUM(HZ564:HZ565)</f>
        <v>0</v>
      </c>
      <c r="IA563" s="812">
        <f t="shared" si="13146"/>
        <v>0</v>
      </c>
      <c r="IB563" s="263">
        <f t="shared" ref="IB563:IC563" si="13147">SUM(IB564:IB565)</f>
        <v>0</v>
      </c>
      <c r="IC563" s="812">
        <f t="shared" si="13147"/>
        <v>0</v>
      </c>
      <c r="ID563" s="263">
        <f t="shared" si="13136"/>
        <v>0</v>
      </c>
      <c r="IE563" s="812">
        <f t="shared" si="13136"/>
        <v>0</v>
      </c>
      <c r="IF563" s="841">
        <f t="shared" si="13136"/>
        <v>0</v>
      </c>
      <c r="IG563" s="263">
        <f t="shared" si="13136"/>
        <v>0</v>
      </c>
      <c r="IH563" s="842">
        <f t="shared" si="13136"/>
        <v>0</v>
      </c>
      <c r="II563" s="263">
        <f t="shared" si="13136"/>
        <v>0</v>
      </c>
      <c r="IJ563" s="263">
        <f t="shared" si="13136"/>
        <v>0</v>
      </c>
      <c r="IK563" s="263">
        <f t="shared" si="13136"/>
        <v>0</v>
      </c>
      <c r="IL563" s="263">
        <f t="shared" ref="IL563:IN563" si="13148">SUM(IL564:IL565)</f>
        <v>0</v>
      </c>
      <c r="IM563" s="263">
        <f t="shared" si="13148"/>
        <v>0</v>
      </c>
      <c r="IN563" s="263">
        <f t="shared" si="13148"/>
        <v>0</v>
      </c>
      <c r="IO563" s="263">
        <f t="shared" ref="IO563:IQ563" si="13149">SUM(IO564:IO565)</f>
        <v>0</v>
      </c>
      <c r="IP563" s="263">
        <f t="shared" si="13149"/>
        <v>0</v>
      </c>
      <c r="IQ563" s="263">
        <f t="shared" si="13149"/>
        <v>0</v>
      </c>
      <c r="IR563" s="263">
        <f t="shared" ref="IR563:IT563" si="13150">SUM(IR564:IR565)</f>
        <v>0</v>
      </c>
      <c r="IS563" s="263">
        <f t="shared" si="13150"/>
        <v>0</v>
      </c>
      <c r="IT563" s="263">
        <f t="shared" si="13150"/>
        <v>0</v>
      </c>
      <c r="IU563" s="263">
        <f t="shared" ref="IU563:IW563" si="13151">SUM(IU564:IU565)</f>
        <v>0</v>
      </c>
      <c r="IV563" s="263">
        <f t="shared" si="13151"/>
        <v>0</v>
      </c>
      <c r="IW563" s="263">
        <f t="shared" si="13151"/>
        <v>0</v>
      </c>
      <c r="IX563" s="263">
        <f t="shared" ref="IX563:IZ563" si="13152">SUM(IX564:IX565)</f>
        <v>0</v>
      </c>
      <c r="IY563" s="263">
        <f t="shared" si="13152"/>
        <v>0</v>
      </c>
      <c r="IZ563" s="263">
        <f t="shared" si="13152"/>
        <v>0</v>
      </c>
      <c r="JA563" s="263">
        <f t="shared" ref="JA563:JC563" si="13153">SUM(JA564:JA565)</f>
        <v>0</v>
      </c>
      <c r="JB563" s="263">
        <f t="shared" si="13153"/>
        <v>0</v>
      </c>
      <c r="JC563" s="263">
        <f t="shared" si="13153"/>
        <v>0</v>
      </c>
      <c r="JD563" s="263">
        <f t="shared" ref="JD563:JF563" si="13154">SUM(JD564:JD565)</f>
        <v>0</v>
      </c>
      <c r="JE563" s="263">
        <f t="shared" si="13154"/>
        <v>0</v>
      </c>
      <c r="JF563" s="263">
        <f t="shared" si="13154"/>
        <v>0</v>
      </c>
      <c r="JG563" s="263">
        <f t="shared" ref="JG563:JI563" si="13155">SUM(JG564:JG565)</f>
        <v>0</v>
      </c>
      <c r="JH563" s="263">
        <f t="shared" si="13155"/>
        <v>0</v>
      </c>
      <c r="JI563" s="263">
        <f t="shared" si="13155"/>
        <v>0</v>
      </c>
      <c r="JJ563" s="263">
        <f t="shared" ref="JJ563:JL563" si="13156">SUM(JJ564:JJ565)</f>
        <v>0</v>
      </c>
      <c r="JK563" s="263">
        <f t="shared" si="13156"/>
        <v>0</v>
      </c>
      <c r="JL563" s="263">
        <f t="shared" si="13156"/>
        <v>0</v>
      </c>
      <c r="JM563" s="263">
        <f t="shared" ref="JM563:JO563" si="13157">SUM(JM564:JM565)</f>
        <v>0</v>
      </c>
      <c r="JN563" s="263">
        <f t="shared" si="13157"/>
        <v>0</v>
      </c>
      <c r="JO563" s="263">
        <f t="shared" si="13157"/>
        <v>0</v>
      </c>
      <c r="JP563" s="263">
        <f t="shared" ref="JP563:JY563" si="13158">SUM(JP564:JP565)</f>
        <v>0</v>
      </c>
      <c r="JQ563" s="263">
        <f t="shared" si="13158"/>
        <v>0</v>
      </c>
      <c r="JR563" s="263">
        <f t="shared" si="13158"/>
        <v>0</v>
      </c>
      <c r="JS563" s="263">
        <f t="shared" si="13158"/>
        <v>0</v>
      </c>
      <c r="JT563" s="382">
        <f t="shared" si="13158"/>
        <v>0</v>
      </c>
      <c r="JU563" s="665"/>
      <c r="JV563" s="524"/>
      <c r="JW563" s="525"/>
      <c r="JX563" s="549">
        <f t="shared" si="13158"/>
        <v>0</v>
      </c>
      <c r="JY563" s="549">
        <f t="shared" si="13158"/>
        <v>0</v>
      </c>
      <c r="JZ563" s="581">
        <f t="shared" si="12201"/>
        <v>0</v>
      </c>
      <c r="KA563" s="581">
        <f t="shared" si="12202"/>
        <v>0</v>
      </c>
      <c r="KB563" s="549">
        <f t="shared" si="12194"/>
        <v>0</v>
      </c>
      <c r="KC563" s="709">
        <f t="shared" si="12200"/>
        <v>0</v>
      </c>
      <c r="KD563" s="36"/>
      <c r="KE563" s="36"/>
      <c r="KF563" s="36"/>
      <c r="KG563" s="36"/>
      <c r="KH563" s="36"/>
      <c r="KI563" s="36"/>
      <c r="KJ563" s="36"/>
      <c r="KK563" s="36"/>
    </row>
    <row r="564" spans="1:297" s="10" customFormat="1" ht="12.75" hidden="1" customHeight="1">
      <c r="A564" s="86" t="s">
        <v>1092</v>
      </c>
      <c r="B564" s="77"/>
      <c r="C564" s="74">
        <v>0</v>
      </c>
      <c r="D564" s="549">
        <v>0</v>
      </c>
      <c r="E564" s="675">
        <v>0</v>
      </c>
      <c r="F564" s="549">
        <v>0</v>
      </c>
      <c r="G564" s="675">
        <v>0</v>
      </c>
      <c r="H564" s="549">
        <v>0</v>
      </c>
      <c r="I564" s="675">
        <v>0</v>
      </c>
      <c r="J564" s="549">
        <v>0</v>
      </c>
      <c r="K564" s="675">
        <v>0</v>
      </c>
      <c r="L564" s="549">
        <v>0</v>
      </c>
      <c r="M564" s="675">
        <v>0</v>
      </c>
      <c r="N564" s="549">
        <v>0</v>
      </c>
      <c r="O564" s="675">
        <v>0</v>
      </c>
      <c r="P564" s="549">
        <v>0</v>
      </c>
      <c r="Q564" s="675">
        <v>0</v>
      </c>
      <c r="R564" s="549">
        <v>0</v>
      </c>
      <c r="S564" s="675">
        <v>0</v>
      </c>
      <c r="T564" s="549">
        <v>0</v>
      </c>
      <c r="U564" s="675">
        <v>0</v>
      </c>
      <c r="V564" s="549">
        <v>0</v>
      </c>
      <c r="W564" s="675">
        <v>0</v>
      </c>
      <c r="X564" s="549">
        <v>0</v>
      </c>
      <c r="Y564" s="675">
        <v>0</v>
      </c>
      <c r="Z564" s="549">
        <v>0</v>
      </c>
      <c r="AA564" s="675">
        <v>0</v>
      </c>
      <c r="AB564" s="549">
        <v>0</v>
      </c>
      <c r="AC564" s="675">
        <v>0</v>
      </c>
      <c r="AD564" s="549">
        <v>0</v>
      </c>
      <c r="AE564" s="675">
        <v>0</v>
      </c>
      <c r="AF564" s="549">
        <v>0</v>
      </c>
      <c r="AG564" s="675">
        <v>0</v>
      </c>
      <c r="AH564" s="549">
        <v>0</v>
      </c>
      <c r="AI564" s="675">
        <v>0</v>
      </c>
      <c r="AJ564" s="549">
        <v>0</v>
      </c>
      <c r="AK564" s="675">
        <v>0</v>
      </c>
      <c r="AL564" s="549">
        <v>0</v>
      </c>
      <c r="AM564" s="675">
        <v>0</v>
      </c>
      <c r="AN564" s="549">
        <v>0</v>
      </c>
      <c r="AO564" s="675">
        <v>0</v>
      </c>
      <c r="AP564" s="549">
        <v>0</v>
      </c>
      <c r="AQ564" s="675">
        <v>0</v>
      </c>
      <c r="AR564" s="549">
        <v>0</v>
      </c>
      <c r="AS564" s="675">
        <v>0</v>
      </c>
      <c r="AT564" s="549">
        <v>0</v>
      </c>
      <c r="AU564" s="675">
        <v>0</v>
      </c>
      <c r="AV564" s="549">
        <v>0</v>
      </c>
      <c r="AW564" s="675">
        <v>0</v>
      </c>
      <c r="AX564" s="549">
        <v>0</v>
      </c>
      <c r="AY564" s="675">
        <v>0</v>
      </c>
      <c r="AZ564" s="549">
        <v>0</v>
      </c>
      <c r="BA564" s="675">
        <v>0</v>
      </c>
      <c r="BB564" s="549">
        <v>0</v>
      </c>
      <c r="BC564" s="675">
        <v>0</v>
      </c>
      <c r="BD564" s="549">
        <v>0</v>
      </c>
      <c r="BE564" s="675">
        <v>0</v>
      </c>
      <c r="BF564" s="549">
        <v>0</v>
      </c>
      <c r="BG564" s="675">
        <v>0</v>
      </c>
      <c r="BH564" s="549">
        <v>0</v>
      </c>
      <c r="BI564" s="675">
        <v>0</v>
      </c>
      <c r="BJ564" s="549">
        <v>0</v>
      </c>
      <c r="BK564" s="675">
        <v>0</v>
      </c>
      <c r="BL564" s="549">
        <v>0</v>
      </c>
      <c r="BM564" s="675">
        <v>0</v>
      </c>
      <c r="BN564" s="549">
        <v>0</v>
      </c>
      <c r="BO564" s="675">
        <v>0</v>
      </c>
      <c r="BP564" s="549">
        <v>0</v>
      </c>
      <c r="BQ564" s="675">
        <v>0</v>
      </c>
      <c r="BR564" s="549">
        <v>0</v>
      </c>
      <c r="BS564" s="675">
        <v>0</v>
      </c>
      <c r="BT564" s="549">
        <v>0</v>
      </c>
      <c r="BU564" s="675">
        <v>0</v>
      </c>
      <c r="BV564" s="549">
        <v>0</v>
      </c>
      <c r="BW564" s="675">
        <v>0</v>
      </c>
      <c r="BX564" s="549">
        <v>0</v>
      </c>
      <c r="BY564" s="675">
        <v>0</v>
      </c>
      <c r="BZ564" s="549">
        <v>0</v>
      </c>
      <c r="CA564" s="675">
        <v>0</v>
      </c>
      <c r="CB564" s="549">
        <v>0</v>
      </c>
      <c r="CC564" s="675">
        <v>0</v>
      </c>
      <c r="CD564" s="549">
        <v>0</v>
      </c>
      <c r="CE564" s="675">
        <v>0</v>
      </c>
      <c r="CF564" s="549">
        <v>0</v>
      </c>
      <c r="CG564" s="675">
        <v>0</v>
      </c>
      <c r="CH564" s="549">
        <v>0</v>
      </c>
      <c r="CI564" s="675">
        <v>0</v>
      </c>
      <c r="CJ564" s="549">
        <v>0</v>
      </c>
      <c r="CK564" s="675">
        <v>0</v>
      </c>
      <c r="CL564" s="549">
        <v>0</v>
      </c>
      <c r="CM564" s="675">
        <v>0</v>
      </c>
      <c r="CN564" s="549">
        <v>0</v>
      </c>
      <c r="CO564" s="675">
        <v>0</v>
      </c>
      <c r="CP564" s="549">
        <v>0</v>
      </c>
      <c r="CQ564" s="675">
        <v>0</v>
      </c>
      <c r="CR564" s="549">
        <v>0</v>
      </c>
      <c r="CS564" s="675">
        <v>0</v>
      </c>
      <c r="CT564" s="549">
        <v>0</v>
      </c>
      <c r="CU564" s="675">
        <v>0</v>
      </c>
      <c r="CV564" s="549">
        <v>0</v>
      </c>
      <c r="CW564" s="675">
        <v>0</v>
      </c>
      <c r="CX564" s="549">
        <v>0</v>
      </c>
      <c r="CY564" s="675">
        <v>0</v>
      </c>
      <c r="CZ564" s="549">
        <v>0</v>
      </c>
      <c r="DA564" s="675">
        <v>0</v>
      </c>
      <c r="DB564" s="549">
        <v>0</v>
      </c>
      <c r="DC564" s="675">
        <v>0</v>
      </c>
      <c r="DD564" s="549">
        <v>0</v>
      </c>
      <c r="DE564" s="675">
        <v>0</v>
      </c>
      <c r="DF564" s="549">
        <v>0</v>
      </c>
      <c r="DG564" s="675">
        <v>0</v>
      </c>
      <c r="DH564" s="549">
        <v>0</v>
      </c>
      <c r="DI564" s="675">
        <v>0</v>
      </c>
      <c r="DJ564" s="549">
        <v>0</v>
      </c>
      <c r="DK564" s="675">
        <v>0</v>
      </c>
      <c r="DL564" s="549">
        <v>0</v>
      </c>
      <c r="DM564" s="675">
        <v>0</v>
      </c>
      <c r="DN564" s="549">
        <v>0</v>
      </c>
      <c r="DO564" s="675">
        <v>0</v>
      </c>
      <c r="DP564" s="549">
        <v>0</v>
      </c>
      <c r="DQ564" s="675">
        <v>0</v>
      </c>
      <c r="DR564" s="549">
        <v>0</v>
      </c>
      <c r="DS564" s="675">
        <v>0</v>
      </c>
      <c r="DT564" s="549">
        <v>0</v>
      </c>
      <c r="DU564" s="675">
        <v>0</v>
      </c>
      <c r="DV564" s="549">
        <v>0</v>
      </c>
      <c r="DW564" s="675">
        <v>0</v>
      </c>
      <c r="DX564" s="549">
        <v>0</v>
      </c>
      <c r="DY564" s="675">
        <v>0</v>
      </c>
      <c r="DZ564" s="549">
        <v>0</v>
      </c>
      <c r="EA564" s="675">
        <v>0</v>
      </c>
      <c r="EB564" s="549">
        <v>0</v>
      </c>
      <c r="EC564" s="675">
        <v>0</v>
      </c>
      <c r="ED564" s="549">
        <v>0</v>
      </c>
      <c r="EE564" s="675">
        <v>0</v>
      </c>
      <c r="EF564" s="549">
        <v>0</v>
      </c>
      <c r="EG564" s="675">
        <v>0</v>
      </c>
      <c r="EH564" s="549">
        <v>0</v>
      </c>
      <c r="EI564" s="675">
        <v>0</v>
      </c>
      <c r="EJ564" s="549">
        <v>0</v>
      </c>
      <c r="EK564" s="675">
        <v>0</v>
      </c>
      <c r="EL564" s="549">
        <v>0</v>
      </c>
      <c r="EM564" s="675">
        <v>0</v>
      </c>
      <c r="EN564" s="549">
        <v>0</v>
      </c>
      <c r="EO564" s="675">
        <v>0</v>
      </c>
      <c r="EP564" s="549">
        <v>0</v>
      </c>
      <c r="EQ564" s="675">
        <v>0</v>
      </c>
      <c r="ER564" s="549">
        <v>0</v>
      </c>
      <c r="ES564" s="675">
        <v>0</v>
      </c>
      <c r="ET564" s="549">
        <v>0</v>
      </c>
      <c r="EU564" s="675">
        <v>0</v>
      </c>
      <c r="EV564" s="549">
        <v>0</v>
      </c>
      <c r="EW564" s="675">
        <v>0</v>
      </c>
      <c r="EX564" s="549">
        <v>0</v>
      </c>
      <c r="EY564" s="675">
        <v>0</v>
      </c>
      <c r="EZ564" s="549">
        <v>0</v>
      </c>
      <c r="FA564" s="675">
        <v>0</v>
      </c>
      <c r="FB564" s="549">
        <v>0</v>
      </c>
      <c r="FC564" s="675">
        <v>0</v>
      </c>
      <c r="FD564" s="549">
        <v>0</v>
      </c>
      <c r="FE564" s="675">
        <v>0</v>
      </c>
      <c r="FF564" s="549">
        <v>0</v>
      </c>
      <c r="FG564" s="675">
        <v>0</v>
      </c>
      <c r="FH564" s="549">
        <v>0</v>
      </c>
      <c r="FI564" s="675">
        <v>0</v>
      </c>
      <c r="FJ564" s="549">
        <v>0</v>
      </c>
      <c r="FK564" s="675">
        <v>0</v>
      </c>
      <c r="FL564" s="549">
        <v>0</v>
      </c>
      <c r="FM564" s="675">
        <v>0</v>
      </c>
      <c r="FN564" s="549">
        <v>0</v>
      </c>
      <c r="FO564" s="675">
        <v>0</v>
      </c>
      <c r="FP564" s="549">
        <v>0</v>
      </c>
      <c r="FQ564" s="675">
        <v>0</v>
      </c>
      <c r="FR564" s="549">
        <v>0</v>
      </c>
      <c r="FS564" s="675">
        <v>0</v>
      </c>
      <c r="FT564" s="549">
        <v>0</v>
      </c>
      <c r="FU564" s="675">
        <v>0</v>
      </c>
      <c r="FV564" s="549">
        <v>0</v>
      </c>
      <c r="FW564" s="675">
        <v>0</v>
      </c>
      <c r="FX564" s="549">
        <v>0</v>
      </c>
      <c r="FY564" s="675">
        <v>0</v>
      </c>
      <c r="FZ564" s="549">
        <v>0</v>
      </c>
      <c r="GA564" s="675">
        <v>0</v>
      </c>
      <c r="GB564" s="549">
        <v>0</v>
      </c>
      <c r="GC564" s="675">
        <v>0</v>
      </c>
      <c r="GD564" s="549">
        <v>0</v>
      </c>
      <c r="GE564" s="675">
        <v>0</v>
      </c>
      <c r="GF564" s="549">
        <v>0</v>
      </c>
      <c r="GG564" s="675">
        <v>0</v>
      </c>
      <c r="GH564" s="549">
        <v>0</v>
      </c>
      <c r="GI564" s="675">
        <v>0</v>
      </c>
      <c r="GJ564" s="549">
        <v>0</v>
      </c>
      <c r="GK564" s="675">
        <v>0</v>
      </c>
      <c r="GL564" s="549">
        <v>0</v>
      </c>
      <c r="GM564" s="675">
        <v>0</v>
      </c>
      <c r="GN564" s="549">
        <v>0</v>
      </c>
      <c r="GO564" s="675">
        <v>0</v>
      </c>
      <c r="GP564" s="549">
        <f>+D564+F564+H564+J564+L564+N564+P564+R564+T564+V564+X564+Z564+AB564+AD564+AH564+AJ564+AL564+AN564+AP564+AR564+AT564+AV564+AX564+AZ564+BB564+BD564+BF564+BH564+BJ564+BL564+BN564+BP564+BR564+BT564+BV564+BX564+BZ564+CB564+CD564+CF564+CH564+CJ564+CL564+CN564+CP564+CR564+CT564+CV564+CX564+CZ564+DB564+DD564+DF564+DH564+DT564+EX564+DJ564+DL564+DN564+DP564+DR564+EJ564+EB564+DZ564+DX564+DV564+ED564+EF564+EH564+EL564+EN564+EP564+EV564+ET564+ER564+EZ564+FB564+FD564+GL564+FF564+FJ564+FL564+GJ564+FT564+FR564+FP564+FN564+FH564</f>
        <v>0</v>
      </c>
      <c r="GQ564" s="675">
        <f>+E564+G564+I564+K564+M564+O564+Q564+S564+U564+W564+Y564+AA564+AC564+AE564+AI564+AK564+AM564+AO564+AQ564+AS564+AU564+AW564+AY564+BA564+BC564+BE564+BG564+BI564+BK564+BM564+BO564+BQ564+BS564+BU564+BW564+BY564+CA564+CC564+CE564+CG564+CI564+CK564+CM564+CO564+CQ564+CS564+CU564+CW564+CY564+DA564+DC564+DE564+DG564+DI564+DU564+EY564+DK564+DM564+DO564+DQ564+DS564+EK564+EC564+EA564+DY564+DW564+EI564+EG564+EE564+EM564+EO564+EQ564+EW564+EU564+ES564+FA564+FC564+FE564+GM564+FG564+FK564+FM564+FO564+FQ564+FS564+FU564+GK564+FI564</f>
        <v>0</v>
      </c>
      <c r="GR564" s="74">
        <f>C564+GP564+GQ564</f>
        <v>0</v>
      </c>
      <c r="GS564" s="74">
        <f t="shared" ref="GS564" si="13159">SUM(GU564:HE564)+GP564+GQ564</f>
        <v>0</v>
      </c>
      <c r="GT564" s="568">
        <f>SUM(GU564:HF564)+GQ564+GP564</f>
        <v>0</v>
      </c>
      <c r="GU564" s="275">
        <v>0</v>
      </c>
      <c r="GV564" s="275">
        <v>0</v>
      </c>
      <c r="GW564" s="588">
        <v>0</v>
      </c>
      <c r="GX564" s="588">
        <v>0</v>
      </c>
      <c r="GY564" s="275">
        <v>0</v>
      </c>
      <c r="GZ564" s="275">
        <v>0</v>
      </c>
      <c r="HA564" s="275">
        <v>0</v>
      </c>
      <c r="HB564" s="275">
        <v>0</v>
      </c>
      <c r="HC564" s="275">
        <v>0</v>
      </c>
      <c r="HD564" s="275">
        <v>0</v>
      </c>
      <c r="HE564" s="275">
        <v>0</v>
      </c>
      <c r="HF564" s="275">
        <v>0</v>
      </c>
      <c r="HG564" s="74">
        <f>SUM(HH564:IE564)</f>
        <v>0</v>
      </c>
      <c r="HH564" s="89">
        <v>0</v>
      </c>
      <c r="HI564" s="817">
        <v>0</v>
      </c>
      <c r="HJ564" s="89">
        <v>0</v>
      </c>
      <c r="HK564" s="817">
        <v>0</v>
      </c>
      <c r="HL564" s="89">
        <v>0</v>
      </c>
      <c r="HM564" s="817">
        <v>0</v>
      </c>
      <c r="HN564" s="89">
        <v>0</v>
      </c>
      <c r="HO564" s="817">
        <v>0</v>
      </c>
      <c r="HP564" s="89">
        <v>0</v>
      </c>
      <c r="HQ564" s="817">
        <v>0</v>
      </c>
      <c r="HR564" s="89">
        <v>0</v>
      </c>
      <c r="HS564" s="817">
        <v>0</v>
      </c>
      <c r="HT564" s="89">
        <v>0</v>
      </c>
      <c r="HU564" s="817">
        <v>0</v>
      </c>
      <c r="HV564" s="89">
        <v>0</v>
      </c>
      <c r="HW564" s="817">
        <v>0</v>
      </c>
      <c r="HX564" s="89">
        <v>0</v>
      </c>
      <c r="HY564" s="817">
        <v>0</v>
      </c>
      <c r="HZ564" s="89">
        <v>0</v>
      </c>
      <c r="IA564" s="817">
        <v>0</v>
      </c>
      <c r="IB564" s="89">
        <v>0</v>
      </c>
      <c r="IC564" s="817">
        <v>0</v>
      </c>
      <c r="ID564" s="89">
        <v>0</v>
      </c>
      <c r="IE564" s="817">
        <v>0</v>
      </c>
      <c r="IF564" s="841">
        <f t="shared" ref="IF564:IF565" si="13160">SUM(II564,IL564,IO564,IR564,IU564,IX564,JA564,JD564,JG564,JJ564,JM564,JP564)</f>
        <v>0</v>
      </c>
      <c r="IG564" s="263">
        <f t="shared" ref="IG564:IG565" si="13161">SUM(IJ564,IM564,IP564,IS564,IV564,IY564,JB564,JE564,JH564,JK564,JN564,JQ564)</f>
        <v>0</v>
      </c>
      <c r="IH564" s="842">
        <f t="shared" ref="IH564:IH565" si="13162">SUM(IK564,IN564,IQ564,IT564,IW564,IZ564,JC564,JF564,JI564,JL564,JO564,JR564)</f>
        <v>0</v>
      </c>
      <c r="II564" s="89">
        <v>0</v>
      </c>
      <c r="IJ564" s="89">
        <v>0</v>
      </c>
      <c r="IK564" s="89">
        <v>0</v>
      </c>
      <c r="IL564" s="89">
        <v>0</v>
      </c>
      <c r="IM564" s="89">
        <v>0</v>
      </c>
      <c r="IN564" s="89">
        <v>0</v>
      </c>
      <c r="IO564" s="89">
        <v>0</v>
      </c>
      <c r="IP564" s="89">
        <v>0</v>
      </c>
      <c r="IQ564" s="89">
        <v>0</v>
      </c>
      <c r="IR564" s="89">
        <v>0</v>
      </c>
      <c r="IS564" s="89">
        <v>0</v>
      </c>
      <c r="IT564" s="89">
        <v>0</v>
      </c>
      <c r="IU564" s="89">
        <v>0</v>
      </c>
      <c r="IV564" s="89">
        <v>0</v>
      </c>
      <c r="IW564" s="89">
        <v>0</v>
      </c>
      <c r="IX564" s="89">
        <v>0</v>
      </c>
      <c r="IY564" s="89">
        <v>0</v>
      </c>
      <c r="IZ564" s="89">
        <v>0</v>
      </c>
      <c r="JA564" s="89">
        <v>0</v>
      </c>
      <c r="JB564" s="89">
        <v>0</v>
      </c>
      <c r="JC564" s="89">
        <v>0</v>
      </c>
      <c r="JD564" s="89">
        <v>0</v>
      </c>
      <c r="JE564" s="89">
        <v>0</v>
      </c>
      <c r="JF564" s="89">
        <v>0</v>
      </c>
      <c r="JG564" s="89">
        <v>0</v>
      </c>
      <c r="JH564" s="89">
        <v>0</v>
      </c>
      <c r="JI564" s="89">
        <v>0</v>
      </c>
      <c r="JJ564" s="89">
        <v>0</v>
      </c>
      <c r="JK564" s="89">
        <v>0</v>
      </c>
      <c r="JL564" s="89">
        <v>0</v>
      </c>
      <c r="JM564" s="89">
        <v>0</v>
      </c>
      <c r="JN564" s="89">
        <v>0</v>
      </c>
      <c r="JO564" s="89">
        <v>0</v>
      </c>
      <c r="JP564" s="89">
        <v>0</v>
      </c>
      <c r="JQ564" s="89">
        <v>0</v>
      </c>
      <c r="JR564" s="89">
        <v>0</v>
      </c>
      <c r="JS564" s="74">
        <f>HG564-IF564</f>
        <v>0</v>
      </c>
      <c r="JT564" s="382">
        <f>GS564-IF564</f>
        <v>0</v>
      </c>
      <c r="JU564" s="665"/>
      <c r="JV564" s="524"/>
      <c r="JW564" s="525"/>
      <c r="JX564" s="549">
        <f>SUM(HH564,HJ564,HL564,HN564,HP564,HR564,HT564,HV564,HX564,HZ564,IB564,ID564)</f>
        <v>0</v>
      </c>
      <c r="JY564" s="549">
        <f>SUM(HI564,HK564,HM564,HO564,HQ564,HS564,HU564,HW564,HY564,IA564,IC564,IE564)</f>
        <v>0</v>
      </c>
      <c r="JZ564" s="581">
        <f t="shared" si="12201"/>
        <v>0</v>
      </c>
      <c r="KA564" s="581">
        <f t="shared" si="12202"/>
        <v>0</v>
      </c>
      <c r="KB564" s="549">
        <f t="shared" si="12194"/>
        <v>0</v>
      </c>
      <c r="KC564" s="709">
        <f t="shared" si="12200"/>
        <v>0</v>
      </c>
      <c r="KD564" s="36"/>
      <c r="KE564" s="36"/>
      <c r="KF564" s="36"/>
      <c r="KG564" s="36"/>
      <c r="KH564" s="36"/>
      <c r="KI564" s="36"/>
      <c r="KJ564" s="36"/>
      <c r="KK564" s="36"/>
    </row>
    <row r="565" spans="1:297" s="10" customFormat="1" ht="12.75" hidden="1" customHeight="1">
      <c r="A565" s="86" t="s">
        <v>1227</v>
      </c>
      <c r="B565" s="77"/>
      <c r="C565" s="74">
        <v>0</v>
      </c>
      <c r="D565" s="549">
        <v>0</v>
      </c>
      <c r="E565" s="675">
        <v>0</v>
      </c>
      <c r="F565" s="549">
        <v>0</v>
      </c>
      <c r="G565" s="675">
        <v>0</v>
      </c>
      <c r="H565" s="549">
        <v>0</v>
      </c>
      <c r="I565" s="675">
        <v>0</v>
      </c>
      <c r="J565" s="549">
        <v>0</v>
      </c>
      <c r="K565" s="675">
        <v>0</v>
      </c>
      <c r="L565" s="549">
        <v>0</v>
      </c>
      <c r="M565" s="675">
        <v>0</v>
      </c>
      <c r="N565" s="549">
        <v>0</v>
      </c>
      <c r="O565" s="675">
        <v>0</v>
      </c>
      <c r="P565" s="549">
        <v>0</v>
      </c>
      <c r="Q565" s="675">
        <v>0</v>
      </c>
      <c r="R565" s="549">
        <v>0</v>
      </c>
      <c r="S565" s="675">
        <v>0</v>
      </c>
      <c r="T565" s="549">
        <v>0</v>
      </c>
      <c r="U565" s="675">
        <v>0</v>
      </c>
      <c r="V565" s="549">
        <v>0</v>
      </c>
      <c r="W565" s="675">
        <v>0</v>
      </c>
      <c r="X565" s="549">
        <v>0</v>
      </c>
      <c r="Y565" s="675">
        <v>0</v>
      </c>
      <c r="Z565" s="549">
        <v>0</v>
      </c>
      <c r="AA565" s="675">
        <v>0</v>
      </c>
      <c r="AB565" s="549">
        <v>0</v>
      </c>
      <c r="AC565" s="675">
        <v>0</v>
      </c>
      <c r="AD565" s="549">
        <v>0</v>
      </c>
      <c r="AE565" s="675">
        <v>0</v>
      </c>
      <c r="AF565" s="549">
        <v>0</v>
      </c>
      <c r="AG565" s="675">
        <v>0</v>
      </c>
      <c r="AH565" s="549">
        <v>0</v>
      </c>
      <c r="AI565" s="675">
        <v>0</v>
      </c>
      <c r="AJ565" s="549">
        <v>0</v>
      </c>
      <c r="AK565" s="675">
        <v>0</v>
      </c>
      <c r="AL565" s="549">
        <v>0</v>
      </c>
      <c r="AM565" s="675">
        <v>0</v>
      </c>
      <c r="AN565" s="549">
        <v>0</v>
      </c>
      <c r="AO565" s="675">
        <v>0</v>
      </c>
      <c r="AP565" s="549">
        <v>0</v>
      </c>
      <c r="AQ565" s="675">
        <v>0</v>
      </c>
      <c r="AR565" s="549">
        <v>0</v>
      </c>
      <c r="AS565" s="675">
        <v>0</v>
      </c>
      <c r="AT565" s="549">
        <v>0</v>
      </c>
      <c r="AU565" s="675">
        <v>0</v>
      </c>
      <c r="AV565" s="549">
        <v>0</v>
      </c>
      <c r="AW565" s="675">
        <v>0</v>
      </c>
      <c r="AX565" s="549">
        <v>0</v>
      </c>
      <c r="AY565" s="675">
        <v>0</v>
      </c>
      <c r="AZ565" s="549">
        <v>0</v>
      </c>
      <c r="BA565" s="675">
        <v>0</v>
      </c>
      <c r="BB565" s="549">
        <v>0</v>
      </c>
      <c r="BC565" s="675">
        <v>0</v>
      </c>
      <c r="BD565" s="549">
        <v>0</v>
      </c>
      <c r="BE565" s="675">
        <v>0</v>
      </c>
      <c r="BF565" s="549">
        <v>0</v>
      </c>
      <c r="BG565" s="675">
        <v>0</v>
      </c>
      <c r="BH565" s="549">
        <v>0</v>
      </c>
      <c r="BI565" s="675">
        <v>0</v>
      </c>
      <c r="BJ565" s="549">
        <v>0</v>
      </c>
      <c r="BK565" s="675">
        <v>0</v>
      </c>
      <c r="BL565" s="549">
        <v>0</v>
      </c>
      <c r="BM565" s="675">
        <v>0</v>
      </c>
      <c r="BN565" s="549">
        <v>0</v>
      </c>
      <c r="BO565" s="675">
        <v>0</v>
      </c>
      <c r="BP565" s="549">
        <v>0</v>
      </c>
      <c r="BQ565" s="675">
        <v>0</v>
      </c>
      <c r="BR565" s="549">
        <v>0</v>
      </c>
      <c r="BS565" s="675">
        <v>0</v>
      </c>
      <c r="BT565" s="549">
        <v>0</v>
      </c>
      <c r="BU565" s="675">
        <v>0</v>
      </c>
      <c r="BV565" s="549">
        <v>0</v>
      </c>
      <c r="BW565" s="675">
        <v>0</v>
      </c>
      <c r="BX565" s="549">
        <v>0</v>
      </c>
      <c r="BY565" s="675">
        <v>0</v>
      </c>
      <c r="BZ565" s="549">
        <v>0</v>
      </c>
      <c r="CA565" s="675">
        <v>0</v>
      </c>
      <c r="CB565" s="549">
        <v>0</v>
      </c>
      <c r="CC565" s="675">
        <v>0</v>
      </c>
      <c r="CD565" s="549">
        <v>0</v>
      </c>
      <c r="CE565" s="675">
        <v>0</v>
      </c>
      <c r="CF565" s="549">
        <v>0</v>
      </c>
      <c r="CG565" s="675">
        <v>0</v>
      </c>
      <c r="CH565" s="549">
        <v>0</v>
      </c>
      <c r="CI565" s="675">
        <v>0</v>
      </c>
      <c r="CJ565" s="549">
        <v>0</v>
      </c>
      <c r="CK565" s="675">
        <v>0</v>
      </c>
      <c r="CL565" s="549">
        <v>0</v>
      </c>
      <c r="CM565" s="675">
        <v>0</v>
      </c>
      <c r="CN565" s="549">
        <v>0</v>
      </c>
      <c r="CO565" s="675">
        <v>0</v>
      </c>
      <c r="CP565" s="549">
        <v>0</v>
      </c>
      <c r="CQ565" s="675">
        <v>0</v>
      </c>
      <c r="CR565" s="549">
        <v>0</v>
      </c>
      <c r="CS565" s="675">
        <v>0</v>
      </c>
      <c r="CT565" s="549">
        <v>0</v>
      </c>
      <c r="CU565" s="675">
        <v>0</v>
      </c>
      <c r="CV565" s="549">
        <v>0</v>
      </c>
      <c r="CW565" s="675">
        <v>0</v>
      </c>
      <c r="CX565" s="549">
        <v>0</v>
      </c>
      <c r="CY565" s="675">
        <v>0</v>
      </c>
      <c r="CZ565" s="549">
        <v>0</v>
      </c>
      <c r="DA565" s="675">
        <v>0</v>
      </c>
      <c r="DB565" s="549">
        <v>0</v>
      </c>
      <c r="DC565" s="675">
        <v>0</v>
      </c>
      <c r="DD565" s="549">
        <v>0</v>
      </c>
      <c r="DE565" s="675">
        <v>0</v>
      </c>
      <c r="DF565" s="549">
        <v>0</v>
      </c>
      <c r="DG565" s="675">
        <v>0</v>
      </c>
      <c r="DH565" s="549">
        <v>0</v>
      </c>
      <c r="DI565" s="675">
        <v>0</v>
      </c>
      <c r="DJ565" s="549">
        <v>0</v>
      </c>
      <c r="DK565" s="675">
        <v>0</v>
      </c>
      <c r="DL565" s="549">
        <v>0</v>
      </c>
      <c r="DM565" s="675">
        <v>0</v>
      </c>
      <c r="DN565" s="549">
        <v>0</v>
      </c>
      <c r="DO565" s="675">
        <v>0</v>
      </c>
      <c r="DP565" s="549">
        <v>0</v>
      </c>
      <c r="DQ565" s="675">
        <v>0</v>
      </c>
      <c r="DR565" s="549">
        <v>0</v>
      </c>
      <c r="DS565" s="675">
        <v>0</v>
      </c>
      <c r="DT565" s="549">
        <v>0</v>
      </c>
      <c r="DU565" s="675">
        <v>0</v>
      </c>
      <c r="DV565" s="549">
        <v>0</v>
      </c>
      <c r="DW565" s="675">
        <v>0</v>
      </c>
      <c r="DX565" s="549">
        <v>0</v>
      </c>
      <c r="DY565" s="675">
        <v>0</v>
      </c>
      <c r="DZ565" s="549">
        <v>0</v>
      </c>
      <c r="EA565" s="675">
        <v>0</v>
      </c>
      <c r="EB565" s="549">
        <v>0</v>
      </c>
      <c r="EC565" s="675">
        <v>0</v>
      </c>
      <c r="ED565" s="549">
        <v>0</v>
      </c>
      <c r="EE565" s="675">
        <v>0</v>
      </c>
      <c r="EF565" s="549">
        <v>0</v>
      </c>
      <c r="EG565" s="675">
        <v>0</v>
      </c>
      <c r="EH565" s="549">
        <v>0</v>
      </c>
      <c r="EI565" s="675">
        <v>0</v>
      </c>
      <c r="EJ565" s="549">
        <v>0</v>
      </c>
      <c r="EK565" s="675">
        <v>0</v>
      </c>
      <c r="EL565" s="549">
        <v>0</v>
      </c>
      <c r="EM565" s="675">
        <v>0</v>
      </c>
      <c r="EN565" s="549">
        <v>0</v>
      </c>
      <c r="EO565" s="675">
        <v>0</v>
      </c>
      <c r="EP565" s="549">
        <v>0</v>
      </c>
      <c r="EQ565" s="675">
        <v>0</v>
      </c>
      <c r="ER565" s="549">
        <v>0</v>
      </c>
      <c r="ES565" s="675">
        <v>0</v>
      </c>
      <c r="ET565" s="549">
        <v>0</v>
      </c>
      <c r="EU565" s="675">
        <v>0</v>
      </c>
      <c r="EV565" s="549">
        <v>0</v>
      </c>
      <c r="EW565" s="675">
        <v>0</v>
      </c>
      <c r="EX565" s="549">
        <v>0</v>
      </c>
      <c r="EY565" s="675">
        <v>0</v>
      </c>
      <c r="EZ565" s="549">
        <v>0</v>
      </c>
      <c r="FA565" s="675">
        <v>0</v>
      </c>
      <c r="FB565" s="549">
        <v>0</v>
      </c>
      <c r="FC565" s="675">
        <v>0</v>
      </c>
      <c r="FD565" s="549">
        <v>0</v>
      </c>
      <c r="FE565" s="675">
        <v>0</v>
      </c>
      <c r="FF565" s="549">
        <v>0</v>
      </c>
      <c r="FG565" s="675">
        <v>0</v>
      </c>
      <c r="FH565" s="549">
        <v>0</v>
      </c>
      <c r="FI565" s="675">
        <v>0</v>
      </c>
      <c r="FJ565" s="549">
        <v>0</v>
      </c>
      <c r="FK565" s="675">
        <v>0</v>
      </c>
      <c r="FL565" s="549">
        <v>0</v>
      </c>
      <c r="FM565" s="675">
        <v>0</v>
      </c>
      <c r="FN565" s="549">
        <v>0</v>
      </c>
      <c r="FO565" s="675">
        <v>0</v>
      </c>
      <c r="FP565" s="549">
        <v>0</v>
      </c>
      <c r="FQ565" s="675">
        <v>0</v>
      </c>
      <c r="FR565" s="549">
        <v>0</v>
      </c>
      <c r="FS565" s="675">
        <v>0</v>
      </c>
      <c r="FT565" s="549">
        <v>0</v>
      </c>
      <c r="FU565" s="675">
        <v>0</v>
      </c>
      <c r="FV565" s="549">
        <v>0</v>
      </c>
      <c r="FW565" s="675">
        <v>0</v>
      </c>
      <c r="FX565" s="549">
        <v>0</v>
      </c>
      <c r="FY565" s="675">
        <v>0</v>
      </c>
      <c r="FZ565" s="549">
        <v>0</v>
      </c>
      <c r="GA565" s="675">
        <v>0</v>
      </c>
      <c r="GB565" s="549">
        <v>0</v>
      </c>
      <c r="GC565" s="675">
        <v>0</v>
      </c>
      <c r="GD565" s="549">
        <v>0</v>
      </c>
      <c r="GE565" s="675">
        <v>0</v>
      </c>
      <c r="GF565" s="549">
        <v>0</v>
      </c>
      <c r="GG565" s="675">
        <v>0</v>
      </c>
      <c r="GH565" s="549">
        <v>0</v>
      </c>
      <c r="GI565" s="675">
        <v>0</v>
      </c>
      <c r="GJ565" s="549">
        <v>0</v>
      </c>
      <c r="GK565" s="675">
        <v>0</v>
      </c>
      <c r="GL565" s="549">
        <v>0</v>
      </c>
      <c r="GM565" s="675">
        <v>0</v>
      </c>
      <c r="GN565" s="549">
        <v>0</v>
      </c>
      <c r="GO565" s="675">
        <v>0</v>
      </c>
      <c r="GP565" s="549">
        <f>+D565+F565+H565+J565+L565+N565+P565+R565+T565+V565+X565+Z565+AB565+AF565+AD565+AH565+AJ565+AL565+AN565+AP565+AR565+AT565+AV565+AX565+AZ565+BB565+BD565+BF565+BH565+BJ565+BL565+BN565+BP565+BR565+BT565+BV565+BX565+BZ565+CB565+CD565+CF565+CH565+CJ565+CL565+CN565+CP565+CR565+CT565+CV565+CX565+CZ565+DB565+DD565+DF565+DH565+DT565+EX565+DJ565+DL565+DN565+DP565+DR565+EJ565+EB565+DZ565+DX565+DV565+ED565+EF565+EH565+EL565+EN565+EP565+EV565+ET565+ER565+EZ565+FB565+FD565+GL565+FF565+FJ565+FL565+GJ565+FT565+FR565+FP565+FN565+FH565+GH565+GF565+GD565+GB565+FZ565+FX565+FV565+GN565</f>
        <v>0</v>
      </c>
      <c r="GQ565" s="675">
        <f>+E565+G565+I565+K565+M565+O565+Q565+S565+U565+W565+Y565+AA565+AC565+AE565+AG565+AI565+AK565+AM565+AO565+AQ565+AS565+AU565+AW565+AY565+BA565+BC565+BE565+BG565+BI565+BK565+BM565+BO565+BQ565+BS565+BU565+BW565+BY565+CA565+CC565+CE565+CG565+CI565+CK565+CM565+CO565+CQ565+CS565+CU565+CW565+CY565+DA565+DC565+DE565+DG565+DI565+DU565+EY565+DK565+DM565+DO565+DQ565+DS565+EK565+EC565+EA565+DY565+DW565+EI565+EG565+EE565+EM565+EO565+EQ565+EW565+EU565+ES565+FA565+FC565+FE565+GM565+FG565+FK565+FM565+FO565+FQ565+FS565+FU565+GK565+FI565+GI565+GG565+GE565+GC565+GA565+FY565+FW565+GO565</f>
        <v>0</v>
      </c>
      <c r="GR565" s="74">
        <f>C565+GP565+GQ565</f>
        <v>0</v>
      </c>
      <c r="GS565" s="74">
        <f>SUM(GU565:GV565)+GP565+GQ565+GW565+GX565+GY565+GZ565+HA565+HB565+HC565+HD565+HE565+HF565</f>
        <v>0</v>
      </c>
      <c r="GT565" s="568">
        <f>SUM(GU565:HF565)+GQ565+GP565</f>
        <v>0</v>
      </c>
      <c r="GU565" s="275">
        <v>0</v>
      </c>
      <c r="GV565" s="275">
        <v>0</v>
      </c>
      <c r="GW565" s="588">
        <v>0</v>
      </c>
      <c r="GX565" s="588">
        <v>0</v>
      </c>
      <c r="GY565" s="275">
        <v>0</v>
      </c>
      <c r="GZ565" s="275">
        <v>0</v>
      </c>
      <c r="HA565" s="275">
        <v>0</v>
      </c>
      <c r="HB565" s="275">
        <v>0</v>
      </c>
      <c r="HC565" s="275">
        <v>0</v>
      </c>
      <c r="HD565" s="275">
        <v>0</v>
      </c>
      <c r="HE565" s="275">
        <v>0</v>
      </c>
      <c r="HF565" s="275">
        <v>0</v>
      </c>
      <c r="HG565" s="74">
        <f>SUM(HH565:IE565)</f>
        <v>0</v>
      </c>
      <c r="HH565" s="89">
        <v>0</v>
      </c>
      <c r="HI565" s="817">
        <v>0</v>
      </c>
      <c r="HJ565" s="89">
        <v>0</v>
      </c>
      <c r="HK565" s="817">
        <v>0</v>
      </c>
      <c r="HL565" s="89">
        <v>0</v>
      </c>
      <c r="HM565" s="817">
        <v>0</v>
      </c>
      <c r="HN565" s="89">
        <v>0</v>
      </c>
      <c r="HO565" s="817">
        <v>0</v>
      </c>
      <c r="HP565" s="89">
        <v>0</v>
      </c>
      <c r="HQ565" s="817">
        <v>0</v>
      </c>
      <c r="HR565" s="89">
        <v>0</v>
      </c>
      <c r="HS565" s="817">
        <v>0</v>
      </c>
      <c r="HT565" s="89">
        <v>0</v>
      </c>
      <c r="HU565" s="817">
        <v>0</v>
      </c>
      <c r="HV565" s="89">
        <v>0</v>
      </c>
      <c r="HW565" s="817">
        <v>0</v>
      </c>
      <c r="HX565" s="89">
        <v>0</v>
      </c>
      <c r="HY565" s="817">
        <v>0</v>
      </c>
      <c r="HZ565" s="89">
        <v>0</v>
      </c>
      <c r="IA565" s="817">
        <v>0</v>
      </c>
      <c r="IB565" s="89">
        <v>0</v>
      </c>
      <c r="IC565" s="817">
        <v>0</v>
      </c>
      <c r="ID565" s="89">
        <v>0</v>
      </c>
      <c r="IE565" s="817">
        <v>0</v>
      </c>
      <c r="IF565" s="841">
        <f t="shared" si="13160"/>
        <v>0</v>
      </c>
      <c r="IG565" s="263">
        <f t="shared" si="13161"/>
        <v>0</v>
      </c>
      <c r="IH565" s="842">
        <f t="shared" si="13162"/>
        <v>0</v>
      </c>
      <c r="II565" s="89">
        <v>0</v>
      </c>
      <c r="IJ565" s="89">
        <v>0</v>
      </c>
      <c r="IK565" s="89">
        <v>0</v>
      </c>
      <c r="IL565" s="89">
        <v>0</v>
      </c>
      <c r="IM565" s="89">
        <v>0</v>
      </c>
      <c r="IN565" s="89">
        <v>0</v>
      </c>
      <c r="IO565" s="89">
        <v>0</v>
      </c>
      <c r="IP565" s="89">
        <v>0</v>
      </c>
      <c r="IQ565" s="89">
        <v>0</v>
      </c>
      <c r="IR565" s="89">
        <v>0</v>
      </c>
      <c r="IS565" s="89">
        <v>0</v>
      </c>
      <c r="IT565" s="89">
        <v>0</v>
      </c>
      <c r="IU565" s="89">
        <v>0</v>
      </c>
      <c r="IV565" s="89">
        <v>0</v>
      </c>
      <c r="IW565" s="89">
        <v>0</v>
      </c>
      <c r="IX565" s="89">
        <v>0</v>
      </c>
      <c r="IY565" s="89">
        <v>0</v>
      </c>
      <c r="IZ565" s="89">
        <v>0</v>
      </c>
      <c r="JA565" s="89">
        <v>0</v>
      </c>
      <c r="JB565" s="89">
        <v>0</v>
      </c>
      <c r="JC565" s="89">
        <v>0</v>
      </c>
      <c r="JD565" s="89">
        <v>0</v>
      </c>
      <c r="JE565" s="89">
        <v>0</v>
      </c>
      <c r="JF565" s="89">
        <v>0</v>
      </c>
      <c r="JG565" s="89">
        <v>0</v>
      </c>
      <c r="JH565" s="89">
        <v>0</v>
      </c>
      <c r="JI565" s="89">
        <v>0</v>
      </c>
      <c r="JJ565" s="89">
        <v>0</v>
      </c>
      <c r="JK565" s="89">
        <v>0</v>
      </c>
      <c r="JL565" s="89">
        <v>0</v>
      </c>
      <c r="JM565" s="89">
        <v>0</v>
      </c>
      <c r="JN565" s="89">
        <v>0</v>
      </c>
      <c r="JO565" s="89">
        <v>0</v>
      </c>
      <c r="JP565" s="89">
        <v>0</v>
      </c>
      <c r="JQ565" s="89">
        <v>0</v>
      </c>
      <c r="JR565" s="89">
        <v>0</v>
      </c>
      <c r="JS565" s="74">
        <f>HG565-IF565</f>
        <v>0</v>
      </c>
      <c r="JT565" s="382">
        <f>GS565-IF565</f>
        <v>0</v>
      </c>
      <c r="JU565" s="665"/>
      <c r="JV565" s="524"/>
      <c r="JW565" s="525"/>
      <c r="JX565" s="549">
        <f>SUM(HH565,HJ565,HL565,HN565,HP565,HR565,HT565,HV565,HX565,HZ565,IB565,ID565)</f>
        <v>0</v>
      </c>
      <c r="JY565" s="549">
        <f>SUM(HI565,HK565,HM565,HO565,HQ565,HS565,HU565,HW565,HY565,IA565,IC565,IE565)</f>
        <v>0</v>
      </c>
      <c r="JZ565" s="581">
        <f t="shared" si="12201"/>
        <v>0</v>
      </c>
      <c r="KA565" s="581">
        <f t="shared" si="12202"/>
        <v>0</v>
      </c>
      <c r="KB565" s="549">
        <f t="shared" si="12194"/>
        <v>0</v>
      </c>
      <c r="KC565" s="709">
        <f t="shared" si="12200"/>
        <v>0</v>
      </c>
      <c r="KD565" s="36"/>
      <c r="KE565" s="36"/>
      <c r="KF565" s="36"/>
      <c r="KG565" s="36"/>
      <c r="KH565" s="36"/>
      <c r="KI565" s="36"/>
      <c r="KJ565" s="36"/>
      <c r="KK565" s="36"/>
    </row>
    <row r="566" spans="1:297" s="10" customFormat="1" ht="12.75" hidden="1" customHeight="1">
      <c r="A566" s="86"/>
      <c r="B566" s="77"/>
      <c r="C566" s="74"/>
      <c r="D566" s="549"/>
      <c r="E566" s="675"/>
      <c r="F566" s="549"/>
      <c r="G566" s="675"/>
      <c r="H566" s="549"/>
      <c r="I566" s="675"/>
      <c r="J566" s="549"/>
      <c r="K566" s="675"/>
      <c r="L566" s="549"/>
      <c r="M566" s="675"/>
      <c r="N566" s="549"/>
      <c r="O566" s="675"/>
      <c r="P566" s="549"/>
      <c r="Q566" s="675"/>
      <c r="R566" s="549"/>
      <c r="S566" s="675"/>
      <c r="T566" s="549"/>
      <c r="U566" s="675"/>
      <c r="V566" s="549"/>
      <c r="W566" s="675"/>
      <c r="X566" s="549"/>
      <c r="Y566" s="675"/>
      <c r="Z566" s="549"/>
      <c r="AA566" s="675"/>
      <c r="AB566" s="549"/>
      <c r="AC566" s="675"/>
      <c r="AD566" s="549"/>
      <c r="AE566" s="675"/>
      <c r="AF566" s="549"/>
      <c r="AG566" s="675"/>
      <c r="AH566" s="549"/>
      <c r="AI566" s="675"/>
      <c r="AJ566" s="549"/>
      <c r="AK566" s="675"/>
      <c r="AL566" s="549"/>
      <c r="AM566" s="675"/>
      <c r="AN566" s="549"/>
      <c r="AO566" s="675"/>
      <c r="AP566" s="549"/>
      <c r="AQ566" s="675"/>
      <c r="AR566" s="549"/>
      <c r="AS566" s="675"/>
      <c r="AT566" s="549"/>
      <c r="AU566" s="675"/>
      <c r="AV566" s="549"/>
      <c r="AW566" s="675"/>
      <c r="AX566" s="549"/>
      <c r="AY566" s="675"/>
      <c r="AZ566" s="549"/>
      <c r="BA566" s="675"/>
      <c r="BB566" s="549"/>
      <c r="BC566" s="675"/>
      <c r="BD566" s="549"/>
      <c r="BE566" s="675"/>
      <c r="BF566" s="549"/>
      <c r="BG566" s="675"/>
      <c r="BH566" s="549"/>
      <c r="BI566" s="675"/>
      <c r="BJ566" s="549"/>
      <c r="BK566" s="675"/>
      <c r="BL566" s="549"/>
      <c r="BM566" s="675"/>
      <c r="BN566" s="549"/>
      <c r="BO566" s="675"/>
      <c r="BP566" s="549"/>
      <c r="BQ566" s="675"/>
      <c r="BR566" s="549"/>
      <c r="BS566" s="675"/>
      <c r="BT566" s="549"/>
      <c r="BU566" s="675"/>
      <c r="BV566" s="549"/>
      <c r="BW566" s="675"/>
      <c r="BX566" s="549"/>
      <c r="BY566" s="675"/>
      <c r="BZ566" s="549"/>
      <c r="CA566" s="675"/>
      <c r="CB566" s="549"/>
      <c r="CC566" s="675"/>
      <c r="CD566" s="549"/>
      <c r="CE566" s="675"/>
      <c r="CF566" s="549"/>
      <c r="CG566" s="675"/>
      <c r="CH566" s="549"/>
      <c r="CI566" s="675"/>
      <c r="CJ566" s="549"/>
      <c r="CK566" s="675"/>
      <c r="CL566" s="549"/>
      <c r="CM566" s="675"/>
      <c r="CN566" s="549"/>
      <c r="CO566" s="675"/>
      <c r="CP566" s="549"/>
      <c r="CQ566" s="675"/>
      <c r="CR566" s="549"/>
      <c r="CS566" s="675"/>
      <c r="CT566" s="549"/>
      <c r="CU566" s="675"/>
      <c r="CV566" s="549"/>
      <c r="CW566" s="675"/>
      <c r="CX566" s="549"/>
      <c r="CY566" s="675"/>
      <c r="CZ566" s="549"/>
      <c r="DA566" s="675"/>
      <c r="DB566" s="549"/>
      <c r="DC566" s="675"/>
      <c r="DD566" s="549"/>
      <c r="DE566" s="675"/>
      <c r="DF566" s="549"/>
      <c r="DG566" s="675"/>
      <c r="DH566" s="549"/>
      <c r="DI566" s="675"/>
      <c r="DJ566" s="549"/>
      <c r="DK566" s="675"/>
      <c r="DL566" s="549"/>
      <c r="DM566" s="675"/>
      <c r="DN566" s="549"/>
      <c r="DO566" s="675"/>
      <c r="DP566" s="549"/>
      <c r="DQ566" s="675"/>
      <c r="DR566" s="549"/>
      <c r="DS566" s="675"/>
      <c r="DT566" s="549"/>
      <c r="DU566" s="675"/>
      <c r="DV566" s="549"/>
      <c r="DW566" s="675"/>
      <c r="DX566" s="549"/>
      <c r="DY566" s="675"/>
      <c r="DZ566" s="549"/>
      <c r="EA566" s="675"/>
      <c r="EB566" s="549"/>
      <c r="EC566" s="675"/>
      <c r="ED566" s="549"/>
      <c r="EE566" s="675"/>
      <c r="EF566" s="549"/>
      <c r="EG566" s="675"/>
      <c r="EH566" s="549"/>
      <c r="EI566" s="675"/>
      <c r="EJ566" s="549"/>
      <c r="EK566" s="675"/>
      <c r="EL566" s="549"/>
      <c r="EM566" s="675"/>
      <c r="EN566" s="549"/>
      <c r="EO566" s="675"/>
      <c r="EP566" s="549"/>
      <c r="EQ566" s="675"/>
      <c r="ER566" s="549"/>
      <c r="ES566" s="675"/>
      <c r="ET566" s="549"/>
      <c r="EU566" s="675"/>
      <c r="EV566" s="549"/>
      <c r="EW566" s="675"/>
      <c r="EX566" s="549"/>
      <c r="EY566" s="675"/>
      <c r="EZ566" s="549"/>
      <c r="FA566" s="675"/>
      <c r="FB566" s="549"/>
      <c r="FC566" s="675"/>
      <c r="FD566" s="549"/>
      <c r="FE566" s="675"/>
      <c r="FF566" s="549"/>
      <c r="FG566" s="675"/>
      <c r="FH566" s="549"/>
      <c r="FI566" s="675"/>
      <c r="FJ566" s="549"/>
      <c r="FK566" s="675"/>
      <c r="FL566" s="549"/>
      <c r="FM566" s="675"/>
      <c r="FN566" s="549"/>
      <c r="FO566" s="675"/>
      <c r="FP566" s="549"/>
      <c r="FQ566" s="675"/>
      <c r="FR566" s="549"/>
      <c r="FS566" s="675"/>
      <c r="FT566" s="549"/>
      <c r="FU566" s="675"/>
      <c r="FV566" s="549"/>
      <c r="FW566" s="675"/>
      <c r="FX566" s="549"/>
      <c r="FY566" s="675"/>
      <c r="FZ566" s="549"/>
      <c r="GA566" s="675"/>
      <c r="GB566" s="549"/>
      <c r="GC566" s="675"/>
      <c r="GD566" s="549"/>
      <c r="GE566" s="675"/>
      <c r="GF566" s="549"/>
      <c r="GG566" s="675"/>
      <c r="GH566" s="549"/>
      <c r="GI566" s="675"/>
      <c r="GJ566" s="549"/>
      <c r="GK566" s="675"/>
      <c r="GL566" s="549"/>
      <c r="GM566" s="675"/>
      <c r="GN566" s="549"/>
      <c r="GO566" s="675"/>
      <c r="GP566" s="549"/>
      <c r="GQ566" s="675"/>
      <c r="GR566" s="74"/>
      <c r="GS566" s="74"/>
      <c r="GT566" s="568"/>
      <c r="GU566" s="275"/>
      <c r="GV566" s="275"/>
      <c r="GW566" s="588"/>
      <c r="GX566" s="587"/>
      <c r="GY566" s="838"/>
      <c r="GZ566" s="275"/>
      <c r="HA566" s="275"/>
      <c r="HB566" s="275"/>
      <c r="HC566" s="275"/>
      <c r="HD566" s="275"/>
      <c r="HE566" s="275"/>
      <c r="HF566" s="275"/>
      <c r="HG566" s="74"/>
      <c r="HH566" s="89"/>
      <c r="HI566" s="817"/>
      <c r="HJ566" s="89"/>
      <c r="HK566" s="817"/>
      <c r="HL566" s="89"/>
      <c r="HM566" s="817"/>
      <c r="HN566" s="89"/>
      <c r="HO566" s="817"/>
      <c r="HP566" s="89"/>
      <c r="HQ566" s="817"/>
      <c r="HR566" s="89"/>
      <c r="HS566" s="817"/>
      <c r="HT566" s="89"/>
      <c r="HU566" s="817"/>
      <c r="HV566" s="89"/>
      <c r="HW566" s="817"/>
      <c r="HX566" s="89"/>
      <c r="HY566" s="817"/>
      <c r="HZ566" s="89"/>
      <c r="IA566" s="817"/>
      <c r="IB566" s="89"/>
      <c r="IC566" s="817"/>
      <c r="ID566" s="89"/>
      <c r="IE566" s="817"/>
      <c r="IF566" s="841"/>
      <c r="IG566" s="263"/>
      <c r="IH566" s="842"/>
      <c r="II566" s="89"/>
      <c r="IJ566" s="89"/>
      <c r="IK566" s="89"/>
      <c r="IL566" s="89"/>
      <c r="IM566" s="89"/>
      <c r="IN566" s="89"/>
      <c r="IO566" s="89"/>
      <c r="IP566" s="89"/>
      <c r="IQ566" s="89"/>
      <c r="IR566" s="89"/>
      <c r="IS566" s="89"/>
      <c r="IT566" s="89"/>
      <c r="IU566" s="89"/>
      <c r="IV566" s="89"/>
      <c r="IW566" s="89"/>
      <c r="IX566" s="89"/>
      <c r="IY566" s="89"/>
      <c r="IZ566" s="89"/>
      <c r="JA566" s="89"/>
      <c r="JB566" s="89"/>
      <c r="JC566" s="89"/>
      <c r="JD566" s="89"/>
      <c r="JE566" s="89"/>
      <c r="JF566" s="89"/>
      <c r="JG566" s="89"/>
      <c r="JH566" s="89"/>
      <c r="JI566" s="89"/>
      <c r="JJ566" s="89"/>
      <c r="JK566" s="89"/>
      <c r="JL566" s="89"/>
      <c r="JM566" s="89"/>
      <c r="JN566" s="89"/>
      <c r="JO566" s="89"/>
      <c r="JP566" s="89"/>
      <c r="JQ566" s="89"/>
      <c r="JR566" s="89"/>
      <c r="JS566" s="74"/>
      <c r="JT566" s="382"/>
      <c r="JU566" s="665"/>
      <c r="JV566" s="524"/>
      <c r="JW566" s="525"/>
      <c r="JX566" s="549"/>
      <c r="JY566" s="549"/>
      <c r="JZ566" s="581">
        <f t="shared" si="12201"/>
        <v>0</v>
      </c>
      <c r="KA566" s="581">
        <f t="shared" si="12202"/>
        <v>0</v>
      </c>
      <c r="KB566" s="549">
        <f t="shared" ref="KB566:KB629" si="13163">JX566+JY566+JZ566+KA566</f>
        <v>0</v>
      </c>
      <c r="KC566" s="709">
        <f t="shared" si="12200"/>
        <v>0</v>
      </c>
      <c r="KD566" s="36"/>
      <c r="KE566" s="36"/>
      <c r="KF566" s="36"/>
      <c r="KG566" s="36"/>
      <c r="KH566" s="36"/>
      <c r="KI566" s="36"/>
      <c r="KJ566" s="36"/>
      <c r="KK566" s="36"/>
    </row>
    <row r="567" spans="1:297" s="269" customFormat="1" ht="12.75" hidden="1" customHeight="1">
      <c r="A567" s="266" t="s">
        <v>717</v>
      </c>
      <c r="B567" s="267"/>
      <c r="C567" s="268">
        <f t="shared" ref="C567:AM567" si="13164">C569</f>
        <v>0</v>
      </c>
      <c r="D567" s="565">
        <f t="shared" si="13164"/>
        <v>0</v>
      </c>
      <c r="E567" s="681">
        <f t="shared" si="13164"/>
        <v>0</v>
      </c>
      <c r="F567" s="565">
        <f t="shared" si="13164"/>
        <v>0</v>
      </c>
      <c r="G567" s="681">
        <f t="shared" si="13164"/>
        <v>0</v>
      </c>
      <c r="H567" s="565">
        <f t="shared" si="13164"/>
        <v>0</v>
      </c>
      <c r="I567" s="681">
        <f t="shared" si="13164"/>
        <v>0</v>
      </c>
      <c r="J567" s="565">
        <f t="shared" si="13164"/>
        <v>0</v>
      </c>
      <c r="K567" s="681">
        <f t="shared" si="13164"/>
        <v>0</v>
      </c>
      <c r="L567" s="565">
        <f t="shared" si="13164"/>
        <v>0</v>
      </c>
      <c r="M567" s="681">
        <f t="shared" si="13164"/>
        <v>0</v>
      </c>
      <c r="N567" s="565">
        <f t="shared" si="13164"/>
        <v>0</v>
      </c>
      <c r="O567" s="681">
        <f t="shared" si="13164"/>
        <v>0</v>
      </c>
      <c r="P567" s="565">
        <f t="shared" si="13164"/>
        <v>0</v>
      </c>
      <c r="Q567" s="681">
        <f t="shared" si="13164"/>
        <v>0</v>
      </c>
      <c r="R567" s="565">
        <f t="shared" si="13164"/>
        <v>0</v>
      </c>
      <c r="S567" s="681">
        <f t="shared" si="13164"/>
        <v>0</v>
      </c>
      <c r="T567" s="565">
        <f t="shared" si="13164"/>
        <v>0</v>
      </c>
      <c r="U567" s="681">
        <f t="shared" si="13164"/>
        <v>0</v>
      </c>
      <c r="V567" s="565">
        <f t="shared" si="13164"/>
        <v>0</v>
      </c>
      <c r="W567" s="681">
        <f t="shared" si="13164"/>
        <v>0</v>
      </c>
      <c r="X567" s="565">
        <f t="shared" si="13164"/>
        <v>0</v>
      </c>
      <c r="Y567" s="681">
        <f t="shared" si="13164"/>
        <v>0</v>
      </c>
      <c r="Z567" s="565">
        <f t="shared" si="13164"/>
        <v>0</v>
      </c>
      <c r="AA567" s="681">
        <f t="shared" si="13164"/>
        <v>0</v>
      </c>
      <c r="AB567" s="565">
        <f t="shared" si="13164"/>
        <v>0</v>
      </c>
      <c r="AC567" s="681">
        <f t="shared" si="13164"/>
        <v>0</v>
      </c>
      <c r="AD567" s="565">
        <f t="shared" ref="AD567:AK567" si="13165">AD569</f>
        <v>0</v>
      </c>
      <c r="AE567" s="681">
        <f t="shared" si="13165"/>
        <v>0</v>
      </c>
      <c r="AF567" s="565">
        <f t="shared" si="13165"/>
        <v>0</v>
      </c>
      <c r="AG567" s="681">
        <f t="shared" si="13165"/>
        <v>0</v>
      </c>
      <c r="AH567" s="565">
        <f t="shared" si="13165"/>
        <v>0</v>
      </c>
      <c r="AI567" s="681">
        <f t="shared" si="13165"/>
        <v>0</v>
      </c>
      <c r="AJ567" s="565">
        <f t="shared" si="13165"/>
        <v>0</v>
      </c>
      <c r="AK567" s="681">
        <f t="shared" si="13165"/>
        <v>0</v>
      </c>
      <c r="AL567" s="565">
        <f t="shared" si="13164"/>
        <v>0</v>
      </c>
      <c r="AM567" s="681">
        <f t="shared" si="13164"/>
        <v>0</v>
      </c>
      <c r="AN567" s="565">
        <f t="shared" ref="AN567:AS567" si="13166">AN569</f>
        <v>0</v>
      </c>
      <c r="AO567" s="681">
        <f t="shared" si="13166"/>
        <v>0</v>
      </c>
      <c r="AP567" s="565">
        <f t="shared" si="13166"/>
        <v>0</v>
      </c>
      <c r="AQ567" s="681">
        <f t="shared" si="13166"/>
        <v>0</v>
      </c>
      <c r="AR567" s="565">
        <f t="shared" si="13166"/>
        <v>0</v>
      </c>
      <c r="AS567" s="681">
        <f t="shared" si="13166"/>
        <v>0</v>
      </c>
      <c r="AT567" s="565">
        <f t="shared" ref="AT567:AU567" si="13167">AT569</f>
        <v>0</v>
      </c>
      <c r="AU567" s="681">
        <f t="shared" si="13167"/>
        <v>0</v>
      </c>
      <c r="AV567" s="565">
        <f t="shared" ref="AV567:AW567" si="13168">AV569</f>
        <v>0</v>
      </c>
      <c r="AW567" s="681">
        <f t="shared" si="13168"/>
        <v>0</v>
      </c>
      <c r="AX567" s="565">
        <f t="shared" ref="AX567:AY567" si="13169">AX569</f>
        <v>0</v>
      </c>
      <c r="AY567" s="681">
        <f t="shared" si="13169"/>
        <v>0</v>
      </c>
      <c r="AZ567" s="565">
        <f t="shared" ref="AZ567:BA567" si="13170">AZ569</f>
        <v>0</v>
      </c>
      <c r="BA567" s="681">
        <f t="shared" si="13170"/>
        <v>0</v>
      </c>
      <c r="BB567" s="565">
        <f t="shared" ref="BB567:BC567" si="13171">BB569</f>
        <v>0</v>
      </c>
      <c r="BC567" s="681">
        <f t="shared" si="13171"/>
        <v>0</v>
      </c>
      <c r="BD567" s="565">
        <f t="shared" ref="BD567:BE567" si="13172">BD569</f>
        <v>0</v>
      </c>
      <c r="BE567" s="681">
        <f t="shared" si="13172"/>
        <v>0</v>
      </c>
      <c r="BF567" s="565">
        <f t="shared" ref="BF567:BG567" si="13173">BF569</f>
        <v>0</v>
      </c>
      <c r="BG567" s="681">
        <f t="shared" si="13173"/>
        <v>0</v>
      </c>
      <c r="BH567" s="565">
        <f t="shared" ref="BH567:BI567" si="13174">BH569</f>
        <v>0</v>
      </c>
      <c r="BI567" s="681">
        <f t="shared" si="13174"/>
        <v>0</v>
      </c>
      <c r="BJ567" s="565">
        <f t="shared" ref="BJ567:BK567" si="13175">BJ569</f>
        <v>0</v>
      </c>
      <c r="BK567" s="681">
        <f t="shared" si="13175"/>
        <v>0</v>
      </c>
      <c r="BL567" s="565">
        <f t="shared" ref="BL567:BS567" si="13176">BL569</f>
        <v>0</v>
      </c>
      <c r="BM567" s="681">
        <f t="shared" si="13176"/>
        <v>0</v>
      </c>
      <c r="BN567" s="565">
        <f t="shared" si="13176"/>
        <v>0</v>
      </c>
      <c r="BO567" s="681">
        <f t="shared" si="13176"/>
        <v>0</v>
      </c>
      <c r="BP567" s="565">
        <f t="shared" si="13176"/>
        <v>0</v>
      </c>
      <c r="BQ567" s="681">
        <f t="shared" si="13176"/>
        <v>0</v>
      </c>
      <c r="BR567" s="565">
        <f t="shared" si="13176"/>
        <v>0</v>
      </c>
      <c r="BS567" s="681">
        <f t="shared" si="13176"/>
        <v>0</v>
      </c>
      <c r="BT567" s="565">
        <f t="shared" ref="BT567:BU567" si="13177">BT569</f>
        <v>0</v>
      </c>
      <c r="BU567" s="681">
        <f t="shared" si="13177"/>
        <v>0</v>
      </c>
      <c r="BV567" s="565">
        <f t="shared" ref="BV567:BW567" si="13178">BV569</f>
        <v>0</v>
      </c>
      <c r="BW567" s="681">
        <f t="shared" si="13178"/>
        <v>0</v>
      </c>
      <c r="BX567" s="565">
        <f t="shared" ref="BX567:BY567" si="13179">BX569</f>
        <v>0</v>
      </c>
      <c r="BY567" s="681">
        <f t="shared" si="13179"/>
        <v>0</v>
      </c>
      <c r="BZ567" s="565">
        <f t="shared" ref="BZ567:CA567" si="13180">BZ569</f>
        <v>0</v>
      </c>
      <c r="CA567" s="681">
        <f t="shared" si="13180"/>
        <v>0</v>
      </c>
      <c r="CB567" s="565">
        <f t="shared" ref="CB567:CE567" si="13181">CB569</f>
        <v>0</v>
      </c>
      <c r="CC567" s="681">
        <f t="shared" si="13181"/>
        <v>0</v>
      </c>
      <c r="CD567" s="565">
        <f t="shared" si="13181"/>
        <v>0</v>
      </c>
      <c r="CE567" s="681">
        <f t="shared" si="13181"/>
        <v>0</v>
      </c>
      <c r="CF567" s="565">
        <f t="shared" ref="CF567:CQ567" si="13182">CF569</f>
        <v>0</v>
      </c>
      <c r="CG567" s="681">
        <f t="shared" si="13182"/>
        <v>0</v>
      </c>
      <c r="CH567" s="565">
        <f t="shared" si="13182"/>
        <v>0</v>
      </c>
      <c r="CI567" s="681">
        <f t="shared" si="13182"/>
        <v>0</v>
      </c>
      <c r="CJ567" s="565">
        <f t="shared" si="13182"/>
        <v>0</v>
      </c>
      <c r="CK567" s="681">
        <f t="shared" si="13182"/>
        <v>0</v>
      </c>
      <c r="CL567" s="565">
        <f t="shared" si="13182"/>
        <v>0</v>
      </c>
      <c r="CM567" s="681">
        <f t="shared" si="13182"/>
        <v>0</v>
      </c>
      <c r="CN567" s="565">
        <f t="shared" si="13182"/>
        <v>0</v>
      </c>
      <c r="CO567" s="681">
        <f t="shared" si="13182"/>
        <v>0</v>
      </c>
      <c r="CP567" s="565">
        <f t="shared" si="13182"/>
        <v>0</v>
      </c>
      <c r="CQ567" s="681">
        <f t="shared" si="13182"/>
        <v>0</v>
      </c>
      <c r="CR567" s="565">
        <f t="shared" ref="CR567:CY567" si="13183">CR569</f>
        <v>0</v>
      </c>
      <c r="CS567" s="681">
        <f t="shared" si="13183"/>
        <v>0</v>
      </c>
      <c r="CT567" s="565">
        <f t="shared" si="13183"/>
        <v>0</v>
      </c>
      <c r="CU567" s="681">
        <f t="shared" si="13183"/>
        <v>0</v>
      </c>
      <c r="CV567" s="565">
        <f t="shared" si="13183"/>
        <v>0</v>
      </c>
      <c r="CW567" s="681">
        <f t="shared" si="13183"/>
        <v>0</v>
      </c>
      <c r="CX567" s="565">
        <f t="shared" si="13183"/>
        <v>0</v>
      </c>
      <c r="CY567" s="681">
        <f t="shared" si="13183"/>
        <v>0</v>
      </c>
      <c r="CZ567" s="565">
        <f t="shared" ref="CZ567:DG567" si="13184">CZ569</f>
        <v>0</v>
      </c>
      <c r="DA567" s="681">
        <f t="shared" si="13184"/>
        <v>0</v>
      </c>
      <c r="DB567" s="565">
        <f t="shared" si="13184"/>
        <v>0</v>
      </c>
      <c r="DC567" s="681">
        <f t="shared" si="13184"/>
        <v>0</v>
      </c>
      <c r="DD567" s="565">
        <f t="shared" si="13184"/>
        <v>0</v>
      </c>
      <c r="DE567" s="681">
        <f t="shared" si="13184"/>
        <v>0</v>
      </c>
      <c r="DF567" s="565">
        <f t="shared" si="13184"/>
        <v>0</v>
      </c>
      <c r="DG567" s="681">
        <f t="shared" si="13184"/>
        <v>0</v>
      </c>
      <c r="DH567" s="565">
        <f t="shared" ref="DH567:DY567" si="13185">DH569</f>
        <v>0</v>
      </c>
      <c r="DI567" s="681">
        <f t="shared" si="13185"/>
        <v>0</v>
      </c>
      <c r="DJ567" s="565">
        <f t="shared" si="13185"/>
        <v>0</v>
      </c>
      <c r="DK567" s="681">
        <f t="shared" si="13185"/>
        <v>0</v>
      </c>
      <c r="DL567" s="565">
        <f t="shared" si="13185"/>
        <v>0</v>
      </c>
      <c r="DM567" s="681">
        <f t="shared" si="13185"/>
        <v>0</v>
      </c>
      <c r="DN567" s="565">
        <f t="shared" si="13185"/>
        <v>0</v>
      </c>
      <c r="DO567" s="681">
        <f t="shared" si="13185"/>
        <v>0</v>
      </c>
      <c r="DP567" s="565">
        <f t="shared" si="13185"/>
        <v>0</v>
      </c>
      <c r="DQ567" s="681">
        <f t="shared" si="13185"/>
        <v>0</v>
      </c>
      <c r="DR567" s="565">
        <f t="shared" si="13185"/>
        <v>0</v>
      </c>
      <c r="DS567" s="681">
        <f t="shared" si="13185"/>
        <v>0</v>
      </c>
      <c r="DT567" s="565">
        <f t="shared" si="13185"/>
        <v>0</v>
      </c>
      <c r="DU567" s="681">
        <f t="shared" si="13185"/>
        <v>0</v>
      </c>
      <c r="DV567" s="565">
        <f t="shared" si="13185"/>
        <v>0</v>
      </c>
      <c r="DW567" s="681">
        <f t="shared" si="13185"/>
        <v>0</v>
      </c>
      <c r="DX567" s="565">
        <f t="shared" si="13185"/>
        <v>0</v>
      </c>
      <c r="DY567" s="681">
        <f t="shared" si="13185"/>
        <v>0</v>
      </c>
      <c r="DZ567" s="565">
        <f t="shared" ref="DZ567:FA567" si="13186">DZ569</f>
        <v>0</v>
      </c>
      <c r="EA567" s="681">
        <f t="shared" si="13186"/>
        <v>0</v>
      </c>
      <c r="EB567" s="565">
        <f t="shared" si="13186"/>
        <v>0</v>
      </c>
      <c r="EC567" s="681">
        <f t="shared" si="13186"/>
        <v>0</v>
      </c>
      <c r="ED567" s="565">
        <f t="shared" si="13186"/>
        <v>0</v>
      </c>
      <c r="EE567" s="681">
        <f t="shared" si="13186"/>
        <v>0</v>
      </c>
      <c r="EF567" s="565">
        <f t="shared" si="13186"/>
        <v>0</v>
      </c>
      <c r="EG567" s="681">
        <f t="shared" si="13186"/>
        <v>0</v>
      </c>
      <c r="EH567" s="565">
        <f t="shared" ref="EH567:EM567" si="13187">EH569</f>
        <v>0</v>
      </c>
      <c r="EI567" s="681">
        <f t="shared" si="13187"/>
        <v>0</v>
      </c>
      <c r="EJ567" s="565">
        <f t="shared" si="13187"/>
        <v>0</v>
      </c>
      <c r="EK567" s="681">
        <f t="shared" si="13187"/>
        <v>0</v>
      </c>
      <c r="EL567" s="565">
        <f t="shared" si="13187"/>
        <v>0</v>
      </c>
      <c r="EM567" s="681">
        <f t="shared" si="13187"/>
        <v>0</v>
      </c>
      <c r="EN567" s="565">
        <f t="shared" si="13186"/>
        <v>0</v>
      </c>
      <c r="EO567" s="681">
        <f t="shared" si="13186"/>
        <v>0</v>
      </c>
      <c r="EP567" s="565">
        <f t="shared" si="13186"/>
        <v>0</v>
      </c>
      <c r="EQ567" s="681">
        <f t="shared" si="13186"/>
        <v>0</v>
      </c>
      <c r="ER567" s="565">
        <f t="shared" si="13186"/>
        <v>0</v>
      </c>
      <c r="ES567" s="681">
        <f t="shared" si="13186"/>
        <v>0</v>
      </c>
      <c r="ET567" s="565">
        <f t="shared" si="13186"/>
        <v>0</v>
      </c>
      <c r="EU567" s="681">
        <f t="shared" si="13186"/>
        <v>0</v>
      </c>
      <c r="EV567" s="565">
        <f t="shared" ref="EV567:EW567" si="13188">EV569</f>
        <v>0</v>
      </c>
      <c r="EW567" s="681">
        <f t="shared" si="13188"/>
        <v>0</v>
      </c>
      <c r="EX567" s="565">
        <f t="shared" si="13186"/>
        <v>0</v>
      </c>
      <c r="EY567" s="681">
        <f t="shared" si="13186"/>
        <v>0</v>
      </c>
      <c r="EZ567" s="565">
        <f t="shared" si="13186"/>
        <v>0</v>
      </c>
      <c r="FA567" s="681">
        <f t="shared" si="13186"/>
        <v>0</v>
      </c>
      <c r="FB567" s="565">
        <f t="shared" ref="FB567:FC567" si="13189">FB569</f>
        <v>0</v>
      </c>
      <c r="FC567" s="681">
        <f t="shared" si="13189"/>
        <v>0</v>
      </c>
      <c r="FD567" s="565">
        <f t="shared" ref="FD567:FE567" si="13190">FD569</f>
        <v>0</v>
      </c>
      <c r="FE567" s="681">
        <f t="shared" si="13190"/>
        <v>0</v>
      </c>
      <c r="FF567" s="565">
        <f t="shared" ref="FF567:FG567" si="13191">FF569</f>
        <v>0</v>
      </c>
      <c r="FG567" s="681">
        <f t="shared" si="13191"/>
        <v>0</v>
      </c>
      <c r="FH567" s="565">
        <f t="shared" ref="FH567:FI567" si="13192">FH569</f>
        <v>0</v>
      </c>
      <c r="FI567" s="681">
        <f t="shared" si="13192"/>
        <v>0</v>
      </c>
      <c r="FJ567" s="565">
        <f t="shared" ref="FJ567:FK567" si="13193">FJ569</f>
        <v>0</v>
      </c>
      <c r="FK567" s="681">
        <f t="shared" si="13193"/>
        <v>0</v>
      </c>
      <c r="FL567" s="565">
        <f t="shared" ref="FL567:FM567" si="13194">FL569</f>
        <v>0</v>
      </c>
      <c r="FM567" s="681">
        <f t="shared" si="13194"/>
        <v>0</v>
      </c>
      <c r="FN567" s="565">
        <f t="shared" ref="FN567:FO567" si="13195">FN569</f>
        <v>0</v>
      </c>
      <c r="FO567" s="681">
        <f t="shared" si="13195"/>
        <v>0</v>
      </c>
      <c r="FP567" s="565">
        <f t="shared" ref="FP567:FQ567" si="13196">FP569</f>
        <v>0</v>
      </c>
      <c r="FQ567" s="681">
        <f t="shared" si="13196"/>
        <v>0</v>
      </c>
      <c r="FR567" s="565">
        <f t="shared" ref="FR567:FS567" si="13197">FR569</f>
        <v>0</v>
      </c>
      <c r="FS567" s="681">
        <f t="shared" si="13197"/>
        <v>0</v>
      </c>
      <c r="FT567" s="565">
        <f t="shared" ref="FT567:FU567" si="13198">FT569</f>
        <v>0</v>
      </c>
      <c r="FU567" s="681">
        <f t="shared" si="13198"/>
        <v>0</v>
      </c>
      <c r="FV567" s="565">
        <f t="shared" ref="FV567:GK567" si="13199">FV569</f>
        <v>0</v>
      </c>
      <c r="FW567" s="681">
        <f t="shared" si="13199"/>
        <v>0</v>
      </c>
      <c r="FX567" s="565">
        <f t="shared" si="13199"/>
        <v>0</v>
      </c>
      <c r="FY567" s="681">
        <f t="shared" si="13199"/>
        <v>0</v>
      </c>
      <c r="FZ567" s="565">
        <f t="shared" ref="FZ567:GI567" si="13200">FZ569</f>
        <v>0</v>
      </c>
      <c r="GA567" s="681">
        <f t="shared" si="13200"/>
        <v>0</v>
      </c>
      <c r="GB567" s="565">
        <f t="shared" si="13200"/>
        <v>0</v>
      </c>
      <c r="GC567" s="681">
        <f t="shared" si="13200"/>
        <v>0</v>
      </c>
      <c r="GD567" s="565">
        <f t="shared" si="13200"/>
        <v>0</v>
      </c>
      <c r="GE567" s="681">
        <f t="shared" si="13200"/>
        <v>0</v>
      </c>
      <c r="GF567" s="565">
        <f t="shared" si="13200"/>
        <v>0</v>
      </c>
      <c r="GG567" s="681">
        <f t="shared" si="13200"/>
        <v>0</v>
      </c>
      <c r="GH567" s="565">
        <f t="shared" si="13200"/>
        <v>0</v>
      </c>
      <c r="GI567" s="681">
        <f t="shared" si="13200"/>
        <v>0</v>
      </c>
      <c r="GJ567" s="565">
        <f t="shared" si="13199"/>
        <v>0</v>
      </c>
      <c r="GK567" s="681">
        <f t="shared" si="13199"/>
        <v>0</v>
      </c>
      <c r="GL567" s="565">
        <f t="shared" ref="GL567:GP567" si="13201">GL569</f>
        <v>0</v>
      </c>
      <c r="GM567" s="681">
        <f t="shared" si="13201"/>
        <v>0</v>
      </c>
      <c r="GN567" s="565">
        <f t="shared" ref="GN567:GO567" si="13202">GN569</f>
        <v>0</v>
      </c>
      <c r="GO567" s="681">
        <f t="shared" si="13202"/>
        <v>0</v>
      </c>
      <c r="GP567" s="565">
        <f t="shared" si="13201"/>
        <v>0</v>
      </c>
      <c r="GQ567" s="681">
        <f t="shared" ref="GQ567:JB567" si="13203">GQ569</f>
        <v>0</v>
      </c>
      <c r="GR567" s="268">
        <f t="shared" si="13203"/>
        <v>0</v>
      </c>
      <c r="GS567" s="268">
        <f t="shared" si="13203"/>
        <v>0</v>
      </c>
      <c r="GT567" s="565">
        <f t="shared" si="13203"/>
        <v>0</v>
      </c>
      <c r="GU567" s="268">
        <f t="shared" si="13203"/>
        <v>0</v>
      </c>
      <c r="GV567" s="268">
        <f t="shared" si="13203"/>
        <v>0</v>
      </c>
      <c r="GW567" s="565">
        <f t="shared" si="13203"/>
        <v>0</v>
      </c>
      <c r="GX567" s="565">
        <f t="shared" si="13203"/>
        <v>0</v>
      </c>
      <c r="GY567" s="268">
        <f t="shared" si="13203"/>
        <v>0</v>
      </c>
      <c r="GZ567" s="268">
        <f t="shared" si="13203"/>
        <v>0</v>
      </c>
      <c r="HA567" s="268">
        <f t="shared" si="13203"/>
        <v>0</v>
      </c>
      <c r="HB567" s="268">
        <f t="shared" si="13203"/>
        <v>0</v>
      </c>
      <c r="HC567" s="268">
        <f t="shared" si="13203"/>
        <v>0</v>
      </c>
      <c r="HD567" s="268">
        <f t="shared" si="13203"/>
        <v>0</v>
      </c>
      <c r="HE567" s="268">
        <f t="shared" si="13203"/>
        <v>0</v>
      </c>
      <c r="HF567" s="268">
        <f t="shared" si="13203"/>
        <v>0</v>
      </c>
      <c r="HG567" s="268">
        <f t="shared" si="13203"/>
        <v>0</v>
      </c>
      <c r="HH567" s="268">
        <f t="shared" ref="HH567:HI567" si="13204">HH569</f>
        <v>0</v>
      </c>
      <c r="HI567" s="820">
        <f t="shared" si="13204"/>
        <v>0</v>
      </c>
      <c r="HJ567" s="268">
        <f t="shared" ref="HJ567:HK567" si="13205">HJ569</f>
        <v>0</v>
      </c>
      <c r="HK567" s="820">
        <f t="shared" si="13205"/>
        <v>0</v>
      </c>
      <c r="HL567" s="268">
        <f t="shared" ref="HL567:HM567" si="13206">HL569</f>
        <v>0</v>
      </c>
      <c r="HM567" s="820">
        <f t="shared" si="13206"/>
        <v>0</v>
      </c>
      <c r="HN567" s="268">
        <f t="shared" ref="HN567:HO567" si="13207">HN569</f>
        <v>0</v>
      </c>
      <c r="HO567" s="820">
        <f t="shared" si="13207"/>
        <v>0</v>
      </c>
      <c r="HP567" s="268">
        <f t="shared" ref="HP567:HQ567" si="13208">HP569</f>
        <v>0</v>
      </c>
      <c r="HQ567" s="820">
        <f t="shared" si="13208"/>
        <v>0</v>
      </c>
      <c r="HR567" s="268">
        <f t="shared" ref="HR567:HS567" si="13209">HR569</f>
        <v>0</v>
      </c>
      <c r="HS567" s="820">
        <f t="shared" si="13209"/>
        <v>0</v>
      </c>
      <c r="HT567" s="268">
        <f t="shared" ref="HT567:HU567" si="13210">HT569</f>
        <v>0</v>
      </c>
      <c r="HU567" s="820">
        <f t="shared" si="13210"/>
        <v>0</v>
      </c>
      <c r="HV567" s="268">
        <f t="shared" ref="HV567:HW567" si="13211">HV569</f>
        <v>0</v>
      </c>
      <c r="HW567" s="820">
        <f t="shared" si="13211"/>
        <v>0</v>
      </c>
      <c r="HX567" s="268">
        <f t="shared" ref="HX567:HY567" si="13212">HX569</f>
        <v>0</v>
      </c>
      <c r="HY567" s="820">
        <f t="shared" si="13212"/>
        <v>0</v>
      </c>
      <c r="HZ567" s="268">
        <f t="shared" ref="HZ567:IA567" si="13213">HZ569</f>
        <v>0</v>
      </c>
      <c r="IA567" s="820">
        <f t="shared" si="13213"/>
        <v>0</v>
      </c>
      <c r="IB567" s="268">
        <f t="shared" ref="IB567:IC567" si="13214">IB569</f>
        <v>0</v>
      </c>
      <c r="IC567" s="820">
        <f t="shared" si="13214"/>
        <v>0</v>
      </c>
      <c r="ID567" s="268">
        <f t="shared" si="13203"/>
        <v>0</v>
      </c>
      <c r="IE567" s="820">
        <f t="shared" si="13203"/>
        <v>0</v>
      </c>
      <c r="IF567" s="861">
        <f t="shared" si="13203"/>
        <v>0</v>
      </c>
      <c r="IG567" s="284">
        <f t="shared" si="13203"/>
        <v>0</v>
      </c>
      <c r="IH567" s="862">
        <f t="shared" si="13203"/>
        <v>0</v>
      </c>
      <c r="II567" s="268">
        <f t="shared" si="13203"/>
        <v>0</v>
      </c>
      <c r="IJ567" s="268">
        <f t="shared" si="13203"/>
        <v>0</v>
      </c>
      <c r="IK567" s="268">
        <f t="shared" si="13203"/>
        <v>0</v>
      </c>
      <c r="IL567" s="268">
        <f t="shared" si="13203"/>
        <v>0</v>
      </c>
      <c r="IM567" s="268">
        <f t="shared" si="13203"/>
        <v>0</v>
      </c>
      <c r="IN567" s="268">
        <f t="shared" si="13203"/>
        <v>0</v>
      </c>
      <c r="IO567" s="268">
        <f t="shared" si="13203"/>
        <v>0</v>
      </c>
      <c r="IP567" s="268">
        <f t="shared" si="13203"/>
        <v>0</v>
      </c>
      <c r="IQ567" s="268">
        <f t="shared" si="13203"/>
        <v>0</v>
      </c>
      <c r="IR567" s="268">
        <f t="shared" si="13203"/>
        <v>0</v>
      </c>
      <c r="IS567" s="268">
        <f t="shared" si="13203"/>
        <v>0</v>
      </c>
      <c r="IT567" s="268">
        <f t="shared" si="13203"/>
        <v>0</v>
      </c>
      <c r="IU567" s="268">
        <f t="shared" si="13203"/>
        <v>0</v>
      </c>
      <c r="IV567" s="268">
        <f t="shared" si="13203"/>
        <v>0</v>
      </c>
      <c r="IW567" s="268">
        <f t="shared" si="13203"/>
        <v>0</v>
      </c>
      <c r="IX567" s="268">
        <f t="shared" si="13203"/>
        <v>0</v>
      </c>
      <c r="IY567" s="268">
        <f t="shared" si="13203"/>
        <v>0</v>
      </c>
      <c r="IZ567" s="268">
        <f t="shared" si="13203"/>
        <v>0</v>
      </c>
      <c r="JA567" s="268">
        <f t="shared" si="13203"/>
        <v>0</v>
      </c>
      <c r="JB567" s="268">
        <f t="shared" si="13203"/>
        <v>0</v>
      </c>
      <c r="JC567" s="268">
        <f t="shared" ref="JC567" si="13215">JC569</f>
        <v>0</v>
      </c>
      <c r="JD567" s="268">
        <f t="shared" ref="JD567:JF567" si="13216">JD569</f>
        <v>0</v>
      </c>
      <c r="JE567" s="268">
        <f t="shared" si="13216"/>
        <v>0</v>
      </c>
      <c r="JF567" s="268">
        <f t="shared" si="13216"/>
        <v>0</v>
      </c>
      <c r="JG567" s="268">
        <f t="shared" ref="JG567:JI567" si="13217">JG569</f>
        <v>0</v>
      </c>
      <c r="JH567" s="268">
        <f t="shared" si="13217"/>
        <v>0</v>
      </c>
      <c r="JI567" s="268">
        <f t="shared" si="13217"/>
        <v>0</v>
      </c>
      <c r="JJ567" s="268">
        <f t="shared" ref="JJ567:JL567" si="13218">JJ569</f>
        <v>0</v>
      </c>
      <c r="JK567" s="268">
        <f t="shared" si="13218"/>
        <v>0</v>
      </c>
      <c r="JL567" s="268">
        <f t="shared" si="13218"/>
        <v>0</v>
      </c>
      <c r="JM567" s="268">
        <f t="shared" ref="JM567:JO567" si="13219">JM569</f>
        <v>0</v>
      </c>
      <c r="JN567" s="268">
        <f t="shared" si="13219"/>
        <v>0</v>
      </c>
      <c r="JO567" s="268">
        <f t="shared" si="13219"/>
        <v>0</v>
      </c>
      <c r="JP567" s="268">
        <f t="shared" ref="JP567:JY567" si="13220">JP569</f>
        <v>0</v>
      </c>
      <c r="JQ567" s="268">
        <f t="shared" si="13220"/>
        <v>0</v>
      </c>
      <c r="JR567" s="268">
        <f t="shared" si="13220"/>
        <v>0</v>
      </c>
      <c r="JS567" s="268">
        <f t="shared" si="13220"/>
        <v>0</v>
      </c>
      <c r="JT567" s="660">
        <f t="shared" si="13220"/>
        <v>0</v>
      </c>
      <c r="JU567" s="665"/>
      <c r="JV567" s="524"/>
      <c r="JW567" s="525"/>
      <c r="JX567" s="565">
        <f t="shared" si="13220"/>
        <v>0</v>
      </c>
      <c r="JY567" s="565">
        <f t="shared" si="13220"/>
        <v>0</v>
      </c>
      <c r="JZ567" s="581">
        <f t="shared" si="12201"/>
        <v>0</v>
      </c>
      <c r="KA567" s="581">
        <f t="shared" si="12202"/>
        <v>0</v>
      </c>
      <c r="KB567" s="565">
        <f t="shared" si="13163"/>
        <v>0</v>
      </c>
      <c r="KC567" s="709">
        <f t="shared" si="12200"/>
        <v>0</v>
      </c>
      <c r="KD567" s="36"/>
      <c r="KE567" s="36"/>
      <c r="KF567" s="36"/>
      <c r="KG567" s="36"/>
      <c r="KH567" s="36"/>
      <c r="KI567" s="36"/>
      <c r="KJ567" s="36"/>
      <c r="KK567" s="36"/>
    </row>
    <row r="568" spans="1:297" s="10" customFormat="1" ht="12.75" hidden="1" customHeight="1">
      <c r="A568" s="86"/>
      <c r="B568" s="77"/>
      <c r="C568" s="74"/>
      <c r="D568" s="549"/>
      <c r="E568" s="675"/>
      <c r="F568" s="549"/>
      <c r="G568" s="675"/>
      <c r="H568" s="549"/>
      <c r="I568" s="675"/>
      <c r="J568" s="549"/>
      <c r="K568" s="675"/>
      <c r="L568" s="549"/>
      <c r="M568" s="675"/>
      <c r="N568" s="549"/>
      <c r="O568" s="675"/>
      <c r="P568" s="549"/>
      <c r="Q568" s="675"/>
      <c r="R568" s="549"/>
      <c r="S568" s="675"/>
      <c r="T568" s="549"/>
      <c r="U568" s="675"/>
      <c r="V568" s="549"/>
      <c r="W568" s="675"/>
      <c r="X568" s="549"/>
      <c r="Y568" s="675"/>
      <c r="Z568" s="549"/>
      <c r="AA568" s="675"/>
      <c r="AB568" s="549"/>
      <c r="AC568" s="675"/>
      <c r="AD568" s="549"/>
      <c r="AE568" s="675"/>
      <c r="AF568" s="549"/>
      <c r="AG568" s="675"/>
      <c r="AH568" s="549"/>
      <c r="AI568" s="675"/>
      <c r="AJ568" s="549"/>
      <c r="AK568" s="675"/>
      <c r="AL568" s="549"/>
      <c r="AM568" s="675"/>
      <c r="AN568" s="549"/>
      <c r="AO568" s="675"/>
      <c r="AP568" s="549"/>
      <c r="AQ568" s="675"/>
      <c r="AR568" s="549"/>
      <c r="AS568" s="675"/>
      <c r="AT568" s="549"/>
      <c r="AU568" s="675"/>
      <c r="AV568" s="549"/>
      <c r="AW568" s="675"/>
      <c r="AX568" s="549"/>
      <c r="AY568" s="675"/>
      <c r="AZ568" s="549"/>
      <c r="BA568" s="675"/>
      <c r="BB568" s="549"/>
      <c r="BC568" s="675"/>
      <c r="BD568" s="549"/>
      <c r="BE568" s="675"/>
      <c r="BF568" s="549"/>
      <c r="BG568" s="675"/>
      <c r="BH568" s="549"/>
      <c r="BI568" s="675"/>
      <c r="BJ568" s="549"/>
      <c r="BK568" s="675"/>
      <c r="BL568" s="549"/>
      <c r="BM568" s="675"/>
      <c r="BN568" s="549"/>
      <c r="BO568" s="675"/>
      <c r="BP568" s="549"/>
      <c r="BQ568" s="675"/>
      <c r="BR568" s="549"/>
      <c r="BS568" s="675"/>
      <c r="BT568" s="549"/>
      <c r="BU568" s="675"/>
      <c r="BV568" s="549"/>
      <c r="BW568" s="675"/>
      <c r="BX568" s="549"/>
      <c r="BY568" s="675"/>
      <c r="BZ568" s="549"/>
      <c r="CA568" s="675"/>
      <c r="CB568" s="549"/>
      <c r="CC568" s="675"/>
      <c r="CD568" s="549"/>
      <c r="CE568" s="675"/>
      <c r="CF568" s="549"/>
      <c r="CG568" s="675"/>
      <c r="CH568" s="549"/>
      <c r="CI568" s="675"/>
      <c r="CJ568" s="549"/>
      <c r="CK568" s="675"/>
      <c r="CL568" s="549"/>
      <c r="CM568" s="675"/>
      <c r="CN568" s="549"/>
      <c r="CO568" s="675"/>
      <c r="CP568" s="549"/>
      <c r="CQ568" s="675"/>
      <c r="CR568" s="549"/>
      <c r="CS568" s="675"/>
      <c r="CT568" s="549"/>
      <c r="CU568" s="675"/>
      <c r="CV568" s="549"/>
      <c r="CW568" s="675"/>
      <c r="CX568" s="549"/>
      <c r="CY568" s="675"/>
      <c r="CZ568" s="549"/>
      <c r="DA568" s="675"/>
      <c r="DB568" s="549"/>
      <c r="DC568" s="675"/>
      <c r="DD568" s="549"/>
      <c r="DE568" s="675"/>
      <c r="DF568" s="549"/>
      <c r="DG568" s="675"/>
      <c r="DH568" s="549"/>
      <c r="DI568" s="675"/>
      <c r="DJ568" s="549"/>
      <c r="DK568" s="675"/>
      <c r="DL568" s="549"/>
      <c r="DM568" s="675"/>
      <c r="DN568" s="549"/>
      <c r="DO568" s="675"/>
      <c r="DP568" s="549"/>
      <c r="DQ568" s="675"/>
      <c r="DR568" s="549"/>
      <c r="DS568" s="675"/>
      <c r="DT568" s="549"/>
      <c r="DU568" s="675"/>
      <c r="DV568" s="549"/>
      <c r="DW568" s="675"/>
      <c r="DX568" s="549"/>
      <c r="DY568" s="675"/>
      <c r="DZ568" s="549"/>
      <c r="EA568" s="675"/>
      <c r="EB568" s="549"/>
      <c r="EC568" s="675"/>
      <c r="ED568" s="549"/>
      <c r="EE568" s="675"/>
      <c r="EF568" s="549"/>
      <c r="EG568" s="675"/>
      <c r="EH568" s="549"/>
      <c r="EI568" s="675"/>
      <c r="EJ568" s="549"/>
      <c r="EK568" s="675"/>
      <c r="EL568" s="549"/>
      <c r="EM568" s="675"/>
      <c r="EN568" s="549"/>
      <c r="EO568" s="675"/>
      <c r="EP568" s="549"/>
      <c r="EQ568" s="675"/>
      <c r="ER568" s="549"/>
      <c r="ES568" s="675"/>
      <c r="ET568" s="549"/>
      <c r="EU568" s="675"/>
      <c r="EV568" s="549"/>
      <c r="EW568" s="675"/>
      <c r="EX568" s="549"/>
      <c r="EY568" s="675"/>
      <c r="EZ568" s="549"/>
      <c r="FA568" s="675"/>
      <c r="FB568" s="549"/>
      <c r="FC568" s="675"/>
      <c r="FD568" s="549"/>
      <c r="FE568" s="675"/>
      <c r="FF568" s="549"/>
      <c r="FG568" s="675"/>
      <c r="FH568" s="549"/>
      <c r="FI568" s="675"/>
      <c r="FJ568" s="549"/>
      <c r="FK568" s="675"/>
      <c r="FL568" s="549"/>
      <c r="FM568" s="675"/>
      <c r="FN568" s="549"/>
      <c r="FO568" s="675"/>
      <c r="FP568" s="549"/>
      <c r="FQ568" s="675"/>
      <c r="FR568" s="549"/>
      <c r="FS568" s="675"/>
      <c r="FT568" s="549"/>
      <c r="FU568" s="675"/>
      <c r="FV568" s="549"/>
      <c r="FW568" s="675"/>
      <c r="FX568" s="549"/>
      <c r="FY568" s="675"/>
      <c r="FZ568" s="549"/>
      <c r="GA568" s="675"/>
      <c r="GB568" s="549"/>
      <c r="GC568" s="675"/>
      <c r="GD568" s="549"/>
      <c r="GE568" s="675"/>
      <c r="GF568" s="549"/>
      <c r="GG568" s="675"/>
      <c r="GH568" s="549"/>
      <c r="GI568" s="675"/>
      <c r="GJ568" s="549"/>
      <c r="GK568" s="675"/>
      <c r="GL568" s="549"/>
      <c r="GM568" s="675"/>
      <c r="GN568" s="549"/>
      <c r="GO568" s="675"/>
      <c r="GP568" s="549"/>
      <c r="GQ568" s="675"/>
      <c r="GR568" s="74"/>
      <c r="GS568" s="74"/>
      <c r="GT568" s="549"/>
      <c r="GU568" s="74"/>
      <c r="GV568" s="74"/>
      <c r="GW568" s="549"/>
      <c r="GX568" s="549"/>
      <c r="GY568" s="74"/>
      <c r="GZ568" s="74"/>
      <c r="HA568" s="74"/>
      <c r="HB568" s="74"/>
      <c r="HC568" s="74"/>
      <c r="HD568" s="74"/>
      <c r="HE568" s="74"/>
      <c r="HF568" s="74"/>
      <c r="HG568" s="74"/>
      <c r="HH568" s="74"/>
      <c r="HI568" s="792"/>
      <c r="HJ568" s="74"/>
      <c r="HK568" s="792"/>
      <c r="HL568" s="74"/>
      <c r="HM568" s="792"/>
      <c r="HN568" s="74"/>
      <c r="HO568" s="792"/>
      <c r="HP568" s="74"/>
      <c r="HQ568" s="792"/>
      <c r="HR568" s="74"/>
      <c r="HS568" s="792"/>
      <c r="HT568" s="74"/>
      <c r="HU568" s="792"/>
      <c r="HV568" s="74"/>
      <c r="HW568" s="792"/>
      <c r="HX568" s="74"/>
      <c r="HY568" s="792"/>
      <c r="HZ568" s="74"/>
      <c r="IA568" s="792"/>
      <c r="IB568" s="74"/>
      <c r="IC568" s="792"/>
      <c r="ID568" s="74"/>
      <c r="IE568" s="792"/>
      <c r="IF568" s="841"/>
      <c r="IG568" s="263"/>
      <c r="IH568" s="842"/>
      <c r="II568" s="74"/>
      <c r="IJ568" s="74"/>
      <c r="IK568" s="74"/>
      <c r="IL568" s="74"/>
      <c r="IM568" s="74"/>
      <c r="IN568" s="74"/>
      <c r="IO568" s="74"/>
      <c r="IP568" s="74"/>
      <c r="IQ568" s="74"/>
      <c r="IR568" s="74"/>
      <c r="IS568" s="74"/>
      <c r="IT568" s="74"/>
      <c r="IU568" s="74"/>
      <c r="IV568" s="74"/>
      <c r="IW568" s="74"/>
      <c r="IX568" s="74"/>
      <c r="IY568" s="74"/>
      <c r="IZ568" s="74"/>
      <c r="JA568" s="74"/>
      <c r="JB568" s="74"/>
      <c r="JC568" s="74"/>
      <c r="JD568" s="74"/>
      <c r="JE568" s="74"/>
      <c r="JF568" s="74"/>
      <c r="JG568" s="74"/>
      <c r="JH568" s="74"/>
      <c r="JI568" s="74"/>
      <c r="JJ568" s="74"/>
      <c r="JK568" s="74"/>
      <c r="JL568" s="74"/>
      <c r="JM568" s="74"/>
      <c r="JN568" s="74"/>
      <c r="JO568" s="74"/>
      <c r="JP568" s="74"/>
      <c r="JQ568" s="74"/>
      <c r="JR568" s="74"/>
      <c r="JS568" s="74"/>
      <c r="JT568" s="382"/>
      <c r="JU568" s="665"/>
      <c r="JV568" s="524"/>
      <c r="JW568" s="525"/>
      <c r="JX568" s="549"/>
      <c r="JY568" s="549"/>
      <c r="JZ568" s="581">
        <f t="shared" si="12201"/>
        <v>0</v>
      </c>
      <c r="KA568" s="581">
        <f t="shared" si="12202"/>
        <v>0</v>
      </c>
      <c r="KB568" s="549">
        <f t="shared" si="13163"/>
        <v>0</v>
      </c>
      <c r="KC568" s="709">
        <f t="shared" si="12200"/>
        <v>0</v>
      </c>
      <c r="KD568" s="36"/>
      <c r="KE568" s="36"/>
      <c r="KF568" s="36"/>
      <c r="KG568" s="36"/>
      <c r="KH568" s="36"/>
      <c r="KI568" s="36"/>
      <c r="KJ568" s="36"/>
      <c r="KK568" s="36"/>
    </row>
    <row r="569" spans="1:297" s="10" customFormat="1" ht="12.75" hidden="1" customHeight="1">
      <c r="A569" s="80" t="s">
        <v>718</v>
      </c>
      <c r="B569" s="77"/>
      <c r="C569" s="74">
        <f t="shared" ref="C569:AM569" si="13221">C571</f>
        <v>0</v>
      </c>
      <c r="D569" s="549">
        <f t="shared" si="13221"/>
        <v>0</v>
      </c>
      <c r="E569" s="675">
        <f t="shared" si="13221"/>
        <v>0</v>
      </c>
      <c r="F569" s="549">
        <f t="shared" si="13221"/>
        <v>0</v>
      </c>
      <c r="G569" s="675">
        <f t="shared" si="13221"/>
        <v>0</v>
      </c>
      <c r="H569" s="549">
        <f t="shared" si="13221"/>
        <v>0</v>
      </c>
      <c r="I569" s="675">
        <f t="shared" si="13221"/>
        <v>0</v>
      </c>
      <c r="J569" s="549">
        <f t="shared" si="13221"/>
        <v>0</v>
      </c>
      <c r="K569" s="675">
        <f t="shared" si="13221"/>
        <v>0</v>
      </c>
      <c r="L569" s="549">
        <f t="shared" si="13221"/>
        <v>0</v>
      </c>
      <c r="M569" s="675">
        <f t="shared" si="13221"/>
        <v>0</v>
      </c>
      <c r="N569" s="549">
        <f t="shared" si="13221"/>
        <v>0</v>
      </c>
      <c r="O569" s="675">
        <f t="shared" si="13221"/>
        <v>0</v>
      </c>
      <c r="P569" s="549">
        <f t="shared" si="13221"/>
        <v>0</v>
      </c>
      <c r="Q569" s="675">
        <f t="shared" si="13221"/>
        <v>0</v>
      </c>
      <c r="R569" s="549">
        <f t="shared" si="13221"/>
        <v>0</v>
      </c>
      <c r="S569" s="675">
        <f t="shared" si="13221"/>
        <v>0</v>
      </c>
      <c r="T569" s="549">
        <f t="shared" si="13221"/>
        <v>0</v>
      </c>
      <c r="U569" s="675">
        <f t="shared" si="13221"/>
        <v>0</v>
      </c>
      <c r="V569" s="549">
        <f t="shared" si="13221"/>
        <v>0</v>
      </c>
      <c r="W569" s="675">
        <f t="shared" si="13221"/>
        <v>0</v>
      </c>
      <c r="X569" s="549">
        <f t="shared" si="13221"/>
        <v>0</v>
      </c>
      <c r="Y569" s="675">
        <f t="shared" si="13221"/>
        <v>0</v>
      </c>
      <c r="Z569" s="549">
        <f t="shared" si="13221"/>
        <v>0</v>
      </c>
      <c r="AA569" s="675">
        <f t="shared" si="13221"/>
        <v>0</v>
      </c>
      <c r="AB569" s="549">
        <f t="shared" si="13221"/>
        <v>0</v>
      </c>
      <c r="AC569" s="675">
        <f t="shared" si="13221"/>
        <v>0</v>
      </c>
      <c r="AD569" s="549">
        <f t="shared" ref="AD569:AK569" si="13222">AD571</f>
        <v>0</v>
      </c>
      <c r="AE569" s="675">
        <f t="shared" si="13222"/>
        <v>0</v>
      </c>
      <c r="AF569" s="549">
        <f t="shared" si="13222"/>
        <v>0</v>
      </c>
      <c r="AG569" s="675">
        <f t="shared" si="13222"/>
        <v>0</v>
      </c>
      <c r="AH569" s="549">
        <f t="shared" si="13222"/>
        <v>0</v>
      </c>
      <c r="AI569" s="675">
        <f t="shared" si="13222"/>
        <v>0</v>
      </c>
      <c r="AJ569" s="549">
        <f t="shared" si="13222"/>
        <v>0</v>
      </c>
      <c r="AK569" s="675">
        <f t="shared" si="13222"/>
        <v>0</v>
      </c>
      <c r="AL569" s="549">
        <f t="shared" si="13221"/>
        <v>0</v>
      </c>
      <c r="AM569" s="675">
        <f t="shared" si="13221"/>
        <v>0</v>
      </c>
      <c r="AN569" s="549">
        <f t="shared" ref="AN569:AS569" si="13223">AN571</f>
        <v>0</v>
      </c>
      <c r="AO569" s="675">
        <f t="shared" si="13223"/>
        <v>0</v>
      </c>
      <c r="AP569" s="549">
        <f t="shared" si="13223"/>
        <v>0</v>
      </c>
      <c r="AQ569" s="675">
        <f t="shared" si="13223"/>
        <v>0</v>
      </c>
      <c r="AR569" s="549">
        <f t="shared" si="13223"/>
        <v>0</v>
      </c>
      <c r="AS569" s="675">
        <f t="shared" si="13223"/>
        <v>0</v>
      </c>
      <c r="AT569" s="549">
        <f t="shared" ref="AT569:AU569" si="13224">AT571</f>
        <v>0</v>
      </c>
      <c r="AU569" s="675">
        <f t="shared" si="13224"/>
        <v>0</v>
      </c>
      <c r="AV569" s="549">
        <f t="shared" ref="AV569:AW569" si="13225">AV571</f>
        <v>0</v>
      </c>
      <c r="AW569" s="675">
        <f t="shared" si="13225"/>
        <v>0</v>
      </c>
      <c r="AX569" s="549">
        <f t="shared" ref="AX569:AY569" si="13226">AX571</f>
        <v>0</v>
      </c>
      <c r="AY569" s="675">
        <f t="shared" si="13226"/>
        <v>0</v>
      </c>
      <c r="AZ569" s="549">
        <f t="shared" ref="AZ569:BA569" si="13227">AZ571</f>
        <v>0</v>
      </c>
      <c r="BA569" s="675">
        <f t="shared" si="13227"/>
        <v>0</v>
      </c>
      <c r="BB569" s="549">
        <f t="shared" ref="BB569:BC569" si="13228">BB571</f>
        <v>0</v>
      </c>
      <c r="BC569" s="675">
        <f t="shared" si="13228"/>
        <v>0</v>
      </c>
      <c r="BD569" s="549">
        <f t="shared" ref="BD569:BE569" si="13229">BD571</f>
        <v>0</v>
      </c>
      <c r="BE569" s="675">
        <f t="shared" si="13229"/>
        <v>0</v>
      </c>
      <c r="BF569" s="549">
        <f t="shared" ref="BF569:BG569" si="13230">BF571</f>
        <v>0</v>
      </c>
      <c r="BG569" s="675">
        <f t="shared" si="13230"/>
        <v>0</v>
      </c>
      <c r="BH569" s="549">
        <f t="shared" ref="BH569:BI569" si="13231">BH571</f>
        <v>0</v>
      </c>
      <c r="BI569" s="675">
        <f t="shared" si="13231"/>
        <v>0</v>
      </c>
      <c r="BJ569" s="549">
        <f t="shared" ref="BJ569:BK569" si="13232">BJ571</f>
        <v>0</v>
      </c>
      <c r="BK569" s="675">
        <f t="shared" si="13232"/>
        <v>0</v>
      </c>
      <c r="BL569" s="549">
        <f t="shared" ref="BL569:BS569" si="13233">BL571</f>
        <v>0</v>
      </c>
      <c r="BM569" s="675">
        <f t="shared" si="13233"/>
        <v>0</v>
      </c>
      <c r="BN569" s="549">
        <f t="shared" si="13233"/>
        <v>0</v>
      </c>
      <c r="BO569" s="675">
        <f t="shared" si="13233"/>
        <v>0</v>
      </c>
      <c r="BP569" s="549">
        <f t="shared" si="13233"/>
        <v>0</v>
      </c>
      <c r="BQ569" s="675">
        <f t="shared" si="13233"/>
        <v>0</v>
      </c>
      <c r="BR569" s="549">
        <f t="shared" si="13233"/>
        <v>0</v>
      </c>
      <c r="BS569" s="675">
        <f t="shared" si="13233"/>
        <v>0</v>
      </c>
      <c r="BT569" s="549">
        <f t="shared" ref="BT569:BU569" si="13234">BT571</f>
        <v>0</v>
      </c>
      <c r="BU569" s="675">
        <f t="shared" si="13234"/>
        <v>0</v>
      </c>
      <c r="BV569" s="549">
        <f t="shared" ref="BV569:BW569" si="13235">BV571</f>
        <v>0</v>
      </c>
      <c r="BW569" s="675">
        <f t="shared" si="13235"/>
        <v>0</v>
      </c>
      <c r="BX569" s="549">
        <f t="shared" ref="BX569:BY569" si="13236">BX571</f>
        <v>0</v>
      </c>
      <c r="BY569" s="675">
        <f t="shared" si="13236"/>
        <v>0</v>
      </c>
      <c r="BZ569" s="549">
        <f t="shared" ref="BZ569:CA569" si="13237">BZ571</f>
        <v>0</v>
      </c>
      <c r="CA569" s="675">
        <f t="shared" si="13237"/>
        <v>0</v>
      </c>
      <c r="CB569" s="549">
        <f t="shared" ref="CB569:CE569" si="13238">CB571</f>
        <v>0</v>
      </c>
      <c r="CC569" s="675">
        <f t="shared" si="13238"/>
        <v>0</v>
      </c>
      <c r="CD569" s="549">
        <f t="shared" si="13238"/>
        <v>0</v>
      </c>
      <c r="CE569" s="675">
        <f t="shared" si="13238"/>
        <v>0</v>
      </c>
      <c r="CF569" s="549">
        <f t="shared" ref="CF569:CQ569" si="13239">CF571</f>
        <v>0</v>
      </c>
      <c r="CG569" s="675">
        <f t="shared" si="13239"/>
        <v>0</v>
      </c>
      <c r="CH569" s="549">
        <f t="shared" si="13239"/>
        <v>0</v>
      </c>
      <c r="CI569" s="675">
        <f t="shared" si="13239"/>
        <v>0</v>
      </c>
      <c r="CJ569" s="549">
        <f t="shared" si="13239"/>
        <v>0</v>
      </c>
      <c r="CK569" s="675">
        <f t="shared" si="13239"/>
        <v>0</v>
      </c>
      <c r="CL569" s="549">
        <f t="shared" si="13239"/>
        <v>0</v>
      </c>
      <c r="CM569" s="675">
        <f t="shared" si="13239"/>
        <v>0</v>
      </c>
      <c r="CN569" s="549">
        <f t="shared" si="13239"/>
        <v>0</v>
      </c>
      <c r="CO569" s="675">
        <f t="shared" si="13239"/>
        <v>0</v>
      </c>
      <c r="CP569" s="549">
        <f t="shared" si="13239"/>
        <v>0</v>
      </c>
      <c r="CQ569" s="675">
        <f t="shared" si="13239"/>
        <v>0</v>
      </c>
      <c r="CR569" s="549">
        <f t="shared" ref="CR569:CY569" si="13240">CR571</f>
        <v>0</v>
      </c>
      <c r="CS569" s="675">
        <f t="shared" si="13240"/>
        <v>0</v>
      </c>
      <c r="CT569" s="549">
        <f t="shared" si="13240"/>
        <v>0</v>
      </c>
      <c r="CU569" s="675">
        <f t="shared" si="13240"/>
        <v>0</v>
      </c>
      <c r="CV569" s="549">
        <f t="shared" si="13240"/>
        <v>0</v>
      </c>
      <c r="CW569" s="675">
        <f t="shared" si="13240"/>
        <v>0</v>
      </c>
      <c r="CX569" s="549">
        <f t="shared" si="13240"/>
        <v>0</v>
      </c>
      <c r="CY569" s="675">
        <f t="shared" si="13240"/>
        <v>0</v>
      </c>
      <c r="CZ569" s="549">
        <f t="shared" ref="CZ569:DG569" si="13241">CZ571</f>
        <v>0</v>
      </c>
      <c r="DA569" s="675">
        <f t="shared" si="13241"/>
        <v>0</v>
      </c>
      <c r="DB569" s="549">
        <f t="shared" si="13241"/>
        <v>0</v>
      </c>
      <c r="DC569" s="675">
        <f t="shared" si="13241"/>
        <v>0</v>
      </c>
      <c r="DD569" s="549">
        <f t="shared" si="13241"/>
        <v>0</v>
      </c>
      <c r="DE569" s="675">
        <f t="shared" si="13241"/>
        <v>0</v>
      </c>
      <c r="DF569" s="549">
        <f t="shared" si="13241"/>
        <v>0</v>
      </c>
      <c r="DG569" s="675">
        <f t="shared" si="13241"/>
        <v>0</v>
      </c>
      <c r="DH569" s="549">
        <f t="shared" ref="DH569:DY569" si="13242">DH571</f>
        <v>0</v>
      </c>
      <c r="DI569" s="675">
        <f t="shared" si="13242"/>
        <v>0</v>
      </c>
      <c r="DJ569" s="549">
        <f t="shared" si="13242"/>
        <v>0</v>
      </c>
      <c r="DK569" s="675">
        <f t="shared" si="13242"/>
        <v>0</v>
      </c>
      <c r="DL569" s="549">
        <f t="shared" si="13242"/>
        <v>0</v>
      </c>
      <c r="DM569" s="675">
        <f t="shared" si="13242"/>
        <v>0</v>
      </c>
      <c r="DN569" s="549">
        <f t="shared" si="13242"/>
        <v>0</v>
      </c>
      <c r="DO569" s="675">
        <f t="shared" si="13242"/>
        <v>0</v>
      </c>
      <c r="DP569" s="549">
        <f t="shared" si="13242"/>
        <v>0</v>
      </c>
      <c r="DQ569" s="675">
        <f t="shared" si="13242"/>
        <v>0</v>
      </c>
      <c r="DR569" s="549">
        <f t="shared" si="13242"/>
        <v>0</v>
      </c>
      <c r="DS569" s="675">
        <f t="shared" si="13242"/>
        <v>0</v>
      </c>
      <c r="DT569" s="549">
        <f t="shared" si="13242"/>
        <v>0</v>
      </c>
      <c r="DU569" s="675">
        <f t="shared" si="13242"/>
        <v>0</v>
      </c>
      <c r="DV569" s="549">
        <f t="shared" si="13242"/>
        <v>0</v>
      </c>
      <c r="DW569" s="675">
        <f t="shared" si="13242"/>
        <v>0</v>
      </c>
      <c r="DX569" s="549">
        <f t="shared" si="13242"/>
        <v>0</v>
      </c>
      <c r="DY569" s="675">
        <f t="shared" si="13242"/>
        <v>0</v>
      </c>
      <c r="DZ569" s="549">
        <f t="shared" ref="DZ569:FA569" si="13243">DZ571</f>
        <v>0</v>
      </c>
      <c r="EA569" s="675">
        <f t="shared" si="13243"/>
        <v>0</v>
      </c>
      <c r="EB569" s="549">
        <f t="shared" si="13243"/>
        <v>0</v>
      </c>
      <c r="EC569" s="675">
        <f t="shared" si="13243"/>
        <v>0</v>
      </c>
      <c r="ED569" s="549">
        <f t="shared" si="13243"/>
        <v>0</v>
      </c>
      <c r="EE569" s="675">
        <f t="shared" si="13243"/>
        <v>0</v>
      </c>
      <c r="EF569" s="549">
        <f t="shared" si="13243"/>
        <v>0</v>
      </c>
      <c r="EG569" s="675">
        <f t="shared" si="13243"/>
        <v>0</v>
      </c>
      <c r="EH569" s="549">
        <f t="shared" ref="EH569:EM569" si="13244">EH571</f>
        <v>0</v>
      </c>
      <c r="EI569" s="675">
        <f t="shared" si="13244"/>
        <v>0</v>
      </c>
      <c r="EJ569" s="549">
        <f t="shared" si="13244"/>
        <v>0</v>
      </c>
      <c r="EK569" s="675">
        <f t="shared" si="13244"/>
        <v>0</v>
      </c>
      <c r="EL569" s="549">
        <f t="shared" si="13244"/>
        <v>0</v>
      </c>
      <c r="EM569" s="675">
        <f t="shared" si="13244"/>
        <v>0</v>
      </c>
      <c r="EN569" s="549">
        <f t="shared" si="13243"/>
        <v>0</v>
      </c>
      <c r="EO569" s="675">
        <f t="shared" si="13243"/>
        <v>0</v>
      </c>
      <c r="EP569" s="549">
        <f t="shared" si="13243"/>
        <v>0</v>
      </c>
      <c r="EQ569" s="675">
        <f t="shared" si="13243"/>
        <v>0</v>
      </c>
      <c r="ER569" s="549">
        <f t="shared" si="13243"/>
        <v>0</v>
      </c>
      <c r="ES569" s="675">
        <f t="shared" si="13243"/>
        <v>0</v>
      </c>
      <c r="ET569" s="549">
        <f t="shared" si="13243"/>
        <v>0</v>
      </c>
      <c r="EU569" s="675">
        <f t="shared" si="13243"/>
        <v>0</v>
      </c>
      <c r="EV569" s="549">
        <f t="shared" ref="EV569:EW569" si="13245">EV571</f>
        <v>0</v>
      </c>
      <c r="EW569" s="675">
        <f t="shared" si="13245"/>
        <v>0</v>
      </c>
      <c r="EX569" s="549">
        <f t="shared" si="13243"/>
        <v>0</v>
      </c>
      <c r="EY569" s="675">
        <f t="shared" si="13243"/>
        <v>0</v>
      </c>
      <c r="EZ569" s="549">
        <f t="shared" si="13243"/>
        <v>0</v>
      </c>
      <c r="FA569" s="675">
        <f t="shared" si="13243"/>
        <v>0</v>
      </c>
      <c r="FB569" s="549">
        <f t="shared" ref="FB569:FC569" si="13246">FB571</f>
        <v>0</v>
      </c>
      <c r="FC569" s="675">
        <f t="shared" si="13246"/>
        <v>0</v>
      </c>
      <c r="FD569" s="549">
        <f t="shared" ref="FD569:FE569" si="13247">FD571</f>
        <v>0</v>
      </c>
      <c r="FE569" s="675">
        <f t="shared" si="13247"/>
        <v>0</v>
      </c>
      <c r="FF569" s="549">
        <f t="shared" ref="FF569:FG569" si="13248">FF571</f>
        <v>0</v>
      </c>
      <c r="FG569" s="675">
        <f t="shared" si="13248"/>
        <v>0</v>
      </c>
      <c r="FH569" s="549">
        <f t="shared" ref="FH569:FI569" si="13249">FH571</f>
        <v>0</v>
      </c>
      <c r="FI569" s="675">
        <f t="shared" si="13249"/>
        <v>0</v>
      </c>
      <c r="FJ569" s="549">
        <f t="shared" ref="FJ569:FK569" si="13250">FJ571</f>
        <v>0</v>
      </c>
      <c r="FK569" s="675">
        <f t="shared" si="13250"/>
        <v>0</v>
      </c>
      <c r="FL569" s="549">
        <f t="shared" ref="FL569:FM569" si="13251">FL571</f>
        <v>0</v>
      </c>
      <c r="FM569" s="675">
        <f t="shared" si="13251"/>
        <v>0</v>
      </c>
      <c r="FN569" s="549">
        <f t="shared" ref="FN569:FO569" si="13252">FN571</f>
        <v>0</v>
      </c>
      <c r="FO569" s="675">
        <f t="shared" si="13252"/>
        <v>0</v>
      </c>
      <c r="FP569" s="549">
        <f t="shared" ref="FP569:FQ569" si="13253">FP571</f>
        <v>0</v>
      </c>
      <c r="FQ569" s="675">
        <f t="shared" si="13253"/>
        <v>0</v>
      </c>
      <c r="FR569" s="549">
        <f t="shared" ref="FR569:FS569" si="13254">FR571</f>
        <v>0</v>
      </c>
      <c r="FS569" s="675">
        <f t="shared" si="13254"/>
        <v>0</v>
      </c>
      <c r="FT569" s="549">
        <f t="shared" ref="FT569:FU569" si="13255">FT571</f>
        <v>0</v>
      </c>
      <c r="FU569" s="675">
        <f t="shared" si="13255"/>
        <v>0</v>
      </c>
      <c r="FV569" s="549">
        <f t="shared" ref="FV569:GK569" si="13256">FV571</f>
        <v>0</v>
      </c>
      <c r="FW569" s="675">
        <f t="shared" si="13256"/>
        <v>0</v>
      </c>
      <c r="FX569" s="549">
        <f t="shared" si="13256"/>
        <v>0</v>
      </c>
      <c r="FY569" s="675">
        <f t="shared" si="13256"/>
        <v>0</v>
      </c>
      <c r="FZ569" s="549">
        <f t="shared" ref="FZ569:GI569" si="13257">FZ571</f>
        <v>0</v>
      </c>
      <c r="GA569" s="675">
        <f t="shared" si="13257"/>
        <v>0</v>
      </c>
      <c r="GB569" s="549">
        <f t="shared" si="13257"/>
        <v>0</v>
      </c>
      <c r="GC569" s="675">
        <f t="shared" si="13257"/>
        <v>0</v>
      </c>
      <c r="GD569" s="549">
        <f t="shared" si="13257"/>
        <v>0</v>
      </c>
      <c r="GE569" s="675">
        <f t="shared" si="13257"/>
        <v>0</v>
      </c>
      <c r="GF569" s="549">
        <f t="shared" si="13257"/>
        <v>0</v>
      </c>
      <c r="GG569" s="675">
        <f t="shared" si="13257"/>
        <v>0</v>
      </c>
      <c r="GH569" s="549">
        <f t="shared" si="13257"/>
        <v>0</v>
      </c>
      <c r="GI569" s="675">
        <f t="shared" si="13257"/>
        <v>0</v>
      </c>
      <c r="GJ569" s="549">
        <f t="shared" si="13256"/>
        <v>0</v>
      </c>
      <c r="GK569" s="675">
        <f t="shared" si="13256"/>
        <v>0</v>
      </c>
      <c r="GL569" s="549">
        <f t="shared" ref="GL569:GP569" si="13258">GL571</f>
        <v>0</v>
      </c>
      <c r="GM569" s="675">
        <f t="shared" si="13258"/>
        <v>0</v>
      </c>
      <c r="GN569" s="549">
        <f t="shared" ref="GN569:GO569" si="13259">GN571</f>
        <v>0</v>
      </c>
      <c r="GO569" s="675">
        <f t="shared" si="13259"/>
        <v>0</v>
      </c>
      <c r="GP569" s="549">
        <f t="shared" si="13258"/>
        <v>0</v>
      </c>
      <c r="GQ569" s="675">
        <f t="shared" ref="GQ569:JB569" si="13260">GQ571</f>
        <v>0</v>
      </c>
      <c r="GR569" s="74">
        <f t="shared" si="13260"/>
        <v>0</v>
      </c>
      <c r="GS569" s="74">
        <f t="shared" si="13260"/>
        <v>0</v>
      </c>
      <c r="GT569" s="549">
        <f t="shared" si="13260"/>
        <v>0</v>
      </c>
      <c r="GU569" s="74">
        <f t="shared" si="13260"/>
        <v>0</v>
      </c>
      <c r="GV569" s="74">
        <f t="shared" si="13260"/>
        <v>0</v>
      </c>
      <c r="GW569" s="549">
        <f t="shared" si="13260"/>
        <v>0</v>
      </c>
      <c r="GX569" s="549">
        <f t="shared" si="13260"/>
        <v>0</v>
      </c>
      <c r="GY569" s="74">
        <f t="shared" si="13260"/>
        <v>0</v>
      </c>
      <c r="GZ569" s="74">
        <f t="shared" si="13260"/>
        <v>0</v>
      </c>
      <c r="HA569" s="74">
        <f t="shared" si="13260"/>
        <v>0</v>
      </c>
      <c r="HB569" s="74">
        <f t="shared" si="13260"/>
        <v>0</v>
      </c>
      <c r="HC569" s="74">
        <f t="shared" si="13260"/>
        <v>0</v>
      </c>
      <c r="HD569" s="74">
        <f t="shared" si="13260"/>
        <v>0</v>
      </c>
      <c r="HE569" s="74">
        <f t="shared" si="13260"/>
        <v>0</v>
      </c>
      <c r="HF569" s="74">
        <f t="shared" si="13260"/>
        <v>0</v>
      </c>
      <c r="HG569" s="74">
        <f t="shared" si="13260"/>
        <v>0</v>
      </c>
      <c r="HH569" s="74">
        <f t="shared" ref="HH569:HI569" si="13261">HH571</f>
        <v>0</v>
      </c>
      <c r="HI569" s="792">
        <f t="shared" si="13261"/>
        <v>0</v>
      </c>
      <c r="HJ569" s="74">
        <f t="shared" ref="HJ569:HK569" si="13262">HJ571</f>
        <v>0</v>
      </c>
      <c r="HK569" s="792">
        <f t="shared" si="13262"/>
        <v>0</v>
      </c>
      <c r="HL569" s="74">
        <f t="shared" ref="HL569:HM569" si="13263">HL571</f>
        <v>0</v>
      </c>
      <c r="HM569" s="792">
        <f t="shared" si="13263"/>
        <v>0</v>
      </c>
      <c r="HN569" s="74">
        <f t="shared" ref="HN569:HO569" si="13264">HN571</f>
        <v>0</v>
      </c>
      <c r="HO569" s="792">
        <f t="shared" si="13264"/>
        <v>0</v>
      </c>
      <c r="HP569" s="74">
        <f t="shared" ref="HP569:HQ569" si="13265">HP571</f>
        <v>0</v>
      </c>
      <c r="HQ569" s="792">
        <f t="shared" si="13265"/>
        <v>0</v>
      </c>
      <c r="HR569" s="74">
        <f t="shared" ref="HR569:HS569" si="13266">HR571</f>
        <v>0</v>
      </c>
      <c r="HS569" s="792">
        <f t="shared" si="13266"/>
        <v>0</v>
      </c>
      <c r="HT569" s="74">
        <f t="shared" ref="HT569:HU569" si="13267">HT571</f>
        <v>0</v>
      </c>
      <c r="HU569" s="792">
        <f t="shared" si="13267"/>
        <v>0</v>
      </c>
      <c r="HV569" s="74">
        <f t="shared" ref="HV569:HW569" si="13268">HV571</f>
        <v>0</v>
      </c>
      <c r="HW569" s="792">
        <f t="shared" si="13268"/>
        <v>0</v>
      </c>
      <c r="HX569" s="74">
        <f t="shared" ref="HX569:HY569" si="13269">HX571</f>
        <v>0</v>
      </c>
      <c r="HY569" s="792">
        <f t="shared" si="13269"/>
        <v>0</v>
      </c>
      <c r="HZ569" s="74">
        <f t="shared" ref="HZ569:IA569" si="13270">HZ571</f>
        <v>0</v>
      </c>
      <c r="IA569" s="792">
        <f t="shared" si="13270"/>
        <v>0</v>
      </c>
      <c r="IB569" s="74">
        <f t="shared" ref="IB569:IC569" si="13271">IB571</f>
        <v>0</v>
      </c>
      <c r="IC569" s="792">
        <f t="shared" si="13271"/>
        <v>0</v>
      </c>
      <c r="ID569" s="74">
        <f t="shared" si="13260"/>
        <v>0</v>
      </c>
      <c r="IE569" s="792">
        <f t="shared" si="13260"/>
        <v>0</v>
      </c>
      <c r="IF569" s="841">
        <f t="shared" si="13260"/>
        <v>0</v>
      </c>
      <c r="IG569" s="263">
        <f t="shared" si="13260"/>
        <v>0</v>
      </c>
      <c r="IH569" s="842">
        <f t="shared" si="13260"/>
        <v>0</v>
      </c>
      <c r="II569" s="74">
        <f t="shared" si="13260"/>
        <v>0</v>
      </c>
      <c r="IJ569" s="74">
        <f t="shared" si="13260"/>
        <v>0</v>
      </c>
      <c r="IK569" s="74">
        <f t="shared" si="13260"/>
        <v>0</v>
      </c>
      <c r="IL569" s="74">
        <f t="shared" si="13260"/>
        <v>0</v>
      </c>
      <c r="IM569" s="74">
        <f t="shared" si="13260"/>
        <v>0</v>
      </c>
      <c r="IN569" s="74">
        <f t="shared" si="13260"/>
        <v>0</v>
      </c>
      <c r="IO569" s="74">
        <f t="shared" si="13260"/>
        <v>0</v>
      </c>
      <c r="IP569" s="74">
        <f t="shared" si="13260"/>
        <v>0</v>
      </c>
      <c r="IQ569" s="74">
        <f t="shared" si="13260"/>
        <v>0</v>
      </c>
      <c r="IR569" s="74">
        <f t="shared" si="13260"/>
        <v>0</v>
      </c>
      <c r="IS569" s="74">
        <f t="shared" si="13260"/>
        <v>0</v>
      </c>
      <c r="IT569" s="74">
        <f t="shared" si="13260"/>
        <v>0</v>
      </c>
      <c r="IU569" s="74">
        <f t="shared" si="13260"/>
        <v>0</v>
      </c>
      <c r="IV569" s="74">
        <f t="shared" si="13260"/>
        <v>0</v>
      </c>
      <c r="IW569" s="74">
        <f t="shared" si="13260"/>
        <v>0</v>
      </c>
      <c r="IX569" s="74">
        <f t="shared" si="13260"/>
        <v>0</v>
      </c>
      <c r="IY569" s="74">
        <f t="shared" si="13260"/>
        <v>0</v>
      </c>
      <c r="IZ569" s="74">
        <f t="shared" si="13260"/>
        <v>0</v>
      </c>
      <c r="JA569" s="74">
        <f t="shared" si="13260"/>
        <v>0</v>
      </c>
      <c r="JB569" s="74">
        <f t="shared" si="13260"/>
        <v>0</v>
      </c>
      <c r="JC569" s="74">
        <f t="shared" ref="JC569" si="13272">JC571</f>
        <v>0</v>
      </c>
      <c r="JD569" s="74">
        <f t="shared" ref="JD569:JF569" si="13273">JD571</f>
        <v>0</v>
      </c>
      <c r="JE569" s="74">
        <f t="shared" si="13273"/>
        <v>0</v>
      </c>
      <c r="JF569" s="74">
        <f t="shared" si="13273"/>
        <v>0</v>
      </c>
      <c r="JG569" s="74">
        <f t="shared" ref="JG569:JI569" si="13274">JG571</f>
        <v>0</v>
      </c>
      <c r="JH569" s="74">
        <f t="shared" si="13274"/>
        <v>0</v>
      </c>
      <c r="JI569" s="74">
        <f t="shared" si="13274"/>
        <v>0</v>
      </c>
      <c r="JJ569" s="74">
        <f t="shared" ref="JJ569:JL569" si="13275">JJ571</f>
        <v>0</v>
      </c>
      <c r="JK569" s="74">
        <f t="shared" si="13275"/>
        <v>0</v>
      </c>
      <c r="JL569" s="74">
        <f t="shared" si="13275"/>
        <v>0</v>
      </c>
      <c r="JM569" s="74">
        <f t="shared" ref="JM569:JO569" si="13276">JM571</f>
        <v>0</v>
      </c>
      <c r="JN569" s="74">
        <f t="shared" si="13276"/>
        <v>0</v>
      </c>
      <c r="JO569" s="74">
        <f t="shared" si="13276"/>
        <v>0</v>
      </c>
      <c r="JP569" s="74">
        <f t="shared" ref="JP569:JY569" si="13277">JP571</f>
        <v>0</v>
      </c>
      <c r="JQ569" s="74">
        <f t="shared" si="13277"/>
        <v>0</v>
      </c>
      <c r="JR569" s="74">
        <f t="shared" si="13277"/>
        <v>0</v>
      </c>
      <c r="JS569" s="74">
        <f t="shared" si="13277"/>
        <v>0</v>
      </c>
      <c r="JT569" s="382">
        <f t="shared" si="13277"/>
        <v>0</v>
      </c>
      <c r="JU569" s="665"/>
      <c r="JV569" s="524"/>
      <c r="JW569" s="525"/>
      <c r="JX569" s="549">
        <f t="shared" si="13277"/>
        <v>0</v>
      </c>
      <c r="JY569" s="549">
        <f t="shared" si="13277"/>
        <v>0</v>
      </c>
      <c r="JZ569" s="581">
        <f t="shared" si="12201"/>
        <v>0</v>
      </c>
      <c r="KA569" s="581">
        <f t="shared" si="12202"/>
        <v>0</v>
      </c>
      <c r="KB569" s="549">
        <f t="shared" si="13163"/>
        <v>0</v>
      </c>
      <c r="KC569" s="709">
        <f t="shared" si="12200"/>
        <v>0</v>
      </c>
      <c r="KD569" s="36"/>
      <c r="KE569" s="36"/>
      <c r="KF569" s="36"/>
      <c r="KG569" s="36"/>
      <c r="KH569" s="36"/>
      <c r="KI569" s="36"/>
      <c r="KJ569" s="36"/>
      <c r="KK569" s="36"/>
    </row>
    <row r="570" spans="1:297" s="10" customFormat="1" ht="12.75" hidden="1" customHeight="1">
      <c r="A570" s="86"/>
      <c r="B570" s="77"/>
      <c r="C570" s="74"/>
      <c r="D570" s="549"/>
      <c r="E570" s="675"/>
      <c r="F570" s="549"/>
      <c r="G570" s="675"/>
      <c r="H570" s="549"/>
      <c r="I570" s="675"/>
      <c r="J570" s="549"/>
      <c r="K570" s="675"/>
      <c r="L570" s="549"/>
      <c r="M570" s="675"/>
      <c r="N570" s="549"/>
      <c r="O570" s="675"/>
      <c r="P570" s="549"/>
      <c r="Q570" s="675"/>
      <c r="R570" s="549"/>
      <c r="S570" s="675"/>
      <c r="T570" s="549"/>
      <c r="U570" s="675"/>
      <c r="V570" s="549"/>
      <c r="W570" s="675"/>
      <c r="X570" s="549"/>
      <c r="Y570" s="675"/>
      <c r="Z570" s="549"/>
      <c r="AA570" s="675"/>
      <c r="AB570" s="549"/>
      <c r="AC570" s="675"/>
      <c r="AD570" s="549"/>
      <c r="AE570" s="675"/>
      <c r="AF570" s="549"/>
      <c r="AG570" s="675"/>
      <c r="AH570" s="549"/>
      <c r="AI570" s="675"/>
      <c r="AJ570" s="549"/>
      <c r="AK570" s="675"/>
      <c r="AL570" s="549"/>
      <c r="AM570" s="675"/>
      <c r="AN570" s="549"/>
      <c r="AO570" s="675"/>
      <c r="AP570" s="549"/>
      <c r="AQ570" s="675"/>
      <c r="AR570" s="549"/>
      <c r="AS570" s="675"/>
      <c r="AT570" s="549"/>
      <c r="AU570" s="675"/>
      <c r="AV570" s="549"/>
      <c r="AW570" s="675"/>
      <c r="AX570" s="549"/>
      <c r="AY570" s="675"/>
      <c r="AZ570" s="549"/>
      <c r="BA570" s="675"/>
      <c r="BB570" s="549"/>
      <c r="BC570" s="675"/>
      <c r="BD570" s="549"/>
      <c r="BE570" s="675"/>
      <c r="BF570" s="549"/>
      <c r="BG570" s="675"/>
      <c r="BH570" s="549"/>
      <c r="BI570" s="675"/>
      <c r="BJ570" s="549"/>
      <c r="BK570" s="675"/>
      <c r="BL570" s="549"/>
      <c r="BM570" s="675"/>
      <c r="BN570" s="549"/>
      <c r="BO570" s="675"/>
      <c r="BP570" s="549"/>
      <c r="BQ570" s="675"/>
      <c r="BR570" s="549"/>
      <c r="BS570" s="675"/>
      <c r="BT570" s="549"/>
      <c r="BU570" s="675"/>
      <c r="BV570" s="549"/>
      <c r="BW570" s="675"/>
      <c r="BX570" s="549"/>
      <c r="BY570" s="675"/>
      <c r="BZ570" s="549"/>
      <c r="CA570" s="675"/>
      <c r="CB570" s="549"/>
      <c r="CC570" s="675"/>
      <c r="CD570" s="549"/>
      <c r="CE570" s="675"/>
      <c r="CF570" s="549"/>
      <c r="CG570" s="675"/>
      <c r="CH570" s="549"/>
      <c r="CI570" s="675"/>
      <c r="CJ570" s="549"/>
      <c r="CK570" s="675"/>
      <c r="CL570" s="549"/>
      <c r="CM570" s="675"/>
      <c r="CN570" s="549"/>
      <c r="CO570" s="675"/>
      <c r="CP570" s="549"/>
      <c r="CQ570" s="675"/>
      <c r="CR570" s="549"/>
      <c r="CS570" s="675"/>
      <c r="CT570" s="549"/>
      <c r="CU570" s="675"/>
      <c r="CV570" s="549"/>
      <c r="CW570" s="675"/>
      <c r="CX570" s="549"/>
      <c r="CY570" s="675"/>
      <c r="CZ570" s="549"/>
      <c r="DA570" s="675"/>
      <c r="DB570" s="549"/>
      <c r="DC570" s="675"/>
      <c r="DD570" s="549"/>
      <c r="DE570" s="675"/>
      <c r="DF570" s="549"/>
      <c r="DG570" s="675"/>
      <c r="DH570" s="549"/>
      <c r="DI570" s="675"/>
      <c r="DJ570" s="549"/>
      <c r="DK570" s="675"/>
      <c r="DL570" s="549"/>
      <c r="DM570" s="675"/>
      <c r="DN570" s="549"/>
      <c r="DO570" s="675"/>
      <c r="DP570" s="549"/>
      <c r="DQ570" s="675"/>
      <c r="DR570" s="549"/>
      <c r="DS570" s="675"/>
      <c r="DT570" s="549"/>
      <c r="DU570" s="675"/>
      <c r="DV570" s="549"/>
      <c r="DW570" s="675"/>
      <c r="DX570" s="549"/>
      <c r="DY570" s="675"/>
      <c r="DZ570" s="549"/>
      <c r="EA570" s="675"/>
      <c r="EB570" s="549"/>
      <c r="EC570" s="675"/>
      <c r="ED570" s="549"/>
      <c r="EE570" s="675"/>
      <c r="EF570" s="549"/>
      <c r="EG570" s="675"/>
      <c r="EH570" s="549"/>
      <c r="EI570" s="675"/>
      <c r="EJ570" s="549"/>
      <c r="EK570" s="675"/>
      <c r="EL570" s="549"/>
      <c r="EM570" s="675"/>
      <c r="EN570" s="549"/>
      <c r="EO570" s="675"/>
      <c r="EP570" s="549"/>
      <c r="EQ570" s="675"/>
      <c r="ER570" s="549"/>
      <c r="ES570" s="675"/>
      <c r="ET570" s="549"/>
      <c r="EU570" s="675"/>
      <c r="EV570" s="549"/>
      <c r="EW570" s="675"/>
      <c r="EX570" s="549"/>
      <c r="EY570" s="675"/>
      <c r="EZ570" s="549"/>
      <c r="FA570" s="675"/>
      <c r="FB570" s="549"/>
      <c r="FC570" s="675"/>
      <c r="FD570" s="549"/>
      <c r="FE570" s="675"/>
      <c r="FF570" s="549"/>
      <c r="FG570" s="675"/>
      <c r="FH570" s="549"/>
      <c r="FI570" s="675"/>
      <c r="FJ570" s="549"/>
      <c r="FK570" s="675"/>
      <c r="FL570" s="549"/>
      <c r="FM570" s="675"/>
      <c r="FN570" s="549"/>
      <c r="FO570" s="675"/>
      <c r="FP570" s="549"/>
      <c r="FQ570" s="675"/>
      <c r="FR570" s="549"/>
      <c r="FS570" s="675"/>
      <c r="FT570" s="549"/>
      <c r="FU570" s="675"/>
      <c r="FV570" s="549"/>
      <c r="FW570" s="675"/>
      <c r="FX570" s="549"/>
      <c r="FY570" s="675"/>
      <c r="FZ570" s="549"/>
      <c r="GA570" s="675"/>
      <c r="GB570" s="549"/>
      <c r="GC570" s="675"/>
      <c r="GD570" s="549"/>
      <c r="GE570" s="675"/>
      <c r="GF570" s="549"/>
      <c r="GG570" s="675"/>
      <c r="GH570" s="549"/>
      <c r="GI570" s="675"/>
      <c r="GJ570" s="549"/>
      <c r="GK570" s="675"/>
      <c r="GL570" s="549"/>
      <c r="GM570" s="675"/>
      <c r="GN570" s="549"/>
      <c r="GO570" s="675"/>
      <c r="GP570" s="549"/>
      <c r="GQ570" s="675"/>
      <c r="GR570" s="74"/>
      <c r="GS570" s="74"/>
      <c r="GT570" s="549"/>
      <c r="GU570" s="74"/>
      <c r="GV570" s="74"/>
      <c r="GW570" s="549"/>
      <c r="GX570" s="549"/>
      <c r="GY570" s="74"/>
      <c r="GZ570" s="74"/>
      <c r="HA570" s="74"/>
      <c r="HB570" s="74"/>
      <c r="HC570" s="74"/>
      <c r="HD570" s="74"/>
      <c r="HE570" s="74"/>
      <c r="HF570" s="74"/>
      <c r="HG570" s="74"/>
      <c r="HH570" s="74"/>
      <c r="HI570" s="792"/>
      <c r="HJ570" s="74"/>
      <c r="HK570" s="792"/>
      <c r="HL570" s="74"/>
      <c r="HM570" s="792"/>
      <c r="HN570" s="74"/>
      <c r="HO570" s="792"/>
      <c r="HP570" s="74"/>
      <c r="HQ570" s="792"/>
      <c r="HR570" s="74"/>
      <c r="HS570" s="792"/>
      <c r="HT570" s="74"/>
      <c r="HU570" s="792"/>
      <c r="HV570" s="74"/>
      <c r="HW570" s="792"/>
      <c r="HX570" s="74"/>
      <c r="HY570" s="792"/>
      <c r="HZ570" s="74"/>
      <c r="IA570" s="792"/>
      <c r="IB570" s="74"/>
      <c r="IC570" s="792"/>
      <c r="ID570" s="74"/>
      <c r="IE570" s="792"/>
      <c r="IF570" s="841"/>
      <c r="IG570" s="263"/>
      <c r="IH570" s="842"/>
      <c r="II570" s="74"/>
      <c r="IJ570" s="74"/>
      <c r="IK570" s="74"/>
      <c r="IL570" s="74"/>
      <c r="IM570" s="74"/>
      <c r="IN570" s="74"/>
      <c r="IO570" s="74"/>
      <c r="IP570" s="74"/>
      <c r="IQ570" s="74"/>
      <c r="IR570" s="74"/>
      <c r="IS570" s="74"/>
      <c r="IT570" s="74"/>
      <c r="IU570" s="74"/>
      <c r="IV570" s="74"/>
      <c r="IW570" s="74"/>
      <c r="IX570" s="74"/>
      <c r="IY570" s="74"/>
      <c r="IZ570" s="74"/>
      <c r="JA570" s="74"/>
      <c r="JB570" s="74"/>
      <c r="JC570" s="74"/>
      <c r="JD570" s="74"/>
      <c r="JE570" s="74"/>
      <c r="JF570" s="74"/>
      <c r="JG570" s="74"/>
      <c r="JH570" s="74"/>
      <c r="JI570" s="74"/>
      <c r="JJ570" s="74"/>
      <c r="JK570" s="74"/>
      <c r="JL570" s="74"/>
      <c r="JM570" s="74"/>
      <c r="JN570" s="74"/>
      <c r="JO570" s="74"/>
      <c r="JP570" s="74"/>
      <c r="JQ570" s="74"/>
      <c r="JR570" s="74"/>
      <c r="JS570" s="74"/>
      <c r="JT570" s="382"/>
      <c r="JU570" s="665"/>
      <c r="JV570" s="524"/>
      <c r="JW570" s="525"/>
      <c r="JX570" s="549"/>
      <c r="JY570" s="549"/>
      <c r="JZ570" s="581">
        <f t="shared" si="12201"/>
        <v>0</v>
      </c>
      <c r="KA570" s="581">
        <f t="shared" si="12202"/>
        <v>0</v>
      </c>
      <c r="KB570" s="549">
        <f t="shared" si="13163"/>
        <v>0</v>
      </c>
      <c r="KC570" s="709">
        <f t="shared" si="12200"/>
        <v>0</v>
      </c>
      <c r="KD570" s="36"/>
      <c r="KE570" s="36"/>
      <c r="KF570" s="36"/>
      <c r="KG570" s="36"/>
      <c r="KH570" s="36"/>
      <c r="KI570" s="36"/>
      <c r="KJ570" s="36"/>
      <c r="KK570" s="36"/>
    </row>
    <row r="571" spans="1:297" s="10" customFormat="1" ht="12.75" hidden="1" customHeight="1">
      <c r="A571" s="80" t="s">
        <v>719</v>
      </c>
      <c r="B571" s="77"/>
      <c r="C571" s="74">
        <f t="shared" ref="C571:AM571" si="13278">SUM(C572:C573)</f>
        <v>0</v>
      </c>
      <c r="D571" s="549">
        <f t="shared" si="13278"/>
        <v>0</v>
      </c>
      <c r="E571" s="675">
        <f t="shared" si="13278"/>
        <v>0</v>
      </c>
      <c r="F571" s="549">
        <f t="shared" si="13278"/>
        <v>0</v>
      </c>
      <c r="G571" s="675">
        <f t="shared" si="13278"/>
        <v>0</v>
      </c>
      <c r="H571" s="549">
        <f t="shared" si="13278"/>
        <v>0</v>
      </c>
      <c r="I571" s="675">
        <f t="shared" si="13278"/>
        <v>0</v>
      </c>
      <c r="J571" s="549">
        <f t="shared" si="13278"/>
        <v>0</v>
      </c>
      <c r="K571" s="675">
        <f t="shared" si="13278"/>
        <v>0</v>
      </c>
      <c r="L571" s="549">
        <f t="shared" si="13278"/>
        <v>0</v>
      </c>
      <c r="M571" s="675">
        <f t="shared" si="13278"/>
        <v>0</v>
      </c>
      <c r="N571" s="549">
        <f t="shared" si="13278"/>
        <v>0</v>
      </c>
      <c r="O571" s="675">
        <f t="shared" si="13278"/>
        <v>0</v>
      </c>
      <c r="P571" s="549">
        <f t="shared" si="13278"/>
        <v>0</v>
      </c>
      <c r="Q571" s="675">
        <f t="shared" si="13278"/>
        <v>0</v>
      </c>
      <c r="R571" s="549">
        <f t="shared" si="13278"/>
        <v>0</v>
      </c>
      <c r="S571" s="675">
        <f t="shared" si="13278"/>
        <v>0</v>
      </c>
      <c r="T571" s="549">
        <f t="shared" si="13278"/>
        <v>0</v>
      </c>
      <c r="U571" s="675">
        <f t="shared" si="13278"/>
        <v>0</v>
      </c>
      <c r="V571" s="549">
        <f t="shared" si="13278"/>
        <v>0</v>
      </c>
      <c r="W571" s="675">
        <f t="shared" si="13278"/>
        <v>0</v>
      </c>
      <c r="X571" s="549">
        <f t="shared" si="13278"/>
        <v>0</v>
      </c>
      <c r="Y571" s="675">
        <f t="shared" si="13278"/>
        <v>0</v>
      </c>
      <c r="Z571" s="549">
        <f t="shared" si="13278"/>
        <v>0</v>
      </c>
      <c r="AA571" s="675">
        <f t="shared" si="13278"/>
        <v>0</v>
      </c>
      <c r="AB571" s="549">
        <f t="shared" si="13278"/>
        <v>0</v>
      </c>
      <c r="AC571" s="675">
        <f t="shared" si="13278"/>
        <v>0</v>
      </c>
      <c r="AD571" s="549">
        <f t="shared" ref="AD571:AK571" si="13279">SUM(AD572:AD573)</f>
        <v>0</v>
      </c>
      <c r="AE571" s="675">
        <f t="shared" si="13279"/>
        <v>0</v>
      </c>
      <c r="AF571" s="549">
        <f t="shared" si="13279"/>
        <v>0</v>
      </c>
      <c r="AG571" s="675">
        <f t="shared" si="13279"/>
        <v>0</v>
      </c>
      <c r="AH571" s="549">
        <f t="shared" si="13279"/>
        <v>0</v>
      </c>
      <c r="AI571" s="675">
        <f t="shared" si="13279"/>
        <v>0</v>
      </c>
      <c r="AJ571" s="549">
        <f t="shared" si="13279"/>
        <v>0</v>
      </c>
      <c r="AK571" s="675">
        <f t="shared" si="13279"/>
        <v>0</v>
      </c>
      <c r="AL571" s="549">
        <f t="shared" si="13278"/>
        <v>0</v>
      </c>
      <c r="AM571" s="675">
        <f t="shared" si="13278"/>
        <v>0</v>
      </c>
      <c r="AN571" s="549">
        <f t="shared" ref="AN571:AS571" si="13280">SUM(AN572:AN573)</f>
        <v>0</v>
      </c>
      <c r="AO571" s="675">
        <f t="shared" si="13280"/>
        <v>0</v>
      </c>
      <c r="AP571" s="549">
        <f t="shared" si="13280"/>
        <v>0</v>
      </c>
      <c r="AQ571" s="675">
        <f t="shared" si="13280"/>
        <v>0</v>
      </c>
      <c r="AR571" s="549">
        <f t="shared" si="13280"/>
        <v>0</v>
      </c>
      <c r="AS571" s="675">
        <f t="shared" si="13280"/>
        <v>0</v>
      </c>
      <c r="AT571" s="549">
        <f t="shared" ref="AT571:AU571" si="13281">SUM(AT572:AT573)</f>
        <v>0</v>
      </c>
      <c r="AU571" s="675">
        <f t="shared" si="13281"/>
        <v>0</v>
      </c>
      <c r="AV571" s="549">
        <f t="shared" ref="AV571:AW571" si="13282">SUM(AV572:AV573)</f>
        <v>0</v>
      </c>
      <c r="AW571" s="675">
        <f t="shared" si="13282"/>
        <v>0</v>
      </c>
      <c r="AX571" s="549">
        <f t="shared" ref="AX571:AY571" si="13283">SUM(AX572:AX573)</f>
        <v>0</v>
      </c>
      <c r="AY571" s="675">
        <f t="shared" si="13283"/>
        <v>0</v>
      </c>
      <c r="AZ571" s="549">
        <f t="shared" ref="AZ571:BA571" si="13284">SUM(AZ572:AZ573)</f>
        <v>0</v>
      </c>
      <c r="BA571" s="675">
        <f t="shared" si="13284"/>
        <v>0</v>
      </c>
      <c r="BB571" s="549">
        <f t="shared" ref="BB571:BC571" si="13285">SUM(BB572:BB573)</f>
        <v>0</v>
      </c>
      <c r="BC571" s="675">
        <f t="shared" si="13285"/>
        <v>0</v>
      </c>
      <c r="BD571" s="549">
        <f t="shared" ref="BD571:BE571" si="13286">SUM(BD572:BD573)</f>
        <v>0</v>
      </c>
      <c r="BE571" s="675">
        <f t="shared" si="13286"/>
        <v>0</v>
      </c>
      <c r="BF571" s="549">
        <f t="shared" ref="BF571:BG571" si="13287">SUM(BF572:BF573)</f>
        <v>0</v>
      </c>
      <c r="BG571" s="675">
        <f t="shared" si="13287"/>
        <v>0</v>
      </c>
      <c r="BH571" s="549">
        <f t="shared" ref="BH571:BI571" si="13288">SUM(BH572:BH573)</f>
        <v>0</v>
      </c>
      <c r="BI571" s="675">
        <f t="shared" si="13288"/>
        <v>0</v>
      </c>
      <c r="BJ571" s="549">
        <f t="shared" ref="BJ571:BK571" si="13289">SUM(BJ572:BJ573)</f>
        <v>0</v>
      </c>
      <c r="BK571" s="675">
        <f t="shared" si="13289"/>
        <v>0</v>
      </c>
      <c r="BL571" s="549">
        <f t="shared" ref="BL571:BS571" si="13290">SUM(BL572:BL573)</f>
        <v>0</v>
      </c>
      <c r="BM571" s="675">
        <f t="shared" si="13290"/>
        <v>0</v>
      </c>
      <c r="BN571" s="549">
        <f t="shared" si="13290"/>
        <v>0</v>
      </c>
      <c r="BO571" s="675">
        <f t="shared" si="13290"/>
        <v>0</v>
      </c>
      <c r="BP571" s="549">
        <f t="shared" si="13290"/>
        <v>0</v>
      </c>
      <c r="BQ571" s="675">
        <f t="shared" si="13290"/>
        <v>0</v>
      </c>
      <c r="BR571" s="549">
        <f t="shared" si="13290"/>
        <v>0</v>
      </c>
      <c r="BS571" s="675">
        <f t="shared" si="13290"/>
        <v>0</v>
      </c>
      <c r="BT571" s="549">
        <f t="shared" ref="BT571:BU571" si="13291">SUM(BT572:BT573)</f>
        <v>0</v>
      </c>
      <c r="BU571" s="675">
        <f t="shared" si="13291"/>
        <v>0</v>
      </c>
      <c r="BV571" s="549">
        <f t="shared" ref="BV571:BW571" si="13292">SUM(BV572:BV573)</f>
        <v>0</v>
      </c>
      <c r="BW571" s="675">
        <f t="shared" si="13292"/>
        <v>0</v>
      </c>
      <c r="BX571" s="549">
        <f t="shared" ref="BX571:BY571" si="13293">SUM(BX572:BX573)</f>
        <v>0</v>
      </c>
      <c r="BY571" s="675">
        <f t="shared" si="13293"/>
        <v>0</v>
      </c>
      <c r="BZ571" s="549">
        <f t="shared" ref="BZ571:CA571" si="13294">SUM(BZ572:BZ573)</f>
        <v>0</v>
      </c>
      <c r="CA571" s="675">
        <f t="shared" si="13294"/>
        <v>0</v>
      </c>
      <c r="CB571" s="549">
        <f t="shared" ref="CB571:CE571" si="13295">SUM(CB572:CB573)</f>
        <v>0</v>
      </c>
      <c r="CC571" s="675">
        <f t="shared" si="13295"/>
        <v>0</v>
      </c>
      <c r="CD571" s="549">
        <f t="shared" si="13295"/>
        <v>0</v>
      </c>
      <c r="CE571" s="675">
        <f t="shared" si="13295"/>
        <v>0</v>
      </c>
      <c r="CF571" s="549">
        <f t="shared" ref="CF571:CQ571" si="13296">SUM(CF572:CF573)</f>
        <v>0</v>
      </c>
      <c r="CG571" s="675">
        <f t="shared" si="13296"/>
        <v>0</v>
      </c>
      <c r="CH571" s="549">
        <f t="shared" si="13296"/>
        <v>0</v>
      </c>
      <c r="CI571" s="675">
        <f t="shared" si="13296"/>
        <v>0</v>
      </c>
      <c r="CJ571" s="549">
        <f t="shared" si="13296"/>
        <v>0</v>
      </c>
      <c r="CK571" s="675">
        <f t="shared" si="13296"/>
        <v>0</v>
      </c>
      <c r="CL571" s="549">
        <f t="shared" si="13296"/>
        <v>0</v>
      </c>
      <c r="CM571" s="675">
        <f t="shared" si="13296"/>
        <v>0</v>
      </c>
      <c r="CN571" s="549">
        <f t="shared" si="13296"/>
        <v>0</v>
      </c>
      <c r="CO571" s="675">
        <f t="shared" si="13296"/>
        <v>0</v>
      </c>
      <c r="CP571" s="549">
        <f t="shared" si="13296"/>
        <v>0</v>
      </c>
      <c r="CQ571" s="675">
        <f t="shared" si="13296"/>
        <v>0</v>
      </c>
      <c r="CR571" s="549">
        <f t="shared" ref="CR571:CY571" si="13297">SUM(CR572:CR573)</f>
        <v>0</v>
      </c>
      <c r="CS571" s="675">
        <f t="shared" si="13297"/>
        <v>0</v>
      </c>
      <c r="CT571" s="549">
        <f t="shared" si="13297"/>
        <v>0</v>
      </c>
      <c r="CU571" s="675">
        <f t="shared" si="13297"/>
        <v>0</v>
      </c>
      <c r="CV571" s="549">
        <f t="shared" si="13297"/>
        <v>0</v>
      </c>
      <c r="CW571" s="675">
        <f t="shared" si="13297"/>
        <v>0</v>
      </c>
      <c r="CX571" s="549">
        <f t="shared" si="13297"/>
        <v>0</v>
      </c>
      <c r="CY571" s="675">
        <f t="shared" si="13297"/>
        <v>0</v>
      </c>
      <c r="CZ571" s="549">
        <f t="shared" ref="CZ571:DG571" si="13298">SUM(CZ572:CZ573)</f>
        <v>0</v>
      </c>
      <c r="DA571" s="675">
        <f t="shared" si="13298"/>
        <v>0</v>
      </c>
      <c r="DB571" s="549">
        <f t="shared" si="13298"/>
        <v>0</v>
      </c>
      <c r="DC571" s="675">
        <f t="shared" si="13298"/>
        <v>0</v>
      </c>
      <c r="DD571" s="549">
        <f t="shared" si="13298"/>
        <v>0</v>
      </c>
      <c r="DE571" s="675">
        <f t="shared" si="13298"/>
        <v>0</v>
      </c>
      <c r="DF571" s="549">
        <f t="shared" si="13298"/>
        <v>0</v>
      </c>
      <c r="DG571" s="675">
        <f t="shared" si="13298"/>
        <v>0</v>
      </c>
      <c r="DH571" s="549">
        <f t="shared" ref="DH571:DY571" si="13299">SUM(DH572:DH573)</f>
        <v>0</v>
      </c>
      <c r="DI571" s="675">
        <f t="shared" si="13299"/>
        <v>0</v>
      </c>
      <c r="DJ571" s="549">
        <f t="shared" si="13299"/>
        <v>0</v>
      </c>
      <c r="DK571" s="675">
        <f t="shared" si="13299"/>
        <v>0</v>
      </c>
      <c r="DL571" s="549">
        <f t="shared" si="13299"/>
        <v>0</v>
      </c>
      <c r="DM571" s="675">
        <f t="shared" si="13299"/>
        <v>0</v>
      </c>
      <c r="DN571" s="549">
        <f t="shared" si="13299"/>
        <v>0</v>
      </c>
      <c r="DO571" s="675">
        <f t="shared" si="13299"/>
        <v>0</v>
      </c>
      <c r="DP571" s="549">
        <f t="shared" si="13299"/>
        <v>0</v>
      </c>
      <c r="DQ571" s="675">
        <f t="shared" si="13299"/>
        <v>0</v>
      </c>
      <c r="DR571" s="549">
        <f t="shared" si="13299"/>
        <v>0</v>
      </c>
      <c r="DS571" s="675">
        <f t="shared" si="13299"/>
        <v>0</v>
      </c>
      <c r="DT571" s="549">
        <f t="shared" si="13299"/>
        <v>0</v>
      </c>
      <c r="DU571" s="675">
        <f t="shared" si="13299"/>
        <v>0</v>
      </c>
      <c r="DV571" s="549">
        <f t="shared" si="13299"/>
        <v>0</v>
      </c>
      <c r="DW571" s="675">
        <f t="shared" si="13299"/>
        <v>0</v>
      </c>
      <c r="DX571" s="549">
        <f t="shared" si="13299"/>
        <v>0</v>
      </c>
      <c r="DY571" s="675">
        <f t="shared" si="13299"/>
        <v>0</v>
      </c>
      <c r="DZ571" s="549">
        <f t="shared" ref="DZ571:FA571" si="13300">SUM(DZ572:DZ573)</f>
        <v>0</v>
      </c>
      <c r="EA571" s="675">
        <f t="shared" si="13300"/>
        <v>0</v>
      </c>
      <c r="EB571" s="549">
        <f t="shared" si="13300"/>
        <v>0</v>
      </c>
      <c r="EC571" s="675">
        <f t="shared" si="13300"/>
        <v>0</v>
      </c>
      <c r="ED571" s="549">
        <f t="shared" si="13300"/>
        <v>0</v>
      </c>
      <c r="EE571" s="675">
        <f t="shared" si="13300"/>
        <v>0</v>
      </c>
      <c r="EF571" s="549">
        <f t="shared" si="13300"/>
        <v>0</v>
      </c>
      <c r="EG571" s="675">
        <f t="shared" si="13300"/>
        <v>0</v>
      </c>
      <c r="EH571" s="549">
        <f t="shared" ref="EH571:EM571" si="13301">SUM(EH572:EH573)</f>
        <v>0</v>
      </c>
      <c r="EI571" s="675">
        <f t="shared" si="13301"/>
        <v>0</v>
      </c>
      <c r="EJ571" s="549">
        <f t="shared" si="13301"/>
        <v>0</v>
      </c>
      <c r="EK571" s="675">
        <f t="shared" si="13301"/>
        <v>0</v>
      </c>
      <c r="EL571" s="549">
        <f t="shared" si="13301"/>
        <v>0</v>
      </c>
      <c r="EM571" s="675">
        <f t="shared" si="13301"/>
        <v>0</v>
      </c>
      <c r="EN571" s="549">
        <f t="shared" si="13300"/>
        <v>0</v>
      </c>
      <c r="EO571" s="675">
        <f t="shared" si="13300"/>
        <v>0</v>
      </c>
      <c r="EP571" s="549">
        <f t="shared" si="13300"/>
        <v>0</v>
      </c>
      <c r="EQ571" s="675">
        <f t="shared" si="13300"/>
        <v>0</v>
      </c>
      <c r="ER571" s="549">
        <f t="shared" si="13300"/>
        <v>0</v>
      </c>
      <c r="ES571" s="675">
        <f t="shared" si="13300"/>
        <v>0</v>
      </c>
      <c r="ET571" s="549">
        <f t="shared" si="13300"/>
        <v>0</v>
      </c>
      <c r="EU571" s="675">
        <f t="shared" si="13300"/>
        <v>0</v>
      </c>
      <c r="EV571" s="549">
        <f t="shared" ref="EV571:EW571" si="13302">SUM(EV572:EV573)</f>
        <v>0</v>
      </c>
      <c r="EW571" s="675">
        <f t="shared" si="13302"/>
        <v>0</v>
      </c>
      <c r="EX571" s="549">
        <f t="shared" si="13300"/>
        <v>0</v>
      </c>
      <c r="EY571" s="675">
        <f t="shared" si="13300"/>
        <v>0</v>
      </c>
      <c r="EZ571" s="549">
        <f t="shared" si="13300"/>
        <v>0</v>
      </c>
      <c r="FA571" s="675">
        <f t="shared" si="13300"/>
        <v>0</v>
      </c>
      <c r="FB571" s="549">
        <f t="shared" ref="FB571:FC571" si="13303">SUM(FB572:FB573)</f>
        <v>0</v>
      </c>
      <c r="FC571" s="675">
        <f t="shared" si="13303"/>
        <v>0</v>
      </c>
      <c r="FD571" s="549">
        <f t="shared" ref="FD571:FE571" si="13304">SUM(FD572:FD573)</f>
        <v>0</v>
      </c>
      <c r="FE571" s="675">
        <f t="shared" si="13304"/>
        <v>0</v>
      </c>
      <c r="FF571" s="549">
        <f t="shared" ref="FF571:FG571" si="13305">SUM(FF572:FF573)</f>
        <v>0</v>
      </c>
      <c r="FG571" s="675">
        <f t="shared" si="13305"/>
        <v>0</v>
      </c>
      <c r="FH571" s="549">
        <f t="shared" ref="FH571:FI571" si="13306">SUM(FH572:FH573)</f>
        <v>0</v>
      </c>
      <c r="FI571" s="675">
        <f t="shared" si="13306"/>
        <v>0</v>
      </c>
      <c r="FJ571" s="549">
        <f t="shared" ref="FJ571:FK571" si="13307">SUM(FJ572:FJ573)</f>
        <v>0</v>
      </c>
      <c r="FK571" s="675">
        <f t="shared" si="13307"/>
        <v>0</v>
      </c>
      <c r="FL571" s="549">
        <f t="shared" ref="FL571:FM571" si="13308">SUM(FL572:FL573)</f>
        <v>0</v>
      </c>
      <c r="FM571" s="675">
        <f t="shared" si="13308"/>
        <v>0</v>
      </c>
      <c r="FN571" s="549">
        <f t="shared" ref="FN571:FO571" si="13309">SUM(FN572:FN573)</f>
        <v>0</v>
      </c>
      <c r="FO571" s="675">
        <f t="shared" si="13309"/>
        <v>0</v>
      </c>
      <c r="FP571" s="549">
        <f t="shared" ref="FP571:FQ571" si="13310">SUM(FP572:FP573)</f>
        <v>0</v>
      </c>
      <c r="FQ571" s="675">
        <f t="shared" si="13310"/>
        <v>0</v>
      </c>
      <c r="FR571" s="549">
        <f t="shared" ref="FR571:FS571" si="13311">SUM(FR572:FR573)</f>
        <v>0</v>
      </c>
      <c r="FS571" s="675">
        <f t="shared" si="13311"/>
        <v>0</v>
      </c>
      <c r="FT571" s="549">
        <f t="shared" ref="FT571:FU571" si="13312">SUM(FT572:FT573)</f>
        <v>0</v>
      </c>
      <c r="FU571" s="675">
        <f t="shared" si="13312"/>
        <v>0</v>
      </c>
      <c r="FV571" s="549">
        <f t="shared" ref="FV571:GK571" si="13313">SUM(FV572:FV573)</f>
        <v>0</v>
      </c>
      <c r="FW571" s="675">
        <f t="shared" si="13313"/>
        <v>0</v>
      </c>
      <c r="FX571" s="549">
        <f t="shared" si="13313"/>
        <v>0</v>
      </c>
      <c r="FY571" s="675">
        <f t="shared" si="13313"/>
        <v>0</v>
      </c>
      <c r="FZ571" s="549">
        <f t="shared" ref="FZ571:GI571" si="13314">SUM(FZ572:FZ573)</f>
        <v>0</v>
      </c>
      <c r="GA571" s="675">
        <f t="shared" si="13314"/>
        <v>0</v>
      </c>
      <c r="GB571" s="549">
        <f t="shared" si="13314"/>
        <v>0</v>
      </c>
      <c r="GC571" s="675">
        <f t="shared" si="13314"/>
        <v>0</v>
      </c>
      <c r="GD571" s="549">
        <f t="shared" si="13314"/>
        <v>0</v>
      </c>
      <c r="GE571" s="675">
        <f t="shared" si="13314"/>
        <v>0</v>
      </c>
      <c r="GF571" s="549">
        <f t="shared" si="13314"/>
        <v>0</v>
      </c>
      <c r="GG571" s="675">
        <f t="shared" si="13314"/>
        <v>0</v>
      </c>
      <c r="GH571" s="549">
        <f t="shared" si="13314"/>
        <v>0</v>
      </c>
      <c r="GI571" s="675">
        <f t="shared" si="13314"/>
        <v>0</v>
      </c>
      <c r="GJ571" s="549">
        <f t="shared" si="13313"/>
        <v>0</v>
      </c>
      <c r="GK571" s="675">
        <f t="shared" si="13313"/>
        <v>0</v>
      </c>
      <c r="GL571" s="549">
        <f t="shared" ref="GL571:GP571" si="13315">SUM(GL572:GL573)</f>
        <v>0</v>
      </c>
      <c r="GM571" s="675">
        <f t="shared" si="13315"/>
        <v>0</v>
      </c>
      <c r="GN571" s="549">
        <f t="shared" ref="GN571:GO571" si="13316">SUM(GN572:GN573)</f>
        <v>0</v>
      </c>
      <c r="GO571" s="675">
        <f t="shared" si="13316"/>
        <v>0</v>
      </c>
      <c r="GP571" s="549">
        <f t="shared" si="13315"/>
        <v>0</v>
      </c>
      <c r="GQ571" s="675">
        <f t="shared" ref="GQ571:JB571" si="13317">SUM(GQ572:GQ573)</f>
        <v>0</v>
      </c>
      <c r="GR571" s="74">
        <f t="shared" si="13317"/>
        <v>0</v>
      </c>
      <c r="GS571" s="74">
        <f t="shared" si="13317"/>
        <v>0</v>
      </c>
      <c r="GT571" s="549">
        <f t="shared" si="13317"/>
        <v>0</v>
      </c>
      <c r="GU571" s="74">
        <f t="shared" si="13317"/>
        <v>0</v>
      </c>
      <c r="GV571" s="74">
        <f t="shared" si="13317"/>
        <v>0</v>
      </c>
      <c r="GW571" s="549">
        <f t="shared" si="13317"/>
        <v>0</v>
      </c>
      <c r="GX571" s="549">
        <f t="shared" si="13317"/>
        <v>0</v>
      </c>
      <c r="GY571" s="74">
        <f t="shared" si="13317"/>
        <v>0</v>
      </c>
      <c r="GZ571" s="74">
        <f t="shared" si="13317"/>
        <v>0</v>
      </c>
      <c r="HA571" s="74">
        <f t="shared" si="13317"/>
        <v>0</v>
      </c>
      <c r="HB571" s="74">
        <f t="shared" si="13317"/>
        <v>0</v>
      </c>
      <c r="HC571" s="74">
        <f t="shared" si="13317"/>
        <v>0</v>
      </c>
      <c r="HD571" s="74">
        <f t="shared" si="13317"/>
        <v>0</v>
      </c>
      <c r="HE571" s="74">
        <f t="shared" si="13317"/>
        <v>0</v>
      </c>
      <c r="HF571" s="74">
        <f t="shared" si="13317"/>
        <v>0</v>
      </c>
      <c r="HG571" s="74">
        <f t="shared" si="13317"/>
        <v>0</v>
      </c>
      <c r="HH571" s="74">
        <f t="shared" ref="HH571:HI571" si="13318">SUM(HH572:HH573)</f>
        <v>0</v>
      </c>
      <c r="HI571" s="792">
        <f t="shared" si="13318"/>
        <v>0</v>
      </c>
      <c r="HJ571" s="74">
        <f t="shared" ref="HJ571:HK571" si="13319">SUM(HJ572:HJ573)</f>
        <v>0</v>
      </c>
      <c r="HK571" s="792">
        <f t="shared" si="13319"/>
        <v>0</v>
      </c>
      <c r="HL571" s="74">
        <f t="shared" ref="HL571:HM571" si="13320">SUM(HL572:HL573)</f>
        <v>0</v>
      </c>
      <c r="HM571" s="792">
        <f t="shared" si="13320"/>
        <v>0</v>
      </c>
      <c r="HN571" s="74">
        <f t="shared" ref="HN571:HO571" si="13321">SUM(HN572:HN573)</f>
        <v>0</v>
      </c>
      <c r="HO571" s="792">
        <f t="shared" si="13321"/>
        <v>0</v>
      </c>
      <c r="HP571" s="74">
        <f t="shared" ref="HP571:HQ571" si="13322">SUM(HP572:HP573)</f>
        <v>0</v>
      </c>
      <c r="HQ571" s="792">
        <f t="shared" si="13322"/>
        <v>0</v>
      </c>
      <c r="HR571" s="74">
        <f t="shared" ref="HR571:HS571" si="13323">SUM(HR572:HR573)</f>
        <v>0</v>
      </c>
      <c r="HS571" s="792">
        <f t="shared" si="13323"/>
        <v>0</v>
      </c>
      <c r="HT571" s="74">
        <f t="shared" ref="HT571:HU571" si="13324">SUM(HT572:HT573)</f>
        <v>0</v>
      </c>
      <c r="HU571" s="792">
        <f t="shared" si="13324"/>
        <v>0</v>
      </c>
      <c r="HV571" s="74">
        <f t="shared" ref="HV571:HW571" si="13325">SUM(HV572:HV573)</f>
        <v>0</v>
      </c>
      <c r="HW571" s="792">
        <f t="shared" si="13325"/>
        <v>0</v>
      </c>
      <c r="HX571" s="74">
        <f t="shared" ref="HX571:HY571" si="13326">SUM(HX572:HX573)</f>
        <v>0</v>
      </c>
      <c r="HY571" s="792">
        <f t="shared" si="13326"/>
        <v>0</v>
      </c>
      <c r="HZ571" s="74">
        <f t="shared" ref="HZ571:IA571" si="13327">SUM(HZ572:HZ573)</f>
        <v>0</v>
      </c>
      <c r="IA571" s="792">
        <f t="shared" si="13327"/>
        <v>0</v>
      </c>
      <c r="IB571" s="74">
        <f t="shared" ref="IB571:IC571" si="13328">SUM(IB572:IB573)</f>
        <v>0</v>
      </c>
      <c r="IC571" s="792">
        <f t="shared" si="13328"/>
        <v>0</v>
      </c>
      <c r="ID571" s="74">
        <f t="shared" si="13317"/>
        <v>0</v>
      </c>
      <c r="IE571" s="792">
        <f t="shared" si="13317"/>
        <v>0</v>
      </c>
      <c r="IF571" s="841">
        <f t="shared" si="13317"/>
        <v>0</v>
      </c>
      <c r="IG571" s="263">
        <f t="shared" si="13317"/>
        <v>0</v>
      </c>
      <c r="IH571" s="842">
        <f t="shared" si="13317"/>
        <v>0</v>
      </c>
      <c r="II571" s="74">
        <f t="shared" si="13317"/>
        <v>0</v>
      </c>
      <c r="IJ571" s="74">
        <f t="shared" si="13317"/>
        <v>0</v>
      </c>
      <c r="IK571" s="74">
        <f t="shared" si="13317"/>
        <v>0</v>
      </c>
      <c r="IL571" s="74">
        <f t="shared" si="13317"/>
        <v>0</v>
      </c>
      <c r="IM571" s="74">
        <f t="shared" si="13317"/>
        <v>0</v>
      </c>
      <c r="IN571" s="74">
        <f t="shared" si="13317"/>
        <v>0</v>
      </c>
      <c r="IO571" s="74">
        <f t="shared" si="13317"/>
        <v>0</v>
      </c>
      <c r="IP571" s="74">
        <f t="shared" si="13317"/>
        <v>0</v>
      </c>
      <c r="IQ571" s="74">
        <f t="shared" si="13317"/>
        <v>0</v>
      </c>
      <c r="IR571" s="74">
        <f t="shared" si="13317"/>
        <v>0</v>
      </c>
      <c r="IS571" s="74">
        <f t="shared" si="13317"/>
        <v>0</v>
      </c>
      <c r="IT571" s="74">
        <f t="shared" si="13317"/>
        <v>0</v>
      </c>
      <c r="IU571" s="74">
        <f t="shared" si="13317"/>
        <v>0</v>
      </c>
      <c r="IV571" s="74">
        <f t="shared" si="13317"/>
        <v>0</v>
      </c>
      <c r="IW571" s="74">
        <f t="shared" si="13317"/>
        <v>0</v>
      </c>
      <c r="IX571" s="74">
        <f t="shared" si="13317"/>
        <v>0</v>
      </c>
      <c r="IY571" s="74">
        <f t="shared" si="13317"/>
        <v>0</v>
      </c>
      <c r="IZ571" s="74">
        <f t="shared" si="13317"/>
        <v>0</v>
      </c>
      <c r="JA571" s="74">
        <f t="shared" si="13317"/>
        <v>0</v>
      </c>
      <c r="JB571" s="74">
        <f t="shared" si="13317"/>
        <v>0</v>
      </c>
      <c r="JC571" s="74">
        <f t="shared" ref="JC571" si="13329">SUM(JC572:JC573)</f>
        <v>0</v>
      </c>
      <c r="JD571" s="74">
        <f t="shared" ref="JD571:JF571" si="13330">SUM(JD572:JD573)</f>
        <v>0</v>
      </c>
      <c r="JE571" s="74">
        <f t="shared" si="13330"/>
        <v>0</v>
      </c>
      <c r="JF571" s="74">
        <f t="shared" si="13330"/>
        <v>0</v>
      </c>
      <c r="JG571" s="74">
        <f t="shared" ref="JG571:JI571" si="13331">SUM(JG572:JG573)</f>
        <v>0</v>
      </c>
      <c r="JH571" s="74">
        <f t="shared" si="13331"/>
        <v>0</v>
      </c>
      <c r="JI571" s="74">
        <f t="shared" si="13331"/>
        <v>0</v>
      </c>
      <c r="JJ571" s="74">
        <f t="shared" ref="JJ571:JL571" si="13332">SUM(JJ572:JJ573)</f>
        <v>0</v>
      </c>
      <c r="JK571" s="74">
        <f t="shared" si="13332"/>
        <v>0</v>
      </c>
      <c r="JL571" s="74">
        <f t="shared" si="13332"/>
        <v>0</v>
      </c>
      <c r="JM571" s="74">
        <f t="shared" ref="JM571:JO571" si="13333">SUM(JM572:JM573)</f>
        <v>0</v>
      </c>
      <c r="JN571" s="74">
        <f t="shared" si="13333"/>
        <v>0</v>
      </c>
      <c r="JO571" s="74">
        <f t="shared" si="13333"/>
        <v>0</v>
      </c>
      <c r="JP571" s="74">
        <f t="shared" ref="JP571:JT571" si="13334">SUM(JP572:JP573)</f>
        <v>0</v>
      </c>
      <c r="JQ571" s="74">
        <f t="shared" si="13334"/>
        <v>0</v>
      </c>
      <c r="JR571" s="74">
        <f t="shared" si="13334"/>
        <v>0</v>
      </c>
      <c r="JS571" s="74">
        <f t="shared" si="13334"/>
        <v>0</v>
      </c>
      <c r="JT571" s="102">
        <f t="shared" si="13334"/>
        <v>0</v>
      </c>
      <c r="JU571" s="665"/>
      <c r="JV571" s="524"/>
      <c r="JW571" s="525"/>
      <c r="JX571" s="549">
        <f>SUM(JX572:JX573)</f>
        <v>0</v>
      </c>
      <c r="JY571" s="549">
        <f>SUM(JY572:JY573)</f>
        <v>0</v>
      </c>
      <c r="JZ571" s="581">
        <f t="shared" si="12201"/>
        <v>0</v>
      </c>
      <c r="KA571" s="581">
        <f t="shared" si="12202"/>
        <v>0</v>
      </c>
      <c r="KB571" s="549">
        <f t="shared" si="13163"/>
        <v>0</v>
      </c>
      <c r="KC571" s="709">
        <f t="shared" si="12200"/>
        <v>0</v>
      </c>
      <c r="KD571" s="37"/>
      <c r="KE571" s="37"/>
      <c r="KF571" s="37"/>
      <c r="KG571" s="37"/>
      <c r="KH571" s="37"/>
      <c r="KI571" s="37"/>
      <c r="KJ571" s="37"/>
      <c r="KK571" s="37"/>
    </row>
    <row r="572" spans="1:297" s="10" customFormat="1" ht="12.75" hidden="1" customHeight="1">
      <c r="A572" s="86" t="s">
        <v>777</v>
      </c>
      <c r="B572" s="77"/>
      <c r="C572" s="74">
        <v>0</v>
      </c>
      <c r="D572" s="549">
        <v>0</v>
      </c>
      <c r="E572" s="675">
        <v>0</v>
      </c>
      <c r="F572" s="549">
        <v>0</v>
      </c>
      <c r="G572" s="675">
        <v>0</v>
      </c>
      <c r="H572" s="549">
        <v>0</v>
      </c>
      <c r="I572" s="675">
        <v>0</v>
      </c>
      <c r="J572" s="549">
        <v>0</v>
      </c>
      <c r="K572" s="675">
        <v>0</v>
      </c>
      <c r="L572" s="549">
        <v>0</v>
      </c>
      <c r="M572" s="675">
        <v>0</v>
      </c>
      <c r="N572" s="549">
        <v>0</v>
      </c>
      <c r="O572" s="675">
        <v>0</v>
      </c>
      <c r="P572" s="549">
        <v>0</v>
      </c>
      <c r="Q572" s="675">
        <v>0</v>
      </c>
      <c r="R572" s="549">
        <v>0</v>
      </c>
      <c r="S572" s="675">
        <v>0</v>
      </c>
      <c r="T572" s="549">
        <v>0</v>
      </c>
      <c r="U572" s="675">
        <v>0</v>
      </c>
      <c r="V572" s="549">
        <v>0</v>
      </c>
      <c r="W572" s="675">
        <v>0</v>
      </c>
      <c r="X572" s="549">
        <v>0</v>
      </c>
      <c r="Y572" s="675">
        <v>0</v>
      </c>
      <c r="Z572" s="549">
        <v>0</v>
      </c>
      <c r="AA572" s="675">
        <v>0</v>
      </c>
      <c r="AB572" s="549">
        <v>0</v>
      </c>
      <c r="AC572" s="675">
        <v>0</v>
      </c>
      <c r="AD572" s="549">
        <v>0</v>
      </c>
      <c r="AE572" s="675">
        <v>0</v>
      </c>
      <c r="AF572" s="549">
        <v>0</v>
      </c>
      <c r="AG572" s="675">
        <v>0</v>
      </c>
      <c r="AH572" s="549">
        <v>0</v>
      </c>
      <c r="AI572" s="675">
        <v>0</v>
      </c>
      <c r="AJ572" s="549">
        <v>0</v>
      </c>
      <c r="AK572" s="675">
        <v>0</v>
      </c>
      <c r="AL572" s="549">
        <v>0</v>
      </c>
      <c r="AM572" s="675">
        <v>0</v>
      </c>
      <c r="AN572" s="549">
        <v>0</v>
      </c>
      <c r="AO572" s="675">
        <v>0</v>
      </c>
      <c r="AP572" s="549">
        <v>0</v>
      </c>
      <c r="AQ572" s="675">
        <v>0</v>
      </c>
      <c r="AR572" s="549">
        <v>0</v>
      </c>
      <c r="AS572" s="675">
        <v>0</v>
      </c>
      <c r="AT572" s="549">
        <v>0</v>
      </c>
      <c r="AU572" s="675">
        <v>0</v>
      </c>
      <c r="AV572" s="549">
        <v>0</v>
      </c>
      <c r="AW572" s="675">
        <v>0</v>
      </c>
      <c r="AX572" s="549">
        <v>0</v>
      </c>
      <c r="AY572" s="675">
        <v>0</v>
      </c>
      <c r="AZ572" s="549">
        <v>0</v>
      </c>
      <c r="BA572" s="675">
        <v>0</v>
      </c>
      <c r="BB572" s="549">
        <v>0</v>
      </c>
      <c r="BC572" s="675">
        <v>0</v>
      </c>
      <c r="BD572" s="549">
        <v>0</v>
      </c>
      <c r="BE572" s="675">
        <v>0</v>
      </c>
      <c r="BF572" s="549">
        <v>0</v>
      </c>
      <c r="BG572" s="675">
        <v>0</v>
      </c>
      <c r="BH572" s="549">
        <v>0</v>
      </c>
      <c r="BI572" s="675">
        <v>0</v>
      </c>
      <c r="BJ572" s="549">
        <v>0</v>
      </c>
      <c r="BK572" s="675">
        <v>0</v>
      </c>
      <c r="BL572" s="549">
        <v>0</v>
      </c>
      <c r="BM572" s="675">
        <v>0</v>
      </c>
      <c r="BN572" s="549">
        <v>0</v>
      </c>
      <c r="BO572" s="675">
        <v>0</v>
      </c>
      <c r="BP572" s="549">
        <v>0</v>
      </c>
      <c r="BQ572" s="675">
        <v>0</v>
      </c>
      <c r="BR572" s="549">
        <v>0</v>
      </c>
      <c r="BS572" s="675">
        <v>0</v>
      </c>
      <c r="BT572" s="549">
        <v>0</v>
      </c>
      <c r="BU572" s="675">
        <v>0</v>
      </c>
      <c r="BV572" s="549">
        <v>0</v>
      </c>
      <c r="BW572" s="675">
        <v>0</v>
      </c>
      <c r="BX572" s="549">
        <v>0</v>
      </c>
      <c r="BY572" s="675">
        <v>0</v>
      </c>
      <c r="BZ572" s="549">
        <v>0</v>
      </c>
      <c r="CA572" s="675">
        <v>0</v>
      </c>
      <c r="CB572" s="549">
        <v>0</v>
      </c>
      <c r="CC572" s="675">
        <v>0</v>
      </c>
      <c r="CD572" s="549">
        <v>0</v>
      </c>
      <c r="CE572" s="675">
        <v>0</v>
      </c>
      <c r="CF572" s="549">
        <v>0</v>
      </c>
      <c r="CG572" s="675">
        <v>0</v>
      </c>
      <c r="CH572" s="549">
        <v>0</v>
      </c>
      <c r="CI572" s="675">
        <v>0</v>
      </c>
      <c r="CJ572" s="549">
        <v>0</v>
      </c>
      <c r="CK572" s="675">
        <v>0</v>
      </c>
      <c r="CL572" s="549">
        <v>0</v>
      </c>
      <c r="CM572" s="675">
        <v>0</v>
      </c>
      <c r="CN572" s="549">
        <v>0</v>
      </c>
      <c r="CO572" s="675">
        <v>0</v>
      </c>
      <c r="CP572" s="549">
        <v>0</v>
      </c>
      <c r="CQ572" s="675">
        <v>0</v>
      </c>
      <c r="CR572" s="549">
        <v>0</v>
      </c>
      <c r="CS572" s="675">
        <v>0</v>
      </c>
      <c r="CT572" s="549">
        <v>0</v>
      </c>
      <c r="CU572" s="675">
        <v>0</v>
      </c>
      <c r="CV572" s="549">
        <v>0</v>
      </c>
      <c r="CW572" s="675">
        <v>0</v>
      </c>
      <c r="CX572" s="549">
        <v>0</v>
      </c>
      <c r="CY572" s="675">
        <v>0</v>
      </c>
      <c r="CZ572" s="549">
        <v>0</v>
      </c>
      <c r="DA572" s="675">
        <v>0</v>
      </c>
      <c r="DB572" s="549">
        <v>0</v>
      </c>
      <c r="DC572" s="675">
        <v>0</v>
      </c>
      <c r="DD572" s="549">
        <v>0</v>
      </c>
      <c r="DE572" s="675">
        <v>0</v>
      </c>
      <c r="DF572" s="549">
        <v>0</v>
      </c>
      <c r="DG572" s="675">
        <v>0</v>
      </c>
      <c r="DH572" s="549">
        <v>0</v>
      </c>
      <c r="DI572" s="675">
        <v>0</v>
      </c>
      <c r="DJ572" s="549">
        <v>0</v>
      </c>
      <c r="DK572" s="675">
        <v>0</v>
      </c>
      <c r="DL572" s="549">
        <v>0</v>
      </c>
      <c r="DM572" s="675">
        <v>0</v>
      </c>
      <c r="DN572" s="549">
        <v>0</v>
      </c>
      <c r="DO572" s="675">
        <v>0</v>
      </c>
      <c r="DP572" s="549">
        <v>0</v>
      </c>
      <c r="DQ572" s="675">
        <v>0</v>
      </c>
      <c r="DR572" s="549">
        <v>0</v>
      </c>
      <c r="DS572" s="675">
        <v>0</v>
      </c>
      <c r="DT572" s="549">
        <v>0</v>
      </c>
      <c r="DU572" s="675">
        <v>0</v>
      </c>
      <c r="DV572" s="549">
        <v>0</v>
      </c>
      <c r="DW572" s="675">
        <v>0</v>
      </c>
      <c r="DX572" s="549">
        <v>0</v>
      </c>
      <c r="DY572" s="675">
        <v>0</v>
      </c>
      <c r="DZ572" s="549">
        <v>0</v>
      </c>
      <c r="EA572" s="675">
        <v>0</v>
      </c>
      <c r="EB572" s="549">
        <v>0</v>
      </c>
      <c r="EC572" s="675">
        <v>0</v>
      </c>
      <c r="ED572" s="549">
        <v>0</v>
      </c>
      <c r="EE572" s="675">
        <v>0</v>
      </c>
      <c r="EF572" s="549">
        <v>0</v>
      </c>
      <c r="EG572" s="675">
        <v>0</v>
      </c>
      <c r="EH572" s="549">
        <v>0</v>
      </c>
      <c r="EI572" s="675">
        <v>0</v>
      </c>
      <c r="EJ572" s="549">
        <v>0</v>
      </c>
      <c r="EK572" s="675">
        <v>0</v>
      </c>
      <c r="EL572" s="549">
        <v>0</v>
      </c>
      <c r="EM572" s="675">
        <v>0</v>
      </c>
      <c r="EN572" s="549">
        <v>0</v>
      </c>
      <c r="EO572" s="675">
        <v>0</v>
      </c>
      <c r="EP572" s="549">
        <v>0</v>
      </c>
      <c r="EQ572" s="675">
        <v>0</v>
      </c>
      <c r="ER572" s="549">
        <v>0</v>
      </c>
      <c r="ES572" s="675">
        <v>0</v>
      </c>
      <c r="ET572" s="549">
        <v>0</v>
      </c>
      <c r="EU572" s="675">
        <v>0</v>
      </c>
      <c r="EV572" s="549">
        <v>0</v>
      </c>
      <c r="EW572" s="675">
        <v>0</v>
      </c>
      <c r="EX572" s="549">
        <v>0</v>
      </c>
      <c r="EY572" s="675">
        <v>0</v>
      </c>
      <c r="EZ572" s="549">
        <v>0</v>
      </c>
      <c r="FA572" s="675">
        <v>0</v>
      </c>
      <c r="FB572" s="549">
        <v>0</v>
      </c>
      <c r="FC572" s="675">
        <v>0</v>
      </c>
      <c r="FD572" s="549">
        <v>0</v>
      </c>
      <c r="FE572" s="675">
        <v>0</v>
      </c>
      <c r="FF572" s="549">
        <v>0</v>
      </c>
      <c r="FG572" s="675">
        <v>0</v>
      </c>
      <c r="FH572" s="549">
        <v>0</v>
      </c>
      <c r="FI572" s="675">
        <v>0</v>
      </c>
      <c r="FJ572" s="549">
        <v>0</v>
      </c>
      <c r="FK572" s="675">
        <v>0</v>
      </c>
      <c r="FL572" s="549">
        <v>0</v>
      </c>
      <c r="FM572" s="675">
        <v>0</v>
      </c>
      <c r="FN572" s="549">
        <v>0</v>
      </c>
      <c r="FO572" s="675">
        <v>0</v>
      </c>
      <c r="FP572" s="549">
        <v>0</v>
      </c>
      <c r="FQ572" s="675">
        <v>0</v>
      </c>
      <c r="FR572" s="549">
        <v>0</v>
      </c>
      <c r="FS572" s="675">
        <v>0</v>
      </c>
      <c r="FT572" s="549">
        <v>0</v>
      </c>
      <c r="FU572" s="675">
        <v>0</v>
      </c>
      <c r="FV572" s="549">
        <v>0</v>
      </c>
      <c r="FW572" s="675">
        <v>0</v>
      </c>
      <c r="FX572" s="549">
        <v>0</v>
      </c>
      <c r="FY572" s="675">
        <v>0</v>
      </c>
      <c r="FZ572" s="549">
        <v>0</v>
      </c>
      <c r="GA572" s="675">
        <v>0</v>
      </c>
      <c r="GB572" s="549">
        <v>0</v>
      </c>
      <c r="GC572" s="675">
        <v>0</v>
      </c>
      <c r="GD572" s="549">
        <v>0</v>
      </c>
      <c r="GE572" s="675">
        <v>0</v>
      </c>
      <c r="GF572" s="549">
        <v>0</v>
      </c>
      <c r="GG572" s="675">
        <v>0</v>
      </c>
      <c r="GH572" s="549">
        <v>0</v>
      </c>
      <c r="GI572" s="675">
        <v>0</v>
      </c>
      <c r="GJ572" s="549">
        <v>0</v>
      </c>
      <c r="GK572" s="675">
        <v>0</v>
      </c>
      <c r="GL572" s="549">
        <v>0</v>
      </c>
      <c r="GM572" s="675">
        <v>0</v>
      </c>
      <c r="GN572" s="549">
        <v>0</v>
      </c>
      <c r="GO572" s="675">
        <v>0</v>
      </c>
      <c r="GP572" s="549">
        <f>+D572+F572+H572+J572+L572+N572+P572+R572+T572+V572+X572+Z572+AB572+AD572+AH572+AJ572+AL572+AN572+AP572+AR572+AT572+AV572+AX572+AZ572+BB572+BD572+BF572+BH572+BJ572+BL572+BN572+BP572+BR572+BT572+BV572+BX572+BZ572+CB572+CD572+CF572+CH572+CJ572+CL572+CN572+CP572+CR572+CT572+CV572+CX572+CZ572+DB572+DD572+DF572+DH572+DT572+EX572+DJ572+DL572+DN572+DP572+DR572+EJ572+EB572+DZ572+DX572+DV572+ED572+EF572+EH572+EL572+EN572+EP572+EV572+ET572+ER572+EZ572+FB572+FD572+GL572+FF572+FJ572+FL572+GJ572+FT572+FR572+FP572+FN572+FH572</f>
        <v>0</v>
      </c>
      <c r="GQ572" s="675">
        <f>+E572+G572+I572+K572+M572+O572+Q572+S572+U572+W572+Y572+AA572+AC572+AE572+AI572+AK572+AM572+AO572+AQ572+AS572+AU572+AW572+AY572+BA572+BC572+BE572+BG572+BI572+BK572+BM572+BO572+BQ572+BS572+BU572+BW572+BY572+CA572+CC572+CE572+CG572+CI572+CK572+CM572+CO572+CQ572+CS572+CU572+CW572+CY572+DA572+DC572+DE572+DG572+DI572+DU572+EY572+DK572+DM572+DO572+DQ572+DS572+EK572+EC572+EA572+DY572+DW572+EI572+EG572+EE572+EM572+EO572+EQ572+EW572+EU572+ES572+FA572+FC572+FE572+GM572+FG572+FK572+FM572+FO572+FQ572+FS572+FU572+GK572+FI572</f>
        <v>0</v>
      </c>
      <c r="GR572" s="74">
        <f>C572+GP572+GQ572</f>
        <v>0</v>
      </c>
      <c r="GS572" s="74">
        <f t="shared" ref="GS572:GS573" si="13335">SUM(GU572:HE572)+GP572+GQ572</f>
        <v>0</v>
      </c>
      <c r="GT572" s="568">
        <f>SUM(GU572:HF572)+GQ572+GP572</f>
        <v>0</v>
      </c>
      <c r="GU572" s="275">
        <v>0</v>
      </c>
      <c r="GV572" s="275">
        <v>0</v>
      </c>
      <c r="GW572" s="588">
        <v>0</v>
      </c>
      <c r="GX572" s="588">
        <v>0</v>
      </c>
      <c r="GY572" s="275">
        <v>0</v>
      </c>
      <c r="GZ572" s="275">
        <v>0</v>
      </c>
      <c r="HA572" s="275">
        <v>0</v>
      </c>
      <c r="HB572" s="275">
        <v>0</v>
      </c>
      <c r="HC572" s="275">
        <v>0</v>
      </c>
      <c r="HD572" s="275">
        <v>0</v>
      </c>
      <c r="HE572" s="275">
        <v>0</v>
      </c>
      <c r="HF572" s="275">
        <v>0</v>
      </c>
      <c r="HG572" s="74">
        <f>SUM(HH572:IE572)</f>
        <v>0</v>
      </c>
      <c r="HH572" s="89">
        <v>0</v>
      </c>
      <c r="HI572" s="817">
        <v>0</v>
      </c>
      <c r="HJ572" s="89">
        <v>0</v>
      </c>
      <c r="HK572" s="817">
        <v>0</v>
      </c>
      <c r="HL572" s="89">
        <v>0</v>
      </c>
      <c r="HM572" s="817">
        <v>0</v>
      </c>
      <c r="HN572" s="89">
        <v>0</v>
      </c>
      <c r="HO572" s="817">
        <v>0</v>
      </c>
      <c r="HP572" s="89">
        <v>0</v>
      </c>
      <c r="HQ572" s="817">
        <v>0</v>
      </c>
      <c r="HR572" s="89">
        <v>0</v>
      </c>
      <c r="HS572" s="817">
        <v>0</v>
      </c>
      <c r="HT572" s="89">
        <v>0</v>
      </c>
      <c r="HU572" s="817">
        <v>0</v>
      </c>
      <c r="HV572" s="89">
        <v>0</v>
      </c>
      <c r="HW572" s="817">
        <v>0</v>
      </c>
      <c r="HX572" s="89">
        <v>0</v>
      </c>
      <c r="HY572" s="817">
        <v>0</v>
      </c>
      <c r="HZ572" s="89">
        <v>0</v>
      </c>
      <c r="IA572" s="817">
        <v>0</v>
      </c>
      <c r="IB572" s="89">
        <v>0</v>
      </c>
      <c r="IC572" s="817">
        <v>0</v>
      </c>
      <c r="ID572" s="89">
        <v>0</v>
      </c>
      <c r="IE572" s="817">
        <v>0</v>
      </c>
      <c r="IF572" s="841">
        <f t="shared" ref="IF572:IF573" si="13336">SUM(II572,IL572,IO572,IR572,IU572,IX572,JA572,JD572,JG572,JJ572,JM572,JP572)</f>
        <v>0</v>
      </c>
      <c r="IG572" s="263">
        <f t="shared" ref="IG572:IG573" si="13337">SUM(IJ572,IM572,IP572,IS572,IV572,IY572,JB572,JE572,JH572,JK572,JN572,JQ572)</f>
        <v>0</v>
      </c>
      <c r="IH572" s="842">
        <f t="shared" ref="IH572:IH573" si="13338">SUM(IK572,IN572,IQ572,IT572,IW572,IZ572,JC572,JF572,JI572,JL572,JO572,JR572)</f>
        <v>0</v>
      </c>
      <c r="II572" s="89">
        <v>0</v>
      </c>
      <c r="IJ572" s="89">
        <v>0</v>
      </c>
      <c r="IK572" s="89">
        <v>0</v>
      </c>
      <c r="IL572" s="89">
        <v>0</v>
      </c>
      <c r="IM572" s="89">
        <v>0</v>
      </c>
      <c r="IN572" s="89">
        <v>0</v>
      </c>
      <c r="IO572" s="89">
        <v>0</v>
      </c>
      <c r="IP572" s="89">
        <v>0</v>
      </c>
      <c r="IQ572" s="89">
        <v>0</v>
      </c>
      <c r="IR572" s="89">
        <v>0</v>
      </c>
      <c r="IS572" s="89">
        <v>0</v>
      </c>
      <c r="IT572" s="89">
        <v>0</v>
      </c>
      <c r="IU572" s="89">
        <v>0</v>
      </c>
      <c r="IV572" s="89">
        <v>0</v>
      </c>
      <c r="IW572" s="89">
        <v>0</v>
      </c>
      <c r="IX572" s="89">
        <v>0</v>
      </c>
      <c r="IY572" s="89">
        <v>0</v>
      </c>
      <c r="IZ572" s="89">
        <v>0</v>
      </c>
      <c r="JA572" s="89">
        <v>0</v>
      </c>
      <c r="JB572" s="89">
        <v>0</v>
      </c>
      <c r="JC572" s="89">
        <v>0</v>
      </c>
      <c r="JD572" s="89">
        <v>0</v>
      </c>
      <c r="JE572" s="89">
        <v>0</v>
      </c>
      <c r="JF572" s="89">
        <v>0</v>
      </c>
      <c r="JG572" s="89">
        <v>0</v>
      </c>
      <c r="JH572" s="89">
        <v>0</v>
      </c>
      <c r="JI572" s="89">
        <v>0</v>
      </c>
      <c r="JJ572" s="89">
        <v>0</v>
      </c>
      <c r="JK572" s="89">
        <v>0</v>
      </c>
      <c r="JL572" s="89">
        <v>0</v>
      </c>
      <c r="JM572" s="89">
        <v>0</v>
      </c>
      <c r="JN572" s="89">
        <v>0</v>
      </c>
      <c r="JO572" s="89">
        <v>0</v>
      </c>
      <c r="JP572" s="89">
        <v>0</v>
      </c>
      <c r="JQ572" s="89">
        <v>0</v>
      </c>
      <c r="JR572" s="89">
        <v>0</v>
      </c>
      <c r="JS572" s="74">
        <f>HG572-IF572</f>
        <v>0</v>
      </c>
      <c r="JT572" s="382">
        <f>GS572-IF572</f>
        <v>0</v>
      </c>
      <c r="JU572" s="665"/>
      <c r="JV572" s="524"/>
      <c r="JW572" s="525"/>
      <c r="JX572" s="549">
        <f>SUM(HH572,HJ572,HL572,HN572,HP572,HR572,HT572,HV572,HX572,HZ572,IB572,ID572)</f>
        <v>0</v>
      </c>
      <c r="JY572" s="549">
        <f>SUM(HI572,HK572,HM572,HO572,HQ572,HS572,HU572,HW572,HY572,IA572,IC572,IE572)</f>
        <v>0</v>
      </c>
      <c r="JZ572" s="581">
        <f t="shared" si="12201"/>
        <v>0</v>
      </c>
      <c r="KA572" s="581">
        <f t="shared" si="12202"/>
        <v>0</v>
      </c>
      <c r="KB572" s="549">
        <f t="shared" si="13163"/>
        <v>0</v>
      </c>
      <c r="KC572" s="709">
        <f t="shared" si="12200"/>
        <v>0</v>
      </c>
      <c r="KD572" s="36"/>
      <c r="KE572" s="36"/>
      <c r="KF572" s="36"/>
      <c r="KG572" s="36"/>
      <c r="KH572" s="36"/>
      <c r="KI572" s="36"/>
      <c r="KJ572" s="36"/>
      <c r="KK572" s="36"/>
    </row>
    <row r="573" spans="1:297" s="10" customFormat="1" ht="12.75" hidden="1" customHeight="1">
      <c r="A573" s="86" t="s">
        <v>780</v>
      </c>
      <c r="B573" s="77"/>
      <c r="C573" s="74">
        <v>0</v>
      </c>
      <c r="D573" s="549">
        <v>0</v>
      </c>
      <c r="E573" s="675">
        <v>0</v>
      </c>
      <c r="F573" s="549">
        <v>0</v>
      </c>
      <c r="G573" s="675">
        <v>0</v>
      </c>
      <c r="H573" s="549">
        <v>0</v>
      </c>
      <c r="I573" s="675">
        <v>0</v>
      </c>
      <c r="J573" s="549">
        <v>0</v>
      </c>
      <c r="K573" s="675">
        <v>0</v>
      </c>
      <c r="L573" s="549">
        <v>0</v>
      </c>
      <c r="M573" s="675">
        <v>0</v>
      </c>
      <c r="N573" s="549">
        <v>0</v>
      </c>
      <c r="O573" s="675">
        <v>0</v>
      </c>
      <c r="P573" s="549">
        <v>0</v>
      </c>
      <c r="Q573" s="675">
        <v>0</v>
      </c>
      <c r="R573" s="549">
        <v>0</v>
      </c>
      <c r="S573" s="675">
        <v>0</v>
      </c>
      <c r="T573" s="549">
        <v>0</v>
      </c>
      <c r="U573" s="675">
        <v>0</v>
      </c>
      <c r="V573" s="549">
        <v>0</v>
      </c>
      <c r="W573" s="675">
        <v>0</v>
      </c>
      <c r="X573" s="549">
        <v>0</v>
      </c>
      <c r="Y573" s="675">
        <v>0</v>
      </c>
      <c r="Z573" s="549">
        <v>0</v>
      </c>
      <c r="AA573" s="675">
        <v>0</v>
      </c>
      <c r="AB573" s="549">
        <v>0</v>
      </c>
      <c r="AC573" s="675">
        <v>0</v>
      </c>
      <c r="AD573" s="549">
        <v>0</v>
      </c>
      <c r="AE573" s="675">
        <v>0</v>
      </c>
      <c r="AF573" s="549">
        <v>0</v>
      </c>
      <c r="AG573" s="675">
        <v>0</v>
      </c>
      <c r="AH573" s="549">
        <v>0</v>
      </c>
      <c r="AI573" s="675">
        <v>0</v>
      </c>
      <c r="AJ573" s="549">
        <v>0</v>
      </c>
      <c r="AK573" s="675">
        <v>0</v>
      </c>
      <c r="AL573" s="549">
        <v>0</v>
      </c>
      <c r="AM573" s="675">
        <v>0</v>
      </c>
      <c r="AN573" s="549">
        <v>0</v>
      </c>
      <c r="AO573" s="675">
        <v>0</v>
      </c>
      <c r="AP573" s="549">
        <v>0</v>
      </c>
      <c r="AQ573" s="675">
        <v>0</v>
      </c>
      <c r="AR573" s="549">
        <v>0</v>
      </c>
      <c r="AS573" s="675">
        <v>0</v>
      </c>
      <c r="AT573" s="549">
        <v>0</v>
      </c>
      <c r="AU573" s="675">
        <v>0</v>
      </c>
      <c r="AV573" s="549">
        <v>0</v>
      </c>
      <c r="AW573" s="675">
        <v>0</v>
      </c>
      <c r="AX573" s="549">
        <v>0</v>
      </c>
      <c r="AY573" s="675">
        <v>0</v>
      </c>
      <c r="AZ573" s="549">
        <v>0</v>
      </c>
      <c r="BA573" s="675">
        <v>0</v>
      </c>
      <c r="BB573" s="549">
        <v>0</v>
      </c>
      <c r="BC573" s="675">
        <v>0</v>
      </c>
      <c r="BD573" s="549">
        <v>0</v>
      </c>
      <c r="BE573" s="675">
        <v>0</v>
      </c>
      <c r="BF573" s="549">
        <v>0</v>
      </c>
      <c r="BG573" s="675">
        <v>0</v>
      </c>
      <c r="BH573" s="549">
        <v>0</v>
      </c>
      <c r="BI573" s="675">
        <v>0</v>
      </c>
      <c r="BJ573" s="549">
        <v>0</v>
      </c>
      <c r="BK573" s="675">
        <v>0</v>
      </c>
      <c r="BL573" s="549">
        <v>0</v>
      </c>
      <c r="BM573" s="675">
        <v>0</v>
      </c>
      <c r="BN573" s="549">
        <v>0</v>
      </c>
      <c r="BO573" s="675">
        <v>0</v>
      </c>
      <c r="BP573" s="549">
        <v>0</v>
      </c>
      <c r="BQ573" s="675">
        <v>0</v>
      </c>
      <c r="BR573" s="549">
        <v>0</v>
      </c>
      <c r="BS573" s="675">
        <v>0</v>
      </c>
      <c r="BT573" s="549">
        <v>0</v>
      </c>
      <c r="BU573" s="675">
        <v>0</v>
      </c>
      <c r="BV573" s="549">
        <v>0</v>
      </c>
      <c r="BW573" s="675">
        <v>0</v>
      </c>
      <c r="BX573" s="549">
        <v>0</v>
      </c>
      <c r="BY573" s="675">
        <v>0</v>
      </c>
      <c r="BZ573" s="549">
        <v>0</v>
      </c>
      <c r="CA573" s="675">
        <v>0</v>
      </c>
      <c r="CB573" s="549">
        <v>0</v>
      </c>
      <c r="CC573" s="675">
        <v>0</v>
      </c>
      <c r="CD573" s="549">
        <v>0</v>
      </c>
      <c r="CE573" s="675">
        <v>0</v>
      </c>
      <c r="CF573" s="549">
        <v>0</v>
      </c>
      <c r="CG573" s="675">
        <v>0</v>
      </c>
      <c r="CH573" s="549">
        <v>0</v>
      </c>
      <c r="CI573" s="675">
        <v>0</v>
      </c>
      <c r="CJ573" s="549">
        <v>0</v>
      </c>
      <c r="CK573" s="675">
        <v>0</v>
      </c>
      <c r="CL573" s="549">
        <v>0</v>
      </c>
      <c r="CM573" s="675">
        <v>0</v>
      </c>
      <c r="CN573" s="549">
        <v>0</v>
      </c>
      <c r="CO573" s="675">
        <v>0</v>
      </c>
      <c r="CP573" s="549">
        <v>0</v>
      </c>
      <c r="CQ573" s="675">
        <v>0</v>
      </c>
      <c r="CR573" s="549">
        <v>0</v>
      </c>
      <c r="CS573" s="675">
        <v>0</v>
      </c>
      <c r="CT573" s="549">
        <v>0</v>
      </c>
      <c r="CU573" s="675">
        <v>0</v>
      </c>
      <c r="CV573" s="549">
        <v>0</v>
      </c>
      <c r="CW573" s="675">
        <v>0</v>
      </c>
      <c r="CX573" s="549">
        <v>0</v>
      </c>
      <c r="CY573" s="675">
        <v>0</v>
      </c>
      <c r="CZ573" s="549">
        <v>0</v>
      </c>
      <c r="DA573" s="675">
        <v>0</v>
      </c>
      <c r="DB573" s="549">
        <v>0</v>
      </c>
      <c r="DC573" s="675">
        <v>0</v>
      </c>
      <c r="DD573" s="549">
        <v>0</v>
      </c>
      <c r="DE573" s="675">
        <v>0</v>
      </c>
      <c r="DF573" s="549">
        <v>0</v>
      </c>
      <c r="DG573" s="675">
        <v>0</v>
      </c>
      <c r="DH573" s="549">
        <v>0</v>
      </c>
      <c r="DI573" s="675">
        <v>0</v>
      </c>
      <c r="DJ573" s="549">
        <v>0</v>
      </c>
      <c r="DK573" s="675">
        <v>0</v>
      </c>
      <c r="DL573" s="549">
        <v>0</v>
      </c>
      <c r="DM573" s="675">
        <v>0</v>
      </c>
      <c r="DN573" s="549">
        <v>0</v>
      </c>
      <c r="DO573" s="675">
        <v>0</v>
      </c>
      <c r="DP573" s="549">
        <v>0</v>
      </c>
      <c r="DQ573" s="675">
        <v>0</v>
      </c>
      <c r="DR573" s="549">
        <v>0</v>
      </c>
      <c r="DS573" s="675">
        <v>0</v>
      </c>
      <c r="DT573" s="549">
        <v>0</v>
      </c>
      <c r="DU573" s="675">
        <v>0</v>
      </c>
      <c r="DV573" s="549">
        <v>0</v>
      </c>
      <c r="DW573" s="675">
        <v>0</v>
      </c>
      <c r="DX573" s="549">
        <v>0</v>
      </c>
      <c r="DY573" s="675">
        <v>0</v>
      </c>
      <c r="DZ573" s="549">
        <v>0</v>
      </c>
      <c r="EA573" s="675">
        <v>0</v>
      </c>
      <c r="EB573" s="549">
        <v>0</v>
      </c>
      <c r="EC573" s="675">
        <v>0</v>
      </c>
      <c r="ED573" s="549">
        <v>0</v>
      </c>
      <c r="EE573" s="675">
        <v>0</v>
      </c>
      <c r="EF573" s="549">
        <v>0</v>
      </c>
      <c r="EG573" s="675">
        <v>0</v>
      </c>
      <c r="EH573" s="549">
        <v>0</v>
      </c>
      <c r="EI573" s="675">
        <v>0</v>
      </c>
      <c r="EJ573" s="549">
        <v>0</v>
      </c>
      <c r="EK573" s="675">
        <v>0</v>
      </c>
      <c r="EL573" s="549">
        <v>0</v>
      </c>
      <c r="EM573" s="675">
        <v>0</v>
      </c>
      <c r="EN573" s="549">
        <v>0</v>
      </c>
      <c r="EO573" s="675">
        <v>0</v>
      </c>
      <c r="EP573" s="549">
        <v>0</v>
      </c>
      <c r="EQ573" s="675">
        <v>0</v>
      </c>
      <c r="ER573" s="549">
        <v>0</v>
      </c>
      <c r="ES573" s="675">
        <v>0</v>
      </c>
      <c r="ET573" s="549">
        <v>0</v>
      </c>
      <c r="EU573" s="675">
        <v>0</v>
      </c>
      <c r="EV573" s="549">
        <v>0</v>
      </c>
      <c r="EW573" s="675">
        <v>0</v>
      </c>
      <c r="EX573" s="549">
        <v>0</v>
      </c>
      <c r="EY573" s="675">
        <v>0</v>
      </c>
      <c r="EZ573" s="549">
        <v>0</v>
      </c>
      <c r="FA573" s="675">
        <v>0</v>
      </c>
      <c r="FB573" s="549">
        <v>0</v>
      </c>
      <c r="FC573" s="675">
        <v>0</v>
      </c>
      <c r="FD573" s="549">
        <v>0</v>
      </c>
      <c r="FE573" s="675">
        <v>0</v>
      </c>
      <c r="FF573" s="549">
        <v>0</v>
      </c>
      <c r="FG573" s="675">
        <v>0</v>
      </c>
      <c r="FH573" s="549">
        <v>0</v>
      </c>
      <c r="FI573" s="675">
        <v>0</v>
      </c>
      <c r="FJ573" s="549">
        <v>0</v>
      </c>
      <c r="FK573" s="675">
        <v>0</v>
      </c>
      <c r="FL573" s="549">
        <v>0</v>
      </c>
      <c r="FM573" s="675">
        <v>0</v>
      </c>
      <c r="FN573" s="549">
        <v>0</v>
      </c>
      <c r="FO573" s="675">
        <v>0</v>
      </c>
      <c r="FP573" s="549">
        <v>0</v>
      </c>
      <c r="FQ573" s="675">
        <v>0</v>
      </c>
      <c r="FR573" s="549">
        <v>0</v>
      </c>
      <c r="FS573" s="675">
        <v>0</v>
      </c>
      <c r="FT573" s="549">
        <v>0</v>
      </c>
      <c r="FU573" s="675">
        <v>0</v>
      </c>
      <c r="FV573" s="549">
        <v>0</v>
      </c>
      <c r="FW573" s="675">
        <v>0</v>
      </c>
      <c r="FX573" s="549">
        <v>0</v>
      </c>
      <c r="FY573" s="675">
        <v>0</v>
      </c>
      <c r="FZ573" s="549">
        <v>0</v>
      </c>
      <c r="GA573" s="675">
        <v>0</v>
      </c>
      <c r="GB573" s="549">
        <v>0</v>
      </c>
      <c r="GC573" s="675">
        <v>0</v>
      </c>
      <c r="GD573" s="549">
        <v>0</v>
      </c>
      <c r="GE573" s="675">
        <v>0</v>
      </c>
      <c r="GF573" s="549">
        <v>0</v>
      </c>
      <c r="GG573" s="675">
        <v>0</v>
      </c>
      <c r="GH573" s="549">
        <v>0</v>
      </c>
      <c r="GI573" s="675">
        <v>0</v>
      </c>
      <c r="GJ573" s="549">
        <v>0</v>
      </c>
      <c r="GK573" s="675">
        <v>0</v>
      </c>
      <c r="GL573" s="549">
        <v>0</v>
      </c>
      <c r="GM573" s="675">
        <v>0</v>
      </c>
      <c r="GN573" s="549">
        <v>0</v>
      </c>
      <c r="GO573" s="675">
        <v>0</v>
      </c>
      <c r="GP573" s="549">
        <f>+D573+F573+H573+J573+L573+N573+P573+R573+T573+V573+X573+Z573+AB573+AD573+AH573+AJ573+AL573+AN573+AP573+AR573+AT573+AV573+AX573+AZ573+BB573+BD573+BF573+BH573+BJ573+BL573+BN573+BP573+BR573+BT573+BV573+BX573+BZ573+CB573+CD573+CF573+CH573+CJ573+CL573+CN573+CP573+CR573+CT573+CV573+CX573+CZ573+DB573+DD573+DF573+DH573+DT573+EX573+DJ573+DL573+DN573+DP573+DR573+EJ573+EB573+DZ573+DX573+DV573+ED573+EF573+EH573+EL573+EN573+EP573+EV573+ET573+ER573+EZ573+FB573+FD573+GL573+FF573+FJ573+FL573+GJ573+FT573+FR573+FP573+FN573+FH573</f>
        <v>0</v>
      </c>
      <c r="GQ573" s="675">
        <f>+E573+G573+I573+K573+M573+O573+Q573+S573+U573+W573+Y573+AA573+AC573+AE573+AI573+AK573+AM573+AO573+AQ573+AS573+AU573+AW573+AY573+BA573+BC573+BE573+BG573+BI573+BK573+BM573+BO573+BQ573+BS573+BU573+BW573+BY573+CA573+CC573+CE573+CG573+CI573+CK573+CM573+CO573+CQ573+CS573+CU573+CW573+CY573+DA573+DC573+DE573+DG573+DI573+DU573+EY573+DK573+DM573+DO573+DQ573+DS573+EK573+EC573+EA573+DY573+DW573+EI573+EG573+EE573+EM573+EO573+EQ573+EW573+EU573+ES573+FA573+FC573+FE573+GM573+FG573+FK573+FM573+FO573+FQ573+FS573+FU573+GK573+FI573</f>
        <v>0</v>
      </c>
      <c r="GR573" s="74">
        <f>C573+GP573+GQ573</f>
        <v>0</v>
      </c>
      <c r="GS573" s="74">
        <f t="shared" si="13335"/>
        <v>0</v>
      </c>
      <c r="GT573" s="568">
        <f>SUM(GU573:HF573)+GQ573+GP573</f>
        <v>0</v>
      </c>
      <c r="GU573" s="275">
        <v>0</v>
      </c>
      <c r="GV573" s="275">
        <v>0</v>
      </c>
      <c r="GW573" s="588">
        <v>0</v>
      </c>
      <c r="GX573" s="588">
        <v>0</v>
      </c>
      <c r="GY573" s="275">
        <v>0</v>
      </c>
      <c r="GZ573" s="275">
        <v>0</v>
      </c>
      <c r="HA573" s="275">
        <v>0</v>
      </c>
      <c r="HB573" s="275">
        <v>0</v>
      </c>
      <c r="HC573" s="275">
        <v>0</v>
      </c>
      <c r="HD573" s="275">
        <v>0</v>
      </c>
      <c r="HE573" s="275">
        <v>0</v>
      </c>
      <c r="HF573" s="275">
        <v>0</v>
      </c>
      <c r="HG573" s="74">
        <f>SUM(HH573:IE573)</f>
        <v>0</v>
      </c>
      <c r="HH573" s="89">
        <v>0</v>
      </c>
      <c r="HI573" s="817">
        <v>0</v>
      </c>
      <c r="HJ573" s="89">
        <v>0</v>
      </c>
      <c r="HK573" s="817">
        <v>0</v>
      </c>
      <c r="HL573" s="89">
        <v>0</v>
      </c>
      <c r="HM573" s="817">
        <v>0</v>
      </c>
      <c r="HN573" s="89">
        <v>0</v>
      </c>
      <c r="HO573" s="817">
        <v>0</v>
      </c>
      <c r="HP573" s="89">
        <v>0</v>
      </c>
      <c r="HQ573" s="817">
        <v>0</v>
      </c>
      <c r="HR573" s="89">
        <v>0</v>
      </c>
      <c r="HS573" s="817">
        <v>0</v>
      </c>
      <c r="HT573" s="89">
        <v>0</v>
      </c>
      <c r="HU573" s="817">
        <v>0</v>
      </c>
      <c r="HV573" s="89">
        <v>0</v>
      </c>
      <c r="HW573" s="817">
        <v>0</v>
      </c>
      <c r="HX573" s="89">
        <v>0</v>
      </c>
      <c r="HY573" s="817">
        <v>0</v>
      </c>
      <c r="HZ573" s="89">
        <v>0</v>
      </c>
      <c r="IA573" s="817">
        <v>0</v>
      </c>
      <c r="IB573" s="89">
        <v>0</v>
      </c>
      <c r="IC573" s="817">
        <v>0</v>
      </c>
      <c r="ID573" s="89">
        <v>0</v>
      </c>
      <c r="IE573" s="817">
        <v>0</v>
      </c>
      <c r="IF573" s="841">
        <f t="shared" si="13336"/>
        <v>0</v>
      </c>
      <c r="IG573" s="263">
        <f t="shared" si="13337"/>
        <v>0</v>
      </c>
      <c r="IH573" s="842">
        <f t="shared" si="13338"/>
        <v>0</v>
      </c>
      <c r="II573" s="89">
        <v>0</v>
      </c>
      <c r="IJ573" s="89">
        <v>0</v>
      </c>
      <c r="IK573" s="89">
        <v>0</v>
      </c>
      <c r="IL573" s="89">
        <v>0</v>
      </c>
      <c r="IM573" s="89">
        <v>0</v>
      </c>
      <c r="IN573" s="89">
        <v>0</v>
      </c>
      <c r="IO573" s="89">
        <v>0</v>
      </c>
      <c r="IP573" s="89">
        <v>0</v>
      </c>
      <c r="IQ573" s="89">
        <v>0</v>
      </c>
      <c r="IR573" s="89">
        <v>0</v>
      </c>
      <c r="IS573" s="89">
        <v>0</v>
      </c>
      <c r="IT573" s="89">
        <v>0</v>
      </c>
      <c r="IU573" s="89">
        <v>0</v>
      </c>
      <c r="IV573" s="89">
        <v>0</v>
      </c>
      <c r="IW573" s="89">
        <v>0</v>
      </c>
      <c r="IX573" s="89">
        <v>0</v>
      </c>
      <c r="IY573" s="89">
        <v>0</v>
      </c>
      <c r="IZ573" s="89">
        <v>0</v>
      </c>
      <c r="JA573" s="89">
        <v>0</v>
      </c>
      <c r="JB573" s="89">
        <v>0</v>
      </c>
      <c r="JC573" s="89">
        <v>0</v>
      </c>
      <c r="JD573" s="89">
        <v>0</v>
      </c>
      <c r="JE573" s="89">
        <v>0</v>
      </c>
      <c r="JF573" s="89">
        <v>0</v>
      </c>
      <c r="JG573" s="89">
        <v>0</v>
      </c>
      <c r="JH573" s="89">
        <v>0</v>
      </c>
      <c r="JI573" s="89">
        <v>0</v>
      </c>
      <c r="JJ573" s="89">
        <v>0</v>
      </c>
      <c r="JK573" s="89">
        <v>0</v>
      </c>
      <c r="JL573" s="89">
        <v>0</v>
      </c>
      <c r="JM573" s="89">
        <v>0</v>
      </c>
      <c r="JN573" s="89">
        <v>0</v>
      </c>
      <c r="JO573" s="89">
        <v>0</v>
      </c>
      <c r="JP573" s="89">
        <v>0</v>
      </c>
      <c r="JQ573" s="89">
        <v>0</v>
      </c>
      <c r="JR573" s="89">
        <v>0</v>
      </c>
      <c r="JS573" s="74">
        <f>HG573-IF573</f>
        <v>0</v>
      </c>
      <c r="JT573" s="382">
        <f>GS573-IF573</f>
        <v>0</v>
      </c>
      <c r="JU573" s="665"/>
      <c r="JV573" s="524"/>
      <c r="JW573" s="525"/>
      <c r="JX573" s="549">
        <f>SUM(HH573,HJ573,HL573,HN573,HP573,HR573,HT573,HV573,HX573,HZ573,IB573,ID573)</f>
        <v>0</v>
      </c>
      <c r="JY573" s="549">
        <f>SUM(HI573,HK573,HM573,HO573,HQ573,HS573,HU573,HW573,HY573,IA573,IC573,IE573)</f>
        <v>0</v>
      </c>
      <c r="JZ573" s="581">
        <f t="shared" si="12201"/>
        <v>0</v>
      </c>
      <c r="KA573" s="581">
        <f t="shared" si="12202"/>
        <v>0</v>
      </c>
      <c r="KB573" s="549">
        <f t="shared" si="13163"/>
        <v>0</v>
      </c>
      <c r="KC573" s="709">
        <f t="shared" si="12200"/>
        <v>0</v>
      </c>
      <c r="KD573" s="35"/>
      <c r="KE573" s="35"/>
      <c r="KF573" s="35"/>
      <c r="KG573" s="35"/>
      <c r="KH573" s="35"/>
      <c r="KI573" s="35"/>
      <c r="KJ573" s="35"/>
      <c r="KK573" s="35"/>
    </row>
    <row r="574" spans="1:297" s="10" customFormat="1" ht="12.75" hidden="1" customHeight="1">
      <c r="A574" s="86"/>
      <c r="B574" s="77"/>
      <c r="C574" s="74"/>
      <c r="D574" s="549"/>
      <c r="E574" s="675"/>
      <c r="F574" s="549"/>
      <c r="G574" s="675"/>
      <c r="H574" s="549"/>
      <c r="I574" s="675"/>
      <c r="J574" s="549"/>
      <c r="K574" s="675"/>
      <c r="L574" s="549"/>
      <c r="M574" s="675"/>
      <c r="N574" s="549"/>
      <c r="O574" s="675"/>
      <c r="P574" s="549"/>
      <c r="Q574" s="675"/>
      <c r="R574" s="549"/>
      <c r="S574" s="675"/>
      <c r="T574" s="549"/>
      <c r="U574" s="675"/>
      <c r="V574" s="549"/>
      <c r="W574" s="675"/>
      <c r="X574" s="549"/>
      <c r="Y574" s="675"/>
      <c r="Z574" s="549"/>
      <c r="AA574" s="675"/>
      <c r="AB574" s="549"/>
      <c r="AC574" s="675"/>
      <c r="AD574" s="549"/>
      <c r="AE574" s="675"/>
      <c r="AF574" s="549"/>
      <c r="AG574" s="675"/>
      <c r="AH574" s="549"/>
      <c r="AI574" s="675"/>
      <c r="AJ574" s="549"/>
      <c r="AK574" s="675"/>
      <c r="AL574" s="549"/>
      <c r="AM574" s="675"/>
      <c r="AN574" s="549"/>
      <c r="AO574" s="675"/>
      <c r="AP574" s="549"/>
      <c r="AQ574" s="675"/>
      <c r="AR574" s="549"/>
      <c r="AS574" s="675"/>
      <c r="AT574" s="549"/>
      <c r="AU574" s="675"/>
      <c r="AV574" s="549"/>
      <c r="AW574" s="675"/>
      <c r="AX574" s="549"/>
      <c r="AY574" s="675"/>
      <c r="AZ574" s="549"/>
      <c r="BA574" s="675"/>
      <c r="BB574" s="549"/>
      <c r="BC574" s="675"/>
      <c r="BD574" s="549"/>
      <c r="BE574" s="675"/>
      <c r="BF574" s="549"/>
      <c r="BG574" s="675"/>
      <c r="BH574" s="549"/>
      <c r="BI574" s="675"/>
      <c r="BJ574" s="549"/>
      <c r="BK574" s="675"/>
      <c r="BL574" s="549"/>
      <c r="BM574" s="675"/>
      <c r="BN574" s="549"/>
      <c r="BO574" s="675"/>
      <c r="BP574" s="549"/>
      <c r="BQ574" s="675"/>
      <c r="BR574" s="549"/>
      <c r="BS574" s="675"/>
      <c r="BT574" s="549"/>
      <c r="BU574" s="675"/>
      <c r="BV574" s="549"/>
      <c r="BW574" s="675"/>
      <c r="BX574" s="549"/>
      <c r="BY574" s="675"/>
      <c r="BZ574" s="549"/>
      <c r="CA574" s="675"/>
      <c r="CB574" s="549"/>
      <c r="CC574" s="675"/>
      <c r="CD574" s="549"/>
      <c r="CE574" s="675"/>
      <c r="CF574" s="549"/>
      <c r="CG574" s="675"/>
      <c r="CH574" s="549"/>
      <c r="CI574" s="675"/>
      <c r="CJ574" s="549"/>
      <c r="CK574" s="675"/>
      <c r="CL574" s="549"/>
      <c r="CM574" s="675"/>
      <c r="CN574" s="549"/>
      <c r="CO574" s="675"/>
      <c r="CP574" s="549"/>
      <c r="CQ574" s="675"/>
      <c r="CR574" s="549"/>
      <c r="CS574" s="675"/>
      <c r="CT574" s="549"/>
      <c r="CU574" s="675"/>
      <c r="CV574" s="549"/>
      <c r="CW574" s="675"/>
      <c r="CX574" s="549"/>
      <c r="CY574" s="675"/>
      <c r="CZ574" s="549"/>
      <c r="DA574" s="675"/>
      <c r="DB574" s="549"/>
      <c r="DC574" s="675"/>
      <c r="DD574" s="549"/>
      <c r="DE574" s="675"/>
      <c r="DF574" s="549"/>
      <c r="DG574" s="675"/>
      <c r="DH574" s="549"/>
      <c r="DI574" s="675"/>
      <c r="DJ574" s="549"/>
      <c r="DK574" s="675"/>
      <c r="DL574" s="549"/>
      <c r="DM574" s="675"/>
      <c r="DN574" s="549"/>
      <c r="DO574" s="675"/>
      <c r="DP574" s="549"/>
      <c r="DQ574" s="675"/>
      <c r="DR574" s="549"/>
      <c r="DS574" s="675"/>
      <c r="DT574" s="549"/>
      <c r="DU574" s="675"/>
      <c r="DV574" s="549"/>
      <c r="DW574" s="675"/>
      <c r="DX574" s="549"/>
      <c r="DY574" s="675"/>
      <c r="DZ574" s="549"/>
      <c r="EA574" s="675"/>
      <c r="EB574" s="549"/>
      <c r="EC574" s="675"/>
      <c r="ED574" s="549"/>
      <c r="EE574" s="675"/>
      <c r="EF574" s="549"/>
      <c r="EG574" s="675"/>
      <c r="EH574" s="549"/>
      <c r="EI574" s="675"/>
      <c r="EJ574" s="549"/>
      <c r="EK574" s="675"/>
      <c r="EL574" s="549"/>
      <c r="EM574" s="675"/>
      <c r="EN574" s="549"/>
      <c r="EO574" s="675"/>
      <c r="EP574" s="549"/>
      <c r="EQ574" s="675"/>
      <c r="ER574" s="549"/>
      <c r="ES574" s="675"/>
      <c r="ET574" s="549"/>
      <c r="EU574" s="675"/>
      <c r="EV574" s="549"/>
      <c r="EW574" s="675"/>
      <c r="EX574" s="549"/>
      <c r="EY574" s="675"/>
      <c r="EZ574" s="549"/>
      <c r="FA574" s="675"/>
      <c r="FB574" s="549"/>
      <c r="FC574" s="675"/>
      <c r="FD574" s="549"/>
      <c r="FE574" s="675"/>
      <c r="FF574" s="549"/>
      <c r="FG574" s="675"/>
      <c r="FH574" s="549"/>
      <c r="FI574" s="675"/>
      <c r="FJ574" s="549"/>
      <c r="FK574" s="675"/>
      <c r="FL574" s="549"/>
      <c r="FM574" s="675"/>
      <c r="FN574" s="549"/>
      <c r="FO574" s="675"/>
      <c r="FP574" s="549"/>
      <c r="FQ574" s="675"/>
      <c r="FR574" s="549"/>
      <c r="FS574" s="675"/>
      <c r="FT574" s="549"/>
      <c r="FU574" s="675"/>
      <c r="FV574" s="549"/>
      <c r="FW574" s="675"/>
      <c r="FX574" s="549"/>
      <c r="FY574" s="675"/>
      <c r="FZ574" s="549"/>
      <c r="GA574" s="675"/>
      <c r="GB574" s="549"/>
      <c r="GC574" s="675"/>
      <c r="GD574" s="549"/>
      <c r="GE574" s="675"/>
      <c r="GF574" s="549"/>
      <c r="GG574" s="675"/>
      <c r="GH574" s="549"/>
      <c r="GI574" s="675"/>
      <c r="GJ574" s="549"/>
      <c r="GK574" s="675"/>
      <c r="GL574" s="549"/>
      <c r="GM574" s="675"/>
      <c r="GN574" s="549"/>
      <c r="GO574" s="675"/>
      <c r="GP574" s="549"/>
      <c r="GQ574" s="675"/>
      <c r="GR574" s="74"/>
      <c r="GS574" s="74"/>
      <c r="GT574" s="568"/>
      <c r="GU574" s="275"/>
      <c r="GV574" s="275"/>
      <c r="GW574" s="587"/>
      <c r="GX574" s="587"/>
      <c r="GY574" s="275"/>
      <c r="GZ574" s="275"/>
      <c r="HA574" s="275"/>
      <c r="HB574" s="275"/>
      <c r="HC574" s="275"/>
      <c r="HD574" s="275"/>
      <c r="HE574" s="275"/>
      <c r="HF574" s="275"/>
      <c r="HG574" s="74"/>
      <c r="HH574" s="89"/>
      <c r="HI574" s="817"/>
      <c r="HJ574" s="89"/>
      <c r="HK574" s="817"/>
      <c r="HL574" s="89"/>
      <c r="HM574" s="817"/>
      <c r="HN574" s="89"/>
      <c r="HO574" s="817"/>
      <c r="HP574" s="89"/>
      <c r="HQ574" s="817"/>
      <c r="HR574" s="89"/>
      <c r="HS574" s="817"/>
      <c r="HT574" s="89"/>
      <c r="HU574" s="817"/>
      <c r="HV574" s="89"/>
      <c r="HW574" s="817"/>
      <c r="HX574" s="89"/>
      <c r="HY574" s="817"/>
      <c r="HZ574" s="89"/>
      <c r="IA574" s="817"/>
      <c r="IB574" s="89"/>
      <c r="IC574" s="817"/>
      <c r="ID574" s="89"/>
      <c r="IE574" s="817"/>
      <c r="IF574" s="841"/>
      <c r="IG574" s="263"/>
      <c r="IH574" s="842"/>
      <c r="II574" s="89"/>
      <c r="IJ574" s="89"/>
      <c r="IK574" s="89"/>
      <c r="IL574" s="89"/>
      <c r="IM574" s="89"/>
      <c r="IN574" s="89"/>
      <c r="IO574" s="89"/>
      <c r="IP574" s="89"/>
      <c r="IQ574" s="89"/>
      <c r="IR574" s="89"/>
      <c r="IS574" s="89"/>
      <c r="IT574" s="89"/>
      <c r="IU574" s="89"/>
      <c r="IV574" s="89"/>
      <c r="IW574" s="89"/>
      <c r="IX574" s="89"/>
      <c r="IY574" s="89"/>
      <c r="IZ574" s="89"/>
      <c r="JA574" s="89"/>
      <c r="JB574" s="89"/>
      <c r="JC574" s="89"/>
      <c r="JD574" s="89"/>
      <c r="JE574" s="89"/>
      <c r="JF574" s="89"/>
      <c r="JG574" s="89"/>
      <c r="JH574" s="89"/>
      <c r="JI574" s="89"/>
      <c r="JJ574" s="89"/>
      <c r="JK574" s="89"/>
      <c r="JL574" s="89"/>
      <c r="JM574" s="89"/>
      <c r="JN574" s="89"/>
      <c r="JO574" s="89"/>
      <c r="JP574" s="89"/>
      <c r="JQ574" s="89"/>
      <c r="JR574" s="89"/>
      <c r="JS574" s="74"/>
      <c r="JT574" s="382"/>
      <c r="JU574" s="665"/>
      <c r="JV574" s="524"/>
      <c r="JW574" s="525"/>
      <c r="JX574" s="549"/>
      <c r="JY574" s="549"/>
      <c r="JZ574" s="581">
        <f t="shared" si="12201"/>
        <v>0</v>
      </c>
      <c r="KA574" s="581">
        <f t="shared" si="12202"/>
        <v>0</v>
      </c>
      <c r="KB574" s="549">
        <f t="shared" si="13163"/>
        <v>0</v>
      </c>
      <c r="KC574" s="709">
        <f t="shared" si="12200"/>
        <v>0</v>
      </c>
      <c r="KD574" s="34"/>
      <c r="KE574" s="34"/>
      <c r="KF574" s="34"/>
      <c r="KG574" s="34"/>
      <c r="KH574" s="34"/>
      <c r="KI574" s="34"/>
      <c r="KJ574" s="34"/>
      <c r="KK574" s="34"/>
    </row>
    <row r="575" spans="1:297" s="55" customFormat="1">
      <c r="A575" s="81" t="s">
        <v>309</v>
      </c>
      <c r="B575" s="82" t="s">
        <v>310</v>
      </c>
      <c r="C575" s="83">
        <f t="shared" ref="C575:AM575" si="13339">SUM(C577,C609)</f>
        <v>33477500</v>
      </c>
      <c r="D575" s="550">
        <f t="shared" si="13339"/>
        <v>0</v>
      </c>
      <c r="E575" s="678">
        <f t="shared" si="13339"/>
        <v>0</v>
      </c>
      <c r="F575" s="550">
        <f t="shared" si="13339"/>
        <v>0</v>
      </c>
      <c r="G575" s="678">
        <f t="shared" si="13339"/>
        <v>0</v>
      </c>
      <c r="H575" s="550">
        <f t="shared" si="13339"/>
        <v>30000</v>
      </c>
      <c r="I575" s="678">
        <f t="shared" si="13339"/>
        <v>-30000</v>
      </c>
      <c r="J575" s="550">
        <f t="shared" si="13339"/>
        <v>0</v>
      </c>
      <c r="K575" s="678">
        <f t="shared" si="13339"/>
        <v>0</v>
      </c>
      <c r="L575" s="550">
        <f t="shared" si="13339"/>
        <v>0</v>
      </c>
      <c r="M575" s="678">
        <f t="shared" si="13339"/>
        <v>0</v>
      </c>
      <c r="N575" s="550">
        <f t="shared" si="13339"/>
        <v>0</v>
      </c>
      <c r="O575" s="678">
        <f t="shared" si="13339"/>
        <v>0</v>
      </c>
      <c r="P575" s="550">
        <f t="shared" si="13339"/>
        <v>0</v>
      </c>
      <c r="Q575" s="678">
        <f t="shared" si="13339"/>
        <v>0</v>
      </c>
      <c r="R575" s="550">
        <f t="shared" si="13339"/>
        <v>24000</v>
      </c>
      <c r="S575" s="678">
        <f t="shared" si="13339"/>
        <v>-24000</v>
      </c>
      <c r="T575" s="550">
        <f t="shared" si="13339"/>
        <v>0</v>
      </c>
      <c r="U575" s="678">
        <f t="shared" si="13339"/>
        <v>0</v>
      </c>
      <c r="V575" s="550">
        <f t="shared" si="13339"/>
        <v>0</v>
      </c>
      <c r="W575" s="678">
        <f t="shared" si="13339"/>
        <v>0</v>
      </c>
      <c r="X575" s="550">
        <f t="shared" si="13339"/>
        <v>0</v>
      </c>
      <c r="Y575" s="678">
        <f t="shared" si="13339"/>
        <v>0</v>
      </c>
      <c r="Z575" s="550">
        <f t="shared" si="13339"/>
        <v>0</v>
      </c>
      <c r="AA575" s="678">
        <f t="shared" si="13339"/>
        <v>0</v>
      </c>
      <c r="AB575" s="550">
        <f t="shared" si="13339"/>
        <v>0</v>
      </c>
      <c r="AC575" s="678">
        <f t="shared" si="13339"/>
        <v>0</v>
      </c>
      <c r="AD575" s="550">
        <f t="shared" si="13339"/>
        <v>0</v>
      </c>
      <c r="AE575" s="678">
        <f t="shared" si="13339"/>
        <v>0</v>
      </c>
      <c r="AF575" s="550">
        <f t="shared" si="13339"/>
        <v>0</v>
      </c>
      <c r="AG575" s="678">
        <f t="shared" si="13339"/>
        <v>0</v>
      </c>
      <c r="AH575" s="550">
        <f t="shared" si="13339"/>
        <v>0</v>
      </c>
      <c r="AI575" s="678">
        <f t="shared" si="13339"/>
        <v>0</v>
      </c>
      <c r="AJ575" s="550">
        <f t="shared" si="13339"/>
        <v>216156</v>
      </c>
      <c r="AK575" s="678">
        <f t="shared" si="13339"/>
        <v>-216156</v>
      </c>
      <c r="AL575" s="550">
        <f t="shared" si="13339"/>
        <v>5400</v>
      </c>
      <c r="AM575" s="678">
        <f t="shared" si="13339"/>
        <v>-5400</v>
      </c>
      <c r="AN575" s="550">
        <f t="shared" ref="AN575:AS575" si="13340">SUM(AN577,AN609)</f>
        <v>0</v>
      </c>
      <c r="AO575" s="678">
        <f t="shared" si="13340"/>
        <v>-57001</v>
      </c>
      <c r="AP575" s="550">
        <f t="shared" si="13340"/>
        <v>0</v>
      </c>
      <c r="AQ575" s="678">
        <f t="shared" si="13340"/>
        <v>0</v>
      </c>
      <c r="AR575" s="550">
        <f t="shared" si="13340"/>
        <v>0</v>
      </c>
      <c r="AS575" s="678">
        <f t="shared" si="13340"/>
        <v>0</v>
      </c>
      <c r="AT575" s="550">
        <f t="shared" ref="AT575:AU575" si="13341">SUM(AT577,AT609)</f>
        <v>200000</v>
      </c>
      <c r="AU575" s="678">
        <f t="shared" si="13341"/>
        <v>-121680</v>
      </c>
      <c r="AV575" s="550">
        <f t="shared" ref="AV575:AW575" si="13342">SUM(AV577,AV609)</f>
        <v>38684</v>
      </c>
      <c r="AW575" s="678">
        <f t="shared" si="13342"/>
        <v>-15375</v>
      </c>
      <c r="AX575" s="550">
        <f t="shared" ref="AX575:AY575" si="13343">SUM(AX577,AX609)</f>
        <v>0</v>
      </c>
      <c r="AY575" s="678">
        <f t="shared" si="13343"/>
        <v>0</v>
      </c>
      <c r="AZ575" s="550">
        <f t="shared" ref="AZ575:BA575" si="13344">SUM(AZ577,AZ609)</f>
        <v>0</v>
      </c>
      <c r="BA575" s="678">
        <f t="shared" si="13344"/>
        <v>0</v>
      </c>
      <c r="BB575" s="550">
        <f t="shared" ref="BB575:BC575" si="13345">SUM(BB577,BB609)</f>
        <v>0</v>
      </c>
      <c r="BC575" s="678">
        <f t="shared" si="13345"/>
        <v>0</v>
      </c>
      <c r="BD575" s="550">
        <f t="shared" ref="BD575:BE575" si="13346">SUM(BD577,BD609)</f>
        <v>0</v>
      </c>
      <c r="BE575" s="678">
        <f t="shared" si="13346"/>
        <v>0</v>
      </c>
      <c r="BF575" s="550">
        <f t="shared" ref="BF575:BG575" si="13347">SUM(BF577,BF609)</f>
        <v>0</v>
      </c>
      <c r="BG575" s="678">
        <f t="shared" si="13347"/>
        <v>0</v>
      </c>
      <c r="BH575" s="550">
        <f t="shared" ref="BH575:BI575" si="13348">SUM(BH577,BH609)</f>
        <v>0</v>
      </c>
      <c r="BI575" s="678">
        <f t="shared" si="13348"/>
        <v>0</v>
      </c>
      <c r="BJ575" s="550">
        <f t="shared" ref="BJ575:BK575" si="13349">SUM(BJ577,BJ609)</f>
        <v>0</v>
      </c>
      <c r="BK575" s="678">
        <f t="shared" si="13349"/>
        <v>0</v>
      </c>
      <c r="BL575" s="550">
        <f t="shared" ref="BL575:BS575" si="13350">SUM(BL577,BL609)</f>
        <v>0</v>
      </c>
      <c r="BM575" s="678">
        <f t="shared" si="13350"/>
        <v>0</v>
      </c>
      <c r="BN575" s="550">
        <f t="shared" si="13350"/>
        <v>0</v>
      </c>
      <c r="BO575" s="678">
        <f t="shared" si="13350"/>
        <v>0</v>
      </c>
      <c r="BP575" s="550">
        <f t="shared" si="13350"/>
        <v>0</v>
      </c>
      <c r="BQ575" s="678">
        <f t="shared" si="13350"/>
        <v>0</v>
      </c>
      <c r="BR575" s="550">
        <f t="shared" si="13350"/>
        <v>0</v>
      </c>
      <c r="BS575" s="678">
        <f t="shared" si="13350"/>
        <v>0</v>
      </c>
      <c r="BT575" s="550">
        <f t="shared" ref="BT575:BU575" si="13351">SUM(BT577,BT609)</f>
        <v>0</v>
      </c>
      <c r="BU575" s="678">
        <f t="shared" si="13351"/>
        <v>0</v>
      </c>
      <c r="BV575" s="550">
        <f t="shared" ref="BV575:BW575" si="13352">SUM(BV577,BV609)</f>
        <v>0</v>
      </c>
      <c r="BW575" s="678">
        <f t="shared" si="13352"/>
        <v>0</v>
      </c>
      <c r="BX575" s="550">
        <f t="shared" ref="BX575:BY575" si="13353">SUM(BX577,BX609)</f>
        <v>0</v>
      </c>
      <c r="BY575" s="678">
        <f t="shared" si="13353"/>
        <v>0</v>
      </c>
      <c r="BZ575" s="550">
        <f t="shared" ref="BZ575:CA575" si="13354">SUM(BZ577,BZ609)</f>
        <v>3550</v>
      </c>
      <c r="CA575" s="678">
        <f t="shared" si="13354"/>
        <v>0</v>
      </c>
      <c r="CB575" s="550">
        <f t="shared" ref="CB575:CE575" si="13355">SUM(CB577,CB609)</f>
        <v>0</v>
      </c>
      <c r="CC575" s="678">
        <f t="shared" si="13355"/>
        <v>0</v>
      </c>
      <c r="CD575" s="550">
        <f t="shared" si="13355"/>
        <v>4800</v>
      </c>
      <c r="CE575" s="678">
        <f t="shared" si="13355"/>
        <v>-4800</v>
      </c>
      <c r="CF575" s="550">
        <f t="shared" ref="CF575:CQ575" si="13356">SUM(CF577,CF609)</f>
        <v>0</v>
      </c>
      <c r="CG575" s="678">
        <f t="shared" si="13356"/>
        <v>0</v>
      </c>
      <c r="CH575" s="550">
        <f t="shared" si="13356"/>
        <v>0</v>
      </c>
      <c r="CI575" s="678">
        <f t="shared" si="13356"/>
        <v>0</v>
      </c>
      <c r="CJ575" s="550">
        <f t="shared" si="13356"/>
        <v>299968</v>
      </c>
      <c r="CK575" s="678">
        <f t="shared" si="13356"/>
        <v>0</v>
      </c>
      <c r="CL575" s="550">
        <f t="shared" si="13356"/>
        <v>0</v>
      </c>
      <c r="CM575" s="678">
        <f t="shared" si="13356"/>
        <v>0</v>
      </c>
      <c r="CN575" s="550">
        <f t="shared" si="13356"/>
        <v>1200</v>
      </c>
      <c r="CO575" s="678">
        <f t="shared" si="13356"/>
        <v>-7566</v>
      </c>
      <c r="CP575" s="550">
        <f t="shared" si="13356"/>
        <v>0</v>
      </c>
      <c r="CQ575" s="678">
        <f t="shared" si="13356"/>
        <v>0</v>
      </c>
      <c r="CR575" s="550">
        <f t="shared" ref="CR575:CY575" si="13357">SUM(CR577,CR609)</f>
        <v>0</v>
      </c>
      <c r="CS575" s="678">
        <f t="shared" si="13357"/>
        <v>0</v>
      </c>
      <c r="CT575" s="550">
        <f t="shared" si="13357"/>
        <v>0</v>
      </c>
      <c r="CU575" s="678">
        <f t="shared" si="13357"/>
        <v>0</v>
      </c>
      <c r="CV575" s="550">
        <f t="shared" si="13357"/>
        <v>0</v>
      </c>
      <c r="CW575" s="678">
        <f t="shared" si="13357"/>
        <v>0</v>
      </c>
      <c r="CX575" s="550">
        <f t="shared" si="13357"/>
        <v>0</v>
      </c>
      <c r="CY575" s="678">
        <f t="shared" si="13357"/>
        <v>0</v>
      </c>
      <c r="CZ575" s="550">
        <f t="shared" ref="CZ575:DI575" si="13358">SUM(CZ577,CZ609)</f>
        <v>0</v>
      </c>
      <c r="DA575" s="678">
        <f t="shared" si="13358"/>
        <v>0</v>
      </c>
      <c r="DB575" s="550">
        <f t="shared" si="13358"/>
        <v>0</v>
      </c>
      <c r="DC575" s="678">
        <f t="shared" si="13358"/>
        <v>0</v>
      </c>
      <c r="DD575" s="550">
        <f t="shared" si="13358"/>
        <v>0</v>
      </c>
      <c r="DE575" s="678">
        <f t="shared" si="13358"/>
        <v>0</v>
      </c>
      <c r="DF575" s="550">
        <f t="shared" si="13358"/>
        <v>0</v>
      </c>
      <c r="DG575" s="678">
        <f t="shared" si="13358"/>
        <v>0</v>
      </c>
      <c r="DH575" s="550">
        <f t="shared" si="13358"/>
        <v>0</v>
      </c>
      <c r="DI575" s="678">
        <f t="shared" si="13358"/>
        <v>0</v>
      </c>
      <c r="DJ575" s="550">
        <f t="shared" ref="DJ575:DY575" si="13359">SUM(DJ577,DJ609)</f>
        <v>0</v>
      </c>
      <c r="DK575" s="678">
        <f t="shared" si="13359"/>
        <v>0</v>
      </c>
      <c r="DL575" s="550">
        <f t="shared" si="13359"/>
        <v>0</v>
      </c>
      <c r="DM575" s="678">
        <f t="shared" si="13359"/>
        <v>0</v>
      </c>
      <c r="DN575" s="550">
        <f t="shared" si="13359"/>
        <v>0</v>
      </c>
      <c r="DO575" s="678">
        <f t="shared" si="13359"/>
        <v>0</v>
      </c>
      <c r="DP575" s="550">
        <f t="shared" si="13359"/>
        <v>54600</v>
      </c>
      <c r="DQ575" s="678">
        <f t="shared" si="13359"/>
        <v>0</v>
      </c>
      <c r="DR575" s="550">
        <f t="shared" si="13359"/>
        <v>0</v>
      </c>
      <c r="DS575" s="678">
        <f t="shared" si="13359"/>
        <v>0</v>
      </c>
      <c r="DT575" s="550">
        <f t="shared" si="13359"/>
        <v>0</v>
      </c>
      <c r="DU575" s="678">
        <f t="shared" si="13359"/>
        <v>0</v>
      </c>
      <c r="DV575" s="550">
        <f t="shared" si="13359"/>
        <v>0</v>
      </c>
      <c r="DW575" s="678">
        <f t="shared" si="13359"/>
        <v>0</v>
      </c>
      <c r="DX575" s="550">
        <f t="shared" si="13359"/>
        <v>0</v>
      </c>
      <c r="DY575" s="678">
        <f t="shared" si="13359"/>
        <v>0</v>
      </c>
      <c r="DZ575" s="550">
        <f t="shared" ref="DZ575:EU575" si="13360">SUM(DZ577,DZ609)</f>
        <v>0</v>
      </c>
      <c r="EA575" s="678">
        <f t="shared" si="13360"/>
        <v>0</v>
      </c>
      <c r="EB575" s="550">
        <f t="shared" si="13360"/>
        <v>0</v>
      </c>
      <c r="EC575" s="678">
        <f t="shared" si="13360"/>
        <v>0</v>
      </c>
      <c r="ED575" s="550">
        <f t="shared" si="13360"/>
        <v>0</v>
      </c>
      <c r="EE575" s="678">
        <f t="shared" si="13360"/>
        <v>-25000</v>
      </c>
      <c r="EF575" s="550">
        <f t="shared" si="13360"/>
        <v>15995</v>
      </c>
      <c r="EG575" s="678">
        <f t="shared" si="13360"/>
        <v>0</v>
      </c>
      <c r="EH575" s="550">
        <f t="shared" ref="EH575:EM575" si="13361">SUM(EH577,EH609)</f>
        <v>290000</v>
      </c>
      <c r="EI575" s="678">
        <f t="shared" si="13361"/>
        <v>-290000</v>
      </c>
      <c r="EJ575" s="550">
        <f t="shared" si="13361"/>
        <v>0</v>
      </c>
      <c r="EK575" s="678">
        <f t="shared" si="13361"/>
        <v>0</v>
      </c>
      <c r="EL575" s="550">
        <f t="shared" si="13361"/>
        <v>0</v>
      </c>
      <c r="EM575" s="678">
        <f t="shared" si="13361"/>
        <v>0</v>
      </c>
      <c r="EN575" s="550">
        <f t="shared" si="13360"/>
        <v>0</v>
      </c>
      <c r="EO575" s="678">
        <f t="shared" si="13360"/>
        <v>0</v>
      </c>
      <c r="EP575" s="550">
        <f t="shared" si="13360"/>
        <v>110000</v>
      </c>
      <c r="EQ575" s="678">
        <f t="shared" si="13360"/>
        <v>-72626</v>
      </c>
      <c r="ER575" s="550">
        <f t="shared" si="13360"/>
        <v>0</v>
      </c>
      <c r="ES575" s="678">
        <f t="shared" si="13360"/>
        <v>0</v>
      </c>
      <c r="ET575" s="550">
        <f t="shared" si="13360"/>
        <v>0</v>
      </c>
      <c r="EU575" s="678">
        <f t="shared" si="13360"/>
        <v>0</v>
      </c>
      <c r="EV575" s="550">
        <f t="shared" ref="EV575:FC575" si="13362">SUM(EV577,EV609)</f>
        <v>0</v>
      </c>
      <c r="EW575" s="678">
        <f t="shared" si="13362"/>
        <v>0</v>
      </c>
      <c r="EX575" s="550">
        <f t="shared" si="13362"/>
        <v>0</v>
      </c>
      <c r="EY575" s="678">
        <f t="shared" si="13362"/>
        <v>-25600</v>
      </c>
      <c r="EZ575" s="550">
        <f t="shared" si="13362"/>
        <v>0</v>
      </c>
      <c r="FA575" s="678">
        <f t="shared" si="13362"/>
        <v>0</v>
      </c>
      <c r="FB575" s="550">
        <f t="shared" si="13362"/>
        <v>0</v>
      </c>
      <c r="FC575" s="678">
        <f t="shared" si="13362"/>
        <v>0</v>
      </c>
      <c r="FD575" s="550">
        <f t="shared" ref="FD575:FE575" si="13363">SUM(FD577,FD609)</f>
        <v>0</v>
      </c>
      <c r="FE575" s="678">
        <f t="shared" si="13363"/>
        <v>0</v>
      </c>
      <c r="FF575" s="550">
        <f t="shared" ref="FF575:FG575" si="13364">SUM(FF577,FF609)</f>
        <v>2280</v>
      </c>
      <c r="FG575" s="678">
        <f t="shared" si="13364"/>
        <v>0</v>
      </c>
      <c r="FH575" s="550">
        <f t="shared" ref="FH575:FI575" si="13365">SUM(FH577,FH609)</f>
        <v>0</v>
      </c>
      <c r="FI575" s="678">
        <f t="shared" si="13365"/>
        <v>-4200</v>
      </c>
      <c r="FJ575" s="550">
        <f t="shared" ref="FJ575:FK575" si="13366">SUM(FJ577,FJ609)</f>
        <v>0</v>
      </c>
      <c r="FK575" s="678">
        <f t="shared" si="13366"/>
        <v>0</v>
      </c>
      <c r="FL575" s="550">
        <f t="shared" ref="FL575:FM575" si="13367">SUM(FL577,FL609)</f>
        <v>0</v>
      </c>
      <c r="FM575" s="678">
        <f t="shared" si="13367"/>
        <v>0</v>
      </c>
      <c r="FN575" s="550">
        <f t="shared" ref="FN575:FO575" si="13368">SUM(FN577,FN609)</f>
        <v>0</v>
      </c>
      <c r="FO575" s="678">
        <f t="shared" si="13368"/>
        <v>0</v>
      </c>
      <c r="FP575" s="550">
        <f t="shared" ref="FP575:FQ575" si="13369">SUM(FP577,FP609)</f>
        <v>10000</v>
      </c>
      <c r="FQ575" s="678">
        <f t="shared" si="13369"/>
        <v>-10000</v>
      </c>
      <c r="FR575" s="550">
        <f t="shared" ref="FR575:FS575" si="13370">SUM(FR577,FR609)</f>
        <v>0</v>
      </c>
      <c r="FS575" s="678">
        <f t="shared" si="13370"/>
        <v>0</v>
      </c>
      <c r="FT575" s="550">
        <f t="shared" ref="FT575:FU575" si="13371">SUM(FT577,FT609)</f>
        <v>0</v>
      </c>
      <c r="FU575" s="678">
        <f t="shared" si="13371"/>
        <v>0</v>
      </c>
      <c r="FV575" s="550">
        <f t="shared" ref="FV575:GK575" si="13372">SUM(FV577,FV609)</f>
        <v>0</v>
      </c>
      <c r="FW575" s="678">
        <f t="shared" si="13372"/>
        <v>0</v>
      </c>
      <c r="FX575" s="550">
        <f t="shared" si="13372"/>
        <v>0</v>
      </c>
      <c r="FY575" s="678">
        <f t="shared" si="13372"/>
        <v>0</v>
      </c>
      <c r="FZ575" s="550">
        <f t="shared" ref="FZ575:GI575" si="13373">SUM(FZ577,FZ609)</f>
        <v>0</v>
      </c>
      <c r="GA575" s="678">
        <f t="shared" si="13373"/>
        <v>0</v>
      </c>
      <c r="GB575" s="550">
        <f t="shared" si="13373"/>
        <v>0</v>
      </c>
      <c r="GC575" s="678">
        <f t="shared" si="13373"/>
        <v>0</v>
      </c>
      <c r="GD575" s="550">
        <f t="shared" si="13373"/>
        <v>0</v>
      </c>
      <c r="GE575" s="678">
        <f t="shared" si="13373"/>
        <v>0</v>
      </c>
      <c r="GF575" s="550">
        <f t="shared" si="13373"/>
        <v>0</v>
      </c>
      <c r="GG575" s="678">
        <f t="shared" si="13373"/>
        <v>0</v>
      </c>
      <c r="GH575" s="550">
        <f t="shared" si="13373"/>
        <v>0</v>
      </c>
      <c r="GI575" s="678">
        <f t="shared" si="13373"/>
        <v>0</v>
      </c>
      <c r="GJ575" s="550">
        <f t="shared" si="13372"/>
        <v>0</v>
      </c>
      <c r="GK575" s="678">
        <f t="shared" si="13372"/>
        <v>0</v>
      </c>
      <c r="GL575" s="550">
        <f t="shared" ref="GL575:GM575" si="13374">SUM(GL577,GL609)</f>
        <v>0</v>
      </c>
      <c r="GM575" s="678">
        <f t="shared" si="13374"/>
        <v>0</v>
      </c>
      <c r="GN575" s="550">
        <f t="shared" ref="GN575:GO575" si="13375">SUM(GN577,GN609)</f>
        <v>0</v>
      </c>
      <c r="GO575" s="678">
        <f t="shared" si="13375"/>
        <v>0</v>
      </c>
      <c r="GP575" s="550">
        <f>SUM(GP577,GP609)</f>
        <v>1303718</v>
      </c>
      <c r="GQ575" s="678">
        <f t="shared" ref="GQ575:HK575" si="13376">SUM(GQ577,GQ609)</f>
        <v>-909404</v>
      </c>
      <c r="GR575" s="83">
        <f t="shared" si="13376"/>
        <v>33871814</v>
      </c>
      <c r="GS575" s="83">
        <f t="shared" si="13376"/>
        <v>30803507</v>
      </c>
      <c r="GT575" s="83">
        <f t="shared" si="13376"/>
        <v>33871814</v>
      </c>
      <c r="GU575" s="83">
        <f t="shared" si="13376"/>
        <v>3320214</v>
      </c>
      <c r="GV575" s="83">
        <f t="shared" si="13376"/>
        <v>3209163</v>
      </c>
      <c r="GW575" s="83">
        <f t="shared" si="13376"/>
        <v>3008784</v>
      </c>
      <c r="GX575" s="83">
        <f t="shared" si="13376"/>
        <v>2946209</v>
      </c>
      <c r="GY575" s="83">
        <f t="shared" si="13376"/>
        <v>2946209</v>
      </c>
      <c r="GZ575" s="83">
        <f t="shared" si="13376"/>
        <v>3046210</v>
      </c>
      <c r="HA575" s="83">
        <f t="shared" si="13376"/>
        <v>2946210</v>
      </c>
      <c r="HB575" s="83">
        <f t="shared" si="13376"/>
        <v>3096471</v>
      </c>
      <c r="HC575" s="83">
        <f t="shared" si="13376"/>
        <v>2941066</v>
      </c>
      <c r="HD575" s="83">
        <f t="shared" si="13376"/>
        <v>2948657</v>
      </c>
      <c r="HE575" s="83">
        <f t="shared" si="13376"/>
        <v>3068307</v>
      </c>
      <c r="HF575" s="83">
        <f t="shared" si="13376"/>
        <v>0</v>
      </c>
      <c r="HG575" s="83">
        <f t="shared" si="13376"/>
        <v>30803977</v>
      </c>
      <c r="HH575" s="83">
        <f t="shared" si="13376"/>
        <v>25488.52</v>
      </c>
      <c r="HI575" s="813">
        <f t="shared" si="13376"/>
        <v>0</v>
      </c>
      <c r="HJ575" s="83">
        <f t="shared" si="13376"/>
        <v>79785.850000000006</v>
      </c>
      <c r="HK575" s="813">
        <f t="shared" si="13376"/>
        <v>6094032</v>
      </c>
      <c r="HL575" s="83">
        <f t="shared" ref="HL575:HM575" si="13377">SUM(HL577,HL609)</f>
        <v>67139.51999999999</v>
      </c>
      <c r="HM575" s="813">
        <f t="shared" si="13377"/>
        <v>2933004</v>
      </c>
      <c r="HN575" s="83">
        <f t="shared" ref="HN575:HO575" si="13378">SUM(HN577,HN609)</f>
        <v>72699.11</v>
      </c>
      <c r="HO575" s="813">
        <f t="shared" si="13378"/>
        <v>2926152</v>
      </c>
      <c r="HP575" s="83">
        <f t="shared" ref="HP575:HQ575" si="13379">SUM(HP577,HP609)</f>
        <v>68446.47</v>
      </c>
      <c r="HQ575" s="813">
        <f t="shared" si="13379"/>
        <v>2931578</v>
      </c>
      <c r="HR575" s="83">
        <f t="shared" ref="HR575:HS575" si="13380">SUM(HR577,HR609)</f>
        <v>89090</v>
      </c>
      <c r="HS575" s="813">
        <f t="shared" si="13380"/>
        <v>3027578</v>
      </c>
      <c r="HT575" s="83">
        <f t="shared" ref="HT575:HU575" si="13381">SUM(HT577,HT609)</f>
        <v>89090</v>
      </c>
      <c r="HU575" s="813">
        <f t="shared" si="13381"/>
        <v>2929578</v>
      </c>
      <c r="HV575" s="83">
        <f t="shared" ref="HV575:HW575" si="13382">SUM(HV577,HV609)</f>
        <v>455828.53</v>
      </c>
      <c r="HW575" s="813">
        <f t="shared" si="13382"/>
        <v>2474915</v>
      </c>
      <c r="HX575" s="83">
        <f t="shared" ref="HX575:HY575" si="13383">SUM(HX577,HX609)</f>
        <v>56375</v>
      </c>
      <c r="HY575" s="813">
        <f t="shared" si="13383"/>
        <v>3519074</v>
      </c>
      <c r="HZ575" s="83">
        <f t="shared" ref="HZ575:IA575" si="13384">SUM(HZ577,HZ609)</f>
        <v>1140</v>
      </c>
      <c r="IA575" s="813">
        <f t="shared" si="13384"/>
        <v>2926152</v>
      </c>
      <c r="IB575" s="83">
        <f t="shared" ref="IB575:IC575" si="13385">SUM(IB577,IB609)</f>
        <v>0</v>
      </c>
      <c r="IC575" s="813">
        <f t="shared" si="13385"/>
        <v>0</v>
      </c>
      <c r="ID575" s="83">
        <f t="shared" ref="ID575:IQ575" si="13386">SUM(ID577,ID609)</f>
        <v>0</v>
      </c>
      <c r="IE575" s="813">
        <f t="shared" si="13386"/>
        <v>0</v>
      </c>
      <c r="IF575" s="854">
        <f t="shared" si="13386"/>
        <v>27911592.759999998</v>
      </c>
      <c r="IG575" s="701">
        <f t="shared" si="13386"/>
        <v>27911592.759999998</v>
      </c>
      <c r="IH575" s="855">
        <f t="shared" si="13386"/>
        <v>27911592.759999998</v>
      </c>
      <c r="II575" s="83">
        <f t="shared" si="13386"/>
        <v>2061996.12</v>
      </c>
      <c r="IJ575" s="83">
        <f t="shared" si="13386"/>
        <v>2061996.12</v>
      </c>
      <c r="IK575" s="83">
        <f t="shared" si="13386"/>
        <v>2061996.12</v>
      </c>
      <c r="IL575" s="83">
        <f t="shared" si="13386"/>
        <v>3199680.3600000008</v>
      </c>
      <c r="IM575" s="83">
        <f t="shared" si="13386"/>
        <v>3199680.3600000008</v>
      </c>
      <c r="IN575" s="83">
        <f t="shared" si="13386"/>
        <v>3199680.3600000008</v>
      </c>
      <c r="IO575" s="83">
        <f t="shared" si="13386"/>
        <v>1737104.6</v>
      </c>
      <c r="IP575" s="83">
        <f t="shared" si="13386"/>
        <v>1737104.6</v>
      </c>
      <c r="IQ575" s="83">
        <f t="shared" si="13386"/>
        <v>1737104.6</v>
      </c>
      <c r="IR575" s="83">
        <f t="shared" ref="IR575:IT575" si="13387">SUM(IR577,IR609)</f>
        <v>3610080.3299999996</v>
      </c>
      <c r="IS575" s="83">
        <f t="shared" si="13387"/>
        <v>3610080.3299999996</v>
      </c>
      <c r="IT575" s="83">
        <f t="shared" si="13387"/>
        <v>3610080.3299999996</v>
      </c>
      <c r="IU575" s="83">
        <f t="shared" ref="IU575:IW575" si="13388">SUM(IU577,IU609)</f>
        <v>2685750.9499999993</v>
      </c>
      <c r="IV575" s="83">
        <f t="shared" si="13388"/>
        <v>2685750.9499999993</v>
      </c>
      <c r="IW575" s="83">
        <f t="shared" si="13388"/>
        <v>2685750.9499999993</v>
      </c>
      <c r="IX575" s="83">
        <f t="shared" ref="IX575:IZ575" si="13389">SUM(IX577,IX609)</f>
        <v>3051558.09</v>
      </c>
      <c r="IY575" s="83">
        <f t="shared" si="13389"/>
        <v>3051558.09</v>
      </c>
      <c r="IZ575" s="83">
        <f t="shared" si="13389"/>
        <v>3051558.09</v>
      </c>
      <c r="JA575" s="83">
        <f t="shared" ref="JA575:JC575" si="13390">SUM(JA577,JA609)</f>
        <v>2829734.82</v>
      </c>
      <c r="JB575" s="83">
        <f t="shared" si="13390"/>
        <v>2829734.82</v>
      </c>
      <c r="JC575" s="83">
        <f t="shared" si="13390"/>
        <v>2829734.82</v>
      </c>
      <c r="JD575" s="83">
        <f t="shared" ref="JD575:JF575" si="13391">SUM(JD577,JD609)</f>
        <v>2931460.34</v>
      </c>
      <c r="JE575" s="83">
        <f t="shared" si="13391"/>
        <v>2931460.34</v>
      </c>
      <c r="JF575" s="83">
        <f t="shared" si="13391"/>
        <v>2931460.34</v>
      </c>
      <c r="JG575" s="83">
        <f t="shared" ref="JG575:JI575" si="13392">SUM(JG577,JG609)</f>
        <v>2822959.290000001</v>
      </c>
      <c r="JH575" s="83">
        <f t="shared" si="13392"/>
        <v>2822959.290000001</v>
      </c>
      <c r="JI575" s="83">
        <f t="shared" si="13392"/>
        <v>2822959.290000001</v>
      </c>
      <c r="JJ575" s="83">
        <f t="shared" ref="JJ575:JL575" si="13393">SUM(JJ577,JJ609)</f>
        <v>2981267.8599999985</v>
      </c>
      <c r="JK575" s="83">
        <f t="shared" si="13393"/>
        <v>2981267.8599999985</v>
      </c>
      <c r="JL575" s="83">
        <f t="shared" si="13393"/>
        <v>2981267.8599999985</v>
      </c>
      <c r="JM575" s="83">
        <f t="shared" ref="JM575:JO575" si="13394">SUM(JM577,JM609)</f>
        <v>0</v>
      </c>
      <c r="JN575" s="83">
        <f t="shared" si="13394"/>
        <v>0</v>
      </c>
      <c r="JO575" s="83">
        <f t="shared" si="13394"/>
        <v>0</v>
      </c>
      <c r="JP575" s="83">
        <f t="shared" ref="JP575:JT575" si="13395">SUM(JP577,JP609)</f>
        <v>0</v>
      </c>
      <c r="JQ575" s="83">
        <f t="shared" si="13395"/>
        <v>0</v>
      </c>
      <c r="JR575" s="83">
        <f t="shared" si="13395"/>
        <v>0</v>
      </c>
      <c r="JS575" s="83">
        <f t="shared" si="13395"/>
        <v>2892384.2400000016</v>
      </c>
      <c r="JT575" s="105">
        <f t="shared" si="13395"/>
        <v>2891914.2400000016</v>
      </c>
      <c r="JU575" s="665"/>
      <c r="JV575" s="524"/>
      <c r="JW575" s="525"/>
      <c r="JX575" s="550">
        <f>SUM(JX577,JX609)</f>
        <v>1005083</v>
      </c>
      <c r="JY575" s="550">
        <f>SUM(JY577,JY609)</f>
        <v>29762063</v>
      </c>
      <c r="JZ575" s="581">
        <f t="shared" si="12201"/>
        <v>1303718</v>
      </c>
      <c r="KA575" s="581">
        <f t="shared" si="12202"/>
        <v>-909404</v>
      </c>
      <c r="KB575" s="550">
        <f>SUM(KB577,KB609)</f>
        <v>30803977</v>
      </c>
      <c r="KC575" s="709">
        <f t="shared" si="12200"/>
        <v>0</v>
      </c>
      <c r="KD575" s="36"/>
      <c r="KE575" s="36"/>
      <c r="KF575" s="36"/>
      <c r="KG575" s="36"/>
      <c r="KH575" s="36"/>
      <c r="KI575" s="36"/>
      <c r="KJ575" s="36"/>
      <c r="KK575" s="36"/>
    </row>
    <row r="576" spans="1:297" s="10" customFormat="1">
      <c r="A576" s="86"/>
      <c r="B576" s="77"/>
      <c r="C576" s="74"/>
      <c r="D576" s="549"/>
      <c r="E576" s="675"/>
      <c r="F576" s="549"/>
      <c r="G576" s="675"/>
      <c r="H576" s="549"/>
      <c r="I576" s="675"/>
      <c r="J576" s="549"/>
      <c r="K576" s="675"/>
      <c r="L576" s="549"/>
      <c r="M576" s="675"/>
      <c r="N576" s="549"/>
      <c r="O576" s="675"/>
      <c r="P576" s="549"/>
      <c r="Q576" s="675"/>
      <c r="R576" s="549"/>
      <c r="S576" s="675"/>
      <c r="T576" s="549"/>
      <c r="U576" s="675"/>
      <c r="V576" s="549"/>
      <c r="W576" s="675"/>
      <c r="X576" s="549"/>
      <c r="Y576" s="675"/>
      <c r="Z576" s="549"/>
      <c r="AA576" s="675"/>
      <c r="AB576" s="549"/>
      <c r="AC576" s="675"/>
      <c r="AD576" s="549"/>
      <c r="AE576" s="675"/>
      <c r="AF576" s="549"/>
      <c r="AG576" s="675"/>
      <c r="AH576" s="549"/>
      <c r="AI576" s="675"/>
      <c r="AJ576" s="549"/>
      <c r="AK576" s="675"/>
      <c r="AL576" s="549"/>
      <c r="AM576" s="675"/>
      <c r="AN576" s="549"/>
      <c r="AO576" s="675"/>
      <c r="AP576" s="549"/>
      <c r="AQ576" s="675"/>
      <c r="AR576" s="549"/>
      <c r="AS576" s="675"/>
      <c r="AT576" s="549"/>
      <c r="AU576" s="675"/>
      <c r="AV576" s="549"/>
      <c r="AW576" s="675"/>
      <c r="AX576" s="549"/>
      <c r="AY576" s="675"/>
      <c r="AZ576" s="549"/>
      <c r="BA576" s="675"/>
      <c r="BB576" s="549"/>
      <c r="BC576" s="675"/>
      <c r="BD576" s="549"/>
      <c r="BE576" s="675"/>
      <c r="BF576" s="549"/>
      <c r="BG576" s="675"/>
      <c r="BH576" s="549"/>
      <c r="BI576" s="675"/>
      <c r="BJ576" s="549"/>
      <c r="BK576" s="675"/>
      <c r="BL576" s="549"/>
      <c r="BM576" s="675"/>
      <c r="BN576" s="549"/>
      <c r="BO576" s="675"/>
      <c r="BP576" s="549"/>
      <c r="BQ576" s="675"/>
      <c r="BR576" s="549"/>
      <c r="BS576" s="675"/>
      <c r="BT576" s="549"/>
      <c r="BU576" s="675"/>
      <c r="BV576" s="549"/>
      <c r="BW576" s="675"/>
      <c r="BX576" s="549"/>
      <c r="BY576" s="675"/>
      <c r="BZ576" s="549"/>
      <c r="CA576" s="675"/>
      <c r="CB576" s="549"/>
      <c r="CC576" s="675"/>
      <c r="CD576" s="549"/>
      <c r="CE576" s="675"/>
      <c r="CF576" s="549"/>
      <c r="CG576" s="675"/>
      <c r="CH576" s="549"/>
      <c r="CI576" s="675"/>
      <c r="CJ576" s="549"/>
      <c r="CK576" s="675"/>
      <c r="CL576" s="549"/>
      <c r="CM576" s="675"/>
      <c r="CN576" s="549"/>
      <c r="CO576" s="675"/>
      <c r="CP576" s="549"/>
      <c r="CQ576" s="675"/>
      <c r="CR576" s="549"/>
      <c r="CS576" s="675"/>
      <c r="CT576" s="549"/>
      <c r="CU576" s="675"/>
      <c r="CV576" s="549"/>
      <c r="CW576" s="675"/>
      <c r="CX576" s="549"/>
      <c r="CY576" s="675"/>
      <c r="CZ576" s="549"/>
      <c r="DA576" s="675"/>
      <c r="DB576" s="549"/>
      <c r="DC576" s="675"/>
      <c r="DD576" s="549"/>
      <c r="DE576" s="675"/>
      <c r="DF576" s="549"/>
      <c r="DG576" s="675"/>
      <c r="DH576" s="549"/>
      <c r="DI576" s="675"/>
      <c r="DJ576" s="549"/>
      <c r="DK576" s="675"/>
      <c r="DL576" s="549"/>
      <c r="DM576" s="675"/>
      <c r="DN576" s="549"/>
      <c r="DO576" s="675"/>
      <c r="DP576" s="549"/>
      <c r="DQ576" s="675"/>
      <c r="DR576" s="549"/>
      <c r="DS576" s="675"/>
      <c r="DT576" s="549"/>
      <c r="DU576" s="675"/>
      <c r="DV576" s="549"/>
      <c r="DW576" s="675"/>
      <c r="DX576" s="549"/>
      <c r="DY576" s="675"/>
      <c r="DZ576" s="549"/>
      <c r="EA576" s="675"/>
      <c r="EB576" s="549"/>
      <c r="EC576" s="675"/>
      <c r="ED576" s="549"/>
      <c r="EE576" s="675"/>
      <c r="EF576" s="549"/>
      <c r="EG576" s="675"/>
      <c r="EH576" s="549"/>
      <c r="EI576" s="675"/>
      <c r="EJ576" s="549"/>
      <c r="EK576" s="675"/>
      <c r="EL576" s="549"/>
      <c r="EM576" s="675"/>
      <c r="EN576" s="549"/>
      <c r="EO576" s="675"/>
      <c r="EP576" s="549"/>
      <c r="EQ576" s="675"/>
      <c r="ER576" s="549"/>
      <c r="ES576" s="675"/>
      <c r="ET576" s="549"/>
      <c r="EU576" s="675"/>
      <c r="EV576" s="549"/>
      <c r="EW576" s="675"/>
      <c r="EX576" s="549"/>
      <c r="EY576" s="675"/>
      <c r="EZ576" s="549"/>
      <c r="FA576" s="675"/>
      <c r="FB576" s="549"/>
      <c r="FC576" s="675"/>
      <c r="FD576" s="549"/>
      <c r="FE576" s="675"/>
      <c r="FF576" s="549"/>
      <c r="FG576" s="675"/>
      <c r="FH576" s="549"/>
      <c r="FI576" s="675"/>
      <c r="FJ576" s="549"/>
      <c r="FK576" s="675"/>
      <c r="FL576" s="549"/>
      <c r="FM576" s="675"/>
      <c r="FN576" s="549"/>
      <c r="FO576" s="675"/>
      <c r="FP576" s="549"/>
      <c r="FQ576" s="675"/>
      <c r="FR576" s="549"/>
      <c r="FS576" s="675"/>
      <c r="FT576" s="549"/>
      <c r="FU576" s="675"/>
      <c r="FV576" s="549"/>
      <c r="FW576" s="675"/>
      <c r="FX576" s="549"/>
      <c r="FY576" s="675"/>
      <c r="FZ576" s="549"/>
      <c r="GA576" s="675"/>
      <c r="GB576" s="549"/>
      <c r="GC576" s="675"/>
      <c r="GD576" s="549"/>
      <c r="GE576" s="675"/>
      <c r="GF576" s="549"/>
      <c r="GG576" s="675"/>
      <c r="GH576" s="549"/>
      <c r="GI576" s="675"/>
      <c r="GJ576" s="549"/>
      <c r="GK576" s="675"/>
      <c r="GL576" s="549"/>
      <c r="GM576" s="675"/>
      <c r="GN576" s="549"/>
      <c r="GO576" s="675"/>
      <c r="GP576" s="549"/>
      <c r="GQ576" s="675"/>
      <c r="GR576" s="74"/>
      <c r="GS576" s="74"/>
      <c r="GT576" s="549"/>
      <c r="GU576" s="73"/>
      <c r="GV576" s="73"/>
      <c r="GW576" s="549"/>
      <c r="GX576" s="549"/>
      <c r="GY576" s="73"/>
      <c r="GZ576" s="73"/>
      <c r="HA576" s="73"/>
      <c r="HB576" s="73"/>
      <c r="HC576" s="73"/>
      <c r="HD576" s="73"/>
      <c r="HE576" s="73"/>
      <c r="HF576" s="73"/>
      <c r="HG576" s="74"/>
      <c r="HH576" s="73"/>
      <c r="HI576" s="815"/>
      <c r="HJ576" s="73"/>
      <c r="HK576" s="815"/>
      <c r="HL576" s="73"/>
      <c r="HM576" s="815"/>
      <c r="HN576" s="73"/>
      <c r="HO576" s="815"/>
      <c r="HP576" s="73"/>
      <c r="HQ576" s="815"/>
      <c r="HR576" s="73"/>
      <c r="HS576" s="815"/>
      <c r="HT576" s="73"/>
      <c r="HU576" s="815"/>
      <c r="HV576" s="73"/>
      <c r="HW576" s="815"/>
      <c r="HX576" s="73"/>
      <c r="HY576" s="815"/>
      <c r="HZ576" s="73"/>
      <c r="IA576" s="815"/>
      <c r="IB576" s="73"/>
      <c r="IC576" s="815"/>
      <c r="ID576" s="73"/>
      <c r="IE576" s="815"/>
      <c r="IF576" s="841"/>
      <c r="IG576" s="263"/>
      <c r="IH576" s="842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  <c r="JD576" s="73"/>
      <c r="JE576" s="73"/>
      <c r="JF576" s="73"/>
      <c r="JG576" s="73"/>
      <c r="JH576" s="73"/>
      <c r="JI576" s="73"/>
      <c r="JJ576" s="73"/>
      <c r="JK576" s="73"/>
      <c r="JL576" s="73"/>
      <c r="JM576" s="73"/>
      <c r="JN576" s="73"/>
      <c r="JO576" s="73"/>
      <c r="JP576" s="73"/>
      <c r="JQ576" s="73"/>
      <c r="JR576" s="73"/>
      <c r="JS576" s="74"/>
      <c r="JT576" s="382"/>
      <c r="JU576" s="665"/>
      <c r="JV576" s="524"/>
      <c r="JW576" s="525"/>
      <c r="JX576" s="549"/>
      <c r="JY576" s="549"/>
      <c r="JZ576" s="581">
        <f t="shared" si="12201"/>
        <v>0</v>
      </c>
      <c r="KA576" s="581">
        <f t="shared" si="12202"/>
        <v>0</v>
      </c>
      <c r="KB576" s="549">
        <f t="shared" si="13163"/>
        <v>0</v>
      </c>
      <c r="KC576" s="709">
        <f t="shared" ref="KC576:KC640" si="13396">HG576-KB576</f>
        <v>0</v>
      </c>
      <c r="KD576" s="36"/>
      <c r="KE576" s="36"/>
      <c r="KF576" s="36"/>
      <c r="KG576" s="36"/>
      <c r="KH576" s="36"/>
      <c r="KI576" s="36"/>
      <c r="KJ576" s="36"/>
      <c r="KK576" s="36"/>
    </row>
    <row r="577" spans="1:297" s="7" customFormat="1" ht="13.5" customHeight="1">
      <c r="A577" s="94" t="s">
        <v>311</v>
      </c>
      <c r="B577" s="85" t="s">
        <v>310</v>
      </c>
      <c r="C577" s="85">
        <f>SUM(C579)+C606</f>
        <v>32829900</v>
      </c>
      <c r="D577" s="551">
        <f t="shared" ref="D577:E577" si="13397">SUM(D579)+D625+D606</f>
        <v>0</v>
      </c>
      <c r="E577" s="679">
        <f t="shared" si="13397"/>
        <v>0</v>
      </c>
      <c r="F577" s="551">
        <f t="shared" ref="F577:G577" si="13398">SUM(F579)+F625+F606</f>
        <v>0</v>
      </c>
      <c r="G577" s="679">
        <f t="shared" si="13398"/>
        <v>0</v>
      </c>
      <c r="H577" s="551">
        <f t="shared" ref="H577:I577" si="13399">SUM(H579)+H625+H606</f>
        <v>30000</v>
      </c>
      <c r="I577" s="679">
        <f t="shared" si="13399"/>
        <v>-30000</v>
      </c>
      <c r="J577" s="551">
        <f t="shared" ref="J577:K577" si="13400">SUM(J579)+J625+J606</f>
        <v>0</v>
      </c>
      <c r="K577" s="679">
        <f t="shared" si="13400"/>
        <v>0</v>
      </c>
      <c r="L577" s="551">
        <f t="shared" ref="L577:M577" si="13401">SUM(L579)+L625+L606</f>
        <v>0</v>
      </c>
      <c r="M577" s="679">
        <f t="shared" si="13401"/>
        <v>0</v>
      </c>
      <c r="N577" s="551">
        <f t="shared" ref="N577:O577" si="13402">SUM(N579)+N625+N606</f>
        <v>0</v>
      </c>
      <c r="O577" s="679">
        <f t="shared" si="13402"/>
        <v>0</v>
      </c>
      <c r="P577" s="551">
        <f t="shared" ref="P577:Q577" si="13403">SUM(P579)+P625+P606</f>
        <v>0</v>
      </c>
      <c r="Q577" s="679">
        <f t="shared" si="13403"/>
        <v>0</v>
      </c>
      <c r="R577" s="551">
        <f t="shared" ref="R577:S577" si="13404">SUM(R579)+R625+R606</f>
        <v>24000</v>
      </c>
      <c r="S577" s="679">
        <f t="shared" si="13404"/>
        <v>-24000</v>
      </c>
      <c r="T577" s="551">
        <f t="shared" ref="T577:U577" si="13405">SUM(T579)+T625+T606</f>
        <v>0</v>
      </c>
      <c r="U577" s="679">
        <f t="shared" si="13405"/>
        <v>0</v>
      </c>
      <c r="V577" s="551">
        <f t="shared" ref="V577:W577" si="13406">SUM(V579)+V625+V606</f>
        <v>0</v>
      </c>
      <c r="W577" s="679">
        <f t="shared" si="13406"/>
        <v>0</v>
      </c>
      <c r="X577" s="551">
        <f t="shared" ref="X577:Y577" si="13407">SUM(X579)+X625+X606</f>
        <v>0</v>
      </c>
      <c r="Y577" s="679">
        <f t="shared" si="13407"/>
        <v>0</v>
      </c>
      <c r="Z577" s="551">
        <f t="shared" ref="Z577:AA577" si="13408">SUM(Z579)+Z625+Z606</f>
        <v>0</v>
      </c>
      <c r="AA577" s="679">
        <f t="shared" si="13408"/>
        <v>0</v>
      </c>
      <c r="AB577" s="551">
        <f t="shared" ref="AB577:AC577" si="13409">SUM(AB579)+AB625+AB606</f>
        <v>0</v>
      </c>
      <c r="AC577" s="679">
        <f t="shared" si="13409"/>
        <v>0</v>
      </c>
      <c r="AD577" s="551">
        <f t="shared" ref="AD577:AE577" si="13410">SUM(AD579)+AD625+AD606</f>
        <v>0</v>
      </c>
      <c r="AE577" s="679">
        <f t="shared" si="13410"/>
        <v>0</v>
      </c>
      <c r="AF577" s="551">
        <f t="shared" ref="AF577:AI577" si="13411">SUM(AF579)+AF625+AF606</f>
        <v>0</v>
      </c>
      <c r="AG577" s="679">
        <f t="shared" si="13411"/>
        <v>0</v>
      </c>
      <c r="AH577" s="551">
        <f t="shared" si="13411"/>
        <v>0</v>
      </c>
      <c r="AI577" s="679">
        <f t="shared" si="13411"/>
        <v>0</v>
      </c>
      <c r="AJ577" s="551">
        <f t="shared" ref="AJ577:AK577" si="13412">SUM(AJ579)+AJ625+AJ606</f>
        <v>216156</v>
      </c>
      <c r="AK577" s="679">
        <f t="shared" si="13412"/>
        <v>-216156</v>
      </c>
      <c r="AL577" s="551">
        <f t="shared" ref="AL577:AM577" si="13413">SUM(AL579)+AL625+AL606</f>
        <v>5400</v>
      </c>
      <c r="AM577" s="679">
        <f t="shared" si="13413"/>
        <v>-5400</v>
      </c>
      <c r="AN577" s="551">
        <f t="shared" ref="AN577:AO577" si="13414">SUM(AN579)+AN625+AN606</f>
        <v>0</v>
      </c>
      <c r="AO577" s="679">
        <f t="shared" si="13414"/>
        <v>-57001</v>
      </c>
      <c r="AP577" s="551">
        <f t="shared" ref="AP577:AQ577" si="13415">SUM(AP579)+AP625+AP606</f>
        <v>0</v>
      </c>
      <c r="AQ577" s="679">
        <f t="shared" si="13415"/>
        <v>0</v>
      </c>
      <c r="AR577" s="551">
        <f t="shared" ref="AR577:AS577" si="13416">SUM(AR579)+AR625+AR606</f>
        <v>0</v>
      </c>
      <c r="AS577" s="679">
        <f t="shared" si="13416"/>
        <v>0</v>
      </c>
      <c r="AT577" s="551">
        <f t="shared" ref="AT577:AU577" si="13417">SUM(AT579)+AT625+AT606</f>
        <v>200000</v>
      </c>
      <c r="AU577" s="679">
        <f t="shared" si="13417"/>
        <v>-121680</v>
      </c>
      <c r="AV577" s="551">
        <f t="shared" ref="AV577:AW577" si="13418">SUM(AV579)+AV625+AV606</f>
        <v>38684</v>
      </c>
      <c r="AW577" s="679">
        <f t="shared" si="13418"/>
        <v>-15375</v>
      </c>
      <c r="AX577" s="551">
        <f t="shared" ref="AX577:AY577" si="13419">SUM(AX579)+AX625+AX606</f>
        <v>0</v>
      </c>
      <c r="AY577" s="679">
        <f t="shared" si="13419"/>
        <v>0</v>
      </c>
      <c r="AZ577" s="551">
        <f t="shared" ref="AZ577:BA577" si="13420">SUM(AZ579)+AZ625+AZ606</f>
        <v>0</v>
      </c>
      <c r="BA577" s="679">
        <f t="shared" si="13420"/>
        <v>0</v>
      </c>
      <c r="BB577" s="551">
        <f t="shared" ref="BB577:BC577" si="13421">SUM(BB579)+BB625+BB606</f>
        <v>0</v>
      </c>
      <c r="BC577" s="679">
        <f t="shared" si="13421"/>
        <v>0</v>
      </c>
      <c r="BD577" s="551">
        <f t="shared" ref="BD577:BE577" si="13422">SUM(BD579)+BD625+BD606</f>
        <v>0</v>
      </c>
      <c r="BE577" s="679">
        <f t="shared" si="13422"/>
        <v>0</v>
      </c>
      <c r="BF577" s="551">
        <f t="shared" ref="BF577:BG577" si="13423">SUM(BF579)+BF625+BF606</f>
        <v>0</v>
      </c>
      <c r="BG577" s="679">
        <f t="shared" si="13423"/>
        <v>0</v>
      </c>
      <c r="BH577" s="551">
        <f t="shared" ref="BH577:BI577" si="13424">SUM(BH579)+BH625+BH606</f>
        <v>0</v>
      </c>
      <c r="BI577" s="679">
        <f t="shared" si="13424"/>
        <v>0</v>
      </c>
      <c r="BJ577" s="551">
        <f t="shared" ref="BJ577:BK577" si="13425">SUM(BJ579)+BJ625+BJ606</f>
        <v>0</v>
      </c>
      <c r="BK577" s="679">
        <f t="shared" si="13425"/>
        <v>0</v>
      </c>
      <c r="BL577" s="551">
        <f t="shared" ref="BL577:BS577" si="13426">SUM(BL579)+BL625+BL606</f>
        <v>0</v>
      </c>
      <c r="BM577" s="679">
        <f t="shared" si="13426"/>
        <v>0</v>
      </c>
      <c r="BN577" s="551">
        <f t="shared" si="13426"/>
        <v>0</v>
      </c>
      <c r="BO577" s="679">
        <f t="shared" si="13426"/>
        <v>0</v>
      </c>
      <c r="BP577" s="551">
        <f t="shared" si="13426"/>
        <v>0</v>
      </c>
      <c r="BQ577" s="679">
        <f t="shared" si="13426"/>
        <v>0</v>
      </c>
      <c r="BR577" s="551">
        <f t="shared" si="13426"/>
        <v>0</v>
      </c>
      <c r="BS577" s="679">
        <f t="shared" si="13426"/>
        <v>0</v>
      </c>
      <c r="BT577" s="551">
        <f t="shared" ref="BT577:BU577" si="13427">SUM(BT579)+BT625+BT606</f>
        <v>0</v>
      </c>
      <c r="BU577" s="679">
        <f t="shared" si="13427"/>
        <v>0</v>
      </c>
      <c r="BV577" s="551">
        <f t="shared" ref="BV577:BW577" si="13428">SUM(BV579)+BV625+BV606</f>
        <v>0</v>
      </c>
      <c r="BW577" s="679">
        <f t="shared" si="13428"/>
        <v>0</v>
      </c>
      <c r="BX577" s="551">
        <f t="shared" ref="BX577:BY577" si="13429">SUM(BX579)+BX625+BX606</f>
        <v>0</v>
      </c>
      <c r="BY577" s="679">
        <f t="shared" si="13429"/>
        <v>0</v>
      </c>
      <c r="BZ577" s="551">
        <f t="shared" ref="BZ577:CA577" si="13430">SUM(BZ579)+BZ625+BZ606</f>
        <v>1775</v>
      </c>
      <c r="CA577" s="679">
        <f t="shared" si="13430"/>
        <v>0</v>
      </c>
      <c r="CB577" s="551">
        <f t="shared" ref="CB577:CC577" si="13431">SUM(CB579)+CB625+CB606</f>
        <v>0</v>
      </c>
      <c r="CC577" s="679">
        <f t="shared" si="13431"/>
        <v>0</v>
      </c>
      <c r="CD577" s="551">
        <f t="shared" ref="CD577:CE577" si="13432">SUM(CD579)+CD625+CD606</f>
        <v>4800</v>
      </c>
      <c r="CE577" s="679">
        <f t="shared" si="13432"/>
        <v>-4800</v>
      </c>
      <c r="CF577" s="551">
        <f t="shared" ref="CF577:CG577" si="13433">SUM(CF579)+CF625+CF606</f>
        <v>0</v>
      </c>
      <c r="CG577" s="679">
        <f t="shared" si="13433"/>
        <v>0</v>
      </c>
      <c r="CH577" s="551">
        <f t="shared" ref="CH577:CI577" si="13434">SUM(CH579)+CH625+CH606</f>
        <v>0</v>
      </c>
      <c r="CI577" s="679">
        <f t="shared" si="13434"/>
        <v>0</v>
      </c>
      <c r="CJ577" s="551">
        <f t="shared" ref="CJ577:CK577" si="13435">SUM(CJ579)+CJ625+CJ606</f>
        <v>0</v>
      </c>
      <c r="CK577" s="679">
        <f t="shared" si="13435"/>
        <v>0</v>
      </c>
      <c r="CL577" s="551">
        <f t="shared" ref="CL577:CM577" si="13436">SUM(CL579)+CL625+CL606</f>
        <v>0</v>
      </c>
      <c r="CM577" s="679">
        <f t="shared" si="13436"/>
        <v>0</v>
      </c>
      <c r="CN577" s="551">
        <f t="shared" ref="CN577:CO577" si="13437">SUM(CN579)+CN625+CN606</f>
        <v>1200</v>
      </c>
      <c r="CO577" s="679">
        <f t="shared" si="13437"/>
        <v>-7566</v>
      </c>
      <c r="CP577" s="551">
        <f t="shared" ref="CP577:CQ577" si="13438">SUM(CP579)+CP625+CP606</f>
        <v>0</v>
      </c>
      <c r="CQ577" s="679">
        <f t="shared" si="13438"/>
        <v>0</v>
      </c>
      <c r="CR577" s="551">
        <f t="shared" ref="CR577:CY577" si="13439">SUM(CR579)+CR625+CR606</f>
        <v>0</v>
      </c>
      <c r="CS577" s="679">
        <f t="shared" si="13439"/>
        <v>0</v>
      </c>
      <c r="CT577" s="551">
        <f t="shared" si="13439"/>
        <v>0</v>
      </c>
      <c r="CU577" s="679">
        <f t="shared" si="13439"/>
        <v>0</v>
      </c>
      <c r="CV577" s="551">
        <f t="shared" si="13439"/>
        <v>0</v>
      </c>
      <c r="CW577" s="679">
        <f t="shared" si="13439"/>
        <v>0</v>
      </c>
      <c r="CX577" s="551">
        <f t="shared" si="13439"/>
        <v>0</v>
      </c>
      <c r="CY577" s="679">
        <f t="shared" si="13439"/>
        <v>0</v>
      </c>
      <c r="CZ577" s="551">
        <f t="shared" ref="CZ577:DI577" si="13440">SUM(CZ579)+CZ625+CZ606</f>
        <v>0</v>
      </c>
      <c r="DA577" s="679">
        <f t="shared" si="13440"/>
        <v>0</v>
      </c>
      <c r="DB577" s="551">
        <f t="shared" si="13440"/>
        <v>0</v>
      </c>
      <c r="DC577" s="679">
        <f t="shared" si="13440"/>
        <v>0</v>
      </c>
      <c r="DD577" s="551">
        <f t="shared" si="13440"/>
        <v>0</v>
      </c>
      <c r="DE577" s="679">
        <f t="shared" si="13440"/>
        <v>0</v>
      </c>
      <c r="DF577" s="551">
        <f t="shared" si="13440"/>
        <v>0</v>
      </c>
      <c r="DG577" s="679">
        <f t="shared" si="13440"/>
        <v>0</v>
      </c>
      <c r="DH577" s="551">
        <f t="shared" si="13440"/>
        <v>0</v>
      </c>
      <c r="DI577" s="679">
        <f t="shared" si="13440"/>
        <v>0</v>
      </c>
      <c r="DJ577" s="551">
        <f t="shared" ref="DJ577:DY577" si="13441">SUM(DJ579)+DJ625+DJ606</f>
        <v>0</v>
      </c>
      <c r="DK577" s="679">
        <f t="shared" si="13441"/>
        <v>0</v>
      </c>
      <c r="DL577" s="551">
        <f t="shared" si="13441"/>
        <v>0</v>
      </c>
      <c r="DM577" s="679">
        <f t="shared" si="13441"/>
        <v>0</v>
      </c>
      <c r="DN577" s="551">
        <f t="shared" si="13441"/>
        <v>0</v>
      </c>
      <c r="DO577" s="679">
        <f t="shared" si="13441"/>
        <v>0</v>
      </c>
      <c r="DP577" s="551">
        <f t="shared" si="13441"/>
        <v>0</v>
      </c>
      <c r="DQ577" s="679">
        <f t="shared" si="13441"/>
        <v>0</v>
      </c>
      <c r="DR577" s="551">
        <f t="shared" si="13441"/>
        <v>0</v>
      </c>
      <c r="DS577" s="679">
        <f t="shared" si="13441"/>
        <v>0</v>
      </c>
      <c r="DT577" s="551">
        <f t="shared" si="13441"/>
        <v>0</v>
      </c>
      <c r="DU577" s="679">
        <f t="shared" si="13441"/>
        <v>0</v>
      </c>
      <c r="DV577" s="551">
        <f t="shared" si="13441"/>
        <v>0</v>
      </c>
      <c r="DW577" s="679">
        <f t="shared" si="13441"/>
        <v>0</v>
      </c>
      <c r="DX577" s="551">
        <f t="shared" si="13441"/>
        <v>0</v>
      </c>
      <c r="DY577" s="679">
        <f t="shared" si="13441"/>
        <v>0</v>
      </c>
      <c r="DZ577" s="551">
        <f t="shared" ref="DZ577:EU577" si="13442">SUM(DZ579)+DZ625+DZ606</f>
        <v>0</v>
      </c>
      <c r="EA577" s="679">
        <f t="shared" si="13442"/>
        <v>0</v>
      </c>
      <c r="EB577" s="551">
        <f t="shared" si="13442"/>
        <v>0</v>
      </c>
      <c r="EC577" s="679">
        <f t="shared" si="13442"/>
        <v>0</v>
      </c>
      <c r="ED577" s="551">
        <f t="shared" si="13442"/>
        <v>0</v>
      </c>
      <c r="EE577" s="679">
        <f t="shared" si="13442"/>
        <v>-25000</v>
      </c>
      <c r="EF577" s="551">
        <f t="shared" si="13442"/>
        <v>15995</v>
      </c>
      <c r="EG577" s="679">
        <f t="shared" si="13442"/>
        <v>0</v>
      </c>
      <c r="EH577" s="551">
        <f t="shared" ref="EH577:EM577" si="13443">SUM(EH579)+EH625+EH606</f>
        <v>290000</v>
      </c>
      <c r="EI577" s="679">
        <f t="shared" si="13443"/>
        <v>-290000</v>
      </c>
      <c r="EJ577" s="551">
        <f t="shared" si="13443"/>
        <v>0</v>
      </c>
      <c r="EK577" s="679">
        <f t="shared" si="13443"/>
        <v>0</v>
      </c>
      <c r="EL577" s="551">
        <f t="shared" si="13443"/>
        <v>0</v>
      </c>
      <c r="EM577" s="679">
        <f t="shared" si="13443"/>
        <v>0</v>
      </c>
      <c r="EN577" s="551">
        <f t="shared" si="13442"/>
        <v>0</v>
      </c>
      <c r="EO577" s="679">
        <f t="shared" si="13442"/>
        <v>0</v>
      </c>
      <c r="EP577" s="551">
        <f t="shared" si="13442"/>
        <v>110000</v>
      </c>
      <c r="EQ577" s="679">
        <f t="shared" si="13442"/>
        <v>-72626</v>
      </c>
      <c r="ER577" s="551">
        <f t="shared" si="13442"/>
        <v>0</v>
      </c>
      <c r="ES577" s="679">
        <f t="shared" si="13442"/>
        <v>0</v>
      </c>
      <c r="ET577" s="551">
        <f t="shared" si="13442"/>
        <v>0</v>
      </c>
      <c r="EU577" s="679">
        <f t="shared" si="13442"/>
        <v>0</v>
      </c>
      <c r="EV577" s="551">
        <f t="shared" ref="EV577:FC577" si="13444">SUM(EV579)+EV625+EV606</f>
        <v>0</v>
      </c>
      <c r="EW577" s="679">
        <f t="shared" si="13444"/>
        <v>0</v>
      </c>
      <c r="EX577" s="551">
        <f t="shared" si="13444"/>
        <v>0</v>
      </c>
      <c r="EY577" s="679">
        <f t="shared" si="13444"/>
        <v>-25600</v>
      </c>
      <c r="EZ577" s="551">
        <f t="shared" si="13444"/>
        <v>0</v>
      </c>
      <c r="FA577" s="679">
        <f t="shared" si="13444"/>
        <v>0</v>
      </c>
      <c r="FB577" s="551">
        <f t="shared" si="13444"/>
        <v>0</v>
      </c>
      <c r="FC577" s="679">
        <f t="shared" si="13444"/>
        <v>0</v>
      </c>
      <c r="FD577" s="551">
        <f t="shared" ref="FD577:FE577" si="13445">SUM(FD579)+FD625+FD606</f>
        <v>0</v>
      </c>
      <c r="FE577" s="679">
        <f t="shared" si="13445"/>
        <v>0</v>
      </c>
      <c r="FF577" s="551">
        <f t="shared" ref="FF577:FG577" si="13446">SUM(FF579)+FF625+FF606</f>
        <v>1140</v>
      </c>
      <c r="FG577" s="679">
        <f t="shared" si="13446"/>
        <v>0</v>
      </c>
      <c r="FH577" s="551">
        <f t="shared" ref="FH577:FI577" si="13447">SUM(FH579)+FH625+FH606</f>
        <v>0</v>
      </c>
      <c r="FI577" s="679">
        <f t="shared" si="13447"/>
        <v>-4200</v>
      </c>
      <c r="FJ577" s="551">
        <f t="shared" ref="FJ577:FK577" si="13448">SUM(FJ579)+FJ625+FJ606</f>
        <v>0</v>
      </c>
      <c r="FK577" s="679">
        <f t="shared" si="13448"/>
        <v>0</v>
      </c>
      <c r="FL577" s="551">
        <f t="shared" ref="FL577:FM577" si="13449">SUM(FL579)+FL625+FL606</f>
        <v>0</v>
      </c>
      <c r="FM577" s="679">
        <f t="shared" si="13449"/>
        <v>0</v>
      </c>
      <c r="FN577" s="551">
        <f t="shared" ref="FN577:FO577" si="13450">SUM(FN579)+FN625+FN606</f>
        <v>0</v>
      </c>
      <c r="FO577" s="679">
        <f t="shared" si="13450"/>
        <v>0</v>
      </c>
      <c r="FP577" s="551">
        <f t="shared" ref="FP577:FQ577" si="13451">SUM(FP579)+FP625+FP606</f>
        <v>10000</v>
      </c>
      <c r="FQ577" s="679">
        <f t="shared" si="13451"/>
        <v>-10000</v>
      </c>
      <c r="FR577" s="551">
        <f t="shared" ref="FR577:FS577" si="13452">SUM(FR579)+FR625+FR606</f>
        <v>0</v>
      </c>
      <c r="FS577" s="679">
        <f t="shared" si="13452"/>
        <v>0</v>
      </c>
      <c r="FT577" s="551">
        <f t="shared" ref="FT577:FU577" si="13453">SUM(FT579)+FT625+FT606</f>
        <v>0</v>
      </c>
      <c r="FU577" s="679">
        <f t="shared" si="13453"/>
        <v>0</v>
      </c>
      <c r="FV577" s="551">
        <f t="shared" ref="FV577:GK577" si="13454">SUM(FV579)+FV625+FV606</f>
        <v>0</v>
      </c>
      <c r="FW577" s="679">
        <f t="shared" si="13454"/>
        <v>0</v>
      </c>
      <c r="FX577" s="551">
        <f t="shared" si="13454"/>
        <v>0</v>
      </c>
      <c r="FY577" s="679">
        <f t="shared" si="13454"/>
        <v>0</v>
      </c>
      <c r="FZ577" s="551">
        <f t="shared" ref="FZ577:GI577" si="13455">SUM(FZ579)+FZ625+FZ606</f>
        <v>0</v>
      </c>
      <c r="GA577" s="679">
        <f t="shared" si="13455"/>
        <v>0</v>
      </c>
      <c r="GB577" s="551">
        <f t="shared" si="13455"/>
        <v>0</v>
      </c>
      <c r="GC577" s="679">
        <f t="shared" si="13455"/>
        <v>0</v>
      </c>
      <c r="GD577" s="551">
        <f t="shared" si="13455"/>
        <v>0</v>
      </c>
      <c r="GE577" s="679">
        <f t="shared" si="13455"/>
        <v>0</v>
      </c>
      <c r="GF577" s="551">
        <f t="shared" si="13455"/>
        <v>0</v>
      </c>
      <c r="GG577" s="679">
        <f t="shared" si="13455"/>
        <v>0</v>
      </c>
      <c r="GH577" s="551">
        <f t="shared" si="13455"/>
        <v>0</v>
      </c>
      <c r="GI577" s="679">
        <f t="shared" si="13455"/>
        <v>0</v>
      </c>
      <c r="GJ577" s="551">
        <f t="shared" si="13454"/>
        <v>0</v>
      </c>
      <c r="GK577" s="679">
        <f t="shared" si="13454"/>
        <v>0</v>
      </c>
      <c r="GL577" s="551">
        <f t="shared" ref="GL577:GM577" si="13456">SUM(GL579)+GL625+GL606</f>
        <v>0</v>
      </c>
      <c r="GM577" s="679">
        <f t="shared" si="13456"/>
        <v>0</v>
      </c>
      <c r="GN577" s="551">
        <f t="shared" ref="GN577:GO577" si="13457">SUM(GN579)+GN625+GN606</f>
        <v>0</v>
      </c>
      <c r="GO577" s="679">
        <f t="shared" si="13457"/>
        <v>0</v>
      </c>
      <c r="GP577" s="551">
        <f t="shared" ref="GP577:JA577" si="13458">SUM(GP579)+GP606</f>
        <v>946235</v>
      </c>
      <c r="GQ577" s="679">
        <f t="shared" si="13458"/>
        <v>-909404</v>
      </c>
      <c r="GR577" s="85">
        <f t="shared" si="13458"/>
        <v>32866731</v>
      </c>
      <c r="GS577" s="85">
        <f t="shared" si="13458"/>
        <v>29857296</v>
      </c>
      <c r="GT577" s="85">
        <f>SUM(GT579)+GT606</f>
        <v>32866731</v>
      </c>
      <c r="GU577" s="85">
        <f t="shared" si="13458"/>
        <v>3261334</v>
      </c>
      <c r="GV577" s="85">
        <f t="shared" si="13458"/>
        <v>3150291</v>
      </c>
      <c r="GW577" s="85">
        <f t="shared" si="13458"/>
        <v>2949912</v>
      </c>
      <c r="GX577" s="85">
        <f t="shared" si="13458"/>
        <v>2887337</v>
      </c>
      <c r="GY577" s="85">
        <f t="shared" si="13458"/>
        <v>2887337</v>
      </c>
      <c r="GZ577" s="85">
        <f t="shared" si="13458"/>
        <v>2987338</v>
      </c>
      <c r="HA577" s="85">
        <f t="shared" si="13458"/>
        <v>2887338</v>
      </c>
      <c r="HB577" s="85">
        <f t="shared" si="13458"/>
        <v>3037599</v>
      </c>
      <c r="HC577" s="85">
        <f t="shared" si="13458"/>
        <v>2882194</v>
      </c>
      <c r="HD577" s="85">
        <f t="shared" si="13458"/>
        <v>2889785</v>
      </c>
      <c r="HE577" s="85">
        <f t="shared" si="13458"/>
        <v>3009435</v>
      </c>
      <c r="HF577" s="85">
        <f t="shared" si="13458"/>
        <v>0</v>
      </c>
      <c r="HG577" s="85">
        <f>SUM(HG579)+HG606</f>
        <v>29798894</v>
      </c>
      <c r="HH577" s="85">
        <f t="shared" ref="HH577:HI577" si="13459">SUM(HH579)+HH606</f>
        <v>0</v>
      </c>
      <c r="HI577" s="814">
        <f t="shared" si="13459"/>
        <v>0</v>
      </c>
      <c r="HJ577" s="85">
        <f t="shared" ref="HJ577:HK577" si="13460">SUM(HJ579)+HJ606</f>
        <v>0</v>
      </c>
      <c r="HK577" s="814">
        <f t="shared" si="13460"/>
        <v>6094032</v>
      </c>
      <c r="HL577" s="85">
        <f t="shared" ref="HL577:HM577" si="13461">SUM(HL579)+HL606</f>
        <v>0</v>
      </c>
      <c r="HM577" s="814">
        <f t="shared" si="13461"/>
        <v>2933004</v>
      </c>
      <c r="HN577" s="85">
        <f t="shared" ref="HN577:HO577" si="13462">SUM(HN579)+HN606</f>
        <v>0</v>
      </c>
      <c r="HO577" s="814">
        <f t="shared" si="13462"/>
        <v>2926152</v>
      </c>
      <c r="HP577" s="85">
        <f t="shared" ref="HP577:HQ577" si="13463">SUM(HP579)+HP606</f>
        <v>0</v>
      </c>
      <c r="HQ577" s="814">
        <f t="shared" si="13463"/>
        <v>2931578</v>
      </c>
      <c r="HR577" s="85">
        <f t="shared" ref="HR577:HS577" si="13464">SUM(HR579)+HR606</f>
        <v>0</v>
      </c>
      <c r="HS577" s="814">
        <f t="shared" si="13464"/>
        <v>3027578</v>
      </c>
      <c r="HT577" s="85">
        <f t="shared" ref="HT577:HU577" si="13465">SUM(HT579)+HT606</f>
        <v>0</v>
      </c>
      <c r="HU577" s="814">
        <f t="shared" si="13465"/>
        <v>2929578</v>
      </c>
      <c r="HV577" s="85">
        <f t="shared" ref="HV577:HW577" si="13466">SUM(HV579)+HV606</f>
        <v>0</v>
      </c>
      <c r="HW577" s="814">
        <f t="shared" si="13466"/>
        <v>2474915</v>
      </c>
      <c r="HX577" s="85">
        <f t="shared" ref="HX577:HY577" si="13467">SUM(HX579)+HX606</f>
        <v>0</v>
      </c>
      <c r="HY577" s="814">
        <f t="shared" si="13467"/>
        <v>3519074</v>
      </c>
      <c r="HZ577" s="85">
        <f t="shared" ref="HZ577:IA577" si="13468">SUM(HZ579)+HZ606</f>
        <v>0</v>
      </c>
      <c r="IA577" s="814">
        <f t="shared" si="13468"/>
        <v>2926152</v>
      </c>
      <c r="IB577" s="85">
        <f t="shared" ref="IB577:IC577" si="13469">SUM(IB579)+IB606</f>
        <v>0</v>
      </c>
      <c r="IC577" s="814">
        <f t="shared" si="13469"/>
        <v>0</v>
      </c>
      <c r="ID577" s="85">
        <f t="shared" si="13458"/>
        <v>0</v>
      </c>
      <c r="IE577" s="814">
        <f t="shared" si="13458"/>
        <v>0</v>
      </c>
      <c r="IF577" s="856">
        <f t="shared" si="13458"/>
        <v>27249642.579999998</v>
      </c>
      <c r="IG577" s="281">
        <f t="shared" si="13458"/>
        <v>27249642.579999998</v>
      </c>
      <c r="IH577" s="857">
        <f t="shared" si="13458"/>
        <v>27249642.579999998</v>
      </c>
      <c r="II577" s="85">
        <f t="shared" si="13458"/>
        <v>2058361.6300000001</v>
      </c>
      <c r="IJ577" s="85">
        <f t="shared" si="13458"/>
        <v>2058361.6300000001</v>
      </c>
      <c r="IK577" s="85">
        <f t="shared" si="13458"/>
        <v>2058361.6300000001</v>
      </c>
      <c r="IL577" s="85">
        <f t="shared" si="13458"/>
        <v>3189624.3900000006</v>
      </c>
      <c r="IM577" s="85">
        <f t="shared" si="13458"/>
        <v>3189624.3900000006</v>
      </c>
      <c r="IN577" s="85">
        <f t="shared" si="13458"/>
        <v>3189624.3900000006</v>
      </c>
      <c r="IO577" s="85">
        <f t="shared" si="13458"/>
        <v>1729250.74</v>
      </c>
      <c r="IP577" s="85">
        <f t="shared" si="13458"/>
        <v>1729250.74</v>
      </c>
      <c r="IQ577" s="85">
        <f t="shared" si="13458"/>
        <v>1729250.74</v>
      </c>
      <c r="IR577" s="85">
        <f t="shared" si="13458"/>
        <v>3532025.3699999996</v>
      </c>
      <c r="IS577" s="85">
        <f t="shared" si="13458"/>
        <v>3532025.3699999996</v>
      </c>
      <c r="IT577" s="85">
        <f t="shared" si="13458"/>
        <v>3532025.3699999996</v>
      </c>
      <c r="IU577" s="85">
        <f t="shared" si="13458"/>
        <v>2647103.7799999993</v>
      </c>
      <c r="IV577" s="85">
        <f t="shared" si="13458"/>
        <v>2647103.7799999993</v>
      </c>
      <c r="IW577" s="85">
        <f t="shared" si="13458"/>
        <v>2647103.7799999993</v>
      </c>
      <c r="IX577" s="85">
        <f t="shared" si="13458"/>
        <v>2903621.58</v>
      </c>
      <c r="IY577" s="85">
        <f t="shared" si="13458"/>
        <v>2903621.58</v>
      </c>
      <c r="IZ577" s="85">
        <f t="shared" si="13458"/>
        <v>2903621.58</v>
      </c>
      <c r="JA577" s="85">
        <f t="shared" si="13458"/>
        <v>2753793.15</v>
      </c>
      <c r="JB577" s="85">
        <f t="shared" ref="JB577:JC577" si="13470">SUM(JB579)+JB606</f>
        <v>2753793.15</v>
      </c>
      <c r="JC577" s="85">
        <f t="shared" si="13470"/>
        <v>2753793.15</v>
      </c>
      <c r="JD577" s="85">
        <f t="shared" ref="JD577:JF577" si="13471">SUM(JD579)+JD606</f>
        <v>2851839.59</v>
      </c>
      <c r="JE577" s="85">
        <f t="shared" si="13471"/>
        <v>2851839.59</v>
      </c>
      <c r="JF577" s="85">
        <f t="shared" si="13471"/>
        <v>2851839.59</v>
      </c>
      <c r="JG577" s="85">
        <f t="shared" ref="JG577:JI577" si="13472">SUM(JG579)+JG606</f>
        <v>2669444.9800000009</v>
      </c>
      <c r="JH577" s="85">
        <f t="shared" si="13472"/>
        <v>2669444.9800000009</v>
      </c>
      <c r="JI577" s="85">
        <f t="shared" si="13472"/>
        <v>2669444.9800000009</v>
      </c>
      <c r="JJ577" s="85">
        <f t="shared" ref="JJ577:JL577" si="13473">SUM(JJ579)+JJ606</f>
        <v>2914577.3699999982</v>
      </c>
      <c r="JK577" s="85">
        <f t="shared" si="13473"/>
        <v>2914577.3699999982</v>
      </c>
      <c r="JL577" s="85">
        <f t="shared" si="13473"/>
        <v>2914577.3699999982</v>
      </c>
      <c r="JM577" s="85">
        <f t="shared" ref="JM577:JO577" si="13474">SUM(JM579)+JM606</f>
        <v>0</v>
      </c>
      <c r="JN577" s="85">
        <f t="shared" si="13474"/>
        <v>0</v>
      </c>
      <c r="JO577" s="85">
        <f t="shared" si="13474"/>
        <v>0</v>
      </c>
      <c r="JP577" s="85">
        <f t="shared" ref="JP577:JX577" si="13475">SUM(JP579)+JP606</f>
        <v>0</v>
      </c>
      <c r="JQ577" s="85">
        <f t="shared" si="13475"/>
        <v>0</v>
      </c>
      <c r="JR577" s="85">
        <f t="shared" si="13475"/>
        <v>0</v>
      </c>
      <c r="JS577" s="85">
        <f t="shared" si="13475"/>
        <v>2549251.4200000018</v>
      </c>
      <c r="JT577" s="85">
        <f t="shared" si="13475"/>
        <v>2607653.4200000018</v>
      </c>
      <c r="JU577" s="665"/>
      <c r="JV577" s="524"/>
      <c r="JW577" s="525"/>
      <c r="JX577" s="551">
        <f t="shared" si="13475"/>
        <v>0</v>
      </c>
      <c r="JY577" s="551">
        <f>SUM(JY579)+JY606</f>
        <v>29762063</v>
      </c>
      <c r="JZ577" s="551">
        <f t="shared" ref="JZ577:KA577" si="13476">SUM(JZ579)+JZ606</f>
        <v>946235</v>
      </c>
      <c r="KA577" s="551">
        <f t="shared" si="13476"/>
        <v>-909404</v>
      </c>
      <c r="KB577" s="551">
        <f t="shared" si="13163"/>
        <v>29798894</v>
      </c>
      <c r="KC577" s="709">
        <f t="shared" si="13396"/>
        <v>0</v>
      </c>
      <c r="KD577" s="36"/>
      <c r="KE577" s="36"/>
      <c r="KF577" s="36"/>
      <c r="KG577" s="36"/>
      <c r="KH577" s="36"/>
      <c r="KI577" s="36"/>
      <c r="KJ577" s="36"/>
      <c r="KK577" s="36"/>
    </row>
    <row r="578" spans="1:297" s="10" customFormat="1">
      <c r="A578" s="80"/>
      <c r="B578" s="77"/>
      <c r="C578" s="74"/>
      <c r="D578" s="549"/>
      <c r="E578" s="675"/>
      <c r="F578" s="549"/>
      <c r="G578" s="675"/>
      <c r="H578" s="549"/>
      <c r="I578" s="675"/>
      <c r="J578" s="549"/>
      <c r="K578" s="675"/>
      <c r="L578" s="549"/>
      <c r="M578" s="675"/>
      <c r="N578" s="549"/>
      <c r="O578" s="675"/>
      <c r="P578" s="549"/>
      <c r="Q578" s="675"/>
      <c r="R578" s="549"/>
      <c r="S578" s="675"/>
      <c r="T578" s="549"/>
      <c r="U578" s="675"/>
      <c r="V578" s="549"/>
      <c r="W578" s="675"/>
      <c r="X578" s="549"/>
      <c r="Y578" s="675"/>
      <c r="Z578" s="549"/>
      <c r="AA578" s="675"/>
      <c r="AB578" s="549"/>
      <c r="AC578" s="675"/>
      <c r="AD578" s="549"/>
      <c r="AE578" s="675"/>
      <c r="AF578" s="549"/>
      <c r="AG578" s="675"/>
      <c r="AH578" s="549"/>
      <c r="AI578" s="675"/>
      <c r="AJ578" s="549"/>
      <c r="AK578" s="675"/>
      <c r="AL578" s="549"/>
      <c r="AM578" s="675"/>
      <c r="AN578" s="549"/>
      <c r="AO578" s="675"/>
      <c r="AP578" s="549"/>
      <c r="AQ578" s="675"/>
      <c r="AR578" s="549"/>
      <c r="AS578" s="675"/>
      <c r="AT578" s="549"/>
      <c r="AU578" s="675"/>
      <c r="AV578" s="549"/>
      <c r="AW578" s="675"/>
      <c r="AX578" s="549"/>
      <c r="AY578" s="675"/>
      <c r="AZ578" s="549"/>
      <c r="BA578" s="675"/>
      <c r="BB578" s="549"/>
      <c r="BC578" s="675"/>
      <c r="BD578" s="549"/>
      <c r="BE578" s="675"/>
      <c r="BF578" s="549"/>
      <c r="BG578" s="675"/>
      <c r="BH578" s="549"/>
      <c r="BI578" s="675"/>
      <c r="BJ578" s="549"/>
      <c r="BK578" s="675"/>
      <c r="BL578" s="549"/>
      <c r="BM578" s="675"/>
      <c r="BN578" s="549"/>
      <c r="BO578" s="675"/>
      <c r="BP578" s="549"/>
      <c r="BQ578" s="675"/>
      <c r="BR578" s="549"/>
      <c r="BS578" s="675"/>
      <c r="BT578" s="549"/>
      <c r="BU578" s="675"/>
      <c r="BV578" s="549"/>
      <c r="BW578" s="675"/>
      <c r="BX578" s="549"/>
      <c r="BY578" s="675"/>
      <c r="BZ578" s="549"/>
      <c r="CA578" s="675"/>
      <c r="CB578" s="549"/>
      <c r="CC578" s="675"/>
      <c r="CD578" s="549"/>
      <c r="CE578" s="675"/>
      <c r="CF578" s="549"/>
      <c r="CG578" s="675"/>
      <c r="CH578" s="549"/>
      <c r="CI578" s="675"/>
      <c r="CJ578" s="549"/>
      <c r="CK578" s="675"/>
      <c r="CL578" s="549"/>
      <c r="CM578" s="675"/>
      <c r="CN578" s="549"/>
      <c r="CO578" s="675"/>
      <c r="CP578" s="549"/>
      <c r="CQ578" s="675"/>
      <c r="CR578" s="549"/>
      <c r="CS578" s="675"/>
      <c r="CT578" s="549"/>
      <c r="CU578" s="675"/>
      <c r="CV578" s="549"/>
      <c r="CW578" s="675"/>
      <c r="CX578" s="549"/>
      <c r="CY578" s="675"/>
      <c r="CZ578" s="549"/>
      <c r="DA578" s="675"/>
      <c r="DB578" s="549"/>
      <c r="DC578" s="675"/>
      <c r="DD578" s="549"/>
      <c r="DE578" s="675"/>
      <c r="DF578" s="549"/>
      <c r="DG578" s="675"/>
      <c r="DH578" s="549"/>
      <c r="DI578" s="675"/>
      <c r="DJ578" s="549"/>
      <c r="DK578" s="675"/>
      <c r="DL578" s="549"/>
      <c r="DM578" s="675"/>
      <c r="DN578" s="549"/>
      <c r="DO578" s="675"/>
      <c r="DP578" s="549"/>
      <c r="DQ578" s="675"/>
      <c r="DR578" s="549"/>
      <c r="DS578" s="675"/>
      <c r="DT578" s="549"/>
      <c r="DU578" s="675"/>
      <c r="DV578" s="549"/>
      <c r="DW578" s="675"/>
      <c r="DX578" s="549"/>
      <c r="DY578" s="675"/>
      <c r="DZ578" s="549"/>
      <c r="EA578" s="675"/>
      <c r="EB578" s="549"/>
      <c r="EC578" s="675"/>
      <c r="ED578" s="549"/>
      <c r="EE578" s="675"/>
      <c r="EF578" s="549"/>
      <c r="EG578" s="675"/>
      <c r="EH578" s="549"/>
      <c r="EI578" s="675"/>
      <c r="EJ578" s="549"/>
      <c r="EK578" s="675"/>
      <c r="EL578" s="549"/>
      <c r="EM578" s="675"/>
      <c r="EN578" s="549"/>
      <c r="EO578" s="675"/>
      <c r="EP578" s="549"/>
      <c r="EQ578" s="675"/>
      <c r="ER578" s="549"/>
      <c r="ES578" s="675"/>
      <c r="ET578" s="549"/>
      <c r="EU578" s="675"/>
      <c r="EV578" s="549"/>
      <c r="EW578" s="675"/>
      <c r="EX578" s="549"/>
      <c r="EY578" s="675"/>
      <c r="EZ578" s="549"/>
      <c r="FA578" s="675"/>
      <c r="FB578" s="549"/>
      <c r="FC578" s="675"/>
      <c r="FD578" s="549"/>
      <c r="FE578" s="675"/>
      <c r="FF578" s="549"/>
      <c r="FG578" s="675"/>
      <c r="FH578" s="549"/>
      <c r="FI578" s="675"/>
      <c r="FJ578" s="549"/>
      <c r="FK578" s="675"/>
      <c r="FL578" s="549"/>
      <c r="FM578" s="675"/>
      <c r="FN578" s="549"/>
      <c r="FO578" s="675"/>
      <c r="FP578" s="549"/>
      <c r="FQ578" s="675"/>
      <c r="FR578" s="549"/>
      <c r="FS578" s="675"/>
      <c r="FT578" s="549"/>
      <c r="FU578" s="675"/>
      <c r="FV578" s="549"/>
      <c r="FW578" s="675"/>
      <c r="FX578" s="549"/>
      <c r="FY578" s="675"/>
      <c r="FZ578" s="549"/>
      <c r="GA578" s="675"/>
      <c r="GB578" s="549"/>
      <c r="GC578" s="675"/>
      <c r="GD578" s="549"/>
      <c r="GE578" s="675"/>
      <c r="GF578" s="549"/>
      <c r="GG578" s="675"/>
      <c r="GH578" s="549"/>
      <c r="GI578" s="675"/>
      <c r="GJ578" s="549"/>
      <c r="GK578" s="675"/>
      <c r="GL578" s="549"/>
      <c r="GM578" s="675"/>
      <c r="GN578" s="549"/>
      <c r="GO578" s="675"/>
      <c r="GP578" s="549"/>
      <c r="GQ578" s="675"/>
      <c r="GR578" s="74"/>
      <c r="GS578" s="74"/>
      <c r="GT578" s="549"/>
      <c r="GU578" s="73"/>
      <c r="GV578" s="73"/>
      <c r="GW578" s="549"/>
      <c r="GX578" s="549"/>
      <c r="GY578" s="73"/>
      <c r="GZ578" s="73"/>
      <c r="HA578" s="73"/>
      <c r="HB578" s="73"/>
      <c r="HC578" s="73"/>
      <c r="HD578" s="73"/>
      <c r="HE578" s="73"/>
      <c r="HF578" s="73"/>
      <c r="HG578" s="74"/>
      <c r="HH578" s="73"/>
      <c r="HI578" s="815"/>
      <c r="HJ578" s="73"/>
      <c r="HK578" s="815"/>
      <c r="HL578" s="73"/>
      <c r="HM578" s="815"/>
      <c r="HN578" s="73"/>
      <c r="HO578" s="815"/>
      <c r="HP578" s="73"/>
      <c r="HQ578" s="815"/>
      <c r="HR578" s="73"/>
      <c r="HS578" s="815"/>
      <c r="HT578" s="73"/>
      <c r="HU578" s="815"/>
      <c r="HV578" s="73"/>
      <c r="HW578" s="815"/>
      <c r="HX578" s="73"/>
      <c r="HY578" s="815"/>
      <c r="HZ578" s="73"/>
      <c r="IA578" s="815"/>
      <c r="IB578" s="73"/>
      <c r="IC578" s="815"/>
      <c r="ID578" s="73"/>
      <c r="IE578" s="815"/>
      <c r="IF578" s="841"/>
      <c r="IG578" s="263"/>
      <c r="IH578" s="842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  <c r="JD578" s="73"/>
      <c r="JE578" s="73"/>
      <c r="JF578" s="73"/>
      <c r="JG578" s="73"/>
      <c r="JH578" s="73"/>
      <c r="JI578" s="73"/>
      <c r="JJ578" s="73"/>
      <c r="JK578" s="73"/>
      <c r="JL578" s="73"/>
      <c r="JM578" s="73"/>
      <c r="JN578" s="73"/>
      <c r="JO578" s="73"/>
      <c r="JP578" s="73"/>
      <c r="JQ578" s="73"/>
      <c r="JR578" s="73"/>
      <c r="JS578" s="74"/>
      <c r="JT578" s="382"/>
      <c r="JU578" s="665"/>
      <c r="JV578" s="524"/>
      <c r="JW578" s="525"/>
      <c r="JX578" s="549"/>
      <c r="JY578" s="549"/>
      <c r="JZ578" s="581">
        <f t="shared" ref="JZ578:JZ641" si="13477">GP578</f>
        <v>0</v>
      </c>
      <c r="KA578" s="581">
        <f t="shared" ref="KA578:KA641" si="13478">GQ578</f>
        <v>0</v>
      </c>
      <c r="KB578" s="549">
        <f t="shared" si="13163"/>
        <v>0</v>
      </c>
      <c r="KC578" s="709">
        <f t="shared" si="13396"/>
        <v>0</v>
      </c>
      <c r="KD578" s="36"/>
      <c r="KE578" s="36"/>
      <c r="KF578" s="36"/>
      <c r="KG578" s="36"/>
      <c r="KH578" s="36"/>
      <c r="KI578" s="36"/>
      <c r="KJ578" s="36"/>
      <c r="KK578" s="36"/>
    </row>
    <row r="579" spans="1:297" s="8" customFormat="1">
      <c r="A579" s="80" t="s">
        <v>312</v>
      </c>
      <c r="B579" s="72" t="s">
        <v>50</v>
      </c>
      <c r="C579" s="74">
        <f>SUM(C581,C585,C590,C592,C598,)+C600</f>
        <v>32829900</v>
      </c>
      <c r="D579" s="549">
        <f t="shared" ref="D579:E579" si="13479">SUM(D581,D585,D590,D592,D598,)+D600</f>
        <v>0</v>
      </c>
      <c r="E579" s="675">
        <f t="shared" si="13479"/>
        <v>0</v>
      </c>
      <c r="F579" s="549">
        <f t="shared" ref="F579:G579" si="13480">SUM(F581,F585,F590,F592,F598,)+F600</f>
        <v>0</v>
      </c>
      <c r="G579" s="675">
        <f t="shared" si="13480"/>
        <v>0</v>
      </c>
      <c r="H579" s="549">
        <f t="shared" ref="H579:AM579" si="13481">SUM(H581,H585,H590,H592,H598,)+H600</f>
        <v>30000</v>
      </c>
      <c r="I579" s="675">
        <f t="shared" si="13481"/>
        <v>-30000</v>
      </c>
      <c r="J579" s="549">
        <f t="shared" si="13481"/>
        <v>0</v>
      </c>
      <c r="K579" s="675">
        <f t="shared" si="13481"/>
        <v>0</v>
      </c>
      <c r="L579" s="549">
        <f t="shared" si="13481"/>
        <v>0</v>
      </c>
      <c r="M579" s="675">
        <f t="shared" si="13481"/>
        <v>0</v>
      </c>
      <c r="N579" s="549">
        <f t="shared" si="13481"/>
        <v>0</v>
      </c>
      <c r="O579" s="675">
        <f t="shared" si="13481"/>
        <v>0</v>
      </c>
      <c r="P579" s="549">
        <f t="shared" si="13481"/>
        <v>0</v>
      </c>
      <c r="Q579" s="675">
        <f t="shared" si="13481"/>
        <v>0</v>
      </c>
      <c r="R579" s="549">
        <f t="shared" si="13481"/>
        <v>24000</v>
      </c>
      <c r="S579" s="675">
        <f t="shared" si="13481"/>
        <v>-24000</v>
      </c>
      <c r="T579" s="549">
        <f t="shared" si="13481"/>
        <v>0</v>
      </c>
      <c r="U579" s="675">
        <f t="shared" si="13481"/>
        <v>0</v>
      </c>
      <c r="V579" s="549">
        <f t="shared" si="13481"/>
        <v>0</v>
      </c>
      <c r="W579" s="675">
        <f t="shared" si="13481"/>
        <v>0</v>
      </c>
      <c r="X579" s="549">
        <f t="shared" si="13481"/>
        <v>0</v>
      </c>
      <c r="Y579" s="675">
        <f t="shared" si="13481"/>
        <v>0</v>
      </c>
      <c r="Z579" s="549">
        <f t="shared" si="13481"/>
        <v>0</v>
      </c>
      <c r="AA579" s="675">
        <f t="shared" si="13481"/>
        <v>0</v>
      </c>
      <c r="AB579" s="549">
        <f t="shared" si="13481"/>
        <v>0</v>
      </c>
      <c r="AC579" s="675">
        <f t="shared" si="13481"/>
        <v>0</v>
      </c>
      <c r="AD579" s="549">
        <f t="shared" ref="AD579:AK579" si="13482">SUM(AD581,AD585,AD590,AD592,AD598,)+AD600</f>
        <v>0</v>
      </c>
      <c r="AE579" s="675">
        <f t="shared" si="13482"/>
        <v>0</v>
      </c>
      <c r="AF579" s="549">
        <f t="shared" si="13482"/>
        <v>0</v>
      </c>
      <c r="AG579" s="675">
        <f t="shared" si="13482"/>
        <v>0</v>
      </c>
      <c r="AH579" s="549">
        <f t="shared" si="13482"/>
        <v>0</v>
      </c>
      <c r="AI579" s="675">
        <f t="shared" si="13482"/>
        <v>0</v>
      </c>
      <c r="AJ579" s="549">
        <f t="shared" si="13482"/>
        <v>216156</v>
      </c>
      <c r="AK579" s="675">
        <f t="shared" si="13482"/>
        <v>-216156</v>
      </c>
      <c r="AL579" s="549">
        <f t="shared" si="13481"/>
        <v>5400</v>
      </c>
      <c r="AM579" s="675">
        <f t="shared" si="13481"/>
        <v>-5400</v>
      </c>
      <c r="AN579" s="549">
        <f t="shared" ref="AN579:AS579" si="13483">SUM(AN581,AN585,AN590,AN592,AN598,)+AN600</f>
        <v>0</v>
      </c>
      <c r="AO579" s="675">
        <f t="shared" si="13483"/>
        <v>-57001</v>
      </c>
      <c r="AP579" s="549">
        <f t="shared" si="13483"/>
        <v>0</v>
      </c>
      <c r="AQ579" s="675">
        <f t="shared" si="13483"/>
        <v>0</v>
      </c>
      <c r="AR579" s="549">
        <f t="shared" si="13483"/>
        <v>0</v>
      </c>
      <c r="AS579" s="675">
        <f t="shared" si="13483"/>
        <v>0</v>
      </c>
      <c r="AT579" s="549">
        <f t="shared" ref="AT579:AU579" si="13484">SUM(AT581,AT585,AT590,AT592,AT598,)+AT600</f>
        <v>200000</v>
      </c>
      <c r="AU579" s="675">
        <f t="shared" si="13484"/>
        <v>-121680</v>
      </c>
      <c r="AV579" s="549">
        <f t="shared" ref="AV579:AW579" si="13485">SUM(AV581,AV585,AV590,AV592,AV598,)+AV600</f>
        <v>38684</v>
      </c>
      <c r="AW579" s="675">
        <f t="shared" si="13485"/>
        <v>-15375</v>
      </c>
      <c r="AX579" s="549">
        <f t="shared" ref="AX579:AY579" si="13486">SUM(AX581,AX585,AX590,AX592,AX598,)+AX600</f>
        <v>0</v>
      </c>
      <c r="AY579" s="675">
        <f t="shared" si="13486"/>
        <v>0</v>
      </c>
      <c r="AZ579" s="549">
        <f t="shared" ref="AZ579:BA579" si="13487">SUM(AZ581,AZ585,AZ590,AZ592,AZ598,)+AZ600</f>
        <v>0</v>
      </c>
      <c r="BA579" s="675">
        <f t="shared" si="13487"/>
        <v>0</v>
      </c>
      <c r="BB579" s="549">
        <f t="shared" ref="BB579:BC579" si="13488">SUM(BB581,BB585,BB590,BB592,BB598,)+BB600</f>
        <v>0</v>
      </c>
      <c r="BC579" s="675">
        <f t="shared" si="13488"/>
        <v>0</v>
      </c>
      <c r="BD579" s="549">
        <f t="shared" ref="BD579:BE579" si="13489">SUM(BD581,BD585,BD590,BD592,BD598,)+BD600</f>
        <v>0</v>
      </c>
      <c r="BE579" s="675">
        <f t="shared" si="13489"/>
        <v>0</v>
      </c>
      <c r="BF579" s="549">
        <f t="shared" ref="BF579:BG579" si="13490">SUM(BF581,BF585,BF590,BF592,BF598,)+BF600</f>
        <v>0</v>
      </c>
      <c r="BG579" s="675">
        <f t="shared" si="13490"/>
        <v>0</v>
      </c>
      <c r="BH579" s="549">
        <f t="shared" ref="BH579:BI579" si="13491">SUM(BH581,BH585,BH590,BH592,BH598,)+BH600</f>
        <v>0</v>
      </c>
      <c r="BI579" s="675">
        <f t="shared" si="13491"/>
        <v>0</v>
      </c>
      <c r="BJ579" s="549">
        <f t="shared" ref="BJ579:BK579" si="13492">SUM(BJ581,BJ585,BJ590,BJ592,BJ598,)+BJ600</f>
        <v>0</v>
      </c>
      <c r="BK579" s="675">
        <f t="shared" si="13492"/>
        <v>0</v>
      </c>
      <c r="BL579" s="549">
        <f t="shared" ref="BL579:BS579" si="13493">SUM(BL581,BL585,BL590,BL592,BL598,)+BL600</f>
        <v>0</v>
      </c>
      <c r="BM579" s="675">
        <f t="shared" si="13493"/>
        <v>0</v>
      </c>
      <c r="BN579" s="549">
        <f t="shared" si="13493"/>
        <v>0</v>
      </c>
      <c r="BO579" s="675">
        <f t="shared" si="13493"/>
        <v>0</v>
      </c>
      <c r="BP579" s="549">
        <f t="shared" si="13493"/>
        <v>0</v>
      </c>
      <c r="BQ579" s="675">
        <f t="shared" si="13493"/>
        <v>0</v>
      </c>
      <c r="BR579" s="549">
        <f t="shared" si="13493"/>
        <v>0</v>
      </c>
      <c r="BS579" s="675">
        <f t="shared" si="13493"/>
        <v>0</v>
      </c>
      <c r="BT579" s="549">
        <f t="shared" ref="BT579:BU579" si="13494">SUM(BT581,BT585,BT590,BT592,BT598,)+BT600</f>
        <v>0</v>
      </c>
      <c r="BU579" s="675">
        <f t="shared" si="13494"/>
        <v>0</v>
      </c>
      <c r="BV579" s="549">
        <f t="shared" ref="BV579:BW579" si="13495">SUM(BV581,BV585,BV590,BV592,BV598,)+BV600</f>
        <v>0</v>
      </c>
      <c r="BW579" s="675">
        <f t="shared" si="13495"/>
        <v>0</v>
      </c>
      <c r="BX579" s="549">
        <f t="shared" ref="BX579:BY579" si="13496">SUM(BX581,BX585,BX590,BX592,BX598,)+BX600</f>
        <v>0</v>
      </c>
      <c r="BY579" s="675">
        <f t="shared" si="13496"/>
        <v>0</v>
      </c>
      <c r="BZ579" s="549">
        <f t="shared" ref="BZ579:CA579" si="13497">SUM(BZ581,BZ585,BZ590,BZ592,BZ598,)+BZ600</f>
        <v>0</v>
      </c>
      <c r="CA579" s="675">
        <f t="shared" si="13497"/>
        <v>0</v>
      </c>
      <c r="CB579" s="549">
        <f t="shared" ref="CB579:CE579" si="13498">SUM(CB581,CB585,CB590,CB592,CB598,)+CB600</f>
        <v>0</v>
      </c>
      <c r="CC579" s="675">
        <f t="shared" si="13498"/>
        <v>0</v>
      </c>
      <c r="CD579" s="549">
        <f t="shared" si="13498"/>
        <v>4800</v>
      </c>
      <c r="CE579" s="675">
        <f t="shared" si="13498"/>
        <v>-4800</v>
      </c>
      <c r="CF579" s="549">
        <f t="shared" ref="CF579:CQ579" si="13499">SUM(CF581,CF585,CF590,CF592,CF598,)+CF600</f>
        <v>0</v>
      </c>
      <c r="CG579" s="675">
        <f t="shared" si="13499"/>
        <v>0</v>
      </c>
      <c r="CH579" s="549">
        <f t="shared" si="13499"/>
        <v>0</v>
      </c>
      <c r="CI579" s="675">
        <f t="shared" si="13499"/>
        <v>0</v>
      </c>
      <c r="CJ579" s="549">
        <f t="shared" si="13499"/>
        <v>0</v>
      </c>
      <c r="CK579" s="675">
        <f t="shared" si="13499"/>
        <v>0</v>
      </c>
      <c r="CL579" s="549">
        <f t="shared" si="13499"/>
        <v>0</v>
      </c>
      <c r="CM579" s="675">
        <f t="shared" si="13499"/>
        <v>0</v>
      </c>
      <c r="CN579" s="549">
        <f t="shared" si="13499"/>
        <v>1200</v>
      </c>
      <c r="CO579" s="675">
        <f t="shared" si="13499"/>
        <v>-7566</v>
      </c>
      <c r="CP579" s="549">
        <f t="shared" si="13499"/>
        <v>0</v>
      </c>
      <c r="CQ579" s="675">
        <f t="shared" si="13499"/>
        <v>0</v>
      </c>
      <c r="CR579" s="549">
        <f t="shared" ref="CR579:CY579" si="13500">SUM(CR581,CR585,CR590,CR592,CR598,)+CR600</f>
        <v>0</v>
      </c>
      <c r="CS579" s="675">
        <f t="shared" si="13500"/>
        <v>0</v>
      </c>
      <c r="CT579" s="549">
        <f t="shared" si="13500"/>
        <v>0</v>
      </c>
      <c r="CU579" s="675">
        <f t="shared" si="13500"/>
        <v>0</v>
      </c>
      <c r="CV579" s="549">
        <f t="shared" si="13500"/>
        <v>0</v>
      </c>
      <c r="CW579" s="675">
        <f t="shared" si="13500"/>
        <v>0</v>
      </c>
      <c r="CX579" s="549">
        <f t="shared" si="13500"/>
        <v>0</v>
      </c>
      <c r="CY579" s="675">
        <f t="shared" si="13500"/>
        <v>0</v>
      </c>
      <c r="CZ579" s="549">
        <f t="shared" ref="CZ579:DG579" si="13501">SUM(CZ581,CZ585,CZ590,CZ592,CZ598,)+CZ600</f>
        <v>0</v>
      </c>
      <c r="DA579" s="675">
        <f t="shared" si="13501"/>
        <v>0</v>
      </c>
      <c r="DB579" s="549">
        <f t="shared" si="13501"/>
        <v>0</v>
      </c>
      <c r="DC579" s="675">
        <f t="shared" si="13501"/>
        <v>0</v>
      </c>
      <c r="DD579" s="549">
        <f t="shared" si="13501"/>
        <v>0</v>
      </c>
      <c r="DE579" s="675">
        <f t="shared" si="13501"/>
        <v>0</v>
      </c>
      <c r="DF579" s="549">
        <f t="shared" si="13501"/>
        <v>0</v>
      </c>
      <c r="DG579" s="675">
        <f t="shared" si="13501"/>
        <v>0</v>
      </c>
      <c r="DH579" s="549">
        <f t="shared" ref="DH579:DY579" si="13502">SUM(DH581,DH585,DH590,DH592,DH598,)+DH600</f>
        <v>0</v>
      </c>
      <c r="DI579" s="675">
        <f t="shared" si="13502"/>
        <v>0</v>
      </c>
      <c r="DJ579" s="549">
        <f t="shared" si="13502"/>
        <v>0</v>
      </c>
      <c r="DK579" s="675">
        <f t="shared" si="13502"/>
        <v>0</v>
      </c>
      <c r="DL579" s="549">
        <f t="shared" si="13502"/>
        <v>0</v>
      </c>
      <c r="DM579" s="675">
        <f t="shared" si="13502"/>
        <v>0</v>
      </c>
      <c r="DN579" s="549">
        <f t="shared" si="13502"/>
        <v>0</v>
      </c>
      <c r="DO579" s="675">
        <f t="shared" si="13502"/>
        <v>0</v>
      </c>
      <c r="DP579" s="549">
        <f t="shared" si="13502"/>
        <v>0</v>
      </c>
      <c r="DQ579" s="675">
        <f t="shared" si="13502"/>
        <v>0</v>
      </c>
      <c r="DR579" s="549">
        <f t="shared" si="13502"/>
        <v>0</v>
      </c>
      <c r="DS579" s="675">
        <f t="shared" si="13502"/>
        <v>0</v>
      </c>
      <c r="DT579" s="549">
        <f t="shared" si="13502"/>
        <v>0</v>
      </c>
      <c r="DU579" s="675">
        <f t="shared" si="13502"/>
        <v>0</v>
      </c>
      <c r="DV579" s="549">
        <f t="shared" si="13502"/>
        <v>0</v>
      </c>
      <c r="DW579" s="675">
        <f t="shared" si="13502"/>
        <v>0</v>
      </c>
      <c r="DX579" s="549">
        <f t="shared" si="13502"/>
        <v>0</v>
      </c>
      <c r="DY579" s="675">
        <f t="shared" si="13502"/>
        <v>0</v>
      </c>
      <c r="DZ579" s="549">
        <f t="shared" ref="DZ579:FA579" si="13503">SUM(DZ581,DZ585,DZ590,DZ592,DZ598,)+DZ600</f>
        <v>0</v>
      </c>
      <c r="EA579" s="675">
        <f t="shared" si="13503"/>
        <v>0</v>
      </c>
      <c r="EB579" s="549">
        <f t="shared" si="13503"/>
        <v>0</v>
      </c>
      <c r="EC579" s="675">
        <f t="shared" si="13503"/>
        <v>0</v>
      </c>
      <c r="ED579" s="549">
        <f t="shared" si="13503"/>
        <v>0</v>
      </c>
      <c r="EE579" s="675">
        <f t="shared" si="13503"/>
        <v>-25000</v>
      </c>
      <c r="EF579" s="549">
        <f t="shared" si="13503"/>
        <v>15995</v>
      </c>
      <c r="EG579" s="675">
        <f t="shared" si="13503"/>
        <v>0</v>
      </c>
      <c r="EH579" s="549">
        <f t="shared" ref="EH579:EM579" si="13504">SUM(EH581,EH585,EH590,EH592,EH598,)+EH600</f>
        <v>290000</v>
      </c>
      <c r="EI579" s="675">
        <f t="shared" si="13504"/>
        <v>-290000</v>
      </c>
      <c r="EJ579" s="549">
        <f t="shared" si="13504"/>
        <v>0</v>
      </c>
      <c r="EK579" s="675">
        <f t="shared" si="13504"/>
        <v>0</v>
      </c>
      <c r="EL579" s="549">
        <f t="shared" si="13504"/>
        <v>0</v>
      </c>
      <c r="EM579" s="675">
        <f t="shared" si="13504"/>
        <v>0</v>
      </c>
      <c r="EN579" s="549">
        <f t="shared" si="13503"/>
        <v>0</v>
      </c>
      <c r="EO579" s="675">
        <f t="shared" si="13503"/>
        <v>0</v>
      </c>
      <c r="EP579" s="549">
        <f t="shared" si="13503"/>
        <v>110000</v>
      </c>
      <c r="EQ579" s="675">
        <f t="shared" si="13503"/>
        <v>-72626</v>
      </c>
      <c r="ER579" s="549">
        <f t="shared" si="13503"/>
        <v>0</v>
      </c>
      <c r="ES579" s="675">
        <f t="shared" si="13503"/>
        <v>0</v>
      </c>
      <c r="ET579" s="549">
        <f t="shared" si="13503"/>
        <v>0</v>
      </c>
      <c r="EU579" s="675">
        <f t="shared" si="13503"/>
        <v>0</v>
      </c>
      <c r="EV579" s="549">
        <f t="shared" ref="EV579:EW579" si="13505">SUM(EV581,EV585,EV590,EV592,EV598,)+EV600</f>
        <v>0</v>
      </c>
      <c r="EW579" s="675">
        <f t="shared" si="13505"/>
        <v>0</v>
      </c>
      <c r="EX579" s="549">
        <f t="shared" si="13503"/>
        <v>0</v>
      </c>
      <c r="EY579" s="675">
        <f t="shared" si="13503"/>
        <v>-25600</v>
      </c>
      <c r="EZ579" s="549">
        <f t="shared" si="13503"/>
        <v>0</v>
      </c>
      <c r="FA579" s="675">
        <f t="shared" si="13503"/>
        <v>0</v>
      </c>
      <c r="FB579" s="549">
        <f t="shared" ref="FB579:FC579" si="13506">SUM(FB581,FB585,FB590,FB592,FB598,)+FB600</f>
        <v>0</v>
      </c>
      <c r="FC579" s="675">
        <f t="shared" si="13506"/>
        <v>0</v>
      </c>
      <c r="FD579" s="549">
        <f t="shared" ref="FD579:FE579" si="13507">SUM(FD581,FD585,FD590,FD592,FD598,)+FD600</f>
        <v>0</v>
      </c>
      <c r="FE579" s="675">
        <f t="shared" si="13507"/>
        <v>0</v>
      </c>
      <c r="FF579" s="549">
        <f t="shared" ref="FF579:FG579" si="13508">SUM(FF581,FF585,FF590,FF592,FF598,)+FF600</f>
        <v>0</v>
      </c>
      <c r="FG579" s="675">
        <f t="shared" si="13508"/>
        <v>0</v>
      </c>
      <c r="FH579" s="549">
        <f t="shared" ref="FH579:FI579" si="13509">SUM(FH581,FH585,FH590,FH592,FH598,)+FH600</f>
        <v>0</v>
      </c>
      <c r="FI579" s="675">
        <f t="shared" si="13509"/>
        <v>-4200</v>
      </c>
      <c r="FJ579" s="549">
        <f t="shared" ref="FJ579:FK579" si="13510">SUM(FJ581,FJ585,FJ590,FJ592,FJ598,)+FJ600</f>
        <v>0</v>
      </c>
      <c r="FK579" s="675">
        <f t="shared" si="13510"/>
        <v>0</v>
      </c>
      <c r="FL579" s="549">
        <f t="shared" ref="FL579:FM579" si="13511">SUM(FL581,FL585,FL590,FL592,FL598,)+FL600</f>
        <v>0</v>
      </c>
      <c r="FM579" s="675">
        <f t="shared" si="13511"/>
        <v>0</v>
      </c>
      <c r="FN579" s="549">
        <f t="shared" ref="FN579:FO579" si="13512">SUM(FN581,FN585,FN590,FN592,FN598,)+FN600</f>
        <v>0</v>
      </c>
      <c r="FO579" s="675">
        <f t="shared" si="13512"/>
        <v>0</v>
      </c>
      <c r="FP579" s="549">
        <f t="shared" ref="FP579:FQ579" si="13513">SUM(FP581,FP585,FP590,FP592,FP598,)+FP600</f>
        <v>10000</v>
      </c>
      <c r="FQ579" s="675">
        <f t="shared" si="13513"/>
        <v>-10000</v>
      </c>
      <c r="FR579" s="549">
        <f t="shared" ref="FR579:FS579" si="13514">SUM(FR581,FR585,FR590,FR592,FR598,)+FR600</f>
        <v>0</v>
      </c>
      <c r="FS579" s="675">
        <f t="shared" si="13514"/>
        <v>0</v>
      </c>
      <c r="FT579" s="549">
        <f t="shared" ref="FT579:FU579" si="13515">SUM(FT581,FT585,FT590,FT592,FT598,)+FT600</f>
        <v>0</v>
      </c>
      <c r="FU579" s="675">
        <f t="shared" si="13515"/>
        <v>0</v>
      </c>
      <c r="FV579" s="549">
        <f t="shared" ref="FV579:GK579" si="13516">SUM(FV581,FV585,FV590,FV592,FV598,)+FV600</f>
        <v>0</v>
      </c>
      <c r="FW579" s="675">
        <f t="shared" si="13516"/>
        <v>0</v>
      </c>
      <c r="FX579" s="549">
        <f t="shared" si="13516"/>
        <v>0</v>
      </c>
      <c r="FY579" s="675">
        <f t="shared" si="13516"/>
        <v>0</v>
      </c>
      <c r="FZ579" s="549">
        <f t="shared" ref="FZ579:GI579" si="13517">SUM(FZ581,FZ585,FZ590,FZ592,FZ598,)+FZ600</f>
        <v>0</v>
      </c>
      <c r="GA579" s="675">
        <f t="shared" si="13517"/>
        <v>0</v>
      </c>
      <c r="GB579" s="549">
        <f t="shared" si="13517"/>
        <v>0</v>
      </c>
      <c r="GC579" s="675">
        <f t="shared" si="13517"/>
        <v>0</v>
      </c>
      <c r="GD579" s="549">
        <f t="shared" si="13517"/>
        <v>0</v>
      </c>
      <c r="GE579" s="675">
        <f t="shared" si="13517"/>
        <v>0</v>
      </c>
      <c r="GF579" s="549">
        <f t="shared" si="13517"/>
        <v>0</v>
      </c>
      <c r="GG579" s="675">
        <f t="shared" si="13517"/>
        <v>0</v>
      </c>
      <c r="GH579" s="549">
        <f t="shared" si="13517"/>
        <v>0</v>
      </c>
      <c r="GI579" s="675">
        <f t="shared" si="13517"/>
        <v>0</v>
      </c>
      <c r="GJ579" s="549">
        <f t="shared" si="13516"/>
        <v>0</v>
      </c>
      <c r="GK579" s="675">
        <f t="shared" si="13516"/>
        <v>0</v>
      </c>
      <c r="GL579" s="549">
        <f t="shared" ref="GL579:GM579" si="13518">SUM(GL581,GL585,GL590,GL592,GL598,)+GL600</f>
        <v>0</v>
      </c>
      <c r="GM579" s="675">
        <f t="shared" si="13518"/>
        <v>0</v>
      </c>
      <c r="GN579" s="549">
        <f t="shared" ref="GN579:GO579" si="13519">SUM(GN581,GN585,GN590,GN592,GN598,)+GN600</f>
        <v>0</v>
      </c>
      <c r="GO579" s="675">
        <f t="shared" si="13519"/>
        <v>0</v>
      </c>
      <c r="GP579" s="549">
        <f>SUM(GP581,GP585,GP590,GP592,GP598,)+GP600</f>
        <v>946235</v>
      </c>
      <c r="GQ579" s="675">
        <f>SUM(GQ581,GQ585,GQ590,GQ592,GQ598,)+GQ600</f>
        <v>-909404</v>
      </c>
      <c r="GR579" s="74">
        <f t="shared" ref="GR579:HU579" si="13520">SUM(GR581,GR585,GR590,GR592,GR598,)+GR600</f>
        <v>32866731</v>
      </c>
      <c r="GS579" s="74">
        <f t="shared" si="13520"/>
        <v>29857296</v>
      </c>
      <c r="GT579" s="549">
        <f>SUM(GT581,GT585,GT590,GT592,GT598,)+GT600</f>
        <v>32866731</v>
      </c>
      <c r="GU579" s="74">
        <f t="shared" si="13520"/>
        <v>3261334</v>
      </c>
      <c r="GV579" s="74">
        <f t="shared" si="13520"/>
        <v>3150291</v>
      </c>
      <c r="GW579" s="549">
        <f t="shared" si="13520"/>
        <v>2949912</v>
      </c>
      <c r="GX579" s="549">
        <f t="shared" si="13520"/>
        <v>2887337</v>
      </c>
      <c r="GY579" s="74">
        <f t="shared" si="13520"/>
        <v>2887337</v>
      </c>
      <c r="GZ579" s="74">
        <f t="shared" si="13520"/>
        <v>2987338</v>
      </c>
      <c r="HA579" s="74">
        <f t="shared" si="13520"/>
        <v>2887338</v>
      </c>
      <c r="HB579" s="74">
        <f t="shared" si="13520"/>
        <v>3037599</v>
      </c>
      <c r="HC579" s="74">
        <f t="shared" si="13520"/>
        <v>2882194</v>
      </c>
      <c r="HD579" s="74">
        <f t="shared" si="13520"/>
        <v>2889785</v>
      </c>
      <c r="HE579" s="74">
        <f t="shared" si="13520"/>
        <v>3009435</v>
      </c>
      <c r="HF579" s="74">
        <f t="shared" si="13520"/>
        <v>0</v>
      </c>
      <c r="HG579" s="74">
        <f t="shared" si="13520"/>
        <v>29798894</v>
      </c>
      <c r="HH579" s="74">
        <f t="shared" si="13520"/>
        <v>0</v>
      </c>
      <c r="HI579" s="792">
        <f t="shared" si="13520"/>
        <v>0</v>
      </c>
      <c r="HJ579" s="74">
        <f t="shared" si="13520"/>
        <v>0</v>
      </c>
      <c r="HK579" s="792">
        <f t="shared" si="13520"/>
        <v>6094032</v>
      </c>
      <c r="HL579" s="74">
        <f t="shared" si="13520"/>
        <v>0</v>
      </c>
      <c r="HM579" s="792">
        <f t="shared" si="13520"/>
        <v>2933004</v>
      </c>
      <c r="HN579" s="74">
        <f t="shared" si="13520"/>
        <v>0</v>
      </c>
      <c r="HO579" s="792">
        <f t="shared" si="13520"/>
        <v>2926152</v>
      </c>
      <c r="HP579" s="74">
        <f t="shared" si="13520"/>
        <v>0</v>
      </c>
      <c r="HQ579" s="792">
        <f t="shared" si="13520"/>
        <v>2931578</v>
      </c>
      <c r="HR579" s="74">
        <f t="shared" si="13520"/>
        <v>0</v>
      </c>
      <c r="HS579" s="792">
        <f t="shared" si="13520"/>
        <v>3027578</v>
      </c>
      <c r="HT579" s="74">
        <f t="shared" si="13520"/>
        <v>0</v>
      </c>
      <c r="HU579" s="792">
        <f t="shared" si="13520"/>
        <v>2929578</v>
      </c>
      <c r="HV579" s="74">
        <f t="shared" ref="HV579:HW579" si="13521">SUM(HV581,HV585,HV590,HV592,HV598,)+HV600</f>
        <v>0</v>
      </c>
      <c r="HW579" s="792">
        <f t="shared" si="13521"/>
        <v>2474915</v>
      </c>
      <c r="HX579" s="74">
        <f t="shared" ref="HX579:HY579" si="13522">SUM(HX581,HX585,HX590,HX592,HX598,)+HX600</f>
        <v>0</v>
      </c>
      <c r="HY579" s="792">
        <f t="shared" si="13522"/>
        <v>3519074</v>
      </c>
      <c r="HZ579" s="74">
        <f t="shared" ref="HZ579:IA579" si="13523">SUM(HZ581,HZ585,HZ590,HZ592,HZ598,)+HZ600</f>
        <v>0</v>
      </c>
      <c r="IA579" s="792">
        <f t="shared" si="13523"/>
        <v>2926152</v>
      </c>
      <c r="IB579" s="74">
        <f t="shared" ref="IB579:IC579" si="13524">SUM(IB581,IB585,IB590,IB592,IB598,)+IB600</f>
        <v>0</v>
      </c>
      <c r="IC579" s="792">
        <f t="shared" si="13524"/>
        <v>0</v>
      </c>
      <c r="ID579" s="74">
        <f t="shared" ref="ID579:JC579" si="13525">SUM(ID581,ID585,ID590,ID592,ID598,)+ID600</f>
        <v>0</v>
      </c>
      <c r="IE579" s="792">
        <f t="shared" si="13525"/>
        <v>0</v>
      </c>
      <c r="IF579" s="841">
        <f t="shared" si="13525"/>
        <v>27249642.579999998</v>
      </c>
      <c r="IG579" s="263">
        <f t="shared" si="13525"/>
        <v>27249642.579999998</v>
      </c>
      <c r="IH579" s="842">
        <f t="shared" si="13525"/>
        <v>27249642.579999998</v>
      </c>
      <c r="II579" s="74">
        <f t="shared" si="13525"/>
        <v>2058361.6300000001</v>
      </c>
      <c r="IJ579" s="74">
        <f t="shared" si="13525"/>
        <v>2058361.6300000001</v>
      </c>
      <c r="IK579" s="74">
        <f t="shared" si="13525"/>
        <v>2058361.6300000001</v>
      </c>
      <c r="IL579" s="74">
        <f t="shared" si="13525"/>
        <v>3189624.3900000006</v>
      </c>
      <c r="IM579" s="74">
        <f t="shared" si="13525"/>
        <v>3189624.3900000006</v>
      </c>
      <c r="IN579" s="74">
        <f t="shared" si="13525"/>
        <v>3189624.3900000006</v>
      </c>
      <c r="IO579" s="74">
        <f t="shared" si="13525"/>
        <v>1729250.74</v>
      </c>
      <c r="IP579" s="74">
        <f t="shared" si="13525"/>
        <v>1729250.74</v>
      </c>
      <c r="IQ579" s="74">
        <f t="shared" si="13525"/>
        <v>1729250.74</v>
      </c>
      <c r="IR579" s="74">
        <f t="shared" si="13525"/>
        <v>3532025.3699999996</v>
      </c>
      <c r="IS579" s="74">
        <f t="shared" si="13525"/>
        <v>3532025.3699999996</v>
      </c>
      <c r="IT579" s="74">
        <f t="shared" si="13525"/>
        <v>3532025.3699999996</v>
      </c>
      <c r="IU579" s="74">
        <f t="shared" si="13525"/>
        <v>2647103.7799999993</v>
      </c>
      <c r="IV579" s="74">
        <f t="shared" si="13525"/>
        <v>2647103.7799999993</v>
      </c>
      <c r="IW579" s="74">
        <f t="shared" si="13525"/>
        <v>2647103.7799999993</v>
      </c>
      <c r="IX579" s="74">
        <f t="shared" si="13525"/>
        <v>2903621.58</v>
      </c>
      <c r="IY579" s="74">
        <f t="shared" si="13525"/>
        <v>2903621.58</v>
      </c>
      <c r="IZ579" s="74">
        <f t="shared" si="13525"/>
        <v>2903621.58</v>
      </c>
      <c r="JA579" s="74">
        <f t="shared" si="13525"/>
        <v>2753793.15</v>
      </c>
      <c r="JB579" s="74">
        <f t="shared" si="13525"/>
        <v>2753793.15</v>
      </c>
      <c r="JC579" s="74">
        <f t="shared" si="13525"/>
        <v>2753793.15</v>
      </c>
      <c r="JD579" s="74">
        <f t="shared" ref="JD579:JF579" si="13526">SUM(JD581,JD585,JD590,JD592,JD598,)+JD600</f>
        <v>2851839.59</v>
      </c>
      <c r="JE579" s="74">
        <f t="shared" si="13526"/>
        <v>2851839.59</v>
      </c>
      <c r="JF579" s="74">
        <f t="shared" si="13526"/>
        <v>2851839.59</v>
      </c>
      <c r="JG579" s="74">
        <f t="shared" ref="JG579:JI579" si="13527">SUM(JG581,JG585,JG590,JG592,JG598,)+JG600</f>
        <v>2669444.9800000009</v>
      </c>
      <c r="JH579" s="74">
        <f t="shared" si="13527"/>
        <v>2669444.9800000009</v>
      </c>
      <c r="JI579" s="74">
        <f t="shared" si="13527"/>
        <v>2669444.9800000009</v>
      </c>
      <c r="JJ579" s="74">
        <f t="shared" ref="JJ579:JL579" si="13528">SUM(JJ581,JJ585,JJ590,JJ592,JJ598,)+JJ600</f>
        <v>2914577.3699999982</v>
      </c>
      <c r="JK579" s="74">
        <f t="shared" si="13528"/>
        <v>2914577.3699999982</v>
      </c>
      <c r="JL579" s="74">
        <f t="shared" si="13528"/>
        <v>2914577.3699999982</v>
      </c>
      <c r="JM579" s="74">
        <f t="shared" ref="JM579:JO579" si="13529">SUM(JM581,JM585,JM590,JM592,JM598,)+JM600</f>
        <v>0</v>
      </c>
      <c r="JN579" s="74">
        <f t="shared" si="13529"/>
        <v>0</v>
      </c>
      <c r="JO579" s="74">
        <f t="shared" si="13529"/>
        <v>0</v>
      </c>
      <c r="JP579" s="74">
        <f t="shared" ref="JP579:JT579" si="13530">SUM(JP581,JP585,JP590,JP592,JP598,)+JP600</f>
        <v>0</v>
      </c>
      <c r="JQ579" s="74">
        <f t="shared" si="13530"/>
        <v>0</v>
      </c>
      <c r="JR579" s="74">
        <f t="shared" si="13530"/>
        <v>0</v>
      </c>
      <c r="JS579" s="74">
        <f t="shared" si="13530"/>
        <v>2549251.4200000018</v>
      </c>
      <c r="JT579" s="382">
        <f t="shared" si="13530"/>
        <v>2607653.4200000018</v>
      </c>
      <c r="JU579" s="665"/>
      <c r="JV579" s="524"/>
      <c r="JW579" s="525"/>
      <c r="JX579" s="549">
        <f>SUM(JX581,JX585,JX590,JX592,JX598,)+JX600</f>
        <v>0</v>
      </c>
      <c r="JY579" s="549">
        <f>SUM(JY581,JY585,JY590,JY592,JY598,)+JY600</f>
        <v>29762063</v>
      </c>
      <c r="JZ579" s="549">
        <f t="shared" ref="JZ579:KA579" si="13531">SUM(JZ581,JZ585,JZ590,JZ592,JZ598,)+JZ600</f>
        <v>946235</v>
      </c>
      <c r="KA579" s="549">
        <f t="shared" si="13531"/>
        <v>-909404</v>
      </c>
      <c r="KB579" s="549">
        <f t="shared" si="13163"/>
        <v>29798894</v>
      </c>
      <c r="KC579" s="709">
        <f t="shared" si="13396"/>
        <v>0</v>
      </c>
      <c r="KD579" s="36"/>
      <c r="KE579" s="36"/>
      <c r="KF579" s="36"/>
      <c r="KG579" s="36"/>
      <c r="KH579" s="36"/>
      <c r="KI579" s="36"/>
      <c r="KJ579" s="36"/>
      <c r="KK579" s="36"/>
    </row>
    <row r="580" spans="1:297" s="10" customFormat="1">
      <c r="A580" s="95"/>
      <c r="B580" s="72"/>
      <c r="C580" s="74"/>
      <c r="D580" s="549"/>
      <c r="E580" s="675"/>
      <c r="F580" s="549"/>
      <c r="G580" s="675"/>
      <c r="H580" s="549"/>
      <c r="I580" s="675"/>
      <c r="J580" s="549"/>
      <c r="K580" s="675"/>
      <c r="L580" s="549"/>
      <c r="M580" s="675"/>
      <c r="N580" s="549"/>
      <c r="O580" s="675"/>
      <c r="P580" s="549"/>
      <c r="Q580" s="675"/>
      <c r="R580" s="549"/>
      <c r="S580" s="675"/>
      <c r="T580" s="549"/>
      <c r="U580" s="675"/>
      <c r="V580" s="549"/>
      <c r="W580" s="675"/>
      <c r="X580" s="549"/>
      <c r="Y580" s="675"/>
      <c r="Z580" s="549"/>
      <c r="AA580" s="675"/>
      <c r="AB580" s="549"/>
      <c r="AC580" s="675"/>
      <c r="AD580" s="549"/>
      <c r="AE580" s="675"/>
      <c r="AF580" s="549"/>
      <c r="AG580" s="675"/>
      <c r="AH580" s="549"/>
      <c r="AI580" s="675"/>
      <c r="AJ580" s="549"/>
      <c r="AK580" s="675"/>
      <c r="AL580" s="549"/>
      <c r="AM580" s="675"/>
      <c r="AN580" s="549"/>
      <c r="AO580" s="675"/>
      <c r="AP580" s="549"/>
      <c r="AQ580" s="675"/>
      <c r="AR580" s="549"/>
      <c r="AS580" s="675"/>
      <c r="AT580" s="549"/>
      <c r="AU580" s="675"/>
      <c r="AV580" s="549"/>
      <c r="AW580" s="675"/>
      <c r="AX580" s="549"/>
      <c r="AY580" s="675"/>
      <c r="AZ580" s="549"/>
      <c r="BA580" s="675"/>
      <c r="BB580" s="549"/>
      <c r="BC580" s="675"/>
      <c r="BD580" s="549"/>
      <c r="BE580" s="675"/>
      <c r="BF580" s="549"/>
      <c r="BG580" s="675"/>
      <c r="BH580" s="549"/>
      <c r="BI580" s="675"/>
      <c r="BJ580" s="549"/>
      <c r="BK580" s="675"/>
      <c r="BL580" s="549"/>
      <c r="BM580" s="675"/>
      <c r="BN580" s="549"/>
      <c r="BO580" s="675"/>
      <c r="BP580" s="549"/>
      <c r="BQ580" s="675"/>
      <c r="BR580" s="549"/>
      <c r="BS580" s="675"/>
      <c r="BT580" s="549"/>
      <c r="BU580" s="675"/>
      <c r="BV580" s="549"/>
      <c r="BW580" s="675"/>
      <c r="BX580" s="549"/>
      <c r="BY580" s="675"/>
      <c r="BZ580" s="549"/>
      <c r="CA580" s="675"/>
      <c r="CB580" s="549"/>
      <c r="CC580" s="675"/>
      <c r="CD580" s="549"/>
      <c r="CE580" s="675"/>
      <c r="CF580" s="549"/>
      <c r="CG580" s="675"/>
      <c r="CH580" s="549"/>
      <c r="CI580" s="675"/>
      <c r="CJ580" s="549"/>
      <c r="CK580" s="675"/>
      <c r="CL580" s="549"/>
      <c r="CM580" s="675"/>
      <c r="CN580" s="549"/>
      <c r="CO580" s="675"/>
      <c r="CP580" s="549"/>
      <c r="CQ580" s="675"/>
      <c r="CR580" s="549"/>
      <c r="CS580" s="675"/>
      <c r="CT580" s="549"/>
      <c r="CU580" s="675"/>
      <c r="CV580" s="549"/>
      <c r="CW580" s="675"/>
      <c r="CX580" s="549"/>
      <c r="CY580" s="675"/>
      <c r="CZ580" s="549"/>
      <c r="DA580" s="675"/>
      <c r="DB580" s="549"/>
      <c r="DC580" s="675"/>
      <c r="DD580" s="549"/>
      <c r="DE580" s="675"/>
      <c r="DF580" s="549"/>
      <c r="DG580" s="675"/>
      <c r="DH580" s="549"/>
      <c r="DI580" s="675"/>
      <c r="DJ580" s="549"/>
      <c r="DK580" s="675"/>
      <c r="DL580" s="549"/>
      <c r="DM580" s="675"/>
      <c r="DN580" s="549"/>
      <c r="DO580" s="675"/>
      <c r="DP580" s="549"/>
      <c r="DQ580" s="675"/>
      <c r="DR580" s="549"/>
      <c r="DS580" s="675"/>
      <c r="DT580" s="549"/>
      <c r="DU580" s="675"/>
      <c r="DV580" s="549"/>
      <c r="DW580" s="675"/>
      <c r="DX580" s="549"/>
      <c r="DY580" s="675"/>
      <c r="DZ580" s="549"/>
      <c r="EA580" s="675"/>
      <c r="EB580" s="549"/>
      <c r="EC580" s="675"/>
      <c r="ED580" s="549"/>
      <c r="EE580" s="675"/>
      <c r="EF580" s="549"/>
      <c r="EG580" s="675"/>
      <c r="EH580" s="549"/>
      <c r="EI580" s="675"/>
      <c r="EJ580" s="549"/>
      <c r="EK580" s="675"/>
      <c r="EL580" s="549"/>
      <c r="EM580" s="675"/>
      <c r="EN580" s="549"/>
      <c r="EO580" s="675"/>
      <c r="EP580" s="549"/>
      <c r="EQ580" s="675"/>
      <c r="ER580" s="549"/>
      <c r="ES580" s="675"/>
      <c r="ET580" s="549"/>
      <c r="EU580" s="675"/>
      <c r="EV580" s="549"/>
      <c r="EW580" s="675"/>
      <c r="EX580" s="549"/>
      <c r="EY580" s="675"/>
      <c r="EZ580" s="549"/>
      <c r="FA580" s="675"/>
      <c r="FB580" s="549"/>
      <c r="FC580" s="675"/>
      <c r="FD580" s="549"/>
      <c r="FE580" s="675"/>
      <c r="FF580" s="549"/>
      <c r="FG580" s="675"/>
      <c r="FH580" s="549"/>
      <c r="FI580" s="675"/>
      <c r="FJ580" s="549"/>
      <c r="FK580" s="675"/>
      <c r="FL580" s="549"/>
      <c r="FM580" s="675"/>
      <c r="FN580" s="549"/>
      <c r="FO580" s="675"/>
      <c r="FP580" s="549"/>
      <c r="FQ580" s="675"/>
      <c r="FR580" s="549"/>
      <c r="FS580" s="675"/>
      <c r="FT580" s="549"/>
      <c r="FU580" s="675"/>
      <c r="FV580" s="549"/>
      <c r="FW580" s="675"/>
      <c r="FX580" s="549"/>
      <c r="FY580" s="675"/>
      <c r="FZ580" s="549"/>
      <c r="GA580" s="675"/>
      <c r="GB580" s="549"/>
      <c r="GC580" s="675"/>
      <c r="GD580" s="549"/>
      <c r="GE580" s="675"/>
      <c r="GF580" s="549"/>
      <c r="GG580" s="675"/>
      <c r="GH580" s="549"/>
      <c r="GI580" s="675"/>
      <c r="GJ580" s="549"/>
      <c r="GK580" s="675"/>
      <c r="GL580" s="549"/>
      <c r="GM580" s="675"/>
      <c r="GN580" s="549"/>
      <c r="GO580" s="675"/>
      <c r="GP580" s="549"/>
      <c r="GQ580" s="675"/>
      <c r="GR580" s="74"/>
      <c r="GS580" s="74"/>
      <c r="GT580" s="549"/>
      <c r="GU580" s="74"/>
      <c r="GV580" s="74"/>
      <c r="GW580" s="549"/>
      <c r="GX580" s="549"/>
      <c r="GY580" s="74"/>
      <c r="GZ580" s="74"/>
      <c r="HA580" s="74"/>
      <c r="HB580" s="74"/>
      <c r="HC580" s="74"/>
      <c r="HD580" s="74"/>
      <c r="HE580" s="74"/>
      <c r="HF580" s="74"/>
      <c r="HG580" s="74"/>
      <c r="HH580" s="74"/>
      <c r="HI580" s="792"/>
      <c r="HJ580" s="74"/>
      <c r="HK580" s="792"/>
      <c r="HL580" s="74"/>
      <c r="HM580" s="792"/>
      <c r="HN580" s="74"/>
      <c r="HO580" s="792"/>
      <c r="HP580" s="74"/>
      <c r="HQ580" s="792"/>
      <c r="HR580" s="74"/>
      <c r="HS580" s="792"/>
      <c r="HT580" s="74"/>
      <c r="HU580" s="792"/>
      <c r="HV580" s="74"/>
      <c r="HW580" s="792"/>
      <c r="HX580" s="74"/>
      <c r="HY580" s="792"/>
      <c r="HZ580" s="74"/>
      <c r="IA580" s="792"/>
      <c r="IB580" s="74"/>
      <c r="IC580" s="792"/>
      <c r="ID580" s="74"/>
      <c r="IE580" s="792"/>
      <c r="IF580" s="841"/>
      <c r="IG580" s="263"/>
      <c r="IH580" s="842"/>
      <c r="II580" s="74"/>
      <c r="IJ580" s="74"/>
      <c r="IK580" s="74"/>
      <c r="IL580" s="74"/>
      <c r="IM580" s="74"/>
      <c r="IN580" s="74"/>
      <c r="IO580" s="74"/>
      <c r="IP580" s="74"/>
      <c r="IQ580" s="74"/>
      <c r="IR580" s="74"/>
      <c r="IS580" s="74"/>
      <c r="IT580" s="74"/>
      <c r="IU580" s="74"/>
      <c r="IV580" s="74"/>
      <c r="IW580" s="74"/>
      <c r="IX580" s="74"/>
      <c r="IY580" s="74"/>
      <c r="IZ580" s="74"/>
      <c r="JA580" s="74"/>
      <c r="JB580" s="74"/>
      <c r="JC580" s="74"/>
      <c r="JD580" s="74"/>
      <c r="JE580" s="74"/>
      <c r="JF580" s="74"/>
      <c r="JG580" s="74"/>
      <c r="JH580" s="74"/>
      <c r="JI580" s="74"/>
      <c r="JJ580" s="74"/>
      <c r="JK580" s="74"/>
      <c r="JL580" s="74"/>
      <c r="JM580" s="74"/>
      <c r="JN580" s="74"/>
      <c r="JO580" s="74"/>
      <c r="JP580" s="74"/>
      <c r="JQ580" s="74"/>
      <c r="JR580" s="74"/>
      <c r="JS580" s="74"/>
      <c r="JT580" s="382"/>
      <c r="JU580" s="665"/>
      <c r="JV580" s="524"/>
      <c r="JW580" s="525"/>
      <c r="JX580" s="549"/>
      <c r="JY580" s="549"/>
      <c r="JZ580" s="581">
        <f t="shared" si="13477"/>
        <v>0</v>
      </c>
      <c r="KA580" s="581">
        <f t="shared" si="13478"/>
        <v>0</v>
      </c>
      <c r="KB580" s="549">
        <f t="shared" si="13163"/>
        <v>0</v>
      </c>
      <c r="KC580" s="709">
        <f t="shared" si="13396"/>
        <v>0</v>
      </c>
      <c r="KD580" s="36"/>
      <c r="KE580" s="36"/>
      <c r="KF580" s="36"/>
      <c r="KG580" s="36"/>
      <c r="KH580" s="36"/>
      <c r="KI580" s="36"/>
      <c r="KJ580" s="36"/>
      <c r="KK580" s="36"/>
    </row>
    <row r="581" spans="1:297" s="8" customFormat="1">
      <c r="A581" s="80" t="s">
        <v>313</v>
      </c>
      <c r="B581" s="79" t="s">
        <v>52</v>
      </c>
      <c r="C581" s="78">
        <f>SUM(C582:C583)</f>
        <v>22423200</v>
      </c>
      <c r="D581" s="564">
        <f t="shared" ref="D581:E581" si="13532">SUM(D582:D583)</f>
        <v>0</v>
      </c>
      <c r="E581" s="677">
        <f t="shared" si="13532"/>
        <v>0</v>
      </c>
      <c r="F581" s="564">
        <f t="shared" ref="F581:G581" si="13533">SUM(F582:F583)</f>
        <v>0</v>
      </c>
      <c r="G581" s="677">
        <f t="shared" si="13533"/>
        <v>0</v>
      </c>
      <c r="H581" s="564">
        <f t="shared" ref="H581:AM581" si="13534">SUM(H582:H583)</f>
        <v>0</v>
      </c>
      <c r="I581" s="677">
        <f t="shared" si="13534"/>
        <v>-30000</v>
      </c>
      <c r="J581" s="564">
        <f t="shared" si="13534"/>
        <v>0</v>
      </c>
      <c r="K581" s="677">
        <f t="shared" si="13534"/>
        <v>0</v>
      </c>
      <c r="L581" s="564">
        <f t="shared" si="13534"/>
        <v>0</v>
      </c>
      <c r="M581" s="677">
        <f t="shared" si="13534"/>
        <v>0</v>
      </c>
      <c r="N581" s="564">
        <f t="shared" si="13534"/>
        <v>0</v>
      </c>
      <c r="O581" s="677">
        <f t="shared" si="13534"/>
        <v>0</v>
      </c>
      <c r="P581" s="564">
        <f t="shared" si="13534"/>
        <v>0</v>
      </c>
      <c r="Q581" s="677">
        <f t="shared" si="13534"/>
        <v>0</v>
      </c>
      <c r="R581" s="564">
        <f t="shared" si="13534"/>
        <v>0</v>
      </c>
      <c r="S581" s="677">
        <f t="shared" si="13534"/>
        <v>-24000</v>
      </c>
      <c r="T581" s="564">
        <f t="shared" si="13534"/>
        <v>0</v>
      </c>
      <c r="U581" s="677">
        <f t="shared" si="13534"/>
        <v>0</v>
      </c>
      <c r="V581" s="564">
        <f t="shared" si="13534"/>
        <v>0</v>
      </c>
      <c r="W581" s="677">
        <f t="shared" si="13534"/>
        <v>0</v>
      </c>
      <c r="X581" s="564">
        <f t="shared" si="13534"/>
        <v>0</v>
      </c>
      <c r="Y581" s="677">
        <f t="shared" si="13534"/>
        <v>0</v>
      </c>
      <c r="Z581" s="564">
        <f t="shared" si="13534"/>
        <v>0</v>
      </c>
      <c r="AA581" s="677">
        <f t="shared" si="13534"/>
        <v>0</v>
      </c>
      <c r="AB581" s="564">
        <f t="shared" si="13534"/>
        <v>0</v>
      </c>
      <c r="AC581" s="677">
        <f t="shared" si="13534"/>
        <v>0</v>
      </c>
      <c r="AD581" s="564">
        <f t="shared" ref="AD581:AK581" si="13535">SUM(AD582:AD583)</f>
        <v>0</v>
      </c>
      <c r="AE581" s="677">
        <f t="shared" si="13535"/>
        <v>0</v>
      </c>
      <c r="AF581" s="564">
        <f t="shared" si="13535"/>
        <v>0</v>
      </c>
      <c r="AG581" s="677">
        <f t="shared" si="13535"/>
        <v>0</v>
      </c>
      <c r="AH581" s="564">
        <f t="shared" si="13535"/>
        <v>0</v>
      </c>
      <c r="AI581" s="677">
        <f t="shared" si="13535"/>
        <v>0</v>
      </c>
      <c r="AJ581" s="564">
        <f t="shared" si="13535"/>
        <v>0</v>
      </c>
      <c r="AK581" s="677">
        <f t="shared" si="13535"/>
        <v>-129740</v>
      </c>
      <c r="AL581" s="564">
        <f t="shared" si="13534"/>
        <v>0</v>
      </c>
      <c r="AM581" s="677">
        <f t="shared" si="13534"/>
        <v>-5400</v>
      </c>
      <c r="AN581" s="564">
        <f t="shared" ref="AN581:AS581" si="13536">SUM(AN582:AN583)</f>
        <v>0</v>
      </c>
      <c r="AO581" s="677">
        <f t="shared" si="13536"/>
        <v>0</v>
      </c>
      <c r="AP581" s="564">
        <f t="shared" si="13536"/>
        <v>0</v>
      </c>
      <c r="AQ581" s="677">
        <f t="shared" si="13536"/>
        <v>0</v>
      </c>
      <c r="AR581" s="564">
        <f t="shared" si="13536"/>
        <v>0</v>
      </c>
      <c r="AS581" s="677">
        <f t="shared" si="13536"/>
        <v>0</v>
      </c>
      <c r="AT581" s="564">
        <f t="shared" ref="AT581:AU581" si="13537">SUM(AT582:AT583)</f>
        <v>0</v>
      </c>
      <c r="AU581" s="677">
        <f t="shared" si="13537"/>
        <v>-121680</v>
      </c>
      <c r="AV581" s="564">
        <f t="shared" ref="AV581:AW581" si="13538">SUM(AV582:AV583)</f>
        <v>0</v>
      </c>
      <c r="AW581" s="677">
        <f t="shared" si="13538"/>
        <v>0</v>
      </c>
      <c r="AX581" s="564">
        <f t="shared" ref="AX581:AY581" si="13539">SUM(AX582:AX583)</f>
        <v>0</v>
      </c>
      <c r="AY581" s="677">
        <f t="shared" si="13539"/>
        <v>0</v>
      </c>
      <c r="AZ581" s="564">
        <f t="shared" ref="AZ581:BA581" si="13540">SUM(AZ582:AZ583)</f>
        <v>0</v>
      </c>
      <c r="BA581" s="677">
        <f t="shared" si="13540"/>
        <v>0</v>
      </c>
      <c r="BB581" s="564">
        <f t="shared" ref="BB581:BC581" si="13541">SUM(BB582:BB583)</f>
        <v>0</v>
      </c>
      <c r="BC581" s="677">
        <f t="shared" si="13541"/>
        <v>0</v>
      </c>
      <c r="BD581" s="564">
        <f t="shared" ref="BD581:BE581" si="13542">SUM(BD582:BD583)</f>
        <v>0</v>
      </c>
      <c r="BE581" s="677">
        <f t="shared" si="13542"/>
        <v>0</v>
      </c>
      <c r="BF581" s="564">
        <f t="shared" ref="BF581:BG581" si="13543">SUM(BF582:BF583)</f>
        <v>0</v>
      </c>
      <c r="BG581" s="677">
        <f t="shared" si="13543"/>
        <v>0</v>
      </c>
      <c r="BH581" s="564">
        <f t="shared" ref="BH581:BI581" si="13544">SUM(BH582:BH583)</f>
        <v>0</v>
      </c>
      <c r="BI581" s="677">
        <f t="shared" si="13544"/>
        <v>0</v>
      </c>
      <c r="BJ581" s="564">
        <f t="shared" ref="BJ581:BK581" si="13545">SUM(BJ582:BJ583)</f>
        <v>0</v>
      </c>
      <c r="BK581" s="677">
        <f t="shared" si="13545"/>
        <v>0</v>
      </c>
      <c r="BL581" s="564">
        <f t="shared" ref="BL581:BS581" si="13546">SUM(BL582:BL583)</f>
        <v>0</v>
      </c>
      <c r="BM581" s="677">
        <f t="shared" si="13546"/>
        <v>0</v>
      </c>
      <c r="BN581" s="564">
        <f t="shared" si="13546"/>
        <v>0</v>
      </c>
      <c r="BO581" s="677">
        <f t="shared" si="13546"/>
        <v>0</v>
      </c>
      <c r="BP581" s="564">
        <f t="shared" si="13546"/>
        <v>0</v>
      </c>
      <c r="BQ581" s="677">
        <f t="shared" si="13546"/>
        <v>0</v>
      </c>
      <c r="BR581" s="564">
        <f t="shared" si="13546"/>
        <v>0</v>
      </c>
      <c r="BS581" s="677">
        <f t="shared" si="13546"/>
        <v>0</v>
      </c>
      <c r="BT581" s="564">
        <f t="shared" ref="BT581:BU581" si="13547">SUM(BT582:BT583)</f>
        <v>0</v>
      </c>
      <c r="BU581" s="677">
        <f t="shared" si="13547"/>
        <v>0</v>
      </c>
      <c r="BV581" s="564">
        <f t="shared" ref="BV581:BW581" si="13548">SUM(BV582:BV583)</f>
        <v>0</v>
      </c>
      <c r="BW581" s="677">
        <f t="shared" si="13548"/>
        <v>0</v>
      </c>
      <c r="BX581" s="564">
        <f t="shared" ref="BX581:BY581" si="13549">SUM(BX582:BX583)</f>
        <v>0</v>
      </c>
      <c r="BY581" s="677">
        <f t="shared" si="13549"/>
        <v>0</v>
      </c>
      <c r="BZ581" s="564">
        <f t="shared" ref="BZ581:CA581" si="13550">SUM(BZ582:BZ583)</f>
        <v>0</v>
      </c>
      <c r="CA581" s="677">
        <f t="shared" si="13550"/>
        <v>0</v>
      </c>
      <c r="CB581" s="564">
        <f t="shared" ref="CB581:CE581" si="13551">SUM(CB582:CB583)</f>
        <v>0</v>
      </c>
      <c r="CC581" s="677">
        <f t="shared" si="13551"/>
        <v>0</v>
      </c>
      <c r="CD581" s="564">
        <f t="shared" si="13551"/>
        <v>0</v>
      </c>
      <c r="CE581" s="677">
        <f t="shared" si="13551"/>
        <v>-4800</v>
      </c>
      <c r="CF581" s="564">
        <f t="shared" ref="CF581:CQ581" si="13552">SUM(CF582:CF583)</f>
        <v>0</v>
      </c>
      <c r="CG581" s="677">
        <f t="shared" si="13552"/>
        <v>0</v>
      </c>
      <c r="CH581" s="564">
        <f t="shared" si="13552"/>
        <v>0</v>
      </c>
      <c r="CI581" s="677">
        <f t="shared" si="13552"/>
        <v>0</v>
      </c>
      <c r="CJ581" s="564">
        <f t="shared" si="13552"/>
        <v>0</v>
      </c>
      <c r="CK581" s="677">
        <f t="shared" si="13552"/>
        <v>0</v>
      </c>
      <c r="CL581" s="564">
        <f t="shared" si="13552"/>
        <v>0</v>
      </c>
      <c r="CM581" s="677">
        <f t="shared" si="13552"/>
        <v>0</v>
      </c>
      <c r="CN581" s="564">
        <f t="shared" si="13552"/>
        <v>0</v>
      </c>
      <c r="CO581" s="677">
        <f t="shared" si="13552"/>
        <v>-7566</v>
      </c>
      <c r="CP581" s="564">
        <f t="shared" si="13552"/>
        <v>0</v>
      </c>
      <c r="CQ581" s="677">
        <f t="shared" si="13552"/>
        <v>0</v>
      </c>
      <c r="CR581" s="564">
        <f t="shared" ref="CR581:CY581" si="13553">SUM(CR582:CR583)</f>
        <v>0</v>
      </c>
      <c r="CS581" s="677">
        <f t="shared" si="13553"/>
        <v>0</v>
      </c>
      <c r="CT581" s="564">
        <f t="shared" si="13553"/>
        <v>0</v>
      </c>
      <c r="CU581" s="677">
        <f t="shared" si="13553"/>
        <v>0</v>
      </c>
      <c r="CV581" s="564">
        <f t="shared" si="13553"/>
        <v>0</v>
      </c>
      <c r="CW581" s="677">
        <f t="shared" si="13553"/>
        <v>0</v>
      </c>
      <c r="CX581" s="564">
        <f t="shared" si="13553"/>
        <v>0</v>
      </c>
      <c r="CY581" s="677">
        <f t="shared" si="13553"/>
        <v>0</v>
      </c>
      <c r="CZ581" s="564">
        <f t="shared" ref="CZ581:DG581" si="13554">SUM(CZ582:CZ583)</f>
        <v>0</v>
      </c>
      <c r="DA581" s="677">
        <f t="shared" si="13554"/>
        <v>0</v>
      </c>
      <c r="DB581" s="564">
        <f t="shared" si="13554"/>
        <v>0</v>
      </c>
      <c r="DC581" s="677">
        <f t="shared" si="13554"/>
        <v>0</v>
      </c>
      <c r="DD581" s="564">
        <f t="shared" si="13554"/>
        <v>0</v>
      </c>
      <c r="DE581" s="677">
        <f t="shared" si="13554"/>
        <v>0</v>
      </c>
      <c r="DF581" s="564">
        <f t="shared" si="13554"/>
        <v>0</v>
      </c>
      <c r="DG581" s="677">
        <f t="shared" si="13554"/>
        <v>0</v>
      </c>
      <c r="DH581" s="564">
        <f t="shared" ref="DH581:DY581" si="13555">SUM(DH582:DH583)</f>
        <v>0</v>
      </c>
      <c r="DI581" s="677">
        <f t="shared" si="13555"/>
        <v>0</v>
      </c>
      <c r="DJ581" s="564">
        <f t="shared" si="13555"/>
        <v>0</v>
      </c>
      <c r="DK581" s="677">
        <f t="shared" si="13555"/>
        <v>0</v>
      </c>
      <c r="DL581" s="564">
        <f t="shared" si="13555"/>
        <v>0</v>
      </c>
      <c r="DM581" s="677">
        <f t="shared" si="13555"/>
        <v>0</v>
      </c>
      <c r="DN581" s="564">
        <f t="shared" si="13555"/>
        <v>0</v>
      </c>
      <c r="DO581" s="677">
        <f t="shared" si="13555"/>
        <v>0</v>
      </c>
      <c r="DP581" s="564">
        <f t="shared" si="13555"/>
        <v>0</v>
      </c>
      <c r="DQ581" s="677">
        <f t="shared" si="13555"/>
        <v>0</v>
      </c>
      <c r="DR581" s="564">
        <f t="shared" si="13555"/>
        <v>0</v>
      </c>
      <c r="DS581" s="677">
        <f t="shared" si="13555"/>
        <v>0</v>
      </c>
      <c r="DT581" s="564">
        <f t="shared" si="13555"/>
        <v>0</v>
      </c>
      <c r="DU581" s="677">
        <f t="shared" si="13555"/>
        <v>0</v>
      </c>
      <c r="DV581" s="564">
        <f t="shared" si="13555"/>
        <v>0</v>
      </c>
      <c r="DW581" s="677">
        <f t="shared" si="13555"/>
        <v>0</v>
      </c>
      <c r="DX581" s="564">
        <f t="shared" si="13555"/>
        <v>0</v>
      </c>
      <c r="DY581" s="677">
        <f t="shared" si="13555"/>
        <v>0</v>
      </c>
      <c r="DZ581" s="564">
        <f t="shared" ref="DZ581:FA581" si="13556">SUM(DZ582:DZ583)</f>
        <v>0</v>
      </c>
      <c r="EA581" s="677">
        <f t="shared" si="13556"/>
        <v>0</v>
      </c>
      <c r="EB581" s="564">
        <f t="shared" si="13556"/>
        <v>0</v>
      </c>
      <c r="EC581" s="677">
        <f t="shared" si="13556"/>
        <v>0</v>
      </c>
      <c r="ED581" s="564">
        <f t="shared" si="13556"/>
        <v>0</v>
      </c>
      <c r="EE581" s="677">
        <f t="shared" si="13556"/>
        <v>0</v>
      </c>
      <c r="EF581" s="564">
        <f t="shared" si="13556"/>
        <v>0</v>
      </c>
      <c r="EG581" s="677">
        <f t="shared" si="13556"/>
        <v>0</v>
      </c>
      <c r="EH581" s="564">
        <f t="shared" ref="EH581:EM581" si="13557">SUM(EH582:EH583)</f>
        <v>0</v>
      </c>
      <c r="EI581" s="677">
        <f t="shared" si="13557"/>
        <v>-290000</v>
      </c>
      <c r="EJ581" s="564">
        <f t="shared" si="13557"/>
        <v>0</v>
      </c>
      <c r="EK581" s="677">
        <f t="shared" si="13557"/>
        <v>0</v>
      </c>
      <c r="EL581" s="564">
        <f t="shared" si="13557"/>
        <v>0</v>
      </c>
      <c r="EM581" s="677">
        <f t="shared" si="13557"/>
        <v>0</v>
      </c>
      <c r="EN581" s="564">
        <f t="shared" si="13556"/>
        <v>0</v>
      </c>
      <c r="EO581" s="677">
        <f t="shared" si="13556"/>
        <v>0</v>
      </c>
      <c r="EP581" s="564">
        <f t="shared" si="13556"/>
        <v>0</v>
      </c>
      <c r="EQ581" s="677">
        <f t="shared" si="13556"/>
        <v>-72626</v>
      </c>
      <c r="ER581" s="564">
        <f t="shared" si="13556"/>
        <v>0</v>
      </c>
      <c r="ES581" s="677">
        <f t="shared" si="13556"/>
        <v>0</v>
      </c>
      <c r="ET581" s="564">
        <f t="shared" si="13556"/>
        <v>0</v>
      </c>
      <c r="EU581" s="677">
        <f t="shared" si="13556"/>
        <v>0</v>
      </c>
      <c r="EV581" s="564">
        <f t="shared" ref="EV581:EW581" si="13558">SUM(EV582:EV583)</f>
        <v>0</v>
      </c>
      <c r="EW581" s="677">
        <f t="shared" si="13558"/>
        <v>0</v>
      </c>
      <c r="EX581" s="564">
        <f t="shared" si="13556"/>
        <v>0</v>
      </c>
      <c r="EY581" s="677">
        <f t="shared" si="13556"/>
        <v>0</v>
      </c>
      <c r="EZ581" s="564">
        <f t="shared" si="13556"/>
        <v>0</v>
      </c>
      <c r="FA581" s="677">
        <f t="shared" si="13556"/>
        <v>0</v>
      </c>
      <c r="FB581" s="564">
        <f t="shared" ref="FB581:FC581" si="13559">SUM(FB582:FB583)</f>
        <v>0</v>
      </c>
      <c r="FC581" s="677">
        <f t="shared" si="13559"/>
        <v>0</v>
      </c>
      <c r="FD581" s="564">
        <f t="shared" ref="FD581:FE581" si="13560">SUM(FD582:FD583)</f>
        <v>0</v>
      </c>
      <c r="FE581" s="677">
        <f t="shared" si="13560"/>
        <v>0</v>
      </c>
      <c r="FF581" s="564">
        <f t="shared" ref="FF581:FG581" si="13561">SUM(FF582:FF583)</f>
        <v>0</v>
      </c>
      <c r="FG581" s="677">
        <f t="shared" si="13561"/>
        <v>0</v>
      </c>
      <c r="FH581" s="564">
        <f t="shared" ref="FH581:FI581" si="13562">SUM(FH582:FH583)</f>
        <v>0</v>
      </c>
      <c r="FI581" s="677">
        <f t="shared" si="13562"/>
        <v>0</v>
      </c>
      <c r="FJ581" s="564">
        <f t="shared" ref="FJ581:FK581" si="13563">SUM(FJ582:FJ583)</f>
        <v>0</v>
      </c>
      <c r="FK581" s="677">
        <f t="shared" si="13563"/>
        <v>0</v>
      </c>
      <c r="FL581" s="564">
        <f t="shared" ref="FL581:FM581" si="13564">SUM(FL582:FL583)</f>
        <v>0</v>
      </c>
      <c r="FM581" s="677">
        <f t="shared" si="13564"/>
        <v>0</v>
      </c>
      <c r="FN581" s="564">
        <f t="shared" ref="FN581:FO581" si="13565">SUM(FN582:FN583)</f>
        <v>0</v>
      </c>
      <c r="FO581" s="677">
        <f t="shared" si="13565"/>
        <v>0</v>
      </c>
      <c r="FP581" s="564">
        <f t="shared" ref="FP581:FQ581" si="13566">SUM(FP582:FP583)</f>
        <v>0</v>
      </c>
      <c r="FQ581" s="677">
        <f t="shared" si="13566"/>
        <v>-10000</v>
      </c>
      <c r="FR581" s="564">
        <f t="shared" ref="FR581:FS581" si="13567">SUM(FR582:FR583)</f>
        <v>0</v>
      </c>
      <c r="FS581" s="677">
        <f t="shared" si="13567"/>
        <v>0</v>
      </c>
      <c r="FT581" s="564">
        <f t="shared" ref="FT581:FU581" si="13568">SUM(FT582:FT583)</f>
        <v>0</v>
      </c>
      <c r="FU581" s="677">
        <f t="shared" si="13568"/>
        <v>0</v>
      </c>
      <c r="FV581" s="564">
        <f t="shared" ref="FV581:GK581" si="13569">SUM(FV582:FV583)</f>
        <v>0</v>
      </c>
      <c r="FW581" s="677">
        <f t="shared" si="13569"/>
        <v>0</v>
      </c>
      <c r="FX581" s="564">
        <f t="shared" si="13569"/>
        <v>0</v>
      </c>
      <c r="FY581" s="677">
        <f t="shared" si="13569"/>
        <v>0</v>
      </c>
      <c r="FZ581" s="564">
        <f t="shared" ref="FZ581:GI581" si="13570">SUM(FZ582:FZ583)</f>
        <v>0</v>
      </c>
      <c r="GA581" s="677">
        <f t="shared" si="13570"/>
        <v>0</v>
      </c>
      <c r="GB581" s="564">
        <f t="shared" si="13570"/>
        <v>0</v>
      </c>
      <c r="GC581" s="677">
        <f t="shared" si="13570"/>
        <v>0</v>
      </c>
      <c r="GD581" s="564">
        <f t="shared" si="13570"/>
        <v>0</v>
      </c>
      <c r="GE581" s="677">
        <f t="shared" si="13570"/>
        <v>0</v>
      </c>
      <c r="GF581" s="564">
        <f t="shared" si="13570"/>
        <v>0</v>
      </c>
      <c r="GG581" s="677">
        <f t="shared" si="13570"/>
        <v>0</v>
      </c>
      <c r="GH581" s="564">
        <f t="shared" si="13570"/>
        <v>0</v>
      </c>
      <c r="GI581" s="677">
        <f t="shared" si="13570"/>
        <v>0</v>
      </c>
      <c r="GJ581" s="564">
        <f t="shared" si="13569"/>
        <v>0</v>
      </c>
      <c r="GK581" s="677">
        <f t="shared" si="13569"/>
        <v>0</v>
      </c>
      <c r="GL581" s="564">
        <f t="shared" ref="GL581:GP581" si="13571">SUM(GL582:GL583)</f>
        <v>0</v>
      </c>
      <c r="GM581" s="677">
        <f t="shared" si="13571"/>
        <v>0</v>
      </c>
      <c r="GN581" s="564">
        <f t="shared" ref="GN581:GO581" si="13572">SUM(GN582:GN583)</f>
        <v>0</v>
      </c>
      <c r="GO581" s="677">
        <f t="shared" si="13572"/>
        <v>0</v>
      </c>
      <c r="GP581" s="564">
        <f t="shared" si="13571"/>
        <v>0</v>
      </c>
      <c r="GQ581" s="677">
        <f t="shared" ref="GQ581:HU581" si="13573">SUM(GQ582:GQ583)</f>
        <v>-695812</v>
      </c>
      <c r="GR581" s="78">
        <f t="shared" si="13573"/>
        <v>21727388</v>
      </c>
      <c r="GS581" s="78">
        <f t="shared" si="13573"/>
        <v>19724667</v>
      </c>
      <c r="GT581" s="564">
        <f>SUM(GT582:GT583)</f>
        <v>21727388</v>
      </c>
      <c r="GU581" s="78">
        <f t="shared" si="13573"/>
        <v>2216674</v>
      </c>
      <c r="GV581" s="78">
        <f t="shared" si="13573"/>
        <v>2102310</v>
      </c>
      <c r="GW581" s="564">
        <f t="shared" si="13573"/>
        <v>2051630</v>
      </c>
      <c r="GX581" s="564">
        <f t="shared" si="13573"/>
        <v>2006573</v>
      </c>
      <c r="GY581" s="78">
        <f t="shared" si="13573"/>
        <v>2006573</v>
      </c>
      <c r="GZ581" s="78">
        <f t="shared" si="13573"/>
        <v>2006574</v>
      </c>
      <c r="HA581" s="78">
        <f t="shared" si="13573"/>
        <v>2006574</v>
      </c>
      <c r="HB581" s="78">
        <f t="shared" si="13573"/>
        <v>2018127</v>
      </c>
      <c r="HC581" s="78">
        <f t="shared" si="13573"/>
        <v>2002722</v>
      </c>
      <c r="HD581" s="78">
        <f t="shared" si="13573"/>
        <v>2002722</v>
      </c>
      <c r="HE581" s="78">
        <f t="shared" si="13573"/>
        <v>2002721</v>
      </c>
      <c r="HF581" s="78">
        <f t="shared" si="13573"/>
        <v>0</v>
      </c>
      <c r="HG581" s="78">
        <f>SUM(HG582:HG583)</f>
        <v>19666265</v>
      </c>
      <c r="HH581" s="78">
        <f t="shared" ref="HH581:HI581" si="13574">SUM(HH582:HH583)</f>
        <v>0</v>
      </c>
      <c r="HI581" s="811">
        <f t="shared" si="13574"/>
        <v>0</v>
      </c>
      <c r="HJ581" s="78">
        <f t="shared" si="13573"/>
        <v>0</v>
      </c>
      <c r="HK581" s="811">
        <f t="shared" si="13573"/>
        <v>4001391</v>
      </c>
      <c r="HL581" s="78">
        <f t="shared" si="13573"/>
        <v>0</v>
      </c>
      <c r="HM581" s="811">
        <f t="shared" si="13573"/>
        <v>2034722</v>
      </c>
      <c r="HN581" s="78">
        <f t="shared" si="13573"/>
        <v>0</v>
      </c>
      <c r="HO581" s="811">
        <f t="shared" si="13573"/>
        <v>2045388</v>
      </c>
      <c r="HP581" s="78">
        <f t="shared" si="13573"/>
        <v>0</v>
      </c>
      <c r="HQ581" s="811">
        <f t="shared" si="13573"/>
        <v>2050814</v>
      </c>
      <c r="HR581" s="78">
        <f t="shared" si="13573"/>
        <v>0</v>
      </c>
      <c r="HS581" s="811">
        <f t="shared" si="13573"/>
        <v>2046814</v>
      </c>
      <c r="HT581" s="78">
        <f t="shared" si="13573"/>
        <v>0</v>
      </c>
      <c r="HU581" s="811">
        <f t="shared" si="13573"/>
        <v>2048814</v>
      </c>
      <c r="HV581" s="78">
        <f t="shared" ref="HV581:HW581" si="13575">SUM(HV582:HV583)</f>
        <v>0</v>
      </c>
      <c r="HW581" s="811">
        <f t="shared" si="13575"/>
        <v>1455443</v>
      </c>
      <c r="HX581" s="78">
        <f t="shared" ref="HX581:HY581" si="13576">SUM(HX582:HX583)</f>
        <v>0</v>
      </c>
      <c r="HY581" s="811">
        <f t="shared" si="13576"/>
        <v>2639602</v>
      </c>
      <c r="HZ581" s="78">
        <f t="shared" ref="HZ581:IA581" si="13577">SUM(HZ582:HZ583)</f>
        <v>0</v>
      </c>
      <c r="IA581" s="811">
        <f t="shared" si="13577"/>
        <v>2039089</v>
      </c>
      <c r="IB581" s="78">
        <f t="shared" ref="IB581:IC581" si="13578">SUM(IB582:IB583)</f>
        <v>0</v>
      </c>
      <c r="IC581" s="811">
        <f t="shared" si="13578"/>
        <v>0</v>
      </c>
      <c r="ID581" s="78">
        <f t="shared" ref="ID581:JC581" si="13579">SUM(ID582:ID583)</f>
        <v>0</v>
      </c>
      <c r="IE581" s="811">
        <f t="shared" si="13579"/>
        <v>0</v>
      </c>
      <c r="IF581" s="851">
        <f t="shared" si="13579"/>
        <v>17804811.489999998</v>
      </c>
      <c r="IG581" s="280">
        <f t="shared" si="13579"/>
        <v>17804811.489999998</v>
      </c>
      <c r="IH581" s="852">
        <f t="shared" si="13579"/>
        <v>17804811.489999998</v>
      </c>
      <c r="II581" s="78">
        <f t="shared" si="13579"/>
        <v>1705886.95</v>
      </c>
      <c r="IJ581" s="78">
        <f t="shared" si="13579"/>
        <v>1705886.95</v>
      </c>
      <c r="IK581" s="78">
        <f t="shared" si="13579"/>
        <v>1705886.95</v>
      </c>
      <c r="IL581" s="78">
        <f t="shared" si="13579"/>
        <v>1776290.5400000003</v>
      </c>
      <c r="IM581" s="78">
        <f t="shared" si="13579"/>
        <v>1776290.5400000003</v>
      </c>
      <c r="IN581" s="78">
        <f t="shared" si="13579"/>
        <v>1776290.5400000003</v>
      </c>
      <c r="IO581" s="78">
        <f t="shared" si="13579"/>
        <v>1044816.46</v>
      </c>
      <c r="IP581" s="78">
        <f t="shared" si="13579"/>
        <v>1044816.46</v>
      </c>
      <c r="IQ581" s="78">
        <f t="shared" si="13579"/>
        <v>1044816.46</v>
      </c>
      <c r="IR581" s="78">
        <f t="shared" si="13579"/>
        <v>2369949.6799999997</v>
      </c>
      <c r="IS581" s="78">
        <f t="shared" si="13579"/>
        <v>2369949.6799999997</v>
      </c>
      <c r="IT581" s="78">
        <f t="shared" si="13579"/>
        <v>2369949.6799999997</v>
      </c>
      <c r="IU581" s="78">
        <f t="shared" si="13579"/>
        <v>1663678.2299999995</v>
      </c>
      <c r="IV581" s="78">
        <f t="shared" si="13579"/>
        <v>1663678.2299999995</v>
      </c>
      <c r="IW581" s="78">
        <f t="shared" si="13579"/>
        <v>1663678.2299999995</v>
      </c>
      <c r="IX581" s="78">
        <f t="shared" si="13579"/>
        <v>1952869.1400000006</v>
      </c>
      <c r="IY581" s="78">
        <f t="shared" si="13579"/>
        <v>1952869.1400000006</v>
      </c>
      <c r="IZ581" s="78">
        <f t="shared" si="13579"/>
        <v>1952869.1400000006</v>
      </c>
      <c r="JA581" s="78">
        <f t="shared" si="13579"/>
        <v>1841685.2699999996</v>
      </c>
      <c r="JB581" s="78">
        <f t="shared" si="13579"/>
        <v>1841685.2699999996</v>
      </c>
      <c r="JC581" s="78">
        <f t="shared" si="13579"/>
        <v>1841685.2699999996</v>
      </c>
      <c r="JD581" s="78">
        <f t="shared" ref="JD581:JF581" si="13580">SUM(JD582:JD583)</f>
        <v>1832225.4299999997</v>
      </c>
      <c r="JE581" s="78">
        <f t="shared" si="13580"/>
        <v>1832225.4299999997</v>
      </c>
      <c r="JF581" s="78">
        <f t="shared" si="13580"/>
        <v>1832225.4299999997</v>
      </c>
      <c r="JG581" s="78">
        <f t="shared" ref="JG581:JI581" si="13581">SUM(JG582:JG583)</f>
        <v>1623119.4400000013</v>
      </c>
      <c r="JH581" s="78">
        <f t="shared" si="13581"/>
        <v>1623119.4400000013</v>
      </c>
      <c r="JI581" s="78">
        <f t="shared" si="13581"/>
        <v>1623119.4400000013</v>
      </c>
      <c r="JJ581" s="78">
        <f t="shared" ref="JJ581:JL581" si="13582">SUM(JJ582:JJ583)</f>
        <v>1994290.3499999978</v>
      </c>
      <c r="JK581" s="78">
        <f t="shared" si="13582"/>
        <v>1994290.3499999978</v>
      </c>
      <c r="JL581" s="78">
        <f t="shared" si="13582"/>
        <v>1994290.3499999978</v>
      </c>
      <c r="JM581" s="78">
        <f t="shared" ref="JM581:JO581" si="13583">SUM(JM582:JM583)</f>
        <v>0</v>
      </c>
      <c r="JN581" s="78">
        <f t="shared" si="13583"/>
        <v>0</v>
      </c>
      <c r="JO581" s="78">
        <f t="shared" si="13583"/>
        <v>0</v>
      </c>
      <c r="JP581" s="78">
        <f t="shared" ref="JP581:JT581" si="13584">SUM(JP582:JP583)</f>
        <v>0</v>
      </c>
      <c r="JQ581" s="78">
        <f t="shared" si="13584"/>
        <v>0</v>
      </c>
      <c r="JR581" s="78">
        <f t="shared" si="13584"/>
        <v>0</v>
      </c>
      <c r="JS581" s="78">
        <f t="shared" si="13584"/>
        <v>1861453.5100000016</v>
      </c>
      <c r="JT581" s="658">
        <f t="shared" si="13584"/>
        <v>1919855.5100000016</v>
      </c>
      <c r="JU581" s="665"/>
      <c r="JV581" s="524"/>
      <c r="JW581" s="525"/>
      <c r="JX581" s="564">
        <f>SUM(JX582:JX583)</f>
        <v>0</v>
      </c>
      <c r="JY581" s="564">
        <f>SUM(JY582:JY583)</f>
        <v>20362077</v>
      </c>
      <c r="JZ581" s="581">
        <f t="shared" si="13477"/>
        <v>0</v>
      </c>
      <c r="KA581" s="581">
        <f t="shared" si="13478"/>
        <v>-695812</v>
      </c>
      <c r="KB581" s="564">
        <f t="shared" si="13163"/>
        <v>19666265</v>
      </c>
      <c r="KC581" s="709">
        <f t="shared" si="13396"/>
        <v>0</v>
      </c>
      <c r="KD581" s="36"/>
      <c r="KE581" s="36"/>
      <c r="KF581" s="36"/>
      <c r="KG581" s="36"/>
      <c r="KH581" s="36"/>
      <c r="KI581" s="36"/>
      <c r="KJ581" s="36"/>
      <c r="KK581" s="36"/>
    </row>
    <row r="582" spans="1:297" s="33" customFormat="1">
      <c r="A582" s="86" t="s">
        <v>314</v>
      </c>
      <c r="B582" s="88" t="s">
        <v>54</v>
      </c>
      <c r="C582" s="74">
        <v>22423200</v>
      </c>
      <c r="D582" s="549">
        <v>0</v>
      </c>
      <c r="E582" s="675">
        <v>0</v>
      </c>
      <c r="F582" s="549">
        <v>0</v>
      </c>
      <c r="G582" s="675">
        <v>0</v>
      </c>
      <c r="H582" s="549">
        <v>0</v>
      </c>
      <c r="I582" s="675">
        <v>-30000</v>
      </c>
      <c r="J582" s="549">
        <v>0</v>
      </c>
      <c r="K582" s="675">
        <v>0</v>
      </c>
      <c r="L582" s="549">
        <v>0</v>
      </c>
      <c r="M582" s="675">
        <v>0</v>
      </c>
      <c r="N582" s="549">
        <v>0</v>
      </c>
      <c r="O582" s="675">
        <v>0</v>
      </c>
      <c r="P582" s="549">
        <v>0</v>
      </c>
      <c r="Q582" s="675">
        <v>0</v>
      </c>
      <c r="R582" s="549">
        <v>0</v>
      </c>
      <c r="S582" s="675">
        <v>-24000</v>
      </c>
      <c r="T582" s="549">
        <v>0</v>
      </c>
      <c r="U582" s="675">
        <v>0</v>
      </c>
      <c r="V582" s="549">
        <v>0</v>
      </c>
      <c r="W582" s="675">
        <v>0</v>
      </c>
      <c r="X582" s="549">
        <v>0</v>
      </c>
      <c r="Y582" s="675">
        <v>0</v>
      </c>
      <c r="Z582" s="549">
        <v>0</v>
      </c>
      <c r="AA582" s="675">
        <v>0</v>
      </c>
      <c r="AB582" s="549">
        <v>0</v>
      </c>
      <c r="AC582" s="675">
        <v>0</v>
      </c>
      <c r="AD582" s="549">
        <v>0</v>
      </c>
      <c r="AE582" s="675">
        <v>0</v>
      </c>
      <c r="AF582" s="549">
        <v>0</v>
      </c>
      <c r="AG582" s="675">
        <v>0</v>
      </c>
      <c r="AH582" s="549">
        <v>0</v>
      </c>
      <c r="AI582" s="675">
        <v>0</v>
      </c>
      <c r="AJ582" s="549">
        <v>0</v>
      </c>
      <c r="AK582" s="675">
        <v>-129740</v>
      </c>
      <c r="AL582" s="549">
        <v>0</v>
      </c>
      <c r="AM582" s="675">
        <v>-5400</v>
      </c>
      <c r="AN582" s="549">
        <v>0</v>
      </c>
      <c r="AO582" s="675">
        <v>0</v>
      </c>
      <c r="AP582" s="549">
        <v>0</v>
      </c>
      <c r="AQ582" s="675">
        <v>0</v>
      </c>
      <c r="AR582" s="549">
        <v>0</v>
      </c>
      <c r="AS582" s="675">
        <v>0</v>
      </c>
      <c r="AT582" s="549">
        <v>0</v>
      </c>
      <c r="AU582" s="675">
        <v>-121680</v>
      </c>
      <c r="AV582" s="549">
        <v>0</v>
      </c>
      <c r="AW582" s="675">
        <v>0</v>
      </c>
      <c r="AX582" s="549">
        <v>0</v>
      </c>
      <c r="AY582" s="675">
        <v>0</v>
      </c>
      <c r="AZ582" s="549">
        <v>0</v>
      </c>
      <c r="BA582" s="675">
        <v>0</v>
      </c>
      <c r="BB582" s="549">
        <v>0</v>
      </c>
      <c r="BC582" s="675">
        <v>0</v>
      </c>
      <c r="BD582" s="549">
        <v>0</v>
      </c>
      <c r="BE582" s="675">
        <v>0</v>
      </c>
      <c r="BF582" s="549">
        <v>0</v>
      </c>
      <c r="BG582" s="675">
        <v>0</v>
      </c>
      <c r="BH582" s="549">
        <v>0</v>
      </c>
      <c r="BI582" s="675">
        <v>0</v>
      </c>
      <c r="BJ582" s="549">
        <v>0</v>
      </c>
      <c r="BK582" s="675">
        <v>0</v>
      </c>
      <c r="BL582" s="549">
        <v>0</v>
      </c>
      <c r="BM582" s="675">
        <v>0</v>
      </c>
      <c r="BN582" s="549">
        <v>0</v>
      </c>
      <c r="BO582" s="675">
        <v>0</v>
      </c>
      <c r="BP582" s="549">
        <v>0</v>
      </c>
      <c r="BQ582" s="675">
        <v>0</v>
      </c>
      <c r="BR582" s="549">
        <v>0</v>
      </c>
      <c r="BS582" s="675">
        <v>0</v>
      </c>
      <c r="BT582" s="549">
        <v>0</v>
      </c>
      <c r="BU582" s="675">
        <v>0</v>
      </c>
      <c r="BV582" s="549">
        <v>0</v>
      </c>
      <c r="BW582" s="675">
        <v>0</v>
      </c>
      <c r="BX582" s="549">
        <v>0</v>
      </c>
      <c r="BY582" s="675">
        <v>0</v>
      </c>
      <c r="BZ582" s="549">
        <v>0</v>
      </c>
      <c r="CA582" s="675">
        <v>0</v>
      </c>
      <c r="CB582" s="549">
        <v>0</v>
      </c>
      <c r="CC582" s="675">
        <v>0</v>
      </c>
      <c r="CD582" s="549">
        <v>0</v>
      </c>
      <c r="CE582" s="675">
        <v>-4800</v>
      </c>
      <c r="CF582" s="549">
        <v>0</v>
      </c>
      <c r="CG582" s="675">
        <v>0</v>
      </c>
      <c r="CH582" s="549">
        <v>0</v>
      </c>
      <c r="CI582" s="675">
        <v>0</v>
      </c>
      <c r="CJ582" s="549">
        <v>0</v>
      </c>
      <c r="CK582" s="675">
        <v>0</v>
      </c>
      <c r="CL582" s="549">
        <v>0</v>
      </c>
      <c r="CM582" s="675">
        <v>0</v>
      </c>
      <c r="CN582" s="549">
        <v>0</v>
      </c>
      <c r="CO582" s="675">
        <v>-7566</v>
      </c>
      <c r="CP582" s="549">
        <v>0</v>
      </c>
      <c r="CQ582" s="675">
        <v>0</v>
      </c>
      <c r="CR582" s="549">
        <v>0</v>
      </c>
      <c r="CS582" s="675">
        <v>0</v>
      </c>
      <c r="CT582" s="549">
        <v>0</v>
      </c>
      <c r="CU582" s="675">
        <v>0</v>
      </c>
      <c r="CV582" s="549">
        <v>0</v>
      </c>
      <c r="CW582" s="675">
        <v>0</v>
      </c>
      <c r="CX582" s="549">
        <v>0</v>
      </c>
      <c r="CY582" s="675">
        <v>0</v>
      </c>
      <c r="CZ582" s="549">
        <v>0</v>
      </c>
      <c r="DA582" s="675">
        <v>0</v>
      </c>
      <c r="DB582" s="549">
        <v>0</v>
      </c>
      <c r="DC582" s="675">
        <v>0</v>
      </c>
      <c r="DD582" s="549">
        <v>0</v>
      </c>
      <c r="DE582" s="675">
        <v>0</v>
      </c>
      <c r="DF582" s="549">
        <v>0</v>
      </c>
      <c r="DG582" s="675">
        <v>0</v>
      </c>
      <c r="DH582" s="549">
        <v>0</v>
      </c>
      <c r="DI582" s="675">
        <v>0</v>
      </c>
      <c r="DJ582" s="549">
        <v>0</v>
      </c>
      <c r="DK582" s="675">
        <v>0</v>
      </c>
      <c r="DL582" s="549">
        <v>0</v>
      </c>
      <c r="DM582" s="675">
        <v>0</v>
      </c>
      <c r="DN582" s="549">
        <v>0</v>
      </c>
      <c r="DO582" s="675">
        <v>0</v>
      </c>
      <c r="DP582" s="549">
        <v>0</v>
      </c>
      <c r="DQ582" s="675">
        <v>0</v>
      </c>
      <c r="DR582" s="549">
        <v>0</v>
      </c>
      <c r="DS582" s="675">
        <v>0</v>
      </c>
      <c r="DT582" s="549">
        <v>0</v>
      </c>
      <c r="DU582" s="675">
        <v>0</v>
      </c>
      <c r="DV582" s="549">
        <v>0</v>
      </c>
      <c r="DW582" s="675">
        <v>0</v>
      </c>
      <c r="DX582" s="549">
        <v>0</v>
      </c>
      <c r="DY582" s="675">
        <v>0</v>
      </c>
      <c r="DZ582" s="549">
        <v>0</v>
      </c>
      <c r="EA582" s="675">
        <v>0</v>
      </c>
      <c r="EB582" s="549">
        <v>0</v>
      </c>
      <c r="EC582" s="675">
        <v>0</v>
      </c>
      <c r="ED582" s="549">
        <v>0</v>
      </c>
      <c r="EE582" s="675">
        <v>0</v>
      </c>
      <c r="EF582" s="549">
        <v>0</v>
      </c>
      <c r="EG582" s="675">
        <v>0</v>
      </c>
      <c r="EH582" s="549">
        <v>0</v>
      </c>
      <c r="EI582" s="675">
        <v>-290000</v>
      </c>
      <c r="EJ582" s="549">
        <v>0</v>
      </c>
      <c r="EK582" s="675">
        <v>0</v>
      </c>
      <c r="EL582" s="549">
        <v>0</v>
      </c>
      <c r="EM582" s="675">
        <v>0</v>
      </c>
      <c r="EN582" s="549">
        <v>0</v>
      </c>
      <c r="EO582" s="675">
        <v>0</v>
      </c>
      <c r="EP582" s="549">
        <v>0</v>
      </c>
      <c r="EQ582" s="675">
        <v>-72626</v>
      </c>
      <c r="ER582" s="549">
        <v>0</v>
      </c>
      <c r="ES582" s="675">
        <v>0</v>
      </c>
      <c r="ET582" s="549">
        <v>0</v>
      </c>
      <c r="EU582" s="675">
        <v>0</v>
      </c>
      <c r="EV582" s="549">
        <v>0</v>
      </c>
      <c r="EW582" s="675">
        <v>0</v>
      </c>
      <c r="EX582" s="549">
        <v>0</v>
      </c>
      <c r="EY582" s="675">
        <v>0</v>
      </c>
      <c r="EZ582" s="549">
        <v>0</v>
      </c>
      <c r="FA582" s="675">
        <v>0</v>
      </c>
      <c r="FB582" s="549">
        <v>0</v>
      </c>
      <c r="FC582" s="675">
        <v>0</v>
      </c>
      <c r="FD582" s="549">
        <v>0</v>
      </c>
      <c r="FE582" s="675">
        <v>0</v>
      </c>
      <c r="FF582" s="549">
        <v>0</v>
      </c>
      <c r="FG582" s="675">
        <v>0</v>
      </c>
      <c r="FH582" s="549">
        <v>0</v>
      </c>
      <c r="FI582" s="675">
        <v>0</v>
      </c>
      <c r="FJ582" s="549">
        <v>0</v>
      </c>
      <c r="FK582" s="675">
        <v>0</v>
      </c>
      <c r="FL582" s="549">
        <v>0</v>
      </c>
      <c r="FM582" s="675">
        <v>0</v>
      </c>
      <c r="FN582" s="549">
        <v>0</v>
      </c>
      <c r="FO582" s="675">
        <v>0</v>
      </c>
      <c r="FP582" s="549">
        <v>0</v>
      </c>
      <c r="FQ582" s="675">
        <v>-10000</v>
      </c>
      <c r="FR582" s="549">
        <v>0</v>
      </c>
      <c r="FS582" s="675">
        <v>0</v>
      </c>
      <c r="FT582" s="549">
        <v>0</v>
      </c>
      <c r="FU582" s="675">
        <v>0</v>
      </c>
      <c r="FV582" s="549">
        <v>0</v>
      </c>
      <c r="FW582" s="675">
        <v>0</v>
      </c>
      <c r="FX582" s="549">
        <v>0</v>
      </c>
      <c r="FY582" s="675">
        <v>0</v>
      </c>
      <c r="FZ582" s="549">
        <v>0</v>
      </c>
      <c r="GA582" s="675">
        <v>0</v>
      </c>
      <c r="GB582" s="549">
        <v>0</v>
      </c>
      <c r="GC582" s="675">
        <v>0</v>
      </c>
      <c r="GD582" s="549">
        <v>0</v>
      </c>
      <c r="GE582" s="675">
        <v>0</v>
      </c>
      <c r="GF582" s="549">
        <v>0</v>
      </c>
      <c r="GG582" s="675">
        <v>0</v>
      </c>
      <c r="GH582" s="549">
        <v>0</v>
      </c>
      <c r="GI582" s="675">
        <v>0</v>
      </c>
      <c r="GJ582" s="549">
        <v>0</v>
      </c>
      <c r="GK582" s="675">
        <v>0</v>
      </c>
      <c r="GL582" s="549">
        <v>0</v>
      </c>
      <c r="GM582" s="675">
        <v>0</v>
      </c>
      <c r="GN582" s="549">
        <v>0</v>
      </c>
      <c r="GO582" s="675">
        <v>0</v>
      </c>
      <c r="GP582" s="549">
        <f>+D582+F582+H582+J582+L582+N582+P582+R582+T582+V582+X582+Z582+AB582+AF582+AD582+AH582+AJ582+AL582+AN582+AP582+AR582+AT582+AV582+AX582+AZ582+BB582+BD582+BF582+BH582+BJ582+BL582+BN582+BP582+BR582+BT582+BV582+BX582+BZ582+CB582+CD582+CF582+CH582+CJ582+CL582+CN582+CP582+CR582+CT582+CV582+CX582+CZ582+DB582+DD582+DF582+DH582+DT582+EX582+DJ582+DL582+DN582+DP582+DR582+EJ582+EB582+DZ582+DX582+DV582+ED582+EF582+EH582+EL582+EN582+EP582+EV582+ET582+ER582+EZ582+FB582+FD582+GL582+FF582+FJ582+FL582+GJ582+FT582+FR582+FP582+FN582+FH582+GH582+GF582+GD582+GB582+FZ582+FX582+FV582+GN582</f>
        <v>0</v>
      </c>
      <c r="GQ582" s="675">
        <f>+E582+G582+I582+K582+M582+O582+Q582+S582+U582+W582+Y582+AA582+AC582+AE582+AG582+AI582+AK582+AM582+AO582+AQ582+AS582+AU582+AW582+AY582+BA582+BC582+BE582+BG582+BI582+BK582+BM582+BO582+BQ582+BS582+BU582+BW582+BY582+CA582+CC582+CE582+CG582+CI582+CK582+CM582+CO582+CQ582+CS582+CU582+CW582+CY582+DA582+DC582+DE582+DG582+DI582+DU582+EY582+DK582+DM582+DO582+DQ582+DS582+EK582+EC582+EA582+DY582+DW582+EI582+EG582+EE582+EM582+EO582+EQ582+EW582+EU582+ES582+FA582+FC582+FE582+GM582+FG582+FK582+FM582+FO582+FQ582+FS582+FU582+GK582+FI582+GI582+GG582+GE582+GC582+GA582+FY582+FW582+GO582</f>
        <v>-695812</v>
      </c>
      <c r="GR582" s="74">
        <f>C582+GP582+GQ582</f>
        <v>21727388</v>
      </c>
      <c r="GS582" s="74">
        <f>SUM(GU582:HD582)+GP582+GQ582</f>
        <v>19724667</v>
      </c>
      <c r="GT582" s="568">
        <f t="shared" ref="GT582:GT583" si="13585">SUM(GU582:HF582)+GQ582+GP582</f>
        <v>21727388</v>
      </c>
      <c r="GU582" s="275">
        <f>2038470+178204</f>
        <v>2216674</v>
      </c>
      <c r="GV582" s="275">
        <f>2038473-17821+12341+69317</f>
        <v>2102310</v>
      </c>
      <c r="GW582" s="275">
        <f>2038473-17821-1371-7702+9243+30808</f>
        <v>2051630</v>
      </c>
      <c r="GX582" s="275">
        <f>2038473-17821-1371-7702-1155-3851</f>
        <v>2006573</v>
      </c>
      <c r="GY582" s="275">
        <f>2038473-17821-1371-7702-1155-3851</f>
        <v>2006573</v>
      </c>
      <c r="GZ582" s="275">
        <f>2038473-17820-1371-7702-1155-3851</f>
        <v>2006574</v>
      </c>
      <c r="HA582" s="275">
        <f>2038473-17820-1371-7702-1155-3851</f>
        <v>2006574</v>
      </c>
      <c r="HB582" s="275">
        <f>2038473-17820-1371-7702-1155-3851+11553</f>
        <v>2018127</v>
      </c>
      <c r="HC582" s="275">
        <f>2038473-17820-1371-7702-1156-3851-3851</f>
        <v>2002722</v>
      </c>
      <c r="HD582" s="275">
        <f>2038473-17820-1371-7702-1156-3851-3851</f>
        <v>2002722</v>
      </c>
      <c r="HE582" s="275">
        <f>2038473-17820-1373-7701-1156-3851-3851</f>
        <v>2002721</v>
      </c>
      <c r="HF582" s="275">
        <v>0</v>
      </c>
      <c r="HG582" s="74">
        <f>SUM(HH582:IE582)+GP582+GQ582</f>
        <v>19666265</v>
      </c>
      <c r="HH582" s="89">
        <v>0</v>
      </c>
      <c r="HI582" s="817">
        <v>0</v>
      </c>
      <c r="HJ582" s="89">
        <v>0</v>
      </c>
      <c r="HK582" s="817">
        <f>3536177.49+782806.51-317593</f>
        <v>4001391</v>
      </c>
      <c r="HL582" s="89">
        <v>0</v>
      </c>
      <c r="HM582" s="817">
        <f>709342.95+1659880.05-334501</f>
        <v>2034722</v>
      </c>
      <c r="HN582" s="89">
        <v>0</v>
      </c>
      <c r="HO582" s="817">
        <f>1049970.63+995227.37+190</f>
        <v>2045388</v>
      </c>
      <c r="HP582" s="89">
        <v>0</v>
      </c>
      <c r="HQ582" s="817">
        <f>789940.86+1512318.14-251445</f>
        <v>2050814</v>
      </c>
      <c r="HR582" s="89">
        <v>0</v>
      </c>
      <c r="HS582" s="817">
        <f>696796+1561223-211205</f>
        <v>2046814</v>
      </c>
      <c r="HT582" s="89">
        <v>0</v>
      </c>
      <c r="HU582" s="817">
        <f>499233.27+1718545.73-168965</f>
        <v>2048814</v>
      </c>
      <c r="HV582" s="89">
        <v>0</v>
      </c>
      <c r="HW582" s="817">
        <f>1904447.3+282644.7-731649</f>
        <v>1455443</v>
      </c>
      <c r="HX582" s="89">
        <v>0</v>
      </c>
      <c r="HY582" s="817">
        <f>740321.14+1994048.86-94768</f>
        <v>2639602</v>
      </c>
      <c r="HZ582" s="89">
        <v>0</v>
      </c>
      <c r="IA582" s="817">
        <f>1919855.51+177635.49-58402</f>
        <v>2039089</v>
      </c>
      <c r="IB582" s="89">
        <v>0</v>
      </c>
      <c r="IC582" s="817">
        <v>0</v>
      </c>
      <c r="ID582" s="89">
        <v>0</v>
      </c>
      <c r="IE582" s="817">
        <v>0</v>
      </c>
      <c r="IF582" s="841">
        <f t="shared" ref="IF582:IF583" si="13586">SUM(II582,IL582,IO582,IR582,IU582,IX582,JA582,JD582,JG582,JJ582,JM582,JP582)</f>
        <v>17804811.489999998</v>
      </c>
      <c r="IG582" s="263">
        <f t="shared" ref="IG582:IG583" si="13587">SUM(IJ582,IM582,IP582,IS582,IV582,IY582,JB582,JE582,JH582,JK582,JN582,JQ582)</f>
        <v>17804811.489999998</v>
      </c>
      <c r="IH582" s="842">
        <f t="shared" ref="IH582:IH583" si="13588">SUM(IK582,IN582,IQ582,IT582,IW582,IZ582,JC582,JF582,JI582,JL582,JO582,JR582)</f>
        <v>17804811.489999998</v>
      </c>
      <c r="II582" s="89">
        <v>1705886.95</v>
      </c>
      <c r="IJ582" s="89">
        <f t="shared" ref="IJ582:IJ583" si="13589">II582</f>
        <v>1705886.95</v>
      </c>
      <c r="IK582" s="89">
        <f t="shared" ref="IK582:IK583" si="13590">IJ582</f>
        <v>1705886.95</v>
      </c>
      <c r="IL582" s="89">
        <f>3482177.49-1705886.95</f>
        <v>1776290.5400000003</v>
      </c>
      <c r="IM582" s="89">
        <f t="shared" ref="IM582:IM583" si="13591">IL582</f>
        <v>1776290.5400000003</v>
      </c>
      <c r="IN582" s="89">
        <f t="shared" ref="IN582:IN583" si="13592">IM582</f>
        <v>1776290.5400000003</v>
      </c>
      <c r="IO582" s="89">
        <f>4526993.95-3482177.49</f>
        <v>1044816.46</v>
      </c>
      <c r="IP582" s="89">
        <f t="shared" ref="IP582:IP583" si="13593">IO582</f>
        <v>1044816.46</v>
      </c>
      <c r="IQ582" s="89">
        <f t="shared" ref="IQ582:IQ583" si="13594">IP582</f>
        <v>1044816.46</v>
      </c>
      <c r="IR582" s="89">
        <f>6896943.63-4526993.95</f>
        <v>2369949.6799999997</v>
      </c>
      <c r="IS582" s="89">
        <f t="shared" ref="IS582:IS583" si="13595">IR582</f>
        <v>2369949.6799999997</v>
      </c>
      <c r="IT582" s="89">
        <f t="shared" ref="IT582:IT583" si="13596">IS582</f>
        <v>2369949.6799999997</v>
      </c>
      <c r="IU582" s="89">
        <f>8560621.86-6896943.63</f>
        <v>1663678.2299999995</v>
      </c>
      <c r="IV582" s="89">
        <f t="shared" ref="IV582:IV583" si="13597">IU582</f>
        <v>1663678.2299999995</v>
      </c>
      <c r="IW582" s="89">
        <f t="shared" ref="IW582:IW583" si="13598">IV582</f>
        <v>1663678.2299999995</v>
      </c>
      <c r="IX582" s="89">
        <f>10513491-8560621.86</f>
        <v>1952869.1400000006</v>
      </c>
      <c r="IY582" s="89">
        <f t="shared" ref="IY582:IY583" si="13599">IX582</f>
        <v>1952869.1400000006</v>
      </c>
      <c r="IZ582" s="89">
        <f t="shared" ref="IZ582:IZ583" si="13600">IY582</f>
        <v>1952869.1400000006</v>
      </c>
      <c r="JA582" s="89">
        <f>12355176.27-10513491</f>
        <v>1841685.2699999996</v>
      </c>
      <c r="JB582" s="89">
        <f t="shared" ref="JB582:JB583" si="13601">JA582</f>
        <v>1841685.2699999996</v>
      </c>
      <c r="JC582" s="89">
        <f t="shared" ref="JC582:JC583" si="13602">JB582</f>
        <v>1841685.2699999996</v>
      </c>
      <c r="JD582" s="89">
        <f>14187401.7-12355176.27</f>
        <v>1832225.4299999997</v>
      </c>
      <c r="JE582" s="89">
        <f t="shared" ref="JE582:JE583" si="13603">JD582</f>
        <v>1832225.4299999997</v>
      </c>
      <c r="JF582" s="89">
        <f t="shared" ref="JF582:JF583" si="13604">JE582</f>
        <v>1832225.4299999997</v>
      </c>
      <c r="JG582" s="89">
        <f>15810521.14-14187401.7</f>
        <v>1623119.4400000013</v>
      </c>
      <c r="JH582" s="89">
        <f t="shared" ref="JH582:JH583" si="13605">JG582</f>
        <v>1623119.4400000013</v>
      </c>
      <c r="JI582" s="89">
        <f t="shared" ref="JI582:JI583" si="13606">JH582</f>
        <v>1623119.4400000013</v>
      </c>
      <c r="JJ582" s="89">
        <f>17804811.49-15810521.14</f>
        <v>1994290.3499999978</v>
      </c>
      <c r="JK582" s="89">
        <f t="shared" ref="JK582:JK583" si="13607">JJ582</f>
        <v>1994290.3499999978</v>
      </c>
      <c r="JL582" s="89">
        <f t="shared" ref="JL582:JL583" si="13608">JK582</f>
        <v>1994290.3499999978</v>
      </c>
      <c r="JM582" s="89">
        <v>0</v>
      </c>
      <c r="JN582" s="89">
        <f t="shared" ref="JN582:JN583" si="13609">JM582</f>
        <v>0</v>
      </c>
      <c r="JO582" s="89">
        <f t="shared" ref="JO582:JO583" si="13610">JN582</f>
        <v>0</v>
      </c>
      <c r="JP582" s="89">
        <v>0</v>
      </c>
      <c r="JQ582" s="89">
        <f t="shared" ref="JQ582:JR582" si="13611">JP582</f>
        <v>0</v>
      </c>
      <c r="JR582" s="89">
        <f t="shared" si="13611"/>
        <v>0</v>
      </c>
      <c r="JS582" s="74">
        <f>HG582-IF582</f>
        <v>1861453.5100000016</v>
      </c>
      <c r="JT582" s="382">
        <f>GS582-IF582</f>
        <v>1919855.5100000016</v>
      </c>
      <c r="JU582" s="665"/>
      <c r="JV582" s="489"/>
      <c r="JW582" s="525"/>
      <c r="JX582" s="549">
        <f>SUM(HH582,HJ582,HL582,HN582,HP582,HR582,HT582,HV582,HX582,HZ582,IB582,ID582)</f>
        <v>0</v>
      </c>
      <c r="JY582" s="549">
        <f>SUM(HI582,HK582,HM582,HO582,HQ582,HS582,HU582,HW582,HY582,IA582,IC582,IE582)</f>
        <v>20362077</v>
      </c>
      <c r="JZ582" s="581">
        <f t="shared" si="13477"/>
        <v>0</v>
      </c>
      <c r="KA582" s="581">
        <f t="shared" si="13478"/>
        <v>-695812</v>
      </c>
      <c r="KB582" s="549">
        <f t="shared" si="13163"/>
        <v>19666265</v>
      </c>
      <c r="KC582" s="709">
        <f t="shared" si="13396"/>
        <v>0</v>
      </c>
      <c r="KD582" s="36"/>
      <c r="KE582" s="36"/>
      <c r="KF582" s="36"/>
      <c r="KG582" s="36"/>
      <c r="KH582" s="36"/>
      <c r="KI582" s="36"/>
      <c r="KJ582" s="36"/>
      <c r="KK582" s="36"/>
    </row>
    <row r="583" spans="1:297" s="33" customFormat="1" ht="12.75" hidden="1" customHeight="1">
      <c r="A583" s="86" t="s">
        <v>1159</v>
      </c>
      <c r="B583" s="77" t="s">
        <v>56</v>
      </c>
      <c r="C583" s="74">
        <v>0</v>
      </c>
      <c r="D583" s="549">
        <v>0</v>
      </c>
      <c r="E583" s="675">
        <v>0</v>
      </c>
      <c r="F583" s="549">
        <v>0</v>
      </c>
      <c r="G583" s="675">
        <v>0</v>
      </c>
      <c r="H583" s="549">
        <v>0</v>
      </c>
      <c r="I583" s="675">
        <v>0</v>
      </c>
      <c r="J583" s="549">
        <v>0</v>
      </c>
      <c r="K583" s="675">
        <v>0</v>
      </c>
      <c r="L583" s="549">
        <v>0</v>
      </c>
      <c r="M583" s="675">
        <v>0</v>
      </c>
      <c r="N583" s="549">
        <v>0</v>
      </c>
      <c r="O583" s="675">
        <v>0</v>
      </c>
      <c r="P583" s="549">
        <v>0</v>
      </c>
      <c r="Q583" s="675">
        <v>0</v>
      </c>
      <c r="R583" s="549">
        <v>0</v>
      </c>
      <c r="S583" s="675">
        <v>0</v>
      </c>
      <c r="T583" s="549">
        <v>0</v>
      </c>
      <c r="U583" s="675">
        <v>0</v>
      </c>
      <c r="V583" s="549">
        <v>0</v>
      </c>
      <c r="W583" s="675">
        <v>0</v>
      </c>
      <c r="X583" s="549">
        <v>0</v>
      </c>
      <c r="Y583" s="675">
        <v>0</v>
      </c>
      <c r="Z583" s="549">
        <v>0</v>
      </c>
      <c r="AA583" s="675">
        <v>0</v>
      </c>
      <c r="AB583" s="549">
        <v>0</v>
      </c>
      <c r="AC583" s="675">
        <v>0</v>
      </c>
      <c r="AD583" s="549">
        <v>0</v>
      </c>
      <c r="AE583" s="675">
        <v>0</v>
      </c>
      <c r="AF583" s="549">
        <v>0</v>
      </c>
      <c r="AG583" s="675">
        <v>0</v>
      </c>
      <c r="AH583" s="549">
        <v>0</v>
      </c>
      <c r="AI583" s="675">
        <v>0</v>
      </c>
      <c r="AJ583" s="549">
        <v>0</v>
      </c>
      <c r="AK583" s="675">
        <v>0</v>
      </c>
      <c r="AL583" s="549">
        <v>0</v>
      </c>
      <c r="AM583" s="675">
        <v>0</v>
      </c>
      <c r="AN583" s="549">
        <v>0</v>
      </c>
      <c r="AO583" s="675">
        <v>0</v>
      </c>
      <c r="AP583" s="549">
        <v>0</v>
      </c>
      <c r="AQ583" s="675">
        <v>0</v>
      </c>
      <c r="AR583" s="549">
        <v>0</v>
      </c>
      <c r="AS583" s="675">
        <v>0</v>
      </c>
      <c r="AT583" s="549">
        <v>0</v>
      </c>
      <c r="AU583" s="675">
        <v>0</v>
      </c>
      <c r="AV583" s="549">
        <v>0</v>
      </c>
      <c r="AW583" s="675">
        <v>0</v>
      </c>
      <c r="AX583" s="549">
        <v>0</v>
      </c>
      <c r="AY583" s="675">
        <v>0</v>
      </c>
      <c r="AZ583" s="549">
        <v>0</v>
      </c>
      <c r="BA583" s="675">
        <v>0</v>
      </c>
      <c r="BB583" s="549">
        <v>0</v>
      </c>
      <c r="BC583" s="675">
        <v>0</v>
      </c>
      <c r="BD583" s="549">
        <v>0</v>
      </c>
      <c r="BE583" s="675">
        <v>0</v>
      </c>
      <c r="BF583" s="549">
        <v>0</v>
      </c>
      <c r="BG583" s="675">
        <v>0</v>
      </c>
      <c r="BH583" s="549">
        <v>0</v>
      </c>
      <c r="BI583" s="675">
        <v>0</v>
      </c>
      <c r="BJ583" s="549">
        <v>0</v>
      </c>
      <c r="BK583" s="675">
        <v>0</v>
      </c>
      <c r="BL583" s="549">
        <v>0</v>
      </c>
      <c r="BM583" s="675">
        <v>0</v>
      </c>
      <c r="BN583" s="549">
        <v>0</v>
      </c>
      <c r="BO583" s="675">
        <v>0</v>
      </c>
      <c r="BP583" s="549">
        <v>0</v>
      </c>
      <c r="BQ583" s="675">
        <v>0</v>
      </c>
      <c r="BR583" s="549">
        <v>0</v>
      </c>
      <c r="BS583" s="675">
        <v>0</v>
      </c>
      <c r="BT583" s="549">
        <v>0</v>
      </c>
      <c r="BU583" s="675">
        <v>0</v>
      </c>
      <c r="BV583" s="549">
        <v>0</v>
      </c>
      <c r="BW583" s="675">
        <v>0</v>
      </c>
      <c r="BX583" s="549">
        <v>0</v>
      </c>
      <c r="BY583" s="675">
        <v>0</v>
      </c>
      <c r="BZ583" s="549">
        <v>0</v>
      </c>
      <c r="CA583" s="675">
        <v>0</v>
      </c>
      <c r="CB583" s="549">
        <v>0</v>
      </c>
      <c r="CC583" s="675">
        <v>0</v>
      </c>
      <c r="CD583" s="549">
        <v>0</v>
      </c>
      <c r="CE583" s="675">
        <v>0</v>
      </c>
      <c r="CF583" s="549">
        <v>0</v>
      </c>
      <c r="CG583" s="675">
        <v>0</v>
      </c>
      <c r="CH583" s="549">
        <v>0</v>
      </c>
      <c r="CI583" s="675">
        <v>0</v>
      </c>
      <c r="CJ583" s="549">
        <v>0</v>
      </c>
      <c r="CK583" s="675">
        <v>0</v>
      </c>
      <c r="CL583" s="549">
        <v>0</v>
      </c>
      <c r="CM583" s="675">
        <v>0</v>
      </c>
      <c r="CN583" s="549">
        <v>0</v>
      </c>
      <c r="CO583" s="675">
        <v>0</v>
      </c>
      <c r="CP583" s="549">
        <v>0</v>
      </c>
      <c r="CQ583" s="675">
        <v>0</v>
      </c>
      <c r="CR583" s="549">
        <v>0</v>
      </c>
      <c r="CS583" s="675">
        <v>0</v>
      </c>
      <c r="CT583" s="549">
        <v>0</v>
      </c>
      <c r="CU583" s="675">
        <v>0</v>
      </c>
      <c r="CV583" s="549">
        <v>0</v>
      </c>
      <c r="CW583" s="675">
        <v>0</v>
      </c>
      <c r="CX583" s="549">
        <v>0</v>
      </c>
      <c r="CY583" s="675">
        <v>0</v>
      </c>
      <c r="CZ583" s="549">
        <v>0</v>
      </c>
      <c r="DA583" s="675">
        <v>0</v>
      </c>
      <c r="DB583" s="549">
        <v>0</v>
      </c>
      <c r="DC583" s="675">
        <v>0</v>
      </c>
      <c r="DD583" s="549">
        <v>0</v>
      </c>
      <c r="DE583" s="675">
        <v>0</v>
      </c>
      <c r="DF583" s="549">
        <v>0</v>
      </c>
      <c r="DG583" s="675">
        <v>0</v>
      </c>
      <c r="DH583" s="549">
        <v>0</v>
      </c>
      <c r="DI583" s="675">
        <v>0</v>
      </c>
      <c r="DJ583" s="549">
        <v>0</v>
      </c>
      <c r="DK583" s="675">
        <v>0</v>
      </c>
      <c r="DL583" s="549">
        <v>0</v>
      </c>
      <c r="DM583" s="675">
        <v>0</v>
      </c>
      <c r="DN583" s="549">
        <v>0</v>
      </c>
      <c r="DO583" s="675">
        <v>0</v>
      </c>
      <c r="DP583" s="549">
        <v>0</v>
      </c>
      <c r="DQ583" s="675">
        <v>0</v>
      </c>
      <c r="DR583" s="549">
        <v>0</v>
      </c>
      <c r="DS583" s="675">
        <v>0</v>
      </c>
      <c r="DT583" s="549">
        <v>0</v>
      </c>
      <c r="DU583" s="675">
        <v>0</v>
      </c>
      <c r="DV583" s="549">
        <v>0</v>
      </c>
      <c r="DW583" s="675">
        <v>0</v>
      </c>
      <c r="DX583" s="549">
        <v>0</v>
      </c>
      <c r="DY583" s="675">
        <v>0</v>
      </c>
      <c r="DZ583" s="549">
        <v>0</v>
      </c>
      <c r="EA583" s="675">
        <v>0</v>
      </c>
      <c r="EB583" s="549">
        <v>0</v>
      </c>
      <c r="EC583" s="675">
        <v>0</v>
      </c>
      <c r="ED583" s="549">
        <v>0</v>
      </c>
      <c r="EE583" s="675">
        <v>0</v>
      </c>
      <c r="EF583" s="549">
        <v>0</v>
      </c>
      <c r="EG583" s="675">
        <v>0</v>
      </c>
      <c r="EH583" s="549">
        <v>0</v>
      </c>
      <c r="EI583" s="675">
        <v>0</v>
      </c>
      <c r="EJ583" s="549">
        <v>0</v>
      </c>
      <c r="EK583" s="675">
        <v>0</v>
      </c>
      <c r="EL583" s="549">
        <v>0</v>
      </c>
      <c r="EM583" s="675">
        <v>0</v>
      </c>
      <c r="EN583" s="549">
        <v>0</v>
      </c>
      <c r="EO583" s="675">
        <v>0</v>
      </c>
      <c r="EP583" s="549">
        <v>0</v>
      </c>
      <c r="EQ583" s="675">
        <v>0</v>
      </c>
      <c r="ER583" s="549">
        <v>0</v>
      </c>
      <c r="ES583" s="675">
        <v>0</v>
      </c>
      <c r="ET583" s="549">
        <v>0</v>
      </c>
      <c r="EU583" s="675">
        <v>0</v>
      </c>
      <c r="EV583" s="549">
        <v>0</v>
      </c>
      <c r="EW583" s="675">
        <v>0</v>
      </c>
      <c r="EX583" s="549">
        <v>0</v>
      </c>
      <c r="EY583" s="675">
        <v>0</v>
      </c>
      <c r="EZ583" s="549">
        <v>0</v>
      </c>
      <c r="FA583" s="675">
        <v>0</v>
      </c>
      <c r="FB583" s="549">
        <v>0</v>
      </c>
      <c r="FC583" s="675">
        <v>0</v>
      </c>
      <c r="FD583" s="549">
        <v>0</v>
      </c>
      <c r="FE583" s="675">
        <v>0</v>
      </c>
      <c r="FF583" s="549">
        <v>0</v>
      </c>
      <c r="FG583" s="675">
        <v>0</v>
      </c>
      <c r="FH583" s="549">
        <v>0</v>
      </c>
      <c r="FI583" s="675">
        <v>0</v>
      </c>
      <c r="FJ583" s="549">
        <v>0</v>
      </c>
      <c r="FK583" s="675">
        <v>0</v>
      </c>
      <c r="FL583" s="549">
        <v>0</v>
      </c>
      <c r="FM583" s="675">
        <v>0</v>
      </c>
      <c r="FN583" s="549">
        <v>0</v>
      </c>
      <c r="FO583" s="675">
        <v>0</v>
      </c>
      <c r="FP583" s="549">
        <v>0</v>
      </c>
      <c r="FQ583" s="675">
        <v>0</v>
      </c>
      <c r="FR583" s="549">
        <v>0</v>
      </c>
      <c r="FS583" s="675">
        <v>0</v>
      </c>
      <c r="FT583" s="549">
        <v>0</v>
      </c>
      <c r="FU583" s="675">
        <v>0</v>
      </c>
      <c r="FV583" s="549">
        <v>0</v>
      </c>
      <c r="FW583" s="675">
        <v>0</v>
      </c>
      <c r="FX583" s="549">
        <v>0</v>
      </c>
      <c r="FY583" s="675">
        <v>0</v>
      </c>
      <c r="FZ583" s="549">
        <v>0</v>
      </c>
      <c r="GA583" s="675">
        <v>0</v>
      </c>
      <c r="GB583" s="549">
        <v>0</v>
      </c>
      <c r="GC583" s="675">
        <v>0</v>
      </c>
      <c r="GD583" s="549">
        <v>0</v>
      </c>
      <c r="GE583" s="675">
        <v>0</v>
      </c>
      <c r="GF583" s="549">
        <v>0</v>
      </c>
      <c r="GG583" s="675">
        <v>0</v>
      </c>
      <c r="GH583" s="549">
        <v>0</v>
      </c>
      <c r="GI583" s="675">
        <v>0</v>
      </c>
      <c r="GJ583" s="549">
        <v>0</v>
      </c>
      <c r="GK583" s="675">
        <v>0</v>
      </c>
      <c r="GL583" s="549">
        <v>0</v>
      </c>
      <c r="GM583" s="675">
        <v>0</v>
      </c>
      <c r="GN583" s="549">
        <v>0</v>
      </c>
      <c r="GO583" s="675">
        <v>0</v>
      </c>
      <c r="GP583" s="549">
        <f>+D583+F583+H583+J583+L583+N583+P583+R583+T583+V583+X583+Z583+AB583+AD583+AH583+AJ583+AL583+AN583+AP583+AR583+AT583+AV583+AX583+AZ583+BB583+BD583+BF583+BH583+BJ583+BL583+BN583+BP583+BR583+BT583+BV583+BX583+BZ583+CB583+CD583+CF583+CH583+CJ583+CL583+CN583+CP583+CR583+CT583+CV583+CX583+CZ583+DB583+DD583+DF583+DH583+DT583+EX583+DJ583+DL583+DN583+DP583+DR583+EJ583+EB583+DZ583+DX583+DV583+ED583+EF583+EH583+EL583+EN583+EP583+EV583+ET583+ER583+EZ583+FB583+FD583+GL583+FF583+FJ583+FL583+GJ583+FT583+FR583+FP583+FN583+FH583</f>
        <v>0</v>
      </c>
      <c r="GQ583" s="675">
        <f>+E583+G583+I583+K583+M583+O583+Q583+S583+U583+W583+Y583+AA583+AC583+AE583+AI583+AK583+AM583+AO583+AQ583+AS583+AU583+AW583+AY583+BA583+BC583+BE583+BG583+BI583+BK583+BM583+BO583+BQ583+BS583+BU583+BW583+BY583+CA583+CC583+CE583+CG583+CI583+CK583+CM583+CO583+CQ583+CS583+CU583+CW583+CY583+DA583+DC583+DE583+DG583+DI583+DU583+EY583+DK583+DM583+DO583+DQ583+DS583+EK583+EC583+EA583+DY583+DW583+EI583+EG583+EE583+EM583+EO583+EQ583+EW583+EU583+ES583+FA583+FC583+FE583+GM583+FG583+FK583+FM583+FO583+FQ583+FS583+FU583+GK583+FI583</f>
        <v>0</v>
      </c>
      <c r="GR583" s="74">
        <f>C583+GP583+GQ583</f>
        <v>0</v>
      </c>
      <c r="GS583" s="74">
        <f t="shared" ref="GS583" si="13612">SUM(GU583)+GP583+GQ583</f>
        <v>0</v>
      </c>
      <c r="GT583" s="568">
        <f t="shared" si="13585"/>
        <v>0</v>
      </c>
      <c r="GU583" s="275">
        <v>0</v>
      </c>
      <c r="GV583" s="275">
        <v>0</v>
      </c>
      <c r="GW583" s="588">
        <v>0</v>
      </c>
      <c r="GX583" s="588">
        <v>0</v>
      </c>
      <c r="GY583" s="275">
        <v>0</v>
      </c>
      <c r="GZ583" s="275">
        <v>0</v>
      </c>
      <c r="HA583" s="275">
        <v>0</v>
      </c>
      <c r="HB583" s="275">
        <v>0</v>
      </c>
      <c r="HC583" s="275">
        <v>0</v>
      </c>
      <c r="HD583" s="275">
        <v>0</v>
      </c>
      <c r="HE583" s="275">
        <v>0</v>
      </c>
      <c r="HF583" s="275">
        <v>0</v>
      </c>
      <c r="HG583" s="74">
        <f>SUM(HH583:IE583)+GP583+GQ583</f>
        <v>0</v>
      </c>
      <c r="HH583" s="89">
        <v>0</v>
      </c>
      <c r="HI583" s="817">
        <v>0</v>
      </c>
      <c r="HJ583" s="89">
        <v>0</v>
      </c>
      <c r="HK583" s="817">
        <v>0</v>
      </c>
      <c r="HL583" s="89">
        <v>0</v>
      </c>
      <c r="HM583" s="817">
        <v>0</v>
      </c>
      <c r="HN583" s="89">
        <v>0</v>
      </c>
      <c r="HO583" s="817">
        <v>0</v>
      </c>
      <c r="HP583" s="89">
        <v>0</v>
      </c>
      <c r="HQ583" s="817">
        <v>0</v>
      </c>
      <c r="HR583" s="89">
        <v>0</v>
      </c>
      <c r="HS583" s="817">
        <v>0</v>
      </c>
      <c r="HT583" s="89">
        <v>0</v>
      </c>
      <c r="HU583" s="817">
        <v>0</v>
      </c>
      <c r="HV583" s="89">
        <v>0</v>
      </c>
      <c r="HW583" s="817">
        <v>0</v>
      </c>
      <c r="HX583" s="89">
        <v>0</v>
      </c>
      <c r="HY583" s="817">
        <v>0</v>
      </c>
      <c r="HZ583" s="89">
        <v>0</v>
      </c>
      <c r="IA583" s="817">
        <v>0</v>
      </c>
      <c r="IB583" s="89">
        <v>0</v>
      </c>
      <c r="IC583" s="817">
        <v>0</v>
      </c>
      <c r="ID583" s="89">
        <v>0</v>
      </c>
      <c r="IE583" s="817">
        <v>0</v>
      </c>
      <c r="IF583" s="841">
        <f t="shared" si="13586"/>
        <v>0</v>
      </c>
      <c r="IG583" s="263">
        <f t="shared" si="13587"/>
        <v>0</v>
      </c>
      <c r="IH583" s="842">
        <f t="shared" si="13588"/>
        <v>0</v>
      </c>
      <c r="II583" s="89">
        <v>0</v>
      </c>
      <c r="IJ583" s="89">
        <f t="shared" si="13589"/>
        <v>0</v>
      </c>
      <c r="IK583" s="89">
        <f t="shared" si="13590"/>
        <v>0</v>
      </c>
      <c r="IL583" s="89">
        <v>0</v>
      </c>
      <c r="IM583" s="89">
        <f t="shared" si="13591"/>
        <v>0</v>
      </c>
      <c r="IN583" s="89">
        <f t="shared" si="13592"/>
        <v>0</v>
      </c>
      <c r="IO583" s="89">
        <v>0</v>
      </c>
      <c r="IP583" s="89">
        <f t="shared" si="13593"/>
        <v>0</v>
      </c>
      <c r="IQ583" s="89">
        <f t="shared" si="13594"/>
        <v>0</v>
      </c>
      <c r="IR583" s="89">
        <v>0</v>
      </c>
      <c r="IS583" s="89">
        <f t="shared" si="13595"/>
        <v>0</v>
      </c>
      <c r="IT583" s="89">
        <f t="shared" si="13596"/>
        <v>0</v>
      </c>
      <c r="IU583" s="89">
        <v>0</v>
      </c>
      <c r="IV583" s="89">
        <f t="shared" si="13597"/>
        <v>0</v>
      </c>
      <c r="IW583" s="89">
        <f t="shared" si="13598"/>
        <v>0</v>
      </c>
      <c r="IX583" s="89">
        <v>0</v>
      </c>
      <c r="IY583" s="89">
        <f t="shared" si="13599"/>
        <v>0</v>
      </c>
      <c r="IZ583" s="89">
        <f t="shared" si="13600"/>
        <v>0</v>
      </c>
      <c r="JA583" s="89">
        <v>0</v>
      </c>
      <c r="JB583" s="89">
        <f t="shared" si="13601"/>
        <v>0</v>
      </c>
      <c r="JC583" s="89">
        <f t="shared" si="13602"/>
        <v>0</v>
      </c>
      <c r="JD583" s="89">
        <v>0</v>
      </c>
      <c r="JE583" s="89">
        <f t="shared" si="13603"/>
        <v>0</v>
      </c>
      <c r="JF583" s="89">
        <f t="shared" si="13604"/>
        <v>0</v>
      </c>
      <c r="JG583" s="89">
        <v>0</v>
      </c>
      <c r="JH583" s="89">
        <f t="shared" si="13605"/>
        <v>0</v>
      </c>
      <c r="JI583" s="89">
        <f t="shared" si="13606"/>
        <v>0</v>
      </c>
      <c r="JJ583" s="89">
        <v>0</v>
      </c>
      <c r="JK583" s="89">
        <f t="shared" si="13607"/>
        <v>0</v>
      </c>
      <c r="JL583" s="89">
        <f t="shared" si="13608"/>
        <v>0</v>
      </c>
      <c r="JM583" s="89">
        <v>0</v>
      </c>
      <c r="JN583" s="89">
        <f t="shared" si="13609"/>
        <v>0</v>
      </c>
      <c r="JO583" s="89">
        <f t="shared" si="13610"/>
        <v>0</v>
      </c>
      <c r="JP583" s="89">
        <v>0</v>
      </c>
      <c r="JQ583" s="89">
        <f t="shared" ref="JQ583:JR583" si="13613">JP583</f>
        <v>0</v>
      </c>
      <c r="JR583" s="89">
        <f t="shared" si="13613"/>
        <v>0</v>
      </c>
      <c r="JS583" s="74">
        <f>HG583-IF583</f>
        <v>0</v>
      </c>
      <c r="JT583" s="382">
        <f>GS583-IF583</f>
        <v>0</v>
      </c>
      <c r="JU583" s="665"/>
      <c r="JV583" s="524"/>
      <c r="JW583" s="525"/>
      <c r="JX583" s="549">
        <f>SUM(HH583,HJ583,HL583,HN583,HP583,HR583,HT583,HV583,HX583,HZ583,IB583,ID583)</f>
        <v>0</v>
      </c>
      <c r="JY583" s="549">
        <f>SUM(HI583,HK583,HM583,HO583,HQ583,HS583,HU583,HW583,HY583,IA583,IC583,IE583)</f>
        <v>0</v>
      </c>
      <c r="JZ583" s="581">
        <f t="shared" si="13477"/>
        <v>0</v>
      </c>
      <c r="KA583" s="581">
        <f t="shared" si="13478"/>
        <v>0</v>
      </c>
      <c r="KB583" s="549">
        <f t="shared" si="13163"/>
        <v>0</v>
      </c>
      <c r="KC583" s="709">
        <f t="shared" si="13396"/>
        <v>0</v>
      </c>
      <c r="KD583" s="36"/>
      <c r="KE583" s="36"/>
      <c r="KF583" s="36"/>
      <c r="KG583" s="36"/>
      <c r="KH583" s="36"/>
      <c r="KI583" s="36"/>
      <c r="KJ583" s="36"/>
      <c r="KK583" s="36"/>
    </row>
    <row r="584" spans="1:297" s="10" customFormat="1">
      <c r="A584" s="86"/>
      <c r="B584" s="77"/>
      <c r="C584" s="74"/>
      <c r="D584" s="549"/>
      <c r="E584" s="675"/>
      <c r="F584" s="549"/>
      <c r="G584" s="675"/>
      <c r="H584" s="549"/>
      <c r="I584" s="675"/>
      <c r="J584" s="549"/>
      <c r="K584" s="675"/>
      <c r="L584" s="549"/>
      <c r="M584" s="675"/>
      <c r="N584" s="549"/>
      <c r="O584" s="675"/>
      <c r="P584" s="549"/>
      <c r="Q584" s="675"/>
      <c r="R584" s="549"/>
      <c r="S584" s="675"/>
      <c r="T584" s="549"/>
      <c r="U584" s="675"/>
      <c r="V584" s="549"/>
      <c r="W584" s="675"/>
      <c r="X584" s="549"/>
      <c r="Y584" s="675"/>
      <c r="Z584" s="549"/>
      <c r="AA584" s="675"/>
      <c r="AB584" s="549"/>
      <c r="AC584" s="675"/>
      <c r="AD584" s="549"/>
      <c r="AE584" s="675"/>
      <c r="AF584" s="549"/>
      <c r="AG584" s="675"/>
      <c r="AH584" s="549"/>
      <c r="AI584" s="675"/>
      <c r="AJ584" s="549"/>
      <c r="AK584" s="675"/>
      <c r="AL584" s="549"/>
      <c r="AM584" s="675"/>
      <c r="AN584" s="549"/>
      <c r="AO584" s="675"/>
      <c r="AP584" s="549"/>
      <c r="AQ584" s="675"/>
      <c r="AR584" s="549"/>
      <c r="AS584" s="675"/>
      <c r="AT584" s="549"/>
      <c r="AU584" s="675"/>
      <c r="AV584" s="549"/>
      <c r="AW584" s="675"/>
      <c r="AX584" s="549"/>
      <c r="AY584" s="675"/>
      <c r="AZ584" s="549"/>
      <c r="BA584" s="675"/>
      <c r="BB584" s="549"/>
      <c r="BC584" s="675"/>
      <c r="BD584" s="549"/>
      <c r="BE584" s="675"/>
      <c r="BF584" s="549"/>
      <c r="BG584" s="675"/>
      <c r="BH584" s="549"/>
      <c r="BI584" s="675"/>
      <c r="BJ584" s="549"/>
      <c r="BK584" s="675"/>
      <c r="BL584" s="549"/>
      <c r="BM584" s="675"/>
      <c r="BN584" s="549"/>
      <c r="BO584" s="675"/>
      <c r="BP584" s="549"/>
      <c r="BQ584" s="675"/>
      <c r="BR584" s="549"/>
      <c r="BS584" s="675"/>
      <c r="BT584" s="549"/>
      <c r="BU584" s="675"/>
      <c r="BV584" s="549"/>
      <c r="BW584" s="675"/>
      <c r="BX584" s="549"/>
      <c r="BY584" s="675"/>
      <c r="BZ584" s="549"/>
      <c r="CA584" s="675"/>
      <c r="CB584" s="549"/>
      <c r="CC584" s="675"/>
      <c r="CD584" s="549"/>
      <c r="CE584" s="675"/>
      <c r="CF584" s="549"/>
      <c r="CG584" s="675"/>
      <c r="CH584" s="549"/>
      <c r="CI584" s="675"/>
      <c r="CJ584" s="549"/>
      <c r="CK584" s="675"/>
      <c r="CL584" s="549"/>
      <c r="CM584" s="675"/>
      <c r="CN584" s="549"/>
      <c r="CO584" s="675"/>
      <c r="CP584" s="549"/>
      <c r="CQ584" s="675"/>
      <c r="CR584" s="549"/>
      <c r="CS584" s="675"/>
      <c r="CT584" s="549"/>
      <c r="CU584" s="675"/>
      <c r="CV584" s="549"/>
      <c r="CW584" s="675"/>
      <c r="CX584" s="549"/>
      <c r="CY584" s="675"/>
      <c r="CZ584" s="549"/>
      <c r="DA584" s="675"/>
      <c r="DB584" s="549"/>
      <c r="DC584" s="675"/>
      <c r="DD584" s="549"/>
      <c r="DE584" s="675"/>
      <c r="DF584" s="549"/>
      <c r="DG584" s="675"/>
      <c r="DH584" s="549"/>
      <c r="DI584" s="675"/>
      <c r="DJ584" s="549"/>
      <c r="DK584" s="675"/>
      <c r="DL584" s="549"/>
      <c r="DM584" s="675"/>
      <c r="DN584" s="549"/>
      <c r="DO584" s="675"/>
      <c r="DP584" s="549"/>
      <c r="DQ584" s="675"/>
      <c r="DR584" s="549"/>
      <c r="DS584" s="675"/>
      <c r="DT584" s="549"/>
      <c r="DU584" s="675"/>
      <c r="DV584" s="549"/>
      <c r="DW584" s="675"/>
      <c r="DX584" s="549"/>
      <c r="DY584" s="675"/>
      <c r="DZ584" s="549"/>
      <c r="EA584" s="675"/>
      <c r="EB584" s="549"/>
      <c r="EC584" s="675"/>
      <c r="ED584" s="549"/>
      <c r="EE584" s="675"/>
      <c r="EF584" s="549"/>
      <c r="EG584" s="675"/>
      <c r="EH584" s="549"/>
      <c r="EI584" s="675"/>
      <c r="EJ584" s="549"/>
      <c r="EK584" s="675"/>
      <c r="EL584" s="549"/>
      <c r="EM584" s="675"/>
      <c r="EN584" s="549"/>
      <c r="EO584" s="675"/>
      <c r="EP584" s="549"/>
      <c r="EQ584" s="675"/>
      <c r="ER584" s="549"/>
      <c r="ES584" s="675"/>
      <c r="ET584" s="549"/>
      <c r="EU584" s="675"/>
      <c r="EV584" s="549"/>
      <c r="EW584" s="675"/>
      <c r="EX584" s="549"/>
      <c r="EY584" s="675"/>
      <c r="EZ584" s="549"/>
      <c r="FA584" s="675"/>
      <c r="FB584" s="549"/>
      <c r="FC584" s="675"/>
      <c r="FD584" s="549"/>
      <c r="FE584" s="675"/>
      <c r="FF584" s="549"/>
      <c r="FG584" s="675"/>
      <c r="FH584" s="549"/>
      <c r="FI584" s="675"/>
      <c r="FJ584" s="549"/>
      <c r="FK584" s="675"/>
      <c r="FL584" s="549"/>
      <c r="FM584" s="675"/>
      <c r="FN584" s="549"/>
      <c r="FO584" s="675"/>
      <c r="FP584" s="549"/>
      <c r="FQ584" s="675"/>
      <c r="FR584" s="549"/>
      <c r="FS584" s="675"/>
      <c r="FT584" s="549"/>
      <c r="FU584" s="675"/>
      <c r="FV584" s="549"/>
      <c r="FW584" s="675"/>
      <c r="FX584" s="549"/>
      <c r="FY584" s="675"/>
      <c r="FZ584" s="549"/>
      <c r="GA584" s="675"/>
      <c r="GB584" s="549"/>
      <c r="GC584" s="675"/>
      <c r="GD584" s="549"/>
      <c r="GE584" s="675"/>
      <c r="GF584" s="549"/>
      <c r="GG584" s="675"/>
      <c r="GH584" s="549"/>
      <c r="GI584" s="675"/>
      <c r="GJ584" s="549"/>
      <c r="GK584" s="675"/>
      <c r="GL584" s="549"/>
      <c r="GM584" s="675"/>
      <c r="GN584" s="549"/>
      <c r="GO584" s="675"/>
      <c r="GP584" s="549"/>
      <c r="GQ584" s="675"/>
      <c r="GR584" s="74"/>
      <c r="GS584" s="74"/>
      <c r="GT584" s="568"/>
      <c r="GU584" s="89"/>
      <c r="GV584" s="89"/>
      <c r="GW584" s="568"/>
      <c r="GX584" s="568"/>
      <c r="GY584" s="89"/>
      <c r="GZ584" s="89"/>
      <c r="HA584" s="89"/>
      <c r="HB584" s="89"/>
      <c r="HC584" s="89"/>
      <c r="HD584" s="89"/>
      <c r="HE584" s="89"/>
      <c r="HF584" s="89"/>
      <c r="HG584" s="74"/>
      <c r="HH584" s="89"/>
      <c r="HI584" s="817"/>
      <c r="HJ584" s="89"/>
      <c r="HK584" s="817"/>
      <c r="HL584" s="89"/>
      <c r="HM584" s="817"/>
      <c r="HN584" s="89"/>
      <c r="HO584" s="817"/>
      <c r="HP584" s="89"/>
      <c r="HQ584" s="817"/>
      <c r="HR584" s="89"/>
      <c r="HS584" s="817"/>
      <c r="HT584" s="89"/>
      <c r="HU584" s="817"/>
      <c r="HV584" s="89"/>
      <c r="HW584" s="817"/>
      <c r="HX584" s="89"/>
      <c r="HY584" s="817"/>
      <c r="HZ584" s="89"/>
      <c r="IA584" s="817"/>
      <c r="IB584" s="89"/>
      <c r="IC584" s="817"/>
      <c r="ID584" s="89"/>
      <c r="IE584" s="817"/>
      <c r="IF584" s="703"/>
      <c r="IG584" s="282"/>
      <c r="IH584" s="858"/>
      <c r="II584" s="89"/>
      <c r="IJ584" s="89"/>
      <c r="IK584" s="89"/>
      <c r="IL584" s="89"/>
      <c r="IM584" s="89"/>
      <c r="IN584" s="89"/>
      <c r="IO584" s="89"/>
      <c r="IP584" s="89"/>
      <c r="IQ584" s="89"/>
      <c r="IR584" s="89"/>
      <c r="IS584" s="89"/>
      <c r="IT584" s="89"/>
      <c r="IU584" s="89"/>
      <c r="IV584" s="89"/>
      <c r="IW584" s="89"/>
      <c r="IX584" s="89"/>
      <c r="IY584" s="89"/>
      <c r="IZ584" s="89"/>
      <c r="JA584" s="89"/>
      <c r="JB584" s="89"/>
      <c r="JC584" s="89"/>
      <c r="JD584" s="89"/>
      <c r="JE584" s="89"/>
      <c r="JF584" s="89"/>
      <c r="JG584" s="89"/>
      <c r="JH584" s="89"/>
      <c r="JI584" s="89"/>
      <c r="JJ584" s="89"/>
      <c r="JK584" s="89"/>
      <c r="JL584" s="89"/>
      <c r="JM584" s="89"/>
      <c r="JN584" s="89"/>
      <c r="JO584" s="89"/>
      <c r="JP584" s="89"/>
      <c r="JQ584" s="89"/>
      <c r="JR584" s="89"/>
      <c r="JS584" s="74"/>
      <c r="JT584" s="382"/>
      <c r="JU584" s="665"/>
      <c r="JV584" s="524"/>
      <c r="JW584" s="525"/>
      <c r="JX584" s="549"/>
      <c r="JY584" s="549"/>
      <c r="JZ584" s="581">
        <f t="shared" si="13477"/>
        <v>0</v>
      </c>
      <c r="KA584" s="581">
        <f t="shared" si="13478"/>
        <v>0</v>
      </c>
      <c r="KB584" s="549">
        <f t="shared" si="13163"/>
        <v>0</v>
      </c>
      <c r="KC584" s="709">
        <f t="shared" si="13396"/>
        <v>0</v>
      </c>
      <c r="KD584" s="36"/>
      <c r="KE584" s="36"/>
      <c r="KF584" s="36"/>
      <c r="KG584" s="36"/>
      <c r="KH584" s="36"/>
      <c r="KI584" s="36"/>
      <c r="KJ584" s="36"/>
      <c r="KK584" s="36"/>
    </row>
    <row r="585" spans="1:297" s="8" customFormat="1">
      <c r="A585" s="80" t="s">
        <v>315</v>
      </c>
      <c r="B585" s="72" t="s">
        <v>58</v>
      </c>
      <c r="C585" s="74">
        <f t="shared" ref="C585" si="13614">SUM(C586:C588)</f>
        <v>4516900</v>
      </c>
      <c r="D585" s="549">
        <f t="shared" ref="D585:E585" si="13615">SUM(D586:D588)</f>
        <v>0</v>
      </c>
      <c r="E585" s="675">
        <f t="shared" si="13615"/>
        <v>0</v>
      </c>
      <c r="F585" s="549">
        <f t="shared" ref="F585:G585" si="13616">SUM(F586:F588)</f>
        <v>0</v>
      </c>
      <c r="G585" s="675">
        <f t="shared" si="13616"/>
        <v>0</v>
      </c>
      <c r="H585" s="549">
        <f t="shared" ref="H585:I585" si="13617">SUM(H586:H588)</f>
        <v>0</v>
      </c>
      <c r="I585" s="675">
        <f t="shared" si="13617"/>
        <v>0</v>
      </c>
      <c r="J585" s="549">
        <f t="shared" ref="J585:K585" si="13618">SUM(J586:J588)</f>
        <v>0</v>
      </c>
      <c r="K585" s="675">
        <f t="shared" si="13618"/>
        <v>0</v>
      </c>
      <c r="L585" s="549">
        <f t="shared" ref="L585:M585" si="13619">SUM(L586:L588)</f>
        <v>0</v>
      </c>
      <c r="M585" s="675">
        <f t="shared" si="13619"/>
        <v>0</v>
      </c>
      <c r="N585" s="549">
        <f t="shared" ref="N585:O585" si="13620">SUM(N586:N588)</f>
        <v>0</v>
      </c>
      <c r="O585" s="675">
        <f t="shared" si="13620"/>
        <v>0</v>
      </c>
      <c r="P585" s="549">
        <f t="shared" ref="P585:Q585" si="13621">SUM(P586:P588)</f>
        <v>0</v>
      </c>
      <c r="Q585" s="675">
        <f t="shared" si="13621"/>
        <v>0</v>
      </c>
      <c r="R585" s="549">
        <f t="shared" ref="R585:S585" si="13622">SUM(R586:R588)</f>
        <v>24000</v>
      </c>
      <c r="S585" s="675">
        <f t="shared" si="13622"/>
        <v>0</v>
      </c>
      <c r="T585" s="549">
        <f t="shared" ref="T585:U585" si="13623">SUM(T586:T588)</f>
        <v>0</v>
      </c>
      <c r="U585" s="675">
        <f t="shared" si="13623"/>
        <v>0</v>
      </c>
      <c r="V585" s="549">
        <f t="shared" ref="V585:W585" si="13624">SUM(V586:V588)</f>
        <v>0</v>
      </c>
      <c r="W585" s="675">
        <f t="shared" si="13624"/>
        <v>0</v>
      </c>
      <c r="X585" s="549">
        <f t="shared" ref="X585:Y585" si="13625">SUM(X586:X588)</f>
        <v>0</v>
      </c>
      <c r="Y585" s="675">
        <f t="shared" si="13625"/>
        <v>0</v>
      </c>
      <c r="Z585" s="549">
        <f t="shared" ref="Z585:AA585" si="13626">SUM(Z586:Z588)</f>
        <v>0</v>
      </c>
      <c r="AA585" s="675">
        <f t="shared" si="13626"/>
        <v>0</v>
      </c>
      <c r="AB585" s="549">
        <f t="shared" ref="AB585:AC585" si="13627">SUM(AB586:AB588)</f>
        <v>0</v>
      </c>
      <c r="AC585" s="675">
        <f t="shared" si="13627"/>
        <v>0</v>
      </c>
      <c r="AD585" s="549">
        <f t="shared" ref="AD585:AE585" si="13628">SUM(AD586:AD588)</f>
        <v>0</v>
      </c>
      <c r="AE585" s="675">
        <f t="shared" si="13628"/>
        <v>0</v>
      </c>
      <c r="AF585" s="549">
        <f t="shared" ref="AF585:AI585" si="13629">SUM(AF586:AF588)</f>
        <v>0</v>
      </c>
      <c r="AG585" s="675">
        <f t="shared" si="13629"/>
        <v>0</v>
      </c>
      <c r="AH585" s="549">
        <f t="shared" si="13629"/>
        <v>0</v>
      </c>
      <c r="AI585" s="675">
        <f t="shared" si="13629"/>
        <v>0</v>
      </c>
      <c r="AJ585" s="549">
        <f t="shared" ref="AJ585:AK585" si="13630">SUM(AJ586:AJ588)</f>
        <v>0</v>
      </c>
      <c r="AK585" s="675">
        <f t="shared" si="13630"/>
        <v>-86416</v>
      </c>
      <c r="AL585" s="549">
        <f t="shared" ref="AL585:AM585" si="13631">SUM(AL586:AL588)</f>
        <v>5400</v>
      </c>
      <c r="AM585" s="675">
        <f t="shared" si="13631"/>
        <v>0</v>
      </c>
      <c r="AN585" s="549">
        <f t="shared" ref="AN585:AO585" si="13632">SUM(AN586:AN588)</f>
        <v>0</v>
      </c>
      <c r="AO585" s="675">
        <f t="shared" si="13632"/>
        <v>-22416</v>
      </c>
      <c r="AP585" s="549">
        <f t="shared" ref="AP585:AQ585" si="13633">SUM(AP586:AP588)</f>
        <v>0</v>
      </c>
      <c r="AQ585" s="675">
        <f t="shared" si="13633"/>
        <v>0</v>
      </c>
      <c r="AR585" s="549">
        <f t="shared" ref="AR585:AS585" si="13634">SUM(AR586:AR588)</f>
        <v>0</v>
      </c>
      <c r="AS585" s="675">
        <f t="shared" si="13634"/>
        <v>0</v>
      </c>
      <c r="AT585" s="549">
        <f t="shared" ref="AT585:AU585" si="13635">SUM(AT586:AT588)</f>
        <v>0</v>
      </c>
      <c r="AU585" s="675">
        <f t="shared" si="13635"/>
        <v>0</v>
      </c>
      <c r="AV585" s="549">
        <f t="shared" ref="AV585:AW585" si="13636">SUM(AV586:AV588)</f>
        <v>0</v>
      </c>
      <c r="AW585" s="675">
        <f t="shared" si="13636"/>
        <v>-15375</v>
      </c>
      <c r="AX585" s="549">
        <f t="shared" ref="AX585:AY585" si="13637">SUM(AX586:AX588)</f>
        <v>0</v>
      </c>
      <c r="AY585" s="675">
        <f t="shared" si="13637"/>
        <v>0</v>
      </c>
      <c r="AZ585" s="549">
        <f t="shared" ref="AZ585:BA585" si="13638">SUM(AZ586:AZ588)</f>
        <v>0</v>
      </c>
      <c r="BA585" s="675">
        <f t="shared" si="13638"/>
        <v>0</v>
      </c>
      <c r="BB585" s="549">
        <f t="shared" ref="BB585:BC585" si="13639">SUM(BB586:BB588)</f>
        <v>0</v>
      </c>
      <c r="BC585" s="675">
        <f t="shared" si="13639"/>
        <v>0</v>
      </c>
      <c r="BD585" s="549">
        <f t="shared" ref="BD585:BE585" si="13640">SUM(BD586:BD588)</f>
        <v>0</v>
      </c>
      <c r="BE585" s="675">
        <f t="shared" si="13640"/>
        <v>0</v>
      </c>
      <c r="BF585" s="549">
        <f t="shared" ref="BF585:BG585" si="13641">SUM(BF586:BF588)</f>
        <v>0</v>
      </c>
      <c r="BG585" s="675">
        <f t="shared" si="13641"/>
        <v>0</v>
      </c>
      <c r="BH585" s="549">
        <f t="shared" ref="BH585:BI585" si="13642">SUM(BH586:BH588)</f>
        <v>0</v>
      </c>
      <c r="BI585" s="675">
        <f t="shared" si="13642"/>
        <v>0</v>
      </c>
      <c r="BJ585" s="549">
        <f t="shared" ref="BJ585:BK585" si="13643">SUM(BJ586:BJ588)</f>
        <v>0</v>
      </c>
      <c r="BK585" s="675">
        <f t="shared" si="13643"/>
        <v>0</v>
      </c>
      <c r="BL585" s="549">
        <f t="shared" ref="BL585:BS585" si="13644">SUM(BL586:BL588)</f>
        <v>0</v>
      </c>
      <c r="BM585" s="675">
        <f t="shared" si="13644"/>
        <v>0</v>
      </c>
      <c r="BN585" s="549">
        <f t="shared" si="13644"/>
        <v>0</v>
      </c>
      <c r="BO585" s="675">
        <f t="shared" si="13644"/>
        <v>0</v>
      </c>
      <c r="BP585" s="549">
        <f t="shared" si="13644"/>
        <v>0</v>
      </c>
      <c r="BQ585" s="675">
        <f t="shared" si="13644"/>
        <v>0</v>
      </c>
      <c r="BR585" s="549">
        <f t="shared" si="13644"/>
        <v>0</v>
      </c>
      <c r="BS585" s="675">
        <f t="shared" si="13644"/>
        <v>0</v>
      </c>
      <c r="BT585" s="549">
        <f t="shared" ref="BT585:BU585" si="13645">SUM(BT586:BT588)</f>
        <v>0</v>
      </c>
      <c r="BU585" s="675">
        <f t="shared" si="13645"/>
        <v>0</v>
      </c>
      <c r="BV585" s="549">
        <f t="shared" ref="BV585:BW585" si="13646">SUM(BV586:BV588)</f>
        <v>0</v>
      </c>
      <c r="BW585" s="675">
        <f t="shared" si="13646"/>
        <v>0</v>
      </c>
      <c r="BX585" s="549">
        <f t="shared" ref="BX585:BY585" si="13647">SUM(BX586:BX588)</f>
        <v>0</v>
      </c>
      <c r="BY585" s="675">
        <f t="shared" si="13647"/>
        <v>0</v>
      </c>
      <c r="BZ585" s="549">
        <f t="shared" ref="BZ585:CA585" si="13648">SUM(BZ586:BZ588)</f>
        <v>0</v>
      </c>
      <c r="CA585" s="675">
        <f t="shared" si="13648"/>
        <v>0</v>
      </c>
      <c r="CB585" s="549">
        <f t="shared" ref="CB585:CE585" si="13649">SUM(CB586:CB588)</f>
        <v>0</v>
      </c>
      <c r="CC585" s="675">
        <f t="shared" si="13649"/>
        <v>0</v>
      </c>
      <c r="CD585" s="549">
        <f t="shared" si="13649"/>
        <v>4800</v>
      </c>
      <c r="CE585" s="675">
        <f t="shared" si="13649"/>
        <v>0</v>
      </c>
      <c r="CF585" s="549">
        <f t="shared" ref="CF585:CQ585" si="13650">SUM(CF586:CF588)</f>
        <v>0</v>
      </c>
      <c r="CG585" s="675">
        <f t="shared" si="13650"/>
        <v>0</v>
      </c>
      <c r="CH585" s="549">
        <f t="shared" si="13650"/>
        <v>0</v>
      </c>
      <c r="CI585" s="675">
        <f t="shared" si="13650"/>
        <v>0</v>
      </c>
      <c r="CJ585" s="549">
        <f t="shared" si="13650"/>
        <v>0</v>
      </c>
      <c r="CK585" s="675">
        <f t="shared" si="13650"/>
        <v>0</v>
      </c>
      <c r="CL585" s="549">
        <f t="shared" si="13650"/>
        <v>0</v>
      </c>
      <c r="CM585" s="675">
        <f t="shared" si="13650"/>
        <v>0</v>
      </c>
      <c r="CN585" s="549">
        <f t="shared" si="13650"/>
        <v>1200</v>
      </c>
      <c r="CO585" s="675">
        <f t="shared" si="13650"/>
        <v>0</v>
      </c>
      <c r="CP585" s="549">
        <f t="shared" si="13650"/>
        <v>0</v>
      </c>
      <c r="CQ585" s="675">
        <f t="shared" si="13650"/>
        <v>0</v>
      </c>
      <c r="CR585" s="549">
        <f t="shared" ref="CR585:CY585" si="13651">SUM(CR586:CR588)</f>
        <v>0</v>
      </c>
      <c r="CS585" s="675">
        <f t="shared" si="13651"/>
        <v>0</v>
      </c>
      <c r="CT585" s="549">
        <f t="shared" si="13651"/>
        <v>0</v>
      </c>
      <c r="CU585" s="675">
        <f t="shared" si="13651"/>
        <v>0</v>
      </c>
      <c r="CV585" s="549">
        <f t="shared" si="13651"/>
        <v>0</v>
      </c>
      <c r="CW585" s="675">
        <f t="shared" si="13651"/>
        <v>0</v>
      </c>
      <c r="CX585" s="549">
        <f t="shared" si="13651"/>
        <v>0</v>
      </c>
      <c r="CY585" s="675">
        <f t="shared" si="13651"/>
        <v>0</v>
      </c>
      <c r="CZ585" s="549">
        <f t="shared" ref="CZ585:DI585" si="13652">SUM(CZ586:CZ588)</f>
        <v>0</v>
      </c>
      <c r="DA585" s="675">
        <f t="shared" si="13652"/>
        <v>0</v>
      </c>
      <c r="DB585" s="549">
        <f t="shared" si="13652"/>
        <v>0</v>
      </c>
      <c r="DC585" s="675">
        <f t="shared" si="13652"/>
        <v>0</v>
      </c>
      <c r="DD585" s="549">
        <f t="shared" si="13652"/>
        <v>0</v>
      </c>
      <c r="DE585" s="675">
        <f t="shared" si="13652"/>
        <v>0</v>
      </c>
      <c r="DF585" s="549">
        <f t="shared" si="13652"/>
        <v>0</v>
      </c>
      <c r="DG585" s="675">
        <f t="shared" si="13652"/>
        <v>0</v>
      </c>
      <c r="DH585" s="549">
        <f t="shared" si="13652"/>
        <v>0</v>
      </c>
      <c r="DI585" s="675">
        <f t="shared" si="13652"/>
        <v>0</v>
      </c>
      <c r="DJ585" s="549">
        <f t="shared" ref="DJ585:DY585" si="13653">SUM(DJ586:DJ588)</f>
        <v>0</v>
      </c>
      <c r="DK585" s="675">
        <f t="shared" si="13653"/>
        <v>0</v>
      </c>
      <c r="DL585" s="549">
        <f t="shared" si="13653"/>
        <v>0</v>
      </c>
      <c r="DM585" s="675">
        <f t="shared" si="13653"/>
        <v>0</v>
      </c>
      <c r="DN585" s="549">
        <f t="shared" si="13653"/>
        <v>0</v>
      </c>
      <c r="DO585" s="675">
        <f t="shared" si="13653"/>
        <v>0</v>
      </c>
      <c r="DP585" s="549">
        <f t="shared" si="13653"/>
        <v>0</v>
      </c>
      <c r="DQ585" s="675">
        <f t="shared" si="13653"/>
        <v>0</v>
      </c>
      <c r="DR585" s="549">
        <f t="shared" si="13653"/>
        <v>0</v>
      </c>
      <c r="DS585" s="675">
        <f t="shared" si="13653"/>
        <v>0</v>
      </c>
      <c r="DT585" s="549">
        <f t="shared" si="13653"/>
        <v>0</v>
      </c>
      <c r="DU585" s="675">
        <f t="shared" si="13653"/>
        <v>0</v>
      </c>
      <c r="DV585" s="549">
        <f t="shared" si="13653"/>
        <v>0</v>
      </c>
      <c r="DW585" s="675">
        <f t="shared" si="13653"/>
        <v>0</v>
      </c>
      <c r="DX585" s="549">
        <f t="shared" si="13653"/>
        <v>0</v>
      </c>
      <c r="DY585" s="675">
        <f t="shared" si="13653"/>
        <v>0</v>
      </c>
      <c r="DZ585" s="549">
        <f t="shared" ref="DZ585:EU585" si="13654">SUM(DZ586:DZ588)</f>
        <v>0</v>
      </c>
      <c r="EA585" s="675">
        <f t="shared" si="13654"/>
        <v>0</v>
      </c>
      <c r="EB585" s="549">
        <f t="shared" si="13654"/>
        <v>0</v>
      </c>
      <c r="EC585" s="675">
        <f t="shared" si="13654"/>
        <v>0</v>
      </c>
      <c r="ED585" s="549">
        <f t="shared" si="13654"/>
        <v>0</v>
      </c>
      <c r="EE585" s="675">
        <f t="shared" si="13654"/>
        <v>0</v>
      </c>
      <c r="EF585" s="549">
        <f t="shared" si="13654"/>
        <v>0</v>
      </c>
      <c r="EG585" s="675">
        <f t="shared" si="13654"/>
        <v>0</v>
      </c>
      <c r="EH585" s="549">
        <f t="shared" ref="EH585:EM585" si="13655">SUM(EH586:EH588)</f>
        <v>0</v>
      </c>
      <c r="EI585" s="675">
        <f t="shared" si="13655"/>
        <v>0</v>
      </c>
      <c r="EJ585" s="549">
        <f t="shared" si="13655"/>
        <v>0</v>
      </c>
      <c r="EK585" s="675">
        <f t="shared" si="13655"/>
        <v>0</v>
      </c>
      <c r="EL585" s="549">
        <f t="shared" si="13655"/>
        <v>0</v>
      </c>
      <c r="EM585" s="675">
        <f t="shared" si="13655"/>
        <v>0</v>
      </c>
      <c r="EN585" s="549">
        <f t="shared" si="13654"/>
        <v>0</v>
      </c>
      <c r="EO585" s="675">
        <f t="shared" si="13654"/>
        <v>0</v>
      </c>
      <c r="EP585" s="549">
        <f t="shared" si="13654"/>
        <v>0</v>
      </c>
      <c r="EQ585" s="675">
        <f t="shared" si="13654"/>
        <v>0</v>
      </c>
      <c r="ER585" s="549">
        <f t="shared" si="13654"/>
        <v>0</v>
      </c>
      <c r="ES585" s="675">
        <f t="shared" si="13654"/>
        <v>0</v>
      </c>
      <c r="ET585" s="549">
        <f t="shared" si="13654"/>
        <v>0</v>
      </c>
      <c r="EU585" s="675">
        <f t="shared" si="13654"/>
        <v>0</v>
      </c>
      <c r="EV585" s="549">
        <f t="shared" ref="EV585:FE585" si="13656">SUM(EV586:EV588)</f>
        <v>0</v>
      </c>
      <c r="EW585" s="675">
        <f t="shared" si="13656"/>
        <v>0</v>
      </c>
      <c r="EX585" s="549">
        <f t="shared" si="13656"/>
        <v>0</v>
      </c>
      <c r="EY585" s="675">
        <f t="shared" si="13656"/>
        <v>-25600</v>
      </c>
      <c r="EZ585" s="549">
        <f t="shared" si="13656"/>
        <v>0</v>
      </c>
      <c r="FA585" s="675">
        <f t="shared" si="13656"/>
        <v>0</v>
      </c>
      <c r="FB585" s="549">
        <f t="shared" si="13656"/>
        <v>0</v>
      </c>
      <c r="FC585" s="675">
        <f t="shared" si="13656"/>
        <v>0</v>
      </c>
      <c r="FD585" s="549">
        <f t="shared" si="13656"/>
        <v>0</v>
      </c>
      <c r="FE585" s="675">
        <f t="shared" si="13656"/>
        <v>0</v>
      </c>
      <c r="FF585" s="549">
        <f t="shared" ref="FF585:FG585" si="13657">SUM(FF586:FF588)</f>
        <v>0</v>
      </c>
      <c r="FG585" s="675">
        <f t="shared" si="13657"/>
        <v>0</v>
      </c>
      <c r="FH585" s="549">
        <f t="shared" ref="FH585:FI585" si="13658">SUM(FH586:FH588)</f>
        <v>0</v>
      </c>
      <c r="FI585" s="675">
        <f t="shared" si="13658"/>
        <v>0</v>
      </c>
      <c r="FJ585" s="549">
        <f t="shared" ref="FJ585:FK585" si="13659">SUM(FJ586:FJ588)</f>
        <v>0</v>
      </c>
      <c r="FK585" s="675">
        <f t="shared" si="13659"/>
        <v>0</v>
      </c>
      <c r="FL585" s="549">
        <f t="shared" ref="FL585:FM585" si="13660">SUM(FL586:FL588)</f>
        <v>0</v>
      </c>
      <c r="FM585" s="675">
        <f t="shared" si="13660"/>
        <v>0</v>
      </c>
      <c r="FN585" s="549">
        <f t="shared" ref="FN585:FO585" si="13661">SUM(FN586:FN588)</f>
        <v>0</v>
      </c>
      <c r="FO585" s="675">
        <f t="shared" si="13661"/>
        <v>0</v>
      </c>
      <c r="FP585" s="549">
        <f t="shared" ref="FP585:FQ585" si="13662">SUM(FP586:FP588)</f>
        <v>0</v>
      </c>
      <c r="FQ585" s="675">
        <f t="shared" si="13662"/>
        <v>0</v>
      </c>
      <c r="FR585" s="549">
        <f t="shared" ref="FR585:FS585" si="13663">SUM(FR586:FR588)</f>
        <v>0</v>
      </c>
      <c r="FS585" s="675">
        <f t="shared" si="13663"/>
        <v>0</v>
      </c>
      <c r="FT585" s="549">
        <f t="shared" ref="FT585:FU585" si="13664">SUM(FT586:FT588)</f>
        <v>0</v>
      </c>
      <c r="FU585" s="675">
        <f t="shared" si="13664"/>
        <v>0</v>
      </c>
      <c r="FV585" s="549">
        <f t="shared" ref="FV585:GK585" si="13665">SUM(FV586:FV588)</f>
        <v>0</v>
      </c>
      <c r="FW585" s="675">
        <f t="shared" si="13665"/>
        <v>0</v>
      </c>
      <c r="FX585" s="549">
        <f t="shared" si="13665"/>
        <v>0</v>
      </c>
      <c r="FY585" s="675">
        <f t="shared" si="13665"/>
        <v>0</v>
      </c>
      <c r="FZ585" s="549">
        <f t="shared" ref="FZ585:GI585" si="13666">SUM(FZ586:FZ588)</f>
        <v>0</v>
      </c>
      <c r="GA585" s="675">
        <f t="shared" si="13666"/>
        <v>0</v>
      </c>
      <c r="GB585" s="549">
        <f t="shared" si="13666"/>
        <v>0</v>
      </c>
      <c r="GC585" s="675">
        <f t="shared" si="13666"/>
        <v>0</v>
      </c>
      <c r="GD585" s="549">
        <f t="shared" si="13666"/>
        <v>0</v>
      </c>
      <c r="GE585" s="675">
        <f t="shared" si="13666"/>
        <v>0</v>
      </c>
      <c r="GF585" s="549">
        <f t="shared" si="13666"/>
        <v>0</v>
      </c>
      <c r="GG585" s="675">
        <f t="shared" si="13666"/>
        <v>0</v>
      </c>
      <c r="GH585" s="549">
        <f t="shared" si="13666"/>
        <v>0</v>
      </c>
      <c r="GI585" s="675">
        <f t="shared" si="13666"/>
        <v>0</v>
      </c>
      <c r="GJ585" s="549">
        <f t="shared" si="13665"/>
        <v>0</v>
      </c>
      <c r="GK585" s="675">
        <f t="shared" si="13665"/>
        <v>0</v>
      </c>
      <c r="GL585" s="549">
        <f t="shared" ref="GL585:GM585" si="13667">SUM(GL586:GL588)</f>
        <v>0</v>
      </c>
      <c r="GM585" s="675">
        <f t="shared" si="13667"/>
        <v>0</v>
      </c>
      <c r="GN585" s="549">
        <f t="shared" ref="GN585:GO585" si="13668">SUM(GN586:GN588)</f>
        <v>0</v>
      </c>
      <c r="GO585" s="675">
        <f t="shared" si="13668"/>
        <v>0</v>
      </c>
      <c r="GP585" s="549">
        <f t="shared" ref="GP585:HM585" si="13669">SUM(GP586:GP588)</f>
        <v>35400</v>
      </c>
      <c r="GQ585" s="675">
        <f>SUM(GQ586:GQ588)</f>
        <v>-149807</v>
      </c>
      <c r="GR585" s="74">
        <f t="shared" si="13669"/>
        <v>4402493</v>
      </c>
      <c r="GS585" s="74">
        <f t="shared" si="13669"/>
        <v>4003501</v>
      </c>
      <c r="GT585" s="74">
        <f>SUM(GT586:GT588)</f>
        <v>4402493</v>
      </c>
      <c r="GU585" s="74">
        <f t="shared" si="13669"/>
        <v>464150</v>
      </c>
      <c r="GV585" s="74">
        <f t="shared" si="13669"/>
        <v>432668</v>
      </c>
      <c r="GW585" s="74">
        <f t="shared" si="13669"/>
        <v>417803</v>
      </c>
      <c r="GX585" s="74">
        <f t="shared" si="13669"/>
        <v>400285</v>
      </c>
      <c r="GY585" s="74">
        <f t="shared" si="13669"/>
        <v>400285</v>
      </c>
      <c r="GZ585" s="74">
        <f t="shared" si="13669"/>
        <v>400285</v>
      </c>
      <c r="HA585" s="74">
        <f t="shared" si="13669"/>
        <v>400285</v>
      </c>
      <c r="HB585" s="74">
        <f t="shared" si="13669"/>
        <v>404160</v>
      </c>
      <c r="HC585" s="74">
        <f t="shared" si="13669"/>
        <v>398993</v>
      </c>
      <c r="HD585" s="74">
        <f t="shared" si="13669"/>
        <v>398994</v>
      </c>
      <c r="HE585" s="74">
        <f t="shared" si="13669"/>
        <v>398992</v>
      </c>
      <c r="HF585" s="74">
        <f t="shared" si="13669"/>
        <v>0</v>
      </c>
      <c r="HG585" s="74">
        <f t="shared" si="13669"/>
        <v>4003501</v>
      </c>
      <c r="HH585" s="74">
        <f t="shared" si="13669"/>
        <v>0</v>
      </c>
      <c r="HI585" s="792">
        <f t="shared" si="13669"/>
        <v>0</v>
      </c>
      <c r="HJ585" s="74">
        <f t="shared" si="13669"/>
        <v>0</v>
      </c>
      <c r="HK585" s="792">
        <f t="shared" si="13669"/>
        <v>896818</v>
      </c>
      <c r="HL585" s="74">
        <f t="shared" si="13669"/>
        <v>0</v>
      </c>
      <c r="HM585" s="792">
        <f t="shared" si="13669"/>
        <v>417803</v>
      </c>
      <c r="HN585" s="74">
        <f t="shared" ref="HN585:HO585" si="13670">SUM(HN586:HN588)</f>
        <v>0</v>
      </c>
      <c r="HO585" s="792">
        <f t="shared" si="13670"/>
        <v>400285</v>
      </c>
      <c r="HP585" s="74">
        <f t="shared" ref="HP585:HQ585" si="13671">SUM(HP586:HP588)</f>
        <v>0</v>
      </c>
      <c r="HQ585" s="792">
        <f t="shared" si="13671"/>
        <v>400285</v>
      </c>
      <c r="HR585" s="74">
        <f t="shared" ref="HR585:HS585" si="13672">SUM(HR586:HR588)</f>
        <v>0</v>
      </c>
      <c r="HS585" s="792">
        <f t="shared" si="13672"/>
        <v>400285</v>
      </c>
      <c r="HT585" s="74">
        <f t="shared" ref="HT585:HU585" si="13673">SUM(HT586:HT588)</f>
        <v>0</v>
      </c>
      <c r="HU585" s="792">
        <f t="shared" si="13673"/>
        <v>400285</v>
      </c>
      <c r="HV585" s="74">
        <f t="shared" ref="HV585:HW585" si="13674">SUM(HV586:HV588)</f>
        <v>0</v>
      </c>
      <c r="HW585" s="792">
        <f t="shared" si="13674"/>
        <v>404160</v>
      </c>
      <c r="HX585" s="74">
        <f t="shared" ref="HX585:HY585" si="13675">SUM(HX586:HX588)</f>
        <v>0</v>
      </c>
      <c r="HY585" s="792">
        <f t="shared" si="13675"/>
        <v>398993</v>
      </c>
      <c r="HZ585" s="74">
        <f t="shared" ref="HZ585:IA585" si="13676">SUM(HZ586:HZ588)</f>
        <v>0</v>
      </c>
      <c r="IA585" s="792">
        <f t="shared" si="13676"/>
        <v>398994</v>
      </c>
      <c r="IB585" s="74">
        <f t="shared" ref="IB585:IC585" si="13677">SUM(IB586:IB588)</f>
        <v>0</v>
      </c>
      <c r="IC585" s="792">
        <f t="shared" si="13677"/>
        <v>0</v>
      </c>
      <c r="ID585" s="74">
        <f t="shared" ref="ID585:JT585" si="13678">SUM(ID586:ID588)</f>
        <v>0</v>
      </c>
      <c r="IE585" s="792">
        <f t="shared" si="13678"/>
        <v>0</v>
      </c>
      <c r="IF585" s="841">
        <f t="shared" si="13678"/>
        <v>3618856.66</v>
      </c>
      <c r="IG585" s="263">
        <f t="shared" si="13678"/>
        <v>3618856.66</v>
      </c>
      <c r="IH585" s="842">
        <f t="shared" si="13678"/>
        <v>3618856.66</v>
      </c>
      <c r="II585" s="74">
        <f t="shared" ref="II585:IK585" si="13679">SUM(II586:II588)</f>
        <v>338199.63</v>
      </c>
      <c r="IJ585" s="74">
        <f t="shared" si="13679"/>
        <v>338199.63</v>
      </c>
      <c r="IK585" s="74">
        <f t="shared" si="13679"/>
        <v>338199.63</v>
      </c>
      <c r="IL585" s="74">
        <f t="shared" ref="IL585:IN585" si="13680">SUM(IL586:IL588)</f>
        <v>352199.59</v>
      </c>
      <c r="IM585" s="74">
        <f t="shared" si="13680"/>
        <v>352199.59</v>
      </c>
      <c r="IN585" s="74">
        <f t="shared" si="13680"/>
        <v>352199.59</v>
      </c>
      <c r="IO585" s="74">
        <f t="shared" ref="IO585:IQ585" si="13681">SUM(IO586:IO588)</f>
        <v>173809.97999999998</v>
      </c>
      <c r="IP585" s="74">
        <f t="shared" si="13681"/>
        <v>173809.97999999998</v>
      </c>
      <c r="IQ585" s="74">
        <f t="shared" si="13681"/>
        <v>173809.97999999998</v>
      </c>
      <c r="IR585" s="74">
        <f t="shared" ref="IR585:IT585" si="13682">SUM(IR586:IR588)</f>
        <v>618749.59</v>
      </c>
      <c r="IS585" s="74">
        <f t="shared" si="13682"/>
        <v>618749.59</v>
      </c>
      <c r="IT585" s="74">
        <f t="shared" si="13682"/>
        <v>618749.59</v>
      </c>
      <c r="IU585" s="74">
        <f t="shared" ref="IU585:IW585" si="13683">SUM(IU586:IU588)</f>
        <v>358912.80000000005</v>
      </c>
      <c r="IV585" s="74">
        <f t="shared" si="13683"/>
        <v>358912.80000000005</v>
      </c>
      <c r="IW585" s="74">
        <f t="shared" si="13683"/>
        <v>358912.80000000005</v>
      </c>
      <c r="IX585" s="74">
        <f t="shared" ref="IX585:IZ585" si="13684">SUM(IX586:IX588)</f>
        <v>345835.58999999997</v>
      </c>
      <c r="IY585" s="74">
        <f t="shared" si="13684"/>
        <v>345835.58999999997</v>
      </c>
      <c r="IZ585" s="74">
        <f t="shared" si="13684"/>
        <v>345835.58999999997</v>
      </c>
      <c r="JA585" s="74">
        <f t="shared" ref="JA585:JC585" si="13685">SUM(JA586:JA588)</f>
        <v>366834.83000000019</v>
      </c>
      <c r="JB585" s="74">
        <f t="shared" si="13685"/>
        <v>366834.83000000019</v>
      </c>
      <c r="JC585" s="74">
        <f t="shared" si="13685"/>
        <v>366834.83000000019</v>
      </c>
      <c r="JD585" s="74">
        <f t="shared" ref="JD585:JF585" si="13686">SUM(JD586:JD588)</f>
        <v>355170.73000000004</v>
      </c>
      <c r="JE585" s="74">
        <f t="shared" si="13686"/>
        <v>355170.73000000004</v>
      </c>
      <c r="JF585" s="74">
        <f t="shared" si="13686"/>
        <v>355170.73000000004</v>
      </c>
      <c r="JG585" s="74">
        <f t="shared" ref="JG585:JI585" si="13687">SUM(JG586:JG588)</f>
        <v>353993.92999999964</v>
      </c>
      <c r="JH585" s="74">
        <f t="shared" si="13687"/>
        <v>353993.92999999964</v>
      </c>
      <c r="JI585" s="74">
        <f t="shared" si="13687"/>
        <v>353993.92999999964</v>
      </c>
      <c r="JJ585" s="74">
        <f t="shared" ref="JJ585:JL585" si="13688">SUM(JJ586:JJ588)</f>
        <v>355149.99000000022</v>
      </c>
      <c r="JK585" s="74">
        <f t="shared" si="13688"/>
        <v>355149.99000000022</v>
      </c>
      <c r="JL585" s="74">
        <f t="shared" si="13688"/>
        <v>355149.99000000022</v>
      </c>
      <c r="JM585" s="74">
        <f t="shared" ref="JM585:JO585" si="13689">SUM(JM586:JM588)</f>
        <v>0</v>
      </c>
      <c r="JN585" s="74">
        <f t="shared" si="13689"/>
        <v>0</v>
      </c>
      <c r="JO585" s="74">
        <f t="shared" si="13689"/>
        <v>0</v>
      </c>
      <c r="JP585" s="74">
        <f t="shared" si="13678"/>
        <v>0</v>
      </c>
      <c r="JQ585" s="74">
        <f t="shared" si="13678"/>
        <v>0</v>
      </c>
      <c r="JR585" s="74">
        <f t="shared" si="13678"/>
        <v>0</v>
      </c>
      <c r="JS585" s="74">
        <f t="shared" si="13678"/>
        <v>384644.33999999991</v>
      </c>
      <c r="JT585" s="74">
        <f t="shared" si="13678"/>
        <v>384644.33999999991</v>
      </c>
      <c r="JU585" s="665"/>
      <c r="JV585" s="524"/>
      <c r="JW585" s="525"/>
      <c r="JX585" s="74">
        <f>SUM(JX586:JX588)</f>
        <v>0</v>
      </c>
      <c r="JY585" s="74">
        <f>SUM(JY586:JY588)</f>
        <v>4117908</v>
      </c>
      <c r="JZ585" s="581">
        <f t="shared" si="13477"/>
        <v>35400</v>
      </c>
      <c r="KA585" s="581">
        <f t="shared" si="13478"/>
        <v>-149807</v>
      </c>
      <c r="KB585" s="74">
        <f>SUM(KB586:KB588)</f>
        <v>4003501</v>
      </c>
      <c r="KC585" s="709">
        <f t="shared" si="13396"/>
        <v>0</v>
      </c>
      <c r="KD585" s="36"/>
      <c r="KE585" s="36"/>
      <c r="KF585" s="36"/>
      <c r="KG585" s="36"/>
      <c r="KH585" s="36"/>
      <c r="KI585" s="36"/>
      <c r="KJ585" s="36"/>
      <c r="KK585" s="36"/>
    </row>
    <row r="586" spans="1:297" s="33" customFormat="1">
      <c r="A586" s="86" t="s">
        <v>316</v>
      </c>
      <c r="B586" s="77" t="s">
        <v>60</v>
      </c>
      <c r="C586" s="74">
        <v>3951700</v>
      </c>
      <c r="D586" s="549">
        <v>0</v>
      </c>
      <c r="E586" s="675">
        <v>0</v>
      </c>
      <c r="F586" s="549">
        <v>0</v>
      </c>
      <c r="G586" s="675">
        <v>0</v>
      </c>
      <c r="H586" s="549">
        <v>0</v>
      </c>
      <c r="I586" s="675">
        <v>0</v>
      </c>
      <c r="J586" s="549">
        <v>0</v>
      </c>
      <c r="K586" s="675">
        <v>0</v>
      </c>
      <c r="L586" s="549">
        <v>0</v>
      </c>
      <c r="M586" s="675">
        <v>0</v>
      </c>
      <c r="N586" s="549">
        <v>0</v>
      </c>
      <c r="O586" s="675">
        <v>0</v>
      </c>
      <c r="P586" s="549">
        <v>0</v>
      </c>
      <c r="Q586" s="675">
        <v>0</v>
      </c>
      <c r="R586" s="549">
        <v>0</v>
      </c>
      <c r="S586" s="675">
        <v>0</v>
      </c>
      <c r="T586" s="549">
        <v>0</v>
      </c>
      <c r="U586" s="675">
        <v>0</v>
      </c>
      <c r="V586" s="549">
        <v>0</v>
      </c>
      <c r="W586" s="675">
        <v>0</v>
      </c>
      <c r="X586" s="549">
        <v>0</v>
      </c>
      <c r="Y586" s="675">
        <v>0</v>
      </c>
      <c r="Z586" s="549">
        <v>0</v>
      </c>
      <c r="AA586" s="675">
        <v>0</v>
      </c>
      <c r="AB586" s="549">
        <v>0</v>
      </c>
      <c r="AC586" s="675">
        <v>0</v>
      </c>
      <c r="AD586" s="549">
        <v>0</v>
      </c>
      <c r="AE586" s="675">
        <v>0</v>
      </c>
      <c r="AF586" s="549">
        <v>0</v>
      </c>
      <c r="AG586" s="675">
        <v>0</v>
      </c>
      <c r="AH586" s="549">
        <v>0</v>
      </c>
      <c r="AI586" s="675">
        <v>0</v>
      </c>
      <c r="AJ586" s="549">
        <v>0</v>
      </c>
      <c r="AK586" s="675">
        <v>-47160</v>
      </c>
      <c r="AL586" s="549">
        <v>0</v>
      </c>
      <c r="AM586" s="675">
        <v>0</v>
      </c>
      <c r="AN586" s="549">
        <v>0</v>
      </c>
      <c r="AO586" s="675">
        <v>-22416</v>
      </c>
      <c r="AP586" s="549">
        <v>0</v>
      </c>
      <c r="AQ586" s="675">
        <v>0</v>
      </c>
      <c r="AR586" s="549">
        <v>0</v>
      </c>
      <c r="AS586" s="675">
        <v>0</v>
      </c>
      <c r="AT586" s="549">
        <v>0</v>
      </c>
      <c r="AU586" s="675">
        <v>0</v>
      </c>
      <c r="AV586" s="549">
        <v>0</v>
      </c>
      <c r="AW586" s="675">
        <v>0</v>
      </c>
      <c r="AX586" s="549">
        <v>0</v>
      </c>
      <c r="AY586" s="675">
        <v>0</v>
      </c>
      <c r="AZ586" s="549">
        <v>0</v>
      </c>
      <c r="BA586" s="675">
        <v>0</v>
      </c>
      <c r="BB586" s="549">
        <v>0</v>
      </c>
      <c r="BC586" s="675">
        <v>0</v>
      </c>
      <c r="BD586" s="549">
        <v>0</v>
      </c>
      <c r="BE586" s="675">
        <v>0</v>
      </c>
      <c r="BF586" s="549">
        <v>0</v>
      </c>
      <c r="BG586" s="675">
        <v>0</v>
      </c>
      <c r="BH586" s="549">
        <v>0</v>
      </c>
      <c r="BI586" s="675">
        <v>0</v>
      </c>
      <c r="BJ586" s="549">
        <v>0</v>
      </c>
      <c r="BK586" s="675">
        <v>0</v>
      </c>
      <c r="BL586" s="549">
        <v>0</v>
      </c>
      <c r="BM586" s="675">
        <v>0</v>
      </c>
      <c r="BN586" s="549">
        <v>0</v>
      </c>
      <c r="BO586" s="675">
        <v>0</v>
      </c>
      <c r="BP586" s="549">
        <v>0</v>
      </c>
      <c r="BQ586" s="675">
        <v>0</v>
      </c>
      <c r="BR586" s="549">
        <v>0</v>
      </c>
      <c r="BS586" s="675">
        <v>0</v>
      </c>
      <c r="BT586" s="549">
        <v>0</v>
      </c>
      <c r="BU586" s="675">
        <v>0</v>
      </c>
      <c r="BV586" s="549">
        <v>0</v>
      </c>
      <c r="BW586" s="675">
        <v>0</v>
      </c>
      <c r="BX586" s="549">
        <v>0</v>
      </c>
      <c r="BY586" s="675">
        <v>0</v>
      </c>
      <c r="BZ586" s="549">
        <v>0</v>
      </c>
      <c r="CA586" s="675">
        <v>0</v>
      </c>
      <c r="CB586" s="549">
        <v>0</v>
      </c>
      <c r="CC586" s="675">
        <v>0</v>
      </c>
      <c r="CD586" s="549">
        <v>0</v>
      </c>
      <c r="CE586" s="675">
        <v>0</v>
      </c>
      <c r="CF586" s="549">
        <v>0</v>
      </c>
      <c r="CG586" s="675">
        <v>0</v>
      </c>
      <c r="CH586" s="549">
        <v>0</v>
      </c>
      <c r="CI586" s="675">
        <v>0</v>
      </c>
      <c r="CJ586" s="549">
        <v>0</v>
      </c>
      <c r="CK586" s="675">
        <v>0</v>
      </c>
      <c r="CL586" s="549">
        <v>0</v>
      </c>
      <c r="CM586" s="675">
        <v>0</v>
      </c>
      <c r="CN586" s="549">
        <v>0</v>
      </c>
      <c r="CO586" s="675">
        <v>0</v>
      </c>
      <c r="CP586" s="549">
        <v>0</v>
      </c>
      <c r="CQ586" s="675">
        <v>0</v>
      </c>
      <c r="CR586" s="549">
        <v>0</v>
      </c>
      <c r="CS586" s="675">
        <v>0</v>
      </c>
      <c r="CT586" s="549">
        <v>0</v>
      </c>
      <c r="CU586" s="675">
        <v>0</v>
      </c>
      <c r="CV586" s="549">
        <v>0</v>
      </c>
      <c r="CW586" s="675">
        <v>0</v>
      </c>
      <c r="CX586" s="549">
        <v>0</v>
      </c>
      <c r="CY586" s="675">
        <v>0</v>
      </c>
      <c r="CZ586" s="549">
        <v>0</v>
      </c>
      <c r="DA586" s="675">
        <v>0</v>
      </c>
      <c r="DB586" s="549">
        <v>0</v>
      </c>
      <c r="DC586" s="675">
        <v>0</v>
      </c>
      <c r="DD586" s="549">
        <v>0</v>
      </c>
      <c r="DE586" s="675">
        <v>0</v>
      </c>
      <c r="DF586" s="549">
        <v>0</v>
      </c>
      <c r="DG586" s="675">
        <v>0</v>
      </c>
      <c r="DH586" s="549">
        <v>0</v>
      </c>
      <c r="DI586" s="675">
        <v>0</v>
      </c>
      <c r="DJ586" s="549">
        <v>0</v>
      </c>
      <c r="DK586" s="675">
        <v>0</v>
      </c>
      <c r="DL586" s="549">
        <v>0</v>
      </c>
      <c r="DM586" s="675">
        <v>0</v>
      </c>
      <c r="DN586" s="549">
        <v>0</v>
      </c>
      <c r="DO586" s="675">
        <v>0</v>
      </c>
      <c r="DP586" s="549">
        <v>0</v>
      </c>
      <c r="DQ586" s="675">
        <v>0</v>
      </c>
      <c r="DR586" s="549">
        <v>0</v>
      </c>
      <c r="DS586" s="675">
        <v>0</v>
      </c>
      <c r="DT586" s="549">
        <v>0</v>
      </c>
      <c r="DU586" s="675">
        <v>0</v>
      </c>
      <c r="DV586" s="549">
        <v>0</v>
      </c>
      <c r="DW586" s="675">
        <v>0</v>
      </c>
      <c r="DX586" s="549">
        <v>0</v>
      </c>
      <c r="DY586" s="675">
        <v>0</v>
      </c>
      <c r="DZ586" s="549">
        <v>0</v>
      </c>
      <c r="EA586" s="675">
        <v>0</v>
      </c>
      <c r="EB586" s="549">
        <v>0</v>
      </c>
      <c r="EC586" s="675">
        <v>0</v>
      </c>
      <c r="ED586" s="549">
        <v>0</v>
      </c>
      <c r="EE586" s="675">
        <v>0</v>
      </c>
      <c r="EF586" s="549">
        <v>0</v>
      </c>
      <c r="EG586" s="675">
        <v>0</v>
      </c>
      <c r="EH586" s="549">
        <v>0</v>
      </c>
      <c r="EI586" s="675">
        <v>0</v>
      </c>
      <c r="EJ586" s="549">
        <v>0</v>
      </c>
      <c r="EK586" s="675">
        <v>0</v>
      </c>
      <c r="EL586" s="549">
        <v>0</v>
      </c>
      <c r="EM586" s="675">
        <v>0</v>
      </c>
      <c r="EN586" s="549">
        <v>0</v>
      </c>
      <c r="EO586" s="675">
        <v>0</v>
      </c>
      <c r="EP586" s="549">
        <v>0</v>
      </c>
      <c r="EQ586" s="675">
        <v>0</v>
      </c>
      <c r="ER586" s="549">
        <v>0</v>
      </c>
      <c r="ES586" s="675">
        <v>0</v>
      </c>
      <c r="ET586" s="549">
        <v>0</v>
      </c>
      <c r="EU586" s="675">
        <v>0</v>
      </c>
      <c r="EV586" s="549">
        <v>0</v>
      </c>
      <c r="EW586" s="675">
        <v>0</v>
      </c>
      <c r="EX586" s="549">
        <v>0</v>
      </c>
      <c r="EY586" s="675">
        <v>-25600</v>
      </c>
      <c r="EZ586" s="549">
        <v>0</v>
      </c>
      <c r="FA586" s="675">
        <v>0</v>
      </c>
      <c r="FB586" s="549">
        <v>0</v>
      </c>
      <c r="FC586" s="675">
        <v>0</v>
      </c>
      <c r="FD586" s="549">
        <v>0</v>
      </c>
      <c r="FE586" s="675">
        <v>0</v>
      </c>
      <c r="FF586" s="549">
        <v>0</v>
      </c>
      <c r="FG586" s="675">
        <v>0</v>
      </c>
      <c r="FH586" s="549">
        <v>0</v>
      </c>
      <c r="FI586" s="675">
        <v>0</v>
      </c>
      <c r="FJ586" s="549">
        <v>0</v>
      </c>
      <c r="FK586" s="675">
        <v>0</v>
      </c>
      <c r="FL586" s="549">
        <v>0</v>
      </c>
      <c r="FM586" s="675">
        <v>0</v>
      </c>
      <c r="FN586" s="549">
        <v>0</v>
      </c>
      <c r="FO586" s="675">
        <v>0</v>
      </c>
      <c r="FP586" s="549">
        <v>0</v>
      </c>
      <c r="FQ586" s="675">
        <v>0</v>
      </c>
      <c r="FR586" s="549">
        <v>0</v>
      </c>
      <c r="FS586" s="675">
        <v>0</v>
      </c>
      <c r="FT586" s="549">
        <v>0</v>
      </c>
      <c r="FU586" s="675">
        <v>0</v>
      </c>
      <c r="FV586" s="549">
        <v>0</v>
      </c>
      <c r="FW586" s="675">
        <v>0</v>
      </c>
      <c r="FX586" s="549">
        <v>0</v>
      </c>
      <c r="FY586" s="675">
        <v>0</v>
      </c>
      <c r="FZ586" s="549">
        <v>0</v>
      </c>
      <c r="GA586" s="675">
        <v>0</v>
      </c>
      <c r="GB586" s="549">
        <v>0</v>
      </c>
      <c r="GC586" s="675">
        <v>0</v>
      </c>
      <c r="GD586" s="549">
        <v>0</v>
      </c>
      <c r="GE586" s="675">
        <v>0</v>
      </c>
      <c r="GF586" s="549">
        <v>0</v>
      </c>
      <c r="GG586" s="675">
        <v>0</v>
      </c>
      <c r="GH586" s="549">
        <v>0</v>
      </c>
      <c r="GI586" s="675">
        <v>0</v>
      </c>
      <c r="GJ586" s="549">
        <v>0</v>
      </c>
      <c r="GK586" s="675">
        <v>0</v>
      </c>
      <c r="GL586" s="549">
        <v>0</v>
      </c>
      <c r="GM586" s="675">
        <v>0</v>
      </c>
      <c r="GN586" s="549">
        <v>0</v>
      </c>
      <c r="GO586" s="675">
        <v>0</v>
      </c>
      <c r="GP586" s="549">
        <f t="shared" ref="GP586:GP588" si="13690">+D586+F586+H586+J586+L586+N586+P586+R586+T586+V586+X586+Z586+AB586+AF586+AD586+AH586+AJ586+AL586+AN586+AP586+AR586+AT586+AV586+AX586+AZ586+BB586+BD586+BF586+BH586+BJ586+BL586+BN586+BP586+BR586+BT586+BV586+BX586+BZ586+CB586+CD586+CF586+CH586+CJ586+CL586+CN586+CP586+CR586+CT586+CV586+CX586+CZ586+DB586+DD586+DF586+DH586+DT586+EX586+DJ586+DL586+DN586+DP586+DR586+EJ586+EB586+DZ586+DX586+DV586+ED586+EF586+EH586+EL586+EN586+EP586+EV586+ET586+ER586+EZ586+FB586+FD586+GL586+FF586+FJ586+FL586+GJ586+FT586+FR586+FP586+FN586+FH586+GH586+GF586+GD586+GB586+FZ586+FX586+FV586+GN586</f>
        <v>0</v>
      </c>
      <c r="GQ586" s="675">
        <f t="shared" ref="GQ586:GQ588" si="13691">+E586+G586+I586+K586+M586+O586+Q586+S586+U586+W586+Y586+AA586+AC586+AE586+AG586+AI586+AK586+AM586+AO586+AQ586+AS586+AU586+AW586+AY586+BA586+BC586+BE586+BG586+BI586+BK586+BM586+BO586+BQ586+BS586+BU586+BW586+BY586+CA586+CC586+CE586+CG586+CI586+CK586+CM586+CO586+CQ586+CS586+CU586+CW586+CY586+DA586+DC586+DE586+DG586+DI586+DU586+EY586+DK586+DM586+DO586+DQ586+DS586+EK586+EC586+EA586+DY586+DW586+EI586+EG586+EE586+EM586+EO586+EQ586+EW586+EU586+ES586+FA586+FC586+FE586+GM586+FG586+FK586+FM586+FO586+FQ586+FS586+FU586+GK586+FI586+GI586+GG586+GE586+GC586+GA586+FY586+FW586+GO586</f>
        <v>-95176</v>
      </c>
      <c r="GR586" s="74">
        <f>C586+GP586+GQ586</f>
        <v>3856524</v>
      </c>
      <c r="GS586" s="74">
        <f t="shared" ref="GS586:GS588" si="13692">SUM(GU586:HD586)+GP586+GQ586</f>
        <v>3508259</v>
      </c>
      <c r="GT586" s="568">
        <f t="shared" ref="GT586:GT588" si="13693">SUM(GU586:HF586)+GQ586+GP586</f>
        <v>3856524</v>
      </c>
      <c r="GU586" s="275">
        <f>359250+53510</f>
        <v>412760</v>
      </c>
      <c r="GV586" s="275">
        <f>359245-5351+4143+23250</f>
        <v>381287</v>
      </c>
      <c r="GW586" s="275">
        <f>359245-5351-460-2583+10334</f>
        <v>361185</v>
      </c>
      <c r="GX586" s="275">
        <f>359245-5351-460-2583-1292</f>
        <v>349559</v>
      </c>
      <c r="GY586" s="275">
        <f>359245-5351-460-2583-1292</f>
        <v>349559</v>
      </c>
      <c r="GZ586" s="275">
        <f>359245-5351-460-2583-1292</f>
        <v>349559</v>
      </c>
      <c r="HA586" s="275">
        <f>359245-5351-460-2583-1292</f>
        <v>349559</v>
      </c>
      <c r="HB586" s="275">
        <f>359245-5351-460-2583-1292+3875</f>
        <v>353434</v>
      </c>
      <c r="HC586" s="275">
        <f>359245-5351-460-2584-1292-1292</f>
        <v>348266</v>
      </c>
      <c r="HD586" s="275">
        <f>359245-5351-460-2584-1291-1292</f>
        <v>348267</v>
      </c>
      <c r="HE586" s="275">
        <f>359245-5351-463-2584-1291-1291</f>
        <v>348265</v>
      </c>
      <c r="HF586" s="275">
        <v>0</v>
      </c>
      <c r="HG586" s="74">
        <f>SUM(HH586:IE586)+GP586+GQ586</f>
        <v>3508259</v>
      </c>
      <c r="HH586" s="89">
        <v>0</v>
      </c>
      <c r="HI586" s="817">
        <v>0</v>
      </c>
      <c r="HJ586" s="89">
        <v>0</v>
      </c>
      <c r="HK586" s="817">
        <f>611455.89+182591.11</f>
        <v>794047</v>
      </c>
      <c r="HL586" s="89">
        <v>0</v>
      </c>
      <c r="HM586" s="817">
        <f>18678.87+342506.13</f>
        <v>361185</v>
      </c>
      <c r="HN586" s="89">
        <v>0</v>
      </c>
      <c r="HO586" s="817">
        <f>115424.54+234134.46</f>
        <v>349559</v>
      </c>
      <c r="HP586" s="89">
        <v>0</v>
      </c>
      <c r="HQ586" s="817">
        <f>197778.26+151780.74</f>
        <v>349559</v>
      </c>
      <c r="HR586" s="89">
        <v>0</v>
      </c>
      <c r="HS586" s="817">
        <f>160873.18+188685.82</f>
        <v>349559</v>
      </c>
      <c r="HT586" s="89">
        <v>0</v>
      </c>
      <c r="HU586" s="817">
        <f>123615.68+225943.32</f>
        <v>349559</v>
      </c>
      <c r="HV586" s="89">
        <v>0</v>
      </c>
      <c r="HW586" s="817">
        <f>269978.26+83455.74</f>
        <v>353434</v>
      </c>
      <c r="HX586" s="89">
        <v>0</v>
      </c>
      <c r="HY586" s="817">
        <f>65717.34+282548.66</f>
        <v>348266</v>
      </c>
      <c r="HZ586" s="89">
        <v>0</v>
      </c>
      <c r="IA586" s="817">
        <f>322090.67+26176.33</f>
        <v>348267</v>
      </c>
      <c r="IB586" s="89">
        <v>0</v>
      </c>
      <c r="IC586" s="817">
        <v>0</v>
      </c>
      <c r="ID586" s="89">
        <v>0</v>
      </c>
      <c r="IE586" s="817">
        <v>0</v>
      </c>
      <c r="IF586" s="841">
        <f t="shared" ref="IF586:IF588" si="13694">SUM(II586,IL586,IO586,IR586,IU586,IX586,JA586,JD586,JG586,JJ586,JM586,JP586)</f>
        <v>3186168.33</v>
      </c>
      <c r="IG586" s="263">
        <f t="shared" ref="IG586:IG588" si="13695">SUM(IJ586,IM586,IP586,IS586,IV586,IY586,JB586,JE586,JH586,JK586,JN586,JQ586)</f>
        <v>3186168.33</v>
      </c>
      <c r="IH586" s="842">
        <f t="shared" ref="IH586:IH588" si="13696">SUM(IK586,IN586,IQ586,IT586,IW586,IZ586,JC586,JF586,JI586,JL586,JO586,JR586)</f>
        <v>3186168.33</v>
      </c>
      <c r="II586" s="89">
        <v>298656.3</v>
      </c>
      <c r="IJ586" s="89">
        <f t="shared" ref="IJ586:IJ588" si="13697">II586</f>
        <v>298656.3</v>
      </c>
      <c r="IK586" s="89">
        <f t="shared" ref="IK586:IK588" si="13698">IJ586</f>
        <v>298656.3</v>
      </c>
      <c r="IL586" s="89">
        <f>611455.89-298656.3</f>
        <v>312799.59000000003</v>
      </c>
      <c r="IM586" s="89">
        <f t="shared" ref="IM586:IM588" si="13699">IL586</f>
        <v>312799.59000000003</v>
      </c>
      <c r="IN586" s="89">
        <f t="shared" ref="IN586:IN588" si="13700">IM586</f>
        <v>312799.59000000003</v>
      </c>
      <c r="IO586" s="89">
        <f>765565.87-611455.89</f>
        <v>154109.97999999998</v>
      </c>
      <c r="IP586" s="89">
        <f t="shared" ref="IP586:IP588" si="13701">IO586</f>
        <v>154109.97999999998</v>
      </c>
      <c r="IQ586" s="89">
        <f t="shared" ref="IQ586:IQ588" si="13702">IP586</f>
        <v>154109.97999999998</v>
      </c>
      <c r="IR586" s="89">
        <f>1319790.46-765565.87</f>
        <v>554224.59</v>
      </c>
      <c r="IS586" s="89">
        <f t="shared" ref="IS586:IS588" si="13703">IR586</f>
        <v>554224.59</v>
      </c>
      <c r="IT586" s="89">
        <f t="shared" ref="IT586:IT588" si="13704">IS586</f>
        <v>554224.59</v>
      </c>
      <c r="IU586" s="89">
        <f>1632993.26-1319790.46</f>
        <v>313202.80000000005</v>
      </c>
      <c r="IV586" s="89">
        <f t="shared" ref="IV586:IV588" si="13705">IU586</f>
        <v>313202.80000000005</v>
      </c>
      <c r="IW586" s="89">
        <f t="shared" ref="IW586:IW588" si="13706">IV586</f>
        <v>313202.80000000005</v>
      </c>
      <c r="IX586" s="89">
        <f>1945647.18-1632993.26</f>
        <v>312653.91999999993</v>
      </c>
      <c r="IY586" s="89">
        <f t="shared" ref="IY586:IY588" si="13707">IX586</f>
        <v>312653.91999999993</v>
      </c>
      <c r="IZ586" s="89">
        <f t="shared" ref="IZ586:IZ588" si="13708">IY586</f>
        <v>312653.91999999993</v>
      </c>
      <c r="JA586" s="89">
        <f>2257948.68-1945647.18</f>
        <v>312301.50000000023</v>
      </c>
      <c r="JB586" s="89">
        <f t="shared" ref="JB586:JB588" si="13709">JA586</f>
        <v>312301.50000000023</v>
      </c>
      <c r="JC586" s="89">
        <f t="shared" ref="JC586:JC588" si="13710">JB586</f>
        <v>312301.50000000023</v>
      </c>
      <c r="JD586" s="89">
        <f>2567347.74-2257948.68</f>
        <v>309399.06000000006</v>
      </c>
      <c r="JE586" s="89">
        <f t="shared" ref="JE586:JE588" si="13711">JD586</f>
        <v>309399.06000000006</v>
      </c>
      <c r="JF586" s="89">
        <f t="shared" ref="JF586:JF588" si="13712">JE586</f>
        <v>309399.06000000006</v>
      </c>
      <c r="JG586" s="89">
        <f>2877443.34-2567347.74</f>
        <v>310095.59999999963</v>
      </c>
      <c r="JH586" s="89">
        <f t="shared" ref="JH586:JH588" si="13713">JG586</f>
        <v>310095.59999999963</v>
      </c>
      <c r="JI586" s="89">
        <f t="shared" ref="JI586:JI588" si="13714">JH586</f>
        <v>310095.59999999963</v>
      </c>
      <c r="JJ586" s="89">
        <f>3186168.33-2877443.34</f>
        <v>308724.99000000022</v>
      </c>
      <c r="JK586" s="89">
        <f t="shared" ref="JK586:JK588" si="13715">JJ586</f>
        <v>308724.99000000022</v>
      </c>
      <c r="JL586" s="89">
        <f t="shared" ref="JL586:JL588" si="13716">JK586</f>
        <v>308724.99000000022</v>
      </c>
      <c r="JM586" s="89">
        <v>0</v>
      </c>
      <c r="JN586" s="89">
        <f t="shared" ref="JN586:JN588" si="13717">JM586</f>
        <v>0</v>
      </c>
      <c r="JO586" s="89">
        <f t="shared" ref="JO586:JO588" si="13718">JN586</f>
        <v>0</v>
      </c>
      <c r="JP586" s="89">
        <v>0</v>
      </c>
      <c r="JQ586" s="89">
        <f t="shared" ref="JQ586:JR586" si="13719">JP586</f>
        <v>0</v>
      </c>
      <c r="JR586" s="89">
        <f t="shared" si="13719"/>
        <v>0</v>
      </c>
      <c r="JS586" s="74">
        <f>HG586-IF586</f>
        <v>322090.66999999993</v>
      </c>
      <c r="JT586" s="382">
        <f>GS586-IF586</f>
        <v>322090.66999999993</v>
      </c>
      <c r="JU586" s="665"/>
      <c r="JV586" s="489"/>
      <c r="JW586" s="525"/>
      <c r="JX586" s="549">
        <f t="shared" ref="JX586:JY588" si="13720">SUM(HH586,HJ586,HL586,HN586,HP586,HR586,HT586,HV586,HX586,HZ586,IB586,ID586)</f>
        <v>0</v>
      </c>
      <c r="JY586" s="549">
        <f t="shared" si="13720"/>
        <v>3603435</v>
      </c>
      <c r="JZ586" s="581">
        <f t="shared" si="13477"/>
        <v>0</v>
      </c>
      <c r="KA586" s="581">
        <f t="shared" si="13478"/>
        <v>-95176</v>
      </c>
      <c r="KB586" s="549">
        <f t="shared" si="13163"/>
        <v>3508259</v>
      </c>
      <c r="KC586" s="709">
        <f t="shared" si="13396"/>
        <v>0</v>
      </c>
      <c r="KD586" s="36"/>
      <c r="KE586" s="36"/>
      <c r="KF586" s="36"/>
      <c r="KG586" s="36"/>
      <c r="KH586" s="36"/>
      <c r="KI586" s="36"/>
      <c r="KJ586" s="36"/>
      <c r="KK586" s="36"/>
    </row>
    <row r="587" spans="1:297" s="33" customFormat="1">
      <c r="A587" s="86" t="s">
        <v>317</v>
      </c>
      <c r="B587" s="77" t="s">
        <v>62</v>
      </c>
      <c r="C587" s="74">
        <v>480000</v>
      </c>
      <c r="D587" s="549">
        <v>0</v>
      </c>
      <c r="E587" s="675">
        <v>0</v>
      </c>
      <c r="F587" s="549">
        <v>0</v>
      </c>
      <c r="G587" s="675">
        <v>0</v>
      </c>
      <c r="H587" s="549">
        <v>0</v>
      </c>
      <c r="I587" s="675">
        <v>0</v>
      </c>
      <c r="J587" s="549">
        <v>0</v>
      </c>
      <c r="K587" s="675">
        <v>0</v>
      </c>
      <c r="L587" s="549">
        <v>0</v>
      </c>
      <c r="M587" s="675">
        <v>0</v>
      </c>
      <c r="N587" s="549">
        <v>0</v>
      </c>
      <c r="O587" s="675">
        <v>0</v>
      </c>
      <c r="P587" s="549">
        <v>0</v>
      </c>
      <c r="Q587" s="675">
        <v>0</v>
      </c>
      <c r="R587" s="549">
        <v>24000</v>
      </c>
      <c r="S587" s="675">
        <v>0</v>
      </c>
      <c r="T587" s="549">
        <v>0</v>
      </c>
      <c r="U587" s="675">
        <v>0</v>
      </c>
      <c r="V587" s="549">
        <v>0</v>
      </c>
      <c r="W587" s="675">
        <v>0</v>
      </c>
      <c r="X587" s="549">
        <v>0</v>
      </c>
      <c r="Y587" s="675">
        <v>0</v>
      </c>
      <c r="Z587" s="549">
        <v>0</v>
      </c>
      <c r="AA587" s="675">
        <v>0</v>
      </c>
      <c r="AB587" s="549">
        <v>0</v>
      </c>
      <c r="AC587" s="675">
        <v>0</v>
      </c>
      <c r="AD587" s="549">
        <v>0</v>
      </c>
      <c r="AE587" s="675">
        <v>0</v>
      </c>
      <c r="AF587" s="549">
        <v>0</v>
      </c>
      <c r="AG587" s="675">
        <v>0</v>
      </c>
      <c r="AH587" s="549">
        <v>0</v>
      </c>
      <c r="AI587" s="675">
        <v>0</v>
      </c>
      <c r="AJ587" s="549">
        <v>0</v>
      </c>
      <c r="AK587" s="675">
        <v>-39256</v>
      </c>
      <c r="AL587" s="549">
        <v>0</v>
      </c>
      <c r="AM587" s="675">
        <v>0</v>
      </c>
      <c r="AN587" s="549">
        <v>0</v>
      </c>
      <c r="AO587" s="675">
        <v>0</v>
      </c>
      <c r="AP587" s="549">
        <v>0</v>
      </c>
      <c r="AQ587" s="675">
        <v>0</v>
      </c>
      <c r="AR587" s="549">
        <v>0</v>
      </c>
      <c r="AS587" s="675">
        <v>0</v>
      </c>
      <c r="AT587" s="549">
        <v>0</v>
      </c>
      <c r="AU587" s="675">
        <v>0</v>
      </c>
      <c r="AV587" s="549">
        <v>0</v>
      </c>
      <c r="AW587" s="675">
        <v>-9975</v>
      </c>
      <c r="AX587" s="549">
        <v>0</v>
      </c>
      <c r="AY587" s="675">
        <v>0</v>
      </c>
      <c r="AZ587" s="549">
        <v>0</v>
      </c>
      <c r="BA587" s="675">
        <v>0</v>
      </c>
      <c r="BB587" s="549">
        <v>0</v>
      </c>
      <c r="BC587" s="675">
        <v>0</v>
      </c>
      <c r="BD587" s="549">
        <v>0</v>
      </c>
      <c r="BE587" s="675">
        <v>0</v>
      </c>
      <c r="BF587" s="549">
        <v>0</v>
      </c>
      <c r="BG587" s="675">
        <v>0</v>
      </c>
      <c r="BH587" s="549">
        <v>0</v>
      </c>
      <c r="BI587" s="675">
        <v>0</v>
      </c>
      <c r="BJ587" s="549">
        <v>0</v>
      </c>
      <c r="BK587" s="675">
        <v>0</v>
      </c>
      <c r="BL587" s="549">
        <v>0</v>
      </c>
      <c r="BM587" s="675">
        <v>0</v>
      </c>
      <c r="BN587" s="549">
        <v>0</v>
      </c>
      <c r="BO587" s="675">
        <v>0</v>
      </c>
      <c r="BP587" s="549">
        <v>0</v>
      </c>
      <c r="BQ587" s="675">
        <v>0</v>
      </c>
      <c r="BR587" s="549">
        <v>0</v>
      </c>
      <c r="BS587" s="675">
        <v>0</v>
      </c>
      <c r="BT587" s="549">
        <v>0</v>
      </c>
      <c r="BU587" s="675">
        <v>0</v>
      </c>
      <c r="BV587" s="549">
        <v>0</v>
      </c>
      <c r="BW587" s="675">
        <v>0</v>
      </c>
      <c r="BX587" s="549">
        <v>0</v>
      </c>
      <c r="BY587" s="675">
        <v>0</v>
      </c>
      <c r="BZ587" s="549">
        <v>0</v>
      </c>
      <c r="CA587" s="675">
        <v>0</v>
      </c>
      <c r="CB587" s="549">
        <v>0</v>
      </c>
      <c r="CC587" s="675">
        <v>0</v>
      </c>
      <c r="CD587" s="549">
        <v>0</v>
      </c>
      <c r="CE587" s="675">
        <v>0</v>
      </c>
      <c r="CF587" s="549">
        <v>0</v>
      </c>
      <c r="CG587" s="675">
        <v>0</v>
      </c>
      <c r="CH587" s="549">
        <v>0</v>
      </c>
      <c r="CI587" s="675">
        <v>0</v>
      </c>
      <c r="CJ587" s="549">
        <v>0</v>
      </c>
      <c r="CK587" s="675">
        <v>0</v>
      </c>
      <c r="CL587" s="549">
        <v>0</v>
      </c>
      <c r="CM587" s="675">
        <v>0</v>
      </c>
      <c r="CN587" s="549">
        <v>0</v>
      </c>
      <c r="CO587" s="675">
        <v>0</v>
      </c>
      <c r="CP587" s="549">
        <v>0</v>
      </c>
      <c r="CQ587" s="675">
        <v>0</v>
      </c>
      <c r="CR587" s="549">
        <v>0</v>
      </c>
      <c r="CS587" s="675">
        <v>0</v>
      </c>
      <c r="CT587" s="549">
        <v>0</v>
      </c>
      <c r="CU587" s="675">
        <v>0</v>
      </c>
      <c r="CV587" s="549">
        <v>0</v>
      </c>
      <c r="CW587" s="675">
        <v>0</v>
      </c>
      <c r="CX587" s="549">
        <v>0</v>
      </c>
      <c r="CY587" s="675">
        <v>0</v>
      </c>
      <c r="CZ587" s="549">
        <v>0</v>
      </c>
      <c r="DA587" s="675">
        <v>0</v>
      </c>
      <c r="DB587" s="549">
        <v>0</v>
      </c>
      <c r="DC587" s="675">
        <v>0</v>
      </c>
      <c r="DD587" s="549">
        <v>0</v>
      </c>
      <c r="DE587" s="675">
        <v>0</v>
      </c>
      <c r="DF587" s="549">
        <v>0</v>
      </c>
      <c r="DG587" s="675">
        <v>0</v>
      </c>
      <c r="DH587" s="549">
        <v>0</v>
      </c>
      <c r="DI587" s="675">
        <v>0</v>
      </c>
      <c r="DJ587" s="549">
        <v>0</v>
      </c>
      <c r="DK587" s="675">
        <v>0</v>
      </c>
      <c r="DL587" s="549">
        <v>0</v>
      </c>
      <c r="DM587" s="675">
        <v>0</v>
      </c>
      <c r="DN587" s="549">
        <v>0</v>
      </c>
      <c r="DO587" s="675">
        <v>0</v>
      </c>
      <c r="DP587" s="549">
        <v>0</v>
      </c>
      <c r="DQ587" s="675">
        <v>0</v>
      </c>
      <c r="DR587" s="549">
        <v>0</v>
      </c>
      <c r="DS587" s="675">
        <v>0</v>
      </c>
      <c r="DT587" s="549">
        <v>0</v>
      </c>
      <c r="DU587" s="675">
        <v>0</v>
      </c>
      <c r="DV587" s="549">
        <v>0</v>
      </c>
      <c r="DW587" s="675">
        <v>0</v>
      </c>
      <c r="DX587" s="549">
        <v>0</v>
      </c>
      <c r="DY587" s="675">
        <v>0</v>
      </c>
      <c r="DZ587" s="549">
        <v>0</v>
      </c>
      <c r="EA587" s="675">
        <v>0</v>
      </c>
      <c r="EB587" s="549">
        <v>0</v>
      </c>
      <c r="EC587" s="675">
        <v>0</v>
      </c>
      <c r="ED587" s="549">
        <v>0</v>
      </c>
      <c r="EE587" s="675">
        <v>0</v>
      </c>
      <c r="EF587" s="549">
        <v>0</v>
      </c>
      <c r="EG587" s="675">
        <v>0</v>
      </c>
      <c r="EH587" s="549">
        <v>0</v>
      </c>
      <c r="EI587" s="675">
        <v>0</v>
      </c>
      <c r="EJ587" s="549">
        <v>0</v>
      </c>
      <c r="EK587" s="675">
        <v>0</v>
      </c>
      <c r="EL587" s="549">
        <v>0</v>
      </c>
      <c r="EM587" s="675">
        <v>0</v>
      </c>
      <c r="EN587" s="549">
        <v>0</v>
      </c>
      <c r="EO587" s="675">
        <v>0</v>
      </c>
      <c r="EP587" s="549">
        <v>0</v>
      </c>
      <c r="EQ587" s="675">
        <v>0</v>
      </c>
      <c r="ER587" s="549">
        <v>0</v>
      </c>
      <c r="ES587" s="675">
        <v>0</v>
      </c>
      <c r="ET587" s="549">
        <v>0</v>
      </c>
      <c r="EU587" s="675">
        <v>0</v>
      </c>
      <c r="EV587" s="549">
        <v>0</v>
      </c>
      <c r="EW587" s="675">
        <v>0</v>
      </c>
      <c r="EX587" s="549">
        <v>0</v>
      </c>
      <c r="EY587" s="675">
        <v>0</v>
      </c>
      <c r="EZ587" s="549">
        <v>0</v>
      </c>
      <c r="FA587" s="675">
        <v>0</v>
      </c>
      <c r="FB587" s="549">
        <v>0</v>
      </c>
      <c r="FC587" s="675">
        <v>0</v>
      </c>
      <c r="FD587" s="549">
        <v>0</v>
      </c>
      <c r="FE587" s="675">
        <v>0</v>
      </c>
      <c r="FF587" s="549">
        <v>0</v>
      </c>
      <c r="FG587" s="675">
        <v>0</v>
      </c>
      <c r="FH587" s="549">
        <v>0</v>
      </c>
      <c r="FI587" s="675">
        <v>0</v>
      </c>
      <c r="FJ587" s="549">
        <v>0</v>
      </c>
      <c r="FK587" s="675">
        <v>0</v>
      </c>
      <c r="FL587" s="549">
        <v>0</v>
      </c>
      <c r="FM587" s="675">
        <v>0</v>
      </c>
      <c r="FN587" s="549">
        <v>0</v>
      </c>
      <c r="FO587" s="675">
        <v>0</v>
      </c>
      <c r="FP587" s="549">
        <v>0</v>
      </c>
      <c r="FQ587" s="675">
        <v>0</v>
      </c>
      <c r="FR587" s="549">
        <v>0</v>
      </c>
      <c r="FS587" s="675">
        <v>0</v>
      </c>
      <c r="FT587" s="549">
        <v>0</v>
      </c>
      <c r="FU587" s="675">
        <v>0</v>
      </c>
      <c r="FV587" s="549">
        <v>0</v>
      </c>
      <c r="FW587" s="675">
        <v>0</v>
      </c>
      <c r="FX587" s="549">
        <v>0</v>
      </c>
      <c r="FY587" s="675">
        <v>0</v>
      </c>
      <c r="FZ587" s="549">
        <v>0</v>
      </c>
      <c r="GA587" s="675">
        <v>0</v>
      </c>
      <c r="GB587" s="549">
        <v>0</v>
      </c>
      <c r="GC587" s="675">
        <v>0</v>
      </c>
      <c r="GD587" s="549">
        <v>0</v>
      </c>
      <c r="GE587" s="675">
        <v>0</v>
      </c>
      <c r="GF587" s="549">
        <v>0</v>
      </c>
      <c r="GG587" s="675">
        <v>0</v>
      </c>
      <c r="GH587" s="549">
        <v>0</v>
      </c>
      <c r="GI587" s="675">
        <v>0</v>
      </c>
      <c r="GJ587" s="549">
        <v>0</v>
      </c>
      <c r="GK587" s="675">
        <v>0</v>
      </c>
      <c r="GL587" s="549">
        <v>0</v>
      </c>
      <c r="GM587" s="675">
        <v>0</v>
      </c>
      <c r="GN587" s="549">
        <v>0</v>
      </c>
      <c r="GO587" s="675">
        <v>0</v>
      </c>
      <c r="GP587" s="549">
        <f t="shared" si="13690"/>
        <v>24000</v>
      </c>
      <c r="GQ587" s="675">
        <f t="shared" si="13691"/>
        <v>-49231</v>
      </c>
      <c r="GR587" s="74">
        <f>C587+GP587+GQ587</f>
        <v>454769</v>
      </c>
      <c r="GS587" s="74">
        <f t="shared" si="13692"/>
        <v>411787</v>
      </c>
      <c r="GT587" s="568">
        <f t="shared" si="13693"/>
        <v>454769</v>
      </c>
      <c r="GU587" s="275">
        <v>43640</v>
      </c>
      <c r="GV587" s="275">
        <v>43636</v>
      </c>
      <c r="GW587" s="275">
        <f>43636+5237</f>
        <v>48873</v>
      </c>
      <c r="GX587" s="275">
        <f t="shared" ref="GX587:HB587" si="13721">43636-655</f>
        <v>42981</v>
      </c>
      <c r="GY587" s="275">
        <f t="shared" si="13721"/>
        <v>42981</v>
      </c>
      <c r="GZ587" s="275">
        <f t="shared" si="13721"/>
        <v>42981</v>
      </c>
      <c r="HA587" s="275">
        <f t="shared" si="13721"/>
        <v>42981</v>
      </c>
      <c r="HB587" s="275">
        <f t="shared" si="13721"/>
        <v>42981</v>
      </c>
      <c r="HC587" s="275">
        <f>43636-654</f>
        <v>42982</v>
      </c>
      <c r="HD587" s="275">
        <f>43636-654</f>
        <v>42982</v>
      </c>
      <c r="HE587" s="275">
        <f>43636-654</f>
        <v>42982</v>
      </c>
      <c r="HF587" s="275">
        <v>0</v>
      </c>
      <c r="HG587" s="74">
        <f>SUM(HH587:IE587)+GP587+GQ587</f>
        <v>411787</v>
      </c>
      <c r="HH587" s="89">
        <v>0</v>
      </c>
      <c r="HI587" s="817">
        <v>0</v>
      </c>
      <c r="HJ587" s="89">
        <v>0</v>
      </c>
      <c r="HK587" s="817">
        <f>40743.33+46532.67</f>
        <v>87276</v>
      </c>
      <c r="HL587" s="89">
        <v>0</v>
      </c>
      <c r="HM587" s="817">
        <f>8873.33+39999.67</f>
        <v>48873</v>
      </c>
      <c r="HN587" s="89">
        <v>0</v>
      </c>
      <c r="HO587" s="817">
        <f>29105.67+13875.33</f>
        <v>42981</v>
      </c>
      <c r="HP587" s="89">
        <v>0</v>
      </c>
      <c r="HQ587" s="817">
        <f>19479.33+23501.67</f>
        <v>42981</v>
      </c>
      <c r="HR587" s="89">
        <v>0</v>
      </c>
      <c r="HS587" s="817">
        <f>820+42161</f>
        <v>42981</v>
      </c>
      <c r="HT587" s="89">
        <v>0</v>
      </c>
      <c r="HU587" s="817">
        <f>5472.33+37508.67</f>
        <v>42981</v>
      </c>
      <c r="HV587" s="89">
        <v>0</v>
      </c>
      <c r="HW587" s="817">
        <f>44164.67-1183.67</f>
        <v>42981</v>
      </c>
      <c r="HX587" s="89">
        <v>0</v>
      </c>
      <c r="HY587" s="817">
        <f>52881.67-9899.67</f>
        <v>42982</v>
      </c>
      <c r="HZ587" s="89">
        <v>0</v>
      </c>
      <c r="IA587" s="817">
        <f>58138.67-15156.67</f>
        <v>42982</v>
      </c>
      <c r="IB587" s="89">
        <v>0</v>
      </c>
      <c r="IC587" s="817">
        <v>0</v>
      </c>
      <c r="ID587" s="89">
        <v>0</v>
      </c>
      <c r="IE587" s="817">
        <v>0</v>
      </c>
      <c r="IF587" s="841">
        <f t="shared" si="13694"/>
        <v>353648.33</v>
      </c>
      <c r="IG587" s="263">
        <f t="shared" si="13695"/>
        <v>353648.33</v>
      </c>
      <c r="IH587" s="842">
        <f t="shared" si="13696"/>
        <v>353648.33</v>
      </c>
      <c r="II587" s="89">
        <v>32443.33</v>
      </c>
      <c r="IJ587" s="89">
        <f t="shared" si="13697"/>
        <v>32443.33</v>
      </c>
      <c r="IK587" s="89">
        <f t="shared" si="13698"/>
        <v>32443.33</v>
      </c>
      <c r="IL587" s="89">
        <f>64743.33-32443.33</f>
        <v>32300</v>
      </c>
      <c r="IM587" s="89">
        <f t="shared" si="13699"/>
        <v>32300</v>
      </c>
      <c r="IN587" s="89">
        <f t="shared" si="13700"/>
        <v>32300</v>
      </c>
      <c r="IO587" s="89">
        <f>80893.33-64743.33</f>
        <v>16150</v>
      </c>
      <c r="IP587" s="89">
        <f t="shared" si="13701"/>
        <v>16150</v>
      </c>
      <c r="IQ587" s="89">
        <f t="shared" si="13702"/>
        <v>16150</v>
      </c>
      <c r="IR587" s="89">
        <f>134768.33-80893.33</f>
        <v>53874.999999999985</v>
      </c>
      <c r="IS587" s="89">
        <f t="shared" si="13703"/>
        <v>53874.999999999985</v>
      </c>
      <c r="IT587" s="89">
        <f t="shared" si="13704"/>
        <v>53874.999999999985</v>
      </c>
      <c r="IU587" s="89">
        <f>173378.33-134768.33</f>
        <v>38610</v>
      </c>
      <c r="IV587" s="89">
        <f t="shared" si="13705"/>
        <v>38610</v>
      </c>
      <c r="IW587" s="89">
        <f t="shared" si="13706"/>
        <v>38610</v>
      </c>
      <c r="IX587" s="89">
        <f>197700-173378.33</f>
        <v>24321.670000000013</v>
      </c>
      <c r="IY587" s="89">
        <f t="shared" si="13707"/>
        <v>24321.670000000013</v>
      </c>
      <c r="IZ587" s="89">
        <f t="shared" si="13708"/>
        <v>24321.670000000013</v>
      </c>
      <c r="JA587" s="89">
        <f>245333.33-197700</f>
        <v>47633.329999999987</v>
      </c>
      <c r="JB587" s="89">
        <f t="shared" si="13709"/>
        <v>47633.329999999987</v>
      </c>
      <c r="JC587" s="89">
        <f t="shared" si="13710"/>
        <v>47633.329999999987</v>
      </c>
      <c r="JD587" s="89">
        <f>281658.33-245333.33</f>
        <v>36325.000000000029</v>
      </c>
      <c r="JE587" s="89">
        <f t="shared" si="13711"/>
        <v>36325.000000000029</v>
      </c>
      <c r="JF587" s="89">
        <f t="shared" si="13712"/>
        <v>36325.000000000029</v>
      </c>
      <c r="JG587" s="89">
        <f>315923.33-281658.33</f>
        <v>34265</v>
      </c>
      <c r="JH587" s="89">
        <f t="shared" si="13713"/>
        <v>34265</v>
      </c>
      <c r="JI587" s="89">
        <f t="shared" si="13714"/>
        <v>34265</v>
      </c>
      <c r="JJ587" s="89">
        <f>353648.33-315923.33</f>
        <v>37725</v>
      </c>
      <c r="JK587" s="89">
        <f t="shared" si="13715"/>
        <v>37725</v>
      </c>
      <c r="JL587" s="89">
        <f t="shared" si="13716"/>
        <v>37725</v>
      </c>
      <c r="JM587" s="89">
        <v>0</v>
      </c>
      <c r="JN587" s="89">
        <f t="shared" si="13717"/>
        <v>0</v>
      </c>
      <c r="JO587" s="89">
        <f t="shared" si="13718"/>
        <v>0</v>
      </c>
      <c r="JP587" s="89">
        <v>0</v>
      </c>
      <c r="JQ587" s="89">
        <f t="shared" ref="JQ587:JR587" si="13722">JP587</f>
        <v>0</v>
      </c>
      <c r="JR587" s="89">
        <f t="shared" si="13722"/>
        <v>0</v>
      </c>
      <c r="JS587" s="74">
        <f>HG587-IF587</f>
        <v>58138.669999999984</v>
      </c>
      <c r="JT587" s="382">
        <f>GS587-IF587</f>
        <v>58138.669999999984</v>
      </c>
      <c r="JU587" s="665"/>
      <c r="JV587" s="489"/>
      <c r="JW587" s="525"/>
      <c r="JX587" s="549">
        <f t="shared" si="13720"/>
        <v>0</v>
      </c>
      <c r="JY587" s="549">
        <f t="shared" si="13720"/>
        <v>437018</v>
      </c>
      <c r="JZ587" s="581">
        <f t="shared" si="13477"/>
        <v>24000</v>
      </c>
      <c r="KA587" s="581">
        <f t="shared" si="13478"/>
        <v>-49231</v>
      </c>
      <c r="KB587" s="549">
        <f t="shared" si="13163"/>
        <v>411787</v>
      </c>
      <c r="KC587" s="709">
        <f t="shared" si="13396"/>
        <v>0</v>
      </c>
      <c r="KD587" s="36"/>
      <c r="KE587" s="36"/>
      <c r="KF587" s="36"/>
      <c r="KG587" s="36"/>
      <c r="KH587" s="36"/>
      <c r="KI587" s="36"/>
      <c r="KJ587" s="36"/>
      <c r="KK587" s="36"/>
    </row>
    <row r="588" spans="1:297" s="33" customFormat="1">
      <c r="A588" s="86" t="s">
        <v>1089</v>
      </c>
      <c r="B588" s="77"/>
      <c r="C588" s="74">
        <v>85200</v>
      </c>
      <c r="D588" s="549">
        <v>0</v>
      </c>
      <c r="E588" s="675">
        <v>0</v>
      </c>
      <c r="F588" s="549">
        <v>0</v>
      </c>
      <c r="G588" s="675">
        <v>0</v>
      </c>
      <c r="H588" s="549">
        <v>0</v>
      </c>
      <c r="I588" s="675">
        <v>0</v>
      </c>
      <c r="J588" s="549">
        <v>0</v>
      </c>
      <c r="K588" s="675">
        <v>0</v>
      </c>
      <c r="L588" s="549">
        <v>0</v>
      </c>
      <c r="M588" s="675">
        <v>0</v>
      </c>
      <c r="N588" s="549">
        <v>0</v>
      </c>
      <c r="O588" s="675">
        <v>0</v>
      </c>
      <c r="P588" s="549">
        <v>0</v>
      </c>
      <c r="Q588" s="675">
        <v>0</v>
      </c>
      <c r="R588" s="549">
        <v>0</v>
      </c>
      <c r="S588" s="675">
        <v>0</v>
      </c>
      <c r="T588" s="549">
        <v>0</v>
      </c>
      <c r="U588" s="675">
        <v>0</v>
      </c>
      <c r="V588" s="549">
        <v>0</v>
      </c>
      <c r="W588" s="675">
        <v>0</v>
      </c>
      <c r="X588" s="549">
        <v>0</v>
      </c>
      <c r="Y588" s="675">
        <v>0</v>
      </c>
      <c r="Z588" s="549">
        <v>0</v>
      </c>
      <c r="AA588" s="675">
        <v>0</v>
      </c>
      <c r="AB588" s="549">
        <v>0</v>
      </c>
      <c r="AC588" s="675">
        <v>0</v>
      </c>
      <c r="AD588" s="549">
        <v>0</v>
      </c>
      <c r="AE588" s="675">
        <v>0</v>
      </c>
      <c r="AF588" s="549">
        <v>0</v>
      </c>
      <c r="AG588" s="675">
        <v>0</v>
      </c>
      <c r="AH588" s="549">
        <v>0</v>
      </c>
      <c r="AI588" s="675">
        <v>0</v>
      </c>
      <c r="AJ588" s="549">
        <v>0</v>
      </c>
      <c r="AK588" s="675">
        <v>0</v>
      </c>
      <c r="AL588" s="549">
        <v>5400</v>
      </c>
      <c r="AM588" s="675">
        <v>0</v>
      </c>
      <c r="AN588" s="549">
        <v>0</v>
      </c>
      <c r="AO588" s="675">
        <v>0</v>
      </c>
      <c r="AP588" s="549">
        <v>0</v>
      </c>
      <c r="AQ588" s="675">
        <v>0</v>
      </c>
      <c r="AR588" s="549">
        <v>0</v>
      </c>
      <c r="AS588" s="675">
        <v>0</v>
      </c>
      <c r="AT588" s="549">
        <v>0</v>
      </c>
      <c r="AU588" s="675">
        <v>0</v>
      </c>
      <c r="AV588" s="549">
        <v>0</v>
      </c>
      <c r="AW588" s="675">
        <v>-5400</v>
      </c>
      <c r="AX588" s="549">
        <v>0</v>
      </c>
      <c r="AY588" s="675">
        <v>0</v>
      </c>
      <c r="AZ588" s="549">
        <v>0</v>
      </c>
      <c r="BA588" s="675">
        <v>0</v>
      </c>
      <c r="BB588" s="549">
        <v>0</v>
      </c>
      <c r="BC588" s="675">
        <v>0</v>
      </c>
      <c r="BD588" s="549">
        <v>0</v>
      </c>
      <c r="BE588" s="675">
        <v>0</v>
      </c>
      <c r="BF588" s="549">
        <v>0</v>
      </c>
      <c r="BG588" s="675">
        <v>0</v>
      </c>
      <c r="BH588" s="549">
        <v>0</v>
      </c>
      <c r="BI588" s="675">
        <v>0</v>
      </c>
      <c r="BJ588" s="549">
        <v>0</v>
      </c>
      <c r="BK588" s="675">
        <v>0</v>
      </c>
      <c r="BL588" s="549">
        <v>0</v>
      </c>
      <c r="BM588" s="675">
        <v>0</v>
      </c>
      <c r="BN588" s="549">
        <v>0</v>
      </c>
      <c r="BO588" s="675">
        <v>0</v>
      </c>
      <c r="BP588" s="549">
        <v>0</v>
      </c>
      <c r="BQ588" s="675">
        <v>0</v>
      </c>
      <c r="BR588" s="549">
        <v>0</v>
      </c>
      <c r="BS588" s="675">
        <v>0</v>
      </c>
      <c r="BT588" s="549">
        <v>0</v>
      </c>
      <c r="BU588" s="675">
        <v>0</v>
      </c>
      <c r="BV588" s="549">
        <v>0</v>
      </c>
      <c r="BW588" s="675">
        <v>0</v>
      </c>
      <c r="BX588" s="549">
        <v>0</v>
      </c>
      <c r="BY588" s="675">
        <v>0</v>
      </c>
      <c r="BZ588" s="549">
        <v>0</v>
      </c>
      <c r="CA588" s="675">
        <v>0</v>
      </c>
      <c r="CB588" s="549">
        <v>0</v>
      </c>
      <c r="CC588" s="675">
        <v>0</v>
      </c>
      <c r="CD588" s="549">
        <v>4800</v>
      </c>
      <c r="CE588" s="675">
        <v>0</v>
      </c>
      <c r="CF588" s="549">
        <v>0</v>
      </c>
      <c r="CG588" s="675">
        <v>0</v>
      </c>
      <c r="CH588" s="549">
        <v>0</v>
      </c>
      <c r="CI588" s="675">
        <v>0</v>
      </c>
      <c r="CJ588" s="549">
        <v>0</v>
      </c>
      <c r="CK588" s="675">
        <v>0</v>
      </c>
      <c r="CL588" s="549">
        <v>0</v>
      </c>
      <c r="CM588" s="675">
        <v>0</v>
      </c>
      <c r="CN588" s="549">
        <v>1200</v>
      </c>
      <c r="CO588" s="675">
        <v>0</v>
      </c>
      <c r="CP588" s="549">
        <v>0</v>
      </c>
      <c r="CQ588" s="675">
        <v>0</v>
      </c>
      <c r="CR588" s="549">
        <v>0</v>
      </c>
      <c r="CS588" s="675">
        <v>0</v>
      </c>
      <c r="CT588" s="549">
        <v>0</v>
      </c>
      <c r="CU588" s="675">
        <v>0</v>
      </c>
      <c r="CV588" s="549">
        <v>0</v>
      </c>
      <c r="CW588" s="675">
        <v>0</v>
      </c>
      <c r="CX588" s="549">
        <v>0</v>
      </c>
      <c r="CY588" s="675">
        <v>0</v>
      </c>
      <c r="CZ588" s="549">
        <v>0</v>
      </c>
      <c r="DA588" s="675">
        <v>0</v>
      </c>
      <c r="DB588" s="549">
        <v>0</v>
      </c>
      <c r="DC588" s="675">
        <v>0</v>
      </c>
      <c r="DD588" s="549">
        <v>0</v>
      </c>
      <c r="DE588" s="675">
        <v>0</v>
      </c>
      <c r="DF588" s="549">
        <v>0</v>
      </c>
      <c r="DG588" s="675">
        <v>0</v>
      </c>
      <c r="DH588" s="549">
        <v>0</v>
      </c>
      <c r="DI588" s="675">
        <v>0</v>
      </c>
      <c r="DJ588" s="549">
        <v>0</v>
      </c>
      <c r="DK588" s="675">
        <v>0</v>
      </c>
      <c r="DL588" s="549">
        <v>0</v>
      </c>
      <c r="DM588" s="675">
        <v>0</v>
      </c>
      <c r="DN588" s="549">
        <v>0</v>
      </c>
      <c r="DO588" s="675">
        <v>0</v>
      </c>
      <c r="DP588" s="549">
        <v>0</v>
      </c>
      <c r="DQ588" s="675">
        <v>0</v>
      </c>
      <c r="DR588" s="549">
        <v>0</v>
      </c>
      <c r="DS588" s="675">
        <v>0</v>
      </c>
      <c r="DT588" s="549">
        <v>0</v>
      </c>
      <c r="DU588" s="675">
        <v>0</v>
      </c>
      <c r="DV588" s="549">
        <v>0</v>
      </c>
      <c r="DW588" s="675">
        <v>0</v>
      </c>
      <c r="DX588" s="549">
        <v>0</v>
      </c>
      <c r="DY588" s="675">
        <v>0</v>
      </c>
      <c r="DZ588" s="549">
        <v>0</v>
      </c>
      <c r="EA588" s="675">
        <v>0</v>
      </c>
      <c r="EB588" s="549">
        <v>0</v>
      </c>
      <c r="EC588" s="675">
        <v>0</v>
      </c>
      <c r="ED588" s="549">
        <v>0</v>
      </c>
      <c r="EE588" s="675">
        <v>0</v>
      </c>
      <c r="EF588" s="549">
        <v>0</v>
      </c>
      <c r="EG588" s="675">
        <v>0</v>
      </c>
      <c r="EH588" s="549">
        <v>0</v>
      </c>
      <c r="EI588" s="675">
        <v>0</v>
      </c>
      <c r="EJ588" s="549">
        <v>0</v>
      </c>
      <c r="EK588" s="675">
        <v>0</v>
      </c>
      <c r="EL588" s="549">
        <v>0</v>
      </c>
      <c r="EM588" s="675">
        <v>0</v>
      </c>
      <c r="EN588" s="549">
        <v>0</v>
      </c>
      <c r="EO588" s="675">
        <v>0</v>
      </c>
      <c r="EP588" s="549">
        <v>0</v>
      </c>
      <c r="EQ588" s="675">
        <v>0</v>
      </c>
      <c r="ER588" s="549">
        <v>0</v>
      </c>
      <c r="ES588" s="675">
        <v>0</v>
      </c>
      <c r="ET588" s="549">
        <v>0</v>
      </c>
      <c r="EU588" s="675">
        <v>0</v>
      </c>
      <c r="EV588" s="549">
        <v>0</v>
      </c>
      <c r="EW588" s="675">
        <v>0</v>
      </c>
      <c r="EX588" s="549">
        <v>0</v>
      </c>
      <c r="EY588" s="675">
        <v>0</v>
      </c>
      <c r="EZ588" s="549">
        <v>0</v>
      </c>
      <c r="FA588" s="675">
        <v>0</v>
      </c>
      <c r="FB588" s="549">
        <v>0</v>
      </c>
      <c r="FC588" s="675">
        <v>0</v>
      </c>
      <c r="FD588" s="549">
        <v>0</v>
      </c>
      <c r="FE588" s="675">
        <v>0</v>
      </c>
      <c r="FF588" s="549">
        <v>0</v>
      </c>
      <c r="FG588" s="675">
        <v>0</v>
      </c>
      <c r="FH588" s="549">
        <v>0</v>
      </c>
      <c r="FI588" s="675">
        <v>0</v>
      </c>
      <c r="FJ588" s="549">
        <v>0</v>
      </c>
      <c r="FK588" s="675">
        <v>0</v>
      </c>
      <c r="FL588" s="549">
        <v>0</v>
      </c>
      <c r="FM588" s="675">
        <v>0</v>
      </c>
      <c r="FN588" s="549">
        <v>0</v>
      </c>
      <c r="FO588" s="675">
        <v>0</v>
      </c>
      <c r="FP588" s="549">
        <v>0</v>
      </c>
      <c r="FQ588" s="675">
        <v>0</v>
      </c>
      <c r="FR588" s="549">
        <v>0</v>
      </c>
      <c r="FS588" s="675">
        <v>0</v>
      </c>
      <c r="FT588" s="549">
        <v>0</v>
      </c>
      <c r="FU588" s="675">
        <v>0</v>
      </c>
      <c r="FV588" s="549">
        <v>0</v>
      </c>
      <c r="FW588" s="675">
        <v>0</v>
      </c>
      <c r="FX588" s="549">
        <v>0</v>
      </c>
      <c r="FY588" s="675">
        <v>0</v>
      </c>
      <c r="FZ588" s="549">
        <v>0</v>
      </c>
      <c r="GA588" s="675">
        <v>0</v>
      </c>
      <c r="GB588" s="549">
        <v>0</v>
      </c>
      <c r="GC588" s="675">
        <v>0</v>
      </c>
      <c r="GD588" s="549">
        <v>0</v>
      </c>
      <c r="GE588" s="675">
        <v>0</v>
      </c>
      <c r="GF588" s="549">
        <v>0</v>
      </c>
      <c r="GG588" s="675">
        <v>0</v>
      </c>
      <c r="GH588" s="549">
        <v>0</v>
      </c>
      <c r="GI588" s="675">
        <v>0</v>
      </c>
      <c r="GJ588" s="549">
        <v>0</v>
      </c>
      <c r="GK588" s="675">
        <v>0</v>
      </c>
      <c r="GL588" s="549">
        <v>0</v>
      </c>
      <c r="GM588" s="675">
        <v>0</v>
      </c>
      <c r="GN588" s="549">
        <v>0</v>
      </c>
      <c r="GO588" s="675">
        <v>0</v>
      </c>
      <c r="GP588" s="549">
        <f t="shared" si="13690"/>
        <v>11400</v>
      </c>
      <c r="GQ588" s="675">
        <f t="shared" si="13691"/>
        <v>-5400</v>
      </c>
      <c r="GR588" s="74">
        <f>C588+GP588+GQ588</f>
        <v>91200</v>
      </c>
      <c r="GS588" s="74">
        <f t="shared" si="13692"/>
        <v>83455</v>
      </c>
      <c r="GT588" s="568">
        <f t="shared" si="13693"/>
        <v>91200</v>
      </c>
      <c r="GU588" s="275">
        <v>7750</v>
      </c>
      <c r="GV588" s="275">
        <v>7745</v>
      </c>
      <c r="GW588" s="275">
        <v>7745</v>
      </c>
      <c r="GX588" s="275">
        <v>7745</v>
      </c>
      <c r="GY588" s="275">
        <v>7745</v>
      </c>
      <c r="GZ588" s="275">
        <v>7745</v>
      </c>
      <c r="HA588" s="275">
        <v>7745</v>
      </c>
      <c r="HB588" s="275">
        <v>7745</v>
      </c>
      <c r="HC588" s="275">
        <v>7745</v>
      </c>
      <c r="HD588" s="275">
        <v>7745</v>
      </c>
      <c r="HE588" s="275">
        <v>7745</v>
      </c>
      <c r="HF588" s="275">
        <v>0</v>
      </c>
      <c r="HG588" s="74">
        <f>SUM(HH588:IE588)+GP588+GQ588</f>
        <v>83455</v>
      </c>
      <c r="HH588" s="89">
        <v>0</v>
      </c>
      <c r="HI588" s="817">
        <v>0</v>
      </c>
      <c r="HJ588" s="89">
        <v>0</v>
      </c>
      <c r="HK588" s="817">
        <f>14200+1295</f>
        <v>15495</v>
      </c>
      <c r="HL588" s="89">
        <v>0</v>
      </c>
      <c r="HM588" s="817">
        <f>2255+5490</f>
        <v>7745</v>
      </c>
      <c r="HN588" s="89">
        <v>0</v>
      </c>
      <c r="HO588" s="817">
        <f>7985-240</f>
        <v>7745</v>
      </c>
      <c r="HP588" s="89">
        <v>0</v>
      </c>
      <c r="HQ588" s="817">
        <f>4515+3230</f>
        <v>7745</v>
      </c>
      <c r="HR588" s="89">
        <v>0</v>
      </c>
      <c r="HS588" s="817">
        <f>830+6915</f>
        <v>7745</v>
      </c>
      <c r="HT588" s="89">
        <v>0</v>
      </c>
      <c r="HU588" s="817">
        <f>8960-1215</f>
        <v>7745</v>
      </c>
      <c r="HV588" s="89">
        <v>0</v>
      </c>
      <c r="HW588" s="817">
        <f>7258.33+486.67</f>
        <v>7745</v>
      </c>
      <c r="HX588" s="89">
        <v>0</v>
      </c>
      <c r="HY588" s="817">
        <f>2375+5370</f>
        <v>7745</v>
      </c>
      <c r="HZ588" s="89">
        <v>0</v>
      </c>
      <c r="IA588" s="817">
        <f>4415+3330</f>
        <v>7745</v>
      </c>
      <c r="IB588" s="89">
        <v>0</v>
      </c>
      <c r="IC588" s="817">
        <v>0</v>
      </c>
      <c r="ID588" s="89">
        <v>0</v>
      </c>
      <c r="IE588" s="817">
        <v>0</v>
      </c>
      <c r="IF588" s="841">
        <f t="shared" si="13694"/>
        <v>79040</v>
      </c>
      <c r="IG588" s="263">
        <f t="shared" si="13695"/>
        <v>79040</v>
      </c>
      <c r="IH588" s="842">
        <f t="shared" si="13696"/>
        <v>79040</v>
      </c>
      <c r="II588" s="89">
        <v>7100</v>
      </c>
      <c r="IJ588" s="89">
        <f t="shared" si="13697"/>
        <v>7100</v>
      </c>
      <c r="IK588" s="89">
        <f t="shared" si="13698"/>
        <v>7100</v>
      </c>
      <c r="IL588" s="89">
        <f>14200-7100</f>
        <v>7100</v>
      </c>
      <c r="IM588" s="89">
        <f t="shared" si="13699"/>
        <v>7100</v>
      </c>
      <c r="IN588" s="89">
        <f t="shared" si="13700"/>
        <v>7100</v>
      </c>
      <c r="IO588" s="89">
        <f>17750-14200</f>
        <v>3550</v>
      </c>
      <c r="IP588" s="89">
        <f t="shared" si="13701"/>
        <v>3550</v>
      </c>
      <c r="IQ588" s="89">
        <f t="shared" si="13702"/>
        <v>3550</v>
      </c>
      <c r="IR588" s="89">
        <f>28400-17750</f>
        <v>10650</v>
      </c>
      <c r="IS588" s="89">
        <f t="shared" si="13703"/>
        <v>10650</v>
      </c>
      <c r="IT588" s="89">
        <f t="shared" si="13704"/>
        <v>10650</v>
      </c>
      <c r="IU588" s="89">
        <f>35500-28400</f>
        <v>7100</v>
      </c>
      <c r="IV588" s="89">
        <f t="shared" si="13705"/>
        <v>7100</v>
      </c>
      <c r="IW588" s="89">
        <f t="shared" si="13706"/>
        <v>7100</v>
      </c>
      <c r="IX588" s="89">
        <f>44360-35500</f>
        <v>8860</v>
      </c>
      <c r="IY588" s="89">
        <f t="shared" si="13707"/>
        <v>8860</v>
      </c>
      <c r="IZ588" s="89">
        <f t="shared" si="13708"/>
        <v>8860</v>
      </c>
      <c r="JA588" s="89">
        <f>51260-44360</f>
        <v>6900</v>
      </c>
      <c r="JB588" s="89">
        <f t="shared" si="13709"/>
        <v>6900</v>
      </c>
      <c r="JC588" s="89">
        <f t="shared" si="13710"/>
        <v>6900</v>
      </c>
      <c r="JD588" s="89">
        <f>60706.67-51260</f>
        <v>9446.6699999999983</v>
      </c>
      <c r="JE588" s="89">
        <f t="shared" si="13711"/>
        <v>9446.6699999999983</v>
      </c>
      <c r="JF588" s="89">
        <f t="shared" si="13712"/>
        <v>9446.6699999999983</v>
      </c>
      <c r="JG588" s="89">
        <f>70340-60706.67</f>
        <v>9633.3300000000017</v>
      </c>
      <c r="JH588" s="89">
        <f t="shared" si="13713"/>
        <v>9633.3300000000017</v>
      </c>
      <c r="JI588" s="89">
        <f t="shared" si="13714"/>
        <v>9633.3300000000017</v>
      </c>
      <c r="JJ588" s="89">
        <f>79040-70340</f>
        <v>8700</v>
      </c>
      <c r="JK588" s="89">
        <f t="shared" si="13715"/>
        <v>8700</v>
      </c>
      <c r="JL588" s="89">
        <f t="shared" si="13716"/>
        <v>8700</v>
      </c>
      <c r="JM588" s="89">
        <v>0</v>
      </c>
      <c r="JN588" s="89">
        <f t="shared" si="13717"/>
        <v>0</v>
      </c>
      <c r="JO588" s="89">
        <f t="shared" si="13718"/>
        <v>0</v>
      </c>
      <c r="JP588" s="89">
        <v>0</v>
      </c>
      <c r="JQ588" s="89">
        <f t="shared" ref="JQ588:JR588" si="13723">JP588</f>
        <v>0</v>
      </c>
      <c r="JR588" s="89">
        <f t="shared" si="13723"/>
        <v>0</v>
      </c>
      <c r="JS588" s="74">
        <f>HG588-IF588</f>
        <v>4415</v>
      </c>
      <c r="JT588" s="382">
        <f>GS588-IF588</f>
        <v>4415</v>
      </c>
      <c r="JU588" s="665"/>
      <c r="JV588" s="489"/>
      <c r="JW588" s="525"/>
      <c r="JX588" s="549">
        <f t="shared" si="13720"/>
        <v>0</v>
      </c>
      <c r="JY588" s="549">
        <f t="shared" si="13720"/>
        <v>77455</v>
      </c>
      <c r="JZ588" s="581">
        <f t="shared" si="13477"/>
        <v>11400</v>
      </c>
      <c r="KA588" s="581">
        <f t="shared" si="13478"/>
        <v>-5400</v>
      </c>
      <c r="KB588" s="549">
        <f>JX588+JY588+JZ588+KA588</f>
        <v>83455</v>
      </c>
      <c r="KC588" s="709">
        <f t="shared" si="13396"/>
        <v>0</v>
      </c>
      <c r="KD588" s="36"/>
      <c r="KE588" s="36"/>
      <c r="KF588" s="36"/>
      <c r="KG588" s="36"/>
      <c r="KH588" s="36"/>
      <c r="KI588" s="36"/>
      <c r="KJ588" s="36"/>
      <c r="KK588" s="36"/>
    </row>
    <row r="589" spans="1:297" s="10" customFormat="1">
      <c r="A589" s="91"/>
      <c r="B589" s="77"/>
      <c r="C589" s="74"/>
      <c r="D589" s="549"/>
      <c r="E589" s="675"/>
      <c r="F589" s="549"/>
      <c r="G589" s="675"/>
      <c r="H589" s="549"/>
      <c r="I589" s="675"/>
      <c r="J589" s="549"/>
      <c r="K589" s="675"/>
      <c r="L589" s="549"/>
      <c r="M589" s="675"/>
      <c r="N589" s="549"/>
      <c r="O589" s="675"/>
      <c r="P589" s="549"/>
      <c r="Q589" s="675"/>
      <c r="R589" s="549"/>
      <c r="S589" s="675"/>
      <c r="T589" s="549"/>
      <c r="U589" s="675"/>
      <c r="V589" s="549"/>
      <c r="W589" s="675"/>
      <c r="X589" s="549"/>
      <c r="Y589" s="675"/>
      <c r="Z589" s="549"/>
      <c r="AA589" s="675"/>
      <c r="AB589" s="549"/>
      <c r="AC589" s="675"/>
      <c r="AD589" s="549"/>
      <c r="AE589" s="675"/>
      <c r="AF589" s="549"/>
      <c r="AG589" s="675"/>
      <c r="AH589" s="549"/>
      <c r="AI589" s="675"/>
      <c r="AJ589" s="549"/>
      <c r="AK589" s="675"/>
      <c r="AL589" s="549"/>
      <c r="AM589" s="675"/>
      <c r="AN589" s="549"/>
      <c r="AO589" s="675"/>
      <c r="AP589" s="549"/>
      <c r="AQ589" s="675"/>
      <c r="AR589" s="549"/>
      <c r="AS589" s="675"/>
      <c r="AT589" s="549"/>
      <c r="AU589" s="675"/>
      <c r="AV589" s="549"/>
      <c r="AW589" s="675"/>
      <c r="AX589" s="549"/>
      <c r="AY589" s="675"/>
      <c r="AZ589" s="549"/>
      <c r="BA589" s="675"/>
      <c r="BB589" s="549"/>
      <c r="BC589" s="675"/>
      <c r="BD589" s="549"/>
      <c r="BE589" s="675"/>
      <c r="BF589" s="549"/>
      <c r="BG589" s="675"/>
      <c r="BH589" s="549"/>
      <c r="BI589" s="675"/>
      <c r="BJ589" s="549"/>
      <c r="BK589" s="675"/>
      <c r="BL589" s="549"/>
      <c r="BM589" s="675"/>
      <c r="BN589" s="549"/>
      <c r="BO589" s="675"/>
      <c r="BP589" s="549"/>
      <c r="BQ589" s="675"/>
      <c r="BR589" s="549"/>
      <c r="BS589" s="675"/>
      <c r="BT589" s="549"/>
      <c r="BU589" s="675"/>
      <c r="BV589" s="549"/>
      <c r="BW589" s="675"/>
      <c r="BX589" s="549"/>
      <c r="BY589" s="675"/>
      <c r="BZ589" s="549"/>
      <c r="CA589" s="675"/>
      <c r="CB589" s="549"/>
      <c r="CC589" s="675"/>
      <c r="CD589" s="549"/>
      <c r="CE589" s="675"/>
      <c r="CF589" s="549"/>
      <c r="CG589" s="675"/>
      <c r="CH589" s="549"/>
      <c r="CI589" s="675"/>
      <c r="CJ589" s="549"/>
      <c r="CK589" s="675"/>
      <c r="CL589" s="549"/>
      <c r="CM589" s="675"/>
      <c r="CN589" s="549"/>
      <c r="CO589" s="675"/>
      <c r="CP589" s="549"/>
      <c r="CQ589" s="675"/>
      <c r="CR589" s="549"/>
      <c r="CS589" s="675"/>
      <c r="CT589" s="549"/>
      <c r="CU589" s="675"/>
      <c r="CV589" s="549"/>
      <c r="CW589" s="675"/>
      <c r="CX589" s="549"/>
      <c r="CY589" s="675"/>
      <c r="CZ589" s="549"/>
      <c r="DA589" s="675"/>
      <c r="DB589" s="549"/>
      <c r="DC589" s="675"/>
      <c r="DD589" s="549"/>
      <c r="DE589" s="675"/>
      <c r="DF589" s="549"/>
      <c r="DG589" s="675"/>
      <c r="DH589" s="549"/>
      <c r="DI589" s="675"/>
      <c r="DJ589" s="549"/>
      <c r="DK589" s="675"/>
      <c r="DL589" s="549"/>
      <c r="DM589" s="675"/>
      <c r="DN589" s="549"/>
      <c r="DO589" s="675"/>
      <c r="DP589" s="549"/>
      <c r="DQ589" s="675"/>
      <c r="DR589" s="549"/>
      <c r="DS589" s="675"/>
      <c r="DT589" s="549"/>
      <c r="DU589" s="675"/>
      <c r="DV589" s="549"/>
      <c r="DW589" s="675"/>
      <c r="DX589" s="549"/>
      <c r="DY589" s="675"/>
      <c r="DZ589" s="549"/>
      <c r="EA589" s="675"/>
      <c r="EB589" s="549"/>
      <c r="EC589" s="675"/>
      <c r="ED589" s="549"/>
      <c r="EE589" s="675"/>
      <c r="EF589" s="549"/>
      <c r="EG589" s="675"/>
      <c r="EH589" s="549"/>
      <c r="EI589" s="675"/>
      <c r="EJ589" s="549"/>
      <c r="EK589" s="675"/>
      <c r="EL589" s="549"/>
      <c r="EM589" s="675"/>
      <c r="EN589" s="549"/>
      <c r="EO589" s="675"/>
      <c r="EP589" s="549"/>
      <c r="EQ589" s="675"/>
      <c r="ER589" s="549"/>
      <c r="ES589" s="675"/>
      <c r="ET589" s="549"/>
      <c r="EU589" s="675"/>
      <c r="EV589" s="549"/>
      <c r="EW589" s="675"/>
      <c r="EX589" s="549"/>
      <c r="EY589" s="675"/>
      <c r="EZ589" s="549"/>
      <c r="FA589" s="675"/>
      <c r="FB589" s="549"/>
      <c r="FC589" s="675"/>
      <c r="FD589" s="549"/>
      <c r="FE589" s="675"/>
      <c r="FF589" s="549"/>
      <c r="FG589" s="675"/>
      <c r="FH589" s="549"/>
      <c r="FI589" s="675"/>
      <c r="FJ589" s="549"/>
      <c r="FK589" s="675"/>
      <c r="FL589" s="549"/>
      <c r="FM589" s="675"/>
      <c r="FN589" s="549"/>
      <c r="FO589" s="675"/>
      <c r="FP589" s="549"/>
      <c r="FQ589" s="675"/>
      <c r="FR589" s="549"/>
      <c r="FS589" s="675"/>
      <c r="FT589" s="549"/>
      <c r="FU589" s="675"/>
      <c r="FV589" s="549"/>
      <c r="FW589" s="675"/>
      <c r="FX589" s="549"/>
      <c r="FY589" s="675"/>
      <c r="FZ589" s="549"/>
      <c r="GA589" s="675"/>
      <c r="GB589" s="549"/>
      <c r="GC589" s="675"/>
      <c r="GD589" s="549"/>
      <c r="GE589" s="675"/>
      <c r="GF589" s="549"/>
      <c r="GG589" s="675"/>
      <c r="GH589" s="549"/>
      <c r="GI589" s="675"/>
      <c r="GJ589" s="549"/>
      <c r="GK589" s="675"/>
      <c r="GL589" s="549"/>
      <c r="GM589" s="675"/>
      <c r="GN589" s="549"/>
      <c r="GO589" s="675"/>
      <c r="GP589" s="549"/>
      <c r="GQ589" s="675"/>
      <c r="GR589" s="74"/>
      <c r="GS589" s="74"/>
      <c r="GT589" s="549"/>
      <c r="GU589" s="73"/>
      <c r="GV589" s="73"/>
      <c r="GW589" s="549"/>
      <c r="GX589" s="549"/>
      <c r="GY589" s="73"/>
      <c r="GZ589" s="73"/>
      <c r="HA589" s="73"/>
      <c r="HB589" s="73"/>
      <c r="HC589" s="73"/>
      <c r="HD589" s="73"/>
      <c r="HE589" s="73"/>
      <c r="HF589" s="73"/>
      <c r="HG589" s="74"/>
      <c r="HH589" s="73"/>
      <c r="HI589" s="815"/>
      <c r="HJ589" s="73"/>
      <c r="HK589" s="815"/>
      <c r="HL589" s="73"/>
      <c r="HM589" s="815"/>
      <c r="HN589" s="73"/>
      <c r="HO589" s="815"/>
      <c r="HP589" s="73"/>
      <c r="HQ589" s="815"/>
      <c r="HR589" s="73"/>
      <c r="HS589" s="815"/>
      <c r="HT589" s="73"/>
      <c r="HU589" s="815"/>
      <c r="HV589" s="73"/>
      <c r="HW589" s="815"/>
      <c r="HX589" s="73"/>
      <c r="HY589" s="815"/>
      <c r="HZ589" s="73"/>
      <c r="IA589" s="815"/>
      <c r="IB589" s="73"/>
      <c r="IC589" s="815"/>
      <c r="ID589" s="73"/>
      <c r="IE589" s="815"/>
      <c r="IF589" s="841"/>
      <c r="IG589" s="263"/>
      <c r="IH589" s="842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  <c r="JD589" s="73"/>
      <c r="JE589" s="73"/>
      <c r="JF589" s="73"/>
      <c r="JG589" s="73"/>
      <c r="JH589" s="73"/>
      <c r="JI589" s="73"/>
      <c r="JJ589" s="73"/>
      <c r="JK589" s="73"/>
      <c r="JL589" s="73"/>
      <c r="JM589" s="73"/>
      <c r="JN589" s="73"/>
      <c r="JO589" s="73"/>
      <c r="JP589" s="73"/>
      <c r="JQ589" s="73"/>
      <c r="JR589" s="73"/>
      <c r="JS589" s="74"/>
      <c r="JT589" s="382"/>
      <c r="JU589" s="665"/>
      <c r="JV589" s="524"/>
      <c r="JW589" s="525"/>
      <c r="JX589" s="549"/>
      <c r="JY589" s="549"/>
      <c r="JZ589" s="581">
        <f t="shared" si="13477"/>
        <v>0</v>
      </c>
      <c r="KA589" s="581">
        <f t="shared" si="13478"/>
        <v>0</v>
      </c>
      <c r="KB589" s="549">
        <f t="shared" si="13163"/>
        <v>0</v>
      </c>
      <c r="KC589" s="709">
        <f t="shared" si="13396"/>
        <v>0</v>
      </c>
      <c r="KD589" s="36"/>
      <c r="KE589" s="36"/>
      <c r="KF589" s="36"/>
      <c r="KG589" s="36"/>
      <c r="KH589" s="36"/>
      <c r="KI589" s="36"/>
      <c r="KJ589" s="36"/>
      <c r="KK589" s="36"/>
    </row>
    <row r="590" spans="1:297" s="33" customFormat="1">
      <c r="A590" s="80" t="s">
        <v>318</v>
      </c>
      <c r="B590" s="77" t="s">
        <v>66</v>
      </c>
      <c r="C590" s="74">
        <v>404500</v>
      </c>
      <c r="D590" s="549">
        <v>0</v>
      </c>
      <c r="E590" s="675">
        <v>0</v>
      </c>
      <c r="F590" s="549">
        <v>0</v>
      </c>
      <c r="G590" s="675">
        <v>0</v>
      </c>
      <c r="H590" s="549">
        <v>0</v>
      </c>
      <c r="I590" s="675">
        <v>0</v>
      </c>
      <c r="J590" s="549">
        <v>0</v>
      </c>
      <c r="K590" s="675">
        <v>0</v>
      </c>
      <c r="L590" s="549">
        <v>0</v>
      </c>
      <c r="M590" s="675">
        <v>0</v>
      </c>
      <c r="N590" s="549">
        <v>0</v>
      </c>
      <c r="O590" s="675">
        <v>0</v>
      </c>
      <c r="P590" s="549">
        <v>0</v>
      </c>
      <c r="Q590" s="675">
        <v>0</v>
      </c>
      <c r="R590" s="549">
        <v>0</v>
      </c>
      <c r="S590" s="675">
        <v>0</v>
      </c>
      <c r="T590" s="549">
        <v>0</v>
      </c>
      <c r="U590" s="675">
        <v>0</v>
      </c>
      <c r="V590" s="549">
        <v>0</v>
      </c>
      <c r="W590" s="675">
        <v>0</v>
      </c>
      <c r="X590" s="549">
        <v>0</v>
      </c>
      <c r="Y590" s="675">
        <v>0</v>
      </c>
      <c r="Z590" s="549">
        <v>0</v>
      </c>
      <c r="AA590" s="675">
        <v>0</v>
      </c>
      <c r="AB590" s="549">
        <v>0</v>
      </c>
      <c r="AC590" s="675">
        <v>0</v>
      </c>
      <c r="AD590" s="549">
        <v>0</v>
      </c>
      <c r="AE590" s="675">
        <v>0</v>
      </c>
      <c r="AF590" s="549">
        <v>0</v>
      </c>
      <c r="AG590" s="675">
        <v>0</v>
      </c>
      <c r="AH590" s="549">
        <v>0</v>
      </c>
      <c r="AI590" s="675">
        <v>0</v>
      </c>
      <c r="AJ590" s="549">
        <v>0</v>
      </c>
      <c r="AK590" s="675">
        <v>0</v>
      </c>
      <c r="AL590" s="549">
        <v>0</v>
      </c>
      <c r="AM590" s="675">
        <v>0</v>
      </c>
      <c r="AN590" s="549">
        <v>0</v>
      </c>
      <c r="AO590" s="675">
        <v>-34585</v>
      </c>
      <c r="AP590" s="549">
        <v>0</v>
      </c>
      <c r="AQ590" s="675">
        <v>0</v>
      </c>
      <c r="AR590" s="549">
        <v>0</v>
      </c>
      <c r="AS590" s="675">
        <v>0</v>
      </c>
      <c r="AT590" s="549">
        <v>0</v>
      </c>
      <c r="AU590" s="675">
        <v>0</v>
      </c>
      <c r="AV590" s="549">
        <v>0</v>
      </c>
      <c r="AW590" s="675">
        <v>0</v>
      </c>
      <c r="AX590" s="549">
        <v>0</v>
      </c>
      <c r="AY590" s="675">
        <v>0</v>
      </c>
      <c r="AZ590" s="549">
        <v>0</v>
      </c>
      <c r="BA590" s="675">
        <v>0</v>
      </c>
      <c r="BB590" s="549">
        <v>0</v>
      </c>
      <c r="BC590" s="675">
        <v>0</v>
      </c>
      <c r="BD590" s="549">
        <v>0</v>
      </c>
      <c r="BE590" s="675">
        <v>0</v>
      </c>
      <c r="BF590" s="549">
        <v>0</v>
      </c>
      <c r="BG590" s="675">
        <v>0</v>
      </c>
      <c r="BH590" s="549">
        <v>0</v>
      </c>
      <c r="BI590" s="675">
        <v>0</v>
      </c>
      <c r="BJ590" s="549">
        <v>0</v>
      </c>
      <c r="BK590" s="675">
        <v>0</v>
      </c>
      <c r="BL590" s="549">
        <v>0</v>
      </c>
      <c r="BM590" s="675">
        <v>0</v>
      </c>
      <c r="BN590" s="549">
        <v>0</v>
      </c>
      <c r="BO590" s="675">
        <v>0</v>
      </c>
      <c r="BP590" s="549">
        <v>0</v>
      </c>
      <c r="BQ590" s="675">
        <v>0</v>
      </c>
      <c r="BR590" s="549">
        <v>0</v>
      </c>
      <c r="BS590" s="675">
        <v>0</v>
      </c>
      <c r="BT590" s="549">
        <v>0</v>
      </c>
      <c r="BU590" s="675">
        <v>0</v>
      </c>
      <c r="BV590" s="549">
        <v>0</v>
      </c>
      <c r="BW590" s="675">
        <v>0</v>
      </c>
      <c r="BX590" s="549">
        <v>0</v>
      </c>
      <c r="BY590" s="675">
        <v>0</v>
      </c>
      <c r="BZ590" s="549">
        <v>0</v>
      </c>
      <c r="CA590" s="675">
        <v>0</v>
      </c>
      <c r="CB590" s="549">
        <v>0</v>
      </c>
      <c r="CC590" s="675">
        <v>0</v>
      </c>
      <c r="CD590" s="549">
        <v>0</v>
      </c>
      <c r="CE590" s="675">
        <v>0</v>
      </c>
      <c r="CF590" s="549">
        <v>0</v>
      </c>
      <c r="CG590" s="675">
        <v>0</v>
      </c>
      <c r="CH590" s="549">
        <v>0</v>
      </c>
      <c r="CI590" s="675">
        <v>0</v>
      </c>
      <c r="CJ590" s="549">
        <v>0</v>
      </c>
      <c r="CK590" s="675">
        <v>0</v>
      </c>
      <c r="CL590" s="549">
        <v>0</v>
      </c>
      <c r="CM590" s="675">
        <v>0</v>
      </c>
      <c r="CN590" s="549">
        <v>0</v>
      </c>
      <c r="CO590" s="675">
        <v>0</v>
      </c>
      <c r="CP590" s="549">
        <v>0</v>
      </c>
      <c r="CQ590" s="675">
        <v>0</v>
      </c>
      <c r="CR590" s="549">
        <v>0</v>
      </c>
      <c r="CS590" s="675">
        <v>0</v>
      </c>
      <c r="CT590" s="549">
        <v>0</v>
      </c>
      <c r="CU590" s="675">
        <v>0</v>
      </c>
      <c r="CV590" s="549">
        <v>0</v>
      </c>
      <c r="CW590" s="675">
        <v>0</v>
      </c>
      <c r="CX590" s="549">
        <v>0</v>
      </c>
      <c r="CY590" s="675">
        <v>0</v>
      </c>
      <c r="CZ590" s="549">
        <v>0</v>
      </c>
      <c r="DA590" s="675">
        <v>0</v>
      </c>
      <c r="DB590" s="549">
        <v>0</v>
      </c>
      <c r="DC590" s="675">
        <v>0</v>
      </c>
      <c r="DD590" s="549">
        <v>0</v>
      </c>
      <c r="DE590" s="675">
        <v>0</v>
      </c>
      <c r="DF590" s="549">
        <v>0</v>
      </c>
      <c r="DG590" s="675">
        <v>0</v>
      </c>
      <c r="DH590" s="549">
        <v>0</v>
      </c>
      <c r="DI590" s="675">
        <v>0</v>
      </c>
      <c r="DJ590" s="549">
        <v>0</v>
      </c>
      <c r="DK590" s="675">
        <v>0</v>
      </c>
      <c r="DL590" s="549">
        <v>0</v>
      </c>
      <c r="DM590" s="675">
        <v>0</v>
      </c>
      <c r="DN590" s="549">
        <v>0</v>
      </c>
      <c r="DO590" s="675">
        <v>0</v>
      </c>
      <c r="DP590" s="549">
        <v>0</v>
      </c>
      <c r="DQ590" s="675">
        <v>0</v>
      </c>
      <c r="DR590" s="549">
        <v>0</v>
      </c>
      <c r="DS590" s="675">
        <v>0</v>
      </c>
      <c r="DT590" s="549">
        <v>0</v>
      </c>
      <c r="DU590" s="675">
        <v>0</v>
      </c>
      <c r="DV590" s="549">
        <v>0</v>
      </c>
      <c r="DW590" s="675">
        <v>0</v>
      </c>
      <c r="DX590" s="549">
        <v>0</v>
      </c>
      <c r="DY590" s="675">
        <v>0</v>
      </c>
      <c r="DZ590" s="549">
        <v>0</v>
      </c>
      <c r="EA590" s="675">
        <v>0</v>
      </c>
      <c r="EB590" s="549">
        <v>0</v>
      </c>
      <c r="EC590" s="675">
        <v>0</v>
      </c>
      <c r="ED590" s="549">
        <v>0</v>
      </c>
      <c r="EE590" s="675">
        <v>-25000</v>
      </c>
      <c r="EF590" s="549">
        <v>0</v>
      </c>
      <c r="EG590" s="675">
        <v>0</v>
      </c>
      <c r="EH590" s="549">
        <v>0</v>
      </c>
      <c r="EI590" s="675">
        <v>0</v>
      </c>
      <c r="EJ590" s="549">
        <v>0</v>
      </c>
      <c r="EK590" s="675">
        <v>0</v>
      </c>
      <c r="EL590" s="549">
        <v>0</v>
      </c>
      <c r="EM590" s="675">
        <v>0</v>
      </c>
      <c r="EN590" s="549">
        <v>0</v>
      </c>
      <c r="EO590" s="675">
        <v>0</v>
      </c>
      <c r="EP590" s="549">
        <v>0</v>
      </c>
      <c r="EQ590" s="675">
        <v>0</v>
      </c>
      <c r="ER590" s="549">
        <v>0</v>
      </c>
      <c r="ES590" s="675">
        <v>0</v>
      </c>
      <c r="ET590" s="549">
        <v>0</v>
      </c>
      <c r="EU590" s="675">
        <v>0</v>
      </c>
      <c r="EV590" s="549">
        <v>0</v>
      </c>
      <c r="EW590" s="675">
        <v>0</v>
      </c>
      <c r="EX590" s="549">
        <v>0</v>
      </c>
      <c r="EY590" s="675">
        <v>0</v>
      </c>
      <c r="EZ590" s="549">
        <v>0</v>
      </c>
      <c r="FA590" s="675">
        <v>0</v>
      </c>
      <c r="FB590" s="549">
        <v>0</v>
      </c>
      <c r="FC590" s="675">
        <v>0</v>
      </c>
      <c r="FD590" s="549">
        <v>0</v>
      </c>
      <c r="FE590" s="675">
        <v>0</v>
      </c>
      <c r="FF590" s="549">
        <v>0</v>
      </c>
      <c r="FG590" s="675">
        <v>0</v>
      </c>
      <c r="FH590" s="549">
        <v>0</v>
      </c>
      <c r="FI590" s="675">
        <v>-4200</v>
      </c>
      <c r="FJ590" s="549">
        <v>0</v>
      </c>
      <c r="FK590" s="675">
        <v>0</v>
      </c>
      <c r="FL590" s="549">
        <v>0</v>
      </c>
      <c r="FM590" s="675">
        <v>0</v>
      </c>
      <c r="FN590" s="549">
        <v>0</v>
      </c>
      <c r="FO590" s="675">
        <v>0</v>
      </c>
      <c r="FP590" s="549">
        <v>0</v>
      </c>
      <c r="FQ590" s="675">
        <v>0</v>
      </c>
      <c r="FR590" s="549">
        <v>0</v>
      </c>
      <c r="FS590" s="675">
        <v>0</v>
      </c>
      <c r="FT590" s="549">
        <v>0</v>
      </c>
      <c r="FU590" s="675">
        <v>0</v>
      </c>
      <c r="FV590" s="549">
        <v>0</v>
      </c>
      <c r="FW590" s="675">
        <v>0</v>
      </c>
      <c r="FX590" s="549">
        <v>0</v>
      </c>
      <c r="FY590" s="675">
        <v>0</v>
      </c>
      <c r="FZ590" s="549">
        <v>0</v>
      </c>
      <c r="GA590" s="675">
        <v>0</v>
      </c>
      <c r="GB590" s="549">
        <v>0</v>
      </c>
      <c r="GC590" s="675">
        <v>0</v>
      </c>
      <c r="GD590" s="549">
        <v>0</v>
      </c>
      <c r="GE590" s="675">
        <v>0</v>
      </c>
      <c r="GF590" s="549">
        <v>0</v>
      </c>
      <c r="GG590" s="675">
        <v>0</v>
      </c>
      <c r="GH590" s="549">
        <v>0</v>
      </c>
      <c r="GI590" s="675">
        <v>0</v>
      </c>
      <c r="GJ590" s="549">
        <v>0</v>
      </c>
      <c r="GK590" s="675">
        <v>0</v>
      </c>
      <c r="GL590" s="549">
        <v>0</v>
      </c>
      <c r="GM590" s="675">
        <v>0</v>
      </c>
      <c r="GN590" s="549">
        <v>0</v>
      </c>
      <c r="GO590" s="675">
        <v>0</v>
      </c>
      <c r="GP590" s="549">
        <f>+D590+F590+H590+J590+L590+N590+P590+R590+T590+V590+X590+Z590+AB590+AF590+AD590+AH590+AJ590+AL590+AN590+AP590+AR590+AT590+AV590+AX590+AZ590+BB590+BD590+BF590+BH590+BJ590+BL590+BN590+BP590+BR590+BT590+BV590+BX590+BZ590+CB590+CD590+CF590+CH590+CJ590+CL590+CN590+CP590+CR590+CT590+CV590+CX590+CZ590+DB590+DD590+DF590+DH590+DT590+EX590+DJ590+DL590+DN590+DP590+DR590+EJ590+EB590+DZ590+DX590+DV590+ED590+EF590+EH590+EL590+EN590+EP590+EV590+ET590+ER590+EZ590+FB590+FD590+GL590+FF590+FJ590+FL590+GJ590+FT590+FR590+FP590+FN590+FH590+GH590+GF590+GD590+GB590+FZ590+FX590+FV590+GN590</f>
        <v>0</v>
      </c>
      <c r="GQ590" s="675">
        <f>+E590+G590+I590+K590+M590+O590+Q590+S590+U590+W590+Y590+AA590+AC590+AE590+AG590+AI590+AK590+AM590+AO590+AQ590+AS590+AU590+AW590+AY590+BA590+BC590+BE590+BG590+BI590+BK590+BM590+BO590+BQ590+BS590+BU590+BW590+BY590+CA590+CC590+CE590+CG590+CI590+CK590+CM590+CO590+CQ590+CS590+CU590+CW590+CY590+DA590+DC590+DE590+DG590+DI590+DU590+EY590+DK590+DM590+DO590+DQ590+DS590+EK590+EC590+EA590+DY590+DW590+EI590+EG590+EE590+EM590+EO590+EQ590+EW590+EU590+ES590+FA590+FC590+FE590+GM590+FG590+FK590+FM590+FO590+FQ590+FS590+FU590+GK590+FI590+GI590+GG590+GE590+GC590+GA590+FY590+FW590+GO590</f>
        <v>-63785</v>
      </c>
      <c r="GR590" s="74">
        <f>C590+GP590+GQ590</f>
        <v>340715</v>
      </c>
      <c r="GS590" s="74">
        <f>SUM(GU590:HD590)+GP590+GQ590</f>
        <v>205882</v>
      </c>
      <c r="GT590" s="568">
        <f>SUM(GU590:HF590)+GQ590+GP590</f>
        <v>340715</v>
      </c>
      <c r="GU590" s="275"/>
      <c r="GV590" s="831">
        <v>134834</v>
      </c>
      <c r="GW590" s="588"/>
      <c r="GX590" s="588"/>
      <c r="GY590" s="275"/>
      <c r="GZ590" s="275"/>
      <c r="HA590" s="275"/>
      <c r="HB590" s="831">
        <v>134833</v>
      </c>
      <c r="HC590" s="275"/>
      <c r="HD590" s="275"/>
      <c r="HE590" s="275">
        <v>134833</v>
      </c>
      <c r="HF590" s="275"/>
      <c r="HG590" s="74">
        <f>SUM(HH590:IE590)+GP590+GQ590</f>
        <v>205882</v>
      </c>
      <c r="HH590" s="89">
        <v>0</v>
      </c>
      <c r="HI590" s="817">
        <v>0</v>
      </c>
      <c r="HJ590" s="89">
        <v>0</v>
      </c>
      <c r="HK590" s="817">
        <f>100248.35+34585.65</f>
        <v>134834</v>
      </c>
      <c r="HL590" s="89">
        <v>0</v>
      </c>
      <c r="HM590" s="817">
        <v>0</v>
      </c>
      <c r="HN590" s="89">
        <v>0</v>
      </c>
      <c r="HO590" s="817">
        <v>0</v>
      </c>
      <c r="HP590" s="89">
        <v>0</v>
      </c>
      <c r="HQ590" s="817">
        <v>0</v>
      </c>
      <c r="HR590" s="89">
        <v>0</v>
      </c>
      <c r="HS590" s="817">
        <v>0</v>
      </c>
      <c r="HT590" s="89">
        <v>0</v>
      </c>
      <c r="HU590" s="817">
        <v>0</v>
      </c>
      <c r="HV590" s="89">
        <v>0</v>
      </c>
      <c r="HW590" s="817">
        <f>29895.79+104937.21</f>
        <v>134833</v>
      </c>
      <c r="HX590" s="89">
        <v>0</v>
      </c>
      <c r="HY590" s="817">
        <v>0</v>
      </c>
      <c r="HZ590" s="89">
        <v>0</v>
      </c>
      <c r="IA590" s="817">
        <v>0</v>
      </c>
      <c r="IB590" s="89">
        <v>0</v>
      </c>
      <c r="IC590" s="817">
        <v>0</v>
      </c>
      <c r="ID590" s="89">
        <v>0</v>
      </c>
      <c r="IE590" s="817">
        <v>0</v>
      </c>
      <c r="IF590" s="841">
        <f t="shared" ref="IF590" si="13724">SUM(II590,IL590,IO590,IR590,IU590,IX590,JA590,JD590,JG590,JJ590,JM590,JP590)</f>
        <v>205186.21</v>
      </c>
      <c r="IG590" s="263">
        <f t="shared" ref="IG590" si="13725">SUM(IJ590,IM590,IP590,IS590,IV590,IY590,JB590,JE590,JH590,JK590,JN590,JQ590)</f>
        <v>205186.21</v>
      </c>
      <c r="IH590" s="842">
        <f t="shared" ref="IH590" si="13726">SUM(IK590,IN590,IQ590,IT590,IW590,IZ590,JC590,JF590,JI590,JL590,JO590,JR590)</f>
        <v>205186.21</v>
      </c>
      <c r="II590" s="89">
        <v>0</v>
      </c>
      <c r="IJ590" s="89">
        <f t="shared" ref="IJ590" si="13727">II590</f>
        <v>0</v>
      </c>
      <c r="IK590" s="89">
        <f t="shared" ref="IK590" si="13728">IJ590</f>
        <v>0</v>
      </c>
      <c r="IL590" s="89">
        <v>100248.35</v>
      </c>
      <c r="IM590" s="89">
        <f t="shared" ref="IM590" si="13729">IL590</f>
        <v>100248.35</v>
      </c>
      <c r="IN590" s="89">
        <f t="shared" ref="IN590" si="13730">IM590</f>
        <v>100248.35</v>
      </c>
      <c r="IO590" s="89">
        <v>0</v>
      </c>
      <c r="IP590" s="89">
        <f t="shared" ref="IP590" si="13731">IO590</f>
        <v>0</v>
      </c>
      <c r="IQ590" s="89">
        <f t="shared" ref="IQ590" si="13732">IP590</f>
        <v>0</v>
      </c>
      <c r="IR590" s="89">
        <v>0</v>
      </c>
      <c r="IS590" s="89">
        <f t="shared" ref="IS590" si="13733">IR590</f>
        <v>0</v>
      </c>
      <c r="IT590" s="89">
        <f t="shared" ref="IT590" si="13734">IS590</f>
        <v>0</v>
      </c>
      <c r="IU590" s="89">
        <v>0</v>
      </c>
      <c r="IV590" s="89">
        <f t="shared" ref="IV590" si="13735">IU590</f>
        <v>0</v>
      </c>
      <c r="IW590" s="89">
        <f t="shared" ref="IW590" si="13736">IV590</f>
        <v>0</v>
      </c>
      <c r="IX590" s="89">
        <v>0</v>
      </c>
      <c r="IY590" s="89">
        <f t="shared" ref="IY590" si="13737">IX590</f>
        <v>0</v>
      </c>
      <c r="IZ590" s="89">
        <f t="shared" ref="IZ590" si="13738">IY590</f>
        <v>0</v>
      </c>
      <c r="JA590" s="89">
        <f>100248.35-100248.35</f>
        <v>0</v>
      </c>
      <c r="JB590" s="89">
        <f t="shared" ref="JB590" si="13739">JA590</f>
        <v>0</v>
      </c>
      <c r="JC590" s="89">
        <f t="shared" ref="JC590" si="13740">JB590</f>
        <v>0</v>
      </c>
      <c r="JD590" s="89">
        <f>205186.21-100248.35</f>
        <v>104937.85999999999</v>
      </c>
      <c r="JE590" s="89">
        <f t="shared" ref="JE590" si="13741">JD590</f>
        <v>104937.85999999999</v>
      </c>
      <c r="JF590" s="89">
        <f t="shared" ref="JF590" si="13742">JE590</f>
        <v>104937.85999999999</v>
      </c>
      <c r="JG590" s="89">
        <v>0</v>
      </c>
      <c r="JH590" s="89">
        <f t="shared" ref="JH590" si="13743">JG590</f>
        <v>0</v>
      </c>
      <c r="JI590" s="89">
        <f t="shared" ref="JI590" si="13744">JH590</f>
        <v>0</v>
      </c>
      <c r="JJ590" s="89">
        <v>0</v>
      </c>
      <c r="JK590" s="89">
        <f t="shared" ref="JK590" si="13745">JJ590</f>
        <v>0</v>
      </c>
      <c r="JL590" s="89">
        <f t="shared" ref="JL590" si="13746">JK590</f>
        <v>0</v>
      </c>
      <c r="JM590" s="89">
        <v>0</v>
      </c>
      <c r="JN590" s="89">
        <f t="shared" ref="JN590" si="13747">JM590</f>
        <v>0</v>
      </c>
      <c r="JO590" s="89">
        <f t="shared" ref="JO590" si="13748">JN590</f>
        <v>0</v>
      </c>
      <c r="JP590" s="89">
        <v>0</v>
      </c>
      <c r="JQ590" s="89">
        <f t="shared" ref="JQ590:JR590" si="13749">JP590</f>
        <v>0</v>
      </c>
      <c r="JR590" s="89">
        <f t="shared" si="13749"/>
        <v>0</v>
      </c>
      <c r="JS590" s="74">
        <f>HG590-IF590</f>
        <v>695.79000000000815</v>
      </c>
      <c r="JT590" s="382">
        <f>GS590-IF590</f>
        <v>695.79000000000815</v>
      </c>
      <c r="JU590" s="665"/>
      <c r="JV590" s="524"/>
      <c r="JW590" s="525"/>
      <c r="JX590" s="549">
        <f>SUM(HH590,HJ590,HL590,HN590,HP590,HR590,HT590,HV590,HX590,HZ590,IB590,ID590)</f>
        <v>0</v>
      </c>
      <c r="JY590" s="549">
        <f>SUM(HI590,HK590,HM590,HO590,HQ590,HS590,HU590,HW590,HY590,IA590,IC590,IE590)</f>
        <v>269667</v>
      </c>
      <c r="JZ590" s="581">
        <f t="shared" si="13477"/>
        <v>0</v>
      </c>
      <c r="KA590" s="581">
        <f t="shared" si="13478"/>
        <v>-63785</v>
      </c>
      <c r="KB590" s="549">
        <f t="shared" si="13163"/>
        <v>205882</v>
      </c>
      <c r="KC590" s="709">
        <f t="shared" si="13396"/>
        <v>0</v>
      </c>
      <c r="KD590" s="36"/>
      <c r="KE590" s="36"/>
      <c r="KF590" s="36"/>
      <c r="KG590" s="36"/>
      <c r="KH590" s="36"/>
      <c r="KI590" s="36"/>
      <c r="KJ590" s="36"/>
      <c r="KK590" s="36"/>
    </row>
    <row r="591" spans="1:297" s="10" customFormat="1">
      <c r="A591" s="91"/>
      <c r="B591" s="77"/>
      <c r="C591" s="74"/>
      <c r="D591" s="549"/>
      <c r="E591" s="675"/>
      <c r="F591" s="549"/>
      <c r="G591" s="675"/>
      <c r="H591" s="549"/>
      <c r="I591" s="675"/>
      <c r="J591" s="549"/>
      <c r="K591" s="675"/>
      <c r="L591" s="549"/>
      <c r="M591" s="675"/>
      <c r="N591" s="549"/>
      <c r="O591" s="675"/>
      <c r="P591" s="549"/>
      <c r="Q591" s="675"/>
      <c r="R591" s="549"/>
      <c r="S591" s="675"/>
      <c r="T591" s="549"/>
      <c r="U591" s="675"/>
      <c r="V591" s="549"/>
      <c r="W591" s="675"/>
      <c r="X591" s="549"/>
      <c r="Y591" s="675"/>
      <c r="Z591" s="549"/>
      <c r="AA591" s="675"/>
      <c r="AB591" s="549"/>
      <c r="AC591" s="675"/>
      <c r="AD591" s="549"/>
      <c r="AE591" s="675"/>
      <c r="AF591" s="549"/>
      <c r="AG591" s="675"/>
      <c r="AH591" s="549"/>
      <c r="AI591" s="675"/>
      <c r="AJ591" s="549"/>
      <c r="AK591" s="675"/>
      <c r="AL591" s="549"/>
      <c r="AM591" s="675"/>
      <c r="AN591" s="549"/>
      <c r="AO591" s="675"/>
      <c r="AP591" s="549"/>
      <c r="AQ591" s="675"/>
      <c r="AR591" s="549"/>
      <c r="AS591" s="675"/>
      <c r="AT591" s="549"/>
      <c r="AU591" s="675"/>
      <c r="AV591" s="549"/>
      <c r="AW591" s="675"/>
      <c r="AX591" s="549"/>
      <c r="AY591" s="675"/>
      <c r="AZ591" s="549"/>
      <c r="BA591" s="675"/>
      <c r="BB591" s="549"/>
      <c r="BC591" s="675"/>
      <c r="BD591" s="549"/>
      <c r="BE591" s="675"/>
      <c r="BF591" s="549"/>
      <c r="BG591" s="675"/>
      <c r="BH591" s="549"/>
      <c r="BI591" s="675"/>
      <c r="BJ591" s="549"/>
      <c r="BK591" s="675"/>
      <c r="BL591" s="549"/>
      <c r="BM591" s="675"/>
      <c r="BN591" s="549"/>
      <c r="BO591" s="675"/>
      <c r="BP591" s="549"/>
      <c r="BQ591" s="675"/>
      <c r="BR591" s="549"/>
      <c r="BS591" s="675"/>
      <c r="BT591" s="549"/>
      <c r="BU591" s="675"/>
      <c r="BV591" s="549"/>
      <c r="BW591" s="675"/>
      <c r="BX591" s="549"/>
      <c r="BY591" s="675"/>
      <c r="BZ591" s="549"/>
      <c r="CA591" s="675"/>
      <c r="CB591" s="549"/>
      <c r="CC591" s="675"/>
      <c r="CD591" s="549"/>
      <c r="CE591" s="675"/>
      <c r="CF591" s="549"/>
      <c r="CG591" s="675"/>
      <c r="CH591" s="549"/>
      <c r="CI591" s="675"/>
      <c r="CJ591" s="549"/>
      <c r="CK591" s="675"/>
      <c r="CL591" s="549"/>
      <c r="CM591" s="675"/>
      <c r="CN591" s="549"/>
      <c r="CO591" s="675"/>
      <c r="CP591" s="549"/>
      <c r="CQ591" s="675"/>
      <c r="CR591" s="549"/>
      <c r="CS591" s="675"/>
      <c r="CT591" s="549"/>
      <c r="CU591" s="675"/>
      <c r="CV591" s="549"/>
      <c r="CW591" s="675"/>
      <c r="CX591" s="549"/>
      <c r="CY591" s="675"/>
      <c r="CZ591" s="549"/>
      <c r="DA591" s="675"/>
      <c r="DB591" s="549"/>
      <c r="DC591" s="675"/>
      <c r="DD591" s="549"/>
      <c r="DE591" s="675"/>
      <c r="DF591" s="549"/>
      <c r="DG591" s="675"/>
      <c r="DH591" s="549"/>
      <c r="DI591" s="675"/>
      <c r="DJ591" s="549"/>
      <c r="DK591" s="675"/>
      <c r="DL591" s="549"/>
      <c r="DM591" s="675"/>
      <c r="DN591" s="549"/>
      <c r="DO591" s="675"/>
      <c r="DP591" s="549"/>
      <c r="DQ591" s="675"/>
      <c r="DR591" s="549"/>
      <c r="DS591" s="675"/>
      <c r="DT591" s="549"/>
      <c r="DU591" s="675"/>
      <c r="DV591" s="549"/>
      <c r="DW591" s="675"/>
      <c r="DX591" s="549"/>
      <c r="DY591" s="675"/>
      <c r="DZ591" s="549"/>
      <c r="EA591" s="675"/>
      <c r="EB591" s="549"/>
      <c r="EC591" s="675"/>
      <c r="ED591" s="549"/>
      <c r="EE591" s="675"/>
      <c r="EF591" s="549"/>
      <c r="EG591" s="675"/>
      <c r="EH591" s="549"/>
      <c r="EI591" s="675"/>
      <c r="EJ591" s="549"/>
      <c r="EK591" s="675"/>
      <c r="EL591" s="549"/>
      <c r="EM591" s="675"/>
      <c r="EN591" s="549"/>
      <c r="EO591" s="675"/>
      <c r="EP591" s="549"/>
      <c r="EQ591" s="675"/>
      <c r="ER591" s="549"/>
      <c r="ES591" s="675"/>
      <c r="ET591" s="549"/>
      <c r="EU591" s="675"/>
      <c r="EV591" s="549"/>
      <c r="EW591" s="675"/>
      <c r="EX591" s="549"/>
      <c r="EY591" s="675"/>
      <c r="EZ591" s="549"/>
      <c r="FA591" s="675"/>
      <c r="FB591" s="549"/>
      <c r="FC591" s="675"/>
      <c r="FD591" s="549"/>
      <c r="FE591" s="675"/>
      <c r="FF591" s="549"/>
      <c r="FG591" s="675"/>
      <c r="FH591" s="549"/>
      <c r="FI591" s="675"/>
      <c r="FJ591" s="549"/>
      <c r="FK591" s="675"/>
      <c r="FL591" s="549"/>
      <c r="FM591" s="675"/>
      <c r="FN591" s="549"/>
      <c r="FO591" s="675"/>
      <c r="FP591" s="549"/>
      <c r="FQ591" s="675"/>
      <c r="FR591" s="549"/>
      <c r="FS591" s="675"/>
      <c r="FT591" s="549"/>
      <c r="FU591" s="675"/>
      <c r="FV591" s="549"/>
      <c r="FW591" s="675"/>
      <c r="FX591" s="549"/>
      <c r="FY591" s="675"/>
      <c r="FZ591" s="549"/>
      <c r="GA591" s="675"/>
      <c r="GB591" s="549"/>
      <c r="GC591" s="675"/>
      <c r="GD591" s="549"/>
      <c r="GE591" s="675"/>
      <c r="GF591" s="549"/>
      <c r="GG591" s="675"/>
      <c r="GH591" s="549"/>
      <c r="GI591" s="675"/>
      <c r="GJ591" s="549"/>
      <c r="GK591" s="675"/>
      <c r="GL591" s="549"/>
      <c r="GM591" s="675"/>
      <c r="GN591" s="549"/>
      <c r="GO591" s="675"/>
      <c r="GP591" s="549"/>
      <c r="GQ591" s="675"/>
      <c r="GR591" s="74"/>
      <c r="GS591" s="74"/>
      <c r="GT591" s="549"/>
      <c r="GU591" s="73"/>
      <c r="GV591" s="73"/>
      <c r="GW591" s="549"/>
      <c r="GX591" s="549"/>
      <c r="GY591" s="73"/>
      <c r="GZ591" s="73"/>
      <c r="HA591" s="73"/>
      <c r="HB591" s="73"/>
      <c r="HC591" s="73"/>
      <c r="HD591" s="73"/>
      <c r="HE591" s="73"/>
      <c r="HF591" s="73"/>
      <c r="HG591" s="74"/>
      <c r="HH591" s="73"/>
      <c r="HI591" s="815"/>
      <c r="HJ591" s="73"/>
      <c r="HK591" s="815"/>
      <c r="HL591" s="73"/>
      <c r="HM591" s="815"/>
      <c r="HN591" s="73"/>
      <c r="HO591" s="815"/>
      <c r="HP591" s="73"/>
      <c r="HQ591" s="815"/>
      <c r="HR591" s="73"/>
      <c r="HS591" s="815"/>
      <c r="HT591" s="73"/>
      <c r="HU591" s="815"/>
      <c r="HV591" s="73"/>
      <c r="HW591" s="815"/>
      <c r="HX591" s="73"/>
      <c r="HY591" s="815"/>
      <c r="HZ591" s="73"/>
      <c r="IA591" s="815"/>
      <c r="IB591" s="73"/>
      <c r="IC591" s="815"/>
      <c r="ID591" s="73"/>
      <c r="IE591" s="815"/>
      <c r="IF591" s="841"/>
      <c r="IG591" s="263"/>
      <c r="IH591" s="842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  <c r="JD591" s="73"/>
      <c r="JE591" s="73"/>
      <c r="JF591" s="73"/>
      <c r="JG591" s="73"/>
      <c r="JH591" s="73"/>
      <c r="JI591" s="73"/>
      <c r="JJ591" s="73"/>
      <c r="JK591" s="73"/>
      <c r="JL591" s="73"/>
      <c r="JM591" s="73"/>
      <c r="JN591" s="73"/>
      <c r="JO591" s="73"/>
      <c r="JP591" s="73"/>
      <c r="JQ591" s="73"/>
      <c r="JR591" s="73"/>
      <c r="JS591" s="74"/>
      <c r="JT591" s="382"/>
      <c r="JU591" s="665"/>
      <c r="JV591" s="524"/>
      <c r="JW591" s="525"/>
      <c r="JX591" s="549"/>
      <c r="JY591" s="549"/>
      <c r="JZ591" s="581">
        <f t="shared" si="13477"/>
        <v>0</v>
      </c>
      <c r="KA591" s="581">
        <f t="shared" si="13478"/>
        <v>0</v>
      </c>
      <c r="KB591" s="549">
        <f t="shared" si="13163"/>
        <v>0</v>
      </c>
      <c r="KC591" s="709">
        <f t="shared" si="13396"/>
        <v>0</v>
      </c>
      <c r="KD591" s="36"/>
      <c r="KE591" s="36"/>
      <c r="KF591" s="36"/>
      <c r="KG591" s="36"/>
      <c r="KH591" s="36"/>
      <c r="KI591" s="36"/>
      <c r="KJ591" s="36"/>
      <c r="KK591" s="36"/>
    </row>
    <row r="592" spans="1:297" s="8" customFormat="1">
      <c r="A592" s="80" t="s">
        <v>319</v>
      </c>
      <c r="B592" s="72" t="s">
        <v>68</v>
      </c>
      <c r="C592" s="74">
        <f t="shared" ref="C592" si="13750">SUM(C593:C596)</f>
        <v>5285300</v>
      </c>
      <c r="D592" s="549">
        <f t="shared" ref="D592:E592" si="13751">SUM(D593:D596)</f>
        <v>0</v>
      </c>
      <c r="E592" s="675">
        <f t="shared" si="13751"/>
        <v>0</v>
      </c>
      <c r="F592" s="549">
        <f t="shared" ref="F592:G592" si="13752">SUM(F593:F596)</f>
        <v>0</v>
      </c>
      <c r="G592" s="675">
        <f t="shared" si="13752"/>
        <v>0</v>
      </c>
      <c r="H592" s="549">
        <f t="shared" ref="H592:I592" si="13753">SUM(H593:H596)</f>
        <v>0</v>
      </c>
      <c r="I592" s="675">
        <f t="shared" si="13753"/>
        <v>0</v>
      </c>
      <c r="J592" s="549">
        <f t="shared" ref="J592:K592" si="13754">SUM(J593:J596)</f>
        <v>0</v>
      </c>
      <c r="K592" s="675">
        <f t="shared" si="13754"/>
        <v>0</v>
      </c>
      <c r="L592" s="549">
        <f t="shared" ref="L592:M592" si="13755">SUM(L593:L596)</f>
        <v>0</v>
      </c>
      <c r="M592" s="675">
        <f t="shared" si="13755"/>
        <v>0</v>
      </c>
      <c r="N592" s="549">
        <f t="shared" ref="N592:O592" si="13756">SUM(N593:N596)</f>
        <v>0</v>
      </c>
      <c r="O592" s="675">
        <f t="shared" si="13756"/>
        <v>0</v>
      </c>
      <c r="P592" s="549">
        <f t="shared" ref="P592:Q592" si="13757">SUM(P593:P596)</f>
        <v>0</v>
      </c>
      <c r="Q592" s="675">
        <f t="shared" si="13757"/>
        <v>0</v>
      </c>
      <c r="R592" s="549">
        <f t="shared" ref="R592:S592" si="13758">SUM(R593:R596)</f>
        <v>0</v>
      </c>
      <c r="S592" s="675">
        <f t="shared" si="13758"/>
        <v>0</v>
      </c>
      <c r="T592" s="549">
        <f t="shared" ref="T592:AM592" si="13759">SUM(T593:T596)</f>
        <v>0</v>
      </c>
      <c r="U592" s="675">
        <f t="shared" si="13759"/>
        <v>0</v>
      </c>
      <c r="V592" s="549">
        <f t="shared" si="13759"/>
        <v>0</v>
      </c>
      <c r="W592" s="675">
        <f t="shared" si="13759"/>
        <v>0</v>
      </c>
      <c r="X592" s="549">
        <f t="shared" si="13759"/>
        <v>0</v>
      </c>
      <c r="Y592" s="675">
        <f t="shared" si="13759"/>
        <v>0</v>
      </c>
      <c r="Z592" s="549">
        <f t="shared" si="13759"/>
        <v>0</v>
      </c>
      <c r="AA592" s="675">
        <f t="shared" si="13759"/>
        <v>0</v>
      </c>
      <c r="AB592" s="549">
        <f t="shared" si="13759"/>
        <v>0</v>
      </c>
      <c r="AC592" s="675">
        <f t="shared" si="13759"/>
        <v>0</v>
      </c>
      <c r="AD592" s="549">
        <f t="shared" ref="AD592:AK592" si="13760">SUM(AD593:AD596)</f>
        <v>0</v>
      </c>
      <c r="AE592" s="675">
        <f t="shared" si="13760"/>
        <v>0</v>
      </c>
      <c r="AF592" s="549">
        <f t="shared" si="13760"/>
        <v>0</v>
      </c>
      <c r="AG592" s="675">
        <f t="shared" si="13760"/>
        <v>0</v>
      </c>
      <c r="AH592" s="549">
        <f t="shared" si="13760"/>
        <v>0</v>
      </c>
      <c r="AI592" s="675">
        <f t="shared" si="13760"/>
        <v>0</v>
      </c>
      <c r="AJ592" s="549">
        <f t="shared" si="13760"/>
        <v>0</v>
      </c>
      <c r="AK592" s="675">
        <f t="shared" si="13760"/>
        <v>0</v>
      </c>
      <c r="AL592" s="549">
        <f t="shared" si="13759"/>
        <v>0</v>
      </c>
      <c r="AM592" s="675">
        <f t="shared" si="13759"/>
        <v>0</v>
      </c>
      <c r="AN592" s="549">
        <f t="shared" ref="AN592:AS592" si="13761">SUM(AN593:AN596)</f>
        <v>0</v>
      </c>
      <c r="AO592" s="675">
        <f t="shared" si="13761"/>
        <v>0</v>
      </c>
      <c r="AP592" s="549">
        <f t="shared" si="13761"/>
        <v>0</v>
      </c>
      <c r="AQ592" s="675">
        <f t="shared" si="13761"/>
        <v>0</v>
      </c>
      <c r="AR592" s="549">
        <f t="shared" si="13761"/>
        <v>0</v>
      </c>
      <c r="AS592" s="675">
        <f t="shared" si="13761"/>
        <v>0</v>
      </c>
      <c r="AT592" s="549">
        <f t="shared" ref="AT592:AU592" si="13762">SUM(AT593:AT596)</f>
        <v>0</v>
      </c>
      <c r="AU592" s="675">
        <f t="shared" si="13762"/>
        <v>0</v>
      </c>
      <c r="AV592" s="549">
        <f t="shared" ref="AV592:AW592" si="13763">SUM(AV593:AV596)</f>
        <v>0</v>
      </c>
      <c r="AW592" s="675">
        <f t="shared" si="13763"/>
        <v>0</v>
      </c>
      <c r="AX592" s="549">
        <f t="shared" ref="AX592:AY592" si="13764">SUM(AX593:AX596)</f>
        <v>0</v>
      </c>
      <c r="AY592" s="675">
        <f t="shared" si="13764"/>
        <v>0</v>
      </c>
      <c r="AZ592" s="549">
        <f t="shared" ref="AZ592:BA592" si="13765">SUM(AZ593:AZ596)</f>
        <v>0</v>
      </c>
      <c r="BA592" s="675">
        <f t="shared" si="13765"/>
        <v>0</v>
      </c>
      <c r="BB592" s="549">
        <f t="shared" ref="BB592:BC592" si="13766">SUM(BB593:BB596)</f>
        <v>0</v>
      </c>
      <c r="BC592" s="675">
        <f t="shared" si="13766"/>
        <v>0</v>
      </c>
      <c r="BD592" s="549">
        <f t="shared" ref="BD592:BE592" si="13767">SUM(BD593:BD596)</f>
        <v>0</v>
      </c>
      <c r="BE592" s="675">
        <f t="shared" si="13767"/>
        <v>0</v>
      </c>
      <c r="BF592" s="549">
        <f t="shared" ref="BF592:BG592" si="13768">SUM(BF593:BF596)</f>
        <v>0</v>
      </c>
      <c r="BG592" s="675">
        <f t="shared" si="13768"/>
        <v>0</v>
      </c>
      <c r="BH592" s="549">
        <f t="shared" ref="BH592:BI592" si="13769">SUM(BH593:BH596)</f>
        <v>0</v>
      </c>
      <c r="BI592" s="675">
        <f t="shared" si="13769"/>
        <v>0</v>
      </c>
      <c r="BJ592" s="549">
        <f t="shared" ref="BJ592:BK592" si="13770">SUM(BJ593:BJ596)</f>
        <v>0</v>
      </c>
      <c r="BK592" s="675">
        <f t="shared" si="13770"/>
        <v>0</v>
      </c>
      <c r="BL592" s="549">
        <f t="shared" ref="BL592:BS592" si="13771">SUM(BL593:BL596)</f>
        <v>0</v>
      </c>
      <c r="BM592" s="675">
        <f t="shared" si="13771"/>
        <v>0</v>
      </c>
      <c r="BN592" s="549">
        <f t="shared" si="13771"/>
        <v>0</v>
      </c>
      <c r="BO592" s="675">
        <f t="shared" si="13771"/>
        <v>0</v>
      </c>
      <c r="BP592" s="549">
        <f t="shared" si="13771"/>
        <v>0</v>
      </c>
      <c r="BQ592" s="675">
        <f t="shared" si="13771"/>
        <v>0</v>
      </c>
      <c r="BR592" s="549">
        <f t="shared" si="13771"/>
        <v>0</v>
      </c>
      <c r="BS592" s="675">
        <f t="shared" si="13771"/>
        <v>0</v>
      </c>
      <c r="BT592" s="549">
        <f t="shared" ref="BT592:BU592" si="13772">SUM(BT593:BT596)</f>
        <v>0</v>
      </c>
      <c r="BU592" s="675">
        <f t="shared" si="13772"/>
        <v>0</v>
      </c>
      <c r="BV592" s="549">
        <f t="shared" ref="BV592:BW592" si="13773">SUM(BV593:BV596)</f>
        <v>0</v>
      </c>
      <c r="BW592" s="675">
        <f t="shared" si="13773"/>
        <v>0</v>
      </c>
      <c r="BX592" s="549">
        <f t="shared" ref="BX592:BY592" si="13774">SUM(BX593:BX596)</f>
        <v>0</v>
      </c>
      <c r="BY592" s="675">
        <f t="shared" si="13774"/>
        <v>0</v>
      </c>
      <c r="BZ592" s="549">
        <f t="shared" ref="BZ592:CA592" si="13775">SUM(BZ593:BZ596)</f>
        <v>0</v>
      </c>
      <c r="CA592" s="675">
        <f t="shared" si="13775"/>
        <v>0</v>
      </c>
      <c r="CB592" s="549">
        <f t="shared" ref="CB592:CE592" si="13776">SUM(CB593:CB596)</f>
        <v>0</v>
      </c>
      <c r="CC592" s="675">
        <f t="shared" si="13776"/>
        <v>0</v>
      </c>
      <c r="CD592" s="549">
        <f t="shared" si="13776"/>
        <v>0</v>
      </c>
      <c r="CE592" s="675">
        <f t="shared" si="13776"/>
        <v>0</v>
      </c>
      <c r="CF592" s="549">
        <f t="shared" ref="CF592:CQ592" si="13777">SUM(CF593:CF596)</f>
        <v>0</v>
      </c>
      <c r="CG592" s="675">
        <f t="shared" si="13777"/>
        <v>0</v>
      </c>
      <c r="CH592" s="549">
        <f t="shared" si="13777"/>
        <v>0</v>
      </c>
      <c r="CI592" s="675">
        <f t="shared" si="13777"/>
        <v>0</v>
      </c>
      <c r="CJ592" s="549">
        <f t="shared" si="13777"/>
        <v>0</v>
      </c>
      <c r="CK592" s="675">
        <f t="shared" si="13777"/>
        <v>0</v>
      </c>
      <c r="CL592" s="549">
        <f t="shared" si="13777"/>
        <v>0</v>
      </c>
      <c r="CM592" s="675">
        <f t="shared" si="13777"/>
        <v>0</v>
      </c>
      <c r="CN592" s="549">
        <f t="shared" si="13777"/>
        <v>0</v>
      </c>
      <c r="CO592" s="675">
        <f t="shared" si="13777"/>
        <v>0</v>
      </c>
      <c r="CP592" s="549">
        <f t="shared" si="13777"/>
        <v>0</v>
      </c>
      <c r="CQ592" s="675">
        <f t="shared" si="13777"/>
        <v>0</v>
      </c>
      <c r="CR592" s="549">
        <f t="shared" ref="CR592:CY592" si="13778">SUM(CR593:CR596)</f>
        <v>0</v>
      </c>
      <c r="CS592" s="675">
        <f t="shared" si="13778"/>
        <v>0</v>
      </c>
      <c r="CT592" s="549">
        <f t="shared" si="13778"/>
        <v>0</v>
      </c>
      <c r="CU592" s="675">
        <f t="shared" si="13778"/>
        <v>0</v>
      </c>
      <c r="CV592" s="549">
        <f t="shared" si="13778"/>
        <v>0</v>
      </c>
      <c r="CW592" s="675">
        <f t="shared" si="13778"/>
        <v>0</v>
      </c>
      <c r="CX592" s="549">
        <f t="shared" si="13778"/>
        <v>0</v>
      </c>
      <c r="CY592" s="675">
        <f t="shared" si="13778"/>
        <v>0</v>
      </c>
      <c r="CZ592" s="549">
        <f t="shared" ref="CZ592:DG592" si="13779">SUM(CZ593:CZ596)</f>
        <v>0</v>
      </c>
      <c r="DA592" s="675">
        <f t="shared" si="13779"/>
        <v>0</v>
      </c>
      <c r="DB592" s="549">
        <f t="shared" si="13779"/>
        <v>0</v>
      </c>
      <c r="DC592" s="675">
        <f t="shared" si="13779"/>
        <v>0</v>
      </c>
      <c r="DD592" s="549">
        <f t="shared" si="13779"/>
        <v>0</v>
      </c>
      <c r="DE592" s="675">
        <f t="shared" si="13779"/>
        <v>0</v>
      </c>
      <c r="DF592" s="549">
        <f t="shared" si="13779"/>
        <v>0</v>
      </c>
      <c r="DG592" s="675">
        <f t="shared" si="13779"/>
        <v>0</v>
      </c>
      <c r="DH592" s="549">
        <f t="shared" ref="DH592:DY592" si="13780">SUM(DH593:DH596)</f>
        <v>0</v>
      </c>
      <c r="DI592" s="675">
        <f t="shared" si="13780"/>
        <v>0</v>
      </c>
      <c r="DJ592" s="549">
        <f t="shared" si="13780"/>
        <v>0</v>
      </c>
      <c r="DK592" s="675">
        <f t="shared" si="13780"/>
        <v>0</v>
      </c>
      <c r="DL592" s="549">
        <f t="shared" si="13780"/>
        <v>0</v>
      </c>
      <c r="DM592" s="675">
        <f t="shared" si="13780"/>
        <v>0</v>
      </c>
      <c r="DN592" s="549">
        <f t="shared" si="13780"/>
        <v>0</v>
      </c>
      <c r="DO592" s="675">
        <f t="shared" si="13780"/>
        <v>0</v>
      </c>
      <c r="DP592" s="549">
        <f t="shared" si="13780"/>
        <v>0</v>
      </c>
      <c r="DQ592" s="675">
        <f t="shared" si="13780"/>
        <v>0</v>
      </c>
      <c r="DR592" s="549">
        <f t="shared" si="13780"/>
        <v>0</v>
      </c>
      <c r="DS592" s="675">
        <f t="shared" si="13780"/>
        <v>0</v>
      </c>
      <c r="DT592" s="549">
        <f t="shared" si="13780"/>
        <v>0</v>
      </c>
      <c r="DU592" s="675">
        <f t="shared" si="13780"/>
        <v>0</v>
      </c>
      <c r="DV592" s="549">
        <f t="shared" si="13780"/>
        <v>0</v>
      </c>
      <c r="DW592" s="675">
        <f t="shared" si="13780"/>
        <v>0</v>
      </c>
      <c r="DX592" s="549">
        <f t="shared" si="13780"/>
        <v>0</v>
      </c>
      <c r="DY592" s="675">
        <f t="shared" si="13780"/>
        <v>0</v>
      </c>
      <c r="DZ592" s="549">
        <f t="shared" ref="DZ592:FA592" si="13781">SUM(DZ593:DZ596)</f>
        <v>0</v>
      </c>
      <c r="EA592" s="675">
        <f t="shared" si="13781"/>
        <v>0</v>
      </c>
      <c r="EB592" s="549">
        <f t="shared" si="13781"/>
        <v>0</v>
      </c>
      <c r="EC592" s="675">
        <f t="shared" si="13781"/>
        <v>0</v>
      </c>
      <c r="ED592" s="549">
        <f t="shared" si="13781"/>
        <v>0</v>
      </c>
      <c r="EE592" s="675">
        <f t="shared" si="13781"/>
        <v>0</v>
      </c>
      <c r="EF592" s="549">
        <f t="shared" si="13781"/>
        <v>0</v>
      </c>
      <c r="EG592" s="675">
        <f t="shared" si="13781"/>
        <v>0</v>
      </c>
      <c r="EH592" s="549">
        <f t="shared" ref="EH592:EM592" si="13782">SUM(EH593:EH596)</f>
        <v>0</v>
      </c>
      <c r="EI592" s="675">
        <f t="shared" si="13782"/>
        <v>0</v>
      </c>
      <c r="EJ592" s="549">
        <f t="shared" si="13782"/>
        <v>0</v>
      </c>
      <c r="EK592" s="675">
        <f t="shared" si="13782"/>
        <v>0</v>
      </c>
      <c r="EL592" s="549">
        <f t="shared" si="13782"/>
        <v>0</v>
      </c>
      <c r="EM592" s="675">
        <f t="shared" si="13782"/>
        <v>0</v>
      </c>
      <c r="EN592" s="549">
        <f t="shared" si="13781"/>
        <v>0</v>
      </c>
      <c r="EO592" s="675">
        <f t="shared" si="13781"/>
        <v>0</v>
      </c>
      <c r="EP592" s="549">
        <f t="shared" si="13781"/>
        <v>0</v>
      </c>
      <c r="EQ592" s="675">
        <f t="shared" si="13781"/>
        <v>0</v>
      </c>
      <c r="ER592" s="549">
        <f t="shared" si="13781"/>
        <v>0</v>
      </c>
      <c r="ES592" s="675">
        <f t="shared" si="13781"/>
        <v>0</v>
      </c>
      <c r="ET592" s="549">
        <f t="shared" si="13781"/>
        <v>0</v>
      </c>
      <c r="EU592" s="675">
        <f t="shared" si="13781"/>
        <v>0</v>
      </c>
      <c r="EV592" s="549">
        <f t="shared" ref="EV592:EW592" si="13783">SUM(EV593:EV596)</f>
        <v>0</v>
      </c>
      <c r="EW592" s="675">
        <f t="shared" si="13783"/>
        <v>0</v>
      </c>
      <c r="EX592" s="549">
        <f t="shared" si="13781"/>
        <v>0</v>
      </c>
      <c r="EY592" s="675">
        <f t="shared" si="13781"/>
        <v>0</v>
      </c>
      <c r="EZ592" s="549">
        <f t="shared" si="13781"/>
        <v>0</v>
      </c>
      <c r="FA592" s="675">
        <f t="shared" si="13781"/>
        <v>0</v>
      </c>
      <c r="FB592" s="549">
        <f t="shared" ref="FB592:FC592" si="13784">SUM(FB593:FB596)</f>
        <v>0</v>
      </c>
      <c r="FC592" s="675">
        <f t="shared" si="13784"/>
        <v>0</v>
      </c>
      <c r="FD592" s="549">
        <f t="shared" ref="FD592:FE592" si="13785">SUM(FD593:FD596)</f>
        <v>0</v>
      </c>
      <c r="FE592" s="675">
        <f t="shared" si="13785"/>
        <v>0</v>
      </c>
      <c r="FF592" s="549">
        <f t="shared" ref="FF592:FG592" si="13786">SUM(FF593:FF596)</f>
        <v>0</v>
      </c>
      <c r="FG592" s="675">
        <f t="shared" si="13786"/>
        <v>0</v>
      </c>
      <c r="FH592" s="549">
        <f t="shared" ref="FH592:FI592" si="13787">SUM(FH593:FH596)</f>
        <v>0</v>
      </c>
      <c r="FI592" s="675">
        <f t="shared" si="13787"/>
        <v>0</v>
      </c>
      <c r="FJ592" s="549">
        <f t="shared" ref="FJ592:FK592" si="13788">SUM(FJ593:FJ596)</f>
        <v>0</v>
      </c>
      <c r="FK592" s="675">
        <f t="shared" si="13788"/>
        <v>0</v>
      </c>
      <c r="FL592" s="549">
        <f t="shared" ref="FL592:FM592" si="13789">SUM(FL593:FL596)</f>
        <v>0</v>
      </c>
      <c r="FM592" s="675">
        <f t="shared" si="13789"/>
        <v>0</v>
      </c>
      <c r="FN592" s="549">
        <f t="shared" ref="FN592:FO592" si="13790">SUM(FN593:FN596)</f>
        <v>0</v>
      </c>
      <c r="FO592" s="675">
        <f t="shared" si="13790"/>
        <v>0</v>
      </c>
      <c r="FP592" s="549">
        <f t="shared" ref="FP592:FQ592" si="13791">SUM(FP593:FP596)</f>
        <v>0</v>
      </c>
      <c r="FQ592" s="675">
        <f t="shared" si="13791"/>
        <v>0</v>
      </c>
      <c r="FR592" s="549">
        <f t="shared" ref="FR592:FS592" si="13792">SUM(FR593:FR596)</f>
        <v>0</v>
      </c>
      <c r="FS592" s="675">
        <f t="shared" si="13792"/>
        <v>0</v>
      </c>
      <c r="FT592" s="549">
        <f t="shared" ref="FT592:FU592" si="13793">SUM(FT593:FT596)</f>
        <v>0</v>
      </c>
      <c r="FU592" s="675">
        <f t="shared" si="13793"/>
        <v>0</v>
      </c>
      <c r="FV592" s="549">
        <f t="shared" ref="FV592:GK592" si="13794">SUM(FV593:FV596)</f>
        <v>0</v>
      </c>
      <c r="FW592" s="675">
        <f t="shared" si="13794"/>
        <v>0</v>
      </c>
      <c r="FX592" s="549">
        <f t="shared" si="13794"/>
        <v>0</v>
      </c>
      <c r="FY592" s="675">
        <f t="shared" si="13794"/>
        <v>0</v>
      </c>
      <c r="FZ592" s="549">
        <f t="shared" ref="FZ592:GI592" si="13795">SUM(FZ593:FZ596)</f>
        <v>0</v>
      </c>
      <c r="GA592" s="675">
        <f t="shared" si="13795"/>
        <v>0</v>
      </c>
      <c r="GB592" s="549">
        <f t="shared" si="13795"/>
        <v>0</v>
      </c>
      <c r="GC592" s="675">
        <f t="shared" si="13795"/>
        <v>0</v>
      </c>
      <c r="GD592" s="549">
        <f t="shared" si="13795"/>
        <v>0</v>
      </c>
      <c r="GE592" s="675">
        <f t="shared" si="13795"/>
        <v>0</v>
      </c>
      <c r="GF592" s="549">
        <f t="shared" si="13795"/>
        <v>0</v>
      </c>
      <c r="GG592" s="675">
        <f t="shared" si="13795"/>
        <v>0</v>
      </c>
      <c r="GH592" s="549">
        <f t="shared" si="13795"/>
        <v>0</v>
      </c>
      <c r="GI592" s="675">
        <f t="shared" si="13795"/>
        <v>0</v>
      </c>
      <c r="GJ592" s="549">
        <f t="shared" si="13794"/>
        <v>0</v>
      </c>
      <c r="GK592" s="675">
        <f t="shared" si="13794"/>
        <v>0</v>
      </c>
      <c r="GL592" s="549">
        <f t="shared" ref="GL592:GP592" si="13796">SUM(GL593:GL596)</f>
        <v>0</v>
      </c>
      <c r="GM592" s="675">
        <f t="shared" si="13796"/>
        <v>0</v>
      </c>
      <c r="GN592" s="549">
        <f t="shared" ref="GN592:GO592" si="13797">SUM(GN593:GN596)</f>
        <v>0</v>
      </c>
      <c r="GO592" s="675">
        <f t="shared" si="13797"/>
        <v>0</v>
      </c>
      <c r="GP592" s="549">
        <f t="shared" si="13796"/>
        <v>0</v>
      </c>
      <c r="GQ592" s="675">
        <f t="shared" ref="GQ592:HU592" si="13798">SUM(GQ593:GQ596)</f>
        <v>0</v>
      </c>
      <c r="GR592" s="74">
        <f t="shared" si="13798"/>
        <v>5285300</v>
      </c>
      <c r="GS592" s="74">
        <f t="shared" si="13798"/>
        <v>4812411</v>
      </c>
      <c r="GT592" s="549">
        <f t="shared" si="13798"/>
        <v>5285300</v>
      </c>
      <c r="GU592" s="74">
        <f t="shared" si="13798"/>
        <v>480510</v>
      </c>
      <c r="GV592" s="74">
        <f t="shared" si="13798"/>
        <v>480479</v>
      </c>
      <c r="GW592" s="549">
        <f t="shared" si="13798"/>
        <v>480479</v>
      </c>
      <c r="GX592" s="549">
        <f t="shared" si="13798"/>
        <v>480479</v>
      </c>
      <c r="GY592" s="74">
        <f t="shared" si="13798"/>
        <v>480479</v>
      </c>
      <c r="GZ592" s="74">
        <f t="shared" si="13798"/>
        <v>480479</v>
      </c>
      <c r="HA592" s="74">
        <f t="shared" si="13798"/>
        <v>480479</v>
      </c>
      <c r="HB592" s="74">
        <f t="shared" si="13798"/>
        <v>480479</v>
      </c>
      <c r="HC592" s="74">
        <f t="shared" si="13798"/>
        <v>480479</v>
      </c>
      <c r="HD592" s="74">
        <f t="shared" si="13798"/>
        <v>488069</v>
      </c>
      <c r="HE592" s="74">
        <f t="shared" si="13798"/>
        <v>472889</v>
      </c>
      <c r="HF592" s="74">
        <f t="shared" si="13798"/>
        <v>0</v>
      </c>
      <c r="HG592" s="74">
        <f>SUM(HG593:HG596)</f>
        <v>4812411</v>
      </c>
      <c r="HH592" s="74">
        <f t="shared" ref="HH592:HI592" si="13799">SUM(HH593:HH596)</f>
        <v>0</v>
      </c>
      <c r="HI592" s="792">
        <f t="shared" si="13799"/>
        <v>0</v>
      </c>
      <c r="HJ592" s="74">
        <f t="shared" si="13798"/>
        <v>0</v>
      </c>
      <c r="HK592" s="792">
        <f t="shared" si="13798"/>
        <v>960989</v>
      </c>
      <c r="HL592" s="74">
        <f t="shared" si="13798"/>
        <v>0</v>
      </c>
      <c r="HM592" s="792">
        <f t="shared" si="13798"/>
        <v>480479</v>
      </c>
      <c r="HN592" s="74">
        <f t="shared" si="13798"/>
        <v>0</v>
      </c>
      <c r="HO592" s="792">
        <f t="shared" si="13798"/>
        <v>480479</v>
      </c>
      <c r="HP592" s="74">
        <f t="shared" si="13798"/>
        <v>0</v>
      </c>
      <c r="HQ592" s="792">
        <f t="shared" si="13798"/>
        <v>480479</v>
      </c>
      <c r="HR592" s="74">
        <f t="shared" si="13798"/>
        <v>0</v>
      </c>
      <c r="HS592" s="792">
        <f t="shared" si="13798"/>
        <v>480479</v>
      </c>
      <c r="HT592" s="74">
        <f t="shared" si="13798"/>
        <v>0</v>
      </c>
      <c r="HU592" s="792">
        <f t="shared" si="13798"/>
        <v>480479</v>
      </c>
      <c r="HV592" s="74">
        <f t="shared" ref="HV592:HW592" si="13800">SUM(HV593:HV596)</f>
        <v>0</v>
      </c>
      <c r="HW592" s="792">
        <f t="shared" si="13800"/>
        <v>480479</v>
      </c>
      <c r="HX592" s="74">
        <f t="shared" ref="HX592:HY592" si="13801">SUM(HX593:HX596)</f>
        <v>0</v>
      </c>
      <c r="HY592" s="792">
        <f t="shared" si="13801"/>
        <v>480479</v>
      </c>
      <c r="HZ592" s="74">
        <f t="shared" ref="HZ592:IA592" si="13802">SUM(HZ593:HZ596)</f>
        <v>0</v>
      </c>
      <c r="IA592" s="792">
        <f t="shared" si="13802"/>
        <v>488069</v>
      </c>
      <c r="IB592" s="74">
        <f t="shared" ref="IB592:IC592" si="13803">SUM(IB593:IB596)</f>
        <v>0</v>
      </c>
      <c r="IC592" s="792">
        <f t="shared" si="13803"/>
        <v>0</v>
      </c>
      <c r="ID592" s="74">
        <f t="shared" ref="ID592:JC592" si="13804">SUM(ID593:ID596)</f>
        <v>0</v>
      </c>
      <c r="IE592" s="792">
        <f t="shared" si="13804"/>
        <v>0</v>
      </c>
      <c r="IF592" s="841">
        <f t="shared" si="13804"/>
        <v>4755889.8600000003</v>
      </c>
      <c r="IG592" s="263">
        <f t="shared" si="13804"/>
        <v>4755889.8600000003</v>
      </c>
      <c r="IH592" s="842">
        <f t="shared" si="13804"/>
        <v>4755889.8600000003</v>
      </c>
      <c r="II592" s="74">
        <f t="shared" si="13804"/>
        <v>3000</v>
      </c>
      <c r="IJ592" s="74">
        <f t="shared" si="13804"/>
        <v>3000</v>
      </c>
      <c r="IK592" s="74">
        <f t="shared" si="13804"/>
        <v>3000</v>
      </c>
      <c r="IL592" s="74">
        <f t="shared" si="13804"/>
        <v>948899</v>
      </c>
      <c r="IM592" s="74">
        <f t="shared" si="13804"/>
        <v>948899</v>
      </c>
      <c r="IN592" s="74">
        <f t="shared" si="13804"/>
        <v>948899</v>
      </c>
      <c r="IO592" s="74">
        <f t="shared" si="13804"/>
        <v>472889</v>
      </c>
      <c r="IP592" s="74">
        <f t="shared" si="13804"/>
        <v>472889</v>
      </c>
      <c r="IQ592" s="74">
        <f t="shared" si="13804"/>
        <v>472889</v>
      </c>
      <c r="IR592" s="74">
        <f t="shared" si="13804"/>
        <v>476109</v>
      </c>
      <c r="IS592" s="74">
        <f t="shared" si="13804"/>
        <v>476109</v>
      </c>
      <c r="IT592" s="74">
        <f t="shared" si="13804"/>
        <v>476109</v>
      </c>
      <c r="IU592" s="74">
        <f t="shared" si="13804"/>
        <v>475504.79</v>
      </c>
      <c r="IV592" s="74">
        <f t="shared" si="13804"/>
        <v>475504.79</v>
      </c>
      <c r="IW592" s="74">
        <f t="shared" si="13804"/>
        <v>475504.79</v>
      </c>
      <c r="IX592" s="74">
        <f t="shared" si="13804"/>
        <v>475504.59</v>
      </c>
      <c r="IY592" s="74">
        <f t="shared" si="13804"/>
        <v>475504.59</v>
      </c>
      <c r="IZ592" s="74">
        <f t="shared" si="13804"/>
        <v>475504.59</v>
      </c>
      <c r="JA592" s="74">
        <f t="shared" si="13804"/>
        <v>476031.28</v>
      </c>
      <c r="JB592" s="74">
        <f t="shared" si="13804"/>
        <v>476031.28</v>
      </c>
      <c r="JC592" s="74">
        <f t="shared" si="13804"/>
        <v>476031.28</v>
      </c>
      <c r="JD592" s="74">
        <f t="shared" ref="JD592:JF592" si="13805">SUM(JD593:JD596)</f>
        <v>476031.6</v>
      </c>
      <c r="JE592" s="74">
        <f t="shared" si="13805"/>
        <v>476031.6</v>
      </c>
      <c r="JF592" s="74">
        <f t="shared" si="13805"/>
        <v>476031.6</v>
      </c>
      <c r="JG592" s="74">
        <f t="shared" ref="JG592:JI592" si="13806">SUM(JG593:JG596)</f>
        <v>476031.6</v>
      </c>
      <c r="JH592" s="74">
        <f t="shared" si="13806"/>
        <v>476031.6</v>
      </c>
      <c r="JI592" s="74">
        <f t="shared" si="13806"/>
        <v>476031.6</v>
      </c>
      <c r="JJ592" s="74">
        <f t="shared" ref="JJ592:JL592" si="13807">SUM(JJ593:JJ596)</f>
        <v>475889</v>
      </c>
      <c r="JK592" s="74">
        <f t="shared" si="13807"/>
        <v>475889</v>
      </c>
      <c r="JL592" s="74">
        <f t="shared" si="13807"/>
        <v>475889</v>
      </c>
      <c r="JM592" s="74">
        <f t="shared" ref="JM592:JO592" si="13808">SUM(JM593:JM596)</f>
        <v>0</v>
      </c>
      <c r="JN592" s="74">
        <f t="shared" si="13808"/>
        <v>0</v>
      </c>
      <c r="JO592" s="74">
        <f t="shared" si="13808"/>
        <v>0</v>
      </c>
      <c r="JP592" s="74">
        <f t="shared" ref="JP592:JT592" si="13809">SUM(JP593:JP596)</f>
        <v>0</v>
      </c>
      <c r="JQ592" s="74">
        <f t="shared" si="13809"/>
        <v>0</v>
      </c>
      <c r="JR592" s="74">
        <f t="shared" si="13809"/>
        <v>0</v>
      </c>
      <c r="JS592" s="74">
        <f t="shared" si="13809"/>
        <v>56521.14</v>
      </c>
      <c r="JT592" s="382">
        <f t="shared" si="13809"/>
        <v>56521.14</v>
      </c>
      <c r="JU592" s="665"/>
      <c r="JV592" s="524"/>
      <c r="JW592" s="525"/>
      <c r="JX592" s="549">
        <f>SUM(JX593:JX596)</f>
        <v>0</v>
      </c>
      <c r="JY592" s="549">
        <f>SUM(JY593:JY596)</f>
        <v>4812411</v>
      </c>
      <c r="JZ592" s="581">
        <f>SUM(JZ593:JZ596)</f>
        <v>0</v>
      </c>
      <c r="KA592" s="581">
        <f t="shared" si="13478"/>
        <v>0</v>
      </c>
      <c r="KB592" s="549">
        <f t="shared" si="13163"/>
        <v>4812411</v>
      </c>
      <c r="KC592" s="709">
        <f t="shared" si="13396"/>
        <v>0</v>
      </c>
      <c r="KD592" s="36"/>
      <c r="KE592" s="36"/>
      <c r="KF592" s="36"/>
      <c r="KG592" s="36"/>
      <c r="KH592" s="36"/>
      <c r="KI592" s="36"/>
      <c r="KJ592" s="36"/>
      <c r="KK592" s="36"/>
    </row>
    <row r="593" spans="1:297" s="10" customFormat="1">
      <c r="A593" s="86" t="s">
        <v>320</v>
      </c>
      <c r="B593" s="77" t="s">
        <v>70</v>
      </c>
      <c r="C593" s="74">
        <v>4512700</v>
      </c>
      <c r="D593" s="549">
        <v>0</v>
      </c>
      <c r="E593" s="675">
        <v>0</v>
      </c>
      <c r="F593" s="549">
        <v>0</v>
      </c>
      <c r="G593" s="675">
        <v>0</v>
      </c>
      <c r="H593" s="549">
        <v>0</v>
      </c>
      <c r="I593" s="675">
        <v>0</v>
      </c>
      <c r="J593" s="549">
        <v>0</v>
      </c>
      <c r="K593" s="675">
        <v>0</v>
      </c>
      <c r="L593" s="549">
        <v>0</v>
      </c>
      <c r="M593" s="675">
        <v>0</v>
      </c>
      <c r="N593" s="549">
        <v>0</v>
      </c>
      <c r="O593" s="675">
        <v>0</v>
      </c>
      <c r="P593" s="549">
        <v>0</v>
      </c>
      <c r="Q593" s="675">
        <v>0</v>
      </c>
      <c r="R593" s="549">
        <v>0</v>
      </c>
      <c r="S593" s="675">
        <v>0</v>
      </c>
      <c r="T593" s="549">
        <v>0</v>
      </c>
      <c r="U593" s="675">
        <v>0</v>
      </c>
      <c r="V593" s="549">
        <v>0</v>
      </c>
      <c r="W593" s="675">
        <v>0</v>
      </c>
      <c r="X593" s="549">
        <v>0</v>
      </c>
      <c r="Y593" s="675">
        <v>0</v>
      </c>
      <c r="Z593" s="549">
        <v>0</v>
      </c>
      <c r="AA593" s="675">
        <v>0</v>
      </c>
      <c r="AB593" s="549">
        <v>0</v>
      </c>
      <c r="AC593" s="675">
        <v>0</v>
      </c>
      <c r="AD593" s="549">
        <v>0</v>
      </c>
      <c r="AE593" s="675">
        <v>0</v>
      </c>
      <c r="AF593" s="549">
        <v>0</v>
      </c>
      <c r="AG593" s="675">
        <v>0</v>
      </c>
      <c r="AH593" s="549">
        <v>0</v>
      </c>
      <c r="AI593" s="675">
        <v>0</v>
      </c>
      <c r="AJ593" s="549">
        <v>0</v>
      </c>
      <c r="AK593" s="675">
        <v>0</v>
      </c>
      <c r="AL593" s="549">
        <v>0</v>
      </c>
      <c r="AM593" s="675">
        <v>0</v>
      </c>
      <c r="AN593" s="549">
        <v>0</v>
      </c>
      <c r="AO593" s="675">
        <v>0</v>
      </c>
      <c r="AP593" s="549">
        <v>0</v>
      </c>
      <c r="AQ593" s="675">
        <v>0</v>
      </c>
      <c r="AR593" s="549">
        <v>0</v>
      </c>
      <c r="AS593" s="675">
        <v>0</v>
      </c>
      <c r="AT593" s="549">
        <v>0</v>
      </c>
      <c r="AU593" s="675">
        <v>0</v>
      </c>
      <c r="AV593" s="549">
        <v>0</v>
      </c>
      <c r="AW593" s="675">
        <v>0</v>
      </c>
      <c r="AX593" s="549">
        <v>0</v>
      </c>
      <c r="AY593" s="675">
        <v>0</v>
      </c>
      <c r="AZ593" s="549">
        <v>0</v>
      </c>
      <c r="BA593" s="675">
        <v>0</v>
      </c>
      <c r="BB593" s="549">
        <v>0</v>
      </c>
      <c r="BC593" s="675">
        <v>0</v>
      </c>
      <c r="BD593" s="549">
        <v>0</v>
      </c>
      <c r="BE593" s="675">
        <v>0</v>
      </c>
      <c r="BF593" s="549">
        <v>0</v>
      </c>
      <c r="BG593" s="675">
        <v>0</v>
      </c>
      <c r="BH593" s="549">
        <v>0</v>
      </c>
      <c r="BI593" s="675">
        <v>0</v>
      </c>
      <c r="BJ593" s="549">
        <v>0</v>
      </c>
      <c r="BK593" s="675">
        <v>0</v>
      </c>
      <c r="BL593" s="549">
        <v>0</v>
      </c>
      <c r="BM593" s="675">
        <v>0</v>
      </c>
      <c r="BN593" s="549">
        <v>0</v>
      </c>
      <c r="BO593" s="675">
        <v>0</v>
      </c>
      <c r="BP593" s="549">
        <v>0</v>
      </c>
      <c r="BQ593" s="675">
        <v>0</v>
      </c>
      <c r="BR593" s="549">
        <v>0</v>
      </c>
      <c r="BS593" s="675">
        <v>0</v>
      </c>
      <c r="BT593" s="549">
        <v>0</v>
      </c>
      <c r="BU593" s="675">
        <v>0</v>
      </c>
      <c r="BV593" s="549">
        <v>0</v>
      </c>
      <c r="BW593" s="675">
        <v>0</v>
      </c>
      <c r="BX593" s="549">
        <v>0</v>
      </c>
      <c r="BY593" s="675">
        <v>0</v>
      </c>
      <c r="BZ593" s="549">
        <v>0</v>
      </c>
      <c r="CA593" s="675">
        <v>0</v>
      </c>
      <c r="CB593" s="549">
        <v>0</v>
      </c>
      <c r="CC593" s="675">
        <v>0</v>
      </c>
      <c r="CD593" s="549">
        <v>0</v>
      </c>
      <c r="CE593" s="675">
        <v>0</v>
      </c>
      <c r="CF593" s="549">
        <v>0</v>
      </c>
      <c r="CG593" s="675">
        <v>0</v>
      </c>
      <c r="CH593" s="549">
        <v>0</v>
      </c>
      <c r="CI593" s="675">
        <v>0</v>
      </c>
      <c r="CJ593" s="549">
        <v>0</v>
      </c>
      <c r="CK593" s="675">
        <v>0</v>
      </c>
      <c r="CL593" s="549">
        <v>0</v>
      </c>
      <c r="CM593" s="675">
        <v>0</v>
      </c>
      <c r="CN593" s="549">
        <v>0</v>
      </c>
      <c r="CO593" s="675">
        <v>0</v>
      </c>
      <c r="CP593" s="549">
        <v>0</v>
      </c>
      <c r="CQ593" s="675">
        <v>0</v>
      </c>
      <c r="CR593" s="549">
        <v>0</v>
      </c>
      <c r="CS593" s="675">
        <v>0</v>
      </c>
      <c r="CT593" s="549">
        <v>0</v>
      </c>
      <c r="CU593" s="675">
        <v>0</v>
      </c>
      <c r="CV593" s="549">
        <v>0</v>
      </c>
      <c r="CW593" s="675">
        <v>0</v>
      </c>
      <c r="CX593" s="549">
        <v>0</v>
      </c>
      <c r="CY593" s="675">
        <v>0</v>
      </c>
      <c r="CZ593" s="549">
        <v>0</v>
      </c>
      <c r="DA593" s="675">
        <v>0</v>
      </c>
      <c r="DB593" s="549">
        <v>0</v>
      </c>
      <c r="DC593" s="675">
        <v>0</v>
      </c>
      <c r="DD593" s="549">
        <v>0</v>
      </c>
      <c r="DE593" s="675">
        <v>0</v>
      </c>
      <c r="DF593" s="549">
        <v>0</v>
      </c>
      <c r="DG593" s="675">
        <v>0</v>
      </c>
      <c r="DH593" s="549">
        <v>0</v>
      </c>
      <c r="DI593" s="675">
        <v>0</v>
      </c>
      <c r="DJ593" s="549">
        <v>0</v>
      </c>
      <c r="DK593" s="675">
        <v>0</v>
      </c>
      <c r="DL593" s="549">
        <v>0</v>
      </c>
      <c r="DM593" s="675">
        <v>0</v>
      </c>
      <c r="DN593" s="549">
        <v>0</v>
      </c>
      <c r="DO593" s="675">
        <v>0</v>
      </c>
      <c r="DP593" s="549">
        <v>0</v>
      </c>
      <c r="DQ593" s="675">
        <v>0</v>
      </c>
      <c r="DR593" s="549">
        <v>0</v>
      </c>
      <c r="DS593" s="675">
        <v>0</v>
      </c>
      <c r="DT593" s="549">
        <v>0</v>
      </c>
      <c r="DU593" s="675">
        <v>0</v>
      </c>
      <c r="DV593" s="549">
        <v>0</v>
      </c>
      <c r="DW593" s="675">
        <v>0</v>
      </c>
      <c r="DX593" s="549">
        <v>0</v>
      </c>
      <c r="DY593" s="675">
        <v>0</v>
      </c>
      <c r="DZ593" s="549">
        <v>0</v>
      </c>
      <c r="EA593" s="675">
        <v>0</v>
      </c>
      <c r="EB593" s="549">
        <v>0</v>
      </c>
      <c r="EC593" s="675">
        <v>0</v>
      </c>
      <c r="ED593" s="549">
        <v>0</v>
      </c>
      <c r="EE593" s="675">
        <v>0</v>
      </c>
      <c r="EF593" s="549">
        <v>0</v>
      </c>
      <c r="EG593" s="675">
        <v>0</v>
      </c>
      <c r="EH593" s="549">
        <v>0</v>
      </c>
      <c r="EI593" s="675">
        <v>0</v>
      </c>
      <c r="EJ593" s="549">
        <v>0</v>
      </c>
      <c r="EK593" s="675">
        <v>0</v>
      </c>
      <c r="EL593" s="549">
        <v>0</v>
      </c>
      <c r="EM593" s="675">
        <v>0</v>
      </c>
      <c r="EN593" s="549">
        <v>0</v>
      </c>
      <c r="EO593" s="675">
        <v>0</v>
      </c>
      <c r="EP593" s="549">
        <v>0</v>
      </c>
      <c r="EQ593" s="675">
        <v>0</v>
      </c>
      <c r="ER593" s="549">
        <v>0</v>
      </c>
      <c r="ES593" s="675">
        <v>0</v>
      </c>
      <c r="ET593" s="549">
        <v>0</v>
      </c>
      <c r="EU593" s="675">
        <v>0</v>
      </c>
      <c r="EV593" s="549">
        <v>0</v>
      </c>
      <c r="EW593" s="675">
        <v>0</v>
      </c>
      <c r="EX593" s="549">
        <v>0</v>
      </c>
      <c r="EY593" s="675">
        <v>0</v>
      </c>
      <c r="EZ593" s="549">
        <v>0</v>
      </c>
      <c r="FA593" s="675">
        <v>0</v>
      </c>
      <c r="FB593" s="549">
        <v>0</v>
      </c>
      <c r="FC593" s="675">
        <v>0</v>
      </c>
      <c r="FD593" s="549">
        <v>0</v>
      </c>
      <c r="FE593" s="675">
        <v>0</v>
      </c>
      <c r="FF593" s="549">
        <v>0</v>
      </c>
      <c r="FG593" s="675">
        <v>0</v>
      </c>
      <c r="FH593" s="549">
        <v>0</v>
      </c>
      <c r="FI593" s="675">
        <v>0</v>
      </c>
      <c r="FJ593" s="549">
        <v>0</v>
      </c>
      <c r="FK593" s="675">
        <v>0</v>
      </c>
      <c r="FL593" s="549">
        <v>0</v>
      </c>
      <c r="FM593" s="675">
        <v>0</v>
      </c>
      <c r="FN593" s="549">
        <v>0</v>
      </c>
      <c r="FO593" s="675">
        <v>0</v>
      </c>
      <c r="FP593" s="549">
        <v>0</v>
      </c>
      <c r="FQ593" s="675">
        <v>0</v>
      </c>
      <c r="FR593" s="549">
        <v>0</v>
      </c>
      <c r="FS593" s="675">
        <v>0</v>
      </c>
      <c r="FT593" s="549">
        <v>0</v>
      </c>
      <c r="FU593" s="675">
        <v>0</v>
      </c>
      <c r="FV593" s="549">
        <v>0</v>
      </c>
      <c r="FW593" s="675">
        <v>0</v>
      </c>
      <c r="FX593" s="549">
        <v>0</v>
      </c>
      <c r="FY593" s="675">
        <v>0</v>
      </c>
      <c r="FZ593" s="549">
        <v>0</v>
      </c>
      <c r="GA593" s="675">
        <v>0</v>
      </c>
      <c r="GB593" s="549">
        <v>0</v>
      </c>
      <c r="GC593" s="675">
        <v>0</v>
      </c>
      <c r="GD593" s="549">
        <v>0</v>
      </c>
      <c r="GE593" s="675">
        <v>0</v>
      </c>
      <c r="GF593" s="549">
        <v>0</v>
      </c>
      <c r="GG593" s="675">
        <v>0</v>
      </c>
      <c r="GH593" s="549">
        <v>0</v>
      </c>
      <c r="GI593" s="675">
        <v>0</v>
      </c>
      <c r="GJ593" s="549">
        <v>0</v>
      </c>
      <c r="GK593" s="675">
        <v>0</v>
      </c>
      <c r="GL593" s="549">
        <v>0</v>
      </c>
      <c r="GM593" s="675">
        <v>0</v>
      </c>
      <c r="GN593" s="549">
        <v>0</v>
      </c>
      <c r="GO593" s="675">
        <v>0</v>
      </c>
      <c r="GP593" s="549">
        <f t="shared" ref="GP593:GP596" si="13810">+D593+F593+H593+J593+L593+N593+P593+R593+T593+V593+X593+Z593+AB593+AF593+AD593+AH593+AJ593+AL593+AN593+AP593+AR593+AT593+AV593+AX593+AZ593+BB593+BD593+BF593+BH593+BJ593+BL593+BN593+BP593+BR593+BT593+BV593+BX593+BZ593+CB593+CD593+CF593+CH593+CJ593+CL593+CN593+CP593+CR593+CT593+CV593+CX593+CZ593+DB593+DD593+DF593+DH593+DT593+EX593+DJ593+DL593+DN593+DP593+DR593+EJ593+EB593+DZ593+DX593+DV593+ED593+EF593+EH593+EL593+EN593+EP593+EV593+ET593+ER593+EZ593+FB593+FD593+GL593+FF593+FJ593+FL593+GJ593+FT593+FR593+FP593+FN593+FH593+GH593+GF593+GD593+GB593+FZ593+FX593+FV593+GN593</f>
        <v>0</v>
      </c>
      <c r="GQ593" s="675">
        <f t="shared" ref="GQ593:GQ596" si="13811">+E593+G593+I593+K593+M593+O593+Q593+S593+U593+W593+Y593+AA593+AC593+AE593+AG593+AI593+AK593+AM593+AO593+AQ593+AS593+AU593+AW593+AY593+BA593+BC593+BE593+BG593+BI593+BK593+BM593+BO593+BQ593+BS593+BU593+BW593+BY593+CA593+CC593+CE593+CG593+CI593+CK593+CM593+CO593+CQ593+CS593+CU593+CW593+CY593+DA593+DC593+DE593+DG593+DI593+DU593+EY593+DK593+DM593+DO593+DQ593+DS593+EK593+EC593+EA593+DY593+DW593+EI593+EG593+EE593+EM593+EO593+EQ593+EW593+EU593+ES593+FA593+FC593+FE593+GM593+FG593+FK593+FM593+FO593+FQ593+FS593+FU593+GK593+FI593+GI593+GG593+GE593+GC593+GA593+FY593+FW593+GO593</f>
        <v>0</v>
      </c>
      <c r="GR593" s="74">
        <f>C593+GP593+GQ593</f>
        <v>4512700</v>
      </c>
      <c r="GS593" s="74">
        <f t="shared" ref="GS593:GS596" si="13812">SUM(GU593:HD593)+GP593+GQ593</f>
        <v>4102455</v>
      </c>
      <c r="GT593" s="568">
        <f t="shared" ref="GT593:GT596" si="13813">SUM(GU593:HF593)+GQ593+GP593</f>
        <v>4512700</v>
      </c>
      <c r="GU593" s="275">
        <v>410250</v>
      </c>
      <c r="GV593" s="275">
        <v>410245</v>
      </c>
      <c r="GW593" s="275">
        <v>410245</v>
      </c>
      <c r="GX593" s="275">
        <v>410245</v>
      </c>
      <c r="GY593" s="275">
        <v>410245</v>
      </c>
      <c r="GZ593" s="275">
        <v>410245</v>
      </c>
      <c r="HA593" s="275">
        <v>410245</v>
      </c>
      <c r="HB593" s="275">
        <v>410245</v>
      </c>
      <c r="HC593" s="275">
        <v>410245</v>
      </c>
      <c r="HD593" s="275">
        <v>410245</v>
      </c>
      <c r="HE593" s="275">
        <v>410245</v>
      </c>
      <c r="HF593" s="275">
        <v>0</v>
      </c>
      <c r="HG593" s="74">
        <f>SUM(HH593:IE593)</f>
        <v>4102455</v>
      </c>
      <c r="HH593" s="89">
        <v>0</v>
      </c>
      <c r="HI593" s="817">
        <v>0</v>
      </c>
      <c r="HJ593" s="89">
        <v>0</v>
      </c>
      <c r="HK593" s="817">
        <v>820495</v>
      </c>
      <c r="HL593" s="89">
        <v>0</v>
      </c>
      <c r="HM593" s="817">
        <v>410245</v>
      </c>
      <c r="HN593" s="89">
        <v>0</v>
      </c>
      <c r="HO593" s="817">
        <v>410245</v>
      </c>
      <c r="HP593" s="89">
        <v>0</v>
      </c>
      <c r="HQ593" s="817">
        <v>410245</v>
      </c>
      <c r="HR593" s="89">
        <v>0</v>
      </c>
      <c r="HS593" s="817">
        <v>410245</v>
      </c>
      <c r="HT593" s="89">
        <v>0</v>
      </c>
      <c r="HU593" s="817">
        <v>410245</v>
      </c>
      <c r="HV593" s="89">
        <v>0</v>
      </c>
      <c r="HW593" s="817">
        <v>410245</v>
      </c>
      <c r="HX593" s="89">
        <v>0</v>
      </c>
      <c r="HY593" s="817">
        <v>410245</v>
      </c>
      <c r="HZ593" s="89">
        <v>0</v>
      </c>
      <c r="IA593" s="817">
        <v>410245</v>
      </c>
      <c r="IB593" s="89">
        <v>0</v>
      </c>
      <c r="IC593" s="817">
        <v>0</v>
      </c>
      <c r="ID593" s="89">
        <v>0</v>
      </c>
      <c r="IE593" s="817">
        <v>0</v>
      </c>
      <c r="IF593" s="841">
        <f t="shared" ref="IF593:IF596" si="13814">SUM(II593,IL593,IO593,IR593,IU593,IX593,JA593,JD593,JG593,JJ593,JM593,JP593)</f>
        <v>4102455</v>
      </c>
      <c r="IG593" s="263">
        <f t="shared" ref="IG593:IG596" si="13815">SUM(IJ593,IM593,IP593,IS593,IV593,IY593,JB593,JE593,JH593,JK593,JN593,JQ593)</f>
        <v>4102455</v>
      </c>
      <c r="IH593" s="842">
        <f t="shared" ref="IH593:IH596" si="13816">SUM(IK593,IN593,IQ593,IT593,IW593,IZ593,JC593,JF593,JI593,JL593,JO593,JR593)</f>
        <v>4102455</v>
      </c>
      <c r="II593" s="89">
        <v>0</v>
      </c>
      <c r="IJ593" s="89">
        <f t="shared" ref="IJ593:IJ596" si="13817">II593</f>
        <v>0</v>
      </c>
      <c r="IK593" s="89">
        <f t="shared" ref="IK593:IK596" si="13818">IJ593</f>
        <v>0</v>
      </c>
      <c r="IL593" s="89">
        <v>820495</v>
      </c>
      <c r="IM593" s="89">
        <f t="shared" ref="IM593:IM596" si="13819">IL593</f>
        <v>820495</v>
      </c>
      <c r="IN593" s="89">
        <f t="shared" ref="IN593:IN596" si="13820">IM593</f>
        <v>820495</v>
      </c>
      <c r="IO593" s="89">
        <f>1230740-820495</f>
        <v>410245</v>
      </c>
      <c r="IP593" s="89">
        <f t="shared" ref="IP593:IP596" si="13821">IO593</f>
        <v>410245</v>
      </c>
      <c r="IQ593" s="89">
        <f t="shared" ref="IQ593:IQ596" si="13822">IP593</f>
        <v>410245</v>
      </c>
      <c r="IR593" s="89">
        <f>1640985-1230740</f>
        <v>410245</v>
      </c>
      <c r="IS593" s="89">
        <f t="shared" ref="IS593:IS596" si="13823">IR593</f>
        <v>410245</v>
      </c>
      <c r="IT593" s="89">
        <f t="shared" ref="IT593:IT596" si="13824">IS593</f>
        <v>410245</v>
      </c>
      <c r="IU593" s="89">
        <f>2051230-1640985</f>
        <v>410245</v>
      </c>
      <c r="IV593" s="89">
        <f t="shared" ref="IV593:IV596" si="13825">IU593</f>
        <v>410245</v>
      </c>
      <c r="IW593" s="89">
        <f t="shared" ref="IW593:IW596" si="13826">IV593</f>
        <v>410245</v>
      </c>
      <c r="IX593" s="89">
        <f>2461475-2051230</f>
        <v>410245</v>
      </c>
      <c r="IY593" s="89">
        <f t="shared" ref="IY593:IY596" si="13827">IX593</f>
        <v>410245</v>
      </c>
      <c r="IZ593" s="89">
        <f t="shared" ref="IZ593:IZ596" si="13828">IY593</f>
        <v>410245</v>
      </c>
      <c r="JA593" s="89">
        <f>2871720-2461475</f>
        <v>410245</v>
      </c>
      <c r="JB593" s="89">
        <f t="shared" ref="JB593:JB596" si="13829">JA593</f>
        <v>410245</v>
      </c>
      <c r="JC593" s="89">
        <f t="shared" ref="JC593:JC596" si="13830">JB593</f>
        <v>410245</v>
      </c>
      <c r="JD593" s="89">
        <f>3281965-2871720</f>
        <v>410245</v>
      </c>
      <c r="JE593" s="89">
        <f t="shared" ref="JE593:JE596" si="13831">JD593</f>
        <v>410245</v>
      </c>
      <c r="JF593" s="89">
        <f t="shared" ref="JF593:JF596" si="13832">JE593</f>
        <v>410245</v>
      </c>
      <c r="JG593" s="89">
        <f>3692210-3281965</f>
        <v>410245</v>
      </c>
      <c r="JH593" s="89">
        <f t="shared" ref="JH593:JH596" si="13833">JG593</f>
        <v>410245</v>
      </c>
      <c r="JI593" s="89">
        <f t="shared" ref="JI593:JI596" si="13834">JH593</f>
        <v>410245</v>
      </c>
      <c r="JJ593" s="89">
        <f>4102455-3692210</f>
        <v>410245</v>
      </c>
      <c r="JK593" s="89">
        <f t="shared" ref="JK593:JK596" si="13835">JJ593</f>
        <v>410245</v>
      </c>
      <c r="JL593" s="89">
        <f t="shared" ref="JL593:JL596" si="13836">JK593</f>
        <v>410245</v>
      </c>
      <c r="JM593" s="89">
        <v>0</v>
      </c>
      <c r="JN593" s="89">
        <f t="shared" ref="JN593:JN596" si="13837">JM593</f>
        <v>0</v>
      </c>
      <c r="JO593" s="89">
        <f t="shared" ref="JO593:JO596" si="13838">JN593</f>
        <v>0</v>
      </c>
      <c r="JP593" s="89">
        <v>0</v>
      </c>
      <c r="JQ593" s="89">
        <f t="shared" ref="JQ593:JR593" si="13839">JP593</f>
        <v>0</v>
      </c>
      <c r="JR593" s="89">
        <f t="shared" si="13839"/>
        <v>0</v>
      </c>
      <c r="JS593" s="74">
        <f>HG593-IF593</f>
        <v>0</v>
      </c>
      <c r="JT593" s="382">
        <f>GS593-IF593</f>
        <v>0</v>
      </c>
      <c r="JU593" s="665"/>
      <c r="JV593" s="524"/>
      <c r="JW593" s="525"/>
      <c r="JX593" s="549">
        <f t="shared" ref="JX593:JY596" si="13840">SUM(HH593,HJ593,HL593,HN593,HP593,HR593,HT593,HV593,HX593,HZ593,IB593,ID593)</f>
        <v>0</v>
      </c>
      <c r="JY593" s="549">
        <f t="shared" si="13840"/>
        <v>4102455</v>
      </c>
      <c r="JZ593" s="581">
        <f t="shared" si="13477"/>
        <v>0</v>
      </c>
      <c r="KA593" s="581">
        <f t="shared" si="13478"/>
        <v>0</v>
      </c>
      <c r="KB593" s="549">
        <f>JX593+JY593+JZ593+KA593</f>
        <v>4102455</v>
      </c>
      <c r="KC593" s="709">
        <f t="shared" si="13396"/>
        <v>0</v>
      </c>
      <c r="KD593" s="36"/>
      <c r="KE593" s="36"/>
      <c r="KF593" s="36"/>
      <c r="KG593" s="36"/>
      <c r="KH593" s="36"/>
      <c r="KI593" s="36"/>
      <c r="KJ593" s="36"/>
      <c r="KK593" s="36"/>
    </row>
    <row r="594" spans="1:297" s="10" customFormat="1">
      <c r="A594" s="86" t="s">
        <v>321</v>
      </c>
      <c r="B594" s="77" t="s">
        <v>72</v>
      </c>
      <c r="C594" s="74">
        <v>513600</v>
      </c>
      <c r="D594" s="549">
        <v>0</v>
      </c>
      <c r="E594" s="675">
        <v>0</v>
      </c>
      <c r="F594" s="549">
        <v>0</v>
      </c>
      <c r="G594" s="675">
        <v>0</v>
      </c>
      <c r="H594" s="549">
        <v>0</v>
      </c>
      <c r="I594" s="675">
        <v>0</v>
      </c>
      <c r="J594" s="549">
        <v>0</v>
      </c>
      <c r="K594" s="675">
        <v>0</v>
      </c>
      <c r="L594" s="549">
        <v>0</v>
      </c>
      <c r="M594" s="675">
        <v>0</v>
      </c>
      <c r="N594" s="549">
        <v>0</v>
      </c>
      <c r="O594" s="675">
        <v>0</v>
      </c>
      <c r="P594" s="549">
        <v>0</v>
      </c>
      <c r="Q594" s="675">
        <v>0</v>
      </c>
      <c r="R594" s="549">
        <v>0</v>
      </c>
      <c r="S594" s="675">
        <v>0</v>
      </c>
      <c r="T594" s="549">
        <v>0</v>
      </c>
      <c r="U594" s="675">
        <v>0</v>
      </c>
      <c r="V594" s="549">
        <v>0</v>
      </c>
      <c r="W594" s="675">
        <v>0</v>
      </c>
      <c r="X594" s="549">
        <v>0</v>
      </c>
      <c r="Y594" s="675">
        <v>0</v>
      </c>
      <c r="Z594" s="549">
        <v>0</v>
      </c>
      <c r="AA594" s="675">
        <v>0</v>
      </c>
      <c r="AB594" s="549">
        <v>0</v>
      </c>
      <c r="AC594" s="675">
        <v>0</v>
      </c>
      <c r="AD594" s="549">
        <v>0</v>
      </c>
      <c r="AE594" s="675">
        <v>0</v>
      </c>
      <c r="AF594" s="549">
        <v>0</v>
      </c>
      <c r="AG594" s="675">
        <v>0</v>
      </c>
      <c r="AH594" s="549">
        <v>0</v>
      </c>
      <c r="AI594" s="675">
        <v>0</v>
      </c>
      <c r="AJ594" s="549">
        <v>0</v>
      </c>
      <c r="AK594" s="675">
        <v>0</v>
      </c>
      <c r="AL594" s="549">
        <v>0</v>
      </c>
      <c r="AM594" s="675">
        <v>0</v>
      </c>
      <c r="AN594" s="549">
        <v>0</v>
      </c>
      <c r="AO594" s="675">
        <v>0</v>
      </c>
      <c r="AP594" s="549">
        <v>0</v>
      </c>
      <c r="AQ594" s="675">
        <v>0</v>
      </c>
      <c r="AR594" s="549">
        <v>0</v>
      </c>
      <c r="AS594" s="675">
        <v>0</v>
      </c>
      <c r="AT594" s="549">
        <v>0</v>
      </c>
      <c r="AU594" s="675">
        <v>0</v>
      </c>
      <c r="AV594" s="549">
        <v>0</v>
      </c>
      <c r="AW594" s="675">
        <v>0</v>
      </c>
      <c r="AX594" s="549">
        <v>0</v>
      </c>
      <c r="AY594" s="675">
        <v>0</v>
      </c>
      <c r="AZ594" s="549">
        <v>0</v>
      </c>
      <c r="BA594" s="675">
        <v>0</v>
      </c>
      <c r="BB594" s="549">
        <v>0</v>
      </c>
      <c r="BC594" s="675">
        <v>0</v>
      </c>
      <c r="BD594" s="549">
        <v>0</v>
      </c>
      <c r="BE594" s="675">
        <v>0</v>
      </c>
      <c r="BF594" s="549">
        <v>0</v>
      </c>
      <c r="BG594" s="675">
        <v>0</v>
      </c>
      <c r="BH594" s="549">
        <v>0</v>
      </c>
      <c r="BI594" s="675">
        <v>0</v>
      </c>
      <c r="BJ594" s="549">
        <v>0</v>
      </c>
      <c r="BK594" s="675">
        <v>0</v>
      </c>
      <c r="BL594" s="549">
        <v>0</v>
      </c>
      <c r="BM594" s="675">
        <v>0</v>
      </c>
      <c r="BN594" s="549">
        <v>0</v>
      </c>
      <c r="BO594" s="675">
        <v>0</v>
      </c>
      <c r="BP594" s="549">
        <v>0</v>
      </c>
      <c r="BQ594" s="675">
        <v>0</v>
      </c>
      <c r="BR594" s="549">
        <v>0</v>
      </c>
      <c r="BS594" s="675">
        <v>0</v>
      </c>
      <c r="BT594" s="549">
        <v>0</v>
      </c>
      <c r="BU594" s="675">
        <v>0</v>
      </c>
      <c r="BV594" s="549">
        <v>0</v>
      </c>
      <c r="BW594" s="675">
        <v>0</v>
      </c>
      <c r="BX594" s="549">
        <v>0</v>
      </c>
      <c r="BY594" s="675">
        <v>0</v>
      </c>
      <c r="BZ594" s="549">
        <v>0</v>
      </c>
      <c r="CA594" s="675">
        <v>0</v>
      </c>
      <c r="CB594" s="549">
        <v>0</v>
      </c>
      <c r="CC594" s="675">
        <v>0</v>
      </c>
      <c r="CD594" s="549">
        <v>0</v>
      </c>
      <c r="CE594" s="675">
        <v>0</v>
      </c>
      <c r="CF594" s="549">
        <v>0</v>
      </c>
      <c r="CG594" s="675">
        <v>0</v>
      </c>
      <c r="CH594" s="549">
        <v>0</v>
      </c>
      <c r="CI594" s="675">
        <v>0</v>
      </c>
      <c r="CJ594" s="549">
        <v>0</v>
      </c>
      <c r="CK594" s="675">
        <v>0</v>
      </c>
      <c r="CL594" s="549">
        <v>0</v>
      </c>
      <c r="CM594" s="675">
        <v>0</v>
      </c>
      <c r="CN594" s="549">
        <v>0</v>
      </c>
      <c r="CO594" s="675">
        <v>0</v>
      </c>
      <c r="CP594" s="549">
        <v>0</v>
      </c>
      <c r="CQ594" s="675">
        <v>0</v>
      </c>
      <c r="CR594" s="549">
        <v>0</v>
      </c>
      <c r="CS594" s="675">
        <v>0</v>
      </c>
      <c r="CT594" s="549">
        <v>0</v>
      </c>
      <c r="CU594" s="675">
        <v>0</v>
      </c>
      <c r="CV594" s="549">
        <v>0</v>
      </c>
      <c r="CW594" s="675">
        <v>0</v>
      </c>
      <c r="CX594" s="549">
        <v>0</v>
      </c>
      <c r="CY594" s="675">
        <v>0</v>
      </c>
      <c r="CZ594" s="549">
        <v>0</v>
      </c>
      <c r="DA594" s="675">
        <v>0</v>
      </c>
      <c r="DB594" s="549">
        <v>0</v>
      </c>
      <c r="DC594" s="675">
        <v>0</v>
      </c>
      <c r="DD594" s="549">
        <v>0</v>
      </c>
      <c r="DE594" s="675">
        <v>0</v>
      </c>
      <c r="DF594" s="549">
        <v>0</v>
      </c>
      <c r="DG594" s="675">
        <v>0</v>
      </c>
      <c r="DH594" s="549">
        <v>0</v>
      </c>
      <c r="DI594" s="675">
        <v>0</v>
      </c>
      <c r="DJ594" s="549">
        <v>0</v>
      </c>
      <c r="DK594" s="675">
        <v>0</v>
      </c>
      <c r="DL594" s="549">
        <v>0</v>
      </c>
      <c r="DM594" s="675">
        <v>0</v>
      </c>
      <c r="DN594" s="549">
        <v>0</v>
      </c>
      <c r="DO594" s="675">
        <v>0</v>
      </c>
      <c r="DP594" s="549">
        <v>0</v>
      </c>
      <c r="DQ594" s="675">
        <v>0</v>
      </c>
      <c r="DR594" s="549">
        <v>0</v>
      </c>
      <c r="DS594" s="675">
        <v>0</v>
      </c>
      <c r="DT594" s="549">
        <v>0</v>
      </c>
      <c r="DU594" s="675">
        <v>0</v>
      </c>
      <c r="DV594" s="549">
        <v>0</v>
      </c>
      <c r="DW594" s="675">
        <v>0</v>
      </c>
      <c r="DX594" s="549">
        <v>0</v>
      </c>
      <c r="DY594" s="675">
        <v>0</v>
      </c>
      <c r="DZ594" s="549">
        <v>0</v>
      </c>
      <c r="EA594" s="675">
        <v>0</v>
      </c>
      <c r="EB594" s="549">
        <v>0</v>
      </c>
      <c r="EC594" s="675">
        <v>0</v>
      </c>
      <c r="ED594" s="549">
        <v>0</v>
      </c>
      <c r="EE594" s="675">
        <v>0</v>
      </c>
      <c r="EF594" s="549">
        <v>0</v>
      </c>
      <c r="EG594" s="675">
        <v>0</v>
      </c>
      <c r="EH594" s="549">
        <v>0</v>
      </c>
      <c r="EI594" s="675">
        <v>0</v>
      </c>
      <c r="EJ594" s="549">
        <v>0</v>
      </c>
      <c r="EK594" s="675">
        <v>0</v>
      </c>
      <c r="EL594" s="549">
        <v>0</v>
      </c>
      <c r="EM594" s="675">
        <v>0</v>
      </c>
      <c r="EN594" s="549">
        <v>0</v>
      </c>
      <c r="EO594" s="675">
        <v>0</v>
      </c>
      <c r="EP594" s="549">
        <v>0</v>
      </c>
      <c r="EQ594" s="675">
        <v>0</v>
      </c>
      <c r="ER594" s="549">
        <v>0</v>
      </c>
      <c r="ES594" s="675">
        <v>0</v>
      </c>
      <c r="ET594" s="549">
        <v>0</v>
      </c>
      <c r="EU594" s="675">
        <v>0</v>
      </c>
      <c r="EV594" s="549">
        <v>0</v>
      </c>
      <c r="EW594" s="675">
        <v>0</v>
      </c>
      <c r="EX594" s="549">
        <v>0</v>
      </c>
      <c r="EY594" s="675">
        <v>0</v>
      </c>
      <c r="EZ594" s="549">
        <v>0</v>
      </c>
      <c r="FA594" s="675">
        <v>0</v>
      </c>
      <c r="FB594" s="549">
        <v>0</v>
      </c>
      <c r="FC594" s="675">
        <v>0</v>
      </c>
      <c r="FD594" s="549">
        <v>0</v>
      </c>
      <c r="FE594" s="675">
        <v>0</v>
      </c>
      <c r="FF594" s="549">
        <v>0</v>
      </c>
      <c r="FG594" s="675">
        <v>0</v>
      </c>
      <c r="FH594" s="549">
        <v>0</v>
      </c>
      <c r="FI594" s="675">
        <v>0</v>
      </c>
      <c r="FJ594" s="549">
        <v>0</v>
      </c>
      <c r="FK594" s="675">
        <v>0</v>
      </c>
      <c r="FL594" s="549">
        <v>0</v>
      </c>
      <c r="FM594" s="675">
        <v>0</v>
      </c>
      <c r="FN594" s="549">
        <v>0</v>
      </c>
      <c r="FO594" s="675">
        <v>0</v>
      </c>
      <c r="FP594" s="549">
        <v>0</v>
      </c>
      <c r="FQ594" s="675">
        <v>0</v>
      </c>
      <c r="FR594" s="549">
        <v>0</v>
      </c>
      <c r="FS594" s="675">
        <v>0</v>
      </c>
      <c r="FT594" s="549">
        <v>0</v>
      </c>
      <c r="FU594" s="675">
        <v>0</v>
      </c>
      <c r="FV594" s="549">
        <v>0</v>
      </c>
      <c r="FW594" s="675">
        <v>0</v>
      </c>
      <c r="FX594" s="549">
        <v>0</v>
      </c>
      <c r="FY594" s="675">
        <v>0</v>
      </c>
      <c r="FZ594" s="549">
        <v>0</v>
      </c>
      <c r="GA594" s="675">
        <v>0</v>
      </c>
      <c r="GB594" s="549">
        <v>0</v>
      </c>
      <c r="GC594" s="675">
        <v>0</v>
      </c>
      <c r="GD594" s="549">
        <v>0</v>
      </c>
      <c r="GE594" s="675">
        <v>0</v>
      </c>
      <c r="GF594" s="549">
        <v>0</v>
      </c>
      <c r="GG594" s="675">
        <v>0</v>
      </c>
      <c r="GH594" s="549">
        <v>0</v>
      </c>
      <c r="GI594" s="675">
        <v>0</v>
      </c>
      <c r="GJ594" s="549">
        <v>0</v>
      </c>
      <c r="GK594" s="675">
        <v>0</v>
      </c>
      <c r="GL594" s="549">
        <v>0</v>
      </c>
      <c r="GM594" s="675">
        <v>0</v>
      </c>
      <c r="GN594" s="549">
        <v>0</v>
      </c>
      <c r="GO594" s="675">
        <v>0</v>
      </c>
      <c r="GP594" s="549">
        <f t="shared" si="13810"/>
        <v>0</v>
      </c>
      <c r="GQ594" s="675">
        <f t="shared" si="13811"/>
        <v>0</v>
      </c>
      <c r="GR594" s="74">
        <f>C594+GP594+GQ594</f>
        <v>513600</v>
      </c>
      <c r="GS594" s="74">
        <f t="shared" si="13812"/>
        <v>466910</v>
      </c>
      <c r="GT594" s="568">
        <f t="shared" si="13813"/>
        <v>513600</v>
      </c>
      <c r="GU594" s="275">
        <v>46700</v>
      </c>
      <c r="GV594" s="275">
        <v>46690</v>
      </c>
      <c r="GW594" s="275">
        <v>46690</v>
      </c>
      <c r="GX594" s="275">
        <v>46690</v>
      </c>
      <c r="GY594" s="275">
        <v>46690</v>
      </c>
      <c r="GZ594" s="275">
        <v>46690</v>
      </c>
      <c r="HA594" s="275">
        <v>46690</v>
      </c>
      <c r="HB594" s="275">
        <v>46690</v>
      </c>
      <c r="HC594" s="275">
        <v>46690</v>
      </c>
      <c r="HD594" s="275">
        <v>46690</v>
      </c>
      <c r="HE594" s="275">
        <v>46690</v>
      </c>
      <c r="HF594" s="275">
        <v>0</v>
      </c>
      <c r="HG594" s="74">
        <f>SUM(HH594:IE594)+GP594+GQ594</f>
        <v>466910</v>
      </c>
      <c r="HH594" s="89">
        <v>0</v>
      </c>
      <c r="HI594" s="817">
        <v>0</v>
      </c>
      <c r="HJ594" s="89">
        <v>0</v>
      </c>
      <c r="HK594" s="817">
        <v>93390</v>
      </c>
      <c r="HL594" s="89">
        <v>0</v>
      </c>
      <c r="HM594" s="817">
        <v>46690</v>
      </c>
      <c r="HN594" s="89">
        <v>0</v>
      </c>
      <c r="HO594" s="817">
        <v>46690</v>
      </c>
      <c r="HP594" s="89">
        <v>0</v>
      </c>
      <c r="HQ594" s="817">
        <v>46690</v>
      </c>
      <c r="HR594" s="89">
        <v>0</v>
      </c>
      <c r="HS594" s="817">
        <v>46690</v>
      </c>
      <c r="HT594" s="89">
        <v>0</v>
      </c>
      <c r="HU594" s="817">
        <v>46690</v>
      </c>
      <c r="HV594" s="89">
        <v>0</v>
      </c>
      <c r="HW594" s="817">
        <v>46690</v>
      </c>
      <c r="HX594" s="89">
        <v>0</v>
      </c>
      <c r="HY594" s="817">
        <v>46690</v>
      </c>
      <c r="HZ594" s="89">
        <v>0</v>
      </c>
      <c r="IA594" s="817">
        <v>46690</v>
      </c>
      <c r="IB594" s="89">
        <v>0</v>
      </c>
      <c r="IC594" s="817">
        <v>0</v>
      </c>
      <c r="ID594" s="89">
        <v>0</v>
      </c>
      <c r="IE594" s="817">
        <v>0</v>
      </c>
      <c r="IF594" s="841">
        <f t="shared" si="13814"/>
        <v>466910</v>
      </c>
      <c r="IG594" s="263">
        <f t="shared" si="13815"/>
        <v>466910</v>
      </c>
      <c r="IH594" s="842">
        <f t="shared" si="13816"/>
        <v>466910</v>
      </c>
      <c r="II594" s="89">
        <v>0</v>
      </c>
      <c r="IJ594" s="89">
        <f t="shared" si="13817"/>
        <v>0</v>
      </c>
      <c r="IK594" s="89">
        <f t="shared" si="13818"/>
        <v>0</v>
      </c>
      <c r="IL594" s="89">
        <v>93390</v>
      </c>
      <c r="IM594" s="89">
        <f t="shared" si="13819"/>
        <v>93390</v>
      </c>
      <c r="IN594" s="89">
        <f t="shared" si="13820"/>
        <v>93390</v>
      </c>
      <c r="IO594" s="89">
        <f>140080-93390</f>
        <v>46690</v>
      </c>
      <c r="IP594" s="89">
        <f t="shared" si="13821"/>
        <v>46690</v>
      </c>
      <c r="IQ594" s="89">
        <f t="shared" si="13822"/>
        <v>46690</v>
      </c>
      <c r="IR594" s="89">
        <f>186770-140080</f>
        <v>46690</v>
      </c>
      <c r="IS594" s="89">
        <f t="shared" si="13823"/>
        <v>46690</v>
      </c>
      <c r="IT594" s="89">
        <f t="shared" si="13824"/>
        <v>46690</v>
      </c>
      <c r="IU594" s="89">
        <f>233460-186770</f>
        <v>46690</v>
      </c>
      <c r="IV594" s="89">
        <f t="shared" si="13825"/>
        <v>46690</v>
      </c>
      <c r="IW594" s="89">
        <f t="shared" si="13826"/>
        <v>46690</v>
      </c>
      <c r="IX594" s="89">
        <f>280150-233460</f>
        <v>46690</v>
      </c>
      <c r="IY594" s="89">
        <f t="shared" si="13827"/>
        <v>46690</v>
      </c>
      <c r="IZ594" s="89">
        <f t="shared" si="13828"/>
        <v>46690</v>
      </c>
      <c r="JA594" s="89">
        <f>326840-280150</f>
        <v>46690</v>
      </c>
      <c r="JB594" s="89">
        <f t="shared" si="13829"/>
        <v>46690</v>
      </c>
      <c r="JC594" s="89">
        <f t="shared" si="13830"/>
        <v>46690</v>
      </c>
      <c r="JD594" s="89">
        <f>373530-326840</f>
        <v>46690</v>
      </c>
      <c r="JE594" s="89">
        <f t="shared" si="13831"/>
        <v>46690</v>
      </c>
      <c r="JF594" s="89">
        <f t="shared" si="13832"/>
        <v>46690</v>
      </c>
      <c r="JG594" s="89">
        <f>420220-373530</f>
        <v>46690</v>
      </c>
      <c r="JH594" s="89">
        <f t="shared" si="13833"/>
        <v>46690</v>
      </c>
      <c r="JI594" s="89">
        <f t="shared" si="13834"/>
        <v>46690</v>
      </c>
      <c r="JJ594" s="89">
        <f>466910-420220</f>
        <v>46690</v>
      </c>
      <c r="JK594" s="89">
        <f t="shared" si="13835"/>
        <v>46690</v>
      </c>
      <c r="JL594" s="89">
        <f t="shared" si="13836"/>
        <v>46690</v>
      </c>
      <c r="JM594" s="89">
        <v>0</v>
      </c>
      <c r="JN594" s="89">
        <f t="shared" si="13837"/>
        <v>0</v>
      </c>
      <c r="JO594" s="89">
        <f t="shared" si="13838"/>
        <v>0</v>
      </c>
      <c r="JP594" s="89">
        <v>0</v>
      </c>
      <c r="JQ594" s="89">
        <f t="shared" ref="JQ594:JR594" si="13841">JP594</f>
        <v>0</v>
      </c>
      <c r="JR594" s="89">
        <f t="shared" si="13841"/>
        <v>0</v>
      </c>
      <c r="JS594" s="74">
        <f>HG594-IF594</f>
        <v>0</v>
      </c>
      <c r="JT594" s="382">
        <f>GS594-IF594</f>
        <v>0</v>
      </c>
      <c r="JU594" s="665"/>
      <c r="JV594" s="524"/>
      <c r="JW594" s="525"/>
      <c r="JX594" s="549">
        <f t="shared" si="13840"/>
        <v>0</v>
      </c>
      <c r="JY594" s="549">
        <f t="shared" si="13840"/>
        <v>466910</v>
      </c>
      <c r="JZ594" s="581">
        <f t="shared" si="13477"/>
        <v>0</v>
      </c>
      <c r="KA594" s="581">
        <f t="shared" si="13478"/>
        <v>0</v>
      </c>
      <c r="KB594" s="549">
        <f t="shared" si="13163"/>
        <v>466910</v>
      </c>
      <c r="KC594" s="709">
        <f t="shared" si="13396"/>
        <v>0</v>
      </c>
      <c r="KD594" s="36"/>
      <c r="KE594" s="36"/>
      <c r="KF594" s="36"/>
      <c r="KG594" s="36"/>
      <c r="KH594" s="36"/>
      <c r="KI594" s="36"/>
      <c r="KJ594" s="36"/>
      <c r="KK594" s="36"/>
    </row>
    <row r="595" spans="1:297" s="10" customFormat="1">
      <c r="A595" s="86" t="s">
        <v>322</v>
      </c>
      <c r="B595" s="77" t="s">
        <v>74</v>
      </c>
      <c r="C595" s="74">
        <v>175500</v>
      </c>
      <c r="D595" s="549">
        <v>0</v>
      </c>
      <c r="E595" s="675">
        <v>0</v>
      </c>
      <c r="F595" s="549">
        <v>0</v>
      </c>
      <c r="G595" s="675">
        <v>0</v>
      </c>
      <c r="H595" s="549">
        <v>0</v>
      </c>
      <c r="I595" s="675">
        <v>0</v>
      </c>
      <c r="J595" s="549">
        <v>0</v>
      </c>
      <c r="K595" s="675">
        <v>0</v>
      </c>
      <c r="L595" s="549">
        <v>0</v>
      </c>
      <c r="M595" s="675">
        <v>0</v>
      </c>
      <c r="N595" s="549">
        <v>0</v>
      </c>
      <c r="O595" s="675">
        <v>0</v>
      </c>
      <c r="P595" s="549">
        <v>0</v>
      </c>
      <c r="Q595" s="675">
        <v>0</v>
      </c>
      <c r="R595" s="549">
        <v>0</v>
      </c>
      <c r="S595" s="675">
        <v>0</v>
      </c>
      <c r="T595" s="549">
        <v>0</v>
      </c>
      <c r="U595" s="675">
        <v>0</v>
      </c>
      <c r="V595" s="549">
        <v>0</v>
      </c>
      <c r="W595" s="675">
        <v>0</v>
      </c>
      <c r="X595" s="549">
        <v>0</v>
      </c>
      <c r="Y595" s="675">
        <v>0</v>
      </c>
      <c r="Z595" s="549">
        <v>0</v>
      </c>
      <c r="AA595" s="675">
        <v>0</v>
      </c>
      <c r="AB595" s="549">
        <v>0</v>
      </c>
      <c r="AC595" s="675">
        <v>0</v>
      </c>
      <c r="AD595" s="549">
        <v>0</v>
      </c>
      <c r="AE595" s="675">
        <v>0</v>
      </c>
      <c r="AF595" s="549">
        <v>0</v>
      </c>
      <c r="AG595" s="675">
        <v>0</v>
      </c>
      <c r="AH595" s="549">
        <v>0</v>
      </c>
      <c r="AI595" s="675">
        <v>0</v>
      </c>
      <c r="AJ595" s="549">
        <v>0</v>
      </c>
      <c r="AK595" s="675">
        <v>0</v>
      </c>
      <c r="AL595" s="549">
        <v>0</v>
      </c>
      <c r="AM595" s="675">
        <v>0</v>
      </c>
      <c r="AN595" s="549">
        <v>0</v>
      </c>
      <c r="AO595" s="675">
        <v>0</v>
      </c>
      <c r="AP595" s="549">
        <v>0</v>
      </c>
      <c r="AQ595" s="675">
        <v>0</v>
      </c>
      <c r="AR595" s="549">
        <v>0</v>
      </c>
      <c r="AS595" s="675">
        <v>0</v>
      </c>
      <c r="AT595" s="549">
        <v>0</v>
      </c>
      <c r="AU595" s="675">
        <v>0</v>
      </c>
      <c r="AV595" s="549">
        <v>0</v>
      </c>
      <c r="AW595" s="675">
        <v>0</v>
      </c>
      <c r="AX595" s="549">
        <v>0</v>
      </c>
      <c r="AY595" s="675">
        <v>0</v>
      </c>
      <c r="AZ595" s="549">
        <v>0</v>
      </c>
      <c r="BA595" s="675">
        <v>0</v>
      </c>
      <c r="BB595" s="549">
        <v>0</v>
      </c>
      <c r="BC595" s="675">
        <v>0</v>
      </c>
      <c r="BD595" s="549">
        <v>0</v>
      </c>
      <c r="BE595" s="675">
        <v>0</v>
      </c>
      <c r="BF595" s="549">
        <v>0</v>
      </c>
      <c r="BG595" s="675">
        <v>0</v>
      </c>
      <c r="BH595" s="549">
        <v>0</v>
      </c>
      <c r="BI595" s="675">
        <v>0</v>
      </c>
      <c r="BJ595" s="549">
        <v>0</v>
      </c>
      <c r="BK595" s="675">
        <v>0</v>
      </c>
      <c r="BL595" s="549">
        <v>0</v>
      </c>
      <c r="BM595" s="675">
        <v>0</v>
      </c>
      <c r="BN595" s="549">
        <v>0</v>
      </c>
      <c r="BO595" s="675">
        <v>0</v>
      </c>
      <c r="BP595" s="549">
        <v>0</v>
      </c>
      <c r="BQ595" s="675">
        <v>0</v>
      </c>
      <c r="BR595" s="549">
        <v>0</v>
      </c>
      <c r="BS595" s="675">
        <v>0</v>
      </c>
      <c r="BT595" s="549">
        <v>0</v>
      </c>
      <c r="BU595" s="675">
        <v>0</v>
      </c>
      <c r="BV595" s="549">
        <v>0</v>
      </c>
      <c r="BW595" s="675">
        <v>0</v>
      </c>
      <c r="BX595" s="549">
        <v>0</v>
      </c>
      <c r="BY595" s="675">
        <v>0</v>
      </c>
      <c r="BZ595" s="549">
        <v>0</v>
      </c>
      <c r="CA595" s="675">
        <v>0</v>
      </c>
      <c r="CB595" s="549">
        <v>0</v>
      </c>
      <c r="CC595" s="675">
        <v>0</v>
      </c>
      <c r="CD595" s="549">
        <v>0</v>
      </c>
      <c r="CE595" s="675">
        <v>0</v>
      </c>
      <c r="CF595" s="549">
        <v>0</v>
      </c>
      <c r="CG595" s="675">
        <v>0</v>
      </c>
      <c r="CH595" s="549">
        <v>0</v>
      </c>
      <c r="CI595" s="675">
        <v>0</v>
      </c>
      <c r="CJ595" s="549">
        <v>0</v>
      </c>
      <c r="CK595" s="675">
        <v>0</v>
      </c>
      <c r="CL595" s="549">
        <v>0</v>
      </c>
      <c r="CM595" s="675">
        <v>0</v>
      </c>
      <c r="CN595" s="549">
        <v>0</v>
      </c>
      <c r="CO595" s="675">
        <v>0</v>
      </c>
      <c r="CP595" s="549">
        <v>0</v>
      </c>
      <c r="CQ595" s="675">
        <v>0</v>
      </c>
      <c r="CR595" s="549">
        <v>0</v>
      </c>
      <c r="CS595" s="675">
        <v>0</v>
      </c>
      <c r="CT595" s="549">
        <v>0</v>
      </c>
      <c r="CU595" s="675">
        <v>0</v>
      </c>
      <c r="CV595" s="549">
        <v>0</v>
      </c>
      <c r="CW595" s="675">
        <v>0</v>
      </c>
      <c r="CX595" s="549">
        <v>0</v>
      </c>
      <c r="CY595" s="675">
        <v>0</v>
      </c>
      <c r="CZ595" s="549">
        <v>0</v>
      </c>
      <c r="DA595" s="675">
        <v>0</v>
      </c>
      <c r="DB595" s="549">
        <v>0</v>
      </c>
      <c r="DC595" s="675">
        <v>0</v>
      </c>
      <c r="DD595" s="549">
        <v>0</v>
      </c>
      <c r="DE595" s="675">
        <v>0</v>
      </c>
      <c r="DF595" s="549">
        <v>0</v>
      </c>
      <c r="DG595" s="675">
        <v>0</v>
      </c>
      <c r="DH595" s="549">
        <v>0</v>
      </c>
      <c r="DI595" s="675">
        <v>0</v>
      </c>
      <c r="DJ595" s="549">
        <v>0</v>
      </c>
      <c r="DK595" s="675">
        <v>0</v>
      </c>
      <c r="DL595" s="549">
        <v>0</v>
      </c>
      <c r="DM595" s="675">
        <v>0</v>
      </c>
      <c r="DN595" s="549">
        <v>0</v>
      </c>
      <c r="DO595" s="675">
        <v>0</v>
      </c>
      <c r="DP595" s="549">
        <v>0</v>
      </c>
      <c r="DQ595" s="675">
        <v>0</v>
      </c>
      <c r="DR595" s="549">
        <v>0</v>
      </c>
      <c r="DS595" s="675">
        <v>0</v>
      </c>
      <c r="DT595" s="549">
        <v>0</v>
      </c>
      <c r="DU595" s="675">
        <v>0</v>
      </c>
      <c r="DV595" s="549">
        <v>0</v>
      </c>
      <c r="DW595" s="675">
        <v>0</v>
      </c>
      <c r="DX595" s="549">
        <v>0</v>
      </c>
      <c r="DY595" s="675">
        <v>0</v>
      </c>
      <c r="DZ595" s="549">
        <v>0</v>
      </c>
      <c r="EA595" s="675">
        <v>0</v>
      </c>
      <c r="EB595" s="549">
        <v>0</v>
      </c>
      <c r="EC595" s="675">
        <v>0</v>
      </c>
      <c r="ED595" s="549">
        <v>0</v>
      </c>
      <c r="EE595" s="675">
        <v>0</v>
      </c>
      <c r="EF595" s="549">
        <v>0</v>
      </c>
      <c r="EG595" s="675">
        <v>0</v>
      </c>
      <c r="EH595" s="549">
        <v>0</v>
      </c>
      <c r="EI595" s="675">
        <v>0</v>
      </c>
      <c r="EJ595" s="549">
        <v>0</v>
      </c>
      <c r="EK595" s="675">
        <v>0</v>
      </c>
      <c r="EL595" s="549">
        <v>0</v>
      </c>
      <c r="EM595" s="675">
        <v>0</v>
      </c>
      <c r="EN595" s="549">
        <v>0</v>
      </c>
      <c r="EO595" s="675">
        <v>0</v>
      </c>
      <c r="EP595" s="549">
        <v>0</v>
      </c>
      <c r="EQ595" s="675">
        <v>0</v>
      </c>
      <c r="ER595" s="549">
        <v>0</v>
      </c>
      <c r="ES595" s="675">
        <v>0</v>
      </c>
      <c r="ET595" s="549">
        <v>0</v>
      </c>
      <c r="EU595" s="675">
        <v>0</v>
      </c>
      <c r="EV595" s="549">
        <v>0</v>
      </c>
      <c r="EW595" s="675">
        <v>0</v>
      </c>
      <c r="EX595" s="549">
        <v>0</v>
      </c>
      <c r="EY595" s="675">
        <v>0</v>
      </c>
      <c r="EZ595" s="549">
        <v>0</v>
      </c>
      <c r="FA595" s="675">
        <v>0</v>
      </c>
      <c r="FB595" s="549">
        <v>0</v>
      </c>
      <c r="FC595" s="675">
        <v>0</v>
      </c>
      <c r="FD595" s="549">
        <v>0</v>
      </c>
      <c r="FE595" s="675">
        <v>0</v>
      </c>
      <c r="FF595" s="549">
        <v>0</v>
      </c>
      <c r="FG595" s="675">
        <v>0</v>
      </c>
      <c r="FH595" s="549">
        <v>0</v>
      </c>
      <c r="FI595" s="675">
        <v>0</v>
      </c>
      <c r="FJ595" s="549">
        <v>0</v>
      </c>
      <c r="FK595" s="675">
        <v>0</v>
      </c>
      <c r="FL595" s="549">
        <v>0</v>
      </c>
      <c r="FM595" s="675">
        <v>0</v>
      </c>
      <c r="FN595" s="549">
        <v>0</v>
      </c>
      <c r="FO595" s="675">
        <v>0</v>
      </c>
      <c r="FP595" s="549">
        <v>0</v>
      </c>
      <c r="FQ595" s="675">
        <v>0</v>
      </c>
      <c r="FR595" s="549">
        <v>0</v>
      </c>
      <c r="FS595" s="675">
        <v>0</v>
      </c>
      <c r="FT595" s="549">
        <v>0</v>
      </c>
      <c r="FU595" s="675">
        <v>0</v>
      </c>
      <c r="FV595" s="549">
        <v>0</v>
      </c>
      <c r="FW595" s="675">
        <v>0</v>
      </c>
      <c r="FX595" s="549">
        <v>0</v>
      </c>
      <c r="FY595" s="675">
        <v>0</v>
      </c>
      <c r="FZ595" s="549">
        <v>0</v>
      </c>
      <c r="GA595" s="675">
        <v>0</v>
      </c>
      <c r="GB595" s="549">
        <v>0</v>
      </c>
      <c r="GC595" s="675">
        <v>0</v>
      </c>
      <c r="GD595" s="549">
        <v>0</v>
      </c>
      <c r="GE595" s="675">
        <v>0</v>
      </c>
      <c r="GF595" s="549">
        <v>0</v>
      </c>
      <c r="GG595" s="675">
        <v>0</v>
      </c>
      <c r="GH595" s="549">
        <v>0</v>
      </c>
      <c r="GI595" s="675">
        <v>0</v>
      </c>
      <c r="GJ595" s="549">
        <v>0</v>
      </c>
      <c r="GK595" s="675">
        <v>0</v>
      </c>
      <c r="GL595" s="549">
        <v>0</v>
      </c>
      <c r="GM595" s="675">
        <v>0</v>
      </c>
      <c r="GN595" s="549">
        <v>0</v>
      </c>
      <c r="GO595" s="675">
        <v>0</v>
      </c>
      <c r="GP595" s="549">
        <f t="shared" si="13810"/>
        <v>0</v>
      </c>
      <c r="GQ595" s="675">
        <f t="shared" si="13811"/>
        <v>0</v>
      </c>
      <c r="GR595" s="74">
        <f>C595+GP595+GQ595</f>
        <v>175500</v>
      </c>
      <c r="GS595" s="74">
        <f t="shared" si="13812"/>
        <v>159546</v>
      </c>
      <c r="GT595" s="568">
        <f t="shared" si="13813"/>
        <v>175500</v>
      </c>
      <c r="GU595" s="275">
        <v>15960</v>
      </c>
      <c r="GV595" s="275">
        <v>15954</v>
      </c>
      <c r="GW595" s="275">
        <v>15954</v>
      </c>
      <c r="GX595" s="275">
        <v>15954</v>
      </c>
      <c r="GY595" s="275">
        <v>15954</v>
      </c>
      <c r="GZ595" s="275">
        <v>15954</v>
      </c>
      <c r="HA595" s="275">
        <v>15954</v>
      </c>
      <c r="HB595" s="275">
        <v>15954</v>
      </c>
      <c r="HC595" s="275">
        <v>15954</v>
      </c>
      <c r="HD595" s="275">
        <v>15954</v>
      </c>
      <c r="HE595" s="275">
        <v>15954</v>
      </c>
      <c r="HF595" s="275">
        <v>0</v>
      </c>
      <c r="HG595" s="74">
        <f>SUM(HH595:IE595)+GP595+GQ595</f>
        <v>159546</v>
      </c>
      <c r="HH595" s="89">
        <v>0</v>
      </c>
      <c r="HI595" s="817">
        <v>0</v>
      </c>
      <c r="HJ595" s="89">
        <v>0</v>
      </c>
      <c r="HK595" s="817">
        <v>31914</v>
      </c>
      <c r="HL595" s="89">
        <v>0</v>
      </c>
      <c r="HM595" s="817">
        <v>15954</v>
      </c>
      <c r="HN595" s="89">
        <v>0</v>
      </c>
      <c r="HO595" s="817">
        <v>15954</v>
      </c>
      <c r="HP595" s="89">
        <v>0</v>
      </c>
      <c r="HQ595" s="817">
        <v>15954</v>
      </c>
      <c r="HR595" s="89">
        <v>0</v>
      </c>
      <c r="HS595" s="817">
        <v>15954</v>
      </c>
      <c r="HT595" s="89">
        <v>0</v>
      </c>
      <c r="HU595" s="817">
        <v>15954</v>
      </c>
      <c r="HV595" s="89">
        <v>0</v>
      </c>
      <c r="HW595" s="817">
        <v>15954</v>
      </c>
      <c r="HX595" s="89">
        <v>0</v>
      </c>
      <c r="HY595" s="817">
        <v>15954</v>
      </c>
      <c r="HZ595" s="89">
        <v>0</v>
      </c>
      <c r="IA595" s="817">
        <v>15954</v>
      </c>
      <c r="IB595" s="89">
        <v>0</v>
      </c>
      <c r="IC595" s="817">
        <v>0</v>
      </c>
      <c r="ID595" s="89">
        <v>0</v>
      </c>
      <c r="IE595" s="817">
        <v>0</v>
      </c>
      <c r="IF595" s="841">
        <f t="shared" si="13814"/>
        <v>159546</v>
      </c>
      <c r="IG595" s="263">
        <f t="shared" si="13815"/>
        <v>159546</v>
      </c>
      <c r="IH595" s="842">
        <f t="shared" si="13816"/>
        <v>159546</v>
      </c>
      <c r="II595" s="89">
        <v>0</v>
      </c>
      <c r="IJ595" s="89">
        <f t="shared" si="13817"/>
        <v>0</v>
      </c>
      <c r="IK595" s="89">
        <f t="shared" si="13818"/>
        <v>0</v>
      </c>
      <c r="IL595" s="89">
        <v>31914</v>
      </c>
      <c r="IM595" s="89">
        <f t="shared" si="13819"/>
        <v>31914</v>
      </c>
      <c r="IN595" s="89">
        <f t="shared" si="13820"/>
        <v>31914</v>
      </c>
      <c r="IO595" s="89">
        <f>47868-31914</f>
        <v>15954</v>
      </c>
      <c r="IP595" s="89">
        <f t="shared" si="13821"/>
        <v>15954</v>
      </c>
      <c r="IQ595" s="89">
        <f t="shared" si="13822"/>
        <v>15954</v>
      </c>
      <c r="IR595" s="89">
        <f>63822-47868</f>
        <v>15954</v>
      </c>
      <c r="IS595" s="89">
        <f t="shared" si="13823"/>
        <v>15954</v>
      </c>
      <c r="IT595" s="89">
        <f t="shared" si="13824"/>
        <v>15954</v>
      </c>
      <c r="IU595" s="89">
        <f>79776-63822</f>
        <v>15954</v>
      </c>
      <c r="IV595" s="89">
        <f t="shared" si="13825"/>
        <v>15954</v>
      </c>
      <c r="IW595" s="89">
        <f t="shared" si="13826"/>
        <v>15954</v>
      </c>
      <c r="IX595" s="89">
        <f>95730-79776</f>
        <v>15954</v>
      </c>
      <c r="IY595" s="89">
        <f t="shared" si="13827"/>
        <v>15954</v>
      </c>
      <c r="IZ595" s="89">
        <f t="shared" si="13828"/>
        <v>15954</v>
      </c>
      <c r="JA595" s="89">
        <f>111684-95730</f>
        <v>15954</v>
      </c>
      <c r="JB595" s="89">
        <f t="shared" si="13829"/>
        <v>15954</v>
      </c>
      <c r="JC595" s="89">
        <f t="shared" si="13830"/>
        <v>15954</v>
      </c>
      <c r="JD595" s="89">
        <f>127638-111684</f>
        <v>15954</v>
      </c>
      <c r="JE595" s="89">
        <f t="shared" si="13831"/>
        <v>15954</v>
      </c>
      <c r="JF595" s="89">
        <f t="shared" si="13832"/>
        <v>15954</v>
      </c>
      <c r="JG595" s="89">
        <f>143592-127638</f>
        <v>15954</v>
      </c>
      <c r="JH595" s="89">
        <f t="shared" si="13833"/>
        <v>15954</v>
      </c>
      <c r="JI595" s="89">
        <f t="shared" si="13834"/>
        <v>15954</v>
      </c>
      <c r="JJ595" s="89">
        <f>159546-143592</f>
        <v>15954</v>
      </c>
      <c r="JK595" s="89">
        <f t="shared" si="13835"/>
        <v>15954</v>
      </c>
      <c r="JL595" s="89">
        <f t="shared" si="13836"/>
        <v>15954</v>
      </c>
      <c r="JM595" s="89">
        <v>0</v>
      </c>
      <c r="JN595" s="89">
        <f t="shared" si="13837"/>
        <v>0</v>
      </c>
      <c r="JO595" s="89">
        <f t="shared" si="13838"/>
        <v>0</v>
      </c>
      <c r="JP595" s="89">
        <v>0</v>
      </c>
      <c r="JQ595" s="89">
        <f t="shared" ref="JQ595:JR595" si="13842">JP595</f>
        <v>0</v>
      </c>
      <c r="JR595" s="89">
        <f t="shared" si="13842"/>
        <v>0</v>
      </c>
      <c r="JS595" s="74">
        <f>HG595-IF595</f>
        <v>0</v>
      </c>
      <c r="JT595" s="382">
        <f>GS595-IF595</f>
        <v>0</v>
      </c>
      <c r="JU595" s="665"/>
      <c r="JV595" s="524"/>
      <c r="JW595" s="525"/>
      <c r="JX595" s="549">
        <f t="shared" si="13840"/>
        <v>0</v>
      </c>
      <c r="JY595" s="549">
        <f t="shared" si="13840"/>
        <v>159546</v>
      </c>
      <c r="JZ595" s="581">
        <f t="shared" si="13477"/>
        <v>0</v>
      </c>
      <c r="KA595" s="581">
        <f t="shared" si="13478"/>
        <v>0</v>
      </c>
      <c r="KB595" s="549">
        <f t="shared" si="13163"/>
        <v>159546</v>
      </c>
      <c r="KC595" s="709">
        <f t="shared" si="13396"/>
        <v>0</v>
      </c>
      <c r="KD595" s="36"/>
      <c r="KE595" s="36"/>
      <c r="KF595" s="36"/>
      <c r="KG595" s="36"/>
      <c r="KH595" s="36"/>
      <c r="KI595" s="36"/>
      <c r="KJ595" s="36"/>
      <c r="KK595" s="36"/>
    </row>
    <row r="596" spans="1:297" s="10" customFormat="1">
      <c r="A596" s="86" t="s">
        <v>323</v>
      </c>
      <c r="B596" s="77" t="s">
        <v>76</v>
      </c>
      <c r="C596" s="74">
        <v>83500</v>
      </c>
      <c r="D596" s="549">
        <v>0</v>
      </c>
      <c r="E596" s="675">
        <v>0</v>
      </c>
      <c r="F596" s="549">
        <v>0</v>
      </c>
      <c r="G596" s="675">
        <v>0</v>
      </c>
      <c r="H596" s="549">
        <v>0</v>
      </c>
      <c r="I596" s="675">
        <v>0</v>
      </c>
      <c r="J596" s="549">
        <v>0</v>
      </c>
      <c r="K596" s="675">
        <v>0</v>
      </c>
      <c r="L596" s="549">
        <v>0</v>
      </c>
      <c r="M596" s="675">
        <v>0</v>
      </c>
      <c r="N596" s="549">
        <v>0</v>
      </c>
      <c r="O596" s="675">
        <v>0</v>
      </c>
      <c r="P596" s="549">
        <v>0</v>
      </c>
      <c r="Q596" s="675">
        <v>0</v>
      </c>
      <c r="R596" s="549">
        <v>0</v>
      </c>
      <c r="S596" s="675">
        <v>0</v>
      </c>
      <c r="T596" s="549">
        <v>0</v>
      </c>
      <c r="U596" s="675">
        <v>0</v>
      </c>
      <c r="V596" s="549">
        <v>0</v>
      </c>
      <c r="W596" s="675">
        <v>0</v>
      </c>
      <c r="X596" s="549">
        <v>0</v>
      </c>
      <c r="Y596" s="675">
        <v>0</v>
      </c>
      <c r="Z596" s="549">
        <v>0</v>
      </c>
      <c r="AA596" s="675">
        <v>0</v>
      </c>
      <c r="AB596" s="549">
        <v>0</v>
      </c>
      <c r="AC596" s="675">
        <v>0</v>
      </c>
      <c r="AD596" s="549">
        <v>0</v>
      </c>
      <c r="AE596" s="675">
        <v>0</v>
      </c>
      <c r="AF596" s="549">
        <v>0</v>
      </c>
      <c r="AG596" s="675">
        <v>0</v>
      </c>
      <c r="AH596" s="549">
        <v>0</v>
      </c>
      <c r="AI596" s="675">
        <v>0</v>
      </c>
      <c r="AJ596" s="549">
        <v>0</v>
      </c>
      <c r="AK596" s="675">
        <v>0</v>
      </c>
      <c r="AL596" s="549">
        <v>0</v>
      </c>
      <c r="AM596" s="675">
        <v>0</v>
      </c>
      <c r="AN596" s="549">
        <v>0</v>
      </c>
      <c r="AO596" s="675">
        <v>0</v>
      </c>
      <c r="AP596" s="549">
        <v>0</v>
      </c>
      <c r="AQ596" s="675">
        <v>0</v>
      </c>
      <c r="AR596" s="549">
        <v>0</v>
      </c>
      <c r="AS596" s="675">
        <v>0</v>
      </c>
      <c r="AT596" s="549">
        <v>0</v>
      </c>
      <c r="AU596" s="675">
        <v>0</v>
      </c>
      <c r="AV596" s="549">
        <v>0</v>
      </c>
      <c r="AW596" s="675">
        <v>0</v>
      </c>
      <c r="AX596" s="549">
        <v>0</v>
      </c>
      <c r="AY596" s="675">
        <v>0</v>
      </c>
      <c r="AZ596" s="549">
        <v>0</v>
      </c>
      <c r="BA596" s="675">
        <v>0</v>
      </c>
      <c r="BB596" s="549">
        <v>0</v>
      </c>
      <c r="BC596" s="675">
        <v>0</v>
      </c>
      <c r="BD596" s="549">
        <v>0</v>
      </c>
      <c r="BE596" s="675">
        <v>0</v>
      </c>
      <c r="BF596" s="549">
        <v>0</v>
      </c>
      <c r="BG596" s="675">
        <v>0</v>
      </c>
      <c r="BH596" s="549">
        <v>0</v>
      </c>
      <c r="BI596" s="675">
        <v>0</v>
      </c>
      <c r="BJ596" s="549">
        <v>0</v>
      </c>
      <c r="BK596" s="675">
        <v>0</v>
      </c>
      <c r="BL596" s="549">
        <v>0</v>
      </c>
      <c r="BM596" s="675">
        <v>0</v>
      </c>
      <c r="BN596" s="549">
        <v>0</v>
      </c>
      <c r="BO596" s="675">
        <v>0</v>
      </c>
      <c r="BP596" s="549">
        <v>0</v>
      </c>
      <c r="BQ596" s="675">
        <v>0</v>
      </c>
      <c r="BR596" s="549">
        <v>0</v>
      </c>
      <c r="BS596" s="675">
        <v>0</v>
      </c>
      <c r="BT596" s="549">
        <v>0</v>
      </c>
      <c r="BU596" s="675">
        <v>0</v>
      </c>
      <c r="BV596" s="549">
        <v>0</v>
      </c>
      <c r="BW596" s="675">
        <v>0</v>
      </c>
      <c r="BX596" s="549">
        <v>0</v>
      </c>
      <c r="BY596" s="675">
        <v>0</v>
      </c>
      <c r="BZ596" s="549">
        <v>0</v>
      </c>
      <c r="CA596" s="675">
        <v>0</v>
      </c>
      <c r="CB596" s="549">
        <v>0</v>
      </c>
      <c r="CC596" s="675">
        <v>0</v>
      </c>
      <c r="CD596" s="549">
        <v>0</v>
      </c>
      <c r="CE596" s="675">
        <v>0</v>
      </c>
      <c r="CF596" s="549">
        <v>0</v>
      </c>
      <c r="CG596" s="675">
        <v>0</v>
      </c>
      <c r="CH596" s="549">
        <v>0</v>
      </c>
      <c r="CI596" s="675">
        <v>0</v>
      </c>
      <c r="CJ596" s="549">
        <v>0</v>
      </c>
      <c r="CK596" s="675">
        <v>0</v>
      </c>
      <c r="CL596" s="549">
        <v>0</v>
      </c>
      <c r="CM596" s="675">
        <v>0</v>
      </c>
      <c r="CN596" s="549">
        <v>0</v>
      </c>
      <c r="CO596" s="675">
        <v>0</v>
      </c>
      <c r="CP596" s="549">
        <v>0</v>
      </c>
      <c r="CQ596" s="675">
        <v>0</v>
      </c>
      <c r="CR596" s="549">
        <v>0</v>
      </c>
      <c r="CS596" s="675">
        <v>0</v>
      </c>
      <c r="CT596" s="549">
        <v>0</v>
      </c>
      <c r="CU596" s="675">
        <v>0</v>
      </c>
      <c r="CV596" s="549">
        <v>0</v>
      </c>
      <c r="CW596" s="675">
        <v>0</v>
      </c>
      <c r="CX596" s="549">
        <v>0</v>
      </c>
      <c r="CY596" s="675">
        <v>0</v>
      </c>
      <c r="CZ596" s="549">
        <v>0</v>
      </c>
      <c r="DA596" s="675">
        <v>0</v>
      </c>
      <c r="DB596" s="549">
        <v>0</v>
      </c>
      <c r="DC596" s="675">
        <v>0</v>
      </c>
      <c r="DD596" s="549">
        <v>0</v>
      </c>
      <c r="DE596" s="675">
        <v>0</v>
      </c>
      <c r="DF596" s="549">
        <v>0</v>
      </c>
      <c r="DG596" s="675">
        <v>0</v>
      </c>
      <c r="DH596" s="549">
        <v>0</v>
      </c>
      <c r="DI596" s="675">
        <v>0</v>
      </c>
      <c r="DJ596" s="549">
        <v>0</v>
      </c>
      <c r="DK596" s="675">
        <v>0</v>
      </c>
      <c r="DL596" s="549">
        <v>0</v>
      </c>
      <c r="DM596" s="675">
        <v>0</v>
      </c>
      <c r="DN596" s="549">
        <v>0</v>
      </c>
      <c r="DO596" s="675">
        <v>0</v>
      </c>
      <c r="DP596" s="549">
        <v>0</v>
      </c>
      <c r="DQ596" s="675">
        <v>0</v>
      </c>
      <c r="DR596" s="549">
        <v>0</v>
      </c>
      <c r="DS596" s="675">
        <v>0</v>
      </c>
      <c r="DT596" s="549">
        <v>0</v>
      </c>
      <c r="DU596" s="675">
        <v>0</v>
      </c>
      <c r="DV596" s="549">
        <v>0</v>
      </c>
      <c r="DW596" s="675">
        <v>0</v>
      </c>
      <c r="DX596" s="549">
        <v>0</v>
      </c>
      <c r="DY596" s="675">
        <v>0</v>
      </c>
      <c r="DZ596" s="549">
        <v>0</v>
      </c>
      <c r="EA596" s="675">
        <v>0</v>
      </c>
      <c r="EB596" s="549">
        <v>0</v>
      </c>
      <c r="EC596" s="675">
        <v>0</v>
      </c>
      <c r="ED596" s="549">
        <v>0</v>
      </c>
      <c r="EE596" s="675">
        <v>0</v>
      </c>
      <c r="EF596" s="549">
        <v>0</v>
      </c>
      <c r="EG596" s="675">
        <v>0</v>
      </c>
      <c r="EH596" s="549">
        <v>0</v>
      </c>
      <c r="EI596" s="675">
        <v>0</v>
      </c>
      <c r="EJ596" s="549">
        <v>0</v>
      </c>
      <c r="EK596" s="675">
        <v>0</v>
      </c>
      <c r="EL596" s="549">
        <v>0</v>
      </c>
      <c r="EM596" s="675">
        <v>0</v>
      </c>
      <c r="EN596" s="549">
        <v>0</v>
      </c>
      <c r="EO596" s="675">
        <v>0</v>
      </c>
      <c r="EP596" s="549">
        <v>0</v>
      </c>
      <c r="EQ596" s="675">
        <v>0</v>
      </c>
      <c r="ER596" s="549">
        <v>0</v>
      </c>
      <c r="ES596" s="675">
        <v>0</v>
      </c>
      <c r="ET596" s="549">
        <v>0</v>
      </c>
      <c r="EU596" s="675">
        <v>0</v>
      </c>
      <c r="EV596" s="549">
        <v>0</v>
      </c>
      <c r="EW596" s="675">
        <v>0</v>
      </c>
      <c r="EX596" s="549">
        <v>0</v>
      </c>
      <c r="EY596" s="675">
        <v>0</v>
      </c>
      <c r="EZ596" s="549">
        <v>0</v>
      </c>
      <c r="FA596" s="675">
        <v>0</v>
      </c>
      <c r="FB596" s="549">
        <v>0</v>
      </c>
      <c r="FC596" s="675">
        <v>0</v>
      </c>
      <c r="FD596" s="549">
        <v>0</v>
      </c>
      <c r="FE596" s="675">
        <v>0</v>
      </c>
      <c r="FF596" s="549">
        <v>0</v>
      </c>
      <c r="FG596" s="675">
        <v>0</v>
      </c>
      <c r="FH596" s="549">
        <v>0</v>
      </c>
      <c r="FI596" s="675">
        <v>0</v>
      </c>
      <c r="FJ596" s="549">
        <v>0</v>
      </c>
      <c r="FK596" s="675">
        <v>0</v>
      </c>
      <c r="FL596" s="549">
        <v>0</v>
      </c>
      <c r="FM596" s="675">
        <v>0</v>
      </c>
      <c r="FN596" s="549">
        <v>0</v>
      </c>
      <c r="FO596" s="675">
        <v>0</v>
      </c>
      <c r="FP596" s="549">
        <v>0</v>
      </c>
      <c r="FQ596" s="675">
        <v>0</v>
      </c>
      <c r="FR596" s="549">
        <v>0</v>
      </c>
      <c r="FS596" s="675">
        <v>0</v>
      </c>
      <c r="FT596" s="549">
        <v>0</v>
      </c>
      <c r="FU596" s="675">
        <v>0</v>
      </c>
      <c r="FV596" s="549">
        <v>0</v>
      </c>
      <c r="FW596" s="675">
        <v>0</v>
      </c>
      <c r="FX596" s="549">
        <v>0</v>
      </c>
      <c r="FY596" s="675">
        <v>0</v>
      </c>
      <c r="FZ596" s="549">
        <v>0</v>
      </c>
      <c r="GA596" s="675">
        <v>0</v>
      </c>
      <c r="GB596" s="549">
        <v>0</v>
      </c>
      <c r="GC596" s="675">
        <v>0</v>
      </c>
      <c r="GD596" s="549">
        <v>0</v>
      </c>
      <c r="GE596" s="675">
        <v>0</v>
      </c>
      <c r="GF596" s="549">
        <v>0</v>
      </c>
      <c r="GG596" s="675">
        <v>0</v>
      </c>
      <c r="GH596" s="549">
        <v>0</v>
      </c>
      <c r="GI596" s="675">
        <v>0</v>
      </c>
      <c r="GJ596" s="549">
        <v>0</v>
      </c>
      <c r="GK596" s="675">
        <v>0</v>
      </c>
      <c r="GL596" s="549">
        <v>0</v>
      </c>
      <c r="GM596" s="675">
        <v>0</v>
      </c>
      <c r="GN596" s="549">
        <v>0</v>
      </c>
      <c r="GO596" s="675">
        <v>0</v>
      </c>
      <c r="GP596" s="549">
        <f t="shared" si="13810"/>
        <v>0</v>
      </c>
      <c r="GQ596" s="675">
        <f t="shared" si="13811"/>
        <v>0</v>
      </c>
      <c r="GR596" s="74">
        <f>C596+GP596+GQ596</f>
        <v>83500</v>
      </c>
      <c r="GS596" s="74">
        <f t="shared" si="13812"/>
        <v>83500</v>
      </c>
      <c r="GT596" s="568">
        <f t="shared" si="13813"/>
        <v>83500</v>
      </c>
      <c r="GU596" s="275">
        <v>7600</v>
      </c>
      <c r="GV596" s="275">
        <v>7590</v>
      </c>
      <c r="GW596" s="275">
        <v>7590</v>
      </c>
      <c r="GX596" s="275">
        <v>7590</v>
      </c>
      <c r="GY596" s="275">
        <v>7590</v>
      </c>
      <c r="GZ596" s="275">
        <v>7590</v>
      </c>
      <c r="HA596" s="275">
        <v>7590</v>
      </c>
      <c r="HB596" s="275">
        <v>7590</v>
      </c>
      <c r="HC596" s="275">
        <v>7590</v>
      </c>
      <c r="HD596" s="275">
        <f>7590+7590</f>
        <v>15180</v>
      </c>
      <c r="HE596" s="275">
        <f>7590-7590</f>
        <v>0</v>
      </c>
      <c r="HF596" s="275">
        <v>0</v>
      </c>
      <c r="HG596" s="74">
        <f>SUM(HH596:IE596)+GP596+GQ596</f>
        <v>83500</v>
      </c>
      <c r="HH596" s="89">
        <v>0</v>
      </c>
      <c r="HI596" s="817">
        <v>0</v>
      </c>
      <c r="HJ596" s="89">
        <v>0</v>
      </c>
      <c r="HK596" s="817">
        <f>6100+9090</f>
        <v>15190</v>
      </c>
      <c r="HL596" s="89">
        <v>0</v>
      </c>
      <c r="HM596" s="817">
        <f>16680-9090</f>
        <v>7590</v>
      </c>
      <c r="HN596" s="89">
        <v>0</v>
      </c>
      <c r="HO596" s="817">
        <f>21050-13460</f>
        <v>7590</v>
      </c>
      <c r="HP596" s="89">
        <v>0</v>
      </c>
      <c r="HQ596" s="817">
        <f>26024.21-18434.21</f>
        <v>7590</v>
      </c>
      <c r="HR596" s="89">
        <v>0</v>
      </c>
      <c r="HS596" s="817">
        <f>30998.62-23408.62</f>
        <v>7590</v>
      </c>
      <c r="HT596" s="89">
        <v>0</v>
      </c>
      <c r="HU596" s="817">
        <f>35446.34-27856.34</f>
        <v>7589.9999999999964</v>
      </c>
      <c r="HV596" s="89">
        <v>0</v>
      </c>
      <c r="HW596" s="817">
        <f>39893.74-32303.74</f>
        <v>7589.9999999999964</v>
      </c>
      <c r="HX596" s="89">
        <v>0</v>
      </c>
      <c r="HY596" s="817">
        <f>44341.14-36751.14</f>
        <v>7590</v>
      </c>
      <c r="HZ596" s="89">
        <v>0</v>
      </c>
      <c r="IA596" s="817">
        <f>56521.14-41341.14</f>
        <v>15180</v>
      </c>
      <c r="IB596" s="89">
        <v>0</v>
      </c>
      <c r="IC596" s="817">
        <v>0</v>
      </c>
      <c r="ID596" s="89">
        <v>0</v>
      </c>
      <c r="IE596" s="817">
        <v>0</v>
      </c>
      <c r="IF596" s="841">
        <f t="shared" si="13814"/>
        <v>26978.86</v>
      </c>
      <c r="IG596" s="263">
        <f t="shared" si="13815"/>
        <v>26978.86</v>
      </c>
      <c r="IH596" s="842">
        <f t="shared" si="13816"/>
        <v>26978.86</v>
      </c>
      <c r="II596" s="89">
        <v>3000</v>
      </c>
      <c r="IJ596" s="89">
        <f t="shared" si="13817"/>
        <v>3000</v>
      </c>
      <c r="IK596" s="89">
        <f t="shared" si="13818"/>
        <v>3000</v>
      </c>
      <c r="IL596" s="89">
        <v>3100</v>
      </c>
      <c r="IM596" s="89">
        <f t="shared" si="13819"/>
        <v>3100</v>
      </c>
      <c r="IN596" s="89">
        <f t="shared" si="13820"/>
        <v>3100</v>
      </c>
      <c r="IO596" s="89">
        <v>0</v>
      </c>
      <c r="IP596" s="89">
        <f t="shared" si="13821"/>
        <v>0</v>
      </c>
      <c r="IQ596" s="89">
        <f t="shared" si="13822"/>
        <v>0</v>
      </c>
      <c r="IR596" s="89">
        <f>9320-6100</f>
        <v>3220</v>
      </c>
      <c r="IS596" s="89">
        <f t="shared" si="13823"/>
        <v>3220</v>
      </c>
      <c r="IT596" s="89">
        <f t="shared" si="13824"/>
        <v>3220</v>
      </c>
      <c r="IU596" s="89">
        <f>11935.79-9320</f>
        <v>2615.7900000000009</v>
      </c>
      <c r="IV596" s="89">
        <f t="shared" si="13825"/>
        <v>2615.7900000000009</v>
      </c>
      <c r="IW596" s="89">
        <f t="shared" si="13826"/>
        <v>2615.7900000000009</v>
      </c>
      <c r="IX596" s="89">
        <f>14551.38-11935.79</f>
        <v>2615.5899999999983</v>
      </c>
      <c r="IY596" s="89">
        <f t="shared" si="13827"/>
        <v>2615.5899999999983</v>
      </c>
      <c r="IZ596" s="89">
        <f t="shared" si="13828"/>
        <v>2615.5899999999983</v>
      </c>
      <c r="JA596" s="89">
        <f>17693.66-14551.38</f>
        <v>3142.2800000000007</v>
      </c>
      <c r="JB596" s="89">
        <f t="shared" si="13829"/>
        <v>3142.2800000000007</v>
      </c>
      <c r="JC596" s="89">
        <f t="shared" si="13830"/>
        <v>3142.2800000000007</v>
      </c>
      <c r="JD596" s="89">
        <f>20836.26-17693.66</f>
        <v>3142.5999999999985</v>
      </c>
      <c r="JE596" s="89">
        <f t="shared" si="13831"/>
        <v>3142.5999999999985</v>
      </c>
      <c r="JF596" s="89">
        <f t="shared" si="13832"/>
        <v>3142.5999999999985</v>
      </c>
      <c r="JG596" s="89">
        <f>23978.86-20836.26</f>
        <v>3142.6000000000022</v>
      </c>
      <c r="JH596" s="89">
        <f t="shared" si="13833"/>
        <v>3142.6000000000022</v>
      </c>
      <c r="JI596" s="89">
        <f t="shared" si="13834"/>
        <v>3142.6000000000022</v>
      </c>
      <c r="JJ596" s="89">
        <f>26978.86-23978.86</f>
        <v>3000</v>
      </c>
      <c r="JK596" s="89">
        <f t="shared" si="13835"/>
        <v>3000</v>
      </c>
      <c r="JL596" s="89">
        <f t="shared" si="13836"/>
        <v>3000</v>
      </c>
      <c r="JM596" s="89">
        <v>0</v>
      </c>
      <c r="JN596" s="89">
        <f t="shared" si="13837"/>
        <v>0</v>
      </c>
      <c r="JO596" s="89">
        <f t="shared" si="13838"/>
        <v>0</v>
      </c>
      <c r="JP596" s="89">
        <v>0</v>
      </c>
      <c r="JQ596" s="89">
        <f t="shared" ref="JQ596:JR596" si="13843">JP596</f>
        <v>0</v>
      </c>
      <c r="JR596" s="89">
        <f t="shared" si="13843"/>
        <v>0</v>
      </c>
      <c r="JS596" s="74">
        <f>HG596-IF596</f>
        <v>56521.14</v>
      </c>
      <c r="JT596" s="382">
        <f>GS596-IF596</f>
        <v>56521.14</v>
      </c>
      <c r="JU596" s="665"/>
      <c r="JV596" s="524"/>
      <c r="JW596" s="525"/>
      <c r="JX596" s="549">
        <f t="shared" si="13840"/>
        <v>0</v>
      </c>
      <c r="JY596" s="549">
        <f t="shared" si="13840"/>
        <v>83500</v>
      </c>
      <c r="JZ596" s="581">
        <f t="shared" si="13477"/>
        <v>0</v>
      </c>
      <c r="KA596" s="581">
        <f t="shared" si="13478"/>
        <v>0</v>
      </c>
      <c r="KB596" s="549">
        <f t="shared" si="13163"/>
        <v>83500</v>
      </c>
      <c r="KC596" s="709">
        <f t="shared" si="13396"/>
        <v>0</v>
      </c>
      <c r="KD596" s="36"/>
      <c r="KE596" s="36"/>
      <c r="KF596" s="36"/>
      <c r="KG596" s="36"/>
      <c r="KH596" s="36"/>
      <c r="KI596" s="36"/>
      <c r="KJ596" s="36"/>
      <c r="KK596" s="36"/>
    </row>
    <row r="597" spans="1:297" s="10" customFormat="1">
      <c r="A597" s="91"/>
      <c r="B597" s="77"/>
      <c r="C597" s="74"/>
      <c r="D597" s="549"/>
      <c r="E597" s="675"/>
      <c r="F597" s="549"/>
      <c r="G597" s="675"/>
      <c r="H597" s="549"/>
      <c r="I597" s="675"/>
      <c r="J597" s="549"/>
      <c r="K597" s="675"/>
      <c r="L597" s="549"/>
      <c r="M597" s="675"/>
      <c r="N597" s="549"/>
      <c r="O597" s="675"/>
      <c r="P597" s="549"/>
      <c r="Q597" s="675"/>
      <c r="R597" s="549"/>
      <c r="S597" s="675"/>
      <c r="T597" s="549"/>
      <c r="U597" s="675"/>
      <c r="V597" s="549"/>
      <c r="W597" s="675"/>
      <c r="X597" s="549"/>
      <c r="Y597" s="675"/>
      <c r="Z597" s="549"/>
      <c r="AA597" s="675"/>
      <c r="AB597" s="549"/>
      <c r="AC597" s="675"/>
      <c r="AD597" s="549"/>
      <c r="AE597" s="675"/>
      <c r="AF597" s="549"/>
      <c r="AG597" s="675"/>
      <c r="AH597" s="549"/>
      <c r="AI597" s="675"/>
      <c r="AJ597" s="549"/>
      <c r="AK597" s="675"/>
      <c r="AL597" s="549"/>
      <c r="AM597" s="675"/>
      <c r="AN597" s="549"/>
      <c r="AO597" s="675"/>
      <c r="AP597" s="549"/>
      <c r="AQ597" s="675"/>
      <c r="AR597" s="549"/>
      <c r="AS597" s="675"/>
      <c r="AT597" s="549"/>
      <c r="AU597" s="675"/>
      <c r="AV597" s="549"/>
      <c r="AW597" s="675"/>
      <c r="AX597" s="549"/>
      <c r="AY597" s="675"/>
      <c r="AZ597" s="549"/>
      <c r="BA597" s="675"/>
      <c r="BB597" s="549"/>
      <c r="BC597" s="675"/>
      <c r="BD597" s="549"/>
      <c r="BE597" s="675"/>
      <c r="BF597" s="549"/>
      <c r="BG597" s="675"/>
      <c r="BH597" s="549"/>
      <c r="BI597" s="675"/>
      <c r="BJ597" s="549"/>
      <c r="BK597" s="675"/>
      <c r="BL597" s="549"/>
      <c r="BM597" s="675"/>
      <c r="BN597" s="549"/>
      <c r="BO597" s="675"/>
      <c r="BP597" s="549"/>
      <c r="BQ597" s="675"/>
      <c r="BR597" s="549"/>
      <c r="BS597" s="675"/>
      <c r="BT597" s="549"/>
      <c r="BU597" s="675"/>
      <c r="BV597" s="549"/>
      <c r="BW597" s="675"/>
      <c r="BX597" s="549"/>
      <c r="BY597" s="675"/>
      <c r="BZ597" s="549"/>
      <c r="CA597" s="675"/>
      <c r="CB597" s="549"/>
      <c r="CC597" s="675"/>
      <c r="CD597" s="549"/>
      <c r="CE597" s="675"/>
      <c r="CF597" s="549"/>
      <c r="CG597" s="675"/>
      <c r="CH597" s="549"/>
      <c r="CI597" s="675"/>
      <c r="CJ597" s="549"/>
      <c r="CK597" s="675"/>
      <c r="CL597" s="549"/>
      <c r="CM597" s="675"/>
      <c r="CN597" s="549"/>
      <c r="CO597" s="675"/>
      <c r="CP597" s="549"/>
      <c r="CQ597" s="675"/>
      <c r="CR597" s="549"/>
      <c r="CS597" s="675"/>
      <c r="CT597" s="549"/>
      <c r="CU597" s="675"/>
      <c r="CV597" s="549"/>
      <c r="CW597" s="675"/>
      <c r="CX597" s="549"/>
      <c r="CY597" s="675"/>
      <c r="CZ597" s="549"/>
      <c r="DA597" s="675"/>
      <c r="DB597" s="549"/>
      <c r="DC597" s="675"/>
      <c r="DD597" s="549"/>
      <c r="DE597" s="675"/>
      <c r="DF597" s="549"/>
      <c r="DG597" s="675"/>
      <c r="DH597" s="549"/>
      <c r="DI597" s="675"/>
      <c r="DJ597" s="549"/>
      <c r="DK597" s="675"/>
      <c r="DL597" s="549"/>
      <c r="DM597" s="675"/>
      <c r="DN597" s="549"/>
      <c r="DO597" s="675"/>
      <c r="DP597" s="549"/>
      <c r="DQ597" s="675"/>
      <c r="DR597" s="549"/>
      <c r="DS597" s="675"/>
      <c r="DT597" s="549"/>
      <c r="DU597" s="675"/>
      <c r="DV597" s="549"/>
      <c r="DW597" s="675"/>
      <c r="DX597" s="549"/>
      <c r="DY597" s="675"/>
      <c r="DZ597" s="549"/>
      <c r="EA597" s="675"/>
      <c r="EB597" s="549"/>
      <c r="EC597" s="675"/>
      <c r="ED597" s="549"/>
      <c r="EE597" s="675"/>
      <c r="EF597" s="549"/>
      <c r="EG597" s="675"/>
      <c r="EH597" s="549"/>
      <c r="EI597" s="675"/>
      <c r="EJ597" s="549"/>
      <c r="EK597" s="675"/>
      <c r="EL597" s="549"/>
      <c r="EM597" s="675"/>
      <c r="EN597" s="549"/>
      <c r="EO597" s="675"/>
      <c r="EP597" s="549"/>
      <c r="EQ597" s="675"/>
      <c r="ER597" s="549"/>
      <c r="ES597" s="675"/>
      <c r="ET597" s="549"/>
      <c r="EU597" s="675"/>
      <c r="EV597" s="549"/>
      <c r="EW597" s="675"/>
      <c r="EX597" s="549"/>
      <c r="EY597" s="675"/>
      <c r="EZ597" s="549"/>
      <c r="FA597" s="675"/>
      <c r="FB597" s="549"/>
      <c r="FC597" s="675"/>
      <c r="FD597" s="549"/>
      <c r="FE597" s="675"/>
      <c r="FF597" s="549"/>
      <c r="FG597" s="675"/>
      <c r="FH597" s="549"/>
      <c r="FI597" s="675"/>
      <c r="FJ597" s="549"/>
      <c r="FK597" s="675"/>
      <c r="FL597" s="549"/>
      <c r="FM597" s="675"/>
      <c r="FN597" s="549"/>
      <c r="FO597" s="675"/>
      <c r="FP597" s="549"/>
      <c r="FQ597" s="675"/>
      <c r="FR597" s="549"/>
      <c r="FS597" s="675"/>
      <c r="FT597" s="549"/>
      <c r="FU597" s="675"/>
      <c r="FV597" s="549"/>
      <c r="FW597" s="675"/>
      <c r="FX597" s="549"/>
      <c r="FY597" s="675"/>
      <c r="FZ597" s="549"/>
      <c r="GA597" s="675"/>
      <c r="GB597" s="549"/>
      <c r="GC597" s="675"/>
      <c r="GD597" s="549"/>
      <c r="GE597" s="675"/>
      <c r="GF597" s="549"/>
      <c r="GG597" s="675"/>
      <c r="GH597" s="549"/>
      <c r="GI597" s="675"/>
      <c r="GJ597" s="549"/>
      <c r="GK597" s="675"/>
      <c r="GL597" s="549"/>
      <c r="GM597" s="675"/>
      <c r="GN597" s="549"/>
      <c r="GO597" s="675"/>
      <c r="GP597" s="549"/>
      <c r="GQ597" s="675"/>
      <c r="GR597" s="74"/>
      <c r="GS597" s="74"/>
      <c r="GT597" s="549"/>
      <c r="GU597" s="73"/>
      <c r="GV597" s="73"/>
      <c r="GW597" s="549"/>
      <c r="GX597" s="549"/>
      <c r="GY597" s="73"/>
      <c r="GZ597" s="73"/>
      <c r="HA597" s="73"/>
      <c r="HB597" s="73"/>
      <c r="HC597" s="73"/>
      <c r="HD597" s="73"/>
      <c r="HE597" s="73"/>
      <c r="HF597" s="73"/>
      <c r="HG597" s="74"/>
      <c r="HH597" s="73"/>
      <c r="HI597" s="815"/>
      <c r="HJ597" s="73"/>
      <c r="HK597" s="815"/>
      <c r="HL597" s="73"/>
      <c r="HM597" s="815"/>
      <c r="HN597" s="73"/>
      <c r="HO597" s="815"/>
      <c r="HP597" s="73"/>
      <c r="HQ597" s="815"/>
      <c r="HR597" s="73"/>
      <c r="HS597" s="815"/>
      <c r="HT597" s="73"/>
      <c r="HU597" s="815"/>
      <c r="HV597" s="73"/>
      <c r="HW597" s="815"/>
      <c r="HX597" s="73"/>
      <c r="HY597" s="815"/>
      <c r="HZ597" s="73"/>
      <c r="IA597" s="815"/>
      <c r="IB597" s="73"/>
      <c r="IC597" s="815"/>
      <c r="ID597" s="73"/>
      <c r="IE597" s="815"/>
      <c r="IF597" s="841"/>
      <c r="IG597" s="263"/>
      <c r="IH597" s="842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  <c r="JD597" s="73"/>
      <c r="JE597" s="73"/>
      <c r="JF597" s="73"/>
      <c r="JG597" s="73"/>
      <c r="JH597" s="73"/>
      <c r="JI597" s="73"/>
      <c r="JJ597" s="73"/>
      <c r="JK597" s="73"/>
      <c r="JL597" s="73"/>
      <c r="JM597" s="73"/>
      <c r="JN597" s="73"/>
      <c r="JO597" s="73"/>
      <c r="JP597" s="73"/>
      <c r="JQ597" s="73"/>
      <c r="JR597" s="73"/>
      <c r="JS597" s="74"/>
      <c r="JT597" s="382"/>
      <c r="JU597" s="665"/>
      <c r="JV597" s="524"/>
      <c r="JW597" s="525"/>
      <c r="JX597" s="549"/>
      <c r="JY597" s="549"/>
      <c r="JZ597" s="581">
        <f t="shared" si="13477"/>
        <v>0</v>
      </c>
      <c r="KA597" s="581">
        <f t="shared" si="13478"/>
        <v>0</v>
      </c>
      <c r="KB597" s="549">
        <f t="shared" si="13163"/>
        <v>0</v>
      </c>
      <c r="KC597" s="709">
        <f t="shared" si="13396"/>
        <v>0</v>
      </c>
      <c r="KD597" s="36"/>
      <c r="KE597" s="36"/>
      <c r="KF597" s="36"/>
      <c r="KG597" s="36"/>
      <c r="KH597" s="36"/>
      <c r="KI597" s="36"/>
      <c r="KJ597" s="36"/>
      <c r="KK597" s="36"/>
    </row>
    <row r="598" spans="1:297" s="33" customFormat="1">
      <c r="A598" s="80" t="s">
        <v>324</v>
      </c>
      <c r="B598" s="77" t="s">
        <v>78</v>
      </c>
      <c r="C598" s="74">
        <v>200000</v>
      </c>
      <c r="D598" s="549">
        <v>0</v>
      </c>
      <c r="E598" s="675">
        <v>0</v>
      </c>
      <c r="F598" s="549">
        <v>0</v>
      </c>
      <c r="G598" s="675">
        <v>0</v>
      </c>
      <c r="H598" s="549">
        <v>0</v>
      </c>
      <c r="I598" s="675">
        <v>0</v>
      </c>
      <c r="J598" s="549">
        <v>0</v>
      </c>
      <c r="K598" s="675">
        <v>0</v>
      </c>
      <c r="L598" s="549">
        <v>0</v>
      </c>
      <c r="M598" s="675">
        <v>0</v>
      </c>
      <c r="N598" s="549">
        <v>0</v>
      </c>
      <c r="O598" s="675">
        <v>0</v>
      </c>
      <c r="P598" s="549">
        <v>0</v>
      </c>
      <c r="Q598" s="675">
        <v>0</v>
      </c>
      <c r="R598" s="549">
        <v>0</v>
      </c>
      <c r="S598" s="675">
        <v>0</v>
      </c>
      <c r="T598" s="549">
        <v>0</v>
      </c>
      <c r="U598" s="675">
        <v>0</v>
      </c>
      <c r="V598" s="549">
        <v>0</v>
      </c>
      <c r="W598" s="675">
        <v>0</v>
      </c>
      <c r="X598" s="549">
        <v>0</v>
      </c>
      <c r="Y598" s="675">
        <v>0</v>
      </c>
      <c r="Z598" s="549">
        <v>0</v>
      </c>
      <c r="AA598" s="675">
        <v>0</v>
      </c>
      <c r="AB598" s="549">
        <v>0</v>
      </c>
      <c r="AC598" s="675">
        <v>0</v>
      </c>
      <c r="AD598" s="549">
        <v>0</v>
      </c>
      <c r="AE598" s="675">
        <v>0</v>
      </c>
      <c r="AF598" s="549">
        <v>0</v>
      </c>
      <c r="AG598" s="675">
        <v>0</v>
      </c>
      <c r="AH598" s="549">
        <v>0</v>
      </c>
      <c r="AI598" s="675">
        <v>0</v>
      </c>
      <c r="AJ598" s="549">
        <v>216156</v>
      </c>
      <c r="AK598" s="675">
        <v>0</v>
      </c>
      <c r="AL598" s="549">
        <v>0</v>
      </c>
      <c r="AM598" s="675">
        <v>0</v>
      </c>
      <c r="AN598" s="549">
        <v>0</v>
      </c>
      <c r="AO598" s="675">
        <v>0</v>
      </c>
      <c r="AP598" s="549">
        <v>0</v>
      </c>
      <c r="AQ598" s="675">
        <v>0</v>
      </c>
      <c r="AR598" s="549">
        <v>0</v>
      </c>
      <c r="AS598" s="675">
        <v>0</v>
      </c>
      <c r="AT598" s="549">
        <v>200000</v>
      </c>
      <c r="AU598" s="675">
        <v>0</v>
      </c>
      <c r="AV598" s="549">
        <v>0</v>
      </c>
      <c r="AW598" s="675">
        <v>0</v>
      </c>
      <c r="AX598" s="549">
        <v>0</v>
      </c>
      <c r="AY598" s="675">
        <v>0</v>
      </c>
      <c r="AZ598" s="549">
        <v>0</v>
      </c>
      <c r="BA598" s="675">
        <v>0</v>
      </c>
      <c r="BB598" s="549">
        <v>0</v>
      </c>
      <c r="BC598" s="675">
        <v>0</v>
      </c>
      <c r="BD598" s="549">
        <v>0</v>
      </c>
      <c r="BE598" s="675">
        <v>0</v>
      </c>
      <c r="BF598" s="549">
        <v>0</v>
      </c>
      <c r="BG598" s="675">
        <v>0</v>
      </c>
      <c r="BH598" s="549">
        <v>0</v>
      </c>
      <c r="BI598" s="675">
        <v>0</v>
      </c>
      <c r="BJ598" s="549">
        <v>0</v>
      </c>
      <c r="BK598" s="675">
        <v>0</v>
      </c>
      <c r="BL598" s="549">
        <v>0</v>
      </c>
      <c r="BM598" s="675">
        <v>0</v>
      </c>
      <c r="BN598" s="549">
        <v>0</v>
      </c>
      <c r="BO598" s="675">
        <v>0</v>
      </c>
      <c r="BP598" s="549">
        <v>0</v>
      </c>
      <c r="BQ598" s="675">
        <v>0</v>
      </c>
      <c r="BR598" s="549">
        <v>0</v>
      </c>
      <c r="BS598" s="675">
        <v>0</v>
      </c>
      <c r="BT598" s="549">
        <v>0</v>
      </c>
      <c r="BU598" s="675">
        <v>0</v>
      </c>
      <c r="BV598" s="549">
        <v>0</v>
      </c>
      <c r="BW598" s="675">
        <v>0</v>
      </c>
      <c r="BX598" s="549">
        <v>0</v>
      </c>
      <c r="BY598" s="675">
        <v>0</v>
      </c>
      <c r="BZ598" s="549">
        <v>0</v>
      </c>
      <c r="CA598" s="675">
        <v>0</v>
      </c>
      <c r="CB598" s="549">
        <v>0</v>
      </c>
      <c r="CC598" s="675">
        <v>0</v>
      </c>
      <c r="CD598" s="549">
        <v>0</v>
      </c>
      <c r="CE598" s="675">
        <v>0</v>
      </c>
      <c r="CF598" s="549">
        <v>0</v>
      </c>
      <c r="CG598" s="675">
        <v>0</v>
      </c>
      <c r="CH598" s="549">
        <v>0</v>
      </c>
      <c r="CI598" s="675">
        <v>0</v>
      </c>
      <c r="CJ598" s="549">
        <v>0</v>
      </c>
      <c r="CK598" s="675">
        <v>0</v>
      </c>
      <c r="CL598" s="549">
        <v>0</v>
      </c>
      <c r="CM598" s="675">
        <v>0</v>
      </c>
      <c r="CN598" s="549">
        <v>0</v>
      </c>
      <c r="CO598" s="675">
        <v>0</v>
      </c>
      <c r="CP598" s="549">
        <v>0</v>
      </c>
      <c r="CQ598" s="675">
        <v>0</v>
      </c>
      <c r="CR598" s="549">
        <v>0</v>
      </c>
      <c r="CS598" s="675">
        <v>0</v>
      </c>
      <c r="CT598" s="549">
        <v>0</v>
      </c>
      <c r="CU598" s="675">
        <v>0</v>
      </c>
      <c r="CV598" s="549">
        <v>0</v>
      </c>
      <c r="CW598" s="675">
        <v>0</v>
      </c>
      <c r="CX598" s="549">
        <v>0</v>
      </c>
      <c r="CY598" s="675">
        <v>0</v>
      </c>
      <c r="CZ598" s="549">
        <v>0</v>
      </c>
      <c r="DA598" s="675">
        <v>0</v>
      </c>
      <c r="DB598" s="549">
        <v>0</v>
      </c>
      <c r="DC598" s="675">
        <v>0</v>
      </c>
      <c r="DD598" s="549">
        <v>0</v>
      </c>
      <c r="DE598" s="675">
        <v>0</v>
      </c>
      <c r="DF598" s="549">
        <v>0</v>
      </c>
      <c r="DG598" s="675">
        <v>0</v>
      </c>
      <c r="DH598" s="549">
        <v>0</v>
      </c>
      <c r="DI598" s="675">
        <v>0</v>
      </c>
      <c r="DJ598" s="549">
        <v>0</v>
      </c>
      <c r="DK598" s="675">
        <v>0</v>
      </c>
      <c r="DL598" s="549">
        <v>0</v>
      </c>
      <c r="DM598" s="675">
        <v>0</v>
      </c>
      <c r="DN598" s="549">
        <v>0</v>
      </c>
      <c r="DO598" s="675">
        <v>0</v>
      </c>
      <c r="DP598" s="549">
        <v>0</v>
      </c>
      <c r="DQ598" s="675">
        <v>0</v>
      </c>
      <c r="DR598" s="549">
        <v>0</v>
      </c>
      <c r="DS598" s="675">
        <v>0</v>
      </c>
      <c r="DT598" s="549">
        <v>0</v>
      </c>
      <c r="DU598" s="675">
        <v>0</v>
      </c>
      <c r="DV598" s="549">
        <v>0</v>
      </c>
      <c r="DW598" s="675">
        <v>0</v>
      </c>
      <c r="DX598" s="549">
        <v>0</v>
      </c>
      <c r="DY598" s="675">
        <v>0</v>
      </c>
      <c r="DZ598" s="549">
        <v>0</v>
      </c>
      <c r="EA598" s="675">
        <v>0</v>
      </c>
      <c r="EB598" s="549">
        <v>0</v>
      </c>
      <c r="EC598" s="675">
        <v>0</v>
      </c>
      <c r="ED598" s="549">
        <v>0</v>
      </c>
      <c r="EE598" s="675">
        <v>0</v>
      </c>
      <c r="EF598" s="549">
        <v>0</v>
      </c>
      <c r="EG598" s="675">
        <v>0</v>
      </c>
      <c r="EH598" s="549">
        <v>290000</v>
      </c>
      <c r="EI598" s="675">
        <v>0</v>
      </c>
      <c r="EJ598" s="549">
        <v>0</v>
      </c>
      <c r="EK598" s="675">
        <v>0</v>
      </c>
      <c r="EL598" s="549">
        <v>0</v>
      </c>
      <c r="EM598" s="675">
        <v>0</v>
      </c>
      <c r="EN598" s="549">
        <v>0</v>
      </c>
      <c r="EO598" s="675">
        <v>0</v>
      </c>
      <c r="EP598" s="549">
        <v>110000</v>
      </c>
      <c r="EQ598" s="675">
        <v>0</v>
      </c>
      <c r="ER598" s="549">
        <v>0</v>
      </c>
      <c r="ES598" s="675">
        <v>0</v>
      </c>
      <c r="ET598" s="549">
        <v>0</v>
      </c>
      <c r="EU598" s="675">
        <v>0</v>
      </c>
      <c r="EV598" s="549">
        <v>0</v>
      </c>
      <c r="EW598" s="675">
        <v>0</v>
      </c>
      <c r="EX598" s="549">
        <v>0</v>
      </c>
      <c r="EY598" s="675">
        <v>0</v>
      </c>
      <c r="EZ598" s="549">
        <v>0</v>
      </c>
      <c r="FA598" s="675">
        <v>0</v>
      </c>
      <c r="FB598" s="549">
        <v>0</v>
      </c>
      <c r="FC598" s="675">
        <v>0</v>
      </c>
      <c r="FD598" s="549">
        <v>0</v>
      </c>
      <c r="FE598" s="675">
        <v>0</v>
      </c>
      <c r="FF598" s="549">
        <v>0</v>
      </c>
      <c r="FG598" s="675">
        <v>0</v>
      </c>
      <c r="FH598" s="549">
        <v>0</v>
      </c>
      <c r="FI598" s="675">
        <v>0</v>
      </c>
      <c r="FJ598" s="549">
        <v>0</v>
      </c>
      <c r="FK598" s="675">
        <v>0</v>
      </c>
      <c r="FL598" s="549">
        <v>0</v>
      </c>
      <c r="FM598" s="675">
        <v>0</v>
      </c>
      <c r="FN598" s="549">
        <v>0</v>
      </c>
      <c r="FO598" s="675">
        <v>0</v>
      </c>
      <c r="FP598" s="549">
        <v>0</v>
      </c>
      <c r="FQ598" s="675">
        <v>0</v>
      </c>
      <c r="FR598" s="549">
        <v>0</v>
      </c>
      <c r="FS598" s="675">
        <v>0</v>
      </c>
      <c r="FT598" s="549">
        <v>0</v>
      </c>
      <c r="FU598" s="675">
        <v>0</v>
      </c>
      <c r="FV598" s="549">
        <v>0</v>
      </c>
      <c r="FW598" s="675">
        <v>0</v>
      </c>
      <c r="FX598" s="549">
        <v>0</v>
      </c>
      <c r="FY598" s="675">
        <v>0</v>
      </c>
      <c r="FZ598" s="549">
        <v>0</v>
      </c>
      <c r="GA598" s="675">
        <v>0</v>
      </c>
      <c r="GB598" s="549">
        <v>0</v>
      </c>
      <c r="GC598" s="675">
        <v>0</v>
      </c>
      <c r="GD598" s="549">
        <v>0</v>
      </c>
      <c r="GE598" s="675">
        <v>0</v>
      </c>
      <c r="GF598" s="549">
        <v>0</v>
      </c>
      <c r="GG598" s="675">
        <v>0</v>
      </c>
      <c r="GH598" s="549">
        <v>0</v>
      </c>
      <c r="GI598" s="675">
        <v>0</v>
      </c>
      <c r="GJ598" s="549">
        <v>0</v>
      </c>
      <c r="GK598" s="675">
        <v>0</v>
      </c>
      <c r="GL598" s="549">
        <v>0</v>
      </c>
      <c r="GM598" s="675">
        <v>0</v>
      </c>
      <c r="GN598" s="549">
        <v>0</v>
      </c>
      <c r="GO598" s="675">
        <v>0</v>
      </c>
      <c r="GP598" s="549">
        <f>+D598+F598+H598+J598+L598+N598+P598+R598+T598+V598+X598+Z598+AB598+AF598+AD598+AH598+AJ598+AL598+AN598+AP598+AR598+AT598+AV598+AX598+AZ598+BB598+BD598+BF598+BH598+BJ598+BL598+BN598+BP598+BR598+BT598+BV598+BX598+BZ598+CB598+CD598+CF598+CH598+CJ598+CL598+CN598+CP598+CR598+CT598+CV598+CX598+CZ598+DB598+DD598+DF598+DH598+DT598+EX598+DJ598+DL598+DN598+DP598+DR598+EJ598+EB598+DZ598+DX598+DV598+ED598+EF598+EH598+EL598+EN598+EP598+EV598+ET598+ER598+EZ598+FB598+FD598+GL598+FF598+FJ598+FL598+GJ598+FT598+FR598+FP598+FN598+FH598+GH598+GF598+GD598+GB598+FZ598+FX598+FV598+GN598</f>
        <v>816156</v>
      </c>
      <c r="GQ598" s="675">
        <f>+E598+G598+I598+K598+M598+O598+Q598+S598+U598+W598+Y598+AA598+AC598+AE598+AG598+AI598+AK598+AM598+AO598+AQ598+AS598+AU598+AW598+AY598+BA598+BC598+BE598+BG598+BI598+BK598+BM598+BO598+BQ598+BS598+BU598+BW598+BY598+CA598+CC598+CE598+CG598+CI598+CK598+CM598+CO598+CQ598+CS598+CU598+CW598+CY598+DA598+DC598+DE598+DG598+DI598+DU598+EY598+DK598+DM598+DO598+DQ598+DS598+EK598+EC598+EA598+DY598+DW598+EI598+EG598+EE598+EM598+EO598+EQ598+EW598+EU598+ES598+FA598+FC598+FE598+GM598+FG598+FK598+FM598+FO598+FQ598+FS598+FU598+GK598+FI598+GI598+GG598+GE598+GC598+GA598+FY598+FW598+GO598</f>
        <v>0</v>
      </c>
      <c r="GR598" s="74">
        <f>C598+GP598+GQ598</f>
        <v>1016156</v>
      </c>
      <c r="GS598" s="74">
        <f>SUM(GU598:HD598)+GP598+GQ598</f>
        <v>1016156</v>
      </c>
      <c r="GT598" s="568">
        <f>SUM(GU598:HF598)+GQ598+GP598</f>
        <v>1016156</v>
      </c>
      <c r="GU598" s="275">
        <v>100000</v>
      </c>
      <c r="GV598" s="275">
        <v>0</v>
      </c>
      <c r="GW598" s="275">
        <v>0</v>
      </c>
      <c r="GX598" s="275">
        <v>0</v>
      </c>
      <c r="GY598" s="275">
        <v>0</v>
      </c>
      <c r="GZ598" s="275">
        <v>100000</v>
      </c>
      <c r="HA598" s="275">
        <v>0</v>
      </c>
      <c r="HB598" s="275">
        <v>0</v>
      </c>
      <c r="HC598" s="275">
        <v>0</v>
      </c>
      <c r="HD598" s="275">
        <v>0</v>
      </c>
      <c r="HE598" s="275">
        <v>0</v>
      </c>
      <c r="HF598" s="275">
        <v>0</v>
      </c>
      <c r="HG598" s="74">
        <f>SUM(HH598:IE598)+GP598+GQ598</f>
        <v>1016156</v>
      </c>
      <c r="HH598" s="89">
        <v>0</v>
      </c>
      <c r="HI598" s="817">
        <v>0</v>
      </c>
      <c r="HJ598" s="89">
        <v>0</v>
      </c>
      <c r="HK598" s="817">
        <f>23261.96+76738.04</f>
        <v>100000</v>
      </c>
      <c r="HL598" s="89">
        <v>0</v>
      </c>
      <c r="HM598" s="817">
        <v>0</v>
      </c>
      <c r="HN598" s="89">
        <v>0</v>
      </c>
      <c r="HO598" s="817">
        <v>0</v>
      </c>
      <c r="HP598" s="89">
        <v>0</v>
      </c>
      <c r="HQ598" s="817">
        <v>0</v>
      </c>
      <c r="HR598" s="89">
        <v>0</v>
      </c>
      <c r="HS598" s="817">
        <v>100000</v>
      </c>
      <c r="HT598" s="89">
        <v>0</v>
      </c>
      <c r="HU598" s="817">
        <v>0</v>
      </c>
      <c r="HV598" s="89">
        <v>0</v>
      </c>
      <c r="HW598" s="817">
        <v>0</v>
      </c>
      <c r="HX598" s="89">
        <v>0</v>
      </c>
      <c r="HY598" s="817">
        <v>0</v>
      </c>
      <c r="HZ598" s="89">
        <v>0</v>
      </c>
      <c r="IA598" s="817">
        <v>0</v>
      </c>
      <c r="IB598" s="89">
        <v>0</v>
      </c>
      <c r="IC598" s="817">
        <v>0</v>
      </c>
      <c r="ID598" s="89">
        <v>0</v>
      </c>
      <c r="IE598" s="817">
        <v>0</v>
      </c>
      <c r="IF598" s="841">
        <f t="shared" ref="IF598" si="13844">SUM(II598,IL598,IO598,IR598,IU598,IX598,JA598,JD598,JG598,JJ598,JM598,JP598)</f>
        <v>778555.61</v>
      </c>
      <c r="IG598" s="263">
        <f t="shared" ref="IG598" si="13845">SUM(IJ598,IM598,IP598,IS598,IV598,IY598,JB598,JE598,JH598,JK598,JN598,JQ598)</f>
        <v>778555.61</v>
      </c>
      <c r="IH598" s="842">
        <f t="shared" ref="IH598" si="13846">SUM(IK598,IN598,IQ598,IT598,IW598,IZ598,JC598,JF598,JI598,JL598,JO598,JR598)</f>
        <v>778555.61</v>
      </c>
      <c r="II598" s="89">
        <v>11275.05</v>
      </c>
      <c r="IJ598" s="89">
        <f t="shared" ref="IJ598" si="13847">II598</f>
        <v>11275.05</v>
      </c>
      <c r="IK598" s="89">
        <f t="shared" ref="IK598" si="13848">IJ598</f>
        <v>11275.05</v>
      </c>
      <c r="IL598" s="89">
        <f>23261.96-11275.05</f>
        <v>11986.91</v>
      </c>
      <c r="IM598" s="89">
        <f t="shared" ref="IM598" si="13849">IL598</f>
        <v>11986.91</v>
      </c>
      <c r="IN598" s="89">
        <f t="shared" ref="IN598" si="13850">IM598</f>
        <v>11986.91</v>
      </c>
      <c r="IO598" s="89">
        <f>40040.39-23261.96</f>
        <v>16778.43</v>
      </c>
      <c r="IP598" s="89">
        <f t="shared" ref="IP598" si="13851">IO598</f>
        <v>16778.43</v>
      </c>
      <c r="IQ598" s="89">
        <f t="shared" ref="IQ598" si="13852">IP598</f>
        <v>16778.43</v>
      </c>
      <c r="IR598" s="89">
        <f>107257.49-40040.39</f>
        <v>67217.100000000006</v>
      </c>
      <c r="IS598" s="89">
        <f t="shared" ref="IS598" si="13853">IR598</f>
        <v>67217.100000000006</v>
      </c>
      <c r="IT598" s="89">
        <f t="shared" ref="IT598" si="13854">IS598</f>
        <v>67217.100000000006</v>
      </c>
      <c r="IU598" s="89">
        <f>249985.01-107257.49</f>
        <v>142727.52000000002</v>
      </c>
      <c r="IV598" s="89">
        <f t="shared" ref="IV598" si="13855">IU598</f>
        <v>142727.52000000002</v>
      </c>
      <c r="IW598" s="89">
        <f t="shared" ref="IW598" si="13856">IV598</f>
        <v>142727.52000000002</v>
      </c>
      <c r="IX598" s="89">
        <f>363338.29-249985.01</f>
        <v>113353.27999999997</v>
      </c>
      <c r="IY598" s="89">
        <f t="shared" ref="IY598" si="13857">IX598</f>
        <v>113353.27999999997</v>
      </c>
      <c r="IZ598" s="89">
        <f t="shared" ref="IZ598" si="13858">IY598</f>
        <v>113353.27999999997</v>
      </c>
      <c r="JA598" s="89">
        <f>419825.08-363338.29</f>
        <v>56486.790000000037</v>
      </c>
      <c r="JB598" s="89">
        <f t="shared" ref="JB598" si="13859">JA598</f>
        <v>56486.790000000037</v>
      </c>
      <c r="JC598" s="89">
        <f t="shared" ref="JC598" si="13860">JB598</f>
        <v>56486.790000000037</v>
      </c>
      <c r="JD598" s="89">
        <f>503299.05-419825.08</f>
        <v>83473.969999999972</v>
      </c>
      <c r="JE598" s="89">
        <f t="shared" ref="JE598" si="13861">JD598</f>
        <v>83473.969999999972</v>
      </c>
      <c r="JF598" s="89">
        <f t="shared" ref="JF598" si="13862">JE598</f>
        <v>83473.969999999972</v>
      </c>
      <c r="JG598" s="89">
        <f>709269.12-503299.05</f>
        <v>205970.07</v>
      </c>
      <c r="JH598" s="89">
        <f t="shared" ref="JH598" si="13863">JG598</f>
        <v>205970.07</v>
      </c>
      <c r="JI598" s="89">
        <f t="shared" ref="JI598" si="13864">JH598</f>
        <v>205970.07</v>
      </c>
      <c r="JJ598" s="89">
        <f>778555.61-709269.12</f>
        <v>69286.489999999991</v>
      </c>
      <c r="JK598" s="89">
        <f t="shared" ref="JK598" si="13865">JJ598</f>
        <v>69286.489999999991</v>
      </c>
      <c r="JL598" s="89">
        <f t="shared" ref="JL598" si="13866">JK598</f>
        <v>69286.489999999991</v>
      </c>
      <c r="JM598" s="89">
        <v>0</v>
      </c>
      <c r="JN598" s="89">
        <f t="shared" ref="JN598" si="13867">JM598</f>
        <v>0</v>
      </c>
      <c r="JO598" s="89">
        <f t="shared" ref="JO598" si="13868">JN598</f>
        <v>0</v>
      </c>
      <c r="JP598" s="89">
        <v>0</v>
      </c>
      <c r="JQ598" s="89">
        <f t="shared" ref="JQ598:JR598" si="13869">JP598</f>
        <v>0</v>
      </c>
      <c r="JR598" s="89">
        <f t="shared" si="13869"/>
        <v>0</v>
      </c>
      <c r="JS598" s="74">
        <f t="shared" ref="JS598" si="13870">HG598-IF598</f>
        <v>237600.39</v>
      </c>
      <c r="JT598" s="382">
        <f>GS598-IF598</f>
        <v>237600.39</v>
      </c>
      <c r="JU598" s="665"/>
      <c r="JV598" s="524"/>
      <c r="JW598" s="525"/>
      <c r="JX598" s="549">
        <f>SUM(HH598,HJ598,HL598,HN598,HP598,HR598,HT598,HV598,HX598,HZ598,IB598,ID598)</f>
        <v>0</v>
      </c>
      <c r="JY598" s="549">
        <f>SUM(HI598,HK598,HM598,HO598,HQ598,HS598,HU598,HW598,HY598,IA598,IC598,IE598)</f>
        <v>200000</v>
      </c>
      <c r="JZ598" s="581">
        <f t="shared" si="13477"/>
        <v>816156</v>
      </c>
      <c r="KA598" s="581">
        <f t="shared" si="13478"/>
        <v>0</v>
      </c>
      <c r="KB598" s="549">
        <f t="shared" si="13163"/>
        <v>1016156</v>
      </c>
      <c r="KC598" s="709">
        <f t="shared" si="13396"/>
        <v>0</v>
      </c>
      <c r="KD598" s="36"/>
      <c r="KE598" s="36"/>
      <c r="KF598" s="36"/>
      <c r="KG598" s="36"/>
      <c r="KH598" s="36"/>
      <c r="KI598" s="36"/>
      <c r="KJ598" s="36"/>
      <c r="KK598" s="36"/>
    </row>
    <row r="599" spans="1:297" s="33" customFormat="1">
      <c r="A599" s="86"/>
      <c r="B599" s="77"/>
      <c r="C599" s="74"/>
      <c r="D599" s="549"/>
      <c r="E599" s="675"/>
      <c r="F599" s="549"/>
      <c r="G599" s="675"/>
      <c r="H599" s="549"/>
      <c r="I599" s="675"/>
      <c r="J599" s="549"/>
      <c r="K599" s="675"/>
      <c r="L599" s="549"/>
      <c r="M599" s="675"/>
      <c r="N599" s="549"/>
      <c r="O599" s="675"/>
      <c r="P599" s="549"/>
      <c r="Q599" s="675"/>
      <c r="R599" s="549"/>
      <c r="S599" s="675"/>
      <c r="T599" s="549"/>
      <c r="U599" s="675"/>
      <c r="V599" s="549"/>
      <c r="W599" s="675"/>
      <c r="X599" s="549"/>
      <c r="Y599" s="675"/>
      <c r="Z599" s="549"/>
      <c r="AA599" s="675"/>
      <c r="AB599" s="549"/>
      <c r="AC599" s="675"/>
      <c r="AD599" s="549"/>
      <c r="AE599" s="675"/>
      <c r="AF599" s="549"/>
      <c r="AG599" s="675"/>
      <c r="AH599" s="549"/>
      <c r="AI599" s="675"/>
      <c r="AJ599" s="549"/>
      <c r="AK599" s="675"/>
      <c r="AL599" s="549"/>
      <c r="AM599" s="675"/>
      <c r="AN599" s="549"/>
      <c r="AO599" s="675"/>
      <c r="AP599" s="549"/>
      <c r="AQ599" s="675"/>
      <c r="AR599" s="549"/>
      <c r="AS599" s="675"/>
      <c r="AT599" s="549"/>
      <c r="AU599" s="675"/>
      <c r="AV599" s="549"/>
      <c r="AW599" s="675"/>
      <c r="AX599" s="549"/>
      <c r="AY599" s="675"/>
      <c r="AZ599" s="549"/>
      <c r="BA599" s="675"/>
      <c r="BB599" s="549"/>
      <c r="BC599" s="675"/>
      <c r="BD599" s="549"/>
      <c r="BE599" s="675"/>
      <c r="BF599" s="549"/>
      <c r="BG599" s="675"/>
      <c r="BH599" s="549"/>
      <c r="BI599" s="675"/>
      <c r="BJ599" s="549"/>
      <c r="BK599" s="675"/>
      <c r="BL599" s="549"/>
      <c r="BM599" s="675"/>
      <c r="BN599" s="549"/>
      <c r="BO599" s="675"/>
      <c r="BP599" s="549"/>
      <c r="BQ599" s="675"/>
      <c r="BR599" s="549"/>
      <c r="BS599" s="675"/>
      <c r="BT599" s="549"/>
      <c r="BU599" s="675"/>
      <c r="BV599" s="549"/>
      <c r="BW599" s="675"/>
      <c r="BX599" s="549"/>
      <c r="BY599" s="675"/>
      <c r="BZ599" s="549"/>
      <c r="CA599" s="675"/>
      <c r="CB599" s="549"/>
      <c r="CC599" s="675"/>
      <c r="CD599" s="549"/>
      <c r="CE599" s="675"/>
      <c r="CF599" s="549"/>
      <c r="CG599" s="675"/>
      <c r="CH599" s="549"/>
      <c r="CI599" s="675"/>
      <c r="CJ599" s="549"/>
      <c r="CK599" s="675"/>
      <c r="CL599" s="549"/>
      <c r="CM599" s="675"/>
      <c r="CN599" s="549"/>
      <c r="CO599" s="675"/>
      <c r="CP599" s="549"/>
      <c r="CQ599" s="675"/>
      <c r="CR599" s="549"/>
      <c r="CS599" s="675"/>
      <c r="CT599" s="549"/>
      <c r="CU599" s="675"/>
      <c r="CV599" s="549"/>
      <c r="CW599" s="675"/>
      <c r="CX599" s="549"/>
      <c r="CY599" s="675"/>
      <c r="CZ599" s="549"/>
      <c r="DA599" s="675"/>
      <c r="DB599" s="549"/>
      <c r="DC599" s="675"/>
      <c r="DD599" s="549"/>
      <c r="DE599" s="675"/>
      <c r="DF599" s="549"/>
      <c r="DG599" s="675"/>
      <c r="DH599" s="549"/>
      <c r="DI599" s="675"/>
      <c r="DJ599" s="549"/>
      <c r="DK599" s="675"/>
      <c r="DL599" s="549"/>
      <c r="DM599" s="675"/>
      <c r="DN599" s="549"/>
      <c r="DO599" s="675"/>
      <c r="DP599" s="549"/>
      <c r="DQ599" s="675"/>
      <c r="DR599" s="549"/>
      <c r="DS599" s="675"/>
      <c r="DT599" s="549"/>
      <c r="DU599" s="675"/>
      <c r="DV599" s="549"/>
      <c r="DW599" s="675"/>
      <c r="DX599" s="549"/>
      <c r="DY599" s="675"/>
      <c r="DZ599" s="549"/>
      <c r="EA599" s="675"/>
      <c r="EB599" s="549"/>
      <c r="EC599" s="675"/>
      <c r="ED599" s="549"/>
      <c r="EE599" s="675"/>
      <c r="EF599" s="549"/>
      <c r="EG599" s="675"/>
      <c r="EH599" s="549"/>
      <c r="EI599" s="675"/>
      <c r="EJ599" s="549"/>
      <c r="EK599" s="675"/>
      <c r="EL599" s="549"/>
      <c r="EM599" s="675"/>
      <c r="EN599" s="549"/>
      <c r="EO599" s="675"/>
      <c r="EP599" s="549"/>
      <c r="EQ599" s="675"/>
      <c r="ER599" s="549"/>
      <c r="ES599" s="675"/>
      <c r="ET599" s="549"/>
      <c r="EU599" s="675"/>
      <c r="EV599" s="549"/>
      <c r="EW599" s="675"/>
      <c r="EX599" s="549"/>
      <c r="EY599" s="675"/>
      <c r="EZ599" s="549"/>
      <c r="FA599" s="675"/>
      <c r="FB599" s="549"/>
      <c r="FC599" s="675"/>
      <c r="FD599" s="549"/>
      <c r="FE599" s="675"/>
      <c r="FF599" s="549"/>
      <c r="FG599" s="675"/>
      <c r="FH599" s="549"/>
      <c r="FI599" s="675"/>
      <c r="FJ599" s="549"/>
      <c r="FK599" s="675"/>
      <c r="FL599" s="549"/>
      <c r="FM599" s="675"/>
      <c r="FN599" s="549"/>
      <c r="FO599" s="675"/>
      <c r="FP599" s="549"/>
      <c r="FQ599" s="675"/>
      <c r="FR599" s="549"/>
      <c r="FS599" s="675"/>
      <c r="FT599" s="549"/>
      <c r="FU599" s="675"/>
      <c r="FV599" s="549"/>
      <c r="FW599" s="675"/>
      <c r="FX599" s="549"/>
      <c r="FY599" s="675"/>
      <c r="FZ599" s="549"/>
      <c r="GA599" s="675"/>
      <c r="GB599" s="549"/>
      <c r="GC599" s="675"/>
      <c r="GD599" s="549"/>
      <c r="GE599" s="675"/>
      <c r="GF599" s="549"/>
      <c r="GG599" s="675"/>
      <c r="GH599" s="549"/>
      <c r="GI599" s="675"/>
      <c r="GJ599" s="549"/>
      <c r="GK599" s="675"/>
      <c r="GL599" s="549"/>
      <c r="GM599" s="675"/>
      <c r="GN599" s="549"/>
      <c r="GO599" s="675"/>
      <c r="GP599" s="549"/>
      <c r="GQ599" s="675"/>
      <c r="GR599" s="74"/>
      <c r="GS599" s="74"/>
      <c r="GT599" s="568"/>
      <c r="GU599" s="89"/>
      <c r="GV599" s="89"/>
      <c r="GW599" s="568"/>
      <c r="GX599" s="568"/>
      <c r="GY599" s="89"/>
      <c r="GZ599" s="89"/>
      <c r="HA599" s="89"/>
      <c r="HB599" s="89"/>
      <c r="HC599" s="89"/>
      <c r="HD599" s="89"/>
      <c r="HE599" s="89"/>
      <c r="HF599" s="89"/>
      <c r="HG599" s="74"/>
      <c r="HH599" s="89"/>
      <c r="HI599" s="817"/>
      <c r="HJ599" s="89"/>
      <c r="HK599" s="817"/>
      <c r="HL599" s="89"/>
      <c r="HM599" s="817"/>
      <c r="HN599" s="89"/>
      <c r="HO599" s="817"/>
      <c r="HP599" s="89"/>
      <c r="HQ599" s="817"/>
      <c r="HR599" s="89"/>
      <c r="HS599" s="817"/>
      <c r="HT599" s="89"/>
      <c r="HU599" s="817"/>
      <c r="HV599" s="89"/>
      <c r="HW599" s="817"/>
      <c r="HX599" s="89"/>
      <c r="HY599" s="817"/>
      <c r="HZ599" s="89"/>
      <c r="IA599" s="817"/>
      <c r="IB599" s="89"/>
      <c r="IC599" s="817"/>
      <c r="ID599" s="89"/>
      <c r="IE599" s="817"/>
      <c r="IF599" s="841"/>
      <c r="IG599" s="263"/>
      <c r="IH599" s="842"/>
      <c r="II599" s="89"/>
      <c r="IJ599" s="89"/>
      <c r="IK599" s="89"/>
      <c r="IL599" s="89"/>
      <c r="IM599" s="89"/>
      <c r="IN599" s="89"/>
      <c r="IO599" s="89"/>
      <c r="IP599" s="89"/>
      <c r="IQ599" s="89"/>
      <c r="IR599" s="89"/>
      <c r="IS599" s="89"/>
      <c r="IT599" s="89"/>
      <c r="IU599" s="89"/>
      <c r="IV599" s="89"/>
      <c r="IW599" s="89"/>
      <c r="IX599" s="89"/>
      <c r="IY599" s="89"/>
      <c r="IZ599" s="89"/>
      <c r="JA599" s="89"/>
      <c r="JB599" s="89"/>
      <c r="JC599" s="89"/>
      <c r="JD599" s="89"/>
      <c r="JE599" s="89"/>
      <c r="JF599" s="89"/>
      <c r="JG599" s="89"/>
      <c r="JH599" s="89"/>
      <c r="JI599" s="89"/>
      <c r="JJ599" s="89"/>
      <c r="JK599" s="89"/>
      <c r="JL599" s="89"/>
      <c r="JM599" s="89"/>
      <c r="JN599" s="89"/>
      <c r="JO599" s="89"/>
      <c r="JP599" s="89"/>
      <c r="JQ599" s="89"/>
      <c r="JR599" s="89"/>
      <c r="JS599" s="74"/>
      <c r="JT599" s="382"/>
      <c r="JU599" s="665"/>
      <c r="JV599" s="524"/>
      <c r="JW599" s="525"/>
      <c r="JX599" s="549"/>
      <c r="JY599" s="549"/>
      <c r="JZ599" s="581">
        <f t="shared" si="13477"/>
        <v>0</v>
      </c>
      <c r="KA599" s="581">
        <f t="shared" si="13478"/>
        <v>0</v>
      </c>
      <c r="KB599" s="549">
        <f t="shared" si="13163"/>
        <v>0</v>
      </c>
      <c r="KC599" s="709">
        <f t="shared" si="13396"/>
        <v>0</v>
      </c>
      <c r="KD599" s="36"/>
      <c r="KE599" s="36"/>
      <c r="KF599" s="36"/>
      <c r="KG599" s="36"/>
      <c r="KH599" s="36"/>
      <c r="KI599" s="36"/>
      <c r="KJ599" s="36"/>
      <c r="KK599" s="36"/>
    </row>
    <row r="600" spans="1:297" s="33" customFormat="1">
      <c r="A600" s="80" t="s">
        <v>554</v>
      </c>
      <c r="B600" s="77"/>
      <c r="C600" s="74">
        <f t="shared" ref="C600" si="13871">SUM(C601:C604)</f>
        <v>0</v>
      </c>
      <c r="D600" s="549">
        <f t="shared" ref="D600:E600" si="13872">SUM(D601:D604)</f>
        <v>0</v>
      </c>
      <c r="E600" s="675">
        <f t="shared" si="13872"/>
        <v>0</v>
      </c>
      <c r="F600" s="549">
        <f t="shared" ref="F600:G600" si="13873">SUM(F601:F604)</f>
        <v>0</v>
      </c>
      <c r="G600" s="675">
        <f t="shared" si="13873"/>
        <v>0</v>
      </c>
      <c r="H600" s="549">
        <f t="shared" ref="H600:I600" si="13874">SUM(H601:H604)</f>
        <v>30000</v>
      </c>
      <c r="I600" s="675">
        <f t="shared" si="13874"/>
        <v>0</v>
      </c>
      <c r="J600" s="549">
        <f t="shared" ref="J600:K600" si="13875">SUM(J601:J604)</f>
        <v>0</v>
      </c>
      <c r="K600" s="675">
        <f t="shared" si="13875"/>
        <v>0</v>
      </c>
      <c r="L600" s="549">
        <f t="shared" ref="L600:M600" si="13876">SUM(L601:L604)</f>
        <v>0</v>
      </c>
      <c r="M600" s="675">
        <f t="shared" si="13876"/>
        <v>0</v>
      </c>
      <c r="N600" s="549">
        <f t="shared" ref="N600:O600" si="13877">SUM(N601:N604)</f>
        <v>0</v>
      </c>
      <c r="O600" s="675">
        <f t="shared" si="13877"/>
        <v>0</v>
      </c>
      <c r="P600" s="549">
        <f t="shared" ref="P600:Q600" si="13878">SUM(P601:P604)</f>
        <v>0</v>
      </c>
      <c r="Q600" s="675">
        <f t="shared" si="13878"/>
        <v>0</v>
      </c>
      <c r="R600" s="549">
        <f t="shared" ref="R600:S600" si="13879">SUM(R601:R604)</f>
        <v>0</v>
      </c>
      <c r="S600" s="675">
        <f t="shared" si="13879"/>
        <v>0</v>
      </c>
      <c r="T600" s="549">
        <f t="shared" ref="T600:AM600" si="13880">SUM(T601:T604)</f>
        <v>0</v>
      </c>
      <c r="U600" s="675">
        <f t="shared" si="13880"/>
        <v>0</v>
      </c>
      <c r="V600" s="549">
        <f t="shared" si="13880"/>
        <v>0</v>
      </c>
      <c r="W600" s="675">
        <f t="shared" si="13880"/>
        <v>0</v>
      </c>
      <c r="X600" s="549">
        <f t="shared" si="13880"/>
        <v>0</v>
      </c>
      <c r="Y600" s="675">
        <f t="shared" si="13880"/>
        <v>0</v>
      </c>
      <c r="Z600" s="549">
        <f t="shared" si="13880"/>
        <v>0</v>
      </c>
      <c r="AA600" s="675">
        <f t="shared" si="13880"/>
        <v>0</v>
      </c>
      <c r="AB600" s="549">
        <f t="shared" si="13880"/>
        <v>0</v>
      </c>
      <c r="AC600" s="675">
        <f t="shared" si="13880"/>
        <v>0</v>
      </c>
      <c r="AD600" s="549">
        <f t="shared" ref="AD600:AK600" si="13881">SUM(AD601:AD604)</f>
        <v>0</v>
      </c>
      <c r="AE600" s="675">
        <f t="shared" si="13881"/>
        <v>0</v>
      </c>
      <c r="AF600" s="549">
        <f t="shared" si="13881"/>
        <v>0</v>
      </c>
      <c r="AG600" s="675">
        <f t="shared" si="13881"/>
        <v>0</v>
      </c>
      <c r="AH600" s="549">
        <f t="shared" si="13881"/>
        <v>0</v>
      </c>
      <c r="AI600" s="675">
        <f t="shared" si="13881"/>
        <v>0</v>
      </c>
      <c r="AJ600" s="549">
        <f t="shared" si="13881"/>
        <v>0</v>
      </c>
      <c r="AK600" s="675">
        <f t="shared" si="13881"/>
        <v>0</v>
      </c>
      <c r="AL600" s="549">
        <f t="shared" si="13880"/>
        <v>0</v>
      </c>
      <c r="AM600" s="675">
        <f t="shared" si="13880"/>
        <v>0</v>
      </c>
      <c r="AN600" s="549">
        <f t="shared" ref="AN600:AS600" si="13882">SUM(AN601:AN604)</f>
        <v>0</v>
      </c>
      <c r="AO600" s="675">
        <f t="shared" si="13882"/>
        <v>0</v>
      </c>
      <c r="AP600" s="549">
        <f t="shared" si="13882"/>
        <v>0</v>
      </c>
      <c r="AQ600" s="675">
        <f t="shared" si="13882"/>
        <v>0</v>
      </c>
      <c r="AR600" s="549">
        <f t="shared" si="13882"/>
        <v>0</v>
      </c>
      <c r="AS600" s="675">
        <f t="shared" si="13882"/>
        <v>0</v>
      </c>
      <c r="AT600" s="549">
        <f t="shared" ref="AT600:AU600" si="13883">SUM(AT601:AT604)</f>
        <v>0</v>
      </c>
      <c r="AU600" s="675">
        <f t="shared" si="13883"/>
        <v>0</v>
      </c>
      <c r="AV600" s="549">
        <f t="shared" ref="AV600:AW600" si="13884">SUM(AV601:AV604)</f>
        <v>38684</v>
      </c>
      <c r="AW600" s="675">
        <f t="shared" si="13884"/>
        <v>0</v>
      </c>
      <c r="AX600" s="549">
        <f t="shared" ref="AX600:AY600" si="13885">SUM(AX601:AX604)</f>
        <v>0</v>
      </c>
      <c r="AY600" s="675">
        <f t="shared" si="13885"/>
        <v>0</v>
      </c>
      <c r="AZ600" s="549">
        <f t="shared" ref="AZ600:BA600" si="13886">SUM(AZ601:AZ604)</f>
        <v>0</v>
      </c>
      <c r="BA600" s="675">
        <f t="shared" si="13886"/>
        <v>0</v>
      </c>
      <c r="BB600" s="549">
        <f t="shared" ref="BB600:BC600" si="13887">SUM(BB601:BB604)</f>
        <v>0</v>
      </c>
      <c r="BC600" s="675">
        <f t="shared" si="13887"/>
        <v>0</v>
      </c>
      <c r="BD600" s="549">
        <f t="shared" ref="BD600:BE600" si="13888">SUM(BD601:BD604)</f>
        <v>0</v>
      </c>
      <c r="BE600" s="675">
        <f t="shared" si="13888"/>
        <v>0</v>
      </c>
      <c r="BF600" s="549">
        <f t="shared" ref="BF600:BG600" si="13889">SUM(BF601:BF604)</f>
        <v>0</v>
      </c>
      <c r="BG600" s="675">
        <f t="shared" si="13889"/>
        <v>0</v>
      </c>
      <c r="BH600" s="549">
        <f t="shared" ref="BH600:BI600" si="13890">SUM(BH601:BH604)</f>
        <v>0</v>
      </c>
      <c r="BI600" s="675">
        <f t="shared" si="13890"/>
        <v>0</v>
      </c>
      <c r="BJ600" s="549">
        <f t="shared" ref="BJ600:BK600" si="13891">SUM(BJ601:BJ604)</f>
        <v>0</v>
      </c>
      <c r="BK600" s="675">
        <f t="shared" si="13891"/>
        <v>0</v>
      </c>
      <c r="BL600" s="549">
        <f t="shared" ref="BL600:BS600" si="13892">SUM(BL601:BL604)</f>
        <v>0</v>
      </c>
      <c r="BM600" s="675">
        <f t="shared" si="13892"/>
        <v>0</v>
      </c>
      <c r="BN600" s="549">
        <f t="shared" si="13892"/>
        <v>0</v>
      </c>
      <c r="BO600" s="675">
        <f t="shared" si="13892"/>
        <v>0</v>
      </c>
      <c r="BP600" s="549">
        <f t="shared" si="13892"/>
        <v>0</v>
      </c>
      <c r="BQ600" s="675">
        <f t="shared" si="13892"/>
        <v>0</v>
      </c>
      <c r="BR600" s="549">
        <f t="shared" si="13892"/>
        <v>0</v>
      </c>
      <c r="BS600" s="675">
        <f t="shared" si="13892"/>
        <v>0</v>
      </c>
      <c r="BT600" s="549">
        <f t="shared" ref="BT600:BU600" si="13893">SUM(BT601:BT604)</f>
        <v>0</v>
      </c>
      <c r="BU600" s="675">
        <f t="shared" si="13893"/>
        <v>0</v>
      </c>
      <c r="BV600" s="549">
        <f t="shared" ref="BV600:BW600" si="13894">SUM(BV601:BV604)</f>
        <v>0</v>
      </c>
      <c r="BW600" s="675">
        <f t="shared" si="13894"/>
        <v>0</v>
      </c>
      <c r="BX600" s="549">
        <f t="shared" ref="BX600:BY600" si="13895">SUM(BX601:BX604)</f>
        <v>0</v>
      </c>
      <c r="BY600" s="675">
        <f t="shared" si="13895"/>
        <v>0</v>
      </c>
      <c r="BZ600" s="549">
        <f t="shared" ref="BZ600:CA600" si="13896">SUM(BZ601:BZ604)</f>
        <v>0</v>
      </c>
      <c r="CA600" s="675">
        <f t="shared" si="13896"/>
        <v>0</v>
      </c>
      <c r="CB600" s="549">
        <f t="shared" ref="CB600:CE600" si="13897">SUM(CB601:CB604)</f>
        <v>0</v>
      </c>
      <c r="CC600" s="675">
        <f t="shared" si="13897"/>
        <v>0</v>
      </c>
      <c r="CD600" s="549">
        <f t="shared" si="13897"/>
        <v>0</v>
      </c>
      <c r="CE600" s="675">
        <f t="shared" si="13897"/>
        <v>0</v>
      </c>
      <c r="CF600" s="549">
        <f t="shared" ref="CF600:CQ600" si="13898">SUM(CF601:CF604)</f>
        <v>0</v>
      </c>
      <c r="CG600" s="675">
        <f t="shared" si="13898"/>
        <v>0</v>
      </c>
      <c r="CH600" s="549">
        <f t="shared" si="13898"/>
        <v>0</v>
      </c>
      <c r="CI600" s="675">
        <f t="shared" si="13898"/>
        <v>0</v>
      </c>
      <c r="CJ600" s="549">
        <f t="shared" si="13898"/>
        <v>0</v>
      </c>
      <c r="CK600" s="675">
        <f t="shared" si="13898"/>
        <v>0</v>
      </c>
      <c r="CL600" s="549">
        <f t="shared" si="13898"/>
        <v>0</v>
      </c>
      <c r="CM600" s="675">
        <f t="shared" si="13898"/>
        <v>0</v>
      </c>
      <c r="CN600" s="549">
        <f t="shared" si="13898"/>
        <v>0</v>
      </c>
      <c r="CO600" s="675">
        <f t="shared" si="13898"/>
        <v>0</v>
      </c>
      <c r="CP600" s="549">
        <f t="shared" si="13898"/>
        <v>0</v>
      </c>
      <c r="CQ600" s="675">
        <f t="shared" si="13898"/>
        <v>0</v>
      </c>
      <c r="CR600" s="549">
        <f t="shared" ref="CR600:CY600" si="13899">SUM(CR601:CR604)</f>
        <v>0</v>
      </c>
      <c r="CS600" s="675">
        <f t="shared" si="13899"/>
        <v>0</v>
      </c>
      <c r="CT600" s="549">
        <f t="shared" si="13899"/>
        <v>0</v>
      </c>
      <c r="CU600" s="675">
        <f t="shared" si="13899"/>
        <v>0</v>
      </c>
      <c r="CV600" s="549">
        <f t="shared" si="13899"/>
        <v>0</v>
      </c>
      <c r="CW600" s="675">
        <f t="shared" si="13899"/>
        <v>0</v>
      </c>
      <c r="CX600" s="549">
        <f t="shared" si="13899"/>
        <v>0</v>
      </c>
      <c r="CY600" s="675">
        <f t="shared" si="13899"/>
        <v>0</v>
      </c>
      <c r="CZ600" s="549">
        <f t="shared" ref="CZ600:DG600" si="13900">SUM(CZ601:CZ604)</f>
        <v>0</v>
      </c>
      <c r="DA600" s="675">
        <f t="shared" si="13900"/>
        <v>0</v>
      </c>
      <c r="DB600" s="549">
        <f t="shared" si="13900"/>
        <v>0</v>
      </c>
      <c r="DC600" s="675">
        <f t="shared" si="13900"/>
        <v>0</v>
      </c>
      <c r="DD600" s="549">
        <f t="shared" si="13900"/>
        <v>0</v>
      </c>
      <c r="DE600" s="675">
        <f t="shared" si="13900"/>
        <v>0</v>
      </c>
      <c r="DF600" s="549">
        <f t="shared" si="13900"/>
        <v>0</v>
      </c>
      <c r="DG600" s="675">
        <f t="shared" si="13900"/>
        <v>0</v>
      </c>
      <c r="DH600" s="549">
        <f t="shared" ref="DH600:HG600" si="13901">SUM(DH601:DH604)</f>
        <v>0</v>
      </c>
      <c r="DI600" s="675">
        <f t="shared" si="13901"/>
        <v>0</v>
      </c>
      <c r="DJ600" s="549">
        <f t="shared" si="13901"/>
        <v>0</v>
      </c>
      <c r="DK600" s="675">
        <f t="shared" si="13901"/>
        <v>0</v>
      </c>
      <c r="DL600" s="549">
        <f t="shared" si="13901"/>
        <v>0</v>
      </c>
      <c r="DM600" s="675">
        <f t="shared" si="13901"/>
        <v>0</v>
      </c>
      <c r="DN600" s="549">
        <f t="shared" si="13901"/>
        <v>0</v>
      </c>
      <c r="DO600" s="675">
        <f t="shared" si="13901"/>
        <v>0</v>
      </c>
      <c r="DP600" s="549">
        <f t="shared" si="13901"/>
        <v>0</v>
      </c>
      <c r="DQ600" s="675">
        <f t="shared" si="13901"/>
        <v>0</v>
      </c>
      <c r="DR600" s="549">
        <f t="shared" si="13901"/>
        <v>0</v>
      </c>
      <c r="DS600" s="675">
        <f t="shared" si="13901"/>
        <v>0</v>
      </c>
      <c r="DT600" s="549">
        <f t="shared" si="13901"/>
        <v>0</v>
      </c>
      <c r="DU600" s="675">
        <f t="shared" si="13901"/>
        <v>0</v>
      </c>
      <c r="DV600" s="549">
        <f t="shared" si="13901"/>
        <v>0</v>
      </c>
      <c r="DW600" s="675">
        <f t="shared" si="13901"/>
        <v>0</v>
      </c>
      <c r="DX600" s="549">
        <f t="shared" si="13901"/>
        <v>0</v>
      </c>
      <c r="DY600" s="675">
        <f t="shared" si="13901"/>
        <v>0</v>
      </c>
      <c r="DZ600" s="549">
        <f t="shared" ref="DZ600:FA600" si="13902">SUM(DZ601:DZ604)</f>
        <v>0</v>
      </c>
      <c r="EA600" s="675">
        <f t="shared" si="13902"/>
        <v>0</v>
      </c>
      <c r="EB600" s="549">
        <f t="shared" si="13902"/>
        <v>0</v>
      </c>
      <c r="EC600" s="675">
        <f t="shared" si="13902"/>
        <v>0</v>
      </c>
      <c r="ED600" s="549">
        <f t="shared" si="13902"/>
        <v>0</v>
      </c>
      <c r="EE600" s="675">
        <f t="shared" si="13902"/>
        <v>0</v>
      </c>
      <c r="EF600" s="549">
        <f t="shared" si="13902"/>
        <v>15995</v>
      </c>
      <c r="EG600" s="675">
        <f t="shared" si="13902"/>
        <v>0</v>
      </c>
      <c r="EH600" s="549">
        <f t="shared" ref="EH600:EM600" si="13903">SUM(EH601:EH604)</f>
        <v>0</v>
      </c>
      <c r="EI600" s="675">
        <f t="shared" si="13903"/>
        <v>0</v>
      </c>
      <c r="EJ600" s="549">
        <f t="shared" si="13903"/>
        <v>0</v>
      </c>
      <c r="EK600" s="675">
        <f t="shared" si="13903"/>
        <v>0</v>
      </c>
      <c r="EL600" s="549">
        <f t="shared" si="13903"/>
        <v>0</v>
      </c>
      <c r="EM600" s="675">
        <f t="shared" si="13903"/>
        <v>0</v>
      </c>
      <c r="EN600" s="549">
        <f t="shared" si="13902"/>
        <v>0</v>
      </c>
      <c r="EO600" s="675">
        <f t="shared" si="13902"/>
        <v>0</v>
      </c>
      <c r="EP600" s="549">
        <f t="shared" si="13902"/>
        <v>0</v>
      </c>
      <c r="EQ600" s="675">
        <f t="shared" si="13902"/>
        <v>0</v>
      </c>
      <c r="ER600" s="549">
        <f t="shared" si="13902"/>
        <v>0</v>
      </c>
      <c r="ES600" s="675">
        <f t="shared" si="13902"/>
        <v>0</v>
      </c>
      <c r="ET600" s="549">
        <f t="shared" si="13902"/>
        <v>0</v>
      </c>
      <c r="EU600" s="675">
        <f t="shared" si="13902"/>
        <v>0</v>
      </c>
      <c r="EV600" s="549">
        <f t="shared" ref="EV600:EW600" si="13904">SUM(EV601:EV604)</f>
        <v>0</v>
      </c>
      <c r="EW600" s="675">
        <f t="shared" si="13904"/>
        <v>0</v>
      </c>
      <c r="EX600" s="549">
        <f t="shared" si="13902"/>
        <v>0</v>
      </c>
      <c r="EY600" s="675">
        <f t="shared" si="13902"/>
        <v>0</v>
      </c>
      <c r="EZ600" s="549">
        <f t="shared" si="13902"/>
        <v>0</v>
      </c>
      <c r="FA600" s="675">
        <f t="shared" si="13902"/>
        <v>0</v>
      </c>
      <c r="FB600" s="549">
        <f t="shared" si="13901"/>
        <v>0</v>
      </c>
      <c r="FC600" s="675">
        <f t="shared" si="13901"/>
        <v>0</v>
      </c>
      <c r="FD600" s="549">
        <f t="shared" si="13901"/>
        <v>0</v>
      </c>
      <c r="FE600" s="675">
        <f t="shared" si="13901"/>
        <v>0</v>
      </c>
      <c r="FF600" s="549">
        <f t="shared" ref="FF600:FG600" si="13905">SUM(FF601:FF604)</f>
        <v>0</v>
      </c>
      <c r="FG600" s="675">
        <f t="shared" si="13905"/>
        <v>0</v>
      </c>
      <c r="FH600" s="549">
        <f t="shared" ref="FH600:FI600" si="13906">SUM(FH601:FH604)</f>
        <v>0</v>
      </c>
      <c r="FI600" s="675">
        <f t="shared" si="13906"/>
        <v>0</v>
      </c>
      <c r="FJ600" s="549">
        <f t="shared" ref="FJ600:FK600" si="13907">SUM(FJ601:FJ604)</f>
        <v>0</v>
      </c>
      <c r="FK600" s="675">
        <f t="shared" si="13907"/>
        <v>0</v>
      </c>
      <c r="FL600" s="549">
        <f t="shared" ref="FL600:FM600" si="13908">SUM(FL601:FL604)</f>
        <v>0</v>
      </c>
      <c r="FM600" s="675">
        <f t="shared" si="13908"/>
        <v>0</v>
      </c>
      <c r="FN600" s="549">
        <f t="shared" ref="FN600:FO600" si="13909">SUM(FN601:FN604)</f>
        <v>0</v>
      </c>
      <c r="FO600" s="675">
        <f t="shared" si="13909"/>
        <v>0</v>
      </c>
      <c r="FP600" s="549">
        <f t="shared" ref="FP600:FQ600" si="13910">SUM(FP601:FP604)</f>
        <v>10000</v>
      </c>
      <c r="FQ600" s="675">
        <f t="shared" si="13910"/>
        <v>0</v>
      </c>
      <c r="FR600" s="549">
        <f t="shared" ref="FR600:FS600" si="13911">SUM(FR601:FR604)</f>
        <v>0</v>
      </c>
      <c r="FS600" s="675">
        <f t="shared" si="13911"/>
        <v>0</v>
      </c>
      <c r="FT600" s="549">
        <f t="shared" ref="FT600:FU600" si="13912">SUM(FT601:FT604)</f>
        <v>0</v>
      </c>
      <c r="FU600" s="675">
        <f t="shared" si="13912"/>
        <v>0</v>
      </c>
      <c r="FV600" s="549">
        <f t="shared" ref="FV600:GK600" si="13913">SUM(FV601:FV604)</f>
        <v>0</v>
      </c>
      <c r="FW600" s="675">
        <f t="shared" si="13913"/>
        <v>0</v>
      </c>
      <c r="FX600" s="549">
        <f t="shared" si="13913"/>
        <v>0</v>
      </c>
      <c r="FY600" s="675">
        <f t="shared" si="13913"/>
        <v>0</v>
      </c>
      <c r="FZ600" s="549">
        <f t="shared" ref="FZ600:GI600" si="13914">SUM(FZ601:FZ604)</f>
        <v>0</v>
      </c>
      <c r="GA600" s="675">
        <f t="shared" si="13914"/>
        <v>0</v>
      </c>
      <c r="GB600" s="549">
        <f t="shared" si="13914"/>
        <v>0</v>
      </c>
      <c r="GC600" s="675">
        <f t="shared" si="13914"/>
        <v>0</v>
      </c>
      <c r="GD600" s="549">
        <f t="shared" si="13914"/>
        <v>0</v>
      </c>
      <c r="GE600" s="675">
        <f t="shared" si="13914"/>
        <v>0</v>
      </c>
      <c r="GF600" s="549">
        <f t="shared" si="13914"/>
        <v>0</v>
      </c>
      <c r="GG600" s="675">
        <f t="shared" si="13914"/>
        <v>0</v>
      </c>
      <c r="GH600" s="549">
        <f t="shared" si="13914"/>
        <v>0</v>
      </c>
      <c r="GI600" s="675">
        <f t="shared" si="13914"/>
        <v>0</v>
      </c>
      <c r="GJ600" s="549">
        <f t="shared" si="13913"/>
        <v>0</v>
      </c>
      <c r="GK600" s="675">
        <f t="shared" si="13913"/>
        <v>0</v>
      </c>
      <c r="GL600" s="549">
        <f t="shared" ref="GL600:GM600" si="13915">SUM(GL601:GL604)</f>
        <v>0</v>
      </c>
      <c r="GM600" s="675">
        <f t="shared" si="13915"/>
        <v>0</v>
      </c>
      <c r="GN600" s="549">
        <f t="shared" ref="GN600:GO600" si="13916">SUM(GN601:GN604)</f>
        <v>0</v>
      </c>
      <c r="GO600" s="675">
        <f t="shared" si="13916"/>
        <v>0</v>
      </c>
      <c r="GP600" s="549">
        <f t="shared" si="13901"/>
        <v>94679</v>
      </c>
      <c r="GQ600" s="675">
        <f t="shared" si="13901"/>
        <v>0</v>
      </c>
      <c r="GR600" s="74">
        <f t="shared" si="13901"/>
        <v>94679</v>
      </c>
      <c r="GS600" s="74">
        <f t="shared" si="13901"/>
        <v>94679</v>
      </c>
      <c r="GT600" s="549">
        <f t="shared" si="13901"/>
        <v>94679</v>
      </c>
      <c r="GU600" s="74">
        <f t="shared" si="13901"/>
        <v>0</v>
      </c>
      <c r="GV600" s="74">
        <f t="shared" si="13901"/>
        <v>0</v>
      </c>
      <c r="GW600" s="549">
        <f t="shared" si="13901"/>
        <v>0</v>
      </c>
      <c r="GX600" s="549">
        <f t="shared" si="13901"/>
        <v>0</v>
      </c>
      <c r="GY600" s="74">
        <f t="shared" si="13901"/>
        <v>0</v>
      </c>
      <c r="GZ600" s="74">
        <f t="shared" si="13901"/>
        <v>0</v>
      </c>
      <c r="HA600" s="74">
        <f t="shared" si="13901"/>
        <v>0</v>
      </c>
      <c r="HB600" s="74">
        <f t="shared" si="13901"/>
        <v>0</v>
      </c>
      <c r="HC600" s="74">
        <f t="shared" si="13901"/>
        <v>0</v>
      </c>
      <c r="HD600" s="74">
        <f t="shared" si="13901"/>
        <v>0</v>
      </c>
      <c r="HE600" s="74">
        <f t="shared" si="13901"/>
        <v>0</v>
      </c>
      <c r="HF600" s="74">
        <f t="shared" si="13901"/>
        <v>0</v>
      </c>
      <c r="HG600" s="74">
        <f t="shared" si="13901"/>
        <v>94679</v>
      </c>
      <c r="HH600" s="74">
        <f t="shared" ref="HH600:HI600" si="13917">SUM(HH601:HH604)</f>
        <v>0</v>
      </c>
      <c r="HI600" s="792">
        <f t="shared" si="13917"/>
        <v>0</v>
      </c>
      <c r="HJ600" s="74">
        <f t="shared" ref="HJ600:HK600" si="13918">SUM(HJ601:HJ604)</f>
        <v>0</v>
      </c>
      <c r="HK600" s="792">
        <f t="shared" si="13918"/>
        <v>0</v>
      </c>
      <c r="HL600" s="74">
        <f t="shared" ref="HL600:HM600" si="13919">SUM(HL601:HL604)</f>
        <v>0</v>
      </c>
      <c r="HM600" s="792">
        <f t="shared" si="13919"/>
        <v>0</v>
      </c>
      <c r="HN600" s="74">
        <f t="shared" ref="HN600:HO600" si="13920">SUM(HN601:HN604)</f>
        <v>0</v>
      </c>
      <c r="HO600" s="792">
        <f t="shared" si="13920"/>
        <v>0</v>
      </c>
      <c r="HP600" s="74">
        <f t="shared" ref="HP600:HQ600" si="13921">SUM(HP601:HP604)</f>
        <v>0</v>
      </c>
      <c r="HQ600" s="792">
        <f t="shared" si="13921"/>
        <v>0</v>
      </c>
      <c r="HR600" s="74">
        <f t="shared" ref="HR600:HS600" si="13922">SUM(HR601:HR604)</f>
        <v>0</v>
      </c>
      <c r="HS600" s="792">
        <f t="shared" si="13922"/>
        <v>0</v>
      </c>
      <c r="HT600" s="74">
        <f t="shared" ref="HT600:HU600" si="13923">SUM(HT601:HT604)</f>
        <v>0</v>
      </c>
      <c r="HU600" s="792">
        <f t="shared" si="13923"/>
        <v>0</v>
      </c>
      <c r="HV600" s="74">
        <f t="shared" ref="HV600:HW600" si="13924">SUM(HV601:HV604)</f>
        <v>0</v>
      </c>
      <c r="HW600" s="792">
        <f t="shared" si="13924"/>
        <v>0</v>
      </c>
      <c r="HX600" s="74">
        <f t="shared" ref="HX600:HY600" si="13925">SUM(HX601:HX604)</f>
        <v>0</v>
      </c>
      <c r="HY600" s="792">
        <f t="shared" si="13925"/>
        <v>0</v>
      </c>
      <c r="HZ600" s="74">
        <f t="shared" ref="HZ600:IA600" si="13926">SUM(HZ601:HZ604)</f>
        <v>0</v>
      </c>
      <c r="IA600" s="792">
        <f t="shared" si="13926"/>
        <v>0</v>
      </c>
      <c r="IB600" s="74">
        <f t="shared" ref="IB600:IC600" si="13927">SUM(IB601:IB604)</f>
        <v>0</v>
      </c>
      <c r="IC600" s="792">
        <f t="shared" si="13927"/>
        <v>0</v>
      </c>
      <c r="ID600" s="74">
        <f t="shared" ref="ID600:IN600" si="13928">SUM(ID601:ID604)</f>
        <v>0</v>
      </c>
      <c r="IE600" s="792">
        <f t="shared" si="13928"/>
        <v>0</v>
      </c>
      <c r="IF600" s="841">
        <f t="shared" si="13928"/>
        <v>86342.75</v>
      </c>
      <c r="IG600" s="263">
        <f t="shared" si="13928"/>
        <v>86342.75</v>
      </c>
      <c r="IH600" s="842">
        <f t="shared" si="13928"/>
        <v>86342.75</v>
      </c>
      <c r="II600" s="74">
        <f t="shared" si="13928"/>
        <v>0</v>
      </c>
      <c r="IJ600" s="74">
        <f t="shared" si="13928"/>
        <v>0</v>
      </c>
      <c r="IK600" s="74">
        <f t="shared" si="13928"/>
        <v>0</v>
      </c>
      <c r="IL600" s="74">
        <f t="shared" si="13928"/>
        <v>0</v>
      </c>
      <c r="IM600" s="74">
        <f t="shared" si="13928"/>
        <v>0</v>
      </c>
      <c r="IN600" s="74">
        <f t="shared" si="13928"/>
        <v>0</v>
      </c>
      <c r="IO600" s="74">
        <f t="shared" ref="IO600:JC600" si="13929">SUM(IO601:IO604)</f>
        <v>20956.87</v>
      </c>
      <c r="IP600" s="74">
        <f t="shared" si="13929"/>
        <v>20956.87</v>
      </c>
      <c r="IQ600" s="74">
        <f t="shared" si="13929"/>
        <v>20956.87</v>
      </c>
      <c r="IR600" s="74">
        <f t="shared" si="13929"/>
        <v>0</v>
      </c>
      <c r="IS600" s="74">
        <f t="shared" si="13929"/>
        <v>0</v>
      </c>
      <c r="IT600" s="74">
        <f t="shared" si="13929"/>
        <v>0</v>
      </c>
      <c r="IU600" s="74">
        <f t="shared" si="13929"/>
        <v>6280.4400000000023</v>
      </c>
      <c r="IV600" s="74">
        <f t="shared" si="13929"/>
        <v>6280.4400000000023</v>
      </c>
      <c r="IW600" s="74">
        <f t="shared" si="13929"/>
        <v>6280.4400000000023</v>
      </c>
      <c r="IX600" s="74">
        <f t="shared" si="13929"/>
        <v>16058.98</v>
      </c>
      <c r="IY600" s="74">
        <f t="shared" si="13929"/>
        <v>16058.98</v>
      </c>
      <c r="IZ600" s="74">
        <f t="shared" si="13929"/>
        <v>16058.98</v>
      </c>
      <c r="JA600" s="74">
        <f t="shared" si="13929"/>
        <v>12754.979999999996</v>
      </c>
      <c r="JB600" s="74">
        <f t="shared" si="13929"/>
        <v>12754.979999999996</v>
      </c>
      <c r="JC600" s="74">
        <f t="shared" si="13929"/>
        <v>12754.979999999996</v>
      </c>
      <c r="JD600" s="74">
        <f t="shared" ref="JD600:JF600" si="13930">SUM(JD601:JD604)</f>
        <v>0</v>
      </c>
      <c r="JE600" s="74">
        <f t="shared" si="13930"/>
        <v>0</v>
      </c>
      <c r="JF600" s="74">
        <f t="shared" si="13930"/>
        <v>0</v>
      </c>
      <c r="JG600" s="74">
        <f t="shared" ref="JG600:JI600" si="13931">SUM(JG601:JG604)</f>
        <v>10329.94000000001</v>
      </c>
      <c r="JH600" s="74">
        <f t="shared" si="13931"/>
        <v>10329.94000000001</v>
      </c>
      <c r="JI600" s="74">
        <f t="shared" si="13931"/>
        <v>10329.94000000001</v>
      </c>
      <c r="JJ600" s="74">
        <f t="shared" ref="JJ600:JL600" si="13932">SUM(JJ601:JJ604)</f>
        <v>19961.539999999994</v>
      </c>
      <c r="JK600" s="74">
        <f t="shared" si="13932"/>
        <v>19961.539999999994</v>
      </c>
      <c r="JL600" s="74">
        <f t="shared" si="13932"/>
        <v>19961.539999999994</v>
      </c>
      <c r="JM600" s="74">
        <f t="shared" ref="JM600:JO600" si="13933">SUM(JM601:JM604)</f>
        <v>0</v>
      </c>
      <c r="JN600" s="74">
        <f t="shared" si="13933"/>
        <v>0</v>
      </c>
      <c r="JO600" s="74">
        <f t="shared" si="13933"/>
        <v>0</v>
      </c>
      <c r="JP600" s="74">
        <f t="shared" ref="JP600:JY600" si="13934">SUM(JP601:JP604)</f>
        <v>0</v>
      </c>
      <c r="JQ600" s="74">
        <f t="shared" si="13934"/>
        <v>0</v>
      </c>
      <c r="JR600" s="74">
        <f t="shared" si="13934"/>
        <v>0</v>
      </c>
      <c r="JS600" s="74">
        <f t="shared" si="13934"/>
        <v>8336.25</v>
      </c>
      <c r="JT600" s="382">
        <f t="shared" si="13934"/>
        <v>8336.25</v>
      </c>
      <c r="JU600" s="665"/>
      <c r="JV600" s="524"/>
      <c r="JW600" s="525"/>
      <c r="JX600" s="549">
        <f t="shared" si="13934"/>
        <v>0</v>
      </c>
      <c r="JY600" s="549">
        <f t="shared" si="13934"/>
        <v>0</v>
      </c>
      <c r="JZ600" s="581">
        <f t="shared" si="13477"/>
        <v>94679</v>
      </c>
      <c r="KA600" s="581">
        <f t="shared" si="13478"/>
        <v>0</v>
      </c>
      <c r="KB600" s="549">
        <f t="shared" si="13163"/>
        <v>94679</v>
      </c>
      <c r="KC600" s="709">
        <f t="shared" si="13396"/>
        <v>0</v>
      </c>
      <c r="KD600" s="36"/>
      <c r="KE600" s="36"/>
      <c r="KF600" s="36"/>
      <c r="KG600" s="36"/>
      <c r="KH600" s="36"/>
      <c r="KI600" s="36"/>
      <c r="KJ600" s="36"/>
      <c r="KK600" s="36"/>
    </row>
    <row r="601" spans="1:297" s="33" customFormat="1">
      <c r="A601" s="86" t="s">
        <v>555</v>
      </c>
      <c r="B601" s="77"/>
      <c r="C601" s="74">
        <v>0</v>
      </c>
      <c r="D601" s="549">
        <v>0</v>
      </c>
      <c r="E601" s="675">
        <v>0</v>
      </c>
      <c r="F601" s="549">
        <v>0</v>
      </c>
      <c r="G601" s="675">
        <v>0</v>
      </c>
      <c r="H601" s="549">
        <v>30000</v>
      </c>
      <c r="I601" s="675">
        <v>0</v>
      </c>
      <c r="J601" s="549">
        <v>0</v>
      </c>
      <c r="K601" s="675">
        <v>0</v>
      </c>
      <c r="L601" s="549">
        <v>0</v>
      </c>
      <c r="M601" s="675">
        <v>0</v>
      </c>
      <c r="N601" s="549">
        <v>0</v>
      </c>
      <c r="O601" s="675">
        <v>0</v>
      </c>
      <c r="P601" s="549">
        <v>0</v>
      </c>
      <c r="Q601" s="675">
        <v>0</v>
      </c>
      <c r="R601" s="549">
        <v>0</v>
      </c>
      <c r="S601" s="675">
        <v>0</v>
      </c>
      <c r="T601" s="549">
        <v>0</v>
      </c>
      <c r="U601" s="675">
        <v>0</v>
      </c>
      <c r="V601" s="549">
        <v>0</v>
      </c>
      <c r="W601" s="675">
        <v>0</v>
      </c>
      <c r="X601" s="549">
        <v>0</v>
      </c>
      <c r="Y601" s="675">
        <v>0</v>
      </c>
      <c r="Z601" s="549">
        <v>0</v>
      </c>
      <c r="AA601" s="675">
        <v>0</v>
      </c>
      <c r="AB601" s="549">
        <v>0</v>
      </c>
      <c r="AC601" s="675">
        <v>0</v>
      </c>
      <c r="AD601" s="549">
        <v>0</v>
      </c>
      <c r="AE601" s="675">
        <v>0</v>
      </c>
      <c r="AF601" s="549">
        <v>0</v>
      </c>
      <c r="AG601" s="675">
        <v>0</v>
      </c>
      <c r="AH601" s="549">
        <v>0</v>
      </c>
      <c r="AI601" s="675">
        <v>0</v>
      </c>
      <c r="AJ601" s="549">
        <v>0</v>
      </c>
      <c r="AK601" s="675">
        <v>0</v>
      </c>
      <c r="AL601" s="549">
        <v>0</v>
      </c>
      <c r="AM601" s="675">
        <v>0</v>
      </c>
      <c r="AN601" s="549">
        <v>0</v>
      </c>
      <c r="AO601" s="675">
        <v>0</v>
      </c>
      <c r="AP601" s="549">
        <v>0</v>
      </c>
      <c r="AQ601" s="675">
        <v>0</v>
      </c>
      <c r="AR601" s="549">
        <v>0</v>
      </c>
      <c r="AS601" s="675">
        <v>0</v>
      </c>
      <c r="AT601" s="549">
        <v>0</v>
      </c>
      <c r="AU601" s="675">
        <v>0</v>
      </c>
      <c r="AV601" s="549">
        <v>38684</v>
      </c>
      <c r="AW601" s="675">
        <v>0</v>
      </c>
      <c r="AX601" s="549">
        <v>0</v>
      </c>
      <c r="AY601" s="675">
        <v>0</v>
      </c>
      <c r="AZ601" s="549">
        <v>0</v>
      </c>
      <c r="BA601" s="675">
        <v>0</v>
      </c>
      <c r="BB601" s="549">
        <v>0</v>
      </c>
      <c r="BC601" s="675">
        <v>0</v>
      </c>
      <c r="BD601" s="549">
        <v>0</v>
      </c>
      <c r="BE601" s="675">
        <v>0</v>
      </c>
      <c r="BF601" s="549">
        <v>0</v>
      </c>
      <c r="BG601" s="675">
        <v>0</v>
      </c>
      <c r="BH601" s="549">
        <v>0</v>
      </c>
      <c r="BI601" s="675">
        <v>0</v>
      </c>
      <c r="BJ601" s="549">
        <v>0</v>
      </c>
      <c r="BK601" s="675">
        <v>0</v>
      </c>
      <c r="BL601" s="549">
        <v>0</v>
      </c>
      <c r="BM601" s="675">
        <v>0</v>
      </c>
      <c r="BN601" s="549">
        <v>0</v>
      </c>
      <c r="BO601" s="675">
        <v>0</v>
      </c>
      <c r="BP601" s="549">
        <v>0</v>
      </c>
      <c r="BQ601" s="675">
        <v>0</v>
      </c>
      <c r="BR601" s="549">
        <v>0</v>
      </c>
      <c r="BS601" s="675">
        <v>0</v>
      </c>
      <c r="BT601" s="549">
        <v>0</v>
      </c>
      <c r="BU601" s="675">
        <v>0</v>
      </c>
      <c r="BV601" s="549">
        <v>0</v>
      </c>
      <c r="BW601" s="675">
        <v>0</v>
      </c>
      <c r="BX601" s="549">
        <v>0</v>
      </c>
      <c r="BY601" s="675">
        <v>0</v>
      </c>
      <c r="BZ601" s="549">
        <v>0</v>
      </c>
      <c r="CA601" s="675">
        <v>0</v>
      </c>
      <c r="CB601" s="549">
        <v>0</v>
      </c>
      <c r="CC601" s="675">
        <v>0</v>
      </c>
      <c r="CD601" s="549">
        <v>0</v>
      </c>
      <c r="CE601" s="675">
        <v>0</v>
      </c>
      <c r="CF601" s="549">
        <v>0</v>
      </c>
      <c r="CG601" s="675">
        <v>0</v>
      </c>
      <c r="CH601" s="549">
        <v>0</v>
      </c>
      <c r="CI601" s="675">
        <v>0</v>
      </c>
      <c r="CJ601" s="549">
        <v>0</v>
      </c>
      <c r="CK601" s="675">
        <v>0</v>
      </c>
      <c r="CL601" s="549">
        <v>0</v>
      </c>
      <c r="CM601" s="675">
        <v>0</v>
      </c>
      <c r="CN601" s="549">
        <v>0</v>
      </c>
      <c r="CO601" s="675">
        <v>0</v>
      </c>
      <c r="CP601" s="549">
        <v>0</v>
      </c>
      <c r="CQ601" s="675">
        <v>0</v>
      </c>
      <c r="CR601" s="549">
        <v>0</v>
      </c>
      <c r="CS601" s="675">
        <v>0</v>
      </c>
      <c r="CT601" s="549">
        <v>0</v>
      </c>
      <c r="CU601" s="675">
        <v>0</v>
      </c>
      <c r="CV601" s="549">
        <v>0</v>
      </c>
      <c r="CW601" s="675">
        <v>0</v>
      </c>
      <c r="CX601" s="549">
        <v>0</v>
      </c>
      <c r="CY601" s="675">
        <v>0</v>
      </c>
      <c r="CZ601" s="549">
        <v>0</v>
      </c>
      <c r="DA601" s="675">
        <v>0</v>
      </c>
      <c r="DB601" s="549">
        <v>0</v>
      </c>
      <c r="DC601" s="675">
        <v>0</v>
      </c>
      <c r="DD601" s="549">
        <v>0</v>
      </c>
      <c r="DE601" s="675">
        <v>0</v>
      </c>
      <c r="DF601" s="549">
        <v>0</v>
      </c>
      <c r="DG601" s="675">
        <v>0</v>
      </c>
      <c r="DH601" s="549">
        <v>0</v>
      </c>
      <c r="DI601" s="675">
        <v>0</v>
      </c>
      <c r="DJ601" s="549">
        <v>0</v>
      </c>
      <c r="DK601" s="675">
        <v>0</v>
      </c>
      <c r="DL601" s="549">
        <v>0</v>
      </c>
      <c r="DM601" s="675">
        <v>0</v>
      </c>
      <c r="DN601" s="549">
        <v>0</v>
      </c>
      <c r="DO601" s="675">
        <v>0</v>
      </c>
      <c r="DP601" s="549">
        <v>0</v>
      </c>
      <c r="DQ601" s="675">
        <v>0</v>
      </c>
      <c r="DR601" s="549">
        <v>0</v>
      </c>
      <c r="DS601" s="675">
        <v>0</v>
      </c>
      <c r="DT601" s="549">
        <v>0</v>
      </c>
      <c r="DU601" s="675">
        <v>0</v>
      </c>
      <c r="DV601" s="549">
        <v>0</v>
      </c>
      <c r="DW601" s="675">
        <v>0</v>
      </c>
      <c r="DX601" s="549">
        <v>0</v>
      </c>
      <c r="DY601" s="675">
        <v>0</v>
      </c>
      <c r="DZ601" s="549">
        <v>0</v>
      </c>
      <c r="EA601" s="675">
        <v>0</v>
      </c>
      <c r="EB601" s="549">
        <v>0</v>
      </c>
      <c r="EC601" s="675">
        <v>0</v>
      </c>
      <c r="ED601" s="549">
        <v>0</v>
      </c>
      <c r="EE601" s="675">
        <v>0</v>
      </c>
      <c r="EF601" s="549">
        <v>15995</v>
      </c>
      <c r="EG601" s="675">
        <v>0</v>
      </c>
      <c r="EH601" s="549">
        <v>0</v>
      </c>
      <c r="EI601" s="675">
        <v>0</v>
      </c>
      <c r="EJ601" s="549">
        <v>0</v>
      </c>
      <c r="EK601" s="675">
        <v>0</v>
      </c>
      <c r="EL601" s="549">
        <v>0</v>
      </c>
      <c r="EM601" s="675">
        <v>0</v>
      </c>
      <c r="EN601" s="549">
        <v>0</v>
      </c>
      <c r="EO601" s="675">
        <v>0</v>
      </c>
      <c r="EP601" s="549">
        <v>0</v>
      </c>
      <c r="EQ601" s="675">
        <v>0</v>
      </c>
      <c r="ER601" s="549">
        <v>0</v>
      </c>
      <c r="ES601" s="675">
        <v>0</v>
      </c>
      <c r="ET601" s="549">
        <v>0</v>
      </c>
      <c r="EU601" s="675">
        <v>0</v>
      </c>
      <c r="EV601" s="549">
        <v>0</v>
      </c>
      <c r="EW601" s="675">
        <v>0</v>
      </c>
      <c r="EX601" s="549">
        <v>0</v>
      </c>
      <c r="EY601" s="675">
        <v>0</v>
      </c>
      <c r="EZ601" s="549">
        <v>0</v>
      </c>
      <c r="FA601" s="675">
        <v>0</v>
      </c>
      <c r="FB601" s="549">
        <v>0</v>
      </c>
      <c r="FC601" s="675">
        <v>0</v>
      </c>
      <c r="FD601" s="549">
        <v>0</v>
      </c>
      <c r="FE601" s="675">
        <v>0</v>
      </c>
      <c r="FF601" s="549">
        <v>0</v>
      </c>
      <c r="FG601" s="675">
        <v>0</v>
      </c>
      <c r="FH601" s="549">
        <v>0</v>
      </c>
      <c r="FI601" s="675">
        <v>0</v>
      </c>
      <c r="FJ601" s="549">
        <v>0</v>
      </c>
      <c r="FK601" s="675">
        <v>0</v>
      </c>
      <c r="FL601" s="549">
        <v>0</v>
      </c>
      <c r="FM601" s="675">
        <v>0</v>
      </c>
      <c r="FN601" s="549">
        <v>0</v>
      </c>
      <c r="FO601" s="675">
        <v>0</v>
      </c>
      <c r="FP601" s="549">
        <v>10000</v>
      </c>
      <c r="FQ601" s="675">
        <v>0</v>
      </c>
      <c r="FR601" s="549">
        <v>0</v>
      </c>
      <c r="FS601" s="675">
        <v>0</v>
      </c>
      <c r="FT601" s="549">
        <v>0</v>
      </c>
      <c r="FU601" s="675">
        <v>0</v>
      </c>
      <c r="FV601" s="549">
        <v>0</v>
      </c>
      <c r="FW601" s="675">
        <v>0</v>
      </c>
      <c r="FX601" s="549">
        <v>0</v>
      </c>
      <c r="FY601" s="675">
        <v>0</v>
      </c>
      <c r="FZ601" s="549">
        <v>0</v>
      </c>
      <c r="GA601" s="675">
        <v>0</v>
      </c>
      <c r="GB601" s="549">
        <v>0</v>
      </c>
      <c r="GC601" s="675">
        <v>0</v>
      </c>
      <c r="GD601" s="549">
        <v>0</v>
      </c>
      <c r="GE601" s="675">
        <v>0</v>
      </c>
      <c r="GF601" s="549">
        <v>0</v>
      </c>
      <c r="GG601" s="675">
        <v>0</v>
      </c>
      <c r="GH601" s="549">
        <v>0</v>
      </c>
      <c r="GI601" s="675">
        <v>0</v>
      </c>
      <c r="GJ601" s="549">
        <v>0</v>
      </c>
      <c r="GK601" s="675">
        <v>0</v>
      </c>
      <c r="GL601" s="549">
        <v>0</v>
      </c>
      <c r="GM601" s="675">
        <v>0</v>
      </c>
      <c r="GN601" s="549">
        <v>0</v>
      </c>
      <c r="GO601" s="675">
        <v>0</v>
      </c>
      <c r="GP601" s="549">
        <f>+D601+F601+H601+J601+L601+N601+P601+R601+T601+V601+X601+Z601+AB601+AF601+AD601+AH601+AJ601+AL601+AN601+AP601+AR601+AT601+AV601+AX601+AZ601+BB601+BD601+BF601+BH601+BJ601+BL601+BN601+BP601+BR601+BT601+BV601+BX601+BZ601+CB601+CD601+CF601+CH601+CJ601+CL601+CN601+CP601+CR601+CT601+CV601+CX601+CZ601+DB601+DD601+DF601+DH601+DT601+EX601+DJ601+DL601+DN601+DP601+DR601+EJ601+EB601+DZ601+DX601+DV601+ED601+EF601+EH601+EL601+EN601+EP601+EV601+ET601+ER601+EZ601+FB601+FD601+GL601+FF601+FJ601+FL601+GJ601+FT601+FR601+FP601+FN601+FH601+GH601+GF601+GD601+GB601+FZ601+FX601+FV601+GN601</f>
        <v>94679</v>
      </c>
      <c r="GQ601" s="675">
        <f>+E601+G601+I601+K601+M601+O601+Q601+S601+U601+W601+Y601+AA601+AC601+AE601+AG601+AI601+AK601+AM601+AO601+AQ601+AS601+AU601+AW601+AY601+BA601+BC601+BE601+BG601+BI601+BK601+BM601+BO601+BQ601+BS601+BU601+BW601+BY601+CA601+CC601+CE601+CG601+CI601+CK601+CM601+CO601+CQ601+CS601+CU601+CW601+CY601+DA601+DC601+DE601+DG601+DI601+DU601+EY601+DK601+DM601+DO601+DQ601+DS601+EK601+EC601+EA601+DY601+DW601+EI601+EG601+EE601+EM601+EO601+EQ601+EW601+EU601+ES601+FA601+FC601+FE601+GM601+FG601+FK601+FM601+FO601+FQ601+FS601+FU601+GK601+FI601+GI601+GG601+GE601+GC601+GA601+FY601+FW601+GO601</f>
        <v>0</v>
      </c>
      <c r="GR601" s="74">
        <f>C601+GP601+GQ601</f>
        <v>94679</v>
      </c>
      <c r="GS601" s="74">
        <f>SUM(GU601:HD601)+GP601+GQ601</f>
        <v>94679</v>
      </c>
      <c r="GT601" s="568">
        <f t="shared" ref="GT601:GT604" si="13935">SUM(GU601:HF601)+GQ601+GP601</f>
        <v>94679</v>
      </c>
      <c r="GU601" s="275">
        <v>0</v>
      </c>
      <c r="GV601" s="275">
        <v>0</v>
      </c>
      <c r="GW601" s="588">
        <v>0</v>
      </c>
      <c r="GX601" s="588">
        <v>0</v>
      </c>
      <c r="GY601" s="275">
        <v>0</v>
      </c>
      <c r="GZ601" s="275">
        <v>0</v>
      </c>
      <c r="HA601" s="275">
        <v>0</v>
      </c>
      <c r="HB601" s="275">
        <v>0</v>
      </c>
      <c r="HC601" s="275">
        <v>0</v>
      </c>
      <c r="HD601" s="275">
        <v>0</v>
      </c>
      <c r="HE601" s="275">
        <v>0</v>
      </c>
      <c r="HF601" s="275">
        <v>0</v>
      </c>
      <c r="HG601" s="74">
        <f>SUM(HH601:IE601)+GP601+GQ601</f>
        <v>94679</v>
      </c>
      <c r="HH601" s="89">
        <v>0</v>
      </c>
      <c r="HI601" s="817">
        <v>0</v>
      </c>
      <c r="HJ601" s="89">
        <v>0</v>
      </c>
      <c r="HK601" s="817">
        <v>0</v>
      </c>
      <c r="HL601" s="89">
        <v>0</v>
      </c>
      <c r="HM601" s="817">
        <v>0</v>
      </c>
      <c r="HN601" s="89">
        <v>0</v>
      </c>
      <c r="HO601" s="817">
        <v>0</v>
      </c>
      <c r="HP601" s="89">
        <v>0</v>
      </c>
      <c r="HQ601" s="817">
        <v>0</v>
      </c>
      <c r="HR601" s="89">
        <v>0</v>
      </c>
      <c r="HS601" s="817">
        <v>0</v>
      </c>
      <c r="HT601" s="89">
        <v>0</v>
      </c>
      <c r="HU601" s="817">
        <v>0</v>
      </c>
      <c r="HV601" s="89">
        <v>0</v>
      </c>
      <c r="HW601" s="817">
        <v>0</v>
      </c>
      <c r="HX601" s="89">
        <v>0</v>
      </c>
      <c r="HY601" s="817">
        <v>0</v>
      </c>
      <c r="HZ601" s="89">
        <v>0</v>
      </c>
      <c r="IA601" s="817">
        <v>0</v>
      </c>
      <c r="IB601" s="89">
        <v>0</v>
      </c>
      <c r="IC601" s="817">
        <v>0</v>
      </c>
      <c r="ID601" s="89">
        <v>0</v>
      </c>
      <c r="IE601" s="817">
        <v>0</v>
      </c>
      <c r="IF601" s="841">
        <f t="shared" ref="IF601:IF604" si="13936">SUM(II601,IL601,IO601,IR601,IU601,IX601,JA601,JD601,JG601,JJ601,JM601,JP601)</f>
        <v>86342.75</v>
      </c>
      <c r="IG601" s="263">
        <f t="shared" ref="IG601:IG604" si="13937">SUM(IJ601,IM601,IP601,IS601,IV601,IY601,JB601,JE601,JH601,JK601,JN601,JQ601)</f>
        <v>86342.75</v>
      </c>
      <c r="IH601" s="842">
        <f t="shared" ref="IH601:IH604" si="13938">SUM(IK601,IN601,IQ601,IT601,IW601,IZ601,JC601,JF601,JI601,JL601,JO601,JR601)</f>
        <v>86342.75</v>
      </c>
      <c r="II601" s="89">
        <v>0</v>
      </c>
      <c r="IJ601" s="89">
        <f t="shared" ref="IJ601:IJ604" si="13939">II601</f>
        <v>0</v>
      </c>
      <c r="IK601" s="89">
        <f t="shared" ref="IK601:IK604" si="13940">IJ601</f>
        <v>0</v>
      </c>
      <c r="IL601" s="89">
        <v>0</v>
      </c>
      <c r="IM601" s="89">
        <f t="shared" ref="IM601:IM604" si="13941">IL601</f>
        <v>0</v>
      </c>
      <c r="IN601" s="89">
        <f t="shared" ref="IN601:IN604" si="13942">IM601</f>
        <v>0</v>
      </c>
      <c r="IO601" s="89">
        <v>20956.87</v>
      </c>
      <c r="IP601" s="89">
        <f t="shared" ref="IP601:IP604" si="13943">IO601</f>
        <v>20956.87</v>
      </c>
      <c r="IQ601" s="89">
        <f t="shared" ref="IQ601:IQ604" si="13944">IP601</f>
        <v>20956.87</v>
      </c>
      <c r="IR601" s="89">
        <v>0</v>
      </c>
      <c r="IS601" s="89">
        <f t="shared" ref="IS601:IS604" si="13945">IR601</f>
        <v>0</v>
      </c>
      <c r="IT601" s="89">
        <f t="shared" ref="IT601:IT604" si="13946">IS601</f>
        <v>0</v>
      </c>
      <c r="IU601" s="89">
        <f>27237.31-20956.87</f>
        <v>6280.4400000000023</v>
      </c>
      <c r="IV601" s="89">
        <f t="shared" ref="IV601:IV604" si="13947">IU601</f>
        <v>6280.4400000000023</v>
      </c>
      <c r="IW601" s="89">
        <f t="shared" ref="IW601:IW604" si="13948">IV601</f>
        <v>6280.4400000000023</v>
      </c>
      <c r="IX601" s="89">
        <f>43296.29-27237.31</f>
        <v>16058.98</v>
      </c>
      <c r="IY601" s="89">
        <f t="shared" ref="IY601:IY604" si="13949">IX601</f>
        <v>16058.98</v>
      </c>
      <c r="IZ601" s="89">
        <f t="shared" ref="IZ601:IZ604" si="13950">IY601</f>
        <v>16058.98</v>
      </c>
      <c r="JA601" s="89">
        <f>56051.27-43296.29</f>
        <v>12754.979999999996</v>
      </c>
      <c r="JB601" s="89">
        <f t="shared" ref="JB601:JB604" si="13951">JA601</f>
        <v>12754.979999999996</v>
      </c>
      <c r="JC601" s="89">
        <f t="shared" ref="JC601:JC604" si="13952">JB601</f>
        <v>12754.979999999996</v>
      </c>
      <c r="JD601" s="89">
        <v>0</v>
      </c>
      <c r="JE601" s="89">
        <f t="shared" ref="JE601:JE604" si="13953">JD601</f>
        <v>0</v>
      </c>
      <c r="JF601" s="89">
        <f t="shared" ref="JF601:JF604" si="13954">JE601</f>
        <v>0</v>
      </c>
      <c r="JG601" s="89">
        <f>66381.21-56051.27</f>
        <v>10329.94000000001</v>
      </c>
      <c r="JH601" s="89">
        <f t="shared" ref="JH601:JH604" si="13955">JG601</f>
        <v>10329.94000000001</v>
      </c>
      <c r="JI601" s="89">
        <f t="shared" ref="JI601:JI604" si="13956">JH601</f>
        <v>10329.94000000001</v>
      </c>
      <c r="JJ601" s="89">
        <f>86342.75-66381.21</f>
        <v>19961.539999999994</v>
      </c>
      <c r="JK601" s="89">
        <f t="shared" ref="JK601:JK604" si="13957">JJ601</f>
        <v>19961.539999999994</v>
      </c>
      <c r="JL601" s="89">
        <f t="shared" ref="JL601:JL604" si="13958">JK601</f>
        <v>19961.539999999994</v>
      </c>
      <c r="JM601" s="89">
        <v>0</v>
      </c>
      <c r="JN601" s="89">
        <f t="shared" ref="JN601:JN604" si="13959">JM601</f>
        <v>0</v>
      </c>
      <c r="JO601" s="89">
        <f t="shared" ref="JO601:JO604" si="13960">JN601</f>
        <v>0</v>
      </c>
      <c r="JP601" s="89">
        <v>0</v>
      </c>
      <c r="JQ601" s="89">
        <f t="shared" ref="JQ601:JR601" si="13961">JP601</f>
        <v>0</v>
      </c>
      <c r="JR601" s="89">
        <f t="shared" si="13961"/>
        <v>0</v>
      </c>
      <c r="JS601" s="74">
        <f>HG601-IF601</f>
        <v>8336.25</v>
      </c>
      <c r="JT601" s="382">
        <f>GS601-IF601</f>
        <v>8336.25</v>
      </c>
      <c r="JU601" s="665"/>
      <c r="JV601" s="524"/>
      <c r="JW601" s="525"/>
      <c r="JX601" s="549">
        <f t="shared" ref="JX601:JY604" si="13962">SUM(HH601,HJ601,HL601,HN601,HP601,HR601,HT601,HV601,HX601,HZ601,IB601,ID601)</f>
        <v>0</v>
      </c>
      <c r="JY601" s="549">
        <f t="shared" si="13962"/>
        <v>0</v>
      </c>
      <c r="JZ601" s="581">
        <f t="shared" si="13477"/>
        <v>94679</v>
      </c>
      <c r="KA601" s="581">
        <f t="shared" si="13478"/>
        <v>0</v>
      </c>
      <c r="KB601" s="549">
        <f t="shared" si="13163"/>
        <v>94679</v>
      </c>
      <c r="KC601" s="709">
        <f t="shared" si="13396"/>
        <v>0</v>
      </c>
      <c r="KD601" s="36"/>
      <c r="KE601" s="36"/>
      <c r="KF601" s="36"/>
      <c r="KG601" s="36"/>
      <c r="KH601" s="36"/>
      <c r="KI601" s="36"/>
      <c r="KJ601" s="36"/>
      <c r="KK601" s="36"/>
    </row>
    <row r="602" spans="1:297" s="33" customFormat="1" ht="12.75" hidden="1" customHeight="1">
      <c r="A602" s="86" t="s">
        <v>557</v>
      </c>
      <c r="B602" s="77"/>
      <c r="C602" s="74">
        <v>0</v>
      </c>
      <c r="D602" s="549">
        <v>0</v>
      </c>
      <c r="E602" s="675">
        <v>0</v>
      </c>
      <c r="F602" s="549">
        <v>0</v>
      </c>
      <c r="G602" s="675">
        <v>0</v>
      </c>
      <c r="H602" s="549">
        <v>0</v>
      </c>
      <c r="I602" s="675">
        <v>0</v>
      </c>
      <c r="J602" s="549">
        <v>0</v>
      </c>
      <c r="K602" s="675">
        <v>0</v>
      </c>
      <c r="L602" s="549">
        <v>0</v>
      </c>
      <c r="M602" s="675">
        <v>0</v>
      </c>
      <c r="N602" s="549">
        <v>0</v>
      </c>
      <c r="O602" s="675">
        <v>0</v>
      </c>
      <c r="P602" s="549">
        <v>0</v>
      </c>
      <c r="Q602" s="675">
        <v>0</v>
      </c>
      <c r="R602" s="549">
        <v>0</v>
      </c>
      <c r="S602" s="675">
        <v>0</v>
      </c>
      <c r="T602" s="549">
        <v>0</v>
      </c>
      <c r="U602" s="675">
        <v>0</v>
      </c>
      <c r="V602" s="549">
        <v>0</v>
      </c>
      <c r="W602" s="675">
        <v>0</v>
      </c>
      <c r="X602" s="549">
        <v>0</v>
      </c>
      <c r="Y602" s="675">
        <v>0</v>
      </c>
      <c r="Z602" s="549">
        <v>0</v>
      </c>
      <c r="AA602" s="675">
        <v>0</v>
      </c>
      <c r="AB602" s="549">
        <v>0</v>
      </c>
      <c r="AC602" s="675">
        <v>0</v>
      </c>
      <c r="AD602" s="549">
        <v>0</v>
      </c>
      <c r="AE602" s="675">
        <v>0</v>
      </c>
      <c r="AF602" s="549">
        <v>0</v>
      </c>
      <c r="AG602" s="675">
        <v>0</v>
      </c>
      <c r="AH602" s="549">
        <v>0</v>
      </c>
      <c r="AI602" s="675">
        <v>0</v>
      </c>
      <c r="AJ602" s="549">
        <v>0</v>
      </c>
      <c r="AK602" s="675">
        <v>0</v>
      </c>
      <c r="AL602" s="549">
        <v>0</v>
      </c>
      <c r="AM602" s="675">
        <v>0</v>
      </c>
      <c r="AN602" s="549">
        <v>0</v>
      </c>
      <c r="AO602" s="675">
        <v>0</v>
      </c>
      <c r="AP602" s="549">
        <v>0</v>
      </c>
      <c r="AQ602" s="675">
        <v>0</v>
      </c>
      <c r="AR602" s="549">
        <v>0</v>
      </c>
      <c r="AS602" s="675">
        <v>0</v>
      </c>
      <c r="AT602" s="549">
        <v>0</v>
      </c>
      <c r="AU602" s="675">
        <v>0</v>
      </c>
      <c r="AV602" s="549">
        <v>0</v>
      </c>
      <c r="AW602" s="675">
        <v>0</v>
      </c>
      <c r="AX602" s="549">
        <v>0</v>
      </c>
      <c r="AY602" s="675">
        <v>0</v>
      </c>
      <c r="AZ602" s="549">
        <v>0</v>
      </c>
      <c r="BA602" s="675">
        <v>0</v>
      </c>
      <c r="BB602" s="549">
        <v>0</v>
      </c>
      <c r="BC602" s="675">
        <v>0</v>
      </c>
      <c r="BD602" s="549">
        <v>0</v>
      </c>
      <c r="BE602" s="675">
        <v>0</v>
      </c>
      <c r="BF602" s="549">
        <v>0</v>
      </c>
      <c r="BG602" s="675">
        <v>0</v>
      </c>
      <c r="BH602" s="549">
        <v>0</v>
      </c>
      <c r="BI602" s="675">
        <v>0</v>
      </c>
      <c r="BJ602" s="549">
        <v>0</v>
      </c>
      <c r="BK602" s="675">
        <v>0</v>
      </c>
      <c r="BL602" s="549">
        <v>0</v>
      </c>
      <c r="BM602" s="675">
        <v>0</v>
      </c>
      <c r="BN602" s="549">
        <v>0</v>
      </c>
      <c r="BO602" s="675">
        <v>0</v>
      </c>
      <c r="BP602" s="549">
        <v>0</v>
      </c>
      <c r="BQ602" s="675">
        <v>0</v>
      </c>
      <c r="BR602" s="549">
        <v>0</v>
      </c>
      <c r="BS602" s="675">
        <v>0</v>
      </c>
      <c r="BT602" s="549">
        <v>0</v>
      </c>
      <c r="BU602" s="675">
        <v>0</v>
      </c>
      <c r="BV602" s="549">
        <v>0</v>
      </c>
      <c r="BW602" s="675">
        <v>0</v>
      </c>
      <c r="BX602" s="549">
        <v>0</v>
      </c>
      <c r="BY602" s="675">
        <v>0</v>
      </c>
      <c r="BZ602" s="549">
        <v>0</v>
      </c>
      <c r="CA602" s="675">
        <v>0</v>
      </c>
      <c r="CB602" s="549">
        <v>0</v>
      </c>
      <c r="CC602" s="675">
        <v>0</v>
      </c>
      <c r="CD602" s="549">
        <v>0</v>
      </c>
      <c r="CE602" s="675">
        <v>0</v>
      </c>
      <c r="CF602" s="549">
        <v>0</v>
      </c>
      <c r="CG602" s="675">
        <v>0</v>
      </c>
      <c r="CH602" s="549">
        <v>0</v>
      </c>
      <c r="CI602" s="675">
        <v>0</v>
      </c>
      <c r="CJ602" s="549">
        <v>0</v>
      </c>
      <c r="CK602" s="675">
        <v>0</v>
      </c>
      <c r="CL602" s="549">
        <v>0</v>
      </c>
      <c r="CM602" s="675">
        <v>0</v>
      </c>
      <c r="CN602" s="549">
        <v>0</v>
      </c>
      <c r="CO602" s="675">
        <v>0</v>
      </c>
      <c r="CP602" s="549">
        <v>0</v>
      </c>
      <c r="CQ602" s="675">
        <v>0</v>
      </c>
      <c r="CR602" s="549">
        <v>0</v>
      </c>
      <c r="CS602" s="675">
        <v>0</v>
      </c>
      <c r="CT602" s="549">
        <v>0</v>
      </c>
      <c r="CU602" s="675">
        <v>0</v>
      </c>
      <c r="CV602" s="549">
        <v>0</v>
      </c>
      <c r="CW602" s="675">
        <v>0</v>
      </c>
      <c r="CX602" s="549">
        <v>0</v>
      </c>
      <c r="CY602" s="675">
        <v>0</v>
      </c>
      <c r="CZ602" s="549">
        <v>0</v>
      </c>
      <c r="DA602" s="675">
        <v>0</v>
      </c>
      <c r="DB602" s="549">
        <v>0</v>
      </c>
      <c r="DC602" s="675">
        <v>0</v>
      </c>
      <c r="DD602" s="549">
        <v>0</v>
      </c>
      <c r="DE602" s="675">
        <v>0</v>
      </c>
      <c r="DF602" s="549">
        <v>0</v>
      </c>
      <c r="DG602" s="675">
        <v>0</v>
      </c>
      <c r="DH602" s="549">
        <v>0</v>
      </c>
      <c r="DI602" s="675">
        <v>0</v>
      </c>
      <c r="DJ602" s="549">
        <v>0</v>
      </c>
      <c r="DK602" s="675">
        <v>0</v>
      </c>
      <c r="DL602" s="549">
        <v>0</v>
      </c>
      <c r="DM602" s="675">
        <v>0</v>
      </c>
      <c r="DN602" s="549">
        <v>0</v>
      </c>
      <c r="DO602" s="675">
        <v>0</v>
      </c>
      <c r="DP602" s="549">
        <v>0</v>
      </c>
      <c r="DQ602" s="675">
        <v>0</v>
      </c>
      <c r="DR602" s="549">
        <v>0</v>
      </c>
      <c r="DS602" s="675">
        <v>0</v>
      </c>
      <c r="DT602" s="549">
        <v>0</v>
      </c>
      <c r="DU602" s="675">
        <v>0</v>
      </c>
      <c r="DV602" s="549">
        <v>0</v>
      </c>
      <c r="DW602" s="675">
        <v>0</v>
      </c>
      <c r="DX602" s="549">
        <v>0</v>
      </c>
      <c r="DY602" s="675">
        <v>0</v>
      </c>
      <c r="DZ602" s="549">
        <v>0</v>
      </c>
      <c r="EA602" s="675">
        <v>0</v>
      </c>
      <c r="EB602" s="549">
        <v>0</v>
      </c>
      <c r="EC602" s="675">
        <v>0</v>
      </c>
      <c r="ED602" s="549">
        <v>0</v>
      </c>
      <c r="EE602" s="675">
        <v>0</v>
      </c>
      <c r="EF602" s="549">
        <v>0</v>
      </c>
      <c r="EG602" s="675">
        <v>0</v>
      </c>
      <c r="EH602" s="549">
        <v>0</v>
      </c>
      <c r="EI602" s="675">
        <v>0</v>
      </c>
      <c r="EJ602" s="549">
        <v>0</v>
      </c>
      <c r="EK602" s="675">
        <v>0</v>
      </c>
      <c r="EL602" s="549">
        <v>0</v>
      </c>
      <c r="EM602" s="675">
        <v>0</v>
      </c>
      <c r="EN602" s="549">
        <v>0</v>
      </c>
      <c r="EO602" s="675">
        <v>0</v>
      </c>
      <c r="EP602" s="549">
        <v>0</v>
      </c>
      <c r="EQ602" s="675">
        <v>0</v>
      </c>
      <c r="ER602" s="549">
        <v>0</v>
      </c>
      <c r="ES602" s="675">
        <v>0</v>
      </c>
      <c r="ET602" s="549">
        <v>0</v>
      </c>
      <c r="EU602" s="675">
        <v>0</v>
      </c>
      <c r="EV602" s="549">
        <v>0</v>
      </c>
      <c r="EW602" s="675">
        <v>0</v>
      </c>
      <c r="EX602" s="549">
        <v>0</v>
      </c>
      <c r="EY602" s="675">
        <v>0</v>
      </c>
      <c r="EZ602" s="549">
        <v>0</v>
      </c>
      <c r="FA602" s="675">
        <v>0</v>
      </c>
      <c r="FB602" s="549">
        <v>0</v>
      </c>
      <c r="FC602" s="675">
        <v>0</v>
      </c>
      <c r="FD602" s="549">
        <v>0</v>
      </c>
      <c r="FE602" s="675">
        <v>0</v>
      </c>
      <c r="FF602" s="549">
        <v>0</v>
      </c>
      <c r="FG602" s="675">
        <v>0</v>
      </c>
      <c r="FH602" s="549">
        <v>0</v>
      </c>
      <c r="FI602" s="675">
        <v>0</v>
      </c>
      <c r="FJ602" s="549">
        <v>0</v>
      </c>
      <c r="FK602" s="675">
        <v>0</v>
      </c>
      <c r="FL602" s="549">
        <v>0</v>
      </c>
      <c r="FM602" s="675">
        <v>0</v>
      </c>
      <c r="FN602" s="549">
        <v>0</v>
      </c>
      <c r="FO602" s="675">
        <v>0</v>
      </c>
      <c r="FP602" s="549">
        <v>0</v>
      </c>
      <c r="FQ602" s="675">
        <v>0</v>
      </c>
      <c r="FR602" s="549">
        <v>0</v>
      </c>
      <c r="FS602" s="675">
        <v>0</v>
      </c>
      <c r="FT602" s="549">
        <v>0</v>
      </c>
      <c r="FU602" s="675">
        <v>0</v>
      </c>
      <c r="FV602" s="549">
        <v>0</v>
      </c>
      <c r="FW602" s="675">
        <v>0</v>
      </c>
      <c r="FX602" s="549">
        <v>0</v>
      </c>
      <c r="FY602" s="675">
        <v>0</v>
      </c>
      <c r="FZ602" s="549">
        <v>0</v>
      </c>
      <c r="GA602" s="675">
        <v>0</v>
      </c>
      <c r="GB602" s="549">
        <v>0</v>
      </c>
      <c r="GC602" s="675">
        <v>0</v>
      </c>
      <c r="GD602" s="549">
        <v>0</v>
      </c>
      <c r="GE602" s="675">
        <v>0</v>
      </c>
      <c r="GF602" s="549">
        <v>0</v>
      </c>
      <c r="GG602" s="675">
        <v>0</v>
      </c>
      <c r="GH602" s="549">
        <v>0</v>
      </c>
      <c r="GI602" s="675">
        <v>0</v>
      </c>
      <c r="GJ602" s="549">
        <v>0</v>
      </c>
      <c r="GK602" s="675">
        <v>0</v>
      </c>
      <c r="GL602" s="549">
        <v>0</v>
      </c>
      <c r="GM602" s="675">
        <v>0</v>
      </c>
      <c r="GN602" s="549">
        <v>0</v>
      </c>
      <c r="GO602" s="675">
        <v>0</v>
      </c>
      <c r="GP602" s="549">
        <f>+D602+F602+H602+J602+L602+N602+P602+R602+T602+V602+X602+Z602+AB602+AD602+AH602+AJ602+AL602+AN602+AP602+AR602+AT602+AV602+AX602+AZ602+BB602+BD602+BF602+BH602+BJ602+BL602+BN602+BP602+BR602+BT602+BV602+BX602+BZ602+CB602+CD602+CF602+CH602+CJ602+CL602+CN602+CP602+CR602+CT602+CV602+CX602+CZ602+DB602+DD602+DF602+DH602+DT602+EX602+DJ602+DL602+DN602+DP602+DR602+EJ602+EB602+DZ602+DX602+DV602+ED602+EF602+EH602+EL602+EN602+EP602+EV602+ET602+ER602+EZ602+FB602+FD602+GL602+FF602+FJ602+FL602+GJ602+FT602+FR602+FP602+FN602+FH602</f>
        <v>0</v>
      </c>
      <c r="GQ602" s="675">
        <f>+E602+G602+I602+K602+M602+O602+Q602+S602+U602+W602+Y602+AA602+AC602+AE602+AI602+AK602+AM602+AO602+AQ602+AS602+AU602+AW602+AY602+BA602+BC602+BE602+BG602+BI602+BK602+BM602+BO602+BQ602+BS602+BU602+BW602+BY602+CA602+CC602+CE602+CG602+CI602+CK602+CM602+CO602+CQ602+CS602+CU602+CW602+CY602+DA602+DC602+DE602+DG602+DI602+DU602+EY602+DK602+DM602+DO602+DQ602+DS602+EK602+EC602+EA602+DY602+DW602+EI602+EG602+EE602+EM602+EO602+EQ602+EW602+EU602+ES602+FA602+FC602+FE602+GM602+FG602+FK602+FM602+FO602+FQ602+FS602+FU602+GK602+FI602</f>
        <v>0</v>
      </c>
      <c r="GR602" s="74">
        <f>C602+GP602+GQ602</f>
        <v>0</v>
      </c>
      <c r="GS602" s="74">
        <f t="shared" ref="GS602:GS604" si="13963">SUM(GU602:HE602)+GP602+GQ602</f>
        <v>0</v>
      </c>
      <c r="GT602" s="568">
        <f t="shared" si="13935"/>
        <v>0</v>
      </c>
      <c r="GU602" s="275">
        <v>0</v>
      </c>
      <c r="GV602" s="275">
        <v>0</v>
      </c>
      <c r="GW602" s="588">
        <v>0</v>
      </c>
      <c r="GX602" s="588">
        <v>0</v>
      </c>
      <c r="GY602" s="275">
        <v>0</v>
      </c>
      <c r="GZ602" s="275">
        <v>0</v>
      </c>
      <c r="HA602" s="275">
        <v>0</v>
      </c>
      <c r="HB602" s="275">
        <v>0</v>
      </c>
      <c r="HC602" s="275">
        <v>0</v>
      </c>
      <c r="HD602" s="275">
        <v>0</v>
      </c>
      <c r="HE602" s="275">
        <v>0</v>
      </c>
      <c r="HF602" s="275">
        <v>0</v>
      </c>
      <c r="HG602" s="74">
        <f>SUM(HH602:IE602)+GP602+GQ602</f>
        <v>0</v>
      </c>
      <c r="HH602" s="89">
        <v>0</v>
      </c>
      <c r="HI602" s="817">
        <v>0</v>
      </c>
      <c r="HJ602" s="89">
        <v>0</v>
      </c>
      <c r="HK602" s="817">
        <v>0</v>
      </c>
      <c r="HL602" s="89">
        <v>0</v>
      </c>
      <c r="HM602" s="817">
        <v>0</v>
      </c>
      <c r="HN602" s="89">
        <v>0</v>
      </c>
      <c r="HO602" s="817">
        <v>0</v>
      </c>
      <c r="HP602" s="89">
        <v>0</v>
      </c>
      <c r="HQ602" s="817">
        <v>0</v>
      </c>
      <c r="HR602" s="89">
        <v>0</v>
      </c>
      <c r="HS602" s="817">
        <v>0</v>
      </c>
      <c r="HT602" s="89">
        <v>0</v>
      </c>
      <c r="HU602" s="817">
        <v>0</v>
      </c>
      <c r="HV602" s="89">
        <v>0</v>
      </c>
      <c r="HW602" s="817">
        <v>0</v>
      </c>
      <c r="HX602" s="89">
        <v>0</v>
      </c>
      <c r="HY602" s="817">
        <v>0</v>
      </c>
      <c r="HZ602" s="89">
        <v>0</v>
      </c>
      <c r="IA602" s="817">
        <v>0</v>
      </c>
      <c r="IB602" s="89">
        <v>0</v>
      </c>
      <c r="IC602" s="817">
        <v>0</v>
      </c>
      <c r="ID602" s="89">
        <v>0</v>
      </c>
      <c r="IE602" s="817">
        <v>0</v>
      </c>
      <c r="IF602" s="841">
        <f t="shared" si="13936"/>
        <v>0</v>
      </c>
      <c r="IG602" s="263">
        <f t="shared" si="13937"/>
        <v>0</v>
      </c>
      <c r="IH602" s="842">
        <f t="shared" si="13938"/>
        <v>0</v>
      </c>
      <c r="II602" s="89">
        <v>0</v>
      </c>
      <c r="IJ602" s="89">
        <f t="shared" si="13939"/>
        <v>0</v>
      </c>
      <c r="IK602" s="89">
        <f t="shared" si="13940"/>
        <v>0</v>
      </c>
      <c r="IL602" s="89">
        <v>0</v>
      </c>
      <c r="IM602" s="89">
        <f t="shared" si="13941"/>
        <v>0</v>
      </c>
      <c r="IN602" s="89">
        <f t="shared" si="13942"/>
        <v>0</v>
      </c>
      <c r="IO602" s="89">
        <v>0</v>
      </c>
      <c r="IP602" s="89">
        <f t="shared" si="13943"/>
        <v>0</v>
      </c>
      <c r="IQ602" s="89">
        <f t="shared" si="13944"/>
        <v>0</v>
      </c>
      <c r="IR602" s="89">
        <v>0</v>
      </c>
      <c r="IS602" s="89">
        <f t="shared" si="13945"/>
        <v>0</v>
      </c>
      <c r="IT602" s="89">
        <f t="shared" si="13946"/>
        <v>0</v>
      </c>
      <c r="IU602" s="89">
        <v>0</v>
      </c>
      <c r="IV602" s="89">
        <f t="shared" si="13947"/>
        <v>0</v>
      </c>
      <c r="IW602" s="89">
        <f t="shared" si="13948"/>
        <v>0</v>
      </c>
      <c r="IX602" s="89">
        <v>0</v>
      </c>
      <c r="IY602" s="89">
        <f t="shared" si="13949"/>
        <v>0</v>
      </c>
      <c r="IZ602" s="89">
        <f t="shared" si="13950"/>
        <v>0</v>
      </c>
      <c r="JA602" s="89">
        <v>0</v>
      </c>
      <c r="JB602" s="89">
        <f t="shared" si="13951"/>
        <v>0</v>
      </c>
      <c r="JC602" s="89">
        <f t="shared" si="13952"/>
        <v>0</v>
      </c>
      <c r="JD602" s="89">
        <v>0</v>
      </c>
      <c r="JE602" s="89">
        <f t="shared" si="13953"/>
        <v>0</v>
      </c>
      <c r="JF602" s="89">
        <f t="shared" si="13954"/>
        <v>0</v>
      </c>
      <c r="JG602" s="89">
        <v>0</v>
      </c>
      <c r="JH602" s="89">
        <f t="shared" si="13955"/>
        <v>0</v>
      </c>
      <c r="JI602" s="89">
        <f t="shared" si="13956"/>
        <v>0</v>
      </c>
      <c r="JJ602" s="89">
        <v>0</v>
      </c>
      <c r="JK602" s="89">
        <f t="shared" si="13957"/>
        <v>0</v>
      </c>
      <c r="JL602" s="89">
        <f t="shared" si="13958"/>
        <v>0</v>
      </c>
      <c r="JM602" s="89">
        <v>0</v>
      </c>
      <c r="JN602" s="89">
        <f t="shared" si="13959"/>
        <v>0</v>
      </c>
      <c r="JO602" s="89">
        <f t="shared" si="13960"/>
        <v>0</v>
      </c>
      <c r="JP602" s="89">
        <v>0</v>
      </c>
      <c r="JQ602" s="89">
        <f t="shared" ref="JQ602:JR602" si="13964">JP602</f>
        <v>0</v>
      </c>
      <c r="JR602" s="89">
        <f t="shared" si="13964"/>
        <v>0</v>
      </c>
      <c r="JS602" s="74">
        <f>HG602-IF602</f>
        <v>0</v>
      </c>
      <c r="JT602" s="382">
        <f>GS602-IF602</f>
        <v>0</v>
      </c>
      <c r="JU602" s="665"/>
      <c r="JV602" s="524"/>
      <c r="JW602" s="525"/>
      <c r="JX602" s="549">
        <f t="shared" si="13962"/>
        <v>0</v>
      </c>
      <c r="JY602" s="549">
        <f t="shared" si="13962"/>
        <v>0</v>
      </c>
      <c r="JZ602" s="581">
        <f t="shared" si="13477"/>
        <v>0</v>
      </c>
      <c r="KA602" s="581">
        <f t="shared" si="13478"/>
        <v>0</v>
      </c>
      <c r="KB602" s="549">
        <f t="shared" si="13163"/>
        <v>0</v>
      </c>
      <c r="KC602" s="709">
        <f t="shared" si="13396"/>
        <v>0</v>
      </c>
      <c r="KD602" s="36"/>
      <c r="KE602" s="36"/>
      <c r="KF602" s="36"/>
      <c r="KG602" s="36"/>
      <c r="KH602" s="36"/>
      <c r="KI602" s="36"/>
      <c r="KJ602" s="36"/>
      <c r="KK602" s="36"/>
    </row>
    <row r="603" spans="1:297" s="33" customFormat="1" ht="12.75" hidden="1" customHeight="1">
      <c r="A603" s="86" t="s">
        <v>704</v>
      </c>
      <c r="B603" s="77"/>
      <c r="C603" s="74">
        <v>0</v>
      </c>
      <c r="D603" s="549">
        <v>0</v>
      </c>
      <c r="E603" s="675">
        <v>0</v>
      </c>
      <c r="F603" s="549">
        <v>0</v>
      </c>
      <c r="G603" s="675">
        <v>0</v>
      </c>
      <c r="H603" s="549">
        <v>0</v>
      </c>
      <c r="I603" s="675">
        <v>0</v>
      </c>
      <c r="J603" s="549">
        <v>0</v>
      </c>
      <c r="K603" s="675">
        <v>0</v>
      </c>
      <c r="L603" s="549">
        <v>0</v>
      </c>
      <c r="M603" s="675">
        <v>0</v>
      </c>
      <c r="N603" s="549">
        <v>0</v>
      </c>
      <c r="O603" s="675">
        <v>0</v>
      </c>
      <c r="P603" s="549">
        <v>0</v>
      </c>
      <c r="Q603" s="675">
        <v>0</v>
      </c>
      <c r="R603" s="549">
        <v>0</v>
      </c>
      <c r="S603" s="675">
        <v>0</v>
      </c>
      <c r="T603" s="549">
        <v>0</v>
      </c>
      <c r="U603" s="675">
        <v>0</v>
      </c>
      <c r="V603" s="549">
        <v>0</v>
      </c>
      <c r="W603" s="675">
        <v>0</v>
      </c>
      <c r="X603" s="549">
        <v>0</v>
      </c>
      <c r="Y603" s="675">
        <v>0</v>
      </c>
      <c r="Z603" s="549">
        <v>0</v>
      </c>
      <c r="AA603" s="675">
        <v>0</v>
      </c>
      <c r="AB603" s="549">
        <v>0</v>
      </c>
      <c r="AC603" s="675">
        <v>0</v>
      </c>
      <c r="AD603" s="549">
        <v>0</v>
      </c>
      <c r="AE603" s="675">
        <v>0</v>
      </c>
      <c r="AF603" s="549">
        <v>0</v>
      </c>
      <c r="AG603" s="675">
        <v>0</v>
      </c>
      <c r="AH603" s="549">
        <v>0</v>
      </c>
      <c r="AI603" s="675">
        <v>0</v>
      </c>
      <c r="AJ603" s="549">
        <v>0</v>
      </c>
      <c r="AK603" s="675">
        <v>0</v>
      </c>
      <c r="AL603" s="549">
        <v>0</v>
      </c>
      <c r="AM603" s="675">
        <v>0</v>
      </c>
      <c r="AN603" s="549">
        <v>0</v>
      </c>
      <c r="AO603" s="675">
        <v>0</v>
      </c>
      <c r="AP603" s="549">
        <v>0</v>
      </c>
      <c r="AQ603" s="675">
        <v>0</v>
      </c>
      <c r="AR603" s="549">
        <v>0</v>
      </c>
      <c r="AS603" s="675">
        <v>0</v>
      </c>
      <c r="AT603" s="549">
        <v>0</v>
      </c>
      <c r="AU603" s="675">
        <v>0</v>
      </c>
      <c r="AV603" s="549">
        <v>0</v>
      </c>
      <c r="AW603" s="675">
        <v>0</v>
      </c>
      <c r="AX603" s="549">
        <v>0</v>
      </c>
      <c r="AY603" s="675">
        <v>0</v>
      </c>
      <c r="AZ603" s="549">
        <v>0</v>
      </c>
      <c r="BA603" s="675">
        <v>0</v>
      </c>
      <c r="BB603" s="549">
        <v>0</v>
      </c>
      <c r="BC603" s="675">
        <v>0</v>
      </c>
      <c r="BD603" s="549">
        <v>0</v>
      </c>
      <c r="BE603" s="675">
        <v>0</v>
      </c>
      <c r="BF603" s="549">
        <v>0</v>
      </c>
      <c r="BG603" s="675">
        <v>0</v>
      </c>
      <c r="BH603" s="549">
        <v>0</v>
      </c>
      <c r="BI603" s="675">
        <v>0</v>
      </c>
      <c r="BJ603" s="549">
        <v>0</v>
      </c>
      <c r="BK603" s="675">
        <v>0</v>
      </c>
      <c r="BL603" s="549">
        <v>0</v>
      </c>
      <c r="BM603" s="675">
        <v>0</v>
      </c>
      <c r="BN603" s="549">
        <v>0</v>
      </c>
      <c r="BO603" s="675">
        <v>0</v>
      </c>
      <c r="BP603" s="549">
        <v>0</v>
      </c>
      <c r="BQ603" s="675">
        <v>0</v>
      </c>
      <c r="BR603" s="549">
        <v>0</v>
      </c>
      <c r="BS603" s="675">
        <v>0</v>
      </c>
      <c r="BT603" s="549">
        <v>0</v>
      </c>
      <c r="BU603" s="675">
        <v>0</v>
      </c>
      <c r="BV603" s="549">
        <v>0</v>
      </c>
      <c r="BW603" s="675">
        <v>0</v>
      </c>
      <c r="BX603" s="549">
        <v>0</v>
      </c>
      <c r="BY603" s="675">
        <v>0</v>
      </c>
      <c r="BZ603" s="549">
        <v>0</v>
      </c>
      <c r="CA603" s="675">
        <v>0</v>
      </c>
      <c r="CB603" s="549">
        <v>0</v>
      </c>
      <c r="CC603" s="675">
        <v>0</v>
      </c>
      <c r="CD603" s="549">
        <v>0</v>
      </c>
      <c r="CE603" s="675">
        <v>0</v>
      </c>
      <c r="CF603" s="549">
        <v>0</v>
      </c>
      <c r="CG603" s="675">
        <v>0</v>
      </c>
      <c r="CH603" s="549">
        <v>0</v>
      </c>
      <c r="CI603" s="675">
        <v>0</v>
      </c>
      <c r="CJ603" s="549">
        <v>0</v>
      </c>
      <c r="CK603" s="675">
        <v>0</v>
      </c>
      <c r="CL603" s="549">
        <v>0</v>
      </c>
      <c r="CM603" s="675">
        <v>0</v>
      </c>
      <c r="CN603" s="549">
        <v>0</v>
      </c>
      <c r="CO603" s="675">
        <v>0</v>
      </c>
      <c r="CP603" s="549">
        <v>0</v>
      </c>
      <c r="CQ603" s="675">
        <v>0</v>
      </c>
      <c r="CR603" s="549">
        <v>0</v>
      </c>
      <c r="CS603" s="675">
        <v>0</v>
      </c>
      <c r="CT603" s="549">
        <v>0</v>
      </c>
      <c r="CU603" s="675">
        <v>0</v>
      </c>
      <c r="CV603" s="549">
        <v>0</v>
      </c>
      <c r="CW603" s="675">
        <v>0</v>
      </c>
      <c r="CX603" s="549">
        <v>0</v>
      </c>
      <c r="CY603" s="675">
        <v>0</v>
      </c>
      <c r="CZ603" s="549">
        <v>0</v>
      </c>
      <c r="DA603" s="675">
        <v>0</v>
      </c>
      <c r="DB603" s="549">
        <v>0</v>
      </c>
      <c r="DC603" s="675">
        <v>0</v>
      </c>
      <c r="DD603" s="549">
        <v>0</v>
      </c>
      <c r="DE603" s="675">
        <v>0</v>
      </c>
      <c r="DF603" s="549">
        <v>0</v>
      </c>
      <c r="DG603" s="675">
        <v>0</v>
      </c>
      <c r="DH603" s="549">
        <v>0</v>
      </c>
      <c r="DI603" s="675">
        <v>0</v>
      </c>
      <c r="DJ603" s="549">
        <v>0</v>
      </c>
      <c r="DK603" s="675">
        <v>0</v>
      </c>
      <c r="DL603" s="549">
        <v>0</v>
      </c>
      <c r="DM603" s="675">
        <v>0</v>
      </c>
      <c r="DN603" s="549">
        <v>0</v>
      </c>
      <c r="DO603" s="675">
        <v>0</v>
      </c>
      <c r="DP603" s="549">
        <v>0</v>
      </c>
      <c r="DQ603" s="675">
        <v>0</v>
      </c>
      <c r="DR603" s="549">
        <v>0</v>
      </c>
      <c r="DS603" s="675">
        <v>0</v>
      </c>
      <c r="DT603" s="549">
        <v>0</v>
      </c>
      <c r="DU603" s="675">
        <v>0</v>
      </c>
      <c r="DV603" s="549">
        <v>0</v>
      </c>
      <c r="DW603" s="675">
        <v>0</v>
      </c>
      <c r="DX603" s="549">
        <v>0</v>
      </c>
      <c r="DY603" s="675">
        <v>0</v>
      </c>
      <c r="DZ603" s="549">
        <v>0</v>
      </c>
      <c r="EA603" s="675">
        <v>0</v>
      </c>
      <c r="EB603" s="549">
        <v>0</v>
      </c>
      <c r="EC603" s="675">
        <v>0</v>
      </c>
      <c r="ED603" s="549">
        <v>0</v>
      </c>
      <c r="EE603" s="675">
        <v>0</v>
      </c>
      <c r="EF603" s="549">
        <v>0</v>
      </c>
      <c r="EG603" s="675">
        <v>0</v>
      </c>
      <c r="EH603" s="549">
        <v>0</v>
      </c>
      <c r="EI603" s="675">
        <v>0</v>
      </c>
      <c r="EJ603" s="549">
        <v>0</v>
      </c>
      <c r="EK603" s="675">
        <v>0</v>
      </c>
      <c r="EL603" s="549">
        <v>0</v>
      </c>
      <c r="EM603" s="675">
        <v>0</v>
      </c>
      <c r="EN603" s="549">
        <v>0</v>
      </c>
      <c r="EO603" s="675">
        <v>0</v>
      </c>
      <c r="EP603" s="549">
        <v>0</v>
      </c>
      <c r="EQ603" s="675">
        <v>0</v>
      </c>
      <c r="ER603" s="549">
        <v>0</v>
      </c>
      <c r="ES603" s="675">
        <v>0</v>
      </c>
      <c r="ET603" s="549">
        <v>0</v>
      </c>
      <c r="EU603" s="675">
        <v>0</v>
      </c>
      <c r="EV603" s="549">
        <v>0</v>
      </c>
      <c r="EW603" s="675">
        <v>0</v>
      </c>
      <c r="EX603" s="549">
        <v>0</v>
      </c>
      <c r="EY603" s="675">
        <v>0</v>
      </c>
      <c r="EZ603" s="549">
        <v>0</v>
      </c>
      <c r="FA603" s="675">
        <v>0</v>
      </c>
      <c r="FB603" s="549">
        <v>0</v>
      </c>
      <c r="FC603" s="675">
        <v>0</v>
      </c>
      <c r="FD603" s="549">
        <v>0</v>
      </c>
      <c r="FE603" s="675">
        <v>0</v>
      </c>
      <c r="FF603" s="549">
        <v>0</v>
      </c>
      <c r="FG603" s="675">
        <v>0</v>
      </c>
      <c r="FH603" s="549">
        <v>0</v>
      </c>
      <c r="FI603" s="675">
        <v>0</v>
      </c>
      <c r="FJ603" s="549">
        <v>0</v>
      </c>
      <c r="FK603" s="675">
        <v>0</v>
      </c>
      <c r="FL603" s="549">
        <v>0</v>
      </c>
      <c r="FM603" s="675">
        <v>0</v>
      </c>
      <c r="FN603" s="549">
        <v>0</v>
      </c>
      <c r="FO603" s="675">
        <v>0</v>
      </c>
      <c r="FP603" s="549">
        <v>0</v>
      </c>
      <c r="FQ603" s="675">
        <v>0</v>
      </c>
      <c r="FR603" s="549">
        <v>0</v>
      </c>
      <c r="FS603" s="675">
        <v>0</v>
      </c>
      <c r="FT603" s="549">
        <v>0</v>
      </c>
      <c r="FU603" s="675">
        <v>0</v>
      </c>
      <c r="FV603" s="549">
        <v>0</v>
      </c>
      <c r="FW603" s="675">
        <v>0</v>
      </c>
      <c r="FX603" s="549">
        <v>0</v>
      </c>
      <c r="FY603" s="675">
        <v>0</v>
      </c>
      <c r="FZ603" s="549">
        <v>0</v>
      </c>
      <c r="GA603" s="675">
        <v>0</v>
      </c>
      <c r="GB603" s="549">
        <v>0</v>
      </c>
      <c r="GC603" s="675">
        <v>0</v>
      </c>
      <c r="GD603" s="549">
        <v>0</v>
      </c>
      <c r="GE603" s="675">
        <v>0</v>
      </c>
      <c r="GF603" s="549">
        <v>0</v>
      </c>
      <c r="GG603" s="675">
        <v>0</v>
      </c>
      <c r="GH603" s="549">
        <v>0</v>
      </c>
      <c r="GI603" s="675">
        <v>0</v>
      </c>
      <c r="GJ603" s="549">
        <v>0</v>
      </c>
      <c r="GK603" s="675">
        <v>0</v>
      </c>
      <c r="GL603" s="549">
        <v>0</v>
      </c>
      <c r="GM603" s="675">
        <v>0</v>
      </c>
      <c r="GN603" s="549">
        <v>0</v>
      </c>
      <c r="GO603" s="675">
        <v>0</v>
      </c>
      <c r="GP603" s="549">
        <f>+D603+F603+H603+J603+L603+N603+P603+R603+T603+V603+X603+Z603+AB603+AD603+AH603+AJ603+AL603+AN603+AP603+AR603+AT603+AV603+AX603+AZ603+BB603+BD603+BF603+BH603+BJ603+BL603+BN603+BP603+BR603+BT603+BV603+BX603+BZ603+CB603+CD603+CF603+CH603+CJ603+CL603+CN603+CP603+CR603+CT603+CV603+CX603+CZ603+DB603+DD603+DF603+DH603+DT603+EX603+DJ603+DL603+DN603+DP603+DR603+EJ603+EB603+DZ603+DX603+DV603+ED603+EF603+EH603+EL603+EN603+EP603+EV603+ET603+ER603+EZ603+FB603+FD603+GL603+FF603+FJ603+FL603+GJ603+FT603+FR603+FP603+FN603+FH603</f>
        <v>0</v>
      </c>
      <c r="GQ603" s="675">
        <f>+E603+G603+I603+K603+M603+O603+Q603+S603+U603+W603+Y603+AA603+AC603+AE603+AI603+AK603+AM603+AO603+AQ603+AS603+AU603+AW603+AY603+BA603+BC603+BE603+BG603+BI603+BK603+BM603+BO603+BQ603+BS603+BU603+BW603+BY603+CA603+CC603+CE603+CG603+CI603+CK603+CM603+CO603+CQ603+CS603+CU603+CW603+CY603+DA603+DC603+DE603+DG603+DI603+DU603+EY603+DK603+DM603+DO603+DQ603+DS603+EK603+EC603+EA603+DY603+DW603+EI603+EG603+EE603+EM603+EO603+EQ603+EW603+EU603+ES603+FA603+FC603+FE603+GM603+FG603+FK603+FM603+FO603+FQ603+FS603+FU603+GK603+FI603</f>
        <v>0</v>
      </c>
      <c r="GR603" s="74">
        <f>C603+GP603+GQ603</f>
        <v>0</v>
      </c>
      <c r="GS603" s="74">
        <f t="shared" si="13963"/>
        <v>0</v>
      </c>
      <c r="GT603" s="568">
        <f t="shared" si="13935"/>
        <v>0</v>
      </c>
      <c r="GU603" s="275">
        <v>0</v>
      </c>
      <c r="GV603" s="275">
        <v>0</v>
      </c>
      <c r="GW603" s="588">
        <v>0</v>
      </c>
      <c r="GX603" s="588">
        <v>0</v>
      </c>
      <c r="GY603" s="275">
        <v>0</v>
      </c>
      <c r="GZ603" s="275">
        <v>0</v>
      </c>
      <c r="HA603" s="275">
        <v>0</v>
      </c>
      <c r="HB603" s="275">
        <v>0</v>
      </c>
      <c r="HC603" s="275">
        <v>0</v>
      </c>
      <c r="HD603" s="275">
        <v>0</v>
      </c>
      <c r="HE603" s="275">
        <v>0</v>
      </c>
      <c r="HF603" s="275">
        <v>0</v>
      </c>
      <c r="HG603" s="74">
        <f>SUM(HH603:IE603)+GP603+GQ603</f>
        <v>0</v>
      </c>
      <c r="HH603" s="89">
        <v>0</v>
      </c>
      <c r="HI603" s="817">
        <v>0</v>
      </c>
      <c r="HJ603" s="89">
        <v>0</v>
      </c>
      <c r="HK603" s="817">
        <v>0</v>
      </c>
      <c r="HL603" s="89">
        <v>0</v>
      </c>
      <c r="HM603" s="817">
        <v>0</v>
      </c>
      <c r="HN603" s="89">
        <v>0</v>
      </c>
      <c r="HO603" s="817">
        <v>0</v>
      </c>
      <c r="HP603" s="89">
        <v>0</v>
      </c>
      <c r="HQ603" s="817">
        <v>0</v>
      </c>
      <c r="HR603" s="89">
        <v>0</v>
      </c>
      <c r="HS603" s="817">
        <v>0</v>
      </c>
      <c r="HT603" s="89">
        <v>0</v>
      </c>
      <c r="HU603" s="817">
        <v>0</v>
      </c>
      <c r="HV603" s="89">
        <v>0</v>
      </c>
      <c r="HW603" s="817">
        <v>0</v>
      </c>
      <c r="HX603" s="89">
        <v>0</v>
      </c>
      <c r="HY603" s="817">
        <v>0</v>
      </c>
      <c r="HZ603" s="89">
        <v>0</v>
      </c>
      <c r="IA603" s="817">
        <v>0</v>
      </c>
      <c r="IB603" s="89">
        <v>0</v>
      </c>
      <c r="IC603" s="817">
        <v>0</v>
      </c>
      <c r="ID603" s="89">
        <v>0</v>
      </c>
      <c r="IE603" s="817">
        <v>0</v>
      </c>
      <c r="IF603" s="841">
        <f t="shared" si="13936"/>
        <v>0</v>
      </c>
      <c r="IG603" s="263">
        <f t="shared" si="13937"/>
        <v>0</v>
      </c>
      <c r="IH603" s="842">
        <f t="shared" si="13938"/>
        <v>0</v>
      </c>
      <c r="II603" s="89">
        <v>0</v>
      </c>
      <c r="IJ603" s="89">
        <f t="shared" si="13939"/>
        <v>0</v>
      </c>
      <c r="IK603" s="89">
        <f t="shared" si="13940"/>
        <v>0</v>
      </c>
      <c r="IL603" s="89">
        <v>0</v>
      </c>
      <c r="IM603" s="89">
        <f t="shared" si="13941"/>
        <v>0</v>
      </c>
      <c r="IN603" s="89">
        <f t="shared" si="13942"/>
        <v>0</v>
      </c>
      <c r="IO603" s="89">
        <v>0</v>
      </c>
      <c r="IP603" s="89">
        <f t="shared" si="13943"/>
        <v>0</v>
      </c>
      <c r="IQ603" s="89">
        <f t="shared" si="13944"/>
        <v>0</v>
      </c>
      <c r="IR603" s="89">
        <v>0</v>
      </c>
      <c r="IS603" s="89">
        <f t="shared" si="13945"/>
        <v>0</v>
      </c>
      <c r="IT603" s="89">
        <f t="shared" si="13946"/>
        <v>0</v>
      </c>
      <c r="IU603" s="89">
        <v>0</v>
      </c>
      <c r="IV603" s="89">
        <f t="shared" si="13947"/>
        <v>0</v>
      </c>
      <c r="IW603" s="89">
        <f t="shared" si="13948"/>
        <v>0</v>
      </c>
      <c r="IX603" s="89">
        <v>0</v>
      </c>
      <c r="IY603" s="89">
        <f t="shared" si="13949"/>
        <v>0</v>
      </c>
      <c r="IZ603" s="89">
        <f t="shared" si="13950"/>
        <v>0</v>
      </c>
      <c r="JA603" s="89">
        <v>0</v>
      </c>
      <c r="JB603" s="89">
        <f t="shared" si="13951"/>
        <v>0</v>
      </c>
      <c r="JC603" s="89">
        <f t="shared" si="13952"/>
        <v>0</v>
      </c>
      <c r="JD603" s="89">
        <v>0</v>
      </c>
      <c r="JE603" s="89">
        <f t="shared" si="13953"/>
        <v>0</v>
      </c>
      <c r="JF603" s="89">
        <f t="shared" si="13954"/>
        <v>0</v>
      </c>
      <c r="JG603" s="89">
        <v>0</v>
      </c>
      <c r="JH603" s="89">
        <f t="shared" si="13955"/>
        <v>0</v>
      </c>
      <c r="JI603" s="89">
        <f t="shared" si="13956"/>
        <v>0</v>
      </c>
      <c r="JJ603" s="89">
        <v>0</v>
      </c>
      <c r="JK603" s="89">
        <f t="shared" si="13957"/>
        <v>0</v>
      </c>
      <c r="JL603" s="89">
        <f t="shared" si="13958"/>
        <v>0</v>
      </c>
      <c r="JM603" s="89">
        <v>0</v>
      </c>
      <c r="JN603" s="89">
        <f t="shared" si="13959"/>
        <v>0</v>
      </c>
      <c r="JO603" s="89">
        <f t="shared" si="13960"/>
        <v>0</v>
      </c>
      <c r="JP603" s="89">
        <v>0</v>
      </c>
      <c r="JQ603" s="89">
        <f t="shared" ref="JQ603:JR603" si="13965">JP603</f>
        <v>0</v>
      </c>
      <c r="JR603" s="89">
        <f t="shared" si="13965"/>
        <v>0</v>
      </c>
      <c r="JS603" s="74">
        <f>HG603-IF603</f>
        <v>0</v>
      </c>
      <c r="JT603" s="382">
        <f>GS603-IF603</f>
        <v>0</v>
      </c>
      <c r="JU603" s="665"/>
      <c r="JV603" s="524"/>
      <c r="JW603" s="525"/>
      <c r="JX603" s="549">
        <f t="shared" si="13962"/>
        <v>0</v>
      </c>
      <c r="JY603" s="549">
        <f t="shared" si="13962"/>
        <v>0</v>
      </c>
      <c r="JZ603" s="581">
        <f t="shared" si="13477"/>
        <v>0</v>
      </c>
      <c r="KA603" s="581">
        <f t="shared" si="13478"/>
        <v>0</v>
      </c>
      <c r="KB603" s="549">
        <f t="shared" si="13163"/>
        <v>0</v>
      </c>
      <c r="KC603" s="709">
        <f t="shared" si="13396"/>
        <v>0</v>
      </c>
      <c r="KD603" s="36"/>
      <c r="KE603" s="36"/>
      <c r="KF603" s="36"/>
      <c r="KG603" s="36"/>
      <c r="KH603" s="36"/>
      <c r="KI603" s="36"/>
      <c r="KJ603" s="36"/>
      <c r="KK603" s="36"/>
    </row>
    <row r="604" spans="1:297" s="33" customFormat="1" ht="12.75" hidden="1" customHeight="1">
      <c r="A604" s="86" t="s">
        <v>707</v>
      </c>
      <c r="B604" s="77"/>
      <c r="C604" s="74">
        <v>0</v>
      </c>
      <c r="D604" s="549">
        <v>0</v>
      </c>
      <c r="E604" s="675">
        <v>0</v>
      </c>
      <c r="F604" s="549">
        <v>0</v>
      </c>
      <c r="G604" s="675">
        <v>0</v>
      </c>
      <c r="H604" s="549">
        <v>0</v>
      </c>
      <c r="I604" s="675">
        <v>0</v>
      </c>
      <c r="J604" s="549">
        <v>0</v>
      </c>
      <c r="K604" s="675">
        <v>0</v>
      </c>
      <c r="L604" s="549">
        <v>0</v>
      </c>
      <c r="M604" s="675">
        <v>0</v>
      </c>
      <c r="N604" s="549">
        <v>0</v>
      </c>
      <c r="O604" s="675">
        <v>0</v>
      </c>
      <c r="P604" s="549">
        <v>0</v>
      </c>
      <c r="Q604" s="675">
        <v>0</v>
      </c>
      <c r="R604" s="549">
        <v>0</v>
      </c>
      <c r="S604" s="675">
        <v>0</v>
      </c>
      <c r="T604" s="549">
        <v>0</v>
      </c>
      <c r="U604" s="675">
        <v>0</v>
      </c>
      <c r="V604" s="549">
        <v>0</v>
      </c>
      <c r="W604" s="675">
        <v>0</v>
      </c>
      <c r="X604" s="549">
        <v>0</v>
      </c>
      <c r="Y604" s="675">
        <v>0</v>
      </c>
      <c r="Z604" s="549">
        <v>0</v>
      </c>
      <c r="AA604" s="675">
        <v>0</v>
      </c>
      <c r="AB604" s="549">
        <v>0</v>
      </c>
      <c r="AC604" s="675">
        <v>0</v>
      </c>
      <c r="AD604" s="549">
        <v>0</v>
      </c>
      <c r="AE604" s="675">
        <v>0</v>
      </c>
      <c r="AF604" s="549">
        <v>0</v>
      </c>
      <c r="AG604" s="675">
        <v>0</v>
      </c>
      <c r="AH604" s="549">
        <v>0</v>
      </c>
      <c r="AI604" s="675">
        <v>0</v>
      </c>
      <c r="AJ604" s="549">
        <v>0</v>
      </c>
      <c r="AK604" s="675">
        <v>0</v>
      </c>
      <c r="AL604" s="549">
        <v>0</v>
      </c>
      <c r="AM604" s="675">
        <v>0</v>
      </c>
      <c r="AN604" s="549">
        <v>0</v>
      </c>
      <c r="AO604" s="675">
        <v>0</v>
      </c>
      <c r="AP604" s="549">
        <v>0</v>
      </c>
      <c r="AQ604" s="675">
        <v>0</v>
      </c>
      <c r="AR604" s="549">
        <v>0</v>
      </c>
      <c r="AS604" s="675">
        <v>0</v>
      </c>
      <c r="AT604" s="549">
        <v>0</v>
      </c>
      <c r="AU604" s="675">
        <v>0</v>
      </c>
      <c r="AV604" s="549">
        <v>0</v>
      </c>
      <c r="AW604" s="675">
        <v>0</v>
      </c>
      <c r="AX604" s="549">
        <v>0</v>
      </c>
      <c r="AY604" s="675">
        <v>0</v>
      </c>
      <c r="AZ604" s="549">
        <v>0</v>
      </c>
      <c r="BA604" s="675">
        <v>0</v>
      </c>
      <c r="BB604" s="549">
        <v>0</v>
      </c>
      <c r="BC604" s="675">
        <v>0</v>
      </c>
      <c r="BD604" s="549">
        <v>0</v>
      </c>
      <c r="BE604" s="675">
        <v>0</v>
      </c>
      <c r="BF604" s="549">
        <v>0</v>
      </c>
      <c r="BG604" s="675">
        <v>0</v>
      </c>
      <c r="BH604" s="549">
        <v>0</v>
      </c>
      <c r="BI604" s="675">
        <v>0</v>
      </c>
      <c r="BJ604" s="549">
        <v>0</v>
      </c>
      <c r="BK604" s="675">
        <v>0</v>
      </c>
      <c r="BL604" s="549">
        <v>0</v>
      </c>
      <c r="BM604" s="675">
        <v>0</v>
      </c>
      <c r="BN604" s="549">
        <v>0</v>
      </c>
      <c r="BO604" s="675">
        <v>0</v>
      </c>
      <c r="BP604" s="549">
        <v>0</v>
      </c>
      <c r="BQ604" s="675">
        <v>0</v>
      </c>
      <c r="BR604" s="549">
        <v>0</v>
      </c>
      <c r="BS604" s="675">
        <v>0</v>
      </c>
      <c r="BT604" s="549">
        <v>0</v>
      </c>
      <c r="BU604" s="675">
        <v>0</v>
      </c>
      <c r="BV604" s="549">
        <v>0</v>
      </c>
      <c r="BW604" s="675">
        <v>0</v>
      </c>
      <c r="BX604" s="549">
        <v>0</v>
      </c>
      <c r="BY604" s="675">
        <v>0</v>
      </c>
      <c r="BZ604" s="549">
        <v>0</v>
      </c>
      <c r="CA604" s="675">
        <v>0</v>
      </c>
      <c r="CB604" s="549">
        <v>0</v>
      </c>
      <c r="CC604" s="675">
        <v>0</v>
      </c>
      <c r="CD604" s="549">
        <v>0</v>
      </c>
      <c r="CE604" s="675">
        <v>0</v>
      </c>
      <c r="CF604" s="549">
        <v>0</v>
      </c>
      <c r="CG604" s="675">
        <v>0</v>
      </c>
      <c r="CH604" s="549">
        <v>0</v>
      </c>
      <c r="CI604" s="675">
        <v>0</v>
      </c>
      <c r="CJ604" s="549">
        <v>0</v>
      </c>
      <c r="CK604" s="675">
        <v>0</v>
      </c>
      <c r="CL604" s="549">
        <v>0</v>
      </c>
      <c r="CM604" s="675">
        <v>0</v>
      </c>
      <c r="CN604" s="549">
        <v>0</v>
      </c>
      <c r="CO604" s="675">
        <v>0</v>
      </c>
      <c r="CP604" s="549">
        <v>0</v>
      </c>
      <c r="CQ604" s="675">
        <v>0</v>
      </c>
      <c r="CR604" s="549">
        <v>0</v>
      </c>
      <c r="CS604" s="675">
        <v>0</v>
      </c>
      <c r="CT604" s="549">
        <v>0</v>
      </c>
      <c r="CU604" s="675">
        <v>0</v>
      </c>
      <c r="CV604" s="549">
        <v>0</v>
      </c>
      <c r="CW604" s="675">
        <v>0</v>
      </c>
      <c r="CX604" s="549">
        <v>0</v>
      </c>
      <c r="CY604" s="675">
        <v>0</v>
      </c>
      <c r="CZ604" s="549">
        <v>0</v>
      </c>
      <c r="DA604" s="675">
        <v>0</v>
      </c>
      <c r="DB604" s="549">
        <v>0</v>
      </c>
      <c r="DC604" s="675">
        <v>0</v>
      </c>
      <c r="DD604" s="549">
        <v>0</v>
      </c>
      <c r="DE604" s="675">
        <v>0</v>
      </c>
      <c r="DF604" s="549">
        <v>0</v>
      </c>
      <c r="DG604" s="675">
        <v>0</v>
      </c>
      <c r="DH604" s="549">
        <v>0</v>
      </c>
      <c r="DI604" s="675">
        <v>0</v>
      </c>
      <c r="DJ604" s="549">
        <v>0</v>
      </c>
      <c r="DK604" s="675">
        <v>0</v>
      </c>
      <c r="DL604" s="549">
        <v>0</v>
      </c>
      <c r="DM604" s="675">
        <v>0</v>
      </c>
      <c r="DN604" s="549">
        <v>0</v>
      </c>
      <c r="DO604" s="675">
        <v>0</v>
      </c>
      <c r="DP604" s="549">
        <v>0</v>
      </c>
      <c r="DQ604" s="675">
        <v>0</v>
      </c>
      <c r="DR604" s="549">
        <v>0</v>
      </c>
      <c r="DS604" s="675">
        <v>0</v>
      </c>
      <c r="DT604" s="549">
        <v>0</v>
      </c>
      <c r="DU604" s="675">
        <v>0</v>
      </c>
      <c r="DV604" s="549">
        <v>0</v>
      </c>
      <c r="DW604" s="675">
        <v>0</v>
      </c>
      <c r="DX604" s="549">
        <v>0</v>
      </c>
      <c r="DY604" s="675">
        <v>0</v>
      </c>
      <c r="DZ604" s="549">
        <v>0</v>
      </c>
      <c r="EA604" s="675">
        <v>0</v>
      </c>
      <c r="EB604" s="549">
        <v>0</v>
      </c>
      <c r="EC604" s="675">
        <v>0</v>
      </c>
      <c r="ED604" s="549">
        <v>0</v>
      </c>
      <c r="EE604" s="675">
        <v>0</v>
      </c>
      <c r="EF604" s="549">
        <v>0</v>
      </c>
      <c r="EG604" s="675">
        <v>0</v>
      </c>
      <c r="EH604" s="549">
        <v>0</v>
      </c>
      <c r="EI604" s="675">
        <v>0</v>
      </c>
      <c r="EJ604" s="549">
        <v>0</v>
      </c>
      <c r="EK604" s="675">
        <v>0</v>
      </c>
      <c r="EL604" s="549">
        <v>0</v>
      </c>
      <c r="EM604" s="675">
        <v>0</v>
      </c>
      <c r="EN604" s="549">
        <v>0</v>
      </c>
      <c r="EO604" s="675">
        <v>0</v>
      </c>
      <c r="EP604" s="549">
        <v>0</v>
      </c>
      <c r="EQ604" s="675">
        <v>0</v>
      </c>
      <c r="ER604" s="549">
        <v>0</v>
      </c>
      <c r="ES604" s="675">
        <v>0</v>
      </c>
      <c r="ET604" s="549">
        <v>0</v>
      </c>
      <c r="EU604" s="675">
        <v>0</v>
      </c>
      <c r="EV604" s="549">
        <v>0</v>
      </c>
      <c r="EW604" s="675">
        <v>0</v>
      </c>
      <c r="EX604" s="549">
        <v>0</v>
      </c>
      <c r="EY604" s="675">
        <v>0</v>
      </c>
      <c r="EZ604" s="549">
        <v>0</v>
      </c>
      <c r="FA604" s="675">
        <v>0</v>
      </c>
      <c r="FB604" s="549">
        <v>0</v>
      </c>
      <c r="FC604" s="675">
        <v>0</v>
      </c>
      <c r="FD604" s="549">
        <v>0</v>
      </c>
      <c r="FE604" s="675">
        <v>0</v>
      </c>
      <c r="FF604" s="549">
        <v>0</v>
      </c>
      <c r="FG604" s="675">
        <v>0</v>
      </c>
      <c r="FH604" s="549">
        <v>0</v>
      </c>
      <c r="FI604" s="675">
        <v>0</v>
      </c>
      <c r="FJ604" s="549">
        <v>0</v>
      </c>
      <c r="FK604" s="675">
        <v>0</v>
      </c>
      <c r="FL604" s="549">
        <v>0</v>
      </c>
      <c r="FM604" s="675">
        <v>0</v>
      </c>
      <c r="FN604" s="549">
        <v>0</v>
      </c>
      <c r="FO604" s="675">
        <v>0</v>
      </c>
      <c r="FP604" s="549">
        <v>0</v>
      </c>
      <c r="FQ604" s="675">
        <v>0</v>
      </c>
      <c r="FR604" s="549">
        <v>0</v>
      </c>
      <c r="FS604" s="675">
        <v>0</v>
      </c>
      <c r="FT604" s="549">
        <v>0</v>
      </c>
      <c r="FU604" s="675">
        <v>0</v>
      </c>
      <c r="FV604" s="549">
        <v>0</v>
      </c>
      <c r="FW604" s="675">
        <v>0</v>
      </c>
      <c r="FX604" s="549">
        <v>0</v>
      </c>
      <c r="FY604" s="675">
        <v>0</v>
      </c>
      <c r="FZ604" s="549">
        <v>0</v>
      </c>
      <c r="GA604" s="675">
        <v>0</v>
      </c>
      <c r="GB604" s="549">
        <v>0</v>
      </c>
      <c r="GC604" s="675">
        <v>0</v>
      </c>
      <c r="GD604" s="549">
        <v>0</v>
      </c>
      <c r="GE604" s="675">
        <v>0</v>
      </c>
      <c r="GF604" s="549">
        <v>0</v>
      </c>
      <c r="GG604" s="675">
        <v>0</v>
      </c>
      <c r="GH604" s="549">
        <v>0</v>
      </c>
      <c r="GI604" s="675">
        <v>0</v>
      </c>
      <c r="GJ604" s="549">
        <v>0</v>
      </c>
      <c r="GK604" s="675">
        <v>0</v>
      </c>
      <c r="GL604" s="549">
        <v>0</v>
      </c>
      <c r="GM604" s="675">
        <v>0</v>
      </c>
      <c r="GN604" s="549">
        <v>0</v>
      </c>
      <c r="GO604" s="675">
        <v>0</v>
      </c>
      <c r="GP604" s="549">
        <f>+D604+F604+H604+J604+L604+N604+P604+R604+T604+V604+X604+Z604+AB604+AD604+AH604+AJ604+AL604+AN604+AP604+AR604+AT604+AV604+AX604+AZ604+BB604+BD604+BF604+BH604+BJ604+BL604+BN604+BP604+BR604+BT604+BV604+BX604+BZ604+CB604+CD604+CF604+CH604+CJ604+CL604+CN604+CP604+CR604+CT604+CV604+CX604+CZ604+DB604+DD604+DF604+DH604+DT604+EX604+DJ604+DL604+DN604+DP604+DR604+EJ604+EB604+DZ604+DX604+DV604+ED604+EF604+EH604+EL604+EN604+EP604+EV604+ET604+ER604+EZ604+FB604+FD604+GL604+FF604+FJ604+FL604+GJ604+FT604+FR604+FP604+FN604+FH604</f>
        <v>0</v>
      </c>
      <c r="GQ604" s="675">
        <f>+E604+G604+I604+K604+M604+O604+Q604+S604+U604+W604+Y604+AA604+AC604+AE604+AI604+AK604+AM604+AO604+AQ604+AS604+AU604+AW604+AY604+BA604+BC604+BE604+BG604+BI604+BK604+BM604+BO604+BQ604+BS604+BU604+BW604+BY604+CA604+CC604+CE604+CG604+CI604+CK604+CM604+CO604+CQ604+CS604+CU604+CW604+CY604+DA604+DC604+DE604+DG604+DI604+DU604+EY604+DK604+DM604+DO604+DQ604+DS604+EK604+EC604+EA604+DY604+DW604+EI604+EG604+EE604+EM604+EO604+EQ604+EW604+EU604+ES604+FA604+FC604+FE604+GM604+FG604+FK604+FM604+FO604+FQ604+FS604+FU604+GK604+FI604</f>
        <v>0</v>
      </c>
      <c r="GR604" s="74">
        <f>C604+GP604+GQ604</f>
        <v>0</v>
      </c>
      <c r="GS604" s="74">
        <f t="shared" si="13963"/>
        <v>0</v>
      </c>
      <c r="GT604" s="568">
        <f t="shared" si="13935"/>
        <v>0</v>
      </c>
      <c r="GU604" s="275">
        <v>0</v>
      </c>
      <c r="GV604" s="275">
        <v>0</v>
      </c>
      <c r="GW604" s="588">
        <v>0</v>
      </c>
      <c r="GX604" s="588">
        <v>0</v>
      </c>
      <c r="GY604" s="275">
        <v>0</v>
      </c>
      <c r="GZ604" s="275">
        <v>0</v>
      </c>
      <c r="HA604" s="275">
        <v>0</v>
      </c>
      <c r="HB604" s="275">
        <v>0</v>
      </c>
      <c r="HC604" s="275">
        <v>0</v>
      </c>
      <c r="HD604" s="275">
        <v>0</v>
      </c>
      <c r="HE604" s="275">
        <v>0</v>
      </c>
      <c r="HF604" s="275">
        <v>0</v>
      </c>
      <c r="HG604" s="74">
        <f>SUM(HH604:IE604)+GP604+GQ604</f>
        <v>0</v>
      </c>
      <c r="HH604" s="89">
        <v>0</v>
      </c>
      <c r="HI604" s="817">
        <v>0</v>
      </c>
      <c r="HJ604" s="89">
        <v>0</v>
      </c>
      <c r="HK604" s="817">
        <v>0</v>
      </c>
      <c r="HL604" s="89">
        <v>0</v>
      </c>
      <c r="HM604" s="817">
        <v>0</v>
      </c>
      <c r="HN604" s="89">
        <v>0</v>
      </c>
      <c r="HO604" s="817">
        <v>0</v>
      </c>
      <c r="HP604" s="89">
        <v>0</v>
      </c>
      <c r="HQ604" s="817">
        <v>0</v>
      </c>
      <c r="HR604" s="89">
        <v>0</v>
      </c>
      <c r="HS604" s="817">
        <v>0</v>
      </c>
      <c r="HT604" s="89">
        <v>0</v>
      </c>
      <c r="HU604" s="817">
        <v>0</v>
      </c>
      <c r="HV604" s="89">
        <v>0</v>
      </c>
      <c r="HW604" s="817">
        <v>0</v>
      </c>
      <c r="HX604" s="89">
        <v>0</v>
      </c>
      <c r="HY604" s="817">
        <v>0</v>
      </c>
      <c r="HZ604" s="89">
        <v>0</v>
      </c>
      <c r="IA604" s="817">
        <v>0</v>
      </c>
      <c r="IB604" s="89">
        <v>0</v>
      </c>
      <c r="IC604" s="817">
        <v>0</v>
      </c>
      <c r="ID604" s="89">
        <v>0</v>
      </c>
      <c r="IE604" s="817">
        <v>0</v>
      </c>
      <c r="IF604" s="841">
        <f t="shared" si="13936"/>
        <v>0</v>
      </c>
      <c r="IG604" s="263">
        <f t="shared" si="13937"/>
        <v>0</v>
      </c>
      <c r="IH604" s="842">
        <f t="shared" si="13938"/>
        <v>0</v>
      </c>
      <c r="II604" s="89">
        <v>0</v>
      </c>
      <c r="IJ604" s="89">
        <f t="shared" si="13939"/>
        <v>0</v>
      </c>
      <c r="IK604" s="89">
        <f t="shared" si="13940"/>
        <v>0</v>
      </c>
      <c r="IL604" s="89">
        <v>0</v>
      </c>
      <c r="IM604" s="89">
        <f t="shared" si="13941"/>
        <v>0</v>
      </c>
      <c r="IN604" s="89">
        <f t="shared" si="13942"/>
        <v>0</v>
      </c>
      <c r="IO604" s="89">
        <v>0</v>
      </c>
      <c r="IP604" s="89">
        <f t="shared" si="13943"/>
        <v>0</v>
      </c>
      <c r="IQ604" s="89">
        <f t="shared" si="13944"/>
        <v>0</v>
      </c>
      <c r="IR604" s="89">
        <v>0</v>
      </c>
      <c r="IS604" s="89">
        <f t="shared" si="13945"/>
        <v>0</v>
      </c>
      <c r="IT604" s="89">
        <f t="shared" si="13946"/>
        <v>0</v>
      </c>
      <c r="IU604" s="89">
        <v>0</v>
      </c>
      <c r="IV604" s="89">
        <f t="shared" si="13947"/>
        <v>0</v>
      </c>
      <c r="IW604" s="89">
        <f t="shared" si="13948"/>
        <v>0</v>
      </c>
      <c r="IX604" s="89">
        <v>0</v>
      </c>
      <c r="IY604" s="89">
        <f t="shared" si="13949"/>
        <v>0</v>
      </c>
      <c r="IZ604" s="89">
        <f t="shared" si="13950"/>
        <v>0</v>
      </c>
      <c r="JA604" s="89">
        <v>0</v>
      </c>
      <c r="JB604" s="89">
        <f t="shared" si="13951"/>
        <v>0</v>
      </c>
      <c r="JC604" s="89">
        <f t="shared" si="13952"/>
        <v>0</v>
      </c>
      <c r="JD604" s="89">
        <v>0</v>
      </c>
      <c r="JE604" s="89">
        <f t="shared" si="13953"/>
        <v>0</v>
      </c>
      <c r="JF604" s="89">
        <f t="shared" si="13954"/>
        <v>0</v>
      </c>
      <c r="JG604" s="89">
        <v>0</v>
      </c>
      <c r="JH604" s="89">
        <f t="shared" si="13955"/>
        <v>0</v>
      </c>
      <c r="JI604" s="89">
        <f t="shared" si="13956"/>
        <v>0</v>
      </c>
      <c r="JJ604" s="89">
        <v>0</v>
      </c>
      <c r="JK604" s="89">
        <f t="shared" si="13957"/>
        <v>0</v>
      </c>
      <c r="JL604" s="89">
        <f t="shared" si="13958"/>
        <v>0</v>
      </c>
      <c r="JM604" s="89">
        <v>0</v>
      </c>
      <c r="JN604" s="89">
        <f t="shared" si="13959"/>
        <v>0</v>
      </c>
      <c r="JO604" s="89">
        <f t="shared" si="13960"/>
        <v>0</v>
      </c>
      <c r="JP604" s="89">
        <v>0</v>
      </c>
      <c r="JQ604" s="89">
        <f t="shared" ref="JQ604:JR604" si="13966">JP604</f>
        <v>0</v>
      </c>
      <c r="JR604" s="89">
        <f t="shared" si="13966"/>
        <v>0</v>
      </c>
      <c r="JS604" s="74">
        <f>HG604-IF604</f>
        <v>0</v>
      </c>
      <c r="JT604" s="382">
        <f>GS604-IF604</f>
        <v>0</v>
      </c>
      <c r="JU604" s="665"/>
      <c r="JV604" s="524"/>
      <c r="JW604" s="525"/>
      <c r="JX604" s="549">
        <f t="shared" si="13962"/>
        <v>0</v>
      </c>
      <c r="JY604" s="549">
        <f t="shared" si="13962"/>
        <v>0</v>
      </c>
      <c r="JZ604" s="581">
        <f t="shared" si="13477"/>
        <v>0</v>
      </c>
      <c r="KA604" s="581">
        <f t="shared" si="13478"/>
        <v>0</v>
      </c>
      <c r="KB604" s="549">
        <f t="shared" si="13163"/>
        <v>0</v>
      </c>
      <c r="KC604" s="709">
        <f t="shared" si="13396"/>
        <v>0</v>
      </c>
      <c r="KD604" s="36"/>
      <c r="KE604" s="36"/>
      <c r="KF604" s="36"/>
      <c r="KG604" s="36"/>
      <c r="KH604" s="36"/>
      <c r="KI604" s="36"/>
      <c r="KJ604" s="36"/>
      <c r="KK604" s="36"/>
    </row>
    <row r="605" spans="1:297" s="33" customFormat="1" ht="12.75" hidden="1" customHeight="1">
      <c r="A605" s="86"/>
      <c r="B605" s="77"/>
      <c r="C605" s="74"/>
      <c r="D605" s="549"/>
      <c r="E605" s="675"/>
      <c r="F605" s="549"/>
      <c r="G605" s="675"/>
      <c r="H605" s="549"/>
      <c r="I605" s="675"/>
      <c r="J605" s="549"/>
      <c r="K605" s="675"/>
      <c r="L605" s="549"/>
      <c r="M605" s="675"/>
      <c r="N605" s="549"/>
      <c r="O605" s="675"/>
      <c r="P605" s="549"/>
      <c r="Q605" s="675"/>
      <c r="R605" s="549"/>
      <c r="S605" s="675"/>
      <c r="T605" s="549"/>
      <c r="U605" s="675"/>
      <c r="V605" s="549"/>
      <c r="W605" s="675"/>
      <c r="X605" s="549"/>
      <c r="Y605" s="675"/>
      <c r="Z605" s="549"/>
      <c r="AA605" s="675"/>
      <c r="AB605" s="549"/>
      <c r="AC605" s="675"/>
      <c r="AD605" s="549"/>
      <c r="AE605" s="675"/>
      <c r="AF605" s="549"/>
      <c r="AG605" s="675"/>
      <c r="AH605" s="549"/>
      <c r="AI605" s="675"/>
      <c r="AJ605" s="549"/>
      <c r="AK605" s="675"/>
      <c r="AL605" s="549"/>
      <c r="AM605" s="675"/>
      <c r="AN605" s="549"/>
      <c r="AO605" s="675"/>
      <c r="AP605" s="549"/>
      <c r="AQ605" s="675"/>
      <c r="AR605" s="549"/>
      <c r="AS605" s="675"/>
      <c r="AT605" s="549"/>
      <c r="AU605" s="675"/>
      <c r="AV605" s="549"/>
      <c r="AW605" s="675"/>
      <c r="AX605" s="549"/>
      <c r="AY605" s="675"/>
      <c r="AZ605" s="549"/>
      <c r="BA605" s="675"/>
      <c r="BB605" s="549"/>
      <c r="BC605" s="675"/>
      <c r="BD605" s="549"/>
      <c r="BE605" s="675"/>
      <c r="BF605" s="549"/>
      <c r="BG605" s="675"/>
      <c r="BH605" s="549"/>
      <c r="BI605" s="675"/>
      <c r="BJ605" s="549"/>
      <c r="BK605" s="675"/>
      <c r="BL605" s="549"/>
      <c r="BM605" s="675"/>
      <c r="BN605" s="549"/>
      <c r="BO605" s="675"/>
      <c r="BP605" s="549"/>
      <c r="BQ605" s="675"/>
      <c r="BR605" s="549"/>
      <c r="BS605" s="675"/>
      <c r="BT605" s="549"/>
      <c r="BU605" s="675"/>
      <c r="BV605" s="549"/>
      <c r="BW605" s="675"/>
      <c r="BX605" s="549"/>
      <c r="BY605" s="675"/>
      <c r="BZ605" s="549"/>
      <c r="CA605" s="675"/>
      <c r="CB605" s="549"/>
      <c r="CC605" s="675"/>
      <c r="CD605" s="549"/>
      <c r="CE605" s="675"/>
      <c r="CF605" s="549"/>
      <c r="CG605" s="675"/>
      <c r="CH605" s="549"/>
      <c r="CI605" s="675"/>
      <c r="CJ605" s="549"/>
      <c r="CK605" s="675"/>
      <c r="CL605" s="549"/>
      <c r="CM605" s="675"/>
      <c r="CN605" s="549"/>
      <c r="CO605" s="675"/>
      <c r="CP605" s="549"/>
      <c r="CQ605" s="675"/>
      <c r="CR605" s="549"/>
      <c r="CS605" s="675"/>
      <c r="CT605" s="549"/>
      <c r="CU605" s="675"/>
      <c r="CV605" s="549"/>
      <c r="CW605" s="675"/>
      <c r="CX605" s="549"/>
      <c r="CY605" s="675"/>
      <c r="CZ605" s="549"/>
      <c r="DA605" s="675"/>
      <c r="DB605" s="549"/>
      <c r="DC605" s="675"/>
      <c r="DD605" s="549"/>
      <c r="DE605" s="675"/>
      <c r="DF605" s="549"/>
      <c r="DG605" s="675"/>
      <c r="DH605" s="549"/>
      <c r="DI605" s="675"/>
      <c r="DJ605" s="549"/>
      <c r="DK605" s="675"/>
      <c r="DL605" s="549"/>
      <c r="DM605" s="675"/>
      <c r="DN605" s="549"/>
      <c r="DO605" s="675"/>
      <c r="DP605" s="549"/>
      <c r="DQ605" s="675"/>
      <c r="DR605" s="549"/>
      <c r="DS605" s="675"/>
      <c r="DT605" s="549"/>
      <c r="DU605" s="675"/>
      <c r="DV605" s="549"/>
      <c r="DW605" s="675"/>
      <c r="DX605" s="549"/>
      <c r="DY605" s="675"/>
      <c r="DZ605" s="549"/>
      <c r="EA605" s="675"/>
      <c r="EB605" s="549"/>
      <c r="EC605" s="675"/>
      <c r="ED605" s="549"/>
      <c r="EE605" s="675"/>
      <c r="EF605" s="549"/>
      <c r="EG605" s="675"/>
      <c r="EH605" s="549"/>
      <c r="EI605" s="675"/>
      <c r="EJ605" s="549"/>
      <c r="EK605" s="675"/>
      <c r="EL605" s="549"/>
      <c r="EM605" s="675"/>
      <c r="EN605" s="549"/>
      <c r="EO605" s="675"/>
      <c r="EP605" s="549"/>
      <c r="EQ605" s="675"/>
      <c r="ER605" s="549"/>
      <c r="ES605" s="675"/>
      <c r="ET605" s="549"/>
      <c r="EU605" s="675"/>
      <c r="EV605" s="549"/>
      <c r="EW605" s="675"/>
      <c r="EX605" s="549"/>
      <c r="EY605" s="675"/>
      <c r="EZ605" s="549"/>
      <c r="FA605" s="675"/>
      <c r="FB605" s="549"/>
      <c r="FC605" s="675"/>
      <c r="FD605" s="549"/>
      <c r="FE605" s="675"/>
      <c r="FF605" s="549"/>
      <c r="FG605" s="675"/>
      <c r="FH605" s="549"/>
      <c r="FI605" s="675"/>
      <c r="FJ605" s="549"/>
      <c r="FK605" s="675"/>
      <c r="FL605" s="549"/>
      <c r="FM605" s="675"/>
      <c r="FN605" s="549"/>
      <c r="FO605" s="675"/>
      <c r="FP605" s="549"/>
      <c r="FQ605" s="675"/>
      <c r="FR605" s="549"/>
      <c r="FS605" s="675"/>
      <c r="FT605" s="549"/>
      <c r="FU605" s="675"/>
      <c r="FV605" s="549"/>
      <c r="FW605" s="675"/>
      <c r="FX605" s="549"/>
      <c r="FY605" s="675"/>
      <c r="FZ605" s="549"/>
      <c r="GA605" s="675"/>
      <c r="GB605" s="549"/>
      <c r="GC605" s="675"/>
      <c r="GD605" s="549"/>
      <c r="GE605" s="675"/>
      <c r="GF605" s="549"/>
      <c r="GG605" s="675"/>
      <c r="GH605" s="549"/>
      <c r="GI605" s="675"/>
      <c r="GJ605" s="549"/>
      <c r="GK605" s="675"/>
      <c r="GL605" s="549"/>
      <c r="GM605" s="675"/>
      <c r="GN605" s="549"/>
      <c r="GO605" s="675"/>
      <c r="GP605" s="549"/>
      <c r="GQ605" s="675"/>
      <c r="GR605" s="74"/>
      <c r="GS605" s="74"/>
      <c r="GT605" s="568"/>
      <c r="GU605" s="89"/>
      <c r="GV605" s="89"/>
      <c r="GW605" s="568"/>
      <c r="GX605" s="568"/>
      <c r="GY605" s="89"/>
      <c r="GZ605" s="89"/>
      <c r="HA605" s="89"/>
      <c r="HB605" s="89"/>
      <c r="HC605" s="89"/>
      <c r="HD605" s="89"/>
      <c r="HE605" s="89"/>
      <c r="HF605" s="89"/>
      <c r="HG605" s="74"/>
      <c r="HH605" s="89"/>
      <c r="HI605" s="817"/>
      <c r="HJ605" s="89"/>
      <c r="HK605" s="817"/>
      <c r="HL605" s="89"/>
      <c r="HM605" s="817"/>
      <c r="HN605" s="89"/>
      <c r="HO605" s="817"/>
      <c r="HP605" s="89"/>
      <c r="HQ605" s="817"/>
      <c r="HR605" s="89"/>
      <c r="HS605" s="817"/>
      <c r="HT605" s="89"/>
      <c r="HU605" s="817"/>
      <c r="HV605" s="89"/>
      <c r="HW605" s="817"/>
      <c r="HX605" s="89"/>
      <c r="HY605" s="817"/>
      <c r="HZ605" s="89"/>
      <c r="IA605" s="817"/>
      <c r="IB605" s="89"/>
      <c r="IC605" s="817"/>
      <c r="ID605" s="89"/>
      <c r="IE605" s="817"/>
      <c r="IF605" s="841"/>
      <c r="IG605" s="263"/>
      <c r="IH605" s="842"/>
      <c r="II605" s="89"/>
      <c r="IJ605" s="89"/>
      <c r="IK605" s="89"/>
      <c r="IL605" s="89"/>
      <c r="IM605" s="89"/>
      <c r="IN605" s="89"/>
      <c r="IO605" s="89"/>
      <c r="IP605" s="89"/>
      <c r="IQ605" s="89"/>
      <c r="IR605" s="89"/>
      <c r="IS605" s="89"/>
      <c r="IT605" s="89"/>
      <c r="IU605" s="89"/>
      <c r="IV605" s="89"/>
      <c r="IW605" s="89"/>
      <c r="IX605" s="89"/>
      <c r="IY605" s="89"/>
      <c r="IZ605" s="89"/>
      <c r="JA605" s="89"/>
      <c r="JB605" s="89"/>
      <c r="JC605" s="89"/>
      <c r="JD605" s="89"/>
      <c r="JE605" s="89"/>
      <c r="JF605" s="89"/>
      <c r="JG605" s="89"/>
      <c r="JH605" s="89"/>
      <c r="JI605" s="89"/>
      <c r="JJ605" s="89"/>
      <c r="JK605" s="89"/>
      <c r="JL605" s="89"/>
      <c r="JM605" s="89"/>
      <c r="JN605" s="89"/>
      <c r="JO605" s="89"/>
      <c r="JP605" s="89"/>
      <c r="JQ605" s="89"/>
      <c r="JR605" s="89"/>
      <c r="JS605" s="74"/>
      <c r="JT605" s="382"/>
      <c r="JU605" s="665"/>
      <c r="JV605" s="524"/>
      <c r="JW605" s="525"/>
      <c r="JX605" s="549"/>
      <c r="JY605" s="549"/>
      <c r="JZ605" s="581">
        <f t="shared" si="13477"/>
        <v>0</v>
      </c>
      <c r="KA605" s="581">
        <f t="shared" si="13478"/>
        <v>0</v>
      </c>
      <c r="KB605" s="549">
        <f t="shared" si="13163"/>
        <v>0</v>
      </c>
      <c r="KC605" s="709">
        <f t="shared" si="13396"/>
        <v>0</v>
      </c>
      <c r="KD605" s="36"/>
      <c r="KE605" s="36"/>
      <c r="KF605" s="36"/>
      <c r="KG605" s="36"/>
      <c r="KH605" s="36"/>
      <c r="KI605" s="36"/>
      <c r="KJ605" s="36"/>
      <c r="KK605" s="36"/>
    </row>
    <row r="606" spans="1:297" s="33" customFormat="1" ht="12.75" hidden="1" customHeight="1">
      <c r="A606" s="80" t="s">
        <v>714</v>
      </c>
      <c r="B606" s="77"/>
      <c r="C606" s="74">
        <f>SUM(C607)</f>
        <v>0</v>
      </c>
      <c r="D606" s="549">
        <f t="shared" ref="D606:E606" si="13967">SUM(D607)</f>
        <v>0</v>
      </c>
      <c r="E606" s="675">
        <f t="shared" si="13967"/>
        <v>0</v>
      </c>
      <c r="F606" s="549">
        <f t="shared" ref="F606:IZ606" si="13968">SUM(F607)</f>
        <v>0</v>
      </c>
      <c r="G606" s="675">
        <f t="shared" si="13968"/>
        <v>0</v>
      </c>
      <c r="H606" s="549">
        <f t="shared" si="13968"/>
        <v>0</v>
      </c>
      <c r="I606" s="675">
        <f t="shared" si="13968"/>
        <v>0</v>
      </c>
      <c r="J606" s="549">
        <f t="shared" si="13968"/>
        <v>0</v>
      </c>
      <c r="K606" s="675">
        <f t="shared" si="13968"/>
        <v>0</v>
      </c>
      <c r="L606" s="549">
        <f t="shared" si="13968"/>
        <v>0</v>
      </c>
      <c r="M606" s="675">
        <f t="shared" si="13968"/>
        <v>0</v>
      </c>
      <c r="N606" s="549">
        <f t="shared" si="13968"/>
        <v>0</v>
      </c>
      <c r="O606" s="675">
        <f t="shared" si="13968"/>
        <v>0</v>
      </c>
      <c r="P606" s="549">
        <f t="shared" si="13968"/>
        <v>0</v>
      </c>
      <c r="Q606" s="675">
        <f t="shared" si="13968"/>
        <v>0</v>
      </c>
      <c r="R606" s="549">
        <f t="shared" si="13968"/>
        <v>0</v>
      </c>
      <c r="S606" s="675">
        <f t="shared" si="13968"/>
        <v>0</v>
      </c>
      <c r="T606" s="549">
        <f t="shared" si="13968"/>
        <v>0</v>
      </c>
      <c r="U606" s="675">
        <f t="shared" si="13968"/>
        <v>0</v>
      </c>
      <c r="V606" s="549">
        <f t="shared" si="13968"/>
        <v>0</v>
      </c>
      <c r="W606" s="675">
        <f t="shared" si="13968"/>
        <v>0</v>
      </c>
      <c r="X606" s="549">
        <f t="shared" si="13968"/>
        <v>0</v>
      </c>
      <c r="Y606" s="675">
        <f t="shared" si="13968"/>
        <v>0</v>
      </c>
      <c r="Z606" s="549">
        <f t="shared" si="13968"/>
        <v>0</v>
      </c>
      <c r="AA606" s="675">
        <f t="shared" si="13968"/>
        <v>0</v>
      </c>
      <c r="AB606" s="549">
        <f t="shared" si="13968"/>
        <v>0</v>
      </c>
      <c r="AC606" s="675">
        <f t="shared" si="13968"/>
        <v>0</v>
      </c>
      <c r="AD606" s="549">
        <f t="shared" si="13968"/>
        <v>0</v>
      </c>
      <c r="AE606" s="675">
        <f t="shared" si="13968"/>
        <v>0</v>
      </c>
      <c r="AF606" s="549">
        <f t="shared" si="13968"/>
        <v>0</v>
      </c>
      <c r="AG606" s="675">
        <f t="shared" si="13968"/>
        <v>0</v>
      </c>
      <c r="AH606" s="549">
        <f t="shared" si="13968"/>
        <v>0</v>
      </c>
      <c r="AI606" s="675">
        <f t="shared" si="13968"/>
        <v>0</v>
      </c>
      <c r="AJ606" s="549">
        <f t="shared" si="13968"/>
        <v>0</v>
      </c>
      <c r="AK606" s="675">
        <f t="shared" si="13968"/>
        <v>0</v>
      </c>
      <c r="AL606" s="549">
        <f t="shared" si="13968"/>
        <v>0</v>
      </c>
      <c r="AM606" s="675">
        <f t="shared" si="13968"/>
        <v>0</v>
      </c>
      <c r="AN606" s="549">
        <f t="shared" si="13968"/>
        <v>0</v>
      </c>
      <c r="AO606" s="675">
        <f t="shared" si="13968"/>
        <v>0</v>
      </c>
      <c r="AP606" s="549">
        <f t="shared" si="13968"/>
        <v>0</v>
      </c>
      <c r="AQ606" s="675">
        <f t="shared" si="13968"/>
        <v>0</v>
      </c>
      <c r="AR606" s="549">
        <f t="shared" si="13968"/>
        <v>0</v>
      </c>
      <c r="AS606" s="675">
        <f t="shared" si="13968"/>
        <v>0</v>
      </c>
      <c r="AT606" s="549">
        <f t="shared" si="13968"/>
        <v>0</v>
      </c>
      <c r="AU606" s="675">
        <f t="shared" si="13968"/>
        <v>0</v>
      </c>
      <c r="AV606" s="549">
        <f t="shared" si="13968"/>
        <v>0</v>
      </c>
      <c r="AW606" s="675">
        <f t="shared" si="13968"/>
        <v>0</v>
      </c>
      <c r="AX606" s="549">
        <f t="shared" si="13968"/>
        <v>0</v>
      </c>
      <c r="AY606" s="675">
        <f t="shared" si="13968"/>
        <v>0</v>
      </c>
      <c r="AZ606" s="549">
        <f t="shared" si="13968"/>
        <v>0</v>
      </c>
      <c r="BA606" s="675">
        <f t="shared" si="13968"/>
        <v>0</v>
      </c>
      <c r="BB606" s="549">
        <f t="shared" si="13968"/>
        <v>0</v>
      </c>
      <c r="BC606" s="675">
        <f t="shared" si="13968"/>
        <v>0</v>
      </c>
      <c r="BD606" s="549">
        <f t="shared" si="13968"/>
        <v>0</v>
      </c>
      <c r="BE606" s="675">
        <f t="shared" si="13968"/>
        <v>0</v>
      </c>
      <c r="BF606" s="549">
        <f t="shared" si="13968"/>
        <v>0</v>
      </c>
      <c r="BG606" s="675">
        <f t="shared" si="13968"/>
        <v>0</v>
      </c>
      <c r="BH606" s="549">
        <f t="shared" si="13968"/>
        <v>0</v>
      </c>
      <c r="BI606" s="675">
        <f t="shared" si="13968"/>
        <v>0</v>
      </c>
      <c r="BJ606" s="549">
        <f t="shared" si="13968"/>
        <v>0</v>
      </c>
      <c r="BK606" s="675">
        <f t="shared" si="13968"/>
        <v>0</v>
      </c>
      <c r="BL606" s="549">
        <f t="shared" si="13968"/>
        <v>0</v>
      </c>
      <c r="BM606" s="675">
        <f t="shared" si="13968"/>
        <v>0</v>
      </c>
      <c r="BN606" s="549">
        <f t="shared" si="13968"/>
        <v>0</v>
      </c>
      <c r="BO606" s="675">
        <f t="shared" si="13968"/>
        <v>0</v>
      </c>
      <c r="BP606" s="549">
        <f t="shared" si="13968"/>
        <v>0</v>
      </c>
      <c r="BQ606" s="675">
        <f t="shared" si="13968"/>
        <v>0</v>
      </c>
      <c r="BR606" s="549">
        <f t="shared" si="13968"/>
        <v>0</v>
      </c>
      <c r="BS606" s="675">
        <f t="shared" si="13968"/>
        <v>0</v>
      </c>
      <c r="BT606" s="549">
        <f t="shared" si="13968"/>
        <v>0</v>
      </c>
      <c r="BU606" s="675">
        <f t="shared" si="13968"/>
        <v>0</v>
      </c>
      <c r="BV606" s="549">
        <f t="shared" si="13968"/>
        <v>0</v>
      </c>
      <c r="BW606" s="675">
        <f t="shared" si="13968"/>
        <v>0</v>
      </c>
      <c r="BX606" s="549">
        <f t="shared" si="13968"/>
        <v>0</v>
      </c>
      <c r="BY606" s="675">
        <f t="shared" si="13968"/>
        <v>0</v>
      </c>
      <c r="BZ606" s="549">
        <f t="shared" si="13968"/>
        <v>0</v>
      </c>
      <c r="CA606" s="675">
        <f t="shared" si="13968"/>
        <v>0</v>
      </c>
      <c r="CB606" s="549">
        <f t="shared" si="13968"/>
        <v>0</v>
      </c>
      <c r="CC606" s="675">
        <f t="shared" si="13968"/>
        <v>0</v>
      </c>
      <c r="CD606" s="549">
        <f t="shared" si="13968"/>
        <v>0</v>
      </c>
      <c r="CE606" s="675">
        <f t="shared" si="13968"/>
        <v>0</v>
      </c>
      <c r="CF606" s="549">
        <f t="shared" si="13968"/>
        <v>0</v>
      </c>
      <c r="CG606" s="675">
        <f t="shared" si="13968"/>
        <v>0</v>
      </c>
      <c r="CH606" s="549">
        <f t="shared" si="13968"/>
        <v>0</v>
      </c>
      <c r="CI606" s="675">
        <f t="shared" si="13968"/>
        <v>0</v>
      </c>
      <c r="CJ606" s="549">
        <f t="shared" si="13968"/>
        <v>0</v>
      </c>
      <c r="CK606" s="675">
        <f t="shared" si="13968"/>
        <v>0</v>
      </c>
      <c r="CL606" s="549">
        <f t="shared" si="13968"/>
        <v>0</v>
      </c>
      <c r="CM606" s="675">
        <f t="shared" si="13968"/>
        <v>0</v>
      </c>
      <c r="CN606" s="549">
        <f t="shared" si="13968"/>
        <v>0</v>
      </c>
      <c r="CO606" s="675">
        <f t="shared" si="13968"/>
        <v>0</v>
      </c>
      <c r="CP606" s="549">
        <f t="shared" si="13968"/>
        <v>0</v>
      </c>
      <c r="CQ606" s="675">
        <f t="shared" si="13968"/>
        <v>0</v>
      </c>
      <c r="CR606" s="549">
        <f t="shared" si="13968"/>
        <v>0</v>
      </c>
      <c r="CS606" s="675">
        <f t="shared" si="13968"/>
        <v>0</v>
      </c>
      <c r="CT606" s="549">
        <f t="shared" si="13968"/>
        <v>0</v>
      </c>
      <c r="CU606" s="675">
        <f t="shared" si="13968"/>
        <v>0</v>
      </c>
      <c r="CV606" s="549">
        <f t="shared" si="13968"/>
        <v>0</v>
      </c>
      <c r="CW606" s="675">
        <f t="shared" si="13968"/>
        <v>0</v>
      </c>
      <c r="CX606" s="549">
        <f t="shared" si="13968"/>
        <v>0</v>
      </c>
      <c r="CY606" s="675">
        <f t="shared" si="13968"/>
        <v>0</v>
      </c>
      <c r="CZ606" s="549">
        <f t="shared" si="13968"/>
        <v>0</v>
      </c>
      <c r="DA606" s="675">
        <f t="shared" si="13968"/>
        <v>0</v>
      </c>
      <c r="DB606" s="549">
        <f t="shared" si="13968"/>
        <v>0</v>
      </c>
      <c r="DC606" s="675">
        <f t="shared" si="13968"/>
        <v>0</v>
      </c>
      <c r="DD606" s="549">
        <f t="shared" si="13968"/>
        <v>0</v>
      </c>
      <c r="DE606" s="675">
        <f t="shared" si="13968"/>
        <v>0</v>
      </c>
      <c r="DF606" s="549">
        <f t="shared" si="13968"/>
        <v>0</v>
      </c>
      <c r="DG606" s="675">
        <f t="shared" si="13968"/>
        <v>0</v>
      </c>
      <c r="DH606" s="549">
        <f t="shared" si="13968"/>
        <v>0</v>
      </c>
      <c r="DI606" s="675">
        <f t="shared" si="13968"/>
        <v>0</v>
      </c>
      <c r="DJ606" s="549">
        <f t="shared" si="13968"/>
        <v>0</v>
      </c>
      <c r="DK606" s="675">
        <f t="shared" si="13968"/>
        <v>0</v>
      </c>
      <c r="DL606" s="549">
        <f t="shared" si="13968"/>
        <v>0</v>
      </c>
      <c r="DM606" s="675">
        <f t="shared" si="13968"/>
        <v>0</v>
      </c>
      <c r="DN606" s="549">
        <f t="shared" si="13968"/>
        <v>0</v>
      </c>
      <c r="DO606" s="675">
        <f t="shared" si="13968"/>
        <v>0</v>
      </c>
      <c r="DP606" s="549">
        <f t="shared" si="13968"/>
        <v>0</v>
      </c>
      <c r="DQ606" s="675">
        <f t="shared" si="13968"/>
        <v>0</v>
      </c>
      <c r="DR606" s="549">
        <f t="shared" si="13968"/>
        <v>0</v>
      </c>
      <c r="DS606" s="675">
        <f t="shared" si="13968"/>
        <v>0</v>
      </c>
      <c r="DT606" s="549">
        <f t="shared" si="13968"/>
        <v>0</v>
      </c>
      <c r="DU606" s="675">
        <f t="shared" si="13968"/>
        <v>0</v>
      </c>
      <c r="DV606" s="549">
        <f t="shared" si="13968"/>
        <v>0</v>
      </c>
      <c r="DW606" s="675">
        <f t="shared" si="13968"/>
        <v>0</v>
      </c>
      <c r="DX606" s="549">
        <f t="shared" si="13968"/>
        <v>0</v>
      </c>
      <c r="DY606" s="675">
        <f t="shared" si="13968"/>
        <v>0</v>
      </c>
      <c r="DZ606" s="549">
        <f t="shared" si="13968"/>
        <v>0</v>
      </c>
      <c r="EA606" s="675">
        <f t="shared" si="13968"/>
        <v>0</v>
      </c>
      <c r="EB606" s="549">
        <f t="shared" si="13968"/>
        <v>0</v>
      </c>
      <c r="EC606" s="675">
        <f t="shared" si="13968"/>
        <v>0</v>
      </c>
      <c r="ED606" s="549">
        <f t="shared" si="13968"/>
        <v>0</v>
      </c>
      <c r="EE606" s="675">
        <f t="shared" si="13968"/>
        <v>0</v>
      </c>
      <c r="EF606" s="549">
        <f t="shared" si="13968"/>
        <v>0</v>
      </c>
      <c r="EG606" s="675">
        <f t="shared" si="13968"/>
        <v>0</v>
      </c>
      <c r="EH606" s="549">
        <f t="shared" si="13968"/>
        <v>0</v>
      </c>
      <c r="EI606" s="675">
        <f t="shared" si="13968"/>
        <v>0</v>
      </c>
      <c r="EJ606" s="549">
        <f t="shared" si="13968"/>
        <v>0</v>
      </c>
      <c r="EK606" s="675">
        <f t="shared" si="13968"/>
        <v>0</v>
      </c>
      <c r="EL606" s="549">
        <f t="shared" si="13968"/>
        <v>0</v>
      </c>
      <c r="EM606" s="675">
        <f t="shared" si="13968"/>
        <v>0</v>
      </c>
      <c r="EN606" s="549">
        <f t="shared" si="13968"/>
        <v>0</v>
      </c>
      <c r="EO606" s="675">
        <f t="shared" si="13968"/>
        <v>0</v>
      </c>
      <c r="EP606" s="549">
        <f t="shared" si="13968"/>
        <v>0</v>
      </c>
      <c r="EQ606" s="675">
        <f t="shared" si="13968"/>
        <v>0</v>
      </c>
      <c r="ER606" s="549">
        <f t="shared" si="13968"/>
        <v>0</v>
      </c>
      <c r="ES606" s="675">
        <f t="shared" si="13968"/>
        <v>0</v>
      </c>
      <c r="ET606" s="549">
        <f t="shared" si="13968"/>
        <v>0</v>
      </c>
      <c r="EU606" s="675">
        <f t="shared" si="13968"/>
        <v>0</v>
      </c>
      <c r="EV606" s="549">
        <f t="shared" si="13968"/>
        <v>0</v>
      </c>
      <c r="EW606" s="675">
        <f t="shared" si="13968"/>
        <v>0</v>
      </c>
      <c r="EX606" s="549">
        <f t="shared" si="13968"/>
        <v>0</v>
      </c>
      <c r="EY606" s="675">
        <f t="shared" si="13968"/>
        <v>0</v>
      </c>
      <c r="EZ606" s="549">
        <f t="shared" si="13968"/>
        <v>0</v>
      </c>
      <c r="FA606" s="675">
        <f t="shared" si="13968"/>
        <v>0</v>
      </c>
      <c r="FB606" s="549">
        <f t="shared" si="13968"/>
        <v>0</v>
      </c>
      <c r="FC606" s="675">
        <f t="shared" si="13968"/>
        <v>0</v>
      </c>
      <c r="FD606" s="549">
        <f t="shared" si="13968"/>
        <v>0</v>
      </c>
      <c r="FE606" s="675">
        <f t="shared" si="13968"/>
        <v>0</v>
      </c>
      <c r="FF606" s="549">
        <f t="shared" si="13968"/>
        <v>0</v>
      </c>
      <c r="FG606" s="675">
        <f t="shared" si="13968"/>
        <v>0</v>
      </c>
      <c r="FH606" s="549">
        <f t="shared" si="13968"/>
        <v>0</v>
      </c>
      <c r="FI606" s="675">
        <f t="shared" si="13968"/>
        <v>0</v>
      </c>
      <c r="FJ606" s="549">
        <f t="shared" si="13968"/>
        <v>0</v>
      </c>
      <c r="FK606" s="675">
        <f t="shared" si="13968"/>
        <v>0</v>
      </c>
      <c r="FL606" s="549">
        <f t="shared" si="13968"/>
        <v>0</v>
      </c>
      <c r="FM606" s="675">
        <f t="shared" si="13968"/>
        <v>0</v>
      </c>
      <c r="FN606" s="549">
        <f t="shared" si="13968"/>
        <v>0</v>
      </c>
      <c r="FO606" s="675">
        <f t="shared" si="13968"/>
        <v>0</v>
      </c>
      <c r="FP606" s="549">
        <f t="shared" si="13968"/>
        <v>0</v>
      </c>
      <c r="FQ606" s="675">
        <f t="shared" si="13968"/>
        <v>0</v>
      </c>
      <c r="FR606" s="549">
        <f t="shared" si="13968"/>
        <v>0</v>
      </c>
      <c r="FS606" s="675">
        <f t="shared" si="13968"/>
        <v>0</v>
      </c>
      <c r="FT606" s="549">
        <f t="shared" si="13968"/>
        <v>0</v>
      </c>
      <c r="FU606" s="675">
        <f t="shared" si="13968"/>
        <v>0</v>
      </c>
      <c r="FV606" s="549">
        <f t="shared" si="13968"/>
        <v>0</v>
      </c>
      <c r="FW606" s="675">
        <f t="shared" si="13968"/>
        <v>0</v>
      </c>
      <c r="FX606" s="549">
        <f t="shared" si="13968"/>
        <v>0</v>
      </c>
      <c r="FY606" s="675">
        <f t="shared" si="13968"/>
        <v>0</v>
      </c>
      <c r="FZ606" s="549">
        <f t="shared" si="13968"/>
        <v>0</v>
      </c>
      <c r="GA606" s="675">
        <f t="shared" si="13968"/>
        <v>0</v>
      </c>
      <c r="GB606" s="549">
        <f t="shared" si="13968"/>
        <v>0</v>
      </c>
      <c r="GC606" s="675">
        <f t="shared" si="13968"/>
        <v>0</v>
      </c>
      <c r="GD606" s="549">
        <f t="shared" si="13968"/>
        <v>0</v>
      </c>
      <c r="GE606" s="675">
        <f t="shared" si="13968"/>
        <v>0</v>
      </c>
      <c r="GF606" s="549">
        <f t="shared" si="13968"/>
        <v>0</v>
      </c>
      <c r="GG606" s="675">
        <f t="shared" si="13968"/>
        <v>0</v>
      </c>
      <c r="GH606" s="549">
        <f t="shared" si="13968"/>
        <v>0</v>
      </c>
      <c r="GI606" s="675">
        <f t="shared" si="13968"/>
        <v>0</v>
      </c>
      <c r="GJ606" s="549">
        <f t="shared" si="13968"/>
        <v>0</v>
      </c>
      <c r="GK606" s="675">
        <f t="shared" si="13968"/>
        <v>0</v>
      </c>
      <c r="GL606" s="549">
        <f t="shared" si="13968"/>
        <v>0</v>
      </c>
      <c r="GM606" s="675">
        <f t="shared" si="13968"/>
        <v>0</v>
      </c>
      <c r="GN606" s="549">
        <f t="shared" si="13968"/>
        <v>0</v>
      </c>
      <c r="GO606" s="675">
        <f t="shared" si="13968"/>
        <v>0</v>
      </c>
      <c r="GP606" s="549">
        <f t="shared" si="13968"/>
        <v>0</v>
      </c>
      <c r="GQ606" s="675">
        <f t="shared" si="13968"/>
        <v>0</v>
      </c>
      <c r="GR606" s="74">
        <f t="shared" si="13968"/>
        <v>0</v>
      </c>
      <c r="GS606" s="74">
        <f t="shared" si="13968"/>
        <v>0</v>
      </c>
      <c r="GT606" s="549">
        <f t="shared" si="13968"/>
        <v>0</v>
      </c>
      <c r="GU606" s="74">
        <f t="shared" si="13968"/>
        <v>0</v>
      </c>
      <c r="GV606" s="74">
        <f t="shared" si="13968"/>
        <v>0</v>
      </c>
      <c r="GW606" s="549">
        <f t="shared" si="13968"/>
        <v>0</v>
      </c>
      <c r="GX606" s="549">
        <f t="shared" si="13968"/>
        <v>0</v>
      </c>
      <c r="GY606" s="74">
        <f t="shared" si="13968"/>
        <v>0</v>
      </c>
      <c r="GZ606" s="74">
        <f t="shared" si="13968"/>
        <v>0</v>
      </c>
      <c r="HA606" s="74">
        <f t="shared" si="13968"/>
        <v>0</v>
      </c>
      <c r="HB606" s="74">
        <f t="shared" si="13968"/>
        <v>0</v>
      </c>
      <c r="HC606" s="74">
        <f t="shared" si="13968"/>
        <v>0</v>
      </c>
      <c r="HD606" s="74">
        <f t="shared" si="13968"/>
        <v>0</v>
      </c>
      <c r="HE606" s="74">
        <f t="shared" si="13968"/>
        <v>0</v>
      </c>
      <c r="HF606" s="74">
        <f t="shared" si="13968"/>
        <v>0</v>
      </c>
      <c r="HG606" s="74">
        <f t="shared" si="13968"/>
        <v>0</v>
      </c>
      <c r="HH606" s="74">
        <f t="shared" ref="HH606:HI606" si="13969">SUM(HH607)</f>
        <v>0</v>
      </c>
      <c r="HI606" s="792">
        <f t="shared" si="13969"/>
        <v>0</v>
      </c>
      <c r="HJ606" s="74">
        <f t="shared" ref="HJ606:HK606" si="13970">SUM(HJ607)</f>
        <v>0</v>
      </c>
      <c r="HK606" s="792">
        <f t="shared" si="13970"/>
        <v>0</v>
      </c>
      <c r="HL606" s="74">
        <f t="shared" ref="HL606:HM606" si="13971">SUM(HL607)</f>
        <v>0</v>
      </c>
      <c r="HM606" s="792">
        <f t="shared" si="13971"/>
        <v>0</v>
      </c>
      <c r="HN606" s="74">
        <f t="shared" ref="HN606:HO606" si="13972">SUM(HN607)</f>
        <v>0</v>
      </c>
      <c r="HO606" s="792">
        <f t="shared" si="13972"/>
        <v>0</v>
      </c>
      <c r="HP606" s="74">
        <f t="shared" ref="HP606:HQ606" si="13973">SUM(HP607)</f>
        <v>0</v>
      </c>
      <c r="HQ606" s="792">
        <f t="shared" si="13973"/>
        <v>0</v>
      </c>
      <c r="HR606" s="74">
        <f t="shared" ref="HR606:HS606" si="13974">SUM(HR607)</f>
        <v>0</v>
      </c>
      <c r="HS606" s="792">
        <f t="shared" si="13974"/>
        <v>0</v>
      </c>
      <c r="HT606" s="74">
        <f t="shared" ref="HT606:HU606" si="13975">SUM(HT607)</f>
        <v>0</v>
      </c>
      <c r="HU606" s="792">
        <f t="shared" si="13975"/>
        <v>0</v>
      </c>
      <c r="HV606" s="74">
        <f t="shared" ref="HV606:HW606" si="13976">SUM(HV607)</f>
        <v>0</v>
      </c>
      <c r="HW606" s="792">
        <f t="shared" si="13976"/>
        <v>0</v>
      </c>
      <c r="HX606" s="74">
        <f t="shared" ref="HX606:HY606" si="13977">SUM(HX607)</f>
        <v>0</v>
      </c>
      <c r="HY606" s="792">
        <f t="shared" si="13977"/>
        <v>0</v>
      </c>
      <c r="HZ606" s="74">
        <f t="shared" ref="HZ606:IA606" si="13978">SUM(HZ607)</f>
        <v>0</v>
      </c>
      <c r="IA606" s="792">
        <f t="shared" si="13978"/>
        <v>0</v>
      </c>
      <c r="IB606" s="74">
        <f t="shared" ref="IB606:IC606" si="13979">SUM(IB607)</f>
        <v>0</v>
      </c>
      <c r="IC606" s="792">
        <f t="shared" si="13979"/>
        <v>0</v>
      </c>
      <c r="ID606" s="74">
        <f t="shared" si="13968"/>
        <v>0</v>
      </c>
      <c r="IE606" s="792">
        <f t="shared" si="13968"/>
        <v>0</v>
      </c>
      <c r="IF606" s="841">
        <f t="shared" si="13968"/>
        <v>0</v>
      </c>
      <c r="IG606" s="263">
        <f t="shared" si="13968"/>
        <v>0</v>
      </c>
      <c r="IH606" s="842">
        <f t="shared" si="13968"/>
        <v>0</v>
      </c>
      <c r="II606" s="74">
        <f t="shared" si="13968"/>
        <v>0</v>
      </c>
      <c r="IJ606" s="74">
        <f t="shared" si="13968"/>
        <v>0</v>
      </c>
      <c r="IK606" s="74">
        <f t="shared" si="13968"/>
        <v>0</v>
      </c>
      <c r="IL606" s="74">
        <f t="shared" si="13968"/>
        <v>0</v>
      </c>
      <c r="IM606" s="74">
        <f t="shared" si="13968"/>
        <v>0</v>
      </c>
      <c r="IN606" s="74">
        <f t="shared" si="13968"/>
        <v>0</v>
      </c>
      <c r="IO606" s="74">
        <f t="shared" si="13968"/>
        <v>0</v>
      </c>
      <c r="IP606" s="74">
        <f t="shared" si="13968"/>
        <v>0</v>
      </c>
      <c r="IQ606" s="74">
        <f t="shared" si="13968"/>
        <v>0</v>
      </c>
      <c r="IR606" s="74">
        <f t="shared" si="13968"/>
        <v>0</v>
      </c>
      <c r="IS606" s="74">
        <f t="shared" si="13968"/>
        <v>0</v>
      </c>
      <c r="IT606" s="74">
        <f t="shared" si="13968"/>
        <v>0</v>
      </c>
      <c r="IU606" s="74">
        <f t="shared" si="13968"/>
        <v>0</v>
      </c>
      <c r="IV606" s="74">
        <f t="shared" si="13968"/>
        <v>0</v>
      </c>
      <c r="IW606" s="74">
        <f t="shared" si="13968"/>
        <v>0</v>
      </c>
      <c r="IX606" s="74">
        <f t="shared" si="13968"/>
        <v>0</v>
      </c>
      <c r="IY606" s="74">
        <f t="shared" si="13968"/>
        <v>0</v>
      </c>
      <c r="IZ606" s="74">
        <f t="shared" si="13968"/>
        <v>0</v>
      </c>
      <c r="JA606" s="74">
        <f t="shared" ref="JA606:JY606" si="13980">SUM(JA607)</f>
        <v>0</v>
      </c>
      <c r="JB606" s="74">
        <f t="shared" si="13980"/>
        <v>0</v>
      </c>
      <c r="JC606" s="74">
        <f t="shared" si="13980"/>
        <v>0</v>
      </c>
      <c r="JD606" s="74">
        <f t="shared" si="13980"/>
        <v>0</v>
      </c>
      <c r="JE606" s="74">
        <f t="shared" si="13980"/>
        <v>0</v>
      </c>
      <c r="JF606" s="74">
        <f t="shared" si="13980"/>
        <v>0</v>
      </c>
      <c r="JG606" s="74">
        <f t="shared" si="13980"/>
        <v>0</v>
      </c>
      <c r="JH606" s="74">
        <f t="shared" si="13980"/>
        <v>0</v>
      </c>
      <c r="JI606" s="74">
        <f t="shared" si="13980"/>
        <v>0</v>
      </c>
      <c r="JJ606" s="74">
        <f t="shared" si="13980"/>
        <v>0</v>
      </c>
      <c r="JK606" s="74">
        <f t="shared" si="13980"/>
        <v>0</v>
      </c>
      <c r="JL606" s="74">
        <f t="shared" si="13980"/>
        <v>0</v>
      </c>
      <c r="JM606" s="74">
        <f t="shared" si="13980"/>
        <v>0</v>
      </c>
      <c r="JN606" s="74">
        <f t="shared" si="13980"/>
        <v>0</v>
      </c>
      <c r="JO606" s="74">
        <f t="shared" si="13980"/>
        <v>0</v>
      </c>
      <c r="JP606" s="74">
        <f t="shared" si="13980"/>
        <v>0</v>
      </c>
      <c r="JQ606" s="74">
        <f t="shared" si="13980"/>
        <v>0</v>
      </c>
      <c r="JR606" s="74">
        <f t="shared" si="13980"/>
        <v>0</v>
      </c>
      <c r="JS606" s="74">
        <f t="shared" si="13980"/>
        <v>0</v>
      </c>
      <c r="JT606" s="382">
        <f t="shared" si="13980"/>
        <v>0</v>
      </c>
      <c r="JU606" s="665"/>
      <c r="JV606" s="524"/>
      <c r="JW606" s="525"/>
      <c r="JX606" s="549">
        <f t="shared" si="13980"/>
        <v>0</v>
      </c>
      <c r="JY606" s="549">
        <f t="shared" si="13980"/>
        <v>0</v>
      </c>
      <c r="JZ606" s="581">
        <f t="shared" si="13477"/>
        <v>0</v>
      </c>
      <c r="KA606" s="581">
        <f t="shared" si="13478"/>
        <v>0</v>
      </c>
      <c r="KB606" s="549">
        <f t="shared" si="13163"/>
        <v>0</v>
      </c>
      <c r="KC606" s="709">
        <f t="shared" si="13396"/>
        <v>0</v>
      </c>
      <c r="KD606" s="36"/>
      <c r="KE606" s="36"/>
      <c r="KF606" s="36"/>
      <c r="KG606" s="36"/>
      <c r="KH606" s="36"/>
      <c r="KI606" s="36"/>
      <c r="KJ606" s="36"/>
      <c r="KK606" s="36"/>
    </row>
    <row r="607" spans="1:297" s="33" customFormat="1" ht="12.75" hidden="1" customHeight="1">
      <c r="A607" s="86" t="s">
        <v>715</v>
      </c>
      <c r="B607" s="77"/>
      <c r="C607" s="74">
        <v>0</v>
      </c>
      <c r="D607" s="549">
        <v>0</v>
      </c>
      <c r="E607" s="675">
        <v>0</v>
      </c>
      <c r="F607" s="549">
        <v>0</v>
      </c>
      <c r="G607" s="675">
        <v>0</v>
      </c>
      <c r="H607" s="549">
        <v>0</v>
      </c>
      <c r="I607" s="675">
        <v>0</v>
      </c>
      <c r="J607" s="549">
        <v>0</v>
      </c>
      <c r="K607" s="675">
        <v>0</v>
      </c>
      <c r="L607" s="549">
        <v>0</v>
      </c>
      <c r="M607" s="675">
        <v>0</v>
      </c>
      <c r="N607" s="549">
        <v>0</v>
      </c>
      <c r="O607" s="675">
        <v>0</v>
      </c>
      <c r="P607" s="549">
        <v>0</v>
      </c>
      <c r="Q607" s="675">
        <v>0</v>
      </c>
      <c r="R607" s="549">
        <v>0</v>
      </c>
      <c r="S607" s="675">
        <v>0</v>
      </c>
      <c r="T607" s="549">
        <v>0</v>
      </c>
      <c r="U607" s="675">
        <v>0</v>
      </c>
      <c r="V607" s="549">
        <v>0</v>
      </c>
      <c r="W607" s="675">
        <v>0</v>
      </c>
      <c r="X607" s="549">
        <v>0</v>
      </c>
      <c r="Y607" s="675">
        <v>0</v>
      </c>
      <c r="Z607" s="549">
        <v>0</v>
      </c>
      <c r="AA607" s="675">
        <v>0</v>
      </c>
      <c r="AB607" s="549">
        <v>0</v>
      </c>
      <c r="AC607" s="675">
        <v>0</v>
      </c>
      <c r="AD607" s="549">
        <v>0</v>
      </c>
      <c r="AE607" s="675">
        <v>0</v>
      </c>
      <c r="AF607" s="549">
        <v>0</v>
      </c>
      <c r="AG607" s="675">
        <v>0</v>
      </c>
      <c r="AH607" s="549">
        <v>0</v>
      </c>
      <c r="AI607" s="675">
        <v>0</v>
      </c>
      <c r="AJ607" s="549">
        <v>0</v>
      </c>
      <c r="AK607" s="675">
        <v>0</v>
      </c>
      <c r="AL607" s="549">
        <v>0</v>
      </c>
      <c r="AM607" s="675">
        <v>0</v>
      </c>
      <c r="AN607" s="549">
        <v>0</v>
      </c>
      <c r="AO607" s="675">
        <v>0</v>
      </c>
      <c r="AP607" s="549">
        <v>0</v>
      </c>
      <c r="AQ607" s="675">
        <v>0</v>
      </c>
      <c r="AR607" s="549">
        <v>0</v>
      </c>
      <c r="AS607" s="675">
        <v>0</v>
      </c>
      <c r="AT607" s="549">
        <v>0</v>
      </c>
      <c r="AU607" s="675">
        <v>0</v>
      </c>
      <c r="AV607" s="549">
        <v>0</v>
      </c>
      <c r="AW607" s="675">
        <v>0</v>
      </c>
      <c r="AX607" s="549">
        <v>0</v>
      </c>
      <c r="AY607" s="675">
        <v>0</v>
      </c>
      <c r="AZ607" s="549">
        <v>0</v>
      </c>
      <c r="BA607" s="675">
        <v>0</v>
      </c>
      <c r="BB607" s="549">
        <v>0</v>
      </c>
      <c r="BC607" s="675">
        <v>0</v>
      </c>
      <c r="BD607" s="549">
        <v>0</v>
      </c>
      <c r="BE607" s="675">
        <v>0</v>
      </c>
      <c r="BF607" s="549">
        <v>0</v>
      </c>
      <c r="BG607" s="675">
        <v>0</v>
      </c>
      <c r="BH607" s="549">
        <v>0</v>
      </c>
      <c r="BI607" s="675">
        <v>0</v>
      </c>
      <c r="BJ607" s="549">
        <v>0</v>
      </c>
      <c r="BK607" s="675">
        <v>0</v>
      </c>
      <c r="BL607" s="549">
        <v>0</v>
      </c>
      <c r="BM607" s="675">
        <v>0</v>
      </c>
      <c r="BN607" s="549">
        <v>0</v>
      </c>
      <c r="BO607" s="675">
        <v>0</v>
      </c>
      <c r="BP607" s="549">
        <v>0</v>
      </c>
      <c r="BQ607" s="675">
        <v>0</v>
      </c>
      <c r="BR607" s="549">
        <v>0</v>
      </c>
      <c r="BS607" s="675">
        <v>0</v>
      </c>
      <c r="BT607" s="549">
        <v>0</v>
      </c>
      <c r="BU607" s="675">
        <v>0</v>
      </c>
      <c r="BV607" s="549">
        <v>0</v>
      </c>
      <c r="BW607" s="675">
        <v>0</v>
      </c>
      <c r="BX607" s="549">
        <v>0</v>
      </c>
      <c r="BY607" s="675">
        <v>0</v>
      </c>
      <c r="BZ607" s="549">
        <v>0</v>
      </c>
      <c r="CA607" s="675">
        <v>0</v>
      </c>
      <c r="CB607" s="549">
        <v>0</v>
      </c>
      <c r="CC607" s="675">
        <v>0</v>
      </c>
      <c r="CD607" s="549">
        <v>0</v>
      </c>
      <c r="CE607" s="675">
        <v>0</v>
      </c>
      <c r="CF607" s="549">
        <v>0</v>
      </c>
      <c r="CG607" s="675">
        <v>0</v>
      </c>
      <c r="CH607" s="549">
        <v>0</v>
      </c>
      <c r="CI607" s="675">
        <v>0</v>
      </c>
      <c r="CJ607" s="549">
        <v>0</v>
      </c>
      <c r="CK607" s="675">
        <v>0</v>
      </c>
      <c r="CL607" s="549">
        <v>0</v>
      </c>
      <c r="CM607" s="675">
        <v>0</v>
      </c>
      <c r="CN607" s="549">
        <v>0</v>
      </c>
      <c r="CO607" s="675">
        <v>0</v>
      </c>
      <c r="CP607" s="549">
        <v>0</v>
      </c>
      <c r="CQ607" s="675">
        <v>0</v>
      </c>
      <c r="CR607" s="549">
        <v>0</v>
      </c>
      <c r="CS607" s="675">
        <v>0</v>
      </c>
      <c r="CT607" s="549">
        <v>0</v>
      </c>
      <c r="CU607" s="675">
        <v>0</v>
      </c>
      <c r="CV607" s="549">
        <v>0</v>
      </c>
      <c r="CW607" s="675">
        <v>0</v>
      </c>
      <c r="CX607" s="549">
        <v>0</v>
      </c>
      <c r="CY607" s="675">
        <v>0</v>
      </c>
      <c r="CZ607" s="549">
        <v>0</v>
      </c>
      <c r="DA607" s="675">
        <v>0</v>
      </c>
      <c r="DB607" s="549">
        <v>0</v>
      </c>
      <c r="DC607" s="675">
        <v>0</v>
      </c>
      <c r="DD607" s="549">
        <v>0</v>
      </c>
      <c r="DE607" s="675">
        <v>0</v>
      </c>
      <c r="DF607" s="549">
        <v>0</v>
      </c>
      <c r="DG607" s="675">
        <v>0</v>
      </c>
      <c r="DH607" s="549">
        <v>0</v>
      </c>
      <c r="DI607" s="675">
        <v>0</v>
      </c>
      <c r="DJ607" s="549">
        <v>0</v>
      </c>
      <c r="DK607" s="675">
        <v>0</v>
      </c>
      <c r="DL607" s="549">
        <v>0</v>
      </c>
      <c r="DM607" s="675">
        <v>0</v>
      </c>
      <c r="DN607" s="549">
        <v>0</v>
      </c>
      <c r="DO607" s="675">
        <v>0</v>
      </c>
      <c r="DP607" s="549">
        <v>0</v>
      </c>
      <c r="DQ607" s="675">
        <v>0</v>
      </c>
      <c r="DR607" s="549">
        <v>0</v>
      </c>
      <c r="DS607" s="675">
        <v>0</v>
      </c>
      <c r="DT607" s="549">
        <v>0</v>
      </c>
      <c r="DU607" s="675">
        <v>0</v>
      </c>
      <c r="DV607" s="549">
        <v>0</v>
      </c>
      <c r="DW607" s="675">
        <v>0</v>
      </c>
      <c r="DX607" s="549">
        <v>0</v>
      </c>
      <c r="DY607" s="675">
        <v>0</v>
      </c>
      <c r="DZ607" s="549">
        <v>0</v>
      </c>
      <c r="EA607" s="675">
        <v>0</v>
      </c>
      <c r="EB607" s="549">
        <v>0</v>
      </c>
      <c r="EC607" s="675">
        <v>0</v>
      </c>
      <c r="ED607" s="549">
        <v>0</v>
      </c>
      <c r="EE607" s="675">
        <v>0</v>
      </c>
      <c r="EF607" s="549">
        <v>0</v>
      </c>
      <c r="EG607" s="675">
        <v>0</v>
      </c>
      <c r="EH607" s="549">
        <v>0</v>
      </c>
      <c r="EI607" s="675">
        <v>0</v>
      </c>
      <c r="EJ607" s="549">
        <v>0</v>
      </c>
      <c r="EK607" s="675">
        <v>0</v>
      </c>
      <c r="EL607" s="549">
        <v>0</v>
      </c>
      <c r="EM607" s="675">
        <v>0</v>
      </c>
      <c r="EN607" s="549">
        <v>0</v>
      </c>
      <c r="EO607" s="675">
        <v>0</v>
      </c>
      <c r="EP607" s="549">
        <v>0</v>
      </c>
      <c r="EQ607" s="675">
        <v>0</v>
      </c>
      <c r="ER607" s="549">
        <v>0</v>
      </c>
      <c r="ES607" s="675">
        <v>0</v>
      </c>
      <c r="ET607" s="549">
        <v>0</v>
      </c>
      <c r="EU607" s="675">
        <v>0</v>
      </c>
      <c r="EV607" s="549">
        <v>0</v>
      </c>
      <c r="EW607" s="675">
        <v>0</v>
      </c>
      <c r="EX607" s="549">
        <v>0</v>
      </c>
      <c r="EY607" s="675">
        <v>0</v>
      </c>
      <c r="EZ607" s="549">
        <v>0</v>
      </c>
      <c r="FA607" s="675">
        <v>0</v>
      </c>
      <c r="FB607" s="549">
        <v>0</v>
      </c>
      <c r="FC607" s="675">
        <v>0</v>
      </c>
      <c r="FD607" s="549">
        <v>0</v>
      </c>
      <c r="FE607" s="675">
        <v>0</v>
      </c>
      <c r="FF607" s="549">
        <v>0</v>
      </c>
      <c r="FG607" s="675">
        <v>0</v>
      </c>
      <c r="FH607" s="549">
        <v>0</v>
      </c>
      <c r="FI607" s="675">
        <v>0</v>
      </c>
      <c r="FJ607" s="549">
        <v>0</v>
      </c>
      <c r="FK607" s="675">
        <v>0</v>
      </c>
      <c r="FL607" s="549">
        <v>0</v>
      </c>
      <c r="FM607" s="675">
        <v>0</v>
      </c>
      <c r="FN607" s="549">
        <v>0</v>
      </c>
      <c r="FO607" s="675">
        <v>0</v>
      </c>
      <c r="FP607" s="549">
        <v>0</v>
      </c>
      <c r="FQ607" s="675">
        <v>0</v>
      </c>
      <c r="FR607" s="549">
        <v>0</v>
      </c>
      <c r="FS607" s="675">
        <v>0</v>
      </c>
      <c r="FT607" s="549">
        <v>0</v>
      </c>
      <c r="FU607" s="675">
        <v>0</v>
      </c>
      <c r="FV607" s="549">
        <v>0</v>
      </c>
      <c r="FW607" s="675">
        <v>0</v>
      </c>
      <c r="FX607" s="549">
        <v>0</v>
      </c>
      <c r="FY607" s="675">
        <v>0</v>
      </c>
      <c r="FZ607" s="549">
        <v>0</v>
      </c>
      <c r="GA607" s="675">
        <v>0</v>
      </c>
      <c r="GB607" s="549">
        <v>0</v>
      </c>
      <c r="GC607" s="675">
        <v>0</v>
      </c>
      <c r="GD607" s="549">
        <v>0</v>
      </c>
      <c r="GE607" s="675">
        <v>0</v>
      </c>
      <c r="GF607" s="549">
        <v>0</v>
      </c>
      <c r="GG607" s="675">
        <v>0</v>
      </c>
      <c r="GH607" s="549">
        <v>0</v>
      </c>
      <c r="GI607" s="675">
        <v>0</v>
      </c>
      <c r="GJ607" s="549">
        <v>0</v>
      </c>
      <c r="GK607" s="675">
        <v>0</v>
      </c>
      <c r="GL607" s="549">
        <v>0</v>
      </c>
      <c r="GM607" s="675">
        <v>0</v>
      </c>
      <c r="GN607" s="549">
        <v>0</v>
      </c>
      <c r="GO607" s="675">
        <v>0</v>
      </c>
      <c r="GP607" s="549">
        <f>+D607+F607+H607+J607+L607+N607+P607+R607+T607+V607+X607+Z607+AB607+AD607+AH607+AJ607+AL607+AN607+AP607+AR607+AT607+AV607+AX607+AZ607+BB607+BD607+BF607+BH607+BJ607+BL607+BN607+BP607+BR607+BT607+BV607+BX607+BZ607+CB607+CD607+CF607+CH607+CJ607+CL607+CN607+CP607+CR607+CT607+CV607+CX607+CZ607+DB607+DD607+DF607+DH607+DT607+EX607+DJ607+DL607+DN607+DP607+DR607+EJ607+EB607+DZ607+DX607+DV607+ED607+EF607+EH607+EL607+EN607+EP607+EV607+ET607+ER607+EZ607+FB607+FD607+GL607</f>
        <v>0</v>
      </c>
      <c r="GQ607" s="675">
        <f>+E607+G607+I607+K607+M607+O607+Q607+S607+U607+W607+Y607+AA607+AC607+AE607+AI607+AK607+AM607+AO607+AQ607+AS607+AU607+AW607+AY607+BA607+BC607+BE607+BG607+BI607+BK607+BM607+BO607+BQ607+BS607+BU607+BW607+BY607+CA607+CC607+CE607+CG607+CI607+CK607+CM607+CO607+CQ607+CS607+CU607+CW607+CY607+DA607+DC607+DE607+DG607+DI607+DU607+EY607+DK607+DM607+DO607+DQ607+DS607+EK607+EC607+EA607+DY607+DW607+EI607+EG607+EE607+EM607+EO607+EQ607+EW607+EU607+ES607+FA607+FC607+FE607+GM607</f>
        <v>0</v>
      </c>
      <c r="GR607" s="74">
        <f>C607+GP607+GQ607</f>
        <v>0</v>
      </c>
      <c r="GS607" s="74">
        <f t="shared" ref="GS607" si="13981">GU607</f>
        <v>0</v>
      </c>
      <c r="GT607" s="568">
        <f>SUM(GU607:HF607)+GQ607+GP607</f>
        <v>0</v>
      </c>
      <c r="GU607" s="275">
        <v>0</v>
      </c>
      <c r="GV607" s="275">
        <v>0</v>
      </c>
      <c r="GW607" s="588">
        <v>0</v>
      </c>
      <c r="GX607" s="588">
        <v>0</v>
      </c>
      <c r="GY607" s="275">
        <v>0</v>
      </c>
      <c r="GZ607" s="275">
        <v>0</v>
      </c>
      <c r="HA607" s="275">
        <v>0</v>
      </c>
      <c r="HB607" s="275">
        <v>0</v>
      </c>
      <c r="HC607" s="275">
        <v>0</v>
      </c>
      <c r="HD607" s="275">
        <v>0</v>
      </c>
      <c r="HE607" s="275">
        <v>0</v>
      </c>
      <c r="HF607" s="275">
        <v>0</v>
      </c>
      <c r="HG607" s="74">
        <f>SUM(HH607:IE607)+GP607+GQ607</f>
        <v>0</v>
      </c>
      <c r="HH607" s="89">
        <v>0</v>
      </c>
      <c r="HI607" s="817">
        <v>0</v>
      </c>
      <c r="HJ607" s="89">
        <v>0</v>
      </c>
      <c r="HK607" s="817">
        <v>0</v>
      </c>
      <c r="HL607" s="89">
        <v>0</v>
      </c>
      <c r="HM607" s="817">
        <v>0</v>
      </c>
      <c r="HN607" s="89">
        <v>0</v>
      </c>
      <c r="HO607" s="817">
        <v>0</v>
      </c>
      <c r="HP607" s="89">
        <v>0</v>
      </c>
      <c r="HQ607" s="817">
        <v>0</v>
      </c>
      <c r="HR607" s="89">
        <v>0</v>
      </c>
      <c r="HS607" s="817">
        <v>0</v>
      </c>
      <c r="HT607" s="89">
        <v>0</v>
      </c>
      <c r="HU607" s="817">
        <v>0</v>
      </c>
      <c r="HV607" s="89">
        <v>0</v>
      </c>
      <c r="HW607" s="817">
        <v>0</v>
      </c>
      <c r="HX607" s="89">
        <v>0</v>
      </c>
      <c r="HY607" s="817">
        <v>0</v>
      </c>
      <c r="HZ607" s="89">
        <v>0</v>
      </c>
      <c r="IA607" s="817">
        <v>0</v>
      </c>
      <c r="IB607" s="89">
        <v>0</v>
      </c>
      <c r="IC607" s="817">
        <v>0</v>
      </c>
      <c r="ID607" s="89">
        <v>0</v>
      </c>
      <c r="IE607" s="817">
        <v>0</v>
      </c>
      <c r="IF607" s="841">
        <f t="shared" ref="IF607" si="13982">SUM(II607,IL607,IO607,IR607,IU607,IX607,JA607,JD607,JG607,JJ607,JM607,JP607)</f>
        <v>0</v>
      </c>
      <c r="IG607" s="263">
        <f t="shared" ref="IG607" si="13983">SUM(IJ607,IM607,IP607,IS607,IV607,IY607,JB607,JE607,JH607,JK607,JN607,JQ607)</f>
        <v>0</v>
      </c>
      <c r="IH607" s="842">
        <f t="shared" ref="IH607" si="13984">SUM(IK607,IN607,IQ607,IT607,IW607,IZ607,JC607,JF607,JI607,JL607,JO607,JR607)</f>
        <v>0</v>
      </c>
      <c r="II607" s="89">
        <v>0</v>
      </c>
      <c r="IJ607" s="89">
        <v>0</v>
      </c>
      <c r="IK607" s="89">
        <v>0</v>
      </c>
      <c r="IL607" s="89">
        <v>0</v>
      </c>
      <c r="IM607" s="89">
        <v>0</v>
      </c>
      <c r="IN607" s="89">
        <v>0</v>
      </c>
      <c r="IO607" s="89">
        <v>0</v>
      </c>
      <c r="IP607" s="89">
        <v>0</v>
      </c>
      <c r="IQ607" s="89">
        <v>0</v>
      </c>
      <c r="IR607" s="89">
        <v>0</v>
      </c>
      <c r="IS607" s="89">
        <v>0</v>
      </c>
      <c r="IT607" s="89">
        <v>0</v>
      </c>
      <c r="IU607" s="89">
        <v>0</v>
      </c>
      <c r="IV607" s="89">
        <v>0</v>
      </c>
      <c r="IW607" s="89">
        <v>0</v>
      </c>
      <c r="IX607" s="89">
        <v>0</v>
      </c>
      <c r="IY607" s="89">
        <v>0</v>
      </c>
      <c r="IZ607" s="89">
        <v>0</v>
      </c>
      <c r="JA607" s="89">
        <v>0</v>
      </c>
      <c r="JB607" s="89">
        <v>0</v>
      </c>
      <c r="JC607" s="89">
        <v>0</v>
      </c>
      <c r="JD607" s="89">
        <v>0</v>
      </c>
      <c r="JE607" s="89">
        <v>0</v>
      </c>
      <c r="JF607" s="89">
        <v>0</v>
      </c>
      <c r="JG607" s="89">
        <v>0</v>
      </c>
      <c r="JH607" s="89">
        <v>0</v>
      </c>
      <c r="JI607" s="89">
        <v>0</v>
      </c>
      <c r="JJ607" s="89">
        <v>0</v>
      </c>
      <c r="JK607" s="89">
        <v>0</v>
      </c>
      <c r="JL607" s="89">
        <v>0</v>
      </c>
      <c r="JM607" s="89">
        <v>0</v>
      </c>
      <c r="JN607" s="89">
        <v>0</v>
      </c>
      <c r="JO607" s="89">
        <v>0</v>
      </c>
      <c r="JP607" s="89">
        <v>0</v>
      </c>
      <c r="JQ607" s="89">
        <v>0</v>
      </c>
      <c r="JR607" s="89">
        <v>0</v>
      </c>
      <c r="JS607" s="74">
        <f>HG607-IF607</f>
        <v>0</v>
      </c>
      <c r="JT607" s="382">
        <f>GS607-IF607</f>
        <v>0</v>
      </c>
      <c r="JU607" s="665"/>
      <c r="JV607" s="524"/>
      <c r="JW607" s="525"/>
      <c r="JX607" s="549">
        <f>SUM(HH607,HJ607,HL607,HN607,HP607,HR607,HT607,HV607,HX607,HZ607,IB607,ID607)</f>
        <v>0</v>
      </c>
      <c r="JY607" s="549">
        <f>SUM(HI607,HK607,HM607,HO607,HQ607,HS607,HU607,HW607,HY607,IA607,IC607,IE607)</f>
        <v>0</v>
      </c>
      <c r="JZ607" s="581">
        <f t="shared" si="13477"/>
        <v>0</v>
      </c>
      <c r="KA607" s="581">
        <f t="shared" si="13478"/>
        <v>0</v>
      </c>
      <c r="KB607" s="549">
        <f t="shared" si="13163"/>
        <v>0</v>
      </c>
      <c r="KC607" s="709">
        <f t="shared" si="13396"/>
        <v>0</v>
      </c>
      <c r="KD607" s="36"/>
      <c r="KE607" s="36"/>
      <c r="KF607" s="36"/>
      <c r="KG607" s="36"/>
      <c r="KH607" s="36"/>
      <c r="KI607" s="36"/>
      <c r="KJ607" s="36"/>
      <c r="KK607" s="36"/>
    </row>
    <row r="608" spans="1:297" s="33" customFormat="1">
      <c r="A608" s="86"/>
      <c r="B608" s="77"/>
      <c r="C608" s="74"/>
      <c r="D608" s="549"/>
      <c r="E608" s="675"/>
      <c r="F608" s="549"/>
      <c r="G608" s="675"/>
      <c r="H608" s="549"/>
      <c r="I608" s="675"/>
      <c r="J608" s="549"/>
      <c r="K608" s="675"/>
      <c r="L608" s="549"/>
      <c r="M608" s="675"/>
      <c r="N608" s="549"/>
      <c r="O608" s="675"/>
      <c r="P608" s="549"/>
      <c r="Q608" s="675"/>
      <c r="R608" s="549"/>
      <c r="S608" s="675"/>
      <c r="T608" s="549"/>
      <c r="U608" s="675"/>
      <c r="V608" s="549"/>
      <c r="W608" s="675"/>
      <c r="X608" s="549"/>
      <c r="Y608" s="675"/>
      <c r="Z608" s="549"/>
      <c r="AA608" s="675"/>
      <c r="AB608" s="549"/>
      <c r="AC608" s="675"/>
      <c r="AD608" s="549"/>
      <c r="AE608" s="675"/>
      <c r="AF608" s="549"/>
      <c r="AG608" s="675"/>
      <c r="AH608" s="549"/>
      <c r="AI608" s="675"/>
      <c r="AJ608" s="549"/>
      <c r="AK608" s="675"/>
      <c r="AL608" s="549"/>
      <c r="AM608" s="675"/>
      <c r="AN608" s="549"/>
      <c r="AO608" s="675"/>
      <c r="AP608" s="549"/>
      <c r="AQ608" s="675"/>
      <c r="AR608" s="549"/>
      <c r="AS608" s="675"/>
      <c r="AT608" s="549"/>
      <c r="AU608" s="675"/>
      <c r="AV608" s="549"/>
      <c r="AW608" s="675"/>
      <c r="AX608" s="549"/>
      <c r="AY608" s="675"/>
      <c r="AZ608" s="549"/>
      <c r="BA608" s="675"/>
      <c r="BB608" s="549"/>
      <c r="BC608" s="675"/>
      <c r="BD608" s="549"/>
      <c r="BE608" s="675"/>
      <c r="BF608" s="549"/>
      <c r="BG608" s="675"/>
      <c r="BH608" s="549"/>
      <c r="BI608" s="675"/>
      <c r="BJ608" s="549"/>
      <c r="BK608" s="675"/>
      <c r="BL608" s="549"/>
      <c r="BM608" s="675"/>
      <c r="BN608" s="549"/>
      <c r="BO608" s="675"/>
      <c r="BP608" s="549"/>
      <c r="BQ608" s="675"/>
      <c r="BR608" s="549"/>
      <c r="BS608" s="675"/>
      <c r="BT608" s="549"/>
      <c r="BU608" s="675"/>
      <c r="BV608" s="549"/>
      <c r="BW608" s="675"/>
      <c r="BX608" s="549"/>
      <c r="BY608" s="675"/>
      <c r="BZ608" s="549"/>
      <c r="CA608" s="675"/>
      <c r="CB608" s="549"/>
      <c r="CC608" s="675"/>
      <c r="CD608" s="549"/>
      <c r="CE608" s="675"/>
      <c r="CF608" s="549"/>
      <c r="CG608" s="675"/>
      <c r="CH608" s="549"/>
      <c r="CI608" s="675"/>
      <c r="CJ608" s="549"/>
      <c r="CK608" s="675"/>
      <c r="CL608" s="549"/>
      <c r="CM608" s="675"/>
      <c r="CN608" s="549"/>
      <c r="CO608" s="675"/>
      <c r="CP608" s="549"/>
      <c r="CQ608" s="675"/>
      <c r="CR608" s="549"/>
      <c r="CS608" s="675"/>
      <c r="CT608" s="549"/>
      <c r="CU608" s="675"/>
      <c r="CV608" s="549"/>
      <c r="CW608" s="675"/>
      <c r="CX608" s="549"/>
      <c r="CY608" s="675"/>
      <c r="CZ608" s="549"/>
      <c r="DA608" s="675"/>
      <c r="DB608" s="549"/>
      <c r="DC608" s="675"/>
      <c r="DD608" s="549"/>
      <c r="DE608" s="675"/>
      <c r="DF608" s="549"/>
      <c r="DG608" s="675"/>
      <c r="DH608" s="549"/>
      <c r="DI608" s="675"/>
      <c r="DJ608" s="549"/>
      <c r="DK608" s="675"/>
      <c r="DL608" s="549"/>
      <c r="DM608" s="675"/>
      <c r="DN608" s="549"/>
      <c r="DO608" s="675"/>
      <c r="DP608" s="549"/>
      <c r="DQ608" s="675"/>
      <c r="DR608" s="549"/>
      <c r="DS608" s="675"/>
      <c r="DT608" s="549"/>
      <c r="DU608" s="675"/>
      <c r="DV608" s="549"/>
      <c r="DW608" s="675"/>
      <c r="DX608" s="549"/>
      <c r="DY608" s="675"/>
      <c r="DZ608" s="549"/>
      <c r="EA608" s="675"/>
      <c r="EB608" s="549"/>
      <c r="EC608" s="675"/>
      <c r="ED608" s="549"/>
      <c r="EE608" s="675"/>
      <c r="EF608" s="549"/>
      <c r="EG608" s="675"/>
      <c r="EH608" s="549"/>
      <c r="EI608" s="675"/>
      <c r="EJ608" s="549"/>
      <c r="EK608" s="675"/>
      <c r="EL608" s="549"/>
      <c r="EM608" s="675"/>
      <c r="EN608" s="549"/>
      <c r="EO608" s="675"/>
      <c r="EP608" s="549"/>
      <c r="EQ608" s="675"/>
      <c r="ER608" s="549"/>
      <c r="ES608" s="675"/>
      <c r="ET608" s="549"/>
      <c r="EU608" s="675"/>
      <c r="EV608" s="549"/>
      <c r="EW608" s="675"/>
      <c r="EX608" s="549"/>
      <c r="EY608" s="675"/>
      <c r="EZ608" s="549"/>
      <c r="FA608" s="675"/>
      <c r="FB608" s="549"/>
      <c r="FC608" s="675"/>
      <c r="FD608" s="549"/>
      <c r="FE608" s="675"/>
      <c r="FF608" s="549"/>
      <c r="FG608" s="675"/>
      <c r="FH608" s="549"/>
      <c r="FI608" s="675"/>
      <c r="FJ608" s="549"/>
      <c r="FK608" s="675"/>
      <c r="FL608" s="549"/>
      <c r="FM608" s="675"/>
      <c r="FN608" s="549"/>
      <c r="FO608" s="675"/>
      <c r="FP608" s="549"/>
      <c r="FQ608" s="675"/>
      <c r="FR608" s="549"/>
      <c r="FS608" s="675"/>
      <c r="FT608" s="549"/>
      <c r="FU608" s="675"/>
      <c r="FV608" s="549"/>
      <c r="FW608" s="675"/>
      <c r="FX608" s="549"/>
      <c r="FY608" s="675"/>
      <c r="FZ608" s="549"/>
      <c r="GA608" s="675"/>
      <c r="GB608" s="549"/>
      <c r="GC608" s="675"/>
      <c r="GD608" s="549"/>
      <c r="GE608" s="675"/>
      <c r="GF608" s="549"/>
      <c r="GG608" s="675"/>
      <c r="GH608" s="549"/>
      <c r="GI608" s="675"/>
      <c r="GJ608" s="549"/>
      <c r="GK608" s="675"/>
      <c r="GL608" s="549"/>
      <c r="GM608" s="675"/>
      <c r="GN608" s="549"/>
      <c r="GO608" s="675"/>
      <c r="GP608" s="549"/>
      <c r="GQ608" s="675"/>
      <c r="GR608" s="74"/>
      <c r="GS608" s="74"/>
      <c r="GT608" s="568"/>
      <c r="GU608" s="275"/>
      <c r="GV608" s="275"/>
      <c r="GW608" s="588"/>
      <c r="GX608" s="588"/>
      <c r="GY608" s="275"/>
      <c r="GZ608" s="275"/>
      <c r="HA608" s="275"/>
      <c r="HB608" s="275"/>
      <c r="HC608" s="275"/>
      <c r="HD608" s="275"/>
      <c r="HE608" s="275"/>
      <c r="HF608" s="275"/>
      <c r="HG608" s="74" t="s">
        <v>711</v>
      </c>
      <c r="HH608" s="73"/>
      <c r="HI608" s="815"/>
      <c r="HJ608" s="73"/>
      <c r="HK608" s="815"/>
      <c r="HL608" s="73"/>
      <c r="HM608" s="815"/>
      <c r="HN608" s="73"/>
      <c r="HO608" s="815"/>
      <c r="HP608" s="73"/>
      <c r="HQ608" s="815"/>
      <c r="HR608" s="73"/>
      <c r="HS608" s="815"/>
      <c r="HT608" s="73"/>
      <c r="HU608" s="815"/>
      <c r="HV608" s="73"/>
      <c r="HW608" s="815"/>
      <c r="HX608" s="73"/>
      <c r="HY608" s="815"/>
      <c r="HZ608" s="73"/>
      <c r="IA608" s="815"/>
      <c r="IB608" s="73"/>
      <c r="IC608" s="815"/>
      <c r="ID608" s="73"/>
      <c r="IE608" s="815"/>
      <c r="IF608" s="841"/>
      <c r="IG608" s="263"/>
      <c r="IH608" s="842"/>
      <c r="II608" s="89"/>
      <c r="IJ608" s="89"/>
      <c r="IK608" s="89"/>
      <c r="IL608" s="89"/>
      <c r="IM608" s="89"/>
      <c r="IN608" s="89"/>
      <c r="IO608" s="89"/>
      <c r="IP608" s="89"/>
      <c r="IQ608" s="89"/>
      <c r="IR608" s="89"/>
      <c r="IS608" s="89"/>
      <c r="IT608" s="89"/>
      <c r="IU608" s="89"/>
      <c r="IV608" s="89"/>
      <c r="IW608" s="89"/>
      <c r="IX608" s="89"/>
      <c r="IY608" s="89"/>
      <c r="IZ608" s="89"/>
      <c r="JA608" s="89"/>
      <c r="JB608" s="89"/>
      <c r="JC608" s="89"/>
      <c r="JD608" s="89"/>
      <c r="JE608" s="89"/>
      <c r="JF608" s="89"/>
      <c r="JG608" s="89"/>
      <c r="JH608" s="89"/>
      <c r="JI608" s="89"/>
      <c r="JJ608" s="89"/>
      <c r="JK608" s="89"/>
      <c r="JL608" s="89"/>
      <c r="JM608" s="89"/>
      <c r="JN608" s="89"/>
      <c r="JO608" s="89"/>
      <c r="JP608" s="89"/>
      <c r="JQ608" s="89"/>
      <c r="JR608" s="89"/>
      <c r="JS608" s="74"/>
      <c r="JT608" s="382"/>
      <c r="JU608" s="665"/>
      <c r="JV608" s="524"/>
      <c r="JW608" s="525"/>
      <c r="JX608" s="549"/>
      <c r="JY608" s="549"/>
      <c r="JZ608" s="581">
        <f t="shared" si="13477"/>
        <v>0</v>
      </c>
      <c r="KA608" s="581">
        <f t="shared" si="13478"/>
        <v>0</v>
      </c>
      <c r="KB608" s="549"/>
      <c r="KC608" s="709"/>
      <c r="KD608" s="36"/>
      <c r="KE608" s="36"/>
      <c r="KF608" s="36"/>
      <c r="KG608" s="36"/>
      <c r="KH608" s="36"/>
      <c r="KI608" s="36"/>
      <c r="KJ608" s="36"/>
      <c r="KK608" s="36"/>
    </row>
    <row r="609" spans="1:297" s="32" customFormat="1" ht="13.5" customHeight="1">
      <c r="A609" s="96" t="s">
        <v>325</v>
      </c>
      <c r="B609" s="97"/>
      <c r="C609" s="93">
        <f>SUM(C611,C619)</f>
        <v>647600</v>
      </c>
      <c r="D609" s="552">
        <f t="shared" ref="D609:E609" si="13985">SUM(D611,D619)</f>
        <v>0</v>
      </c>
      <c r="E609" s="680">
        <f t="shared" si="13985"/>
        <v>0</v>
      </c>
      <c r="F609" s="552">
        <f t="shared" ref="F609:G609" si="13986">SUM(F611,F619)</f>
        <v>0</v>
      </c>
      <c r="G609" s="680">
        <f t="shared" si="13986"/>
        <v>0</v>
      </c>
      <c r="H609" s="552">
        <f t="shared" ref="H609:AS609" si="13987">SUM(H611,H619)</f>
        <v>0</v>
      </c>
      <c r="I609" s="680">
        <f t="shared" si="13987"/>
        <v>0</v>
      </c>
      <c r="J609" s="552">
        <f t="shared" si="13987"/>
        <v>0</v>
      </c>
      <c r="K609" s="680">
        <f t="shared" si="13987"/>
        <v>0</v>
      </c>
      <c r="L609" s="552">
        <f t="shared" si="13987"/>
        <v>0</v>
      </c>
      <c r="M609" s="680">
        <f t="shared" si="13987"/>
        <v>0</v>
      </c>
      <c r="N609" s="552">
        <f t="shared" si="13987"/>
        <v>0</v>
      </c>
      <c r="O609" s="680">
        <f t="shared" si="13987"/>
        <v>0</v>
      </c>
      <c r="P609" s="552">
        <f t="shared" si="13987"/>
        <v>0</v>
      </c>
      <c r="Q609" s="680">
        <f t="shared" si="13987"/>
        <v>0</v>
      </c>
      <c r="R609" s="552">
        <f t="shared" si="13987"/>
        <v>0</v>
      </c>
      <c r="S609" s="680">
        <f t="shared" si="13987"/>
        <v>0</v>
      </c>
      <c r="T609" s="552">
        <f t="shared" si="13987"/>
        <v>0</v>
      </c>
      <c r="U609" s="680">
        <f t="shared" si="13987"/>
        <v>0</v>
      </c>
      <c r="V609" s="552">
        <f t="shared" si="13987"/>
        <v>0</v>
      </c>
      <c r="W609" s="680">
        <f t="shared" si="13987"/>
        <v>0</v>
      </c>
      <c r="X609" s="552">
        <f t="shared" si="13987"/>
        <v>0</v>
      </c>
      <c r="Y609" s="680">
        <f t="shared" si="13987"/>
        <v>0</v>
      </c>
      <c r="Z609" s="552">
        <f t="shared" si="13987"/>
        <v>0</v>
      </c>
      <c r="AA609" s="680">
        <f t="shared" si="13987"/>
        <v>0</v>
      </c>
      <c r="AB609" s="552">
        <f t="shared" si="13987"/>
        <v>0</v>
      </c>
      <c r="AC609" s="680">
        <f t="shared" si="13987"/>
        <v>0</v>
      </c>
      <c r="AD609" s="552">
        <f t="shared" si="13987"/>
        <v>0</v>
      </c>
      <c r="AE609" s="680">
        <f t="shared" si="13987"/>
        <v>0</v>
      </c>
      <c r="AF609" s="552">
        <f t="shared" si="13987"/>
        <v>0</v>
      </c>
      <c r="AG609" s="680">
        <f t="shared" si="13987"/>
        <v>0</v>
      </c>
      <c r="AH609" s="552">
        <f t="shared" si="13987"/>
        <v>0</v>
      </c>
      <c r="AI609" s="680">
        <f t="shared" si="13987"/>
        <v>0</v>
      </c>
      <c r="AJ609" s="552">
        <f t="shared" si="13987"/>
        <v>0</v>
      </c>
      <c r="AK609" s="680">
        <f t="shared" si="13987"/>
        <v>0</v>
      </c>
      <c r="AL609" s="552">
        <f t="shared" si="13987"/>
        <v>0</v>
      </c>
      <c r="AM609" s="680">
        <f t="shared" si="13987"/>
        <v>0</v>
      </c>
      <c r="AN609" s="552">
        <f t="shared" si="13987"/>
        <v>0</v>
      </c>
      <c r="AO609" s="680">
        <f t="shared" si="13987"/>
        <v>0</v>
      </c>
      <c r="AP609" s="552">
        <f t="shared" si="13987"/>
        <v>0</v>
      </c>
      <c r="AQ609" s="680">
        <f t="shared" si="13987"/>
        <v>0</v>
      </c>
      <c r="AR609" s="552">
        <f t="shared" si="13987"/>
        <v>0</v>
      </c>
      <c r="AS609" s="680">
        <f t="shared" si="13987"/>
        <v>0</v>
      </c>
      <c r="AT609" s="552">
        <f t="shared" ref="AT609:AU609" si="13988">SUM(AT611,AT619)</f>
        <v>0</v>
      </c>
      <c r="AU609" s="680">
        <f t="shared" si="13988"/>
        <v>0</v>
      </c>
      <c r="AV609" s="552">
        <f t="shared" ref="AV609:AW609" si="13989">SUM(AV611,AV619)</f>
        <v>0</v>
      </c>
      <c r="AW609" s="680">
        <f t="shared" si="13989"/>
        <v>0</v>
      </c>
      <c r="AX609" s="552">
        <f t="shared" ref="AX609:AY609" si="13990">SUM(AX611,AX619)</f>
        <v>0</v>
      </c>
      <c r="AY609" s="680">
        <f t="shared" si="13990"/>
        <v>0</v>
      </c>
      <c r="AZ609" s="552">
        <f t="shared" ref="AZ609:BA609" si="13991">SUM(AZ611,AZ619)</f>
        <v>0</v>
      </c>
      <c r="BA609" s="680">
        <f t="shared" si="13991"/>
        <v>0</v>
      </c>
      <c r="BB609" s="552">
        <f t="shared" ref="BB609:BC609" si="13992">SUM(BB611,BB619)</f>
        <v>0</v>
      </c>
      <c r="BC609" s="680">
        <f t="shared" si="13992"/>
        <v>0</v>
      </c>
      <c r="BD609" s="552">
        <f t="shared" ref="BD609:BE609" si="13993">SUM(BD611,BD619)</f>
        <v>0</v>
      </c>
      <c r="BE609" s="680">
        <f t="shared" si="13993"/>
        <v>0</v>
      </c>
      <c r="BF609" s="552">
        <f t="shared" ref="BF609:BG609" si="13994">SUM(BF611,BF619)</f>
        <v>0</v>
      </c>
      <c r="BG609" s="680">
        <f t="shared" si="13994"/>
        <v>0</v>
      </c>
      <c r="BH609" s="552">
        <f t="shared" ref="BH609:BI609" si="13995">SUM(BH611,BH619)</f>
        <v>0</v>
      </c>
      <c r="BI609" s="680">
        <f t="shared" si="13995"/>
        <v>0</v>
      </c>
      <c r="BJ609" s="552">
        <f t="shared" ref="BJ609:BK609" si="13996">SUM(BJ611,BJ619)</f>
        <v>0</v>
      </c>
      <c r="BK609" s="680">
        <f t="shared" si="13996"/>
        <v>0</v>
      </c>
      <c r="BL609" s="552">
        <f t="shared" ref="BL609:BS609" si="13997">SUM(BL611,BL619)</f>
        <v>0</v>
      </c>
      <c r="BM609" s="680">
        <f t="shared" si="13997"/>
        <v>0</v>
      </c>
      <c r="BN609" s="552">
        <f t="shared" si="13997"/>
        <v>0</v>
      </c>
      <c r="BO609" s="680">
        <f t="shared" si="13997"/>
        <v>0</v>
      </c>
      <c r="BP609" s="552">
        <f t="shared" si="13997"/>
        <v>0</v>
      </c>
      <c r="BQ609" s="680">
        <f t="shared" si="13997"/>
        <v>0</v>
      </c>
      <c r="BR609" s="552">
        <f t="shared" si="13997"/>
        <v>0</v>
      </c>
      <c r="BS609" s="680">
        <f t="shared" si="13997"/>
        <v>0</v>
      </c>
      <c r="BT609" s="552">
        <f t="shared" ref="BT609:BU609" si="13998">SUM(BT611,BT619)</f>
        <v>0</v>
      </c>
      <c r="BU609" s="680">
        <f t="shared" si="13998"/>
        <v>0</v>
      </c>
      <c r="BV609" s="552">
        <f t="shared" ref="BV609:BW609" si="13999">SUM(BV611,BV619)</f>
        <v>0</v>
      </c>
      <c r="BW609" s="680">
        <f t="shared" si="13999"/>
        <v>0</v>
      </c>
      <c r="BX609" s="552">
        <f t="shared" ref="BX609:BY609" si="14000">SUM(BX611,BX619)</f>
        <v>0</v>
      </c>
      <c r="BY609" s="680">
        <f t="shared" si="14000"/>
        <v>0</v>
      </c>
      <c r="BZ609" s="552">
        <f t="shared" ref="BZ609:CA609" si="14001">SUM(BZ611,BZ619)</f>
        <v>1775</v>
      </c>
      <c r="CA609" s="680">
        <f t="shared" si="14001"/>
        <v>0</v>
      </c>
      <c r="CB609" s="552">
        <f t="shared" ref="CB609:CE609" si="14002">SUM(CB611,CB619)</f>
        <v>0</v>
      </c>
      <c r="CC609" s="680">
        <f t="shared" si="14002"/>
        <v>0</v>
      </c>
      <c r="CD609" s="552">
        <f t="shared" si="14002"/>
        <v>0</v>
      </c>
      <c r="CE609" s="680">
        <f t="shared" si="14002"/>
        <v>0</v>
      </c>
      <c r="CF609" s="552">
        <f t="shared" ref="CF609:CG609" si="14003">SUM(CF611,CF619)</f>
        <v>0</v>
      </c>
      <c r="CG609" s="680">
        <f t="shared" si="14003"/>
        <v>0</v>
      </c>
      <c r="CH609" s="552">
        <f t="shared" ref="CH609:CQ609" si="14004">SUM(CH611,CH619)</f>
        <v>0</v>
      </c>
      <c r="CI609" s="680">
        <f t="shared" si="14004"/>
        <v>0</v>
      </c>
      <c r="CJ609" s="552">
        <f t="shared" si="14004"/>
        <v>299968</v>
      </c>
      <c r="CK609" s="680">
        <f t="shared" si="14004"/>
        <v>0</v>
      </c>
      <c r="CL609" s="552">
        <f t="shared" si="14004"/>
        <v>0</v>
      </c>
      <c r="CM609" s="680">
        <f t="shared" si="14004"/>
        <v>0</v>
      </c>
      <c r="CN609" s="552">
        <f t="shared" si="14004"/>
        <v>0</v>
      </c>
      <c r="CO609" s="680">
        <f t="shared" si="14004"/>
        <v>0</v>
      </c>
      <c r="CP609" s="552">
        <f t="shared" si="14004"/>
        <v>0</v>
      </c>
      <c r="CQ609" s="680">
        <f t="shared" si="14004"/>
        <v>0</v>
      </c>
      <c r="CR609" s="552">
        <f t="shared" ref="CR609:CY609" si="14005">SUM(CR611,CR619)</f>
        <v>0</v>
      </c>
      <c r="CS609" s="680">
        <f t="shared" si="14005"/>
        <v>0</v>
      </c>
      <c r="CT609" s="552">
        <f t="shared" si="14005"/>
        <v>0</v>
      </c>
      <c r="CU609" s="680">
        <f t="shared" si="14005"/>
        <v>0</v>
      </c>
      <c r="CV609" s="552">
        <f t="shared" si="14005"/>
        <v>0</v>
      </c>
      <c r="CW609" s="680">
        <f t="shared" si="14005"/>
        <v>0</v>
      </c>
      <c r="CX609" s="552">
        <f t="shared" si="14005"/>
        <v>0</v>
      </c>
      <c r="CY609" s="680">
        <f t="shared" si="14005"/>
        <v>0</v>
      </c>
      <c r="CZ609" s="552">
        <f t="shared" ref="CZ609:FE609" si="14006">SUM(CZ611,CZ619)</f>
        <v>0</v>
      </c>
      <c r="DA609" s="680">
        <f t="shared" si="14006"/>
        <v>0</v>
      </c>
      <c r="DB609" s="552">
        <f t="shared" si="14006"/>
        <v>0</v>
      </c>
      <c r="DC609" s="680">
        <f t="shared" si="14006"/>
        <v>0</v>
      </c>
      <c r="DD609" s="552">
        <f t="shared" si="14006"/>
        <v>0</v>
      </c>
      <c r="DE609" s="680">
        <f t="shared" si="14006"/>
        <v>0</v>
      </c>
      <c r="DF609" s="552">
        <f t="shared" si="14006"/>
        <v>0</v>
      </c>
      <c r="DG609" s="680">
        <f t="shared" si="14006"/>
        <v>0</v>
      </c>
      <c r="DH609" s="552">
        <f t="shared" si="14006"/>
        <v>0</v>
      </c>
      <c r="DI609" s="680">
        <f t="shared" si="14006"/>
        <v>0</v>
      </c>
      <c r="DJ609" s="552">
        <f t="shared" si="14006"/>
        <v>0</v>
      </c>
      <c r="DK609" s="680">
        <f t="shared" si="14006"/>
        <v>0</v>
      </c>
      <c r="DL609" s="552">
        <f t="shared" si="14006"/>
        <v>0</v>
      </c>
      <c r="DM609" s="680">
        <f t="shared" si="14006"/>
        <v>0</v>
      </c>
      <c r="DN609" s="552">
        <f t="shared" si="14006"/>
        <v>0</v>
      </c>
      <c r="DO609" s="680">
        <f t="shared" si="14006"/>
        <v>0</v>
      </c>
      <c r="DP609" s="552">
        <f t="shared" si="14006"/>
        <v>54600</v>
      </c>
      <c r="DQ609" s="680">
        <f t="shared" si="14006"/>
        <v>0</v>
      </c>
      <c r="DR609" s="552">
        <f t="shared" si="14006"/>
        <v>0</v>
      </c>
      <c r="DS609" s="680">
        <f t="shared" si="14006"/>
        <v>0</v>
      </c>
      <c r="DT609" s="552">
        <f t="shared" si="14006"/>
        <v>0</v>
      </c>
      <c r="DU609" s="680">
        <f t="shared" si="14006"/>
        <v>0</v>
      </c>
      <c r="DV609" s="552">
        <f t="shared" si="14006"/>
        <v>0</v>
      </c>
      <c r="DW609" s="680">
        <f t="shared" si="14006"/>
        <v>0</v>
      </c>
      <c r="DX609" s="552">
        <f t="shared" si="14006"/>
        <v>0</v>
      </c>
      <c r="DY609" s="680">
        <f t="shared" si="14006"/>
        <v>0</v>
      </c>
      <c r="DZ609" s="552">
        <f t="shared" ref="DZ609:FA609" si="14007">SUM(DZ611,DZ619)</f>
        <v>0</v>
      </c>
      <c r="EA609" s="680">
        <f t="shared" si="14007"/>
        <v>0</v>
      </c>
      <c r="EB609" s="552">
        <f t="shared" si="14007"/>
        <v>0</v>
      </c>
      <c r="EC609" s="680">
        <f t="shared" si="14007"/>
        <v>0</v>
      </c>
      <c r="ED609" s="552">
        <f t="shared" si="14007"/>
        <v>0</v>
      </c>
      <c r="EE609" s="680">
        <f t="shared" si="14007"/>
        <v>0</v>
      </c>
      <c r="EF609" s="552">
        <f t="shared" si="14007"/>
        <v>0</v>
      </c>
      <c r="EG609" s="680">
        <f t="shared" si="14007"/>
        <v>0</v>
      </c>
      <c r="EH609" s="552">
        <f t="shared" ref="EH609:EM609" si="14008">SUM(EH611,EH619)</f>
        <v>0</v>
      </c>
      <c r="EI609" s="680">
        <f t="shared" si="14008"/>
        <v>0</v>
      </c>
      <c r="EJ609" s="552">
        <f t="shared" si="14008"/>
        <v>0</v>
      </c>
      <c r="EK609" s="680">
        <f t="shared" si="14008"/>
        <v>0</v>
      </c>
      <c r="EL609" s="552">
        <f t="shared" si="14008"/>
        <v>0</v>
      </c>
      <c r="EM609" s="680">
        <f t="shared" si="14008"/>
        <v>0</v>
      </c>
      <c r="EN609" s="552">
        <f t="shared" si="14007"/>
        <v>0</v>
      </c>
      <c r="EO609" s="680">
        <f t="shared" si="14007"/>
        <v>0</v>
      </c>
      <c r="EP609" s="552">
        <f t="shared" si="14007"/>
        <v>0</v>
      </c>
      <c r="EQ609" s="680">
        <f t="shared" si="14007"/>
        <v>0</v>
      </c>
      <c r="ER609" s="552">
        <f t="shared" si="14007"/>
        <v>0</v>
      </c>
      <c r="ES609" s="680">
        <f t="shared" si="14007"/>
        <v>0</v>
      </c>
      <c r="ET609" s="552">
        <f t="shared" si="14007"/>
        <v>0</v>
      </c>
      <c r="EU609" s="680">
        <f t="shared" si="14007"/>
        <v>0</v>
      </c>
      <c r="EV609" s="552">
        <f t="shared" ref="EV609:EW609" si="14009">SUM(EV611,EV619)</f>
        <v>0</v>
      </c>
      <c r="EW609" s="680">
        <f t="shared" si="14009"/>
        <v>0</v>
      </c>
      <c r="EX609" s="552">
        <f t="shared" si="14007"/>
        <v>0</v>
      </c>
      <c r="EY609" s="680">
        <f t="shared" si="14007"/>
        <v>0</v>
      </c>
      <c r="EZ609" s="552">
        <f t="shared" si="14007"/>
        <v>0</v>
      </c>
      <c r="FA609" s="680">
        <f t="shared" si="14007"/>
        <v>0</v>
      </c>
      <c r="FB609" s="552">
        <f t="shared" si="14006"/>
        <v>0</v>
      </c>
      <c r="FC609" s="680">
        <f t="shared" si="14006"/>
        <v>0</v>
      </c>
      <c r="FD609" s="552">
        <f t="shared" si="14006"/>
        <v>0</v>
      </c>
      <c r="FE609" s="680">
        <f t="shared" si="14006"/>
        <v>0</v>
      </c>
      <c r="FF609" s="552">
        <f t="shared" ref="FF609:FG609" si="14010">SUM(FF611,FF619)</f>
        <v>1140</v>
      </c>
      <c r="FG609" s="680">
        <f t="shared" si="14010"/>
        <v>0</v>
      </c>
      <c r="FH609" s="552">
        <f t="shared" ref="FH609:FI609" si="14011">SUM(FH611,FH619)</f>
        <v>0</v>
      </c>
      <c r="FI609" s="680">
        <f t="shared" si="14011"/>
        <v>0</v>
      </c>
      <c r="FJ609" s="552">
        <f t="shared" ref="FJ609:FK609" si="14012">SUM(FJ611,FJ619)</f>
        <v>0</v>
      </c>
      <c r="FK609" s="680">
        <f t="shared" si="14012"/>
        <v>0</v>
      </c>
      <c r="FL609" s="552">
        <f t="shared" ref="FL609:FM609" si="14013">SUM(FL611,FL619)</f>
        <v>0</v>
      </c>
      <c r="FM609" s="680">
        <f t="shared" si="14013"/>
        <v>0</v>
      </c>
      <c r="FN609" s="552">
        <f t="shared" ref="FN609:FO609" si="14014">SUM(FN611,FN619)</f>
        <v>0</v>
      </c>
      <c r="FO609" s="680">
        <f t="shared" si="14014"/>
        <v>0</v>
      </c>
      <c r="FP609" s="552">
        <f t="shared" ref="FP609:FQ609" si="14015">SUM(FP611,FP619)</f>
        <v>0</v>
      </c>
      <c r="FQ609" s="680">
        <f t="shared" si="14015"/>
        <v>0</v>
      </c>
      <c r="FR609" s="552">
        <f t="shared" ref="FR609:FS609" si="14016">SUM(FR611,FR619)</f>
        <v>0</v>
      </c>
      <c r="FS609" s="680">
        <f t="shared" si="14016"/>
        <v>0</v>
      </c>
      <c r="FT609" s="552">
        <f t="shared" ref="FT609:FU609" si="14017">SUM(FT611,FT619)</f>
        <v>0</v>
      </c>
      <c r="FU609" s="680">
        <f t="shared" si="14017"/>
        <v>0</v>
      </c>
      <c r="FV609" s="552">
        <f t="shared" ref="FV609:GK609" si="14018">SUM(FV611,FV619)</f>
        <v>0</v>
      </c>
      <c r="FW609" s="680">
        <f t="shared" si="14018"/>
        <v>0</v>
      </c>
      <c r="FX609" s="552">
        <f t="shared" si="14018"/>
        <v>0</v>
      </c>
      <c r="FY609" s="680">
        <f t="shared" si="14018"/>
        <v>0</v>
      </c>
      <c r="FZ609" s="552">
        <f t="shared" ref="FZ609:GI609" si="14019">SUM(FZ611,FZ619)</f>
        <v>0</v>
      </c>
      <c r="GA609" s="680">
        <f t="shared" si="14019"/>
        <v>0</v>
      </c>
      <c r="GB609" s="552">
        <f t="shared" si="14019"/>
        <v>0</v>
      </c>
      <c r="GC609" s="680">
        <f t="shared" si="14019"/>
        <v>0</v>
      </c>
      <c r="GD609" s="552">
        <f t="shared" si="14019"/>
        <v>0</v>
      </c>
      <c r="GE609" s="680">
        <f t="shared" si="14019"/>
        <v>0</v>
      </c>
      <c r="GF609" s="552">
        <f t="shared" si="14019"/>
        <v>0</v>
      </c>
      <c r="GG609" s="680">
        <f t="shared" si="14019"/>
        <v>0</v>
      </c>
      <c r="GH609" s="552">
        <f t="shared" si="14019"/>
        <v>0</v>
      </c>
      <c r="GI609" s="680">
        <f t="shared" si="14019"/>
        <v>0</v>
      </c>
      <c r="GJ609" s="552">
        <f t="shared" si="14018"/>
        <v>0</v>
      </c>
      <c r="GK609" s="680">
        <f t="shared" si="14018"/>
        <v>0</v>
      </c>
      <c r="GL609" s="552">
        <f t="shared" ref="GL609:GM609" si="14020">SUM(GL611,GL619)</f>
        <v>0</v>
      </c>
      <c r="GM609" s="680">
        <f t="shared" si="14020"/>
        <v>0</v>
      </c>
      <c r="GN609" s="552">
        <f t="shared" ref="GN609:GO609" si="14021">SUM(GN611,GN619)</f>
        <v>0</v>
      </c>
      <c r="GO609" s="680">
        <f t="shared" si="14021"/>
        <v>0</v>
      </c>
      <c r="GP609" s="552">
        <f>SUM(GP611,GP619)</f>
        <v>357483</v>
      </c>
      <c r="GQ609" s="680">
        <f t="shared" ref="GQ609:JB609" si="14022">SUM(GQ611,GQ619)</f>
        <v>0</v>
      </c>
      <c r="GR609" s="283">
        <f t="shared" si="14022"/>
        <v>1005083</v>
      </c>
      <c r="GS609" s="283">
        <f t="shared" si="14022"/>
        <v>946211</v>
      </c>
      <c r="GT609" s="283">
        <f>SUM(GT611,GT619)</f>
        <v>1005083</v>
      </c>
      <c r="GU609" s="283">
        <f t="shared" si="14022"/>
        <v>58880</v>
      </c>
      <c r="GV609" s="283">
        <f t="shared" si="14022"/>
        <v>58872</v>
      </c>
      <c r="GW609" s="283">
        <f t="shared" si="14022"/>
        <v>58872</v>
      </c>
      <c r="GX609" s="283">
        <f t="shared" si="14022"/>
        <v>58872</v>
      </c>
      <c r="GY609" s="283">
        <f t="shared" si="14022"/>
        <v>58872</v>
      </c>
      <c r="GZ609" s="283">
        <f t="shared" si="14022"/>
        <v>58872</v>
      </c>
      <c r="HA609" s="283">
        <f t="shared" si="14022"/>
        <v>58872</v>
      </c>
      <c r="HB609" s="283">
        <f t="shared" si="14022"/>
        <v>58872</v>
      </c>
      <c r="HC609" s="283">
        <f t="shared" si="14022"/>
        <v>58872</v>
      </c>
      <c r="HD609" s="283">
        <f t="shared" si="14022"/>
        <v>58872</v>
      </c>
      <c r="HE609" s="283">
        <f t="shared" si="14022"/>
        <v>58872</v>
      </c>
      <c r="HF609" s="283">
        <f t="shared" si="14022"/>
        <v>0</v>
      </c>
      <c r="HG609" s="283">
        <f>SUM(HG611,HG619)</f>
        <v>1005083</v>
      </c>
      <c r="HH609" s="283">
        <f t="shared" ref="HH609:HI609" si="14023">SUM(HH611,HH619)</f>
        <v>25488.52</v>
      </c>
      <c r="HI609" s="885">
        <f t="shared" si="14023"/>
        <v>0</v>
      </c>
      <c r="HJ609" s="552">
        <f t="shared" ref="HJ609:HK609" si="14024">SUM(HJ611,HJ619)</f>
        <v>79785.850000000006</v>
      </c>
      <c r="HK609" s="821">
        <f t="shared" si="14024"/>
        <v>0</v>
      </c>
      <c r="HL609" s="552">
        <f t="shared" ref="HL609:HM609" si="14025">SUM(HL611,HL619)</f>
        <v>67139.51999999999</v>
      </c>
      <c r="HM609" s="821">
        <f t="shared" si="14025"/>
        <v>0</v>
      </c>
      <c r="HN609" s="926">
        <f t="shared" ref="HN609:HO609" si="14026">SUM(HN611,HN619)</f>
        <v>72699.11</v>
      </c>
      <c r="HO609" s="927">
        <f t="shared" si="14026"/>
        <v>0</v>
      </c>
      <c r="HP609" s="552">
        <f t="shared" ref="HP609:HQ609" si="14027">SUM(HP611,HP619)</f>
        <v>68446.47</v>
      </c>
      <c r="HQ609" s="821">
        <f t="shared" si="14027"/>
        <v>0</v>
      </c>
      <c r="HR609" s="552">
        <f t="shared" ref="HR609:HS609" si="14028">SUM(HR611,HR619)</f>
        <v>89090</v>
      </c>
      <c r="HS609" s="821">
        <f t="shared" si="14028"/>
        <v>0</v>
      </c>
      <c r="HT609" s="552">
        <f t="shared" ref="HT609:HU609" si="14029">SUM(HT611,HT619)</f>
        <v>89090</v>
      </c>
      <c r="HU609" s="821">
        <f t="shared" si="14029"/>
        <v>0</v>
      </c>
      <c r="HV609" s="552">
        <f t="shared" ref="HV609:HW609" si="14030">SUM(HV611,HV619)</f>
        <v>455828.53</v>
      </c>
      <c r="HW609" s="821">
        <f t="shared" si="14030"/>
        <v>0</v>
      </c>
      <c r="HX609" s="552">
        <f t="shared" ref="HX609:HY609" si="14031">SUM(HX611,HX619)</f>
        <v>56375</v>
      </c>
      <c r="HY609" s="821">
        <f t="shared" si="14031"/>
        <v>0</v>
      </c>
      <c r="HZ609" s="552">
        <f t="shared" ref="HZ609:IA609" si="14032">SUM(HZ611,HZ619)</f>
        <v>1140</v>
      </c>
      <c r="IA609" s="821">
        <f t="shared" si="14032"/>
        <v>0</v>
      </c>
      <c r="IB609" s="552">
        <f t="shared" ref="IB609:IC609" si="14033">SUM(IB611,IB619)</f>
        <v>0</v>
      </c>
      <c r="IC609" s="821">
        <f t="shared" si="14033"/>
        <v>0</v>
      </c>
      <c r="ID609" s="552">
        <f t="shared" si="14022"/>
        <v>0</v>
      </c>
      <c r="IE609" s="821">
        <f t="shared" si="14022"/>
        <v>0</v>
      </c>
      <c r="IF609" s="859">
        <f t="shared" si="14022"/>
        <v>661950.18000000005</v>
      </c>
      <c r="IG609" s="283">
        <f t="shared" si="14022"/>
        <v>661950.18000000005</v>
      </c>
      <c r="IH609" s="860">
        <f t="shared" si="14022"/>
        <v>661950.18000000005</v>
      </c>
      <c r="II609" s="283">
        <f t="shared" si="14022"/>
        <v>3634.49</v>
      </c>
      <c r="IJ609" s="283">
        <f t="shared" si="14022"/>
        <v>3634.49</v>
      </c>
      <c r="IK609" s="283">
        <f t="shared" si="14022"/>
        <v>3634.49</v>
      </c>
      <c r="IL609" s="283">
        <f t="shared" si="14022"/>
        <v>10055.969999999999</v>
      </c>
      <c r="IM609" s="283">
        <f t="shared" si="14022"/>
        <v>10055.969999999999</v>
      </c>
      <c r="IN609" s="283">
        <f t="shared" si="14022"/>
        <v>10055.969999999999</v>
      </c>
      <c r="IO609" s="283">
        <f t="shared" si="14022"/>
        <v>7853.8600000000024</v>
      </c>
      <c r="IP609" s="283">
        <f t="shared" si="14022"/>
        <v>7853.8600000000024</v>
      </c>
      <c r="IQ609" s="283">
        <f t="shared" si="14022"/>
        <v>7853.8600000000024</v>
      </c>
      <c r="IR609" s="283">
        <f t="shared" si="14022"/>
        <v>78054.959999999992</v>
      </c>
      <c r="IS609" s="283">
        <f t="shared" si="14022"/>
        <v>78054.959999999992</v>
      </c>
      <c r="IT609" s="283">
        <f t="shared" si="14022"/>
        <v>78054.959999999992</v>
      </c>
      <c r="IU609" s="283">
        <f t="shared" si="14022"/>
        <v>38647.17</v>
      </c>
      <c r="IV609" s="283">
        <f t="shared" si="14022"/>
        <v>38647.17</v>
      </c>
      <c r="IW609" s="283">
        <f t="shared" si="14022"/>
        <v>38647.17</v>
      </c>
      <c r="IX609" s="283">
        <f t="shared" si="14022"/>
        <v>147936.51</v>
      </c>
      <c r="IY609" s="283">
        <f t="shared" si="14022"/>
        <v>147936.51</v>
      </c>
      <c r="IZ609" s="283">
        <f t="shared" si="14022"/>
        <v>147936.51</v>
      </c>
      <c r="JA609" s="283">
        <f t="shared" si="14022"/>
        <v>75941.67</v>
      </c>
      <c r="JB609" s="283">
        <f t="shared" si="14022"/>
        <v>75941.67</v>
      </c>
      <c r="JC609" s="283">
        <f t="shared" ref="JC609" si="14034">SUM(JC611,JC619)</f>
        <v>75941.67</v>
      </c>
      <c r="JD609" s="283">
        <f t="shared" ref="JD609:JF609" si="14035">SUM(JD611,JD619)</f>
        <v>79620.75</v>
      </c>
      <c r="JE609" s="283">
        <f t="shared" si="14035"/>
        <v>79620.75</v>
      </c>
      <c r="JF609" s="283">
        <f t="shared" si="14035"/>
        <v>79620.75</v>
      </c>
      <c r="JG609" s="283">
        <f t="shared" ref="JG609:JI609" si="14036">SUM(JG611,JG619)</f>
        <v>153514.31</v>
      </c>
      <c r="JH609" s="283">
        <f t="shared" si="14036"/>
        <v>153514.31</v>
      </c>
      <c r="JI609" s="283">
        <f t="shared" si="14036"/>
        <v>153514.31</v>
      </c>
      <c r="JJ609" s="283">
        <f t="shared" ref="JJ609:JL609" si="14037">SUM(JJ611,JJ619)</f>
        <v>66690.490000000005</v>
      </c>
      <c r="JK609" s="283">
        <f t="shared" si="14037"/>
        <v>66690.490000000005</v>
      </c>
      <c r="JL609" s="283">
        <f t="shared" si="14037"/>
        <v>66690.490000000005</v>
      </c>
      <c r="JM609" s="283">
        <f t="shared" ref="JM609:JO609" si="14038">SUM(JM611,JM619)</f>
        <v>0</v>
      </c>
      <c r="JN609" s="283">
        <f t="shared" si="14038"/>
        <v>0</v>
      </c>
      <c r="JO609" s="283">
        <f t="shared" si="14038"/>
        <v>0</v>
      </c>
      <c r="JP609" s="283">
        <f t="shared" ref="JP609:KB609" si="14039">SUM(JP611,JP619)</f>
        <v>0</v>
      </c>
      <c r="JQ609" s="283">
        <f t="shared" si="14039"/>
        <v>0</v>
      </c>
      <c r="JR609" s="283">
        <f t="shared" si="14039"/>
        <v>0</v>
      </c>
      <c r="JS609" s="283">
        <f t="shared" si="14039"/>
        <v>343132.81999999995</v>
      </c>
      <c r="JT609" s="283">
        <f t="shared" si="14039"/>
        <v>284260.81999999995</v>
      </c>
      <c r="JU609" s="665"/>
      <c r="JV609" s="524"/>
      <c r="JW609" s="525"/>
      <c r="JX609" s="552">
        <f>SUM(JX611,JX619)</f>
        <v>1005083</v>
      </c>
      <c r="JY609" s="552">
        <f t="shared" si="14039"/>
        <v>0</v>
      </c>
      <c r="JZ609" s="581">
        <f t="shared" si="13477"/>
        <v>357483</v>
      </c>
      <c r="KA609" s="581">
        <f t="shared" si="13478"/>
        <v>0</v>
      </c>
      <c r="KB609" s="552">
        <f t="shared" si="14039"/>
        <v>1005083</v>
      </c>
      <c r="KC609" s="709">
        <f t="shared" si="13396"/>
        <v>0</v>
      </c>
      <c r="KD609" s="36"/>
      <c r="KE609" s="36"/>
      <c r="KF609" s="36"/>
      <c r="KG609" s="36"/>
      <c r="KH609" s="36"/>
      <c r="KI609" s="36"/>
      <c r="KJ609" s="36"/>
      <c r="KK609" s="36"/>
    </row>
    <row r="610" spans="1:297" s="10" customFormat="1">
      <c r="A610" s="86"/>
      <c r="B610" s="77"/>
      <c r="C610" s="74"/>
      <c r="D610" s="549"/>
      <c r="E610" s="675"/>
      <c r="F610" s="549"/>
      <c r="G610" s="675"/>
      <c r="H610" s="549"/>
      <c r="I610" s="675"/>
      <c r="J610" s="549"/>
      <c r="K610" s="675"/>
      <c r="L610" s="549"/>
      <c r="M610" s="675"/>
      <c r="N610" s="549"/>
      <c r="O610" s="675"/>
      <c r="P610" s="549"/>
      <c r="Q610" s="675"/>
      <c r="R610" s="549"/>
      <c r="S610" s="675"/>
      <c r="T610" s="549"/>
      <c r="U610" s="675"/>
      <c r="V610" s="549"/>
      <c r="W610" s="675"/>
      <c r="X610" s="549"/>
      <c r="Y610" s="675"/>
      <c r="Z610" s="549"/>
      <c r="AA610" s="675"/>
      <c r="AB610" s="549"/>
      <c r="AC610" s="675"/>
      <c r="AD610" s="549"/>
      <c r="AE610" s="675"/>
      <c r="AF610" s="549"/>
      <c r="AG610" s="675"/>
      <c r="AH610" s="549"/>
      <c r="AI610" s="675"/>
      <c r="AJ610" s="549"/>
      <c r="AK610" s="675"/>
      <c r="AL610" s="549"/>
      <c r="AM610" s="675"/>
      <c r="AN610" s="549"/>
      <c r="AO610" s="675"/>
      <c r="AP610" s="549"/>
      <c r="AQ610" s="675"/>
      <c r="AR610" s="549"/>
      <c r="AS610" s="675"/>
      <c r="AT610" s="549"/>
      <c r="AU610" s="675"/>
      <c r="AV610" s="549"/>
      <c r="AW610" s="675"/>
      <c r="AX610" s="549"/>
      <c r="AY610" s="675"/>
      <c r="AZ610" s="549"/>
      <c r="BA610" s="675"/>
      <c r="BB610" s="549"/>
      <c r="BC610" s="675"/>
      <c r="BD610" s="549"/>
      <c r="BE610" s="675"/>
      <c r="BF610" s="549"/>
      <c r="BG610" s="675"/>
      <c r="BH610" s="549"/>
      <c r="BI610" s="675"/>
      <c r="BJ610" s="549"/>
      <c r="BK610" s="675"/>
      <c r="BL610" s="549"/>
      <c r="BM610" s="675"/>
      <c r="BN610" s="549"/>
      <c r="BO610" s="675"/>
      <c r="BP610" s="549"/>
      <c r="BQ610" s="675"/>
      <c r="BR610" s="549"/>
      <c r="BS610" s="675"/>
      <c r="BT610" s="549"/>
      <c r="BU610" s="675"/>
      <c r="BV610" s="549"/>
      <c r="BW610" s="675"/>
      <c r="BX610" s="549"/>
      <c r="BY610" s="675"/>
      <c r="BZ610" s="549"/>
      <c r="CA610" s="675"/>
      <c r="CB610" s="549"/>
      <c r="CC610" s="675"/>
      <c r="CD610" s="549"/>
      <c r="CE610" s="675"/>
      <c r="CF610" s="549"/>
      <c r="CG610" s="675"/>
      <c r="CH610" s="549"/>
      <c r="CI610" s="675"/>
      <c r="CJ610" s="549"/>
      <c r="CK610" s="675"/>
      <c r="CL610" s="549"/>
      <c r="CM610" s="675"/>
      <c r="CN610" s="549"/>
      <c r="CO610" s="675"/>
      <c r="CP610" s="549"/>
      <c r="CQ610" s="675"/>
      <c r="CR610" s="549"/>
      <c r="CS610" s="675"/>
      <c r="CT610" s="549"/>
      <c r="CU610" s="675"/>
      <c r="CV610" s="549"/>
      <c r="CW610" s="675"/>
      <c r="CX610" s="549"/>
      <c r="CY610" s="675"/>
      <c r="CZ610" s="549"/>
      <c r="DA610" s="675"/>
      <c r="DB610" s="549"/>
      <c r="DC610" s="675"/>
      <c r="DD610" s="549"/>
      <c r="DE610" s="675"/>
      <c r="DF610" s="549"/>
      <c r="DG610" s="675"/>
      <c r="DH610" s="549"/>
      <c r="DI610" s="675"/>
      <c r="DJ610" s="549"/>
      <c r="DK610" s="675"/>
      <c r="DL610" s="549"/>
      <c r="DM610" s="675"/>
      <c r="DN610" s="549"/>
      <c r="DO610" s="675"/>
      <c r="DP610" s="549"/>
      <c r="DQ610" s="675"/>
      <c r="DR610" s="549"/>
      <c r="DS610" s="675"/>
      <c r="DT610" s="549"/>
      <c r="DU610" s="675"/>
      <c r="DV610" s="549"/>
      <c r="DW610" s="675"/>
      <c r="DX610" s="549"/>
      <c r="DY610" s="675"/>
      <c r="DZ610" s="549"/>
      <c r="EA610" s="675"/>
      <c r="EB610" s="549"/>
      <c r="EC610" s="675"/>
      <c r="ED610" s="549"/>
      <c r="EE610" s="675"/>
      <c r="EF610" s="549"/>
      <c r="EG610" s="675"/>
      <c r="EH610" s="549"/>
      <c r="EI610" s="675"/>
      <c r="EJ610" s="549"/>
      <c r="EK610" s="675"/>
      <c r="EL610" s="549"/>
      <c r="EM610" s="675"/>
      <c r="EN610" s="549"/>
      <c r="EO610" s="675"/>
      <c r="EP610" s="549"/>
      <c r="EQ610" s="675"/>
      <c r="ER610" s="549"/>
      <c r="ES610" s="675"/>
      <c r="ET610" s="549"/>
      <c r="EU610" s="675"/>
      <c r="EV610" s="549"/>
      <c r="EW610" s="675"/>
      <c r="EX610" s="549"/>
      <c r="EY610" s="675"/>
      <c r="EZ610" s="549"/>
      <c r="FA610" s="675"/>
      <c r="FB610" s="549"/>
      <c r="FC610" s="675"/>
      <c r="FD610" s="549"/>
      <c r="FE610" s="675"/>
      <c r="FF610" s="549"/>
      <c r="FG610" s="675"/>
      <c r="FH610" s="549"/>
      <c r="FI610" s="675"/>
      <c r="FJ610" s="549"/>
      <c r="FK610" s="675"/>
      <c r="FL610" s="549"/>
      <c r="FM610" s="675"/>
      <c r="FN610" s="549"/>
      <c r="FO610" s="675"/>
      <c r="FP610" s="549"/>
      <c r="FQ610" s="675"/>
      <c r="FR610" s="549"/>
      <c r="FS610" s="675"/>
      <c r="FT610" s="549"/>
      <c r="FU610" s="675"/>
      <c r="FV610" s="549"/>
      <c r="FW610" s="675"/>
      <c r="FX610" s="549"/>
      <c r="FY610" s="675"/>
      <c r="FZ610" s="549"/>
      <c r="GA610" s="675"/>
      <c r="GB610" s="549"/>
      <c r="GC610" s="675"/>
      <c r="GD610" s="549"/>
      <c r="GE610" s="675"/>
      <c r="GF610" s="549"/>
      <c r="GG610" s="675"/>
      <c r="GH610" s="549"/>
      <c r="GI610" s="675"/>
      <c r="GJ610" s="549"/>
      <c r="GK610" s="675"/>
      <c r="GL610" s="549"/>
      <c r="GM610" s="675"/>
      <c r="GN610" s="549"/>
      <c r="GO610" s="675"/>
      <c r="GP610" s="549"/>
      <c r="GQ610" s="675"/>
      <c r="GR610" s="74"/>
      <c r="GS610" s="74"/>
      <c r="GT610" s="74"/>
      <c r="GU610" s="73"/>
      <c r="GV610" s="73"/>
      <c r="GW610" s="549"/>
      <c r="GX610" s="549"/>
      <c r="GY610" s="73"/>
      <c r="GZ610" s="73"/>
      <c r="HA610" s="73"/>
      <c r="HB610" s="73"/>
      <c r="HC610" s="73"/>
      <c r="HD610" s="73"/>
      <c r="HE610" s="73"/>
      <c r="HF610" s="73"/>
      <c r="HG610" s="74"/>
      <c r="HH610" s="73"/>
      <c r="HI610" s="815"/>
      <c r="HJ610" s="73"/>
      <c r="HK610" s="815"/>
      <c r="HL610" s="73"/>
      <c r="HM610" s="815"/>
      <c r="HN610" s="73"/>
      <c r="HO610" s="815"/>
      <c r="HP610" s="73"/>
      <c r="HQ610" s="815"/>
      <c r="HR610" s="73"/>
      <c r="HS610" s="815"/>
      <c r="HT610" s="73"/>
      <c r="HU610" s="815"/>
      <c r="HV610" s="73"/>
      <c r="HW610" s="815"/>
      <c r="HX610" s="73"/>
      <c r="HY610" s="815"/>
      <c r="HZ610" s="73"/>
      <c r="IA610" s="815"/>
      <c r="IB610" s="73"/>
      <c r="IC610" s="815"/>
      <c r="ID610" s="73"/>
      <c r="IE610" s="815"/>
      <c r="IF610" s="841"/>
      <c r="IG610" s="263"/>
      <c r="IH610" s="842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  <c r="JD610" s="73"/>
      <c r="JE610" s="73"/>
      <c r="JF610" s="73"/>
      <c r="JG610" s="73"/>
      <c r="JH610" s="73"/>
      <c r="JI610" s="73"/>
      <c r="JJ610" s="73"/>
      <c r="JK610" s="73"/>
      <c r="JL610" s="73"/>
      <c r="JM610" s="73"/>
      <c r="JN610" s="73"/>
      <c r="JO610" s="73"/>
      <c r="JP610" s="73"/>
      <c r="JQ610" s="73"/>
      <c r="JR610" s="73"/>
      <c r="JS610" s="74"/>
      <c r="JT610" s="382"/>
      <c r="JU610" s="665"/>
      <c r="JV610" s="524"/>
      <c r="JW610" s="525"/>
      <c r="JX610" s="549"/>
      <c r="JY610" s="549"/>
      <c r="JZ610" s="581">
        <f t="shared" si="13477"/>
        <v>0</v>
      </c>
      <c r="KA610" s="581">
        <f t="shared" si="13478"/>
        <v>0</v>
      </c>
      <c r="KB610" s="549">
        <f t="shared" ref="KB610:KB622" si="14040">JX610</f>
        <v>0</v>
      </c>
      <c r="KC610" s="709">
        <f t="shared" si="13396"/>
        <v>0</v>
      </c>
      <c r="KD610" s="36"/>
      <c r="KE610" s="36"/>
      <c r="KF610" s="36"/>
      <c r="KG610" s="36"/>
      <c r="KH610" s="36"/>
      <c r="KI610" s="36"/>
      <c r="KJ610" s="36"/>
      <c r="KK610" s="36"/>
    </row>
    <row r="611" spans="1:297" s="7" customFormat="1" ht="15" customHeight="1">
      <c r="A611" s="80" t="s">
        <v>326</v>
      </c>
      <c r="B611" s="74" t="s">
        <v>50</v>
      </c>
      <c r="C611" s="74">
        <f t="shared" ref="C611" si="14041">SUM(C613)+C616</f>
        <v>147600</v>
      </c>
      <c r="D611" s="549">
        <f t="shared" ref="D611:E611" si="14042">SUM(D613)+D616</f>
        <v>0</v>
      </c>
      <c r="E611" s="675">
        <f t="shared" si="14042"/>
        <v>0</v>
      </c>
      <c r="F611" s="549">
        <f t="shared" ref="F611:G611" si="14043">SUM(F613)+F616</f>
        <v>0</v>
      </c>
      <c r="G611" s="675">
        <f t="shared" si="14043"/>
        <v>0</v>
      </c>
      <c r="H611" s="549">
        <f t="shared" ref="H611:I611" si="14044">SUM(H613)+H616</f>
        <v>0</v>
      </c>
      <c r="I611" s="675">
        <f t="shared" si="14044"/>
        <v>0</v>
      </c>
      <c r="J611" s="549">
        <f t="shared" ref="J611:K611" si="14045">SUM(J613)+J616</f>
        <v>0</v>
      </c>
      <c r="K611" s="675">
        <f t="shared" si="14045"/>
        <v>0</v>
      </c>
      <c r="L611" s="549">
        <f t="shared" ref="L611:M611" si="14046">SUM(L613)+L616</f>
        <v>0</v>
      </c>
      <c r="M611" s="675">
        <f t="shared" si="14046"/>
        <v>0</v>
      </c>
      <c r="N611" s="549">
        <f t="shared" ref="N611:O611" si="14047">SUM(N613)+N616</f>
        <v>0</v>
      </c>
      <c r="O611" s="675">
        <f t="shared" si="14047"/>
        <v>0</v>
      </c>
      <c r="P611" s="549">
        <f t="shared" ref="P611:Q611" si="14048">SUM(P613)+P616</f>
        <v>0</v>
      </c>
      <c r="Q611" s="675">
        <f t="shared" si="14048"/>
        <v>0</v>
      </c>
      <c r="R611" s="549">
        <f t="shared" ref="R611:S611" si="14049">SUM(R613)+R616</f>
        <v>0</v>
      </c>
      <c r="S611" s="675">
        <f t="shared" si="14049"/>
        <v>0</v>
      </c>
      <c r="T611" s="549">
        <f t="shared" ref="T611:U611" si="14050">SUM(T613)+T616</f>
        <v>0</v>
      </c>
      <c r="U611" s="675">
        <f t="shared" si="14050"/>
        <v>0</v>
      </c>
      <c r="V611" s="549">
        <f t="shared" ref="V611:W611" si="14051">SUM(V613)+V616</f>
        <v>0</v>
      </c>
      <c r="W611" s="675">
        <f t="shared" si="14051"/>
        <v>0</v>
      </c>
      <c r="X611" s="549">
        <f t="shared" ref="X611:Y611" si="14052">SUM(X613)+X616</f>
        <v>0</v>
      </c>
      <c r="Y611" s="675">
        <f t="shared" si="14052"/>
        <v>0</v>
      </c>
      <c r="Z611" s="549">
        <f t="shared" ref="Z611:AA611" si="14053">SUM(Z613)+Z616</f>
        <v>0</v>
      </c>
      <c r="AA611" s="675">
        <f t="shared" si="14053"/>
        <v>0</v>
      </c>
      <c r="AB611" s="549">
        <f t="shared" ref="AB611:AC611" si="14054">SUM(AB613)+AB616</f>
        <v>0</v>
      </c>
      <c r="AC611" s="675">
        <f t="shared" si="14054"/>
        <v>0</v>
      </c>
      <c r="AD611" s="549">
        <f t="shared" ref="AD611:AK611" si="14055">SUM(AD613)+AD616</f>
        <v>0</v>
      </c>
      <c r="AE611" s="675">
        <f t="shared" si="14055"/>
        <v>0</v>
      </c>
      <c r="AF611" s="549">
        <f t="shared" si="14055"/>
        <v>0</v>
      </c>
      <c r="AG611" s="675">
        <f t="shared" si="14055"/>
        <v>0</v>
      </c>
      <c r="AH611" s="549">
        <f t="shared" si="14055"/>
        <v>0</v>
      </c>
      <c r="AI611" s="675">
        <f t="shared" si="14055"/>
        <v>0</v>
      </c>
      <c r="AJ611" s="549">
        <f t="shared" si="14055"/>
        <v>0</v>
      </c>
      <c r="AK611" s="675">
        <f t="shared" si="14055"/>
        <v>0</v>
      </c>
      <c r="AL611" s="549">
        <f t="shared" ref="AL611:AM611" si="14056">SUM(AL613)+AL616</f>
        <v>0</v>
      </c>
      <c r="AM611" s="675">
        <f t="shared" si="14056"/>
        <v>0</v>
      </c>
      <c r="AN611" s="549">
        <f t="shared" ref="AN611:AO611" si="14057">SUM(AN613)+AN616</f>
        <v>0</v>
      </c>
      <c r="AO611" s="675">
        <f t="shared" si="14057"/>
        <v>0</v>
      </c>
      <c r="AP611" s="549">
        <f t="shared" ref="AP611:AQ611" si="14058">SUM(AP613)+AP616</f>
        <v>0</v>
      </c>
      <c r="AQ611" s="675">
        <f t="shared" si="14058"/>
        <v>0</v>
      </c>
      <c r="AR611" s="549">
        <f t="shared" ref="AR611:AS611" si="14059">SUM(AR613)+AR616</f>
        <v>0</v>
      </c>
      <c r="AS611" s="675">
        <f t="shared" si="14059"/>
        <v>0</v>
      </c>
      <c r="AT611" s="549">
        <f t="shared" ref="AT611:AU611" si="14060">SUM(AT613)+AT616</f>
        <v>0</v>
      </c>
      <c r="AU611" s="675">
        <f t="shared" si="14060"/>
        <v>0</v>
      </c>
      <c r="AV611" s="549">
        <f t="shared" ref="AV611:AW611" si="14061">SUM(AV613)+AV616</f>
        <v>0</v>
      </c>
      <c r="AW611" s="675">
        <f t="shared" si="14061"/>
        <v>0</v>
      </c>
      <c r="AX611" s="549">
        <f t="shared" ref="AX611:AY611" si="14062">SUM(AX613)+AX616</f>
        <v>0</v>
      </c>
      <c r="AY611" s="675">
        <f t="shared" si="14062"/>
        <v>0</v>
      </c>
      <c r="AZ611" s="549">
        <f t="shared" ref="AZ611:BA611" si="14063">SUM(AZ613)+AZ616</f>
        <v>0</v>
      </c>
      <c r="BA611" s="675">
        <f t="shared" si="14063"/>
        <v>0</v>
      </c>
      <c r="BB611" s="549">
        <f t="shared" ref="BB611:BC611" si="14064">SUM(BB613)+BB616</f>
        <v>0</v>
      </c>
      <c r="BC611" s="675">
        <f t="shared" si="14064"/>
        <v>0</v>
      </c>
      <c r="BD611" s="549">
        <f t="shared" ref="BD611:BE611" si="14065">SUM(BD613)+BD616</f>
        <v>0</v>
      </c>
      <c r="BE611" s="675">
        <f t="shared" si="14065"/>
        <v>0</v>
      </c>
      <c r="BF611" s="549">
        <f t="shared" ref="BF611:BG611" si="14066">SUM(BF613)+BF616</f>
        <v>0</v>
      </c>
      <c r="BG611" s="675">
        <f t="shared" si="14066"/>
        <v>0</v>
      </c>
      <c r="BH611" s="549">
        <f t="shared" ref="BH611:BI611" si="14067">SUM(BH613)+BH616</f>
        <v>0</v>
      </c>
      <c r="BI611" s="675">
        <f t="shared" si="14067"/>
        <v>0</v>
      </c>
      <c r="BJ611" s="549">
        <f t="shared" ref="BJ611:BK611" si="14068">SUM(BJ613)+BJ616</f>
        <v>0</v>
      </c>
      <c r="BK611" s="675">
        <f t="shared" si="14068"/>
        <v>0</v>
      </c>
      <c r="BL611" s="549">
        <f t="shared" ref="BL611:BS611" si="14069">SUM(BL613)+BL616</f>
        <v>0</v>
      </c>
      <c r="BM611" s="675">
        <f t="shared" si="14069"/>
        <v>0</v>
      </c>
      <c r="BN611" s="549">
        <f t="shared" si="14069"/>
        <v>0</v>
      </c>
      <c r="BO611" s="675">
        <f t="shared" si="14069"/>
        <v>0</v>
      </c>
      <c r="BP611" s="549">
        <f t="shared" si="14069"/>
        <v>0</v>
      </c>
      <c r="BQ611" s="675">
        <f t="shared" si="14069"/>
        <v>0</v>
      </c>
      <c r="BR611" s="549">
        <f t="shared" si="14069"/>
        <v>0</v>
      </c>
      <c r="BS611" s="675">
        <f t="shared" si="14069"/>
        <v>0</v>
      </c>
      <c r="BT611" s="549">
        <f t="shared" ref="BT611:BU611" si="14070">SUM(BT613)+BT616</f>
        <v>0</v>
      </c>
      <c r="BU611" s="675">
        <f t="shared" si="14070"/>
        <v>0</v>
      </c>
      <c r="BV611" s="549">
        <f t="shared" ref="BV611:BW611" si="14071">SUM(BV613)+BV616</f>
        <v>0</v>
      </c>
      <c r="BW611" s="675">
        <f t="shared" si="14071"/>
        <v>0</v>
      </c>
      <c r="BX611" s="549">
        <f t="shared" ref="BX611:BY611" si="14072">SUM(BX613)+BX616</f>
        <v>0</v>
      </c>
      <c r="BY611" s="675">
        <f t="shared" si="14072"/>
        <v>0</v>
      </c>
      <c r="BZ611" s="549">
        <f t="shared" ref="BZ611:CA611" si="14073">SUM(BZ613)+BZ616</f>
        <v>0</v>
      </c>
      <c r="CA611" s="675">
        <f t="shared" si="14073"/>
        <v>0</v>
      </c>
      <c r="CB611" s="549">
        <f t="shared" ref="CB611:CC611" si="14074">SUM(CB613)+CB616</f>
        <v>0</v>
      </c>
      <c r="CC611" s="675">
        <f t="shared" si="14074"/>
        <v>0</v>
      </c>
      <c r="CD611" s="549">
        <f t="shared" ref="CD611:CE611" si="14075">SUM(CD613)+CD616</f>
        <v>0</v>
      </c>
      <c r="CE611" s="675">
        <f t="shared" si="14075"/>
        <v>0</v>
      </c>
      <c r="CF611" s="549">
        <f t="shared" ref="CF611:CG611" si="14076">SUM(CF613)+CF616</f>
        <v>0</v>
      </c>
      <c r="CG611" s="675">
        <f t="shared" si="14076"/>
        <v>0</v>
      </c>
      <c r="CH611" s="549">
        <f t="shared" ref="CH611:CI611" si="14077">SUM(CH613)+CH616</f>
        <v>0</v>
      </c>
      <c r="CI611" s="675">
        <f t="shared" si="14077"/>
        <v>0</v>
      </c>
      <c r="CJ611" s="549">
        <f t="shared" ref="CJ611:CK611" si="14078">SUM(CJ613)+CJ616</f>
        <v>0</v>
      </c>
      <c r="CK611" s="675">
        <f t="shared" si="14078"/>
        <v>0</v>
      </c>
      <c r="CL611" s="549">
        <f t="shared" ref="CL611:CM611" si="14079">SUM(CL613)+CL616</f>
        <v>0</v>
      </c>
      <c r="CM611" s="675">
        <f t="shared" si="14079"/>
        <v>0</v>
      </c>
      <c r="CN611" s="549">
        <f t="shared" ref="CN611:CO611" si="14080">SUM(CN613)+CN616</f>
        <v>0</v>
      </c>
      <c r="CO611" s="675">
        <f t="shared" si="14080"/>
        <v>0</v>
      </c>
      <c r="CP611" s="549">
        <f t="shared" ref="CP611:CQ611" si="14081">SUM(CP613)+CP616</f>
        <v>0</v>
      </c>
      <c r="CQ611" s="675">
        <f t="shared" si="14081"/>
        <v>0</v>
      </c>
      <c r="CR611" s="549">
        <f t="shared" ref="CR611:CS611" si="14082">SUM(CR613)+CR616</f>
        <v>0</v>
      </c>
      <c r="CS611" s="675">
        <f t="shared" si="14082"/>
        <v>0</v>
      </c>
      <c r="CT611" s="549">
        <f t="shared" ref="CT611:CU611" si="14083">SUM(CT613)+CT616</f>
        <v>0</v>
      </c>
      <c r="CU611" s="675">
        <f t="shared" si="14083"/>
        <v>0</v>
      </c>
      <c r="CV611" s="549">
        <f t="shared" ref="CV611:CW611" si="14084">SUM(CV613)+CV616</f>
        <v>0</v>
      </c>
      <c r="CW611" s="675">
        <f t="shared" si="14084"/>
        <v>0</v>
      </c>
      <c r="CX611" s="549">
        <f t="shared" ref="CX611:CY611" si="14085">SUM(CX613)+CX616</f>
        <v>0</v>
      </c>
      <c r="CY611" s="675">
        <f t="shared" si="14085"/>
        <v>0</v>
      </c>
      <c r="CZ611" s="549">
        <f t="shared" ref="CZ611:DI611" si="14086">SUM(CZ613)+CZ616</f>
        <v>0</v>
      </c>
      <c r="DA611" s="675">
        <f t="shared" si="14086"/>
        <v>0</v>
      </c>
      <c r="DB611" s="549">
        <f t="shared" si="14086"/>
        <v>0</v>
      </c>
      <c r="DC611" s="675">
        <f t="shared" si="14086"/>
        <v>0</v>
      </c>
      <c r="DD611" s="549">
        <f t="shared" si="14086"/>
        <v>0</v>
      </c>
      <c r="DE611" s="675">
        <f t="shared" si="14086"/>
        <v>0</v>
      </c>
      <c r="DF611" s="549">
        <f t="shared" si="14086"/>
        <v>0</v>
      </c>
      <c r="DG611" s="675">
        <f t="shared" si="14086"/>
        <v>0</v>
      </c>
      <c r="DH611" s="549">
        <f t="shared" si="14086"/>
        <v>0</v>
      </c>
      <c r="DI611" s="675">
        <f t="shared" si="14086"/>
        <v>0</v>
      </c>
      <c r="DJ611" s="549">
        <f t="shared" ref="DJ611:DY611" si="14087">SUM(DJ613)+DJ616</f>
        <v>0</v>
      </c>
      <c r="DK611" s="675">
        <f t="shared" si="14087"/>
        <v>0</v>
      </c>
      <c r="DL611" s="549">
        <f t="shared" si="14087"/>
        <v>0</v>
      </c>
      <c r="DM611" s="675">
        <f t="shared" si="14087"/>
        <v>0</v>
      </c>
      <c r="DN611" s="549">
        <f t="shared" si="14087"/>
        <v>0</v>
      </c>
      <c r="DO611" s="675">
        <f t="shared" si="14087"/>
        <v>0</v>
      </c>
      <c r="DP611" s="549">
        <f t="shared" si="14087"/>
        <v>54600</v>
      </c>
      <c r="DQ611" s="675">
        <f t="shared" si="14087"/>
        <v>0</v>
      </c>
      <c r="DR611" s="549">
        <f t="shared" si="14087"/>
        <v>0</v>
      </c>
      <c r="DS611" s="675">
        <f t="shared" si="14087"/>
        <v>0</v>
      </c>
      <c r="DT611" s="549">
        <f t="shared" si="14087"/>
        <v>0</v>
      </c>
      <c r="DU611" s="675">
        <f t="shared" si="14087"/>
        <v>0</v>
      </c>
      <c r="DV611" s="549">
        <f t="shared" si="14087"/>
        <v>0</v>
      </c>
      <c r="DW611" s="675">
        <f t="shared" si="14087"/>
        <v>0</v>
      </c>
      <c r="DX611" s="549">
        <f t="shared" si="14087"/>
        <v>0</v>
      </c>
      <c r="DY611" s="675">
        <f t="shared" si="14087"/>
        <v>0</v>
      </c>
      <c r="DZ611" s="549">
        <f t="shared" ref="DZ611:EU611" si="14088">SUM(DZ613)+DZ616</f>
        <v>0</v>
      </c>
      <c r="EA611" s="675">
        <f t="shared" si="14088"/>
        <v>0</v>
      </c>
      <c r="EB611" s="549">
        <f t="shared" si="14088"/>
        <v>0</v>
      </c>
      <c r="EC611" s="675">
        <f t="shared" si="14088"/>
        <v>0</v>
      </c>
      <c r="ED611" s="549">
        <f t="shared" si="14088"/>
        <v>0</v>
      </c>
      <c r="EE611" s="675">
        <f t="shared" si="14088"/>
        <v>0</v>
      </c>
      <c r="EF611" s="549">
        <f t="shared" si="14088"/>
        <v>0</v>
      </c>
      <c r="EG611" s="675">
        <f t="shared" si="14088"/>
        <v>0</v>
      </c>
      <c r="EH611" s="549">
        <f t="shared" ref="EH611:EM611" si="14089">SUM(EH613)+EH616</f>
        <v>0</v>
      </c>
      <c r="EI611" s="675">
        <f t="shared" si="14089"/>
        <v>0</v>
      </c>
      <c r="EJ611" s="549">
        <f t="shared" si="14089"/>
        <v>0</v>
      </c>
      <c r="EK611" s="675">
        <f t="shared" si="14089"/>
        <v>0</v>
      </c>
      <c r="EL611" s="549">
        <f t="shared" si="14089"/>
        <v>0</v>
      </c>
      <c r="EM611" s="675">
        <f t="shared" si="14089"/>
        <v>0</v>
      </c>
      <c r="EN611" s="549">
        <f t="shared" si="14088"/>
        <v>0</v>
      </c>
      <c r="EO611" s="675">
        <f t="shared" si="14088"/>
        <v>0</v>
      </c>
      <c r="EP611" s="549">
        <f t="shared" si="14088"/>
        <v>0</v>
      </c>
      <c r="EQ611" s="675">
        <f t="shared" si="14088"/>
        <v>0</v>
      </c>
      <c r="ER611" s="549">
        <f t="shared" si="14088"/>
        <v>0</v>
      </c>
      <c r="ES611" s="675">
        <f t="shared" si="14088"/>
        <v>0</v>
      </c>
      <c r="ET611" s="549">
        <f t="shared" si="14088"/>
        <v>0</v>
      </c>
      <c r="EU611" s="675">
        <f t="shared" si="14088"/>
        <v>0</v>
      </c>
      <c r="EV611" s="549">
        <f t="shared" ref="EV611:FE611" si="14090">SUM(EV613)+EV616</f>
        <v>0</v>
      </c>
      <c r="EW611" s="675">
        <f t="shared" si="14090"/>
        <v>0</v>
      </c>
      <c r="EX611" s="549">
        <f t="shared" si="14090"/>
        <v>0</v>
      </c>
      <c r="EY611" s="675">
        <f t="shared" si="14090"/>
        <v>0</v>
      </c>
      <c r="EZ611" s="549">
        <f t="shared" si="14090"/>
        <v>0</v>
      </c>
      <c r="FA611" s="675">
        <f t="shared" si="14090"/>
        <v>0</v>
      </c>
      <c r="FB611" s="549">
        <f t="shared" si="14090"/>
        <v>0</v>
      </c>
      <c r="FC611" s="675">
        <f t="shared" si="14090"/>
        <v>0</v>
      </c>
      <c r="FD611" s="549">
        <f t="shared" si="14090"/>
        <v>0</v>
      </c>
      <c r="FE611" s="675">
        <f t="shared" si="14090"/>
        <v>0</v>
      </c>
      <c r="FF611" s="549">
        <f t="shared" ref="FF611:FG611" si="14091">SUM(FF613)+FF616</f>
        <v>0</v>
      </c>
      <c r="FG611" s="675">
        <f t="shared" si="14091"/>
        <v>0</v>
      </c>
      <c r="FH611" s="549">
        <f t="shared" ref="FH611:FI611" si="14092">SUM(FH613)+FH616</f>
        <v>0</v>
      </c>
      <c r="FI611" s="675">
        <f t="shared" si="14092"/>
        <v>0</v>
      </c>
      <c r="FJ611" s="549">
        <f t="shared" ref="FJ611:FK611" si="14093">SUM(FJ613)+FJ616</f>
        <v>0</v>
      </c>
      <c r="FK611" s="675">
        <f t="shared" si="14093"/>
        <v>0</v>
      </c>
      <c r="FL611" s="549">
        <f t="shared" ref="FL611:FM611" si="14094">SUM(FL613)+FL616</f>
        <v>0</v>
      </c>
      <c r="FM611" s="675">
        <f t="shared" si="14094"/>
        <v>0</v>
      </c>
      <c r="FN611" s="549">
        <f t="shared" ref="FN611:FO611" si="14095">SUM(FN613)+FN616</f>
        <v>0</v>
      </c>
      <c r="FO611" s="675">
        <f t="shared" si="14095"/>
        <v>0</v>
      </c>
      <c r="FP611" s="549">
        <f t="shared" ref="FP611:FQ611" si="14096">SUM(FP613)+FP616</f>
        <v>0</v>
      </c>
      <c r="FQ611" s="675">
        <f t="shared" si="14096"/>
        <v>0</v>
      </c>
      <c r="FR611" s="549">
        <f t="shared" ref="FR611:FS611" si="14097">SUM(FR613)+FR616</f>
        <v>0</v>
      </c>
      <c r="FS611" s="675">
        <f t="shared" si="14097"/>
        <v>0</v>
      </c>
      <c r="FT611" s="549">
        <f t="shared" ref="FT611:FU611" si="14098">SUM(FT613)+FT616</f>
        <v>0</v>
      </c>
      <c r="FU611" s="675">
        <f t="shared" si="14098"/>
        <v>0</v>
      </c>
      <c r="FV611" s="549">
        <f t="shared" ref="FV611:GK611" si="14099">SUM(FV613)+FV616</f>
        <v>0</v>
      </c>
      <c r="FW611" s="675">
        <f t="shared" si="14099"/>
        <v>0</v>
      </c>
      <c r="FX611" s="549">
        <f t="shared" si="14099"/>
        <v>0</v>
      </c>
      <c r="FY611" s="675">
        <f t="shared" si="14099"/>
        <v>0</v>
      </c>
      <c r="FZ611" s="549">
        <f t="shared" ref="FZ611:GI611" si="14100">SUM(FZ613)+FZ616</f>
        <v>0</v>
      </c>
      <c r="GA611" s="675">
        <f t="shared" si="14100"/>
        <v>0</v>
      </c>
      <c r="GB611" s="549">
        <f t="shared" si="14100"/>
        <v>0</v>
      </c>
      <c r="GC611" s="675">
        <f t="shared" si="14100"/>
        <v>0</v>
      </c>
      <c r="GD611" s="549">
        <f t="shared" si="14100"/>
        <v>0</v>
      </c>
      <c r="GE611" s="675">
        <f t="shared" si="14100"/>
        <v>0</v>
      </c>
      <c r="GF611" s="549">
        <f t="shared" si="14100"/>
        <v>0</v>
      </c>
      <c r="GG611" s="675">
        <f t="shared" si="14100"/>
        <v>0</v>
      </c>
      <c r="GH611" s="549">
        <f t="shared" si="14100"/>
        <v>0</v>
      </c>
      <c r="GI611" s="675">
        <f t="shared" si="14100"/>
        <v>0</v>
      </c>
      <c r="GJ611" s="549">
        <f t="shared" si="14099"/>
        <v>0</v>
      </c>
      <c r="GK611" s="675">
        <f t="shared" si="14099"/>
        <v>0</v>
      </c>
      <c r="GL611" s="549">
        <f t="shared" ref="GL611:GM611" si="14101">SUM(GL613)+GL616</f>
        <v>0</v>
      </c>
      <c r="GM611" s="675">
        <f t="shared" si="14101"/>
        <v>0</v>
      </c>
      <c r="GN611" s="549">
        <f t="shared" ref="GN611:GO611" si="14102">SUM(GN613)+GN616</f>
        <v>0</v>
      </c>
      <c r="GO611" s="675">
        <f t="shared" si="14102"/>
        <v>0</v>
      </c>
      <c r="GP611" s="549">
        <f t="shared" ref="GP611:HU611" si="14103">SUM(GP613)+GP616</f>
        <v>54600</v>
      </c>
      <c r="GQ611" s="675">
        <f t="shared" si="14103"/>
        <v>0</v>
      </c>
      <c r="GR611" s="263">
        <f t="shared" si="14103"/>
        <v>202200</v>
      </c>
      <c r="GS611" s="74">
        <f t="shared" si="14103"/>
        <v>188782</v>
      </c>
      <c r="GT611" s="74">
        <f t="shared" si="14103"/>
        <v>202200</v>
      </c>
      <c r="GU611" s="74">
        <f t="shared" si="14103"/>
        <v>13420</v>
      </c>
      <c r="GV611" s="74">
        <f t="shared" si="14103"/>
        <v>13418</v>
      </c>
      <c r="GW611" s="549">
        <f t="shared" si="14103"/>
        <v>13418</v>
      </c>
      <c r="GX611" s="549">
        <f t="shared" si="14103"/>
        <v>13418</v>
      </c>
      <c r="GY611" s="74">
        <f t="shared" si="14103"/>
        <v>13418</v>
      </c>
      <c r="GZ611" s="74">
        <f t="shared" si="14103"/>
        <v>13418</v>
      </c>
      <c r="HA611" s="74">
        <f t="shared" si="14103"/>
        <v>13418</v>
      </c>
      <c r="HB611" s="74">
        <f t="shared" si="14103"/>
        <v>13418</v>
      </c>
      <c r="HC611" s="74">
        <f t="shared" si="14103"/>
        <v>13418</v>
      </c>
      <c r="HD611" s="74">
        <f t="shared" si="14103"/>
        <v>13418</v>
      </c>
      <c r="HE611" s="74">
        <f t="shared" si="14103"/>
        <v>13418</v>
      </c>
      <c r="HF611" s="74">
        <f t="shared" si="14103"/>
        <v>0</v>
      </c>
      <c r="HG611" s="74">
        <f t="shared" si="14103"/>
        <v>202200</v>
      </c>
      <c r="HH611" s="74">
        <f t="shared" si="14103"/>
        <v>13420</v>
      </c>
      <c r="HI611" s="792">
        <f t="shared" si="14103"/>
        <v>0</v>
      </c>
      <c r="HJ611" s="74">
        <f t="shared" si="14103"/>
        <v>13008.890000000001</v>
      </c>
      <c r="HK611" s="792">
        <f t="shared" si="14103"/>
        <v>0</v>
      </c>
      <c r="HL611" s="74">
        <f t="shared" si="14103"/>
        <v>9617</v>
      </c>
      <c r="HM611" s="792">
        <f t="shared" si="14103"/>
        <v>0</v>
      </c>
      <c r="HN611" s="74">
        <f t="shared" si="14103"/>
        <v>27245.11</v>
      </c>
      <c r="HO611" s="792">
        <f t="shared" si="14103"/>
        <v>0</v>
      </c>
      <c r="HP611" s="74">
        <f t="shared" si="14103"/>
        <v>22992.47</v>
      </c>
      <c r="HQ611" s="792">
        <f t="shared" si="14103"/>
        <v>0</v>
      </c>
      <c r="HR611" s="74">
        <f t="shared" si="14103"/>
        <v>43636</v>
      </c>
      <c r="HS611" s="792">
        <f t="shared" si="14103"/>
        <v>0</v>
      </c>
      <c r="HT611" s="74">
        <f t="shared" si="14103"/>
        <v>43636</v>
      </c>
      <c r="HU611" s="792">
        <f t="shared" si="14103"/>
        <v>0</v>
      </c>
      <c r="HV611" s="74">
        <f t="shared" ref="HV611:HW611" si="14104">SUM(HV613)+HV616</f>
        <v>-25955.47</v>
      </c>
      <c r="HW611" s="792">
        <f t="shared" si="14104"/>
        <v>0</v>
      </c>
      <c r="HX611" s="74">
        <f t="shared" ref="HX611:HY611" si="14105">SUM(HX613)+HX616</f>
        <v>54600</v>
      </c>
      <c r="HY611" s="792">
        <f t="shared" si="14105"/>
        <v>0</v>
      </c>
      <c r="HZ611" s="74">
        <f t="shared" ref="HZ611:IA611" si="14106">SUM(HZ613)+HZ616</f>
        <v>0</v>
      </c>
      <c r="IA611" s="792">
        <f t="shared" si="14106"/>
        <v>0</v>
      </c>
      <c r="IB611" s="74">
        <f t="shared" ref="IB611:IC611" si="14107">SUM(IB613)+IB616</f>
        <v>0</v>
      </c>
      <c r="IC611" s="792">
        <f t="shared" si="14107"/>
        <v>0</v>
      </c>
      <c r="ID611" s="74">
        <f t="shared" ref="ID611:IT611" si="14108">SUM(ID613)+ID616</f>
        <v>0</v>
      </c>
      <c r="IE611" s="792">
        <f t="shared" si="14108"/>
        <v>0</v>
      </c>
      <c r="IF611" s="841">
        <f t="shared" si="14108"/>
        <v>131367.67000000001</v>
      </c>
      <c r="IG611" s="263">
        <f t="shared" si="14108"/>
        <v>131367.67000000001</v>
      </c>
      <c r="IH611" s="842">
        <f t="shared" si="14108"/>
        <v>131367.67000000001</v>
      </c>
      <c r="II611" s="74">
        <f t="shared" si="14108"/>
        <v>0</v>
      </c>
      <c r="IJ611" s="74">
        <f t="shared" si="14108"/>
        <v>0</v>
      </c>
      <c r="IK611" s="74">
        <f t="shared" si="14108"/>
        <v>0</v>
      </c>
      <c r="IL611" s="74">
        <f t="shared" si="14108"/>
        <v>2996.58</v>
      </c>
      <c r="IM611" s="74">
        <f t="shared" si="14108"/>
        <v>2996.58</v>
      </c>
      <c r="IN611" s="74">
        <f t="shared" si="14108"/>
        <v>2996.58</v>
      </c>
      <c r="IO611" s="74">
        <f t="shared" si="14108"/>
        <v>1175</v>
      </c>
      <c r="IP611" s="74">
        <f t="shared" si="14108"/>
        <v>1175</v>
      </c>
      <c r="IQ611" s="74">
        <f t="shared" si="14108"/>
        <v>1175</v>
      </c>
      <c r="IR611" s="74">
        <f t="shared" si="14108"/>
        <v>49061.75</v>
      </c>
      <c r="IS611" s="74">
        <f t="shared" si="14108"/>
        <v>49061.75</v>
      </c>
      <c r="IT611" s="74">
        <f t="shared" si="14108"/>
        <v>49061.75</v>
      </c>
      <c r="IU611" s="74">
        <f t="shared" ref="IU611:IW611" si="14109">SUM(IU613)+IU616</f>
        <v>0</v>
      </c>
      <c r="IV611" s="74">
        <f t="shared" si="14109"/>
        <v>0</v>
      </c>
      <c r="IW611" s="74">
        <f t="shared" si="14109"/>
        <v>0</v>
      </c>
      <c r="IX611" s="74">
        <f t="shared" ref="IX611:IZ611" si="14110">SUM(IX613)+IX616</f>
        <v>0</v>
      </c>
      <c r="IY611" s="74">
        <f t="shared" si="14110"/>
        <v>0</v>
      </c>
      <c r="IZ611" s="74">
        <f t="shared" si="14110"/>
        <v>0</v>
      </c>
      <c r="JA611" s="74">
        <f t="shared" ref="JA611:JC611" si="14111">SUM(JA613)+JA616</f>
        <v>14926.669999999998</v>
      </c>
      <c r="JB611" s="74">
        <f t="shared" si="14111"/>
        <v>14926.669999999998</v>
      </c>
      <c r="JC611" s="74">
        <f t="shared" si="14111"/>
        <v>14926.669999999998</v>
      </c>
      <c r="JD611" s="74">
        <f t="shared" ref="JD611:JF611" si="14112">SUM(JD613)+JD616</f>
        <v>2676.6199999999953</v>
      </c>
      <c r="JE611" s="74">
        <f t="shared" si="14112"/>
        <v>2676.6199999999953</v>
      </c>
      <c r="JF611" s="74">
        <f t="shared" si="14112"/>
        <v>2676.6199999999953</v>
      </c>
      <c r="JG611" s="74">
        <f t="shared" ref="JG611:JI611" si="14113">SUM(JG613)+JG616</f>
        <v>47181.05</v>
      </c>
      <c r="JH611" s="74">
        <f t="shared" si="14113"/>
        <v>47181.05</v>
      </c>
      <c r="JI611" s="74">
        <f t="shared" si="14113"/>
        <v>47181.05</v>
      </c>
      <c r="JJ611" s="74">
        <f t="shared" ref="JJ611:JL611" si="14114">SUM(JJ613)+JJ616</f>
        <v>13350.000000000015</v>
      </c>
      <c r="JK611" s="74">
        <f t="shared" si="14114"/>
        <v>13350.000000000015</v>
      </c>
      <c r="JL611" s="74">
        <f t="shared" si="14114"/>
        <v>13350.000000000015</v>
      </c>
      <c r="JM611" s="74">
        <f t="shared" ref="JM611:JO611" si="14115">SUM(JM613)+JM616</f>
        <v>0</v>
      </c>
      <c r="JN611" s="74">
        <f t="shared" si="14115"/>
        <v>0</v>
      </c>
      <c r="JO611" s="74">
        <f t="shared" si="14115"/>
        <v>0</v>
      </c>
      <c r="JP611" s="74">
        <f t="shared" ref="JP611:JY611" si="14116">SUM(JP613)+JP616</f>
        <v>0</v>
      </c>
      <c r="JQ611" s="74">
        <f t="shared" si="14116"/>
        <v>0</v>
      </c>
      <c r="JR611" s="74">
        <f t="shared" si="14116"/>
        <v>0</v>
      </c>
      <c r="JS611" s="74">
        <f t="shared" si="14116"/>
        <v>70832.329999999987</v>
      </c>
      <c r="JT611" s="102">
        <f t="shared" si="14116"/>
        <v>57414.329999999987</v>
      </c>
      <c r="JU611" s="665"/>
      <c r="JV611" s="524"/>
      <c r="JW611" s="525"/>
      <c r="JX611" s="549">
        <f t="shared" si="14116"/>
        <v>202200</v>
      </c>
      <c r="JY611" s="549">
        <f t="shared" si="14116"/>
        <v>0</v>
      </c>
      <c r="JZ611" s="581">
        <f t="shared" si="13477"/>
        <v>54600</v>
      </c>
      <c r="KA611" s="581">
        <f t="shared" si="13478"/>
        <v>0</v>
      </c>
      <c r="KB611" s="549">
        <f t="shared" si="14040"/>
        <v>202200</v>
      </c>
      <c r="KC611" s="709">
        <f t="shared" si="13396"/>
        <v>0</v>
      </c>
      <c r="KD611" s="36"/>
      <c r="KE611" s="36"/>
      <c r="KF611" s="36"/>
      <c r="KG611" s="36"/>
      <c r="KH611" s="36"/>
      <c r="KI611" s="36"/>
      <c r="KJ611" s="36"/>
      <c r="KK611" s="36"/>
    </row>
    <row r="612" spans="1:297" s="33" customFormat="1" ht="12.75" customHeight="1">
      <c r="A612" s="86"/>
      <c r="B612" s="77"/>
      <c r="C612" s="74"/>
      <c r="D612" s="549"/>
      <c r="E612" s="675"/>
      <c r="F612" s="549"/>
      <c r="G612" s="675"/>
      <c r="H612" s="549"/>
      <c r="I612" s="675"/>
      <c r="J612" s="549"/>
      <c r="K612" s="675"/>
      <c r="L612" s="549"/>
      <c r="M612" s="675"/>
      <c r="N612" s="549"/>
      <c r="O612" s="675"/>
      <c r="P612" s="549"/>
      <c r="Q612" s="675"/>
      <c r="R612" s="549"/>
      <c r="S612" s="675"/>
      <c r="T612" s="549"/>
      <c r="U612" s="675"/>
      <c r="V612" s="549"/>
      <c r="W612" s="675"/>
      <c r="X612" s="549"/>
      <c r="Y612" s="675"/>
      <c r="Z612" s="549"/>
      <c r="AA612" s="675"/>
      <c r="AB612" s="549"/>
      <c r="AC612" s="675"/>
      <c r="AD612" s="549"/>
      <c r="AE612" s="675"/>
      <c r="AF612" s="549"/>
      <c r="AG612" s="675"/>
      <c r="AH612" s="549"/>
      <c r="AI612" s="675"/>
      <c r="AJ612" s="549"/>
      <c r="AK612" s="675"/>
      <c r="AL612" s="549"/>
      <c r="AM612" s="675"/>
      <c r="AN612" s="549"/>
      <c r="AO612" s="675"/>
      <c r="AP612" s="549"/>
      <c r="AQ612" s="675"/>
      <c r="AR612" s="549"/>
      <c r="AS612" s="675"/>
      <c r="AT612" s="549"/>
      <c r="AU612" s="675"/>
      <c r="AV612" s="549"/>
      <c r="AW612" s="675"/>
      <c r="AX612" s="549"/>
      <c r="AY612" s="675"/>
      <c r="AZ612" s="549"/>
      <c r="BA612" s="675"/>
      <c r="BB612" s="549"/>
      <c r="BC612" s="675"/>
      <c r="BD612" s="549"/>
      <c r="BE612" s="675"/>
      <c r="BF612" s="549"/>
      <c r="BG612" s="675"/>
      <c r="BH612" s="549"/>
      <c r="BI612" s="675"/>
      <c r="BJ612" s="549"/>
      <c r="BK612" s="675"/>
      <c r="BL612" s="549"/>
      <c r="BM612" s="675"/>
      <c r="BN612" s="549"/>
      <c r="BO612" s="675"/>
      <c r="BP612" s="549"/>
      <c r="BQ612" s="675"/>
      <c r="BR612" s="549"/>
      <c r="BS612" s="675"/>
      <c r="BT612" s="549"/>
      <c r="BU612" s="675"/>
      <c r="BV612" s="549"/>
      <c r="BW612" s="675"/>
      <c r="BX612" s="549"/>
      <c r="BY612" s="675"/>
      <c r="BZ612" s="549"/>
      <c r="CA612" s="675"/>
      <c r="CB612" s="549"/>
      <c r="CC612" s="675"/>
      <c r="CD612" s="549"/>
      <c r="CE612" s="675"/>
      <c r="CF612" s="549"/>
      <c r="CG612" s="675"/>
      <c r="CH612" s="549"/>
      <c r="CI612" s="675"/>
      <c r="CJ612" s="549"/>
      <c r="CK612" s="675"/>
      <c r="CL612" s="549"/>
      <c r="CM612" s="675"/>
      <c r="CN612" s="549"/>
      <c r="CO612" s="675"/>
      <c r="CP612" s="549"/>
      <c r="CQ612" s="675"/>
      <c r="CR612" s="549"/>
      <c r="CS612" s="675"/>
      <c r="CT612" s="549"/>
      <c r="CU612" s="675"/>
      <c r="CV612" s="549"/>
      <c r="CW612" s="675"/>
      <c r="CX612" s="549"/>
      <c r="CY612" s="675"/>
      <c r="CZ612" s="549"/>
      <c r="DA612" s="675"/>
      <c r="DB612" s="549"/>
      <c r="DC612" s="675"/>
      <c r="DD612" s="549"/>
      <c r="DE612" s="675"/>
      <c r="DF612" s="549"/>
      <c r="DG612" s="675"/>
      <c r="DH612" s="549"/>
      <c r="DI612" s="675"/>
      <c r="DJ612" s="549"/>
      <c r="DK612" s="675"/>
      <c r="DL612" s="549"/>
      <c r="DM612" s="675"/>
      <c r="DN612" s="549"/>
      <c r="DO612" s="675"/>
      <c r="DP612" s="549"/>
      <c r="DQ612" s="675"/>
      <c r="DR612" s="549"/>
      <c r="DS612" s="675"/>
      <c r="DT612" s="549"/>
      <c r="DU612" s="675"/>
      <c r="DV612" s="549"/>
      <c r="DW612" s="675"/>
      <c r="DX612" s="549"/>
      <c r="DY612" s="675"/>
      <c r="DZ612" s="549"/>
      <c r="EA612" s="675"/>
      <c r="EB612" s="549"/>
      <c r="EC612" s="675"/>
      <c r="ED612" s="549"/>
      <c r="EE612" s="675"/>
      <c r="EF612" s="549"/>
      <c r="EG612" s="675"/>
      <c r="EH612" s="549"/>
      <c r="EI612" s="675"/>
      <c r="EJ612" s="549"/>
      <c r="EK612" s="675"/>
      <c r="EL612" s="549"/>
      <c r="EM612" s="675"/>
      <c r="EN612" s="549"/>
      <c r="EO612" s="675"/>
      <c r="EP612" s="549"/>
      <c r="EQ612" s="675"/>
      <c r="ER612" s="549"/>
      <c r="ES612" s="675"/>
      <c r="ET612" s="549"/>
      <c r="EU612" s="675"/>
      <c r="EV612" s="549"/>
      <c r="EW612" s="675"/>
      <c r="EX612" s="549"/>
      <c r="EY612" s="675"/>
      <c r="EZ612" s="549"/>
      <c r="FA612" s="675"/>
      <c r="FB612" s="549"/>
      <c r="FC612" s="675"/>
      <c r="FD612" s="549"/>
      <c r="FE612" s="675"/>
      <c r="FF612" s="549"/>
      <c r="FG612" s="675"/>
      <c r="FH612" s="549"/>
      <c r="FI612" s="675"/>
      <c r="FJ612" s="549"/>
      <c r="FK612" s="675"/>
      <c r="FL612" s="549"/>
      <c r="FM612" s="675"/>
      <c r="FN612" s="549"/>
      <c r="FO612" s="675"/>
      <c r="FP612" s="549"/>
      <c r="FQ612" s="675"/>
      <c r="FR612" s="549"/>
      <c r="FS612" s="675"/>
      <c r="FT612" s="549"/>
      <c r="FU612" s="675"/>
      <c r="FV612" s="549"/>
      <c r="FW612" s="675"/>
      <c r="FX612" s="549"/>
      <c r="FY612" s="675"/>
      <c r="FZ612" s="549"/>
      <c r="GA612" s="675"/>
      <c r="GB612" s="549"/>
      <c r="GC612" s="675"/>
      <c r="GD612" s="549"/>
      <c r="GE612" s="675"/>
      <c r="GF612" s="549"/>
      <c r="GG612" s="675"/>
      <c r="GH612" s="549"/>
      <c r="GI612" s="675"/>
      <c r="GJ612" s="549"/>
      <c r="GK612" s="675"/>
      <c r="GL612" s="549"/>
      <c r="GM612" s="675"/>
      <c r="GN612" s="549"/>
      <c r="GO612" s="675"/>
      <c r="GP612" s="549"/>
      <c r="GQ612" s="675"/>
      <c r="GR612" s="74"/>
      <c r="GS612" s="74"/>
      <c r="GT612" s="74"/>
      <c r="GU612" s="275"/>
      <c r="GV612" s="275"/>
      <c r="GW612" s="588"/>
      <c r="GX612" s="588"/>
      <c r="GY612" s="275"/>
      <c r="GZ612" s="275"/>
      <c r="HA612" s="275"/>
      <c r="HB612" s="275"/>
      <c r="HC612" s="275"/>
      <c r="HD612" s="275"/>
      <c r="HE612" s="275"/>
      <c r="HF612" s="275"/>
      <c r="HG612" s="74"/>
      <c r="HH612" s="89"/>
      <c r="HI612" s="817"/>
      <c r="HJ612" s="89"/>
      <c r="HK612" s="817"/>
      <c r="HL612" s="89"/>
      <c r="HM612" s="817"/>
      <c r="HN612" s="89"/>
      <c r="HO612" s="817"/>
      <c r="HP612" s="89"/>
      <c r="HQ612" s="817"/>
      <c r="HR612" s="89"/>
      <c r="HS612" s="817"/>
      <c r="HT612" s="89"/>
      <c r="HU612" s="817"/>
      <c r="HV612" s="89"/>
      <c r="HW612" s="817"/>
      <c r="HX612" s="89"/>
      <c r="HY612" s="817"/>
      <c r="HZ612" s="89"/>
      <c r="IA612" s="817"/>
      <c r="IB612" s="89"/>
      <c r="IC612" s="817"/>
      <c r="ID612" s="89"/>
      <c r="IE612" s="817"/>
      <c r="IF612" s="841"/>
      <c r="IG612" s="263"/>
      <c r="IH612" s="842"/>
      <c r="II612" s="89"/>
      <c r="IJ612" s="89"/>
      <c r="IK612" s="89"/>
      <c r="IL612" s="89"/>
      <c r="IM612" s="89"/>
      <c r="IN612" s="89"/>
      <c r="IO612" s="89"/>
      <c r="IP612" s="89"/>
      <c r="IQ612" s="89"/>
      <c r="IR612" s="89"/>
      <c r="IS612" s="89"/>
      <c r="IT612" s="89"/>
      <c r="IU612" s="89"/>
      <c r="IV612" s="89"/>
      <c r="IW612" s="89"/>
      <c r="IX612" s="89"/>
      <c r="IY612" s="89"/>
      <c r="IZ612" s="89"/>
      <c r="JA612" s="89"/>
      <c r="JB612" s="89"/>
      <c r="JC612" s="89"/>
      <c r="JD612" s="89"/>
      <c r="JE612" s="89"/>
      <c r="JF612" s="89"/>
      <c r="JG612" s="89"/>
      <c r="JH612" s="89"/>
      <c r="JI612" s="89"/>
      <c r="JJ612" s="89"/>
      <c r="JK612" s="89"/>
      <c r="JL612" s="89"/>
      <c r="JM612" s="89"/>
      <c r="JN612" s="89"/>
      <c r="JO612" s="89"/>
      <c r="JP612" s="89"/>
      <c r="JQ612" s="89"/>
      <c r="JR612" s="89"/>
      <c r="JS612" s="74"/>
      <c r="JT612" s="382"/>
      <c r="JU612" s="665"/>
      <c r="JV612" s="524"/>
      <c r="JW612" s="525"/>
      <c r="JX612" s="549"/>
      <c r="JY612" s="549"/>
      <c r="JZ612" s="581">
        <f t="shared" si="13477"/>
        <v>0</v>
      </c>
      <c r="KA612" s="581">
        <f t="shared" si="13478"/>
        <v>0</v>
      </c>
      <c r="KB612" s="549">
        <f t="shared" si="14040"/>
        <v>0</v>
      </c>
      <c r="KC612" s="709">
        <f t="shared" si="13396"/>
        <v>0</v>
      </c>
      <c r="KD612" s="36"/>
      <c r="KE612" s="36"/>
      <c r="KF612" s="36"/>
      <c r="KG612" s="36"/>
      <c r="KH612" s="36"/>
      <c r="KI612" s="36"/>
      <c r="KJ612" s="36"/>
      <c r="KK612" s="36"/>
    </row>
    <row r="613" spans="1:297" s="8" customFormat="1" ht="12.75" customHeight="1">
      <c r="A613" s="80" t="s">
        <v>1064</v>
      </c>
      <c r="B613" s="79" t="s">
        <v>52</v>
      </c>
      <c r="C613" s="78">
        <f>SUM(C614:C614)</f>
        <v>147600</v>
      </c>
      <c r="D613" s="564">
        <f t="shared" ref="D613:CC613" si="14117">SUM(D614:D614)</f>
        <v>0</v>
      </c>
      <c r="E613" s="677">
        <f t="shared" si="14117"/>
        <v>0</v>
      </c>
      <c r="F613" s="564">
        <f t="shared" si="14117"/>
        <v>0</v>
      </c>
      <c r="G613" s="677">
        <f t="shared" si="14117"/>
        <v>0</v>
      </c>
      <c r="H613" s="564">
        <f t="shared" si="14117"/>
        <v>0</v>
      </c>
      <c r="I613" s="677">
        <f t="shared" si="14117"/>
        <v>0</v>
      </c>
      <c r="J613" s="564">
        <f t="shared" si="14117"/>
        <v>0</v>
      </c>
      <c r="K613" s="677">
        <f t="shared" si="14117"/>
        <v>0</v>
      </c>
      <c r="L613" s="564">
        <f t="shared" si="14117"/>
        <v>0</v>
      </c>
      <c r="M613" s="677">
        <f t="shared" si="14117"/>
        <v>0</v>
      </c>
      <c r="N613" s="564">
        <f t="shared" si="14117"/>
        <v>0</v>
      </c>
      <c r="O613" s="677">
        <f t="shared" si="14117"/>
        <v>0</v>
      </c>
      <c r="P613" s="564">
        <f t="shared" si="14117"/>
        <v>0</v>
      </c>
      <c r="Q613" s="677">
        <f t="shared" si="14117"/>
        <v>0</v>
      </c>
      <c r="R613" s="564">
        <f t="shared" si="14117"/>
        <v>0</v>
      </c>
      <c r="S613" s="677">
        <f t="shared" si="14117"/>
        <v>0</v>
      </c>
      <c r="T613" s="564">
        <f t="shared" si="14117"/>
        <v>0</v>
      </c>
      <c r="U613" s="677">
        <f t="shared" si="14117"/>
        <v>0</v>
      </c>
      <c r="V613" s="564">
        <f t="shared" si="14117"/>
        <v>0</v>
      </c>
      <c r="W613" s="677">
        <f t="shared" si="14117"/>
        <v>0</v>
      </c>
      <c r="X613" s="564">
        <f t="shared" si="14117"/>
        <v>0</v>
      </c>
      <c r="Y613" s="677">
        <f t="shared" si="14117"/>
        <v>0</v>
      </c>
      <c r="Z613" s="564">
        <f t="shared" si="14117"/>
        <v>0</v>
      </c>
      <c r="AA613" s="677">
        <f t="shared" si="14117"/>
        <v>0</v>
      </c>
      <c r="AB613" s="564">
        <f t="shared" si="14117"/>
        <v>0</v>
      </c>
      <c r="AC613" s="677">
        <f t="shared" si="14117"/>
        <v>0</v>
      </c>
      <c r="AD613" s="564">
        <f t="shared" si="14117"/>
        <v>0</v>
      </c>
      <c r="AE613" s="677">
        <f t="shared" si="14117"/>
        <v>0</v>
      </c>
      <c r="AF613" s="564">
        <f t="shared" si="14117"/>
        <v>0</v>
      </c>
      <c r="AG613" s="677">
        <f t="shared" si="14117"/>
        <v>0</v>
      </c>
      <c r="AH613" s="564">
        <f t="shared" si="14117"/>
        <v>0</v>
      </c>
      <c r="AI613" s="677">
        <f t="shared" si="14117"/>
        <v>0</v>
      </c>
      <c r="AJ613" s="564">
        <f t="shared" si="14117"/>
        <v>0</v>
      </c>
      <c r="AK613" s="677">
        <f t="shared" si="14117"/>
        <v>0</v>
      </c>
      <c r="AL613" s="564">
        <f t="shared" si="14117"/>
        <v>0</v>
      </c>
      <c r="AM613" s="677">
        <f t="shared" si="14117"/>
        <v>0</v>
      </c>
      <c r="AN613" s="564">
        <f t="shared" si="14117"/>
        <v>0</v>
      </c>
      <c r="AO613" s="677">
        <f t="shared" si="14117"/>
        <v>0</v>
      </c>
      <c r="AP613" s="564">
        <f t="shared" si="14117"/>
        <v>0</v>
      </c>
      <c r="AQ613" s="677">
        <f t="shared" si="14117"/>
        <v>0</v>
      </c>
      <c r="AR613" s="564">
        <f t="shared" si="14117"/>
        <v>0</v>
      </c>
      <c r="AS613" s="677">
        <f t="shared" si="14117"/>
        <v>0</v>
      </c>
      <c r="AT613" s="564">
        <f t="shared" si="14117"/>
        <v>0</v>
      </c>
      <c r="AU613" s="677">
        <f t="shared" si="14117"/>
        <v>0</v>
      </c>
      <c r="AV613" s="564">
        <f t="shared" si="14117"/>
        <v>0</v>
      </c>
      <c r="AW613" s="677">
        <f t="shared" si="14117"/>
        <v>0</v>
      </c>
      <c r="AX613" s="564">
        <f t="shared" si="14117"/>
        <v>0</v>
      </c>
      <c r="AY613" s="677">
        <f t="shared" si="14117"/>
        <v>0</v>
      </c>
      <c r="AZ613" s="564">
        <f t="shared" si="14117"/>
        <v>0</v>
      </c>
      <c r="BA613" s="677">
        <f t="shared" si="14117"/>
        <v>0</v>
      </c>
      <c r="BB613" s="564">
        <f t="shared" si="14117"/>
        <v>0</v>
      </c>
      <c r="BC613" s="677">
        <f t="shared" si="14117"/>
        <v>0</v>
      </c>
      <c r="BD613" s="564">
        <f t="shared" si="14117"/>
        <v>0</v>
      </c>
      <c r="BE613" s="677">
        <f t="shared" si="14117"/>
        <v>0</v>
      </c>
      <c r="BF613" s="564">
        <f t="shared" si="14117"/>
        <v>0</v>
      </c>
      <c r="BG613" s="677">
        <f t="shared" si="14117"/>
        <v>0</v>
      </c>
      <c r="BH613" s="564">
        <f t="shared" si="14117"/>
        <v>0</v>
      </c>
      <c r="BI613" s="677">
        <f t="shared" si="14117"/>
        <v>0</v>
      </c>
      <c r="BJ613" s="564">
        <f t="shared" si="14117"/>
        <v>0</v>
      </c>
      <c r="BK613" s="677">
        <f t="shared" si="14117"/>
        <v>0</v>
      </c>
      <c r="BL613" s="564">
        <f t="shared" si="14117"/>
        <v>0</v>
      </c>
      <c r="BM613" s="677">
        <f t="shared" si="14117"/>
        <v>0</v>
      </c>
      <c r="BN613" s="564">
        <f t="shared" si="14117"/>
        <v>0</v>
      </c>
      <c r="BO613" s="677">
        <f t="shared" si="14117"/>
        <v>0</v>
      </c>
      <c r="BP613" s="564">
        <f t="shared" si="14117"/>
        <v>0</v>
      </c>
      <c r="BQ613" s="677">
        <f t="shared" si="14117"/>
        <v>0</v>
      </c>
      <c r="BR613" s="564">
        <f t="shared" si="14117"/>
        <v>0</v>
      </c>
      <c r="BS613" s="677">
        <f t="shared" si="14117"/>
        <v>0</v>
      </c>
      <c r="BT613" s="564">
        <f t="shared" si="14117"/>
        <v>0</v>
      </c>
      <c r="BU613" s="677">
        <f t="shared" si="14117"/>
        <v>0</v>
      </c>
      <c r="BV613" s="564">
        <f t="shared" si="14117"/>
        <v>0</v>
      </c>
      <c r="BW613" s="677">
        <f t="shared" si="14117"/>
        <v>0</v>
      </c>
      <c r="BX613" s="564">
        <f t="shared" si="14117"/>
        <v>0</v>
      </c>
      <c r="BY613" s="677">
        <f t="shared" si="14117"/>
        <v>0</v>
      </c>
      <c r="BZ613" s="564">
        <f t="shared" si="14117"/>
        <v>0</v>
      </c>
      <c r="CA613" s="677">
        <f t="shared" si="14117"/>
        <v>0</v>
      </c>
      <c r="CB613" s="564">
        <f t="shared" si="14117"/>
        <v>0</v>
      </c>
      <c r="CC613" s="677">
        <f t="shared" si="14117"/>
        <v>0</v>
      </c>
      <c r="CD613" s="564">
        <f t="shared" ref="CD613:CE613" si="14118">SUM(CD614:CD614)</f>
        <v>0</v>
      </c>
      <c r="CE613" s="677">
        <f t="shared" si="14118"/>
        <v>0</v>
      </c>
      <c r="CF613" s="564">
        <f t="shared" ref="CF613:CG613" si="14119">SUM(CF614:CF614)</f>
        <v>0</v>
      </c>
      <c r="CG613" s="677">
        <f t="shared" si="14119"/>
        <v>0</v>
      </c>
      <c r="CH613" s="564">
        <f t="shared" ref="CH613:CI613" si="14120">SUM(CH614:CH614)</f>
        <v>0</v>
      </c>
      <c r="CI613" s="677">
        <f t="shared" si="14120"/>
        <v>0</v>
      </c>
      <c r="CJ613" s="564">
        <f t="shared" ref="CJ613:CK613" si="14121">SUM(CJ614:CJ614)</f>
        <v>0</v>
      </c>
      <c r="CK613" s="677">
        <f t="shared" si="14121"/>
        <v>0</v>
      </c>
      <c r="CL613" s="564">
        <f t="shared" ref="CL613:CM613" si="14122">SUM(CL614:CL614)</f>
        <v>0</v>
      </c>
      <c r="CM613" s="677">
        <f t="shared" si="14122"/>
        <v>0</v>
      </c>
      <c r="CN613" s="564">
        <f t="shared" ref="CN613:CO613" si="14123">SUM(CN614:CN614)</f>
        <v>0</v>
      </c>
      <c r="CO613" s="677">
        <f t="shared" si="14123"/>
        <v>0</v>
      </c>
      <c r="CP613" s="564">
        <f t="shared" ref="CP613:CQ613" si="14124">SUM(CP614:CP614)</f>
        <v>0</v>
      </c>
      <c r="CQ613" s="677">
        <f t="shared" si="14124"/>
        <v>0</v>
      </c>
      <c r="CR613" s="564">
        <f t="shared" ref="CR613:CS613" si="14125">SUM(CR614:CR614)</f>
        <v>0</v>
      </c>
      <c r="CS613" s="677">
        <f t="shared" si="14125"/>
        <v>0</v>
      </c>
      <c r="CT613" s="564">
        <f t="shared" ref="CT613:CU613" si="14126">SUM(CT614:CT614)</f>
        <v>0</v>
      </c>
      <c r="CU613" s="677">
        <f t="shared" si="14126"/>
        <v>0</v>
      </c>
      <c r="CV613" s="564">
        <f t="shared" ref="CV613:CW613" si="14127">SUM(CV614:CV614)</f>
        <v>0</v>
      </c>
      <c r="CW613" s="677">
        <f t="shared" si="14127"/>
        <v>0</v>
      </c>
      <c r="CX613" s="564">
        <f t="shared" ref="CX613:CY613" si="14128">SUM(CX614:CX614)</f>
        <v>0</v>
      </c>
      <c r="CY613" s="677">
        <f t="shared" si="14128"/>
        <v>0</v>
      </c>
      <c r="CZ613" s="564">
        <f t="shared" ref="CZ613:DA613" si="14129">SUM(CZ614:CZ614)</f>
        <v>0</v>
      </c>
      <c r="DA613" s="677">
        <f t="shared" si="14129"/>
        <v>0</v>
      </c>
      <c r="DB613" s="564">
        <f t="shared" ref="DB613:DC613" si="14130">SUM(DB614:DB614)</f>
        <v>0</v>
      </c>
      <c r="DC613" s="677">
        <f t="shared" si="14130"/>
        <v>0</v>
      </c>
      <c r="DD613" s="564">
        <f t="shared" ref="DD613:DE613" si="14131">SUM(DD614:DD614)</f>
        <v>0</v>
      </c>
      <c r="DE613" s="677">
        <f t="shared" si="14131"/>
        <v>0</v>
      </c>
      <c r="DF613" s="564">
        <f t="shared" ref="DF613:DG613" si="14132">SUM(DF614:DF614)</f>
        <v>0</v>
      </c>
      <c r="DG613" s="677">
        <f t="shared" si="14132"/>
        <v>0</v>
      </c>
      <c r="DH613" s="564">
        <f t="shared" ref="DH613:DI613" si="14133">SUM(DH614:DH614)</f>
        <v>0</v>
      </c>
      <c r="DI613" s="677">
        <f t="shared" si="14133"/>
        <v>0</v>
      </c>
      <c r="DJ613" s="564">
        <f t="shared" ref="DJ613:DK613" si="14134">SUM(DJ614:DJ614)</f>
        <v>0</v>
      </c>
      <c r="DK613" s="677">
        <f t="shared" si="14134"/>
        <v>0</v>
      </c>
      <c r="DL613" s="564">
        <f t="shared" ref="DL613:DM613" si="14135">SUM(DL614:DL614)</f>
        <v>0</v>
      </c>
      <c r="DM613" s="677">
        <f t="shared" si="14135"/>
        <v>0</v>
      </c>
      <c r="DN613" s="564">
        <f t="shared" ref="DN613:DO613" si="14136">SUM(DN614:DN614)</f>
        <v>0</v>
      </c>
      <c r="DO613" s="677">
        <f t="shared" si="14136"/>
        <v>0</v>
      </c>
      <c r="DP613" s="564">
        <f t="shared" ref="DP613:DQ613" si="14137">SUM(DP614:DP614)</f>
        <v>54600</v>
      </c>
      <c r="DQ613" s="677">
        <f t="shared" si="14137"/>
        <v>0</v>
      </c>
      <c r="DR613" s="564">
        <f t="shared" ref="DR613:DS613" si="14138">SUM(DR614:DR614)</f>
        <v>0</v>
      </c>
      <c r="DS613" s="677">
        <f t="shared" si="14138"/>
        <v>0</v>
      </c>
      <c r="DT613" s="564">
        <f t="shared" ref="DT613:DU613" si="14139">SUM(DT614:DT614)</f>
        <v>0</v>
      </c>
      <c r="DU613" s="677">
        <f t="shared" si="14139"/>
        <v>0</v>
      </c>
      <c r="DV613" s="564">
        <f t="shared" ref="DV613:DW613" si="14140">SUM(DV614:DV614)</f>
        <v>0</v>
      </c>
      <c r="DW613" s="677">
        <f t="shared" si="14140"/>
        <v>0</v>
      </c>
      <c r="DX613" s="564">
        <f t="shared" ref="DX613:DY613" si="14141">SUM(DX614:DX614)</f>
        <v>0</v>
      </c>
      <c r="DY613" s="677">
        <f t="shared" si="14141"/>
        <v>0</v>
      </c>
      <c r="DZ613" s="564">
        <f t="shared" ref="DZ613:EA613" si="14142">SUM(DZ614:DZ614)</f>
        <v>0</v>
      </c>
      <c r="EA613" s="677">
        <f t="shared" si="14142"/>
        <v>0</v>
      </c>
      <c r="EB613" s="564">
        <f t="shared" ref="EB613:EC613" si="14143">SUM(EB614:EB614)</f>
        <v>0</v>
      </c>
      <c r="EC613" s="677">
        <f t="shared" si="14143"/>
        <v>0</v>
      </c>
      <c r="ED613" s="564">
        <f t="shared" ref="ED613:EE613" si="14144">SUM(ED614:ED614)</f>
        <v>0</v>
      </c>
      <c r="EE613" s="677">
        <f t="shared" si="14144"/>
        <v>0</v>
      </c>
      <c r="EF613" s="564">
        <f t="shared" ref="EF613:GT613" si="14145">SUM(EF614:EF614)</f>
        <v>0</v>
      </c>
      <c r="EG613" s="677">
        <f t="shared" si="14145"/>
        <v>0</v>
      </c>
      <c r="EH613" s="564">
        <f t="shared" si="14145"/>
        <v>0</v>
      </c>
      <c r="EI613" s="677">
        <f t="shared" si="14145"/>
        <v>0</v>
      </c>
      <c r="EJ613" s="564">
        <f t="shared" si="14145"/>
        <v>0</v>
      </c>
      <c r="EK613" s="677">
        <f t="shared" si="14145"/>
        <v>0</v>
      </c>
      <c r="EL613" s="564">
        <f t="shared" si="14145"/>
        <v>0</v>
      </c>
      <c r="EM613" s="677">
        <f t="shared" si="14145"/>
        <v>0</v>
      </c>
      <c r="EN613" s="564">
        <f t="shared" si="14145"/>
        <v>0</v>
      </c>
      <c r="EO613" s="677">
        <f t="shared" si="14145"/>
        <v>0</v>
      </c>
      <c r="EP613" s="564">
        <f t="shared" si="14145"/>
        <v>0</v>
      </c>
      <c r="EQ613" s="677">
        <f t="shared" si="14145"/>
        <v>0</v>
      </c>
      <c r="ER613" s="564">
        <f t="shared" si="14145"/>
        <v>0</v>
      </c>
      <c r="ES613" s="677">
        <f t="shared" si="14145"/>
        <v>0</v>
      </c>
      <c r="ET613" s="564">
        <f t="shared" si="14145"/>
        <v>0</v>
      </c>
      <c r="EU613" s="677">
        <f t="shared" si="14145"/>
        <v>0</v>
      </c>
      <c r="EV613" s="564">
        <f t="shared" si="14145"/>
        <v>0</v>
      </c>
      <c r="EW613" s="677">
        <f t="shared" si="14145"/>
        <v>0</v>
      </c>
      <c r="EX613" s="564">
        <f t="shared" si="14145"/>
        <v>0</v>
      </c>
      <c r="EY613" s="677">
        <f t="shared" si="14145"/>
        <v>0</v>
      </c>
      <c r="EZ613" s="564">
        <f t="shared" si="14145"/>
        <v>0</v>
      </c>
      <c r="FA613" s="677">
        <f t="shared" si="14145"/>
        <v>0</v>
      </c>
      <c r="FB613" s="564">
        <f t="shared" si="14145"/>
        <v>0</v>
      </c>
      <c r="FC613" s="677">
        <f t="shared" si="14145"/>
        <v>0</v>
      </c>
      <c r="FD613" s="564">
        <f t="shared" si="14145"/>
        <v>0</v>
      </c>
      <c r="FE613" s="677">
        <f t="shared" si="14145"/>
        <v>0</v>
      </c>
      <c r="FF613" s="564">
        <f t="shared" si="14145"/>
        <v>0</v>
      </c>
      <c r="FG613" s="677">
        <f t="shared" si="14145"/>
        <v>0</v>
      </c>
      <c r="FH613" s="564">
        <f t="shared" si="14145"/>
        <v>0</v>
      </c>
      <c r="FI613" s="677">
        <f t="shared" si="14145"/>
        <v>0</v>
      </c>
      <c r="FJ613" s="564">
        <f t="shared" si="14145"/>
        <v>0</v>
      </c>
      <c r="FK613" s="677">
        <f t="shared" si="14145"/>
        <v>0</v>
      </c>
      <c r="FL613" s="564">
        <f t="shared" si="14145"/>
        <v>0</v>
      </c>
      <c r="FM613" s="677">
        <f t="shared" si="14145"/>
        <v>0</v>
      </c>
      <c r="FN613" s="564">
        <f t="shared" si="14145"/>
        <v>0</v>
      </c>
      <c r="FO613" s="677">
        <f t="shared" si="14145"/>
        <v>0</v>
      </c>
      <c r="FP613" s="564">
        <f t="shared" si="14145"/>
        <v>0</v>
      </c>
      <c r="FQ613" s="677">
        <f t="shared" si="14145"/>
        <v>0</v>
      </c>
      <c r="FR613" s="564">
        <f t="shared" si="14145"/>
        <v>0</v>
      </c>
      <c r="FS613" s="677">
        <f t="shared" si="14145"/>
        <v>0</v>
      </c>
      <c r="FT613" s="564">
        <f t="shared" si="14145"/>
        <v>0</v>
      </c>
      <c r="FU613" s="677">
        <f t="shared" si="14145"/>
        <v>0</v>
      </c>
      <c r="FV613" s="564">
        <f t="shared" si="14145"/>
        <v>0</v>
      </c>
      <c r="FW613" s="677">
        <f t="shared" si="14145"/>
        <v>0</v>
      </c>
      <c r="FX613" s="564">
        <f t="shared" si="14145"/>
        <v>0</v>
      </c>
      <c r="FY613" s="677">
        <f t="shared" si="14145"/>
        <v>0</v>
      </c>
      <c r="FZ613" s="564">
        <f t="shared" si="14145"/>
        <v>0</v>
      </c>
      <c r="GA613" s="677">
        <f t="shared" si="14145"/>
        <v>0</v>
      </c>
      <c r="GB613" s="564">
        <f t="shared" si="14145"/>
        <v>0</v>
      </c>
      <c r="GC613" s="677">
        <f t="shared" si="14145"/>
        <v>0</v>
      </c>
      <c r="GD613" s="564">
        <f t="shared" si="14145"/>
        <v>0</v>
      </c>
      <c r="GE613" s="677">
        <f t="shared" si="14145"/>
        <v>0</v>
      </c>
      <c r="GF613" s="564">
        <f t="shared" si="14145"/>
        <v>0</v>
      </c>
      <c r="GG613" s="677">
        <f t="shared" si="14145"/>
        <v>0</v>
      </c>
      <c r="GH613" s="564">
        <f t="shared" si="14145"/>
        <v>0</v>
      </c>
      <c r="GI613" s="677">
        <f t="shared" si="14145"/>
        <v>0</v>
      </c>
      <c r="GJ613" s="564">
        <f t="shared" si="14145"/>
        <v>0</v>
      </c>
      <c r="GK613" s="677">
        <f t="shared" si="14145"/>
        <v>0</v>
      </c>
      <c r="GL613" s="564">
        <f t="shared" si="14145"/>
        <v>0</v>
      </c>
      <c r="GM613" s="677">
        <f t="shared" si="14145"/>
        <v>0</v>
      </c>
      <c r="GN613" s="564">
        <f t="shared" si="14145"/>
        <v>0</v>
      </c>
      <c r="GO613" s="677">
        <f t="shared" si="14145"/>
        <v>0</v>
      </c>
      <c r="GP613" s="564">
        <f t="shared" si="14145"/>
        <v>54600</v>
      </c>
      <c r="GQ613" s="677">
        <f t="shared" si="14145"/>
        <v>0</v>
      </c>
      <c r="GR613" s="78">
        <f>SUM(GR614:GR614)</f>
        <v>202200</v>
      </c>
      <c r="GS613" s="78">
        <f>SUM(GS614:GS614)</f>
        <v>188782</v>
      </c>
      <c r="GT613" s="78">
        <f t="shared" si="14145"/>
        <v>202200</v>
      </c>
      <c r="GU613" s="78">
        <f t="shared" ref="GU613:HF613" si="14146">SUM(GU614:GU614)</f>
        <v>13420</v>
      </c>
      <c r="GV613" s="78">
        <f t="shared" si="14146"/>
        <v>13418</v>
      </c>
      <c r="GW613" s="564">
        <f t="shared" si="14146"/>
        <v>13418</v>
      </c>
      <c r="GX613" s="564">
        <f t="shared" si="14146"/>
        <v>13418</v>
      </c>
      <c r="GY613" s="78">
        <f t="shared" si="14146"/>
        <v>13418</v>
      </c>
      <c r="GZ613" s="78">
        <f t="shared" si="14146"/>
        <v>13418</v>
      </c>
      <c r="HA613" s="78">
        <f t="shared" si="14146"/>
        <v>13418</v>
      </c>
      <c r="HB613" s="78">
        <f t="shared" si="14146"/>
        <v>13418</v>
      </c>
      <c r="HC613" s="78">
        <f t="shared" si="14146"/>
        <v>13418</v>
      </c>
      <c r="HD613" s="78">
        <f t="shared" si="14146"/>
        <v>13418</v>
      </c>
      <c r="HE613" s="78">
        <f t="shared" si="14146"/>
        <v>13418</v>
      </c>
      <c r="HF613" s="78">
        <f t="shared" si="14146"/>
        <v>0</v>
      </c>
      <c r="HG613" s="78">
        <f>SUM(HG614:HG614)</f>
        <v>202200</v>
      </c>
      <c r="HH613" s="78">
        <f t="shared" ref="HH613:II613" si="14147">SUM(HH614:HH614)</f>
        <v>13420</v>
      </c>
      <c r="HI613" s="811">
        <f t="shared" si="14147"/>
        <v>0</v>
      </c>
      <c r="HJ613" s="78">
        <f t="shared" si="14147"/>
        <v>13008.890000000001</v>
      </c>
      <c r="HK613" s="811">
        <f t="shared" si="14147"/>
        <v>0</v>
      </c>
      <c r="HL613" s="78">
        <f t="shared" si="14147"/>
        <v>9617</v>
      </c>
      <c r="HM613" s="811">
        <f t="shared" si="14147"/>
        <v>0</v>
      </c>
      <c r="HN613" s="78">
        <f t="shared" si="14147"/>
        <v>27245.11</v>
      </c>
      <c r="HO613" s="811">
        <f t="shared" si="14147"/>
        <v>0</v>
      </c>
      <c r="HP613" s="78">
        <f t="shared" si="14147"/>
        <v>22992.47</v>
      </c>
      <c r="HQ613" s="811">
        <f t="shared" si="14147"/>
        <v>0</v>
      </c>
      <c r="HR613" s="78">
        <f t="shared" si="14147"/>
        <v>43636</v>
      </c>
      <c r="HS613" s="811">
        <f t="shared" si="14147"/>
        <v>0</v>
      </c>
      <c r="HT613" s="78">
        <f t="shared" si="14147"/>
        <v>43636</v>
      </c>
      <c r="HU613" s="811">
        <f t="shared" si="14147"/>
        <v>0</v>
      </c>
      <c r="HV613" s="78">
        <f t="shared" si="14147"/>
        <v>-25955.47</v>
      </c>
      <c r="HW613" s="811">
        <f t="shared" si="14147"/>
        <v>0</v>
      </c>
      <c r="HX613" s="78">
        <f t="shared" si="14147"/>
        <v>54600</v>
      </c>
      <c r="HY613" s="811">
        <f t="shared" si="14147"/>
        <v>0</v>
      </c>
      <c r="HZ613" s="78">
        <f t="shared" si="14147"/>
        <v>0</v>
      </c>
      <c r="IA613" s="811">
        <f t="shared" si="14147"/>
        <v>0</v>
      </c>
      <c r="IB613" s="78">
        <f t="shared" si="14147"/>
        <v>0</v>
      </c>
      <c r="IC613" s="811">
        <f t="shared" si="14147"/>
        <v>0</v>
      </c>
      <c r="ID613" s="78">
        <f t="shared" si="14147"/>
        <v>0</v>
      </c>
      <c r="IE613" s="811">
        <f t="shared" si="14147"/>
        <v>0</v>
      </c>
      <c r="IF613" s="851">
        <f t="shared" si="14147"/>
        <v>131367.67000000001</v>
      </c>
      <c r="IG613" s="280">
        <f t="shared" si="14147"/>
        <v>131367.67000000001</v>
      </c>
      <c r="IH613" s="852">
        <f t="shared" si="14147"/>
        <v>131367.67000000001</v>
      </c>
      <c r="II613" s="78">
        <f t="shared" si="14147"/>
        <v>0</v>
      </c>
      <c r="IJ613" s="78">
        <f>SUM(IJ614:IJ614)</f>
        <v>0</v>
      </c>
      <c r="IK613" s="78">
        <f>SUM(IK614:IK614)</f>
        <v>0</v>
      </c>
      <c r="IL613" s="78">
        <f t="shared" ref="IL613:JP613" si="14148">SUM(IL614:IL614)</f>
        <v>2996.58</v>
      </c>
      <c r="IM613" s="78">
        <f>SUM(IM614:IM614)</f>
        <v>2996.58</v>
      </c>
      <c r="IN613" s="78">
        <f>SUM(IN614:IN614)</f>
        <v>2996.58</v>
      </c>
      <c r="IO613" s="78">
        <f t="shared" si="14148"/>
        <v>1175</v>
      </c>
      <c r="IP613" s="78">
        <f>SUM(IP614:IP614)</f>
        <v>1175</v>
      </c>
      <c r="IQ613" s="78">
        <f>SUM(IQ614:IQ614)</f>
        <v>1175</v>
      </c>
      <c r="IR613" s="78">
        <f t="shared" si="14148"/>
        <v>49061.75</v>
      </c>
      <c r="IS613" s="78">
        <f>SUM(IS614:IS614)</f>
        <v>49061.75</v>
      </c>
      <c r="IT613" s="78">
        <f>SUM(IT614:IT614)</f>
        <v>49061.75</v>
      </c>
      <c r="IU613" s="78">
        <f t="shared" si="14148"/>
        <v>0</v>
      </c>
      <c r="IV613" s="78">
        <f>SUM(IV614:IV614)</f>
        <v>0</v>
      </c>
      <c r="IW613" s="78">
        <f>SUM(IW614:IW614)</f>
        <v>0</v>
      </c>
      <c r="IX613" s="78">
        <f t="shared" si="14148"/>
        <v>0</v>
      </c>
      <c r="IY613" s="78">
        <f>SUM(IY614:IY614)</f>
        <v>0</v>
      </c>
      <c r="IZ613" s="78">
        <f>SUM(IZ614:IZ614)</f>
        <v>0</v>
      </c>
      <c r="JA613" s="78">
        <f t="shared" si="14148"/>
        <v>14926.669999999998</v>
      </c>
      <c r="JB613" s="78">
        <f>SUM(JB614:JB614)</f>
        <v>14926.669999999998</v>
      </c>
      <c r="JC613" s="78">
        <f>SUM(JC614:JC614)</f>
        <v>14926.669999999998</v>
      </c>
      <c r="JD613" s="78">
        <f t="shared" si="14148"/>
        <v>2676.6199999999953</v>
      </c>
      <c r="JE613" s="78">
        <f>SUM(JE614:JE614)</f>
        <v>2676.6199999999953</v>
      </c>
      <c r="JF613" s="78">
        <f>SUM(JF614:JF614)</f>
        <v>2676.6199999999953</v>
      </c>
      <c r="JG613" s="78">
        <f t="shared" si="14148"/>
        <v>47181.05</v>
      </c>
      <c r="JH613" s="78">
        <f>SUM(JH614:JH614)</f>
        <v>47181.05</v>
      </c>
      <c r="JI613" s="78">
        <f>SUM(JI614:JI614)</f>
        <v>47181.05</v>
      </c>
      <c r="JJ613" s="78">
        <f t="shared" si="14148"/>
        <v>13350.000000000015</v>
      </c>
      <c r="JK613" s="78">
        <f>SUM(JK614:JK614)</f>
        <v>13350.000000000015</v>
      </c>
      <c r="JL613" s="78">
        <f>SUM(JL614:JL614)</f>
        <v>13350.000000000015</v>
      </c>
      <c r="JM613" s="78">
        <f t="shared" si="14148"/>
        <v>0</v>
      </c>
      <c r="JN613" s="78">
        <f>SUM(JN614:JN614)</f>
        <v>0</v>
      </c>
      <c r="JO613" s="78">
        <f>SUM(JO614:JO614)</f>
        <v>0</v>
      </c>
      <c r="JP613" s="78">
        <f t="shared" si="14148"/>
        <v>0</v>
      </c>
      <c r="JQ613" s="78">
        <f>SUM(JQ614:JQ614)</f>
        <v>0</v>
      </c>
      <c r="JR613" s="78">
        <f>SUM(JR614:JR614)</f>
        <v>0</v>
      </c>
      <c r="JS613" s="74">
        <f>SUM(JS614)</f>
        <v>70832.329999999987</v>
      </c>
      <c r="JT613" s="382">
        <f>SUM(JT614)</f>
        <v>57414.329999999987</v>
      </c>
      <c r="JU613" s="665"/>
      <c r="JV613" s="524"/>
      <c r="JW613" s="525"/>
      <c r="JX613" s="549">
        <f>SUM(JX614:JX614)</f>
        <v>202200</v>
      </c>
      <c r="JY613" s="549">
        <f>SUM(JY614:JY614)</f>
        <v>0</v>
      </c>
      <c r="JZ613" s="581">
        <f t="shared" si="13477"/>
        <v>54600</v>
      </c>
      <c r="KA613" s="581">
        <f t="shared" si="13478"/>
        <v>0</v>
      </c>
      <c r="KB613" s="549">
        <f t="shared" si="14040"/>
        <v>202200</v>
      </c>
      <c r="KC613" s="709">
        <f t="shared" si="13396"/>
        <v>0</v>
      </c>
      <c r="KD613" s="36"/>
      <c r="KE613" s="36"/>
      <c r="KF613" s="36"/>
      <c r="KG613" s="36"/>
      <c r="KH613" s="36"/>
      <c r="KI613" s="36"/>
      <c r="KJ613" s="36"/>
      <c r="KK613" s="36"/>
    </row>
    <row r="614" spans="1:297" s="33" customFormat="1" ht="12.75" customHeight="1">
      <c r="A614" s="86" t="s">
        <v>1065</v>
      </c>
      <c r="B614" s="77" t="s">
        <v>56</v>
      </c>
      <c r="C614" s="74">
        <v>147600</v>
      </c>
      <c r="D614" s="549">
        <v>0</v>
      </c>
      <c r="E614" s="675">
        <v>0</v>
      </c>
      <c r="F614" s="549">
        <v>0</v>
      </c>
      <c r="G614" s="675">
        <v>0</v>
      </c>
      <c r="H614" s="549">
        <v>0</v>
      </c>
      <c r="I614" s="675">
        <v>0</v>
      </c>
      <c r="J614" s="549">
        <v>0</v>
      </c>
      <c r="K614" s="675">
        <v>0</v>
      </c>
      <c r="L614" s="549">
        <v>0</v>
      </c>
      <c r="M614" s="675">
        <v>0</v>
      </c>
      <c r="N614" s="549">
        <v>0</v>
      </c>
      <c r="O614" s="675">
        <v>0</v>
      </c>
      <c r="P614" s="549">
        <v>0</v>
      </c>
      <c r="Q614" s="675">
        <v>0</v>
      </c>
      <c r="R614" s="549">
        <v>0</v>
      </c>
      <c r="S614" s="675">
        <v>0</v>
      </c>
      <c r="T614" s="549">
        <v>0</v>
      </c>
      <c r="U614" s="675">
        <v>0</v>
      </c>
      <c r="V614" s="549">
        <v>0</v>
      </c>
      <c r="W614" s="675">
        <v>0</v>
      </c>
      <c r="X614" s="549">
        <v>0</v>
      </c>
      <c r="Y614" s="675">
        <v>0</v>
      </c>
      <c r="Z614" s="549">
        <v>0</v>
      </c>
      <c r="AA614" s="675">
        <v>0</v>
      </c>
      <c r="AB614" s="549">
        <v>0</v>
      </c>
      <c r="AC614" s="675">
        <v>0</v>
      </c>
      <c r="AD614" s="549">
        <v>0</v>
      </c>
      <c r="AE614" s="675">
        <v>0</v>
      </c>
      <c r="AF614" s="549">
        <v>0</v>
      </c>
      <c r="AG614" s="675">
        <v>0</v>
      </c>
      <c r="AH614" s="549">
        <v>0</v>
      </c>
      <c r="AI614" s="675">
        <v>0</v>
      </c>
      <c r="AJ614" s="549">
        <v>0</v>
      </c>
      <c r="AK614" s="675">
        <v>0</v>
      </c>
      <c r="AL614" s="549">
        <v>0</v>
      </c>
      <c r="AM614" s="675">
        <v>0</v>
      </c>
      <c r="AN614" s="549">
        <v>0</v>
      </c>
      <c r="AO614" s="675">
        <v>0</v>
      </c>
      <c r="AP614" s="549">
        <v>0</v>
      </c>
      <c r="AQ614" s="675">
        <v>0</v>
      </c>
      <c r="AR614" s="549">
        <v>0</v>
      </c>
      <c r="AS614" s="675">
        <v>0</v>
      </c>
      <c r="AT614" s="549">
        <v>0</v>
      </c>
      <c r="AU614" s="675">
        <v>0</v>
      </c>
      <c r="AV614" s="549">
        <v>0</v>
      </c>
      <c r="AW614" s="675">
        <v>0</v>
      </c>
      <c r="AX614" s="549">
        <v>0</v>
      </c>
      <c r="AY614" s="675">
        <v>0</v>
      </c>
      <c r="AZ614" s="549">
        <v>0</v>
      </c>
      <c r="BA614" s="675">
        <v>0</v>
      </c>
      <c r="BB614" s="549">
        <v>0</v>
      </c>
      <c r="BC614" s="675">
        <v>0</v>
      </c>
      <c r="BD614" s="549">
        <v>0</v>
      </c>
      <c r="BE614" s="675">
        <v>0</v>
      </c>
      <c r="BF614" s="549">
        <v>0</v>
      </c>
      <c r="BG614" s="675">
        <v>0</v>
      </c>
      <c r="BH614" s="549">
        <v>0</v>
      </c>
      <c r="BI614" s="675">
        <v>0</v>
      </c>
      <c r="BJ614" s="549">
        <v>0</v>
      </c>
      <c r="BK614" s="675">
        <v>0</v>
      </c>
      <c r="BL614" s="549">
        <v>0</v>
      </c>
      <c r="BM614" s="675">
        <v>0</v>
      </c>
      <c r="BN614" s="549">
        <v>0</v>
      </c>
      <c r="BO614" s="675">
        <v>0</v>
      </c>
      <c r="BP614" s="549">
        <v>0</v>
      </c>
      <c r="BQ614" s="675">
        <v>0</v>
      </c>
      <c r="BR614" s="549">
        <v>0</v>
      </c>
      <c r="BS614" s="675">
        <v>0</v>
      </c>
      <c r="BT614" s="549">
        <v>0</v>
      </c>
      <c r="BU614" s="675">
        <v>0</v>
      </c>
      <c r="BV614" s="549">
        <v>0</v>
      </c>
      <c r="BW614" s="675">
        <v>0</v>
      </c>
      <c r="BX614" s="549">
        <v>0</v>
      </c>
      <c r="BY614" s="675">
        <v>0</v>
      </c>
      <c r="BZ614" s="549">
        <v>0</v>
      </c>
      <c r="CA614" s="675">
        <v>0</v>
      </c>
      <c r="CB614" s="549">
        <v>0</v>
      </c>
      <c r="CC614" s="675">
        <v>0</v>
      </c>
      <c r="CD614" s="549">
        <v>0</v>
      </c>
      <c r="CE614" s="675">
        <v>0</v>
      </c>
      <c r="CF614" s="549">
        <v>0</v>
      </c>
      <c r="CG614" s="675">
        <v>0</v>
      </c>
      <c r="CH614" s="549">
        <v>0</v>
      </c>
      <c r="CI614" s="675">
        <v>0</v>
      </c>
      <c r="CJ614" s="549">
        <v>0</v>
      </c>
      <c r="CK614" s="675">
        <v>0</v>
      </c>
      <c r="CL614" s="549">
        <v>0</v>
      </c>
      <c r="CM614" s="675">
        <v>0</v>
      </c>
      <c r="CN614" s="549">
        <v>0</v>
      </c>
      <c r="CO614" s="675">
        <v>0</v>
      </c>
      <c r="CP614" s="549">
        <v>0</v>
      </c>
      <c r="CQ614" s="675">
        <v>0</v>
      </c>
      <c r="CR614" s="549">
        <v>0</v>
      </c>
      <c r="CS614" s="675">
        <v>0</v>
      </c>
      <c r="CT614" s="549">
        <v>0</v>
      </c>
      <c r="CU614" s="675">
        <v>0</v>
      </c>
      <c r="CV614" s="549">
        <v>0</v>
      </c>
      <c r="CW614" s="675">
        <v>0</v>
      </c>
      <c r="CX614" s="549">
        <v>0</v>
      </c>
      <c r="CY614" s="675">
        <v>0</v>
      </c>
      <c r="CZ614" s="549">
        <v>0</v>
      </c>
      <c r="DA614" s="675">
        <v>0</v>
      </c>
      <c r="DB614" s="549">
        <v>0</v>
      </c>
      <c r="DC614" s="675">
        <v>0</v>
      </c>
      <c r="DD614" s="549">
        <v>0</v>
      </c>
      <c r="DE614" s="675">
        <v>0</v>
      </c>
      <c r="DF614" s="549">
        <v>0</v>
      </c>
      <c r="DG614" s="675">
        <v>0</v>
      </c>
      <c r="DH614" s="549">
        <v>0</v>
      </c>
      <c r="DI614" s="675">
        <v>0</v>
      </c>
      <c r="DJ614" s="549">
        <v>0</v>
      </c>
      <c r="DK614" s="675">
        <v>0</v>
      </c>
      <c r="DL614" s="549">
        <v>0</v>
      </c>
      <c r="DM614" s="675">
        <v>0</v>
      </c>
      <c r="DN614" s="549">
        <v>0</v>
      </c>
      <c r="DO614" s="675">
        <v>0</v>
      </c>
      <c r="DP614" s="549">
        <v>54600</v>
      </c>
      <c r="DQ614" s="675">
        <v>0</v>
      </c>
      <c r="DR614" s="549">
        <v>0</v>
      </c>
      <c r="DS614" s="675">
        <v>0</v>
      </c>
      <c r="DT614" s="549">
        <v>0</v>
      </c>
      <c r="DU614" s="675">
        <v>0</v>
      </c>
      <c r="DV614" s="549">
        <v>0</v>
      </c>
      <c r="DW614" s="675">
        <v>0</v>
      </c>
      <c r="DX614" s="549">
        <v>0</v>
      </c>
      <c r="DY614" s="675">
        <v>0</v>
      </c>
      <c r="DZ614" s="549">
        <v>0</v>
      </c>
      <c r="EA614" s="675">
        <v>0</v>
      </c>
      <c r="EB614" s="549">
        <v>0</v>
      </c>
      <c r="EC614" s="675">
        <v>0</v>
      </c>
      <c r="ED614" s="549">
        <v>0</v>
      </c>
      <c r="EE614" s="675">
        <v>0</v>
      </c>
      <c r="EF614" s="549">
        <v>0</v>
      </c>
      <c r="EG614" s="675">
        <v>0</v>
      </c>
      <c r="EH614" s="549">
        <v>0</v>
      </c>
      <c r="EI614" s="675">
        <v>0</v>
      </c>
      <c r="EJ614" s="549">
        <v>0</v>
      </c>
      <c r="EK614" s="675">
        <v>0</v>
      </c>
      <c r="EL614" s="549">
        <v>0</v>
      </c>
      <c r="EM614" s="675">
        <v>0</v>
      </c>
      <c r="EN614" s="549">
        <v>0</v>
      </c>
      <c r="EO614" s="675">
        <v>0</v>
      </c>
      <c r="EP614" s="549">
        <v>0</v>
      </c>
      <c r="EQ614" s="675">
        <v>0</v>
      </c>
      <c r="ER614" s="549">
        <v>0</v>
      </c>
      <c r="ES614" s="675">
        <v>0</v>
      </c>
      <c r="ET614" s="549">
        <v>0</v>
      </c>
      <c r="EU614" s="675">
        <v>0</v>
      </c>
      <c r="EV614" s="549">
        <v>0</v>
      </c>
      <c r="EW614" s="675">
        <v>0</v>
      </c>
      <c r="EX614" s="549">
        <v>0</v>
      </c>
      <c r="EY614" s="675">
        <v>0</v>
      </c>
      <c r="EZ614" s="549">
        <v>0</v>
      </c>
      <c r="FA614" s="675">
        <v>0</v>
      </c>
      <c r="FB614" s="549">
        <v>0</v>
      </c>
      <c r="FC614" s="675">
        <v>0</v>
      </c>
      <c r="FD614" s="549">
        <v>0</v>
      </c>
      <c r="FE614" s="675">
        <v>0</v>
      </c>
      <c r="FF614" s="549">
        <v>0</v>
      </c>
      <c r="FG614" s="675">
        <v>0</v>
      </c>
      <c r="FH614" s="549">
        <v>0</v>
      </c>
      <c r="FI614" s="675">
        <v>0</v>
      </c>
      <c r="FJ614" s="549">
        <v>0</v>
      </c>
      <c r="FK614" s="675">
        <v>0</v>
      </c>
      <c r="FL614" s="549">
        <v>0</v>
      </c>
      <c r="FM614" s="675">
        <v>0</v>
      </c>
      <c r="FN614" s="549">
        <v>0</v>
      </c>
      <c r="FO614" s="675">
        <v>0</v>
      </c>
      <c r="FP614" s="549">
        <v>0</v>
      </c>
      <c r="FQ614" s="675">
        <v>0</v>
      </c>
      <c r="FR614" s="549">
        <v>0</v>
      </c>
      <c r="FS614" s="675">
        <v>0</v>
      </c>
      <c r="FT614" s="549">
        <v>0</v>
      </c>
      <c r="FU614" s="675">
        <v>0</v>
      </c>
      <c r="FV614" s="549">
        <v>0</v>
      </c>
      <c r="FW614" s="675">
        <v>0</v>
      </c>
      <c r="FX614" s="549">
        <v>0</v>
      </c>
      <c r="FY614" s="675">
        <v>0</v>
      </c>
      <c r="FZ614" s="549">
        <v>0</v>
      </c>
      <c r="GA614" s="675">
        <v>0</v>
      </c>
      <c r="GB614" s="549">
        <v>0</v>
      </c>
      <c r="GC614" s="675">
        <v>0</v>
      </c>
      <c r="GD614" s="549">
        <v>0</v>
      </c>
      <c r="GE614" s="675">
        <v>0</v>
      </c>
      <c r="GF614" s="549">
        <v>0</v>
      </c>
      <c r="GG614" s="675">
        <v>0</v>
      </c>
      <c r="GH614" s="549">
        <v>0</v>
      </c>
      <c r="GI614" s="675">
        <v>0</v>
      </c>
      <c r="GJ614" s="549">
        <v>0</v>
      </c>
      <c r="GK614" s="675">
        <v>0</v>
      </c>
      <c r="GL614" s="549">
        <v>0</v>
      </c>
      <c r="GM614" s="675">
        <v>0</v>
      </c>
      <c r="GN614" s="549">
        <v>0</v>
      </c>
      <c r="GO614" s="675">
        <v>0</v>
      </c>
      <c r="GP614" s="549">
        <f>+D614+F614+H614+J614+L614+N614+P614+R614+T614+V614+X614+Z614+AB614+AF614+AD614+AH614+AJ614+AL614+AN614+AP614+AR614+AT614+AV614+AX614+AZ614+BB614+BD614+BF614+BH614+BJ614+BL614+BN614+BP614+BR614+BT614+BV614+BX614+BZ614+CB614+CD614+CF614+CH614+CJ614+CL614+CN614+CP614+CR614+CT614+CV614+CX614+CZ614+DB614+DD614+DF614+DH614+DT614+EX614+DJ614+DL614+DN614+DP614+DR614+EJ614+EB614+DZ614+DX614+DV614+ED614+EF614+EH614+EL614+EN614+EP614+EV614+ET614+ER614+EZ614+FB614+FD614+GL614+FF614+FJ614+FL614+GJ614+FT614+FR614+FP614+FN614+FH614+GH614+GF614+GD614+GB614+FZ614+FX614+FV614+GN614</f>
        <v>54600</v>
      </c>
      <c r="GQ614" s="675">
        <f>+E614+G614+I614+K614+M614+O614+Q614+S614+U614+W614+Y614+AA614+AC614+AE614+AG614+AI614+AK614+AM614+AO614+AQ614+AS614+AU614+AW614+AY614+BA614+BC614+BE614+BG614+BI614+BK614+BM614+BO614+BQ614+BS614+BU614+BW614+BY614+CA614+CC614+CE614+CG614+CI614+CK614+CM614+CO614+CQ614+CS614+CU614+CW614+CY614+DA614+DC614+DE614+DG614+DI614+DU614+EY614+DK614+DM614+DO614+DQ614+DS614+EK614+EC614+EA614+DY614+DW614+EI614+EG614+EE614+EM614+EO614+EQ614+EW614+EU614+ES614+FA614+FC614+FE614+GM614+FG614+FK614+FM614+FO614+FQ614+FS614+FU614+GK614+FI614+GI614+GG614+GE614+GC614+GA614+FY614+FW614+GO614</f>
        <v>0</v>
      </c>
      <c r="GR614" s="74">
        <f>C614+GP614+GQ614</f>
        <v>202200</v>
      </c>
      <c r="GS614" s="74">
        <f>SUM(GU614:HD614)+GP614+GQ614</f>
        <v>188782</v>
      </c>
      <c r="GT614" s="568">
        <f>SUM(GU614:HF614)+GQ614+GP614</f>
        <v>202200</v>
      </c>
      <c r="GU614" s="275">
        <v>13420</v>
      </c>
      <c r="GV614" s="275">
        <v>13418</v>
      </c>
      <c r="GW614" s="275">
        <v>13418</v>
      </c>
      <c r="GX614" s="275">
        <v>13418</v>
      </c>
      <c r="GY614" s="275">
        <v>13418</v>
      </c>
      <c r="GZ614" s="275">
        <v>13418</v>
      </c>
      <c r="HA614" s="275">
        <v>13418</v>
      </c>
      <c r="HB614" s="275">
        <v>13418</v>
      </c>
      <c r="HC614" s="275">
        <v>13418</v>
      </c>
      <c r="HD614" s="275">
        <v>13418</v>
      </c>
      <c r="HE614" s="275">
        <v>13418</v>
      </c>
      <c r="HF614" s="275">
        <v>0</v>
      </c>
      <c r="HG614" s="74">
        <f>SUM(HH614:IE614)</f>
        <v>202200</v>
      </c>
      <c r="HH614" s="89">
        <v>13420</v>
      </c>
      <c r="HI614" s="817">
        <v>0</v>
      </c>
      <c r="HJ614" s="89">
        <f>14654.78-1645.89</f>
        <v>13008.890000000001</v>
      </c>
      <c r="HK614" s="817">
        <v>0</v>
      </c>
      <c r="HL614" s="89">
        <v>9617</v>
      </c>
      <c r="HM614" s="817">
        <v>0</v>
      </c>
      <c r="HN614" s="89">
        <v>27245.11</v>
      </c>
      <c r="HO614" s="817">
        <v>0</v>
      </c>
      <c r="HP614" s="89">
        <v>22992.47</v>
      </c>
      <c r="HQ614" s="817">
        <v>0</v>
      </c>
      <c r="HR614" s="89">
        <v>43636</v>
      </c>
      <c r="HS614" s="817">
        <v>0</v>
      </c>
      <c r="HT614" s="89">
        <v>43636</v>
      </c>
      <c r="HU614" s="817">
        <v>0</v>
      </c>
      <c r="HV614" s="89">
        <v>-25955.47</v>
      </c>
      <c r="HW614" s="817">
        <v>0</v>
      </c>
      <c r="HX614" s="89">
        <v>54600</v>
      </c>
      <c r="HY614" s="817">
        <v>0</v>
      </c>
      <c r="HZ614" s="89">
        <v>0</v>
      </c>
      <c r="IA614" s="817">
        <v>0</v>
      </c>
      <c r="IB614" s="89">
        <v>0</v>
      </c>
      <c r="IC614" s="817">
        <v>0</v>
      </c>
      <c r="ID614" s="89">
        <v>0</v>
      </c>
      <c r="IE614" s="817">
        <v>0</v>
      </c>
      <c r="IF614" s="841">
        <f>SUM(II614,IL614,IO614,IR614,IU614,IX614,JA614,JD614,JG614,JJ614,JM614,JP614)</f>
        <v>131367.67000000001</v>
      </c>
      <c r="IG614" s="263">
        <f t="shared" ref="IG614" si="14149">SUM(IJ614,IM614,IP614,IS614,IV614,IY614,JB614,JE614,JH614,JK614,JN614,JQ614)</f>
        <v>131367.67000000001</v>
      </c>
      <c r="IH614" s="842">
        <f t="shared" ref="IH614" si="14150">SUM(IK614,IN614,IQ614,IT614,IW614,IZ614,JC614,JF614,JI614,JL614,JO614,JR614)</f>
        <v>131367.67000000001</v>
      </c>
      <c r="II614" s="89">
        <v>0</v>
      </c>
      <c r="IJ614" s="89">
        <f t="shared" ref="IJ614" si="14151">II614</f>
        <v>0</v>
      </c>
      <c r="IK614" s="89">
        <f t="shared" ref="IK614" si="14152">IJ614</f>
        <v>0</v>
      </c>
      <c r="IL614" s="89">
        <v>2996.58</v>
      </c>
      <c r="IM614" s="89">
        <f t="shared" ref="IM614" si="14153">IL614</f>
        <v>2996.58</v>
      </c>
      <c r="IN614" s="89">
        <f t="shared" ref="IN614" si="14154">IM614</f>
        <v>2996.58</v>
      </c>
      <c r="IO614" s="89">
        <f>4171.58-2996.58</f>
        <v>1175</v>
      </c>
      <c r="IP614" s="89">
        <f t="shared" ref="IP614" si="14155">IO614</f>
        <v>1175</v>
      </c>
      <c r="IQ614" s="89">
        <f t="shared" ref="IQ614" si="14156">IP614</f>
        <v>1175</v>
      </c>
      <c r="IR614" s="89">
        <f>53233.33-4171.58</f>
        <v>49061.75</v>
      </c>
      <c r="IS614" s="89">
        <f t="shared" ref="IS614" si="14157">IR614</f>
        <v>49061.75</v>
      </c>
      <c r="IT614" s="89">
        <f t="shared" ref="IT614" si="14158">IS614</f>
        <v>49061.75</v>
      </c>
      <c r="IU614" s="89">
        <v>0</v>
      </c>
      <c r="IV614" s="89">
        <f t="shared" ref="IV614" si="14159">IU614</f>
        <v>0</v>
      </c>
      <c r="IW614" s="89">
        <f t="shared" ref="IW614" si="14160">IV614</f>
        <v>0</v>
      </c>
      <c r="IX614" s="89">
        <v>0</v>
      </c>
      <c r="IY614" s="89">
        <f t="shared" ref="IY614" si="14161">IX614</f>
        <v>0</v>
      </c>
      <c r="IZ614" s="89">
        <f t="shared" ref="IZ614" si="14162">IY614</f>
        <v>0</v>
      </c>
      <c r="JA614" s="89">
        <f>68160-53233.33</f>
        <v>14926.669999999998</v>
      </c>
      <c r="JB614" s="89">
        <f t="shared" ref="JB614" si="14163">JA614</f>
        <v>14926.669999999998</v>
      </c>
      <c r="JC614" s="89">
        <f t="shared" ref="JC614" si="14164">JB614</f>
        <v>14926.669999999998</v>
      </c>
      <c r="JD614" s="89">
        <f>70836.62-68160</f>
        <v>2676.6199999999953</v>
      </c>
      <c r="JE614" s="89">
        <f t="shared" ref="JE614" si="14165">JD614</f>
        <v>2676.6199999999953</v>
      </c>
      <c r="JF614" s="89">
        <f t="shared" ref="JF614" si="14166">JE614</f>
        <v>2676.6199999999953</v>
      </c>
      <c r="JG614" s="89">
        <f>118017.67-70836.62</f>
        <v>47181.05</v>
      </c>
      <c r="JH614" s="89">
        <f t="shared" ref="JH614" si="14167">JG614</f>
        <v>47181.05</v>
      </c>
      <c r="JI614" s="89">
        <f t="shared" ref="JI614" si="14168">JH614</f>
        <v>47181.05</v>
      </c>
      <c r="JJ614" s="89">
        <f>131367.67-118017.67</f>
        <v>13350.000000000015</v>
      </c>
      <c r="JK614" s="89">
        <f t="shared" ref="JK614" si="14169">JJ614</f>
        <v>13350.000000000015</v>
      </c>
      <c r="JL614" s="89">
        <f t="shared" ref="JL614" si="14170">JK614</f>
        <v>13350.000000000015</v>
      </c>
      <c r="JM614" s="89">
        <v>0</v>
      </c>
      <c r="JN614" s="89">
        <f t="shared" ref="JN614" si="14171">JM614</f>
        <v>0</v>
      </c>
      <c r="JO614" s="89">
        <f t="shared" ref="JO614" si="14172">JN614</f>
        <v>0</v>
      </c>
      <c r="JP614" s="89">
        <v>0</v>
      </c>
      <c r="JQ614" s="89">
        <f t="shared" ref="JQ614:JR614" si="14173">JP614</f>
        <v>0</v>
      </c>
      <c r="JR614" s="89">
        <f t="shared" si="14173"/>
        <v>0</v>
      </c>
      <c r="JS614" s="74">
        <f>HG614-IF614</f>
        <v>70832.329999999987</v>
      </c>
      <c r="JT614" s="382">
        <f>GS614-IF614</f>
        <v>57414.329999999987</v>
      </c>
      <c r="JU614" s="665"/>
      <c r="JV614" s="524"/>
      <c r="JW614" s="525"/>
      <c r="JX614" s="549">
        <f>SUM(HH614,HJ614,HL614,HN614,HP614,HR614,HT614,HV614,HX614,HZ614,IB614,ID614)</f>
        <v>202200</v>
      </c>
      <c r="JY614" s="549">
        <f>SUM(HI614,HK614,HM614,HO614,HQ614,HS614,HU614,HW614,HY614,IA614,IC614,IE614)</f>
        <v>0</v>
      </c>
      <c r="JZ614" s="581">
        <f t="shared" ref="JZ614" si="14174">GP614</f>
        <v>54600</v>
      </c>
      <c r="KA614" s="581">
        <f t="shared" ref="KA614" si="14175">GQ614</f>
        <v>0</v>
      </c>
      <c r="KB614" s="549">
        <f>JX614</f>
        <v>202200</v>
      </c>
      <c r="KC614" s="709">
        <f t="shared" ref="KC614" si="14176">HG614-KB614</f>
        <v>0</v>
      </c>
      <c r="KD614" s="36"/>
      <c r="KE614" s="36"/>
      <c r="KF614" s="36"/>
      <c r="KG614" s="36"/>
      <c r="KH614" s="36"/>
      <c r="KI614" s="36"/>
      <c r="KJ614" s="36"/>
      <c r="KK614" s="36"/>
    </row>
    <row r="615" spans="1:297" s="33" customFormat="1" ht="12.75" customHeight="1">
      <c r="A615" s="86"/>
      <c r="B615" s="77"/>
      <c r="C615" s="74"/>
      <c r="D615" s="549"/>
      <c r="E615" s="675"/>
      <c r="F615" s="549"/>
      <c r="G615" s="675"/>
      <c r="H615" s="549"/>
      <c r="I615" s="675"/>
      <c r="J615" s="549"/>
      <c r="K615" s="675"/>
      <c r="L615" s="549"/>
      <c r="M615" s="675"/>
      <c r="N615" s="549"/>
      <c r="O615" s="675"/>
      <c r="P615" s="549"/>
      <c r="Q615" s="675"/>
      <c r="R615" s="549"/>
      <c r="S615" s="675"/>
      <c r="T615" s="549"/>
      <c r="U615" s="675"/>
      <c r="V615" s="549"/>
      <c r="W615" s="675"/>
      <c r="X615" s="549"/>
      <c r="Y615" s="675"/>
      <c r="Z615" s="549"/>
      <c r="AA615" s="675"/>
      <c r="AB615" s="549"/>
      <c r="AC615" s="675"/>
      <c r="AD615" s="549"/>
      <c r="AE615" s="675"/>
      <c r="AF615" s="549"/>
      <c r="AG615" s="675"/>
      <c r="AH615" s="549"/>
      <c r="AI615" s="675"/>
      <c r="AJ615" s="549"/>
      <c r="AK615" s="675"/>
      <c r="AL615" s="549"/>
      <c r="AM615" s="675"/>
      <c r="AN615" s="549"/>
      <c r="AO615" s="675"/>
      <c r="AP615" s="549"/>
      <c r="AQ615" s="675"/>
      <c r="AR615" s="549"/>
      <c r="AS615" s="675"/>
      <c r="AT615" s="549"/>
      <c r="AU615" s="675"/>
      <c r="AV615" s="549"/>
      <c r="AW615" s="675"/>
      <c r="AX615" s="549"/>
      <c r="AY615" s="675"/>
      <c r="AZ615" s="549"/>
      <c r="BA615" s="675"/>
      <c r="BB615" s="549"/>
      <c r="BC615" s="675"/>
      <c r="BD615" s="549"/>
      <c r="BE615" s="675"/>
      <c r="BF615" s="549"/>
      <c r="BG615" s="675"/>
      <c r="BH615" s="549"/>
      <c r="BI615" s="675"/>
      <c r="BJ615" s="549"/>
      <c r="BK615" s="675"/>
      <c r="BL615" s="549"/>
      <c r="BM615" s="675"/>
      <c r="BN615" s="549"/>
      <c r="BO615" s="675"/>
      <c r="BP615" s="549"/>
      <c r="BQ615" s="675"/>
      <c r="BR615" s="549"/>
      <c r="BS615" s="675"/>
      <c r="BT615" s="549"/>
      <c r="BU615" s="675"/>
      <c r="BV615" s="549"/>
      <c r="BW615" s="675"/>
      <c r="BX615" s="549"/>
      <c r="BY615" s="675"/>
      <c r="BZ615" s="549"/>
      <c r="CA615" s="675"/>
      <c r="CB615" s="549"/>
      <c r="CC615" s="675"/>
      <c r="CD615" s="549"/>
      <c r="CE615" s="675"/>
      <c r="CF615" s="549"/>
      <c r="CG615" s="675"/>
      <c r="CH615" s="549"/>
      <c r="CI615" s="675"/>
      <c r="CJ615" s="549"/>
      <c r="CK615" s="675"/>
      <c r="CL615" s="549"/>
      <c r="CM615" s="675"/>
      <c r="CN615" s="549"/>
      <c r="CO615" s="675"/>
      <c r="CP615" s="549"/>
      <c r="CQ615" s="675"/>
      <c r="CR615" s="549"/>
      <c r="CS615" s="675"/>
      <c r="CT615" s="549"/>
      <c r="CU615" s="675"/>
      <c r="CV615" s="549"/>
      <c r="CW615" s="675"/>
      <c r="CX615" s="549"/>
      <c r="CY615" s="675"/>
      <c r="CZ615" s="549"/>
      <c r="DA615" s="675"/>
      <c r="DB615" s="549"/>
      <c r="DC615" s="675"/>
      <c r="DD615" s="549"/>
      <c r="DE615" s="675"/>
      <c r="DF615" s="549"/>
      <c r="DG615" s="675"/>
      <c r="DH615" s="549"/>
      <c r="DI615" s="675"/>
      <c r="DJ615" s="549"/>
      <c r="DK615" s="675"/>
      <c r="DL615" s="549"/>
      <c r="DM615" s="675"/>
      <c r="DN615" s="549"/>
      <c r="DO615" s="675"/>
      <c r="DP615" s="549"/>
      <c r="DQ615" s="675"/>
      <c r="DR615" s="549"/>
      <c r="DS615" s="675"/>
      <c r="DT615" s="549"/>
      <c r="DU615" s="675"/>
      <c r="DV615" s="549"/>
      <c r="DW615" s="675"/>
      <c r="DX615" s="549"/>
      <c r="DY615" s="675"/>
      <c r="DZ615" s="549"/>
      <c r="EA615" s="675"/>
      <c r="EB615" s="549"/>
      <c r="EC615" s="675"/>
      <c r="ED615" s="549"/>
      <c r="EE615" s="675"/>
      <c r="EF615" s="549"/>
      <c r="EG615" s="675"/>
      <c r="EH615" s="549"/>
      <c r="EI615" s="675"/>
      <c r="EJ615" s="549"/>
      <c r="EK615" s="675"/>
      <c r="EL615" s="549"/>
      <c r="EM615" s="675"/>
      <c r="EN615" s="549"/>
      <c r="EO615" s="675"/>
      <c r="EP615" s="549"/>
      <c r="EQ615" s="675"/>
      <c r="ER615" s="549"/>
      <c r="ES615" s="675"/>
      <c r="ET615" s="549"/>
      <c r="EU615" s="675"/>
      <c r="EV615" s="549"/>
      <c r="EW615" s="675"/>
      <c r="EX615" s="549"/>
      <c r="EY615" s="675"/>
      <c r="EZ615" s="549"/>
      <c r="FA615" s="675"/>
      <c r="FB615" s="549"/>
      <c r="FC615" s="675"/>
      <c r="FD615" s="549"/>
      <c r="FE615" s="675"/>
      <c r="FF615" s="549"/>
      <c r="FG615" s="675"/>
      <c r="FH615" s="549"/>
      <c r="FI615" s="675"/>
      <c r="FJ615" s="549"/>
      <c r="FK615" s="675"/>
      <c r="FL615" s="549"/>
      <c r="FM615" s="675"/>
      <c r="FN615" s="549"/>
      <c r="FO615" s="675"/>
      <c r="FP615" s="549"/>
      <c r="FQ615" s="675"/>
      <c r="FR615" s="549"/>
      <c r="FS615" s="675"/>
      <c r="FT615" s="549"/>
      <c r="FU615" s="675"/>
      <c r="FV615" s="549"/>
      <c r="FW615" s="675"/>
      <c r="FX615" s="549"/>
      <c r="FY615" s="675"/>
      <c r="FZ615" s="549"/>
      <c r="GA615" s="675"/>
      <c r="GB615" s="549"/>
      <c r="GC615" s="675"/>
      <c r="GD615" s="549"/>
      <c r="GE615" s="675"/>
      <c r="GF615" s="549"/>
      <c r="GG615" s="675"/>
      <c r="GH615" s="549"/>
      <c r="GI615" s="675"/>
      <c r="GJ615" s="549"/>
      <c r="GK615" s="675"/>
      <c r="GL615" s="549"/>
      <c r="GM615" s="675"/>
      <c r="GN615" s="549"/>
      <c r="GO615" s="675"/>
      <c r="GP615" s="549"/>
      <c r="GQ615" s="675"/>
      <c r="GR615" s="74"/>
      <c r="GS615" s="74"/>
      <c r="GT615" s="74"/>
      <c r="GU615" s="275"/>
      <c r="GV615" s="275"/>
      <c r="GW615" s="588"/>
      <c r="GX615" s="588"/>
      <c r="GY615" s="275"/>
      <c r="GZ615" s="275"/>
      <c r="HA615" s="275"/>
      <c r="HB615" s="275"/>
      <c r="HC615" s="275"/>
      <c r="HD615" s="275"/>
      <c r="HE615" s="275"/>
      <c r="HF615" s="275"/>
      <c r="HG615" s="74"/>
      <c r="HH615" s="89"/>
      <c r="HI615" s="817"/>
      <c r="HJ615" s="89"/>
      <c r="HK615" s="817"/>
      <c r="HL615" s="89"/>
      <c r="HM615" s="817"/>
      <c r="HN615" s="89"/>
      <c r="HO615" s="817"/>
      <c r="HP615" s="89"/>
      <c r="HQ615" s="817"/>
      <c r="HR615" s="89"/>
      <c r="HS615" s="817"/>
      <c r="HT615" s="89"/>
      <c r="HU615" s="817"/>
      <c r="HV615" s="89"/>
      <c r="HW615" s="817"/>
      <c r="HX615" s="89"/>
      <c r="HY615" s="817"/>
      <c r="HZ615" s="89"/>
      <c r="IA615" s="817"/>
      <c r="IB615" s="89"/>
      <c r="IC615" s="817"/>
      <c r="ID615" s="89"/>
      <c r="IE615" s="817"/>
      <c r="IF615" s="841"/>
      <c r="IG615" s="263"/>
      <c r="IH615" s="842"/>
      <c r="II615" s="89"/>
      <c r="IJ615" s="89"/>
      <c r="IK615" s="89"/>
      <c r="IL615" s="89"/>
      <c r="IM615" s="89"/>
      <c r="IN615" s="89"/>
      <c r="IO615" s="89"/>
      <c r="IP615" s="89"/>
      <c r="IQ615" s="89"/>
      <c r="IR615" s="89"/>
      <c r="IS615" s="89"/>
      <c r="IT615" s="89"/>
      <c r="IU615" s="89"/>
      <c r="IV615" s="89"/>
      <c r="IW615" s="89"/>
      <c r="IX615" s="89"/>
      <c r="IY615" s="89"/>
      <c r="IZ615" s="89"/>
      <c r="JA615" s="89"/>
      <c r="JB615" s="89"/>
      <c r="JC615" s="89"/>
      <c r="JD615" s="89"/>
      <c r="JE615" s="89"/>
      <c r="JF615" s="89"/>
      <c r="JG615" s="89"/>
      <c r="JH615" s="89"/>
      <c r="JI615" s="89"/>
      <c r="JJ615" s="89"/>
      <c r="JK615" s="89"/>
      <c r="JL615" s="89"/>
      <c r="JM615" s="89"/>
      <c r="JN615" s="89"/>
      <c r="JO615" s="89"/>
      <c r="JP615" s="89"/>
      <c r="JQ615" s="89"/>
      <c r="JR615" s="89"/>
      <c r="JS615" s="74"/>
      <c r="JT615" s="382"/>
      <c r="JU615" s="665"/>
      <c r="JV615" s="524"/>
      <c r="JW615" s="525"/>
      <c r="JX615" s="549"/>
      <c r="JY615" s="549"/>
      <c r="JZ615" s="581">
        <f t="shared" si="13477"/>
        <v>0</v>
      </c>
      <c r="KA615" s="581">
        <f t="shared" si="13478"/>
        <v>0</v>
      </c>
      <c r="KB615" s="549">
        <f t="shared" si="14040"/>
        <v>0</v>
      </c>
      <c r="KC615" s="709">
        <f t="shared" si="13396"/>
        <v>0</v>
      </c>
      <c r="KD615" s="36"/>
      <c r="KE615" s="36"/>
      <c r="KF615" s="36"/>
      <c r="KG615" s="36"/>
      <c r="KH615" s="36"/>
      <c r="KI615" s="36"/>
      <c r="KJ615" s="36"/>
      <c r="KK615" s="36"/>
    </row>
    <row r="616" spans="1:297" s="8" customFormat="1" ht="12.75" hidden="1" customHeight="1">
      <c r="A616" s="80" t="s">
        <v>1220</v>
      </c>
      <c r="B616" s="559"/>
      <c r="C616" s="263">
        <v>0</v>
      </c>
      <c r="D616" s="549">
        <f t="shared" ref="D616:GQ616" si="14177">+D617</f>
        <v>0</v>
      </c>
      <c r="E616" s="675">
        <f t="shared" si="14177"/>
        <v>0</v>
      </c>
      <c r="F616" s="549">
        <f t="shared" si="14177"/>
        <v>0</v>
      </c>
      <c r="G616" s="675">
        <f t="shared" si="14177"/>
        <v>0</v>
      </c>
      <c r="H616" s="549">
        <f t="shared" si="14177"/>
        <v>0</v>
      </c>
      <c r="I616" s="675">
        <f t="shared" si="14177"/>
        <v>0</v>
      </c>
      <c r="J616" s="549">
        <f t="shared" si="14177"/>
        <v>0</v>
      </c>
      <c r="K616" s="675">
        <f t="shared" si="14177"/>
        <v>0</v>
      </c>
      <c r="L616" s="549">
        <f t="shared" si="14177"/>
        <v>0</v>
      </c>
      <c r="M616" s="675">
        <f t="shared" si="14177"/>
        <v>0</v>
      </c>
      <c r="N616" s="549">
        <f t="shared" si="14177"/>
        <v>0</v>
      </c>
      <c r="O616" s="675">
        <f t="shared" si="14177"/>
        <v>0</v>
      </c>
      <c r="P616" s="549">
        <f t="shared" si="14177"/>
        <v>0</v>
      </c>
      <c r="Q616" s="675">
        <f t="shared" si="14177"/>
        <v>0</v>
      </c>
      <c r="R616" s="549">
        <f t="shared" si="14177"/>
        <v>0</v>
      </c>
      <c r="S616" s="675">
        <f t="shared" si="14177"/>
        <v>0</v>
      </c>
      <c r="T616" s="549">
        <f t="shared" si="14177"/>
        <v>0</v>
      </c>
      <c r="U616" s="675">
        <f t="shared" si="14177"/>
        <v>0</v>
      </c>
      <c r="V616" s="549">
        <f t="shared" si="14177"/>
        <v>0</v>
      </c>
      <c r="W616" s="675">
        <f t="shared" si="14177"/>
        <v>0</v>
      </c>
      <c r="X616" s="549">
        <f t="shared" si="14177"/>
        <v>0</v>
      </c>
      <c r="Y616" s="675">
        <f t="shared" si="14177"/>
        <v>0</v>
      </c>
      <c r="Z616" s="549">
        <f t="shared" si="14177"/>
        <v>0</v>
      </c>
      <c r="AA616" s="675">
        <f t="shared" si="14177"/>
        <v>0</v>
      </c>
      <c r="AB616" s="549">
        <f t="shared" si="14177"/>
        <v>0</v>
      </c>
      <c r="AC616" s="675">
        <f t="shared" si="14177"/>
        <v>0</v>
      </c>
      <c r="AD616" s="549">
        <f t="shared" si="14177"/>
        <v>0</v>
      </c>
      <c r="AE616" s="675">
        <f t="shared" si="14177"/>
        <v>0</v>
      </c>
      <c r="AF616" s="549">
        <f t="shared" si="14177"/>
        <v>0</v>
      </c>
      <c r="AG616" s="675">
        <f t="shared" si="14177"/>
        <v>0</v>
      </c>
      <c r="AH616" s="549">
        <f t="shared" si="14177"/>
        <v>0</v>
      </c>
      <c r="AI616" s="675">
        <f t="shared" si="14177"/>
        <v>0</v>
      </c>
      <c r="AJ616" s="549">
        <f t="shared" si="14177"/>
        <v>0</v>
      </c>
      <c r="AK616" s="675">
        <f t="shared" si="14177"/>
        <v>0</v>
      </c>
      <c r="AL616" s="549">
        <f t="shared" si="14177"/>
        <v>0</v>
      </c>
      <c r="AM616" s="675">
        <f t="shared" si="14177"/>
        <v>0</v>
      </c>
      <c r="AN616" s="549">
        <f t="shared" si="14177"/>
        <v>0</v>
      </c>
      <c r="AO616" s="675">
        <f t="shared" si="14177"/>
        <v>0</v>
      </c>
      <c r="AP616" s="549">
        <f t="shared" si="14177"/>
        <v>0</v>
      </c>
      <c r="AQ616" s="675">
        <f t="shared" si="14177"/>
        <v>0</v>
      </c>
      <c r="AR616" s="549">
        <f t="shared" si="14177"/>
        <v>0</v>
      </c>
      <c r="AS616" s="675">
        <f t="shared" si="14177"/>
        <v>0</v>
      </c>
      <c r="AT616" s="549">
        <f t="shared" si="14177"/>
        <v>0</v>
      </c>
      <c r="AU616" s="675">
        <f t="shared" si="14177"/>
        <v>0</v>
      </c>
      <c r="AV616" s="549">
        <f t="shared" si="14177"/>
        <v>0</v>
      </c>
      <c r="AW616" s="675">
        <f t="shared" si="14177"/>
        <v>0</v>
      </c>
      <c r="AX616" s="549">
        <f t="shared" si="14177"/>
        <v>0</v>
      </c>
      <c r="AY616" s="675">
        <f t="shared" si="14177"/>
        <v>0</v>
      </c>
      <c r="AZ616" s="549">
        <f t="shared" si="14177"/>
        <v>0</v>
      </c>
      <c r="BA616" s="675">
        <f t="shared" si="14177"/>
        <v>0</v>
      </c>
      <c r="BB616" s="549">
        <f t="shared" si="14177"/>
        <v>0</v>
      </c>
      <c r="BC616" s="675">
        <f t="shared" si="14177"/>
        <v>0</v>
      </c>
      <c r="BD616" s="549">
        <f t="shared" si="14177"/>
        <v>0</v>
      </c>
      <c r="BE616" s="675">
        <f t="shared" si="14177"/>
        <v>0</v>
      </c>
      <c r="BF616" s="549">
        <f t="shared" si="14177"/>
        <v>0</v>
      </c>
      <c r="BG616" s="675">
        <f t="shared" si="14177"/>
        <v>0</v>
      </c>
      <c r="BH616" s="549">
        <f t="shared" si="14177"/>
        <v>0</v>
      </c>
      <c r="BI616" s="675">
        <f t="shared" si="14177"/>
        <v>0</v>
      </c>
      <c r="BJ616" s="549">
        <f t="shared" si="14177"/>
        <v>0</v>
      </c>
      <c r="BK616" s="675">
        <f t="shared" si="14177"/>
        <v>0</v>
      </c>
      <c r="BL616" s="549">
        <f t="shared" si="14177"/>
        <v>0</v>
      </c>
      <c r="BM616" s="675">
        <f t="shared" si="14177"/>
        <v>0</v>
      </c>
      <c r="BN616" s="549">
        <f t="shared" si="14177"/>
        <v>0</v>
      </c>
      <c r="BO616" s="675">
        <f t="shared" si="14177"/>
        <v>0</v>
      </c>
      <c r="BP616" s="549">
        <f t="shared" si="14177"/>
        <v>0</v>
      </c>
      <c r="BQ616" s="675">
        <f t="shared" si="14177"/>
        <v>0</v>
      </c>
      <c r="BR616" s="549">
        <f t="shared" si="14177"/>
        <v>0</v>
      </c>
      <c r="BS616" s="675">
        <f t="shared" si="14177"/>
        <v>0</v>
      </c>
      <c r="BT616" s="549">
        <f t="shared" si="14177"/>
        <v>0</v>
      </c>
      <c r="BU616" s="675">
        <f t="shared" si="14177"/>
        <v>0</v>
      </c>
      <c r="BV616" s="549">
        <f t="shared" si="14177"/>
        <v>0</v>
      </c>
      <c r="BW616" s="675">
        <f t="shared" si="14177"/>
        <v>0</v>
      </c>
      <c r="BX616" s="549">
        <f t="shared" si="14177"/>
        <v>0</v>
      </c>
      <c r="BY616" s="675">
        <f t="shared" si="14177"/>
        <v>0</v>
      </c>
      <c r="BZ616" s="549">
        <f t="shared" si="14177"/>
        <v>0</v>
      </c>
      <c r="CA616" s="675">
        <f t="shared" si="14177"/>
        <v>0</v>
      </c>
      <c r="CB616" s="549">
        <f t="shared" si="14177"/>
        <v>0</v>
      </c>
      <c r="CC616" s="675">
        <f t="shared" si="14177"/>
        <v>0</v>
      </c>
      <c r="CD616" s="549">
        <f t="shared" si="14177"/>
        <v>0</v>
      </c>
      <c r="CE616" s="675">
        <f t="shared" si="14177"/>
        <v>0</v>
      </c>
      <c r="CF616" s="549">
        <f t="shared" si="14177"/>
        <v>0</v>
      </c>
      <c r="CG616" s="675">
        <f t="shared" si="14177"/>
        <v>0</v>
      </c>
      <c r="CH616" s="549">
        <f t="shared" si="14177"/>
        <v>0</v>
      </c>
      <c r="CI616" s="675">
        <f t="shared" si="14177"/>
        <v>0</v>
      </c>
      <c r="CJ616" s="549">
        <f t="shared" si="14177"/>
        <v>0</v>
      </c>
      <c r="CK616" s="675">
        <f t="shared" si="14177"/>
        <v>0</v>
      </c>
      <c r="CL616" s="549">
        <f t="shared" si="14177"/>
        <v>0</v>
      </c>
      <c r="CM616" s="675">
        <f t="shared" si="14177"/>
        <v>0</v>
      </c>
      <c r="CN616" s="549">
        <f t="shared" si="14177"/>
        <v>0</v>
      </c>
      <c r="CO616" s="675">
        <f t="shared" si="14177"/>
        <v>0</v>
      </c>
      <c r="CP616" s="549">
        <f t="shared" si="14177"/>
        <v>0</v>
      </c>
      <c r="CQ616" s="675">
        <f t="shared" si="14177"/>
        <v>0</v>
      </c>
      <c r="CR616" s="549">
        <f t="shared" si="14177"/>
        <v>0</v>
      </c>
      <c r="CS616" s="675">
        <f t="shared" si="14177"/>
        <v>0</v>
      </c>
      <c r="CT616" s="549">
        <f t="shared" si="14177"/>
        <v>0</v>
      </c>
      <c r="CU616" s="675">
        <f t="shared" si="14177"/>
        <v>0</v>
      </c>
      <c r="CV616" s="549">
        <f t="shared" si="14177"/>
        <v>0</v>
      </c>
      <c r="CW616" s="675">
        <f t="shared" si="14177"/>
        <v>0</v>
      </c>
      <c r="CX616" s="549">
        <f t="shared" si="14177"/>
        <v>0</v>
      </c>
      <c r="CY616" s="675">
        <f t="shared" si="14177"/>
        <v>0</v>
      </c>
      <c r="CZ616" s="549">
        <f t="shared" si="14177"/>
        <v>0</v>
      </c>
      <c r="DA616" s="675">
        <f t="shared" si="14177"/>
        <v>0</v>
      </c>
      <c r="DB616" s="549">
        <f t="shared" si="14177"/>
        <v>0</v>
      </c>
      <c r="DC616" s="675">
        <f t="shared" si="14177"/>
        <v>0</v>
      </c>
      <c r="DD616" s="549">
        <f t="shared" si="14177"/>
        <v>0</v>
      </c>
      <c r="DE616" s="675">
        <f t="shared" si="14177"/>
        <v>0</v>
      </c>
      <c r="DF616" s="549">
        <f t="shared" si="14177"/>
        <v>0</v>
      </c>
      <c r="DG616" s="675">
        <f t="shared" si="14177"/>
        <v>0</v>
      </c>
      <c r="DH616" s="549">
        <f t="shared" si="14177"/>
        <v>0</v>
      </c>
      <c r="DI616" s="675">
        <f t="shared" si="14177"/>
        <v>0</v>
      </c>
      <c r="DJ616" s="549">
        <f t="shared" si="14177"/>
        <v>0</v>
      </c>
      <c r="DK616" s="675">
        <f t="shared" si="14177"/>
        <v>0</v>
      </c>
      <c r="DL616" s="549">
        <f t="shared" si="14177"/>
        <v>0</v>
      </c>
      <c r="DM616" s="675">
        <f t="shared" si="14177"/>
        <v>0</v>
      </c>
      <c r="DN616" s="549">
        <f t="shared" si="14177"/>
        <v>0</v>
      </c>
      <c r="DO616" s="675">
        <f t="shared" si="14177"/>
        <v>0</v>
      </c>
      <c r="DP616" s="549">
        <f t="shared" si="14177"/>
        <v>0</v>
      </c>
      <c r="DQ616" s="675">
        <f t="shared" si="14177"/>
        <v>0</v>
      </c>
      <c r="DR616" s="549">
        <f t="shared" si="14177"/>
        <v>0</v>
      </c>
      <c r="DS616" s="675">
        <f t="shared" si="14177"/>
        <v>0</v>
      </c>
      <c r="DT616" s="549">
        <f t="shared" si="14177"/>
        <v>0</v>
      </c>
      <c r="DU616" s="675">
        <f t="shared" si="14177"/>
        <v>0</v>
      </c>
      <c r="DV616" s="549">
        <f t="shared" si="14177"/>
        <v>0</v>
      </c>
      <c r="DW616" s="675">
        <f t="shared" si="14177"/>
        <v>0</v>
      </c>
      <c r="DX616" s="549">
        <f t="shared" si="14177"/>
        <v>0</v>
      </c>
      <c r="DY616" s="675">
        <f t="shared" si="14177"/>
        <v>0</v>
      </c>
      <c r="DZ616" s="549">
        <f t="shared" si="14177"/>
        <v>0</v>
      </c>
      <c r="EA616" s="675">
        <f t="shared" si="14177"/>
        <v>0</v>
      </c>
      <c r="EB616" s="549">
        <f t="shared" si="14177"/>
        <v>0</v>
      </c>
      <c r="EC616" s="675">
        <f t="shared" si="14177"/>
        <v>0</v>
      </c>
      <c r="ED616" s="549">
        <f t="shared" si="14177"/>
        <v>0</v>
      </c>
      <c r="EE616" s="675">
        <f t="shared" si="14177"/>
        <v>0</v>
      </c>
      <c r="EF616" s="549">
        <f t="shared" si="14177"/>
        <v>0</v>
      </c>
      <c r="EG616" s="675">
        <f t="shared" si="14177"/>
        <v>0</v>
      </c>
      <c r="EH616" s="549">
        <f t="shared" si="14177"/>
        <v>0</v>
      </c>
      <c r="EI616" s="675">
        <f t="shared" si="14177"/>
        <v>0</v>
      </c>
      <c r="EJ616" s="549">
        <f t="shared" si="14177"/>
        <v>0</v>
      </c>
      <c r="EK616" s="675">
        <f t="shared" si="14177"/>
        <v>0</v>
      </c>
      <c r="EL616" s="549">
        <f t="shared" si="14177"/>
        <v>0</v>
      </c>
      <c r="EM616" s="675">
        <f t="shared" si="14177"/>
        <v>0</v>
      </c>
      <c r="EN616" s="549">
        <f t="shared" si="14177"/>
        <v>0</v>
      </c>
      <c r="EO616" s="675">
        <f t="shared" si="14177"/>
        <v>0</v>
      </c>
      <c r="EP616" s="549">
        <f t="shared" si="14177"/>
        <v>0</v>
      </c>
      <c r="EQ616" s="675">
        <f t="shared" si="14177"/>
        <v>0</v>
      </c>
      <c r="ER616" s="549">
        <f t="shared" si="14177"/>
        <v>0</v>
      </c>
      <c r="ES616" s="675">
        <f t="shared" si="14177"/>
        <v>0</v>
      </c>
      <c r="ET616" s="549">
        <f t="shared" si="14177"/>
        <v>0</v>
      </c>
      <c r="EU616" s="675">
        <f t="shared" si="14177"/>
        <v>0</v>
      </c>
      <c r="EV616" s="549">
        <f t="shared" si="14177"/>
        <v>0</v>
      </c>
      <c r="EW616" s="675">
        <f t="shared" si="14177"/>
        <v>0</v>
      </c>
      <c r="EX616" s="549">
        <f t="shared" si="14177"/>
        <v>0</v>
      </c>
      <c r="EY616" s="675">
        <f t="shared" si="14177"/>
        <v>0</v>
      </c>
      <c r="EZ616" s="549">
        <f t="shared" si="14177"/>
        <v>0</v>
      </c>
      <c r="FA616" s="675">
        <f t="shared" si="14177"/>
        <v>0</v>
      </c>
      <c r="FB616" s="549">
        <f t="shared" si="14177"/>
        <v>0</v>
      </c>
      <c r="FC616" s="675">
        <f t="shared" si="14177"/>
        <v>0</v>
      </c>
      <c r="FD616" s="549">
        <f t="shared" si="14177"/>
        <v>0</v>
      </c>
      <c r="FE616" s="675">
        <f t="shared" si="14177"/>
        <v>0</v>
      </c>
      <c r="FF616" s="549">
        <f t="shared" si="14177"/>
        <v>0</v>
      </c>
      <c r="FG616" s="675">
        <f t="shared" si="14177"/>
        <v>0</v>
      </c>
      <c r="FH616" s="549">
        <f t="shared" si="14177"/>
        <v>0</v>
      </c>
      <c r="FI616" s="675">
        <f t="shared" si="14177"/>
        <v>0</v>
      </c>
      <c r="FJ616" s="549">
        <f t="shared" si="14177"/>
        <v>0</v>
      </c>
      <c r="FK616" s="675">
        <f t="shared" si="14177"/>
        <v>0</v>
      </c>
      <c r="FL616" s="549">
        <f t="shared" si="14177"/>
        <v>0</v>
      </c>
      <c r="FM616" s="675">
        <f t="shared" si="14177"/>
        <v>0</v>
      </c>
      <c r="FN616" s="549">
        <f t="shared" si="14177"/>
        <v>0</v>
      </c>
      <c r="FO616" s="675">
        <f t="shared" si="14177"/>
        <v>0</v>
      </c>
      <c r="FP616" s="549">
        <f t="shared" si="14177"/>
        <v>0</v>
      </c>
      <c r="FQ616" s="675">
        <f t="shared" si="14177"/>
        <v>0</v>
      </c>
      <c r="FR616" s="549">
        <f t="shared" si="14177"/>
        <v>0</v>
      </c>
      <c r="FS616" s="675">
        <f t="shared" si="14177"/>
        <v>0</v>
      </c>
      <c r="FT616" s="549">
        <f t="shared" si="14177"/>
        <v>0</v>
      </c>
      <c r="FU616" s="675">
        <f t="shared" si="14177"/>
        <v>0</v>
      </c>
      <c r="FV616" s="549">
        <f t="shared" si="14177"/>
        <v>0</v>
      </c>
      <c r="FW616" s="675">
        <f t="shared" si="14177"/>
        <v>0</v>
      </c>
      <c r="FX616" s="549">
        <f t="shared" si="14177"/>
        <v>0</v>
      </c>
      <c r="FY616" s="675">
        <f t="shared" si="14177"/>
        <v>0</v>
      </c>
      <c r="FZ616" s="549">
        <f t="shared" si="14177"/>
        <v>0</v>
      </c>
      <c r="GA616" s="675">
        <f t="shared" si="14177"/>
        <v>0</v>
      </c>
      <c r="GB616" s="549">
        <f t="shared" si="14177"/>
        <v>0</v>
      </c>
      <c r="GC616" s="675">
        <f t="shared" si="14177"/>
        <v>0</v>
      </c>
      <c r="GD616" s="549">
        <f t="shared" si="14177"/>
        <v>0</v>
      </c>
      <c r="GE616" s="675">
        <f t="shared" si="14177"/>
        <v>0</v>
      </c>
      <c r="GF616" s="549">
        <f t="shared" si="14177"/>
        <v>0</v>
      </c>
      <c r="GG616" s="675">
        <f t="shared" si="14177"/>
        <v>0</v>
      </c>
      <c r="GH616" s="549">
        <f t="shared" si="14177"/>
        <v>0</v>
      </c>
      <c r="GI616" s="675">
        <f t="shared" si="14177"/>
        <v>0</v>
      </c>
      <c r="GJ616" s="549">
        <f t="shared" si="14177"/>
        <v>0</v>
      </c>
      <c r="GK616" s="675">
        <f t="shared" si="14177"/>
        <v>0</v>
      </c>
      <c r="GL616" s="549">
        <f t="shared" si="14177"/>
        <v>0</v>
      </c>
      <c r="GM616" s="675">
        <f t="shared" si="14177"/>
        <v>0</v>
      </c>
      <c r="GN616" s="549">
        <f t="shared" si="14177"/>
        <v>0</v>
      </c>
      <c r="GO616" s="675">
        <f t="shared" si="14177"/>
        <v>0</v>
      </c>
      <c r="GP616" s="549">
        <f t="shared" si="14177"/>
        <v>0</v>
      </c>
      <c r="GQ616" s="675">
        <f t="shared" si="14177"/>
        <v>0</v>
      </c>
      <c r="GR616" s="74">
        <f>GR617</f>
        <v>0</v>
      </c>
      <c r="GS616" s="74">
        <f t="shared" ref="GS616:JC616" si="14178">GS617</f>
        <v>0</v>
      </c>
      <c r="GT616" s="74">
        <f t="shared" si="14178"/>
        <v>0</v>
      </c>
      <c r="GU616" s="74">
        <f t="shared" si="14178"/>
        <v>0</v>
      </c>
      <c r="GV616" s="74">
        <f t="shared" si="14178"/>
        <v>0</v>
      </c>
      <c r="GW616" s="74">
        <f t="shared" si="14178"/>
        <v>0</v>
      </c>
      <c r="GX616" s="74">
        <f t="shared" si="14178"/>
        <v>0</v>
      </c>
      <c r="GY616" s="74">
        <f t="shared" si="14178"/>
        <v>0</v>
      </c>
      <c r="GZ616" s="74">
        <f t="shared" si="14178"/>
        <v>0</v>
      </c>
      <c r="HA616" s="74">
        <f t="shared" si="14178"/>
        <v>0</v>
      </c>
      <c r="HB616" s="74">
        <f t="shared" si="14178"/>
        <v>0</v>
      </c>
      <c r="HC616" s="74">
        <f t="shared" si="14178"/>
        <v>0</v>
      </c>
      <c r="HD616" s="74">
        <f t="shared" si="14178"/>
        <v>0</v>
      </c>
      <c r="HE616" s="74">
        <f t="shared" si="14178"/>
        <v>0</v>
      </c>
      <c r="HF616" s="74">
        <f t="shared" si="14178"/>
        <v>0</v>
      </c>
      <c r="HG616" s="74">
        <f t="shared" si="14178"/>
        <v>0</v>
      </c>
      <c r="HH616" s="74">
        <f t="shared" si="14178"/>
        <v>0</v>
      </c>
      <c r="HI616" s="74">
        <f t="shared" si="14178"/>
        <v>0</v>
      </c>
      <c r="HJ616" s="74">
        <f t="shared" si="14178"/>
        <v>0</v>
      </c>
      <c r="HK616" s="74">
        <f t="shared" si="14178"/>
        <v>0</v>
      </c>
      <c r="HL616" s="74">
        <f t="shared" si="14178"/>
        <v>0</v>
      </c>
      <c r="HM616" s="74">
        <f t="shared" si="14178"/>
        <v>0</v>
      </c>
      <c r="HN616" s="74">
        <f t="shared" si="14178"/>
        <v>0</v>
      </c>
      <c r="HO616" s="74">
        <f t="shared" si="14178"/>
        <v>0</v>
      </c>
      <c r="HP616" s="74">
        <f t="shared" si="14178"/>
        <v>0</v>
      </c>
      <c r="HQ616" s="74">
        <f t="shared" si="14178"/>
        <v>0</v>
      </c>
      <c r="HR616" s="74">
        <f t="shared" si="14178"/>
        <v>0</v>
      </c>
      <c r="HS616" s="74">
        <f t="shared" si="14178"/>
        <v>0</v>
      </c>
      <c r="HT616" s="74">
        <f t="shared" si="14178"/>
        <v>0</v>
      </c>
      <c r="HU616" s="74">
        <f t="shared" si="14178"/>
        <v>0</v>
      </c>
      <c r="HV616" s="74">
        <f t="shared" si="14178"/>
        <v>0</v>
      </c>
      <c r="HW616" s="74">
        <f t="shared" si="14178"/>
        <v>0</v>
      </c>
      <c r="HX616" s="74">
        <f t="shared" si="14178"/>
        <v>0</v>
      </c>
      <c r="HY616" s="74">
        <f t="shared" si="14178"/>
        <v>0</v>
      </c>
      <c r="HZ616" s="74">
        <f t="shared" si="14178"/>
        <v>0</v>
      </c>
      <c r="IA616" s="74">
        <f t="shared" si="14178"/>
        <v>0</v>
      </c>
      <c r="IB616" s="74">
        <f t="shared" si="14178"/>
        <v>0</v>
      </c>
      <c r="IC616" s="74">
        <f t="shared" si="14178"/>
        <v>0</v>
      </c>
      <c r="ID616" s="74">
        <f t="shared" si="14178"/>
        <v>0</v>
      </c>
      <c r="IE616" s="74">
        <f t="shared" si="14178"/>
        <v>0</v>
      </c>
      <c r="IF616" s="841">
        <f t="shared" si="14178"/>
        <v>0</v>
      </c>
      <c r="IG616" s="263">
        <f t="shared" si="14178"/>
        <v>0</v>
      </c>
      <c r="IH616" s="842">
        <f t="shared" si="14178"/>
        <v>0</v>
      </c>
      <c r="II616" s="74">
        <f t="shared" si="14178"/>
        <v>0</v>
      </c>
      <c r="IJ616" s="74">
        <f t="shared" si="14178"/>
        <v>0</v>
      </c>
      <c r="IK616" s="74">
        <f t="shared" si="14178"/>
        <v>0</v>
      </c>
      <c r="IL616" s="74">
        <f t="shared" si="14178"/>
        <v>0</v>
      </c>
      <c r="IM616" s="74">
        <f t="shared" si="14178"/>
        <v>0</v>
      </c>
      <c r="IN616" s="74">
        <f t="shared" si="14178"/>
        <v>0</v>
      </c>
      <c r="IO616" s="74">
        <f t="shared" si="14178"/>
        <v>0</v>
      </c>
      <c r="IP616" s="74">
        <f t="shared" si="14178"/>
        <v>0</v>
      </c>
      <c r="IQ616" s="74">
        <f t="shared" si="14178"/>
        <v>0</v>
      </c>
      <c r="IR616" s="74">
        <f t="shared" si="14178"/>
        <v>0</v>
      </c>
      <c r="IS616" s="74">
        <f t="shared" si="14178"/>
        <v>0</v>
      </c>
      <c r="IT616" s="74">
        <f t="shared" si="14178"/>
        <v>0</v>
      </c>
      <c r="IU616" s="74">
        <f t="shared" si="14178"/>
        <v>0</v>
      </c>
      <c r="IV616" s="74">
        <f t="shared" si="14178"/>
        <v>0</v>
      </c>
      <c r="IW616" s="74">
        <f t="shared" si="14178"/>
        <v>0</v>
      </c>
      <c r="IX616" s="74">
        <f t="shared" si="14178"/>
        <v>0</v>
      </c>
      <c r="IY616" s="74">
        <f t="shared" si="14178"/>
        <v>0</v>
      </c>
      <c r="IZ616" s="74">
        <f t="shared" si="14178"/>
        <v>0</v>
      </c>
      <c r="JA616" s="74">
        <f t="shared" si="14178"/>
        <v>0</v>
      </c>
      <c r="JB616" s="74">
        <f t="shared" si="14178"/>
        <v>0</v>
      </c>
      <c r="JC616" s="74">
        <f t="shared" si="14178"/>
        <v>0</v>
      </c>
      <c r="JD616" s="74">
        <f t="shared" ref="JD616:JT616" si="14179">JD617</f>
        <v>0</v>
      </c>
      <c r="JE616" s="74">
        <f t="shared" si="14179"/>
        <v>0</v>
      </c>
      <c r="JF616" s="74">
        <f t="shared" si="14179"/>
        <v>0</v>
      </c>
      <c r="JG616" s="74">
        <f t="shared" si="14179"/>
        <v>0</v>
      </c>
      <c r="JH616" s="74">
        <f t="shared" si="14179"/>
        <v>0</v>
      </c>
      <c r="JI616" s="74">
        <f t="shared" si="14179"/>
        <v>0</v>
      </c>
      <c r="JJ616" s="74">
        <f t="shared" si="14179"/>
        <v>0</v>
      </c>
      <c r="JK616" s="74">
        <f t="shared" si="14179"/>
        <v>0</v>
      </c>
      <c r="JL616" s="74">
        <f t="shared" si="14179"/>
        <v>0</v>
      </c>
      <c r="JM616" s="74">
        <f t="shared" si="14179"/>
        <v>0</v>
      </c>
      <c r="JN616" s="74">
        <f t="shared" si="14179"/>
        <v>0</v>
      </c>
      <c r="JO616" s="74">
        <f t="shared" si="14179"/>
        <v>0</v>
      </c>
      <c r="JP616" s="74">
        <f t="shared" si="14179"/>
        <v>0</v>
      </c>
      <c r="JQ616" s="74">
        <f t="shared" si="14179"/>
        <v>0</v>
      </c>
      <c r="JR616" s="74">
        <f t="shared" si="14179"/>
        <v>0</v>
      </c>
      <c r="JS616" s="74">
        <f t="shared" si="14179"/>
        <v>0</v>
      </c>
      <c r="JT616" s="74">
        <f t="shared" si="14179"/>
        <v>0</v>
      </c>
      <c r="JU616" s="665"/>
      <c r="JV616" s="524"/>
      <c r="JW616" s="525"/>
      <c r="JX616" s="549">
        <f>SUM(HH616,HJ616,HL616,HN616,HP616,HR616,HT616,HV616,HX616,HZ616,IB616,ID616)</f>
        <v>0</v>
      </c>
      <c r="JY616" s="549">
        <f>SUM(HI616,HK616,HM616,HO616,HQ616,HS616,HU616,HW616,HY616,IA616,IC616,IE616)</f>
        <v>0</v>
      </c>
      <c r="JZ616" s="581">
        <f t="shared" si="13477"/>
        <v>0</v>
      </c>
      <c r="KA616" s="581">
        <f t="shared" si="13478"/>
        <v>0</v>
      </c>
      <c r="KB616" s="549">
        <f t="shared" si="14040"/>
        <v>0</v>
      </c>
      <c r="KC616" s="709">
        <f t="shared" si="13396"/>
        <v>0</v>
      </c>
      <c r="KD616" s="36"/>
      <c r="KE616" s="36"/>
      <c r="KF616" s="36"/>
      <c r="KG616" s="36"/>
      <c r="KH616" s="36"/>
      <c r="KI616" s="36"/>
      <c r="KJ616" s="36"/>
      <c r="KK616" s="36"/>
    </row>
    <row r="617" spans="1:297" s="8" customFormat="1" ht="12.75" hidden="1" customHeight="1">
      <c r="A617" s="86" t="s">
        <v>1219</v>
      </c>
      <c r="B617" s="559"/>
      <c r="C617" s="263">
        <v>0</v>
      </c>
      <c r="D617" s="549">
        <v>0</v>
      </c>
      <c r="E617" s="675">
        <v>0</v>
      </c>
      <c r="F617" s="549">
        <v>0</v>
      </c>
      <c r="G617" s="675">
        <v>0</v>
      </c>
      <c r="H617" s="549">
        <v>0</v>
      </c>
      <c r="I617" s="675">
        <v>0</v>
      </c>
      <c r="J617" s="549">
        <v>0</v>
      </c>
      <c r="K617" s="675">
        <v>0</v>
      </c>
      <c r="L617" s="549">
        <v>0</v>
      </c>
      <c r="M617" s="675">
        <v>0</v>
      </c>
      <c r="N617" s="549">
        <v>0</v>
      </c>
      <c r="O617" s="675">
        <v>0</v>
      </c>
      <c r="P617" s="549">
        <v>0</v>
      </c>
      <c r="Q617" s="675">
        <v>0</v>
      </c>
      <c r="R617" s="549">
        <v>0</v>
      </c>
      <c r="S617" s="675">
        <v>0</v>
      </c>
      <c r="T617" s="549">
        <v>0</v>
      </c>
      <c r="U617" s="675">
        <v>0</v>
      </c>
      <c r="V617" s="549">
        <v>0</v>
      </c>
      <c r="W617" s="675">
        <v>0</v>
      </c>
      <c r="X617" s="549">
        <v>0</v>
      </c>
      <c r="Y617" s="675">
        <v>0</v>
      </c>
      <c r="Z617" s="549">
        <v>0</v>
      </c>
      <c r="AA617" s="675">
        <v>0</v>
      </c>
      <c r="AB617" s="549">
        <v>0</v>
      </c>
      <c r="AC617" s="675">
        <v>0</v>
      </c>
      <c r="AD617" s="549">
        <v>0</v>
      </c>
      <c r="AE617" s="675">
        <v>0</v>
      </c>
      <c r="AF617" s="549">
        <v>0</v>
      </c>
      <c r="AG617" s="675">
        <v>0</v>
      </c>
      <c r="AH617" s="549">
        <v>0</v>
      </c>
      <c r="AI617" s="675">
        <v>0</v>
      </c>
      <c r="AJ617" s="549">
        <v>0</v>
      </c>
      <c r="AK617" s="675">
        <v>0</v>
      </c>
      <c r="AL617" s="549">
        <v>0</v>
      </c>
      <c r="AM617" s="675">
        <v>0</v>
      </c>
      <c r="AN617" s="549">
        <v>0</v>
      </c>
      <c r="AO617" s="675">
        <v>0</v>
      </c>
      <c r="AP617" s="549">
        <v>0</v>
      </c>
      <c r="AQ617" s="675">
        <v>0</v>
      </c>
      <c r="AR617" s="549">
        <v>0</v>
      </c>
      <c r="AS617" s="675">
        <v>0</v>
      </c>
      <c r="AT617" s="549">
        <v>0</v>
      </c>
      <c r="AU617" s="675">
        <v>0</v>
      </c>
      <c r="AV617" s="549">
        <v>0</v>
      </c>
      <c r="AW617" s="675">
        <v>0</v>
      </c>
      <c r="AX617" s="549">
        <v>0</v>
      </c>
      <c r="AY617" s="675">
        <v>0</v>
      </c>
      <c r="AZ617" s="549">
        <v>0</v>
      </c>
      <c r="BA617" s="675">
        <v>0</v>
      </c>
      <c r="BB617" s="549">
        <v>0</v>
      </c>
      <c r="BC617" s="675">
        <v>0</v>
      </c>
      <c r="BD617" s="549">
        <v>0</v>
      </c>
      <c r="BE617" s="675">
        <v>0</v>
      </c>
      <c r="BF617" s="549">
        <v>0</v>
      </c>
      <c r="BG617" s="675">
        <v>0</v>
      </c>
      <c r="BH617" s="549">
        <v>0</v>
      </c>
      <c r="BI617" s="675">
        <v>0</v>
      </c>
      <c r="BJ617" s="549">
        <v>0</v>
      </c>
      <c r="BK617" s="675">
        <v>0</v>
      </c>
      <c r="BL617" s="549">
        <v>0</v>
      </c>
      <c r="BM617" s="675">
        <v>0</v>
      </c>
      <c r="BN617" s="549">
        <v>0</v>
      </c>
      <c r="BO617" s="675">
        <v>0</v>
      </c>
      <c r="BP617" s="549">
        <v>0</v>
      </c>
      <c r="BQ617" s="675">
        <v>0</v>
      </c>
      <c r="BR617" s="549">
        <v>0</v>
      </c>
      <c r="BS617" s="675">
        <v>0</v>
      </c>
      <c r="BT617" s="549">
        <v>0</v>
      </c>
      <c r="BU617" s="675">
        <v>0</v>
      </c>
      <c r="BV617" s="549">
        <v>0</v>
      </c>
      <c r="BW617" s="675">
        <v>0</v>
      </c>
      <c r="BX617" s="549">
        <v>0</v>
      </c>
      <c r="BY617" s="675">
        <v>0</v>
      </c>
      <c r="BZ617" s="549">
        <v>0</v>
      </c>
      <c r="CA617" s="675">
        <v>0</v>
      </c>
      <c r="CB617" s="549">
        <v>0</v>
      </c>
      <c r="CC617" s="675">
        <v>0</v>
      </c>
      <c r="CD617" s="549">
        <v>0</v>
      </c>
      <c r="CE617" s="675">
        <v>0</v>
      </c>
      <c r="CF617" s="549">
        <v>0</v>
      </c>
      <c r="CG617" s="675">
        <v>0</v>
      </c>
      <c r="CH617" s="549">
        <v>0</v>
      </c>
      <c r="CI617" s="675">
        <v>0</v>
      </c>
      <c r="CJ617" s="549">
        <v>0</v>
      </c>
      <c r="CK617" s="675">
        <v>0</v>
      </c>
      <c r="CL617" s="549">
        <v>0</v>
      </c>
      <c r="CM617" s="675">
        <v>0</v>
      </c>
      <c r="CN617" s="549">
        <v>0</v>
      </c>
      <c r="CO617" s="675">
        <v>0</v>
      </c>
      <c r="CP617" s="549">
        <v>0</v>
      </c>
      <c r="CQ617" s="675">
        <v>0</v>
      </c>
      <c r="CR617" s="549">
        <v>0</v>
      </c>
      <c r="CS617" s="675">
        <v>0</v>
      </c>
      <c r="CT617" s="549">
        <v>0</v>
      </c>
      <c r="CU617" s="675">
        <v>0</v>
      </c>
      <c r="CV617" s="549">
        <v>0</v>
      </c>
      <c r="CW617" s="675">
        <v>0</v>
      </c>
      <c r="CX617" s="549">
        <v>0</v>
      </c>
      <c r="CY617" s="675">
        <v>0</v>
      </c>
      <c r="CZ617" s="549">
        <v>0</v>
      </c>
      <c r="DA617" s="675">
        <v>0</v>
      </c>
      <c r="DB617" s="549">
        <v>0</v>
      </c>
      <c r="DC617" s="675">
        <v>0</v>
      </c>
      <c r="DD617" s="549">
        <v>0</v>
      </c>
      <c r="DE617" s="675">
        <v>0</v>
      </c>
      <c r="DF617" s="549">
        <v>0</v>
      </c>
      <c r="DG617" s="675">
        <v>0</v>
      </c>
      <c r="DH617" s="549">
        <v>0</v>
      </c>
      <c r="DI617" s="675">
        <v>0</v>
      </c>
      <c r="DJ617" s="549">
        <v>0</v>
      </c>
      <c r="DK617" s="675">
        <v>0</v>
      </c>
      <c r="DL617" s="549">
        <v>0</v>
      </c>
      <c r="DM617" s="675">
        <v>0</v>
      </c>
      <c r="DN617" s="549">
        <v>0</v>
      </c>
      <c r="DO617" s="675">
        <v>0</v>
      </c>
      <c r="DP617" s="549">
        <v>0</v>
      </c>
      <c r="DQ617" s="675">
        <v>0</v>
      </c>
      <c r="DR617" s="549">
        <v>0</v>
      </c>
      <c r="DS617" s="675">
        <v>0</v>
      </c>
      <c r="DT617" s="549">
        <v>0</v>
      </c>
      <c r="DU617" s="675">
        <v>0</v>
      </c>
      <c r="DV617" s="549">
        <v>0</v>
      </c>
      <c r="DW617" s="675">
        <v>0</v>
      </c>
      <c r="DX617" s="549">
        <v>0</v>
      </c>
      <c r="DY617" s="675">
        <v>0</v>
      </c>
      <c r="DZ617" s="549">
        <v>0</v>
      </c>
      <c r="EA617" s="675">
        <v>0</v>
      </c>
      <c r="EB617" s="549">
        <v>0</v>
      </c>
      <c r="EC617" s="675">
        <v>0</v>
      </c>
      <c r="ED617" s="549">
        <v>0</v>
      </c>
      <c r="EE617" s="675">
        <v>0</v>
      </c>
      <c r="EF617" s="549">
        <v>0</v>
      </c>
      <c r="EG617" s="675">
        <v>0</v>
      </c>
      <c r="EH617" s="549">
        <v>0</v>
      </c>
      <c r="EI617" s="675">
        <v>0</v>
      </c>
      <c r="EJ617" s="549">
        <v>0</v>
      </c>
      <c r="EK617" s="675">
        <v>0</v>
      </c>
      <c r="EL617" s="549">
        <v>0</v>
      </c>
      <c r="EM617" s="675">
        <v>0</v>
      </c>
      <c r="EN617" s="549">
        <v>0</v>
      </c>
      <c r="EO617" s="675">
        <v>0</v>
      </c>
      <c r="EP617" s="549">
        <v>0</v>
      </c>
      <c r="EQ617" s="675">
        <v>0</v>
      </c>
      <c r="ER617" s="549">
        <v>0</v>
      </c>
      <c r="ES617" s="675">
        <v>0</v>
      </c>
      <c r="ET617" s="549">
        <v>0</v>
      </c>
      <c r="EU617" s="675">
        <v>0</v>
      </c>
      <c r="EV617" s="549">
        <v>0</v>
      </c>
      <c r="EW617" s="675">
        <v>0</v>
      </c>
      <c r="EX617" s="549">
        <v>0</v>
      </c>
      <c r="EY617" s="675">
        <v>0</v>
      </c>
      <c r="EZ617" s="549">
        <v>0</v>
      </c>
      <c r="FA617" s="675">
        <v>0</v>
      </c>
      <c r="FB617" s="549">
        <v>0</v>
      </c>
      <c r="FC617" s="675">
        <v>0</v>
      </c>
      <c r="FD617" s="549">
        <v>0</v>
      </c>
      <c r="FE617" s="675">
        <v>0</v>
      </c>
      <c r="FF617" s="549">
        <v>0</v>
      </c>
      <c r="FG617" s="675">
        <v>0</v>
      </c>
      <c r="FH617" s="549">
        <v>0</v>
      </c>
      <c r="FI617" s="675">
        <v>0</v>
      </c>
      <c r="FJ617" s="549">
        <v>0</v>
      </c>
      <c r="FK617" s="675">
        <v>0</v>
      </c>
      <c r="FL617" s="549">
        <v>0</v>
      </c>
      <c r="FM617" s="675">
        <v>0</v>
      </c>
      <c r="FN617" s="549">
        <v>0</v>
      </c>
      <c r="FO617" s="675">
        <v>0</v>
      </c>
      <c r="FP617" s="549">
        <v>0</v>
      </c>
      <c r="FQ617" s="675">
        <v>0</v>
      </c>
      <c r="FR617" s="549">
        <v>0</v>
      </c>
      <c r="FS617" s="675">
        <v>0</v>
      </c>
      <c r="FT617" s="549">
        <v>0</v>
      </c>
      <c r="FU617" s="675">
        <v>0</v>
      </c>
      <c r="FV617" s="549">
        <v>0</v>
      </c>
      <c r="FW617" s="675">
        <v>0</v>
      </c>
      <c r="FX617" s="549">
        <v>0</v>
      </c>
      <c r="FY617" s="675">
        <v>0</v>
      </c>
      <c r="FZ617" s="549">
        <v>0</v>
      </c>
      <c r="GA617" s="675">
        <v>0</v>
      </c>
      <c r="GB617" s="549">
        <v>0</v>
      </c>
      <c r="GC617" s="675">
        <v>0</v>
      </c>
      <c r="GD617" s="549">
        <v>0</v>
      </c>
      <c r="GE617" s="675">
        <v>0</v>
      </c>
      <c r="GF617" s="549">
        <v>0</v>
      </c>
      <c r="GG617" s="675">
        <v>0</v>
      </c>
      <c r="GH617" s="549">
        <v>0</v>
      </c>
      <c r="GI617" s="675">
        <v>0</v>
      </c>
      <c r="GJ617" s="549">
        <v>0</v>
      </c>
      <c r="GK617" s="675">
        <v>0</v>
      </c>
      <c r="GL617" s="549">
        <v>0</v>
      </c>
      <c r="GM617" s="675">
        <v>0</v>
      </c>
      <c r="GN617" s="549">
        <v>0</v>
      </c>
      <c r="GO617" s="675">
        <v>0</v>
      </c>
      <c r="GP617" s="549">
        <f>+D617+F617+H617+J617+L617+N617+P617+R617+T617+V617+X617+Z617+AB617+AF617+AD617+AH617+AJ617+AL617+AN617+AP617+AR617+AT617+AV617+AX617+AZ617+BB617+BD617+BF617+BH617+BJ617+BL617+BN617+BP617+BR617+BT617+BV617+BX617+BZ617+CB617+CD617+CF617+CH617+CJ617+CL617+CN617+CP617+CR617+CT617+CV617+CX617+CZ617+DB617+DD617+DF617+DH617+DT617+EX617+DJ617+DL617+DN617+DP617+DR617+EJ617+EB617+DZ617+DX617+DV617+ED617+EF617+EH617+EL617+EN617+EP617+EV617+ET617+ER617+EZ617+FB617+FD617+GL617+FF617+FJ617+FL617+GJ617+FT617+FR617+FP617+FN617+FH617+GH617+GF617+GD617+GB617+FZ617+FX617+FV617+GN617</f>
        <v>0</v>
      </c>
      <c r="GQ617" s="675">
        <f>+E617+G617+I617+K617+M617+O617+Q617+S617+U617+W617+Y617+AA617+AC617+AE617+AG617+AI617+AK617+AM617+AO617+AQ617+AS617+AU617+AW617+AY617+BA617+BC617+BE617+BG617+BI617+BK617+BM617+BO617+BQ617+BS617+BU617+BW617+BY617+CA617+CC617+CE617+CG617+CI617+CK617+CM617+CO617+CQ617+CS617+CU617+CW617+CY617+DA617+DC617+DE617+DG617+DI617+DU617+EY617+DK617+DM617+DO617+DQ617+DS617+EK617+EC617+EA617+DY617+DW617+EI617+EG617+EE617+EM617+EO617+EQ617+EW617+EU617+ES617+FA617+FC617+FE617+GM617+FG617+FK617+FM617+FO617+FQ617+FS617+FU617+GK617+FI617+GI617+GG617+GE617+GC617+GA617+FY617+FW617+GO617</f>
        <v>0</v>
      </c>
      <c r="GR617" s="74">
        <f>C617+GP617+GQ617</f>
        <v>0</v>
      </c>
      <c r="GS617" s="74">
        <f>SUM(GU617:GV617)+GP617+GQ617+GW617+GX617+GY617+GZ617+HA617+HB617+HC617+HD617+HE617+HF617</f>
        <v>0</v>
      </c>
      <c r="GT617" s="568">
        <f>SUM(GU617:HF617)+GQ617+GP617</f>
        <v>0</v>
      </c>
      <c r="GU617" s="275">
        <v>0</v>
      </c>
      <c r="GV617" s="275">
        <v>0</v>
      </c>
      <c r="GW617" s="275">
        <v>0</v>
      </c>
      <c r="GX617" s="275">
        <v>0</v>
      </c>
      <c r="GY617" s="275">
        <v>0</v>
      </c>
      <c r="GZ617" s="275">
        <v>0</v>
      </c>
      <c r="HA617" s="275">
        <v>0</v>
      </c>
      <c r="HB617" s="275">
        <v>0</v>
      </c>
      <c r="HC617" s="275">
        <v>0</v>
      </c>
      <c r="HD617" s="275">
        <v>0</v>
      </c>
      <c r="HE617" s="275">
        <v>0</v>
      </c>
      <c r="HF617" s="275">
        <v>0</v>
      </c>
      <c r="HG617" s="74">
        <f>SUM(HH617:IE617)</f>
        <v>0</v>
      </c>
      <c r="HH617" s="89">
        <v>0</v>
      </c>
      <c r="HI617" s="817">
        <v>0</v>
      </c>
      <c r="HJ617" s="89">
        <v>0</v>
      </c>
      <c r="HK617" s="817">
        <v>0</v>
      </c>
      <c r="HL617" s="89">
        <v>0</v>
      </c>
      <c r="HM617" s="817">
        <v>0</v>
      </c>
      <c r="HN617" s="89">
        <v>0</v>
      </c>
      <c r="HO617" s="817">
        <v>0</v>
      </c>
      <c r="HP617" s="89">
        <v>0</v>
      </c>
      <c r="HQ617" s="817">
        <v>0</v>
      </c>
      <c r="HR617" s="89">
        <v>0</v>
      </c>
      <c r="HS617" s="817">
        <v>0</v>
      </c>
      <c r="HT617" s="89">
        <v>0</v>
      </c>
      <c r="HU617" s="817">
        <v>0</v>
      </c>
      <c r="HV617" s="89">
        <v>0</v>
      </c>
      <c r="HW617" s="817">
        <v>0</v>
      </c>
      <c r="HX617" s="89">
        <v>0</v>
      </c>
      <c r="HY617" s="817">
        <v>0</v>
      </c>
      <c r="HZ617" s="89">
        <v>0</v>
      </c>
      <c r="IA617" s="817">
        <v>0</v>
      </c>
      <c r="IB617" s="89">
        <v>0</v>
      </c>
      <c r="IC617" s="817">
        <v>0</v>
      </c>
      <c r="ID617" s="89">
        <v>0</v>
      </c>
      <c r="IE617" s="817">
        <v>0</v>
      </c>
      <c r="IF617" s="841">
        <f>SUM(II617,IL617,IO617,IR617,IU617,IX617,JA617,JD617,JG617,JJ617,JM617,JP617)</f>
        <v>0</v>
      </c>
      <c r="IG617" s="263">
        <f t="shared" ref="IG617" si="14180">SUM(IJ617,IM617,IP617,IS617,IV617,IY617,JB617,JE617,JH617,JK617,JN617,JQ617)</f>
        <v>0</v>
      </c>
      <c r="IH617" s="842">
        <f t="shared" ref="IH617" si="14181">SUM(IK617,IN617,IQ617,IT617,IW617,IZ617,JC617,JF617,JI617,JL617,JO617,JR617)</f>
        <v>0</v>
      </c>
      <c r="II617" s="89">
        <v>0</v>
      </c>
      <c r="IJ617" s="89">
        <f t="shared" ref="IJ617" si="14182">II617</f>
        <v>0</v>
      </c>
      <c r="IK617" s="89">
        <f t="shared" ref="IK617" si="14183">IJ617</f>
        <v>0</v>
      </c>
      <c r="IL617" s="89">
        <v>0</v>
      </c>
      <c r="IM617" s="89">
        <f t="shared" ref="IM617" si="14184">IL617</f>
        <v>0</v>
      </c>
      <c r="IN617" s="89">
        <f t="shared" ref="IN617" si="14185">IM617</f>
        <v>0</v>
      </c>
      <c r="IO617" s="89">
        <v>0</v>
      </c>
      <c r="IP617" s="89">
        <f t="shared" ref="IP617" si="14186">IO617</f>
        <v>0</v>
      </c>
      <c r="IQ617" s="89">
        <f t="shared" ref="IQ617" si="14187">IP617</f>
        <v>0</v>
      </c>
      <c r="IR617" s="89">
        <v>0</v>
      </c>
      <c r="IS617" s="89">
        <f t="shared" ref="IS617" si="14188">IR617</f>
        <v>0</v>
      </c>
      <c r="IT617" s="89">
        <f t="shared" ref="IT617" si="14189">IS617</f>
        <v>0</v>
      </c>
      <c r="IU617" s="89">
        <v>0</v>
      </c>
      <c r="IV617" s="89">
        <f t="shared" ref="IV617" si="14190">IU617</f>
        <v>0</v>
      </c>
      <c r="IW617" s="89">
        <f t="shared" ref="IW617" si="14191">IV617</f>
        <v>0</v>
      </c>
      <c r="IX617" s="89">
        <v>0</v>
      </c>
      <c r="IY617" s="89">
        <f t="shared" ref="IY617" si="14192">IX617</f>
        <v>0</v>
      </c>
      <c r="IZ617" s="89">
        <f t="shared" ref="IZ617" si="14193">IY617</f>
        <v>0</v>
      </c>
      <c r="JA617" s="89">
        <v>0</v>
      </c>
      <c r="JB617" s="89">
        <f t="shared" ref="JB617" si="14194">JA617</f>
        <v>0</v>
      </c>
      <c r="JC617" s="89">
        <f t="shared" ref="JC617" si="14195">JB617</f>
        <v>0</v>
      </c>
      <c r="JD617" s="89">
        <v>0</v>
      </c>
      <c r="JE617" s="89">
        <f t="shared" ref="JE617" si="14196">JD617</f>
        <v>0</v>
      </c>
      <c r="JF617" s="89">
        <f t="shared" ref="JF617" si="14197">JE617</f>
        <v>0</v>
      </c>
      <c r="JG617" s="89">
        <v>0</v>
      </c>
      <c r="JH617" s="89">
        <f t="shared" ref="JH617" si="14198">JG617</f>
        <v>0</v>
      </c>
      <c r="JI617" s="89">
        <f t="shared" ref="JI617" si="14199">JH617</f>
        <v>0</v>
      </c>
      <c r="JJ617" s="89">
        <v>0</v>
      </c>
      <c r="JK617" s="89">
        <f t="shared" ref="JK617" si="14200">JJ617</f>
        <v>0</v>
      </c>
      <c r="JL617" s="89">
        <f t="shared" ref="JL617" si="14201">JK617</f>
        <v>0</v>
      </c>
      <c r="JM617" s="89">
        <v>0</v>
      </c>
      <c r="JN617" s="89">
        <f t="shared" ref="JN617" si="14202">JM617</f>
        <v>0</v>
      </c>
      <c r="JO617" s="89">
        <f t="shared" ref="JO617" si="14203">JN617</f>
        <v>0</v>
      </c>
      <c r="JP617" s="89">
        <v>0</v>
      </c>
      <c r="JQ617" s="89">
        <f t="shared" ref="JQ617" si="14204">JP617</f>
        <v>0</v>
      </c>
      <c r="JR617" s="89">
        <f t="shared" ref="JR617" si="14205">JQ617</f>
        <v>0</v>
      </c>
      <c r="JS617" s="74">
        <f>HG617-IF617</f>
        <v>0</v>
      </c>
      <c r="JT617" s="382">
        <f>GS617-IF617</f>
        <v>0</v>
      </c>
      <c r="JU617" s="665"/>
      <c r="JV617" s="524"/>
      <c r="JW617" s="525"/>
      <c r="JX617" s="549"/>
      <c r="JY617" s="549"/>
      <c r="JZ617" s="581"/>
      <c r="KA617" s="581"/>
      <c r="KB617" s="549"/>
      <c r="KC617" s="709"/>
      <c r="KD617" s="36"/>
      <c r="KE617" s="36"/>
      <c r="KF617" s="36"/>
      <c r="KG617" s="36"/>
      <c r="KH617" s="36"/>
      <c r="KI617" s="36"/>
      <c r="KJ617" s="36"/>
      <c r="KK617" s="36"/>
    </row>
    <row r="618" spans="1:297" s="10" customFormat="1" ht="12.75" hidden="1" customHeight="1">
      <c r="A618" s="86"/>
      <c r="B618" s="77"/>
      <c r="C618" s="74"/>
      <c r="D618" s="549"/>
      <c r="E618" s="675"/>
      <c r="F618" s="549"/>
      <c r="G618" s="675"/>
      <c r="H618" s="549"/>
      <c r="I618" s="675"/>
      <c r="J618" s="549"/>
      <c r="K618" s="675"/>
      <c r="L618" s="549"/>
      <c r="M618" s="675"/>
      <c r="N618" s="549"/>
      <c r="O618" s="675"/>
      <c r="P618" s="549"/>
      <c r="Q618" s="675"/>
      <c r="R618" s="549"/>
      <c r="S618" s="675"/>
      <c r="T618" s="549"/>
      <c r="U618" s="675"/>
      <c r="V618" s="549"/>
      <c r="W618" s="675"/>
      <c r="X618" s="549"/>
      <c r="Y618" s="675"/>
      <c r="Z618" s="549"/>
      <c r="AA618" s="675"/>
      <c r="AB618" s="549"/>
      <c r="AC618" s="675"/>
      <c r="AD618" s="549"/>
      <c r="AE618" s="675"/>
      <c r="AF618" s="549"/>
      <c r="AG618" s="675"/>
      <c r="AH618" s="549"/>
      <c r="AI618" s="675"/>
      <c r="AJ618" s="549"/>
      <c r="AK618" s="675"/>
      <c r="AL618" s="549"/>
      <c r="AM618" s="675"/>
      <c r="AN618" s="549"/>
      <c r="AO618" s="675"/>
      <c r="AP618" s="549"/>
      <c r="AQ618" s="675"/>
      <c r="AR618" s="549"/>
      <c r="AS618" s="675"/>
      <c r="AT618" s="549"/>
      <c r="AU618" s="675"/>
      <c r="AV618" s="549"/>
      <c r="AW618" s="675"/>
      <c r="AX618" s="549"/>
      <c r="AY618" s="675"/>
      <c r="AZ618" s="549"/>
      <c r="BA618" s="675"/>
      <c r="BB618" s="549"/>
      <c r="BC618" s="675"/>
      <c r="BD618" s="549"/>
      <c r="BE618" s="675"/>
      <c r="BF618" s="549"/>
      <c r="BG618" s="675"/>
      <c r="BH618" s="549"/>
      <c r="BI618" s="675"/>
      <c r="BJ618" s="549"/>
      <c r="BK618" s="675"/>
      <c r="BL618" s="549"/>
      <c r="BM618" s="675"/>
      <c r="BN618" s="549"/>
      <c r="BO618" s="675"/>
      <c r="BP618" s="549"/>
      <c r="BQ618" s="675"/>
      <c r="BR618" s="549"/>
      <c r="BS618" s="675"/>
      <c r="BT618" s="549"/>
      <c r="BU618" s="675"/>
      <c r="BV618" s="549"/>
      <c r="BW618" s="675"/>
      <c r="BX618" s="549"/>
      <c r="BY618" s="675"/>
      <c r="BZ618" s="549"/>
      <c r="CA618" s="675"/>
      <c r="CB618" s="549"/>
      <c r="CC618" s="675"/>
      <c r="CD618" s="549"/>
      <c r="CE618" s="675"/>
      <c r="CF618" s="549"/>
      <c r="CG618" s="675"/>
      <c r="CH618" s="549"/>
      <c r="CI618" s="675"/>
      <c r="CJ618" s="549"/>
      <c r="CK618" s="675"/>
      <c r="CL618" s="549"/>
      <c r="CM618" s="675"/>
      <c r="CN618" s="549"/>
      <c r="CO618" s="675"/>
      <c r="CP618" s="549"/>
      <c r="CQ618" s="675"/>
      <c r="CR618" s="549"/>
      <c r="CS618" s="675"/>
      <c r="CT618" s="549"/>
      <c r="CU618" s="675"/>
      <c r="CV618" s="549"/>
      <c r="CW618" s="675"/>
      <c r="CX618" s="549"/>
      <c r="CY618" s="675"/>
      <c r="CZ618" s="549"/>
      <c r="DA618" s="675"/>
      <c r="DB618" s="549"/>
      <c r="DC618" s="675"/>
      <c r="DD618" s="549"/>
      <c r="DE618" s="675"/>
      <c r="DF618" s="549"/>
      <c r="DG618" s="675"/>
      <c r="DH618" s="549"/>
      <c r="DI618" s="675"/>
      <c r="DJ618" s="549"/>
      <c r="DK618" s="675"/>
      <c r="DL618" s="549"/>
      <c r="DM618" s="675"/>
      <c r="DN618" s="549"/>
      <c r="DO618" s="675"/>
      <c r="DP618" s="549"/>
      <c r="DQ618" s="675"/>
      <c r="DR618" s="549"/>
      <c r="DS618" s="675"/>
      <c r="DT618" s="549"/>
      <c r="DU618" s="675"/>
      <c r="DV618" s="549"/>
      <c r="DW618" s="675"/>
      <c r="DX618" s="549"/>
      <c r="DY618" s="675"/>
      <c r="DZ618" s="549"/>
      <c r="EA618" s="675"/>
      <c r="EB618" s="549"/>
      <c r="EC618" s="675"/>
      <c r="ED618" s="549"/>
      <c r="EE618" s="675"/>
      <c r="EF618" s="549"/>
      <c r="EG618" s="675"/>
      <c r="EH618" s="549"/>
      <c r="EI618" s="675"/>
      <c r="EJ618" s="549"/>
      <c r="EK618" s="675"/>
      <c r="EL618" s="549"/>
      <c r="EM618" s="675"/>
      <c r="EN618" s="549"/>
      <c r="EO618" s="675"/>
      <c r="EP618" s="549"/>
      <c r="EQ618" s="675"/>
      <c r="ER618" s="549"/>
      <c r="ES618" s="675"/>
      <c r="ET618" s="549"/>
      <c r="EU618" s="675"/>
      <c r="EV618" s="549"/>
      <c r="EW618" s="675"/>
      <c r="EX618" s="549"/>
      <c r="EY618" s="675"/>
      <c r="EZ618" s="549"/>
      <c r="FA618" s="675"/>
      <c r="FB618" s="549"/>
      <c r="FC618" s="675"/>
      <c r="FD618" s="549"/>
      <c r="FE618" s="675"/>
      <c r="FF618" s="549"/>
      <c r="FG618" s="675"/>
      <c r="FH618" s="549"/>
      <c r="FI618" s="675"/>
      <c r="FJ618" s="549"/>
      <c r="FK618" s="675"/>
      <c r="FL618" s="549"/>
      <c r="FM618" s="675"/>
      <c r="FN618" s="549"/>
      <c r="FO618" s="675"/>
      <c r="FP618" s="549"/>
      <c r="FQ618" s="675"/>
      <c r="FR618" s="549"/>
      <c r="FS618" s="675"/>
      <c r="FT618" s="549"/>
      <c r="FU618" s="675"/>
      <c r="FV618" s="549"/>
      <c r="FW618" s="675"/>
      <c r="FX618" s="549"/>
      <c r="FY618" s="675"/>
      <c r="FZ618" s="549"/>
      <c r="GA618" s="675"/>
      <c r="GB618" s="549"/>
      <c r="GC618" s="675"/>
      <c r="GD618" s="549"/>
      <c r="GE618" s="675"/>
      <c r="GF618" s="549"/>
      <c r="GG618" s="675"/>
      <c r="GH618" s="549"/>
      <c r="GI618" s="675"/>
      <c r="GJ618" s="549"/>
      <c r="GK618" s="675"/>
      <c r="GL618" s="549"/>
      <c r="GM618" s="675"/>
      <c r="GN618" s="549"/>
      <c r="GO618" s="675"/>
      <c r="GP618" s="549"/>
      <c r="GQ618" s="675"/>
      <c r="GR618" s="74"/>
      <c r="GS618" s="74"/>
      <c r="GT618" s="74"/>
      <c r="GU618" s="89"/>
      <c r="GV618" s="89"/>
      <c r="GW618" s="568"/>
      <c r="GX618" s="568"/>
      <c r="GY618" s="89"/>
      <c r="GZ618" s="89"/>
      <c r="HA618" s="89"/>
      <c r="HB618" s="89"/>
      <c r="HC618" s="89"/>
      <c r="HD618" s="89"/>
      <c r="HE618" s="89"/>
      <c r="HF618" s="89"/>
      <c r="HG618" s="74"/>
      <c r="HH618" s="89"/>
      <c r="HI618" s="817"/>
      <c r="HJ618" s="89"/>
      <c r="HK618" s="817"/>
      <c r="HL618" s="89"/>
      <c r="HM618" s="817"/>
      <c r="HN618" s="89"/>
      <c r="HO618" s="817"/>
      <c r="HP618" s="89"/>
      <c r="HQ618" s="817"/>
      <c r="HR618" s="89"/>
      <c r="HS618" s="817"/>
      <c r="HT618" s="89"/>
      <c r="HU618" s="817"/>
      <c r="HV618" s="89"/>
      <c r="HW618" s="817"/>
      <c r="HX618" s="89"/>
      <c r="HY618" s="817"/>
      <c r="HZ618" s="89"/>
      <c r="IA618" s="817"/>
      <c r="IB618" s="89"/>
      <c r="IC618" s="817"/>
      <c r="ID618" s="89"/>
      <c r="IE618" s="817"/>
      <c r="IF618" s="841"/>
      <c r="IG618" s="263"/>
      <c r="IH618" s="842"/>
      <c r="II618" s="89"/>
      <c r="IJ618" s="89"/>
      <c r="IK618" s="89"/>
      <c r="IL618" s="89"/>
      <c r="IM618" s="89"/>
      <c r="IN618" s="89"/>
      <c r="IO618" s="89"/>
      <c r="IP618" s="89"/>
      <c r="IQ618" s="89"/>
      <c r="IR618" s="89"/>
      <c r="IS618" s="89"/>
      <c r="IT618" s="89"/>
      <c r="IU618" s="89"/>
      <c r="IV618" s="89"/>
      <c r="IW618" s="89"/>
      <c r="IX618" s="89"/>
      <c r="IY618" s="89"/>
      <c r="IZ618" s="89"/>
      <c r="JA618" s="89"/>
      <c r="JB618" s="89"/>
      <c r="JC618" s="89"/>
      <c r="JD618" s="89"/>
      <c r="JE618" s="89"/>
      <c r="JF618" s="89"/>
      <c r="JG618" s="89"/>
      <c r="JH618" s="89"/>
      <c r="JI618" s="89"/>
      <c r="JJ618" s="89"/>
      <c r="JK618" s="89"/>
      <c r="JL618" s="89"/>
      <c r="JM618" s="89"/>
      <c r="JN618" s="89"/>
      <c r="JO618" s="89"/>
      <c r="JP618" s="89"/>
      <c r="JQ618" s="89"/>
      <c r="JR618" s="89"/>
      <c r="JS618" s="74"/>
      <c r="JT618" s="382"/>
      <c r="JU618" s="665"/>
      <c r="JV618" s="524"/>
      <c r="JW618" s="525"/>
      <c r="JX618" s="549"/>
      <c r="JY618" s="549"/>
      <c r="JZ618" s="581">
        <f t="shared" si="13477"/>
        <v>0</v>
      </c>
      <c r="KA618" s="581">
        <f t="shared" si="13478"/>
        <v>0</v>
      </c>
      <c r="KB618" s="549">
        <f t="shared" si="14040"/>
        <v>0</v>
      </c>
      <c r="KC618" s="709">
        <f t="shared" si="13396"/>
        <v>0</v>
      </c>
      <c r="KD618" s="36"/>
      <c r="KE618" s="36"/>
      <c r="KF618" s="36"/>
      <c r="KG618" s="36"/>
      <c r="KH618" s="36"/>
      <c r="KI618" s="36"/>
      <c r="KJ618" s="36"/>
      <c r="KK618" s="36"/>
    </row>
    <row r="619" spans="1:297" s="10" customFormat="1">
      <c r="A619" s="80" t="s">
        <v>327</v>
      </c>
      <c r="B619" s="74">
        <f t="shared" ref="B619:C619" si="14206">SUM(+B621)+B625</f>
        <v>0</v>
      </c>
      <c r="C619" s="74">
        <f t="shared" si="14206"/>
        <v>500000</v>
      </c>
      <c r="D619" s="549">
        <f t="shared" ref="D619:E619" si="14207">SUM(+D621)+D625</f>
        <v>0</v>
      </c>
      <c r="E619" s="675">
        <f t="shared" si="14207"/>
        <v>0</v>
      </c>
      <c r="F619" s="549">
        <f t="shared" ref="F619:G619" si="14208">SUM(+F621)+F625</f>
        <v>0</v>
      </c>
      <c r="G619" s="675">
        <f t="shared" si="14208"/>
        <v>0</v>
      </c>
      <c r="H619" s="549">
        <f t="shared" ref="H619:I619" si="14209">SUM(+H621)+H625</f>
        <v>0</v>
      </c>
      <c r="I619" s="675">
        <f t="shared" si="14209"/>
        <v>0</v>
      </c>
      <c r="J619" s="549">
        <f t="shared" ref="J619:K619" si="14210">SUM(+J621)+J625</f>
        <v>0</v>
      </c>
      <c r="K619" s="675">
        <f t="shared" si="14210"/>
        <v>0</v>
      </c>
      <c r="L619" s="549">
        <f t="shared" ref="L619:M619" si="14211">SUM(+L621)+L625</f>
        <v>0</v>
      </c>
      <c r="M619" s="675">
        <f t="shared" si="14211"/>
        <v>0</v>
      </c>
      <c r="N619" s="549">
        <f t="shared" ref="N619:O619" si="14212">SUM(+N621)+N625</f>
        <v>0</v>
      </c>
      <c r="O619" s="675">
        <f t="shared" si="14212"/>
        <v>0</v>
      </c>
      <c r="P619" s="549">
        <f t="shared" ref="P619:Q619" si="14213">SUM(+P621)+P625</f>
        <v>0</v>
      </c>
      <c r="Q619" s="675">
        <f t="shared" si="14213"/>
        <v>0</v>
      </c>
      <c r="R619" s="549">
        <f t="shared" ref="R619:S619" si="14214">SUM(+R621)+R625</f>
        <v>0</v>
      </c>
      <c r="S619" s="675">
        <f t="shared" si="14214"/>
        <v>0</v>
      </c>
      <c r="T619" s="549">
        <f t="shared" ref="T619:U619" si="14215">SUM(+T621)+T625</f>
        <v>0</v>
      </c>
      <c r="U619" s="675">
        <f t="shared" si="14215"/>
        <v>0</v>
      </c>
      <c r="V619" s="549">
        <f t="shared" ref="V619:W619" si="14216">SUM(+V621)+V625</f>
        <v>0</v>
      </c>
      <c r="W619" s="675">
        <f t="shared" si="14216"/>
        <v>0</v>
      </c>
      <c r="X619" s="549">
        <f t="shared" ref="X619:Y619" si="14217">SUM(+X621)+X625</f>
        <v>0</v>
      </c>
      <c r="Y619" s="675">
        <f t="shared" si="14217"/>
        <v>0</v>
      </c>
      <c r="Z619" s="549">
        <f t="shared" ref="Z619:AA619" si="14218">SUM(+Z621)+Z625</f>
        <v>0</v>
      </c>
      <c r="AA619" s="675">
        <f t="shared" si="14218"/>
        <v>0</v>
      </c>
      <c r="AB619" s="549">
        <f t="shared" ref="AB619:AC619" si="14219">SUM(+AB621)+AB625</f>
        <v>0</v>
      </c>
      <c r="AC619" s="675">
        <f t="shared" si="14219"/>
        <v>0</v>
      </c>
      <c r="AD619" s="549">
        <f t="shared" ref="AD619:AE619" si="14220">SUM(+AD621)+AD625</f>
        <v>0</v>
      </c>
      <c r="AE619" s="675">
        <f t="shared" si="14220"/>
        <v>0</v>
      </c>
      <c r="AF619" s="549">
        <f t="shared" ref="AF619:AI619" si="14221">SUM(+AF621)+AF625</f>
        <v>0</v>
      </c>
      <c r="AG619" s="675">
        <f t="shared" si="14221"/>
        <v>0</v>
      </c>
      <c r="AH619" s="549">
        <f t="shared" si="14221"/>
        <v>0</v>
      </c>
      <c r="AI619" s="675">
        <f t="shared" si="14221"/>
        <v>0</v>
      </c>
      <c r="AJ619" s="549">
        <f t="shared" ref="AJ619:AK619" si="14222">SUM(+AJ621)+AJ625</f>
        <v>0</v>
      </c>
      <c r="AK619" s="675">
        <f t="shared" si="14222"/>
        <v>0</v>
      </c>
      <c r="AL619" s="549">
        <f t="shared" ref="AL619:AM619" si="14223">SUM(+AL621)+AL625</f>
        <v>0</v>
      </c>
      <c r="AM619" s="675">
        <f t="shared" si="14223"/>
        <v>0</v>
      </c>
      <c r="AN619" s="549">
        <f t="shared" ref="AN619:AO619" si="14224">SUM(+AN621)+AN625</f>
        <v>0</v>
      </c>
      <c r="AO619" s="675">
        <f t="shared" si="14224"/>
        <v>0</v>
      </c>
      <c r="AP619" s="549">
        <f t="shared" ref="AP619:AQ619" si="14225">SUM(+AP621)+AP625</f>
        <v>0</v>
      </c>
      <c r="AQ619" s="675">
        <f t="shared" si="14225"/>
        <v>0</v>
      </c>
      <c r="AR619" s="549">
        <f t="shared" ref="AR619:AS619" si="14226">SUM(+AR621)+AR625</f>
        <v>0</v>
      </c>
      <c r="AS619" s="675">
        <f t="shared" si="14226"/>
        <v>0</v>
      </c>
      <c r="AT619" s="549">
        <f t="shared" ref="AT619:AU619" si="14227">SUM(+AT621)+AT625</f>
        <v>0</v>
      </c>
      <c r="AU619" s="675">
        <f t="shared" si="14227"/>
        <v>0</v>
      </c>
      <c r="AV619" s="549">
        <f t="shared" ref="AV619:AW619" si="14228">SUM(+AV621)+AV625</f>
        <v>0</v>
      </c>
      <c r="AW619" s="675">
        <f t="shared" si="14228"/>
        <v>0</v>
      </c>
      <c r="AX619" s="549">
        <f t="shared" ref="AX619:AY619" si="14229">SUM(+AX621)+AX625</f>
        <v>0</v>
      </c>
      <c r="AY619" s="675">
        <f t="shared" si="14229"/>
        <v>0</v>
      </c>
      <c r="AZ619" s="549">
        <f t="shared" ref="AZ619:BA619" si="14230">SUM(+AZ621)+AZ625</f>
        <v>0</v>
      </c>
      <c r="BA619" s="675">
        <f t="shared" si="14230"/>
        <v>0</v>
      </c>
      <c r="BB619" s="549">
        <f t="shared" ref="BB619:BC619" si="14231">SUM(+BB621)+BB625</f>
        <v>0</v>
      </c>
      <c r="BC619" s="675">
        <f t="shared" si="14231"/>
        <v>0</v>
      </c>
      <c r="BD619" s="549">
        <f t="shared" ref="BD619:BE619" si="14232">SUM(+BD621)+BD625</f>
        <v>0</v>
      </c>
      <c r="BE619" s="675">
        <f t="shared" si="14232"/>
        <v>0</v>
      </c>
      <c r="BF619" s="549">
        <f t="shared" ref="BF619:BG619" si="14233">SUM(+BF621)+BF625</f>
        <v>0</v>
      </c>
      <c r="BG619" s="675">
        <f t="shared" si="14233"/>
        <v>0</v>
      </c>
      <c r="BH619" s="549">
        <f t="shared" ref="BH619:BI619" si="14234">SUM(+BH621)+BH625</f>
        <v>0</v>
      </c>
      <c r="BI619" s="675">
        <f t="shared" si="14234"/>
        <v>0</v>
      </c>
      <c r="BJ619" s="549">
        <f t="shared" ref="BJ619:BK619" si="14235">SUM(+BJ621)+BJ625</f>
        <v>0</v>
      </c>
      <c r="BK619" s="675">
        <f t="shared" si="14235"/>
        <v>0</v>
      </c>
      <c r="BL619" s="549">
        <f t="shared" ref="BL619:BS619" si="14236">SUM(+BL621)+BL625</f>
        <v>0</v>
      </c>
      <c r="BM619" s="675">
        <f t="shared" si="14236"/>
        <v>0</v>
      </c>
      <c r="BN619" s="549">
        <f t="shared" si="14236"/>
        <v>0</v>
      </c>
      <c r="BO619" s="675">
        <f t="shared" si="14236"/>
        <v>0</v>
      </c>
      <c r="BP619" s="549">
        <f t="shared" si="14236"/>
        <v>0</v>
      </c>
      <c r="BQ619" s="675">
        <f t="shared" si="14236"/>
        <v>0</v>
      </c>
      <c r="BR619" s="549">
        <f t="shared" si="14236"/>
        <v>0</v>
      </c>
      <c r="BS619" s="675">
        <f t="shared" si="14236"/>
        <v>0</v>
      </c>
      <c r="BT619" s="549">
        <f t="shared" ref="BT619:BU619" si="14237">SUM(+BT621)+BT625</f>
        <v>0</v>
      </c>
      <c r="BU619" s="675">
        <f t="shared" si="14237"/>
        <v>0</v>
      </c>
      <c r="BV619" s="549">
        <f t="shared" ref="BV619:BW619" si="14238">SUM(+BV621)+BV625</f>
        <v>0</v>
      </c>
      <c r="BW619" s="675">
        <f t="shared" si="14238"/>
        <v>0</v>
      </c>
      <c r="BX619" s="549">
        <f t="shared" ref="BX619:BY619" si="14239">SUM(+BX621)+BX625</f>
        <v>0</v>
      </c>
      <c r="BY619" s="675">
        <f t="shared" si="14239"/>
        <v>0</v>
      </c>
      <c r="BZ619" s="549">
        <f t="shared" ref="BZ619:CA619" si="14240">SUM(+BZ621)+BZ625</f>
        <v>1775</v>
      </c>
      <c r="CA619" s="675">
        <f t="shared" si="14240"/>
        <v>0</v>
      </c>
      <c r="CB619" s="549">
        <f t="shared" ref="CB619:CC619" si="14241">SUM(+CB621)+CB625</f>
        <v>0</v>
      </c>
      <c r="CC619" s="675">
        <f t="shared" si="14241"/>
        <v>0</v>
      </c>
      <c r="CD619" s="549">
        <f t="shared" ref="CD619:CE619" si="14242">SUM(+CD621)+CD625</f>
        <v>0</v>
      </c>
      <c r="CE619" s="675">
        <f t="shared" si="14242"/>
        <v>0</v>
      </c>
      <c r="CF619" s="549">
        <f t="shared" ref="CF619:CG619" si="14243">SUM(+CF621)+CF625</f>
        <v>0</v>
      </c>
      <c r="CG619" s="675">
        <f t="shared" si="14243"/>
        <v>0</v>
      </c>
      <c r="CH619" s="549">
        <f t="shared" ref="CH619:CI619" si="14244">SUM(+CH621)+CH625</f>
        <v>0</v>
      </c>
      <c r="CI619" s="675">
        <f t="shared" si="14244"/>
        <v>0</v>
      </c>
      <c r="CJ619" s="549">
        <f t="shared" ref="CJ619:CK619" si="14245">SUM(+CJ621)+CJ625</f>
        <v>299968</v>
      </c>
      <c r="CK619" s="675">
        <f t="shared" si="14245"/>
        <v>0</v>
      </c>
      <c r="CL619" s="549">
        <f t="shared" ref="CL619:CM619" si="14246">SUM(+CL621)+CL625</f>
        <v>0</v>
      </c>
      <c r="CM619" s="675">
        <f t="shared" si="14246"/>
        <v>0</v>
      </c>
      <c r="CN619" s="549">
        <f t="shared" ref="CN619:CO619" si="14247">SUM(+CN621)+CN625</f>
        <v>0</v>
      </c>
      <c r="CO619" s="675">
        <f t="shared" si="14247"/>
        <v>0</v>
      </c>
      <c r="CP619" s="549">
        <f t="shared" ref="CP619:CQ619" si="14248">SUM(+CP621)+CP625</f>
        <v>0</v>
      </c>
      <c r="CQ619" s="675">
        <f t="shared" si="14248"/>
        <v>0</v>
      </c>
      <c r="CR619" s="549">
        <f t="shared" ref="CR619:CY619" si="14249">SUM(+CR621)+CR625</f>
        <v>0</v>
      </c>
      <c r="CS619" s="675">
        <f t="shared" si="14249"/>
        <v>0</v>
      </c>
      <c r="CT619" s="549">
        <f t="shared" si="14249"/>
        <v>0</v>
      </c>
      <c r="CU619" s="675">
        <f t="shared" si="14249"/>
        <v>0</v>
      </c>
      <c r="CV619" s="549">
        <f t="shared" si="14249"/>
        <v>0</v>
      </c>
      <c r="CW619" s="675">
        <f t="shared" si="14249"/>
        <v>0</v>
      </c>
      <c r="CX619" s="549">
        <f t="shared" si="14249"/>
        <v>0</v>
      </c>
      <c r="CY619" s="675">
        <f t="shared" si="14249"/>
        <v>0</v>
      </c>
      <c r="CZ619" s="549">
        <f t="shared" ref="CZ619:GS619" si="14250">SUM(+CZ621)+CZ625</f>
        <v>0</v>
      </c>
      <c r="DA619" s="675">
        <f t="shared" si="14250"/>
        <v>0</v>
      </c>
      <c r="DB619" s="549">
        <f t="shared" si="14250"/>
        <v>0</v>
      </c>
      <c r="DC619" s="675">
        <f t="shared" si="14250"/>
        <v>0</v>
      </c>
      <c r="DD619" s="549">
        <f t="shared" si="14250"/>
        <v>0</v>
      </c>
      <c r="DE619" s="675">
        <f t="shared" si="14250"/>
        <v>0</v>
      </c>
      <c r="DF619" s="549">
        <f t="shared" si="14250"/>
        <v>0</v>
      </c>
      <c r="DG619" s="675">
        <f t="shared" si="14250"/>
        <v>0</v>
      </c>
      <c r="DH619" s="549">
        <f t="shared" si="14250"/>
        <v>0</v>
      </c>
      <c r="DI619" s="675">
        <f t="shared" si="14250"/>
        <v>0</v>
      </c>
      <c r="DJ619" s="549">
        <f t="shared" si="14250"/>
        <v>0</v>
      </c>
      <c r="DK619" s="675">
        <f t="shared" si="14250"/>
        <v>0</v>
      </c>
      <c r="DL619" s="549">
        <f t="shared" si="14250"/>
        <v>0</v>
      </c>
      <c r="DM619" s="675">
        <f t="shared" si="14250"/>
        <v>0</v>
      </c>
      <c r="DN619" s="549">
        <f t="shared" si="14250"/>
        <v>0</v>
      </c>
      <c r="DO619" s="675">
        <f t="shared" si="14250"/>
        <v>0</v>
      </c>
      <c r="DP619" s="549">
        <f t="shared" si="14250"/>
        <v>0</v>
      </c>
      <c r="DQ619" s="675">
        <f t="shared" si="14250"/>
        <v>0</v>
      </c>
      <c r="DR619" s="549">
        <f t="shared" si="14250"/>
        <v>0</v>
      </c>
      <c r="DS619" s="675">
        <f t="shared" si="14250"/>
        <v>0</v>
      </c>
      <c r="DT619" s="549">
        <f t="shared" si="14250"/>
        <v>0</v>
      </c>
      <c r="DU619" s="675">
        <f t="shared" si="14250"/>
        <v>0</v>
      </c>
      <c r="DV619" s="549">
        <f t="shared" si="14250"/>
        <v>0</v>
      </c>
      <c r="DW619" s="675">
        <f t="shared" si="14250"/>
        <v>0</v>
      </c>
      <c r="DX619" s="549">
        <f t="shared" si="14250"/>
        <v>0</v>
      </c>
      <c r="DY619" s="675">
        <f t="shared" si="14250"/>
        <v>0</v>
      </c>
      <c r="DZ619" s="549">
        <f t="shared" ref="DZ619:FA619" si="14251">SUM(+DZ621)+DZ625</f>
        <v>0</v>
      </c>
      <c r="EA619" s="675">
        <f t="shared" si="14251"/>
        <v>0</v>
      </c>
      <c r="EB619" s="549">
        <f t="shared" si="14251"/>
        <v>0</v>
      </c>
      <c r="EC619" s="675">
        <f t="shared" si="14251"/>
        <v>0</v>
      </c>
      <c r="ED619" s="549">
        <f t="shared" si="14251"/>
        <v>0</v>
      </c>
      <c r="EE619" s="675">
        <f t="shared" si="14251"/>
        <v>0</v>
      </c>
      <c r="EF619" s="549">
        <f t="shared" si="14251"/>
        <v>0</v>
      </c>
      <c r="EG619" s="675">
        <f t="shared" si="14251"/>
        <v>0</v>
      </c>
      <c r="EH619" s="549">
        <f t="shared" ref="EH619:EM619" si="14252">SUM(+EH621)+EH625</f>
        <v>0</v>
      </c>
      <c r="EI619" s="675">
        <f t="shared" si="14252"/>
        <v>0</v>
      </c>
      <c r="EJ619" s="549">
        <f t="shared" si="14252"/>
        <v>0</v>
      </c>
      <c r="EK619" s="675">
        <f t="shared" si="14252"/>
        <v>0</v>
      </c>
      <c r="EL619" s="549">
        <f t="shared" si="14252"/>
        <v>0</v>
      </c>
      <c r="EM619" s="675">
        <f t="shared" si="14252"/>
        <v>0</v>
      </c>
      <c r="EN619" s="549">
        <f t="shared" si="14251"/>
        <v>0</v>
      </c>
      <c r="EO619" s="675">
        <f t="shared" si="14251"/>
        <v>0</v>
      </c>
      <c r="EP619" s="549">
        <f t="shared" si="14251"/>
        <v>0</v>
      </c>
      <c r="EQ619" s="675">
        <f t="shared" si="14251"/>
        <v>0</v>
      </c>
      <c r="ER619" s="549">
        <f t="shared" si="14251"/>
        <v>0</v>
      </c>
      <c r="ES619" s="675">
        <f t="shared" si="14251"/>
        <v>0</v>
      </c>
      <c r="ET619" s="549">
        <f t="shared" si="14251"/>
        <v>0</v>
      </c>
      <c r="EU619" s="675">
        <f t="shared" si="14251"/>
        <v>0</v>
      </c>
      <c r="EV619" s="549">
        <f t="shared" ref="EV619:EW619" si="14253">SUM(+EV621)+EV625</f>
        <v>0</v>
      </c>
      <c r="EW619" s="675">
        <f t="shared" si="14253"/>
        <v>0</v>
      </c>
      <c r="EX619" s="549">
        <f t="shared" si="14251"/>
        <v>0</v>
      </c>
      <c r="EY619" s="675">
        <f t="shared" si="14251"/>
        <v>0</v>
      </c>
      <c r="EZ619" s="549">
        <f t="shared" si="14251"/>
        <v>0</v>
      </c>
      <c r="FA619" s="675">
        <f t="shared" si="14251"/>
        <v>0</v>
      </c>
      <c r="FB619" s="549">
        <f t="shared" si="14250"/>
        <v>0</v>
      </c>
      <c r="FC619" s="675">
        <f t="shared" si="14250"/>
        <v>0</v>
      </c>
      <c r="FD619" s="549">
        <f t="shared" si="14250"/>
        <v>0</v>
      </c>
      <c r="FE619" s="675">
        <f t="shared" si="14250"/>
        <v>0</v>
      </c>
      <c r="FF619" s="549">
        <f t="shared" ref="FF619:FG619" si="14254">SUM(+FF621)+FF625</f>
        <v>1140</v>
      </c>
      <c r="FG619" s="675">
        <f t="shared" si="14254"/>
        <v>0</v>
      </c>
      <c r="FH619" s="549">
        <f t="shared" ref="FH619:FI619" si="14255">SUM(+FH621)+FH625</f>
        <v>0</v>
      </c>
      <c r="FI619" s="675">
        <f t="shared" si="14255"/>
        <v>0</v>
      </c>
      <c r="FJ619" s="549">
        <f t="shared" ref="FJ619:FK619" si="14256">SUM(+FJ621)+FJ625</f>
        <v>0</v>
      </c>
      <c r="FK619" s="675">
        <f t="shared" si="14256"/>
        <v>0</v>
      </c>
      <c r="FL619" s="549">
        <f t="shared" ref="FL619:FM619" si="14257">SUM(+FL621)+FL625</f>
        <v>0</v>
      </c>
      <c r="FM619" s="675">
        <f t="shared" si="14257"/>
        <v>0</v>
      </c>
      <c r="FN619" s="549">
        <f t="shared" ref="FN619:FO619" si="14258">SUM(+FN621)+FN625</f>
        <v>0</v>
      </c>
      <c r="FO619" s="675">
        <f t="shared" si="14258"/>
        <v>0</v>
      </c>
      <c r="FP619" s="549">
        <f t="shared" ref="FP619:FQ619" si="14259">SUM(+FP621)+FP625</f>
        <v>0</v>
      </c>
      <c r="FQ619" s="675">
        <f t="shared" si="14259"/>
        <v>0</v>
      </c>
      <c r="FR619" s="549">
        <f t="shared" ref="FR619:FS619" si="14260">SUM(+FR621)+FR625</f>
        <v>0</v>
      </c>
      <c r="FS619" s="675">
        <f t="shared" si="14260"/>
        <v>0</v>
      </c>
      <c r="FT619" s="549">
        <f t="shared" ref="FT619:FU619" si="14261">SUM(+FT621)+FT625</f>
        <v>0</v>
      </c>
      <c r="FU619" s="675">
        <f t="shared" si="14261"/>
        <v>0</v>
      </c>
      <c r="FV619" s="549">
        <f t="shared" ref="FV619:GK619" si="14262">SUM(+FV621)+FV625</f>
        <v>0</v>
      </c>
      <c r="FW619" s="675">
        <f t="shared" si="14262"/>
        <v>0</v>
      </c>
      <c r="FX619" s="549">
        <f t="shared" si="14262"/>
        <v>0</v>
      </c>
      <c r="FY619" s="675">
        <f t="shared" si="14262"/>
        <v>0</v>
      </c>
      <c r="FZ619" s="549">
        <f t="shared" ref="FZ619:GI619" si="14263">SUM(+FZ621)+FZ625</f>
        <v>0</v>
      </c>
      <c r="GA619" s="675">
        <f t="shared" si="14263"/>
        <v>0</v>
      </c>
      <c r="GB619" s="549">
        <f t="shared" si="14263"/>
        <v>0</v>
      </c>
      <c r="GC619" s="675">
        <f t="shared" si="14263"/>
        <v>0</v>
      </c>
      <c r="GD619" s="549">
        <f t="shared" si="14263"/>
        <v>0</v>
      </c>
      <c r="GE619" s="675">
        <f t="shared" si="14263"/>
        <v>0</v>
      </c>
      <c r="GF619" s="549">
        <f t="shared" si="14263"/>
        <v>0</v>
      </c>
      <c r="GG619" s="675">
        <f t="shared" si="14263"/>
        <v>0</v>
      </c>
      <c r="GH619" s="549">
        <f t="shared" si="14263"/>
        <v>0</v>
      </c>
      <c r="GI619" s="675">
        <f t="shared" si="14263"/>
        <v>0</v>
      </c>
      <c r="GJ619" s="549">
        <f t="shared" si="14262"/>
        <v>0</v>
      </c>
      <c r="GK619" s="675">
        <f t="shared" si="14262"/>
        <v>0</v>
      </c>
      <c r="GL619" s="549">
        <f t="shared" ref="GL619:GM619" si="14264">SUM(+GL621)+GL625</f>
        <v>0</v>
      </c>
      <c r="GM619" s="675">
        <f t="shared" si="14264"/>
        <v>0</v>
      </c>
      <c r="GN619" s="549">
        <f t="shared" ref="GN619:GO619" si="14265">SUM(+GN621)+GN625</f>
        <v>0</v>
      </c>
      <c r="GO619" s="675">
        <f t="shared" si="14265"/>
        <v>0</v>
      </c>
      <c r="GP619" s="549">
        <f t="shared" si="14250"/>
        <v>302883</v>
      </c>
      <c r="GQ619" s="675">
        <f t="shared" si="14250"/>
        <v>0</v>
      </c>
      <c r="GR619" s="74">
        <f t="shared" si="14250"/>
        <v>802883</v>
      </c>
      <c r="GS619" s="74">
        <f t="shared" si="14250"/>
        <v>757429</v>
      </c>
      <c r="GT619" s="74">
        <f>SUM(+GT621+GT625)</f>
        <v>802883</v>
      </c>
      <c r="GU619" s="74">
        <f t="shared" ref="GU619:HF619" si="14266">SUM(+GU621)</f>
        <v>45460</v>
      </c>
      <c r="GV619" s="74">
        <f t="shared" si="14266"/>
        <v>45454</v>
      </c>
      <c r="GW619" s="74">
        <f t="shared" si="14266"/>
        <v>45454</v>
      </c>
      <c r="GX619" s="74">
        <f t="shared" si="14266"/>
        <v>45454</v>
      </c>
      <c r="GY619" s="74">
        <f t="shared" si="14266"/>
        <v>45454</v>
      </c>
      <c r="GZ619" s="74">
        <f t="shared" si="14266"/>
        <v>45454</v>
      </c>
      <c r="HA619" s="74">
        <f t="shared" si="14266"/>
        <v>45454</v>
      </c>
      <c r="HB619" s="74">
        <f t="shared" si="14266"/>
        <v>45454</v>
      </c>
      <c r="HC619" s="74">
        <f t="shared" si="14266"/>
        <v>45454</v>
      </c>
      <c r="HD619" s="74">
        <f t="shared" si="14266"/>
        <v>45454</v>
      </c>
      <c r="HE619" s="74">
        <f t="shared" si="14266"/>
        <v>45454</v>
      </c>
      <c r="HF619" s="74">
        <f t="shared" si="14266"/>
        <v>0</v>
      </c>
      <c r="HG619" s="74">
        <f>SUM(+HG621)+HG625</f>
        <v>802883</v>
      </c>
      <c r="HH619" s="74">
        <f t="shared" ref="HH619:HI619" si="14267">SUM(+HH621)+HH625</f>
        <v>12068.52</v>
      </c>
      <c r="HI619" s="792">
        <f t="shared" si="14267"/>
        <v>0</v>
      </c>
      <c r="HJ619" s="74">
        <f t="shared" ref="HJ619:HK619" si="14268">SUM(+HJ621)+HJ625</f>
        <v>66776.960000000006</v>
      </c>
      <c r="HK619" s="792">
        <f t="shared" si="14268"/>
        <v>0</v>
      </c>
      <c r="HL619" s="74">
        <f t="shared" ref="HL619:HM619" si="14269">SUM(+HL621)+HL625</f>
        <v>57522.52</v>
      </c>
      <c r="HM619" s="792">
        <f t="shared" si="14269"/>
        <v>0</v>
      </c>
      <c r="HN619" s="74">
        <f t="shared" ref="HN619:HO619" si="14270">SUM(+HN621)+HN625</f>
        <v>45454</v>
      </c>
      <c r="HO619" s="792">
        <f t="shared" si="14270"/>
        <v>0</v>
      </c>
      <c r="HP619" s="74">
        <f t="shared" ref="HP619:HQ619" si="14271">SUM(+HP621)+HP625</f>
        <v>45454</v>
      </c>
      <c r="HQ619" s="792">
        <f t="shared" si="14271"/>
        <v>0</v>
      </c>
      <c r="HR619" s="74">
        <f t="shared" ref="HR619:HS619" si="14272">SUM(+HR621)+HR625</f>
        <v>45454</v>
      </c>
      <c r="HS619" s="792">
        <f t="shared" si="14272"/>
        <v>0</v>
      </c>
      <c r="HT619" s="74">
        <f t="shared" ref="HT619:HU619" si="14273">SUM(+HT621)+HT625</f>
        <v>45454</v>
      </c>
      <c r="HU619" s="792">
        <f t="shared" si="14273"/>
        <v>0</v>
      </c>
      <c r="HV619" s="74">
        <f t="shared" ref="HV619:HW619" si="14274">SUM(+HV621)+HV625</f>
        <v>481784</v>
      </c>
      <c r="HW619" s="792">
        <f t="shared" si="14274"/>
        <v>0</v>
      </c>
      <c r="HX619" s="74">
        <f t="shared" ref="HX619:HY619" si="14275">SUM(+HX621)+HX625</f>
        <v>1775</v>
      </c>
      <c r="HY619" s="792">
        <f t="shared" si="14275"/>
        <v>0</v>
      </c>
      <c r="HZ619" s="74">
        <f t="shared" ref="HZ619:IA619" si="14276">SUM(+HZ621)+HZ625</f>
        <v>1140</v>
      </c>
      <c r="IA619" s="792">
        <f t="shared" si="14276"/>
        <v>0</v>
      </c>
      <c r="IB619" s="74">
        <f t="shared" ref="IB619:IC619" si="14277">SUM(+IB621)+IB625</f>
        <v>0</v>
      </c>
      <c r="IC619" s="792">
        <f t="shared" si="14277"/>
        <v>0</v>
      </c>
      <c r="ID619" s="74">
        <f t="shared" ref="ID619:JR619" si="14278">SUM(+ID621)+ID625</f>
        <v>0</v>
      </c>
      <c r="IE619" s="792">
        <f t="shared" si="14278"/>
        <v>0</v>
      </c>
      <c r="IF619" s="841">
        <f t="shared" si="14278"/>
        <v>530582.51</v>
      </c>
      <c r="IG619" s="263">
        <f t="shared" si="14278"/>
        <v>530582.51</v>
      </c>
      <c r="IH619" s="842">
        <f t="shared" si="14278"/>
        <v>530582.51</v>
      </c>
      <c r="II619" s="74">
        <f t="shared" ref="II619:IK619" si="14279">SUM(+II621)+II625</f>
        <v>3634.49</v>
      </c>
      <c r="IJ619" s="74">
        <f t="shared" si="14279"/>
        <v>3634.49</v>
      </c>
      <c r="IK619" s="74">
        <f t="shared" si="14279"/>
        <v>3634.49</v>
      </c>
      <c r="IL619" s="74">
        <f t="shared" ref="IL619:IN619" si="14280">SUM(+IL621)+IL625</f>
        <v>7059.3899999999994</v>
      </c>
      <c r="IM619" s="74">
        <f t="shared" si="14280"/>
        <v>7059.3899999999994</v>
      </c>
      <c r="IN619" s="74">
        <f t="shared" si="14280"/>
        <v>7059.3899999999994</v>
      </c>
      <c r="IO619" s="74">
        <f t="shared" ref="IO619:IQ619" si="14281">SUM(+IO621)+IO625</f>
        <v>6678.8600000000024</v>
      </c>
      <c r="IP619" s="74">
        <f t="shared" si="14281"/>
        <v>6678.8600000000024</v>
      </c>
      <c r="IQ619" s="74">
        <f t="shared" si="14281"/>
        <v>6678.8600000000024</v>
      </c>
      <c r="IR619" s="74">
        <f t="shared" ref="IR619:IT619" si="14282">SUM(+IR621)+IR625</f>
        <v>28993.209999999995</v>
      </c>
      <c r="IS619" s="74">
        <f t="shared" si="14282"/>
        <v>28993.209999999995</v>
      </c>
      <c r="IT619" s="74">
        <f t="shared" si="14282"/>
        <v>28993.209999999995</v>
      </c>
      <c r="IU619" s="74">
        <f t="shared" ref="IU619:IW619" si="14283">SUM(+IU621)+IU625</f>
        <v>38647.17</v>
      </c>
      <c r="IV619" s="74">
        <f t="shared" si="14283"/>
        <v>38647.17</v>
      </c>
      <c r="IW619" s="74">
        <f t="shared" si="14283"/>
        <v>38647.17</v>
      </c>
      <c r="IX619" s="74">
        <f t="shared" ref="IX619:IZ619" si="14284">SUM(+IX621)+IX625</f>
        <v>147936.51</v>
      </c>
      <c r="IY619" s="74">
        <f t="shared" si="14284"/>
        <v>147936.51</v>
      </c>
      <c r="IZ619" s="74">
        <f t="shared" si="14284"/>
        <v>147936.51</v>
      </c>
      <c r="JA619" s="74">
        <f t="shared" ref="JA619:JC619" si="14285">SUM(+JA621)+JA625</f>
        <v>61015</v>
      </c>
      <c r="JB619" s="74">
        <f t="shared" si="14285"/>
        <v>61015</v>
      </c>
      <c r="JC619" s="74">
        <f t="shared" si="14285"/>
        <v>61015</v>
      </c>
      <c r="JD619" s="74">
        <f t="shared" ref="JD619:JF619" si="14286">SUM(+JD621)+JD625</f>
        <v>76944.13</v>
      </c>
      <c r="JE619" s="74">
        <f t="shared" si="14286"/>
        <v>76944.13</v>
      </c>
      <c r="JF619" s="74">
        <f t="shared" si="14286"/>
        <v>76944.13</v>
      </c>
      <c r="JG619" s="74">
        <f t="shared" ref="JG619:JI619" si="14287">SUM(+JG621)+JG625</f>
        <v>106333.26000000001</v>
      </c>
      <c r="JH619" s="74">
        <f t="shared" si="14287"/>
        <v>106333.26000000001</v>
      </c>
      <c r="JI619" s="74">
        <f t="shared" si="14287"/>
        <v>106333.26000000001</v>
      </c>
      <c r="JJ619" s="74">
        <f t="shared" ref="JJ619:JL619" si="14288">SUM(+JJ621)+JJ625</f>
        <v>53340.489999999991</v>
      </c>
      <c r="JK619" s="74">
        <f t="shared" si="14288"/>
        <v>53340.489999999991</v>
      </c>
      <c r="JL619" s="74">
        <f t="shared" si="14288"/>
        <v>53340.489999999991</v>
      </c>
      <c r="JM619" s="74">
        <f t="shared" ref="JM619:JO619" si="14289">SUM(+JM621)+JM625</f>
        <v>0</v>
      </c>
      <c r="JN619" s="74">
        <f t="shared" si="14289"/>
        <v>0</v>
      </c>
      <c r="JO619" s="74">
        <f t="shared" si="14289"/>
        <v>0</v>
      </c>
      <c r="JP619" s="74">
        <f t="shared" si="14278"/>
        <v>0</v>
      </c>
      <c r="JQ619" s="74">
        <f t="shared" si="14278"/>
        <v>0</v>
      </c>
      <c r="JR619" s="74">
        <f t="shared" si="14278"/>
        <v>0</v>
      </c>
      <c r="JS619" s="74">
        <f t="shared" ref="JS619:KB619" si="14290">SUM(+JS621)+JS625</f>
        <v>272300.49</v>
      </c>
      <c r="JT619" s="74">
        <f t="shared" si="14290"/>
        <v>226846.49</v>
      </c>
      <c r="JU619" s="665"/>
      <c r="JV619" s="524"/>
      <c r="JW619" s="525"/>
      <c r="JX619" s="549">
        <f t="shared" si="14290"/>
        <v>802883</v>
      </c>
      <c r="JY619" s="549">
        <f t="shared" si="14290"/>
        <v>0</v>
      </c>
      <c r="JZ619" s="581">
        <f t="shared" si="13477"/>
        <v>302883</v>
      </c>
      <c r="KA619" s="581">
        <f t="shared" si="13478"/>
        <v>0</v>
      </c>
      <c r="KB619" s="549">
        <f t="shared" si="14290"/>
        <v>802883</v>
      </c>
      <c r="KC619" s="709">
        <f t="shared" si="13396"/>
        <v>0</v>
      </c>
      <c r="KD619" s="36"/>
      <c r="KE619" s="36"/>
      <c r="KF619" s="36"/>
      <c r="KG619" s="36"/>
      <c r="KH619" s="36"/>
      <c r="KI619" s="36"/>
      <c r="KJ619" s="36"/>
      <c r="KK619" s="36"/>
    </row>
    <row r="620" spans="1:297" s="10" customFormat="1">
      <c r="A620" s="86"/>
      <c r="B620" s="77"/>
      <c r="C620" s="74"/>
      <c r="D620" s="549"/>
      <c r="E620" s="675"/>
      <c r="F620" s="549"/>
      <c r="G620" s="675"/>
      <c r="H620" s="549"/>
      <c r="I620" s="675"/>
      <c r="J620" s="549"/>
      <c r="K620" s="675"/>
      <c r="L620" s="549"/>
      <c r="M620" s="675"/>
      <c r="N620" s="549"/>
      <c r="O620" s="675"/>
      <c r="P620" s="549"/>
      <c r="Q620" s="675"/>
      <c r="R620" s="549"/>
      <c r="S620" s="675"/>
      <c r="T620" s="549"/>
      <c r="U620" s="675"/>
      <c r="V620" s="549"/>
      <c r="W620" s="675"/>
      <c r="X620" s="549"/>
      <c r="Y620" s="675"/>
      <c r="Z620" s="549"/>
      <c r="AA620" s="675"/>
      <c r="AB620" s="549"/>
      <c r="AC620" s="675"/>
      <c r="AD620" s="549"/>
      <c r="AE620" s="675"/>
      <c r="AF620" s="549"/>
      <c r="AG620" s="675"/>
      <c r="AH620" s="549"/>
      <c r="AI620" s="675"/>
      <c r="AJ620" s="549"/>
      <c r="AK620" s="675"/>
      <c r="AL620" s="549"/>
      <c r="AM620" s="675"/>
      <c r="AN620" s="549"/>
      <c r="AO620" s="675"/>
      <c r="AP620" s="549"/>
      <c r="AQ620" s="675"/>
      <c r="AR620" s="549"/>
      <c r="AS620" s="675"/>
      <c r="AT620" s="549"/>
      <c r="AU620" s="675"/>
      <c r="AV620" s="549"/>
      <c r="AW620" s="675"/>
      <c r="AX620" s="549"/>
      <c r="AY620" s="675"/>
      <c r="AZ620" s="549"/>
      <c r="BA620" s="675"/>
      <c r="BB620" s="549"/>
      <c r="BC620" s="675"/>
      <c r="BD620" s="549"/>
      <c r="BE620" s="675"/>
      <c r="BF620" s="549"/>
      <c r="BG620" s="675"/>
      <c r="BH620" s="549"/>
      <c r="BI620" s="675"/>
      <c r="BJ620" s="549"/>
      <c r="BK620" s="675"/>
      <c r="BL620" s="549"/>
      <c r="BM620" s="675"/>
      <c r="BN620" s="549"/>
      <c r="BO620" s="675"/>
      <c r="BP620" s="549"/>
      <c r="BQ620" s="675"/>
      <c r="BR620" s="549"/>
      <c r="BS620" s="675"/>
      <c r="BT620" s="549"/>
      <c r="BU620" s="675"/>
      <c r="BV620" s="549"/>
      <c r="BW620" s="675"/>
      <c r="BX620" s="549"/>
      <c r="BY620" s="675"/>
      <c r="BZ620" s="549"/>
      <c r="CA620" s="675"/>
      <c r="CB620" s="549"/>
      <c r="CC620" s="675"/>
      <c r="CD620" s="549"/>
      <c r="CE620" s="675"/>
      <c r="CF620" s="549"/>
      <c r="CG620" s="675"/>
      <c r="CH620" s="549"/>
      <c r="CI620" s="675"/>
      <c r="CJ620" s="549"/>
      <c r="CK620" s="675"/>
      <c r="CL620" s="549"/>
      <c r="CM620" s="675"/>
      <c r="CN620" s="549"/>
      <c r="CO620" s="675"/>
      <c r="CP620" s="549"/>
      <c r="CQ620" s="675"/>
      <c r="CR620" s="549"/>
      <c r="CS620" s="675"/>
      <c r="CT620" s="549"/>
      <c r="CU620" s="675"/>
      <c r="CV620" s="549"/>
      <c r="CW620" s="675"/>
      <c r="CX620" s="549"/>
      <c r="CY620" s="675"/>
      <c r="CZ620" s="549"/>
      <c r="DA620" s="675"/>
      <c r="DB620" s="549"/>
      <c r="DC620" s="675"/>
      <c r="DD620" s="549"/>
      <c r="DE620" s="675"/>
      <c r="DF620" s="549"/>
      <c r="DG620" s="675"/>
      <c r="DH620" s="549"/>
      <c r="DI620" s="675"/>
      <c r="DJ620" s="549"/>
      <c r="DK620" s="675"/>
      <c r="DL620" s="549"/>
      <c r="DM620" s="675"/>
      <c r="DN620" s="549"/>
      <c r="DO620" s="675"/>
      <c r="DP620" s="549"/>
      <c r="DQ620" s="675"/>
      <c r="DR620" s="549"/>
      <c r="DS620" s="675"/>
      <c r="DT620" s="549"/>
      <c r="DU620" s="675"/>
      <c r="DV620" s="549"/>
      <c r="DW620" s="675"/>
      <c r="DX620" s="549"/>
      <c r="DY620" s="675"/>
      <c r="DZ620" s="549"/>
      <c r="EA620" s="675"/>
      <c r="EB620" s="549"/>
      <c r="EC620" s="675"/>
      <c r="ED620" s="549"/>
      <c r="EE620" s="675"/>
      <c r="EF620" s="549"/>
      <c r="EG620" s="675"/>
      <c r="EH620" s="549"/>
      <c r="EI620" s="675"/>
      <c r="EJ620" s="549"/>
      <c r="EK620" s="675"/>
      <c r="EL620" s="549"/>
      <c r="EM620" s="675"/>
      <c r="EN620" s="549"/>
      <c r="EO620" s="675"/>
      <c r="EP620" s="549"/>
      <c r="EQ620" s="675"/>
      <c r="ER620" s="549"/>
      <c r="ES620" s="675"/>
      <c r="ET620" s="549"/>
      <c r="EU620" s="675"/>
      <c r="EV620" s="549"/>
      <c r="EW620" s="675"/>
      <c r="EX620" s="549"/>
      <c r="EY620" s="675"/>
      <c r="EZ620" s="549"/>
      <c r="FA620" s="675"/>
      <c r="FB620" s="549"/>
      <c r="FC620" s="675"/>
      <c r="FD620" s="549"/>
      <c r="FE620" s="675"/>
      <c r="FF620" s="549"/>
      <c r="FG620" s="675"/>
      <c r="FH620" s="549"/>
      <c r="FI620" s="675"/>
      <c r="FJ620" s="549"/>
      <c r="FK620" s="675"/>
      <c r="FL620" s="549"/>
      <c r="FM620" s="675"/>
      <c r="FN620" s="549"/>
      <c r="FO620" s="675"/>
      <c r="FP620" s="549"/>
      <c r="FQ620" s="675"/>
      <c r="FR620" s="549"/>
      <c r="FS620" s="675"/>
      <c r="FT620" s="549"/>
      <c r="FU620" s="675"/>
      <c r="FV620" s="549"/>
      <c r="FW620" s="675"/>
      <c r="FX620" s="549"/>
      <c r="FY620" s="675"/>
      <c r="FZ620" s="549"/>
      <c r="GA620" s="675"/>
      <c r="GB620" s="549"/>
      <c r="GC620" s="675"/>
      <c r="GD620" s="549"/>
      <c r="GE620" s="675"/>
      <c r="GF620" s="549"/>
      <c r="GG620" s="675"/>
      <c r="GH620" s="549"/>
      <c r="GI620" s="675"/>
      <c r="GJ620" s="549"/>
      <c r="GK620" s="675"/>
      <c r="GL620" s="549"/>
      <c r="GM620" s="675"/>
      <c r="GN620" s="549"/>
      <c r="GO620" s="675"/>
      <c r="GP620" s="549"/>
      <c r="GQ620" s="675"/>
      <c r="GR620" s="74"/>
      <c r="GS620" s="74"/>
      <c r="GT620" s="568"/>
      <c r="GU620" s="89"/>
      <c r="GV620" s="89"/>
      <c r="GW620" s="568"/>
      <c r="GX620" s="568"/>
      <c r="GY620" s="89"/>
      <c r="GZ620" s="89"/>
      <c r="HA620" s="89"/>
      <c r="HB620" s="89"/>
      <c r="HC620" s="89"/>
      <c r="HD620" s="89"/>
      <c r="HE620" s="89"/>
      <c r="HF620" s="89"/>
      <c r="HG620" s="74"/>
      <c r="HH620" s="89"/>
      <c r="HI620" s="817"/>
      <c r="HJ620" s="89"/>
      <c r="HK620" s="817"/>
      <c r="HL620" s="89"/>
      <c r="HM620" s="817"/>
      <c r="HN620" s="89"/>
      <c r="HO620" s="817"/>
      <c r="HP620" s="89"/>
      <c r="HQ620" s="817"/>
      <c r="HR620" s="89"/>
      <c r="HS620" s="817"/>
      <c r="HT620" s="89"/>
      <c r="HU620" s="817"/>
      <c r="HV620" s="89"/>
      <c r="HW620" s="817"/>
      <c r="HX620" s="89"/>
      <c r="HY620" s="817"/>
      <c r="HZ620" s="89"/>
      <c r="IA620" s="817"/>
      <c r="IB620" s="89"/>
      <c r="IC620" s="817"/>
      <c r="ID620" s="89"/>
      <c r="IE620" s="817"/>
      <c r="IF620" s="841"/>
      <c r="IG620" s="263"/>
      <c r="IH620" s="842"/>
      <c r="II620" s="89"/>
      <c r="IJ620" s="89"/>
      <c r="IK620" s="89"/>
      <c r="IL620" s="89"/>
      <c r="IM620" s="89"/>
      <c r="IN620" s="89"/>
      <c r="IO620" s="89"/>
      <c r="IP620" s="89"/>
      <c r="IQ620" s="89"/>
      <c r="IR620" s="89"/>
      <c r="IS620" s="89"/>
      <c r="IT620" s="89"/>
      <c r="IU620" s="89"/>
      <c r="IV620" s="89"/>
      <c r="IW620" s="89"/>
      <c r="IX620" s="89"/>
      <c r="IY620" s="89"/>
      <c r="IZ620" s="89"/>
      <c r="JA620" s="89"/>
      <c r="JB620" s="89"/>
      <c r="JC620" s="89"/>
      <c r="JD620" s="89"/>
      <c r="JE620" s="89"/>
      <c r="JF620" s="89"/>
      <c r="JG620" s="89"/>
      <c r="JH620" s="89"/>
      <c r="JI620" s="89"/>
      <c r="JJ620" s="89"/>
      <c r="JK620" s="89"/>
      <c r="JL620" s="89"/>
      <c r="JM620" s="89"/>
      <c r="JN620" s="89"/>
      <c r="JO620" s="89"/>
      <c r="JP620" s="89"/>
      <c r="JQ620" s="89"/>
      <c r="JR620" s="89"/>
      <c r="JS620" s="74"/>
      <c r="JT620" s="382"/>
      <c r="JU620" s="665"/>
      <c r="JV620" s="524"/>
      <c r="JW620" s="525"/>
      <c r="JX620" s="549"/>
      <c r="JY620" s="549"/>
      <c r="JZ620" s="581">
        <f t="shared" si="13477"/>
        <v>0</v>
      </c>
      <c r="KA620" s="581">
        <f t="shared" si="13478"/>
        <v>0</v>
      </c>
      <c r="KB620" s="549">
        <f t="shared" si="14040"/>
        <v>0</v>
      </c>
      <c r="KC620" s="709">
        <f t="shared" si="13396"/>
        <v>0</v>
      </c>
      <c r="KD620" s="36"/>
      <c r="KE620" s="36"/>
      <c r="KF620" s="36"/>
      <c r="KG620" s="36"/>
      <c r="KH620" s="36"/>
      <c r="KI620" s="36"/>
      <c r="KJ620" s="36"/>
      <c r="KK620" s="36"/>
    </row>
    <row r="621" spans="1:297" s="8" customFormat="1">
      <c r="A621" s="80" t="s">
        <v>468</v>
      </c>
      <c r="B621" s="72"/>
      <c r="C621" s="74">
        <f t="shared" ref="C621:AM621" si="14291">SUM(C622:C623)</f>
        <v>500000</v>
      </c>
      <c r="D621" s="549">
        <f t="shared" si="14291"/>
        <v>0</v>
      </c>
      <c r="E621" s="675">
        <f t="shared" si="14291"/>
        <v>0</v>
      </c>
      <c r="F621" s="549">
        <f t="shared" si="14291"/>
        <v>0</v>
      </c>
      <c r="G621" s="675">
        <f t="shared" si="14291"/>
        <v>0</v>
      </c>
      <c r="H621" s="549">
        <f t="shared" si="14291"/>
        <v>0</v>
      </c>
      <c r="I621" s="675">
        <f t="shared" si="14291"/>
        <v>0</v>
      </c>
      <c r="J621" s="549">
        <f t="shared" si="14291"/>
        <v>0</v>
      </c>
      <c r="K621" s="675">
        <f t="shared" si="14291"/>
        <v>0</v>
      </c>
      <c r="L621" s="549">
        <f t="shared" si="14291"/>
        <v>0</v>
      </c>
      <c r="M621" s="675">
        <f t="shared" si="14291"/>
        <v>0</v>
      </c>
      <c r="N621" s="549">
        <f t="shared" si="14291"/>
        <v>0</v>
      </c>
      <c r="O621" s="675">
        <f t="shared" si="14291"/>
        <v>0</v>
      </c>
      <c r="P621" s="549">
        <f t="shared" si="14291"/>
        <v>0</v>
      </c>
      <c r="Q621" s="675">
        <f t="shared" si="14291"/>
        <v>0</v>
      </c>
      <c r="R621" s="549">
        <f t="shared" si="14291"/>
        <v>0</v>
      </c>
      <c r="S621" s="675">
        <f t="shared" si="14291"/>
        <v>0</v>
      </c>
      <c r="T621" s="549">
        <f t="shared" si="14291"/>
        <v>0</v>
      </c>
      <c r="U621" s="675">
        <f t="shared" si="14291"/>
        <v>0</v>
      </c>
      <c r="V621" s="549">
        <f t="shared" si="14291"/>
        <v>0</v>
      </c>
      <c r="W621" s="675">
        <f t="shared" si="14291"/>
        <v>0</v>
      </c>
      <c r="X621" s="549">
        <f t="shared" si="14291"/>
        <v>0</v>
      </c>
      <c r="Y621" s="675">
        <f t="shared" si="14291"/>
        <v>0</v>
      </c>
      <c r="Z621" s="549">
        <f t="shared" si="14291"/>
        <v>0</v>
      </c>
      <c r="AA621" s="675">
        <f t="shared" si="14291"/>
        <v>0</v>
      </c>
      <c r="AB621" s="549">
        <f t="shared" si="14291"/>
        <v>0</v>
      </c>
      <c r="AC621" s="675">
        <f t="shared" si="14291"/>
        <v>0</v>
      </c>
      <c r="AD621" s="549">
        <f t="shared" ref="AD621:AK621" si="14292">SUM(AD622:AD623)</f>
        <v>0</v>
      </c>
      <c r="AE621" s="675">
        <f t="shared" si="14292"/>
        <v>0</v>
      </c>
      <c r="AF621" s="549">
        <f t="shared" si="14292"/>
        <v>0</v>
      </c>
      <c r="AG621" s="675">
        <f t="shared" si="14292"/>
        <v>0</v>
      </c>
      <c r="AH621" s="549">
        <f t="shared" si="14292"/>
        <v>0</v>
      </c>
      <c r="AI621" s="675">
        <f t="shared" si="14292"/>
        <v>0</v>
      </c>
      <c r="AJ621" s="549">
        <f t="shared" si="14292"/>
        <v>0</v>
      </c>
      <c r="AK621" s="675">
        <f t="shared" si="14292"/>
        <v>0</v>
      </c>
      <c r="AL621" s="549">
        <f t="shared" si="14291"/>
        <v>0</v>
      </c>
      <c r="AM621" s="675">
        <f t="shared" si="14291"/>
        <v>0</v>
      </c>
      <c r="AN621" s="549">
        <f t="shared" ref="AN621:AS621" si="14293">SUM(AN622:AN623)</f>
        <v>0</v>
      </c>
      <c r="AO621" s="675">
        <f t="shared" si="14293"/>
        <v>0</v>
      </c>
      <c r="AP621" s="549">
        <f t="shared" si="14293"/>
        <v>0</v>
      </c>
      <c r="AQ621" s="675">
        <f t="shared" si="14293"/>
        <v>0</v>
      </c>
      <c r="AR621" s="549">
        <f t="shared" si="14293"/>
        <v>0</v>
      </c>
      <c r="AS621" s="675">
        <f t="shared" si="14293"/>
        <v>0</v>
      </c>
      <c r="AT621" s="549">
        <f t="shared" ref="AT621:AU621" si="14294">SUM(AT622:AT623)</f>
        <v>0</v>
      </c>
      <c r="AU621" s="675">
        <f t="shared" si="14294"/>
        <v>0</v>
      </c>
      <c r="AV621" s="549">
        <f t="shared" ref="AV621:AW621" si="14295">SUM(AV622:AV623)</f>
        <v>0</v>
      </c>
      <c r="AW621" s="675">
        <f t="shared" si="14295"/>
        <v>0</v>
      </c>
      <c r="AX621" s="549">
        <f t="shared" ref="AX621:AY621" si="14296">SUM(AX622:AX623)</f>
        <v>0</v>
      </c>
      <c r="AY621" s="675">
        <f t="shared" si="14296"/>
        <v>0</v>
      </c>
      <c r="AZ621" s="549">
        <f t="shared" ref="AZ621:BA621" si="14297">SUM(AZ622:AZ623)</f>
        <v>0</v>
      </c>
      <c r="BA621" s="675">
        <f t="shared" si="14297"/>
        <v>0</v>
      </c>
      <c r="BB621" s="549">
        <f t="shared" ref="BB621:BC621" si="14298">SUM(BB622:BB623)</f>
        <v>0</v>
      </c>
      <c r="BC621" s="675">
        <f t="shared" si="14298"/>
        <v>0</v>
      </c>
      <c r="BD621" s="549">
        <f t="shared" ref="BD621:BE621" si="14299">SUM(BD622:BD623)</f>
        <v>0</v>
      </c>
      <c r="BE621" s="675">
        <f t="shared" si="14299"/>
        <v>0</v>
      </c>
      <c r="BF621" s="549">
        <f t="shared" ref="BF621:BG621" si="14300">SUM(BF622:BF623)</f>
        <v>0</v>
      </c>
      <c r="BG621" s="675">
        <f t="shared" si="14300"/>
        <v>0</v>
      </c>
      <c r="BH621" s="549">
        <f t="shared" ref="BH621:BI621" si="14301">SUM(BH622:BH623)</f>
        <v>0</v>
      </c>
      <c r="BI621" s="675">
        <f t="shared" si="14301"/>
        <v>0</v>
      </c>
      <c r="BJ621" s="549">
        <f t="shared" ref="BJ621:BK621" si="14302">SUM(BJ622:BJ623)</f>
        <v>0</v>
      </c>
      <c r="BK621" s="675">
        <f t="shared" si="14302"/>
        <v>0</v>
      </c>
      <c r="BL621" s="549">
        <f t="shared" ref="BL621:BS621" si="14303">SUM(BL622:BL623)</f>
        <v>0</v>
      </c>
      <c r="BM621" s="675">
        <f t="shared" si="14303"/>
        <v>0</v>
      </c>
      <c r="BN621" s="549">
        <f t="shared" si="14303"/>
        <v>0</v>
      </c>
      <c r="BO621" s="675">
        <f t="shared" si="14303"/>
        <v>0</v>
      </c>
      <c r="BP621" s="549">
        <f t="shared" si="14303"/>
        <v>0</v>
      </c>
      <c r="BQ621" s="675">
        <f t="shared" si="14303"/>
        <v>0</v>
      </c>
      <c r="BR621" s="549">
        <f t="shared" si="14303"/>
        <v>0</v>
      </c>
      <c r="BS621" s="675">
        <f t="shared" si="14303"/>
        <v>0</v>
      </c>
      <c r="BT621" s="549">
        <f t="shared" ref="BT621:BU621" si="14304">SUM(BT622:BT623)</f>
        <v>0</v>
      </c>
      <c r="BU621" s="675">
        <f t="shared" si="14304"/>
        <v>0</v>
      </c>
      <c r="BV621" s="549">
        <f t="shared" ref="BV621:BW621" si="14305">SUM(BV622:BV623)</f>
        <v>0</v>
      </c>
      <c r="BW621" s="675">
        <f t="shared" si="14305"/>
        <v>0</v>
      </c>
      <c r="BX621" s="549">
        <f t="shared" ref="BX621:BY621" si="14306">SUM(BX622:BX623)</f>
        <v>0</v>
      </c>
      <c r="BY621" s="675">
        <f t="shared" si="14306"/>
        <v>0</v>
      </c>
      <c r="BZ621" s="549">
        <f t="shared" ref="BZ621:CA621" si="14307">SUM(BZ622:BZ623)</f>
        <v>0</v>
      </c>
      <c r="CA621" s="675">
        <f t="shared" si="14307"/>
        <v>0</v>
      </c>
      <c r="CB621" s="549">
        <f t="shared" ref="CB621:CE621" si="14308">SUM(CB622:CB623)</f>
        <v>0</v>
      </c>
      <c r="CC621" s="675">
        <f t="shared" si="14308"/>
        <v>0</v>
      </c>
      <c r="CD621" s="549">
        <f t="shared" si="14308"/>
        <v>0</v>
      </c>
      <c r="CE621" s="675">
        <f t="shared" si="14308"/>
        <v>0</v>
      </c>
      <c r="CF621" s="549">
        <f t="shared" ref="CF621:CQ621" si="14309">SUM(CF622:CF623)</f>
        <v>0</v>
      </c>
      <c r="CG621" s="675">
        <f t="shared" si="14309"/>
        <v>0</v>
      </c>
      <c r="CH621" s="549">
        <f t="shared" si="14309"/>
        <v>0</v>
      </c>
      <c r="CI621" s="675">
        <f t="shared" si="14309"/>
        <v>0</v>
      </c>
      <c r="CJ621" s="549">
        <f t="shared" si="14309"/>
        <v>299968</v>
      </c>
      <c r="CK621" s="675">
        <f t="shared" si="14309"/>
        <v>0</v>
      </c>
      <c r="CL621" s="549">
        <f t="shared" si="14309"/>
        <v>0</v>
      </c>
      <c r="CM621" s="675">
        <f t="shared" si="14309"/>
        <v>0</v>
      </c>
      <c r="CN621" s="549">
        <f t="shared" si="14309"/>
        <v>0</v>
      </c>
      <c r="CO621" s="675">
        <f t="shared" si="14309"/>
        <v>0</v>
      </c>
      <c r="CP621" s="549">
        <f t="shared" si="14309"/>
        <v>0</v>
      </c>
      <c r="CQ621" s="675">
        <f t="shared" si="14309"/>
        <v>0</v>
      </c>
      <c r="CR621" s="549">
        <f t="shared" ref="CR621:CY621" si="14310">SUM(CR622:CR623)</f>
        <v>0</v>
      </c>
      <c r="CS621" s="675">
        <f t="shared" si="14310"/>
        <v>0</v>
      </c>
      <c r="CT621" s="549">
        <f t="shared" si="14310"/>
        <v>0</v>
      </c>
      <c r="CU621" s="675">
        <f t="shared" si="14310"/>
        <v>0</v>
      </c>
      <c r="CV621" s="549">
        <f t="shared" si="14310"/>
        <v>0</v>
      </c>
      <c r="CW621" s="675">
        <f t="shared" si="14310"/>
        <v>0</v>
      </c>
      <c r="CX621" s="549">
        <f t="shared" si="14310"/>
        <v>0</v>
      </c>
      <c r="CY621" s="675">
        <f t="shared" si="14310"/>
        <v>0</v>
      </c>
      <c r="CZ621" s="549">
        <f t="shared" ref="CZ621:DI621" si="14311">SUM(CZ622:CZ623)</f>
        <v>0</v>
      </c>
      <c r="DA621" s="675">
        <f t="shared" si="14311"/>
        <v>0</v>
      </c>
      <c r="DB621" s="549">
        <f t="shared" si="14311"/>
        <v>0</v>
      </c>
      <c r="DC621" s="675">
        <f t="shared" si="14311"/>
        <v>0</v>
      </c>
      <c r="DD621" s="549">
        <f t="shared" si="14311"/>
        <v>0</v>
      </c>
      <c r="DE621" s="675">
        <f t="shared" si="14311"/>
        <v>0</v>
      </c>
      <c r="DF621" s="549">
        <f t="shared" si="14311"/>
        <v>0</v>
      </c>
      <c r="DG621" s="675">
        <f t="shared" si="14311"/>
        <v>0</v>
      </c>
      <c r="DH621" s="549">
        <f t="shared" si="14311"/>
        <v>0</v>
      </c>
      <c r="DI621" s="675">
        <f t="shared" si="14311"/>
        <v>0</v>
      </c>
      <c r="DJ621" s="549">
        <f t="shared" ref="DJ621:DY621" si="14312">SUM(DJ622:DJ623)</f>
        <v>0</v>
      </c>
      <c r="DK621" s="675">
        <f t="shared" si="14312"/>
        <v>0</v>
      </c>
      <c r="DL621" s="549">
        <f t="shared" si="14312"/>
        <v>0</v>
      </c>
      <c r="DM621" s="675">
        <f t="shared" si="14312"/>
        <v>0</v>
      </c>
      <c r="DN621" s="549">
        <f t="shared" si="14312"/>
        <v>0</v>
      </c>
      <c r="DO621" s="675">
        <f t="shared" si="14312"/>
        <v>0</v>
      </c>
      <c r="DP621" s="549">
        <f t="shared" si="14312"/>
        <v>0</v>
      </c>
      <c r="DQ621" s="675">
        <f t="shared" si="14312"/>
        <v>0</v>
      </c>
      <c r="DR621" s="549">
        <f t="shared" si="14312"/>
        <v>0</v>
      </c>
      <c r="DS621" s="675">
        <f t="shared" si="14312"/>
        <v>0</v>
      </c>
      <c r="DT621" s="549">
        <f t="shared" si="14312"/>
        <v>0</v>
      </c>
      <c r="DU621" s="675">
        <f t="shared" si="14312"/>
        <v>0</v>
      </c>
      <c r="DV621" s="549">
        <f t="shared" si="14312"/>
        <v>0</v>
      </c>
      <c r="DW621" s="675">
        <f t="shared" si="14312"/>
        <v>0</v>
      </c>
      <c r="DX621" s="549">
        <f t="shared" si="14312"/>
        <v>0</v>
      </c>
      <c r="DY621" s="675">
        <f t="shared" si="14312"/>
        <v>0</v>
      </c>
      <c r="DZ621" s="549">
        <f t="shared" ref="DZ621:EU621" si="14313">SUM(DZ622:DZ623)</f>
        <v>0</v>
      </c>
      <c r="EA621" s="675">
        <f t="shared" si="14313"/>
        <v>0</v>
      </c>
      <c r="EB621" s="549">
        <f t="shared" si="14313"/>
        <v>0</v>
      </c>
      <c r="EC621" s="675">
        <f t="shared" si="14313"/>
        <v>0</v>
      </c>
      <c r="ED621" s="549">
        <f t="shared" si="14313"/>
        <v>0</v>
      </c>
      <c r="EE621" s="675">
        <f t="shared" si="14313"/>
        <v>0</v>
      </c>
      <c r="EF621" s="549">
        <f t="shared" si="14313"/>
        <v>0</v>
      </c>
      <c r="EG621" s="675">
        <f t="shared" si="14313"/>
        <v>0</v>
      </c>
      <c r="EH621" s="549">
        <f t="shared" ref="EH621:EM621" si="14314">SUM(EH622:EH623)</f>
        <v>0</v>
      </c>
      <c r="EI621" s="675">
        <f t="shared" si="14314"/>
        <v>0</v>
      </c>
      <c r="EJ621" s="549">
        <f t="shared" si="14314"/>
        <v>0</v>
      </c>
      <c r="EK621" s="675">
        <f t="shared" si="14314"/>
        <v>0</v>
      </c>
      <c r="EL621" s="549">
        <f t="shared" si="14314"/>
        <v>0</v>
      </c>
      <c r="EM621" s="675">
        <f t="shared" si="14314"/>
        <v>0</v>
      </c>
      <c r="EN621" s="549">
        <f t="shared" si="14313"/>
        <v>0</v>
      </c>
      <c r="EO621" s="675">
        <f t="shared" si="14313"/>
        <v>0</v>
      </c>
      <c r="EP621" s="549">
        <f t="shared" si="14313"/>
        <v>0</v>
      </c>
      <c r="EQ621" s="675">
        <f t="shared" si="14313"/>
        <v>0</v>
      </c>
      <c r="ER621" s="549">
        <f t="shared" si="14313"/>
        <v>0</v>
      </c>
      <c r="ES621" s="675">
        <f t="shared" si="14313"/>
        <v>0</v>
      </c>
      <c r="ET621" s="549">
        <f t="shared" si="14313"/>
        <v>0</v>
      </c>
      <c r="EU621" s="675">
        <f t="shared" si="14313"/>
        <v>0</v>
      </c>
      <c r="EV621" s="549">
        <f t="shared" ref="EV621:FE621" si="14315">SUM(EV622:EV623)</f>
        <v>0</v>
      </c>
      <c r="EW621" s="675">
        <f t="shared" si="14315"/>
        <v>0</v>
      </c>
      <c r="EX621" s="549">
        <f t="shared" si="14315"/>
        <v>0</v>
      </c>
      <c r="EY621" s="675">
        <f t="shared" si="14315"/>
        <v>0</v>
      </c>
      <c r="EZ621" s="549">
        <f t="shared" si="14315"/>
        <v>0</v>
      </c>
      <c r="FA621" s="675">
        <f t="shared" si="14315"/>
        <v>0</v>
      </c>
      <c r="FB621" s="549">
        <f t="shared" si="14315"/>
        <v>0</v>
      </c>
      <c r="FC621" s="675">
        <f t="shared" si="14315"/>
        <v>0</v>
      </c>
      <c r="FD621" s="549">
        <f t="shared" si="14315"/>
        <v>0</v>
      </c>
      <c r="FE621" s="675">
        <f t="shared" si="14315"/>
        <v>0</v>
      </c>
      <c r="FF621" s="549">
        <f t="shared" ref="FF621:FG621" si="14316">SUM(FF622:FF623)</f>
        <v>0</v>
      </c>
      <c r="FG621" s="675">
        <f t="shared" si="14316"/>
        <v>0</v>
      </c>
      <c r="FH621" s="549">
        <f t="shared" ref="FH621:FI621" si="14317">SUM(FH622:FH623)</f>
        <v>0</v>
      </c>
      <c r="FI621" s="675">
        <f t="shared" si="14317"/>
        <v>0</v>
      </c>
      <c r="FJ621" s="549">
        <f t="shared" ref="FJ621:FK621" si="14318">SUM(FJ622:FJ623)</f>
        <v>0</v>
      </c>
      <c r="FK621" s="675">
        <f t="shared" si="14318"/>
        <v>0</v>
      </c>
      <c r="FL621" s="549">
        <f t="shared" ref="FL621:FM621" si="14319">SUM(FL622:FL623)</f>
        <v>0</v>
      </c>
      <c r="FM621" s="675">
        <f t="shared" si="14319"/>
        <v>0</v>
      </c>
      <c r="FN621" s="549">
        <f t="shared" ref="FN621:FO621" si="14320">SUM(FN622:FN623)</f>
        <v>0</v>
      </c>
      <c r="FO621" s="675">
        <f t="shared" si="14320"/>
        <v>0</v>
      </c>
      <c r="FP621" s="549">
        <f t="shared" ref="FP621:FQ621" si="14321">SUM(FP622:FP623)</f>
        <v>0</v>
      </c>
      <c r="FQ621" s="675">
        <f t="shared" si="14321"/>
        <v>0</v>
      </c>
      <c r="FR621" s="549">
        <f t="shared" ref="FR621:FS621" si="14322">SUM(FR622:FR623)</f>
        <v>0</v>
      </c>
      <c r="FS621" s="675">
        <f t="shared" si="14322"/>
        <v>0</v>
      </c>
      <c r="FT621" s="549">
        <f t="shared" ref="FT621:FU621" si="14323">SUM(FT622:FT623)</f>
        <v>0</v>
      </c>
      <c r="FU621" s="675">
        <f t="shared" si="14323"/>
        <v>0</v>
      </c>
      <c r="FV621" s="549">
        <f t="shared" ref="FV621:GK621" si="14324">SUM(FV622:FV623)</f>
        <v>0</v>
      </c>
      <c r="FW621" s="675">
        <f t="shared" si="14324"/>
        <v>0</v>
      </c>
      <c r="FX621" s="549">
        <f t="shared" si="14324"/>
        <v>0</v>
      </c>
      <c r="FY621" s="675">
        <f t="shared" si="14324"/>
        <v>0</v>
      </c>
      <c r="FZ621" s="549">
        <f t="shared" ref="FZ621:GI621" si="14325">SUM(FZ622:FZ623)</f>
        <v>0</v>
      </c>
      <c r="GA621" s="675">
        <f t="shared" si="14325"/>
        <v>0</v>
      </c>
      <c r="GB621" s="549">
        <f t="shared" si="14325"/>
        <v>0</v>
      </c>
      <c r="GC621" s="675">
        <f t="shared" si="14325"/>
        <v>0</v>
      </c>
      <c r="GD621" s="549">
        <f t="shared" si="14325"/>
        <v>0</v>
      </c>
      <c r="GE621" s="675">
        <f t="shared" si="14325"/>
        <v>0</v>
      </c>
      <c r="GF621" s="549">
        <f t="shared" si="14325"/>
        <v>0</v>
      </c>
      <c r="GG621" s="675">
        <f t="shared" si="14325"/>
        <v>0</v>
      </c>
      <c r="GH621" s="549">
        <f t="shared" si="14325"/>
        <v>0</v>
      </c>
      <c r="GI621" s="675">
        <f t="shared" si="14325"/>
        <v>0</v>
      </c>
      <c r="GJ621" s="549">
        <f t="shared" si="14324"/>
        <v>0</v>
      </c>
      <c r="GK621" s="675">
        <f t="shared" si="14324"/>
        <v>0</v>
      </c>
      <c r="GL621" s="549">
        <f t="shared" ref="GL621:GM621" si="14326">SUM(GL622:GL623)</f>
        <v>0</v>
      </c>
      <c r="GM621" s="675">
        <f t="shared" si="14326"/>
        <v>0</v>
      </c>
      <c r="GN621" s="549">
        <f t="shared" ref="GN621:GO621" si="14327">SUM(GN622:GN623)</f>
        <v>0</v>
      </c>
      <c r="GO621" s="675">
        <f t="shared" si="14327"/>
        <v>0</v>
      </c>
      <c r="GP621" s="549">
        <f t="shared" ref="GP621:JA621" si="14328">SUM(GP622:GP623)</f>
        <v>299968</v>
      </c>
      <c r="GQ621" s="675">
        <f t="shared" si="14328"/>
        <v>0</v>
      </c>
      <c r="GR621" s="74">
        <f t="shared" si="14328"/>
        <v>799968</v>
      </c>
      <c r="GS621" s="74">
        <f t="shared" si="14328"/>
        <v>754514</v>
      </c>
      <c r="GT621" s="549">
        <f t="shared" si="14328"/>
        <v>799968</v>
      </c>
      <c r="GU621" s="74">
        <f t="shared" si="14328"/>
        <v>45460</v>
      </c>
      <c r="GV621" s="74">
        <f t="shared" si="14328"/>
        <v>45454</v>
      </c>
      <c r="GW621" s="549">
        <f t="shared" si="14328"/>
        <v>45454</v>
      </c>
      <c r="GX621" s="549">
        <f t="shared" si="14328"/>
        <v>45454</v>
      </c>
      <c r="GY621" s="74">
        <f t="shared" si="14328"/>
        <v>45454</v>
      </c>
      <c r="GZ621" s="74">
        <f t="shared" si="14328"/>
        <v>45454</v>
      </c>
      <c r="HA621" s="74">
        <f t="shared" si="14328"/>
        <v>45454</v>
      </c>
      <c r="HB621" s="74">
        <f t="shared" si="14328"/>
        <v>45454</v>
      </c>
      <c r="HC621" s="74">
        <f t="shared" si="14328"/>
        <v>45454</v>
      </c>
      <c r="HD621" s="74">
        <f t="shared" si="14328"/>
        <v>45454</v>
      </c>
      <c r="HE621" s="74">
        <f t="shared" si="14328"/>
        <v>45454</v>
      </c>
      <c r="HF621" s="74">
        <f t="shared" si="14328"/>
        <v>0</v>
      </c>
      <c r="HG621" s="74">
        <f t="shared" si="14328"/>
        <v>799968</v>
      </c>
      <c r="HH621" s="74">
        <f t="shared" ref="HH621:HI621" si="14329">SUM(HH622:HH623)</f>
        <v>12068.52</v>
      </c>
      <c r="HI621" s="792">
        <f t="shared" si="14329"/>
        <v>0</v>
      </c>
      <c r="HJ621" s="74">
        <f t="shared" ref="HJ621:HK621" si="14330">SUM(HJ622:HJ623)</f>
        <v>66776.960000000006</v>
      </c>
      <c r="HK621" s="792">
        <f t="shared" si="14330"/>
        <v>0</v>
      </c>
      <c r="HL621" s="74">
        <f t="shared" ref="HL621:HM621" si="14331">SUM(HL622:HL623)</f>
        <v>57522.52</v>
      </c>
      <c r="HM621" s="792">
        <f t="shared" si="14331"/>
        <v>0</v>
      </c>
      <c r="HN621" s="74">
        <f t="shared" ref="HN621:HO621" si="14332">SUM(HN622:HN623)</f>
        <v>45454</v>
      </c>
      <c r="HO621" s="792">
        <f t="shared" si="14332"/>
        <v>0</v>
      </c>
      <c r="HP621" s="74">
        <f t="shared" ref="HP621:HQ621" si="14333">SUM(HP622:HP623)</f>
        <v>45454</v>
      </c>
      <c r="HQ621" s="792">
        <f t="shared" si="14333"/>
        <v>0</v>
      </c>
      <c r="HR621" s="74">
        <f t="shared" ref="HR621:HS621" si="14334">SUM(HR622:HR623)</f>
        <v>45454</v>
      </c>
      <c r="HS621" s="792">
        <f t="shared" si="14334"/>
        <v>0</v>
      </c>
      <c r="HT621" s="74">
        <f t="shared" ref="HT621:HU621" si="14335">SUM(HT622:HT623)</f>
        <v>45454</v>
      </c>
      <c r="HU621" s="792">
        <f t="shared" si="14335"/>
        <v>0</v>
      </c>
      <c r="HV621" s="74">
        <f t="shared" ref="HV621:HW621" si="14336">SUM(HV622:HV623)</f>
        <v>481784</v>
      </c>
      <c r="HW621" s="792">
        <f t="shared" si="14336"/>
        <v>0</v>
      </c>
      <c r="HX621" s="74">
        <f t="shared" ref="HX621:HY621" si="14337">SUM(HX622:HX623)</f>
        <v>0</v>
      </c>
      <c r="HY621" s="792">
        <f t="shared" si="14337"/>
        <v>0</v>
      </c>
      <c r="HZ621" s="74">
        <f t="shared" ref="HZ621:IA621" si="14338">SUM(HZ622:HZ623)</f>
        <v>0</v>
      </c>
      <c r="IA621" s="792">
        <f t="shared" si="14338"/>
        <v>0</v>
      </c>
      <c r="IB621" s="74">
        <f t="shared" ref="IB621:IC621" si="14339">SUM(IB622:IB623)</f>
        <v>0</v>
      </c>
      <c r="IC621" s="792">
        <f t="shared" si="14339"/>
        <v>0</v>
      </c>
      <c r="ID621" s="74">
        <f t="shared" si="14328"/>
        <v>0</v>
      </c>
      <c r="IE621" s="792">
        <f t="shared" si="14328"/>
        <v>0</v>
      </c>
      <c r="IF621" s="841">
        <f t="shared" si="14328"/>
        <v>528807.51</v>
      </c>
      <c r="IG621" s="263">
        <f t="shared" si="14328"/>
        <v>528807.51</v>
      </c>
      <c r="IH621" s="842">
        <f t="shared" si="14328"/>
        <v>528807.51</v>
      </c>
      <c r="II621" s="74">
        <f t="shared" si="14328"/>
        <v>3634.49</v>
      </c>
      <c r="IJ621" s="74">
        <f t="shared" si="14328"/>
        <v>3634.49</v>
      </c>
      <c r="IK621" s="74">
        <f t="shared" si="14328"/>
        <v>3634.49</v>
      </c>
      <c r="IL621" s="74">
        <f t="shared" si="14328"/>
        <v>7059.3899999999994</v>
      </c>
      <c r="IM621" s="74">
        <f t="shared" si="14328"/>
        <v>7059.3899999999994</v>
      </c>
      <c r="IN621" s="74">
        <f t="shared" si="14328"/>
        <v>7059.3899999999994</v>
      </c>
      <c r="IO621" s="74">
        <f t="shared" si="14328"/>
        <v>6678.8600000000024</v>
      </c>
      <c r="IP621" s="74">
        <f t="shared" si="14328"/>
        <v>6678.8600000000024</v>
      </c>
      <c r="IQ621" s="74">
        <f t="shared" si="14328"/>
        <v>6678.8600000000024</v>
      </c>
      <c r="IR621" s="74">
        <f t="shared" si="14328"/>
        <v>28993.209999999995</v>
      </c>
      <c r="IS621" s="74">
        <f t="shared" si="14328"/>
        <v>28993.209999999995</v>
      </c>
      <c r="IT621" s="74">
        <f t="shared" si="14328"/>
        <v>28993.209999999995</v>
      </c>
      <c r="IU621" s="74">
        <f t="shared" si="14328"/>
        <v>38647.17</v>
      </c>
      <c r="IV621" s="74">
        <f t="shared" si="14328"/>
        <v>38647.17</v>
      </c>
      <c r="IW621" s="74">
        <f t="shared" si="14328"/>
        <v>38647.17</v>
      </c>
      <c r="IX621" s="74">
        <f t="shared" si="14328"/>
        <v>147936.51</v>
      </c>
      <c r="IY621" s="74">
        <f t="shared" si="14328"/>
        <v>147936.51</v>
      </c>
      <c r="IZ621" s="74">
        <f t="shared" si="14328"/>
        <v>147936.51</v>
      </c>
      <c r="JA621" s="74">
        <f t="shared" si="14328"/>
        <v>61015</v>
      </c>
      <c r="JB621" s="74">
        <f t="shared" ref="JB621:JC621" si="14340">SUM(JB622:JB623)</f>
        <v>61015</v>
      </c>
      <c r="JC621" s="74">
        <f t="shared" si="14340"/>
        <v>61015</v>
      </c>
      <c r="JD621" s="74">
        <f t="shared" ref="JD621:JF621" si="14341">SUM(JD622:JD623)</f>
        <v>76944.13</v>
      </c>
      <c r="JE621" s="74">
        <f t="shared" si="14341"/>
        <v>76944.13</v>
      </c>
      <c r="JF621" s="74">
        <f t="shared" si="14341"/>
        <v>76944.13</v>
      </c>
      <c r="JG621" s="74">
        <f t="shared" ref="JG621:JI621" si="14342">SUM(JG622:JG623)</f>
        <v>104558.26000000001</v>
      </c>
      <c r="JH621" s="74">
        <f t="shared" si="14342"/>
        <v>104558.26000000001</v>
      </c>
      <c r="JI621" s="74">
        <f t="shared" si="14342"/>
        <v>104558.26000000001</v>
      </c>
      <c r="JJ621" s="74">
        <f t="shared" ref="JJ621:JL621" si="14343">SUM(JJ622:JJ623)</f>
        <v>53340.489999999991</v>
      </c>
      <c r="JK621" s="74">
        <f t="shared" si="14343"/>
        <v>53340.489999999991</v>
      </c>
      <c r="JL621" s="74">
        <f t="shared" si="14343"/>
        <v>53340.489999999991</v>
      </c>
      <c r="JM621" s="74">
        <f t="shared" ref="JM621:JO621" si="14344">SUM(JM622:JM623)</f>
        <v>0</v>
      </c>
      <c r="JN621" s="74">
        <f t="shared" si="14344"/>
        <v>0</v>
      </c>
      <c r="JO621" s="74">
        <f t="shared" si="14344"/>
        <v>0</v>
      </c>
      <c r="JP621" s="74">
        <f t="shared" ref="JP621:JY621" si="14345">SUM(JP622:JP623)</f>
        <v>0</v>
      </c>
      <c r="JQ621" s="74">
        <f t="shared" si="14345"/>
        <v>0</v>
      </c>
      <c r="JR621" s="74">
        <f t="shared" si="14345"/>
        <v>0</v>
      </c>
      <c r="JS621" s="74">
        <f t="shared" si="14345"/>
        <v>271160.49</v>
      </c>
      <c r="JT621" s="382">
        <f t="shared" si="14345"/>
        <v>225706.49</v>
      </c>
      <c r="JU621" s="665"/>
      <c r="JV621" s="524"/>
      <c r="JW621" s="525"/>
      <c r="JX621" s="549">
        <f t="shared" si="14345"/>
        <v>799968</v>
      </c>
      <c r="JY621" s="549">
        <f t="shared" si="14345"/>
        <v>0</v>
      </c>
      <c r="JZ621" s="581">
        <f t="shared" si="13477"/>
        <v>299968</v>
      </c>
      <c r="KA621" s="581">
        <f t="shared" si="13478"/>
        <v>0</v>
      </c>
      <c r="KB621" s="549">
        <f t="shared" si="14040"/>
        <v>799968</v>
      </c>
      <c r="KC621" s="709">
        <f t="shared" si="13396"/>
        <v>0</v>
      </c>
      <c r="KD621" s="36"/>
      <c r="KE621" s="36"/>
      <c r="KF621" s="36"/>
      <c r="KG621" s="36"/>
      <c r="KH621" s="36"/>
      <c r="KI621" s="36"/>
      <c r="KJ621" s="36"/>
      <c r="KK621" s="36"/>
    </row>
    <row r="622" spans="1:297" s="8" customFormat="1" ht="12.75" hidden="1" customHeight="1">
      <c r="A622" s="86" t="s">
        <v>709</v>
      </c>
      <c r="B622" s="72"/>
      <c r="C622" s="74">
        <v>0</v>
      </c>
      <c r="D622" s="549">
        <v>0</v>
      </c>
      <c r="E622" s="675">
        <v>0</v>
      </c>
      <c r="F622" s="549">
        <v>0</v>
      </c>
      <c r="G622" s="675">
        <v>0</v>
      </c>
      <c r="H622" s="549">
        <v>0</v>
      </c>
      <c r="I622" s="675">
        <v>0</v>
      </c>
      <c r="J622" s="549">
        <v>0</v>
      </c>
      <c r="K622" s="675">
        <v>0</v>
      </c>
      <c r="L622" s="549">
        <v>0</v>
      </c>
      <c r="M622" s="675">
        <v>0</v>
      </c>
      <c r="N622" s="549">
        <v>0</v>
      </c>
      <c r="O622" s="675">
        <v>0</v>
      </c>
      <c r="P622" s="549">
        <v>0</v>
      </c>
      <c r="Q622" s="675">
        <v>0</v>
      </c>
      <c r="R622" s="549">
        <v>0</v>
      </c>
      <c r="S622" s="675">
        <v>0</v>
      </c>
      <c r="T622" s="549">
        <v>0</v>
      </c>
      <c r="U622" s="675">
        <v>0</v>
      </c>
      <c r="V622" s="549">
        <v>0</v>
      </c>
      <c r="W622" s="675">
        <v>0</v>
      </c>
      <c r="X622" s="549">
        <v>0</v>
      </c>
      <c r="Y622" s="675">
        <v>0</v>
      </c>
      <c r="Z622" s="549">
        <v>0</v>
      </c>
      <c r="AA622" s="675">
        <v>0</v>
      </c>
      <c r="AB622" s="549">
        <v>0</v>
      </c>
      <c r="AC622" s="675">
        <v>0</v>
      </c>
      <c r="AD622" s="549">
        <v>0</v>
      </c>
      <c r="AE622" s="675">
        <v>0</v>
      </c>
      <c r="AF622" s="549">
        <v>0</v>
      </c>
      <c r="AG622" s="675">
        <v>0</v>
      </c>
      <c r="AH622" s="549">
        <v>0</v>
      </c>
      <c r="AI622" s="675">
        <v>0</v>
      </c>
      <c r="AJ622" s="549">
        <v>0</v>
      </c>
      <c r="AK622" s="675">
        <v>0</v>
      </c>
      <c r="AL622" s="549">
        <v>0</v>
      </c>
      <c r="AM622" s="675">
        <v>0</v>
      </c>
      <c r="AN622" s="549">
        <v>0</v>
      </c>
      <c r="AO622" s="675">
        <v>0</v>
      </c>
      <c r="AP622" s="549">
        <v>0</v>
      </c>
      <c r="AQ622" s="675">
        <v>0</v>
      </c>
      <c r="AR622" s="549">
        <v>0</v>
      </c>
      <c r="AS622" s="675">
        <v>0</v>
      </c>
      <c r="AT622" s="549">
        <v>0</v>
      </c>
      <c r="AU622" s="675">
        <v>0</v>
      </c>
      <c r="AV622" s="549">
        <v>0</v>
      </c>
      <c r="AW622" s="675">
        <v>0</v>
      </c>
      <c r="AX622" s="549">
        <v>0</v>
      </c>
      <c r="AY622" s="675">
        <v>0</v>
      </c>
      <c r="AZ622" s="549">
        <v>0</v>
      </c>
      <c r="BA622" s="675">
        <v>0</v>
      </c>
      <c r="BB622" s="549">
        <v>0</v>
      </c>
      <c r="BC622" s="675">
        <v>0</v>
      </c>
      <c r="BD622" s="549">
        <v>0</v>
      </c>
      <c r="BE622" s="675">
        <v>0</v>
      </c>
      <c r="BF622" s="549">
        <v>0</v>
      </c>
      <c r="BG622" s="675">
        <v>0</v>
      </c>
      <c r="BH622" s="549">
        <v>0</v>
      </c>
      <c r="BI622" s="675">
        <v>0</v>
      </c>
      <c r="BJ622" s="549">
        <v>0</v>
      </c>
      <c r="BK622" s="675">
        <v>0</v>
      </c>
      <c r="BL622" s="549">
        <v>0</v>
      </c>
      <c r="BM622" s="675">
        <v>0</v>
      </c>
      <c r="BN622" s="549">
        <v>0</v>
      </c>
      <c r="BO622" s="675">
        <v>0</v>
      </c>
      <c r="BP622" s="549">
        <v>0</v>
      </c>
      <c r="BQ622" s="675">
        <v>0</v>
      </c>
      <c r="BR622" s="549">
        <v>0</v>
      </c>
      <c r="BS622" s="675">
        <v>0</v>
      </c>
      <c r="BT622" s="549">
        <v>0</v>
      </c>
      <c r="BU622" s="675">
        <v>0</v>
      </c>
      <c r="BV622" s="549">
        <v>0</v>
      </c>
      <c r="BW622" s="675">
        <v>0</v>
      </c>
      <c r="BX622" s="549">
        <v>0</v>
      </c>
      <c r="BY622" s="675">
        <v>0</v>
      </c>
      <c r="BZ622" s="549">
        <v>0</v>
      </c>
      <c r="CA622" s="675">
        <v>0</v>
      </c>
      <c r="CB622" s="549">
        <v>0</v>
      </c>
      <c r="CC622" s="675">
        <v>0</v>
      </c>
      <c r="CD622" s="549">
        <v>0</v>
      </c>
      <c r="CE622" s="675">
        <v>0</v>
      </c>
      <c r="CF622" s="549">
        <v>0</v>
      </c>
      <c r="CG622" s="675">
        <v>0</v>
      </c>
      <c r="CH622" s="549">
        <v>0</v>
      </c>
      <c r="CI622" s="675">
        <v>0</v>
      </c>
      <c r="CJ622" s="549">
        <v>0</v>
      </c>
      <c r="CK622" s="675">
        <v>0</v>
      </c>
      <c r="CL622" s="549">
        <v>0</v>
      </c>
      <c r="CM622" s="675">
        <v>0</v>
      </c>
      <c r="CN622" s="549">
        <v>0</v>
      </c>
      <c r="CO622" s="675">
        <v>0</v>
      </c>
      <c r="CP622" s="549">
        <v>0</v>
      </c>
      <c r="CQ622" s="675">
        <v>0</v>
      </c>
      <c r="CR622" s="549">
        <v>0</v>
      </c>
      <c r="CS622" s="675">
        <v>0</v>
      </c>
      <c r="CT622" s="549">
        <v>0</v>
      </c>
      <c r="CU622" s="675">
        <v>0</v>
      </c>
      <c r="CV622" s="549">
        <v>0</v>
      </c>
      <c r="CW622" s="675">
        <v>0</v>
      </c>
      <c r="CX622" s="549">
        <v>0</v>
      </c>
      <c r="CY622" s="675">
        <v>0</v>
      </c>
      <c r="CZ622" s="549">
        <v>0</v>
      </c>
      <c r="DA622" s="675">
        <v>0</v>
      </c>
      <c r="DB622" s="549">
        <v>0</v>
      </c>
      <c r="DC622" s="675">
        <v>0</v>
      </c>
      <c r="DD622" s="549">
        <v>0</v>
      </c>
      <c r="DE622" s="675">
        <v>0</v>
      </c>
      <c r="DF622" s="549">
        <v>0</v>
      </c>
      <c r="DG622" s="675">
        <v>0</v>
      </c>
      <c r="DH622" s="549">
        <v>0</v>
      </c>
      <c r="DI622" s="675">
        <v>0</v>
      </c>
      <c r="DJ622" s="549">
        <v>0</v>
      </c>
      <c r="DK622" s="675">
        <v>0</v>
      </c>
      <c r="DL622" s="549">
        <v>0</v>
      </c>
      <c r="DM622" s="675">
        <v>0</v>
      </c>
      <c r="DN622" s="549">
        <v>0</v>
      </c>
      <c r="DO622" s="675">
        <v>0</v>
      </c>
      <c r="DP622" s="549">
        <v>0</v>
      </c>
      <c r="DQ622" s="675">
        <v>0</v>
      </c>
      <c r="DR622" s="549">
        <v>0</v>
      </c>
      <c r="DS622" s="675">
        <v>0</v>
      </c>
      <c r="DT622" s="549">
        <v>0</v>
      </c>
      <c r="DU622" s="675">
        <v>0</v>
      </c>
      <c r="DV622" s="549">
        <v>0</v>
      </c>
      <c r="DW622" s="675">
        <v>0</v>
      </c>
      <c r="DX622" s="549">
        <v>0</v>
      </c>
      <c r="DY622" s="675">
        <v>0</v>
      </c>
      <c r="DZ622" s="549">
        <v>0</v>
      </c>
      <c r="EA622" s="675">
        <v>0</v>
      </c>
      <c r="EB622" s="549">
        <v>0</v>
      </c>
      <c r="EC622" s="675">
        <v>0</v>
      </c>
      <c r="ED622" s="549">
        <v>0</v>
      </c>
      <c r="EE622" s="675">
        <v>0</v>
      </c>
      <c r="EF622" s="549">
        <v>0</v>
      </c>
      <c r="EG622" s="675">
        <v>0</v>
      </c>
      <c r="EH622" s="549">
        <v>0</v>
      </c>
      <c r="EI622" s="675">
        <v>0</v>
      </c>
      <c r="EJ622" s="549">
        <v>0</v>
      </c>
      <c r="EK622" s="675">
        <v>0</v>
      </c>
      <c r="EL622" s="549">
        <v>0</v>
      </c>
      <c r="EM622" s="675">
        <v>0</v>
      </c>
      <c r="EN622" s="549">
        <v>0</v>
      </c>
      <c r="EO622" s="675">
        <v>0</v>
      </c>
      <c r="EP622" s="549">
        <v>0</v>
      </c>
      <c r="EQ622" s="675">
        <v>0</v>
      </c>
      <c r="ER622" s="549">
        <v>0</v>
      </c>
      <c r="ES622" s="675">
        <v>0</v>
      </c>
      <c r="ET622" s="549">
        <v>0</v>
      </c>
      <c r="EU622" s="675">
        <v>0</v>
      </c>
      <c r="EV622" s="549">
        <v>0</v>
      </c>
      <c r="EW622" s="675">
        <v>0</v>
      </c>
      <c r="EX622" s="549">
        <v>0</v>
      </c>
      <c r="EY622" s="675">
        <v>0</v>
      </c>
      <c r="EZ622" s="549">
        <v>0</v>
      </c>
      <c r="FA622" s="675">
        <v>0</v>
      </c>
      <c r="FB622" s="549">
        <v>0</v>
      </c>
      <c r="FC622" s="675">
        <v>0</v>
      </c>
      <c r="FD622" s="549">
        <v>0</v>
      </c>
      <c r="FE622" s="675">
        <v>0</v>
      </c>
      <c r="FF622" s="549">
        <v>0</v>
      </c>
      <c r="FG622" s="675">
        <v>0</v>
      </c>
      <c r="FH622" s="549">
        <v>0</v>
      </c>
      <c r="FI622" s="675">
        <v>0</v>
      </c>
      <c r="FJ622" s="549">
        <v>0</v>
      </c>
      <c r="FK622" s="675">
        <v>0</v>
      </c>
      <c r="FL622" s="549">
        <v>0</v>
      </c>
      <c r="FM622" s="675">
        <v>0</v>
      </c>
      <c r="FN622" s="549">
        <v>0</v>
      </c>
      <c r="FO622" s="675">
        <v>0</v>
      </c>
      <c r="FP622" s="549">
        <v>0</v>
      </c>
      <c r="FQ622" s="675">
        <v>0</v>
      </c>
      <c r="FR622" s="549">
        <v>0</v>
      </c>
      <c r="FS622" s="675">
        <v>0</v>
      </c>
      <c r="FT622" s="549">
        <v>0</v>
      </c>
      <c r="FU622" s="675">
        <v>0</v>
      </c>
      <c r="FV622" s="549">
        <v>0</v>
      </c>
      <c r="FW622" s="675">
        <v>0</v>
      </c>
      <c r="FX622" s="549">
        <v>0</v>
      </c>
      <c r="FY622" s="675">
        <v>0</v>
      </c>
      <c r="FZ622" s="549">
        <v>0</v>
      </c>
      <c r="GA622" s="675">
        <v>0</v>
      </c>
      <c r="GB622" s="549">
        <v>0</v>
      </c>
      <c r="GC622" s="675">
        <v>0</v>
      </c>
      <c r="GD622" s="549">
        <v>0</v>
      </c>
      <c r="GE622" s="675">
        <v>0</v>
      </c>
      <c r="GF622" s="549">
        <v>0</v>
      </c>
      <c r="GG622" s="675">
        <v>0</v>
      </c>
      <c r="GH622" s="549">
        <v>0</v>
      </c>
      <c r="GI622" s="675">
        <v>0</v>
      </c>
      <c r="GJ622" s="549">
        <v>0</v>
      </c>
      <c r="GK622" s="675">
        <v>0</v>
      </c>
      <c r="GL622" s="549">
        <v>0</v>
      </c>
      <c r="GM622" s="675">
        <v>0</v>
      </c>
      <c r="GN622" s="549">
        <v>0</v>
      </c>
      <c r="GO622" s="675">
        <v>0</v>
      </c>
      <c r="GP622" s="549">
        <f>+D622+F622+H622+J622+L622+N622+P622+R622+T622+V622+X622+Z622+AB622+AD622+AH622+AJ622+AL622+AN622+AP622+AR622+AT622+AV622+AX622+AZ622+BB622+BD622+BF622+BH622+BJ622+BL622+BN622+BP622+BR622+BT622+BV622+BX622+BZ622+CB622+CD622+CF622+CH622+CJ622+CL622+CN622+CP622+CR622+CT622+CV622+CX622+CZ622+DB622+DD622+DF622+DH622+DT622+EX622+DJ622+DL622+DN622+DP622+DR622+EJ622+EB622+DZ622+DX622+DV622+ED622+EF622+EH622+EL622+EN622+EP622+EV622+ET622+ER622+EZ622+FB622+FD622+GL622</f>
        <v>0</v>
      </c>
      <c r="GQ622" s="675">
        <f>+E622+G622+I622+K622+M622+O622+Q622+S622+U622+W622+Y622+AA622+AC622+AE622+AI622+AK622+AM622+AO622+AQ622+AS622+AU622+AW622+AY622+BA622+BC622+BE622+BG622+BI622+BK622+BM622+BO622+BQ622+BS622+BU622+BW622+BY622+CA622+CC622+CE622+CG622+CI622+CK622+CM622+CO622+CQ622+CS622+CU622+CW622+CY622+DA622+DC622+DE622+DG622+DI622+DU622+EY622+DK622+DM622+DO622+DQ622+DS622+EK622+EC622+EA622+DY622+DW622+EI622+EG622+EE622+EM622+EO622+EQ622+EW622+EU622+ES622+FA622+FC622+FE622+GM622</f>
        <v>0</v>
      </c>
      <c r="GR622" s="74">
        <f>C622+GP622+GQ622</f>
        <v>0</v>
      </c>
      <c r="GS622" s="74">
        <f t="shared" ref="GS622" si="14346">GU622</f>
        <v>0</v>
      </c>
      <c r="GT622" s="568">
        <f>SUM(GU622:HF622)+GQ622+GP622</f>
        <v>0</v>
      </c>
      <c r="GU622" s="275">
        <v>0</v>
      </c>
      <c r="GV622" s="275">
        <v>0</v>
      </c>
      <c r="GW622" s="588">
        <v>0</v>
      </c>
      <c r="GX622" s="588">
        <v>0</v>
      </c>
      <c r="GY622" s="275">
        <v>0</v>
      </c>
      <c r="GZ622" s="275">
        <v>0</v>
      </c>
      <c r="HA622" s="275">
        <v>0</v>
      </c>
      <c r="HB622" s="275">
        <v>0</v>
      </c>
      <c r="HC622" s="275">
        <v>0</v>
      </c>
      <c r="HD622" s="275">
        <v>0</v>
      </c>
      <c r="HE622" s="275">
        <v>0</v>
      </c>
      <c r="HF622" s="275">
        <v>0</v>
      </c>
      <c r="HG622" s="74">
        <f>SUM(HH622:IE622)</f>
        <v>0</v>
      </c>
      <c r="HH622" s="89">
        <v>0</v>
      </c>
      <c r="HI622" s="817">
        <v>0</v>
      </c>
      <c r="HJ622" s="89">
        <v>0</v>
      </c>
      <c r="HK622" s="817">
        <v>0</v>
      </c>
      <c r="HL622" s="89">
        <v>0</v>
      </c>
      <c r="HM622" s="817">
        <v>0</v>
      </c>
      <c r="HN622" s="89">
        <v>0</v>
      </c>
      <c r="HO622" s="817">
        <v>0</v>
      </c>
      <c r="HP622" s="89">
        <v>0</v>
      </c>
      <c r="HQ622" s="817">
        <v>0</v>
      </c>
      <c r="HR622" s="89">
        <v>0</v>
      </c>
      <c r="HS622" s="817">
        <v>0</v>
      </c>
      <c r="HT622" s="89">
        <v>0</v>
      </c>
      <c r="HU622" s="817">
        <v>0</v>
      </c>
      <c r="HV622" s="89">
        <v>0</v>
      </c>
      <c r="HW622" s="817">
        <v>0</v>
      </c>
      <c r="HX622" s="89">
        <v>0</v>
      </c>
      <c r="HY622" s="817">
        <v>0</v>
      </c>
      <c r="HZ622" s="89">
        <v>0</v>
      </c>
      <c r="IA622" s="817">
        <v>0</v>
      </c>
      <c r="IB622" s="89">
        <v>0</v>
      </c>
      <c r="IC622" s="817">
        <v>0</v>
      </c>
      <c r="ID622" s="89">
        <v>0</v>
      </c>
      <c r="IE622" s="817">
        <v>0</v>
      </c>
      <c r="IF622" s="841">
        <f t="shared" ref="IF622:IF623" si="14347">SUM(II622,IL622,IO622,IR622,IU622,IX622,JA622,JD622,JG622,JJ622,JM622,JP622)</f>
        <v>0</v>
      </c>
      <c r="IG622" s="263">
        <f t="shared" ref="IG622:IG623" si="14348">SUM(IJ622,IM622,IP622,IS622,IV622,IY622,JB622,JE622,JH622,JK622,JN622,JQ622)</f>
        <v>0</v>
      </c>
      <c r="IH622" s="842">
        <f t="shared" ref="IH622:IH623" si="14349">SUM(IK622,IN622,IQ622,IT622,IW622,IZ622,JC622,JF622,JI622,JL622,JO622,JR622)</f>
        <v>0</v>
      </c>
      <c r="II622" s="89">
        <v>0</v>
      </c>
      <c r="IJ622" s="89">
        <v>0</v>
      </c>
      <c r="IK622" s="89">
        <v>0</v>
      </c>
      <c r="IL622" s="89">
        <v>0</v>
      </c>
      <c r="IM622" s="89">
        <v>0</v>
      </c>
      <c r="IN622" s="89">
        <v>0</v>
      </c>
      <c r="IO622" s="89">
        <v>0</v>
      </c>
      <c r="IP622" s="89">
        <v>0</v>
      </c>
      <c r="IQ622" s="89">
        <v>0</v>
      </c>
      <c r="IR622" s="89">
        <v>0</v>
      </c>
      <c r="IS622" s="89">
        <v>0</v>
      </c>
      <c r="IT622" s="89">
        <v>0</v>
      </c>
      <c r="IU622" s="89">
        <v>0</v>
      </c>
      <c r="IV622" s="89">
        <v>0</v>
      </c>
      <c r="IW622" s="89">
        <v>0</v>
      </c>
      <c r="IX622" s="89">
        <v>0</v>
      </c>
      <c r="IY622" s="89">
        <v>0</v>
      </c>
      <c r="IZ622" s="89">
        <v>0</v>
      </c>
      <c r="JA622" s="89">
        <v>0</v>
      </c>
      <c r="JB622" s="89">
        <v>0</v>
      </c>
      <c r="JC622" s="89">
        <v>0</v>
      </c>
      <c r="JD622" s="89">
        <v>0</v>
      </c>
      <c r="JE622" s="89">
        <v>0</v>
      </c>
      <c r="JF622" s="89">
        <v>0</v>
      </c>
      <c r="JG622" s="89">
        <v>0</v>
      </c>
      <c r="JH622" s="89">
        <v>0</v>
      </c>
      <c r="JI622" s="89">
        <v>0</v>
      </c>
      <c r="JJ622" s="89">
        <v>0</v>
      </c>
      <c r="JK622" s="89">
        <v>0</v>
      </c>
      <c r="JL622" s="89">
        <v>0</v>
      </c>
      <c r="JM622" s="89">
        <v>0</v>
      </c>
      <c r="JN622" s="89">
        <v>0</v>
      </c>
      <c r="JO622" s="89">
        <v>0</v>
      </c>
      <c r="JP622" s="89">
        <v>0</v>
      </c>
      <c r="JQ622" s="89">
        <v>0</v>
      </c>
      <c r="JR622" s="89">
        <v>0</v>
      </c>
      <c r="JS622" s="74">
        <f>HG622-IF622</f>
        <v>0</v>
      </c>
      <c r="JT622" s="382">
        <f>GS622-IF622</f>
        <v>0</v>
      </c>
      <c r="JU622" s="665"/>
      <c r="JV622" s="524"/>
      <c r="JW622" s="525"/>
      <c r="JX622" s="549">
        <f>SUM(HH622,HJ622,HL622,HN622,HP622,HR622,HT622,HV622,HX622,HZ622,IB622,ID622)</f>
        <v>0</v>
      </c>
      <c r="JY622" s="549">
        <f>SUM(HI622,HK622,HM622,HO622,HQ622,HS622,HU622,HW622,HY622,IA622,IC622,IE622)</f>
        <v>0</v>
      </c>
      <c r="JZ622" s="581">
        <f t="shared" si="13477"/>
        <v>0</v>
      </c>
      <c r="KA622" s="581">
        <f t="shared" si="13478"/>
        <v>0</v>
      </c>
      <c r="KB622" s="549">
        <f t="shared" si="14040"/>
        <v>0</v>
      </c>
      <c r="KC622" s="709">
        <f t="shared" si="13396"/>
        <v>0</v>
      </c>
      <c r="KD622" s="36"/>
      <c r="KE622" s="36"/>
      <c r="KF622" s="36"/>
      <c r="KG622" s="36"/>
      <c r="KH622" s="36"/>
      <c r="KI622" s="36"/>
      <c r="KJ622" s="36"/>
      <c r="KK622" s="36"/>
    </row>
    <row r="623" spans="1:297" s="10" customFormat="1">
      <c r="A623" s="86" t="s">
        <v>469</v>
      </c>
      <c r="B623" s="77"/>
      <c r="C623" s="74">
        <v>500000</v>
      </c>
      <c r="D623" s="549">
        <v>0</v>
      </c>
      <c r="E623" s="675">
        <v>0</v>
      </c>
      <c r="F623" s="549">
        <v>0</v>
      </c>
      <c r="G623" s="675">
        <v>0</v>
      </c>
      <c r="H623" s="549">
        <v>0</v>
      </c>
      <c r="I623" s="675">
        <v>0</v>
      </c>
      <c r="J623" s="549">
        <v>0</v>
      </c>
      <c r="K623" s="675">
        <v>0</v>
      </c>
      <c r="L623" s="549">
        <v>0</v>
      </c>
      <c r="M623" s="675">
        <v>0</v>
      </c>
      <c r="N623" s="549">
        <v>0</v>
      </c>
      <c r="O623" s="675">
        <v>0</v>
      </c>
      <c r="P623" s="549">
        <v>0</v>
      </c>
      <c r="Q623" s="675">
        <v>0</v>
      </c>
      <c r="R623" s="549">
        <v>0</v>
      </c>
      <c r="S623" s="675">
        <v>0</v>
      </c>
      <c r="T623" s="549">
        <v>0</v>
      </c>
      <c r="U623" s="675">
        <v>0</v>
      </c>
      <c r="V623" s="549">
        <v>0</v>
      </c>
      <c r="W623" s="675">
        <v>0</v>
      </c>
      <c r="X623" s="549">
        <v>0</v>
      </c>
      <c r="Y623" s="675">
        <v>0</v>
      </c>
      <c r="Z623" s="549">
        <v>0</v>
      </c>
      <c r="AA623" s="675">
        <v>0</v>
      </c>
      <c r="AB623" s="549">
        <v>0</v>
      </c>
      <c r="AC623" s="675">
        <v>0</v>
      </c>
      <c r="AD623" s="549">
        <v>0</v>
      </c>
      <c r="AE623" s="675">
        <v>0</v>
      </c>
      <c r="AF623" s="549">
        <v>0</v>
      </c>
      <c r="AG623" s="675">
        <v>0</v>
      </c>
      <c r="AH623" s="549">
        <v>0</v>
      </c>
      <c r="AI623" s="675">
        <v>0</v>
      </c>
      <c r="AJ623" s="549">
        <v>0</v>
      </c>
      <c r="AK623" s="675">
        <v>0</v>
      </c>
      <c r="AL623" s="549">
        <v>0</v>
      </c>
      <c r="AM623" s="675">
        <v>0</v>
      </c>
      <c r="AN623" s="549">
        <v>0</v>
      </c>
      <c r="AO623" s="675">
        <v>0</v>
      </c>
      <c r="AP623" s="549">
        <v>0</v>
      </c>
      <c r="AQ623" s="675">
        <v>0</v>
      </c>
      <c r="AR623" s="549">
        <v>0</v>
      </c>
      <c r="AS623" s="675">
        <v>0</v>
      </c>
      <c r="AT623" s="549">
        <v>0</v>
      </c>
      <c r="AU623" s="675">
        <v>0</v>
      </c>
      <c r="AV623" s="549">
        <v>0</v>
      </c>
      <c r="AW623" s="675">
        <v>0</v>
      </c>
      <c r="AX623" s="549">
        <v>0</v>
      </c>
      <c r="AY623" s="675">
        <v>0</v>
      </c>
      <c r="AZ623" s="549">
        <v>0</v>
      </c>
      <c r="BA623" s="675">
        <v>0</v>
      </c>
      <c r="BB623" s="549">
        <v>0</v>
      </c>
      <c r="BC623" s="675">
        <v>0</v>
      </c>
      <c r="BD623" s="549">
        <v>0</v>
      </c>
      <c r="BE623" s="675">
        <v>0</v>
      </c>
      <c r="BF623" s="549">
        <v>0</v>
      </c>
      <c r="BG623" s="675">
        <v>0</v>
      </c>
      <c r="BH623" s="549">
        <v>0</v>
      </c>
      <c r="BI623" s="675">
        <v>0</v>
      </c>
      <c r="BJ623" s="549">
        <v>0</v>
      </c>
      <c r="BK623" s="675">
        <v>0</v>
      </c>
      <c r="BL623" s="549">
        <v>0</v>
      </c>
      <c r="BM623" s="675">
        <v>0</v>
      </c>
      <c r="BN623" s="549">
        <v>0</v>
      </c>
      <c r="BO623" s="675">
        <v>0</v>
      </c>
      <c r="BP623" s="549">
        <v>0</v>
      </c>
      <c r="BQ623" s="675">
        <v>0</v>
      </c>
      <c r="BR623" s="549">
        <v>0</v>
      </c>
      <c r="BS623" s="675">
        <v>0</v>
      </c>
      <c r="BT623" s="549">
        <v>0</v>
      </c>
      <c r="BU623" s="675">
        <v>0</v>
      </c>
      <c r="BV623" s="549">
        <v>0</v>
      </c>
      <c r="BW623" s="675">
        <v>0</v>
      </c>
      <c r="BX623" s="549">
        <v>0</v>
      </c>
      <c r="BY623" s="675">
        <v>0</v>
      </c>
      <c r="BZ623" s="549">
        <v>0</v>
      </c>
      <c r="CA623" s="675">
        <v>0</v>
      </c>
      <c r="CB623" s="549">
        <v>0</v>
      </c>
      <c r="CC623" s="675">
        <v>0</v>
      </c>
      <c r="CD623" s="549">
        <v>0</v>
      </c>
      <c r="CE623" s="675">
        <v>0</v>
      </c>
      <c r="CF623" s="549">
        <v>0</v>
      </c>
      <c r="CG623" s="675">
        <v>0</v>
      </c>
      <c r="CH623" s="549">
        <v>0</v>
      </c>
      <c r="CI623" s="675">
        <v>0</v>
      </c>
      <c r="CJ623" s="549">
        <v>299968</v>
      </c>
      <c r="CK623" s="675">
        <v>0</v>
      </c>
      <c r="CL623" s="549">
        <v>0</v>
      </c>
      <c r="CM623" s="675">
        <v>0</v>
      </c>
      <c r="CN623" s="549">
        <v>0</v>
      </c>
      <c r="CO623" s="675">
        <v>0</v>
      </c>
      <c r="CP623" s="549">
        <v>0</v>
      </c>
      <c r="CQ623" s="675">
        <v>0</v>
      </c>
      <c r="CR623" s="549">
        <v>0</v>
      </c>
      <c r="CS623" s="675">
        <v>0</v>
      </c>
      <c r="CT623" s="549">
        <v>0</v>
      </c>
      <c r="CU623" s="675">
        <v>0</v>
      </c>
      <c r="CV623" s="549">
        <v>0</v>
      </c>
      <c r="CW623" s="675">
        <v>0</v>
      </c>
      <c r="CX623" s="549">
        <v>0</v>
      </c>
      <c r="CY623" s="675">
        <v>0</v>
      </c>
      <c r="CZ623" s="549">
        <v>0</v>
      </c>
      <c r="DA623" s="675">
        <v>0</v>
      </c>
      <c r="DB623" s="549">
        <v>0</v>
      </c>
      <c r="DC623" s="675">
        <v>0</v>
      </c>
      <c r="DD623" s="549">
        <v>0</v>
      </c>
      <c r="DE623" s="675">
        <v>0</v>
      </c>
      <c r="DF623" s="549">
        <v>0</v>
      </c>
      <c r="DG623" s="675">
        <v>0</v>
      </c>
      <c r="DH623" s="549">
        <v>0</v>
      </c>
      <c r="DI623" s="675">
        <v>0</v>
      </c>
      <c r="DJ623" s="549">
        <v>0</v>
      </c>
      <c r="DK623" s="675">
        <v>0</v>
      </c>
      <c r="DL623" s="549">
        <v>0</v>
      </c>
      <c r="DM623" s="675">
        <v>0</v>
      </c>
      <c r="DN623" s="549">
        <v>0</v>
      </c>
      <c r="DO623" s="675">
        <v>0</v>
      </c>
      <c r="DP623" s="549">
        <v>0</v>
      </c>
      <c r="DQ623" s="675">
        <v>0</v>
      </c>
      <c r="DR623" s="549">
        <v>0</v>
      </c>
      <c r="DS623" s="675">
        <v>0</v>
      </c>
      <c r="DT623" s="549">
        <v>0</v>
      </c>
      <c r="DU623" s="675">
        <v>0</v>
      </c>
      <c r="DV623" s="549">
        <v>0</v>
      </c>
      <c r="DW623" s="675">
        <v>0</v>
      </c>
      <c r="DX623" s="549">
        <v>0</v>
      </c>
      <c r="DY623" s="675">
        <v>0</v>
      </c>
      <c r="DZ623" s="549">
        <v>0</v>
      </c>
      <c r="EA623" s="675">
        <v>0</v>
      </c>
      <c r="EB623" s="549">
        <v>0</v>
      </c>
      <c r="EC623" s="675">
        <v>0</v>
      </c>
      <c r="ED623" s="549">
        <v>0</v>
      </c>
      <c r="EE623" s="675">
        <v>0</v>
      </c>
      <c r="EF623" s="549">
        <v>0</v>
      </c>
      <c r="EG623" s="675">
        <v>0</v>
      </c>
      <c r="EH623" s="549">
        <v>0</v>
      </c>
      <c r="EI623" s="675">
        <v>0</v>
      </c>
      <c r="EJ623" s="549">
        <v>0</v>
      </c>
      <c r="EK623" s="675">
        <v>0</v>
      </c>
      <c r="EL623" s="549">
        <v>0</v>
      </c>
      <c r="EM623" s="675">
        <v>0</v>
      </c>
      <c r="EN623" s="549">
        <v>0</v>
      </c>
      <c r="EO623" s="675">
        <v>0</v>
      </c>
      <c r="EP623" s="549">
        <v>0</v>
      </c>
      <c r="EQ623" s="675">
        <v>0</v>
      </c>
      <c r="ER623" s="549">
        <v>0</v>
      </c>
      <c r="ES623" s="675">
        <v>0</v>
      </c>
      <c r="ET623" s="549">
        <v>0</v>
      </c>
      <c r="EU623" s="675">
        <v>0</v>
      </c>
      <c r="EV623" s="549">
        <v>0</v>
      </c>
      <c r="EW623" s="675">
        <v>0</v>
      </c>
      <c r="EX623" s="549">
        <v>0</v>
      </c>
      <c r="EY623" s="675">
        <v>0</v>
      </c>
      <c r="EZ623" s="549">
        <v>0</v>
      </c>
      <c r="FA623" s="675">
        <v>0</v>
      </c>
      <c r="FB623" s="549">
        <v>0</v>
      </c>
      <c r="FC623" s="675">
        <v>0</v>
      </c>
      <c r="FD623" s="549">
        <v>0</v>
      </c>
      <c r="FE623" s="675">
        <v>0</v>
      </c>
      <c r="FF623" s="549">
        <v>0</v>
      </c>
      <c r="FG623" s="675">
        <v>0</v>
      </c>
      <c r="FH623" s="549">
        <v>0</v>
      </c>
      <c r="FI623" s="675">
        <v>0</v>
      </c>
      <c r="FJ623" s="549">
        <v>0</v>
      </c>
      <c r="FK623" s="675">
        <v>0</v>
      </c>
      <c r="FL623" s="549">
        <v>0</v>
      </c>
      <c r="FM623" s="675">
        <v>0</v>
      </c>
      <c r="FN623" s="549">
        <v>0</v>
      </c>
      <c r="FO623" s="675">
        <v>0</v>
      </c>
      <c r="FP623" s="549">
        <v>0</v>
      </c>
      <c r="FQ623" s="675">
        <v>0</v>
      </c>
      <c r="FR623" s="549">
        <v>0</v>
      </c>
      <c r="FS623" s="675">
        <v>0</v>
      </c>
      <c r="FT623" s="549">
        <v>0</v>
      </c>
      <c r="FU623" s="675">
        <v>0</v>
      </c>
      <c r="FV623" s="549">
        <v>0</v>
      </c>
      <c r="FW623" s="675">
        <v>0</v>
      </c>
      <c r="FX623" s="549">
        <v>0</v>
      </c>
      <c r="FY623" s="675">
        <v>0</v>
      </c>
      <c r="FZ623" s="549">
        <v>0</v>
      </c>
      <c r="GA623" s="675">
        <v>0</v>
      </c>
      <c r="GB623" s="549">
        <v>0</v>
      </c>
      <c r="GC623" s="675">
        <v>0</v>
      </c>
      <c r="GD623" s="549">
        <v>0</v>
      </c>
      <c r="GE623" s="675">
        <v>0</v>
      </c>
      <c r="GF623" s="549">
        <v>0</v>
      </c>
      <c r="GG623" s="675">
        <v>0</v>
      </c>
      <c r="GH623" s="549">
        <v>0</v>
      </c>
      <c r="GI623" s="675">
        <v>0</v>
      </c>
      <c r="GJ623" s="549">
        <v>0</v>
      </c>
      <c r="GK623" s="675">
        <v>0</v>
      </c>
      <c r="GL623" s="549">
        <v>0</v>
      </c>
      <c r="GM623" s="675">
        <v>0</v>
      </c>
      <c r="GN623" s="549">
        <v>0</v>
      </c>
      <c r="GO623" s="675">
        <v>0</v>
      </c>
      <c r="GP623" s="549">
        <f>+D623+F623+H623+J623+L623+N623+P623+R623+T623+V623+X623+Z623+AB623+AF623+AD623+AH623+AJ623+AL623+AN623+AP623+AR623+AT623+AV623+AX623+AZ623+BB623+BD623+BF623+BH623+BJ623+BL623+BN623+BP623+BR623+BT623+BV623+BX623+BZ623+CB623+CD623+CF623+CH623+CJ623+CL623+CN623+CP623+CR623+CT623+CV623+CX623+CZ623+DB623+DD623+DF623+DH623+DT623+EX623+DJ623+DL623+DN623+DP623+DR623+EJ623+EB623+DZ623+DX623+DV623+ED623+EF623+EH623+EL623+EN623+EP623+EV623+ET623+ER623+EZ623+FB623+FD623+GL623+FF623+FJ623+FL623+GJ623+FT623+FR623+FP623+FN623+FH623+GH623+GF623+GD623+GB623+FZ623+FX623+FV623+GN623</f>
        <v>299968</v>
      </c>
      <c r="GQ623" s="675">
        <f>+E623+G623+I623+K623+M623+O623+Q623+S623+U623+W623+Y623+AA623+AC623+AE623+AG623+AI623+AK623+AM623+AO623+AQ623+AS623+AU623+AW623+AY623+BA623+BC623+BE623+BG623+BI623+BK623+BM623+BO623+BQ623+BS623+BU623+BW623+BY623+CA623+CC623+CE623+CG623+CI623+CK623+CM623+CO623+CQ623+CS623+CU623+CW623+CY623+DA623+DC623+DE623+DG623+DI623+DU623+EY623+DK623+DM623+DO623+DQ623+DS623+EK623+EC623+EA623+DY623+DW623+EI623+EG623+EE623+EM623+EO623+EQ623+EW623+EU623+ES623+FA623+FC623+FE623+GM623+FG623+FK623+FM623+FO623+FQ623+FS623+FU623+GK623+FI623+GI623+GG623+GE623+GC623+GA623+FY623+FW623+GO623</f>
        <v>0</v>
      </c>
      <c r="GR623" s="74">
        <f>C623+GP623+GQ623</f>
        <v>799968</v>
      </c>
      <c r="GS623" s="74">
        <f>SUM(GU623:HD623)+GP623+GQ623</f>
        <v>754514</v>
      </c>
      <c r="GT623" s="568">
        <f>SUM(GU623:HF623)+GQ623+GP623</f>
        <v>799968</v>
      </c>
      <c r="GU623" s="275">
        <v>45460</v>
      </c>
      <c r="GV623" s="275">
        <v>45454</v>
      </c>
      <c r="GW623" s="275">
        <v>45454</v>
      </c>
      <c r="GX623" s="275">
        <v>45454</v>
      </c>
      <c r="GY623" s="275">
        <v>45454</v>
      </c>
      <c r="GZ623" s="275">
        <v>45454</v>
      </c>
      <c r="HA623" s="275">
        <v>45454</v>
      </c>
      <c r="HB623" s="275">
        <v>45454</v>
      </c>
      <c r="HC623" s="275">
        <v>45454</v>
      </c>
      <c r="HD623" s="275">
        <v>45454</v>
      </c>
      <c r="HE623" s="275">
        <v>45454</v>
      </c>
      <c r="HF623" s="275">
        <v>0</v>
      </c>
      <c r="HG623" s="74">
        <f>SUM(HH623:IE623)</f>
        <v>799968</v>
      </c>
      <c r="HH623" s="89">
        <v>12068.52</v>
      </c>
      <c r="HI623" s="817">
        <v>0</v>
      </c>
      <c r="HJ623" s="89">
        <v>66776.960000000006</v>
      </c>
      <c r="HK623" s="817">
        <v>0</v>
      </c>
      <c r="HL623" s="89">
        <v>57522.52</v>
      </c>
      <c r="HM623" s="817">
        <v>0</v>
      </c>
      <c r="HN623" s="89">
        <v>45454</v>
      </c>
      <c r="HO623" s="817">
        <v>0</v>
      </c>
      <c r="HP623" s="89">
        <v>45454</v>
      </c>
      <c r="HQ623" s="817">
        <v>0</v>
      </c>
      <c r="HR623" s="89">
        <v>45454</v>
      </c>
      <c r="HS623" s="817">
        <v>0</v>
      </c>
      <c r="HT623" s="89">
        <v>45454</v>
      </c>
      <c r="HU623" s="817">
        <v>0</v>
      </c>
      <c r="HV623" s="89">
        <v>481784</v>
      </c>
      <c r="HW623" s="817">
        <v>0</v>
      </c>
      <c r="HX623" s="89">
        <v>0</v>
      </c>
      <c r="HY623" s="817">
        <v>0</v>
      </c>
      <c r="HZ623" s="89">
        <v>0</v>
      </c>
      <c r="IA623" s="817">
        <v>0</v>
      </c>
      <c r="IB623" s="89">
        <v>0</v>
      </c>
      <c r="IC623" s="817">
        <v>0</v>
      </c>
      <c r="ID623" s="89">
        <v>0</v>
      </c>
      <c r="IE623" s="817">
        <v>0</v>
      </c>
      <c r="IF623" s="841">
        <f t="shared" si="14347"/>
        <v>528807.51</v>
      </c>
      <c r="IG623" s="263">
        <f t="shared" si="14348"/>
        <v>528807.51</v>
      </c>
      <c r="IH623" s="842">
        <f t="shared" si="14349"/>
        <v>528807.51</v>
      </c>
      <c r="II623" s="89">
        <v>3634.49</v>
      </c>
      <c r="IJ623" s="89">
        <f t="shared" ref="IJ623" si="14350">II623</f>
        <v>3634.49</v>
      </c>
      <c r="IK623" s="89">
        <f t="shared" ref="IK623" si="14351">IJ623</f>
        <v>3634.49</v>
      </c>
      <c r="IL623" s="89">
        <f>10693.88-3634.49</f>
        <v>7059.3899999999994</v>
      </c>
      <c r="IM623" s="89">
        <f t="shared" ref="IM623" si="14352">IL623</f>
        <v>7059.3899999999994</v>
      </c>
      <c r="IN623" s="89">
        <f t="shared" ref="IN623" si="14353">IM623</f>
        <v>7059.3899999999994</v>
      </c>
      <c r="IO623" s="89">
        <f>17372.74-10693.88</f>
        <v>6678.8600000000024</v>
      </c>
      <c r="IP623" s="89">
        <f t="shared" ref="IP623" si="14354">IO623</f>
        <v>6678.8600000000024</v>
      </c>
      <c r="IQ623" s="89">
        <f t="shared" ref="IQ623" si="14355">IP623</f>
        <v>6678.8600000000024</v>
      </c>
      <c r="IR623" s="89">
        <f>46365.95-17372.74</f>
        <v>28993.209999999995</v>
      </c>
      <c r="IS623" s="89">
        <f t="shared" ref="IS623" si="14356">IR623</f>
        <v>28993.209999999995</v>
      </c>
      <c r="IT623" s="89">
        <f t="shared" ref="IT623" si="14357">IS623</f>
        <v>28993.209999999995</v>
      </c>
      <c r="IU623" s="89">
        <f>85013.12-46365.95</f>
        <v>38647.17</v>
      </c>
      <c r="IV623" s="89">
        <f t="shared" ref="IV623" si="14358">IU623</f>
        <v>38647.17</v>
      </c>
      <c r="IW623" s="89">
        <f t="shared" ref="IW623" si="14359">IV623</f>
        <v>38647.17</v>
      </c>
      <c r="IX623" s="89">
        <f>232949.63-85013.12</f>
        <v>147936.51</v>
      </c>
      <c r="IY623" s="89">
        <f t="shared" ref="IY623" si="14360">IX623</f>
        <v>147936.51</v>
      </c>
      <c r="IZ623" s="89">
        <f t="shared" ref="IZ623" si="14361">IY623</f>
        <v>147936.51</v>
      </c>
      <c r="JA623" s="89">
        <f>293964.63-232949.63</f>
        <v>61015</v>
      </c>
      <c r="JB623" s="89">
        <f t="shared" ref="JB623" si="14362">JA623</f>
        <v>61015</v>
      </c>
      <c r="JC623" s="89">
        <f t="shared" ref="JC623" si="14363">JB623</f>
        <v>61015</v>
      </c>
      <c r="JD623" s="89">
        <f>370908.76-293964.63</f>
        <v>76944.13</v>
      </c>
      <c r="JE623" s="89">
        <f t="shared" ref="JE623" si="14364">JD623</f>
        <v>76944.13</v>
      </c>
      <c r="JF623" s="89">
        <f t="shared" ref="JF623" si="14365">JE623</f>
        <v>76944.13</v>
      </c>
      <c r="JG623" s="89">
        <f>475467.02-370908.76</f>
        <v>104558.26000000001</v>
      </c>
      <c r="JH623" s="89">
        <f t="shared" ref="JH623" si="14366">JG623</f>
        <v>104558.26000000001</v>
      </c>
      <c r="JI623" s="89">
        <f t="shared" ref="JI623" si="14367">JH623</f>
        <v>104558.26000000001</v>
      </c>
      <c r="JJ623" s="89">
        <f>528807.51-475467.02</f>
        <v>53340.489999999991</v>
      </c>
      <c r="JK623" s="89">
        <f t="shared" ref="JK623" si="14368">JJ623</f>
        <v>53340.489999999991</v>
      </c>
      <c r="JL623" s="89">
        <f t="shared" ref="JL623" si="14369">JK623</f>
        <v>53340.489999999991</v>
      </c>
      <c r="JM623" s="89">
        <v>0</v>
      </c>
      <c r="JN623" s="89">
        <f t="shared" ref="JN623" si="14370">JM623</f>
        <v>0</v>
      </c>
      <c r="JO623" s="89">
        <f t="shared" ref="JO623" si="14371">JN623</f>
        <v>0</v>
      </c>
      <c r="JP623" s="89">
        <v>0</v>
      </c>
      <c r="JQ623" s="89">
        <f t="shared" ref="JQ623:JR623" si="14372">JP623</f>
        <v>0</v>
      </c>
      <c r="JR623" s="89">
        <f t="shared" si="14372"/>
        <v>0</v>
      </c>
      <c r="JS623" s="74">
        <f>HG623-IF623</f>
        <v>271160.49</v>
      </c>
      <c r="JT623" s="382">
        <f>GS623-IF623</f>
        <v>225706.49</v>
      </c>
      <c r="JU623" s="665"/>
      <c r="JV623" s="524"/>
      <c r="JW623" s="525"/>
      <c r="JX623" s="549">
        <f>SUM(HH623,HJ623,HL623,HN623,HP623,HR623,HT623,HV623,HX623,HZ623,IB623,ID623)</f>
        <v>799968</v>
      </c>
      <c r="JY623" s="549">
        <f>SUM(HI623,HK623,HM623,HO623,HQ623,HS623,HU623,HW623,HY623,IA623,IC623,IE623)</f>
        <v>0</v>
      </c>
      <c r="JZ623" s="581">
        <f t="shared" si="13477"/>
        <v>299968</v>
      </c>
      <c r="KA623" s="581">
        <f t="shared" si="13478"/>
        <v>0</v>
      </c>
      <c r="KB623" s="549">
        <f>JX623</f>
        <v>799968</v>
      </c>
      <c r="KC623" s="709">
        <f t="shared" si="13396"/>
        <v>0</v>
      </c>
      <c r="KD623" s="36"/>
      <c r="KE623" s="36"/>
      <c r="KF623" s="36"/>
      <c r="KG623" s="36"/>
      <c r="KH623" s="36"/>
      <c r="KI623" s="36"/>
      <c r="KJ623" s="36"/>
      <c r="KK623" s="36"/>
    </row>
    <row r="624" spans="1:297" s="33" customFormat="1">
      <c r="A624" s="86"/>
      <c r="B624" s="77"/>
      <c r="C624" s="74"/>
      <c r="D624" s="549"/>
      <c r="E624" s="675"/>
      <c r="F624" s="549"/>
      <c r="G624" s="675"/>
      <c r="H624" s="549"/>
      <c r="I624" s="675"/>
      <c r="J624" s="549"/>
      <c r="K624" s="675"/>
      <c r="L624" s="549"/>
      <c r="M624" s="675"/>
      <c r="N624" s="549"/>
      <c r="O624" s="675"/>
      <c r="P624" s="549"/>
      <c r="Q624" s="675"/>
      <c r="R624" s="549"/>
      <c r="S624" s="675"/>
      <c r="T624" s="549"/>
      <c r="U624" s="675"/>
      <c r="V624" s="549"/>
      <c r="W624" s="675"/>
      <c r="X624" s="549"/>
      <c r="Y624" s="675"/>
      <c r="Z624" s="549"/>
      <c r="AA624" s="675"/>
      <c r="AB624" s="549"/>
      <c r="AC624" s="675"/>
      <c r="AD624" s="549"/>
      <c r="AE624" s="675"/>
      <c r="AF624" s="549"/>
      <c r="AG624" s="675"/>
      <c r="AH624" s="549"/>
      <c r="AI624" s="675"/>
      <c r="AJ624" s="549"/>
      <c r="AK624" s="675"/>
      <c r="AL624" s="549"/>
      <c r="AM624" s="675"/>
      <c r="AN624" s="549"/>
      <c r="AO624" s="675"/>
      <c r="AP624" s="549"/>
      <c r="AQ624" s="675"/>
      <c r="AR624" s="549"/>
      <c r="AS624" s="675"/>
      <c r="AT624" s="549"/>
      <c r="AU624" s="675"/>
      <c r="AV624" s="549"/>
      <c r="AW624" s="675"/>
      <c r="AX624" s="549"/>
      <c r="AY624" s="675"/>
      <c r="AZ624" s="549"/>
      <c r="BA624" s="675"/>
      <c r="BB624" s="549"/>
      <c r="BC624" s="675"/>
      <c r="BD624" s="549"/>
      <c r="BE624" s="675"/>
      <c r="BF624" s="549"/>
      <c r="BG624" s="675"/>
      <c r="BH624" s="549"/>
      <c r="BI624" s="675"/>
      <c r="BJ624" s="549"/>
      <c r="BK624" s="675"/>
      <c r="BL624" s="549"/>
      <c r="BM624" s="675"/>
      <c r="BN624" s="549"/>
      <c r="BO624" s="675"/>
      <c r="BP624" s="549"/>
      <c r="BQ624" s="675"/>
      <c r="BR624" s="549"/>
      <c r="BS624" s="675"/>
      <c r="BT624" s="549"/>
      <c r="BU624" s="675"/>
      <c r="BV624" s="549"/>
      <c r="BW624" s="675"/>
      <c r="BX624" s="549"/>
      <c r="BY624" s="675"/>
      <c r="BZ624" s="549"/>
      <c r="CA624" s="675"/>
      <c r="CB624" s="549"/>
      <c r="CC624" s="675"/>
      <c r="CD624" s="549"/>
      <c r="CE624" s="675"/>
      <c r="CF624" s="549"/>
      <c r="CG624" s="675"/>
      <c r="CH624" s="549"/>
      <c r="CI624" s="675"/>
      <c r="CJ624" s="549"/>
      <c r="CK624" s="675"/>
      <c r="CL624" s="549"/>
      <c r="CM624" s="675"/>
      <c r="CN624" s="549"/>
      <c r="CO624" s="675"/>
      <c r="CP624" s="549"/>
      <c r="CQ624" s="675"/>
      <c r="CR624" s="549"/>
      <c r="CS624" s="675"/>
      <c r="CT624" s="549"/>
      <c r="CU624" s="675"/>
      <c r="CV624" s="549"/>
      <c r="CW624" s="675"/>
      <c r="CX624" s="549"/>
      <c r="CY624" s="675"/>
      <c r="CZ624" s="549"/>
      <c r="DA624" s="675"/>
      <c r="DB624" s="549"/>
      <c r="DC624" s="675"/>
      <c r="DD624" s="549"/>
      <c r="DE624" s="675"/>
      <c r="DF624" s="549"/>
      <c r="DG624" s="675"/>
      <c r="DH624" s="549"/>
      <c r="DI624" s="675"/>
      <c r="DJ624" s="549"/>
      <c r="DK624" s="675"/>
      <c r="DL624" s="549"/>
      <c r="DM624" s="675"/>
      <c r="DN624" s="549"/>
      <c r="DO624" s="675"/>
      <c r="DP624" s="549"/>
      <c r="DQ624" s="675"/>
      <c r="DR624" s="549"/>
      <c r="DS624" s="675"/>
      <c r="DT624" s="549"/>
      <c r="DU624" s="675"/>
      <c r="DV624" s="549"/>
      <c r="DW624" s="675"/>
      <c r="DX624" s="549"/>
      <c r="DY624" s="675"/>
      <c r="DZ624" s="549"/>
      <c r="EA624" s="675"/>
      <c r="EB624" s="549"/>
      <c r="EC624" s="675"/>
      <c r="ED624" s="549"/>
      <c r="EE624" s="675"/>
      <c r="EF624" s="549"/>
      <c r="EG624" s="675"/>
      <c r="EH624" s="549"/>
      <c r="EI624" s="675"/>
      <c r="EJ624" s="549"/>
      <c r="EK624" s="675"/>
      <c r="EL624" s="549"/>
      <c r="EM624" s="675"/>
      <c r="EN624" s="549"/>
      <c r="EO624" s="675"/>
      <c r="EP624" s="549"/>
      <c r="EQ624" s="675"/>
      <c r="ER624" s="549"/>
      <c r="ES624" s="675"/>
      <c r="ET624" s="549"/>
      <c r="EU624" s="675"/>
      <c r="EV624" s="549"/>
      <c r="EW624" s="675"/>
      <c r="EX624" s="549"/>
      <c r="EY624" s="675"/>
      <c r="EZ624" s="549"/>
      <c r="FA624" s="675"/>
      <c r="FB624" s="549"/>
      <c r="FC624" s="675"/>
      <c r="FD624" s="549"/>
      <c r="FE624" s="675"/>
      <c r="FF624" s="549"/>
      <c r="FG624" s="675"/>
      <c r="FH624" s="549"/>
      <c r="FI624" s="675"/>
      <c r="FJ624" s="549"/>
      <c r="FK624" s="675"/>
      <c r="FL624" s="549"/>
      <c r="FM624" s="675"/>
      <c r="FN624" s="549"/>
      <c r="FO624" s="675"/>
      <c r="FP624" s="549"/>
      <c r="FQ624" s="675"/>
      <c r="FR624" s="549"/>
      <c r="FS624" s="675"/>
      <c r="FT624" s="549"/>
      <c r="FU624" s="675"/>
      <c r="FV624" s="549"/>
      <c r="FW624" s="675"/>
      <c r="FX624" s="549"/>
      <c r="FY624" s="675"/>
      <c r="FZ624" s="549"/>
      <c r="GA624" s="675"/>
      <c r="GB624" s="549"/>
      <c r="GC624" s="675"/>
      <c r="GD624" s="549"/>
      <c r="GE624" s="675"/>
      <c r="GF624" s="549"/>
      <c r="GG624" s="675"/>
      <c r="GH624" s="549"/>
      <c r="GI624" s="675"/>
      <c r="GJ624" s="549"/>
      <c r="GK624" s="675"/>
      <c r="GL624" s="549"/>
      <c r="GM624" s="675"/>
      <c r="GN624" s="549"/>
      <c r="GO624" s="675"/>
      <c r="GP624" s="549"/>
      <c r="GQ624" s="675"/>
      <c r="GR624" s="74"/>
      <c r="GS624" s="74"/>
      <c r="GT624" s="568"/>
      <c r="GU624" s="89"/>
      <c r="GV624" s="89"/>
      <c r="GW624" s="568"/>
      <c r="GX624" s="568"/>
      <c r="GY624" s="89"/>
      <c r="GZ624" s="89"/>
      <c r="HA624" s="89"/>
      <c r="HB624" s="89"/>
      <c r="HC624" s="89"/>
      <c r="HD624" s="89"/>
      <c r="HE624" s="89"/>
      <c r="HF624" s="89"/>
      <c r="HG624" s="74"/>
      <c r="HH624" s="89"/>
      <c r="HI624" s="817"/>
      <c r="HJ624" s="89"/>
      <c r="HK624" s="817"/>
      <c r="HL624" s="89"/>
      <c r="HM624" s="817"/>
      <c r="HN624" s="89"/>
      <c r="HO624" s="817"/>
      <c r="HP624" s="89"/>
      <c r="HQ624" s="817"/>
      <c r="HR624" s="89"/>
      <c r="HS624" s="817"/>
      <c r="HT624" s="89"/>
      <c r="HU624" s="817"/>
      <c r="HV624" s="89"/>
      <c r="HW624" s="817"/>
      <c r="HX624" s="89"/>
      <c r="HY624" s="817"/>
      <c r="HZ624" s="89"/>
      <c r="IA624" s="817"/>
      <c r="IB624" s="89"/>
      <c r="IC624" s="817"/>
      <c r="ID624" s="89"/>
      <c r="IE624" s="817"/>
      <c r="IF624" s="841"/>
      <c r="IG624" s="263"/>
      <c r="IH624" s="842"/>
      <c r="II624" s="89"/>
      <c r="IJ624" s="89"/>
      <c r="IK624" s="89"/>
      <c r="IL624" s="89"/>
      <c r="IM624" s="89"/>
      <c r="IN624" s="89"/>
      <c r="IO624" s="89"/>
      <c r="IP624" s="89"/>
      <c r="IQ624" s="89"/>
      <c r="IR624" s="89"/>
      <c r="IS624" s="89"/>
      <c r="IT624" s="89"/>
      <c r="IU624" s="89"/>
      <c r="IV624" s="89"/>
      <c r="IW624" s="89"/>
      <c r="IX624" s="89"/>
      <c r="IY624" s="89"/>
      <c r="IZ624" s="89"/>
      <c r="JA624" s="89"/>
      <c r="JB624" s="89"/>
      <c r="JC624" s="89"/>
      <c r="JD624" s="89"/>
      <c r="JE624" s="89"/>
      <c r="JF624" s="89"/>
      <c r="JG624" s="89"/>
      <c r="JH624" s="89"/>
      <c r="JI624" s="89"/>
      <c r="JJ624" s="89"/>
      <c r="JK624" s="89"/>
      <c r="JL624" s="89"/>
      <c r="JM624" s="89"/>
      <c r="JN624" s="89"/>
      <c r="JO624" s="89"/>
      <c r="JP624" s="89"/>
      <c r="JQ624" s="89"/>
      <c r="JR624" s="89"/>
      <c r="JS624" s="74"/>
      <c r="JT624" s="382"/>
      <c r="JU624" s="665"/>
      <c r="JV624" s="524"/>
      <c r="JW624" s="525"/>
      <c r="JX624" s="549"/>
      <c r="JY624" s="549"/>
      <c r="JZ624" s="581">
        <f t="shared" si="13477"/>
        <v>0</v>
      </c>
      <c r="KA624" s="581">
        <f t="shared" si="13478"/>
        <v>0</v>
      </c>
      <c r="KB624" s="549">
        <f>JX624</f>
        <v>0</v>
      </c>
      <c r="KC624" s="709">
        <f t="shared" si="13396"/>
        <v>0</v>
      </c>
      <c r="KD624" s="36"/>
      <c r="KE624" s="36"/>
      <c r="KF624" s="36"/>
      <c r="KG624" s="36"/>
      <c r="KH624" s="36"/>
      <c r="KI624" s="36"/>
      <c r="KJ624" s="36"/>
      <c r="KK624" s="36"/>
    </row>
    <row r="625" spans="1:297" s="33" customFormat="1">
      <c r="A625" s="80" t="s">
        <v>1106</v>
      </c>
      <c r="B625" s="77"/>
      <c r="C625" s="74">
        <f>C626</f>
        <v>0</v>
      </c>
      <c r="D625" s="549">
        <f t="shared" ref="D625:E625" si="14373">D626</f>
        <v>0</v>
      </c>
      <c r="E625" s="675">
        <f t="shared" si="14373"/>
        <v>0</v>
      </c>
      <c r="F625" s="549">
        <f t="shared" ref="F625:IZ625" si="14374">F626</f>
        <v>0</v>
      </c>
      <c r="G625" s="675">
        <f t="shared" si="14374"/>
        <v>0</v>
      </c>
      <c r="H625" s="549">
        <f t="shared" si="14374"/>
        <v>0</v>
      </c>
      <c r="I625" s="675">
        <f t="shared" si="14374"/>
        <v>0</v>
      </c>
      <c r="J625" s="549">
        <f t="shared" si="14374"/>
        <v>0</v>
      </c>
      <c r="K625" s="675">
        <f t="shared" si="14374"/>
        <v>0</v>
      </c>
      <c r="L625" s="549">
        <f t="shared" si="14374"/>
        <v>0</v>
      </c>
      <c r="M625" s="675">
        <f t="shared" si="14374"/>
        <v>0</v>
      </c>
      <c r="N625" s="549">
        <f t="shared" si="14374"/>
        <v>0</v>
      </c>
      <c r="O625" s="675">
        <f t="shared" si="14374"/>
        <v>0</v>
      </c>
      <c r="P625" s="549">
        <f t="shared" si="14374"/>
        <v>0</v>
      </c>
      <c r="Q625" s="675">
        <f t="shared" si="14374"/>
        <v>0</v>
      </c>
      <c r="R625" s="549">
        <f t="shared" si="14374"/>
        <v>0</v>
      </c>
      <c r="S625" s="675">
        <f t="shared" si="14374"/>
        <v>0</v>
      </c>
      <c r="T625" s="549">
        <f t="shared" si="14374"/>
        <v>0</v>
      </c>
      <c r="U625" s="675">
        <f t="shared" si="14374"/>
        <v>0</v>
      </c>
      <c r="V625" s="549">
        <f t="shared" si="14374"/>
        <v>0</v>
      </c>
      <c r="W625" s="675">
        <f t="shared" si="14374"/>
        <v>0</v>
      </c>
      <c r="X625" s="549">
        <f t="shared" si="14374"/>
        <v>0</v>
      </c>
      <c r="Y625" s="675">
        <f t="shared" si="14374"/>
        <v>0</v>
      </c>
      <c r="Z625" s="549">
        <f t="shared" si="14374"/>
        <v>0</v>
      </c>
      <c r="AA625" s="675">
        <f t="shared" si="14374"/>
        <v>0</v>
      </c>
      <c r="AB625" s="549">
        <f t="shared" si="14374"/>
        <v>0</v>
      </c>
      <c r="AC625" s="675">
        <f t="shared" si="14374"/>
        <v>0</v>
      </c>
      <c r="AD625" s="549">
        <f t="shared" si="14374"/>
        <v>0</v>
      </c>
      <c r="AE625" s="675">
        <f t="shared" si="14374"/>
        <v>0</v>
      </c>
      <c r="AF625" s="549">
        <f t="shared" si="14374"/>
        <v>0</v>
      </c>
      <c r="AG625" s="675">
        <f t="shared" si="14374"/>
        <v>0</v>
      </c>
      <c r="AH625" s="549">
        <f t="shared" si="14374"/>
        <v>0</v>
      </c>
      <c r="AI625" s="675">
        <f t="shared" si="14374"/>
        <v>0</v>
      </c>
      <c r="AJ625" s="549">
        <f t="shared" si="14374"/>
        <v>0</v>
      </c>
      <c r="AK625" s="675">
        <f t="shared" si="14374"/>
        <v>0</v>
      </c>
      <c r="AL625" s="549">
        <f t="shared" si="14374"/>
        <v>0</v>
      </c>
      <c r="AM625" s="675">
        <f t="shared" si="14374"/>
        <v>0</v>
      </c>
      <c r="AN625" s="549">
        <f t="shared" si="14374"/>
        <v>0</v>
      </c>
      <c r="AO625" s="675">
        <f t="shared" si="14374"/>
        <v>0</v>
      </c>
      <c r="AP625" s="549">
        <f t="shared" si="14374"/>
        <v>0</v>
      </c>
      <c r="AQ625" s="675">
        <f t="shared" si="14374"/>
        <v>0</v>
      </c>
      <c r="AR625" s="549">
        <f t="shared" si="14374"/>
        <v>0</v>
      </c>
      <c r="AS625" s="675">
        <f t="shared" si="14374"/>
        <v>0</v>
      </c>
      <c r="AT625" s="549">
        <f t="shared" si="14374"/>
        <v>0</v>
      </c>
      <c r="AU625" s="675">
        <f t="shared" si="14374"/>
        <v>0</v>
      </c>
      <c r="AV625" s="549">
        <f t="shared" si="14374"/>
        <v>0</v>
      </c>
      <c r="AW625" s="675">
        <f t="shared" si="14374"/>
        <v>0</v>
      </c>
      <c r="AX625" s="549">
        <f t="shared" si="14374"/>
        <v>0</v>
      </c>
      <c r="AY625" s="675">
        <f t="shared" si="14374"/>
        <v>0</v>
      </c>
      <c r="AZ625" s="549">
        <f t="shared" si="14374"/>
        <v>0</v>
      </c>
      <c r="BA625" s="675">
        <f t="shared" si="14374"/>
        <v>0</v>
      </c>
      <c r="BB625" s="549">
        <f t="shared" si="14374"/>
        <v>0</v>
      </c>
      <c r="BC625" s="675">
        <f t="shared" si="14374"/>
        <v>0</v>
      </c>
      <c r="BD625" s="549">
        <f t="shared" si="14374"/>
        <v>0</v>
      </c>
      <c r="BE625" s="675">
        <f t="shared" si="14374"/>
        <v>0</v>
      </c>
      <c r="BF625" s="549">
        <f t="shared" si="14374"/>
        <v>0</v>
      </c>
      <c r="BG625" s="675">
        <f t="shared" si="14374"/>
        <v>0</v>
      </c>
      <c r="BH625" s="549">
        <f t="shared" si="14374"/>
        <v>0</v>
      </c>
      <c r="BI625" s="675">
        <f t="shared" si="14374"/>
        <v>0</v>
      </c>
      <c r="BJ625" s="549">
        <f t="shared" si="14374"/>
        <v>0</v>
      </c>
      <c r="BK625" s="675">
        <f t="shared" si="14374"/>
        <v>0</v>
      </c>
      <c r="BL625" s="549">
        <f t="shared" si="14374"/>
        <v>0</v>
      </c>
      <c r="BM625" s="675">
        <f t="shared" si="14374"/>
        <v>0</v>
      </c>
      <c r="BN625" s="549">
        <f t="shared" si="14374"/>
        <v>0</v>
      </c>
      <c r="BO625" s="675">
        <f t="shared" si="14374"/>
        <v>0</v>
      </c>
      <c r="BP625" s="549">
        <f t="shared" si="14374"/>
        <v>0</v>
      </c>
      <c r="BQ625" s="675">
        <f t="shared" si="14374"/>
        <v>0</v>
      </c>
      <c r="BR625" s="549">
        <f t="shared" si="14374"/>
        <v>0</v>
      </c>
      <c r="BS625" s="675">
        <f t="shared" si="14374"/>
        <v>0</v>
      </c>
      <c r="BT625" s="549">
        <f t="shared" si="14374"/>
        <v>0</v>
      </c>
      <c r="BU625" s="675">
        <f t="shared" si="14374"/>
        <v>0</v>
      </c>
      <c r="BV625" s="549">
        <f t="shared" si="14374"/>
        <v>0</v>
      </c>
      <c r="BW625" s="675">
        <f t="shared" si="14374"/>
        <v>0</v>
      </c>
      <c r="BX625" s="549">
        <f t="shared" si="14374"/>
        <v>0</v>
      </c>
      <c r="BY625" s="675">
        <f t="shared" si="14374"/>
        <v>0</v>
      </c>
      <c r="BZ625" s="549">
        <f t="shared" si="14374"/>
        <v>1775</v>
      </c>
      <c r="CA625" s="675">
        <f t="shared" si="14374"/>
        <v>0</v>
      </c>
      <c r="CB625" s="549">
        <f t="shared" si="14374"/>
        <v>0</v>
      </c>
      <c r="CC625" s="675">
        <f t="shared" si="14374"/>
        <v>0</v>
      </c>
      <c r="CD625" s="549">
        <f t="shared" si="14374"/>
        <v>0</v>
      </c>
      <c r="CE625" s="675">
        <f t="shared" si="14374"/>
        <v>0</v>
      </c>
      <c r="CF625" s="549">
        <f t="shared" si="14374"/>
        <v>0</v>
      </c>
      <c r="CG625" s="675">
        <f t="shared" si="14374"/>
        <v>0</v>
      </c>
      <c r="CH625" s="549">
        <f t="shared" si="14374"/>
        <v>0</v>
      </c>
      <c r="CI625" s="675">
        <f t="shared" si="14374"/>
        <v>0</v>
      </c>
      <c r="CJ625" s="549">
        <f t="shared" si="14374"/>
        <v>0</v>
      </c>
      <c r="CK625" s="675">
        <f t="shared" si="14374"/>
        <v>0</v>
      </c>
      <c r="CL625" s="549">
        <f t="shared" si="14374"/>
        <v>0</v>
      </c>
      <c r="CM625" s="675">
        <f t="shared" si="14374"/>
        <v>0</v>
      </c>
      <c r="CN625" s="549">
        <f t="shared" si="14374"/>
        <v>0</v>
      </c>
      <c r="CO625" s="675">
        <f t="shared" si="14374"/>
        <v>0</v>
      </c>
      <c r="CP625" s="549">
        <f t="shared" si="14374"/>
        <v>0</v>
      </c>
      <c r="CQ625" s="675">
        <f t="shared" si="14374"/>
        <v>0</v>
      </c>
      <c r="CR625" s="549">
        <f t="shared" si="14374"/>
        <v>0</v>
      </c>
      <c r="CS625" s="675">
        <f t="shared" si="14374"/>
        <v>0</v>
      </c>
      <c r="CT625" s="549">
        <f t="shared" si="14374"/>
        <v>0</v>
      </c>
      <c r="CU625" s="675">
        <f t="shared" si="14374"/>
        <v>0</v>
      </c>
      <c r="CV625" s="549">
        <f t="shared" si="14374"/>
        <v>0</v>
      </c>
      <c r="CW625" s="675">
        <f t="shared" si="14374"/>
        <v>0</v>
      </c>
      <c r="CX625" s="549">
        <f t="shared" si="14374"/>
        <v>0</v>
      </c>
      <c r="CY625" s="675">
        <f t="shared" si="14374"/>
        <v>0</v>
      </c>
      <c r="CZ625" s="549">
        <f t="shared" si="14374"/>
        <v>0</v>
      </c>
      <c r="DA625" s="675">
        <f t="shared" si="14374"/>
        <v>0</v>
      </c>
      <c r="DB625" s="549">
        <f t="shared" si="14374"/>
        <v>0</v>
      </c>
      <c r="DC625" s="675">
        <f t="shared" si="14374"/>
        <v>0</v>
      </c>
      <c r="DD625" s="549">
        <f t="shared" si="14374"/>
        <v>0</v>
      </c>
      <c r="DE625" s="675">
        <f t="shared" si="14374"/>
        <v>0</v>
      </c>
      <c r="DF625" s="549">
        <f t="shared" si="14374"/>
        <v>0</v>
      </c>
      <c r="DG625" s="675">
        <f t="shared" si="14374"/>
        <v>0</v>
      </c>
      <c r="DH625" s="549">
        <f t="shared" si="14374"/>
        <v>0</v>
      </c>
      <c r="DI625" s="675">
        <f t="shared" si="14374"/>
        <v>0</v>
      </c>
      <c r="DJ625" s="549">
        <f t="shared" si="14374"/>
        <v>0</v>
      </c>
      <c r="DK625" s="675">
        <f t="shared" si="14374"/>
        <v>0</v>
      </c>
      <c r="DL625" s="549">
        <f t="shared" si="14374"/>
        <v>0</v>
      </c>
      <c r="DM625" s="675">
        <f t="shared" si="14374"/>
        <v>0</v>
      </c>
      <c r="DN625" s="549">
        <f t="shared" si="14374"/>
        <v>0</v>
      </c>
      <c r="DO625" s="675">
        <f t="shared" si="14374"/>
        <v>0</v>
      </c>
      <c r="DP625" s="549">
        <f t="shared" si="14374"/>
        <v>0</v>
      </c>
      <c r="DQ625" s="675">
        <f t="shared" si="14374"/>
        <v>0</v>
      </c>
      <c r="DR625" s="549">
        <f t="shared" si="14374"/>
        <v>0</v>
      </c>
      <c r="DS625" s="675">
        <f t="shared" si="14374"/>
        <v>0</v>
      </c>
      <c r="DT625" s="549">
        <f t="shared" si="14374"/>
        <v>0</v>
      </c>
      <c r="DU625" s="675">
        <f t="shared" si="14374"/>
        <v>0</v>
      </c>
      <c r="DV625" s="549">
        <f t="shared" si="14374"/>
        <v>0</v>
      </c>
      <c r="DW625" s="675">
        <f t="shared" si="14374"/>
        <v>0</v>
      </c>
      <c r="DX625" s="549">
        <f t="shared" si="14374"/>
        <v>0</v>
      </c>
      <c r="DY625" s="675">
        <f t="shared" si="14374"/>
        <v>0</v>
      </c>
      <c r="DZ625" s="549">
        <f t="shared" si="14374"/>
        <v>0</v>
      </c>
      <c r="EA625" s="675">
        <f t="shared" si="14374"/>
        <v>0</v>
      </c>
      <c r="EB625" s="549">
        <f t="shared" si="14374"/>
        <v>0</v>
      </c>
      <c r="EC625" s="675">
        <f t="shared" si="14374"/>
        <v>0</v>
      </c>
      <c r="ED625" s="549">
        <f t="shared" si="14374"/>
        <v>0</v>
      </c>
      <c r="EE625" s="675">
        <f t="shared" si="14374"/>
        <v>0</v>
      </c>
      <c r="EF625" s="549">
        <f t="shared" si="14374"/>
        <v>0</v>
      </c>
      <c r="EG625" s="675">
        <f t="shared" si="14374"/>
        <v>0</v>
      </c>
      <c r="EH625" s="549">
        <f t="shared" si="14374"/>
        <v>0</v>
      </c>
      <c r="EI625" s="675">
        <f t="shared" si="14374"/>
        <v>0</v>
      </c>
      <c r="EJ625" s="549">
        <f t="shared" si="14374"/>
        <v>0</v>
      </c>
      <c r="EK625" s="675">
        <f t="shared" si="14374"/>
        <v>0</v>
      </c>
      <c r="EL625" s="549">
        <f t="shared" si="14374"/>
        <v>0</v>
      </c>
      <c r="EM625" s="675">
        <f t="shared" si="14374"/>
        <v>0</v>
      </c>
      <c r="EN625" s="549">
        <f t="shared" si="14374"/>
        <v>0</v>
      </c>
      <c r="EO625" s="675">
        <f t="shared" si="14374"/>
        <v>0</v>
      </c>
      <c r="EP625" s="549">
        <f t="shared" si="14374"/>
        <v>0</v>
      </c>
      <c r="EQ625" s="675">
        <f t="shared" si="14374"/>
        <v>0</v>
      </c>
      <c r="ER625" s="549">
        <f t="shared" si="14374"/>
        <v>0</v>
      </c>
      <c r="ES625" s="675">
        <f t="shared" si="14374"/>
        <v>0</v>
      </c>
      <c r="ET625" s="549">
        <f t="shared" si="14374"/>
        <v>0</v>
      </c>
      <c r="EU625" s="675">
        <f t="shared" si="14374"/>
        <v>0</v>
      </c>
      <c r="EV625" s="549">
        <f t="shared" si="14374"/>
        <v>0</v>
      </c>
      <c r="EW625" s="675">
        <f t="shared" si="14374"/>
        <v>0</v>
      </c>
      <c r="EX625" s="549">
        <f t="shared" si="14374"/>
        <v>0</v>
      </c>
      <c r="EY625" s="675">
        <f t="shared" si="14374"/>
        <v>0</v>
      </c>
      <c r="EZ625" s="549">
        <f t="shared" si="14374"/>
        <v>0</v>
      </c>
      <c r="FA625" s="675">
        <f t="shared" si="14374"/>
        <v>0</v>
      </c>
      <c r="FB625" s="549">
        <f t="shared" si="14374"/>
        <v>0</v>
      </c>
      <c r="FC625" s="675">
        <f t="shared" si="14374"/>
        <v>0</v>
      </c>
      <c r="FD625" s="549">
        <f t="shared" si="14374"/>
        <v>0</v>
      </c>
      <c r="FE625" s="675">
        <f t="shared" si="14374"/>
        <v>0</v>
      </c>
      <c r="FF625" s="549">
        <f t="shared" si="14374"/>
        <v>1140</v>
      </c>
      <c r="FG625" s="675">
        <f t="shared" si="14374"/>
        <v>0</v>
      </c>
      <c r="FH625" s="549">
        <f t="shared" si="14374"/>
        <v>0</v>
      </c>
      <c r="FI625" s="675">
        <f t="shared" si="14374"/>
        <v>0</v>
      </c>
      <c r="FJ625" s="549">
        <f t="shared" si="14374"/>
        <v>0</v>
      </c>
      <c r="FK625" s="675">
        <f t="shared" si="14374"/>
        <v>0</v>
      </c>
      <c r="FL625" s="549">
        <f t="shared" si="14374"/>
        <v>0</v>
      </c>
      <c r="FM625" s="675">
        <f t="shared" si="14374"/>
        <v>0</v>
      </c>
      <c r="FN625" s="549">
        <f t="shared" si="14374"/>
        <v>0</v>
      </c>
      <c r="FO625" s="675">
        <f t="shared" si="14374"/>
        <v>0</v>
      </c>
      <c r="FP625" s="549">
        <f t="shared" si="14374"/>
        <v>0</v>
      </c>
      <c r="FQ625" s="675">
        <f t="shared" si="14374"/>
        <v>0</v>
      </c>
      <c r="FR625" s="549">
        <f t="shared" si="14374"/>
        <v>0</v>
      </c>
      <c r="FS625" s="675">
        <f t="shared" si="14374"/>
        <v>0</v>
      </c>
      <c r="FT625" s="549">
        <f t="shared" si="14374"/>
        <v>0</v>
      </c>
      <c r="FU625" s="675">
        <f t="shared" si="14374"/>
        <v>0</v>
      </c>
      <c r="FV625" s="549">
        <f t="shared" si="14374"/>
        <v>0</v>
      </c>
      <c r="FW625" s="675">
        <f t="shared" si="14374"/>
        <v>0</v>
      </c>
      <c r="FX625" s="549">
        <f t="shared" si="14374"/>
        <v>0</v>
      </c>
      <c r="FY625" s="675">
        <f t="shared" si="14374"/>
        <v>0</v>
      </c>
      <c r="FZ625" s="549">
        <f t="shared" si="14374"/>
        <v>0</v>
      </c>
      <c r="GA625" s="675">
        <f t="shared" si="14374"/>
        <v>0</v>
      </c>
      <c r="GB625" s="549">
        <f t="shared" si="14374"/>
        <v>0</v>
      </c>
      <c r="GC625" s="675">
        <f t="shared" si="14374"/>
        <v>0</v>
      </c>
      <c r="GD625" s="549">
        <f t="shared" si="14374"/>
        <v>0</v>
      </c>
      <c r="GE625" s="675">
        <f t="shared" si="14374"/>
        <v>0</v>
      </c>
      <c r="GF625" s="549">
        <f t="shared" si="14374"/>
        <v>0</v>
      </c>
      <c r="GG625" s="675">
        <f t="shared" si="14374"/>
        <v>0</v>
      </c>
      <c r="GH625" s="549">
        <f t="shared" si="14374"/>
        <v>0</v>
      </c>
      <c r="GI625" s="675">
        <f t="shared" si="14374"/>
        <v>0</v>
      </c>
      <c r="GJ625" s="549">
        <f t="shared" si="14374"/>
        <v>0</v>
      </c>
      <c r="GK625" s="675">
        <f t="shared" si="14374"/>
        <v>0</v>
      </c>
      <c r="GL625" s="549">
        <f t="shared" si="14374"/>
        <v>0</v>
      </c>
      <c r="GM625" s="675">
        <f t="shared" si="14374"/>
        <v>0</v>
      </c>
      <c r="GN625" s="549">
        <f t="shared" si="14374"/>
        <v>0</v>
      </c>
      <c r="GO625" s="675">
        <f t="shared" si="14374"/>
        <v>0</v>
      </c>
      <c r="GP625" s="549">
        <f t="shared" si="14374"/>
        <v>2915</v>
      </c>
      <c r="GQ625" s="675">
        <f t="shared" si="14374"/>
        <v>0</v>
      </c>
      <c r="GR625" s="74">
        <f t="shared" si="14374"/>
        <v>2915</v>
      </c>
      <c r="GS625" s="74">
        <f t="shared" si="14374"/>
        <v>2915</v>
      </c>
      <c r="GT625" s="549">
        <f t="shared" si="14374"/>
        <v>2915</v>
      </c>
      <c r="GU625" s="74">
        <f t="shared" si="14374"/>
        <v>0</v>
      </c>
      <c r="GV625" s="74">
        <f t="shared" si="14374"/>
        <v>0</v>
      </c>
      <c r="GW625" s="549">
        <f t="shared" si="14374"/>
        <v>0</v>
      </c>
      <c r="GX625" s="549">
        <f t="shared" si="14374"/>
        <v>0</v>
      </c>
      <c r="GY625" s="74">
        <f t="shared" si="14374"/>
        <v>0</v>
      </c>
      <c r="GZ625" s="74">
        <f t="shared" si="14374"/>
        <v>0</v>
      </c>
      <c r="HA625" s="74">
        <f t="shared" si="14374"/>
        <v>0</v>
      </c>
      <c r="HB625" s="74">
        <f t="shared" si="14374"/>
        <v>0</v>
      </c>
      <c r="HC625" s="74">
        <f t="shared" si="14374"/>
        <v>0</v>
      </c>
      <c r="HD625" s="74">
        <f t="shared" si="14374"/>
        <v>0</v>
      </c>
      <c r="HE625" s="74">
        <f t="shared" si="14374"/>
        <v>0</v>
      </c>
      <c r="HF625" s="74">
        <f t="shared" si="14374"/>
        <v>0</v>
      </c>
      <c r="HG625" s="74">
        <f t="shared" si="14374"/>
        <v>2915</v>
      </c>
      <c r="HH625" s="74">
        <f t="shared" ref="HH625:HI625" si="14375">HH626</f>
        <v>0</v>
      </c>
      <c r="HI625" s="792">
        <f t="shared" si="14375"/>
        <v>0</v>
      </c>
      <c r="HJ625" s="74">
        <f t="shared" ref="HJ625:HK625" si="14376">HJ626</f>
        <v>0</v>
      </c>
      <c r="HK625" s="792">
        <f t="shared" si="14376"/>
        <v>0</v>
      </c>
      <c r="HL625" s="74">
        <f t="shared" ref="HL625:HM625" si="14377">HL626</f>
        <v>0</v>
      </c>
      <c r="HM625" s="792">
        <f t="shared" si="14377"/>
        <v>0</v>
      </c>
      <c r="HN625" s="74">
        <f t="shared" ref="HN625:HO625" si="14378">HN626</f>
        <v>0</v>
      </c>
      <c r="HO625" s="792">
        <f t="shared" si="14378"/>
        <v>0</v>
      </c>
      <c r="HP625" s="74">
        <f t="shared" ref="HP625:HQ625" si="14379">HP626</f>
        <v>0</v>
      </c>
      <c r="HQ625" s="792">
        <f t="shared" si="14379"/>
        <v>0</v>
      </c>
      <c r="HR625" s="74">
        <f t="shared" ref="HR625:HS625" si="14380">HR626</f>
        <v>0</v>
      </c>
      <c r="HS625" s="792">
        <f t="shared" si="14380"/>
        <v>0</v>
      </c>
      <c r="HT625" s="74">
        <f t="shared" ref="HT625:HU625" si="14381">HT626</f>
        <v>0</v>
      </c>
      <c r="HU625" s="792">
        <f t="shared" si="14381"/>
        <v>0</v>
      </c>
      <c r="HV625" s="74">
        <f t="shared" ref="HV625:HW625" si="14382">HV626</f>
        <v>0</v>
      </c>
      <c r="HW625" s="792">
        <f t="shared" si="14382"/>
        <v>0</v>
      </c>
      <c r="HX625" s="74">
        <f t="shared" ref="HX625:HY625" si="14383">HX626</f>
        <v>1775</v>
      </c>
      <c r="HY625" s="792">
        <f t="shared" si="14383"/>
        <v>0</v>
      </c>
      <c r="HZ625" s="74">
        <f t="shared" ref="HZ625:IA625" si="14384">HZ626</f>
        <v>1140</v>
      </c>
      <c r="IA625" s="792">
        <f t="shared" si="14384"/>
        <v>0</v>
      </c>
      <c r="IB625" s="74">
        <f t="shared" ref="IB625:IC625" si="14385">IB626</f>
        <v>0</v>
      </c>
      <c r="IC625" s="792">
        <f t="shared" si="14385"/>
        <v>0</v>
      </c>
      <c r="ID625" s="74">
        <f t="shared" si="14374"/>
        <v>0</v>
      </c>
      <c r="IE625" s="792">
        <f t="shared" si="14374"/>
        <v>0</v>
      </c>
      <c r="IF625" s="841">
        <f t="shared" si="14374"/>
        <v>1775</v>
      </c>
      <c r="IG625" s="263">
        <f t="shared" si="14374"/>
        <v>1775</v>
      </c>
      <c r="IH625" s="842">
        <f t="shared" si="14374"/>
        <v>1775</v>
      </c>
      <c r="II625" s="74">
        <f t="shared" si="14374"/>
        <v>0</v>
      </c>
      <c r="IJ625" s="74">
        <f t="shared" si="14374"/>
        <v>0</v>
      </c>
      <c r="IK625" s="74">
        <f t="shared" si="14374"/>
        <v>0</v>
      </c>
      <c r="IL625" s="74">
        <f t="shared" si="14374"/>
        <v>0</v>
      </c>
      <c r="IM625" s="74">
        <f t="shared" si="14374"/>
        <v>0</v>
      </c>
      <c r="IN625" s="74">
        <f t="shared" si="14374"/>
        <v>0</v>
      </c>
      <c r="IO625" s="74">
        <f t="shared" si="14374"/>
        <v>0</v>
      </c>
      <c r="IP625" s="74">
        <f t="shared" si="14374"/>
        <v>0</v>
      </c>
      <c r="IQ625" s="74">
        <f t="shared" si="14374"/>
        <v>0</v>
      </c>
      <c r="IR625" s="74">
        <f t="shared" si="14374"/>
        <v>0</v>
      </c>
      <c r="IS625" s="74">
        <f t="shared" si="14374"/>
        <v>0</v>
      </c>
      <c r="IT625" s="74">
        <f t="shared" si="14374"/>
        <v>0</v>
      </c>
      <c r="IU625" s="74">
        <f t="shared" si="14374"/>
        <v>0</v>
      </c>
      <c r="IV625" s="74">
        <f t="shared" si="14374"/>
        <v>0</v>
      </c>
      <c r="IW625" s="74">
        <f t="shared" si="14374"/>
        <v>0</v>
      </c>
      <c r="IX625" s="74">
        <f t="shared" si="14374"/>
        <v>0</v>
      </c>
      <c r="IY625" s="74">
        <f t="shared" si="14374"/>
        <v>0</v>
      </c>
      <c r="IZ625" s="74">
        <f t="shared" si="14374"/>
        <v>0</v>
      </c>
      <c r="JA625" s="74">
        <f t="shared" ref="JA625:JY625" si="14386">JA626</f>
        <v>0</v>
      </c>
      <c r="JB625" s="74">
        <f t="shared" si="14386"/>
        <v>0</v>
      </c>
      <c r="JC625" s="74">
        <f t="shared" si="14386"/>
        <v>0</v>
      </c>
      <c r="JD625" s="74">
        <f t="shared" si="14386"/>
        <v>0</v>
      </c>
      <c r="JE625" s="74">
        <f t="shared" si="14386"/>
        <v>0</v>
      </c>
      <c r="JF625" s="74">
        <f t="shared" si="14386"/>
        <v>0</v>
      </c>
      <c r="JG625" s="74">
        <f t="shared" si="14386"/>
        <v>1775</v>
      </c>
      <c r="JH625" s="74">
        <f t="shared" si="14386"/>
        <v>1775</v>
      </c>
      <c r="JI625" s="74">
        <f t="shared" si="14386"/>
        <v>1775</v>
      </c>
      <c r="JJ625" s="74">
        <f t="shared" si="14386"/>
        <v>0</v>
      </c>
      <c r="JK625" s="74">
        <f t="shared" si="14386"/>
        <v>0</v>
      </c>
      <c r="JL625" s="74">
        <f t="shared" si="14386"/>
        <v>0</v>
      </c>
      <c r="JM625" s="74">
        <f t="shared" si="14386"/>
        <v>0</v>
      </c>
      <c r="JN625" s="74">
        <f t="shared" si="14386"/>
        <v>0</v>
      </c>
      <c r="JO625" s="74">
        <f t="shared" si="14386"/>
        <v>0</v>
      </c>
      <c r="JP625" s="74">
        <f t="shared" si="14386"/>
        <v>0</v>
      </c>
      <c r="JQ625" s="74">
        <f t="shared" si="14386"/>
        <v>0</v>
      </c>
      <c r="JR625" s="74">
        <f t="shared" si="14386"/>
        <v>0</v>
      </c>
      <c r="JS625" s="74">
        <f t="shared" si="14386"/>
        <v>1140</v>
      </c>
      <c r="JT625" s="382">
        <f t="shared" si="14386"/>
        <v>1140</v>
      </c>
      <c r="JU625" s="665"/>
      <c r="JV625" s="524"/>
      <c r="JW625" s="525"/>
      <c r="JX625" s="549">
        <f t="shared" si="14386"/>
        <v>2915</v>
      </c>
      <c r="JY625" s="549">
        <f t="shared" si="14386"/>
        <v>0</v>
      </c>
      <c r="JZ625" s="581">
        <f t="shared" si="13477"/>
        <v>2915</v>
      </c>
      <c r="KA625" s="581">
        <f t="shared" si="13478"/>
        <v>0</v>
      </c>
      <c r="KB625" s="549">
        <f>JX625</f>
        <v>2915</v>
      </c>
      <c r="KC625" s="709">
        <f t="shared" si="13396"/>
        <v>0</v>
      </c>
      <c r="KD625" s="36"/>
      <c r="KE625" s="36"/>
      <c r="KF625" s="36"/>
      <c r="KG625" s="36"/>
      <c r="KH625" s="36"/>
      <c r="KI625" s="36"/>
      <c r="KJ625" s="36"/>
      <c r="KK625" s="36"/>
    </row>
    <row r="626" spans="1:297" s="33" customFormat="1">
      <c r="A626" s="86" t="s">
        <v>1070</v>
      </c>
      <c r="B626" s="77"/>
      <c r="C626" s="74">
        <v>0</v>
      </c>
      <c r="D626" s="549">
        <v>0</v>
      </c>
      <c r="E626" s="675">
        <v>0</v>
      </c>
      <c r="F626" s="549">
        <v>0</v>
      </c>
      <c r="G626" s="675">
        <v>0</v>
      </c>
      <c r="H626" s="549">
        <v>0</v>
      </c>
      <c r="I626" s="675">
        <v>0</v>
      </c>
      <c r="J626" s="549">
        <v>0</v>
      </c>
      <c r="K626" s="675">
        <v>0</v>
      </c>
      <c r="L626" s="549">
        <v>0</v>
      </c>
      <c r="M626" s="675">
        <v>0</v>
      </c>
      <c r="N626" s="549">
        <v>0</v>
      </c>
      <c r="O626" s="675">
        <v>0</v>
      </c>
      <c r="P626" s="549">
        <v>0</v>
      </c>
      <c r="Q626" s="675">
        <v>0</v>
      </c>
      <c r="R626" s="549">
        <v>0</v>
      </c>
      <c r="S626" s="675">
        <v>0</v>
      </c>
      <c r="T626" s="549">
        <v>0</v>
      </c>
      <c r="U626" s="675">
        <v>0</v>
      </c>
      <c r="V626" s="549">
        <v>0</v>
      </c>
      <c r="W626" s="675">
        <v>0</v>
      </c>
      <c r="X626" s="549">
        <v>0</v>
      </c>
      <c r="Y626" s="675">
        <v>0</v>
      </c>
      <c r="Z626" s="549">
        <v>0</v>
      </c>
      <c r="AA626" s="675">
        <v>0</v>
      </c>
      <c r="AB626" s="549">
        <v>0</v>
      </c>
      <c r="AC626" s="675">
        <v>0</v>
      </c>
      <c r="AD626" s="549">
        <v>0</v>
      </c>
      <c r="AE626" s="675">
        <v>0</v>
      </c>
      <c r="AF626" s="549">
        <v>0</v>
      </c>
      <c r="AG626" s="675">
        <v>0</v>
      </c>
      <c r="AH626" s="549">
        <v>0</v>
      </c>
      <c r="AI626" s="675">
        <v>0</v>
      </c>
      <c r="AJ626" s="549">
        <v>0</v>
      </c>
      <c r="AK626" s="675">
        <v>0</v>
      </c>
      <c r="AL626" s="549">
        <v>0</v>
      </c>
      <c r="AM626" s="675">
        <v>0</v>
      </c>
      <c r="AN626" s="549">
        <v>0</v>
      </c>
      <c r="AO626" s="675">
        <v>0</v>
      </c>
      <c r="AP626" s="549">
        <v>0</v>
      </c>
      <c r="AQ626" s="675">
        <v>0</v>
      </c>
      <c r="AR626" s="549">
        <v>0</v>
      </c>
      <c r="AS626" s="675">
        <v>0</v>
      </c>
      <c r="AT626" s="549">
        <v>0</v>
      </c>
      <c r="AU626" s="675">
        <v>0</v>
      </c>
      <c r="AV626" s="549">
        <v>0</v>
      </c>
      <c r="AW626" s="675">
        <v>0</v>
      </c>
      <c r="AX626" s="549">
        <v>0</v>
      </c>
      <c r="AY626" s="675">
        <v>0</v>
      </c>
      <c r="AZ626" s="549">
        <v>0</v>
      </c>
      <c r="BA626" s="675">
        <v>0</v>
      </c>
      <c r="BB626" s="549">
        <v>0</v>
      </c>
      <c r="BC626" s="675">
        <v>0</v>
      </c>
      <c r="BD626" s="549">
        <v>0</v>
      </c>
      <c r="BE626" s="675">
        <v>0</v>
      </c>
      <c r="BF626" s="549">
        <v>0</v>
      </c>
      <c r="BG626" s="675">
        <v>0</v>
      </c>
      <c r="BH626" s="549">
        <v>0</v>
      </c>
      <c r="BI626" s="675">
        <v>0</v>
      </c>
      <c r="BJ626" s="549">
        <v>0</v>
      </c>
      <c r="BK626" s="675">
        <v>0</v>
      </c>
      <c r="BL626" s="549">
        <v>0</v>
      </c>
      <c r="BM626" s="675">
        <v>0</v>
      </c>
      <c r="BN626" s="549">
        <v>0</v>
      </c>
      <c r="BO626" s="675">
        <v>0</v>
      </c>
      <c r="BP626" s="549">
        <v>0</v>
      </c>
      <c r="BQ626" s="675">
        <v>0</v>
      </c>
      <c r="BR626" s="549">
        <v>0</v>
      </c>
      <c r="BS626" s="675">
        <v>0</v>
      </c>
      <c r="BT626" s="549">
        <v>0</v>
      </c>
      <c r="BU626" s="675">
        <v>0</v>
      </c>
      <c r="BV626" s="549">
        <v>0</v>
      </c>
      <c r="BW626" s="675">
        <v>0</v>
      </c>
      <c r="BX626" s="549">
        <v>0</v>
      </c>
      <c r="BY626" s="675">
        <v>0</v>
      </c>
      <c r="BZ626" s="549">
        <v>1775</v>
      </c>
      <c r="CA626" s="675">
        <v>0</v>
      </c>
      <c r="CB626" s="549">
        <v>0</v>
      </c>
      <c r="CC626" s="675">
        <v>0</v>
      </c>
      <c r="CD626" s="549">
        <v>0</v>
      </c>
      <c r="CE626" s="675">
        <v>0</v>
      </c>
      <c r="CF626" s="549">
        <v>0</v>
      </c>
      <c r="CG626" s="675">
        <v>0</v>
      </c>
      <c r="CH626" s="549">
        <v>0</v>
      </c>
      <c r="CI626" s="675">
        <v>0</v>
      </c>
      <c r="CJ626" s="549">
        <v>0</v>
      </c>
      <c r="CK626" s="675">
        <v>0</v>
      </c>
      <c r="CL626" s="549">
        <v>0</v>
      </c>
      <c r="CM626" s="675">
        <v>0</v>
      </c>
      <c r="CN626" s="549">
        <v>0</v>
      </c>
      <c r="CO626" s="675">
        <v>0</v>
      </c>
      <c r="CP626" s="549">
        <v>0</v>
      </c>
      <c r="CQ626" s="675">
        <v>0</v>
      </c>
      <c r="CR626" s="549">
        <v>0</v>
      </c>
      <c r="CS626" s="675">
        <v>0</v>
      </c>
      <c r="CT626" s="549">
        <v>0</v>
      </c>
      <c r="CU626" s="675">
        <v>0</v>
      </c>
      <c r="CV626" s="549">
        <v>0</v>
      </c>
      <c r="CW626" s="675">
        <v>0</v>
      </c>
      <c r="CX626" s="549">
        <v>0</v>
      </c>
      <c r="CY626" s="675">
        <v>0</v>
      </c>
      <c r="CZ626" s="549">
        <v>0</v>
      </c>
      <c r="DA626" s="675">
        <v>0</v>
      </c>
      <c r="DB626" s="549">
        <v>0</v>
      </c>
      <c r="DC626" s="675">
        <v>0</v>
      </c>
      <c r="DD626" s="549">
        <v>0</v>
      </c>
      <c r="DE626" s="675">
        <v>0</v>
      </c>
      <c r="DF626" s="549">
        <v>0</v>
      </c>
      <c r="DG626" s="675">
        <v>0</v>
      </c>
      <c r="DH626" s="549">
        <v>0</v>
      </c>
      <c r="DI626" s="675">
        <v>0</v>
      </c>
      <c r="DJ626" s="549">
        <v>0</v>
      </c>
      <c r="DK626" s="675">
        <v>0</v>
      </c>
      <c r="DL626" s="549">
        <v>0</v>
      </c>
      <c r="DM626" s="675">
        <v>0</v>
      </c>
      <c r="DN626" s="549">
        <v>0</v>
      </c>
      <c r="DO626" s="675">
        <v>0</v>
      </c>
      <c r="DP626" s="549">
        <v>0</v>
      </c>
      <c r="DQ626" s="675">
        <v>0</v>
      </c>
      <c r="DR626" s="549">
        <v>0</v>
      </c>
      <c r="DS626" s="675">
        <v>0</v>
      </c>
      <c r="DT626" s="549">
        <v>0</v>
      </c>
      <c r="DU626" s="675">
        <v>0</v>
      </c>
      <c r="DV626" s="549">
        <v>0</v>
      </c>
      <c r="DW626" s="675">
        <v>0</v>
      </c>
      <c r="DX626" s="549">
        <v>0</v>
      </c>
      <c r="DY626" s="675">
        <v>0</v>
      </c>
      <c r="DZ626" s="549">
        <v>0</v>
      </c>
      <c r="EA626" s="675">
        <v>0</v>
      </c>
      <c r="EB626" s="549">
        <v>0</v>
      </c>
      <c r="EC626" s="675">
        <v>0</v>
      </c>
      <c r="ED626" s="549">
        <v>0</v>
      </c>
      <c r="EE626" s="675">
        <v>0</v>
      </c>
      <c r="EF626" s="549">
        <v>0</v>
      </c>
      <c r="EG626" s="675">
        <v>0</v>
      </c>
      <c r="EH626" s="549">
        <v>0</v>
      </c>
      <c r="EI626" s="675">
        <v>0</v>
      </c>
      <c r="EJ626" s="549">
        <v>0</v>
      </c>
      <c r="EK626" s="675">
        <v>0</v>
      </c>
      <c r="EL626" s="549">
        <v>0</v>
      </c>
      <c r="EM626" s="675">
        <v>0</v>
      </c>
      <c r="EN626" s="549">
        <v>0</v>
      </c>
      <c r="EO626" s="675">
        <v>0</v>
      </c>
      <c r="EP626" s="549">
        <v>0</v>
      </c>
      <c r="EQ626" s="675">
        <v>0</v>
      </c>
      <c r="ER626" s="549">
        <v>0</v>
      </c>
      <c r="ES626" s="675">
        <v>0</v>
      </c>
      <c r="ET626" s="549">
        <v>0</v>
      </c>
      <c r="EU626" s="675">
        <v>0</v>
      </c>
      <c r="EV626" s="549">
        <v>0</v>
      </c>
      <c r="EW626" s="675">
        <v>0</v>
      </c>
      <c r="EX626" s="549">
        <v>0</v>
      </c>
      <c r="EY626" s="675">
        <v>0</v>
      </c>
      <c r="EZ626" s="549">
        <v>0</v>
      </c>
      <c r="FA626" s="675">
        <v>0</v>
      </c>
      <c r="FB626" s="549">
        <v>0</v>
      </c>
      <c r="FC626" s="675">
        <v>0</v>
      </c>
      <c r="FD626" s="549">
        <v>0</v>
      </c>
      <c r="FE626" s="675">
        <v>0</v>
      </c>
      <c r="FF626" s="549">
        <v>1140</v>
      </c>
      <c r="FG626" s="675">
        <v>0</v>
      </c>
      <c r="FH626" s="549">
        <v>0</v>
      </c>
      <c r="FI626" s="675">
        <v>0</v>
      </c>
      <c r="FJ626" s="549">
        <v>0</v>
      </c>
      <c r="FK626" s="675">
        <v>0</v>
      </c>
      <c r="FL626" s="549">
        <v>0</v>
      </c>
      <c r="FM626" s="675">
        <v>0</v>
      </c>
      <c r="FN626" s="549">
        <v>0</v>
      </c>
      <c r="FO626" s="675">
        <v>0</v>
      </c>
      <c r="FP626" s="549">
        <v>0</v>
      </c>
      <c r="FQ626" s="675">
        <v>0</v>
      </c>
      <c r="FR626" s="549">
        <v>0</v>
      </c>
      <c r="FS626" s="675">
        <v>0</v>
      </c>
      <c r="FT626" s="549">
        <v>0</v>
      </c>
      <c r="FU626" s="675">
        <v>0</v>
      </c>
      <c r="FV626" s="549">
        <v>0</v>
      </c>
      <c r="FW626" s="675">
        <v>0</v>
      </c>
      <c r="FX626" s="549">
        <v>0</v>
      </c>
      <c r="FY626" s="675">
        <v>0</v>
      </c>
      <c r="FZ626" s="549">
        <v>0</v>
      </c>
      <c r="GA626" s="675">
        <v>0</v>
      </c>
      <c r="GB626" s="549">
        <v>0</v>
      </c>
      <c r="GC626" s="675">
        <v>0</v>
      </c>
      <c r="GD626" s="549">
        <v>0</v>
      </c>
      <c r="GE626" s="675">
        <v>0</v>
      </c>
      <c r="GF626" s="549">
        <v>0</v>
      </c>
      <c r="GG626" s="675">
        <v>0</v>
      </c>
      <c r="GH626" s="549">
        <v>0</v>
      </c>
      <c r="GI626" s="675">
        <v>0</v>
      </c>
      <c r="GJ626" s="549">
        <v>0</v>
      </c>
      <c r="GK626" s="675">
        <v>0</v>
      </c>
      <c r="GL626" s="549">
        <v>0</v>
      </c>
      <c r="GM626" s="675">
        <v>0</v>
      </c>
      <c r="GN626" s="549">
        <v>0</v>
      </c>
      <c r="GO626" s="675">
        <v>0</v>
      </c>
      <c r="GP626" s="549">
        <f>+D626+F626+H626+J626+L626+N626+P626+R626+T626+V626+X626+Z626+AB626+AF626+AD626+AH626+AJ626+AL626+AN626+AP626+AR626+AT626+AV626+AX626+AZ626+BB626+BD626+BF626+BH626+BJ626+BL626+BN626+BP626+BR626+BT626+BV626+BX626+BZ626+CB626+CD626+CF626+CH626+CJ626+CL626+CN626+CP626+CR626+CT626+CV626+CX626+CZ626+DB626+DD626+DF626+DH626+DT626+EX626+DJ626+DL626+DN626+DP626+DR626+EJ626+EB626+DZ626+DX626+DV626+ED626+EF626+EH626+EL626+EN626+EP626+EV626+ET626+ER626+EZ626+FB626+FD626+GL626+FF626+FJ626+FL626+GJ626+FT626+FR626+FP626+FN626+FH626+GH626+GF626+GD626+GB626+FZ626+FX626+FV626+GN626</f>
        <v>2915</v>
      </c>
      <c r="GQ626" s="675">
        <f>+E626+G626+I626+K626+M626+O626+Q626+S626+U626+W626+Y626+AA626+AC626+AE626+AG626+AI626+AK626+AM626+AO626+AQ626+AS626+AU626+AW626+AY626+BA626+BC626+BE626+BG626+BI626+BK626+BM626+BO626+BQ626+BS626+BU626+BW626+BY626+CA626+CC626+CE626+CG626+CI626+CK626+CM626+CO626+CQ626+CS626+CU626+CW626+CY626+DA626+DC626+DE626+DG626+DI626+DU626+EY626+DK626+DM626+DO626+DQ626+DS626+EK626+EC626+EA626+DY626+DW626+EI626+EG626+EE626+EM626+EO626+EQ626+EW626+EU626+ES626+FA626+FC626+FE626+GM626+FG626+FK626+FM626+FO626+FQ626+FS626+FU626+GK626+FI626+GI626+GG626+GE626+GC626+GA626+FY626+FW626+GO626</f>
        <v>0</v>
      </c>
      <c r="GR626" s="74">
        <f>C626+GP626+GQ626</f>
        <v>2915</v>
      </c>
      <c r="GS626" s="74">
        <f>SUM(GU626:HD626)+GP626+GQ626</f>
        <v>2915</v>
      </c>
      <c r="GT626" s="568">
        <f>SUM(GU626:HF626)+GQ626+GP626</f>
        <v>2915</v>
      </c>
      <c r="GU626" s="275">
        <v>0</v>
      </c>
      <c r="GV626" s="275">
        <v>0</v>
      </c>
      <c r="GW626" s="588">
        <v>0</v>
      </c>
      <c r="GX626" s="588">
        <v>0</v>
      </c>
      <c r="GY626" s="275">
        <v>0</v>
      </c>
      <c r="GZ626" s="275">
        <v>0</v>
      </c>
      <c r="HA626" s="275">
        <v>0</v>
      </c>
      <c r="HB626" s="275">
        <v>0</v>
      </c>
      <c r="HC626" s="275">
        <v>0</v>
      </c>
      <c r="HD626" s="275">
        <v>0</v>
      </c>
      <c r="HE626" s="275">
        <v>0</v>
      </c>
      <c r="HF626" s="275">
        <v>0</v>
      </c>
      <c r="HG626" s="74">
        <f>SUM(HH626:IE626)</f>
        <v>2915</v>
      </c>
      <c r="HH626" s="89">
        <v>0</v>
      </c>
      <c r="HI626" s="817">
        <v>0</v>
      </c>
      <c r="HJ626" s="89">
        <v>0</v>
      </c>
      <c r="HK626" s="817">
        <v>0</v>
      </c>
      <c r="HL626" s="89">
        <v>0</v>
      </c>
      <c r="HM626" s="817">
        <v>0</v>
      </c>
      <c r="HN626" s="89">
        <v>0</v>
      </c>
      <c r="HO626" s="817">
        <v>0</v>
      </c>
      <c r="HP626" s="89">
        <v>0</v>
      </c>
      <c r="HQ626" s="817">
        <v>0</v>
      </c>
      <c r="HR626" s="89">
        <v>0</v>
      </c>
      <c r="HS626" s="817">
        <v>0</v>
      </c>
      <c r="HT626" s="89">
        <v>0</v>
      </c>
      <c r="HU626" s="817">
        <v>0</v>
      </c>
      <c r="HV626" s="89">
        <v>0</v>
      </c>
      <c r="HW626" s="817">
        <v>0</v>
      </c>
      <c r="HX626" s="89">
        <v>1775</v>
      </c>
      <c r="HY626" s="817">
        <v>0</v>
      </c>
      <c r="HZ626" s="89">
        <f>2915-1775</f>
        <v>1140</v>
      </c>
      <c r="IA626" s="817">
        <v>0</v>
      </c>
      <c r="IB626" s="89">
        <v>0</v>
      </c>
      <c r="IC626" s="817">
        <v>0</v>
      </c>
      <c r="ID626" s="89">
        <v>0</v>
      </c>
      <c r="IE626" s="817">
        <v>0</v>
      </c>
      <c r="IF626" s="841">
        <f t="shared" ref="IF626" si="14387">SUM(II626,IL626,IO626,IR626,IU626,IX626,JA626,JD626,JG626,JJ626,JM626,JP626)</f>
        <v>1775</v>
      </c>
      <c r="IG626" s="263">
        <f t="shared" ref="IG626" si="14388">SUM(IJ626,IM626,IP626,IS626,IV626,IY626,JB626,JE626,JH626,JK626,JN626,JQ626)</f>
        <v>1775</v>
      </c>
      <c r="IH626" s="842">
        <f t="shared" ref="IH626" si="14389">SUM(IK626,IN626,IQ626,IT626,IW626,IZ626,JC626,JF626,JI626,JL626,JO626,JR626)</f>
        <v>1775</v>
      </c>
      <c r="II626" s="89">
        <v>0</v>
      </c>
      <c r="IJ626" s="89">
        <f t="shared" ref="IJ626" si="14390">II626</f>
        <v>0</v>
      </c>
      <c r="IK626" s="89">
        <f t="shared" ref="IK626" si="14391">IJ626</f>
        <v>0</v>
      </c>
      <c r="IL626" s="89">
        <v>0</v>
      </c>
      <c r="IM626" s="89">
        <f t="shared" ref="IM626" si="14392">IL626</f>
        <v>0</v>
      </c>
      <c r="IN626" s="89">
        <f t="shared" ref="IN626" si="14393">IM626</f>
        <v>0</v>
      </c>
      <c r="IO626" s="89">
        <v>0</v>
      </c>
      <c r="IP626" s="89">
        <f t="shared" ref="IP626" si="14394">IO626</f>
        <v>0</v>
      </c>
      <c r="IQ626" s="89">
        <f t="shared" ref="IQ626" si="14395">IP626</f>
        <v>0</v>
      </c>
      <c r="IR626" s="89">
        <v>0</v>
      </c>
      <c r="IS626" s="89">
        <f t="shared" ref="IS626" si="14396">IR626</f>
        <v>0</v>
      </c>
      <c r="IT626" s="89">
        <f t="shared" ref="IT626" si="14397">IS626</f>
        <v>0</v>
      </c>
      <c r="IU626" s="89">
        <v>0</v>
      </c>
      <c r="IV626" s="89">
        <f t="shared" ref="IV626" si="14398">IU626</f>
        <v>0</v>
      </c>
      <c r="IW626" s="89">
        <f t="shared" ref="IW626" si="14399">IV626</f>
        <v>0</v>
      </c>
      <c r="IX626" s="89">
        <v>0</v>
      </c>
      <c r="IY626" s="89">
        <f t="shared" ref="IY626" si="14400">IX626</f>
        <v>0</v>
      </c>
      <c r="IZ626" s="89">
        <f t="shared" ref="IZ626" si="14401">IY626</f>
        <v>0</v>
      </c>
      <c r="JA626" s="89">
        <v>0</v>
      </c>
      <c r="JB626" s="89">
        <f t="shared" ref="JB626" si="14402">JA626</f>
        <v>0</v>
      </c>
      <c r="JC626" s="89">
        <f t="shared" ref="JC626" si="14403">JB626</f>
        <v>0</v>
      </c>
      <c r="JD626" s="89">
        <v>0</v>
      </c>
      <c r="JE626" s="89">
        <f t="shared" ref="JE626" si="14404">JD626</f>
        <v>0</v>
      </c>
      <c r="JF626" s="89">
        <f t="shared" ref="JF626" si="14405">JE626</f>
        <v>0</v>
      </c>
      <c r="JG626" s="89">
        <v>1775</v>
      </c>
      <c r="JH626" s="89">
        <f t="shared" ref="JH626" si="14406">JG626</f>
        <v>1775</v>
      </c>
      <c r="JI626" s="89">
        <f t="shared" ref="JI626" si="14407">JH626</f>
        <v>1775</v>
      </c>
      <c r="JJ626" s="89">
        <v>0</v>
      </c>
      <c r="JK626" s="89">
        <f t="shared" ref="JK626" si="14408">JJ626</f>
        <v>0</v>
      </c>
      <c r="JL626" s="89">
        <f t="shared" ref="JL626" si="14409">JK626</f>
        <v>0</v>
      </c>
      <c r="JM626" s="89">
        <v>0</v>
      </c>
      <c r="JN626" s="89">
        <f t="shared" ref="JN626" si="14410">JM626</f>
        <v>0</v>
      </c>
      <c r="JO626" s="89">
        <f t="shared" ref="JO626" si="14411">JN626</f>
        <v>0</v>
      </c>
      <c r="JP626" s="89">
        <v>0</v>
      </c>
      <c r="JQ626" s="89">
        <f t="shared" ref="JQ626:JR626" si="14412">JP626</f>
        <v>0</v>
      </c>
      <c r="JR626" s="89">
        <f t="shared" si="14412"/>
        <v>0</v>
      </c>
      <c r="JS626" s="74">
        <f>HG626-IF626</f>
        <v>1140</v>
      </c>
      <c r="JT626" s="382">
        <f>GS626-IF626</f>
        <v>1140</v>
      </c>
      <c r="JU626" s="665"/>
      <c r="JV626" s="524"/>
      <c r="JW626" s="525"/>
      <c r="JX626" s="549">
        <f>SUM(HH626,HJ626,HL626,HN626,HP626,HR626,HT626,HV626,HX626,HZ626,IB626,ID626)</f>
        <v>2915</v>
      </c>
      <c r="JY626" s="549">
        <f>SUM(HI626,HK626,HM626,HO626,HQ626,HS626,HU626,HW626,HY626,IA626,IC626,IE626)</f>
        <v>0</v>
      </c>
      <c r="JZ626" s="581">
        <f t="shared" si="13477"/>
        <v>2915</v>
      </c>
      <c r="KA626" s="581">
        <f t="shared" si="13478"/>
        <v>0</v>
      </c>
      <c r="KB626" s="549">
        <f>JX626</f>
        <v>2915</v>
      </c>
      <c r="KC626" s="709">
        <f t="shared" si="13396"/>
        <v>0</v>
      </c>
      <c r="KD626" s="36"/>
      <c r="KE626" s="36"/>
      <c r="KF626" s="36"/>
      <c r="KG626" s="36"/>
      <c r="KH626" s="36"/>
      <c r="KI626" s="36"/>
      <c r="KJ626" s="36"/>
      <c r="KK626" s="36"/>
    </row>
    <row r="627" spans="1:297" s="10" customFormat="1" ht="12.75" customHeight="1">
      <c r="A627" s="86"/>
      <c r="B627" s="77"/>
      <c r="C627" s="74"/>
      <c r="D627" s="549"/>
      <c r="E627" s="675"/>
      <c r="F627" s="549"/>
      <c r="G627" s="675"/>
      <c r="H627" s="549"/>
      <c r="I627" s="675"/>
      <c r="J627" s="549"/>
      <c r="K627" s="675"/>
      <c r="L627" s="549"/>
      <c r="M627" s="675"/>
      <c r="N627" s="549"/>
      <c r="O627" s="675"/>
      <c r="P627" s="549"/>
      <c r="Q627" s="675"/>
      <c r="R627" s="549"/>
      <c r="S627" s="675"/>
      <c r="T627" s="549"/>
      <c r="U627" s="675"/>
      <c r="V627" s="549"/>
      <c r="W627" s="675"/>
      <c r="X627" s="549"/>
      <c r="Y627" s="675"/>
      <c r="Z627" s="549"/>
      <c r="AA627" s="675"/>
      <c r="AB627" s="549"/>
      <c r="AC627" s="675"/>
      <c r="AD627" s="549"/>
      <c r="AE627" s="675"/>
      <c r="AF627" s="549"/>
      <c r="AG627" s="675"/>
      <c r="AH627" s="549"/>
      <c r="AI627" s="675"/>
      <c r="AJ627" s="549"/>
      <c r="AK627" s="675"/>
      <c r="AL627" s="549"/>
      <c r="AM627" s="675"/>
      <c r="AN627" s="549"/>
      <c r="AO627" s="675"/>
      <c r="AP627" s="549"/>
      <c r="AQ627" s="675"/>
      <c r="AR627" s="549"/>
      <c r="AS627" s="675"/>
      <c r="AT627" s="549"/>
      <c r="AU627" s="675"/>
      <c r="AV627" s="549"/>
      <c r="AW627" s="675"/>
      <c r="AX627" s="549"/>
      <c r="AY627" s="675"/>
      <c r="AZ627" s="549"/>
      <c r="BA627" s="675"/>
      <c r="BB627" s="549"/>
      <c r="BC627" s="675"/>
      <c r="BD627" s="549"/>
      <c r="BE627" s="675"/>
      <c r="BF627" s="549"/>
      <c r="BG627" s="675"/>
      <c r="BH627" s="549"/>
      <c r="BI627" s="675"/>
      <c r="BJ627" s="549"/>
      <c r="BK627" s="675"/>
      <c r="BL627" s="549"/>
      <c r="BM627" s="675"/>
      <c r="BN627" s="549"/>
      <c r="BO627" s="675"/>
      <c r="BP627" s="549"/>
      <c r="BQ627" s="675"/>
      <c r="BR627" s="549"/>
      <c r="BS627" s="675"/>
      <c r="BT627" s="549"/>
      <c r="BU627" s="675"/>
      <c r="BV627" s="549"/>
      <c r="BW627" s="675"/>
      <c r="BX627" s="549"/>
      <c r="BY627" s="675"/>
      <c r="BZ627" s="549"/>
      <c r="CA627" s="675"/>
      <c r="CB627" s="549"/>
      <c r="CC627" s="675"/>
      <c r="CD627" s="549"/>
      <c r="CE627" s="675"/>
      <c r="CF627" s="549"/>
      <c r="CG627" s="675"/>
      <c r="CH627" s="549"/>
      <c r="CI627" s="675"/>
      <c r="CJ627" s="549"/>
      <c r="CK627" s="675"/>
      <c r="CL627" s="549"/>
      <c r="CM627" s="675"/>
      <c r="CN627" s="549"/>
      <c r="CO627" s="675"/>
      <c r="CP627" s="549"/>
      <c r="CQ627" s="675"/>
      <c r="CR627" s="549"/>
      <c r="CS627" s="675"/>
      <c r="CT627" s="549"/>
      <c r="CU627" s="675"/>
      <c r="CV627" s="549"/>
      <c r="CW627" s="675"/>
      <c r="CX627" s="549"/>
      <c r="CY627" s="675"/>
      <c r="CZ627" s="549"/>
      <c r="DA627" s="675"/>
      <c r="DB627" s="549"/>
      <c r="DC627" s="675"/>
      <c r="DD627" s="549"/>
      <c r="DE627" s="675"/>
      <c r="DF627" s="549"/>
      <c r="DG627" s="675"/>
      <c r="DH627" s="549"/>
      <c r="DI627" s="675"/>
      <c r="DJ627" s="549"/>
      <c r="DK627" s="675"/>
      <c r="DL627" s="549"/>
      <c r="DM627" s="675"/>
      <c r="DN627" s="549"/>
      <c r="DO627" s="675"/>
      <c r="DP627" s="549"/>
      <c r="DQ627" s="675"/>
      <c r="DR627" s="549"/>
      <c r="DS627" s="675"/>
      <c r="DT627" s="549"/>
      <c r="DU627" s="675"/>
      <c r="DV627" s="549"/>
      <c r="DW627" s="675"/>
      <c r="DX627" s="549"/>
      <c r="DY627" s="675"/>
      <c r="DZ627" s="549"/>
      <c r="EA627" s="675"/>
      <c r="EB627" s="549"/>
      <c r="EC627" s="675"/>
      <c r="ED627" s="549"/>
      <c r="EE627" s="675"/>
      <c r="EF627" s="549"/>
      <c r="EG627" s="675"/>
      <c r="EH627" s="549"/>
      <c r="EI627" s="675"/>
      <c r="EJ627" s="549"/>
      <c r="EK627" s="675"/>
      <c r="EL627" s="549"/>
      <c r="EM627" s="675"/>
      <c r="EN627" s="549"/>
      <c r="EO627" s="675"/>
      <c r="EP627" s="549"/>
      <c r="EQ627" s="675"/>
      <c r="ER627" s="549"/>
      <c r="ES627" s="675"/>
      <c r="ET627" s="549"/>
      <c r="EU627" s="675"/>
      <c r="EV627" s="549"/>
      <c r="EW627" s="675"/>
      <c r="EX627" s="549"/>
      <c r="EY627" s="675"/>
      <c r="EZ627" s="549"/>
      <c r="FA627" s="675"/>
      <c r="FB627" s="549"/>
      <c r="FC627" s="675"/>
      <c r="FD627" s="549"/>
      <c r="FE627" s="675"/>
      <c r="FF627" s="549"/>
      <c r="FG627" s="675"/>
      <c r="FH627" s="549"/>
      <c r="FI627" s="675"/>
      <c r="FJ627" s="549"/>
      <c r="FK627" s="675"/>
      <c r="FL627" s="549"/>
      <c r="FM627" s="675"/>
      <c r="FN627" s="549"/>
      <c r="FO627" s="675"/>
      <c r="FP627" s="549"/>
      <c r="FQ627" s="675"/>
      <c r="FR627" s="549"/>
      <c r="FS627" s="675"/>
      <c r="FT627" s="549"/>
      <c r="FU627" s="675"/>
      <c r="FV627" s="549"/>
      <c r="FW627" s="675"/>
      <c r="FX627" s="549"/>
      <c r="FY627" s="675"/>
      <c r="FZ627" s="549"/>
      <c r="GA627" s="675"/>
      <c r="GB627" s="549"/>
      <c r="GC627" s="675"/>
      <c r="GD627" s="549"/>
      <c r="GE627" s="675"/>
      <c r="GF627" s="549"/>
      <c r="GG627" s="675"/>
      <c r="GH627" s="549"/>
      <c r="GI627" s="675"/>
      <c r="GJ627" s="549"/>
      <c r="GK627" s="675"/>
      <c r="GL627" s="549"/>
      <c r="GM627" s="675"/>
      <c r="GN627" s="549"/>
      <c r="GO627" s="675"/>
      <c r="GP627" s="549"/>
      <c r="GQ627" s="675"/>
      <c r="GR627" s="74"/>
      <c r="GS627" s="74"/>
      <c r="GT627" s="568"/>
      <c r="GU627" s="89"/>
      <c r="GV627" s="89"/>
      <c r="GW627" s="568"/>
      <c r="GX627" s="568"/>
      <c r="GY627" s="89"/>
      <c r="GZ627" s="89"/>
      <c r="HA627" s="89"/>
      <c r="HB627" s="89"/>
      <c r="HC627" s="89"/>
      <c r="HD627" s="89"/>
      <c r="HE627" s="89"/>
      <c r="HF627" s="89"/>
      <c r="HG627" s="74"/>
      <c r="HH627" s="89"/>
      <c r="HI627" s="817"/>
      <c r="HJ627" s="89"/>
      <c r="HK627" s="817"/>
      <c r="HL627" s="89"/>
      <c r="HM627" s="817"/>
      <c r="HN627" s="89"/>
      <c r="HO627" s="817"/>
      <c r="HP627" s="89"/>
      <c r="HQ627" s="817"/>
      <c r="HR627" s="89"/>
      <c r="HS627" s="817"/>
      <c r="HT627" s="89"/>
      <c r="HU627" s="817"/>
      <c r="HV627" s="89"/>
      <c r="HW627" s="817"/>
      <c r="HX627" s="89"/>
      <c r="HY627" s="817"/>
      <c r="HZ627" s="89"/>
      <c r="IA627" s="817"/>
      <c r="IB627" s="89"/>
      <c r="IC627" s="817"/>
      <c r="ID627" s="89"/>
      <c r="IE627" s="817"/>
      <c r="IF627" s="841"/>
      <c r="IG627" s="263"/>
      <c r="IH627" s="842"/>
      <c r="II627" s="89"/>
      <c r="IJ627" s="89"/>
      <c r="IK627" s="89"/>
      <c r="IL627" s="89"/>
      <c r="IM627" s="89"/>
      <c r="IN627" s="89"/>
      <c r="IO627" s="89"/>
      <c r="IP627" s="89"/>
      <c r="IQ627" s="89"/>
      <c r="IR627" s="89"/>
      <c r="IS627" s="89"/>
      <c r="IT627" s="89"/>
      <c r="IU627" s="89"/>
      <c r="IV627" s="89"/>
      <c r="IW627" s="89"/>
      <c r="IX627" s="89"/>
      <c r="IY627" s="89"/>
      <c r="IZ627" s="89"/>
      <c r="JA627" s="89"/>
      <c r="JB627" s="89"/>
      <c r="JC627" s="89"/>
      <c r="JD627" s="89"/>
      <c r="JE627" s="89"/>
      <c r="JF627" s="89"/>
      <c r="JG627" s="89"/>
      <c r="JH627" s="89"/>
      <c r="JI627" s="89"/>
      <c r="JJ627" s="89"/>
      <c r="JK627" s="89"/>
      <c r="JL627" s="89"/>
      <c r="JM627" s="89"/>
      <c r="JN627" s="89"/>
      <c r="JO627" s="89"/>
      <c r="JP627" s="89"/>
      <c r="JQ627" s="89"/>
      <c r="JR627" s="89"/>
      <c r="JS627" s="74"/>
      <c r="JT627" s="382"/>
      <c r="JU627" s="665"/>
      <c r="JV627" s="524"/>
      <c r="JW627" s="525"/>
      <c r="JX627" s="549"/>
      <c r="JY627" s="549"/>
      <c r="JZ627" s="581">
        <f t="shared" si="13477"/>
        <v>0</v>
      </c>
      <c r="KA627" s="581">
        <f t="shared" si="13478"/>
        <v>0</v>
      </c>
      <c r="KB627" s="549">
        <f t="shared" si="13163"/>
        <v>0</v>
      </c>
      <c r="KC627" s="709">
        <f t="shared" si="13396"/>
        <v>0</v>
      </c>
      <c r="KD627" s="36"/>
      <c r="KE627" s="36"/>
      <c r="KF627" s="36"/>
      <c r="KG627" s="36"/>
      <c r="KH627" s="36"/>
      <c r="KI627" s="36"/>
      <c r="KJ627" s="36"/>
      <c r="KK627" s="36"/>
    </row>
    <row r="628" spans="1:297" s="55" customFormat="1">
      <c r="A628" s="81" t="s">
        <v>328</v>
      </c>
      <c r="B628" s="82" t="s">
        <v>329</v>
      </c>
      <c r="C628" s="83">
        <f>SUM(C630,)+C651</f>
        <v>445300</v>
      </c>
      <c r="D628" s="550">
        <f t="shared" ref="D628:E628" si="14413">SUM(D630,)</f>
        <v>0</v>
      </c>
      <c r="E628" s="678">
        <f t="shared" si="14413"/>
        <v>0</v>
      </c>
      <c r="F628" s="550">
        <f t="shared" ref="F628:AM628" si="14414">SUM(F630,)</f>
        <v>0</v>
      </c>
      <c r="G628" s="678">
        <f t="shared" si="14414"/>
        <v>0</v>
      </c>
      <c r="H628" s="550">
        <f t="shared" si="14414"/>
        <v>0</v>
      </c>
      <c r="I628" s="678">
        <f t="shared" si="14414"/>
        <v>0</v>
      </c>
      <c r="J628" s="550">
        <f t="shared" si="14414"/>
        <v>0</v>
      </c>
      <c r="K628" s="678">
        <f t="shared" si="14414"/>
        <v>0</v>
      </c>
      <c r="L628" s="550">
        <f t="shared" si="14414"/>
        <v>0</v>
      </c>
      <c r="M628" s="678">
        <f t="shared" si="14414"/>
        <v>0</v>
      </c>
      <c r="N628" s="550">
        <f t="shared" si="14414"/>
        <v>0</v>
      </c>
      <c r="O628" s="678">
        <f t="shared" si="14414"/>
        <v>0</v>
      </c>
      <c r="P628" s="550">
        <f t="shared" si="14414"/>
        <v>0</v>
      </c>
      <c r="Q628" s="678">
        <f t="shared" si="14414"/>
        <v>0</v>
      </c>
      <c r="R628" s="550">
        <f t="shared" si="14414"/>
        <v>0</v>
      </c>
      <c r="S628" s="678">
        <f t="shared" si="14414"/>
        <v>0</v>
      </c>
      <c r="T628" s="550">
        <f t="shared" si="14414"/>
        <v>0</v>
      </c>
      <c r="U628" s="678">
        <f t="shared" si="14414"/>
        <v>0</v>
      </c>
      <c r="V628" s="550">
        <f t="shared" si="14414"/>
        <v>0</v>
      </c>
      <c r="W628" s="678">
        <f t="shared" si="14414"/>
        <v>0</v>
      </c>
      <c r="X628" s="550">
        <f t="shared" si="14414"/>
        <v>0</v>
      </c>
      <c r="Y628" s="678">
        <f t="shared" si="14414"/>
        <v>0</v>
      </c>
      <c r="Z628" s="550">
        <f t="shared" si="14414"/>
        <v>0</v>
      </c>
      <c r="AA628" s="678">
        <f t="shared" si="14414"/>
        <v>0</v>
      </c>
      <c r="AB628" s="550">
        <f t="shared" si="14414"/>
        <v>0</v>
      </c>
      <c r="AC628" s="678">
        <f t="shared" si="14414"/>
        <v>0</v>
      </c>
      <c r="AD628" s="550">
        <f t="shared" si="14414"/>
        <v>0</v>
      </c>
      <c r="AE628" s="678">
        <f t="shared" si="14414"/>
        <v>0</v>
      </c>
      <c r="AF628" s="550">
        <f t="shared" si="14414"/>
        <v>0</v>
      </c>
      <c r="AG628" s="678">
        <f t="shared" si="14414"/>
        <v>0</v>
      </c>
      <c r="AH628" s="550">
        <f t="shared" si="14414"/>
        <v>0</v>
      </c>
      <c r="AI628" s="678">
        <f t="shared" si="14414"/>
        <v>0</v>
      </c>
      <c r="AJ628" s="550">
        <f t="shared" si="14414"/>
        <v>0</v>
      </c>
      <c r="AK628" s="678">
        <f t="shared" si="14414"/>
        <v>0</v>
      </c>
      <c r="AL628" s="550">
        <f t="shared" si="14414"/>
        <v>0</v>
      </c>
      <c r="AM628" s="678">
        <f t="shared" si="14414"/>
        <v>0</v>
      </c>
      <c r="AN628" s="550">
        <f t="shared" ref="AN628:AO628" si="14415">SUM(AN630,)</f>
        <v>0</v>
      </c>
      <c r="AO628" s="678">
        <f t="shared" si="14415"/>
        <v>-4184</v>
      </c>
      <c r="AP628" s="550">
        <f t="shared" ref="AP628:AQ628" si="14416">SUM(AP630,)</f>
        <v>0</v>
      </c>
      <c r="AQ628" s="678">
        <f t="shared" si="14416"/>
        <v>0</v>
      </c>
      <c r="AR628" s="550">
        <f t="shared" ref="AR628:AS628" si="14417">SUM(AR630,)</f>
        <v>0</v>
      </c>
      <c r="AS628" s="678">
        <f t="shared" si="14417"/>
        <v>0</v>
      </c>
      <c r="AT628" s="550">
        <f t="shared" ref="AT628:AU628" si="14418">SUM(AT630,)</f>
        <v>0</v>
      </c>
      <c r="AU628" s="678">
        <f t="shared" si="14418"/>
        <v>0</v>
      </c>
      <c r="AV628" s="550">
        <f t="shared" ref="AV628:AW628" si="14419">SUM(AV630,)</f>
        <v>0</v>
      </c>
      <c r="AW628" s="678">
        <f t="shared" si="14419"/>
        <v>-36757</v>
      </c>
      <c r="AX628" s="550">
        <f t="shared" ref="AX628:AY628" si="14420">SUM(AX630,)</f>
        <v>0</v>
      </c>
      <c r="AY628" s="678">
        <f t="shared" si="14420"/>
        <v>0</v>
      </c>
      <c r="AZ628" s="550">
        <f t="shared" ref="AZ628:BS628" si="14421">SUM(AZ630,)</f>
        <v>0</v>
      </c>
      <c r="BA628" s="678">
        <f t="shared" si="14421"/>
        <v>0</v>
      </c>
      <c r="BB628" s="550">
        <f t="shared" si="14421"/>
        <v>0</v>
      </c>
      <c r="BC628" s="678">
        <f t="shared" si="14421"/>
        <v>0</v>
      </c>
      <c r="BD628" s="550">
        <f t="shared" si="14421"/>
        <v>0</v>
      </c>
      <c r="BE628" s="678">
        <f t="shared" si="14421"/>
        <v>0</v>
      </c>
      <c r="BF628" s="550">
        <f t="shared" si="14421"/>
        <v>0</v>
      </c>
      <c r="BG628" s="678">
        <f t="shared" si="14421"/>
        <v>0</v>
      </c>
      <c r="BH628" s="550">
        <f t="shared" si="14421"/>
        <v>0</v>
      </c>
      <c r="BI628" s="678">
        <f t="shared" si="14421"/>
        <v>0</v>
      </c>
      <c r="BJ628" s="550">
        <f t="shared" si="14421"/>
        <v>0</v>
      </c>
      <c r="BK628" s="678">
        <f t="shared" si="14421"/>
        <v>0</v>
      </c>
      <c r="BL628" s="550">
        <f t="shared" si="14421"/>
        <v>0</v>
      </c>
      <c r="BM628" s="678">
        <f t="shared" si="14421"/>
        <v>0</v>
      </c>
      <c r="BN628" s="550">
        <f t="shared" si="14421"/>
        <v>0</v>
      </c>
      <c r="BO628" s="678">
        <f t="shared" si="14421"/>
        <v>0</v>
      </c>
      <c r="BP628" s="550">
        <f t="shared" si="14421"/>
        <v>0</v>
      </c>
      <c r="BQ628" s="678">
        <f t="shared" si="14421"/>
        <v>0</v>
      </c>
      <c r="BR628" s="550">
        <f t="shared" si="14421"/>
        <v>0</v>
      </c>
      <c r="BS628" s="678">
        <f t="shared" si="14421"/>
        <v>0</v>
      </c>
      <c r="BT628" s="550">
        <f t="shared" ref="BT628:BU628" si="14422">SUM(BT630,)</f>
        <v>0</v>
      </c>
      <c r="BU628" s="678">
        <f t="shared" si="14422"/>
        <v>0</v>
      </c>
      <c r="BV628" s="550">
        <f t="shared" ref="BV628:BW628" si="14423">SUM(BV630,)</f>
        <v>0</v>
      </c>
      <c r="BW628" s="678">
        <f t="shared" si="14423"/>
        <v>0</v>
      </c>
      <c r="BX628" s="550">
        <f t="shared" ref="BX628:BY628" si="14424">SUM(BX630,)</f>
        <v>0</v>
      </c>
      <c r="BY628" s="678">
        <f t="shared" si="14424"/>
        <v>0</v>
      </c>
      <c r="BZ628" s="550">
        <f t="shared" ref="BZ628:CA628" si="14425">SUM(BZ630,)</f>
        <v>0</v>
      </c>
      <c r="CA628" s="678">
        <f t="shared" si="14425"/>
        <v>0</v>
      </c>
      <c r="CB628" s="550">
        <f t="shared" ref="CB628:CY628" si="14426">SUM(CB630,)</f>
        <v>0</v>
      </c>
      <c r="CC628" s="678">
        <f t="shared" si="14426"/>
        <v>0</v>
      </c>
      <c r="CD628" s="550">
        <f t="shared" si="14426"/>
        <v>0</v>
      </c>
      <c r="CE628" s="678">
        <f t="shared" si="14426"/>
        <v>0</v>
      </c>
      <c r="CF628" s="550">
        <f t="shared" si="14426"/>
        <v>0</v>
      </c>
      <c r="CG628" s="678">
        <f t="shared" si="14426"/>
        <v>0</v>
      </c>
      <c r="CH628" s="550">
        <f t="shared" si="14426"/>
        <v>0</v>
      </c>
      <c r="CI628" s="678">
        <f t="shared" si="14426"/>
        <v>0</v>
      </c>
      <c r="CJ628" s="550">
        <f t="shared" si="14426"/>
        <v>0</v>
      </c>
      <c r="CK628" s="678">
        <f t="shared" si="14426"/>
        <v>0</v>
      </c>
      <c r="CL628" s="550">
        <f t="shared" si="14426"/>
        <v>0</v>
      </c>
      <c r="CM628" s="678">
        <f t="shared" si="14426"/>
        <v>0</v>
      </c>
      <c r="CN628" s="550">
        <f t="shared" si="14426"/>
        <v>0</v>
      </c>
      <c r="CO628" s="678">
        <f t="shared" si="14426"/>
        <v>0</v>
      </c>
      <c r="CP628" s="550">
        <f t="shared" si="14426"/>
        <v>0</v>
      </c>
      <c r="CQ628" s="678">
        <f t="shared" si="14426"/>
        <v>0</v>
      </c>
      <c r="CR628" s="550">
        <f t="shared" si="14426"/>
        <v>0</v>
      </c>
      <c r="CS628" s="678">
        <f t="shared" si="14426"/>
        <v>0</v>
      </c>
      <c r="CT628" s="550">
        <f t="shared" si="14426"/>
        <v>0</v>
      </c>
      <c r="CU628" s="678">
        <f t="shared" si="14426"/>
        <v>0</v>
      </c>
      <c r="CV628" s="550">
        <f t="shared" si="14426"/>
        <v>0</v>
      </c>
      <c r="CW628" s="678">
        <f t="shared" si="14426"/>
        <v>0</v>
      </c>
      <c r="CX628" s="550">
        <f t="shared" si="14426"/>
        <v>0</v>
      </c>
      <c r="CY628" s="678">
        <f t="shared" si="14426"/>
        <v>0</v>
      </c>
      <c r="CZ628" s="550">
        <f t="shared" ref="CZ628:EE628" si="14427">SUM(CZ630,)</f>
        <v>0</v>
      </c>
      <c r="DA628" s="678">
        <f t="shared" si="14427"/>
        <v>0</v>
      </c>
      <c r="DB628" s="550">
        <f t="shared" si="14427"/>
        <v>0</v>
      </c>
      <c r="DC628" s="678">
        <f t="shared" si="14427"/>
        <v>0</v>
      </c>
      <c r="DD628" s="550">
        <f t="shared" si="14427"/>
        <v>0</v>
      </c>
      <c r="DE628" s="678">
        <f t="shared" si="14427"/>
        <v>0</v>
      </c>
      <c r="DF628" s="550">
        <f t="shared" si="14427"/>
        <v>0</v>
      </c>
      <c r="DG628" s="678">
        <f t="shared" si="14427"/>
        <v>0</v>
      </c>
      <c r="DH628" s="550">
        <f t="shared" si="14427"/>
        <v>0</v>
      </c>
      <c r="DI628" s="678">
        <f t="shared" si="14427"/>
        <v>0</v>
      </c>
      <c r="DJ628" s="550">
        <f t="shared" si="14427"/>
        <v>0</v>
      </c>
      <c r="DK628" s="678">
        <f t="shared" si="14427"/>
        <v>0</v>
      </c>
      <c r="DL628" s="550">
        <f t="shared" si="14427"/>
        <v>0</v>
      </c>
      <c r="DM628" s="678">
        <f t="shared" si="14427"/>
        <v>0</v>
      </c>
      <c r="DN628" s="550">
        <f t="shared" si="14427"/>
        <v>0</v>
      </c>
      <c r="DO628" s="678">
        <f t="shared" si="14427"/>
        <v>0</v>
      </c>
      <c r="DP628" s="550">
        <f t="shared" si="14427"/>
        <v>0</v>
      </c>
      <c r="DQ628" s="678">
        <f t="shared" si="14427"/>
        <v>0</v>
      </c>
      <c r="DR628" s="550">
        <f t="shared" si="14427"/>
        <v>0</v>
      </c>
      <c r="DS628" s="678">
        <f t="shared" si="14427"/>
        <v>0</v>
      </c>
      <c r="DT628" s="550">
        <f t="shared" si="14427"/>
        <v>0</v>
      </c>
      <c r="DU628" s="678">
        <f t="shared" si="14427"/>
        <v>0</v>
      </c>
      <c r="DV628" s="550">
        <f t="shared" si="14427"/>
        <v>0</v>
      </c>
      <c r="DW628" s="678">
        <f t="shared" si="14427"/>
        <v>0</v>
      </c>
      <c r="DX628" s="550">
        <f t="shared" si="14427"/>
        <v>0</v>
      </c>
      <c r="DY628" s="678">
        <f t="shared" si="14427"/>
        <v>0</v>
      </c>
      <c r="DZ628" s="550">
        <f t="shared" si="14427"/>
        <v>0</v>
      </c>
      <c r="EA628" s="678">
        <f t="shared" si="14427"/>
        <v>0</v>
      </c>
      <c r="EB628" s="550">
        <f t="shared" si="14427"/>
        <v>0</v>
      </c>
      <c r="EC628" s="678">
        <f t="shared" si="14427"/>
        <v>0</v>
      </c>
      <c r="ED628" s="550">
        <f t="shared" si="14427"/>
        <v>0</v>
      </c>
      <c r="EE628" s="678">
        <f t="shared" si="14427"/>
        <v>-2000</v>
      </c>
      <c r="EF628" s="550">
        <f t="shared" ref="EF628:FK628" si="14428">SUM(EF630,)</f>
        <v>0</v>
      </c>
      <c r="EG628" s="678">
        <f t="shared" si="14428"/>
        <v>0</v>
      </c>
      <c r="EH628" s="550">
        <f t="shared" si="14428"/>
        <v>0</v>
      </c>
      <c r="EI628" s="678">
        <f t="shared" si="14428"/>
        <v>0</v>
      </c>
      <c r="EJ628" s="550">
        <f t="shared" si="14428"/>
        <v>0</v>
      </c>
      <c r="EK628" s="678">
        <f t="shared" si="14428"/>
        <v>0</v>
      </c>
      <c r="EL628" s="550">
        <f t="shared" si="14428"/>
        <v>0</v>
      </c>
      <c r="EM628" s="678">
        <f t="shared" si="14428"/>
        <v>0</v>
      </c>
      <c r="EN628" s="550">
        <f t="shared" si="14428"/>
        <v>0</v>
      </c>
      <c r="EO628" s="678">
        <f t="shared" si="14428"/>
        <v>0</v>
      </c>
      <c r="EP628" s="550">
        <f t="shared" si="14428"/>
        <v>0</v>
      </c>
      <c r="EQ628" s="678">
        <f t="shared" si="14428"/>
        <v>0</v>
      </c>
      <c r="ER628" s="550">
        <f t="shared" si="14428"/>
        <v>0</v>
      </c>
      <c r="ES628" s="678">
        <f t="shared" si="14428"/>
        <v>0</v>
      </c>
      <c r="ET628" s="550">
        <f t="shared" si="14428"/>
        <v>0</v>
      </c>
      <c r="EU628" s="678">
        <f t="shared" si="14428"/>
        <v>0</v>
      </c>
      <c r="EV628" s="550">
        <f t="shared" si="14428"/>
        <v>0</v>
      </c>
      <c r="EW628" s="678">
        <f t="shared" si="14428"/>
        <v>0</v>
      </c>
      <c r="EX628" s="550">
        <f t="shared" si="14428"/>
        <v>0</v>
      </c>
      <c r="EY628" s="678">
        <f t="shared" si="14428"/>
        <v>0</v>
      </c>
      <c r="EZ628" s="550">
        <f t="shared" si="14428"/>
        <v>0</v>
      </c>
      <c r="FA628" s="678">
        <f t="shared" si="14428"/>
        <v>0</v>
      </c>
      <c r="FB628" s="550">
        <f t="shared" si="14428"/>
        <v>0</v>
      </c>
      <c r="FC628" s="678">
        <f t="shared" si="14428"/>
        <v>0</v>
      </c>
      <c r="FD628" s="550">
        <f t="shared" si="14428"/>
        <v>0</v>
      </c>
      <c r="FE628" s="678">
        <f t="shared" si="14428"/>
        <v>0</v>
      </c>
      <c r="FF628" s="550">
        <f t="shared" si="14428"/>
        <v>0</v>
      </c>
      <c r="FG628" s="678">
        <f t="shared" si="14428"/>
        <v>0</v>
      </c>
      <c r="FH628" s="550">
        <f t="shared" si="14428"/>
        <v>0</v>
      </c>
      <c r="FI628" s="678">
        <f t="shared" si="14428"/>
        <v>0</v>
      </c>
      <c r="FJ628" s="550">
        <f t="shared" si="14428"/>
        <v>0</v>
      </c>
      <c r="FK628" s="678">
        <f t="shared" si="14428"/>
        <v>0</v>
      </c>
      <c r="FL628" s="550">
        <f t="shared" ref="FL628:GQ628" si="14429">SUM(FL630,)</f>
        <v>0</v>
      </c>
      <c r="FM628" s="678">
        <f t="shared" si="14429"/>
        <v>0</v>
      </c>
      <c r="FN628" s="550">
        <f t="shared" si="14429"/>
        <v>0</v>
      </c>
      <c r="FO628" s="678">
        <f t="shared" si="14429"/>
        <v>0</v>
      </c>
      <c r="FP628" s="550">
        <f t="shared" si="14429"/>
        <v>0</v>
      </c>
      <c r="FQ628" s="678">
        <f t="shared" si="14429"/>
        <v>0</v>
      </c>
      <c r="FR628" s="550">
        <f t="shared" si="14429"/>
        <v>0</v>
      </c>
      <c r="FS628" s="678">
        <f t="shared" si="14429"/>
        <v>0</v>
      </c>
      <c r="FT628" s="550">
        <f t="shared" si="14429"/>
        <v>0</v>
      </c>
      <c r="FU628" s="678">
        <f t="shared" si="14429"/>
        <v>0</v>
      </c>
      <c r="FV628" s="550">
        <f t="shared" si="14429"/>
        <v>0</v>
      </c>
      <c r="FW628" s="678">
        <f t="shared" si="14429"/>
        <v>0</v>
      </c>
      <c r="FX628" s="550">
        <f t="shared" ref="FX628:GK628" si="14430">SUM(FX630,)</f>
        <v>0</v>
      </c>
      <c r="FY628" s="678">
        <f t="shared" si="14430"/>
        <v>0</v>
      </c>
      <c r="FZ628" s="550">
        <f t="shared" ref="FZ628:GI628" si="14431">SUM(FZ630,)</f>
        <v>0</v>
      </c>
      <c r="GA628" s="678">
        <f t="shared" si="14431"/>
        <v>0</v>
      </c>
      <c r="GB628" s="550">
        <f t="shared" si="14431"/>
        <v>0</v>
      </c>
      <c r="GC628" s="678">
        <f t="shared" si="14431"/>
        <v>0</v>
      </c>
      <c r="GD628" s="550">
        <f t="shared" si="14431"/>
        <v>0</v>
      </c>
      <c r="GE628" s="678">
        <f t="shared" si="14431"/>
        <v>0</v>
      </c>
      <c r="GF628" s="550">
        <f t="shared" si="14431"/>
        <v>0</v>
      </c>
      <c r="GG628" s="678">
        <f t="shared" si="14431"/>
        <v>0</v>
      </c>
      <c r="GH628" s="550">
        <f t="shared" si="14431"/>
        <v>0</v>
      </c>
      <c r="GI628" s="678">
        <f t="shared" si="14431"/>
        <v>0</v>
      </c>
      <c r="GJ628" s="550">
        <f t="shared" si="14430"/>
        <v>0</v>
      </c>
      <c r="GK628" s="678">
        <f t="shared" si="14430"/>
        <v>0</v>
      </c>
      <c r="GL628" s="550">
        <f t="shared" si="14429"/>
        <v>0</v>
      </c>
      <c r="GM628" s="678">
        <f t="shared" si="14429"/>
        <v>0</v>
      </c>
      <c r="GN628" s="550">
        <f t="shared" ref="GN628:GO628" si="14432">SUM(GN630,)</f>
        <v>0</v>
      </c>
      <c r="GO628" s="678">
        <f t="shared" si="14432"/>
        <v>0</v>
      </c>
      <c r="GP628" s="550">
        <f t="shared" si="14429"/>
        <v>0</v>
      </c>
      <c r="GQ628" s="678">
        <f t="shared" si="14429"/>
        <v>-42941</v>
      </c>
      <c r="GR628" s="83">
        <f t="shared" ref="GR628:HY628" si="14433">SUM(GR630,)+GR651</f>
        <v>402359</v>
      </c>
      <c r="GS628" s="83">
        <f t="shared" si="14433"/>
        <v>359746</v>
      </c>
      <c r="GT628" s="83">
        <f t="shared" si="14433"/>
        <v>402359</v>
      </c>
      <c r="GU628" s="83">
        <f t="shared" si="14433"/>
        <v>39650</v>
      </c>
      <c r="GV628" s="83">
        <f t="shared" si="14433"/>
        <v>42759</v>
      </c>
      <c r="GW628" s="83">
        <f t="shared" si="14433"/>
        <v>39625</v>
      </c>
      <c r="GX628" s="83">
        <f t="shared" si="14433"/>
        <v>39625</v>
      </c>
      <c r="GY628" s="83">
        <f t="shared" si="14433"/>
        <v>39625</v>
      </c>
      <c r="GZ628" s="83">
        <f t="shared" si="14433"/>
        <v>39625</v>
      </c>
      <c r="HA628" s="83">
        <f t="shared" si="14433"/>
        <v>39625</v>
      </c>
      <c r="HB628" s="83">
        <f t="shared" si="14433"/>
        <v>42758</v>
      </c>
      <c r="HC628" s="83">
        <f t="shared" si="14433"/>
        <v>39625</v>
      </c>
      <c r="HD628" s="83">
        <f t="shared" si="14433"/>
        <v>39770</v>
      </c>
      <c r="HE628" s="83">
        <f t="shared" si="14433"/>
        <v>42613</v>
      </c>
      <c r="HF628" s="83">
        <f t="shared" si="14433"/>
        <v>0</v>
      </c>
      <c r="HG628" s="83">
        <f t="shared" si="14433"/>
        <v>359746</v>
      </c>
      <c r="HH628" s="83">
        <f t="shared" si="14433"/>
        <v>0</v>
      </c>
      <c r="HI628" s="813">
        <f t="shared" si="14433"/>
        <v>0</v>
      </c>
      <c r="HJ628" s="83">
        <f t="shared" si="14433"/>
        <v>0</v>
      </c>
      <c r="HK628" s="813">
        <f t="shared" si="14433"/>
        <v>82409</v>
      </c>
      <c r="HL628" s="83">
        <f t="shared" si="14433"/>
        <v>0</v>
      </c>
      <c r="HM628" s="813">
        <f t="shared" si="14433"/>
        <v>1075557</v>
      </c>
      <c r="HN628" s="83">
        <f t="shared" si="14433"/>
        <v>0</v>
      </c>
      <c r="HO628" s="813">
        <f t="shared" si="14433"/>
        <v>1499745</v>
      </c>
      <c r="HP628" s="83">
        <f t="shared" si="14433"/>
        <v>0</v>
      </c>
      <c r="HQ628" s="813">
        <f t="shared" si="14433"/>
        <v>39625</v>
      </c>
      <c r="HR628" s="83">
        <f t="shared" si="14433"/>
        <v>0</v>
      </c>
      <c r="HS628" s="813">
        <f t="shared" si="14433"/>
        <v>39625</v>
      </c>
      <c r="HT628" s="83">
        <f t="shared" si="14433"/>
        <v>0</v>
      </c>
      <c r="HU628" s="813">
        <f t="shared" si="14433"/>
        <v>1507499</v>
      </c>
      <c r="HV628" s="83">
        <f t="shared" si="14433"/>
        <v>0</v>
      </c>
      <c r="HW628" s="813">
        <f t="shared" si="14433"/>
        <v>67058</v>
      </c>
      <c r="HX628" s="83">
        <f t="shared" si="14433"/>
        <v>0</v>
      </c>
      <c r="HY628" s="813">
        <f t="shared" si="14433"/>
        <v>15325.000000000004</v>
      </c>
      <c r="HZ628" s="83">
        <f t="shared" ref="HZ628:IA628" si="14434">SUM(HZ630,)+HZ651</f>
        <v>0</v>
      </c>
      <c r="IA628" s="813">
        <f t="shared" si="14434"/>
        <v>1075844</v>
      </c>
      <c r="IB628" s="83">
        <f t="shared" ref="IB628:IC628" si="14435">SUM(IB630,)+IB651</f>
        <v>0</v>
      </c>
      <c r="IC628" s="813">
        <f t="shared" si="14435"/>
        <v>0</v>
      </c>
      <c r="ID628" s="83">
        <f t="shared" ref="ID628:JT628" si="14436">SUM(ID630,)+ID651</f>
        <v>0</v>
      </c>
      <c r="IE628" s="813">
        <f t="shared" si="14436"/>
        <v>0</v>
      </c>
      <c r="IF628" s="854">
        <f t="shared" si="14436"/>
        <v>307183.76</v>
      </c>
      <c r="IG628" s="701">
        <f t="shared" si="14436"/>
        <v>307183.76</v>
      </c>
      <c r="IH628" s="855">
        <f t="shared" si="14436"/>
        <v>307183.76</v>
      </c>
      <c r="II628" s="83">
        <f t="shared" ref="II628:IK628" si="14437">SUM(II630,)+II651</f>
        <v>18956.36</v>
      </c>
      <c r="IJ628" s="83">
        <f t="shared" si="14437"/>
        <v>18956.36</v>
      </c>
      <c r="IK628" s="83">
        <f t="shared" si="14437"/>
        <v>18956.36</v>
      </c>
      <c r="IL628" s="83">
        <f t="shared" ref="IL628:IN628" si="14438">SUM(IL630,)+IL651</f>
        <v>33634.42</v>
      </c>
      <c r="IM628" s="83">
        <f t="shared" si="14438"/>
        <v>33634.42</v>
      </c>
      <c r="IN628" s="83">
        <f t="shared" si="14438"/>
        <v>33634.42</v>
      </c>
      <c r="IO628" s="83">
        <f t="shared" ref="IO628:IQ628" si="14439">SUM(IO630,)+IO651</f>
        <v>17050.2</v>
      </c>
      <c r="IP628" s="83">
        <f t="shared" si="14439"/>
        <v>17050.2</v>
      </c>
      <c r="IQ628" s="83">
        <f t="shared" si="14439"/>
        <v>17050.2</v>
      </c>
      <c r="IR628" s="83">
        <f t="shared" ref="IR628:IT628" si="14440">SUM(IR630,)+IR651</f>
        <v>40160.269999999997</v>
      </c>
      <c r="IS628" s="83">
        <f t="shared" si="14440"/>
        <v>40160.269999999997</v>
      </c>
      <c r="IT628" s="83">
        <f t="shared" si="14440"/>
        <v>40160.269999999997</v>
      </c>
      <c r="IU628" s="83">
        <f t="shared" ref="IU628:IW628" si="14441">SUM(IU630,)+IU651</f>
        <v>33993.730000000003</v>
      </c>
      <c r="IV628" s="83">
        <f t="shared" si="14441"/>
        <v>33993.730000000003</v>
      </c>
      <c r="IW628" s="83">
        <f t="shared" si="14441"/>
        <v>33993.730000000003</v>
      </c>
      <c r="IX628" s="83">
        <f t="shared" ref="IX628:IZ628" si="14442">SUM(IX630,)+IX651</f>
        <v>32217.899999999994</v>
      </c>
      <c r="IY628" s="83">
        <f t="shared" si="14442"/>
        <v>32217.899999999994</v>
      </c>
      <c r="IZ628" s="83">
        <f t="shared" si="14442"/>
        <v>32217.899999999994</v>
      </c>
      <c r="JA628" s="83">
        <f t="shared" ref="JA628:JC628" si="14443">SUM(JA630,)+JA651</f>
        <v>31331.570000000007</v>
      </c>
      <c r="JB628" s="83">
        <f t="shared" si="14443"/>
        <v>31331.570000000007</v>
      </c>
      <c r="JC628" s="83">
        <f t="shared" si="14443"/>
        <v>31331.570000000007</v>
      </c>
      <c r="JD628" s="83">
        <f t="shared" ref="JD628:JF628" si="14444">SUM(JD630,)+JD651</f>
        <v>34311.37999999999</v>
      </c>
      <c r="JE628" s="83">
        <f t="shared" si="14444"/>
        <v>34311.37999999999</v>
      </c>
      <c r="JF628" s="83">
        <f t="shared" si="14444"/>
        <v>34311.37999999999</v>
      </c>
      <c r="JG628" s="83">
        <f t="shared" ref="JG628:JI628" si="14445">SUM(JG630,)+JG651</f>
        <v>32676.529999999995</v>
      </c>
      <c r="JH628" s="83">
        <f t="shared" si="14445"/>
        <v>32676.529999999995</v>
      </c>
      <c r="JI628" s="83">
        <f t="shared" si="14445"/>
        <v>32676.529999999995</v>
      </c>
      <c r="JJ628" s="83">
        <f t="shared" ref="JJ628:JL628" si="14446">SUM(JJ630,)+JJ651</f>
        <v>32851.400000000023</v>
      </c>
      <c r="JK628" s="83">
        <f t="shared" si="14446"/>
        <v>32851.400000000023</v>
      </c>
      <c r="JL628" s="83">
        <f t="shared" si="14446"/>
        <v>32851.400000000023</v>
      </c>
      <c r="JM628" s="83">
        <f t="shared" ref="JM628:JO628" si="14447">SUM(JM630,)+JM651</f>
        <v>0</v>
      </c>
      <c r="JN628" s="83">
        <f t="shared" si="14447"/>
        <v>0</v>
      </c>
      <c r="JO628" s="83">
        <f t="shared" si="14447"/>
        <v>0</v>
      </c>
      <c r="JP628" s="83">
        <f t="shared" si="14436"/>
        <v>0</v>
      </c>
      <c r="JQ628" s="83">
        <f t="shared" si="14436"/>
        <v>0</v>
      </c>
      <c r="JR628" s="83">
        <f t="shared" si="14436"/>
        <v>0</v>
      </c>
      <c r="JS628" s="83">
        <f t="shared" si="14436"/>
        <v>52562.239999999991</v>
      </c>
      <c r="JT628" s="105">
        <f t="shared" si="14436"/>
        <v>52562.239999999991</v>
      </c>
      <c r="JU628" s="665"/>
      <c r="JV628" s="524"/>
      <c r="JW628" s="525"/>
      <c r="JX628" s="550">
        <f>SUM(JX630,)</f>
        <v>0</v>
      </c>
      <c r="JY628" s="550">
        <f>SUM(JY630,)</f>
        <v>402687</v>
      </c>
      <c r="JZ628" s="581">
        <f t="shared" si="13477"/>
        <v>0</v>
      </c>
      <c r="KA628" s="581">
        <f t="shared" si="13478"/>
        <v>-42941</v>
      </c>
      <c r="KB628" s="550">
        <f>SUM(KB630,)+KB651</f>
        <v>359746</v>
      </c>
      <c r="KC628" s="709">
        <f t="shared" si="13396"/>
        <v>0</v>
      </c>
      <c r="KD628" s="36"/>
      <c r="KE628" s="36"/>
      <c r="KF628" s="36"/>
      <c r="KG628" s="36"/>
      <c r="KH628" s="36"/>
      <c r="KI628" s="36"/>
      <c r="KJ628" s="36"/>
      <c r="KK628" s="36"/>
    </row>
    <row r="629" spans="1:297" s="10" customFormat="1">
      <c r="A629" s="86"/>
      <c r="B629" s="77"/>
      <c r="C629" s="74"/>
      <c r="D629" s="549"/>
      <c r="E629" s="675"/>
      <c r="F629" s="549"/>
      <c r="G629" s="675"/>
      <c r="H629" s="549"/>
      <c r="I629" s="675"/>
      <c r="J629" s="549"/>
      <c r="K629" s="675"/>
      <c r="L629" s="549"/>
      <c r="M629" s="675"/>
      <c r="N629" s="549"/>
      <c r="O629" s="675"/>
      <c r="P629" s="549"/>
      <c r="Q629" s="675"/>
      <c r="R629" s="549"/>
      <c r="S629" s="675"/>
      <c r="T629" s="549"/>
      <c r="U629" s="675"/>
      <c r="V629" s="549"/>
      <c r="W629" s="675"/>
      <c r="X629" s="549"/>
      <c r="Y629" s="675"/>
      <c r="Z629" s="549"/>
      <c r="AA629" s="675"/>
      <c r="AB629" s="549"/>
      <c r="AC629" s="675"/>
      <c r="AD629" s="549"/>
      <c r="AE629" s="675"/>
      <c r="AF629" s="549"/>
      <c r="AG629" s="675"/>
      <c r="AH629" s="549"/>
      <c r="AI629" s="675"/>
      <c r="AJ629" s="549"/>
      <c r="AK629" s="675"/>
      <c r="AL629" s="549"/>
      <c r="AM629" s="675"/>
      <c r="AN629" s="549"/>
      <c r="AO629" s="675"/>
      <c r="AP629" s="549"/>
      <c r="AQ629" s="675"/>
      <c r="AR629" s="549"/>
      <c r="AS629" s="675"/>
      <c r="AT629" s="549"/>
      <c r="AU629" s="675"/>
      <c r="AV629" s="549"/>
      <c r="AW629" s="675"/>
      <c r="AX629" s="549"/>
      <c r="AY629" s="675"/>
      <c r="AZ629" s="549"/>
      <c r="BA629" s="675"/>
      <c r="BB629" s="549"/>
      <c r="BC629" s="675"/>
      <c r="BD629" s="549"/>
      <c r="BE629" s="675"/>
      <c r="BF629" s="549"/>
      <c r="BG629" s="675"/>
      <c r="BH629" s="549"/>
      <c r="BI629" s="675"/>
      <c r="BJ629" s="549"/>
      <c r="BK629" s="675"/>
      <c r="BL629" s="549"/>
      <c r="BM629" s="675"/>
      <c r="BN629" s="549"/>
      <c r="BO629" s="675"/>
      <c r="BP629" s="549"/>
      <c r="BQ629" s="675"/>
      <c r="BR629" s="549"/>
      <c r="BS629" s="675"/>
      <c r="BT629" s="549"/>
      <c r="BU629" s="675"/>
      <c r="BV629" s="549"/>
      <c r="BW629" s="675"/>
      <c r="BX629" s="549"/>
      <c r="BY629" s="675"/>
      <c r="BZ629" s="549"/>
      <c r="CA629" s="675"/>
      <c r="CB629" s="549"/>
      <c r="CC629" s="675"/>
      <c r="CD629" s="549"/>
      <c r="CE629" s="675"/>
      <c r="CF629" s="549"/>
      <c r="CG629" s="675"/>
      <c r="CH629" s="549"/>
      <c r="CI629" s="675"/>
      <c r="CJ629" s="549"/>
      <c r="CK629" s="675"/>
      <c r="CL629" s="549"/>
      <c r="CM629" s="675"/>
      <c r="CN629" s="549"/>
      <c r="CO629" s="675"/>
      <c r="CP629" s="549"/>
      <c r="CQ629" s="675"/>
      <c r="CR629" s="549"/>
      <c r="CS629" s="675"/>
      <c r="CT629" s="549"/>
      <c r="CU629" s="675"/>
      <c r="CV629" s="549"/>
      <c r="CW629" s="675"/>
      <c r="CX629" s="549"/>
      <c r="CY629" s="675"/>
      <c r="CZ629" s="549"/>
      <c r="DA629" s="675"/>
      <c r="DB629" s="549"/>
      <c r="DC629" s="675"/>
      <c r="DD629" s="549"/>
      <c r="DE629" s="675"/>
      <c r="DF629" s="549"/>
      <c r="DG629" s="675"/>
      <c r="DH629" s="549"/>
      <c r="DI629" s="675"/>
      <c r="DJ629" s="549"/>
      <c r="DK629" s="675"/>
      <c r="DL629" s="549"/>
      <c r="DM629" s="675"/>
      <c r="DN629" s="549"/>
      <c r="DO629" s="675"/>
      <c r="DP629" s="549"/>
      <c r="DQ629" s="675"/>
      <c r="DR629" s="549"/>
      <c r="DS629" s="675"/>
      <c r="DT629" s="549"/>
      <c r="DU629" s="675"/>
      <c r="DV629" s="549"/>
      <c r="DW629" s="675"/>
      <c r="DX629" s="549"/>
      <c r="DY629" s="675"/>
      <c r="DZ629" s="549"/>
      <c r="EA629" s="675"/>
      <c r="EB629" s="549"/>
      <c r="EC629" s="675"/>
      <c r="ED629" s="549"/>
      <c r="EE629" s="675"/>
      <c r="EF629" s="549"/>
      <c r="EG629" s="675"/>
      <c r="EH629" s="549"/>
      <c r="EI629" s="675"/>
      <c r="EJ629" s="549"/>
      <c r="EK629" s="675"/>
      <c r="EL629" s="549"/>
      <c r="EM629" s="675"/>
      <c r="EN629" s="549"/>
      <c r="EO629" s="675"/>
      <c r="EP629" s="549"/>
      <c r="EQ629" s="675"/>
      <c r="ER629" s="549"/>
      <c r="ES629" s="675"/>
      <c r="ET629" s="549"/>
      <c r="EU629" s="675"/>
      <c r="EV629" s="549"/>
      <c r="EW629" s="675"/>
      <c r="EX629" s="549"/>
      <c r="EY629" s="675"/>
      <c r="EZ629" s="549"/>
      <c r="FA629" s="675"/>
      <c r="FB629" s="549"/>
      <c r="FC629" s="675"/>
      <c r="FD629" s="549"/>
      <c r="FE629" s="675"/>
      <c r="FF629" s="549"/>
      <c r="FG629" s="675"/>
      <c r="FH629" s="549"/>
      <c r="FI629" s="675"/>
      <c r="FJ629" s="549"/>
      <c r="FK629" s="675"/>
      <c r="FL629" s="549"/>
      <c r="FM629" s="675"/>
      <c r="FN629" s="549"/>
      <c r="FO629" s="675"/>
      <c r="FP629" s="549"/>
      <c r="FQ629" s="675"/>
      <c r="FR629" s="549"/>
      <c r="FS629" s="675"/>
      <c r="FT629" s="549"/>
      <c r="FU629" s="675"/>
      <c r="FV629" s="549"/>
      <c r="FW629" s="675"/>
      <c r="FX629" s="549"/>
      <c r="FY629" s="675"/>
      <c r="FZ629" s="549"/>
      <c r="GA629" s="675"/>
      <c r="GB629" s="549"/>
      <c r="GC629" s="675"/>
      <c r="GD629" s="549"/>
      <c r="GE629" s="675"/>
      <c r="GF629" s="549"/>
      <c r="GG629" s="675"/>
      <c r="GH629" s="549"/>
      <c r="GI629" s="675"/>
      <c r="GJ629" s="549"/>
      <c r="GK629" s="675"/>
      <c r="GL629" s="549"/>
      <c r="GM629" s="675"/>
      <c r="GN629" s="549"/>
      <c r="GO629" s="675"/>
      <c r="GP629" s="549"/>
      <c r="GQ629" s="675"/>
      <c r="GR629" s="74"/>
      <c r="GS629" s="74"/>
      <c r="GT629" s="568"/>
      <c r="GU629" s="89"/>
      <c r="GV629" s="89"/>
      <c r="GW629" s="568"/>
      <c r="GX629" s="568"/>
      <c r="GY629" s="89"/>
      <c r="GZ629" s="89"/>
      <c r="HA629" s="89"/>
      <c r="HB629" s="89"/>
      <c r="HC629" s="89"/>
      <c r="HD629" s="89"/>
      <c r="HE629" s="89"/>
      <c r="HF629" s="89"/>
      <c r="HG629" s="74"/>
      <c r="HH629" s="89"/>
      <c r="HI629" s="817"/>
      <c r="HJ629" s="89"/>
      <c r="HK629" s="817"/>
      <c r="HL629" s="89"/>
      <c r="HM629" s="817"/>
      <c r="HN629" s="89"/>
      <c r="HO629" s="817"/>
      <c r="HP629" s="89"/>
      <c r="HQ629" s="817"/>
      <c r="HR629" s="89"/>
      <c r="HS629" s="817"/>
      <c r="HT629" s="89"/>
      <c r="HU629" s="817"/>
      <c r="HV629" s="89"/>
      <c r="HW629" s="817"/>
      <c r="HX629" s="89"/>
      <c r="HY629" s="817"/>
      <c r="HZ629" s="89"/>
      <c r="IA629" s="817"/>
      <c r="IB629" s="89"/>
      <c r="IC629" s="817"/>
      <c r="ID629" s="89"/>
      <c r="IE629" s="817"/>
      <c r="IF629" s="841"/>
      <c r="IG629" s="263"/>
      <c r="IH629" s="842"/>
      <c r="II629" s="89"/>
      <c r="IJ629" s="89"/>
      <c r="IK629" s="89"/>
      <c r="IL629" s="89"/>
      <c r="IM629" s="89"/>
      <c r="IN629" s="89"/>
      <c r="IO629" s="89"/>
      <c r="IP629" s="89"/>
      <c r="IQ629" s="89"/>
      <c r="IR629" s="89"/>
      <c r="IS629" s="89"/>
      <c r="IT629" s="89"/>
      <c r="IU629" s="89"/>
      <c r="IV629" s="89"/>
      <c r="IW629" s="89"/>
      <c r="IX629" s="89"/>
      <c r="IY629" s="89"/>
      <c r="IZ629" s="89"/>
      <c r="JA629" s="89"/>
      <c r="JB629" s="89"/>
      <c r="JC629" s="89"/>
      <c r="JD629" s="89"/>
      <c r="JE629" s="89"/>
      <c r="JF629" s="89"/>
      <c r="JG629" s="89"/>
      <c r="JH629" s="89"/>
      <c r="JI629" s="89"/>
      <c r="JJ629" s="89"/>
      <c r="JK629" s="89"/>
      <c r="JL629" s="89"/>
      <c r="JM629" s="89"/>
      <c r="JN629" s="89"/>
      <c r="JO629" s="89"/>
      <c r="JP629" s="89"/>
      <c r="JQ629" s="89"/>
      <c r="JR629" s="89"/>
      <c r="JS629" s="74"/>
      <c r="JT629" s="382"/>
      <c r="JU629" s="665"/>
      <c r="JV629" s="524"/>
      <c r="JW629" s="525"/>
      <c r="JX629" s="549"/>
      <c r="JY629" s="549"/>
      <c r="JZ629" s="581">
        <f t="shared" si="13477"/>
        <v>0</v>
      </c>
      <c r="KA629" s="581">
        <f t="shared" si="13478"/>
        <v>0</v>
      </c>
      <c r="KB629" s="549">
        <f t="shared" si="13163"/>
        <v>0</v>
      </c>
      <c r="KC629" s="709">
        <f t="shared" si="13396"/>
        <v>0</v>
      </c>
      <c r="KD629" s="36"/>
      <c r="KE629" s="36"/>
      <c r="KF629" s="36"/>
      <c r="KG629" s="36"/>
      <c r="KH629" s="36"/>
      <c r="KI629" s="36"/>
      <c r="KJ629" s="36"/>
      <c r="KK629" s="36"/>
    </row>
    <row r="630" spans="1:297" s="7" customFormat="1" ht="13.5" customHeight="1">
      <c r="A630" s="94" t="s">
        <v>330</v>
      </c>
      <c r="B630" s="85" t="s">
        <v>329</v>
      </c>
      <c r="C630" s="85">
        <f t="shared" ref="C630" si="14448">SUM(C632)</f>
        <v>445300</v>
      </c>
      <c r="D630" s="551">
        <f t="shared" ref="D630:E630" si="14449">SUM(D632)</f>
        <v>0</v>
      </c>
      <c r="E630" s="679">
        <f t="shared" si="14449"/>
        <v>0</v>
      </c>
      <c r="F630" s="551">
        <f t="shared" ref="F630:G630" si="14450">SUM(F632)</f>
        <v>0</v>
      </c>
      <c r="G630" s="679">
        <f t="shared" si="14450"/>
        <v>0</v>
      </c>
      <c r="H630" s="551">
        <f t="shared" ref="H630:I630" si="14451">SUM(H632)</f>
        <v>0</v>
      </c>
      <c r="I630" s="679">
        <f t="shared" si="14451"/>
        <v>0</v>
      </c>
      <c r="J630" s="551">
        <f t="shared" ref="J630:K630" si="14452">SUM(J632)</f>
        <v>0</v>
      </c>
      <c r="K630" s="679">
        <f t="shared" si="14452"/>
        <v>0</v>
      </c>
      <c r="L630" s="551">
        <f t="shared" ref="L630:M630" si="14453">SUM(L632)</f>
        <v>0</v>
      </c>
      <c r="M630" s="679">
        <f t="shared" si="14453"/>
        <v>0</v>
      </c>
      <c r="N630" s="551">
        <f t="shared" ref="N630:O630" si="14454">SUM(N632)</f>
        <v>0</v>
      </c>
      <c r="O630" s="679">
        <f t="shared" si="14454"/>
        <v>0</v>
      </c>
      <c r="P630" s="551">
        <f t="shared" ref="P630:Q630" si="14455">SUM(P632)</f>
        <v>0</v>
      </c>
      <c r="Q630" s="679">
        <f t="shared" si="14455"/>
        <v>0</v>
      </c>
      <c r="R630" s="551">
        <f t="shared" ref="R630:S630" si="14456">SUM(R632)</f>
        <v>0</v>
      </c>
      <c r="S630" s="679">
        <f t="shared" si="14456"/>
        <v>0</v>
      </c>
      <c r="T630" s="551">
        <f t="shared" ref="T630:U630" si="14457">SUM(T632)</f>
        <v>0</v>
      </c>
      <c r="U630" s="679">
        <f t="shared" si="14457"/>
        <v>0</v>
      </c>
      <c r="V630" s="551">
        <f t="shared" ref="V630:W630" si="14458">SUM(V632)</f>
        <v>0</v>
      </c>
      <c r="W630" s="679">
        <f t="shared" si="14458"/>
        <v>0</v>
      </c>
      <c r="X630" s="551">
        <f t="shared" ref="X630:Y630" si="14459">SUM(X632)</f>
        <v>0</v>
      </c>
      <c r="Y630" s="679">
        <f t="shared" si="14459"/>
        <v>0</v>
      </c>
      <c r="Z630" s="551">
        <f t="shared" ref="Z630:AA630" si="14460">SUM(Z632)</f>
        <v>0</v>
      </c>
      <c r="AA630" s="679">
        <f t="shared" si="14460"/>
        <v>0</v>
      </c>
      <c r="AB630" s="551">
        <f t="shared" ref="AB630:AC630" si="14461">SUM(AB632)</f>
        <v>0</v>
      </c>
      <c r="AC630" s="679">
        <f t="shared" si="14461"/>
        <v>0</v>
      </c>
      <c r="AD630" s="551">
        <f t="shared" ref="AD630:AK630" si="14462">SUM(AD632)</f>
        <v>0</v>
      </c>
      <c r="AE630" s="679">
        <f t="shared" si="14462"/>
        <v>0</v>
      </c>
      <c r="AF630" s="551">
        <f t="shared" si="14462"/>
        <v>0</v>
      </c>
      <c r="AG630" s="679">
        <f t="shared" si="14462"/>
        <v>0</v>
      </c>
      <c r="AH630" s="551">
        <f t="shared" si="14462"/>
        <v>0</v>
      </c>
      <c r="AI630" s="679">
        <f t="shared" si="14462"/>
        <v>0</v>
      </c>
      <c r="AJ630" s="551">
        <f t="shared" si="14462"/>
        <v>0</v>
      </c>
      <c r="AK630" s="679">
        <f t="shared" si="14462"/>
        <v>0</v>
      </c>
      <c r="AL630" s="551">
        <f t="shared" ref="AL630:AM630" si="14463">SUM(AL632)</f>
        <v>0</v>
      </c>
      <c r="AM630" s="679">
        <f t="shared" si="14463"/>
        <v>0</v>
      </c>
      <c r="AN630" s="551">
        <f t="shared" ref="AN630:AS630" si="14464">SUM(AN632)</f>
        <v>0</v>
      </c>
      <c r="AO630" s="679">
        <f t="shared" si="14464"/>
        <v>-4184</v>
      </c>
      <c r="AP630" s="551">
        <f t="shared" si="14464"/>
        <v>0</v>
      </c>
      <c r="AQ630" s="679">
        <f t="shared" si="14464"/>
        <v>0</v>
      </c>
      <c r="AR630" s="551">
        <f t="shared" si="14464"/>
        <v>0</v>
      </c>
      <c r="AS630" s="679">
        <f t="shared" si="14464"/>
        <v>0</v>
      </c>
      <c r="AT630" s="551">
        <f t="shared" ref="AT630:AU630" si="14465">SUM(AT632)</f>
        <v>0</v>
      </c>
      <c r="AU630" s="679">
        <f t="shared" si="14465"/>
        <v>0</v>
      </c>
      <c r="AV630" s="551">
        <f t="shared" ref="AV630:AW630" si="14466">SUM(AV632)</f>
        <v>0</v>
      </c>
      <c r="AW630" s="679">
        <f t="shared" si="14466"/>
        <v>-36757</v>
      </c>
      <c r="AX630" s="551">
        <f t="shared" ref="AX630:AY630" si="14467">SUM(AX632)</f>
        <v>0</v>
      </c>
      <c r="AY630" s="679">
        <f t="shared" si="14467"/>
        <v>0</v>
      </c>
      <c r="AZ630" s="551">
        <f t="shared" ref="AZ630:BA630" si="14468">SUM(AZ632)</f>
        <v>0</v>
      </c>
      <c r="BA630" s="679">
        <f t="shared" si="14468"/>
        <v>0</v>
      </c>
      <c r="BB630" s="551">
        <f t="shared" ref="BB630:BC630" si="14469">SUM(BB632)</f>
        <v>0</v>
      </c>
      <c r="BC630" s="679">
        <f t="shared" si="14469"/>
        <v>0</v>
      </c>
      <c r="BD630" s="551">
        <f t="shared" ref="BD630:BE630" si="14470">SUM(BD632)</f>
        <v>0</v>
      </c>
      <c r="BE630" s="679">
        <f t="shared" si="14470"/>
        <v>0</v>
      </c>
      <c r="BF630" s="551">
        <f t="shared" ref="BF630:BG630" si="14471">SUM(BF632)</f>
        <v>0</v>
      </c>
      <c r="BG630" s="679">
        <f t="shared" si="14471"/>
        <v>0</v>
      </c>
      <c r="BH630" s="551">
        <f t="shared" ref="BH630:BI630" si="14472">SUM(BH632)</f>
        <v>0</v>
      </c>
      <c r="BI630" s="679">
        <f t="shared" si="14472"/>
        <v>0</v>
      </c>
      <c r="BJ630" s="551">
        <f t="shared" ref="BJ630:BK630" si="14473">SUM(BJ632)</f>
        <v>0</v>
      </c>
      <c r="BK630" s="679">
        <f t="shared" si="14473"/>
        <v>0</v>
      </c>
      <c r="BL630" s="551">
        <f t="shared" ref="BL630:BS630" si="14474">SUM(BL632)</f>
        <v>0</v>
      </c>
      <c r="BM630" s="679">
        <f t="shared" si="14474"/>
        <v>0</v>
      </c>
      <c r="BN630" s="551">
        <f t="shared" si="14474"/>
        <v>0</v>
      </c>
      <c r="BO630" s="679">
        <f t="shared" si="14474"/>
        <v>0</v>
      </c>
      <c r="BP630" s="551">
        <f t="shared" si="14474"/>
        <v>0</v>
      </c>
      <c r="BQ630" s="679">
        <f t="shared" si="14474"/>
        <v>0</v>
      </c>
      <c r="BR630" s="551">
        <f t="shared" si="14474"/>
        <v>0</v>
      </c>
      <c r="BS630" s="679">
        <f t="shared" si="14474"/>
        <v>0</v>
      </c>
      <c r="BT630" s="551">
        <f t="shared" ref="BT630:BU630" si="14475">SUM(BT632)</f>
        <v>0</v>
      </c>
      <c r="BU630" s="679">
        <f t="shared" si="14475"/>
        <v>0</v>
      </c>
      <c r="BV630" s="551">
        <f t="shared" ref="BV630:BW630" si="14476">SUM(BV632)</f>
        <v>0</v>
      </c>
      <c r="BW630" s="679">
        <f t="shared" si="14476"/>
        <v>0</v>
      </c>
      <c r="BX630" s="551">
        <f t="shared" ref="BX630:BY630" si="14477">SUM(BX632)</f>
        <v>0</v>
      </c>
      <c r="BY630" s="679">
        <f t="shared" si="14477"/>
        <v>0</v>
      </c>
      <c r="BZ630" s="551">
        <f t="shared" ref="BZ630:CA630" si="14478">SUM(BZ632)</f>
        <v>0</v>
      </c>
      <c r="CA630" s="679">
        <f t="shared" si="14478"/>
        <v>0</v>
      </c>
      <c r="CB630" s="551">
        <f t="shared" ref="CB630:CE630" si="14479">SUM(CB632)</f>
        <v>0</v>
      </c>
      <c r="CC630" s="679">
        <f t="shared" si="14479"/>
        <v>0</v>
      </c>
      <c r="CD630" s="551">
        <f t="shared" si="14479"/>
        <v>0</v>
      </c>
      <c r="CE630" s="679">
        <f t="shared" si="14479"/>
        <v>0</v>
      </c>
      <c r="CF630" s="551">
        <f t="shared" ref="CF630:CQ630" si="14480">SUM(CF632)</f>
        <v>0</v>
      </c>
      <c r="CG630" s="679">
        <f t="shared" si="14480"/>
        <v>0</v>
      </c>
      <c r="CH630" s="551">
        <f t="shared" si="14480"/>
        <v>0</v>
      </c>
      <c r="CI630" s="679">
        <f t="shared" si="14480"/>
        <v>0</v>
      </c>
      <c r="CJ630" s="551">
        <f t="shared" si="14480"/>
        <v>0</v>
      </c>
      <c r="CK630" s="679">
        <f t="shared" si="14480"/>
        <v>0</v>
      </c>
      <c r="CL630" s="551">
        <f t="shared" si="14480"/>
        <v>0</v>
      </c>
      <c r="CM630" s="679">
        <f t="shared" si="14480"/>
        <v>0</v>
      </c>
      <c r="CN630" s="551">
        <f t="shared" si="14480"/>
        <v>0</v>
      </c>
      <c r="CO630" s="679">
        <f t="shared" si="14480"/>
        <v>0</v>
      </c>
      <c r="CP630" s="551">
        <f t="shared" si="14480"/>
        <v>0</v>
      </c>
      <c r="CQ630" s="679">
        <f t="shared" si="14480"/>
        <v>0</v>
      </c>
      <c r="CR630" s="551">
        <f t="shared" ref="CR630:CY630" si="14481">SUM(CR632)</f>
        <v>0</v>
      </c>
      <c r="CS630" s="679">
        <f t="shared" si="14481"/>
        <v>0</v>
      </c>
      <c r="CT630" s="551">
        <f t="shared" si="14481"/>
        <v>0</v>
      </c>
      <c r="CU630" s="679">
        <f t="shared" si="14481"/>
        <v>0</v>
      </c>
      <c r="CV630" s="551">
        <f t="shared" si="14481"/>
        <v>0</v>
      </c>
      <c r="CW630" s="679">
        <f t="shared" si="14481"/>
        <v>0</v>
      </c>
      <c r="CX630" s="551">
        <f t="shared" si="14481"/>
        <v>0</v>
      </c>
      <c r="CY630" s="679">
        <f t="shared" si="14481"/>
        <v>0</v>
      </c>
      <c r="CZ630" s="551">
        <f t="shared" ref="CZ630:DG630" si="14482">SUM(CZ632)</f>
        <v>0</v>
      </c>
      <c r="DA630" s="679">
        <f t="shared" si="14482"/>
        <v>0</v>
      </c>
      <c r="DB630" s="551">
        <f t="shared" si="14482"/>
        <v>0</v>
      </c>
      <c r="DC630" s="679">
        <f t="shared" si="14482"/>
        <v>0</v>
      </c>
      <c r="DD630" s="551">
        <f t="shared" si="14482"/>
        <v>0</v>
      </c>
      <c r="DE630" s="679">
        <f t="shared" si="14482"/>
        <v>0</v>
      </c>
      <c r="DF630" s="551">
        <f t="shared" si="14482"/>
        <v>0</v>
      </c>
      <c r="DG630" s="679">
        <f t="shared" si="14482"/>
        <v>0</v>
      </c>
      <c r="DH630" s="551">
        <f t="shared" ref="DH630:DY630" si="14483">SUM(DH632)</f>
        <v>0</v>
      </c>
      <c r="DI630" s="679">
        <f t="shared" si="14483"/>
        <v>0</v>
      </c>
      <c r="DJ630" s="551">
        <f t="shared" si="14483"/>
        <v>0</v>
      </c>
      <c r="DK630" s="679">
        <f t="shared" si="14483"/>
        <v>0</v>
      </c>
      <c r="DL630" s="551">
        <f t="shared" si="14483"/>
        <v>0</v>
      </c>
      <c r="DM630" s="679">
        <f t="shared" si="14483"/>
        <v>0</v>
      </c>
      <c r="DN630" s="551">
        <f t="shared" si="14483"/>
        <v>0</v>
      </c>
      <c r="DO630" s="679">
        <f t="shared" si="14483"/>
        <v>0</v>
      </c>
      <c r="DP630" s="551">
        <f t="shared" si="14483"/>
        <v>0</v>
      </c>
      <c r="DQ630" s="679">
        <f t="shared" si="14483"/>
        <v>0</v>
      </c>
      <c r="DR630" s="551">
        <f t="shared" si="14483"/>
        <v>0</v>
      </c>
      <c r="DS630" s="679">
        <f t="shared" si="14483"/>
        <v>0</v>
      </c>
      <c r="DT630" s="551">
        <f t="shared" si="14483"/>
        <v>0</v>
      </c>
      <c r="DU630" s="679">
        <f t="shared" si="14483"/>
        <v>0</v>
      </c>
      <c r="DV630" s="551">
        <f t="shared" si="14483"/>
        <v>0</v>
      </c>
      <c r="DW630" s="679">
        <f t="shared" si="14483"/>
        <v>0</v>
      </c>
      <c r="DX630" s="551">
        <f t="shared" si="14483"/>
        <v>0</v>
      </c>
      <c r="DY630" s="679">
        <f t="shared" si="14483"/>
        <v>0</v>
      </c>
      <c r="DZ630" s="551">
        <f t="shared" ref="DZ630:FA630" si="14484">SUM(DZ632)</f>
        <v>0</v>
      </c>
      <c r="EA630" s="679">
        <f t="shared" si="14484"/>
        <v>0</v>
      </c>
      <c r="EB630" s="551">
        <f t="shared" si="14484"/>
        <v>0</v>
      </c>
      <c r="EC630" s="679">
        <f t="shared" si="14484"/>
        <v>0</v>
      </c>
      <c r="ED630" s="551">
        <f t="shared" si="14484"/>
        <v>0</v>
      </c>
      <c r="EE630" s="679">
        <f t="shared" si="14484"/>
        <v>-2000</v>
      </c>
      <c r="EF630" s="551">
        <f t="shared" si="14484"/>
        <v>0</v>
      </c>
      <c r="EG630" s="679">
        <f t="shared" si="14484"/>
        <v>0</v>
      </c>
      <c r="EH630" s="551">
        <f t="shared" ref="EH630:EM630" si="14485">SUM(EH632)</f>
        <v>0</v>
      </c>
      <c r="EI630" s="679">
        <f t="shared" si="14485"/>
        <v>0</v>
      </c>
      <c r="EJ630" s="551">
        <f t="shared" si="14485"/>
        <v>0</v>
      </c>
      <c r="EK630" s="679">
        <f t="shared" si="14485"/>
        <v>0</v>
      </c>
      <c r="EL630" s="551">
        <f t="shared" si="14485"/>
        <v>0</v>
      </c>
      <c r="EM630" s="679">
        <f t="shared" si="14485"/>
        <v>0</v>
      </c>
      <c r="EN630" s="551">
        <f t="shared" si="14484"/>
        <v>0</v>
      </c>
      <c r="EO630" s="679">
        <f t="shared" si="14484"/>
        <v>0</v>
      </c>
      <c r="EP630" s="551">
        <f t="shared" si="14484"/>
        <v>0</v>
      </c>
      <c r="EQ630" s="679">
        <f t="shared" si="14484"/>
        <v>0</v>
      </c>
      <c r="ER630" s="551">
        <f t="shared" si="14484"/>
        <v>0</v>
      </c>
      <c r="ES630" s="679">
        <f t="shared" si="14484"/>
        <v>0</v>
      </c>
      <c r="ET630" s="551">
        <f t="shared" si="14484"/>
        <v>0</v>
      </c>
      <c r="EU630" s="679">
        <f t="shared" si="14484"/>
        <v>0</v>
      </c>
      <c r="EV630" s="551">
        <f t="shared" ref="EV630:EW630" si="14486">SUM(EV632)</f>
        <v>0</v>
      </c>
      <c r="EW630" s="679">
        <f t="shared" si="14486"/>
        <v>0</v>
      </c>
      <c r="EX630" s="551">
        <f t="shared" si="14484"/>
        <v>0</v>
      </c>
      <c r="EY630" s="679">
        <f t="shared" si="14484"/>
        <v>0</v>
      </c>
      <c r="EZ630" s="551">
        <f t="shared" si="14484"/>
        <v>0</v>
      </c>
      <c r="FA630" s="679">
        <f t="shared" si="14484"/>
        <v>0</v>
      </c>
      <c r="FB630" s="551">
        <f t="shared" ref="FB630:FC630" si="14487">SUM(FB632)</f>
        <v>0</v>
      </c>
      <c r="FC630" s="679">
        <f t="shared" si="14487"/>
        <v>0</v>
      </c>
      <c r="FD630" s="551">
        <f t="shared" ref="FD630:FE630" si="14488">SUM(FD632)</f>
        <v>0</v>
      </c>
      <c r="FE630" s="679">
        <f t="shared" si="14488"/>
        <v>0</v>
      </c>
      <c r="FF630" s="551">
        <f t="shared" ref="FF630:FG630" si="14489">SUM(FF632)</f>
        <v>0</v>
      </c>
      <c r="FG630" s="679">
        <f t="shared" si="14489"/>
        <v>0</v>
      </c>
      <c r="FH630" s="551">
        <f t="shared" ref="FH630:FI630" si="14490">SUM(FH632)</f>
        <v>0</v>
      </c>
      <c r="FI630" s="679">
        <f t="shared" si="14490"/>
        <v>0</v>
      </c>
      <c r="FJ630" s="551">
        <f t="shared" ref="FJ630:FK630" si="14491">SUM(FJ632)</f>
        <v>0</v>
      </c>
      <c r="FK630" s="679">
        <f t="shared" si="14491"/>
        <v>0</v>
      </c>
      <c r="FL630" s="551">
        <f t="shared" ref="FL630:FM630" si="14492">SUM(FL632)</f>
        <v>0</v>
      </c>
      <c r="FM630" s="679">
        <f t="shared" si="14492"/>
        <v>0</v>
      </c>
      <c r="FN630" s="551">
        <f t="shared" ref="FN630:FO630" si="14493">SUM(FN632)</f>
        <v>0</v>
      </c>
      <c r="FO630" s="679">
        <f t="shared" si="14493"/>
        <v>0</v>
      </c>
      <c r="FP630" s="551">
        <f t="shared" ref="FP630:FQ630" si="14494">SUM(FP632)</f>
        <v>0</v>
      </c>
      <c r="FQ630" s="679">
        <f t="shared" si="14494"/>
        <v>0</v>
      </c>
      <c r="FR630" s="551">
        <f t="shared" ref="FR630:FS630" si="14495">SUM(FR632)</f>
        <v>0</v>
      </c>
      <c r="FS630" s="679">
        <f t="shared" si="14495"/>
        <v>0</v>
      </c>
      <c r="FT630" s="551">
        <f t="shared" ref="FT630:FU630" si="14496">SUM(FT632)</f>
        <v>0</v>
      </c>
      <c r="FU630" s="679">
        <f t="shared" si="14496"/>
        <v>0</v>
      </c>
      <c r="FV630" s="551">
        <f t="shared" ref="FV630:GK630" si="14497">SUM(FV632)</f>
        <v>0</v>
      </c>
      <c r="FW630" s="679">
        <f t="shared" si="14497"/>
        <v>0</v>
      </c>
      <c r="FX630" s="551">
        <f t="shared" si="14497"/>
        <v>0</v>
      </c>
      <c r="FY630" s="679">
        <f t="shared" si="14497"/>
        <v>0</v>
      </c>
      <c r="FZ630" s="551">
        <f t="shared" ref="FZ630:GI630" si="14498">SUM(FZ632)</f>
        <v>0</v>
      </c>
      <c r="GA630" s="679">
        <f t="shared" si="14498"/>
        <v>0</v>
      </c>
      <c r="GB630" s="551">
        <f t="shared" si="14498"/>
        <v>0</v>
      </c>
      <c r="GC630" s="679">
        <f t="shared" si="14498"/>
        <v>0</v>
      </c>
      <c r="GD630" s="551">
        <f t="shared" si="14498"/>
        <v>0</v>
      </c>
      <c r="GE630" s="679">
        <f t="shared" si="14498"/>
        <v>0</v>
      </c>
      <c r="GF630" s="551">
        <f t="shared" si="14498"/>
        <v>0</v>
      </c>
      <c r="GG630" s="679">
        <f t="shared" si="14498"/>
        <v>0</v>
      </c>
      <c r="GH630" s="551">
        <f t="shared" si="14498"/>
        <v>0</v>
      </c>
      <c r="GI630" s="679">
        <f t="shared" si="14498"/>
        <v>0</v>
      </c>
      <c r="GJ630" s="551">
        <f t="shared" si="14497"/>
        <v>0</v>
      </c>
      <c r="GK630" s="679">
        <f t="shared" si="14497"/>
        <v>0</v>
      </c>
      <c r="GL630" s="551">
        <f t="shared" ref="GL630:GP630" si="14499">SUM(GL632)</f>
        <v>0</v>
      </c>
      <c r="GM630" s="679">
        <f t="shared" si="14499"/>
        <v>0</v>
      </c>
      <c r="GN630" s="551">
        <f t="shared" ref="GN630:GO630" si="14500">SUM(GN632)</f>
        <v>0</v>
      </c>
      <c r="GO630" s="679">
        <f t="shared" si="14500"/>
        <v>0</v>
      </c>
      <c r="GP630" s="551">
        <f t="shared" si="14499"/>
        <v>0</v>
      </c>
      <c r="GQ630" s="679">
        <f>SUM(GQ632)</f>
        <v>-42941</v>
      </c>
      <c r="GR630" s="85">
        <f t="shared" ref="GR630:IH630" si="14501">SUM(GR632)</f>
        <v>402359</v>
      </c>
      <c r="GS630" s="85">
        <f t="shared" si="14501"/>
        <v>359746</v>
      </c>
      <c r="GT630" s="551">
        <f>SUM(GT632)</f>
        <v>402359</v>
      </c>
      <c r="GU630" s="85">
        <f t="shared" ref="GU630:HF630" si="14502">SUM(GU632)</f>
        <v>39650</v>
      </c>
      <c r="GV630" s="85">
        <f t="shared" si="14502"/>
        <v>42759</v>
      </c>
      <c r="GW630" s="551">
        <f t="shared" si="14502"/>
        <v>39625</v>
      </c>
      <c r="GX630" s="551">
        <f t="shared" si="14502"/>
        <v>39625</v>
      </c>
      <c r="GY630" s="85">
        <f t="shared" si="14502"/>
        <v>39625</v>
      </c>
      <c r="GZ630" s="85">
        <f t="shared" si="14502"/>
        <v>39625</v>
      </c>
      <c r="HA630" s="85">
        <f t="shared" si="14502"/>
        <v>39625</v>
      </c>
      <c r="HB630" s="85">
        <f t="shared" si="14502"/>
        <v>42758</v>
      </c>
      <c r="HC630" s="85">
        <f t="shared" si="14502"/>
        <v>39625</v>
      </c>
      <c r="HD630" s="85">
        <f t="shared" si="14502"/>
        <v>39770</v>
      </c>
      <c r="HE630" s="85">
        <f t="shared" si="14502"/>
        <v>42613</v>
      </c>
      <c r="HF630" s="85">
        <f t="shared" si="14502"/>
        <v>0</v>
      </c>
      <c r="HG630" s="85">
        <f>SUM(HG632)</f>
        <v>359746</v>
      </c>
      <c r="HH630" s="85">
        <f t="shared" ref="HH630:HI630" si="14503">SUM(HH632)</f>
        <v>0</v>
      </c>
      <c r="HI630" s="814">
        <f t="shared" si="14503"/>
        <v>0</v>
      </c>
      <c r="HJ630" s="85">
        <f t="shared" ref="HJ630:HK630" si="14504">SUM(HJ632)</f>
        <v>0</v>
      </c>
      <c r="HK630" s="814">
        <f t="shared" si="14504"/>
        <v>82409</v>
      </c>
      <c r="HL630" s="85">
        <f t="shared" ref="HL630:HM630" si="14505">SUM(HL632)</f>
        <v>0</v>
      </c>
      <c r="HM630" s="814">
        <f t="shared" si="14505"/>
        <v>39480</v>
      </c>
      <c r="HN630" s="85">
        <f t="shared" ref="HN630:HO630" si="14506">SUM(HN632)</f>
        <v>0</v>
      </c>
      <c r="HO630" s="814">
        <f t="shared" si="14506"/>
        <v>39770</v>
      </c>
      <c r="HP630" s="85">
        <f t="shared" ref="HP630:HQ630" si="14507">SUM(HP632)</f>
        <v>0</v>
      </c>
      <c r="HQ630" s="814">
        <f t="shared" si="14507"/>
        <v>39625</v>
      </c>
      <c r="HR630" s="85">
        <f t="shared" ref="HR630:HS630" si="14508">SUM(HR632)</f>
        <v>0</v>
      </c>
      <c r="HS630" s="814">
        <f t="shared" si="14508"/>
        <v>39625</v>
      </c>
      <c r="HT630" s="85">
        <f t="shared" ref="HT630:HU630" si="14509">SUM(HT632)</f>
        <v>0</v>
      </c>
      <c r="HU630" s="814">
        <f t="shared" si="14509"/>
        <v>39625</v>
      </c>
      <c r="HV630" s="85">
        <f t="shared" ref="HV630:HW630" si="14510">SUM(HV632)</f>
        <v>0</v>
      </c>
      <c r="HW630" s="814">
        <f t="shared" si="14510"/>
        <v>67058</v>
      </c>
      <c r="HX630" s="85">
        <f t="shared" ref="HX630:HY630" si="14511">SUM(HX632)</f>
        <v>0</v>
      </c>
      <c r="HY630" s="814">
        <f t="shared" si="14511"/>
        <v>15325.000000000004</v>
      </c>
      <c r="HZ630" s="85">
        <f t="shared" ref="HZ630:IA630" si="14512">SUM(HZ632)</f>
        <v>0</v>
      </c>
      <c r="IA630" s="814">
        <f t="shared" si="14512"/>
        <v>39770</v>
      </c>
      <c r="IB630" s="85">
        <f t="shared" ref="IB630:IC630" si="14513">SUM(IB632)</f>
        <v>0</v>
      </c>
      <c r="IC630" s="814">
        <f t="shared" si="14513"/>
        <v>0</v>
      </c>
      <c r="ID630" s="85">
        <f t="shared" si="14501"/>
        <v>0</v>
      </c>
      <c r="IE630" s="814">
        <f t="shared" si="14501"/>
        <v>0</v>
      </c>
      <c r="IF630" s="856">
        <f t="shared" si="14501"/>
        <v>307183.76</v>
      </c>
      <c r="IG630" s="281">
        <f t="shared" si="14501"/>
        <v>307183.76</v>
      </c>
      <c r="IH630" s="857">
        <f t="shared" si="14501"/>
        <v>307183.76</v>
      </c>
      <c r="II630" s="85">
        <f t="shared" ref="II630:JR630" si="14514">SUM(II632)</f>
        <v>18956.36</v>
      </c>
      <c r="IJ630" s="85">
        <f t="shared" si="14514"/>
        <v>18956.36</v>
      </c>
      <c r="IK630" s="85">
        <f t="shared" si="14514"/>
        <v>18956.36</v>
      </c>
      <c r="IL630" s="85">
        <f t="shared" si="14514"/>
        <v>33634.42</v>
      </c>
      <c r="IM630" s="85">
        <f t="shared" si="14514"/>
        <v>33634.42</v>
      </c>
      <c r="IN630" s="85">
        <f t="shared" si="14514"/>
        <v>33634.42</v>
      </c>
      <c r="IO630" s="85">
        <f t="shared" si="14514"/>
        <v>17050.2</v>
      </c>
      <c r="IP630" s="85">
        <f t="shared" si="14514"/>
        <v>17050.2</v>
      </c>
      <c r="IQ630" s="85">
        <f t="shared" si="14514"/>
        <v>17050.2</v>
      </c>
      <c r="IR630" s="85">
        <f t="shared" si="14514"/>
        <v>40160.269999999997</v>
      </c>
      <c r="IS630" s="85">
        <f t="shared" si="14514"/>
        <v>40160.269999999997</v>
      </c>
      <c r="IT630" s="85">
        <f t="shared" si="14514"/>
        <v>40160.269999999997</v>
      </c>
      <c r="IU630" s="85">
        <f t="shared" si="14514"/>
        <v>33993.730000000003</v>
      </c>
      <c r="IV630" s="85">
        <f t="shared" si="14514"/>
        <v>33993.730000000003</v>
      </c>
      <c r="IW630" s="85">
        <f t="shared" si="14514"/>
        <v>33993.730000000003</v>
      </c>
      <c r="IX630" s="85">
        <f t="shared" si="14514"/>
        <v>32217.899999999994</v>
      </c>
      <c r="IY630" s="85">
        <f t="shared" si="14514"/>
        <v>32217.899999999994</v>
      </c>
      <c r="IZ630" s="85">
        <f t="shared" si="14514"/>
        <v>32217.899999999994</v>
      </c>
      <c r="JA630" s="85">
        <f t="shared" si="14514"/>
        <v>31331.570000000007</v>
      </c>
      <c r="JB630" s="85">
        <f t="shared" si="14514"/>
        <v>31331.570000000007</v>
      </c>
      <c r="JC630" s="85">
        <f t="shared" si="14514"/>
        <v>31331.570000000007</v>
      </c>
      <c r="JD630" s="85">
        <f t="shared" si="14514"/>
        <v>34311.37999999999</v>
      </c>
      <c r="JE630" s="85">
        <f t="shared" si="14514"/>
        <v>34311.37999999999</v>
      </c>
      <c r="JF630" s="85">
        <f t="shared" si="14514"/>
        <v>34311.37999999999</v>
      </c>
      <c r="JG630" s="85">
        <f t="shared" si="14514"/>
        <v>32676.529999999995</v>
      </c>
      <c r="JH630" s="85">
        <f t="shared" si="14514"/>
        <v>32676.529999999995</v>
      </c>
      <c r="JI630" s="85">
        <f t="shared" si="14514"/>
        <v>32676.529999999995</v>
      </c>
      <c r="JJ630" s="85">
        <f t="shared" si="14514"/>
        <v>32851.400000000023</v>
      </c>
      <c r="JK630" s="85">
        <f t="shared" si="14514"/>
        <v>32851.400000000023</v>
      </c>
      <c r="JL630" s="85">
        <f t="shared" si="14514"/>
        <v>32851.400000000023</v>
      </c>
      <c r="JM630" s="85">
        <f t="shared" si="14514"/>
        <v>0</v>
      </c>
      <c r="JN630" s="85">
        <f t="shared" si="14514"/>
        <v>0</v>
      </c>
      <c r="JO630" s="85">
        <f t="shared" si="14514"/>
        <v>0</v>
      </c>
      <c r="JP630" s="85">
        <f t="shared" si="14514"/>
        <v>0</v>
      </c>
      <c r="JQ630" s="85">
        <f t="shared" si="14514"/>
        <v>0</v>
      </c>
      <c r="JR630" s="85">
        <f t="shared" si="14514"/>
        <v>0</v>
      </c>
      <c r="JS630" s="85">
        <f t="shared" ref="JS630:JY630" si="14515">SUM(JS632)</f>
        <v>52562.239999999991</v>
      </c>
      <c r="JT630" s="661">
        <f t="shared" si="14515"/>
        <v>52562.239999999991</v>
      </c>
      <c r="JU630" s="665"/>
      <c r="JV630" s="524"/>
      <c r="JW630" s="525"/>
      <c r="JX630" s="551">
        <f t="shared" si="14515"/>
        <v>0</v>
      </c>
      <c r="JY630" s="551">
        <f t="shared" si="14515"/>
        <v>402687</v>
      </c>
      <c r="JZ630" s="581">
        <f t="shared" si="13477"/>
        <v>0</v>
      </c>
      <c r="KA630" s="581">
        <f t="shared" si="13478"/>
        <v>-42941</v>
      </c>
      <c r="KB630" s="551">
        <f t="shared" ref="KB630:KB649" si="14516">JX630+JY630+JZ630+KA630</f>
        <v>359746</v>
      </c>
      <c r="KC630" s="709">
        <f t="shared" si="13396"/>
        <v>0</v>
      </c>
      <c r="KD630" s="36"/>
      <c r="KE630" s="36"/>
      <c r="KF630" s="36"/>
      <c r="KG630" s="36"/>
      <c r="KH630" s="36"/>
      <c r="KI630" s="36"/>
      <c r="KJ630" s="36"/>
      <c r="KK630" s="36"/>
    </row>
    <row r="631" spans="1:297" s="10" customFormat="1">
      <c r="A631" s="86"/>
      <c r="B631" s="77"/>
      <c r="C631" s="74"/>
      <c r="D631" s="549"/>
      <c r="E631" s="675"/>
      <c r="F631" s="549"/>
      <c r="G631" s="675"/>
      <c r="H631" s="549"/>
      <c r="I631" s="675"/>
      <c r="J631" s="549"/>
      <c r="K631" s="675"/>
      <c r="L631" s="549"/>
      <c r="M631" s="675"/>
      <c r="N631" s="549"/>
      <c r="O631" s="675"/>
      <c r="P631" s="549"/>
      <c r="Q631" s="675"/>
      <c r="R631" s="549"/>
      <c r="S631" s="675"/>
      <c r="T631" s="549"/>
      <c r="U631" s="675"/>
      <c r="V631" s="549"/>
      <c r="W631" s="675"/>
      <c r="X631" s="549"/>
      <c r="Y631" s="675"/>
      <c r="Z631" s="549"/>
      <c r="AA631" s="675"/>
      <c r="AB631" s="549"/>
      <c r="AC631" s="675"/>
      <c r="AD631" s="549"/>
      <c r="AE631" s="675"/>
      <c r="AF631" s="549"/>
      <c r="AG631" s="675"/>
      <c r="AH631" s="549"/>
      <c r="AI631" s="675"/>
      <c r="AJ631" s="549"/>
      <c r="AK631" s="675"/>
      <c r="AL631" s="549"/>
      <c r="AM631" s="675"/>
      <c r="AN631" s="549"/>
      <c r="AO631" s="675"/>
      <c r="AP631" s="549"/>
      <c r="AQ631" s="675"/>
      <c r="AR631" s="549"/>
      <c r="AS631" s="675"/>
      <c r="AT631" s="549"/>
      <c r="AU631" s="675"/>
      <c r="AV631" s="549"/>
      <c r="AW631" s="675"/>
      <c r="AX631" s="549"/>
      <c r="AY631" s="675"/>
      <c r="AZ631" s="549"/>
      <c r="BA631" s="675"/>
      <c r="BB631" s="549"/>
      <c r="BC631" s="675"/>
      <c r="BD631" s="549"/>
      <c r="BE631" s="675"/>
      <c r="BF631" s="549"/>
      <c r="BG631" s="675"/>
      <c r="BH631" s="549"/>
      <c r="BI631" s="675"/>
      <c r="BJ631" s="549"/>
      <c r="BK631" s="675"/>
      <c r="BL631" s="549"/>
      <c r="BM631" s="675"/>
      <c r="BN631" s="549"/>
      <c r="BO631" s="675"/>
      <c r="BP631" s="549"/>
      <c r="BQ631" s="675"/>
      <c r="BR631" s="549"/>
      <c r="BS631" s="675"/>
      <c r="BT631" s="549"/>
      <c r="BU631" s="675"/>
      <c r="BV631" s="549"/>
      <c r="BW631" s="675"/>
      <c r="BX631" s="549"/>
      <c r="BY631" s="675"/>
      <c r="BZ631" s="549"/>
      <c r="CA631" s="675"/>
      <c r="CB631" s="549"/>
      <c r="CC631" s="675"/>
      <c r="CD631" s="549"/>
      <c r="CE631" s="675"/>
      <c r="CF631" s="549"/>
      <c r="CG631" s="675"/>
      <c r="CH631" s="549"/>
      <c r="CI631" s="675"/>
      <c r="CJ631" s="549"/>
      <c r="CK631" s="675"/>
      <c r="CL631" s="549"/>
      <c r="CM631" s="675"/>
      <c r="CN631" s="549"/>
      <c r="CO631" s="675"/>
      <c r="CP631" s="549"/>
      <c r="CQ631" s="675"/>
      <c r="CR631" s="549"/>
      <c r="CS631" s="675"/>
      <c r="CT631" s="549"/>
      <c r="CU631" s="675"/>
      <c r="CV631" s="549"/>
      <c r="CW631" s="675"/>
      <c r="CX631" s="549"/>
      <c r="CY631" s="675"/>
      <c r="CZ631" s="549"/>
      <c r="DA631" s="675"/>
      <c r="DB631" s="549"/>
      <c r="DC631" s="675"/>
      <c r="DD631" s="549"/>
      <c r="DE631" s="675"/>
      <c r="DF631" s="549"/>
      <c r="DG631" s="675"/>
      <c r="DH631" s="549"/>
      <c r="DI631" s="675"/>
      <c r="DJ631" s="549"/>
      <c r="DK631" s="675"/>
      <c r="DL631" s="549"/>
      <c r="DM631" s="675"/>
      <c r="DN631" s="549"/>
      <c r="DO631" s="675"/>
      <c r="DP631" s="549"/>
      <c r="DQ631" s="675"/>
      <c r="DR631" s="549"/>
      <c r="DS631" s="675"/>
      <c r="DT631" s="549"/>
      <c r="DU631" s="675"/>
      <c r="DV631" s="549"/>
      <c r="DW631" s="675"/>
      <c r="DX631" s="549"/>
      <c r="DY631" s="675"/>
      <c r="DZ631" s="549"/>
      <c r="EA631" s="675"/>
      <c r="EB631" s="549"/>
      <c r="EC631" s="675"/>
      <c r="ED631" s="549"/>
      <c r="EE631" s="675"/>
      <c r="EF631" s="549"/>
      <c r="EG631" s="675"/>
      <c r="EH631" s="549"/>
      <c r="EI631" s="675"/>
      <c r="EJ631" s="549"/>
      <c r="EK631" s="675"/>
      <c r="EL631" s="549"/>
      <c r="EM631" s="675"/>
      <c r="EN631" s="549"/>
      <c r="EO631" s="675"/>
      <c r="EP631" s="549"/>
      <c r="EQ631" s="675"/>
      <c r="ER631" s="549"/>
      <c r="ES631" s="675"/>
      <c r="ET631" s="549"/>
      <c r="EU631" s="675"/>
      <c r="EV631" s="549"/>
      <c r="EW631" s="675"/>
      <c r="EX631" s="549"/>
      <c r="EY631" s="675"/>
      <c r="EZ631" s="549"/>
      <c r="FA631" s="675"/>
      <c r="FB631" s="549"/>
      <c r="FC631" s="675"/>
      <c r="FD631" s="549"/>
      <c r="FE631" s="675"/>
      <c r="FF631" s="549"/>
      <c r="FG631" s="675"/>
      <c r="FH631" s="549"/>
      <c r="FI631" s="675"/>
      <c r="FJ631" s="549"/>
      <c r="FK631" s="675"/>
      <c r="FL631" s="549"/>
      <c r="FM631" s="675"/>
      <c r="FN631" s="549"/>
      <c r="FO631" s="675"/>
      <c r="FP631" s="549"/>
      <c r="FQ631" s="675"/>
      <c r="FR631" s="549"/>
      <c r="FS631" s="675"/>
      <c r="FT631" s="549"/>
      <c r="FU631" s="675"/>
      <c r="FV631" s="549"/>
      <c r="FW631" s="675"/>
      <c r="FX631" s="549"/>
      <c r="FY631" s="675"/>
      <c r="FZ631" s="549"/>
      <c r="GA631" s="675"/>
      <c r="GB631" s="549"/>
      <c r="GC631" s="675"/>
      <c r="GD631" s="549"/>
      <c r="GE631" s="675"/>
      <c r="GF631" s="549"/>
      <c r="GG631" s="675"/>
      <c r="GH631" s="549"/>
      <c r="GI631" s="675"/>
      <c r="GJ631" s="549"/>
      <c r="GK631" s="675"/>
      <c r="GL631" s="549"/>
      <c r="GM631" s="675"/>
      <c r="GN631" s="549"/>
      <c r="GO631" s="675"/>
      <c r="GP631" s="549"/>
      <c r="GQ631" s="675"/>
      <c r="GR631" s="74"/>
      <c r="GS631" s="74"/>
      <c r="GT631" s="549"/>
      <c r="GU631" s="73"/>
      <c r="GV631" s="73"/>
      <c r="GW631" s="549"/>
      <c r="GX631" s="549"/>
      <c r="GY631" s="73"/>
      <c r="GZ631" s="73"/>
      <c r="HA631" s="73"/>
      <c r="HB631" s="73"/>
      <c r="HC631" s="73"/>
      <c r="HD631" s="73"/>
      <c r="HE631" s="73"/>
      <c r="HF631" s="73"/>
      <c r="HG631" s="74"/>
      <c r="HH631" s="73"/>
      <c r="HI631" s="815"/>
      <c r="HJ631" s="73"/>
      <c r="HK631" s="815"/>
      <c r="HL631" s="73"/>
      <c r="HM631" s="815"/>
      <c r="HN631" s="73"/>
      <c r="HO631" s="815"/>
      <c r="HP631" s="73"/>
      <c r="HQ631" s="815"/>
      <c r="HR631" s="73"/>
      <c r="HS631" s="815"/>
      <c r="HT631" s="73"/>
      <c r="HU631" s="815"/>
      <c r="HV631" s="73"/>
      <c r="HW631" s="815"/>
      <c r="HX631" s="73"/>
      <c r="HY631" s="815"/>
      <c r="HZ631" s="73"/>
      <c r="IA631" s="815"/>
      <c r="IB631" s="73"/>
      <c r="IC631" s="815"/>
      <c r="ID631" s="73"/>
      <c r="IE631" s="815"/>
      <c r="IF631" s="841"/>
      <c r="IG631" s="263"/>
      <c r="IH631" s="842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  <c r="JD631" s="73"/>
      <c r="JE631" s="73"/>
      <c r="JF631" s="73"/>
      <c r="JG631" s="73"/>
      <c r="JH631" s="73"/>
      <c r="JI631" s="73"/>
      <c r="JJ631" s="73"/>
      <c r="JK631" s="73"/>
      <c r="JL631" s="73"/>
      <c r="JM631" s="73"/>
      <c r="JN631" s="73"/>
      <c r="JO631" s="73"/>
      <c r="JP631" s="73"/>
      <c r="JQ631" s="73"/>
      <c r="JR631" s="73"/>
      <c r="JS631" s="74"/>
      <c r="JT631" s="382"/>
      <c r="JU631" s="665"/>
      <c r="JV631" s="524"/>
      <c r="JW631" s="525"/>
      <c r="JX631" s="549"/>
      <c r="JY631" s="549"/>
      <c r="JZ631" s="581">
        <f t="shared" si="13477"/>
        <v>0</v>
      </c>
      <c r="KA631" s="581">
        <f t="shared" si="13478"/>
        <v>0</v>
      </c>
      <c r="KB631" s="549">
        <f t="shared" si="14516"/>
        <v>0</v>
      </c>
      <c r="KC631" s="709">
        <f t="shared" si="13396"/>
        <v>0</v>
      </c>
      <c r="KD631" s="36"/>
      <c r="KE631" s="36"/>
      <c r="KF631" s="36"/>
      <c r="KG631" s="36"/>
      <c r="KH631" s="36"/>
      <c r="KI631" s="36"/>
      <c r="KJ631" s="36"/>
      <c r="KK631" s="36"/>
    </row>
    <row r="632" spans="1:297" s="8" customFormat="1">
      <c r="A632" s="80" t="s">
        <v>331</v>
      </c>
      <c r="B632" s="72" t="s">
        <v>332</v>
      </c>
      <c r="C632" s="74">
        <f t="shared" ref="C632:AC632" si="14517">SUM(C634,C637,C641,C643,C645)</f>
        <v>445300</v>
      </c>
      <c r="D632" s="549">
        <f t="shared" si="14517"/>
        <v>0</v>
      </c>
      <c r="E632" s="675">
        <f t="shared" si="14517"/>
        <v>0</v>
      </c>
      <c r="F632" s="549">
        <f t="shared" si="14517"/>
        <v>0</v>
      </c>
      <c r="G632" s="675">
        <f t="shared" si="14517"/>
        <v>0</v>
      </c>
      <c r="H632" s="549">
        <f t="shared" si="14517"/>
        <v>0</v>
      </c>
      <c r="I632" s="675">
        <f t="shared" si="14517"/>
        <v>0</v>
      </c>
      <c r="J632" s="549">
        <f t="shared" si="14517"/>
        <v>0</v>
      </c>
      <c r="K632" s="675">
        <f t="shared" si="14517"/>
        <v>0</v>
      </c>
      <c r="L632" s="549">
        <f t="shared" si="14517"/>
        <v>0</v>
      </c>
      <c r="M632" s="675">
        <f t="shared" si="14517"/>
        <v>0</v>
      </c>
      <c r="N632" s="549">
        <f t="shared" si="14517"/>
        <v>0</v>
      </c>
      <c r="O632" s="675">
        <f t="shared" si="14517"/>
        <v>0</v>
      </c>
      <c r="P632" s="549">
        <f t="shared" si="14517"/>
        <v>0</v>
      </c>
      <c r="Q632" s="675">
        <f t="shared" si="14517"/>
        <v>0</v>
      </c>
      <c r="R632" s="549">
        <f t="shared" si="14517"/>
        <v>0</v>
      </c>
      <c r="S632" s="675">
        <f t="shared" si="14517"/>
        <v>0</v>
      </c>
      <c r="T632" s="549">
        <f t="shared" si="14517"/>
        <v>0</v>
      </c>
      <c r="U632" s="675">
        <f t="shared" si="14517"/>
        <v>0</v>
      </c>
      <c r="V632" s="549">
        <f t="shared" si="14517"/>
        <v>0</v>
      </c>
      <c r="W632" s="675">
        <f t="shared" si="14517"/>
        <v>0</v>
      </c>
      <c r="X632" s="549">
        <f t="shared" si="14517"/>
        <v>0</v>
      </c>
      <c r="Y632" s="675">
        <f t="shared" si="14517"/>
        <v>0</v>
      </c>
      <c r="Z632" s="549">
        <f t="shared" si="14517"/>
        <v>0</v>
      </c>
      <c r="AA632" s="675">
        <f t="shared" si="14517"/>
        <v>0</v>
      </c>
      <c r="AB632" s="549">
        <f t="shared" si="14517"/>
        <v>0</v>
      </c>
      <c r="AC632" s="675">
        <f t="shared" si="14517"/>
        <v>0</v>
      </c>
      <c r="AD632" s="549">
        <f t="shared" ref="AD632:AK632" si="14518">SUM(AD634,AD637,AD641,AD643,AD645)</f>
        <v>0</v>
      </c>
      <c r="AE632" s="675">
        <f t="shared" si="14518"/>
        <v>0</v>
      </c>
      <c r="AF632" s="549">
        <f t="shared" si="14518"/>
        <v>0</v>
      </c>
      <c r="AG632" s="675">
        <f t="shared" si="14518"/>
        <v>0</v>
      </c>
      <c r="AH632" s="549">
        <f t="shared" si="14518"/>
        <v>0</v>
      </c>
      <c r="AI632" s="675">
        <f t="shared" si="14518"/>
        <v>0</v>
      </c>
      <c r="AJ632" s="549">
        <f t="shared" si="14518"/>
        <v>0</v>
      </c>
      <c r="AK632" s="675">
        <f t="shared" si="14518"/>
        <v>0</v>
      </c>
      <c r="AL632" s="549">
        <f t="shared" ref="AL632:AM632" si="14519">SUM(AL634,AL637,AL641,AL643,AL645)</f>
        <v>0</v>
      </c>
      <c r="AM632" s="675">
        <f t="shared" si="14519"/>
        <v>0</v>
      </c>
      <c r="AN632" s="549">
        <f t="shared" ref="AN632:AS632" si="14520">SUM(AN634,AN637,AN641,AN643,AN645)</f>
        <v>0</v>
      </c>
      <c r="AO632" s="675">
        <f t="shared" si="14520"/>
        <v>-4184</v>
      </c>
      <c r="AP632" s="549">
        <f t="shared" si="14520"/>
        <v>0</v>
      </c>
      <c r="AQ632" s="675">
        <f t="shared" si="14520"/>
        <v>0</v>
      </c>
      <c r="AR632" s="549">
        <f t="shared" si="14520"/>
        <v>0</v>
      </c>
      <c r="AS632" s="675">
        <f t="shared" si="14520"/>
        <v>0</v>
      </c>
      <c r="AT632" s="549">
        <f t="shared" ref="AT632:AU632" si="14521">SUM(AT634,AT637,AT641,AT643,AT645)</f>
        <v>0</v>
      </c>
      <c r="AU632" s="675">
        <f t="shared" si="14521"/>
        <v>0</v>
      </c>
      <c r="AV632" s="549">
        <f t="shared" ref="AV632:AW632" si="14522">SUM(AV634,AV637,AV641,AV643,AV645)</f>
        <v>0</v>
      </c>
      <c r="AW632" s="675">
        <f t="shared" si="14522"/>
        <v>-36757</v>
      </c>
      <c r="AX632" s="549">
        <f t="shared" ref="AX632:AY632" si="14523">SUM(AX634,AX637,AX641,AX643,AX645)</f>
        <v>0</v>
      </c>
      <c r="AY632" s="675">
        <f t="shared" si="14523"/>
        <v>0</v>
      </c>
      <c r="AZ632" s="549">
        <f t="shared" ref="AZ632:BA632" si="14524">SUM(AZ634,AZ637,AZ641,AZ643,AZ645)</f>
        <v>0</v>
      </c>
      <c r="BA632" s="675">
        <f t="shared" si="14524"/>
        <v>0</v>
      </c>
      <c r="BB632" s="549">
        <f t="shared" ref="BB632:BC632" si="14525">SUM(BB634,BB637,BB641,BB643,BB645)</f>
        <v>0</v>
      </c>
      <c r="BC632" s="675">
        <f t="shared" si="14525"/>
        <v>0</v>
      </c>
      <c r="BD632" s="549">
        <f t="shared" ref="BD632:BE632" si="14526">SUM(BD634,BD637,BD641,BD643,BD645)</f>
        <v>0</v>
      </c>
      <c r="BE632" s="675">
        <f t="shared" si="14526"/>
        <v>0</v>
      </c>
      <c r="BF632" s="549">
        <f t="shared" ref="BF632:BG632" si="14527">SUM(BF634,BF637,BF641,BF643,BF645)</f>
        <v>0</v>
      </c>
      <c r="BG632" s="675">
        <f t="shared" si="14527"/>
        <v>0</v>
      </c>
      <c r="BH632" s="549">
        <f t="shared" ref="BH632:BI632" si="14528">SUM(BH634,BH637,BH641,BH643,BH645)</f>
        <v>0</v>
      </c>
      <c r="BI632" s="675">
        <f t="shared" si="14528"/>
        <v>0</v>
      </c>
      <c r="BJ632" s="549">
        <f t="shared" ref="BJ632:BK632" si="14529">SUM(BJ634,BJ637,BJ641,BJ643,BJ645)</f>
        <v>0</v>
      </c>
      <c r="BK632" s="675">
        <f t="shared" si="14529"/>
        <v>0</v>
      </c>
      <c r="BL632" s="549">
        <f t="shared" ref="BL632:BS632" si="14530">SUM(BL634,BL637,BL641,BL643,BL645)</f>
        <v>0</v>
      </c>
      <c r="BM632" s="675">
        <f t="shared" si="14530"/>
        <v>0</v>
      </c>
      <c r="BN632" s="549">
        <f t="shared" si="14530"/>
        <v>0</v>
      </c>
      <c r="BO632" s="675">
        <f t="shared" si="14530"/>
        <v>0</v>
      </c>
      <c r="BP632" s="549">
        <f t="shared" si="14530"/>
        <v>0</v>
      </c>
      <c r="BQ632" s="675">
        <f t="shared" si="14530"/>
        <v>0</v>
      </c>
      <c r="BR632" s="549">
        <f t="shared" si="14530"/>
        <v>0</v>
      </c>
      <c r="BS632" s="675">
        <f t="shared" si="14530"/>
        <v>0</v>
      </c>
      <c r="BT632" s="549">
        <f t="shared" ref="BT632:BU632" si="14531">SUM(BT634,BT637,BT641,BT643,BT645)</f>
        <v>0</v>
      </c>
      <c r="BU632" s="675">
        <f t="shared" si="14531"/>
        <v>0</v>
      </c>
      <c r="BV632" s="549">
        <f t="shared" ref="BV632:BW632" si="14532">SUM(BV634,BV637,BV641,BV643,BV645)</f>
        <v>0</v>
      </c>
      <c r="BW632" s="675">
        <f t="shared" si="14532"/>
        <v>0</v>
      </c>
      <c r="BX632" s="549">
        <f t="shared" ref="BX632:BY632" si="14533">SUM(BX634,BX637,BX641,BX643,BX645)</f>
        <v>0</v>
      </c>
      <c r="BY632" s="675">
        <f t="shared" si="14533"/>
        <v>0</v>
      </c>
      <c r="BZ632" s="549">
        <f t="shared" ref="BZ632:CA632" si="14534">SUM(BZ634,BZ637,BZ641,BZ643,BZ645)</f>
        <v>0</v>
      </c>
      <c r="CA632" s="675">
        <f t="shared" si="14534"/>
        <v>0</v>
      </c>
      <c r="CB632" s="549">
        <f t="shared" ref="CB632:CE632" si="14535">SUM(CB634,CB637,CB641,CB643,CB645)</f>
        <v>0</v>
      </c>
      <c r="CC632" s="675">
        <f t="shared" si="14535"/>
        <v>0</v>
      </c>
      <c r="CD632" s="549">
        <f t="shared" si="14535"/>
        <v>0</v>
      </c>
      <c r="CE632" s="675">
        <f t="shared" si="14535"/>
        <v>0</v>
      </c>
      <c r="CF632" s="549">
        <f t="shared" ref="CF632:CQ632" si="14536">SUM(CF634,CF637,CF641,CF643,CF645)</f>
        <v>0</v>
      </c>
      <c r="CG632" s="675">
        <f t="shared" si="14536"/>
        <v>0</v>
      </c>
      <c r="CH632" s="549">
        <f t="shared" si="14536"/>
        <v>0</v>
      </c>
      <c r="CI632" s="675">
        <f t="shared" si="14536"/>
        <v>0</v>
      </c>
      <c r="CJ632" s="549">
        <f t="shared" si="14536"/>
        <v>0</v>
      </c>
      <c r="CK632" s="675">
        <f t="shared" si="14536"/>
        <v>0</v>
      </c>
      <c r="CL632" s="549">
        <f t="shared" si="14536"/>
        <v>0</v>
      </c>
      <c r="CM632" s="675">
        <f t="shared" si="14536"/>
        <v>0</v>
      </c>
      <c r="CN632" s="549">
        <f t="shared" si="14536"/>
        <v>0</v>
      </c>
      <c r="CO632" s="675">
        <f t="shared" si="14536"/>
        <v>0</v>
      </c>
      <c r="CP632" s="549">
        <f t="shared" si="14536"/>
        <v>0</v>
      </c>
      <c r="CQ632" s="675">
        <f t="shared" si="14536"/>
        <v>0</v>
      </c>
      <c r="CR632" s="549">
        <f t="shared" ref="CR632:CY632" si="14537">SUM(CR634,CR637,CR641,CR643,CR645)</f>
        <v>0</v>
      </c>
      <c r="CS632" s="675">
        <f t="shared" si="14537"/>
        <v>0</v>
      </c>
      <c r="CT632" s="549">
        <f t="shared" si="14537"/>
        <v>0</v>
      </c>
      <c r="CU632" s="675">
        <f t="shared" si="14537"/>
        <v>0</v>
      </c>
      <c r="CV632" s="549">
        <f t="shared" si="14537"/>
        <v>0</v>
      </c>
      <c r="CW632" s="675">
        <f t="shared" si="14537"/>
        <v>0</v>
      </c>
      <c r="CX632" s="549">
        <f t="shared" si="14537"/>
        <v>0</v>
      </c>
      <c r="CY632" s="675">
        <f t="shared" si="14537"/>
        <v>0</v>
      </c>
      <c r="CZ632" s="549">
        <f t="shared" ref="CZ632:DG632" si="14538">SUM(CZ634,CZ637,CZ641,CZ643,CZ645)</f>
        <v>0</v>
      </c>
      <c r="DA632" s="675">
        <f t="shared" si="14538"/>
        <v>0</v>
      </c>
      <c r="DB632" s="549">
        <f t="shared" si="14538"/>
        <v>0</v>
      </c>
      <c r="DC632" s="675">
        <f t="shared" si="14538"/>
        <v>0</v>
      </c>
      <c r="DD632" s="549">
        <f t="shared" si="14538"/>
        <v>0</v>
      </c>
      <c r="DE632" s="675">
        <f t="shared" si="14538"/>
        <v>0</v>
      </c>
      <c r="DF632" s="549">
        <f t="shared" si="14538"/>
        <v>0</v>
      </c>
      <c r="DG632" s="675">
        <f t="shared" si="14538"/>
        <v>0</v>
      </c>
      <c r="DH632" s="549">
        <f t="shared" ref="DH632:DY632" si="14539">SUM(DH634,DH637,DH641,DH643,DH645)</f>
        <v>0</v>
      </c>
      <c r="DI632" s="675">
        <f t="shared" si="14539"/>
        <v>0</v>
      </c>
      <c r="DJ632" s="549">
        <f t="shared" si="14539"/>
        <v>0</v>
      </c>
      <c r="DK632" s="675">
        <f t="shared" si="14539"/>
        <v>0</v>
      </c>
      <c r="DL632" s="549">
        <f t="shared" si="14539"/>
        <v>0</v>
      </c>
      <c r="DM632" s="675">
        <f t="shared" si="14539"/>
        <v>0</v>
      </c>
      <c r="DN632" s="549">
        <f t="shared" si="14539"/>
        <v>0</v>
      </c>
      <c r="DO632" s="675">
        <f t="shared" si="14539"/>
        <v>0</v>
      </c>
      <c r="DP632" s="549">
        <f t="shared" si="14539"/>
        <v>0</v>
      </c>
      <c r="DQ632" s="675">
        <f t="shared" si="14539"/>
        <v>0</v>
      </c>
      <c r="DR632" s="549">
        <f t="shared" si="14539"/>
        <v>0</v>
      </c>
      <c r="DS632" s="675">
        <f t="shared" si="14539"/>
        <v>0</v>
      </c>
      <c r="DT632" s="549">
        <f t="shared" si="14539"/>
        <v>0</v>
      </c>
      <c r="DU632" s="675">
        <f t="shared" si="14539"/>
        <v>0</v>
      </c>
      <c r="DV632" s="549">
        <f t="shared" si="14539"/>
        <v>0</v>
      </c>
      <c r="DW632" s="675">
        <f t="shared" si="14539"/>
        <v>0</v>
      </c>
      <c r="DX632" s="549">
        <f t="shared" si="14539"/>
        <v>0</v>
      </c>
      <c r="DY632" s="675">
        <f t="shared" si="14539"/>
        <v>0</v>
      </c>
      <c r="DZ632" s="549">
        <f t="shared" ref="DZ632:FA632" si="14540">SUM(DZ634,DZ637,DZ641,DZ643,DZ645)</f>
        <v>0</v>
      </c>
      <c r="EA632" s="675">
        <f t="shared" si="14540"/>
        <v>0</v>
      </c>
      <c r="EB632" s="549">
        <f t="shared" si="14540"/>
        <v>0</v>
      </c>
      <c r="EC632" s="675">
        <f t="shared" si="14540"/>
        <v>0</v>
      </c>
      <c r="ED632" s="549">
        <f t="shared" si="14540"/>
        <v>0</v>
      </c>
      <c r="EE632" s="675">
        <f t="shared" si="14540"/>
        <v>-2000</v>
      </c>
      <c r="EF632" s="549">
        <f t="shared" si="14540"/>
        <v>0</v>
      </c>
      <c r="EG632" s="675">
        <f t="shared" si="14540"/>
        <v>0</v>
      </c>
      <c r="EH632" s="549">
        <f t="shared" ref="EH632:EM632" si="14541">SUM(EH634,EH637,EH641,EH643,EH645)</f>
        <v>0</v>
      </c>
      <c r="EI632" s="675">
        <f t="shared" si="14541"/>
        <v>0</v>
      </c>
      <c r="EJ632" s="549">
        <f t="shared" si="14541"/>
        <v>0</v>
      </c>
      <c r="EK632" s="675">
        <f t="shared" si="14541"/>
        <v>0</v>
      </c>
      <c r="EL632" s="549">
        <f t="shared" si="14541"/>
        <v>0</v>
      </c>
      <c r="EM632" s="675">
        <f t="shared" si="14541"/>
        <v>0</v>
      </c>
      <c r="EN632" s="549">
        <f t="shared" si="14540"/>
        <v>0</v>
      </c>
      <c r="EO632" s="675">
        <f t="shared" si="14540"/>
        <v>0</v>
      </c>
      <c r="EP632" s="549">
        <f t="shared" si="14540"/>
        <v>0</v>
      </c>
      <c r="EQ632" s="675">
        <f t="shared" si="14540"/>
        <v>0</v>
      </c>
      <c r="ER632" s="549">
        <f t="shared" si="14540"/>
        <v>0</v>
      </c>
      <c r="ES632" s="675">
        <f t="shared" si="14540"/>
        <v>0</v>
      </c>
      <c r="ET632" s="549">
        <f t="shared" si="14540"/>
        <v>0</v>
      </c>
      <c r="EU632" s="675">
        <f t="shared" si="14540"/>
        <v>0</v>
      </c>
      <c r="EV632" s="549">
        <f t="shared" ref="EV632:EW632" si="14542">SUM(EV634,EV637,EV641,EV643,EV645)</f>
        <v>0</v>
      </c>
      <c r="EW632" s="675">
        <f t="shared" si="14542"/>
        <v>0</v>
      </c>
      <c r="EX632" s="549">
        <f t="shared" si="14540"/>
        <v>0</v>
      </c>
      <c r="EY632" s="675">
        <f t="shared" si="14540"/>
        <v>0</v>
      </c>
      <c r="EZ632" s="549">
        <f t="shared" si="14540"/>
        <v>0</v>
      </c>
      <c r="FA632" s="675">
        <f t="shared" si="14540"/>
        <v>0</v>
      </c>
      <c r="FB632" s="549">
        <f t="shared" ref="FB632:FC632" si="14543">SUM(FB634,FB637,FB641,FB643,FB645)</f>
        <v>0</v>
      </c>
      <c r="FC632" s="675">
        <f t="shared" si="14543"/>
        <v>0</v>
      </c>
      <c r="FD632" s="549">
        <f t="shared" ref="FD632:FE632" si="14544">SUM(FD634,FD637,FD641,FD643,FD645)</f>
        <v>0</v>
      </c>
      <c r="FE632" s="675">
        <f t="shared" si="14544"/>
        <v>0</v>
      </c>
      <c r="FF632" s="549">
        <f t="shared" ref="FF632:FG632" si="14545">SUM(FF634,FF637,FF641,FF643,FF645)</f>
        <v>0</v>
      </c>
      <c r="FG632" s="675">
        <f t="shared" si="14545"/>
        <v>0</v>
      </c>
      <c r="FH632" s="549">
        <f t="shared" ref="FH632:FI632" si="14546">SUM(FH634,FH637,FH641,FH643,FH645)</f>
        <v>0</v>
      </c>
      <c r="FI632" s="675">
        <f t="shared" si="14546"/>
        <v>0</v>
      </c>
      <c r="FJ632" s="549">
        <f t="shared" ref="FJ632:FK632" si="14547">SUM(FJ634,FJ637,FJ641,FJ643,FJ645)</f>
        <v>0</v>
      </c>
      <c r="FK632" s="675">
        <f t="shared" si="14547"/>
        <v>0</v>
      </c>
      <c r="FL632" s="549">
        <f t="shared" ref="FL632:FM632" si="14548">SUM(FL634,FL637,FL641,FL643,FL645)</f>
        <v>0</v>
      </c>
      <c r="FM632" s="675">
        <f t="shared" si="14548"/>
        <v>0</v>
      </c>
      <c r="FN632" s="549">
        <f t="shared" ref="FN632:FO632" si="14549">SUM(FN634,FN637,FN641,FN643,FN645)</f>
        <v>0</v>
      </c>
      <c r="FO632" s="675">
        <f t="shared" si="14549"/>
        <v>0</v>
      </c>
      <c r="FP632" s="549">
        <f t="shared" ref="FP632:FQ632" si="14550">SUM(FP634,FP637,FP641,FP643,FP645)</f>
        <v>0</v>
      </c>
      <c r="FQ632" s="675">
        <f t="shared" si="14550"/>
        <v>0</v>
      </c>
      <c r="FR632" s="549">
        <f t="shared" ref="FR632:FS632" si="14551">SUM(FR634,FR637,FR641,FR643,FR645)</f>
        <v>0</v>
      </c>
      <c r="FS632" s="675">
        <f t="shared" si="14551"/>
        <v>0</v>
      </c>
      <c r="FT632" s="549">
        <f t="shared" ref="FT632:FU632" si="14552">SUM(FT634,FT637,FT641,FT643,FT645)</f>
        <v>0</v>
      </c>
      <c r="FU632" s="675">
        <f t="shared" si="14552"/>
        <v>0</v>
      </c>
      <c r="FV632" s="549">
        <f t="shared" ref="FV632:GK632" si="14553">SUM(FV634,FV637,FV641,FV643,FV645)</f>
        <v>0</v>
      </c>
      <c r="FW632" s="675">
        <f t="shared" si="14553"/>
        <v>0</v>
      </c>
      <c r="FX632" s="549">
        <f t="shared" si="14553"/>
        <v>0</v>
      </c>
      <c r="FY632" s="675">
        <f t="shared" si="14553"/>
        <v>0</v>
      </c>
      <c r="FZ632" s="549">
        <f t="shared" ref="FZ632:GI632" si="14554">SUM(FZ634,FZ637,FZ641,FZ643,FZ645)</f>
        <v>0</v>
      </c>
      <c r="GA632" s="675">
        <f t="shared" si="14554"/>
        <v>0</v>
      </c>
      <c r="GB632" s="549">
        <f t="shared" si="14554"/>
        <v>0</v>
      </c>
      <c r="GC632" s="675">
        <f t="shared" si="14554"/>
        <v>0</v>
      </c>
      <c r="GD632" s="549">
        <f t="shared" si="14554"/>
        <v>0</v>
      </c>
      <c r="GE632" s="675">
        <f t="shared" si="14554"/>
        <v>0</v>
      </c>
      <c r="GF632" s="549">
        <f t="shared" si="14554"/>
        <v>0</v>
      </c>
      <c r="GG632" s="675">
        <f t="shared" si="14554"/>
        <v>0</v>
      </c>
      <c r="GH632" s="549">
        <f t="shared" si="14554"/>
        <v>0</v>
      </c>
      <c r="GI632" s="675">
        <f t="shared" si="14554"/>
        <v>0</v>
      </c>
      <c r="GJ632" s="549">
        <f t="shared" si="14553"/>
        <v>0</v>
      </c>
      <c r="GK632" s="675">
        <f t="shared" si="14553"/>
        <v>0</v>
      </c>
      <c r="GL632" s="549">
        <f t="shared" ref="GL632:GQ632" si="14555">SUM(GL634,GL637,GL641,GL643,GL645)</f>
        <v>0</v>
      </c>
      <c r="GM632" s="675">
        <f t="shared" si="14555"/>
        <v>0</v>
      </c>
      <c r="GN632" s="549">
        <f t="shared" ref="GN632:GO632" si="14556">SUM(GN634,GN637,GN641,GN643,GN645)</f>
        <v>0</v>
      </c>
      <c r="GO632" s="675">
        <f t="shared" si="14556"/>
        <v>0</v>
      </c>
      <c r="GP632" s="549">
        <f t="shared" si="14555"/>
        <v>0</v>
      </c>
      <c r="GQ632" s="675">
        <f t="shared" si="14555"/>
        <v>-42941</v>
      </c>
      <c r="GR632" s="74">
        <f t="shared" ref="GR632:JM632" si="14557">SUM(GR634,GR637,GR641,GR643,GR645)</f>
        <v>402359</v>
      </c>
      <c r="GS632" s="74">
        <f>SUM(GS634,GS637,GS641,GS643,GS645)</f>
        <v>359746</v>
      </c>
      <c r="GT632" s="549">
        <f>SUM(GT634,GT637,GT641,GT643,GT645)</f>
        <v>402359</v>
      </c>
      <c r="GU632" s="74">
        <f t="shared" ref="GU632:HF632" si="14558">SUM(GU634,GU637,GU641,GU643,GU645)</f>
        <v>39650</v>
      </c>
      <c r="GV632" s="74">
        <f t="shared" si="14558"/>
        <v>42759</v>
      </c>
      <c r="GW632" s="549">
        <f t="shared" si="14558"/>
        <v>39625</v>
      </c>
      <c r="GX632" s="549">
        <f t="shared" si="14558"/>
        <v>39625</v>
      </c>
      <c r="GY632" s="74">
        <f t="shared" si="14558"/>
        <v>39625</v>
      </c>
      <c r="GZ632" s="74">
        <f t="shared" si="14558"/>
        <v>39625</v>
      </c>
      <c r="HA632" s="74">
        <f t="shared" si="14558"/>
        <v>39625</v>
      </c>
      <c r="HB632" s="74">
        <f t="shared" si="14558"/>
        <v>42758</v>
      </c>
      <c r="HC632" s="74">
        <f t="shared" si="14558"/>
        <v>39625</v>
      </c>
      <c r="HD632" s="74">
        <f t="shared" si="14558"/>
        <v>39770</v>
      </c>
      <c r="HE632" s="74">
        <f t="shared" si="14558"/>
        <v>42613</v>
      </c>
      <c r="HF632" s="74">
        <f t="shared" si="14558"/>
        <v>0</v>
      </c>
      <c r="HG632" s="74">
        <f>SUM(HG634,HG637,HG641,HG643,HG645)</f>
        <v>359746</v>
      </c>
      <c r="HH632" s="74">
        <f t="shared" ref="HH632:HI632" si="14559">SUM(HH634,HH637,HH641,HH643,HH645)</f>
        <v>0</v>
      </c>
      <c r="HI632" s="792">
        <f t="shared" si="14559"/>
        <v>0</v>
      </c>
      <c r="HJ632" s="74">
        <f t="shared" ref="HJ632:HK632" si="14560">SUM(HJ634,HJ637,HJ641,HJ643,HJ645)</f>
        <v>0</v>
      </c>
      <c r="HK632" s="792">
        <f t="shared" si="14560"/>
        <v>82409</v>
      </c>
      <c r="HL632" s="74">
        <f t="shared" ref="HL632:HM632" si="14561">SUM(HL634,HL637,HL641,HL643,HL645)</f>
        <v>0</v>
      </c>
      <c r="HM632" s="792">
        <f t="shared" si="14561"/>
        <v>39480</v>
      </c>
      <c r="HN632" s="74">
        <f t="shared" ref="HN632:HO632" si="14562">SUM(HN634,HN637,HN641,HN643,HN645)</f>
        <v>0</v>
      </c>
      <c r="HO632" s="792">
        <f t="shared" si="14562"/>
        <v>39770</v>
      </c>
      <c r="HP632" s="74">
        <f t="shared" ref="HP632:HQ632" si="14563">SUM(HP634,HP637,HP641,HP643,HP645)</f>
        <v>0</v>
      </c>
      <c r="HQ632" s="792">
        <f t="shared" si="14563"/>
        <v>39625</v>
      </c>
      <c r="HR632" s="74">
        <f t="shared" ref="HR632:HS632" si="14564">SUM(HR634,HR637,HR641,HR643,HR645)</f>
        <v>0</v>
      </c>
      <c r="HS632" s="792">
        <f t="shared" si="14564"/>
        <v>39625</v>
      </c>
      <c r="HT632" s="74">
        <f t="shared" ref="HT632:HU632" si="14565">SUM(HT634,HT637,HT641,HT643,HT645)</f>
        <v>0</v>
      </c>
      <c r="HU632" s="792">
        <f t="shared" si="14565"/>
        <v>39625</v>
      </c>
      <c r="HV632" s="74">
        <f t="shared" ref="HV632:HW632" si="14566">SUM(HV634,HV637,HV641,HV643,HV645)</f>
        <v>0</v>
      </c>
      <c r="HW632" s="792">
        <f t="shared" si="14566"/>
        <v>67058</v>
      </c>
      <c r="HX632" s="74">
        <f t="shared" ref="HX632:HY632" si="14567">SUM(HX634,HX637,HX641,HX643,HX645)</f>
        <v>0</v>
      </c>
      <c r="HY632" s="792">
        <f t="shared" si="14567"/>
        <v>15325.000000000004</v>
      </c>
      <c r="HZ632" s="74">
        <f t="shared" ref="HZ632:IA632" si="14568">SUM(HZ634,HZ637,HZ641,HZ643,HZ645)</f>
        <v>0</v>
      </c>
      <c r="IA632" s="792">
        <f t="shared" si="14568"/>
        <v>39770</v>
      </c>
      <c r="IB632" s="74">
        <f t="shared" ref="IB632:IC632" si="14569">SUM(IB634,IB637,IB641,IB643,IB645)</f>
        <v>0</v>
      </c>
      <c r="IC632" s="792">
        <f t="shared" si="14569"/>
        <v>0</v>
      </c>
      <c r="ID632" s="74">
        <f t="shared" si="14557"/>
        <v>0</v>
      </c>
      <c r="IE632" s="792">
        <f t="shared" si="14557"/>
        <v>0</v>
      </c>
      <c r="IF632" s="841">
        <f t="shared" si="14557"/>
        <v>307183.76</v>
      </c>
      <c r="IG632" s="263">
        <f t="shared" si="14557"/>
        <v>307183.76</v>
      </c>
      <c r="IH632" s="842">
        <f t="shared" si="14557"/>
        <v>307183.76</v>
      </c>
      <c r="II632" s="74">
        <f t="shared" si="14557"/>
        <v>18956.36</v>
      </c>
      <c r="IJ632" s="74">
        <f t="shared" si="14557"/>
        <v>18956.36</v>
      </c>
      <c r="IK632" s="74">
        <f t="shared" si="14557"/>
        <v>18956.36</v>
      </c>
      <c r="IL632" s="74">
        <f t="shared" si="14557"/>
        <v>33634.42</v>
      </c>
      <c r="IM632" s="74">
        <f t="shared" si="14557"/>
        <v>33634.42</v>
      </c>
      <c r="IN632" s="74">
        <f t="shared" si="14557"/>
        <v>33634.42</v>
      </c>
      <c r="IO632" s="74">
        <f t="shared" si="14557"/>
        <v>17050.2</v>
      </c>
      <c r="IP632" s="74">
        <f t="shared" si="14557"/>
        <v>17050.2</v>
      </c>
      <c r="IQ632" s="74">
        <f t="shared" si="14557"/>
        <v>17050.2</v>
      </c>
      <c r="IR632" s="74">
        <f t="shared" si="14557"/>
        <v>40160.269999999997</v>
      </c>
      <c r="IS632" s="74">
        <f t="shared" si="14557"/>
        <v>40160.269999999997</v>
      </c>
      <c r="IT632" s="74">
        <f t="shared" si="14557"/>
        <v>40160.269999999997</v>
      </c>
      <c r="IU632" s="74">
        <f t="shared" si="14557"/>
        <v>33993.730000000003</v>
      </c>
      <c r="IV632" s="74">
        <f t="shared" si="14557"/>
        <v>33993.730000000003</v>
      </c>
      <c r="IW632" s="74">
        <f t="shared" si="14557"/>
        <v>33993.730000000003</v>
      </c>
      <c r="IX632" s="74">
        <f t="shared" si="14557"/>
        <v>32217.899999999994</v>
      </c>
      <c r="IY632" s="74">
        <f t="shared" si="14557"/>
        <v>32217.899999999994</v>
      </c>
      <c r="IZ632" s="74">
        <f t="shared" si="14557"/>
        <v>32217.899999999994</v>
      </c>
      <c r="JA632" s="74">
        <f t="shared" si="14557"/>
        <v>31331.570000000007</v>
      </c>
      <c r="JB632" s="74">
        <f t="shared" si="14557"/>
        <v>31331.570000000007</v>
      </c>
      <c r="JC632" s="74">
        <f t="shared" si="14557"/>
        <v>31331.570000000007</v>
      </c>
      <c r="JD632" s="74">
        <f t="shared" si="14557"/>
        <v>34311.37999999999</v>
      </c>
      <c r="JE632" s="74">
        <f t="shared" si="14557"/>
        <v>34311.37999999999</v>
      </c>
      <c r="JF632" s="74">
        <f t="shared" si="14557"/>
        <v>34311.37999999999</v>
      </c>
      <c r="JG632" s="74">
        <f t="shared" si="14557"/>
        <v>32676.529999999995</v>
      </c>
      <c r="JH632" s="74">
        <f t="shared" si="14557"/>
        <v>32676.529999999995</v>
      </c>
      <c r="JI632" s="74">
        <f t="shared" si="14557"/>
        <v>32676.529999999995</v>
      </c>
      <c r="JJ632" s="74">
        <f t="shared" si="14557"/>
        <v>32851.400000000023</v>
      </c>
      <c r="JK632" s="74">
        <f t="shared" si="14557"/>
        <v>32851.400000000023</v>
      </c>
      <c r="JL632" s="74">
        <f t="shared" si="14557"/>
        <v>32851.400000000023</v>
      </c>
      <c r="JM632" s="74">
        <f t="shared" si="14557"/>
        <v>0</v>
      </c>
      <c r="JN632" s="74">
        <f t="shared" ref="JN632:JO632" si="14570">SUM(JN634,JN637,JN641,JN643,JN645)</f>
        <v>0</v>
      </c>
      <c r="JO632" s="74">
        <f t="shared" si="14570"/>
        <v>0</v>
      </c>
      <c r="JP632" s="74">
        <f t="shared" ref="JP632:JY632" si="14571">SUM(JP634,JP637,JP641,JP643,JP645)</f>
        <v>0</v>
      </c>
      <c r="JQ632" s="74">
        <f t="shared" si="14571"/>
        <v>0</v>
      </c>
      <c r="JR632" s="74">
        <f t="shared" si="14571"/>
        <v>0</v>
      </c>
      <c r="JS632" s="74">
        <f t="shared" si="14571"/>
        <v>52562.239999999991</v>
      </c>
      <c r="JT632" s="382">
        <f t="shared" si="14571"/>
        <v>52562.239999999991</v>
      </c>
      <c r="JU632" s="665"/>
      <c r="JV632" s="524"/>
      <c r="JW632" s="525"/>
      <c r="JX632" s="549">
        <f t="shared" si="14571"/>
        <v>0</v>
      </c>
      <c r="JY632" s="549">
        <f t="shared" si="14571"/>
        <v>402687</v>
      </c>
      <c r="JZ632" s="581">
        <f t="shared" si="13477"/>
        <v>0</v>
      </c>
      <c r="KA632" s="581">
        <f t="shared" si="13478"/>
        <v>-42941</v>
      </c>
      <c r="KB632" s="549">
        <f t="shared" si="14516"/>
        <v>359746</v>
      </c>
      <c r="KC632" s="709">
        <f t="shared" si="13396"/>
        <v>0</v>
      </c>
      <c r="KD632" s="36"/>
      <c r="KE632" s="36"/>
      <c r="KF632" s="36"/>
      <c r="KG632" s="36"/>
      <c r="KH632" s="36"/>
      <c r="KI632" s="36"/>
      <c r="KJ632" s="36"/>
      <c r="KK632" s="36"/>
    </row>
    <row r="633" spans="1:297" s="8" customFormat="1">
      <c r="A633" s="95"/>
      <c r="B633" s="72"/>
      <c r="C633" s="74"/>
      <c r="D633" s="549"/>
      <c r="E633" s="675"/>
      <c r="F633" s="549"/>
      <c r="G633" s="675"/>
      <c r="H633" s="549"/>
      <c r="I633" s="675"/>
      <c r="J633" s="549"/>
      <c r="K633" s="675"/>
      <c r="L633" s="549"/>
      <c r="M633" s="675"/>
      <c r="N633" s="549"/>
      <c r="O633" s="675"/>
      <c r="P633" s="549"/>
      <c r="Q633" s="675"/>
      <c r="R633" s="549"/>
      <c r="S633" s="675"/>
      <c r="T633" s="549"/>
      <c r="U633" s="675"/>
      <c r="V633" s="549"/>
      <c r="W633" s="675"/>
      <c r="X633" s="549"/>
      <c r="Y633" s="675"/>
      <c r="Z633" s="549"/>
      <c r="AA633" s="675"/>
      <c r="AB633" s="549"/>
      <c r="AC633" s="675"/>
      <c r="AD633" s="549"/>
      <c r="AE633" s="675"/>
      <c r="AF633" s="549"/>
      <c r="AG633" s="675"/>
      <c r="AH633" s="549"/>
      <c r="AI633" s="675"/>
      <c r="AJ633" s="549"/>
      <c r="AK633" s="675"/>
      <c r="AL633" s="549"/>
      <c r="AM633" s="675"/>
      <c r="AN633" s="549"/>
      <c r="AO633" s="675"/>
      <c r="AP633" s="549"/>
      <c r="AQ633" s="675"/>
      <c r="AR633" s="549"/>
      <c r="AS633" s="675"/>
      <c r="AT633" s="549"/>
      <c r="AU633" s="675"/>
      <c r="AV633" s="549"/>
      <c r="AW633" s="675"/>
      <c r="AX633" s="549"/>
      <c r="AY633" s="675"/>
      <c r="AZ633" s="549"/>
      <c r="BA633" s="675"/>
      <c r="BB633" s="549"/>
      <c r="BC633" s="675"/>
      <c r="BD633" s="549"/>
      <c r="BE633" s="675"/>
      <c r="BF633" s="549"/>
      <c r="BG633" s="675"/>
      <c r="BH633" s="549"/>
      <c r="BI633" s="675"/>
      <c r="BJ633" s="549"/>
      <c r="BK633" s="675"/>
      <c r="BL633" s="549"/>
      <c r="BM633" s="675"/>
      <c r="BN633" s="549"/>
      <c r="BO633" s="675"/>
      <c r="BP633" s="549"/>
      <c r="BQ633" s="675"/>
      <c r="BR633" s="549"/>
      <c r="BS633" s="675"/>
      <c r="BT633" s="549"/>
      <c r="BU633" s="675"/>
      <c r="BV633" s="549"/>
      <c r="BW633" s="675"/>
      <c r="BX633" s="549"/>
      <c r="BY633" s="675"/>
      <c r="BZ633" s="549"/>
      <c r="CA633" s="675"/>
      <c r="CB633" s="549"/>
      <c r="CC633" s="675"/>
      <c r="CD633" s="549"/>
      <c r="CE633" s="675"/>
      <c r="CF633" s="549"/>
      <c r="CG633" s="675"/>
      <c r="CH633" s="549"/>
      <c r="CI633" s="675"/>
      <c r="CJ633" s="549"/>
      <c r="CK633" s="675"/>
      <c r="CL633" s="549"/>
      <c r="CM633" s="675"/>
      <c r="CN633" s="549"/>
      <c r="CO633" s="675"/>
      <c r="CP633" s="549"/>
      <c r="CQ633" s="675"/>
      <c r="CR633" s="549"/>
      <c r="CS633" s="675"/>
      <c r="CT633" s="549"/>
      <c r="CU633" s="675"/>
      <c r="CV633" s="549"/>
      <c r="CW633" s="675"/>
      <c r="CX633" s="549"/>
      <c r="CY633" s="675"/>
      <c r="CZ633" s="549"/>
      <c r="DA633" s="675"/>
      <c r="DB633" s="549"/>
      <c r="DC633" s="675"/>
      <c r="DD633" s="549"/>
      <c r="DE633" s="675"/>
      <c r="DF633" s="549"/>
      <c r="DG633" s="675"/>
      <c r="DH633" s="549"/>
      <c r="DI633" s="675"/>
      <c r="DJ633" s="549"/>
      <c r="DK633" s="675"/>
      <c r="DL633" s="549"/>
      <c r="DM633" s="675"/>
      <c r="DN633" s="549"/>
      <c r="DO633" s="675"/>
      <c r="DP633" s="549"/>
      <c r="DQ633" s="675"/>
      <c r="DR633" s="549"/>
      <c r="DS633" s="675"/>
      <c r="DT633" s="549"/>
      <c r="DU633" s="675"/>
      <c r="DV633" s="549"/>
      <c r="DW633" s="675"/>
      <c r="DX633" s="549"/>
      <c r="DY633" s="675"/>
      <c r="DZ633" s="549"/>
      <c r="EA633" s="675"/>
      <c r="EB633" s="549"/>
      <c r="EC633" s="675"/>
      <c r="ED633" s="549"/>
      <c r="EE633" s="675"/>
      <c r="EF633" s="549"/>
      <c r="EG633" s="675"/>
      <c r="EH633" s="549"/>
      <c r="EI633" s="675"/>
      <c r="EJ633" s="549"/>
      <c r="EK633" s="675"/>
      <c r="EL633" s="549"/>
      <c r="EM633" s="675"/>
      <c r="EN633" s="549"/>
      <c r="EO633" s="675"/>
      <c r="EP633" s="549"/>
      <c r="EQ633" s="675"/>
      <c r="ER633" s="549"/>
      <c r="ES633" s="675"/>
      <c r="ET633" s="549"/>
      <c r="EU633" s="675"/>
      <c r="EV633" s="549"/>
      <c r="EW633" s="675"/>
      <c r="EX633" s="549"/>
      <c r="EY633" s="675"/>
      <c r="EZ633" s="549"/>
      <c r="FA633" s="675"/>
      <c r="FB633" s="549"/>
      <c r="FC633" s="675"/>
      <c r="FD633" s="549"/>
      <c r="FE633" s="675"/>
      <c r="FF633" s="549"/>
      <c r="FG633" s="675"/>
      <c r="FH633" s="549"/>
      <c r="FI633" s="675"/>
      <c r="FJ633" s="549"/>
      <c r="FK633" s="675"/>
      <c r="FL633" s="549"/>
      <c r="FM633" s="675"/>
      <c r="FN633" s="549"/>
      <c r="FO633" s="675"/>
      <c r="FP633" s="549"/>
      <c r="FQ633" s="675"/>
      <c r="FR633" s="549"/>
      <c r="FS633" s="675"/>
      <c r="FT633" s="549"/>
      <c r="FU633" s="675"/>
      <c r="FV633" s="549"/>
      <c r="FW633" s="675"/>
      <c r="FX633" s="549"/>
      <c r="FY633" s="675"/>
      <c r="FZ633" s="549"/>
      <c r="GA633" s="675"/>
      <c r="GB633" s="549"/>
      <c r="GC633" s="675"/>
      <c r="GD633" s="549"/>
      <c r="GE633" s="675"/>
      <c r="GF633" s="549"/>
      <c r="GG633" s="675"/>
      <c r="GH633" s="549"/>
      <c r="GI633" s="675"/>
      <c r="GJ633" s="549"/>
      <c r="GK633" s="675"/>
      <c r="GL633" s="549"/>
      <c r="GM633" s="675"/>
      <c r="GN633" s="549"/>
      <c r="GO633" s="675"/>
      <c r="GP633" s="549"/>
      <c r="GQ633" s="675"/>
      <c r="GR633" s="74"/>
      <c r="GS633" s="74"/>
      <c r="GT633" s="549"/>
      <c r="GU633" s="74"/>
      <c r="GV633" s="74"/>
      <c r="GW633" s="549"/>
      <c r="GX633" s="549"/>
      <c r="GY633" s="74"/>
      <c r="GZ633" s="74"/>
      <c r="HA633" s="74"/>
      <c r="HB633" s="74"/>
      <c r="HC633" s="74"/>
      <c r="HD633" s="74"/>
      <c r="HE633" s="74"/>
      <c r="HF633" s="74"/>
      <c r="HG633" s="74"/>
      <c r="HH633" s="74"/>
      <c r="HI633" s="792"/>
      <c r="HJ633" s="74"/>
      <c r="HK633" s="792"/>
      <c r="HL633" s="74"/>
      <c r="HM633" s="792"/>
      <c r="HN633" s="74"/>
      <c r="HO633" s="792"/>
      <c r="HP633" s="74"/>
      <c r="HQ633" s="792"/>
      <c r="HR633" s="74"/>
      <c r="HS633" s="792"/>
      <c r="HT633" s="74"/>
      <c r="HU633" s="792"/>
      <c r="HV633" s="74"/>
      <c r="HW633" s="792"/>
      <c r="HX633" s="74"/>
      <c r="HY633" s="792"/>
      <c r="HZ633" s="74"/>
      <c r="IA633" s="792"/>
      <c r="IB633" s="74"/>
      <c r="IC633" s="792"/>
      <c r="ID633" s="74"/>
      <c r="IE633" s="792"/>
      <c r="IF633" s="841"/>
      <c r="IG633" s="263"/>
      <c r="IH633" s="842"/>
      <c r="II633" s="74"/>
      <c r="IJ633" s="74"/>
      <c r="IK633" s="74"/>
      <c r="IL633" s="74"/>
      <c r="IM633" s="74"/>
      <c r="IN633" s="74"/>
      <c r="IO633" s="74"/>
      <c r="IP633" s="74"/>
      <c r="IQ633" s="74"/>
      <c r="IR633" s="74"/>
      <c r="IS633" s="74"/>
      <c r="IT633" s="74"/>
      <c r="IU633" s="74"/>
      <c r="IV633" s="74"/>
      <c r="IW633" s="74"/>
      <c r="IX633" s="74"/>
      <c r="IY633" s="74"/>
      <c r="IZ633" s="74"/>
      <c r="JA633" s="74"/>
      <c r="JB633" s="74"/>
      <c r="JC633" s="74"/>
      <c r="JD633" s="74"/>
      <c r="JE633" s="74"/>
      <c r="JF633" s="74"/>
      <c r="JG633" s="74"/>
      <c r="JH633" s="74"/>
      <c r="JI633" s="74"/>
      <c r="JJ633" s="74"/>
      <c r="JK633" s="74"/>
      <c r="JL633" s="74"/>
      <c r="JM633" s="74"/>
      <c r="JN633" s="74"/>
      <c r="JO633" s="74"/>
      <c r="JP633" s="74"/>
      <c r="JQ633" s="74"/>
      <c r="JR633" s="74"/>
      <c r="JS633" s="74"/>
      <c r="JT633" s="382"/>
      <c r="JU633" s="665"/>
      <c r="JV633" s="524"/>
      <c r="JW633" s="525"/>
      <c r="JX633" s="549"/>
      <c r="JY633" s="549"/>
      <c r="JZ633" s="581">
        <f t="shared" si="13477"/>
        <v>0</v>
      </c>
      <c r="KA633" s="581">
        <f t="shared" si="13478"/>
        <v>0</v>
      </c>
      <c r="KB633" s="549">
        <f t="shared" si="14516"/>
        <v>0</v>
      </c>
      <c r="KC633" s="709">
        <f t="shared" si="13396"/>
        <v>0</v>
      </c>
      <c r="KD633" s="36"/>
      <c r="KE633" s="36"/>
      <c r="KF633" s="36"/>
      <c r="KG633" s="36"/>
      <c r="KH633" s="36"/>
      <c r="KI633" s="36"/>
      <c r="KJ633" s="36"/>
      <c r="KK633" s="36"/>
    </row>
    <row r="634" spans="1:297" s="8" customFormat="1">
      <c r="A634" s="80" t="s">
        <v>333</v>
      </c>
      <c r="B634" s="79" t="s">
        <v>52</v>
      </c>
      <c r="C634" s="78">
        <f>SUM(C635:C635)</f>
        <v>280200</v>
      </c>
      <c r="D634" s="564">
        <f t="shared" ref="D634:AZ634" si="14572">SUM(D635:D635)</f>
        <v>0</v>
      </c>
      <c r="E634" s="677">
        <f t="shared" ref="E634:GO634" si="14573">SUM(E635:E635)</f>
        <v>0</v>
      </c>
      <c r="F634" s="564">
        <f t="shared" si="14572"/>
        <v>0</v>
      </c>
      <c r="G634" s="677">
        <f t="shared" si="14573"/>
        <v>0</v>
      </c>
      <c r="H634" s="564">
        <f t="shared" si="14572"/>
        <v>0</v>
      </c>
      <c r="I634" s="677">
        <f t="shared" si="14573"/>
        <v>0</v>
      </c>
      <c r="J634" s="564">
        <f t="shared" si="14572"/>
        <v>0</v>
      </c>
      <c r="K634" s="677">
        <f t="shared" si="14573"/>
        <v>0</v>
      </c>
      <c r="L634" s="564">
        <f t="shared" si="14572"/>
        <v>0</v>
      </c>
      <c r="M634" s="677">
        <f t="shared" si="14573"/>
        <v>0</v>
      </c>
      <c r="N634" s="564">
        <f t="shared" si="14572"/>
        <v>0</v>
      </c>
      <c r="O634" s="677">
        <f t="shared" si="14573"/>
        <v>0</v>
      </c>
      <c r="P634" s="564">
        <f t="shared" si="14572"/>
        <v>0</v>
      </c>
      <c r="Q634" s="677">
        <f t="shared" si="14573"/>
        <v>0</v>
      </c>
      <c r="R634" s="564">
        <f t="shared" si="14572"/>
        <v>0</v>
      </c>
      <c r="S634" s="677">
        <f t="shared" si="14573"/>
        <v>0</v>
      </c>
      <c r="T634" s="564">
        <f t="shared" si="14572"/>
        <v>0</v>
      </c>
      <c r="U634" s="677">
        <f t="shared" si="14573"/>
        <v>0</v>
      </c>
      <c r="V634" s="564">
        <f t="shared" si="14572"/>
        <v>0</v>
      </c>
      <c r="W634" s="677">
        <f t="shared" si="14573"/>
        <v>0</v>
      </c>
      <c r="X634" s="564">
        <f t="shared" si="14572"/>
        <v>0</v>
      </c>
      <c r="Y634" s="677">
        <f t="shared" si="14573"/>
        <v>0</v>
      </c>
      <c r="Z634" s="564">
        <f t="shared" si="14572"/>
        <v>0</v>
      </c>
      <c r="AA634" s="677">
        <f t="shared" si="14573"/>
        <v>0</v>
      </c>
      <c r="AB634" s="564">
        <f t="shared" si="14572"/>
        <v>0</v>
      </c>
      <c r="AC634" s="677">
        <f t="shared" si="14573"/>
        <v>0</v>
      </c>
      <c r="AD634" s="564">
        <f t="shared" si="14572"/>
        <v>0</v>
      </c>
      <c r="AE634" s="677">
        <f t="shared" si="14573"/>
        <v>0</v>
      </c>
      <c r="AF634" s="564">
        <f t="shared" si="14572"/>
        <v>0</v>
      </c>
      <c r="AG634" s="677">
        <f t="shared" si="14573"/>
        <v>0</v>
      </c>
      <c r="AH634" s="564">
        <f t="shared" si="14572"/>
        <v>0</v>
      </c>
      <c r="AI634" s="677">
        <f t="shared" si="14573"/>
        <v>0</v>
      </c>
      <c r="AJ634" s="564">
        <f t="shared" si="14572"/>
        <v>0</v>
      </c>
      <c r="AK634" s="677">
        <f t="shared" si="14573"/>
        <v>0</v>
      </c>
      <c r="AL634" s="564">
        <f t="shared" si="14572"/>
        <v>0</v>
      </c>
      <c r="AM634" s="677">
        <f t="shared" si="14573"/>
        <v>0</v>
      </c>
      <c r="AN634" s="564">
        <f t="shared" si="14572"/>
        <v>0</v>
      </c>
      <c r="AO634" s="677">
        <f t="shared" si="14573"/>
        <v>0</v>
      </c>
      <c r="AP634" s="564">
        <f t="shared" si="14572"/>
        <v>0</v>
      </c>
      <c r="AQ634" s="677">
        <f t="shared" si="14573"/>
        <v>0</v>
      </c>
      <c r="AR634" s="564">
        <f t="shared" si="14572"/>
        <v>0</v>
      </c>
      <c r="AS634" s="677">
        <f t="shared" si="14573"/>
        <v>0</v>
      </c>
      <c r="AT634" s="564">
        <f t="shared" si="14572"/>
        <v>0</v>
      </c>
      <c r="AU634" s="677">
        <f t="shared" si="14573"/>
        <v>0</v>
      </c>
      <c r="AV634" s="564">
        <f t="shared" si="14572"/>
        <v>0</v>
      </c>
      <c r="AW634" s="677">
        <f t="shared" si="14573"/>
        <v>-32946</v>
      </c>
      <c r="AX634" s="564">
        <f t="shared" si="14572"/>
        <v>0</v>
      </c>
      <c r="AY634" s="677">
        <f t="shared" si="14573"/>
        <v>0</v>
      </c>
      <c r="AZ634" s="564">
        <f t="shared" si="14572"/>
        <v>0</v>
      </c>
      <c r="BA634" s="677">
        <f t="shared" si="14573"/>
        <v>0</v>
      </c>
      <c r="BB634" s="564">
        <f t="shared" ref="BB634" si="14574">SUM(BB635:BB635)</f>
        <v>0</v>
      </c>
      <c r="BC634" s="677">
        <f t="shared" si="14573"/>
        <v>0</v>
      </c>
      <c r="BD634" s="564">
        <f t="shared" ref="BD634" si="14575">SUM(BD635:BD635)</f>
        <v>0</v>
      </c>
      <c r="BE634" s="677">
        <f t="shared" si="14573"/>
        <v>0</v>
      </c>
      <c r="BF634" s="564">
        <f t="shared" ref="BF634" si="14576">SUM(BF635:BF635)</f>
        <v>0</v>
      </c>
      <c r="BG634" s="677">
        <f t="shared" si="14573"/>
        <v>0</v>
      </c>
      <c r="BH634" s="564">
        <f t="shared" ref="BH634" si="14577">SUM(BH635:BH635)</f>
        <v>0</v>
      </c>
      <c r="BI634" s="677">
        <f t="shared" si="14573"/>
        <v>0</v>
      </c>
      <c r="BJ634" s="564">
        <f t="shared" ref="BJ634" si="14578">SUM(BJ635:BJ635)</f>
        <v>0</v>
      </c>
      <c r="BK634" s="677">
        <f t="shared" si="14573"/>
        <v>0</v>
      </c>
      <c r="BL634" s="564">
        <f t="shared" ref="BL634" si="14579">SUM(BL635:BL635)</f>
        <v>0</v>
      </c>
      <c r="BM634" s="677">
        <f t="shared" si="14573"/>
        <v>0</v>
      </c>
      <c r="BN634" s="564">
        <f t="shared" ref="BN634" si="14580">SUM(BN635:BN635)</f>
        <v>0</v>
      </c>
      <c r="BO634" s="677">
        <f t="shared" si="14573"/>
        <v>0</v>
      </c>
      <c r="BP634" s="564">
        <f t="shared" ref="BP634" si="14581">SUM(BP635:BP635)</f>
        <v>0</v>
      </c>
      <c r="BQ634" s="677">
        <f t="shared" si="14573"/>
        <v>0</v>
      </c>
      <c r="BR634" s="564">
        <f t="shared" ref="BR634" si="14582">SUM(BR635:BR635)</f>
        <v>0</v>
      </c>
      <c r="BS634" s="677">
        <f t="shared" si="14573"/>
        <v>0</v>
      </c>
      <c r="BT634" s="564">
        <f t="shared" ref="BT634:GN634" si="14583">SUM(BT635:BT635)</f>
        <v>0</v>
      </c>
      <c r="BU634" s="677">
        <f t="shared" si="14573"/>
        <v>0</v>
      </c>
      <c r="BV634" s="564">
        <f t="shared" si="14583"/>
        <v>0</v>
      </c>
      <c r="BW634" s="677">
        <f t="shared" si="14573"/>
        <v>0</v>
      </c>
      <c r="BX634" s="564">
        <f t="shared" si="14583"/>
        <v>0</v>
      </c>
      <c r="BY634" s="677">
        <f t="shared" si="14573"/>
        <v>0</v>
      </c>
      <c r="BZ634" s="564">
        <f t="shared" si="14583"/>
        <v>0</v>
      </c>
      <c r="CA634" s="677">
        <f t="shared" si="14573"/>
        <v>0</v>
      </c>
      <c r="CB634" s="564">
        <f t="shared" si="14583"/>
        <v>0</v>
      </c>
      <c r="CC634" s="677">
        <f t="shared" si="14573"/>
        <v>0</v>
      </c>
      <c r="CD634" s="564">
        <f t="shared" si="14583"/>
        <v>0</v>
      </c>
      <c r="CE634" s="677">
        <f t="shared" si="14573"/>
        <v>0</v>
      </c>
      <c r="CF634" s="564">
        <f t="shared" si="14583"/>
        <v>0</v>
      </c>
      <c r="CG634" s="677">
        <f t="shared" si="14573"/>
        <v>0</v>
      </c>
      <c r="CH634" s="564">
        <f t="shared" si="14583"/>
        <v>0</v>
      </c>
      <c r="CI634" s="677">
        <f t="shared" si="14573"/>
        <v>0</v>
      </c>
      <c r="CJ634" s="564">
        <f t="shared" si="14583"/>
        <v>0</v>
      </c>
      <c r="CK634" s="677">
        <f t="shared" si="14573"/>
        <v>0</v>
      </c>
      <c r="CL634" s="564">
        <f t="shared" si="14583"/>
        <v>0</v>
      </c>
      <c r="CM634" s="677">
        <f t="shared" si="14573"/>
        <v>0</v>
      </c>
      <c r="CN634" s="564">
        <f t="shared" si="14583"/>
        <v>0</v>
      </c>
      <c r="CO634" s="677">
        <f t="shared" si="14573"/>
        <v>0</v>
      </c>
      <c r="CP634" s="564">
        <f t="shared" si="14583"/>
        <v>0</v>
      </c>
      <c r="CQ634" s="677">
        <f t="shared" si="14573"/>
        <v>0</v>
      </c>
      <c r="CR634" s="564">
        <f t="shared" si="14583"/>
        <v>0</v>
      </c>
      <c r="CS634" s="677">
        <f t="shared" si="14573"/>
        <v>0</v>
      </c>
      <c r="CT634" s="564">
        <f t="shared" si="14583"/>
        <v>0</v>
      </c>
      <c r="CU634" s="677">
        <f t="shared" si="14573"/>
        <v>0</v>
      </c>
      <c r="CV634" s="564">
        <f t="shared" si="14583"/>
        <v>0</v>
      </c>
      <c r="CW634" s="677">
        <f t="shared" si="14573"/>
        <v>0</v>
      </c>
      <c r="CX634" s="564">
        <f t="shared" si="14583"/>
        <v>0</v>
      </c>
      <c r="CY634" s="677">
        <f t="shared" si="14573"/>
        <v>0</v>
      </c>
      <c r="CZ634" s="564">
        <f t="shared" si="14583"/>
        <v>0</v>
      </c>
      <c r="DA634" s="677">
        <f t="shared" si="14573"/>
        <v>0</v>
      </c>
      <c r="DB634" s="564">
        <f t="shared" si="14583"/>
        <v>0</v>
      </c>
      <c r="DC634" s="677">
        <f t="shared" si="14573"/>
        <v>0</v>
      </c>
      <c r="DD634" s="564">
        <f t="shared" si="14583"/>
        <v>0</v>
      </c>
      <c r="DE634" s="677">
        <f t="shared" si="14573"/>
        <v>0</v>
      </c>
      <c r="DF634" s="564">
        <f t="shared" si="14583"/>
        <v>0</v>
      </c>
      <c r="DG634" s="677">
        <f t="shared" si="14573"/>
        <v>0</v>
      </c>
      <c r="DH634" s="564">
        <f t="shared" si="14583"/>
        <v>0</v>
      </c>
      <c r="DI634" s="677">
        <f t="shared" si="14573"/>
        <v>0</v>
      </c>
      <c r="DJ634" s="564">
        <f t="shared" si="14583"/>
        <v>0</v>
      </c>
      <c r="DK634" s="677">
        <f t="shared" si="14573"/>
        <v>0</v>
      </c>
      <c r="DL634" s="564">
        <f t="shared" si="14583"/>
        <v>0</v>
      </c>
      <c r="DM634" s="677">
        <f t="shared" si="14573"/>
        <v>0</v>
      </c>
      <c r="DN634" s="564">
        <f t="shared" si="14583"/>
        <v>0</v>
      </c>
      <c r="DO634" s="677">
        <f t="shared" si="14573"/>
        <v>0</v>
      </c>
      <c r="DP634" s="564">
        <f t="shared" si="14583"/>
        <v>0</v>
      </c>
      <c r="DQ634" s="677">
        <f t="shared" si="14573"/>
        <v>0</v>
      </c>
      <c r="DR634" s="564">
        <f t="shared" si="14583"/>
        <v>0</v>
      </c>
      <c r="DS634" s="677">
        <f t="shared" si="14573"/>
        <v>0</v>
      </c>
      <c r="DT634" s="564">
        <f t="shared" si="14583"/>
        <v>0</v>
      </c>
      <c r="DU634" s="677">
        <f t="shared" si="14573"/>
        <v>0</v>
      </c>
      <c r="DV634" s="564">
        <f t="shared" si="14583"/>
        <v>0</v>
      </c>
      <c r="DW634" s="677">
        <f t="shared" si="14573"/>
        <v>0</v>
      </c>
      <c r="DX634" s="564">
        <f t="shared" si="14583"/>
        <v>0</v>
      </c>
      <c r="DY634" s="677">
        <f t="shared" si="14573"/>
        <v>0</v>
      </c>
      <c r="DZ634" s="564">
        <f t="shared" si="14583"/>
        <v>0</v>
      </c>
      <c r="EA634" s="677">
        <f t="shared" si="14573"/>
        <v>0</v>
      </c>
      <c r="EB634" s="564">
        <f t="shared" si="14583"/>
        <v>0</v>
      </c>
      <c r="EC634" s="677">
        <f t="shared" si="14573"/>
        <v>0</v>
      </c>
      <c r="ED634" s="564">
        <f t="shared" si="14583"/>
        <v>0</v>
      </c>
      <c r="EE634" s="677">
        <f t="shared" si="14573"/>
        <v>0</v>
      </c>
      <c r="EF634" s="564">
        <f t="shared" si="14583"/>
        <v>0</v>
      </c>
      <c r="EG634" s="677">
        <f t="shared" si="14573"/>
        <v>0</v>
      </c>
      <c r="EH634" s="564">
        <f t="shared" si="14583"/>
        <v>0</v>
      </c>
      <c r="EI634" s="677">
        <f t="shared" si="14573"/>
        <v>0</v>
      </c>
      <c r="EJ634" s="564">
        <f t="shared" si="14583"/>
        <v>0</v>
      </c>
      <c r="EK634" s="677">
        <f t="shared" si="14573"/>
        <v>0</v>
      </c>
      <c r="EL634" s="564">
        <f t="shared" si="14583"/>
        <v>0</v>
      </c>
      <c r="EM634" s="677">
        <f t="shared" si="14573"/>
        <v>0</v>
      </c>
      <c r="EN634" s="564">
        <f t="shared" si="14583"/>
        <v>0</v>
      </c>
      <c r="EO634" s="677">
        <f t="shared" si="14573"/>
        <v>0</v>
      </c>
      <c r="EP634" s="564">
        <f t="shared" si="14583"/>
        <v>0</v>
      </c>
      <c r="EQ634" s="677">
        <f t="shared" si="14573"/>
        <v>0</v>
      </c>
      <c r="ER634" s="564">
        <f t="shared" si="14583"/>
        <v>0</v>
      </c>
      <c r="ES634" s="677">
        <f t="shared" si="14573"/>
        <v>0</v>
      </c>
      <c r="ET634" s="564">
        <f t="shared" si="14583"/>
        <v>0</v>
      </c>
      <c r="EU634" s="677">
        <f t="shared" si="14573"/>
        <v>0</v>
      </c>
      <c r="EV634" s="564">
        <f t="shared" si="14583"/>
        <v>0</v>
      </c>
      <c r="EW634" s="677">
        <f t="shared" si="14573"/>
        <v>0</v>
      </c>
      <c r="EX634" s="564">
        <f t="shared" si="14583"/>
        <v>0</v>
      </c>
      <c r="EY634" s="677">
        <f t="shared" si="14573"/>
        <v>0</v>
      </c>
      <c r="EZ634" s="564">
        <f t="shared" si="14583"/>
        <v>0</v>
      </c>
      <c r="FA634" s="677">
        <f t="shared" si="14573"/>
        <v>0</v>
      </c>
      <c r="FB634" s="564">
        <f t="shared" si="14583"/>
        <v>0</v>
      </c>
      <c r="FC634" s="677">
        <f t="shared" si="14573"/>
        <v>0</v>
      </c>
      <c r="FD634" s="564">
        <f t="shared" si="14583"/>
        <v>0</v>
      </c>
      <c r="FE634" s="677">
        <f t="shared" si="14573"/>
        <v>0</v>
      </c>
      <c r="FF634" s="564">
        <f t="shared" si="14583"/>
        <v>0</v>
      </c>
      <c r="FG634" s="677">
        <f t="shared" si="14573"/>
        <v>0</v>
      </c>
      <c r="FH634" s="564">
        <f t="shared" si="14583"/>
        <v>0</v>
      </c>
      <c r="FI634" s="677">
        <f t="shared" si="14573"/>
        <v>0</v>
      </c>
      <c r="FJ634" s="564">
        <f t="shared" si="14583"/>
        <v>0</v>
      </c>
      <c r="FK634" s="677">
        <f t="shared" si="14573"/>
        <v>0</v>
      </c>
      <c r="FL634" s="564">
        <f t="shared" si="14583"/>
        <v>0</v>
      </c>
      <c r="FM634" s="677">
        <f t="shared" si="14573"/>
        <v>0</v>
      </c>
      <c r="FN634" s="564">
        <f t="shared" si="14583"/>
        <v>0</v>
      </c>
      <c r="FO634" s="677">
        <f t="shared" si="14573"/>
        <v>0</v>
      </c>
      <c r="FP634" s="564">
        <f t="shared" si="14583"/>
        <v>0</v>
      </c>
      <c r="FQ634" s="677">
        <f t="shared" si="14573"/>
        <v>0</v>
      </c>
      <c r="FR634" s="564">
        <f t="shared" si="14583"/>
        <v>0</v>
      </c>
      <c r="FS634" s="677">
        <f t="shared" si="14573"/>
        <v>0</v>
      </c>
      <c r="FT634" s="564">
        <f t="shared" si="14583"/>
        <v>0</v>
      </c>
      <c r="FU634" s="677">
        <f t="shared" si="14573"/>
        <v>0</v>
      </c>
      <c r="FV634" s="564">
        <f t="shared" si="14583"/>
        <v>0</v>
      </c>
      <c r="FW634" s="677">
        <f t="shared" si="14573"/>
        <v>0</v>
      </c>
      <c r="FX634" s="564">
        <f t="shared" si="14583"/>
        <v>0</v>
      </c>
      <c r="FY634" s="677">
        <f t="shared" si="14573"/>
        <v>0</v>
      </c>
      <c r="FZ634" s="564">
        <f t="shared" si="14583"/>
        <v>0</v>
      </c>
      <c r="GA634" s="677">
        <f t="shared" si="14573"/>
        <v>0</v>
      </c>
      <c r="GB634" s="564">
        <f t="shared" si="14583"/>
        <v>0</v>
      </c>
      <c r="GC634" s="677">
        <f t="shared" si="14573"/>
        <v>0</v>
      </c>
      <c r="GD634" s="564">
        <f t="shared" si="14583"/>
        <v>0</v>
      </c>
      <c r="GE634" s="677">
        <f t="shared" si="14573"/>
        <v>0</v>
      </c>
      <c r="GF634" s="564">
        <f t="shared" si="14583"/>
        <v>0</v>
      </c>
      <c r="GG634" s="677">
        <f t="shared" si="14573"/>
        <v>0</v>
      </c>
      <c r="GH634" s="564">
        <f t="shared" si="14583"/>
        <v>0</v>
      </c>
      <c r="GI634" s="677">
        <f t="shared" si="14573"/>
        <v>0</v>
      </c>
      <c r="GJ634" s="564">
        <f t="shared" si="14583"/>
        <v>0</v>
      </c>
      <c r="GK634" s="677">
        <f t="shared" si="14573"/>
        <v>0</v>
      </c>
      <c r="GL634" s="564">
        <f t="shared" si="14583"/>
        <v>0</v>
      </c>
      <c r="GM634" s="677">
        <f t="shared" si="14573"/>
        <v>0</v>
      </c>
      <c r="GN634" s="564">
        <f t="shared" si="14583"/>
        <v>0</v>
      </c>
      <c r="GO634" s="677">
        <f t="shared" si="14573"/>
        <v>0</v>
      </c>
      <c r="GP634" s="564">
        <f>SUM(GP635:GP635)</f>
        <v>0</v>
      </c>
      <c r="GQ634" s="677">
        <f>SUM(GQ635:GQ635)</f>
        <v>-32946</v>
      </c>
      <c r="GR634" s="78">
        <f>SUM(GR635:GR635)</f>
        <v>247254</v>
      </c>
      <c r="GS634" s="78">
        <f>SUM(GS635:GS635)</f>
        <v>221781</v>
      </c>
      <c r="GT634" s="564">
        <f t="shared" ref="GT634:HF634" si="14584">SUM(GT635:GT635)</f>
        <v>247254</v>
      </c>
      <c r="GU634" s="78">
        <f t="shared" si="14584"/>
        <v>25470</v>
      </c>
      <c r="GV634" s="78">
        <f t="shared" si="14584"/>
        <v>25473</v>
      </c>
      <c r="GW634" s="564">
        <f t="shared" si="14584"/>
        <v>25473</v>
      </c>
      <c r="GX634" s="564">
        <f t="shared" si="14584"/>
        <v>25473</v>
      </c>
      <c r="GY634" s="78">
        <f t="shared" si="14584"/>
        <v>25473</v>
      </c>
      <c r="GZ634" s="78">
        <f t="shared" si="14584"/>
        <v>25473</v>
      </c>
      <c r="HA634" s="78">
        <f t="shared" si="14584"/>
        <v>25473</v>
      </c>
      <c r="HB634" s="78">
        <f t="shared" si="14584"/>
        <v>25473</v>
      </c>
      <c r="HC634" s="78">
        <f t="shared" si="14584"/>
        <v>25473</v>
      </c>
      <c r="HD634" s="78">
        <f t="shared" si="14584"/>
        <v>25473</v>
      </c>
      <c r="HE634" s="78">
        <f t="shared" si="14584"/>
        <v>25473</v>
      </c>
      <c r="HF634" s="78">
        <f t="shared" si="14584"/>
        <v>0</v>
      </c>
      <c r="HG634" s="78">
        <f t="shared" ref="HG634" si="14585">SUM(HG635:HG635)</f>
        <v>221781</v>
      </c>
      <c r="HH634" s="78">
        <f t="shared" ref="HH634:JT634" si="14586">SUM(HH635:HH635)</f>
        <v>0</v>
      </c>
      <c r="HI634" s="811">
        <f t="shared" si="14586"/>
        <v>0</v>
      </c>
      <c r="HJ634" s="78">
        <f t="shared" si="14586"/>
        <v>0</v>
      </c>
      <c r="HK634" s="811">
        <f t="shared" si="14586"/>
        <v>50943</v>
      </c>
      <c r="HL634" s="78">
        <f t="shared" si="14586"/>
        <v>0</v>
      </c>
      <c r="HM634" s="811">
        <f t="shared" si="14586"/>
        <v>25473</v>
      </c>
      <c r="HN634" s="78">
        <f t="shared" si="14586"/>
        <v>0</v>
      </c>
      <c r="HO634" s="811">
        <f t="shared" si="14586"/>
        <v>25473.000000000004</v>
      </c>
      <c r="HP634" s="78">
        <f t="shared" si="14586"/>
        <v>0</v>
      </c>
      <c r="HQ634" s="811">
        <f t="shared" si="14586"/>
        <v>25473</v>
      </c>
      <c r="HR634" s="78">
        <f t="shared" si="14586"/>
        <v>0</v>
      </c>
      <c r="HS634" s="811">
        <f t="shared" si="14586"/>
        <v>25473</v>
      </c>
      <c r="HT634" s="78">
        <f t="shared" si="14586"/>
        <v>0</v>
      </c>
      <c r="HU634" s="811">
        <f t="shared" si="14586"/>
        <v>25473</v>
      </c>
      <c r="HV634" s="78">
        <f t="shared" si="14586"/>
        <v>0</v>
      </c>
      <c r="HW634" s="811">
        <f t="shared" si="14586"/>
        <v>25472.999999999996</v>
      </c>
      <c r="HX634" s="78">
        <f t="shared" si="14586"/>
        <v>0</v>
      </c>
      <c r="HY634" s="811">
        <f t="shared" si="14586"/>
        <v>25473.000000000004</v>
      </c>
      <c r="HZ634" s="78">
        <f t="shared" si="14586"/>
        <v>0</v>
      </c>
      <c r="IA634" s="811">
        <f t="shared" si="14586"/>
        <v>25473</v>
      </c>
      <c r="IB634" s="78">
        <f t="shared" si="14586"/>
        <v>0</v>
      </c>
      <c r="IC634" s="811">
        <f t="shared" si="14586"/>
        <v>0</v>
      </c>
      <c r="ID634" s="78">
        <f t="shared" si="14586"/>
        <v>0</v>
      </c>
      <c r="IE634" s="811">
        <f t="shared" si="14586"/>
        <v>0</v>
      </c>
      <c r="IF634" s="851">
        <f t="shared" si="14586"/>
        <v>179881.67</v>
      </c>
      <c r="IG634" s="280">
        <f t="shared" si="14586"/>
        <v>179881.67</v>
      </c>
      <c r="IH634" s="852">
        <f t="shared" si="14586"/>
        <v>179881.67</v>
      </c>
      <c r="II634" s="78">
        <f t="shared" si="14586"/>
        <v>13554.36</v>
      </c>
      <c r="IJ634" s="78">
        <f t="shared" si="14586"/>
        <v>13554.36</v>
      </c>
      <c r="IK634" s="78">
        <f t="shared" si="14586"/>
        <v>13554.36</v>
      </c>
      <c r="IL634" s="78">
        <f t="shared" si="14586"/>
        <v>12971.439999999999</v>
      </c>
      <c r="IM634" s="78">
        <f t="shared" si="14586"/>
        <v>12971.439999999999</v>
      </c>
      <c r="IN634" s="78">
        <f t="shared" si="14586"/>
        <v>12971.439999999999</v>
      </c>
      <c r="IO634" s="78">
        <f t="shared" si="14586"/>
        <v>7514.7000000000007</v>
      </c>
      <c r="IP634" s="78">
        <f t="shared" si="14586"/>
        <v>7514.7000000000007</v>
      </c>
      <c r="IQ634" s="78">
        <f t="shared" si="14586"/>
        <v>7514.7000000000007</v>
      </c>
      <c r="IR634" s="78">
        <f t="shared" si="14586"/>
        <v>26412.769999999997</v>
      </c>
      <c r="IS634" s="78">
        <f t="shared" si="14586"/>
        <v>26412.769999999997</v>
      </c>
      <c r="IT634" s="78">
        <f t="shared" si="14586"/>
        <v>26412.769999999997</v>
      </c>
      <c r="IU634" s="78">
        <f t="shared" si="14586"/>
        <v>19860.730000000003</v>
      </c>
      <c r="IV634" s="78">
        <f t="shared" si="14586"/>
        <v>19860.730000000003</v>
      </c>
      <c r="IW634" s="78">
        <f t="shared" si="14586"/>
        <v>19860.730000000003</v>
      </c>
      <c r="IX634" s="78">
        <f t="shared" si="14586"/>
        <v>17709.399999999994</v>
      </c>
      <c r="IY634" s="78">
        <f t="shared" si="14586"/>
        <v>17709.399999999994</v>
      </c>
      <c r="IZ634" s="78">
        <f t="shared" si="14586"/>
        <v>17709.399999999994</v>
      </c>
      <c r="JA634" s="78">
        <f t="shared" si="14586"/>
        <v>19240.070000000007</v>
      </c>
      <c r="JB634" s="78">
        <f t="shared" si="14586"/>
        <v>19240.070000000007</v>
      </c>
      <c r="JC634" s="78">
        <f t="shared" si="14586"/>
        <v>19240.070000000007</v>
      </c>
      <c r="JD634" s="78">
        <f t="shared" si="14586"/>
        <v>20739.399999999994</v>
      </c>
      <c r="JE634" s="78">
        <f t="shared" si="14586"/>
        <v>20739.399999999994</v>
      </c>
      <c r="JF634" s="78">
        <f t="shared" si="14586"/>
        <v>20739.399999999994</v>
      </c>
      <c r="JG634" s="78">
        <f t="shared" si="14586"/>
        <v>20939.399999999994</v>
      </c>
      <c r="JH634" s="78">
        <f t="shared" si="14586"/>
        <v>20939.399999999994</v>
      </c>
      <c r="JI634" s="78">
        <f t="shared" si="14586"/>
        <v>20939.399999999994</v>
      </c>
      <c r="JJ634" s="78">
        <f t="shared" si="14586"/>
        <v>20939.400000000023</v>
      </c>
      <c r="JK634" s="78">
        <f t="shared" si="14586"/>
        <v>20939.400000000023</v>
      </c>
      <c r="JL634" s="78">
        <f t="shared" si="14586"/>
        <v>20939.400000000023</v>
      </c>
      <c r="JM634" s="78">
        <f t="shared" si="14586"/>
        <v>0</v>
      </c>
      <c r="JN634" s="78">
        <f t="shared" si="14586"/>
        <v>0</v>
      </c>
      <c r="JO634" s="78">
        <f t="shared" si="14586"/>
        <v>0</v>
      </c>
      <c r="JP634" s="78">
        <f t="shared" si="14586"/>
        <v>0</v>
      </c>
      <c r="JQ634" s="78">
        <f t="shared" si="14586"/>
        <v>0</v>
      </c>
      <c r="JR634" s="78">
        <f t="shared" si="14586"/>
        <v>0</v>
      </c>
      <c r="JS634" s="78">
        <f t="shared" si="14586"/>
        <v>41899.329999999987</v>
      </c>
      <c r="JT634" s="658">
        <f t="shared" si="14586"/>
        <v>41899.329999999987</v>
      </c>
      <c r="JU634" s="665"/>
      <c r="JV634" s="524"/>
      <c r="JW634" s="525"/>
      <c r="JX634" s="564">
        <f>SUM(JX635:JX635)</f>
        <v>0</v>
      </c>
      <c r="JY634" s="564">
        <f>SUM(JY635:JY635)</f>
        <v>254727</v>
      </c>
      <c r="JZ634" s="581">
        <f t="shared" si="13477"/>
        <v>0</v>
      </c>
      <c r="KA634" s="581">
        <f t="shared" si="13478"/>
        <v>-32946</v>
      </c>
      <c r="KB634" s="564">
        <f t="shared" si="14516"/>
        <v>221781</v>
      </c>
      <c r="KC634" s="709">
        <f t="shared" si="13396"/>
        <v>0</v>
      </c>
      <c r="KD634" s="36"/>
      <c r="KE634" s="36"/>
      <c r="KF634" s="36"/>
      <c r="KG634" s="36"/>
      <c r="KH634" s="36"/>
      <c r="KI634" s="36"/>
      <c r="KJ634" s="36"/>
      <c r="KK634" s="36"/>
    </row>
    <row r="635" spans="1:297" s="33" customFormat="1">
      <c r="A635" s="86" t="s">
        <v>334</v>
      </c>
      <c r="B635" s="88" t="s">
        <v>54</v>
      </c>
      <c r="C635" s="74">
        <v>280200</v>
      </c>
      <c r="D635" s="549">
        <v>0</v>
      </c>
      <c r="E635" s="675">
        <v>0</v>
      </c>
      <c r="F635" s="549">
        <v>0</v>
      </c>
      <c r="G635" s="675">
        <v>0</v>
      </c>
      <c r="H635" s="549">
        <v>0</v>
      </c>
      <c r="I635" s="675">
        <v>0</v>
      </c>
      <c r="J635" s="549">
        <v>0</v>
      </c>
      <c r="K635" s="675">
        <v>0</v>
      </c>
      <c r="L635" s="549">
        <v>0</v>
      </c>
      <c r="M635" s="675">
        <v>0</v>
      </c>
      <c r="N635" s="549">
        <v>0</v>
      </c>
      <c r="O635" s="675">
        <v>0</v>
      </c>
      <c r="P635" s="549">
        <v>0</v>
      </c>
      <c r="Q635" s="675">
        <v>0</v>
      </c>
      <c r="R635" s="549">
        <v>0</v>
      </c>
      <c r="S635" s="675">
        <v>0</v>
      </c>
      <c r="T635" s="549">
        <v>0</v>
      </c>
      <c r="U635" s="675">
        <v>0</v>
      </c>
      <c r="V635" s="549">
        <v>0</v>
      </c>
      <c r="W635" s="675">
        <v>0</v>
      </c>
      <c r="X635" s="549">
        <v>0</v>
      </c>
      <c r="Y635" s="675">
        <v>0</v>
      </c>
      <c r="Z635" s="549">
        <v>0</v>
      </c>
      <c r="AA635" s="675">
        <v>0</v>
      </c>
      <c r="AB635" s="549">
        <v>0</v>
      </c>
      <c r="AC635" s="675">
        <v>0</v>
      </c>
      <c r="AD635" s="549">
        <v>0</v>
      </c>
      <c r="AE635" s="675">
        <v>0</v>
      </c>
      <c r="AF635" s="549">
        <v>0</v>
      </c>
      <c r="AG635" s="675">
        <v>0</v>
      </c>
      <c r="AH635" s="549">
        <v>0</v>
      </c>
      <c r="AI635" s="675">
        <v>0</v>
      </c>
      <c r="AJ635" s="549">
        <v>0</v>
      </c>
      <c r="AK635" s="675">
        <v>0</v>
      </c>
      <c r="AL635" s="549">
        <v>0</v>
      </c>
      <c r="AM635" s="675">
        <v>0</v>
      </c>
      <c r="AN635" s="549">
        <v>0</v>
      </c>
      <c r="AO635" s="675">
        <v>0</v>
      </c>
      <c r="AP635" s="549">
        <v>0</v>
      </c>
      <c r="AQ635" s="675">
        <v>0</v>
      </c>
      <c r="AR635" s="549">
        <v>0</v>
      </c>
      <c r="AS635" s="675">
        <v>0</v>
      </c>
      <c r="AT635" s="549">
        <v>0</v>
      </c>
      <c r="AU635" s="675">
        <v>0</v>
      </c>
      <c r="AV635" s="549">
        <v>0</v>
      </c>
      <c r="AW635" s="675">
        <v>-32946</v>
      </c>
      <c r="AX635" s="549">
        <v>0</v>
      </c>
      <c r="AY635" s="675">
        <v>0</v>
      </c>
      <c r="AZ635" s="549">
        <v>0</v>
      </c>
      <c r="BA635" s="675">
        <v>0</v>
      </c>
      <c r="BB635" s="549">
        <v>0</v>
      </c>
      <c r="BC635" s="675">
        <v>0</v>
      </c>
      <c r="BD635" s="549">
        <v>0</v>
      </c>
      <c r="BE635" s="675">
        <v>0</v>
      </c>
      <c r="BF635" s="549">
        <v>0</v>
      </c>
      <c r="BG635" s="675">
        <v>0</v>
      </c>
      <c r="BH635" s="549">
        <v>0</v>
      </c>
      <c r="BI635" s="675">
        <v>0</v>
      </c>
      <c r="BJ635" s="549">
        <v>0</v>
      </c>
      <c r="BK635" s="675">
        <v>0</v>
      </c>
      <c r="BL635" s="549">
        <v>0</v>
      </c>
      <c r="BM635" s="675">
        <v>0</v>
      </c>
      <c r="BN635" s="549">
        <v>0</v>
      </c>
      <c r="BO635" s="675">
        <v>0</v>
      </c>
      <c r="BP635" s="549">
        <v>0</v>
      </c>
      <c r="BQ635" s="675">
        <v>0</v>
      </c>
      <c r="BR635" s="549">
        <v>0</v>
      </c>
      <c r="BS635" s="675">
        <v>0</v>
      </c>
      <c r="BT635" s="549">
        <v>0</v>
      </c>
      <c r="BU635" s="675">
        <v>0</v>
      </c>
      <c r="BV635" s="549">
        <v>0</v>
      </c>
      <c r="BW635" s="675">
        <v>0</v>
      </c>
      <c r="BX635" s="549">
        <v>0</v>
      </c>
      <c r="BY635" s="675">
        <v>0</v>
      </c>
      <c r="BZ635" s="549">
        <v>0</v>
      </c>
      <c r="CA635" s="675">
        <v>0</v>
      </c>
      <c r="CB635" s="549">
        <v>0</v>
      </c>
      <c r="CC635" s="675">
        <v>0</v>
      </c>
      <c r="CD635" s="549">
        <v>0</v>
      </c>
      <c r="CE635" s="675">
        <v>0</v>
      </c>
      <c r="CF635" s="549">
        <v>0</v>
      </c>
      <c r="CG635" s="675">
        <v>0</v>
      </c>
      <c r="CH635" s="549">
        <v>0</v>
      </c>
      <c r="CI635" s="675">
        <v>0</v>
      </c>
      <c r="CJ635" s="549">
        <v>0</v>
      </c>
      <c r="CK635" s="675">
        <v>0</v>
      </c>
      <c r="CL635" s="549">
        <v>0</v>
      </c>
      <c r="CM635" s="675">
        <v>0</v>
      </c>
      <c r="CN635" s="549">
        <v>0</v>
      </c>
      <c r="CO635" s="675">
        <v>0</v>
      </c>
      <c r="CP635" s="549">
        <v>0</v>
      </c>
      <c r="CQ635" s="675">
        <v>0</v>
      </c>
      <c r="CR635" s="549">
        <v>0</v>
      </c>
      <c r="CS635" s="675">
        <v>0</v>
      </c>
      <c r="CT635" s="549">
        <v>0</v>
      </c>
      <c r="CU635" s="675">
        <v>0</v>
      </c>
      <c r="CV635" s="549">
        <v>0</v>
      </c>
      <c r="CW635" s="675">
        <v>0</v>
      </c>
      <c r="CX635" s="549">
        <v>0</v>
      </c>
      <c r="CY635" s="675">
        <v>0</v>
      </c>
      <c r="CZ635" s="549">
        <v>0</v>
      </c>
      <c r="DA635" s="675">
        <v>0</v>
      </c>
      <c r="DB635" s="549">
        <v>0</v>
      </c>
      <c r="DC635" s="675">
        <v>0</v>
      </c>
      <c r="DD635" s="549">
        <v>0</v>
      </c>
      <c r="DE635" s="675">
        <v>0</v>
      </c>
      <c r="DF635" s="549">
        <v>0</v>
      </c>
      <c r="DG635" s="675">
        <v>0</v>
      </c>
      <c r="DH635" s="549">
        <v>0</v>
      </c>
      <c r="DI635" s="675">
        <v>0</v>
      </c>
      <c r="DJ635" s="549">
        <v>0</v>
      </c>
      <c r="DK635" s="675">
        <v>0</v>
      </c>
      <c r="DL635" s="549">
        <v>0</v>
      </c>
      <c r="DM635" s="675">
        <v>0</v>
      </c>
      <c r="DN635" s="549">
        <v>0</v>
      </c>
      <c r="DO635" s="675">
        <v>0</v>
      </c>
      <c r="DP635" s="549">
        <v>0</v>
      </c>
      <c r="DQ635" s="675">
        <v>0</v>
      </c>
      <c r="DR635" s="549">
        <v>0</v>
      </c>
      <c r="DS635" s="675">
        <v>0</v>
      </c>
      <c r="DT635" s="549">
        <v>0</v>
      </c>
      <c r="DU635" s="675">
        <v>0</v>
      </c>
      <c r="DV635" s="549">
        <v>0</v>
      </c>
      <c r="DW635" s="675">
        <v>0</v>
      </c>
      <c r="DX635" s="549">
        <v>0</v>
      </c>
      <c r="DY635" s="675">
        <v>0</v>
      </c>
      <c r="DZ635" s="549">
        <v>0</v>
      </c>
      <c r="EA635" s="675">
        <v>0</v>
      </c>
      <c r="EB635" s="549">
        <v>0</v>
      </c>
      <c r="EC635" s="675">
        <v>0</v>
      </c>
      <c r="ED635" s="549">
        <v>0</v>
      </c>
      <c r="EE635" s="675">
        <v>0</v>
      </c>
      <c r="EF635" s="549">
        <v>0</v>
      </c>
      <c r="EG635" s="675">
        <v>0</v>
      </c>
      <c r="EH635" s="549">
        <v>0</v>
      </c>
      <c r="EI635" s="675">
        <v>0</v>
      </c>
      <c r="EJ635" s="549">
        <v>0</v>
      </c>
      <c r="EK635" s="675">
        <v>0</v>
      </c>
      <c r="EL635" s="549">
        <v>0</v>
      </c>
      <c r="EM635" s="675">
        <v>0</v>
      </c>
      <c r="EN635" s="549">
        <v>0</v>
      </c>
      <c r="EO635" s="675">
        <v>0</v>
      </c>
      <c r="EP635" s="549">
        <v>0</v>
      </c>
      <c r="EQ635" s="675">
        <v>0</v>
      </c>
      <c r="ER635" s="549">
        <v>0</v>
      </c>
      <c r="ES635" s="675">
        <v>0</v>
      </c>
      <c r="ET635" s="549">
        <v>0</v>
      </c>
      <c r="EU635" s="675">
        <v>0</v>
      </c>
      <c r="EV635" s="549">
        <v>0</v>
      </c>
      <c r="EW635" s="675">
        <v>0</v>
      </c>
      <c r="EX635" s="549">
        <v>0</v>
      </c>
      <c r="EY635" s="675">
        <v>0</v>
      </c>
      <c r="EZ635" s="549">
        <v>0</v>
      </c>
      <c r="FA635" s="675">
        <v>0</v>
      </c>
      <c r="FB635" s="549">
        <v>0</v>
      </c>
      <c r="FC635" s="675">
        <v>0</v>
      </c>
      <c r="FD635" s="549">
        <v>0</v>
      </c>
      <c r="FE635" s="675">
        <v>0</v>
      </c>
      <c r="FF635" s="549">
        <v>0</v>
      </c>
      <c r="FG635" s="675">
        <v>0</v>
      </c>
      <c r="FH635" s="549">
        <v>0</v>
      </c>
      <c r="FI635" s="675">
        <v>0</v>
      </c>
      <c r="FJ635" s="549">
        <v>0</v>
      </c>
      <c r="FK635" s="675">
        <v>0</v>
      </c>
      <c r="FL635" s="549">
        <v>0</v>
      </c>
      <c r="FM635" s="675">
        <v>0</v>
      </c>
      <c r="FN635" s="549">
        <v>0</v>
      </c>
      <c r="FO635" s="675">
        <v>0</v>
      </c>
      <c r="FP635" s="549">
        <v>0</v>
      </c>
      <c r="FQ635" s="675">
        <v>0</v>
      </c>
      <c r="FR635" s="549">
        <v>0</v>
      </c>
      <c r="FS635" s="675">
        <v>0</v>
      </c>
      <c r="FT635" s="549">
        <v>0</v>
      </c>
      <c r="FU635" s="675">
        <v>0</v>
      </c>
      <c r="FV635" s="549">
        <v>0</v>
      </c>
      <c r="FW635" s="675">
        <v>0</v>
      </c>
      <c r="FX635" s="549">
        <v>0</v>
      </c>
      <c r="FY635" s="675">
        <v>0</v>
      </c>
      <c r="FZ635" s="549">
        <v>0</v>
      </c>
      <c r="GA635" s="675">
        <v>0</v>
      </c>
      <c r="GB635" s="549">
        <v>0</v>
      </c>
      <c r="GC635" s="675">
        <v>0</v>
      </c>
      <c r="GD635" s="549">
        <v>0</v>
      </c>
      <c r="GE635" s="675">
        <v>0</v>
      </c>
      <c r="GF635" s="549">
        <v>0</v>
      </c>
      <c r="GG635" s="675">
        <v>0</v>
      </c>
      <c r="GH635" s="549">
        <v>0</v>
      </c>
      <c r="GI635" s="675">
        <v>0</v>
      </c>
      <c r="GJ635" s="549">
        <v>0</v>
      </c>
      <c r="GK635" s="675">
        <v>0</v>
      </c>
      <c r="GL635" s="549">
        <v>0</v>
      </c>
      <c r="GM635" s="675">
        <v>0</v>
      </c>
      <c r="GN635" s="549">
        <v>0</v>
      </c>
      <c r="GO635" s="675">
        <v>0</v>
      </c>
      <c r="GP635" s="549">
        <f>+D635+F635+H635+J635+L635+N635+P635+R635+T635+V635+X635+Z635+AB635+AF635+AD635+AH635+AJ635+AL635+AN635+AP635+AR635+AT635+AV635+AX635+AZ635+BB635+BD635+BF635+BH635+BJ635+BL635+BN635+BP635+BR635+BT635+BV635+BX635+BZ635+CB635+CD635+CF635+CH635+CJ635+CL635+CN635+CP635+CR635+CT635+CV635+CX635+CZ635+DB635+DD635+DF635+DH635+DT635+EX635+DJ635+DL635+DN635+DP635+DR635+EJ635+EB635+DZ635+DX635+DV635+ED635+EF635+EH635+EL635+EN635+EP635+EV635+ET635+ER635+EZ635+FB635+FD635+GL635+FF635+FJ635+FL635+GJ635+FT635+FR635+FP635+FN635+FH635+GH635+GF635+GD635+GB635+FZ635+FX635+FV635+GN635</f>
        <v>0</v>
      </c>
      <c r="GQ635" s="675">
        <f>+E635+G635+I635+K635+M635+O635+Q635+S635+U635+W635+Y635+AA635+AC635+AE635+AG635+AI635+AK635+AM635+AO635+AQ635+AS635+AU635+AW635+AY635+BA635+BC635+BE635+BG635+BI635+BK635+BM635+BO635+BQ635+BS635+BU635+BW635+BY635+CA635+CC635+CE635+CG635+CI635+CK635+CM635+CO635+CQ635+CS635+CU635+CW635+CY635+DA635+DC635+DE635+DG635+DI635+DU635+EY635+DK635+DM635+DO635+DQ635+DS635+EK635+EC635+EA635+DY635+DW635+EI635+EG635+EE635+EM635+EO635+EQ635+EW635+EU635+ES635+FA635+FC635+FE635+GM635+FG635+FK635+FM635+FO635+FQ635+FS635+FU635+GK635+FI635+GI635+GG635+GE635+GC635+GA635+FY635+FW635+GO635</f>
        <v>-32946</v>
      </c>
      <c r="GR635" s="74">
        <f>C635+GP635+GQ635</f>
        <v>247254</v>
      </c>
      <c r="GS635" s="74">
        <f>SUM(GU635:HD635)+GP635+GQ635</f>
        <v>221781</v>
      </c>
      <c r="GT635" s="568">
        <f>SUM(GU635:HF635)+GQ635+GP635</f>
        <v>247254</v>
      </c>
      <c r="GU635" s="275">
        <v>25470</v>
      </c>
      <c r="GV635" s="275">
        <v>25473</v>
      </c>
      <c r="GW635" s="275">
        <v>25473</v>
      </c>
      <c r="GX635" s="275">
        <v>25473</v>
      </c>
      <c r="GY635" s="275">
        <v>25473</v>
      </c>
      <c r="GZ635" s="275">
        <v>25473</v>
      </c>
      <c r="HA635" s="275">
        <v>25473</v>
      </c>
      <c r="HB635" s="275">
        <v>25473</v>
      </c>
      <c r="HC635" s="275">
        <v>25473</v>
      </c>
      <c r="HD635" s="275">
        <v>25473</v>
      </c>
      <c r="HE635" s="275">
        <v>25473</v>
      </c>
      <c r="HF635" s="275">
        <v>0</v>
      </c>
      <c r="HG635" s="74">
        <f>SUM(HH635:IE635)+GP635+GQ635</f>
        <v>221781</v>
      </c>
      <c r="HH635" s="89">
        <v>0</v>
      </c>
      <c r="HI635" s="817">
        <v>0</v>
      </c>
      <c r="HJ635" s="89">
        <v>0</v>
      </c>
      <c r="HK635" s="817">
        <f>26525.8+24417.2</f>
        <v>50943</v>
      </c>
      <c r="HL635" s="89">
        <v>0</v>
      </c>
      <c r="HM635" s="817">
        <f>42375.5-16902.5</f>
        <v>25473</v>
      </c>
      <c r="HN635" s="89">
        <v>0</v>
      </c>
      <c r="HO635" s="817">
        <f>41435.73-15962.73</f>
        <v>25473.000000000004</v>
      </c>
      <c r="HP635" s="89">
        <v>0</v>
      </c>
      <c r="HQ635" s="817">
        <f>11371+14102</f>
        <v>25473</v>
      </c>
      <c r="HR635" s="89">
        <v>0</v>
      </c>
      <c r="HS635" s="817">
        <f>3607.4+21865.6</f>
        <v>25473</v>
      </c>
      <c r="HT635" s="89">
        <v>0</v>
      </c>
      <c r="HU635" s="817">
        <f>28098.53-2625.53</f>
        <v>25473</v>
      </c>
      <c r="HV635" s="89">
        <v>0</v>
      </c>
      <c r="HW635" s="817">
        <f>32832.13-7359.13</f>
        <v>25472.999999999996</v>
      </c>
      <c r="HX635" s="89">
        <v>0</v>
      </c>
      <c r="HY635" s="817">
        <f>37365.73-11892.73</f>
        <v>25473.000000000004</v>
      </c>
      <c r="HZ635" s="89">
        <v>0</v>
      </c>
      <c r="IA635" s="817">
        <f>41899.33-16426.33</f>
        <v>25473</v>
      </c>
      <c r="IB635" s="89">
        <v>0</v>
      </c>
      <c r="IC635" s="817">
        <v>0</v>
      </c>
      <c r="ID635" s="89">
        <v>0</v>
      </c>
      <c r="IE635" s="817">
        <v>0</v>
      </c>
      <c r="IF635" s="841">
        <f t="shared" ref="IF635" si="14587">SUM(II635,IL635,IO635,IR635,IU635,IX635,JA635,JD635,JG635,JJ635,JM635,JP635)</f>
        <v>179881.67</v>
      </c>
      <c r="IG635" s="263">
        <f t="shared" ref="IG635" si="14588">SUM(IJ635,IM635,IP635,IS635,IV635,IY635,JB635,JE635,JH635,JK635,JN635,JQ635)</f>
        <v>179881.67</v>
      </c>
      <c r="IH635" s="842">
        <f t="shared" ref="IH635" si="14589">SUM(IK635,IN635,IQ635,IT635,IW635,IZ635,JC635,JF635,JI635,JL635,JO635,JR635)</f>
        <v>179881.67</v>
      </c>
      <c r="II635" s="89">
        <v>13554.36</v>
      </c>
      <c r="IJ635" s="89">
        <f t="shared" ref="IJ635" si="14590">II635</f>
        <v>13554.36</v>
      </c>
      <c r="IK635" s="89">
        <f t="shared" ref="IK635" si="14591">IJ635</f>
        <v>13554.36</v>
      </c>
      <c r="IL635" s="89">
        <f>26525.8-13554.36</f>
        <v>12971.439999999999</v>
      </c>
      <c r="IM635" s="89">
        <f t="shared" ref="IM635" si="14592">IL635</f>
        <v>12971.439999999999</v>
      </c>
      <c r="IN635" s="89">
        <f t="shared" ref="IN635" si="14593">IM635</f>
        <v>12971.439999999999</v>
      </c>
      <c r="IO635" s="89">
        <f>34040.5-26525.8</f>
        <v>7514.7000000000007</v>
      </c>
      <c r="IP635" s="89">
        <f t="shared" ref="IP635" si="14594">IO635</f>
        <v>7514.7000000000007</v>
      </c>
      <c r="IQ635" s="89">
        <f t="shared" ref="IQ635" si="14595">IP635</f>
        <v>7514.7000000000007</v>
      </c>
      <c r="IR635" s="89">
        <f>60453.27-34040.5</f>
        <v>26412.769999999997</v>
      </c>
      <c r="IS635" s="89">
        <f t="shared" ref="IS635" si="14596">IR635</f>
        <v>26412.769999999997</v>
      </c>
      <c r="IT635" s="89">
        <f t="shared" ref="IT635" si="14597">IS635</f>
        <v>26412.769999999997</v>
      </c>
      <c r="IU635" s="89">
        <f>80314-60453.27</f>
        <v>19860.730000000003</v>
      </c>
      <c r="IV635" s="89">
        <f t="shared" ref="IV635" si="14598">IU635</f>
        <v>19860.730000000003</v>
      </c>
      <c r="IW635" s="89">
        <f t="shared" ref="IW635" si="14599">IV635</f>
        <v>19860.730000000003</v>
      </c>
      <c r="IX635" s="89">
        <f>98023.4-80314</f>
        <v>17709.399999999994</v>
      </c>
      <c r="IY635" s="89">
        <f t="shared" ref="IY635" si="14600">IX635</f>
        <v>17709.399999999994</v>
      </c>
      <c r="IZ635" s="89">
        <f t="shared" ref="IZ635" si="14601">IY635</f>
        <v>17709.399999999994</v>
      </c>
      <c r="JA635" s="89">
        <f>117263.47-98023.4</f>
        <v>19240.070000000007</v>
      </c>
      <c r="JB635" s="89">
        <f t="shared" ref="JB635" si="14602">JA635</f>
        <v>19240.070000000007</v>
      </c>
      <c r="JC635" s="89">
        <f t="shared" ref="JC635" si="14603">JB635</f>
        <v>19240.070000000007</v>
      </c>
      <c r="JD635" s="89">
        <f>138002.87-117263.47</f>
        <v>20739.399999999994</v>
      </c>
      <c r="JE635" s="89">
        <f t="shared" ref="JE635" si="14604">JD635</f>
        <v>20739.399999999994</v>
      </c>
      <c r="JF635" s="89">
        <f t="shared" ref="JF635" si="14605">JE635</f>
        <v>20739.399999999994</v>
      </c>
      <c r="JG635" s="89">
        <f>158942.27-138002.87</f>
        <v>20939.399999999994</v>
      </c>
      <c r="JH635" s="89">
        <f t="shared" ref="JH635" si="14606">JG635</f>
        <v>20939.399999999994</v>
      </c>
      <c r="JI635" s="89">
        <f t="shared" ref="JI635" si="14607">JH635</f>
        <v>20939.399999999994</v>
      </c>
      <c r="JJ635" s="89">
        <f>179881.67-158942.27</f>
        <v>20939.400000000023</v>
      </c>
      <c r="JK635" s="89">
        <f t="shared" ref="JK635" si="14608">JJ635</f>
        <v>20939.400000000023</v>
      </c>
      <c r="JL635" s="89">
        <f t="shared" ref="JL635" si="14609">JK635</f>
        <v>20939.400000000023</v>
      </c>
      <c r="JM635" s="89">
        <v>0</v>
      </c>
      <c r="JN635" s="89">
        <f t="shared" ref="JN635" si="14610">JM635</f>
        <v>0</v>
      </c>
      <c r="JO635" s="89">
        <f t="shared" ref="JO635" si="14611">JN635</f>
        <v>0</v>
      </c>
      <c r="JP635" s="89">
        <v>0</v>
      </c>
      <c r="JQ635" s="89">
        <f t="shared" ref="JQ635:JR635" si="14612">JP635</f>
        <v>0</v>
      </c>
      <c r="JR635" s="89">
        <f t="shared" si="14612"/>
        <v>0</v>
      </c>
      <c r="JS635" s="74">
        <f>HG635-IF635</f>
        <v>41899.329999999987</v>
      </c>
      <c r="JT635" s="382">
        <f>GS635-IF635</f>
        <v>41899.329999999987</v>
      </c>
      <c r="JU635" s="665"/>
      <c r="JV635" s="489"/>
      <c r="JW635" s="525"/>
      <c r="JX635" s="549">
        <f>SUM(HH635,HJ635,HL635,HN635,HP635,HR635,HT635,HV635,HX635,HZ635,IB635,ID635)</f>
        <v>0</v>
      </c>
      <c r="JY635" s="549">
        <f>SUM(HI635,HK635,HM635,HO635,HQ635,HS635,HU635,HW635,HY635,IA635,IC635,IE635)</f>
        <v>254727</v>
      </c>
      <c r="JZ635" s="581">
        <f t="shared" si="13477"/>
        <v>0</v>
      </c>
      <c r="KA635" s="581">
        <f t="shared" si="13478"/>
        <v>-32946</v>
      </c>
      <c r="KB635" s="549">
        <f t="shared" si="14516"/>
        <v>221781</v>
      </c>
      <c r="KC635" s="709">
        <f t="shared" si="13396"/>
        <v>0</v>
      </c>
      <c r="KD635" s="36"/>
      <c r="KE635" s="36"/>
      <c r="KF635" s="36"/>
      <c r="KG635" s="36"/>
      <c r="KH635" s="36"/>
      <c r="KI635" s="36"/>
      <c r="KJ635" s="36"/>
      <c r="KK635" s="36"/>
    </row>
    <row r="636" spans="1:297" s="10" customFormat="1">
      <c r="A636" s="86"/>
      <c r="B636" s="77"/>
      <c r="C636" s="74"/>
      <c r="D636" s="549"/>
      <c r="E636" s="675"/>
      <c r="F636" s="549"/>
      <c r="G636" s="675"/>
      <c r="H636" s="549"/>
      <c r="I636" s="675"/>
      <c r="J636" s="549"/>
      <c r="K636" s="675"/>
      <c r="L636" s="549"/>
      <c r="M636" s="675"/>
      <c r="N636" s="549"/>
      <c r="O636" s="675"/>
      <c r="P636" s="549"/>
      <c r="Q636" s="675"/>
      <c r="R636" s="549"/>
      <c r="S636" s="675"/>
      <c r="T636" s="549"/>
      <c r="U636" s="675"/>
      <c r="V636" s="549"/>
      <c r="W636" s="675"/>
      <c r="X636" s="549"/>
      <c r="Y636" s="675"/>
      <c r="Z636" s="549"/>
      <c r="AA636" s="675"/>
      <c r="AB636" s="549"/>
      <c r="AC636" s="675"/>
      <c r="AD636" s="549"/>
      <c r="AE636" s="675"/>
      <c r="AF636" s="549"/>
      <c r="AG636" s="675"/>
      <c r="AH636" s="549"/>
      <c r="AI636" s="675"/>
      <c r="AJ636" s="549"/>
      <c r="AK636" s="675"/>
      <c r="AL636" s="549"/>
      <c r="AM636" s="675"/>
      <c r="AN636" s="549"/>
      <c r="AO636" s="675"/>
      <c r="AP636" s="549"/>
      <c r="AQ636" s="675"/>
      <c r="AR636" s="549"/>
      <c r="AS636" s="675"/>
      <c r="AT636" s="549"/>
      <c r="AU636" s="675"/>
      <c r="AV636" s="549"/>
      <c r="AW636" s="675"/>
      <c r="AX636" s="549"/>
      <c r="AY636" s="675"/>
      <c r="AZ636" s="549"/>
      <c r="BA636" s="675"/>
      <c r="BB636" s="549"/>
      <c r="BC636" s="675"/>
      <c r="BD636" s="549"/>
      <c r="BE636" s="675"/>
      <c r="BF636" s="549"/>
      <c r="BG636" s="675"/>
      <c r="BH636" s="549"/>
      <c r="BI636" s="675"/>
      <c r="BJ636" s="549"/>
      <c r="BK636" s="675"/>
      <c r="BL636" s="549"/>
      <c r="BM636" s="675"/>
      <c r="BN636" s="549"/>
      <c r="BO636" s="675"/>
      <c r="BP636" s="549"/>
      <c r="BQ636" s="675"/>
      <c r="BR636" s="549"/>
      <c r="BS636" s="675"/>
      <c r="BT636" s="549"/>
      <c r="BU636" s="675"/>
      <c r="BV636" s="549"/>
      <c r="BW636" s="675"/>
      <c r="BX636" s="549"/>
      <c r="BY636" s="675"/>
      <c r="BZ636" s="549"/>
      <c r="CA636" s="675"/>
      <c r="CB636" s="549"/>
      <c r="CC636" s="675"/>
      <c r="CD636" s="549"/>
      <c r="CE636" s="675"/>
      <c r="CF636" s="549"/>
      <c r="CG636" s="675"/>
      <c r="CH636" s="549"/>
      <c r="CI636" s="675"/>
      <c r="CJ636" s="549"/>
      <c r="CK636" s="675"/>
      <c r="CL636" s="549"/>
      <c r="CM636" s="675"/>
      <c r="CN636" s="549"/>
      <c r="CO636" s="675"/>
      <c r="CP636" s="549"/>
      <c r="CQ636" s="675"/>
      <c r="CR636" s="549"/>
      <c r="CS636" s="675"/>
      <c r="CT636" s="549"/>
      <c r="CU636" s="675"/>
      <c r="CV636" s="549"/>
      <c r="CW636" s="675"/>
      <c r="CX636" s="549"/>
      <c r="CY636" s="675"/>
      <c r="CZ636" s="549"/>
      <c r="DA636" s="675"/>
      <c r="DB636" s="549"/>
      <c r="DC636" s="675"/>
      <c r="DD636" s="549"/>
      <c r="DE636" s="675"/>
      <c r="DF636" s="549"/>
      <c r="DG636" s="675"/>
      <c r="DH636" s="549"/>
      <c r="DI636" s="675"/>
      <c r="DJ636" s="549"/>
      <c r="DK636" s="675"/>
      <c r="DL636" s="549"/>
      <c r="DM636" s="675"/>
      <c r="DN636" s="549"/>
      <c r="DO636" s="675"/>
      <c r="DP636" s="549"/>
      <c r="DQ636" s="675"/>
      <c r="DR636" s="549"/>
      <c r="DS636" s="675"/>
      <c r="DT636" s="549"/>
      <c r="DU636" s="675"/>
      <c r="DV636" s="549"/>
      <c r="DW636" s="675"/>
      <c r="DX636" s="549"/>
      <c r="DY636" s="675"/>
      <c r="DZ636" s="549"/>
      <c r="EA636" s="675"/>
      <c r="EB636" s="549"/>
      <c r="EC636" s="675"/>
      <c r="ED636" s="549"/>
      <c r="EE636" s="675"/>
      <c r="EF636" s="549"/>
      <c r="EG636" s="675"/>
      <c r="EH636" s="549"/>
      <c r="EI636" s="675"/>
      <c r="EJ636" s="549"/>
      <c r="EK636" s="675"/>
      <c r="EL636" s="549"/>
      <c r="EM636" s="675"/>
      <c r="EN636" s="549"/>
      <c r="EO636" s="675"/>
      <c r="EP636" s="549"/>
      <c r="EQ636" s="675"/>
      <c r="ER636" s="549"/>
      <c r="ES636" s="675"/>
      <c r="ET636" s="549"/>
      <c r="EU636" s="675"/>
      <c r="EV636" s="549"/>
      <c r="EW636" s="675"/>
      <c r="EX636" s="549"/>
      <c r="EY636" s="675"/>
      <c r="EZ636" s="549"/>
      <c r="FA636" s="675"/>
      <c r="FB636" s="549"/>
      <c r="FC636" s="675"/>
      <c r="FD636" s="549"/>
      <c r="FE636" s="675"/>
      <c r="FF636" s="549"/>
      <c r="FG636" s="675"/>
      <c r="FH636" s="549"/>
      <c r="FI636" s="675"/>
      <c r="FJ636" s="549"/>
      <c r="FK636" s="675"/>
      <c r="FL636" s="549"/>
      <c r="FM636" s="675"/>
      <c r="FN636" s="549"/>
      <c r="FO636" s="675"/>
      <c r="FP636" s="549"/>
      <c r="FQ636" s="675"/>
      <c r="FR636" s="549"/>
      <c r="FS636" s="675"/>
      <c r="FT636" s="549"/>
      <c r="FU636" s="675"/>
      <c r="FV636" s="549"/>
      <c r="FW636" s="675"/>
      <c r="FX636" s="549"/>
      <c r="FY636" s="675"/>
      <c r="FZ636" s="549"/>
      <c r="GA636" s="675"/>
      <c r="GB636" s="549"/>
      <c r="GC636" s="675"/>
      <c r="GD636" s="549"/>
      <c r="GE636" s="675"/>
      <c r="GF636" s="549"/>
      <c r="GG636" s="675"/>
      <c r="GH636" s="549"/>
      <c r="GI636" s="675"/>
      <c r="GJ636" s="549"/>
      <c r="GK636" s="675"/>
      <c r="GL636" s="549"/>
      <c r="GM636" s="675"/>
      <c r="GN636" s="549"/>
      <c r="GO636" s="675"/>
      <c r="GP636" s="549"/>
      <c r="GQ636" s="675"/>
      <c r="GR636" s="74"/>
      <c r="GS636" s="74"/>
      <c r="GT636" s="568"/>
      <c r="GU636" s="89"/>
      <c r="GV636" s="89"/>
      <c r="GW636" s="568"/>
      <c r="GX636" s="568"/>
      <c r="GY636" s="89"/>
      <c r="GZ636" s="89"/>
      <c r="HA636" s="89"/>
      <c r="HB636" s="89"/>
      <c r="HC636" s="89"/>
      <c r="HD636" s="89"/>
      <c r="HE636" s="89"/>
      <c r="HF636" s="89"/>
      <c r="HG636" s="74"/>
      <c r="HH636" s="89"/>
      <c r="HI636" s="817"/>
      <c r="HJ636" s="89"/>
      <c r="HK636" s="817"/>
      <c r="HL636" s="89"/>
      <c r="HM636" s="817"/>
      <c r="HN636" s="89"/>
      <c r="HO636" s="817"/>
      <c r="HP636" s="89"/>
      <c r="HQ636" s="817"/>
      <c r="HR636" s="89"/>
      <c r="HS636" s="817"/>
      <c r="HT636" s="89"/>
      <c r="HU636" s="817"/>
      <c r="HV636" s="89"/>
      <c r="HW636" s="817"/>
      <c r="HX636" s="89"/>
      <c r="HY636" s="817"/>
      <c r="HZ636" s="89"/>
      <c r="IA636" s="817"/>
      <c r="IB636" s="89"/>
      <c r="IC636" s="817"/>
      <c r="ID636" s="89"/>
      <c r="IE636" s="817"/>
      <c r="IF636" s="703"/>
      <c r="IG636" s="282"/>
      <c r="IH636" s="858"/>
      <c r="II636" s="89"/>
      <c r="IJ636" s="89"/>
      <c r="IK636" s="89"/>
      <c r="IL636" s="89"/>
      <c r="IM636" s="89"/>
      <c r="IN636" s="89"/>
      <c r="IO636" s="89"/>
      <c r="IP636" s="89"/>
      <c r="IQ636" s="89"/>
      <c r="IR636" s="89"/>
      <c r="IS636" s="89"/>
      <c r="IT636" s="89"/>
      <c r="IU636" s="89"/>
      <c r="IV636" s="89"/>
      <c r="IW636" s="89"/>
      <c r="IX636" s="89"/>
      <c r="IY636" s="89"/>
      <c r="IZ636" s="89"/>
      <c r="JA636" s="89"/>
      <c r="JB636" s="89"/>
      <c r="JC636" s="89"/>
      <c r="JD636" s="89"/>
      <c r="JE636" s="89"/>
      <c r="JF636" s="89"/>
      <c r="JG636" s="89"/>
      <c r="JH636" s="89"/>
      <c r="JI636" s="89"/>
      <c r="JJ636" s="89"/>
      <c r="JK636" s="89"/>
      <c r="JL636" s="89"/>
      <c r="JM636" s="89"/>
      <c r="JN636" s="89"/>
      <c r="JO636" s="89"/>
      <c r="JP636" s="89"/>
      <c r="JQ636" s="89"/>
      <c r="JR636" s="89"/>
      <c r="JS636" s="74"/>
      <c r="JT636" s="382"/>
      <c r="JU636" s="665"/>
      <c r="JV636" s="524"/>
      <c r="JW636" s="525"/>
      <c r="JX636" s="549"/>
      <c r="JY636" s="549"/>
      <c r="JZ636" s="581">
        <f t="shared" si="13477"/>
        <v>0</v>
      </c>
      <c r="KA636" s="581">
        <f t="shared" si="13478"/>
        <v>0</v>
      </c>
      <c r="KB636" s="549">
        <f t="shared" si="14516"/>
        <v>0</v>
      </c>
      <c r="KC636" s="709">
        <f t="shared" si="13396"/>
        <v>0</v>
      </c>
      <c r="KD636" s="36"/>
      <c r="KE636" s="36"/>
      <c r="KF636" s="36"/>
      <c r="KG636" s="36"/>
      <c r="KH636" s="36"/>
      <c r="KI636" s="36"/>
      <c r="KJ636" s="36"/>
      <c r="KK636" s="36"/>
    </row>
    <row r="637" spans="1:297" s="8" customFormat="1">
      <c r="A637" s="80" t="s">
        <v>335</v>
      </c>
      <c r="B637" s="72" t="s">
        <v>58</v>
      </c>
      <c r="C637" s="74">
        <f t="shared" ref="C637" si="14613">SUM(C638:C639)</f>
        <v>61900</v>
      </c>
      <c r="D637" s="549">
        <f t="shared" ref="D637:E637" si="14614">SUM(D638:D639)</f>
        <v>0</v>
      </c>
      <c r="E637" s="675">
        <f t="shared" si="14614"/>
        <v>0</v>
      </c>
      <c r="F637" s="549">
        <f t="shared" ref="F637:G637" si="14615">SUM(F638:F639)</f>
        <v>0</v>
      </c>
      <c r="G637" s="675">
        <f t="shared" si="14615"/>
        <v>0</v>
      </c>
      <c r="H637" s="549">
        <f t="shared" ref="H637:I637" si="14616">SUM(H638:H639)</f>
        <v>0</v>
      </c>
      <c r="I637" s="675">
        <f t="shared" si="14616"/>
        <v>0</v>
      </c>
      <c r="J637" s="549">
        <f t="shared" ref="J637:K637" si="14617">SUM(J638:J639)</f>
        <v>0</v>
      </c>
      <c r="K637" s="675">
        <f t="shared" si="14617"/>
        <v>0</v>
      </c>
      <c r="L637" s="549">
        <f t="shared" ref="L637:M637" si="14618">SUM(L638:L639)</f>
        <v>0</v>
      </c>
      <c r="M637" s="675">
        <f t="shared" si="14618"/>
        <v>0</v>
      </c>
      <c r="N637" s="549">
        <f t="shared" ref="N637:O637" si="14619">SUM(N638:N639)</f>
        <v>0</v>
      </c>
      <c r="O637" s="675">
        <f t="shared" si="14619"/>
        <v>0</v>
      </c>
      <c r="P637" s="549">
        <f t="shared" ref="P637:Q637" si="14620">SUM(P638:P639)</f>
        <v>0</v>
      </c>
      <c r="Q637" s="675">
        <f t="shared" si="14620"/>
        <v>0</v>
      </c>
      <c r="R637" s="549">
        <f t="shared" ref="R637:S637" si="14621">SUM(R638:R639)</f>
        <v>0</v>
      </c>
      <c r="S637" s="675">
        <f t="shared" si="14621"/>
        <v>0</v>
      </c>
      <c r="T637" s="549">
        <f t="shared" ref="T637:AM637" si="14622">SUM(T638:T639)</f>
        <v>0</v>
      </c>
      <c r="U637" s="675">
        <f t="shared" si="14622"/>
        <v>0</v>
      </c>
      <c r="V637" s="549">
        <f t="shared" si="14622"/>
        <v>0</v>
      </c>
      <c r="W637" s="675">
        <f t="shared" si="14622"/>
        <v>0</v>
      </c>
      <c r="X637" s="549">
        <f t="shared" si="14622"/>
        <v>0</v>
      </c>
      <c r="Y637" s="675">
        <f t="shared" si="14622"/>
        <v>0</v>
      </c>
      <c r="Z637" s="549">
        <f t="shared" si="14622"/>
        <v>0</v>
      </c>
      <c r="AA637" s="675">
        <f t="shared" si="14622"/>
        <v>0</v>
      </c>
      <c r="AB637" s="549">
        <f t="shared" si="14622"/>
        <v>0</v>
      </c>
      <c r="AC637" s="675">
        <f t="shared" si="14622"/>
        <v>0</v>
      </c>
      <c r="AD637" s="549">
        <f t="shared" ref="AD637:AK637" si="14623">SUM(AD638:AD639)</f>
        <v>0</v>
      </c>
      <c r="AE637" s="675">
        <f t="shared" si="14623"/>
        <v>0</v>
      </c>
      <c r="AF637" s="549">
        <f t="shared" si="14623"/>
        <v>0</v>
      </c>
      <c r="AG637" s="675">
        <f t="shared" si="14623"/>
        <v>0</v>
      </c>
      <c r="AH637" s="549">
        <f t="shared" si="14623"/>
        <v>0</v>
      </c>
      <c r="AI637" s="675">
        <f t="shared" si="14623"/>
        <v>0</v>
      </c>
      <c r="AJ637" s="549">
        <f t="shared" si="14623"/>
        <v>0</v>
      </c>
      <c r="AK637" s="675">
        <f t="shared" si="14623"/>
        <v>0</v>
      </c>
      <c r="AL637" s="549">
        <f t="shared" si="14622"/>
        <v>0</v>
      </c>
      <c r="AM637" s="675">
        <f t="shared" si="14622"/>
        <v>0</v>
      </c>
      <c r="AN637" s="549">
        <f t="shared" ref="AN637:AS637" si="14624">SUM(AN638:AN639)</f>
        <v>0</v>
      </c>
      <c r="AO637" s="675">
        <f t="shared" si="14624"/>
        <v>-2150</v>
      </c>
      <c r="AP637" s="549">
        <f t="shared" si="14624"/>
        <v>0</v>
      </c>
      <c r="AQ637" s="675">
        <f t="shared" si="14624"/>
        <v>0</v>
      </c>
      <c r="AR637" s="549">
        <f t="shared" si="14624"/>
        <v>0</v>
      </c>
      <c r="AS637" s="675">
        <f t="shared" si="14624"/>
        <v>0</v>
      </c>
      <c r="AT637" s="549">
        <f t="shared" ref="AT637:AU637" si="14625">SUM(AT638:AT639)</f>
        <v>0</v>
      </c>
      <c r="AU637" s="675">
        <f t="shared" si="14625"/>
        <v>0</v>
      </c>
      <c r="AV637" s="549">
        <f t="shared" ref="AV637:AW637" si="14626">SUM(AV638:AV639)</f>
        <v>0</v>
      </c>
      <c r="AW637" s="675">
        <f t="shared" si="14626"/>
        <v>-3811</v>
      </c>
      <c r="AX637" s="549">
        <f t="shared" ref="AX637:AY637" si="14627">SUM(AX638:AX639)</f>
        <v>0</v>
      </c>
      <c r="AY637" s="675">
        <f t="shared" si="14627"/>
        <v>0</v>
      </c>
      <c r="AZ637" s="549">
        <f t="shared" ref="AZ637:BA637" si="14628">SUM(AZ638:AZ639)</f>
        <v>0</v>
      </c>
      <c r="BA637" s="675">
        <f t="shared" si="14628"/>
        <v>0</v>
      </c>
      <c r="BB637" s="549">
        <f t="shared" ref="BB637:BC637" si="14629">SUM(BB638:BB639)</f>
        <v>0</v>
      </c>
      <c r="BC637" s="675">
        <f t="shared" si="14629"/>
        <v>0</v>
      </c>
      <c r="BD637" s="549">
        <f t="shared" ref="BD637:BE637" si="14630">SUM(BD638:BD639)</f>
        <v>0</v>
      </c>
      <c r="BE637" s="675">
        <f t="shared" si="14630"/>
        <v>0</v>
      </c>
      <c r="BF637" s="549">
        <f t="shared" ref="BF637:BG637" si="14631">SUM(BF638:BF639)</f>
        <v>0</v>
      </c>
      <c r="BG637" s="675">
        <f t="shared" si="14631"/>
        <v>0</v>
      </c>
      <c r="BH637" s="549">
        <f t="shared" ref="BH637:BI637" si="14632">SUM(BH638:BH639)</f>
        <v>0</v>
      </c>
      <c r="BI637" s="675">
        <f t="shared" si="14632"/>
        <v>0</v>
      </c>
      <c r="BJ637" s="549">
        <f t="shared" ref="BJ637:BK637" si="14633">SUM(BJ638:BJ639)</f>
        <v>0</v>
      </c>
      <c r="BK637" s="675">
        <f t="shared" si="14633"/>
        <v>0</v>
      </c>
      <c r="BL637" s="549">
        <f t="shared" ref="BL637:BS637" si="14634">SUM(BL638:BL639)</f>
        <v>0</v>
      </c>
      <c r="BM637" s="675">
        <f t="shared" si="14634"/>
        <v>0</v>
      </c>
      <c r="BN637" s="549">
        <f t="shared" si="14634"/>
        <v>0</v>
      </c>
      <c r="BO637" s="675">
        <f t="shared" si="14634"/>
        <v>0</v>
      </c>
      <c r="BP637" s="549">
        <f t="shared" si="14634"/>
        <v>0</v>
      </c>
      <c r="BQ637" s="675">
        <f t="shared" si="14634"/>
        <v>0</v>
      </c>
      <c r="BR637" s="549">
        <f t="shared" si="14634"/>
        <v>0</v>
      </c>
      <c r="BS637" s="675">
        <f t="shared" si="14634"/>
        <v>0</v>
      </c>
      <c r="BT637" s="549">
        <f t="shared" ref="BT637:BU637" si="14635">SUM(BT638:BT639)</f>
        <v>0</v>
      </c>
      <c r="BU637" s="675">
        <f t="shared" si="14635"/>
        <v>0</v>
      </c>
      <c r="BV637" s="549">
        <f t="shared" ref="BV637:BW637" si="14636">SUM(BV638:BV639)</f>
        <v>0</v>
      </c>
      <c r="BW637" s="675">
        <f t="shared" si="14636"/>
        <v>0</v>
      </c>
      <c r="BX637" s="549">
        <f t="shared" ref="BX637:BY637" si="14637">SUM(BX638:BX639)</f>
        <v>0</v>
      </c>
      <c r="BY637" s="675">
        <f t="shared" si="14637"/>
        <v>0</v>
      </c>
      <c r="BZ637" s="549">
        <f t="shared" ref="BZ637:CA637" si="14638">SUM(BZ638:BZ639)</f>
        <v>0</v>
      </c>
      <c r="CA637" s="675">
        <f t="shared" si="14638"/>
        <v>0</v>
      </c>
      <c r="CB637" s="549">
        <f t="shared" ref="CB637:CE637" si="14639">SUM(CB638:CB639)</f>
        <v>0</v>
      </c>
      <c r="CC637" s="675">
        <f t="shared" si="14639"/>
        <v>0</v>
      </c>
      <c r="CD637" s="549">
        <f t="shared" si="14639"/>
        <v>0</v>
      </c>
      <c r="CE637" s="675">
        <f t="shared" si="14639"/>
        <v>0</v>
      </c>
      <c r="CF637" s="549">
        <f t="shared" ref="CF637:CQ637" si="14640">SUM(CF638:CF639)</f>
        <v>0</v>
      </c>
      <c r="CG637" s="675">
        <f t="shared" si="14640"/>
        <v>0</v>
      </c>
      <c r="CH637" s="549">
        <f t="shared" si="14640"/>
        <v>0</v>
      </c>
      <c r="CI637" s="675">
        <f t="shared" si="14640"/>
        <v>0</v>
      </c>
      <c r="CJ637" s="549">
        <f t="shared" si="14640"/>
        <v>0</v>
      </c>
      <c r="CK637" s="675">
        <f t="shared" si="14640"/>
        <v>0</v>
      </c>
      <c r="CL637" s="549">
        <f t="shared" si="14640"/>
        <v>0</v>
      </c>
      <c r="CM637" s="675">
        <f t="shared" si="14640"/>
        <v>0</v>
      </c>
      <c r="CN637" s="549">
        <f t="shared" si="14640"/>
        <v>0</v>
      </c>
      <c r="CO637" s="675">
        <f t="shared" si="14640"/>
        <v>0</v>
      </c>
      <c r="CP637" s="549">
        <f t="shared" si="14640"/>
        <v>0</v>
      </c>
      <c r="CQ637" s="675">
        <f t="shared" si="14640"/>
        <v>0</v>
      </c>
      <c r="CR637" s="549">
        <f t="shared" ref="CR637:CY637" si="14641">SUM(CR638:CR639)</f>
        <v>0</v>
      </c>
      <c r="CS637" s="675">
        <f t="shared" si="14641"/>
        <v>0</v>
      </c>
      <c r="CT637" s="549">
        <f t="shared" si="14641"/>
        <v>0</v>
      </c>
      <c r="CU637" s="675">
        <f t="shared" si="14641"/>
        <v>0</v>
      </c>
      <c r="CV637" s="549">
        <f t="shared" si="14641"/>
        <v>0</v>
      </c>
      <c r="CW637" s="675">
        <f t="shared" si="14641"/>
        <v>0</v>
      </c>
      <c r="CX637" s="549">
        <f t="shared" si="14641"/>
        <v>0</v>
      </c>
      <c r="CY637" s="675">
        <f t="shared" si="14641"/>
        <v>0</v>
      </c>
      <c r="CZ637" s="549">
        <f t="shared" ref="CZ637:GT637" si="14642">SUM(CZ638:CZ639)</f>
        <v>0</v>
      </c>
      <c r="DA637" s="675">
        <f t="shared" si="14642"/>
        <v>0</v>
      </c>
      <c r="DB637" s="549">
        <f t="shared" si="14642"/>
        <v>0</v>
      </c>
      <c r="DC637" s="675">
        <f t="shared" si="14642"/>
        <v>0</v>
      </c>
      <c r="DD637" s="549">
        <f t="shared" si="14642"/>
        <v>0</v>
      </c>
      <c r="DE637" s="675">
        <f t="shared" si="14642"/>
        <v>0</v>
      </c>
      <c r="DF637" s="549">
        <f t="shared" si="14642"/>
        <v>0</v>
      </c>
      <c r="DG637" s="675">
        <f t="shared" si="14642"/>
        <v>0</v>
      </c>
      <c r="DH637" s="549">
        <f t="shared" si="14642"/>
        <v>0</v>
      </c>
      <c r="DI637" s="675">
        <f t="shared" si="14642"/>
        <v>0</v>
      </c>
      <c r="DJ637" s="549">
        <f t="shared" si="14642"/>
        <v>0</v>
      </c>
      <c r="DK637" s="675">
        <f t="shared" si="14642"/>
        <v>0</v>
      </c>
      <c r="DL637" s="549">
        <f t="shared" si="14642"/>
        <v>0</v>
      </c>
      <c r="DM637" s="675">
        <f t="shared" si="14642"/>
        <v>0</v>
      </c>
      <c r="DN637" s="549">
        <f t="shared" si="14642"/>
        <v>0</v>
      </c>
      <c r="DO637" s="675">
        <f t="shared" si="14642"/>
        <v>0</v>
      </c>
      <c r="DP637" s="549">
        <f t="shared" si="14642"/>
        <v>0</v>
      </c>
      <c r="DQ637" s="675">
        <f t="shared" si="14642"/>
        <v>0</v>
      </c>
      <c r="DR637" s="549">
        <f t="shared" si="14642"/>
        <v>0</v>
      </c>
      <c r="DS637" s="675">
        <f t="shared" si="14642"/>
        <v>0</v>
      </c>
      <c r="DT637" s="549">
        <f t="shared" si="14642"/>
        <v>0</v>
      </c>
      <c r="DU637" s="675">
        <f t="shared" si="14642"/>
        <v>0</v>
      </c>
      <c r="DV637" s="549">
        <f t="shared" si="14642"/>
        <v>0</v>
      </c>
      <c r="DW637" s="675">
        <f t="shared" si="14642"/>
        <v>0</v>
      </c>
      <c r="DX637" s="549">
        <f t="shared" si="14642"/>
        <v>0</v>
      </c>
      <c r="DY637" s="675">
        <f t="shared" si="14642"/>
        <v>0</v>
      </c>
      <c r="DZ637" s="549">
        <f t="shared" ref="DZ637:FA637" si="14643">SUM(DZ638:DZ639)</f>
        <v>0</v>
      </c>
      <c r="EA637" s="675">
        <f t="shared" si="14643"/>
        <v>0</v>
      </c>
      <c r="EB637" s="549">
        <f t="shared" si="14643"/>
        <v>0</v>
      </c>
      <c r="EC637" s="675">
        <f t="shared" si="14643"/>
        <v>0</v>
      </c>
      <c r="ED637" s="549">
        <f t="shared" si="14643"/>
        <v>0</v>
      </c>
      <c r="EE637" s="675">
        <f t="shared" si="14643"/>
        <v>0</v>
      </c>
      <c r="EF637" s="549">
        <f t="shared" si="14643"/>
        <v>0</v>
      </c>
      <c r="EG637" s="675">
        <f t="shared" si="14643"/>
        <v>0</v>
      </c>
      <c r="EH637" s="549">
        <f t="shared" ref="EH637:EM637" si="14644">SUM(EH638:EH639)</f>
        <v>0</v>
      </c>
      <c r="EI637" s="675">
        <f t="shared" si="14644"/>
        <v>0</v>
      </c>
      <c r="EJ637" s="549">
        <f t="shared" si="14644"/>
        <v>0</v>
      </c>
      <c r="EK637" s="675">
        <f t="shared" si="14644"/>
        <v>0</v>
      </c>
      <c r="EL637" s="549">
        <f t="shared" si="14644"/>
        <v>0</v>
      </c>
      <c r="EM637" s="675">
        <f t="shared" si="14644"/>
        <v>0</v>
      </c>
      <c r="EN637" s="549">
        <f t="shared" si="14643"/>
        <v>0</v>
      </c>
      <c r="EO637" s="675">
        <f t="shared" si="14643"/>
        <v>0</v>
      </c>
      <c r="EP637" s="549">
        <f t="shared" si="14643"/>
        <v>0</v>
      </c>
      <c r="EQ637" s="675">
        <f t="shared" si="14643"/>
        <v>0</v>
      </c>
      <c r="ER637" s="549">
        <f t="shared" si="14643"/>
        <v>0</v>
      </c>
      <c r="ES637" s="675">
        <f t="shared" si="14643"/>
        <v>0</v>
      </c>
      <c r="ET637" s="549">
        <f t="shared" si="14643"/>
        <v>0</v>
      </c>
      <c r="EU637" s="675">
        <f t="shared" si="14643"/>
        <v>0</v>
      </c>
      <c r="EV637" s="549">
        <f t="shared" ref="EV637:EW637" si="14645">SUM(EV638:EV639)</f>
        <v>0</v>
      </c>
      <c r="EW637" s="675">
        <f t="shared" si="14645"/>
        <v>0</v>
      </c>
      <c r="EX637" s="549">
        <f t="shared" si="14643"/>
        <v>0</v>
      </c>
      <c r="EY637" s="675">
        <f t="shared" si="14643"/>
        <v>0</v>
      </c>
      <c r="EZ637" s="549">
        <f t="shared" si="14643"/>
        <v>0</v>
      </c>
      <c r="FA637" s="675">
        <f t="shared" si="14643"/>
        <v>0</v>
      </c>
      <c r="FB637" s="549">
        <f t="shared" si="14642"/>
        <v>0</v>
      </c>
      <c r="FC637" s="675">
        <f t="shared" si="14642"/>
        <v>0</v>
      </c>
      <c r="FD637" s="549">
        <f t="shared" si="14642"/>
        <v>0</v>
      </c>
      <c r="FE637" s="675">
        <f t="shared" si="14642"/>
        <v>0</v>
      </c>
      <c r="FF637" s="549">
        <f t="shared" ref="FF637:FG637" si="14646">SUM(FF638:FF639)</f>
        <v>0</v>
      </c>
      <c r="FG637" s="675">
        <f t="shared" si="14646"/>
        <v>0</v>
      </c>
      <c r="FH637" s="549">
        <f t="shared" ref="FH637:FI637" si="14647">SUM(FH638:FH639)</f>
        <v>0</v>
      </c>
      <c r="FI637" s="675">
        <f t="shared" si="14647"/>
        <v>0</v>
      </c>
      <c r="FJ637" s="549">
        <f t="shared" ref="FJ637:FK637" si="14648">SUM(FJ638:FJ639)</f>
        <v>0</v>
      </c>
      <c r="FK637" s="675">
        <f t="shared" si="14648"/>
        <v>0</v>
      </c>
      <c r="FL637" s="549">
        <f t="shared" ref="FL637:FM637" si="14649">SUM(FL638:FL639)</f>
        <v>0</v>
      </c>
      <c r="FM637" s="675">
        <f t="shared" si="14649"/>
        <v>0</v>
      </c>
      <c r="FN637" s="549">
        <f t="shared" ref="FN637:FO637" si="14650">SUM(FN638:FN639)</f>
        <v>0</v>
      </c>
      <c r="FO637" s="675">
        <f t="shared" si="14650"/>
        <v>0</v>
      </c>
      <c r="FP637" s="549">
        <f t="shared" ref="FP637:FQ637" si="14651">SUM(FP638:FP639)</f>
        <v>0</v>
      </c>
      <c r="FQ637" s="675">
        <f t="shared" si="14651"/>
        <v>0</v>
      </c>
      <c r="FR637" s="549">
        <f t="shared" ref="FR637:FS637" si="14652">SUM(FR638:FR639)</f>
        <v>0</v>
      </c>
      <c r="FS637" s="675">
        <f t="shared" si="14652"/>
        <v>0</v>
      </c>
      <c r="FT637" s="549">
        <f t="shared" ref="FT637:FU637" si="14653">SUM(FT638:FT639)</f>
        <v>0</v>
      </c>
      <c r="FU637" s="675">
        <f t="shared" si="14653"/>
        <v>0</v>
      </c>
      <c r="FV637" s="549">
        <f t="shared" ref="FV637:GK637" si="14654">SUM(FV638:FV639)</f>
        <v>0</v>
      </c>
      <c r="FW637" s="675">
        <f t="shared" si="14654"/>
        <v>0</v>
      </c>
      <c r="FX637" s="549">
        <f t="shared" si="14654"/>
        <v>0</v>
      </c>
      <c r="FY637" s="675">
        <f t="shared" si="14654"/>
        <v>0</v>
      </c>
      <c r="FZ637" s="549">
        <f t="shared" ref="FZ637:GI637" si="14655">SUM(FZ638:FZ639)</f>
        <v>0</v>
      </c>
      <c r="GA637" s="675">
        <f t="shared" si="14655"/>
        <v>0</v>
      </c>
      <c r="GB637" s="549">
        <f t="shared" si="14655"/>
        <v>0</v>
      </c>
      <c r="GC637" s="675">
        <f t="shared" si="14655"/>
        <v>0</v>
      </c>
      <c r="GD637" s="549">
        <f t="shared" si="14655"/>
        <v>0</v>
      </c>
      <c r="GE637" s="675">
        <f t="shared" si="14655"/>
        <v>0</v>
      </c>
      <c r="GF637" s="549">
        <f t="shared" si="14655"/>
        <v>0</v>
      </c>
      <c r="GG637" s="675">
        <f t="shared" si="14655"/>
        <v>0</v>
      </c>
      <c r="GH637" s="549">
        <f t="shared" si="14655"/>
        <v>0</v>
      </c>
      <c r="GI637" s="675">
        <f t="shared" si="14655"/>
        <v>0</v>
      </c>
      <c r="GJ637" s="549">
        <f t="shared" si="14654"/>
        <v>0</v>
      </c>
      <c r="GK637" s="675">
        <f t="shared" si="14654"/>
        <v>0</v>
      </c>
      <c r="GL637" s="549">
        <f t="shared" ref="GL637:GM637" si="14656">SUM(GL638:GL639)</f>
        <v>0</v>
      </c>
      <c r="GM637" s="675">
        <f t="shared" si="14656"/>
        <v>0</v>
      </c>
      <c r="GN637" s="549">
        <f t="shared" ref="GN637:GO637" si="14657">SUM(GN638:GN639)</f>
        <v>0</v>
      </c>
      <c r="GO637" s="675">
        <f t="shared" si="14657"/>
        <v>0</v>
      </c>
      <c r="GP637" s="549">
        <f t="shared" si="14642"/>
        <v>0</v>
      </c>
      <c r="GQ637" s="675">
        <f>SUM(GQ638:GQ639)</f>
        <v>-5961</v>
      </c>
      <c r="GR637" s="74">
        <f t="shared" si="14642"/>
        <v>55939</v>
      </c>
      <c r="GS637" s="74">
        <f>SUM(GS638:GS639)</f>
        <v>50312</v>
      </c>
      <c r="GT637" s="549">
        <f t="shared" si="14642"/>
        <v>55939</v>
      </c>
      <c r="GU637" s="74">
        <f t="shared" ref="GU637:HF637" si="14658">SUM(GU638:GU639)</f>
        <v>5630</v>
      </c>
      <c r="GV637" s="74">
        <f t="shared" si="14658"/>
        <v>5627</v>
      </c>
      <c r="GW637" s="549">
        <f t="shared" si="14658"/>
        <v>5627</v>
      </c>
      <c r="GX637" s="549">
        <f t="shared" si="14658"/>
        <v>5627</v>
      </c>
      <c r="GY637" s="74">
        <f t="shared" si="14658"/>
        <v>5627</v>
      </c>
      <c r="GZ637" s="74">
        <f t="shared" si="14658"/>
        <v>5627</v>
      </c>
      <c r="HA637" s="74">
        <f t="shared" si="14658"/>
        <v>5627</v>
      </c>
      <c r="HB637" s="74">
        <f t="shared" si="14658"/>
        <v>5627</v>
      </c>
      <c r="HC637" s="74">
        <f t="shared" si="14658"/>
        <v>5627</v>
      </c>
      <c r="HD637" s="74">
        <f t="shared" si="14658"/>
        <v>5627</v>
      </c>
      <c r="HE637" s="74">
        <f t="shared" si="14658"/>
        <v>5627</v>
      </c>
      <c r="HF637" s="74">
        <f t="shared" si="14658"/>
        <v>0</v>
      </c>
      <c r="HG637" s="74">
        <f>SUM(HG638:HG639)</f>
        <v>50312</v>
      </c>
      <c r="HH637" s="74">
        <f t="shared" ref="HH637:HI637" si="14659">SUM(HH638:HH639)</f>
        <v>0</v>
      </c>
      <c r="HI637" s="792">
        <f t="shared" si="14659"/>
        <v>0</v>
      </c>
      <c r="HJ637" s="74">
        <f t="shared" ref="HJ637:HK637" si="14660">SUM(HJ638:HJ639)</f>
        <v>0</v>
      </c>
      <c r="HK637" s="792">
        <f t="shared" si="14660"/>
        <v>11257</v>
      </c>
      <c r="HL637" s="74">
        <f t="shared" ref="HL637:HM637" si="14661">SUM(HL638:HL639)</f>
        <v>0</v>
      </c>
      <c r="HM637" s="792">
        <f t="shared" si="14661"/>
        <v>5627</v>
      </c>
      <c r="HN637" s="74">
        <f t="shared" ref="HN637:HO637" si="14662">SUM(HN638:HN639)</f>
        <v>0</v>
      </c>
      <c r="HO637" s="792">
        <f t="shared" si="14662"/>
        <v>5627</v>
      </c>
      <c r="HP637" s="74">
        <f t="shared" ref="HP637:HQ637" si="14663">SUM(HP638:HP639)</f>
        <v>0</v>
      </c>
      <c r="HQ637" s="792">
        <f t="shared" si="14663"/>
        <v>5627</v>
      </c>
      <c r="HR637" s="74">
        <f t="shared" ref="HR637:HS637" si="14664">SUM(HR638:HR639)</f>
        <v>0</v>
      </c>
      <c r="HS637" s="792">
        <f t="shared" si="14664"/>
        <v>5627</v>
      </c>
      <c r="HT637" s="74">
        <f t="shared" ref="HT637:HU637" si="14665">SUM(HT638:HT639)</f>
        <v>0</v>
      </c>
      <c r="HU637" s="792">
        <f t="shared" si="14665"/>
        <v>5627</v>
      </c>
      <c r="HV637" s="74">
        <f t="shared" ref="HV637:HW637" si="14666">SUM(HV638:HV639)</f>
        <v>0</v>
      </c>
      <c r="HW637" s="792">
        <f t="shared" si="14666"/>
        <v>29927</v>
      </c>
      <c r="HX637" s="74">
        <f t="shared" ref="HX637:HY637" si="14667">SUM(HX638:HX639)</f>
        <v>0</v>
      </c>
      <c r="HY637" s="792">
        <f t="shared" si="14667"/>
        <v>-18673</v>
      </c>
      <c r="HZ637" s="74">
        <f t="shared" ref="HZ637:IA637" si="14668">SUM(HZ638:HZ639)</f>
        <v>0</v>
      </c>
      <c r="IA637" s="792">
        <f t="shared" si="14668"/>
        <v>5627</v>
      </c>
      <c r="IB637" s="74">
        <f t="shared" ref="IB637:IC637" si="14669">SUM(IB638:IB639)</f>
        <v>0</v>
      </c>
      <c r="IC637" s="792">
        <f t="shared" si="14669"/>
        <v>0</v>
      </c>
      <c r="ID637" s="74">
        <f t="shared" ref="ID637:IF637" si="14670">SUM(ID638:ID639)</f>
        <v>0</v>
      </c>
      <c r="IE637" s="792">
        <f t="shared" si="14670"/>
        <v>0</v>
      </c>
      <c r="IF637" s="841">
        <f t="shared" si="14670"/>
        <v>41046.129999999997</v>
      </c>
      <c r="IG637" s="263">
        <f t="shared" ref="IG637:JT637" si="14671">SUM(IG638:IG639)</f>
        <v>41046.129999999997</v>
      </c>
      <c r="IH637" s="842">
        <f t="shared" si="14671"/>
        <v>41046.129999999997</v>
      </c>
      <c r="II637" s="74">
        <f t="shared" ref="II637:IK637" si="14672">SUM(II638:II639)</f>
        <v>3827</v>
      </c>
      <c r="IJ637" s="74">
        <f t="shared" si="14672"/>
        <v>3827</v>
      </c>
      <c r="IK637" s="74">
        <f t="shared" si="14672"/>
        <v>3827</v>
      </c>
      <c r="IL637" s="74">
        <f t="shared" ref="IL637:IN637" si="14673">SUM(IL638:IL639)</f>
        <v>4339</v>
      </c>
      <c r="IM637" s="74">
        <f t="shared" si="14673"/>
        <v>4339</v>
      </c>
      <c r="IN637" s="74">
        <f t="shared" si="14673"/>
        <v>4339</v>
      </c>
      <c r="IO637" s="74">
        <f t="shared" ref="IO637:IQ637" si="14674">SUM(IO638:IO639)</f>
        <v>2041.5</v>
      </c>
      <c r="IP637" s="74">
        <f t="shared" si="14674"/>
        <v>2041.5</v>
      </c>
      <c r="IQ637" s="74">
        <f t="shared" si="14674"/>
        <v>2041.5</v>
      </c>
      <c r="IR637" s="74">
        <f t="shared" ref="IR637:IT637" si="14675">SUM(IR638:IR639)</f>
        <v>4463.5</v>
      </c>
      <c r="IS637" s="74">
        <f t="shared" si="14675"/>
        <v>4463.5</v>
      </c>
      <c r="IT637" s="74">
        <f t="shared" si="14675"/>
        <v>4463.5</v>
      </c>
      <c r="IU637" s="74">
        <f t="shared" ref="IU637:IW637" si="14676">SUM(IU638:IU639)</f>
        <v>5744</v>
      </c>
      <c r="IV637" s="74">
        <f t="shared" si="14676"/>
        <v>5744</v>
      </c>
      <c r="IW637" s="74">
        <f t="shared" si="14676"/>
        <v>5744</v>
      </c>
      <c r="IX637" s="74">
        <f t="shared" ref="IX637:IZ637" si="14677">SUM(IX638:IX639)</f>
        <v>6119.5</v>
      </c>
      <c r="IY637" s="74">
        <f t="shared" si="14677"/>
        <v>6119.5</v>
      </c>
      <c r="IZ637" s="74">
        <f t="shared" si="14677"/>
        <v>6119.5</v>
      </c>
      <c r="JA637" s="74">
        <f t="shared" ref="JA637:JC637" si="14678">SUM(JA638:JA639)</f>
        <v>3702.5</v>
      </c>
      <c r="JB637" s="74">
        <f t="shared" si="14678"/>
        <v>3702.5</v>
      </c>
      <c r="JC637" s="74">
        <f t="shared" si="14678"/>
        <v>3702.5</v>
      </c>
      <c r="JD637" s="74">
        <f t="shared" ref="JD637:JF637" si="14679">SUM(JD638:JD639)</f>
        <v>4083</v>
      </c>
      <c r="JE637" s="74">
        <f t="shared" si="14679"/>
        <v>4083</v>
      </c>
      <c r="JF637" s="74">
        <f t="shared" si="14679"/>
        <v>4083</v>
      </c>
      <c r="JG637" s="74">
        <f t="shared" ref="JG637:JI637" si="14680">SUM(JG638:JG639)</f>
        <v>3348.130000000001</v>
      </c>
      <c r="JH637" s="74">
        <f t="shared" si="14680"/>
        <v>3348.130000000001</v>
      </c>
      <c r="JI637" s="74">
        <f t="shared" si="14680"/>
        <v>3348.130000000001</v>
      </c>
      <c r="JJ637" s="74">
        <f t="shared" ref="JJ637:JL637" si="14681">SUM(JJ638:JJ639)</f>
        <v>3377.9999999999964</v>
      </c>
      <c r="JK637" s="74">
        <f t="shared" si="14681"/>
        <v>3377.9999999999964</v>
      </c>
      <c r="JL637" s="74">
        <f t="shared" si="14681"/>
        <v>3377.9999999999964</v>
      </c>
      <c r="JM637" s="74">
        <f t="shared" ref="JM637:JO637" si="14682">SUM(JM638:JM639)</f>
        <v>0</v>
      </c>
      <c r="JN637" s="74">
        <f t="shared" si="14682"/>
        <v>0</v>
      </c>
      <c r="JO637" s="74">
        <f t="shared" si="14682"/>
        <v>0</v>
      </c>
      <c r="JP637" s="74">
        <f t="shared" si="14671"/>
        <v>0</v>
      </c>
      <c r="JQ637" s="74">
        <f t="shared" si="14671"/>
        <v>0</v>
      </c>
      <c r="JR637" s="74">
        <f t="shared" si="14671"/>
        <v>0</v>
      </c>
      <c r="JS637" s="74">
        <f t="shared" si="14671"/>
        <v>9265.8700000000026</v>
      </c>
      <c r="JT637" s="382">
        <f t="shared" si="14671"/>
        <v>9265.8700000000026</v>
      </c>
      <c r="JU637" s="665"/>
      <c r="JV637" s="524"/>
      <c r="JW637" s="525"/>
      <c r="JX637" s="549">
        <f>SUM(JX638:JX639)</f>
        <v>0</v>
      </c>
      <c r="JY637" s="549">
        <f>SUM(JY638:JY639)</f>
        <v>56273</v>
      </c>
      <c r="JZ637" s="581">
        <f t="shared" si="13477"/>
        <v>0</v>
      </c>
      <c r="KA637" s="581">
        <f t="shared" si="13478"/>
        <v>-5961</v>
      </c>
      <c r="KB637" s="549">
        <f t="shared" si="14516"/>
        <v>50312</v>
      </c>
      <c r="KC637" s="709">
        <f t="shared" si="13396"/>
        <v>0</v>
      </c>
      <c r="KD637" s="36"/>
      <c r="KE637" s="36"/>
      <c r="KF637" s="36"/>
      <c r="KG637" s="36"/>
      <c r="KH637" s="36"/>
      <c r="KI637" s="36"/>
      <c r="KJ637" s="36"/>
      <c r="KK637" s="36"/>
    </row>
    <row r="638" spans="1:297" s="33" customFormat="1">
      <c r="A638" s="86" t="s">
        <v>336</v>
      </c>
      <c r="B638" s="77" t="s">
        <v>60</v>
      </c>
      <c r="C638" s="74">
        <v>43100</v>
      </c>
      <c r="D638" s="549">
        <v>0</v>
      </c>
      <c r="E638" s="675">
        <v>0</v>
      </c>
      <c r="F638" s="549">
        <v>0</v>
      </c>
      <c r="G638" s="675">
        <v>0</v>
      </c>
      <c r="H638" s="549">
        <v>0</v>
      </c>
      <c r="I638" s="675">
        <v>0</v>
      </c>
      <c r="J638" s="549">
        <v>0</v>
      </c>
      <c r="K638" s="675">
        <v>0</v>
      </c>
      <c r="L638" s="549">
        <v>0</v>
      </c>
      <c r="M638" s="675">
        <v>0</v>
      </c>
      <c r="N638" s="549">
        <v>0</v>
      </c>
      <c r="O638" s="675">
        <v>0</v>
      </c>
      <c r="P638" s="549">
        <v>0</v>
      </c>
      <c r="Q638" s="675">
        <v>0</v>
      </c>
      <c r="R638" s="549">
        <v>0</v>
      </c>
      <c r="S638" s="675">
        <v>0</v>
      </c>
      <c r="T638" s="549">
        <v>0</v>
      </c>
      <c r="U638" s="675">
        <v>0</v>
      </c>
      <c r="V638" s="549">
        <v>0</v>
      </c>
      <c r="W638" s="675">
        <v>0</v>
      </c>
      <c r="X638" s="549">
        <v>0</v>
      </c>
      <c r="Y638" s="675">
        <v>0</v>
      </c>
      <c r="Z638" s="549">
        <v>0</v>
      </c>
      <c r="AA638" s="675">
        <v>0</v>
      </c>
      <c r="AB638" s="549">
        <v>0</v>
      </c>
      <c r="AC638" s="675">
        <v>0</v>
      </c>
      <c r="AD638" s="549">
        <v>0</v>
      </c>
      <c r="AE638" s="675">
        <v>0</v>
      </c>
      <c r="AF638" s="549">
        <v>0</v>
      </c>
      <c r="AG638" s="675">
        <v>0</v>
      </c>
      <c r="AH638" s="549">
        <v>0</v>
      </c>
      <c r="AI638" s="675">
        <v>0</v>
      </c>
      <c r="AJ638" s="549">
        <v>0</v>
      </c>
      <c r="AK638" s="675">
        <v>0</v>
      </c>
      <c r="AL638" s="549">
        <v>0</v>
      </c>
      <c r="AM638" s="675">
        <v>0</v>
      </c>
      <c r="AN638" s="549">
        <v>0</v>
      </c>
      <c r="AO638" s="675">
        <v>-539</v>
      </c>
      <c r="AP638" s="549">
        <v>0</v>
      </c>
      <c r="AQ638" s="675">
        <v>0</v>
      </c>
      <c r="AR638" s="549">
        <v>0</v>
      </c>
      <c r="AS638" s="675">
        <v>0</v>
      </c>
      <c r="AT638" s="549">
        <v>0</v>
      </c>
      <c r="AU638" s="675">
        <v>0</v>
      </c>
      <c r="AV638" s="549">
        <v>0</v>
      </c>
      <c r="AW638" s="675">
        <v>-2200</v>
      </c>
      <c r="AX638" s="549">
        <v>0</v>
      </c>
      <c r="AY638" s="675">
        <v>0</v>
      </c>
      <c r="AZ638" s="549">
        <v>0</v>
      </c>
      <c r="BA638" s="675">
        <v>0</v>
      </c>
      <c r="BB638" s="549">
        <v>0</v>
      </c>
      <c r="BC638" s="675">
        <v>0</v>
      </c>
      <c r="BD638" s="549">
        <v>0</v>
      </c>
      <c r="BE638" s="675">
        <v>0</v>
      </c>
      <c r="BF638" s="549">
        <v>0</v>
      </c>
      <c r="BG638" s="675">
        <v>0</v>
      </c>
      <c r="BH638" s="549">
        <v>0</v>
      </c>
      <c r="BI638" s="675">
        <v>0</v>
      </c>
      <c r="BJ638" s="549">
        <v>0</v>
      </c>
      <c r="BK638" s="675">
        <v>0</v>
      </c>
      <c r="BL638" s="549">
        <v>0</v>
      </c>
      <c r="BM638" s="675">
        <v>0</v>
      </c>
      <c r="BN638" s="549">
        <v>0</v>
      </c>
      <c r="BO638" s="675">
        <v>0</v>
      </c>
      <c r="BP638" s="549">
        <v>0</v>
      </c>
      <c r="BQ638" s="675">
        <v>0</v>
      </c>
      <c r="BR638" s="549">
        <v>0</v>
      </c>
      <c r="BS638" s="675">
        <v>0</v>
      </c>
      <c r="BT638" s="549">
        <v>0</v>
      </c>
      <c r="BU638" s="675">
        <v>0</v>
      </c>
      <c r="BV638" s="549">
        <v>0</v>
      </c>
      <c r="BW638" s="675">
        <v>0</v>
      </c>
      <c r="BX638" s="549">
        <v>0</v>
      </c>
      <c r="BY638" s="675">
        <v>0</v>
      </c>
      <c r="BZ638" s="549">
        <v>0</v>
      </c>
      <c r="CA638" s="675">
        <v>0</v>
      </c>
      <c r="CB638" s="549">
        <v>0</v>
      </c>
      <c r="CC638" s="675">
        <v>0</v>
      </c>
      <c r="CD638" s="549">
        <v>0</v>
      </c>
      <c r="CE638" s="675">
        <v>0</v>
      </c>
      <c r="CF638" s="549">
        <v>0</v>
      </c>
      <c r="CG638" s="675">
        <v>0</v>
      </c>
      <c r="CH638" s="549">
        <v>0</v>
      </c>
      <c r="CI638" s="675">
        <v>0</v>
      </c>
      <c r="CJ638" s="549">
        <v>0</v>
      </c>
      <c r="CK638" s="675">
        <v>0</v>
      </c>
      <c r="CL638" s="549">
        <v>0</v>
      </c>
      <c r="CM638" s="675">
        <v>0</v>
      </c>
      <c r="CN638" s="549">
        <v>0</v>
      </c>
      <c r="CO638" s="675">
        <v>0</v>
      </c>
      <c r="CP638" s="549">
        <v>0</v>
      </c>
      <c r="CQ638" s="675">
        <v>0</v>
      </c>
      <c r="CR638" s="549">
        <v>0</v>
      </c>
      <c r="CS638" s="675">
        <v>0</v>
      </c>
      <c r="CT638" s="549">
        <v>0</v>
      </c>
      <c r="CU638" s="675">
        <v>0</v>
      </c>
      <c r="CV638" s="549">
        <v>0</v>
      </c>
      <c r="CW638" s="675">
        <v>0</v>
      </c>
      <c r="CX638" s="549">
        <v>0</v>
      </c>
      <c r="CY638" s="675">
        <v>0</v>
      </c>
      <c r="CZ638" s="549">
        <v>0</v>
      </c>
      <c r="DA638" s="675">
        <v>0</v>
      </c>
      <c r="DB638" s="549">
        <v>0</v>
      </c>
      <c r="DC638" s="675">
        <v>0</v>
      </c>
      <c r="DD638" s="549">
        <v>0</v>
      </c>
      <c r="DE638" s="675">
        <v>0</v>
      </c>
      <c r="DF638" s="549">
        <v>0</v>
      </c>
      <c r="DG638" s="675">
        <v>0</v>
      </c>
      <c r="DH638" s="549">
        <v>0</v>
      </c>
      <c r="DI638" s="675">
        <v>0</v>
      </c>
      <c r="DJ638" s="549">
        <v>0</v>
      </c>
      <c r="DK638" s="675">
        <v>0</v>
      </c>
      <c r="DL638" s="549">
        <v>0</v>
      </c>
      <c r="DM638" s="675">
        <v>0</v>
      </c>
      <c r="DN638" s="549">
        <v>0</v>
      </c>
      <c r="DO638" s="675">
        <v>0</v>
      </c>
      <c r="DP638" s="549">
        <v>0</v>
      </c>
      <c r="DQ638" s="675">
        <v>0</v>
      </c>
      <c r="DR638" s="549">
        <v>0</v>
      </c>
      <c r="DS638" s="675">
        <v>0</v>
      </c>
      <c r="DT638" s="549">
        <v>0</v>
      </c>
      <c r="DU638" s="675">
        <v>0</v>
      </c>
      <c r="DV638" s="549">
        <v>0</v>
      </c>
      <c r="DW638" s="675">
        <v>0</v>
      </c>
      <c r="DX638" s="549">
        <v>0</v>
      </c>
      <c r="DY638" s="675">
        <v>0</v>
      </c>
      <c r="DZ638" s="549">
        <v>0</v>
      </c>
      <c r="EA638" s="675">
        <v>0</v>
      </c>
      <c r="EB638" s="549">
        <v>0</v>
      </c>
      <c r="EC638" s="675">
        <v>0</v>
      </c>
      <c r="ED638" s="549">
        <v>0</v>
      </c>
      <c r="EE638" s="675">
        <v>0</v>
      </c>
      <c r="EF638" s="549">
        <v>0</v>
      </c>
      <c r="EG638" s="675">
        <v>0</v>
      </c>
      <c r="EH638" s="549">
        <v>0</v>
      </c>
      <c r="EI638" s="675">
        <v>0</v>
      </c>
      <c r="EJ638" s="549">
        <v>0</v>
      </c>
      <c r="EK638" s="675">
        <v>0</v>
      </c>
      <c r="EL638" s="549">
        <v>0</v>
      </c>
      <c r="EM638" s="675">
        <v>0</v>
      </c>
      <c r="EN638" s="549">
        <v>0</v>
      </c>
      <c r="EO638" s="675">
        <v>0</v>
      </c>
      <c r="EP638" s="549">
        <v>0</v>
      </c>
      <c r="EQ638" s="675">
        <v>0</v>
      </c>
      <c r="ER638" s="549">
        <v>0</v>
      </c>
      <c r="ES638" s="675">
        <v>0</v>
      </c>
      <c r="ET638" s="549">
        <v>0</v>
      </c>
      <c r="EU638" s="675">
        <v>0</v>
      </c>
      <c r="EV638" s="549">
        <v>0</v>
      </c>
      <c r="EW638" s="675">
        <v>0</v>
      </c>
      <c r="EX638" s="549">
        <v>0</v>
      </c>
      <c r="EY638" s="675">
        <v>0</v>
      </c>
      <c r="EZ638" s="549">
        <v>0</v>
      </c>
      <c r="FA638" s="675">
        <v>0</v>
      </c>
      <c r="FB638" s="549">
        <v>0</v>
      </c>
      <c r="FC638" s="675">
        <v>0</v>
      </c>
      <c r="FD638" s="549">
        <v>0</v>
      </c>
      <c r="FE638" s="675">
        <v>0</v>
      </c>
      <c r="FF638" s="549">
        <v>0</v>
      </c>
      <c r="FG638" s="675">
        <v>0</v>
      </c>
      <c r="FH638" s="549">
        <v>0</v>
      </c>
      <c r="FI638" s="675">
        <v>0</v>
      </c>
      <c r="FJ638" s="549">
        <v>0</v>
      </c>
      <c r="FK638" s="675">
        <v>0</v>
      </c>
      <c r="FL638" s="549">
        <v>0</v>
      </c>
      <c r="FM638" s="675">
        <v>0</v>
      </c>
      <c r="FN638" s="549">
        <v>0</v>
      </c>
      <c r="FO638" s="675">
        <v>0</v>
      </c>
      <c r="FP638" s="549">
        <v>0</v>
      </c>
      <c r="FQ638" s="675">
        <v>0</v>
      </c>
      <c r="FR638" s="549">
        <v>0</v>
      </c>
      <c r="FS638" s="675">
        <v>0</v>
      </c>
      <c r="FT638" s="549">
        <v>0</v>
      </c>
      <c r="FU638" s="675">
        <v>0</v>
      </c>
      <c r="FV638" s="549">
        <v>0</v>
      </c>
      <c r="FW638" s="675">
        <v>0</v>
      </c>
      <c r="FX638" s="549">
        <v>0</v>
      </c>
      <c r="FY638" s="675">
        <v>0</v>
      </c>
      <c r="FZ638" s="549">
        <v>0</v>
      </c>
      <c r="GA638" s="675">
        <v>0</v>
      </c>
      <c r="GB638" s="549">
        <v>0</v>
      </c>
      <c r="GC638" s="675">
        <v>0</v>
      </c>
      <c r="GD638" s="549">
        <v>0</v>
      </c>
      <c r="GE638" s="675">
        <v>0</v>
      </c>
      <c r="GF638" s="549">
        <v>0</v>
      </c>
      <c r="GG638" s="675">
        <v>0</v>
      </c>
      <c r="GH638" s="549">
        <v>0</v>
      </c>
      <c r="GI638" s="675">
        <v>0</v>
      </c>
      <c r="GJ638" s="549">
        <v>0</v>
      </c>
      <c r="GK638" s="675">
        <v>0</v>
      </c>
      <c r="GL638" s="549">
        <v>0</v>
      </c>
      <c r="GM638" s="675">
        <v>0</v>
      </c>
      <c r="GN638" s="549">
        <v>0</v>
      </c>
      <c r="GO638" s="675">
        <v>0</v>
      </c>
      <c r="GP638" s="549">
        <f t="shared" ref="GP638:GP639" si="14683">+D638+F638+H638+J638+L638+N638+P638+R638+T638+V638+X638+Z638+AB638+AF638+AD638+AH638+AJ638+AL638+AN638+AP638+AR638+AT638+AV638+AX638+AZ638+BB638+BD638+BF638+BH638+BJ638+BL638+BN638+BP638+BR638+BT638+BV638+BX638+BZ638+CB638+CD638+CF638+CH638+CJ638+CL638+CN638+CP638+CR638+CT638+CV638+CX638+CZ638+DB638+DD638+DF638+DH638+DT638+EX638+DJ638+DL638+DN638+DP638+DR638+EJ638+EB638+DZ638+DX638+DV638+ED638+EF638+EH638+EL638+EN638+EP638+EV638+ET638+ER638+EZ638+FB638+FD638+GL638+FF638+FJ638+FL638+GJ638+FT638+FR638+FP638+FN638+FH638+GH638+GF638+GD638+GB638+FZ638+FX638+FV638+GN638</f>
        <v>0</v>
      </c>
      <c r="GQ638" s="675">
        <f t="shared" ref="GQ638:GQ639" si="14684">+E638+G638+I638+K638+M638+O638+Q638+S638+U638+W638+Y638+AA638+AC638+AE638+AG638+AI638+AK638+AM638+AO638+AQ638+AS638+AU638+AW638+AY638+BA638+BC638+BE638+BG638+BI638+BK638+BM638+BO638+BQ638+BS638+BU638+BW638+BY638+CA638+CC638+CE638+CG638+CI638+CK638+CM638+CO638+CQ638+CS638+CU638+CW638+CY638+DA638+DC638+DE638+DG638+DI638+DU638+EY638+DK638+DM638+DO638+DQ638+DS638+EK638+EC638+EA638+DY638+DW638+EI638+EG638+EE638+EM638+EO638+EQ638+EW638+EU638+ES638+FA638+FC638+FE638+GM638+FG638+FK638+FM638+FO638+FQ638+FS638+FU638+GK638+FI638+GI638+GG638+GE638+GC638+GA638+FY638+FW638+GO638</f>
        <v>-2739</v>
      </c>
      <c r="GR638" s="74">
        <f>C638+GP638+GQ638</f>
        <v>40361</v>
      </c>
      <c r="GS638" s="74">
        <f t="shared" ref="GS638:GS639" si="14685">SUM(GU638:HD638)+GP638+GQ638</f>
        <v>36443</v>
      </c>
      <c r="GT638" s="568">
        <f>SUM(GU638:HF638)+GQ638+GP638</f>
        <v>40361</v>
      </c>
      <c r="GU638" s="275">
        <v>3920</v>
      </c>
      <c r="GV638" s="275">
        <v>3918</v>
      </c>
      <c r="GW638" s="275">
        <v>3918</v>
      </c>
      <c r="GX638" s="275">
        <v>3918</v>
      </c>
      <c r="GY638" s="275">
        <v>3918</v>
      </c>
      <c r="GZ638" s="275">
        <v>3918</v>
      </c>
      <c r="HA638" s="275">
        <v>3918</v>
      </c>
      <c r="HB638" s="275">
        <v>3918</v>
      </c>
      <c r="HC638" s="275">
        <v>3918</v>
      </c>
      <c r="HD638" s="275">
        <v>3918</v>
      </c>
      <c r="HE638" s="275">
        <v>3918</v>
      </c>
      <c r="HF638" s="275">
        <v>0</v>
      </c>
      <c r="HG638" s="74">
        <f>SUM(HH638:IE638)+GP638+GQ638</f>
        <v>36443</v>
      </c>
      <c r="HH638" s="89">
        <v>0</v>
      </c>
      <c r="HI638" s="817">
        <v>0</v>
      </c>
      <c r="HJ638" s="89">
        <v>0</v>
      </c>
      <c r="HK638" s="817">
        <f>6644+1194</f>
        <v>7838</v>
      </c>
      <c r="HL638" s="89">
        <v>0</v>
      </c>
      <c r="HM638" s="817">
        <f>467+3451</f>
        <v>3918</v>
      </c>
      <c r="HN638" s="89">
        <v>0</v>
      </c>
      <c r="HO638" s="817">
        <f>3508+410</f>
        <v>3918</v>
      </c>
      <c r="HP638" s="89">
        <v>0</v>
      </c>
      <c r="HQ638" s="817">
        <f>3675+243</f>
        <v>3918</v>
      </c>
      <c r="HR638" s="89">
        <v>0</v>
      </c>
      <c r="HS638" s="817">
        <f>3079+839</f>
        <v>3918</v>
      </c>
      <c r="HT638" s="89">
        <v>0</v>
      </c>
      <c r="HU638" s="817">
        <f>2483+1435</f>
        <v>3918</v>
      </c>
      <c r="HV638" s="89">
        <v>0</v>
      </c>
      <c r="HW638" s="817">
        <f>2031+1887</f>
        <v>3918</v>
      </c>
      <c r="HX638" s="89">
        <v>0</v>
      </c>
      <c r="HY638" s="817">
        <f>1317.13+2600.87</f>
        <v>3918</v>
      </c>
      <c r="HZ638" s="89">
        <v>0</v>
      </c>
      <c r="IA638" s="817">
        <f>3140.87+777.13</f>
        <v>3918</v>
      </c>
      <c r="IB638" s="89">
        <v>0</v>
      </c>
      <c r="IC638" s="817">
        <v>0</v>
      </c>
      <c r="ID638" s="89">
        <v>0</v>
      </c>
      <c r="IE638" s="817">
        <v>0</v>
      </c>
      <c r="IF638" s="841">
        <f t="shared" ref="IF638:IF639" si="14686">SUM(II638,IL638,IO638,IR638,IU638,IX638,JA638,JD638,JG638,JJ638,JM638,JP638)</f>
        <v>33302.129999999997</v>
      </c>
      <c r="IG638" s="263">
        <f t="shared" ref="IG638:IG639" si="14687">SUM(IJ638,IM638,IP638,IS638,IV638,IY638,JB638,JE638,JH638,JK638,JN638,JQ638)</f>
        <v>33302.129999999997</v>
      </c>
      <c r="IH638" s="842">
        <f t="shared" ref="IH638:IH639" si="14688">SUM(IK638,IN638,IQ638,IT638,IW638,IZ638,JC638,JF638,JI638,JL638,JO638,JR638)</f>
        <v>33302.129999999997</v>
      </c>
      <c r="II638" s="89">
        <v>3266</v>
      </c>
      <c r="IJ638" s="89">
        <f t="shared" ref="IJ638:IJ639" si="14689">II638</f>
        <v>3266</v>
      </c>
      <c r="IK638" s="89">
        <f t="shared" ref="IK638:IK639" si="14690">IJ638</f>
        <v>3266</v>
      </c>
      <c r="IL638" s="89">
        <f>6644-3266</f>
        <v>3378</v>
      </c>
      <c r="IM638" s="89">
        <f t="shared" ref="IM638:IM639" si="14691">IL638</f>
        <v>3378</v>
      </c>
      <c r="IN638" s="89">
        <f t="shared" ref="IN638:IN639" si="14692">IM638</f>
        <v>3378</v>
      </c>
      <c r="IO638" s="89">
        <f>8305-6644</f>
        <v>1661</v>
      </c>
      <c r="IP638" s="89">
        <f t="shared" ref="IP638:IP639" si="14693">IO638</f>
        <v>1661</v>
      </c>
      <c r="IQ638" s="89">
        <f t="shared" ref="IQ638:IQ639" si="14694">IP638</f>
        <v>1661</v>
      </c>
      <c r="IR638" s="89">
        <f>11627-8305</f>
        <v>3322</v>
      </c>
      <c r="IS638" s="89">
        <f t="shared" ref="IS638:IS639" si="14695">IR638</f>
        <v>3322</v>
      </c>
      <c r="IT638" s="89">
        <f t="shared" ref="IT638:IT639" si="14696">IS638</f>
        <v>3322</v>
      </c>
      <c r="IU638" s="89">
        <f>16610-11627</f>
        <v>4983</v>
      </c>
      <c r="IV638" s="89">
        <f t="shared" ref="IV638:IV639" si="14697">IU638</f>
        <v>4983</v>
      </c>
      <c r="IW638" s="89">
        <f t="shared" ref="IW638:IW639" si="14698">IV638</f>
        <v>4983</v>
      </c>
      <c r="IX638" s="89">
        <f>19932-16610</f>
        <v>3322</v>
      </c>
      <c r="IY638" s="89">
        <f t="shared" ref="IY638:IY639" si="14699">IX638</f>
        <v>3322</v>
      </c>
      <c r="IZ638" s="89">
        <f t="shared" ref="IZ638:IZ639" si="14700">IY638</f>
        <v>3322</v>
      </c>
      <c r="JA638" s="89">
        <f>23254-19932</f>
        <v>3322</v>
      </c>
      <c r="JB638" s="89">
        <f t="shared" ref="JB638:JB639" si="14701">JA638</f>
        <v>3322</v>
      </c>
      <c r="JC638" s="89">
        <f t="shared" ref="JC638:JC639" si="14702">JB638</f>
        <v>3322</v>
      </c>
      <c r="JD638" s="89">
        <f>26576-23254</f>
        <v>3322</v>
      </c>
      <c r="JE638" s="89">
        <f t="shared" ref="JE638:JE639" si="14703">JD638</f>
        <v>3322</v>
      </c>
      <c r="JF638" s="89">
        <f t="shared" ref="JF638:JF639" si="14704">JE638</f>
        <v>3322</v>
      </c>
      <c r="JG638" s="89">
        <f>29924.13-26576</f>
        <v>3348.130000000001</v>
      </c>
      <c r="JH638" s="89">
        <f t="shared" ref="JH638:JH639" si="14705">JG638</f>
        <v>3348.130000000001</v>
      </c>
      <c r="JI638" s="89">
        <f t="shared" ref="JI638:JI639" si="14706">JH638</f>
        <v>3348.130000000001</v>
      </c>
      <c r="JJ638" s="89">
        <f>33302.13-29924.13</f>
        <v>3377.9999999999964</v>
      </c>
      <c r="JK638" s="89">
        <f t="shared" ref="JK638:JK639" si="14707">JJ638</f>
        <v>3377.9999999999964</v>
      </c>
      <c r="JL638" s="89">
        <f t="shared" ref="JL638:JL639" si="14708">JK638</f>
        <v>3377.9999999999964</v>
      </c>
      <c r="JM638" s="89">
        <v>0</v>
      </c>
      <c r="JN638" s="89">
        <f t="shared" ref="JN638:JN639" si="14709">JM638</f>
        <v>0</v>
      </c>
      <c r="JO638" s="89">
        <f t="shared" ref="JO638:JO639" si="14710">JN638</f>
        <v>0</v>
      </c>
      <c r="JP638" s="89">
        <v>0</v>
      </c>
      <c r="JQ638" s="89">
        <f t="shared" ref="JQ638:JR638" si="14711">JP638</f>
        <v>0</v>
      </c>
      <c r="JR638" s="89">
        <f t="shared" si="14711"/>
        <v>0</v>
      </c>
      <c r="JS638" s="74">
        <f>HG638-IF638</f>
        <v>3140.8700000000026</v>
      </c>
      <c r="JT638" s="382">
        <f>GS638-IF638</f>
        <v>3140.8700000000026</v>
      </c>
      <c r="JU638" s="665"/>
      <c r="JV638" s="489"/>
      <c r="JW638" s="525"/>
      <c r="JX638" s="549">
        <f>SUM(HH638,HJ638,HL638,HN638,HP638,HR638,HT638,HV638,HX638,HZ638,IB638,ID638)</f>
        <v>0</v>
      </c>
      <c r="JY638" s="549">
        <f>SUM(HI638,HK638,HM638,HO638,HQ638,HS638,HU638,HW638,HY638,IA638,IC638,IE638)</f>
        <v>39182</v>
      </c>
      <c r="JZ638" s="581">
        <f t="shared" si="13477"/>
        <v>0</v>
      </c>
      <c r="KA638" s="581">
        <f t="shared" si="13478"/>
        <v>-2739</v>
      </c>
      <c r="KB638" s="549">
        <f t="shared" si="14516"/>
        <v>36443</v>
      </c>
      <c r="KC638" s="709">
        <f t="shared" si="13396"/>
        <v>0</v>
      </c>
      <c r="KD638" s="36"/>
      <c r="KE638" s="36"/>
      <c r="KF638" s="36"/>
      <c r="KG638" s="36"/>
      <c r="KH638" s="36"/>
      <c r="KI638" s="36"/>
      <c r="KJ638" s="36"/>
      <c r="KK638" s="36"/>
    </row>
    <row r="639" spans="1:297" s="33" customFormat="1">
      <c r="A639" s="86" t="s">
        <v>337</v>
      </c>
      <c r="B639" s="77" t="s">
        <v>62</v>
      </c>
      <c r="C639" s="74">
        <v>18800</v>
      </c>
      <c r="D639" s="549">
        <v>0</v>
      </c>
      <c r="E639" s="675">
        <v>0</v>
      </c>
      <c r="F639" s="549">
        <v>0</v>
      </c>
      <c r="G639" s="675">
        <v>0</v>
      </c>
      <c r="H639" s="549">
        <v>0</v>
      </c>
      <c r="I639" s="675">
        <v>0</v>
      </c>
      <c r="J639" s="549">
        <v>0</v>
      </c>
      <c r="K639" s="675">
        <v>0</v>
      </c>
      <c r="L639" s="549">
        <v>0</v>
      </c>
      <c r="M639" s="675">
        <v>0</v>
      </c>
      <c r="N639" s="549">
        <v>0</v>
      </c>
      <c r="O639" s="675">
        <v>0</v>
      </c>
      <c r="P639" s="549">
        <v>0</v>
      </c>
      <c r="Q639" s="675">
        <v>0</v>
      </c>
      <c r="R639" s="549">
        <v>0</v>
      </c>
      <c r="S639" s="675">
        <v>0</v>
      </c>
      <c r="T639" s="549">
        <v>0</v>
      </c>
      <c r="U639" s="675">
        <v>0</v>
      </c>
      <c r="V639" s="549">
        <v>0</v>
      </c>
      <c r="W639" s="675">
        <v>0</v>
      </c>
      <c r="X639" s="549">
        <v>0</v>
      </c>
      <c r="Y639" s="675">
        <v>0</v>
      </c>
      <c r="Z639" s="549">
        <v>0</v>
      </c>
      <c r="AA639" s="675">
        <v>0</v>
      </c>
      <c r="AB639" s="549">
        <v>0</v>
      </c>
      <c r="AC639" s="675">
        <v>0</v>
      </c>
      <c r="AD639" s="549">
        <v>0</v>
      </c>
      <c r="AE639" s="675">
        <v>0</v>
      </c>
      <c r="AF639" s="549">
        <v>0</v>
      </c>
      <c r="AG639" s="675">
        <v>0</v>
      </c>
      <c r="AH639" s="549">
        <v>0</v>
      </c>
      <c r="AI639" s="675">
        <v>0</v>
      </c>
      <c r="AJ639" s="549">
        <v>0</v>
      </c>
      <c r="AK639" s="675">
        <v>0</v>
      </c>
      <c r="AL639" s="549">
        <v>0</v>
      </c>
      <c r="AM639" s="675">
        <v>0</v>
      </c>
      <c r="AN639" s="549">
        <v>0</v>
      </c>
      <c r="AO639" s="675">
        <v>-1611</v>
      </c>
      <c r="AP639" s="549">
        <v>0</v>
      </c>
      <c r="AQ639" s="675">
        <v>0</v>
      </c>
      <c r="AR639" s="549">
        <v>0</v>
      </c>
      <c r="AS639" s="675">
        <v>0</v>
      </c>
      <c r="AT639" s="549">
        <v>0</v>
      </c>
      <c r="AU639" s="675">
        <v>0</v>
      </c>
      <c r="AV639" s="549">
        <v>0</v>
      </c>
      <c r="AW639" s="675">
        <v>-1611</v>
      </c>
      <c r="AX639" s="549">
        <v>0</v>
      </c>
      <c r="AY639" s="675">
        <v>0</v>
      </c>
      <c r="AZ639" s="549">
        <v>0</v>
      </c>
      <c r="BA639" s="675">
        <v>0</v>
      </c>
      <c r="BB639" s="549">
        <v>0</v>
      </c>
      <c r="BC639" s="675">
        <v>0</v>
      </c>
      <c r="BD639" s="549">
        <v>0</v>
      </c>
      <c r="BE639" s="675">
        <v>0</v>
      </c>
      <c r="BF639" s="549">
        <v>0</v>
      </c>
      <c r="BG639" s="675">
        <v>0</v>
      </c>
      <c r="BH639" s="549">
        <v>0</v>
      </c>
      <c r="BI639" s="675">
        <v>0</v>
      </c>
      <c r="BJ639" s="549">
        <v>0</v>
      </c>
      <c r="BK639" s="675">
        <v>0</v>
      </c>
      <c r="BL639" s="549">
        <v>0</v>
      </c>
      <c r="BM639" s="675">
        <v>0</v>
      </c>
      <c r="BN639" s="549">
        <v>0</v>
      </c>
      <c r="BO639" s="675">
        <v>0</v>
      </c>
      <c r="BP639" s="549">
        <v>0</v>
      </c>
      <c r="BQ639" s="675">
        <v>0</v>
      </c>
      <c r="BR639" s="549">
        <v>0</v>
      </c>
      <c r="BS639" s="675">
        <v>0</v>
      </c>
      <c r="BT639" s="549">
        <v>0</v>
      </c>
      <c r="BU639" s="675">
        <v>0</v>
      </c>
      <c r="BV639" s="549">
        <v>0</v>
      </c>
      <c r="BW639" s="675">
        <v>0</v>
      </c>
      <c r="BX639" s="549">
        <v>0</v>
      </c>
      <c r="BY639" s="675">
        <v>0</v>
      </c>
      <c r="BZ639" s="549">
        <v>0</v>
      </c>
      <c r="CA639" s="675">
        <v>0</v>
      </c>
      <c r="CB639" s="549">
        <v>0</v>
      </c>
      <c r="CC639" s="675">
        <v>0</v>
      </c>
      <c r="CD639" s="549">
        <v>0</v>
      </c>
      <c r="CE639" s="675">
        <v>0</v>
      </c>
      <c r="CF639" s="549">
        <v>0</v>
      </c>
      <c r="CG639" s="675">
        <v>0</v>
      </c>
      <c r="CH639" s="549">
        <v>0</v>
      </c>
      <c r="CI639" s="675">
        <v>0</v>
      </c>
      <c r="CJ639" s="549">
        <v>0</v>
      </c>
      <c r="CK639" s="675">
        <v>0</v>
      </c>
      <c r="CL639" s="549">
        <v>0</v>
      </c>
      <c r="CM639" s="675">
        <v>0</v>
      </c>
      <c r="CN639" s="549">
        <v>0</v>
      </c>
      <c r="CO639" s="675">
        <v>0</v>
      </c>
      <c r="CP639" s="549">
        <v>0</v>
      </c>
      <c r="CQ639" s="675">
        <v>0</v>
      </c>
      <c r="CR639" s="549">
        <v>0</v>
      </c>
      <c r="CS639" s="675">
        <v>0</v>
      </c>
      <c r="CT639" s="549">
        <v>0</v>
      </c>
      <c r="CU639" s="675">
        <v>0</v>
      </c>
      <c r="CV639" s="549">
        <v>0</v>
      </c>
      <c r="CW639" s="675">
        <v>0</v>
      </c>
      <c r="CX639" s="549">
        <v>0</v>
      </c>
      <c r="CY639" s="675">
        <v>0</v>
      </c>
      <c r="CZ639" s="549">
        <v>0</v>
      </c>
      <c r="DA639" s="675">
        <v>0</v>
      </c>
      <c r="DB639" s="549">
        <v>0</v>
      </c>
      <c r="DC639" s="675">
        <v>0</v>
      </c>
      <c r="DD639" s="549">
        <v>0</v>
      </c>
      <c r="DE639" s="675">
        <v>0</v>
      </c>
      <c r="DF639" s="549">
        <v>0</v>
      </c>
      <c r="DG639" s="675">
        <v>0</v>
      </c>
      <c r="DH639" s="549">
        <v>0</v>
      </c>
      <c r="DI639" s="675">
        <v>0</v>
      </c>
      <c r="DJ639" s="549">
        <v>0</v>
      </c>
      <c r="DK639" s="675">
        <v>0</v>
      </c>
      <c r="DL639" s="549">
        <v>0</v>
      </c>
      <c r="DM639" s="675">
        <v>0</v>
      </c>
      <c r="DN639" s="549">
        <v>0</v>
      </c>
      <c r="DO639" s="675">
        <v>0</v>
      </c>
      <c r="DP639" s="549">
        <v>0</v>
      </c>
      <c r="DQ639" s="675">
        <v>0</v>
      </c>
      <c r="DR639" s="549">
        <v>0</v>
      </c>
      <c r="DS639" s="675">
        <v>0</v>
      </c>
      <c r="DT639" s="549">
        <v>0</v>
      </c>
      <c r="DU639" s="675">
        <v>0</v>
      </c>
      <c r="DV639" s="549">
        <v>0</v>
      </c>
      <c r="DW639" s="675">
        <v>0</v>
      </c>
      <c r="DX639" s="549">
        <v>0</v>
      </c>
      <c r="DY639" s="675">
        <v>0</v>
      </c>
      <c r="DZ639" s="549">
        <v>0</v>
      </c>
      <c r="EA639" s="675">
        <v>0</v>
      </c>
      <c r="EB639" s="549">
        <v>0</v>
      </c>
      <c r="EC639" s="675">
        <v>0</v>
      </c>
      <c r="ED639" s="549">
        <v>0</v>
      </c>
      <c r="EE639" s="675">
        <v>0</v>
      </c>
      <c r="EF639" s="549">
        <v>0</v>
      </c>
      <c r="EG639" s="675">
        <v>0</v>
      </c>
      <c r="EH639" s="549">
        <v>0</v>
      </c>
      <c r="EI639" s="675">
        <v>0</v>
      </c>
      <c r="EJ639" s="549">
        <v>0</v>
      </c>
      <c r="EK639" s="675">
        <v>0</v>
      </c>
      <c r="EL639" s="549">
        <v>0</v>
      </c>
      <c r="EM639" s="675">
        <v>0</v>
      </c>
      <c r="EN639" s="549">
        <v>0</v>
      </c>
      <c r="EO639" s="675">
        <v>0</v>
      </c>
      <c r="EP639" s="549">
        <v>0</v>
      </c>
      <c r="EQ639" s="675">
        <v>0</v>
      </c>
      <c r="ER639" s="549">
        <v>0</v>
      </c>
      <c r="ES639" s="675">
        <v>0</v>
      </c>
      <c r="ET639" s="549">
        <v>0</v>
      </c>
      <c r="EU639" s="675">
        <v>0</v>
      </c>
      <c r="EV639" s="549">
        <v>0</v>
      </c>
      <c r="EW639" s="675">
        <v>0</v>
      </c>
      <c r="EX639" s="549">
        <v>0</v>
      </c>
      <c r="EY639" s="675">
        <v>0</v>
      </c>
      <c r="EZ639" s="549">
        <v>0</v>
      </c>
      <c r="FA639" s="675">
        <v>0</v>
      </c>
      <c r="FB639" s="549">
        <v>0</v>
      </c>
      <c r="FC639" s="675">
        <v>0</v>
      </c>
      <c r="FD639" s="549">
        <v>0</v>
      </c>
      <c r="FE639" s="675">
        <v>0</v>
      </c>
      <c r="FF639" s="549">
        <v>0</v>
      </c>
      <c r="FG639" s="675">
        <v>0</v>
      </c>
      <c r="FH639" s="549">
        <v>0</v>
      </c>
      <c r="FI639" s="675">
        <v>0</v>
      </c>
      <c r="FJ639" s="549">
        <v>0</v>
      </c>
      <c r="FK639" s="675">
        <v>0</v>
      </c>
      <c r="FL639" s="549">
        <v>0</v>
      </c>
      <c r="FM639" s="675">
        <v>0</v>
      </c>
      <c r="FN639" s="549">
        <v>0</v>
      </c>
      <c r="FO639" s="675">
        <v>0</v>
      </c>
      <c r="FP639" s="549">
        <v>0</v>
      </c>
      <c r="FQ639" s="675">
        <v>0</v>
      </c>
      <c r="FR639" s="549">
        <v>0</v>
      </c>
      <c r="FS639" s="675">
        <v>0</v>
      </c>
      <c r="FT639" s="549">
        <v>0</v>
      </c>
      <c r="FU639" s="675">
        <v>0</v>
      </c>
      <c r="FV639" s="549">
        <v>0</v>
      </c>
      <c r="FW639" s="675">
        <v>0</v>
      </c>
      <c r="FX639" s="549">
        <v>0</v>
      </c>
      <c r="FY639" s="675">
        <v>0</v>
      </c>
      <c r="FZ639" s="549">
        <v>0</v>
      </c>
      <c r="GA639" s="675">
        <v>0</v>
      </c>
      <c r="GB639" s="549">
        <v>0</v>
      </c>
      <c r="GC639" s="675">
        <v>0</v>
      </c>
      <c r="GD639" s="549">
        <v>0</v>
      </c>
      <c r="GE639" s="675">
        <v>0</v>
      </c>
      <c r="GF639" s="549">
        <v>0</v>
      </c>
      <c r="GG639" s="675">
        <v>0</v>
      </c>
      <c r="GH639" s="549">
        <v>0</v>
      </c>
      <c r="GI639" s="675">
        <v>0</v>
      </c>
      <c r="GJ639" s="549">
        <v>0</v>
      </c>
      <c r="GK639" s="675">
        <v>0</v>
      </c>
      <c r="GL639" s="549">
        <v>0</v>
      </c>
      <c r="GM639" s="675">
        <v>0</v>
      </c>
      <c r="GN639" s="549">
        <v>0</v>
      </c>
      <c r="GO639" s="675">
        <v>0</v>
      </c>
      <c r="GP639" s="549">
        <f t="shared" si="14683"/>
        <v>0</v>
      </c>
      <c r="GQ639" s="675">
        <f t="shared" si="14684"/>
        <v>-3222</v>
      </c>
      <c r="GR639" s="74">
        <f>C639+GP639+GQ639</f>
        <v>15578</v>
      </c>
      <c r="GS639" s="74">
        <f t="shared" si="14685"/>
        <v>13869</v>
      </c>
      <c r="GT639" s="568">
        <f>SUM(GU639:HF639)+GQ639+GP639</f>
        <v>15578</v>
      </c>
      <c r="GU639" s="275">
        <v>1710</v>
      </c>
      <c r="GV639" s="275">
        <v>1709</v>
      </c>
      <c r="GW639" s="275">
        <v>1709</v>
      </c>
      <c r="GX639" s="275">
        <v>1709</v>
      </c>
      <c r="GY639" s="275">
        <v>1709</v>
      </c>
      <c r="GZ639" s="275">
        <v>1709</v>
      </c>
      <c r="HA639" s="275">
        <v>1709</v>
      </c>
      <c r="HB639" s="275">
        <v>1709</v>
      </c>
      <c r="HC639" s="275">
        <v>1709</v>
      </c>
      <c r="HD639" s="275">
        <v>1709</v>
      </c>
      <c r="HE639" s="275">
        <v>1709</v>
      </c>
      <c r="HF639" s="275">
        <v>0</v>
      </c>
      <c r="HG639" s="74">
        <f>SUM(HH639:IE639)+GP639+GQ639</f>
        <v>13869</v>
      </c>
      <c r="HH639" s="89">
        <v>0</v>
      </c>
      <c r="HI639" s="817">
        <v>0</v>
      </c>
      <c r="HJ639" s="89">
        <v>0</v>
      </c>
      <c r="HK639" s="817">
        <f>1522+1897</f>
        <v>3419</v>
      </c>
      <c r="HL639" s="89">
        <v>0</v>
      </c>
      <c r="HM639" s="817">
        <f>3225.5-1516.5</f>
        <v>1709</v>
      </c>
      <c r="HN639" s="89">
        <v>0</v>
      </c>
      <c r="HO639" s="817">
        <f>2182-473</f>
        <v>1709</v>
      </c>
      <c r="HP639" s="89">
        <v>0</v>
      </c>
      <c r="HQ639" s="817">
        <f>190+1519</f>
        <v>1709</v>
      </c>
      <c r="HR639" s="89">
        <v>0</v>
      </c>
      <c r="HS639" s="817">
        <f>1278.5+430.5</f>
        <v>1709</v>
      </c>
      <c r="HT639" s="89">
        <v>0</v>
      </c>
      <c r="HU639" s="817">
        <f>1759-50</f>
        <v>1709</v>
      </c>
      <c r="HV639" s="89">
        <v>0</v>
      </c>
      <c r="HW639" s="817">
        <f>27007-998</f>
        <v>26009</v>
      </c>
      <c r="HX639" s="89">
        <v>0</v>
      </c>
      <c r="HY639" s="817">
        <f>-27007+4416</f>
        <v>-22591</v>
      </c>
      <c r="HZ639" s="89">
        <v>0</v>
      </c>
      <c r="IA639" s="817">
        <f>6125-4416</f>
        <v>1709</v>
      </c>
      <c r="IB639" s="89">
        <v>0</v>
      </c>
      <c r="IC639" s="817">
        <v>0</v>
      </c>
      <c r="ID639" s="89">
        <v>0</v>
      </c>
      <c r="IE639" s="817">
        <v>0</v>
      </c>
      <c r="IF639" s="841">
        <f t="shared" si="14686"/>
        <v>7744</v>
      </c>
      <c r="IG639" s="263">
        <f t="shared" si="14687"/>
        <v>7744</v>
      </c>
      <c r="IH639" s="842">
        <f t="shared" si="14688"/>
        <v>7744</v>
      </c>
      <c r="II639" s="89">
        <v>561</v>
      </c>
      <c r="IJ639" s="89">
        <f t="shared" si="14689"/>
        <v>561</v>
      </c>
      <c r="IK639" s="89">
        <f t="shared" si="14690"/>
        <v>561</v>
      </c>
      <c r="IL639" s="89">
        <f>1522-561</f>
        <v>961</v>
      </c>
      <c r="IM639" s="89">
        <f t="shared" si="14691"/>
        <v>961</v>
      </c>
      <c r="IN639" s="89">
        <f t="shared" si="14692"/>
        <v>961</v>
      </c>
      <c r="IO639" s="89">
        <f>1902.5-1522</f>
        <v>380.5</v>
      </c>
      <c r="IP639" s="89">
        <f t="shared" si="14693"/>
        <v>380.5</v>
      </c>
      <c r="IQ639" s="89">
        <f t="shared" si="14694"/>
        <v>380.5</v>
      </c>
      <c r="IR639" s="89">
        <f>3044-1902.5</f>
        <v>1141.5</v>
      </c>
      <c r="IS639" s="89">
        <f t="shared" si="14695"/>
        <v>1141.5</v>
      </c>
      <c r="IT639" s="89">
        <f t="shared" si="14696"/>
        <v>1141.5</v>
      </c>
      <c r="IU639" s="89">
        <f>3805-3044</f>
        <v>761</v>
      </c>
      <c r="IV639" s="89">
        <f t="shared" si="14697"/>
        <v>761</v>
      </c>
      <c r="IW639" s="89">
        <f t="shared" si="14698"/>
        <v>761</v>
      </c>
      <c r="IX639" s="89">
        <f>6602.5-3805</f>
        <v>2797.5</v>
      </c>
      <c r="IY639" s="89">
        <f t="shared" si="14699"/>
        <v>2797.5</v>
      </c>
      <c r="IZ639" s="89">
        <f t="shared" si="14700"/>
        <v>2797.5</v>
      </c>
      <c r="JA639" s="89">
        <f>6983-6602.5</f>
        <v>380.5</v>
      </c>
      <c r="JB639" s="89">
        <f t="shared" si="14701"/>
        <v>380.5</v>
      </c>
      <c r="JC639" s="89">
        <f t="shared" si="14702"/>
        <v>380.5</v>
      </c>
      <c r="JD639" s="89">
        <f>7744-6983</f>
        <v>761</v>
      </c>
      <c r="JE639" s="89">
        <f t="shared" si="14703"/>
        <v>761</v>
      </c>
      <c r="JF639" s="89">
        <f t="shared" si="14704"/>
        <v>761</v>
      </c>
      <c r="JG639" s="89">
        <v>0</v>
      </c>
      <c r="JH639" s="89">
        <f t="shared" si="14705"/>
        <v>0</v>
      </c>
      <c r="JI639" s="89">
        <f t="shared" si="14706"/>
        <v>0</v>
      </c>
      <c r="JJ639" s="89">
        <v>0</v>
      </c>
      <c r="JK639" s="89">
        <f t="shared" si="14707"/>
        <v>0</v>
      </c>
      <c r="JL639" s="89">
        <f t="shared" si="14708"/>
        <v>0</v>
      </c>
      <c r="JM639" s="89">
        <v>0</v>
      </c>
      <c r="JN639" s="89">
        <f t="shared" si="14709"/>
        <v>0</v>
      </c>
      <c r="JO639" s="89">
        <f t="shared" si="14710"/>
        <v>0</v>
      </c>
      <c r="JP639" s="89">
        <v>0</v>
      </c>
      <c r="JQ639" s="89">
        <f t="shared" ref="JQ639:JR639" si="14712">JP639</f>
        <v>0</v>
      </c>
      <c r="JR639" s="89">
        <f t="shared" si="14712"/>
        <v>0</v>
      </c>
      <c r="JS639" s="74">
        <f>HG639-IF639</f>
        <v>6125</v>
      </c>
      <c r="JT639" s="382">
        <f>GS639-IF639</f>
        <v>6125</v>
      </c>
      <c r="JU639" s="665"/>
      <c r="JV639" s="489"/>
      <c r="JW639" s="525"/>
      <c r="JX639" s="549">
        <f>SUM(HH639,HJ639,HL639,HN639,HP639,HR639,HT639,HV639,HX639,HZ639,IB639,ID639)</f>
        <v>0</v>
      </c>
      <c r="JY639" s="549">
        <f>SUM(HI639,HK639,HM639,HO639,HQ639,HS639,HU639,HW639,HY639,IA639,IC639,IE639)</f>
        <v>17091</v>
      </c>
      <c r="JZ639" s="581">
        <f t="shared" si="13477"/>
        <v>0</v>
      </c>
      <c r="KA639" s="581">
        <f t="shared" si="13478"/>
        <v>-3222</v>
      </c>
      <c r="KB639" s="549">
        <f t="shared" si="14516"/>
        <v>13869</v>
      </c>
      <c r="KC639" s="709">
        <f t="shared" si="13396"/>
        <v>0</v>
      </c>
      <c r="KD639" s="36"/>
      <c r="KE639" s="36"/>
      <c r="KF639" s="36"/>
      <c r="KG639" s="36"/>
      <c r="KH639" s="36"/>
      <c r="KI639" s="36"/>
      <c r="KJ639" s="36"/>
      <c r="KK639" s="36"/>
    </row>
    <row r="640" spans="1:297" s="10" customFormat="1">
      <c r="A640" s="91"/>
      <c r="B640" s="77"/>
      <c r="C640" s="74"/>
      <c r="D640" s="549"/>
      <c r="E640" s="675"/>
      <c r="F640" s="549"/>
      <c r="G640" s="675"/>
      <c r="H640" s="549"/>
      <c r="I640" s="675"/>
      <c r="J640" s="549"/>
      <c r="K640" s="675"/>
      <c r="L640" s="549"/>
      <c r="M640" s="675"/>
      <c r="N640" s="549"/>
      <c r="O640" s="675"/>
      <c r="P640" s="549"/>
      <c r="Q640" s="675"/>
      <c r="R640" s="549"/>
      <c r="S640" s="675"/>
      <c r="T640" s="549"/>
      <c r="U640" s="675"/>
      <c r="V640" s="549"/>
      <c r="W640" s="675"/>
      <c r="X640" s="549"/>
      <c r="Y640" s="675"/>
      <c r="Z640" s="549"/>
      <c r="AA640" s="675"/>
      <c r="AB640" s="549"/>
      <c r="AC640" s="675"/>
      <c r="AD640" s="549"/>
      <c r="AE640" s="675"/>
      <c r="AF640" s="549"/>
      <c r="AG640" s="675"/>
      <c r="AH640" s="549"/>
      <c r="AI640" s="675"/>
      <c r="AJ640" s="549"/>
      <c r="AK640" s="675"/>
      <c r="AL640" s="549"/>
      <c r="AM640" s="675"/>
      <c r="AN640" s="549"/>
      <c r="AO640" s="675"/>
      <c r="AP640" s="549"/>
      <c r="AQ640" s="675"/>
      <c r="AR640" s="549"/>
      <c r="AS640" s="675"/>
      <c r="AT640" s="549"/>
      <c r="AU640" s="675"/>
      <c r="AV640" s="549"/>
      <c r="AW640" s="675"/>
      <c r="AX640" s="549"/>
      <c r="AY640" s="675"/>
      <c r="AZ640" s="549"/>
      <c r="BA640" s="675"/>
      <c r="BB640" s="549"/>
      <c r="BC640" s="675"/>
      <c r="BD640" s="549"/>
      <c r="BE640" s="675"/>
      <c r="BF640" s="549"/>
      <c r="BG640" s="675"/>
      <c r="BH640" s="549"/>
      <c r="BI640" s="675"/>
      <c r="BJ640" s="549"/>
      <c r="BK640" s="675"/>
      <c r="BL640" s="549"/>
      <c r="BM640" s="675"/>
      <c r="BN640" s="549"/>
      <c r="BO640" s="675"/>
      <c r="BP640" s="549"/>
      <c r="BQ640" s="675"/>
      <c r="BR640" s="549"/>
      <c r="BS640" s="675"/>
      <c r="BT640" s="549"/>
      <c r="BU640" s="675"/>
      <c r="BV640" s="549"/>
      <c r="BW640" s="675"/>
      <c r="BX640" s="549"/>
      <c r="BY640" s="675"/>
      <c r="BZ640" s="549"/>
      <c r="CA640" s="675"/>
      <c r="CB640" s="549"/>
      <c r="CC640" s="675"/>
      <c r="CD640" s="549"/>
      <c r="CE640" s="675"/>
      <c r="CF640" s="549"/>
      <c r="CG640" s="675"/>
      <c r="CH640" s="549"/>
      <c r="CI640" s="675"/>
      <c r="CJ640" s="549"/>
      <c r="CK640" s="675"/>
      <c r="CL640" s="549"/>
      <c r="CM640" s="675"/>
      <c r="CN640" s="549"/>
      <c r="CO640" s="675"/>
      <c r="CP640" s="549"/>
      <c r="CQ640" s="675"/>
      <c r="CR640" s="549"/>
      <c r="CS640" s="675"/>
      <c r="CT640" s="549"/>
      <c r="CU640" s="675"/>
      <c r="CV640" s="549"/>
      <c r="CW640" s="675"/>
      <c r="CX640" s="549"/>
      <c r="CY640" s="675"/>
      <c r="CZ640" s="549"/>
      <c r="DA640" s="675"/>
      <c r="DB640" s="549"/>
      <c r="DC640" s="675"/>
      <c r="DD640" s="549"/>
      <c r="DE640" s="675"/>
      <c r="DF640" s="549"/>
      <c r="DG640" s="675"/>
      <c r="DH640" s="549"/>
      <c r="DI640" s="675"/>
      <c r="DJ640" s="549"/>
      <c r="DK640" s="675"/>
      <c r="DL640" s="549"/>
      <c r="DM640" s="675"/>
      <c r="DN640" s="549"/>
      <c r="DO640" s="675"/>
      <c r="DP640" s="549"/>
      <c r="DQ640" s="675"/>
      <c r="DR640" s="549"/>
      <c r="DS640" s="675"/>
      <c r="DT640" s="549"/>
      <c r="DU640" s="675"/>
      <c r="DV640" s="549"/>
      <c r="DW640" s="675"/>
      <c r="DX640" s="549"/>
      <c r="DY640" s="675"/>
      <c r="DZ640" s="549"/>
      <c r="EA640" s="675"/>
      <c r="EB640" s="549"/>
      <c r="EC640" s="675"/>
      <c r="ED640" s="549"/>
      <c r="EE640" s="675"/>
      <c r="EF640" s="549"/>
      <c r="EG640" s="675"/>
      <c r="EH640" s="549"/>
      <c r="EI640" s="675"/>
      <c r="EJ640" s="549"/>
      <c r="EK640" s="675"/>
      <c r="EL640" s="549"/>
      <c r="EM640" s="675"/>
      <c r="EN640" s="549"/>
      <c r="EO640" s="675"/>
      <c r="EP640" s="549"/>
      <c r="EQ640" s="675"/>
      <c r="ER640" s="549"/>
      <c r="ES640" s="675"/>
      <c r="ET640" s="549"/>
      <c r="EU640" s="675"/>
      <c r="EV640" s="549"/>
      <c r="EW640" s="675"/>
      <c r="EX640" s="549"/>
      <c r="EY640" s="675"/>
      <c r="EZ640" s="549"/>
      <c r="FA640" s="675"/>
      <c r="FB640" s="549"/>
      <c r="FC640" s="675"/>
      <c r="FD640" s="549"/>
      <c r="FE640" s="675"/>
      <c r="FF640" s="549"/>
      <c r="FG640" s="675"/>
      <c r="FH640" s="549"/>
      <c r="FI640" s="675"/>
      <c r="FJ640" s="549"/>
      <c r="FK640" s="675"/>
      <c r="FL640" s="549"/>
      <c r="FM640" s="675"/>
      <c r="FN640" s="549"/>
      <c r="FO640" s="675"/>
      <c r="FP640" s="549"/>
      <c r="FQ640" s="675"/>
      <c r="FR640" s="549"/>
      <c r="FS640" s="675"/>
      <c r="FT640" s="549"/>
      <c r="FU640" s="675"/>
      <c r="FV640" s="549"/>
      <c r="FW640" s="675"/>
      <c r="FX640" s="549"/>
      <c r="FY640" s="675"/>
      <c r="FZ640" s="549"/>
      <c r="GA640" s="675"/>
      <c r="GB640" s="549"/>
      <c r="GC640" s="675"/>
      <c r="GD640" s="549"/>
      <c r="GE640" s="675"/>
      <c r="GF640" s="549"/>
      <c r="GG640" s="675"/>
      <c r="GH640" s="549"/>
      <c r="GI640" s="675"/>
      <c r="GJ640" s="549"/>
      <c r="GK640" s="675"/>
      <c r="GL640" s="549"/>
      <c r="GM640" s="675"/>
      <c r="GN640" s="549"/>
      <c r="GO640" s="675"/>
      <c r="GP640" s="549"/>
      <c r="GQ640" s="675"/>
      <c r="GR640" s="74"/>
      <c r="GS640" s="74"/>
      <c r="GT640" s="549"/>
      <c r="GU640" s="73"/>
      <c r="GV640" s="73"/>
      <c r="GW640" s="549"/>
      <c r="GX640" s="549"/>
      <c r="GY640" s="73"/>
      <c r="GZ640" s="73"/>
      <c r="HA640" s="73"/>
      <c r="HB640" s="73"/>
      <c r="HC640" s="73"/>
      <c r="HD640" s="73"/>
      <c r="HE640" s="73"/>
      <c r="HF640" s="73"/>
      <c r="HG640" s="74"/>
      <c r="HH640" s="73"/>
      <c r="HI640" s="815"/>
      <c r="HJ640" s="73"/>
      <c r="HK640" s="815"/>
      <c r="HL640" s="73"/>
      <c r="HM640" s="815"/>
      <c r="HN640" s="73"/>
      <c r="HO640" s="815"/>
      <c r="HP640" s="73"/>
      <c r="HQ640" s="815"/>
      <c r="HR640" s="73"/>
      <c r="HS640" s="815"/>
      <c r="HT640" s="73"/>
      <c r="HU640" s="815"/>
      <c r="HV640" s="73"/>
      <c r="HW640" s="815"/>
      <c r="HX640" s="73"/>
      <c r="HY640" s="815"/>
      <c r="HZ640" s="73"/>
      <c r="IA640" s="815"/>
      <c r="IB640" s="73"/>
      <c r="IC640" s="815"/>
      <c r="ID640" s="73"/>
      <c r="IE640" s="815"/>
      <c r="IF640" s="841"/>
      <c r="IG640" s="263"/>
      <c r="IH640" s="842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  <c r="JD640" s="73"/>
      <c r="JE640" s="73"/>
      <c r="JF640" s="73"/>
      <c r="JG640" s="73"/>
      <c r="JH640" s="73"/>
      <c r="JI640" s="73"/>
      <c r="JJ640" s="73"/>
      <c r="JK640" s="73"/>
      <c r="JL640" s="73"/>
      <c r="JM640" s="73"/>
      <c r="JN640" s="73"/>
      <c r="JO640" s="73"/>
      <c r="JP640" s="73"/>
      <c r="JQ640" s="73"/>
      <c r="JR640" s="73"/>
      <c r="JS640" s="74"/>
      <c r="JT640" s="382"/>
      <c r="JU640" s="665"/>
      <c r="JV640" s="524"/>
      <c r="JW640" s="525"/>
      <c r="JX640" s="549"/>
      <c r="JY640" s="549"/>
      <c r="JZ640" s="581">
        <f t="shared" si="13477"/>
        <v>0</v>
      </c>
      <c r="KA640" s="581">
        <f t="shared" si="13478"/>
        <v>0</v>
      </c>
      <c r="KB640" s="549">
        <f t="shared" si="14516"/>
        <v>0</v>
      </c>
      <c r="KC640" s="709">
        <f t="shared" si="13396"/>
        <v>0</v>
      </c>
      <c r="KD640" s="36"/>
      <c r="KE640" s="36"/>
      <c r="KF640" s="36"/>
      <c r="KG640" s="36"/>
      <c r="KH640" s="36"/>
      <c r="KI640" s="36"/>
      <c r="KJ640" s="36"/>
      <c r="KK640" s="36"/>
    </row>
    <row r="641" spans="1:297" s="33" customFormat="1">
      <c r="A641" s="86" t="s">
        <v>338</v>
      </c>
      <c r="B641" s="77" t="s">
        <v>64</v>
      </c>
      <c r="C641" s="74">
        <v>18000</v>
      </c>
      <c r="D641" s="549">
        <v>0</v>
      </c>
      <c r="E641" s="675">
        <v>0</v>
      </c>
      <c r="F641" s="549">
        <v>0</v>
      </c>
      <c r="G641" s="675">
        <v>0</v>
      </c>
      <c r="H641" s="549">
        <v>0</v>
      </c>
      <c r="I641" s="675">
        <v>0</v>
      </c>
      <c r="J641" s="549">
        <v>0</v>
      </c>
      <c r="K641" s="675">
        <v>0</v>
      </c>
      <c r="L641" s="549">
        <v>0</v>
      </c>
      <c r="M641" s="675">
        <v>0</v>
      </c>
      <c r="N641" s="549">
        <v>0</v>
      </c>
      <c r="O641" s="675">
        <v>0</v>
      </c>
      <c r="P641" s="549">
        <v>0</v>
      </c>
      <c r="Q641" s="675">
        <v>0</v>
      </c>
      <c r="R641" s="549">
        <v>0</v>
      </c>
      <c r="S641" s="675">
        <v>0</v>
      </c>
      <c r="T641" s="549">
        <v>0</v>
      </c>
      <c r="U641" s="675">
        <v>0</v>
      </c>
      <c r="V641" s="549">
        <v>0</v>
      </c>
      <c r="W641" s="675">
        <v>0</v>
      </c>
      <c r="X641" s="549">
        <v>0</v>
      </c>
      <c r="Y641" s="675">
        <v>0</v>
      </c>
      <c r="Z641" s="549">
        <v>0</v>
      </c>
      <c r="AA641" s="675">
        <v>0</v>
      </c>
      <c r="AB641" s="549">
        <v>0</v>
      </c>
      <c r="AC641" s="675">
        <v>0</v>
      </c>
      <c r="AD641" s="549">
        <v>0</v>
      </c>
      <c r="AE641" s="675">
        <v>0</v>
      </c>
      <c r="AF641" s="549">
        <v>0</v>
      </c>
      <c r="AG641" s="675">
        <v>0</v>
      </c>
      <c r="AH641" s="549">
        <v>0</v>
      </c>
      <c r="AI641" s="675">
        <v>0</v>
      </c>
      <c r="AJ641" s="549">
        <v>0</v>
      </c>
      <c r="AK641" s="675">
        <v>0</v>
      </c>
      <c r="AL641" s="549">
        <v>0</v>
      </c>
      <c r="AM641" s="675">
        <v>0</v>
      </c>
      <c r="AN641" s="549">
        <v>0</v>
      </c>
      <c r="AO641" s="675">
        <v>0</v>
      </c>
      <c r="AP641" s="549">
        <v>0</v>
      </c>
      <c r="AQ641" s="675">
        <v>0</v>
      </c>
      <c r="AR641" s="549">
        <v>0</v>
      </c>
      <c r="AS641" s="675">
        <v>0</v>
      </c>
      <c r="AT641" s="549">
        <v>0</v>
      </c>
      <c r="AU641" s="675">
        <v>0</v>
      </c>
      <c r="AV641" s="549">
        <v>0</v>
      </c>
      <c r="AW641" s="675">
        <v>0</v>
      </c>
      <c r="AX641" s="549">
        <v>0</v>
      </c>
      <c r="AY641" s="675">
        <v>0</v>
      </c>
      <c r="AZ641" s="549">
        <v>0</v>
      </c>
      <c r="BA641" s="675">
        <v>0</v>
      </c>
      <c r="BB641" s="549">
        <v>0</v>
      </c>
      <c r="BC641" s="675">
        <v>0</v>
      </c>
      <c r="BD641" s="549">
        <v>0</v>
      </c>
      <c r="BE641" s="675">
        <v>0</v>
      </c>
      <c r="BF641" s="549">
        <v>0</v>
      </c>
      <c r="BG641" s="675">
        <v>0</v>
      </c>
      <c r="BH641" s="549">
        <v>0</v>
      </c>
      <c r="BI641" s="675">
        <v>0</v>
      </c>
      <c r="BJ641" s="549">
        <v>0</v>
      </c>
      <c r="BK641" s="675">
        <v>0</v>
      </c>
      <c r="BL641" s="549">
        <v>0</v>
      </c>
      <c r="BM641" s="675">
        <v>0</v>
      </c>
      <c r="BN641" s="549">
        <v>0</v>
      </c>
      <c r="BO641" s="675">
        <v>0</v>
      </c>
      <c r="BP641" s="549">
        <v>0</v>
      </c>
      <c r="BQ641" s="675">
        <v>0</v>
      </c>
      <c r="BR641" s="549">
        <v>0</v>
      </c>
      <c r="BS641" s="675">
        <v>0</v>
      </c>
      <c r="BT641" s="549">
        <v>0</v>
      </c>
      <c r="BU641" s="675">
        <v>0</v>
      </c>
      <c r="BV641" s="549">
        <v>0</v>
      </c>
      <c r="BW641" s="675">
        <v>0</v>
      </c>
      <c r="BX641" s="549">
        <v>0</v>
      </c>
      <c r="BY641" s="675">
        <v>0</v>
      </c>
      <c r="BZ641" s="549">
        <v>0</v>
      </c>
      <c r="CA641" s="675">
        <v>0</v>
      </c>
      <c r="CB641" s="549">
        <v>0</v>
      </c>
      <c r="CC641" s="675">
        <v>0</v>
      </c>
      <c r="CD641" s="549">
        <v>0</v>
      </c>
      <c r="CE641" s="675">
        <v>0</v>
      </c>
      <c r="CF641" s="549">
        <v>0</v>
      </c>
      <c r="CG641" s="675">
        <v>0</v>
      </c>
      <c r="CH641" s="549">
        <v>0</v>
      </c>
      <c r="CI641" s="675">
        <v>0</v>
      </c>
      <c r="CJ641" s="549">
        <v>0</v>
      </c>
      <c r="CK641" s="675">
        <v>0</v>
      </c>
      <c r="CL641" s="549">
        <v>0</v>
      </c>
      <c r="CM641" s="675">
        <v>0</v>
      </c>
      <c r="CN641" s="549">
        <v>0</v>
      </c>
      <c r="CO641" s="675">
        <v>0</v>
      </c>
      <c r="CP641" s="549">
        <v>0</v>
      </c>
      <c r="CQ641" s="675">
        <v>0</v>
      </c>
      <c r="CR641" s="549">
        <v>0</v>
      </c>
      <c r="CS641" s="675">
        <v>0</v>
      </c>
      <c r="CT641" s="549">
        <v>0</v>
      </c>
      <c r="CU641" s="675">
        <v>0</v>
      </c>
      <c r="CV641" s="549">
        <v>0</v>
      </c>
      <c r="CW641" s="675">
        <v>0</v>
      </c>
      <c r="CX641" s="549">
        <v>0</v>
      </c>
      <c r="CY641" s="675">
        <v>0</v>
      </c>
      <c r="CZ641" s="549">
        <v>0</v>
      </c>
      <c r="DA641" s="675">
        <v>0</v>
      </c>
      <c r="DB641" s="549">
        <v>0</v>
      </c>
      <c r="DC641" s="675">
        <v>0</v>
      </c>
      <c r="DD641" s="549">
        <v>0</v>
      </c>
      <c r="DE641" s="675">
        <v>0</v>
      </c>
      <c r="DF641" s="549">
        <v>0</v>
      </c>
      <c r="DG641" s="675">
        <v>0</v>
      </c>
      <c r="DH641" s="549">
        <v>0</v>
      </c>
      <c r="DI641" s="675">
        <v>0</v>
      </c>
      <c r="DJ641" s="549">
        <v>0</v>
      </c>
      <c r="DK641" s="675">
        <v>0</v>
      </c>
      <c r="DL641" s="549">
        <v>0</v>
      </c>
      <c r="DM641" s="675">
        <v>0</v>
      </c>
      <c r="DN641" s="549">
        <v>0</v>
      </c>
      <c r="DO641" s="675">
        <v>0</v>
      </c>
      <c r="DP641" s="549">
        <v>0</v>
      </c>
      <c r="DQ641" s="675">
        <v>0</v>
      </c>
      <c r="DR641" s="549">
        <v>0</v>
      </c>
      <c r="DS641" s="675">
        <v>0</v>
      </c>
      <c r="DT641" s="549">
        <v>0</v>
      </c>
      <c r="DU641" s="675">
        <v>0</v>
      </c>
      <c r="DV641" s="549">
        <v>0</v>
      </c>
      <c r="DW641" s="675">
        <v>0</v>
      </c>
      <c r="DX641" s="549">
        <v>0</v>
      </c>
      <c r="DY641" s="675">
        <v>0</v>
      </c>
      <c r="DZ641" s="549">
        <v>0</v>
      </c>
      <c r="EA641" s="675">
        <v>0</v>
      </c>
      <c r="EB641" s="549">
        <v>0</v>
      </c>
      <c r="EC641" s="675">
        <v>0</v>
      </c>
      <c r="ED641" s="549">
        <v>0</v>
      </c>
      <c r="EE641" s="675">
        <v>0</v>
      </c>
      <c r="EF641" s="549">
        <v>0</v>
      </c>
      <c r="EG641" s="675">
        <v>0</v>
      </c>
      <c r="EH641" s="549">
        <v>0</v>
      </c>
      <c r="EI641" s="675">
        <v>0</v>
      </c>
      <c r="EJ641" s="549">
        <v>0</v>
      </c>
      <c r="EK641" s="675">
        <v>0</v>
      </c>
      <c r="EL641" s="549">
        <v>0</v>
      </c>
      <c r="EM641" s="675">
        <v>0</v>
      </c>
      <c r="EN641" s="549">
        <v>0</v>
      </c>
      <c r="EO641" s="675">
        <v>0</v>
      </c>
      <c r="EP641" s="549">
        <v>0</v>
      </c>
      <c r="EQ641" s="675">
        <v>0</v>
      </c>
      <c r="ER641" s="549">
        <v>0</v>
      </c>
      <c r="ES641" s="675">
        <v>0</v>
      </c>
      <c r="ET641" s="549">
        <v>0</v>
      </c>
      <c r="EU641" s="675">
        <v>0</v>
      </c>
      <c r="EV641" s="549">
        <v>0</v>
      </c>
      <c r="EW641" s="675">
        <v>0</v>
      </c>
      <c r="EX641" s="549">
        <v>0</v>
      </c>
      <c r="EY641" s="675">
        <v>0</v>
      </c>
      <c r="EZ641" s="549">
        <v>0</v>
      </c>
      <c r="FA641" s="675">
        <v>0</v>
      </c>
      <c r="FB641" s="549">
        <v>0</v>
      </c>
      <c r="FC641" s="675">
        <v>0</v>
      </c>
      <c r="FD641" s="549">
        <v>0</v>
      </c>
      <c r="FE641" s="675">
        <v>0</v>
      </c>
      <c r="FF641" s="549">
        <v>0</v>
      </c>
      <c r="FG641" s="675">
        <v>0</v>
      </c>
      <c r="FH641" s="549">
        <v>0</v>
      </c>
      <c r="FI641" s="675">
        <v>0</v>
      </c>
      <c r="FJ641" s="549">
        <v>0</v>
      </c>
      <c r="FK641" s="675">
        <v>0</v>
      </c>
      <c r="FL641" s="549">
        <v>0</v>
      </c>
      <c r="FM641" s="675">
        <v>0</v>
      </c>
      <c r="FN641" s="549">
        <v>0</v>
      </c>
      <c r="FO641" s="675">
        <v>0</v>
      </c>
      <c r="FP641" s="549">
        <v>0</v>
      </c>
      <c r="FQ641" s="675">
        <v>0</v>
      </c>
      <c r="FR641" s="549">
        <v>0</v>
      </c>
      <c r="FS641" s="675">
        <v>0</v>
      </c>
      <c r="FT641" s="549">
        <v>0</v>
      </c>
      <c r="FU641" s="675">
        <v>0</v>
      </c>
      <c r="FV641" s="549">
        <v>0</v>
      </c>
      <c r="FW641" s="675">
        <v>0</v>
      </c>
      <c r="FX641" s="549">
        <v>0</v>
      </c>
      <c r="FY641" s="675">
        <v>0</v>
      </c>
      <c r="FZ641" s="549">
        <v>0</v>
      </c>
      <c r="GA641" s="675">
        <v>0</v>
      </c>
      <c r="GB641" s="549">
        <v>0</v>
      </c>
      <c r="GC641" s="675">
        <v>0</v>
      </c>
      <c r="GD641" s="549">
        <v>0</v>
      </c>
      <c r="GE641" s="675">
        <v>0</v>
      </c>
      <c r="GF641" s="549">
        <v>0</v>
      </c>
      <c r="GG641" s="675">
        <v>0</v>
      </c>
      <c r="GH641" s="549">
        <v>0</v>
      </c>
      <c r="GI641" s="675">
        <v>0</v>
      </c>
      <c r="GJ641" s="549">
        <v>0</v>
      </c>
      <c r="GK641" s="675">
        <v>0</v>
      </c>
      <c r="GL641" s="549">
        <v>0</v>
      </c>
      <c r="GM641" s="675">
        <v>0</v>
      </c>
      <c r="GN641" s="549">
        <v>0</v>
      </c>
      <c r="GO641" s="675">
        <v>0</v>
      </c>
      <c r="GP641" s="549">
        <f>+D641+F641+H641+J641+L641+N641+P641+R641+T641+V641+X641+Z641+AB641+AF641+AD641+AH641+AJ641+AL641+AN641+AP641+AR641+AT641+AV641+AX641+AZ641+BB641+BD641+BF641+BH641+BJ641+BL641+BN641+BP641+BR641+BT641+BV641+BX641+BZ641+CB641+CD641+CF641+CH641+CJ641+CL641+CN641+CP641+CR641+CT641+CV641+CX641+CZ641+DB641+DD641+DF641+DH641+DT641+EX641+DJ641+DL641+DN641+DP641+DR641+EJ641+EB641+DZ641+DX641+DV641+ED641+EF641+EH641+EL641+EN641+EP641+EV641+ET641+ER641+EZ641+FB641+FD641+GL641+FF641+FJ641+FL641+GJ641+FT641+FR641+FP641+FN641+FH641+GH641+GF641+GD641+GB641+FZ641+FX641+FV641+GN641</f>
        <v>0</v>
      </c>
      <c r="GQ641" s="675">
        <f>+E641+G641+I641+K641+M641+O641+Q641+S641+U641+W641+Y641+AA641+AC641+AE641+AG641+AI641+AK641+AM641+AO641+AQ641+AS641+AU641+AW641+AY641+BA641+BC641+BE641+BG641+BI641+BK641+BM641+BO641+BQ641+BS641+BU641+BW641+BY641+CA641+CC641+CE641+CG641+CI641+CK641+CM641+CO641+CQ641+CS641+CU641+CW641+CY641+DA641+DC641+DE641+DG641+DI641+DU641+EY641+DK641+DM641+DO641+DQ641+DS641+EK641+EC641+EA641+DY641+DW641+EI641+EG641+EE641+EM641+EO641+EQ641+EW641+EU641+ES641+FA641+FC641+FE641+GM641+FG641+FK641+FM641+FO641+FQ641+FS641+FU641+GK641+FI641+GI641+GG641+GE641+GC641+GA641+FY641+FW641+GO641</f>
        <v>0</v>
      </c>
      <c r="GR641" s="74">
        <f>C641+GP641+GQ641</f>
        <v>18000</v>
      </c>
      <c r="GS641" s="74">
        <f>SUM(GU641:HD641)+GP641+GQ641</f>
        <v>16364</v>
      </c>
      <c r="GT641" s="568">
        <f>SUM(GU641:HF641)+GQ641+GP641</f>
        <v>18000</v>
      </c>
      <c r="GU641" s="275">
        <v>1640</v>
      </c>
      <c r="GV641" s="275">
        <v>1636</v>
      </c>
      <c r="GW641" s="275">
        <v>1636</v>
      </c>
      <c r="GX641" s="275">
        <v>1636</v>
      </c>
      <c r="GY641" s="275">
        <v>1636</v>
      </c>
      <c r="GZ641" s="275">
        <v>1636</v>
      </c>
      <c r="HA641" s="275">
        <v>1636</v>
      </c>
      <c r="HB641" s="275">
        <v>1636</v>
      </c>
      <c r="HC641" s="275">
        <v>1636</v>
      </c>
      <c r="HD641" s="275">
        <v>1636</v>
      </c>
      <c r="HE641" s="275">
        <v>1636</v>
      </c>
      <c r="HF641" s="275">
        <v>0</v>
      </c>
      <c r="HG641" s="74">
        <f>SUM(HH641:IE641)+GP641+GQ641</f>
        <v>16364</v>
      </c>
      <c r="HH641" s="89">
        <v>0</v>
      </c>
      <c r="HI641" s="817">
        <v>0</v>
      </c>
      <c r="HJ641" s="89">
        <v>0</v>
      </c>
      <c r="HK641" s="817">
        <f>3000+276</f>
        <v>3276</v>
      </c>
      <c r="HL641" s="89">
        <v>0</v>
      </c>
      <c r="HM641" s="817">
        <f>474+1162</f>
        <v>1636</v>
      </c>
      <c r="HN641" s="89">
        <v>0</v>
      </c>
      <c r="HO641" s="817">
        <f>548+1088</f>
        <v>1636</v>
      </c>
      <c r="HP641" s="89">
        <v>0</v>
      </c>
      <c r="HQ641" s="817">
        <f>952+684</f>
        <v>1636</v>
      </c>
      <c r="HR641" s="89">
        <v>0</v>
      </c>
      <c r="HS641" s="817">
        <f>816+820</f>
        <v>1636</v>
      </c>
      <c r="HT641" s="89">
        <v>0</v>
      </c>
      <c r="HU641" s="817">
        <f>680+956</f>
        <v>1636</v>
      </c>
      <c r="HV641" s="89">
        <v>0</v>
      </c>
      <c r="HW641" s="817">
        <f>1092+544</f>
        <v>1636</v>
      </c>
      <c r="HX641" s="89">
        <v>0</v>
      </c>
      <c r="HY641" s="817">
        <f>408+1228</f>
        <v>1636</v>
      </c>
      <c r="HZ641" s="89">
        <v>0</v>
      </c>
      <c r="IA641" s="817">
        <f>1364+272</f>
        <v>1636</v>
      </c>
      <c r="IB641" s="89">
        <v>0</v>
      </c>
      <c r="IC641" s="817">
        <v>0</v>
      </c>
      <c r="ID641" s="89">
        <v>0</v>
      </c>
      <c r="IE641" s="817">
        <v>0</v>
      </c>
      <c r="IF641" s="841">
        <f t="shared" ref="IF641" si="14713">SUM(II641,IL641,IO641,IR641,IU641,IX641,JA641,JD641,JG641,JJ641,JM641,JP641)</f>
        <v>15000</v>
      </c>
      <c r="IG641" s="263">
        <f t="shared" ref="IG641" si="14714">SUM(IJ641,IM641,IP641,IS641,IV641,IY641,JB641,JE641,JH641,JK641,JN641,JQ641)</f>
        <v>15000</v>
      </c>
      <c r="IH641" s="842">
        <f t="shared" ref="IH641" si="14715">SUM(IK641,IN641,IQ641,IT641,IW641,IZ641,JC641,JF641,JI641,JL641,JO641,JR641)</f>
        <v>15000</v>
      </c>
      <c r="II641" s="89">
        <v>1500</v>
      </c>
      <c r="IJ641" s="89">
        <f t="shared" ref="IJ641" si="14716">II641</f>
        <v>1500</v>
      </c>
      <c r="IK641" s="89">
        <f t="shared" ref="IK641" si="14717">IJ641</f>
        <v>1500</v>
      </c>
      <c r="IL641" s="89">
        <v>1500</v>
      </c>
      <c r="IM641" s="89">
        <f t="shared" ref="IM641" si="14718">IL641</f>
        <v>1500</v>
      </c>
      <c r="IN641" s="89">
        <f t="shared" ref="IN641" si="14719">IM641</f>
        <v>1500</v>
      </c>
      <c r="IO641" s="89">
        <v>750</v>
      </c>
      <c r="IP641" s="89">
        <f t="shared" ref="IP641" si="14720">IO641</f>
        <v>750</v>
      </c>
      <c r="IQ641" s="89">
        <f t="shared" ref="IQ641" si="14721">IP641</f>
        <v>750</v>
      </c>
      <c r="IR641" s="89">
        <f>6000-3750</f>
        <v>2250</v>
      </c>
      <c r="IS641" s="89">
        <f t="shared" ref="IS641" si="14722">IR641</f>
        <v>2250</v>
      </c>
      <c r="IT641" s="89">
        <f t="shared" ref="IT641" si="14723">IS641</f>
        <v>2250</v>
      </c>
      <c r="IU641" s="89">
        <v>1500</v>
      </c>
      <c r="IV641" s="89">
        <f t="shared" ref="IV641" si="14724">IU641</f>
        <v>1500</v>
      </c>
      <c r="IW641" s="89">
        <f t="shared" ref="IW641" si="14725">IV641</f>
        <v>1500</v>
      </c>
      <c r="IX641" s="89">
        <v>1500</v>
      </c>
      <c r="IY641" s="89">
        <f t="shared" ref="IY641" si="14726">IX641</f>
        <v>1500</v>
      </c>
      <c r="IZ641" s="89">
        <f t="shared" ref="IZ641" si="14727">IY641</f>
        <v>1500</v>
      </c>
      <c r="JA641" s="89">
        <f>10500-9000</f>
        <v>1500</v>
      </c>
      <c r="JB641" s="89">
        <f t="shared" ref="JB641" si="14728">JA641</f>
        <v>1500</v>
      </c>
      <c r="JC641" s="89">
        <f t="shared" ref="JC641" si="14729">JB641</f>
        <v>1500</v>
      </c>
      <c r="JD641" s="89">
        <f>12000-10500</f>
        <v>1500</v>
      </c>
      <c r="JE641" s="89">
        <f t="shared" ref="JE641" si="14730">JD641</f>
        <v>1500</v>
      </c>
      <c r="JF641" s="89">
        <f t="shared" ref="JF641" si="14731">JE641</f>
        <v>1500</v>
      </c>
      <c r="JG641" s="89">
        <v>1500</v>
      </c>
      <c r="JH641" s="89">
        <f t="shared" ref="JH641" si="14732">JG641</f>
        <v>1500</v>
      </c>
      <c r="JI641" s="89">
        <f t="shared" ref="JI641" si="14733">JH641</f>
        <v>1500</v>
      </c>
      <c r="JJ641" s="89">
        <f>15000-13500</f>
        <v>1500</v>
      </c>
      <c r="JK641" s="89">
        <f t="shared" ref="JK641" si="14734">JJ641</f>
        <v>1500</v>
      </c>
      <c r="JL641" s="89">
        <f t="shared" ref="JL641" si="14735">JK641</f>
        <v>1500</v>
      </c>
      <c r="JM641" s="89">
        <v>0</v>
      </c>
      <c r="JN641" s="89">
        <f t="shared" ref="JN641" si="14736">JM641</f>
        <v>0</v>
      </c>
      <c r="JO641" s="89">
        <f t="shared" ref="JO641" si="14737">JN641</f>
        <v>0</v>
      </c>
      <c r="JP641" s="89">
        <v>0</v>
      </c>
      <c r="JQ641" s="89">
        <f t="shared" ref="JQ641:JR641" si="14738">JP641</f>
        <v>0</v>
      </c>
      <c r="JR641" s="89">
        <f t="shared" si="14738"/>
        <v>0</v>
      </c>
      <c r="JS641" s="74">
        <f>HG641-IF641</f>
        <v>1364</v>
      </c>
      <c r="JT641" s="382">
        <f>GS641-IF641</f>
        <v>1364</v>
      </c>
      <c r="JU641" s="665"/>
      <c r="JV641" s="489"/>
      <c r="JW641" s="525"/>
      <c r="JX641" s="549">
        <f>SUM(HH641,HJ641,HL641,HN641,HP641,HR641,HT641,HV641,HX641,HZ641,IB641,ID641)</f>
        <v>0</v>
      </c>
      <c r="JY641" s="549">
        <f>SUM(HI641,HK641,HM641,HO641,HQ641,HS641,HU641,HW641,HY641,IA641,IC641,IE641)</f>
        <v>16364</v>
      </c>
      <c r="JZ641" s="581">
        <f t="shared" si="13477"/>
        <v>0</v>
      </c>
      <c r="KA641" s="581">
        <f t="shared" si="13478"/>
        <v>0</v>
      </c>
      <c r="KB641" s="549">
        <f t="shared" si="14516"/>
        <v>16364</v>
      </c>
      <c r="KC641" s="709">
        <f t="shared" ref="KC641:KC744" si="14739">HG641-KB641</f>
        <v>0</v>
      </c>
      <c r="KD641" s="36"/>
      <c r="KE641" s="36"/>
      <c r="KF641" s="36"/>
      <c r="KG641" s="36"/>
      <c r="KH641" s="36"/>
      <c r="KI641" s="36"/>
      <c r="KJ641" s="36"/>
      <c r="KK641" s="36"/>
    </row>
    <row r="642" spans="1:297" s="33" customFormat="1">
      <c r="A642" s="86"/>
      <c r="B642" s="77"/>
      <c r="C642" s="74"/>
      <c r="D642" s="549"/>
      <c r="E642" s="675"/>
      <c r="F642" s="549"/>
      <c r="G642" s="675"/>
      <c r="H642" s="549"/>
      <c r="I642" s="675"/>
      <c r="J642" s="549"/>
      <c r="K642" s="675"/>
      <c r="L642" s="549"/>
      <c r="M642" s="675"/>
      <c r="N642" s="549"/>
      <c r="O642" s="675"/>
      <c r="P642" s="549"/>
      <c r="Q642" s="675"/>
      <c r="R642" s="549"/>
      <c r="S642" s="675"/>
      <c r="T642" s="549"/>
      <c r="U642" s="675"/>
      <c r="V642" s="549"/>
      <c r="W642" s="675"/>
      <c r="X642" s="549"/>
      <c r="Y642" s="675"/>
      <c r="Z642" s="549"/>
      <c r="AA642" s="675"/>
      <c r="AB642" s="549"/>
      <c r="AC642" s="675"/>
      <c r="AD642" s="549"/>
      <c r="AE642" s="675"/>
      <c r="AF642" s="549"/>
      <c r="AG642" s="675"/>
      <c r="AH642" s="549"/>
      <c r="AI642" s="675"/>
      <c r="AJ642" s="549"/>
      <c r="AK642" s="675"/>
      <c r="AL642" s="549"/>
      <c r="AM642" s="675"/>
      <c r="AN642" s="549"/>
      <c r="AO642" s="675"/>
      <c r="AP642" s="549"/>
      <c r="AQ642" s="675"/>
      <c r="AR642" s="549"/>
      <c r="AS642" s="675"/>
      <c r="AT642" s="549"/>
      <c r="AU642" s="675"/>
      <c r="AV642" s="549"/>
      <c r="AW642" s="675"/>
      <c r="AX642" s="549"/>
      <c r="AY642" s="675"/>
      <c r="AZ642" s="549"/>
      <c r="BA642" s="675"/>
      <c r="BB642" s="549"/>
      <c r="BC642" s="675"/>
      <c r="BD642" s="549"/>
      <c r="BE642" s="675"/>
      <c r="BF642" s="549"/>
      <c r="BG642" s="675"/>
      <c r="BH642" s="549"/>
      <c r="BI642" s="675"/>
      <c r="BJ642" s="549"/>
      <c r="BK642" s="675"/>
      <c r="BL642" s="549"/>
      <c r="BM642" s="675"/>
      <c r="BN642" s="549"/>
      <c r="BO642" s="675"/>
      <c r="BP642" s="549"/>
      <c r="BQ642" s="675"/>
      <c r="BR642" s="549"/>
      <c r="BS642" s="675"/>
      <c r="BT642" s="549"/>
      <c r="BU642" s="675"/>
      <c r="BV642" s="549"/>
      <c r="BW642" s="675"/>
      <c r="BX642" s="549"/>
      <c r="BY642" s="675"/>
      <c r="BZ642" s="549"/>
      <c r="CA642" s="675"/>
      <c r="CB642" s="549"/>
      <c r="CC642" s="675"/>
      <c r="CD642" s="549"/>
      <c r="CE642" s="675"/>
      <c r="CF642" s="549"/>
      <c r="CG642" s="675"/>
      <c r="CH642" s="549"/>
      <c r="CI642" s="675"/>
      <c r="CJ642" s="549"/>
      <c r="CK642" s="675"/>
      <c r="CL642" s="549"/>
      <c r="CM642" s="675"/>
      <c r="CN642" s="549"/>
      <c r="CO642" s="675"/>
      <c r="CP642" s="549"/>
      <c r="CQ642" s="675"/>
      <c r="CR642" s="549"/>
      <c r="CS642" s="675"/>
      <c r="CT642" s="549"/>
      <c r="CU642" s="675"/>
      <c r="CV642" s="549"/>
      <c r="CW642" s="675"/>
      <c r="CX642" s="549"/>
      <c r="CY642" s="675"/>
      <c r="CZ642" s="549"/>
      <c r="DA642" s="675"/>
      <c r="DB642" s="549"/>
      <c r="DC642" s="675"/>
      <c r="DD642" s="549"/>
      <c r="DE642" s="675"/>
      <c r="DF642" s="549"/>
      <c r="DG642" s="675"/>
      <c r="DH642" s="549"/>
      <c r="DI642" s="675"/>
      <c r="DJ642" s="549"/>
      <c r="DK642" s="675"/>
      <c r="DL642" s="549"/>
      <c r="DM642" s="675"/>
      <c r="DN642" s="549"/>
      <c r="DO642" s="675"/>
      <c r="DP642" s="549"/>
      <c r="DQ642" s="675"/>
      <c r="DR642" s="549"/>
      <c r="DS642" s="675"/>
      <c r="DT642" s="549"/>
      <c r="DU642" s="675"/>
      <c r="DV642" s="549"/>
      <c r="DW642" s="675"/>
      <c r="DX642" s="549"/>
      <c r="DY642" s="675"/>
      <c r="DZ642" s="549"/>
      <c r="EA642" s="675"/>
      <c r="EB642" s="549"/>
      <c r="EC642" s="675"/>
      <c r="ED642" s="549"/>
      <c r="EE642" s="675"/>
      <c r="EF642" s="549"/>
      <c r="EG642" s="675"/>
      <c r="EH642" s="549"/>
      <c r="EI642" s="675"/>
      <c r="EJ642" s="549"/>
      <c r="EK642" s="675"/>
      <c r="EL642" s="549"/>
      <c r="EM642" s="675"/>
      <c r="EN642" s="549"/>
      <c r="EO642" s="675"/>
      <c r="EP642" s="549"/>
      <c r="EQ642" s="675"/>
      <c r="ER642" s="549"/>
      <c r="ES642" s="675"/>
      <c r="ET642" s="549"/>
      <c r="EU642" s="675"/>
      <c r="EV642" s="549"/>
      <c r="EW642" s="675"/>
      <c r="EX642" s="549"/>
      <c r="EY642" s="675"/>
      <c r="EZ642" s="549"/>
      <c r="FA642" s="675"/>
      <c r="FB642" s="549"/>
      <c r="FC642" s="675"/>
      <c r="FD642" s="549"/>
      <c r="FE642" s="675"/>
      <c r="FF642" s="549"/>
      <c r="FG642" s="675"/>
      <c r="FH642" s="549"/>
      <c r="FI642" s="675"/>
      <c r="FJ642" s="549"/>
      <c r="FK642" s="675"/>
      <c r="FL642" s="549"/>
      <c r="FM642" s="675"/>
      <c r="FN642" s="549"/>
      <c r="FO642" s="675"/>
      <c r="FP642" s="549"/>
      <c r="FQ642" s="675"/>
      <c r="FR642" s="549"/>
      <c r="FS642" s="675"/>
      <c r="FT642" s="549"/>
      <c r="FU642" s="675"/>
      <c r="FV642" s="549"/>
      <c r="FW642" s="675"/>
      <c r="FX642" s="549"/>
      <c r="FY642" s="675"/>
      <c r="FZ642" s="549"/>
      <c r="GA642" s="675"/>
      <c r="GB642" s="549"/>
      <c r="GC642" s="675"/>
      <c r="GD642" s="549"/>
      <c r="GE642" s="675"/>
      <c r="GF642" s="549"/>
      <c r="GG642" s="675"/>
      <c r="GH642" s="549"/>
      <c r="GI642" s="675"/>
      <c r="GJ642" s="549"/>
      <c r="GK642" s="675"/>
      <c r="GL642" s="549"/>
      <c r="GM642" s="675"/>
      <c r="GN642" s="549"/>
      <c r="GO642" s="675"/>
      <c r="GP642" s="549"/>
      <c r="GQ642" s="675"/>
      <c r="GR642" s="74"/>
      <c r="GS642" s="74"/>
      <c r="GT642" s="568"/>
      <c r="GU642" s="275"/>
      <c r="GV642" s="275"/>
      <c r="GW642" s="588"/>
      <c r="GX642" s="588"/>
      <c r="GY642" s="275"/>
      <c r="GZ642" s="275"/>
      <c r="HA642" s="275"/>
      <c r="HB642" s="275"/>
      <c r="HC642" s="275"/>
      <c r="HD642" s="275"/>
      <c r="HE642" s="275"/>
      <c r="HF642" s="275"/>
      <c r="HG642" s="74"/>
      <c r="HH642" s="89"/>
      <c r="HI642" s="817"/>
      <c r="HJ642" s="89"/>
      <c r="HK642" s="817"/>
      <c r="HL642" s="89"/>
      <c r="HM642" s="817"/>
      <c r="HN642" s="89"/>
      <c r="HO642" s="817"/>
      <c r="HP642" s="89"/>
      <c r="HQ642" s="817"/>
      <c r="HR642" s="89"/>
      <c r="HS642" s="817"/>
      <c r="HT642" s="89"/>
      <c r="HU642" s="817"/>
      <c r="HV642" s="89"/>
      <c r="HW642" s="817"/>
      <c r="HX642" s="89"/>
      <c r="HY642" s="817"/>
      <c r="HZ642" s="89"/>
      <c r="IA642" s="817"/>
      <c r="IB642" s="89"/>
      <c r="IC642" s="817"/>
      <c r="ID642" s="89"/>
      <c r="IE642" s="817"/>
      <c r="IF642" s="841"/>
      <c r="IG642" s="263"/>
      <c r="IH642" s="842"/>
      <c r="II642" s="89"/>
      <c r="IJ642" s="89"/>
      <c r="IK642" s="89"/>
      <c r="IL642" s="89"/>
      <c r="IM642" s="89"/>
      <c r="IN642" s="89"/>
      <c r="IO642" s="89"/>
      <c r="IP642" s="89"/>
      <c r="IQ642" s="89"/>
      <c r="IR642" s="89"/>
      <c r="IS642" s="89"/>
      <c r="IT642" s="89"/>
      <c r="IU642" s="89"/>
      <c r="IV642" s="89"/>
      <c r="IW642" s="89"/>
      <c r="IX642" s="89"/>
      <c r="IY642" s="89"/>
      <c r="IZ642" s="89"/>
      <c r="JA642" s="89"/>
      <c r="JB642" s="89"/>
      <c r="JC642" s="89"/>
      <c r="JD642" s="89"/>
      <c r="JE642" s="89"/>
      <c r="JF642" s="89"/>
      <c r="JG642" s="89"/>
      <c r="JH642" s="89"/>
      <c r="JI642" s="89"/>
      <c r="JJ642" s="89"/>
      <c r="JK642" s="89"/>
      <c r="JL642" s="89"/>
      <c r="JM642" s="89"/>
      <c r="JN642" s="89"/>
      <c r="JO642" s="89"/>
      <c r="JP642" s="89"/>
      <c r="JQ642" s="89"/>
      <c r="JR642" s="89"/>
      <c r="JS642" s="74"/>
      <c r="JT642" s="382"/>
      <c r="JU642" s="665"/>
      <c r="JV642" s="524"/>
      <c r="JW642" s="525"/>
      <c r="JX642" s="549"/>
      <c r="JY642" s="549"/>
      <c r="JZ642" s="581">
        <f t="shared" ref="JZ642:JZ745" si="14740">GP642</f>
        <v>0</v>
      </c>
      <c r="KA642" s="581">
        <f t="shared" ref="JZ642:KA745" si="14741">GQ642</f>
        <v>0</v>
      </c>
      <c r="KB642" s="549">
        <f t="shared" si="14516"/>
        <v>0</v>
      </c>
      <c r="KC642" s="709">
        <f t="shared" si="14739"/>
        <v>0</v>
      </c>
      <c r="KD642" s="36"/>
      <c r="KE642" s="36"/>
      <c r="KF642" s="36"/>
      <c r="KG642" s="36"/>
      <c r="KH642" s="36"/>
      <c r="KI642" s="36"/>
      <c r="KJ642" s="36"/>
      <c r="KK642" s="36"/>
    </row>
    <row r="643" spans="1:297" s="33" customFormat="1">
      <c r="A643" s="86" t="s">
        <v>339</v>
      </c>
      <c r="B643" s="77" t="s">
        <v>66</v>
      </c>
      <c r="C643" s="74">
        <v>9400</v>
      </c>
      <c r="D643" s="549">
        <v>0</v>
      </c>
      <c r="E643" s="675">
        <v>0</v>
      </c>
      <c r="F643" s="549">
        <v>0</v>
      </c>
      <c r="G643" s="675">
        <v>0</v>
      </c>
      <c r="H643" s="549">
        <v>0</v>
      </c>
      <c r="I643" s="675">
        <v>0</v>
      </c>
      <c r="J643" s="549">
        <v>0</v>
      </c>
      <c r="K643" s="675">
        <v>0</v>
      </c>
      <c r="L643" s="549">
        <v>0</v>
      </c>
      <c r="M643" s="675">
        <v>0</v>
      </c>
      <c r="N643" s="549">
        <v>0</v>
      </c>
      <c r="O643" s="675">
        <v>0</v>
      </c>
      <c r="P643" s="549">
        <v>0</v>
      </c>
      <c r="Q643" s="675">
        <v>0</v>
      </c>
      <c r="R643" s="549">
        <v>0</v>
      </c>
      <c r="S643" s="675">
        <v>0</v>
      </c>
      <c r="T643" s="549">
        <v>0</v>
      </c>
      <c r="U643" s="675">
        <v>0</v>
      </c>
      <c r="V643" s="549">
        <v>0</v>
      </c>
      <c r="W643" s="675">
        <v>0</v>
      </c>
      <c r="X643" s="549">
        <v>0</v>
      </c>
      <c r="Y643" s="675">
        <v>0</v>
      </c>
      <c r="Z643" s="549">
        <v>0</v>
      </c>
      <c r="AA643" s="675">
        <v>0</v>
      </c>
      <c r="AB643" s="549">
        <v>0</v>
      </c>
      <c r="AC643" s="675">
        <v>0</v>
      </c>
      <c r="AD643" s="549">
        <v>0</v>
      </c>
      <c r="AE643" s="675">
        <v>0</v>
      </c>
      <c r="AF643" s="549">
        <v>0</v>
      </c>
      <c r="AG643" s="675">
        <v>0</v>
      </c>
      <c r="AH643" s="549">
        <v>0</v>
      </c>
      <c r="AI643" s="675">
        <v>0</v>
      </c>
      <c r="AJ643" s="549">
        <v>0</v>
      </c>
      <c r="AK643" s="675">
        <v>0</v>
      </c>
      <c r="AL643" s="549">
        <v>0</v>
      </c>
      <c r="AM643" s="675">
        <v>0</v>
      </c>
      <c r="AN643" s="549">
        <v>0</v>
      </c>
      <c r="AO643" s="675">
        <v>-2034</v>
      </c>
      <c r="AP643" s="549">
        <v>0</v>
      </c>
      <c r="AQ643" s="675">
        <v>0</v>
      </c>
      <c r="AR643" s="549">
        <v>0</v>
      </c>
      <c r="AS643" s="675">
        <v>0</v>
      </c>
      <c r="AT643" s="549">
        <v>0</v>
      </c>
      <c r="AU643" s="675">
        <v>0</v>
      </c>
      <c r="AV643" s="549">
        <v>0</v>
      </c>
      <c r="AW643" s="675">
        <v>0</v>
      </c>
      <c r="AX643" s="549">
        <v>0</v>
      </c>
      <c r="AY643" s="675">
        <v>0</v>
      </c>
      <c r="AZ643" s="549">
        <v>0</v>
      </c>
      <c r="BA643" s="675">
        <v>0</v>
      </c>
      <c r="BB643" s="549">
        <v>0</v>
      </c>
      <c r="BC643" s="675">
        <v>0</v>
      </c>
      <c r="BD643" s="549">
        <v>0</v>
      </c>
      <c r="BE643" s="675">
        <v>0</v>
      </c>
      <c r="BF643" s="549">
        <v>0</v>
      </c>
      <c r="BG643" s="675">
        <v>0</v>
      </c>
      <c r="BH643" s="549">
        <v>0</v>
      </c>
      <c r="BI643" s="675">
        <v>0</v>
      </c>
      <c r="BJ643" s="549">
        <v>0</v>
      </c>
      <c r="BK643" s="675">
        <v>0</v>
      </c>
      <c r="BL643" s="549">
        <v>0</v>
      </c>
      <c r="BM643" s="675">
        <v>0</v>
      </c>
      <c r="BN643" s="549">
        <v>0</v>
      </c>
      <c r="BO643" s="675">
        <v>0</v>
      </c>
      <c r="BP643" s="549">
        <v>0</v>
      </c>
      <c r="BQ643" s="675">
        <v>0</v>
      </c>
      <c r="BR643" s="549">
        <v>0</v>
      </c>
      <c r="BS643" s="675">
        <v>0</v>
      </c>
      <c r="BT643" s="549">
        <v>0</v>
      </c>
      <c r="BU643" s="675">
        <v>0</v>
      </c>
      <c r="BV643" s="549">
        <v>0</v>
      </c>
      <c r="BW643" s="675">
        <v>0</v>
      </c>
      <c r="BX643" s="549">
        <v>0</v>
      </c>
      <c r="BY643" s="675">
        <v>0</v>
      </c>
      <c r="BZ643" s="549">
        <v>0</v>
      </c>
      <c r="CA643" s="675">
        <v>0</v>
      </c>
      <c r="CB643" s="549">
        <v>0</v>
      </c>
      <c r="CC643" s="675">
        <v>0</v>
      </c>
      <c r="CD643" s="549">
        <v>0</v>
      </c>
      <c r="CE643" s="675">
        <v>0</v>
      </c>
      <c r="CF643" s="549">
        <v>0</v>
      </c>
      <c r="CG643" s="675">
        <v>0</v>
      </c>
      <c r="CH643" s="549">
        <v>0</v>
      </c>
      <c r="CI643" s="675">
        <v>0</v>
      </c>
      <c r="CJ643" s="549">
        <v>0</v>
      </c>
      <c r="CK643" s="675">
        <v>0</v>
      </c>
      <c r="CL643" s="549">
        <v>0</v>
      </c>
      <c r="CM643" s="675">
        <v>0</v>
      </c>
      <c r="CN643" s="549">
        <v>0</v>
      </c>
      <c r="CO643" s="675">
        <v>0</v>
      </c>
      <c r="CP643" s="549">
        <v>0</v>
      </c>
      <c r="CQ643" s="675">
        <v>0</v>
      </c>
      <c r="CR643" s="549">
        <v>0</v>
      </c>
      <c r="CS643" s="675">
        <v>0</v>
      </c>
      <c r="CT643" s="549">
        <v>0</v>
      </c>
      <c r="CU643" s="675">
        <v>0</v>
      </c>
      <c r="CV643" s="549">
        <v>0</v>
      </c>
      <c r="CW643" s="675">
        <v>0</v>
      </c>
      <c r="CX643" s="549">
        <v>0</v>
      </c>
      <c r="CY643" s="675">
        <v>0</v>
      </c>
      <c r="CZ643" s="549">
        <v>0</v>
      </c>
      <c r="DA643" s="675">
        <v>0</v>
      </c>
      <c r="DB643" s="549">
        <v>0</v>
      </c>
      <c r="DC643" s="675">
        <v>0</v>
      </c>
      <c r="DD643" s="549">
        <v>0</v>
      </c>
      <c r="DE643" s="675">
        <v>0</v>
      </c>
      <c r="DF643" s="549">
        <v>0</v>
      </c>
      <c r="DG643" s="675">
        <v>0</v>
      </c>
      <c r="DH643" s="549">
        <v>0</v>
      </c>
      <c r="DI643" s="675">
        <v>0</v>
      </c>
      <c r="DJ643" s="549">
        <v>0</v>
      </c>
      <c r="DK643" s="675">
        <v>0</v>
      </c>
      <c r="DL643" s="549">
        <v>0</v>
      </c>
      <c r="DM643" s="675">
        <v>0</v>
      </c>
      <c r="DN643" s="549">
        <v>0</v>
      </c>
      <c r="DO643" s="675">
        <v>0</v>
      </c>
      <c r="DP643" s="549">
        <v>0</v>
      </c>
      <c r="DQ643" s="675">
        <v>0</v>
      </c>
      <c r="DR643" s="549">
        <v>0</v>
      </c>
      <c r="DS643" s="675">
        <v>0</v>
      </c>
      <c r="DT643" s="549">
        <v>0</v>
      </c>
      <c r="DU643" s="675">
        <v>0</v>
      </c>
      <c r="DV643" s="549">
        <v>0</v>
      </c>
      <c r="DW643" s="675">
        <v>0</v>
      </c>
      <c r="DX643" s="549">
        <v>0</v>
      </c>
      <c r="DY643" s="675">
        <v>0</v>
      </c>
      <c r="DZ643" s="549">
        <v>0</v>
      </c>
      <c r="EA643" s="675">
        <v>0</v>
      </c>
      <c r="EB643" s="549">
        <v>0</v>
      </c>
      <c r="EC643" s="675">
        <v>0</v>
      </c>
      <c r="ED643" s="549">
        <v>0</v>
      </c>
      <c r="EE643" s="675">
        <v>-2000</v>
      </c>
      <c r="EF643" s="549">
        <v>0</v>
      </c>
      <c r="EG643" s="675">
        <v>0</v>
      </c>
      <c r="EH643" s="549">
        <v>0</v>
      </c>
      <c r="EI643" s="675">
        <v>0</v>
      </c>
      <c r="EJ643" s="549">
        <v>0</v>
      </c>
      <c r="EK643" s="675">
        <v>0</v>
      </c>
      <c r="EL643" s="549">
        <v>0</v>
      </c>
      <c r="EM643" s="675">
        <v>0</v>
      </c>
      <c r="EN643" s="549">
        <v>0</v>
      </c>
      <c r="EO643" s="675">
        <v>0</v>
      </c>
      <c r="EP643" s="549">
        <v>0</v>
      </c>
      <c r="EQ643" s="675">
        <v>0</v>
      </c>
      <c r="ER643" s="549">
        <v>0</v>
      </c>
      <c r="ES643" s="675">
        <v>0</v>
      </c>
      <c r="ET643" s="549">
        <v>0</v>
      </c>
      <c r="EU643" s="675">
        <v>0</v>
      </c>
      <c r="EV643" s="549">
        <v>0</v>
      </c>
      <c r="EW643" s="675">
        <v>0</v>
      </c>
      <c r="EX643" s="549">
        <v>0</v>
      </c>
      <c r="EY643" s="675">
        <v>0</v>
      </c>
      <c r="EZ643" s="549">
        <v>0</v>
      </c>
      <c r="FA643" s="675">
        <v>0</v>
      </c>
      <c r="FB643" s="549">
        <v>0</v>
      </c>
      <c r="FC643" s="675">
        <v>0</v>
      </c>
      <c r="FD643" s="549">
        <v>0</v>
      </c>
      <c r="FE643" s="675">
        <v>0</v>
      </c>
      <c r="FF643" s="549">
        <v>0</v>
      </c>
      <c r="FG643" s="675">
        <v>0</v>
      </c>
      <c r="FH643" s="549">
        <v>0</v>
      </c>
      <c r="FI643" s="675">
        <v>0</v>
      </c>
      <c r="FJ643" s="549">
        <v>0</v>
      </c>
      <c r="FK643" s="675">
        <v>0</v>
      </c>
      <c r="FL643" s="549">
        <v>0</v>
      </c>
      <c r="FM643" s="675">
        <v>0</v>
      </c>
      <c r="FN643" s="549">
        <v>0</v>
      </c>
      <c r="FO643" s="675">
        <v>0</v>
      </c>
      <c r="FP643" s="549">
        <v>0</v>
      </c>
      <c r="FQ643" s="675">
        <v>0</v>
      </c>
      <c r="FR643" s="549">
        <v>0</v>
      </c>
      <c r="FS643" s="675">
        <v>0</v>
      </c>
      <c r="FT643" s="549">
        <v>0</v>
      </c>
      <c r="FU643" s="675">
        <v>0</v>
      </c>
      <c r="FV643" s="549">
        <v>0</v>
      </c>
      <c r="FW643" s="675">
        <v>0</v>
      </c>
      <c r="FX643" s="549">
        <v>0</v>
      </c>
      <c r="FY643" s="675">
        <v>0</v>
      </c>
      <c r="FZ643" s="549">
        <v>0</v>
      </c>
      <c r="GA643" s="675">
        <v>0</v>
      </c>
      <c r="GB643" s="549">
        <v>0</v>
      </c>
      <c r="GC643" s="675">
        <v>0</v>
      </c>
      <c r="GD643" s="549">
        <v>0</v>
      </c>
      <c r="GE643" s="675">
        <v>0</v>
      </c>
      <c r="GF643" s="549">
        <v>0</v>
      </c>
      <c r="GG643" s="675">
        <v>0</v>
      </c>
      <c r="GH643" s="549">
        <v>0</v>
      </c>
      <c r="GI643" s="675">
        <v>0</v>
      </c>
      <c r="GJ643" s="549">
        <v>0</v>
      </c>
      <c r="GK643" s="675">
        <v>0</v>
      </c>
      <c r="GL643" s="549">
        <v>0</v>
      </c>
      <c r="GM643" s="675">
        <v>0</v>
      </c>
      <c r="GN643" s="549">
        <v>0</v>
      </c>
      <c r="GO643" s="675">
        <v>0</v>
      </c>
      <c r="GP643" s="549">
        <f>+D643+F643+H643+J643+L643+N643+P643+R643+T643+V643+X643+Z643+AB643+AF643+AD643+AH643+AJ643+AL643+AN643+AP643+AR643+AT643+AV643+AX643+AZ643+BB643+BD643+BF643+BH643+BJ643+BL643+BN643+BP643+BR643+BT643+BV643+BX643+BZ643+CB643+CD643+CF643+CH643+CJ643+CL643+CN643+CP643+CR643+CT643+CV643+CX643+CZ643+DB643+DD643+DF643+DH643+DT643+EX643+DJ643+DL643+DN643+DP643+DR643+EJ643+EB643+DZ643+DX643+DV643+ED643+EF643+EH643+EL643+EN643+EP643+EV643+ET643+ER643+EZ643+FB643+FD643+GL643+FF643+FJ643+FL643+GJ643+FT643+FR643+FP643+FN643+FH643+GH643+GF643+GD643+GB643+FZ643+FX643+FV643+GN643</f>
        <v>0</v>
      </c>
      <c r="GQ643" s="675">
        <f>+E643+G643+I643+K643+M643+O643+Q643+S643+U643+W643+Y643+AA643+AC643+AE643+AG643+AI643+AK643+AM643+AO643+AQ643+AS643+AU643+AW643+AY643+BA643+BC643+BE643+BG643+BI643+BK643+BM643+BO643+BQ643+BS643+BU643+BW643+BY643+CA643+CC643+CE643+CG643+CI643+CK643+CM643+CO643+CQ643+CS643+CU643+CW643+CY643+DA643+DC643+DE643+DG643+DI643+DU643+EY643+DK643+DM643+DO643+DQ643+DS643+EK643+EC643+EA643+DY643+DW643+EI643+EG643+EE643+EM643+EO643+EQ643+EW643+EU643+ES643+FA643+FC643+FE643+GM643+FG643+FK643+FM643+FO643+FQ643+FS643+FU643+GK643+FI643+GI643+GG643+GE643+GC643+GA643+FY643+FW643+GO643</f>
        <v>-4034</v>
      </c>
      <c r="GR643" s="74">
        <f>C643+GP643+GQ643</f>
        <v>5366</v>
      </c>
      <c r="GS643" s="74">
        <f>SUM(GU643:HD643)+GP643+GQ643</f>
        <v>2233</v>
      </c>
      <c r="GT643" s="568">
        <f>SUM(GU643:HF643)+GQ643+GP643</f>
        <v>5366</v>
      </c>
      <c r="GU643" s="275"/>
      <c r="GV643" s="831">
        <v>3134</v>
      </c>
      <c r="GW643" s="588"/>
      <c r="GX643" s="588"/>
      <c r="GY643" s="275"/>
      <c r="GZ643" s="275"/>
      <c r="HA643" s="275"/>
      <c r="HB643" s="831">
        <v>3133</v>
      </c>
      <c r="HC643" s="275"/>
      <c r="HD643" s="275"/>
      <c r="HE643" s="275">
        <v>3133</v>
      </c>
      <c r="HF643" s="275">
        <v>0</v>
      </c>
      <c r="HG643" s="74">
        <f>SUM(HH643:IE643)+GP643+GQ643</f>
        <v>2233</v>
      </c>
      <c r="HH643" s="89">
        <v>0</v>
      </c>
      <c r="HI643" s="817">
        <v>0</v>
      </c>
      <c r="HJ643" s="89">
        <v>0</v>
      </c>
      <c r="HK643" s="817">
        <f>1099.98+2034.02</f>
        <v>3134</v>
      </c>
      <c r="HL643" s="89">
        <v>0</v>
      </c>
      <c r="HM643" s="817">
        <v>0</v>
      </c>
      <c r="HN643" s="89">
        <v>0</v>
      </c>
      <c r="HO643" s="817">
        <v>0</v>
      </c>
      <c r="HP643" s="89">
        <v>0</v>
      </c>
      <c r="HQ643" s="817">
        <v>0</v>
      </c>
      <c r="HR643" s="89">
        <v>0</v>
      </c>
      <c r="HS643" s="817">
        <v>0</v>
      </c>
      <c r="HT643" s="89">
        <v>0</v>
      </c>
      <c r="HU643" s="817">
        <v>0</v>
      </c>
      <c r="HV643" s="89">
        <v>0</v>
      </c>
      <c r="HW643" s="817">
        <f>2033.04+1099.96</f>
        <v>3133</v>
      </c>
      <c r="HX643" s="89">
        <v>0</v>
      </c>
      <c r="HY643" s="817">
        <v>0</v>
      </c>
      <c r="HZ643" s="89">
        <v>0</v>
      </c>
      <c r="IA643" s="817">
        <v>0</v>
      </c>
      <c r="IB643" s="89">
        <v>0</v>
      </c>
      <c r="IC643" s="817">
        <v>0</v>
      </c>
      <c r="ID643" s="89">
        <v>0</v>
      </c>
      <c r="IE643" s="817">
        <v>0</v>
      </c>
      <c r="IF643" s="841">
        <f t="shared" ref="IF643" si="14742">SUM(II643,IL643,IO643,IR643,IU643,IX643,JA643,JD643,JG643,JJ643,JM643,JP643)</f>
        <v>2199.96</v>
      </c>
      <c r="IG643" s="263">
        <f t="shared" ref="IG643" si="14743">SUM(IJ643,IM643,IP643,IS643,IV643,IY643,JB643,JE643,JH643,JK643,JN643,JQ643)</f>
        <v>2199.96</v>
      </c>
      <c r="IH643" s="842">
        <f t="shared" ref="IH643" si="14744">SUM(IK643,IN643,IQ643,IT643,IW643,IZ643,JC643,JF643,JI643,JL643,JO643,JR643)</f>
        <v>2199.96</v>
      </c>
      <c r="II643" s="89">
        <v>0</v>
      </c>
      <c r="IJ643" s="89">
        <f t="shared" ref="IJ643" si="14745">II643</f>
        <v>0</v>
      </c>
      <c r="IK643" s="89">
        <f t="shared" ref="IK643" si="14746">IJ643</f>
        <v>0</v>
      </c>
      <c r="IL643" s="89">
        <v>1099.98</v>
      </c>
      <c r="IM643" s="89">
        <f t="shared" ref="IM643" si="14747">IL643</f>
        <v>1099.98</v>
      </c>
      <c r="IN643" s="89">
        <f t="shared" ref="IN643" si="14748">IM643</f>
        <v>1099.98</v>
      </c>
      <c r="IO643" s="89">
        <v>0</v>
      </c>
      <c r="IP643" s="89">
        <f t="shared" ref="IP643" si="14749">IO643</f>
        <v>0</v>
      </c>
      <c r="IQ643" s="89">
        <f t="shared" ref="IQ643" si="14750">IP643</f>
        <v>0</v>
      </c>
      <c r="IR643" s="89">
        <v>0</v>
      </c>
      <c r="IS643" s="89">
        <f t="shared" ref="IS643" si="14751">IR643</f>
        <v>0</v>
      </c>
      <c r="IT643" s="89">
        <f t="shared" ref="IT643" si="14752">IS643</f>
        <v>0</v>
      </c>
      <c r="IU643" s="89">
        <v>0</v>
      </c>
      <c r="IV643" s="89">
        <f t="shared" ref="IV643" si="14753">IU643</f>
        <v>0</v>
      </c>
      <c r="IW643" s="89">
        <f t="shared" ref="IW643" si="14754">IV643</f>
        <v>0</v>
      </c>
      <c r="IX643" s="89">
        <v>0</v>
      </c>
      <c r="IY643" s="89">
        <f t="shared" ref="IY643" si="14755">IX643</f>
        <v>0</v>
      </c>
      <c r="IZ643" s="89">
        <f t="shared" ref="IZ643" si="14756">IY643</f>
        <v>0</v>
      </c>
      <c r="JA643" s="89">
        <f>1099.98-1099.98</f>
        <v>0</v>
      </c>
      <c r="JB643" s="89">
        <f t="shared" ref="JB643" si="14757">JA643</f>
        <v>0</v>
      </c>
      <c r="JC643" s="89">
        <f t="shared" ref="JC643" si="14758">JB643</f>
        <v>0</v>
      </c>
      <c r="JD643" s="89">
        <f>2199.96-1099.98</f>
        <v>1099.98</v>
      </c>
      <c r="JE643" s="89">
        <f t="shared" ref="JE643" si="14759">JD643</f>
        <v>1099.98</v>
      </c>
      <c r="JF643" s="89">
        <f t="shared" ref="JF643" si="14760">JE643</f>
        <v>1099.98</v>
      </c>
      <c r="JG643" s="89">
        <v>0</v>
      </c>
      <c r="JH643" s="89">
        <f t="shared" ref="JH643" si="14761">JG643</f>
        <v>0</v>
      </c>
      <c r="JI643" s="89">
        <f t="shared" ref="JI643" si="14762">JH643</f>
        <v>0</v>
      </c>
      <c r="JJ643" s="89">
        <v>0</v>
      </c>
      <c r="JK643" s="89">
        <f t="shared" ref="JK643" si="14763">JJ643</f>
        <v>0</v>
      </c>
      <c r="JL643" s="89">
        <f t="shared" ref="JL643" si="14764">JK643</f>
        <v>0</v>
      </c>
      <c r="JM643" s="89">
        <v>0</v>
      </c>
      <c r="JN643" s="89">
        <f t="shared" ref="JN643" si="14765">JM643</f>
        <v>0</v>
      </c>
      <c r="JO643" s="89">
        <f t="shared" ref="JO643" si="14766">JN643</f>
        <v>0</v>
      </c>
      <c r="JP643" s="89">
        <v>0</v>
      </c>
      <c r="JQ643" s="89">
        <f t="shared" ref="JQ643:JR643" si="14767">JP643</f>
        <v>0</v>
      </c>
      <c r="JR643" s="89">
        <f t="shared" si="14767"/>
        <v>0</v>
      </c>
      <c r="JS643" s="74">
        <f>HG643-IF643</f>
        <v>33.039999999999964</v>
      </c>
      <c r="JT643" s="382">
        <f>GS643-IF643</f>
        <v>33.039999999999964</v>
      </c>
      <c r="JU643" s="665"/>
      <c r="JV643" s="524"/>
      <c r="JW643" s="525"/>
      <c r="JX643" s="549">
        <f>SUM(HH643,HJ643,HL643,HN643,HP643,HR643,HT643,HV643,HX643,HZ643,IB643,ID643)</f>
        <v>0</v>
      </c>
      <c r="JY643" s="549">
        <f>SUM(HI643,HK643,HM643,HO643,HQ643,HS643,HU643,HW643,HY643,IA643,IC643,IE643)</f>
        <v>6267</v>
      </c>
      <c r="JZ643" s="581">
        <f t="shared" si="14740"/>
        <v>0</v>
      </c>
      <c r="KA643" s="581">
        <f t="shared" si="14741"/>
        <v>-4034</v>
      </c>
      <c r="KB643" s="549">
        <f t="shared" si="14516"/>
        <v>2233</v>
      </c>
      <c r="KC643" s="709">
        <f t="shared" si="14739"/>
        <v>0</v>
      </c>
      <c r="KD643" s="36"/>
      <c r="KE643" s="36"/>
      <c r="KF643" s="36"/>
      <c r="KG643" s="36"/>
      <c r="KH643" s="36"/>
      <c r="KI643" s="36"/>
      <c r="KJ643" s="36"/>
      <c r="KK643" s="36"/>
    </row>
    <row r="644" spans="1:297" s="33" customFormat="1">
      <c r="A644" s="86"/>
      <c r="B644" s="77"/>
      <c r="C644" s="74"/>
      <c r="D644" s="549"/>
      <c r="E644" s="675"/>
      <c r="F644" s="549"/>
      <c r="G644" s="675"/>
      <c r="H644" s="549"/>
      <c r="I644" s="675"/>
      <c r="J644" s="549"/>
      <c r="K644" s="675"/>
      <c r="L644" s="549"/>
      <c r="M644" s="675"/>
      <c r="N644" s="549"/>
      <c r="O644" s="675"/>
      <c r="P644" s="549"/>
      <c r="Q644" s="675"/>
      <c r="R644" s="549"/>
      <c r="S644" s="675"/>
      <c r="T644" s="549"/>
      <c r="U644" s="675"/>
      <c r="V644" s="549"/>
      <c r="W644" s="675"/>
      <c r="X644" s="549"/>
      <c r="Y644" s="675"/>
      <c r="Z644" s="549"/>
      <c r="AA644" s="675"/>
      <c r="AB644" s="549"/>
      <c r="AC644" s="675"/>
      <c r="AD644" s="549"/>
      <c r="AE644" s="675"/>
      <c r="AF644" s="549"/>
      <c r="AG644" s="675"/>
      <c r="AH644" s="549"/>
      <c r="AI644" s="675"/>
      <c r="AJ644" s="549"/>
      <c r="AK644" s="675"/>
      <c r="AL644" s="549"/>
      <c r="AM644" s="675"/>
      <c r="AN644" s="549"/>
      <c r="AO644" s="675"/>
      <c r="AP644" s="549"/>
      <c r="AQ644" s="675"/>
      <c r="AR644" s="549"/>
      <c r="AS644" s="675"/>
      <c r="AT644" s="549"/>
      <c r="AU644" s="675"/>
      <c r="AV644" s="549"/>
      <c r="AW644" s="675"/>
      <c r="AX644" s="549"/>
      <c r="AY644" s="675"/>
      <c r="AZ644" s="549"/>
      <c r="BA644" s="675"/>
      <c r="BB644" s="549"/>
      <c r="BC644" s="675"/>
      <c r="BD644" s="549"/>
      <c r="BE644" s="675"/>
      <c r="BF644" s="549"/>
      <c r="BG644" s="675"/>
      <c r="BH644" s="549"/>
      <c r="BI644" s="675"/>
      <c r="BJ644" s="549"/>
      <c r="BK644" s="675"/>
      <c r="BL644" s="549"/>
      <c r="BM644" s="675"/>
      <c r="BN644" s="549"/>
      <c r="BO644" s="675"/>
      <c r="BP644" s="549"/>
      <c r="BQ644" s="675"/>
      <c r="BR644" s="549"/>
      <c r="BS644" s="675"/>
      <c r="BT644" s="549"/>
      <c r="BU644" s="675"/>
      <c r="BV644" s="549"/>
      <c r="BW644" s="675"/>
      <c r="BX644" s="549"/>
      <c r="BY644" s="675"/>
      <c r="BZ644" s="549"/>
      <c r="CA644" s="675"/>
      <c r="CB644" s="549"/>
      <c r="CC644" s="675"/>
      <c r="CD644" s="549"/>
      <c r="CE644" s="675"/>
      <c r="CF644" s="549"/>
      <c r="CG644" s="675"/>
      <c r="CH644" s="549"/>
      <c r="CI644" s="675"/>
      <c r="CJ644" s="549"/>
      <c r="CK644" s="675"/>
      <c r="CL644" s="549"/>
      <c r="CM644" s="675"/>
      <c r="CN644" s="549"/>
      <c r="CO644" s="675"/>
      <c r="CP644" s="549"/>
      <c r="CQ644" s="675"/>
      <c r="CR644" s="549"/>
      <c r="CS644" s="675"/>
      <c r="CT644" s="549"/>
      <c r="CU644" s="675"/>
      <c r="CV644" s="549"/>
      <c r="CW644" s="675"/>
      <c r="CX644" s="549"/>
      <c r="CY644" s="675"/>
      <c r="CZ644" s="549"/>
      <c r="DA644" s="675"/>
      <c r="DB644" s="549"/>
      <c r="DC644" s="675"/>
      <c r="DD644" s="549"/>
      <c r="DE644" s="675"/>
      <c r="DF644" s="549"/>
      <c r="DG644" s="675"/>
      <c r="DH644" s="549"/>
      <c r="DI644" s="675"/>
      <c r="DJ644" s="549"/>
      <c r="DK644" s="675"/>
      <c r="DL644" s="549"/>
      <c r="DM644" s="675"/>
      <c r="DN644" s="549"/>
      <c r="DO644" s="675"/>
      <c r="DP644" s="549"/>
      <c r="DQ644" s="675"/>
      <c r="DR644" s="549"/>
      <c r="DS644" s="675"/>
      <c r="DT644" s="549"/>
      <c r="DU644" s="675"/>
      <c r="DV644" s="549"/>
      <c r="DW644" s="675"/>
      <c r="DX644" s="549"/>
      <c r="DY644" s="675"/>
      <c r="DZ644" s="549"/>
      <c r="EA644" s="675"/>
      <c r="EB644" s="549"/>
      <c r="EC644" s="675"/>
      <c r="ED644" s="549"/>
      <c r="EE644" s="675"/>
      <c r="EF644" s="549"/>
      <c r="EG644" s="675"/>
      <c r="EH644" s="549"/>
      <c r="EI644" s="675"/>
      <c r="EJ644" s="549"/>
      <c r="EK644" s="675"/>
      <c r="EL644" s="549"/>
      <c r="EM644" s="675"/>
      <c r="EN644" s="549"/>
      <c r="EO644" s="675"/>
      <c r="EP644" s="549"/>
      <c r="EQ644" s="675"/>
      <c r="ER644" s="549"/>
      <c r="ES644" s="675"/>
      <c r="ET644" s="549"/>
      <c r="EU644" s="675"/>
      <c r="EV644" s="549"/>
      <c r="EW644" s="675"/>
      <c r="EX644" s="549"/>
      <c r="EY644" s="675"/>
      <c r="EZ644" s="549"/>
      <c r="FA644" s="675"/>
      <c r="FB644" s="549"/>
      <c r="FC644" s="675"/>
      <c r="FD644" s="549"/>
      <c r="FE644" s="675"/>
      <c r="FF644" s="549"/>
      <c r="FG644" s="675"/>
      <c r="FH644" s="549"/>
      <c r="FI644" s="675"/>
      <c r="FJ644" s="549"/>
      <c r="FK644" s="675"/>
      <c r="FL644" s="549"/>
      <c r="FM644" s="675"/>
      <c r="FN644" s="549"/>
      <c r="FO644" s="675"/>
      <c r="FP644" s="549"/>
      <c r="FQ644" s="675"/>
      <c r="FR644" s="549"/>
      <c r="FS644" s="675"/>
      <c r="FT644" s="549"/>
      <c r="FU644" s="675"/>
      <c r="FV644" s="549"/>
      <c r="FW644" s="675"/>
      <c r="FX644" s="549"/>
      <c r="FY644" s="675"/>
      <c r="FZ644" s="549"/>
      <c r="GA644" s="675"/>
      <c r="GB644" s="549"/>
      <c r="GC644" s="675"/>
      <c r="GD644" s="549"/>
      <c r="GE644" s="675"/>
      <c r="GF644" s="549"/>
      <c r="GG644" s="675"/>
      <c r="GH644" s="549"/>
      <c r="GI644" s="675"/>
      <c r="GJ644" s="549"/>
      <c r="GK644" s="675"/>
      <c r="GL644" s="549"/>
      <c r="GM644" s="675"/>
      <c r="GN644" s="549"/>
      <c r="GO644" s="675"/>
      <c r="GP644" s="549"/>
      <c r="GQ644" s="675"/>
      <c r="GR644" s="74"/>
      <c r="GS644" s="74"/>
      <c r="GT644" s="568"/>
      <c r="GU644" s="275"/>
      <c r="GV644" s="275"/>
      <c r="GW644" s="588"/>
      <c r="GX644" s="588"/>
      <c r="GY644" s="275"/>
      <c r="GZ644" s="275"/>
      <c r="HA644" s="275"/>
      <c r="HB644" s="275"/>
      <c r="HC644" s="275"/>
      <c r="HD644" s="275"/>
      <c r="HE644" s="275"/>
      <c r="HF644" s="275"/>
      <c r="HG644" s="74"/>
      <c r="HH644" s="89"/>
      <c r="HI644" s="817"/>
      <c r="HJ644" s="89"/>
      <c r="HK644" s="817"/>
      <c r="HL644" s="89"/>
      <c r="HM644" s="817"/>
      <c r="HN644" s="89"/>
      <c r="HO644" s="817"/>
      <c r="HP644" s="89"/>
      <c r="HQ644" s="817"/>
      <c r="HR644" s="89"/>
      <c r="HS644" s="817"/>
      <c r="HT644" s="89"/>
      <c r="HU644" s="817"/>
      <c r="HV644" s="89"/>
      <c r="HW644" s="817"/>
      <c r="HX644" s="89"/>
      <c r="HY644" s="817"/>
      <c r="HZ644" s="89"/>
      <c r="IA644" s="817"/>
      <c r="IB644" s="89"/>
      <c r="IC644" s="817"/>
      <c r="ID644" s="89"/>
      <c r="IE644" s="817"/>
      <c r="IF644" s="841"/>
      <c r="IG644" s="263"/>
      <c r="IH644" s="842"/>
      <c r="II644" s="89"/>
      <c r="IJ644" s="89"/>
      <c r="IK644" s="89"/>
      <c r="IL644" s="89"/>
      <c r="IM644" s="89"/>
      <c r="IN644" s="89"/>
      <c r="IO644" s="89"/>
      <c r="IP644" s="89"/>
      <c r="IQ644" s="89"/>
      <c r="IR644" s="89"/>
      <c r="IS644" s="89"/>
      <c r="IT644" s="89"/>
      <c r="IU644" s="89"/>
      <c r="IV644" s="89"/>
      <c r="IW644" s="89"/>
      <c r="IX644" s="89"/>
      <c r="IY644" s="89"/>
      <c r="IZ644" s="89"/>
      <c r="JA644" s="89"/>
      <c r="JB644" s="89"/>
      <c r="JC644" s="89"/>
      <c r="JD644" s="89"/>
      <c r="JE644" s="89"/>
      <c r="JF644" s="89"/>
      <c r="JG644" s="89"/>
      <c r="JH644" s="89"/>
      <c r="JI644" s="89"/>
      <c r="JJ644" s="89"/>
      <c r="JK644" s="89"/>
      <c r="JL644" s="89"/>
      <c r="JM644" s="89"/>
      <c r="JN644" s="89"/>
      <c r="JO644" s="89"/>
      <c r="JP644" s="89"/>
      <c r="JQ644" s="89"/>
      <c r="JR644" s="89"/>
      <c r="JS644" s="74"/>
      <c r="JT644" s="382"/>
      <c r="JU644" s="665"/>
      <c r="JV644" s="524"/>
      <c r="JW644" s="525"/>
      <c r="JX644" s="549"/>
      <c r="JY644" s="549"/>
      <c r="JZ644" s="581">
        <f t="shared" si="14740"/>
        <v>0</v>
      </c>
      <c r="KA644" s="581">
        <f t="shared" si="14741"/>
        <v>0</v>
      </c>
      <c r="KB644" s="549">
        <f t="shared" si="14516"/>
        <v>0</v>
      </c>
      <c r="KC644" s="709">
        <f t="shared" si="14739"/>
        <v>0</v>
      </c>
      <c r="KD644" s="36"/>
      <c r="KE644" s="36"/>
      <c r="KF644" s="36"/>
      <c r="KG644" s="36"/>
      <c r="KH644" s="36"/>
      <c r="KI644" s="36"/>
      <c r="KJ644" s="36"/>
      <c r="KK644" s="36"/>
    </row>
    <row r="645" spans="1:297" s="8" customFormat="1">
      <c r="A645" s="80" t="s">
        <v>340</v>
      </c>
      <c r="B645" s="72" t="s">
        <v>68</v>
      </c>
      <c r="C645" s="74">
        <f t="shared" ref="C645" si="14768">SUM(C646:C649)</f>
        <v>75800</v>
      </c>
      <c r="D645" s="549">
        <f t="shared" ref="D645:E645" si="14769">SUM(D646:D649)</f>
        <v>0</v>
      </c>
      <c r="E645" s="675">
        <f t="shared" si="14769"/>
        <v>0</v>
      </c>
      <c r="F645" s="549">
        <f t="shared" ref="F645:G645" si="14770">SUM(F646:F649)</f>
        <v>0</v>
      </c>
      <c r="G645" s="675">
        <f t="shared" si="14770"/>
        <v>0</v>
      </c>
      <c r="H645" s="549">
        <f t="shared" ref="H645:I645" si="14771">SUM(H646:H649)</f>
        <v>0</v>
      </c>
      <c r="I645" s="675">
        <f t="shared" si="14771"/>
        <v>0</v>
      </c>
      <c r="J645" s="549">
        <f t="shared" ref="J645:K645" si="14772">SUM(J646:J649)</f>
        <v>0</v>
      </c>
      <c r="K645" s="675">
        <f t="shared" si="14772"/>
        <v>0</v>
      </c>
      <c r="L645" s="549">
        <f t="shared" ref="L645:M645" si="14773">SUM(L646:L649)</f>
        <v>0</v>
      </c>
      <c r="M645" s="675">
        <f t="shared" si="14773"/>
        <v>0</v>
      </c>
      <c r="N645" s="549">
        <f t="shared" ref="N645:O645" si="14774">SUM(N646:N649)</f>
        <v>0</v>
      </c>
      <c r="O645" s="675">
        <f t="shared" si="14774"/>
        <v>0</v>
      </c>
      <c r="P645" s="549">
        <f t="shared" ref="P645:Q645" si="14775">SUM(P646:P649)</f>
        <v>0</v>
      </c>
      <c r="Q645" s="675">
        <f t="shared" si="14775"/>
        <v>0</v>
      </c>
      <c r="R645" s="549">
        <f t="shared" ref="R645:S645" si="14776">SUM(R646:R649)</f>
        <v>0</v>
      </c>
      <c r="S645" s="675">
        <f t="shared" si="14776"/>
        <v>0</v>
      </c>
      <c r="T645" s="549">
        <f t="shared" ref="T645:AM645" si="14777">SUM(T646:T649)</f>
        <v>0</v>
      </c>
      <c r="U645" s="675">
        <f t="shared" si="14777"/>
        <v>0</v>
      </c>
      <c r="V645" s="549">
        <f t="shared" si="14777"/>
        <v>0</v>
      </c>
      <c r="W645" s="675">
        <f t="shared" si="14777"/>
        <v>0</v>
      </c>
      <c r="X645" s="549">
        <f t="shared" si="14777"/>
        <v>0</v>
      </c>
      <c r="Y645" s="675">
        <f t="shared" si="14777"/>
        <v>0</v>
      </c>
      <c r="Z645" s="549">
        <f t="shared" si="14777"/>
        <v>0</v>
      </c>
      <c r="AA645" s="675">
        <f t="shared" si="14777"/>
        <v>0</v>
      </c>
      <c r="AB645" s="549">
        <f t="shared" si="14777"/>
        <v>0</v>
      </c>
      <c r="AC645" s="675">
        <f t="shared" si="14777"/>
        <v>0</v>
      </c>
      <c r="AD645" s="549">
        <f t="shared" ref="AD645:AK645" si="14778">SUM(AD646:AD649)</f>
        <v>0</v>
      </c>
      <c r="AE645" s="675">
        <f t="shared" si="14778"/>
        <v>0</v>
      </c>
      <c r="AF645" s="549">
        <f t="shared" si="14778"/>
        <v>0</v>
      </c>
      <c r="AG645" s="675">
        <f t="shared" si="14778"/>
        <v>0</v>
      </c>
      <c r="AH645" s="549">
        <f t="shared" si="14778"/>
        <v>0</v>
      </c>
      <c r="AI645" s="675">
        <f t="shared" si="14778"/>
        <v>0</v>
      </c>
      <c r="AJ645" s="549">
        <f t="shared" si="14778"/>
        <v>0</v>
      </c>
      <c r="AK645" s="675">
        <f t="shared" si="14778"/>
        <v>0</v>
      </c>
      <c r="AL645" s="549">
        <f t="shared" si="14777"/>
        <v>0</v>
      </c>
      <c r="AM645" s="675">
        <f t="shared" si="14777"/>
        <v>0</v>
      </c>
      <c r="AN645" s="549">
        <f t="shared" ref="AN645:AS645" si="14779">SUM(AN646:AN649)</f>
        <v>0</v>
      </c>
      <c r="AO645" s="675">
        <f t="shared" si="14779"/>
        <v>0</v>
      </c>
      <c r="AP645" s="549">
        <f t="shared" si="14779"/>
        <v>0</v>
      </c>
      <c r="AQ645" s="675">
        <f t="shared" si="14779"/>
        <v>0</v>
      </c>
      <c r="AR645" s="549">
        <f t="shared" si="14779"/>
        <v>0</v>
      </c>
      <c r="AS645" s="675">
        <f t="shared" si="14779"/>
        <v>0</v>
      </c>
      <c r="AT645" s="549">
        <f t="shared" ref="AT645:AU645" si="14780">SUM(AT646:AT649)</f>
        <v>0</v>
      </c>
      <c r="AU645" s="675">
        <f t="shared" si="14780"/>
        <v>0</v>
      </c>
      <c r="AV645" s="549">
        <f t="shared" ref="AV645:AW645" si="14781">SUM(AV646:AV649)</f>
        <v>0</v>
      </c>
      <c r="AW645" s="675">
        <f t="shared" si="14781"/>
        <v>0</v>
      </c>
      <c r="AX645" s="549">
        <f t="shared" ref="AX645:AY645" si="14782">SUM(AX646:AX649)</f>
        <v>0</v>
      </c>
      <c r="AY645" s="675">
        <f t="shared" si="14782"/>
        <v>0</v>
      </c>
      <c r="AZ645" s="549">
        <f t="shared" ref="AZ645:BA645" si="14783">SUM(AZ646:AZ649)</f>
        <v>0</v>
      </c>
      <c r="BA645" s="675">
        <f t="shared" si="14783"/>
        <v>0</v>
      </c>
      <c r="BB645" s="549">
        <f t="shared" ref="BB645:BC645" si="14784">SUM(BB646:BB649)</f>
        <v>0</v>
      </c>
      <c r="BC645" s="675">
        <f t="shared" si="14784"/>
        <v>0</v>
      </c>
      <c r="BD645" s="549">
        <f t="shared" ref="BD645:BE645" si="14785">SUM(BD646:BD649)</f>
        <v>0</v>
      </c>
      <c r="BE645" s="675">
        <f t="shared" si="14785"/>
        <v>0</v>
      </c>
      <c r="BF645" s="549">
        <f t="shared" ref="BF645:BG645" si="14786">SUM(BF646:BF649)</f>
        <v>0</v>
      </c>
      <c r="BG645" s="675">
        <f t="shared" si="14786"/>
        <v>0</v>
      </c>
      <c r="BH645" s="549">
        <f t="shared" ref="BH645:BI645" si="14787">SUM(BH646:BH649)</f>
        <v>0</v>
      </c>
      <c r="BI645" s="675">
        <f t="shared" si="14787"/>
        <v>0</v>
      </c>
      <c r="BJ645" s="549">
        <f t="shared" ref="BJ645:BK645" si="14788">SUM(BJ646:BJ649)</f>
        <v>0</v>
      </c>
      <c r="BK645" s="675">
        <f t="shared" si="14788"/>
        <v>0</v>
      </c>
      <c r="BL645" s="549">
        <f t="shared" ref="BL645:BS645" si="14789">SUM(BL646:BL649)</f>
        <v>0</v>
      </c>
      <c r="BM645" s="675">
        <f t="shared" si="14789"/>
        <v>0</v>
      </c>
      <c r="BN645" s="549">
        <f t="shared" si="14789"/>
        <v>0</v>
      </c>
      <c r="BO645" s="675">
        <f t="shared" si="14789"/>
        <v>0</v>
      </c>
      <c r="BP645" s="549">
        <f t="shared" si="14789"/>
        <v>0</v>
      </c>
      <c r="BQ645" s="675">
        <f t="shared" si="14789"/>
        <v>0</v>
      </c>
      <c r="BR645" s="549">
        <f t="shared" si="14789"/>
        <v>0</v>
      </c>
      <c r="BS645" s="675">
        <f t="shared" si="14789"/>
        <v>0</v>
      </c>
      <c r="BT645" s="549">
        <f t="shared" ref="BT645:BU645" si="14790">SUM(BT646:BT649)</f>
        <v>0</v>
      </c>
      <c r="BU645" s="675">
        <f t="shared" si="14790"/>
        <v>0</v>
      </c>
      <c r="BV645" s="549">
        <f t="shared" ref="BV645:BW645" si="14791">SUM(BV646:BV649)</f>
        <v>0</v>
      </c>
      <c r="BW645" s="675">
        <f t="shared" si="14791"/>
        <v>0</v>
      </c>
      <c r="BX645" s="549">
        <f t="shared" ref="BX645:BY645" si="14792">SUM(BX646:BX649)</f>
        <v>0</v>
      </c>
      <c r="BY645" s="675">
        <f t="shared" si="14792"/>
        <v>0</v>
      </c>
      <c r="BZ645" s="549">
        <f t="shared" ref="BZ645:CA645" si="14793">SUM(BZ646:BZ649)</f>
        <v>0</v>
      </c>
      <c r="CA645" s="675">
        <f t="shared" si="14793"/>
        <v>0</v>
      </c>
      <c r="CB645" s="549">
        <f t="shared" ref="CB645:CE645" si="14794">SUM(CB646:CB649)</f>
        <v>0</v>
      </c>
      <c r="CC645" s="675">
        <f t="shared" si="14794"/>
        <v>0</v>
      </c>
      <c r="CD645" s="549">
        <f t="shared" si="14794"/>
        <v>0</v>
      </c>
      <c r="CE645" s="675">
        <f t="shared" si="14794"/>
        <v>0</v>
      </c>
      <c r="CF645" s="549">
        <f t="shared" ref="CF645:CQ645" si="14795">SUM(CF646:CF649)</f>
        <v>0</v>
      </c>
      <c r="CG645" s="675">
        <f t="shared" si="14795"/>
        <v>0</v>
      </c>
      <c r="CH645" s="549">
        <f t="shared" si="14795"/>
        <v>0</v>
      </c>
      <c r="CI645" s="675">
        <f t="shared" si="14795"/>
        <v>0</v>
      </c>
      <c r="CJ645" s="549">
        <f t="shared" si="14795"/>
        <v>0</v>
      </c>
      <c r="CK645" s="675">
        <f t="shared" si="14795"/>
        <v>0</v>
      </c>
      <c r="CL645" s="549">
        <f t="shared" si="14795"/>
        <v>0</v>
      </c>
      <c r="CM645" s="675">
        <f t="shared" si="14795"/>
        <v>0</v>
      </c>
      <c r="CN645" s="549">
        <f t="shared" si="14795"/>
        <v>0</v>
      </c>
      <c r="CO645" s="675">
        <f t="shared" si="14795"/>
        <v>0</v>
      </c>
      <c r="CP645" s="549">
        <f t="shared" si="14795"/>
        <v>0</v>
      </c>
      <c r="CQ645" s="675">
        <f t="shared" si="14795"/>
        <v>0</v>
      </c>
      <c r="CR645" s="549">
        <f t="shared" ref="CR645:CY645" si="14796">SUM(CR646:CR649)</f>
        <v>0</v>
      </c>
      <c r="CS645" s="675">
        <f t="shared" si="14796"/>
        <v>0</v>
      </c>
      <c r="CT645" s="549">
        <f t="shared" si="14796"/>
        <v>0</v>
      </c>
      <c r="CU645" s="675">
        <f t="shared" si="14796"/>
        <v>0</v>
      </c>
      <c r="CV645" s="549">
        <f t="shared" si="14796"/>
        <v>0</v>
      </c>
      <c r="CW645" s="675">
        <f t="shared" si="14796"/>
        <v>0</v>
      </c>
      <c r="CX645" s="549">
        <f t="shared" si="14796"/>
        <v>0</v>
      </c>
      <c r="CY645" s="675">
        <f t="shared" si="14796"/>
        <v>0</v>
      </c>
      <c r="CZ645" s="549">
        <f t="shared" ref="CZ645:DI645" si="14797">SUM(CZ646:CZ649)</f>
        <v>0</v>
      </c>
      <c r="DA645" s="675">
        <f t="shared" si="14797"/>
        <v>0</v>
      </c>
      <c r="DB645" s="549">
        <f t="shared" si="14797"/>
        <v>0</v>
      </c>
      <c r="DC645" s="675">
        <f t="shared" si="14797"/>
        <v>0</v>
      </c>
      <c r="DD645" s="549">
        <f t="shared" si="14797"/>
        <v>0</v>
      </c>
      <c r="DE645" s="675">
        <f t="shared" si="14797"/>
        <v>0</v>
      </c>
      <c r="DF645" s="549">
        <f t="shared" si="14797"/>
        <v>0</v>
      </c>
      <c r="DG645" s="675">
        <f t="shared" si="14797"/>
        <v>0</v>
      </c>
      <c r="DH645" s="549">
        <f t="shared" si="14797"/>
        <v>0</v>
      </c>
      <c r="DI645" s="675">
        <f t="shared" si="14797"/>
        <v>0</v>
      </c>
      <c r="DJ645" s="549">
        <f t="shared" ref="DJ645:DY645" si="14798">SUM(DJ646:DJ649)</f>
        <v>0</v>
      </c>
      <c r="DK645" s="675">
        <f t="shared" si="14798"/>
        <v>0</v>
      </c>
      <c r="DL645" s="549">
        <f t="shared" si="14798"/>
        <v>0</v>
      </c>
      <c r="DM645" s="675">
        <f t="shared" si="14798"/>
        <v>0</v>
      </c>
      <c r="DN645" s="549">
        <f t="shared" si="14798"/>
        <v>0</v>
      </c>
      <c r="DO645" s="675">
        <f t="shared" si="14798"/>
        <v>0</v>
      </c>
      <c r="DP645" s="549">
        <f t="shared" si="14798"/>
        <v>0</v>
      </c>
      <c r="DQ645" s="675">
        <f t="shared" si="14798"/>
        <v>0</v>
      </c>
      <c r="DR645" s="549">
        <f t="shared" si="14798"/>
        <v>0</v>
      </c>
      <c r="DS645" s="675">
        <f t="shared" si="14798"/>
        <v>0</v>
      </c>
      <c r="DT645" s="549">
        <f t="shared" si="14798"/>
        <v>0</v>
      </c>
      <c r="DU645" s="675">
        <f t="shared" si="14798"/>
        <v>0</v>
      </c>
      <c r="DV645" s="549">
        <f t="shared" si="14798"/>
        <v>0</v>
      </c>
      <c r="DW645" s="675">
        <f t="shared" si="14798"/>
        <v>0</v>
      </c>
      <c r="DX645" s="549">
        <f t="shared" si="14798"/>
        <v>0</v>
      </c>
      <c r="DY645" s="675">
        <f t="shared" si="14798"/>
        <v>0</v>
      </c>
      <c r="DZ645" s="549">
        <f t="shared" ref="DZ645:EU645" si="14799">SUM(DZ646:DZ649)</f>
        <v>0</v>
      </c>
      <c r="EA645" s="675">
        <f t="shared" si="14799"/>
        <v>0</v>
      </c>
      <c r="EB645" s="549">
        <f t="shared" si="14799"/>
        <v>0</v>
      </c>
      <c r="EC645" s="675">
        <f t="shared" si="14799"/>
        <v>0</v>
      </c>
      <c r="ED645" s="549">
        <f t="shared" si="14799"/>
        <v>0</v>
      </c>
      <c r="EE645" s="675">
        <f t="shared" si="14799"/>
        <v>0</v>
      </c>
      <c r="EF645" s="549">
        <f t="shared" si="14799"/>
        <v>0</v>
      </c>
      <c r="EG645" s="675">
        <f t="shared" si="14799"/>
        <v>0</v>
      </c>
      <c r="EH645" s="549">
        <f t="shared" ref="EH645:EM645" si="14800">SUM(EH646:EH649)</f>
        <v>0</v>
      </c>
      <c r="EI645" s="675">
        <f t="shared" si="14800"/>
        <v>0</v>
      </c>
      <c r="EJ645" s="549">
        <f t="shared" si="14800"/>
        <v>0</v>
      </c>
      <c r="EK645" s="675">
        <f t="shared" si="14800"/>
        <v>0</v>
      </c>
      <c r="EL645" s="549">
        <f t="shared" si="14800"/>
        <v>0</v>
      </c>
      <c r="EM645" s="675">
        <f t="shared" si="14800"/>
        <v>0</v>
      </c>
      <c r="EN645" s="549">
        <f t="shared" si="14799"/>
        <v>0</v>
      </c>
      <c r="EO645" s="675">
        <f t="shared" si="14799"/>
        <v>0</v>
      </c>
      <c r="EP645" s="549">
        <f t="shared" si="14799"/>
        <v>0</v>
      </c>
      <c r="EQ645" s="675">
        <f t="shared" si="14799"/>
        <v>0</v>
      </c>
      <c r="ER645" s="549">
        <f t="shared" si="14799"/>
        <v>0</v>
      </c>
      <c r="ES645" s="675">
        <f t="shared" si="14799"/>
        <v>0</v>
      </c>
      <c r="ET645" s="549">
        <f t="shared" si="14799"/>
        <v>0</v>
      </c>
      <c r="EU645" s="675">
        <f t="shared" si="14799"/>
        <v>0</v>
      </c>
      <c r="EV645" s="549">
        <f t="shared" ref="EV645:FE645" si="14801">SUM(EV646:EV649)</f>
        <v>0</v>
      </c>
      <c r="EW645" s="675">
        <f t="shared" si="14801"/>
        <v>0</v>
      </c>
      <c r="EX645" s="549">
        <f t="shared" si="14801"/>
        <v>0</v>
      </c>
      <c r="EY645" s="675">
        <f t="shared" si="14801"/>
        <v>0</v>
      </c>
      <c r="EZ645" s="549">
        <f t="shared" si="14801"/>
        <v>0</v>
      </c>
      <c r="FA645" s="675">
        <f t="shared" si="14801"/>
        <v>0</v>
      </c>
      <c r="FB645" s="549">
        <f t="shared" si="14801"/>
        <v>0</v>
      </c>
      <c r="FC645" s="675">
        <f t="shared" si="14801"/>
        <v>0</v>
      </c>
      <c r="FD645" s="549">
        <f t="shared" si="14801"/>
        <v>0</v>
      </c>
      <c r="FE645" s="675">
        <f t="shared" si="14801"/>
        <v>0</v>
      </c>
      <c r="FF645" s="549">
        <f t="shared" ref="FF645:FG645" si="14802">SUM(FF646:FF649)</f>
        <v>0</v>
      </c>
      <c r="FG645" s="675">
        <f t="shared" si="14802"/>
        <v>0</v>
      </c>
      <c r="FH645" s="549">
        <f t="shared" ref="FH645:FI645" si="14803">SUM(FH646:FH649)</f>
        <v>0</v>
      </c>
      <c r="FI645" s="675">
        <f t="shared" si="14803"/>
        <v>0</v>
      </c>
      <c r="FJ645" s="549">
        <f t="shared" ref="FJ645:FK645" si="14804">SUM(FJ646:FJ649)</f>
        <v>0</v>
      </c>
      <c r="FK645" s="675">
        <f t="shared" si="14804"/>
        <v>0</v>
      </c>
      <c r="FL645" s="549">
        <f t="shared" ref="FL645:FM645" si="14805">SUM(FL646:FL649)</f>
        <v>0</v>
      </c>
      <c r="FM645" s="675">
        <f t="shared" si="14805"/>
        <v>0</v>
      </c>
      <c r="FN645" s="549">
        <f t="shared" ref="FN645:FO645" si="14806">SUM(FN646:FN649)</f>
        <v>0</v>
      </c>
      <c r="FO645" s="675">
        <f t="shared" si="14806"/>
        <v>0</v>
      </c>
      <c r="FP645" s="549">
        <f t="shared" ref="FP645:FQ645" si="14807">SUM(FP646:FP649)</f>
        <v>0</v>
      </c>
      <c r="FQ645" s="675">
        <f t="shared" si="14807"/>
        <v>0</v>
      </c>
      <c r="FR645" s="549">
        <f t="shared" ref="FR645:FS645" si="14808">SUM(FR646:FR649)</f>
        <v>0</v>
      </c>
      <c r="FS645" s="675">
        <f t="shared" si="14808"/>
        <v>0</v>
      </c>
      <c r="FT645" s="549">
        <f t="shared" ref="FT645:FU645" si="14809">SUM(FT646:FT649)</f>
        <v>0</v>
      </c>
      <c r="FU645" s="675">
        <f t="shared" si="14809"/>
        <v>0</v>
      </c>
      <c r="FV645" s="549">
        <f t="shared" ref="FV645:GK645" si="14810">SUM(FV646:FV649)</f>
        <v>0</v>
      </c>
      <c r="FW645" s="675">
        <f t="shared" si="14810"/>
        <v>0</v>
      </c>
      <c r="FX645" s="549">
        <f t="shared" si="14810"/>
        <v>0</v>
      </c>
      <c r="FY645" s="675">
        <f t="shared" si="14810"/>
        <v>0</v>
      </c>
      <c r="FZ645" s="549">
        <f t="shared" ref="FZ645:GI645" si="14811">SUM(FZ646:FZ649)</f>
        <v>0</v>
      </c>
      <c r="GA645" s="675">
        <f t="shared" si="14811"/>
        <v>0</v>
      </c>
      <c r="GB645" s="549">
        <f t="shared" si="14811"/>
        <v>0</v>
      </c>
      <c r="GC645" s="675">
        <f t="shared" si="14811"/>
        <v>0</v>
      </c>
      <c r="GD645" s="549">
        <f t="shared" si="14811"/>
        <v>0</v>
      </c>
      <c r="GE645" s="675">
        <f t="shared" si="14811"/>
        <v>0</v>
      </c>
      <c r="GF645" s="549">
        <f t="shared" si="14811"/>
        <v>0</v>
      </c>
      <c r="GG645" s="675">
        <f t="shared" si="14811"/>
        <v>0</v>
      </c>
      <c r="GH645" s="549">
        <f t="shared" si="14811"/>
        <v>0</v>
      </c>
      <c r="GI645" s="675">
        <f t="shared" si="14811"/>
        <v>0</v>
      </c>
      <c r="GJ645" s="549">
        <f t="shared" si="14810"/>
        <v>0</v>
      </c>
      <c r="GK645" s="675">
        <f t="shared" si="14810"/>
        <v>0</v>
      </c>
      <c r="GL645" s="549">
        <f t="shared" ref="GL645:GM645" si="14812">SUM(GL646:GL649)</f>
        <v>0</v>
      </c>
      <c r="GM645" s="675">
        <f t="shared" si="14812"/>
        <v>0</v>
      </c>
      <c r="GN645" s="549">
        <f t="shared" ref="GN645:GO645" si="14813">SUM(GN646:GN649)</f>
        <v>0</v>
      </c>
      <c r="GO645" s="675">
        <f t="shared" si="14813"/>
        <v>0</v>
      </c>
      <c r="GP645" s="549">
        <f t="shared" ref="GP645:HU645" si="14814">SUM(GP646:GP649)</f>
        <v>0</v>
      </c>
      <c r="GQ645" s="675">
        <f t="shared" si="14814"/>
        <v>0</v>
      </c>
      <c r="GR645" s="74">
        <f t="shared" si="14814"/>
        <v>75800</v>
      </c>
      <c r="GS645" s="74">
        <f>SUM(GS646:GS649)</f>
        <v>69056</v>
      </c>
      <c r="GT645" s="549">
        <f t="shared" si="14814"/>
        <v>75800</v>
      </c>
      <c r="GU645" s="74">
        <f t="shared" si="14814"/>
        <v>6910</v>
      </c>
      <c r="GV645" s="74">
        <f t="shared" si="14814"/>
        <v>6889</v>
      </c>
      <c r="GW645" s="549">
        <f t="shared" si="14814"/>
        <v>6889</v>
      </c>
      <c r="GX645" s="549">
        <f t="shared" si="14814"/>
        <v>6889</v>
      </c>
      <c r="GY645" s="74">
        <f t="shared" si="14814"/>
        <v>6889</v>
      </c>
      <c r="GZ645" s="74">
        <f t="shared" si="14814"/>
        <v>6889</v>
      </c>
      <c r="HA645" s="74">
        <f t="shared" si="14814"/>
        <v>6889</v>
      </c>
      <c r="HB645" s="74">
        <f t="shared" si="14814"/>
        <v>6889</v>
      </c>
      <c r="HC645" s="74">
        <f t="shared" si="14814"/>
        <v>6889</v>
      </c>
      <c r="HD645" s="74">
        <f t="shared" si="14814"/>
        <v>7034</v>
      </c>
      <c r="HE645" s="74">
        <f t="shared" si="14814"/>
        <v>6744</v>
      </c>
      <c r="HF645" s="74">
        <f t="shared" si="14814"/>
        <v>0</v>
      </c>
      <c r="HG645" s="74">
        <f t="shared" si="14814"/>
        <v>69056</v>
      </c>
      <c r="HH645" s="74">
        <f t="shared" si="14814"/>
        <v>0</v>
      </c>
      <c r="HI645" s="792">
        <f t="shared" si="14814"/>
        <v>0</v>
      </c>
      <c r="HJ645" s="74">
        <f t="shared" si="14814"/>
        <v>0</v>
      </c>
      <c r="HK645" s="792">
        <f t="shared" si="14814"/>
        <v>13799</v>
      </c>
      <c r="HL645" s="74">
        <f t="shared" si="14814"/>
        <v>0</v>
      </c>
      <c r="HM645" s="792">
        <f t="shared" si="14814"/>
        <v>6744</v>
      </c>
      <c r="HN645" s="74">
        <f t="shared" si="14814"/>
        <v>0</v>
      </c>
      <c r="HO645" s="792">
        <f t="shared" si="14814"/>
        <v>7034</v>
      </c>
      <c r="HP645" s="74">
        <f t="shared" si="14814"/>
        <v>0</v>
      </c>
      <c r="HQ645" s="792">
        <f t="shared" si="14814"/>
        <v>6889</v>
      </c>
      <c r="HR645" s="74">
        <f t="shared" si="14814"/>
        <v>0</v>
      </c>
      <c r="HS645" s="792">
        <f t="shared" si="14814"/>
        <v>6889</v>
      </c>
      <c r="HT645" s="74">
        <f t="shared" si="14814"/>
        <v>0</v>
      </c>
      <c r="HU645" s="792">
        <f t="shared" si="14814"/>
        <v>6889</v>
      </c>
      <c r="HV645" s="74">
        <f t="shared" ref="HV645:HW645" si="14815">SUM(HV646:HV649)</f>
        <v>0</v>
      </c>
      <c r="HW645" s="792">
        <f t="shared" si="14815"/>
        <v>6889</v>
      </c>
      <c r="HX645" s="74">
        <f t="shared" ref="HX645:HY645" si="14816">SUM(HX646:HX649)</f>
        <v>0</v>
      </c>
      <c r="HY645" s="792">
        <f t="shared" si="14816"/>
        <v>6889</v>
      </c>
      <c r="HZ645" s="74">
        <f t="shared" ref="HZ645:IA645" si="14817">SUM(HZ646:HZ649)</f>
        <v>0</v>
      </c>
      <c r="IA645" s="792">
        <f t="shared" si="14817"/>
        <v>7034</v>
      </c>
      <c r="IB645" s="74">
        <f t="shared" ref="IB645:IC645" si="14818">SUM(IB646:IB649)</f>
        <v>0</v>
      </c>
      <c r="IC645" s="792">
        <f t="shared" si="14818"/>
        <v>0</v>
      </c>
      <c r="ID645" s="74">
        <f t="shared" ref="ID645:JC645" si="14819">SUM(ID646:ID649)</f>
        <v>0</v>
      </c>
      <c r="IE645" s="792">
        <f t="shared" si="14819"/>
        <v>0</v>
      </c>
      <c r="IF645" s="841">
        <f t="shared" si="14819"/>
        <v>69056</v>
      </c>
      <c r="IG645" s="263">
        <f t="shared" si="14819"/>
        <v>69056</v>
      </c>
      <c r="IH645" s="842">
        <f t="shared" si="14819"/>
        <v>69056</v>
      </c>
      <c r="II645" s="74">
        <f t="shared" si="14819"/>
        <v>75</v>
      </c>
      <c r="IJ645" s="74">
        <f t="shared" si="14819"/>
        <v>75</v>
      </c>
      <c r="IK645" s="74">
        <f t="shared" si="14819"/>
        <v>75</v>
      </c>
      <c r="IL645" s="74">
        <f t="shared" si="14819"/>
        <v>13724</v>
      </c>
      <c r="IM645" s="74">
        <f t="shared" si="14819"/>
        <v>13724</v>
      </c>
      <c r="IN645" s="74">
        <f t="shared" si="14819"/>
        <v>13724</v>
      </c>
      <c r="IO645" s="74">
        <f t="shared" si="14819"/>
        <v>6744</v>
      </c>
      <c r="IP645" s="74">
        <f t="shared" si="14819"/>
        <v>6744</v>
      </c>
      <c r="IQ645" s="74">
        <f t="shared" si="14819"/>
        <v>6744</v>
      </c>
      <c r="IR645" s="74">
        <f t="shared" si="14819"/>
        <v>7034</v>
      </c>
      <c r="IS645" s="74">
        <f t="shared" si="14819"/>
        <v>7034</v>
      </c>
      <c r="IT645" s="74">
        <f t="shared" si="14819"/>
        <v>7034</v>
      </c>
      <c r="IU645" s="74">
        <f t="shared" si="14819"/>
        <v>6889</v>
      </c>
      <c r="IV645" s="74">
        <f t="shared" si="14819"/>
        <v>6889</v>
      </c>
      <c r="IW645" s="74">
        <f t="shared" si="14819"/>
        <v>6889</v>
      </c>
      <c r="IX645" s="74">
        <f t="shared" si="14819"/>
        <v>6889</v>
      </c>
      <c r="IY645" s="74">
        <f t="shared" si="14819"/>
        <v>6889</v>
      </c>
      <c r="IZ645" s="74">
        <f t="shared" si="14819"/>
        <v>6889</v>
      </c>
      <c r="JA645" s="74">
        <f t="shared" si="14819"/>
        <v>6889</v>
      </c>
      <c r="JB645" s="74">
        <f t="shared" si="14819"/>
        <v>6889</v>
      </c>
      <c r="JC645" s="74">
        <f t="shared" si="14819"/>
        <v>6889</v>
      </c>
      <c r="JD645" s="74">
        <f t="shared" ref="JD645:JF645" si="14820">SUM(JD646:JD649)</f>
        <v>6889</v>
      </c>
      <c r="JE645" s="74">
        <f t="shared" si="14820"/>
        <v>6889</v>
      </c>
      <c r="JF645" s="74">
        <f t="shared" si="14820"/>
        <v>6889</v>
      </c>
      <c r="JG645" s="74">
        <f t="shared" ref="JG645:JI645" si="14821">SUM(JG646:JG649)</f>
        <v>6889</v>
      </c>
      <c r="JH645" s="74">
        <f t="shared" si="14821"/>
        <v>6889</v>
      </c>
      <c r="JI645" s="74">
        <f t="shared" si="14821"/>
        <v>6889</v>
      </c>
      <c r="JJ645" s="74">
        <f t="shared" ref="JJ645:JL645" si="14822">SUM(JJ646:JJ649)</f>
        <v>7034</v>
      </c>
      <c r="JK645" s="74">
        <f t="shared" si="14822"/>
        <v>7034</v>
      </c>
      <c r="JL645" s="74">
        <f t="shared" si="14822"/>
        <v>7034</v>
      </c>
      <c r="JM645" s="74">
        <f t="shared" ref="JM645:JO645" si="14823">SUM(JM646:JM649)</f>
        <v>0</v>
      </c>
      <c r="JN645" s="74">
        <f t="shared" si="14823"/>
        <v>0</v>
      </c>
      <c r="JO645" s="74">
        <f t="shared" si="14823"/>
        <v>0</v>
      </c>
      <c r="JP645" s="74">
        <f t="shared" ref="JP645:JT645" si="14824">SUM(JP646:JP649)</f>
        <v>0</v>
      </c>
      <c r="JQ645" s="74">
        <f t="shared" si="14824"/>
        <v>0</v>
      </c>
      <c r="JR645" s="74">
        <f t="shared" si="14824"/>
        <v>0</v>
      </c>
      <c r="JS645" s="74">
        <f t="shared" si="14824"/>
        <v>0</v>
      </c>
      <c r="JT645" s="382">
        <f t="shared" si="14824"/>
        <v>0</v>
      </c>
      <c r="JU645" s="665"/>
      <c r="JV645" s="524"/>
      <c r="JW645" s="525"/>
      <c r="JX645" s="549">
        <f>SUM(JX646:JX649)</f>
        <v>0</v>
      </c>
      <c r="JY645" s="549">
        <f>SUM(JY646:JY649)</f>
        <v>69056</v>
      </c>
      <c r="JZ645" s="581">
        <f t="shared" si="14740"/>
        <v>0</v>
      </c>
      <c r="KA645" s="581">
        <f t="shared" si="14741"/>
        <v>0</v>
      </c>
      <c r="KB645" s="549">
        <f>JX645+JY645+JZ645+KA645</f>
        <v>69056</v>
      </c>
      <c r="KC645" s="709">
        <f t="shared" si="14739"/>
        <v>0</v>
      </c>
      <c r="KD645" s="36"/>
      <c r="KE645" s="36"/>
      <c r="KF645" s="36"/>
      <c r="KG645" s="36"/>
      <c r="KH645" s="36"/>
      <c r="KI645" s="36"/>
      <c r="KJ645" s="36"/>
      <c r="KK645" s="36"/>
    </row>
    <row r="646" spans="1:297" s="10" customFormat="1">
      <c r="A646" s="86" t="s">
        <v>341</v>
      </c>
      <c r="B646" s="77" t="s">
        <v>70</v>
      </c>
      <c r="C646" s="74">
        <v>63300</v>
      </c>
      <c r="D646" s="549">
        <v>0</v>
      </c>
      <c r="E646" s="675">
        <v>0</v>
      </c>
      <c r="F646" s="549">
        <v>0</v>
      </c>
      <c r="G646" s="675">
        <v>0</v>
      </c>
      <c r="H646" s="549">
        <v>0</v>
      </c>
      <c r="I646" s="675">
        <v>0</v>
      </c>
      <c r="J646" s="549">
        <v>0</v>
      </c>
      <c r="K646" s="675">
        <v>0</v>
      </c>
      <c r="L646" s="549">
        <v>0</v>
      </c>
      <c r="M646" s="675">
        <v>0</v>
      </c>
      <c r="N646" s="549">
        <v>0</v>
      </c>
      <c r="O646" s="675">
        <v>0</v>
      </c>
      <c r="P646" s="549">
        <v>0</v>
      </c>
      <c r="Q646" s="675">
        <v>0</v>
      </c>
      <c r="R646" s="549">
        <v>0</v>
      </c>
      <c r="S646" s="675">
        <v>0</v>
      </c>
      <c r="T646" s="549">
        <v>0</v>
      </c>
      <c r="U646" s="675">
        <v>0</v>
      </c>
      <c r="V646" s="549">
        <v>0</v>
      </c>
      <c r="W646" s="675">
        <v>0</v>
      </c>
      <c r="X646" s="549">
        <v>0</v>
      </c>
      <c r="Y646" s="675">
        <v>0</v>
      </c>
      <c r="Z646" s="549">
        <v>0</v>
      </c>
      <c r="AA646" s="675">
        <v>0</v>
      </c>
      <c r="AB646" s="549">
        <v>0</v>
      </c>
      <c r="AC646" s="675">
        <v>0</v>
      </c>
      <c r="AD646" s="549">
        <v>0</v>
      </c>
      <c r="AE646" s="675">
        <v>0</v>
      </c>
      <c r="AF646" s="549">
        <v>0</v>
      </c>
      <c r="AG646" s="675">
        <v>0</v>
      </c>
      <c r="AH646" s="549">
        <v>0</v>
      </c>
      <c r="AI646" s="675">
        <v>0</v>
      </c>
      <c r="AJ646" s="549">
        <v>0</v>
      </c>
      <c r="AK646" s="675">
        <v>0</v>
      </c>
      <c r="AL646" s="549">
        <v>0</v>
      </c>
      <c r="AM646" s="675">
        <v>0</v>
      </c>
      <c r="AN646" s="549">
        <v>0</v>
      </c>
      <c r="AO646" s="675">
        <v>0</v>
      </c>
      <c r="AP646" s="549">
        <v>0</v>
      </c>
      <c r="AQ646" s="675">
        <v>0</v>
      </c>
      <c r="AR646" s="549">
        <v>0</v>
      </c>
      <c r="AS646" s="675">
        <v>0</v>
      </c>
      <c r="AT646" s="549">
        <v>0</v>
      </c>
      <c r="AU646" s="675">
        <v>0</v>
      </c>
      <c r="AV646" s="549">
        <v>0</v>
      </c>
      <c r="AW646" s="675">
        <v>0</v>
      </c>
      <c r="AX646" s="549">
        <v>0</v>
      </c>
      <c r="AY646" s="675">
        <v>0</v>
      </c>
      <c r="AZ646" s="549">
        <v>0</v>
      </c>
      <c r="BA646" s="675">
        <v>0</v>
      </c>
      <c r="BB646" s="549">
        <v>0</v>
      </c>
      <c r="BC646" s="675">
        <v>0</v>
      </c>
      <c r="BD646" s="549">
        <v>0</v>
      </c>
      <c r="BE646" s="675">
        <v>0</v>
      </c>
      <c r="BF646" s="549">
        <v>0</v>
      </c>
      <c r="BG646" s="675">
        <v>0</v>
      </c>
      <c r="BH646" s="549">
        <v>0</v>
      </c>
      <c r="BI646" s="675">
        <v>0</v>
      </c>
      <c r="BJ646" s="549">
        <v>0</v>
      </c>
      <c r="BK646" s="675">
        <v>0</v>
      </c>
      <c r="BL646" s="549">
        <v>0</v>
      </c>
      <c r="BM646" s="675">
        <v>0</v>
      </c>
      <c r="BN646" s="549">
        <v>0</v>
      </c>
      <c r="BO646" s="675">
        <v>0</v>
      </c>
      <c r="BP646" s="549">
        <v>0</v>
      </c>
      <c r="BQ646" s="675">
        <v>0</v>
      </c>
      <c r="BR646" s="549">
        <v>0</v>
      </c>
      <c r="BS646" s="675">
        <v>0</v>
      </c>
      <c r="BT646" s="549">
        <v>0</v>
      </c>
      <c r="BU646" s="675">
        <v>0</v>
      </c>
      <c r="BV646" s="549">
        <v>0</v>
      </c>
      <c r="BW646" s="675">
        <v>0</v>
      </c>
      <c r="BX646" s="549">
        <v>0</v>
      </c>
      <c r="BY646" s="675">
        <v>0</v>
      </c>
      <c r="BZ646" s="549">
        <v>0</v>
      </c>
      <c r="CA646" s="675">
        <v>0</v>
      </c>
      <c r="CB646" s="549">
        <v>0</v>
      </c>
      <c r="CC646" s="675">
        <v>0</v>
      </c>
      <c r="CD646" s="549">
        <v>0</v>
      </c>
      <c r="CE646" s="675">
        <v>0</v>
      </c>
      <c r="CF646" s="549">
        <v>0</v>
      </c>
      <c r="CG646" s="675">
        <v>0</v>
      </c>
      <c r="CH646" s="549">
        <v>0</v>
      </c>
      <c r="CI646" s="675">
        <v>0</v>
      </c>
      <c r="CJ646" s="549">
        <v>0</v>
      </c>
      <c r="CK646" s="675">
        <v>0</v>
      </c>
      <c r="CL646" s="549">
        <v>0</v>
      </c>
      <c r="CM646" s="675">
        <v>0</v>
      </c>
      <c r="CN646" s="549">
        <v>0</v>
      </c>
      <c r="CO646" s="675">
        <v>0</v>
      </c>
      <c r="CP646" s="549">
        <v>0</v>
      </c>
      <c r="CQ646" s="675">
        <v>0</v>
      </c>
      <c r="CR646" s="549">
        <v>0</v>
      </c>
      <c r="CS646" s="675">
        <v>0</v>
      </c>
      <c r="CT646" s="549">
        <v>0</v>
      </c>
      <c r="CU646" s="675">
        <v>0</v>
      </c>
      <c r="CV646" s="549">
        <v>0</v>
      </c>
      <c r="CW646" s="675">
        <v>0</v>
      </c>
      <c r="CX646" s="549">
        <v>0</v>
      </c>
      <c r="CY646" s="675">
        <v>0</v>
      </c>
      <c r="CZ646" s="549">
        <v>0</v>
      </c>
      <c r="DA646" s="675">
        <v>0</v>
      </c>
      <c r="DB646" s="549">
        <v>0</v>
      </c>
      <c r="DC646" s="675">
        <v>0</v>
      </c>
      <c r="DD646" s="549">
        <v>0</v>
      </c>
      <c r="DE646" s="675">
        <v>0</v>
      </c>
      <c r="DF646" s="549">
        <v>0</v>
      </c>
      <c r="DG646" s="675">
        <v>0</v>
      </c>
      <c r="DH646" s="549">
        <v>0</v>
      </c>
      <c r="DI646" s="675">
        <v>0</v>
      </c>
      <c r="DJ646" s="549">
        <v>0</v>
      </c>
      <c r="DK646" s="675">
        <v>0</v>
      </c>
      <c r="DL646" s="549">
        <v>0</v>
      </c>
      <c r="DM646" s="675">
        <v>0</v>
      </c>
      <c r="DN646" s="549">
        <v>0</v>
      </c>
      <c r="DO646" s="675">
        <v>0</v>
      </c>
      <c r="DP646" s="549">
        <v>0</v>
      </c>
      <c r="DQ646" s="675">
        <v>0</v>
      </c>
      <c r="DR646" s="549">
        <v>0</v>
      </c>
      <c r="DS646" s="675">
        <v>0</v>
      </c>
      <c r="DT646" s="549">
        <v>0</v>
      </c>
      <c r="DU646" s="675">
        <v>0</v>
      </c>
      <c r="DV646" s="549">
        <v>0</v>
      </c>
      <c r="DW646" s="675">
        <v>0</v>
      </c>
      <c r="DX646" s="549">
        <v>0</v>
      </c>
      <c r="DY646" s="675">
        <v>0</v>
      </c>
      <c r="DZ646" s="549">
        <v>0</v>
      </c>
      <c r="EA646" s="675">
        <v>0</v>
      </c>
      <c r="EB646" s="549">
        <v>0</v>
      </c>
      <c r="EC646" s="675">
        <v>0</v>
      </c>
      <c r="ED646" s="549">
        <v>0</v>
      </c>
      <c r="EE646" s="675">
        <v>0</v>
      </c>
      <c r="EF646" s="549">
        <v>0</v>
      </c>
      <c r="EG646" s="675">
        <v>0</v>
      </c>
      <c r="EH646" s="549">
        <v>0</v>
      </c>
      <c r="EI646" s="675">
        <v>0</v>
      </c>
      <c r="EJ646" s="549">
        <v>0</v>
      </c>
      <c r="EK646" s="675">
        <v>0</v>
      </c>
      <c r="EL646" s="549">
        <v>0</v>
      </c>
      <c r="EM646" s="675">
        <v>0</v>
      </c>
      <c r="EN646" s="549">
        <v>0</v>
      </c>
      <c r="EO646" s="675">
        <v>0</v>
      </c>
      <c r="EP646" s="549">
        <v>0</v>
      </c>
      <c r="EQ646" s="675">
        <v>0</v>
      </c>
      <c r="ER646" s="549">
        <v>0</v>
      </c>
      <c r="ES646" s="675">
        <v>0</v>
      </c>
      <c r="ET646" s="549">
        <v>0</v>
      </c>
      <c r="EU646" s="675">
        <v>0</v>
      </c>
      <c r="EV646" s="549">
        <v>0</v>
      </c>
      <c r="EW646" s="675">
        <v>0</v>
      </c>
      <c r="EX646" s="549">
        <v>0</v>
      </c>
      <c r="EY646" s="675">
        <v>0</v>
      </c>
      <c r="EZ646" s="549">
        <v>0</v>
      </c>
      <c r="FA646" s="675">
        <v>0</v>
      </c>
      <c r="FB646" s="549">
        <v>0</v>
      </c>
      <c r="FC646" s="675">
        <v>0</v>
      </c>
      <c r="FD646" s="549">
        <v>0</v>
      </c>
      <c r="FE646" s="675">
        <v>0</v>
      </c>
      <c r="FF646" s="549">
        <v>0</v>
      </c>
      <c r="FG646" s="675">
        <v>0</v>
      </c>
      <c r="FH646" s="549">
        <v>0</v>
      </c>
      <c r="FI646" s="675">
        <v>0</v>
      </c>
      <c r="FJ646" s="549">
        <v>0</v>
      </c>
      <c r="FK646" s="675">
        <v>0</v>
      </c>
      <c r="FL646" s="549">
        <v>0</v>
      </c>
      <c r="FM646" s="675">
        <v>0</v>
      </c>
      <c r="FN646" s="549">
        <v>0</v>
      </c>
      <c r="FO646" s="675">
        <v>0</v>
      </c>
      <c r="FP646" s="549">
        <v>0</v>
      </c>
      <c r="FQ646" s="675">
        <v>0</v>
      </c>
      <c r="FR646" s="549">
        <v>0</v>
      </c>
      <c r="FS646" s="675">
        <v>0</v>
      </c>
      <c r="FT646" s="549">
        <v>0</v>
      </c>
      <c r="FU646" s="675">
        <v>0</v>
      </c>
      <c r="FV646" s="549">
        <v>0</v>
      </c>
      <c r="FW646" s="675">
        <v>0</v>
      </c>
      <c r="FX646" s="549">
        <v>0</v>
      </c>
      <c r="FY646" s="675">
        <v>0</v>
      </c>
      <c r="FZ646" s="549">
        <v>0</v>
      </c>
      <c r="GA646" s="675">
        <v>0</v>
      </c>
      <c r="GB646" s="549">
        <v>0</v>
      </c>
      <c r="GC646" s="675">
        <v>0</v>
      </c>
      <c r="GD646" s="549">
        <v>0</v>
      </c>
      <c r="GE646" s="675">
        <v>0</v>
      </c>
      <c r="GF646" s="549">
        <v>0</v>
      </c>
      <c r="GG646" s="675">
        <v>0</v>
      </c>
      <c r="GH646" s="549">
        <v>0</v>
      </c>
      <c r="GI646" s="675">
        <v>0</v>
      </c>
      <c r="GJ646" s="549">
        <v>0</v>
      </c>
      <c r="GK646" s="675">
        <v>0</v>
      </c>
      <c r="GL646" s="549">
        <v>0</v>
      </c>
      <c r="GM646" s="675">
        <v>0</v>
      </c>
      <c r="GN646" s="549">
        <v>0</v>
      </c>
      <c r="GO646" s="675">
        <v>0</v>
      </c>
      <c r="GP646" s="549">
        <f t="shared" ref="GP646:GP649" si="14825">+D646+F646+H646+J646+L646+N646+P646+R646+T646+V646+X646+Z646+AB646+AF646+AD646+AH646+AJ646+AL646+AN646+AP646+AR646+AT646+AV646+AX646+AZ646+BB646+BD646+BF646+BH646+BJ646+BL646+BN646+BP646+BR646+BT646+BV646+BX646+BZ646+CB646+CD646+CF646+CH646+CJ646+CL646+CN646+CP646+CR646+CT646+CV646+CX646+CZ646+DB646+DD646+DF646+DH646+DT646+EX646+DJ646+DL646+DN646+DP646+DR646+EJ646+EB646+DZ646+DX646+DV646+ED646+EF646+EH646+EL646+EN646+EP646+EV646+ET646+ER646+EZ646+FB646+FD646+GL646+FF646+FJ646+FL646+GJ646+FT646+FR646+FP646+FN646+FH646+GH646+GF646+GD646+GB646+FZ646+FX646+FV646+GN646</f>
        <v>0</v>
      </c>
      <c r="GQ646" s="675">
        <f t="shared" ref="GQ646:GQ649" si="14826">+E646+G646+I646+K646+M646+O646+Q646+S646+U646+W646+Y646+AA646+AC646+AE646+AG646+AI646+AK646+AM646+AO646+AQ646+AS646+AU646+AW646+AY646+BA646+BC646+BE646+BG646+BI646+BK646+BM646+BO646+BQ646+BS646+BU646+BW646+BY646+CA646+CC646+CE646+CG646+CI646+CK646+CM646+CO646+CQ646+CS646+CU646+CW646+CY646+DA646+DC646+DE646+DG646+DI646+DU646+EY646+DK646+DM646+DO646+DQ646+DS646+EK646+EC646+EA646+DY646+DW646+EI646+EG646+EE646+EM646+EO646+EQ646+EW646+EU646+ES646+FA646+FC646+FE646+GM646+FG646+FK646+FM646+FO646+FQ646+FS646+FU646+GK646+FI646+GI646+GG646+GE646+GC646+GA646+FY646+FW646+GO646</f>
        <v>0</v>
      </c>
      <c r="GR646" s="74">
        <f>C646+GP646+GQ646</f>
        <v>63300</v>
      </c>
      <c r="GS646" s="74">
        <f t="shared" ref="GS646:GS649" si="14827">SUM(GU646:HD646)+GP646+GQ646</f>
        <v>57546</v>
      </c>
      <c r="GT646" s="568">
        <f t="shared" ref="GT646:GT649" si="14828">SUM(GU646:HF646)+GQ646+GP646</f>
        <v>63300</v>
      </c>
      <c r="GU646" s="275">
        <v>5760</v>
      </c>
      <c r="GV646" s="275">
        <v>5754</v>
      </c>
      <c r="GW646" s="275">
        <v>5754</v>
      </c>
      <c r="GX646" s="275">
        <v>5754</v>
      </c>
      <c r="GY646" s="275">
        <v>5754</v>
      </c>
      <c r="GZ646" s="275">
        <v>5754</v>
      </c>
      <c r="HA646" s="275">
        <v>5754</v>
      </c>
      <c r="HB646" s="275">
        <v>5754</v>
      </c>
      <c r="HC646" s="275">
        <v>5754</v>
      </c>
      <c r="HD646" s="275">
        <v>5754</v>
      </c>
      <c r="HE646" s="275">
        <v>5754</v>
      </c>
      <c r="HF646" s="275">
        <v>0</v>
      </c>
      <c r="HG646" s="74">
        <f>SUM(HH646:IE646)+GP646+GQ646</f>
        <v>57546</v>
      </c>
      <c r="HH646" s="89">
        <v>0</v>
      </c>
      <c r="HI646" s="817">
        <v>0</v>
      </c>
      <c r="HJ646" s="89">
        <v>0</v>
      </c>
      <c r="HK646" s="817">
        <v>11514</v>
      </c>
      <c r="HL646" s="89">
        <v>0</v>
      </c>
      <c r="HM646" s="817">
        <v>5754</v>
      </c>
      <c r="HN646" s="89">
        <v>0</v>
      </c>
      <c r="HO646" s="817">
        <v>5754</v>
      </c>
      <c r="HP646" s="89">
        <v>0</v>
      </c>
      <c r="HQ646" s="817">
        <v>5754</v>
      </c>
      <c r="HR646" s="89">
        <v>0</v>
      </c>
      <c r="HS646" s="817">
        <v>5754</v>
      </c>
      <c r="HT646" s="89">
        <v>0</v>
      </c>
      <c r="HU646" s="817">
        <v>5754</v>
      </c>
      <c r="HV646" s="89">
        <v>0</v>
      </c>
      <c r="HW646" s="817">
        <v>5754</v>
      </c>
      <c r="HX646" s="89">
        <v>0</v>
      </c>
      <c r="HY646" s="817">
        <v>5754</v>
      </c>
      <c r="HZ646" s="89">
        <v>0</v>
      </c>
      <c r="IA646" s="817">
        <v>5754</v>
      </c>
      <c r="IB646" s="89">
        <v>0</v>
      </c>
      <c r="IC646" s="817">
        <v>0</v>
      </c>
      <c r="ID646" s="89">
        <v>0</v>
      </c>
      <c r="IE646" s="817">
        <v>0</v>
      </c>
      <c r="IF646" s="841">
        <f t="shared" ref="IF646:IF649" si="14829">SUM(II646,IL646,IO646,IR646,IU646,IX646,JA646,JD646,JG646,JJ646,JM646,JP646)</f>
        <v>57546</v>
      </c>
      <c r="IG646" s="263">
        <f t="shared" ref="IG646:IG649" si="14830">SUM(IJ646,IM646,IP646,IS646,IV646,IY646,JB646,JE646,JH646,JK646,JN646,JQ646)</f>
        <v>57546</v>
      </c>
      <c r="IH646" s="842">
        <f t="shared" ref="IH646:IH649" si="14831">SUM(IK646,IN646,IQ646,IT646,IW646,IZ646,JC646,JF646,JI646,JL646,JO646,JR646)</f>
        <v>57546</v>
      </c>
      <c r="II646" s="89">
        <v>0</v>
      </c>
      <c r="IJ646" s="89">
        <f t="shared" ref="IJ646:IJ649" si="14832">II646</f>
        <v>0</v>
      </c>
      <c r="IK646" s="89">
        <f t="shared" ref="IK646:IK649" si="14833">IJ646</f>
        <v>0</v>
      </c>
      <c r="IL646" s="89">
        <v>11514</v>
      </c>
      <c r="IM646" s="89">
        <f t="shared" ref="IM646:IM649" si="14834">IL646</f>
        <v>11514</v>
      </c>
      <c r="IN646" s="89">
        <f t="shared" ref="IN646:IN649" si="14835">IM646</f>
        <v>11514</v>
      </c>
      <c r="IO646" s="89">
        <f>17268-11514</f>
        <v>5754</v>
      </c>
      <c r="IP646" s="89">
        <f t="shared" ref="IP646:IP649" si="14836">IO646</f>
        <v>5754</v>
      </c>
      <c r="IQ646" s="89">
        <f t="shared" ref="IQ646:IQ649" si="14837">IP646</f>
        <v>5754</v>
      </c>
      <c r="IR646" s="89">
        <f>23022-17268</f>
        <v>5754</v>
      </c>
      <c r="IS646" s="89">
        <f t="shared" ref="IS646:IS649" si="14838">IR646</f>
        <v>5754</v>
      </c>
      <c r="IT646" s="89">
        <f t="shared" ref="IT646:IT649" si="14839">IS646</f>
        <v>5754</v>
      </c>
      <c r="IU646" s="89">
        <f>28776-23022</f>
        <v>5754</v>
      </c>
      <c r="IV646" s="89">
        <f t="shared" ref="IV646:IV649" si="14840">IU646</f>
        <v>5754</v>
      </c>
      <c r="IW646" s="89">
        <f t="shared" ref="IW646:IW649" si="14841">IV646</f>
        <v>5754</v>
      </c>
      <c r="IX646" s="89">
        <f>34530-28776</f>
        <v>5754</v>
      </c>
      <c r="IY646" s="89">
        <f t="shared" ref="IY646:IY649" si="14842">IX646</f>
        <v>5754</v>
      </c>
      <c r="IZ646" s="89">
        <f t="shared" ref="IZ646:IZ649" si="14843">IY646</f>
        <v>5754</v>
      </c>
      <c r="JA646" s="89">
        <f>40284-34530</f>
        <v>5754</v>
      </c>
      <c r="JB646" s="89">
        <f t="shared" ref="JB646:JB649" si="14844">JA646</f>
        <v>5754</v>
      </c>
      <c r="JC646" s="89">
        <f t="shared" ref="JC646:JC649" si="14845">JB646</f>
        <v>5754</v>
      </c>
      <c r="JD646" s="89">
        <f>46038-40284</f>
        <v>5754</v>
      </c>
      <c r="JE646" s="89">
        <f t="shared" ref="JE646:JE649" si="14846">JD646</f>
        <v>5754</v>
      </c>
      <c r="JF646" s="89">
        <f t="shared" ref="JF646:JF649" si="14847">JE646</f>
        <v>5754</v>
      </c>
      <c r="JG646" s="89">
        <f>51792-46038</f>
        <v>5754</v>
      </c>
      <c r="JH646" s="89">
        <f t="shared" ref="JH646:JH649" si="14848">JG646</f>
        <v>5754</v>
      </c>
      <c r="JI646" s="89">
        <f t="shared" ref="JI646:JI649" si="14849">JH646</f>
        <v>5754</v>
      </c>
      <c r="JJ646" s="89">
        <f>57546-51792</f>
        <v>5754</v>
      </c>
      <c r="JK646" s="89">
        <f t="shared" ref="JK646:JK649" si="14850">JJ646</f>
        <v>5754</v>
      </c>
      <c r="JL646" s="89">
        <f t="shared" ref="JL646:JL649" si="14851">JK646</f>
        <v>5754</v>
      </c>
      <c r="JM646" s="89">
        <v>0</v>
      </c>
      <c r="JN646" s="89">
        <f t="shared" ref="JN646:JN649" si="14852">JM646</f>
        <v>0</v>
      </c>
      <c r="JO646" s="89">
        <f t="shared" ref="JO646:JO649" si="14853">JN646</f>
        <v>0</v>
      </c>
      <c r="JP646" s="89">
        <v>0</v>
      </c>
      <c r="JQ646" s="89">
        <f t="shared" ref="JQ646:JR646" si="14854">JP646</f>
        <v>0</v>
      </c>
      <c r="JR646" s="89">
        <f t="shared" si="14854"/>
        <v>0</v>
      </c>
      <c r="JS646" s="74">
        <f>HG646-IF646</f>
        <v>0</v>
      </c>
      <c r="JT646" s="382">
        <f>GS646-IF646</f>
        <v>0</v>
      </c>
      <c r="JU646" s="665"/>
      <c r="JV646" s="524"/>
      <c r="JW646" s="525"/>
      <c r="JX646" s="549">
        <f t="shared" ref="JX646:JY649" si="14855">SUM(HH646,HJ646,HL646,HN646,HP646,HR646,HT646,HV646,HX646,HZ646,IB646,ID646)</f>
        <v>0</v>
      </c>
      <c r="JY646" s="549">
        <f t="shared" si="14855"/>
        <v>57546</v>
      </c>
      <c r="JZ646" s="581">
        <f t="shared" si="14740"/>
        <v>0</v>
      </c>
      <c r="KA646" s="581">
        <f t="shared" si="14741"/>
        <v>0</v>
      </c>
      <c r="KB646" s="549">
        <f t="shared" si="14516"/>
        <v>57546</v>
      </c>
      <c r="KC646" s="709">
        <f t="shared" si="14739"/>
        <v>0</v>
      </c>
      <c r="KD646" s="36"/>
      <c r="KE646" s="36"/>
      <c r="KF646" s="36"/>
      <c r="KG646" s="36"/>
      <c r="KH646" s="36"/>
      <c r="KI646" s="36"/>
      <c r="KJ646" s="36"/>
      <c r="KK646" s="36"/>
    </row>
    <row r="647" spans="1:297" s="10" customFormat="1">
      <c r="A647" s="86" t="s">
        <v>342</v>
      </c>
      <c r="B647" s="77" t="s">
        <v>72</v>
      </c>
      <c r="C647" s="74">
        <v>7700</v>
      </c>
      <c r="D647" s="549">
        <v>0</v>
      </c>
      <c r="E647" s="675">
        <v>0</v>
      </c>
      <c r="F647" s="549">
        <v>0</v>
      </c>
      <c r="G647" s="675">
        <v>0</v>
      </c>
      <c r="H647" s="549">
        <v>0</v>
      </c>
      <c r="I647" s="675">
        <v>0</v>
      </c>
      <c r="J647" s="549">
        <v>0</v>
      </c>
      <c r="K647" s="675">
        <v>0</v>
      </c>
      <c r="L647" s="549">
        <v>0</v>
      </c>
      <c r="M647" s="675">
        <v>0</v>
      </c>
      <c r="N647" s="549">
        <v>0</v>
      </c>
      <c r="O647" s="675">
        <v>0</v>
      </c>
      <c r="P647" s="549">
        <v>0</v>
      </c>
      <c r="Q647" s="675">
        <v>0</v>
      </c>
      <c r="R647" s="549">
        <v>0</v>
      </c>
      <c r="S647" s="675">
        <v>0</v>
      </c>
      <c r="T647" s="549">
        <v>0</v>
      </c>
      <c r="U647" s="675">
        <v>0</v>
      </c>
      <c r="V647" s="549">
        <v>0</v>
      </c>
      <c r="W647" s="675">
        <v>0</v>
      </c>
      <c r="X647" s="549">
        <v>0</v>
      </c>
      <c r="Y647" s="675">
        <v>0</v>
      </c>
      <c r="Z647" s="549">
        <v>0</v>
      </c>
      <c r="AA647" s="675">
        <v>0</v>
      </c>
      <c r="AB647" s="549">
        <v>0</v>
      </c>
      <c r="AC647" s="675">
        <v>0</v>
      </c>
      <c r="AD647" s="549">
        <v>0</v>
      </c>
      <c r="AE647" s="675">
        <v>0</v>
      </c>
      <c r="AF647" s="549">
        <v>0</v>
      </c>
      <c r="AG647" s="675">
        <v>0</v>
      </c>
      <c r="AH647" s="549">
        <v>0</v>
      </c>
      <c r="AI647" s="675">
        <v>0</v>
      </c>
      <c r="AJ647" s="549">
        <v>0</v>
      </c>
      <c r="AK647" s="675">
        <v>0</v>
      </c>
      <c r="AL647" s="549">
        <v>0</v>
      </c>
      <c r="AM647" s="675">
        <v>0</v>
      </c>
      <c r="AN647" s="549">
        <v>0</v>
      </c>
      <c r="AO647" s="675">
        <v>0</v>
      </c>
      <c r="AP647" s="549">
        <v>0</v>
      </c>
      <c r="AQ647" s="675">
        <v>0</v>
      </c>
      <c r="AR647" s="549">
        <v>0</v>
      </c>
      <c r="AS647" s="675">
        <v>0</v>
      </c>
      <c r="AT647" s="549">
        <v>0</v>
      </c>
      <c r="AU647" s="675">
        <v>0</v>
      </c>
      <c r="AV647" s="549">
        <v>0</v>
      </c>
      <c r="AW647" s="675">
        <v>0</v>
      </c>
      <c r="AX647" s="549">
        <v>0</v>
      </c>
      <c r="AY647" s="675">
        <v>0</v>
      </c>
      <c r="AZ647" s="549">
        <v>0</v>
      </c>
      <c r="BA647" s="675">
        <v>0</v>
      </c>
      <c r="BB647" s="549">
        <v>0</v>
      </c>
      <c r="BC647" s="675">
        <v>0</v>
      </c>
      <c r="BD647" s="549">
        <v>0</v>
      </c>
      <c r="BE647" s="675">
        <v>0</v>
      </c>
      <c r="BF647" s="549">
        <v>0</v>
      </c>
      <c r="BG647" s="675">
        <v>0</v>
      </c>
      <c r="BH647" s="549">
        <v>0</v>
      </c>
      <c r="BI647" s="675">
        <v>0</v>
      </c>
      <c r="BJ647" s="549">
        <v>0</v>
      </c>
      <c r="BK647" s="675">
        <v>0</v>
      </c>
      <c r="BL647" s="549">
        <v>0</v>
      </c>
      <c r="BM647" s="675">
        <v>0</v>
      </c>
      <c r="BN647" s="549">
        <v>0</v>
      </c>
      <c r="BO647" s="675">
        <v>0</v>
      </c>
      <c r="BP647" s="549">
        <v>0</v>
      </c>
      <c r="BQ647" s="675">
        <v>0</v>
      </c>
      <c r="BR647" s="549">
        <v>0</v>
      </c>
      <c r="BS647" s="675">
        <v>0</v>
      </c>
      <c r="BT647" s="549">
        <v>0</v>
      </c>
      <c r="BU647" s="675">
        <v>0</v>
      </c>
      <c r="BV647" s="549">
        <v>0</v>
      </c>
      <c r="BW647" s="675">
        <v>0</v>
      </c>
      <c r="BX647" s="549">
        <v>0</v>
      </c>
      <c r="BY647" s="675">
        <v>0</v>
      </c>
      <c r="BZ647" s="549">
        <v>0</v>
      </c>
      <c r="CA647" s="675">
        <v>0</v>
      </c>
      <c r="CB647" s="549">
        <v>0</v>
      </c>
      <c r="CC647" s="675">
        <v>0</v>
      </c>
      <c r="CD647" s="549">
        <v>0</v>
      </c>
      <c r="CE647" s="675">
        <v>0</v>
      </c>
      <c r="CF647" s="549">
        <v>0</v>
      </c>
      <c r="CG647" s="675">
        <v>0</v>
      </c>
      <c r="CH647" s="549">
        <v>0</v>
      </c>
      <c r="CI647" s="675">
        <v>0</v>
      </c>
      <c r="CJ647" s="549">
        <v>0</v>
      </c>
      <c r="CK647" s="675">
        <v>0</v>
      </c>
      <c r="CL647" s="549">
        <v>0</v>
      </c>
      <c r="CM647" s="675">
        <v>0</v>
      </c>
      <c r="CN647" s="549">
        <v>0</v>
      </c>
      <c r="CO647" s="675">
        <v>0</v>
      </c>
      <c r="CP647" s="549">
        <v>0</v>
      </c>
      <c r="CQ647" s="675">
        <v>0</v>
      </c>
      <c r="CR647" s="549">
        <v>0</v>
      </c>
      <c r="CS647" s="675">
        <v>0</v>
      </c>
      <c r="CT647" s="549">
        <v>0</v>
      </c>
      <c r="CU647" s="675">
        <v>0</v>
      </c>
      <c r="CV647" s="549">
        <v>0</v>
      </c>
      <c r="CW647" s="675">
        <v>0</v>
      </c>
      <c r="CX647" s="549">
        <v>0</v>
      </c>
      <c r="CY647" s="675">
        <v>0</v>
      </c>
      <c r="CZ647" s="549">
        <v>0</v>
      </c>
      <c r="DA647" s="675">
        <v>0</v>
      </c>
      <c r="DB647" s="549">
        <v>0</v>
      </c>
      <c r="DC647" s="675">
        <v>0</v>
      </c>
      <c r="DD647" s="549">
        <v>0</v>
      </c>
      <c r="DE647" s="675">
        <v>0</v>
      </c>
      <c r="DF647" s="549">
        <v>0</v>
      </c>
      <c r="DG647" s="675">
        <v>0</v>
      </c>
      <c r="DH647" s="549">
        <v>0</v>
      </c>
      <c r="DI647" s="675">
        <v>0</v>
      </c>
      <c r="DJ647" s="549">
        <v>0</v>
      </c>
      <c r="DK647" s="675">
        <v>0</v>
      </c>
      <c r="DL647" s="549">
        <v>0</v>
      </c>
      <c r="DM647" s="675">
        <v>0</v>
      </c>
      <c r="DN647" s="549">
        <v>0</v>
      </c>
      <c r="DO647" s="675">
        <v>0</v>
      </c>
      <c r="DP647" s="549">
        <v>0</v>
      </c>
      <c r="DQ647" s="675">
        <v>0</v>
      </c>
      <c r="DR647" s="549">
        <v>0</v>
      </c>
      <c r="DS647" s="675">
        <v>0</v>
      </c>
      <c r="DT647" s="549">
        <v>0</v>
      </c>
      <c r="DU647" s="675">
        <v>0</v>
      </c>
      <c r="DV647" s="549">
        <v>0</v>
      </c>
      <c r="DW647" s="675">
        <v>0</v>
      </c>
      <c r="DX647" s="549">
        <v>0</v>
      </c>
      <c r="DY647" s="675">
        <v>0</v>
      </c>
      <c r="DZ647" s="549">
        <v>0</v>
      </c>
      <c r="EA647" s="675">
        <v>0</v>
      </c>
      <c r="EB647" s="549">
        <v>0</v>
      </c>
      <c r="EC647" s="675">
        <v>0</v>
      </c>
      <c r="ED647" s="549">
        <v>0</v>
      </c>
      <c r="EE647" s="675">
        <v>0</v>
      </c>
      <c r="EF647" s="549">
        <v>0</v>
      </c>
      <c r="EG647" s="675">
        <v>0</v>
      </c>
      <c r="EH647" s="549">
        <v>0</v>
      </c>
      <c r="EI647" s="675">
        <v>0</v>
      </c>
      <c r="EJ647" s="549">
        <v>0</v>
      </c>
      <c r="EK647" s="675">
        <v>0</v>
      </c>
      <c r="EL647" s="549">
        <v>0</v>
      </c>
      <c r="EM647" s="675">
        <v>0</v>
      </c>
      <c r="EN647" s="549">
        <v>0</v>
      </c>
      <c r="EO647" s="675">
        <v>0</v>
      </c>
      <c r="EP647" s="549">
        <v>0</v>
      </c>
      <c r="EQ647" s="675">
        <v>0</v>
      </c>
      <c r="ER647" s="549">
        <v>0</v>
      </c>
      <c r="ES647" s="675">
        <v>0</v>
      </c>
      <c r="ET647" s="549">
        <v>0</v>
      </c>
      <c r="EU647" s="675">
        <v>0</v>
      </c>
      <c r="EV647" s="549">
        <v>0</v>
      </c>
      <c r="EW647" s="675">
        <v>0</v>
      </c>
      <c r="EX647" s="549">
        <v>0</v>
      </c>
      <c r="EY647" s="675">
        <v>0</v>
      </c>
      <c r="EZ647" s="549">
        <v>0</v>
      </c>
      <c r="FA647" s="675">
        <v>0</v>
      </c>
      <c r="FB647" s="549">
        <v>0</v>
      </c>
      <c r="FC647" s="675">
        <v>0</v>
      </c>
      <c r="FD647" s="549">
        <v>0</v>
      </c>
      <c r="FE647" s="675">
        <v>0</v>
      </c>
      <c r="FF647" s="549">
        <v>0</v>
      </c>
      <c r="FG647" s="675">
        <v>0</v>
      </c>
      <c r="FH647" s="549">
        <v>0</v>
      </c>
      <c r="FI647" s="675">
        <v>0</v>
      </c>
      <c r="FJ647" s="549">
        <v>0</v>
      </c>
      <c r="FK647" s="675">
        <v>0</v>
      </c>
      <c r="FL647" s="549">
        <v>0</v>
      </c>
      <c r="FM647" s="675">
        <v>0</v>
      </c>
      <c r="FN647" s="549">
        <v>0</v>
      </c>
      <c r="FO647" s="675">
        <v>0</v>
      </c>
      <c r="FP647" s="549">
        <v>0</v>
      </c>
      <c r="FQ647" s="675">
        <v>0</v>
      </c>
      <c r="FR647" s="549">
        <v>0</v>
      </c>
      <c r="FS647" s="675">
        <v>0</v>
      </c>
      <c r="FT647" s="549">
        <v>0</v>
      </c>
      <c r="FU647" s="675">
        <v>0</v>
      </c>
      <c r="FV647" s="549">
        <v>0</v>
      </c>
      <c r="FW647" s="675">
        <v>0</v>
      </c>
      <c r="FX647" s="549">
        <v>0</v>
      </c>
      <c r="FY647" s="675">
        <v>0</v>
      </c>
      <c r="FZ647" s="549">
        <v>0</v>
      </c>
      <c r="GA647" s="675">
        <v>0</v>
      </c>
      <c r="GB647" s="549">
        <v>0</v>
      </c>
      <c r="GC647" s="675">
        <v>0</v>
      </c>
      <c r="GD647" s="549">
        <v>0</v>
      </c>
      <c r="GE647" s="675">
        <v>0</v>
      </c>
      <c r="GF647" s="549">
        <v>0</v>
      </c>
      <c r="GG647" s="675">
        <v>0</v>
      </c>
      <c r="GH647" s="549">
        <v>0</v>
      </c>
      <c r="GI647" s="675">
        <v>0</v>
      </c>
      <c r="GJ647" s="549">
        <v>0</v>
      </c>
      <c r="GK647" s="675">
        <v>0</v>
      </c>
      <c r="GL647" s="549">
        <v>0</v>
      </c>
      <c r="GM647" s="675">
        <v>0</v>
      </c>
      <c r="GN647" s="549">
        <v>0</v>
      </c>
      <c r="GO647" s="675">
        <v>0</v>
      </c>
      <c r="GP647" s="549">
        <f t="shared" si="14825"/>
        <v>0</v>
      </c>
      <c r="GQ647" s="675">
        <f t="shared" si="14826"/>
        <v>0</v>
      </c>
      <c r="GR647" s="74">
        <f>C647+GP647+GQ647</f>
        <v>7700</v>
      </c>
      <c r="GS647" s="74">
        <f t="shared" si="14827"/>
        <v>7000</v>
      </c>
      <c r="GT647" s="568">
        <f t="shared" si="14828"/>
        <v>7700</v>
      </c>
      <c r="GU647" s="275">
        <v>700</v>
      </c>
      <c r="GV647" s="275">
        <v>700</v>
      </c>
      <c r="GW647" s="275">
        <v>700</v>
      </c>
      <c r="GX647" s="275">
        <v>700</v>
      </c>
      <c r="GY647" s="275">
        <v>700</v>
      </c>
      <c r="GZ647" s="275">
        <v>700</v>
      </c>
      <c r="HA647" s="275">
        <v>700</v>
      </c>
      <c r="HB647" s="275">
        <v>700</v>
      </c>
      <c r="HC647" s="275">
        <v>700</v>
      </c>
      <c r="HD647" s="275">
        <v>700</v>
      </c>
      <c r="HE647" s="275">
        <v>700</v>
      </c>
      <c r="HF647" s="275">
        <v>0</v>
      </c>
      <c r="HG647" s="74">
        <f>SUM(HH647:IE647)+GP647+GQ647</f>
        <v>7000</v>
      </c>
      <c r="HH647" s="89">
        <v>0</v>
      </c>
      <c r="HI647" s="817">
        <v>0</v>
      </c>
      <c r="HJ647" s="89">
        <v>0</v>
      </c>
      <c r="HK647" s="817">
        <v>1400</v>
      </c>
      <c r="HL647" s="89">
        <v>0</v>
      </c>
      <c r="HM647" s="817">
        <v>700</v>
      </c>
      <c r="HN647" s="89">
        <v>0</v>
      </c>
      <c r="HO647" s="817">
        <v>700</v>
      </c>
      <c r="HP647" s="89">
        <v>0</v>
      </c>
      <c r="HQ647" s="817">
        <v>700</v>
      </c>
      <c r="HR647" s="89">
        <v>0</v>
      </c>
      <c r="HS647" s="817">
        <v>700</v>
      </c>
      <c r="HT647" s="89">
        <v>0</v>
      </c>
      <c r="HU647" s="817">
        <v>700</v>
      </c>
      <c r="HV647" s="89">
        <v>0</v>
      </c>
      <c r="HW647" s="817">
        <v>700</v>
      </c>
      <c r="HX647" s="89">
        <v>0</v>
      </c>
      <c r="HY647" s="817">
        <v>700</v>
      </c>
      <c r="HZ647" s="89">
        <v>0</v>
      </c>
      <c r="IA647" s="817">
        <v>700</v>
      </c>
      <c r="IB647" s="89">
        <v>0</v>
      </c>
      <c r="IC647" s="817">
        <v>0</v>
      </c>
      <c r="ID647" s="89">
        <v>0</v>
      </c>
      <c r="IE647" s="817">
        <v>0</v>
      </c>
      <c r="IF647" s="841">
        <f t="shared" si="14829"/>
        <v>7000</v>
      </c>
      <c r="IG647" s="263">
        <f t="shared" si="14830"/>
        <v>7000</v>
      </c>
      <c r="IH647" s="842">
        <f t="shared" si="14831"/>
        <v>7000</v>
      </c>
      <c r="II647" s="89">
        <v>0</v>
      </c>
      <c r="IJ647" s="89">
        <f t="shared" si="14832"/>
        <v>0</v>
      </c>
      <c r="IK647" s="89">
        <f t="shared" si="14833"/>
        <v>0</v>
      </c>
      <c r="IL647" s="89">
        <v>1400</v>
      </c>
      <c r="IM647" s="89">
        <f t="shared" si="14834"/>
        <v>1400</v>
      </c>
      <c r="IN647" s="89">
        <f t="shared" si="14835"/>
        <v>1400</v>
      </c>
      <c r="IO647" s="89">
        <f>2100-1400</f>
        <v>700</v>
      </c>
      <c r="IP647" s="89">
        <f t="shared" si="14836"/>
        <v>700</v>
      </c>
      <c r="IQ647" s="89">
        <f t="shared" si="14837"/>
        <v>700</v>
      </c>
      <c r="IR647" s="89">
        <v>700</v>
      </c>
      <c r="IS647" s="89">
        <f t="shared" si="14838"/>
        <v>700</v>
      </c>
      <c r="IT647" s="89">
        <f t="shared" si="14839"/>
        <v>700</v>
      </c>
      <c r="IU647" s="89">
        <f>3500-2800</f>
        <v>700</v>
      </c>
      <c r="IV647" s="89">
        <f t="shared" si="14840"/>
        <v>700</v>
      </c>
      <c r="IW647" s="89">
        <f t="shared" si="14841"/>
        <v>700</v>
      </c>
      <c r="IX647" s="89">
        <f>4200-3500</f>
        <v>700</v>
      </c>
      <c r="IY647" s="89">
        <f t="shared" si="14842"/>
        <v>700</v>
      </c>
      <c r="IZ647" s="89">
        <f t="shared" si="14843"/>
        <v>700</v>
      </c>
      <c r="JA647" s="89">
        <f>4900-4200</f>
        <v>700</v>
      </c>
      <c r="JB647" s="89">
        <f t="shared" si="14844"/>
        <v>700</v>
      </c>
      <c r="JC647" s="89">
        <f t="shared" si="14845"/>
        <v>700</v>
      </c>
      <c r="JD647" s="89">
        <f>5600-4900</f>
        <v>700</v>
      </c>
      <c r="JE647" s="89">
        <f t="shared" si="14846"/>
        <v>700</v>
      </c>
      <c r="JF647" s="89">
        <f t="shared" si="14847"/>
        <v>700</v>
      </c>
      <c r="JG647" s="89">
        <f>6300-5600</f>
        <v>700</v>
      </c>
      <c r="JH647" s="89">
        <f t="shared" si="14848"/>
        <v>700</v>
      </c>
      <c r="JI647" s="89">
        <f t="shared" si="14849"/>
        <v>700</v>
      </c>
      <c r="JJ647" s="89">
        <f>7000-6300</f>
        <v>700</v>
      </c>
      <c r="JK647" s="89">
        <f t="shared" si="14850"/>
        <v>700</v>
      </c>
      <c r="JL647" s="89">
        <f t="shared" si="14851"/>
        <v>700</v>
      </c>
      <c r="JM647" s="89">
        <v>0</v>
      </c>
      <c r="JN647" s="89">
        <f t="shared" si="14852"/>
        <v>0</v>
      </c>
      <c r="JO647" s="89">
        <f t="shared" si="14853"/>
        <v>0</v>
      </c>
      <c r="JP647" s="89">
        <v>0</v>
      </c>
      <c r="JQ647" s="89">
        <f t="shared" ref="JQ647:JR647" si="14856">JP647</f>
        <v>0</v>
      </c>
      <c r="JR647" s="89">
        <f t="shared" si="14856"/>
        <v>0</v>
      </c>
      <c r="JS647" s="74">
        <f>HG647-IF647</f>
        <v>0</v>
      </c>
      <c r="JT647" s="382">
        <f>GS647-IF647</f>
        <v>0</v>
      </c>
      <c r="JU647" s="665"/>
      <c r="JV647" s="524"/>
      <c r="JW647" s="525"/>
      <c r="JX647" s="549">
        <f t="shared" si="14855"/>
        <v>0</v>
      </c>
      <c r="JY647" s="549">
        <f t="shared" si="14855"/>
        <v>7000</v>
      </c>
      <c r="JZ647" s="581">
        <f t="shared" si="14740"/>
        <v>0</v>
      </c>
      <c r="KA647" s="581">
        <f t="shared" si="14741"/>
        <v>0</v>
      </c>
      <c r="KB647" s="549">
        <f t="shared" si="14516"/>
        <v>7000</v>
      </c>
      <c r="KC647" s="709">
        <f t="shared" si="14739"/>
        <v>0</v>
      </c>
      <c r="KD647" s="36"/>
      <c r="KE647" s="36"/>
      <c r="KF647" s="36"/>
      <c r="KG647" s="36"/>
      <c r="KH647" s="36"/>
      <c r="KI647" s="36"/>
      <c r="KJ647" s="36"/>
      <c r="KK647" s="36"/>
    </row>
    <row r="648" spans="1:297" s="10" customFormat="1">
      <c r="A648" s="86" t="s">
        <v>343</v>
      </c>
      <c r="B648" s="77" t="s">
        <v>74</v>
      </c>
      <c r="C648" s="74">
        <v>3200</v>
      </c>
      <c r="D648" s="549">
        <v>0</v>
      </c>
      <c r="E648" s="675">
        <v>0</v>
      </c>
      <c r="F648" s="549">
        <v>0</v>
      </c>
      <c r="G648" s="675">
        <v>0</v>
      </c>
      <c r="H648" s="549">
        <v>0</v>
      </c>
      <c r="I648" s="675">
        <v>0</v>
      </c>
      <c r="J648" s="549">
        <v>0</v>
      </c>
      <c r="K648" s="675">
        <v>0</v>
      </c>
      <c r="L648" s="549">
        <v>0</v>
      </c>
      <c r="M648" s="675">
        <v>0</v>
      </c>
      <c r="N648" s="549">
        <v>0</v>
      </c>
      <c r="O648" s="675">
        <v>0</v>
      </c>
      <c r="P648" s="549">
        <v>0</v>
      </c>
      <c r="Q648" s="675">
        <v>0</v>
      </c>
      <c r="R648" s="549">
        <v>0</v>
      </c>
      <c r="S648" s="675">
        <v>0</v>
      </c>
      <c r="T648" s="549">
        <v>0</v>
      </c>
      <c r="U648" s="675">
        <v>0</v>
      </c>
      <c r="V648" s="549">
        <v>0</v>
      </c>
      <c r="W648" s="675">
        <v>0</v>
      </c>
      <c r="X648" s="549">
        <v>0</v>
      </c>
      <c r="Y648" s="675">
        <v>0</v>
      </c>
      <c r="Z648" s="549">
        <v>0</v>
      </c>
      <c r="AA648" s="675">
        <v>0</v>
      </c>
      <c r="AB648" s="549">
        <v>0</v>
      </c>
      <c r="AC648" s="675">
        <v>0</v>
      </c>
      <c r="AD648" s="549">
        <v>0</v>
      </c>
      <c r="AE648" s="675">
        <v>0</v>
      </c>
      <c r="AF648" s="549">
        <v>0</v>
      </c>
      <c r="AG648" s="675">
        <v>0</v>
      </c>
      <c r="AH648" s="549">
        <v>0</v>
      </c>
      <c r="AI648" s="675">
        <v>0</v>
      </c>
      <c r="AJ648" s="549">
        <v>0</v>
      </c>
      <c r="AK648" s="675">
        <v>0</v>
      </c>
      <c r="AL648" s="549">
        <v>0</v>
      </c>
      <c r="AM648" s="675">
        <v>0</v>
      </c>
      <c r="AN648" s="549">
        <v>0</v>
      </c>
      <c r="AO648" s="675">
        <v>0</v>
      </c>
      <c r="AP648" s="549">
        <v>0</v>
      </c>
      <c r="AQ648" s="675">
        <v>0</v>
      </c>
      <c r="AR648" s="549">
        <v>0</v>
      </c>
      <c r="AS648" s="675">
        <v>0</v>
      </c>
      <c r="AT648" s="549">
        <v>0</v>
      </c>
      <c r="AU648" s="675">
        <v>0</v>
      </c>
      <c r="AV648" s="549">
        <v>0</v>
      </c>
      <c r="AW648" s="675">
        <v>0</v>
      </c>
      <c r="AX648" s="549">
        <v>0</v>
      </c>
      <c r="AY648" s="675">
        <v>0</v>
      </c>
      <c r="AZ648" s="549">
        <v>0</v>
      </c>
      <c r="BA648" s="675">
        <v>0</v>
      </c>
      <c r="BB648" s="549">
        <v>0</v>
      </c>
      <c r="BC648" s="675">
        <v>0</v>
      </c>
      <c r="BD648" s="549">
        <v>0</v>
      </c>
      <c r="BE648" s="675">
        <v>0</v>
      </c>
      <c r="BF648" s="549">
        <v>0</v>
      </c>
      <c r="BG648" s="675">
        <v>0</v>
      </c>
      <c r="BH648" s="549">
        <v>0</v>
      </c>
      <c r="BI648" s="675">
        <v>0</v>
      </c>
      <c r="BJ648" s="549">
        <v>0</v>
      </c>
      <c r="BK648" s="675">
        <v>0</v>
      </c>
      <c r="BL648" s="549">
        <v>0</v>
      </c>
      <c r="BM648" s="675">
        <v>0</v>
      </c>
      <c r="BN648" s="549">
        <v>0</v>
      </c>
      <c r="BO648" s="675">
        <v>0</v>
      </c>
      <c r="BP648" s="549">
        <v>0</v>
      </c>
      <c r="BQ648" s="675">
        <v>0</v>
      </c>
      <c r="BR648" s="549">
        <v>0</v>
      </c>
      <c r="BS648" s="675">
        <v>0</v>
      </c>
      <c r="BT648" s="549">
        <v>0</v>
      </c>
      <c r="BU648" s="675">
        <v>0</v>
      </c>
      <c r="BV648" s="549">
        <v>0</v>
      </c>
      <c r="BW648" s="675">
        <v>0</v>
      </c>
      <c r="BX648" s="549">
        <v>0</v>
      </c>
      <c r="BY648" s="675">
        <v>0</v>
      </c>
      <c r="BZ648" s="549">
        <v>0</v>
      </c>
      <c r="CA648" s="675">
        <v>0</v>
      </c>
      <c r="CB648" s="549">
        <v>0</v>
      </c>
      <c r="CC648" s="675">
        <v>0</v>
      </c>
      <c r="CD648" s="549">
        <v>0</v>
      </c>
      <c r="CE648" s="675">
        <v>0</v>
      </c>
      <c r="CF648" s="549">
        <v>0</v>
      </c>
      <c r="CG648" s="675">
        <v>0</v>
      </c>
      <c r="CH648" s="549">
        <v>0</v>
      </c>
      <c r="CI648" s="675">
        <v>0</v>
      </c>
      <c r="CJ648" s="549">
        <v>0</v>
      </c>
      <c r="CK648" s="675">
        <v>0</v>
      </c>
      <c r="CL648" s="549">
        <v>0</v>
      </c>
      <c r="CM648" s="675">
        <v>0</v>
      </c>
      <c r="CN648" s="549">
        <v>0</v>
      </c>
      <c r="CO648" s="675">
        <v>0</v>
      </c>
      <c r="CP648" s="549">
        <v>0</v>
      </c>
      <c r="CQ648" s="675">
        <v>0</v>
      </c>
      <c r="CR648" s="549">
        <v>0</v>
      </c>
      <c r="CS648" s="675">
        <v>0</v>
      </c>
      <c r="CT648" s="549">
        <v>0</v>
      </c>
      <c r="CU648" s="675">
        <v>0</v>
      </c>
      <c r="CV648" s="549">
        <v>0</v>
      </c>
      <c r="CW648" s="675">
        <v>0</v>
      </c>
      <c r="CX648" s="549">
        <v>0</v>
      </c>
      <c r="CY648" s="675">
        <v>0</v>
      </c>
      <c r="CZ648" s="549">
        <v>0</v>
      </c>
      <c r="DA648" s="675">
        <v>0</v>
      </c>
      <c r="DB648" s="549">
        <v>0</v>
      </c>
      <c r="DC648" s="675">
        <v>0</v>
      </c>
      <c r="DD648" s="549">
        <v>0</v>
      </c>
      <c r="DE648" s="675">
        <v>0</v>
      </c>
      <c r="DF648" s="549">
        <v>0</v>
      </c>
      <c r="DG648" s="675">
        <v>0</v>
      </c>
      <c r="DH648" s="549">
        <v>0</v>
      </c>
      <c r="DI648" s="675">
        <v>0</v>
      </c>
      <c r="DJ648" s="549">
        <v>0</v>
      </c>
      <c r="DK648" s="675">
        <v>0</v>
      </c>
      <c r="DL648" s="549">
        <v>0</v>
      </c>
      <c r="DM648" s="675">
        <v>0</v>
      </c>
      <c r="DN648" s="549">
        <v>0</v>
      </c>
      <c r="DO648" s="675">
        <v>0</v>
      </c>
      <c r="DP648" s="549">
        <v>0</v>
      </c>
      <c r="DQ648" s="675">
        <v>0</v>
      </c>
      <c r="DR648" s="549">
        <v>0</v>
      </c>
      <c r="DS648" s="675">
        <v>0</v>
      </c>
      <c r="DT648" s="549">
        <v>0</v>
      </c>
      <c r="DU648" s="675">
        <v>0</v>
      </c>
      <c r="DV648" s="549">
        <v>0</v>
      </c>
      <c r="DW648" s="675">
        <v>0</v>
      </c>
      <c r="DX648" s="549">
        <v>0</v>
      </c>
      <c r="DY648" s="675">
        <v>0</v>
      </c>
      <c r="DZ648" s="549">
        <v>0</v>
      </c>
      <c r="EA648" s="675">
        <v>0</v>
      </c>
      <c r="EB648" s="549">
        <v>0</v>
      </c>
      <c r="EC648" s="675">
        <v>0</v>
      </c>
      <c r="ED648" s="549">
        <v>0</v>
      </c>
      <c r="EE648" s="675">
        <v>0</v>
      </c>
      <c r="EF648" s="549">
        <v>0</v>
      </c>
      <c r="EG648" s="675">
        <v>0</v>
      </c>
      <c r="EH648" s="549">
        <v>0</v>
      </c>
      <c r="EI648" s="675">
        <v>0</v>
      </c>
      <c r="EJ648" s="549">
        <v>0</v>
      </c>
      <c r="EK648" s="675">
        <v>0</v>
      </c>
      <c r="EL648" s="549">
        <v>0</v>
      </c>
      <c r="EM648" s="675">
        <v>0</v>
      </c>
      <c r="EN648" s="549">
        <v>0</v>
      </c>
      <c r="EO648" s="675">
        <v>0</v>
      </c>
      <c r="EP648" s="549">
        <v>0</v>
      </c>
      <c r="EQ648" s="675">
        <v>0</v>
      </c>
      <c r="ER648" s="549">
        <v>0</v>
      </c>
      <c r="ES648" s="675">
        <v>0</v>
      </c>
      <c r="ET648" s="549">
        <v>0</v>
      </c>
      <c r="EU648" s="675">
        <v>0</v>
      </c>
      <c r="EV648" s="549">
        <v>0</v>
      </c>
      <c r="EW648" s="675">
        <v>0</v>
      </c>
      <c r="EX648" s="549">
        <v>0</v>
      </c>
      <c r="EY648" s="675">
        <v>0</v>
      </c>
      <c r="EZ648" s="549">
        <v>0</v>
      </c>
      <c r="FA648" s="675">
        <v>0</v>
      </c>
      <c r="FB648" s="549">
        <v>0</v>
      </c>
      <c r="FC648" s="675">
        <v>0</v>
      </c>
      <c r="FD648" s="549">
        <v>0</v>
      </c>
      <c r="FE648" s="675">
        <v>0</v>
      </c>
      <c r="FF648" s="549">
        <v>0</v>
      </c>
      <c r="FG648" s="675">
        <v>0</v>
      </c>
      <c r="FH648" s="549">
        <v>0</v>
      </c>
      <c r="FI648" s="675">
        <v>0</v>
      </c>
      <c r="FJ648" s="549">
        <v>0</v>
      </c>
      <c r="FK648" s="675">
        <v>0</v>
      </c>
      <c r="FL648" s="549">
        <v>0</v>
      </c>
      <c r="FM648" s="675">
        <v>0</v>
      </c>
      <c r="FN648" s="549">
        <v>0</v>
      </c>
      <c r="FO648" s="675">
        <v>0</v>
      </c>
      <c r="FP648" s="549">
        <v>0</v>
      </c>
      <c r="FQ648" s="675">
        <v>0</v>
      </c>
      <c r="FR648" s="549">
        <v>0</v>
      </c>
      <c r="FS648" s="675">
        <v>0</v>
      </c>
      <c r="FT648" s="549">
        <v>0</v>
      </c>
      <c r="FU648" s="675">
        <v>0</v>
      </c>
      <c r="FV648" s="549">
        <v>0</v>
      </c>
      <c r="FW648" s="675">
        <v>0</v>
      </c>
      <c r="FX648" s="549">
        <v>0</v>
      </c>
      <c r="FY648" s="675">
        <v>0</v>
      </c>
      <c r="FZ648" s="549">
        <v>0</v>
      </c>
      <c r="GA648" s="675">
        <v>0</v>
      </c>
      <c r="GB648" s="549">
        <v>0</v>
      </c>
      <c r="GC648" s="675">
        <v>0</v>
      </c>
      <c r="GD648" s="549">
        <v>0</v>
      </c>
      <c r="GE648" s="675">
        <v>0</v>
      </c>
      <c r="GF648" s="549">
        <v>0</v>
      </c>
      <c r="GG648" s="675">
        <v>0</v>
      </c>
      <c r="GH648" s="549">
        <v>0</v>
      </c>
      <c r="GI648" s="675">
        <v>0</v>
      </c>
      <c r="GJ648" s="549">
        <v>0</v>
      </c>
      <c r="GK648" s="675">
        <v>0</v>
      </c>
      <c r="GL648" s="549">
        <v>0</v>
      </c>
      <c r="GM648" s="675">
        <v>0</v>
      </c>
      <c r="GN648" s="549">
        <v>0</v>
      </c>
      <c r="GO648" s="675">
        <v>0</v>
      </c>
      <c r="GP648" s="549">
        <f t="shared" si="14825"/>
        <v>0</v>
      </c>
      <c r="GQ648" s="675">
        <f t="shared" si="14826"/>
        <v>0</v>
      </c>
      <c r="GR648" s="74">
        <f>C648+GP648+GQ648</f>
        <v>3200</v>
      </c>
      <c r="GS648" s="74">
        <f t="shared" si="14827"/>
        <v>2910</v>
      </c>
      <c r="GT648" s="568">
        <f t="shared" si="14828"/>
        <v>3200</v>
      </c>
      <c r="GU648" s="275">
        <v>300</v>
      </c>
      <c r="GV648" s="275">
        <v>290</v>
      </c>
      <c r="GW648" s="275">
        <v>290</v>
      </c>
      <c r="GX648" s="275">
        <v>290</v>
      </c>
      <c r="GY648" s="275">
        <v>290</v>
      </c>
      <c r="GZ648" s="275">
        <v>290</v>
      </c>
      <c r="HA648" s="275">
        <v>290</v>
      </c>
      <c r="HB648" s="275">
        <v>290</v>
      </c>
      <c r="HC648" s="275">
        <v>290</v>
      </c>
      <c r="HD648" s="275">
        <v>290</v>
      </c>
      <c r="HE648" s="275">
        <v>290</v>
      </c>
      <c r="HF648" s="275">
        <v>0</v>
      </c>
      <c r="HG648" s="74">
        <f>SUM(HH648:IE648)+GP648+GQ648</f>
        <v>2910</v>
      </c>
      <c r="HH648" s="89">
        <v>0</v>
      </c>
      <c r="HI648" s="817">
        <v>0</v>
      </c>
      <c r="HJ648" s="89">
        <v>0</v>
      </c>
      <c r="HK648" s="817">
        <v>590</v>
      </c>
      <c r="HL648" s="89">
        <v>0</v>
      </c>
      <c r="HM648" s="817">
        <v>290</v>
      </c>
      <c r="HN648" s="89">
        <v>0</v>
      </c>
      <c r="HO648" s="817">
        <v>290</v>
      </c>
      <c r="HP648" s="89">
        <v>0</v>
      </c>
      <c r="HQ648" s="817">
        <v>290</v>
      </c>
      <c r="HR648" s="89">
        <v>0</v>
      </c>
      <c r="HS648" s="817">
        <v>290</v>
      </c>
      <c r="HT648" s="89">
        <v>0</v>
      </c>
      <c r="HU648" s="817">
        <v>290</v>
      </c>
      <c r="HV648" s="89">
        <v>0</v>
      </c>
      <c r="HW648" s="817">
        <v>290</v>
      </c>
      <c r="HX648" s="89">
        <v>0</v>
      </c>
      <c r="HY648" s="817">
        <v>290</v>
      </c>
      <c r="HZ648" s="89">
        <v>0</v>
      </c>
      <c r="IA648" s="817">
        <v>290</v>
      </c>
      <c r="IB648" s="89">
        <v>0</v>
      </c>
      <c r="IC648" s="817">
        <v>0</v>
      </c>
      <c r="ID648" s="89">
        <v>0</v>
      </c>
      <c r="IE648" s="817">
        <v>0</v>
      </c>
      <c r="IF648" s="841">
        <f t="shared" si="14829"/>
        <v>2910</v>
      </c>
      <c r="IG648" s="263">
        <f t="shared" si="14830"/>
        <v>2910</v>
      </c>
      <c r="IH648" s="842">
        <f t="shared" si="14831"/>
        <v>2910</v>
      </c>
      <c r="II648" s="89">
        <v>0</v>
      </c>
      <c r="IJ648" s="89">
        <f t="shared" si="14832"/>
        <v>0</v>
      </c>
      <c r="IK648" s="89">
        <f t="shared" si="14833"/>
        <v>0</v>
      </c>
      <c r="IL648" s="89">
        <v>590</v>
      </c>
      <c r="IM648" s="89">
        <f t="shared" si="14834"/>
        <v>590</v>
      </c>
      <c r="IN648" s="89">
        <f t="shared" si="14835"/>
        <v>590</v>
      </c>
      <c r="IO648" s="89">
        <f>880-590</f>
        <v>290</v>
      </c>
      <c r="IP648" s="89">
        <f t="shared" si="14836"/>
        <v>290</v>
      </c>
      <c r="IQ648" s="89">
        <f t="shared" si="14837"/>
        <v>290</v>
      </c>
      <c r="IR648" s="89">
        <f>1170-880</f>
        <v>290</v>
      </c>
      <c r="IS648" s="89">
        <f t="shared" si="14838"/>
        <v>290</v>
      </c>
      <c r="IT648" s="89">
        <f t="shared" si="14839"/>
        <v>290</v>
      </c>
      <c r="IU648" s="89">
        <f>1460-1170</f>
        <v>290</v>
      </c>
      <c r="IV648" s="89">
        <f t="shared" si="14840"/>
        <v>290</v>
      </c>
      <c r="IW648" s="89">
        <f t="shared" si="14841"/>
        <v>290</v>
      </c>
      <c r="IX648" s="89">
        <f>1750-1460</f>
        <v>290</v>
      </c>
      <c r="IY648" s="89">
        <f t="shared" si="14842"/>
        <v>290</v>
      </c>
      <c r="IZ648" s="89">
        <f t="shared" si="14843"/>
        <v>290</v>
      </c>
      <c r="JA648" s="89">
        <f>2040-1750</f>
        <v>290</v>
      </c>
      <c r="JB648" s="89">
        <f t="shared" si="14844"/>
        <v>290</v>
      </c>
      <c r="JC648" s="89">
        <f t="shared" si="14845"/>
        <v>290</v>
      </c>
      <c r="JD648" s="89">
        <f>2330-2040</f>
        <v>290</v>
      </c>
      <c r="JE648" s="89">
        <f t="shared" si="14846"/>
        <v>290</v>
      </c>
      <c r="JF648" s="89">
        <f t="shared" si="14847"/>
        <v>290</v>
      </c>
      <c r="JG648" s="89">
        <f>2620-2330</f>
        <v>290</v>
      </c>
      <c r="JH648" s="89">
        <f t="shared" si="14848"/>
        <v>290</v>
      </c>
      <c r="JI648" s="89">
        <f t="shared" si="14849"/>
        <v>290</v>
      </c>
      <c r="JJ648" s="89">
        <f>2910-2620</f>
        <v>290</v>
      </c>
      <c r="JK648" s="89">
        <f t="shared" si="14850"/>
        <v>290</v>
      </c>
      <c r="JL648" s="89">
        <f t="shared" si="14851"/>
        <v>290</v>
      </c>
      <c r="JM648" s="89">
        <v>0</v>
      </c>
      <c r="JN648" s="89">
        <f t="shared" si="14852"/>
        <v>0</v>
      </c>
      <c r="JO648" s="89">
        <f t="shared" si="14853"/>
        <v>0</v>
      </c>
      <c r="JP648" s="89">
        <v>0</v>
      </c>
      <c r="JQ648" s="89">
        <f t="shared" ref="JQ648:JR648" si="14857">JP648</f>
        <v>0</v>
      </c>
      <c r="JR648" s="89">
        <f t="shared" si="14857"/>
        <v>0</v>
      </c>
      <c r="JS648" s="74">
        <f>HG648-IF648</f>
        <v>0</v>
      </c>
      <c r="JT648" s="382">
        <f>GS648-IF648</f>
        <v>0</v>
      </c>
      <c r="JU648" s="665"/>
      <c r="JV648" s="524"/>
      <c r="JW648" s="525"/>
      <c r="JX648" s="549">
        <f t="shared" si="14855"/>
        <v>0</v>
      </c>
      <c r="JY648" s="549">
        <f t="shared" si="14855"/>
        <v>2910</v>
      </c>
      <c r="JZ648" s="581">
        <f t="shared" si="14740"/>
        <v>0</v>
      </c>
      <c r="KA648" s="581">
        <f t="shared" si="14741"/>
        <v>0</v>
      </c>
      <c r="KB648" s="549">
        <f>JX648+JY648+JZ648+KA648</f>
        <v>2910</v>
      </c>
      <c r="KC648" s="709">
        <f t="shared" si="14739"/>
        <v>0</v>
      </c>
      <c r="KD648" s="36"/>
      <c r="KE648" s="36"/>
      <c r="KF648" s="36"/>
      <c r="KG648" s="36"/>
      <c r="KH648" s="36"/>
      <c r="KI648" s="36"/>
      <c r="KJ648" s="36"/>
      <c r="KK648" s="36"/>
    </row>
    <row r="649" spans="1:297" s="10" customFormat="1">
      <c r="A649" s="86" t="s">
        <v>344</v>
      </c>
      <c r="B649" s="77" t="s">
        <v>76</v>
      </c>
      <c r="C649" s="74">
        <v>1600</v>
      </c>
      <c r="D649" s="549">
        <v>0</v>
      </c>
      <c r="E649" s="675">
        <v>0</v>
      </c>
      <c r="F649" s="549">
        <v>0</v>
      </c>
      <c r="G649" s="675">
        <v>0</v>
      </c>
      <c r="H649" s="549">
        <v>0</v>
      </c>
      <c r="I649" s="675">
        <v>0</v>
      </c>
      <c r="J649" s="549">
        <v>0</v>
      </c>
      <c r="K649" s="675">
        <v>0</v>
      </c>
      <c r="L649" s="549">
        <v>0</v>
      </c>
      <c r="M649" s="675">
        <v>0</v>
      </c>
      <c r="N649" s="549">
        <v>0</v>
      </c>
      <c r="O649" s="675">
        <v>0</v>
      </c>
      <c r="P649" s="549">
        <v>0</v>
      </c>
      <c r="Q649" s="675">
        <v>0</v>
      </c>
      <c r="R649" s="549">
        <v>0</v>
      </c>
      <c r="S649" s="675">
        <v>0</v>
      </c>
      <c r="T649" s="549">
        <v>0</v>
      </c>
      <c r="U649" s="675">
        <v>0</v>
      </c>
      <c r="V649" s="549">
        <v>0</v>
      </c>
      <c r="W649" s="675">
        <v>0</v>
      </c>
      <c r="X649" s="549">
        <v>0</v>
      </c>
      <c r="Y649" s="675">
        <v>0</v>
      </c>
      <c r="Z649" s="549">
        <v>0</v>
      </c>
      <c r="AA649" s="675">
        <v>0</v>
      </c>
      <c r="AB649" s="549">
        <v>0</v>
      </c>
      <c r="AC649" s="675">
        <v>0</v>
      </c>
      <c r="AD649" s="549">
        <v>0</v>
      </c>
      <c r="AE649" s="675">
        <v>0</v>
      </c>
      <c r="AF649" s="549">
        <v>0</v>
      </c>
      <c r="AG649" s="675">
        <v>0</v>
      </c>
      <c r="AH649" s="549">
        <v>0</v>
      </c>
      <c r="AI649" s="675">
        <v>0</v>
      </c>
      <c r="AJ649" s="549">
        <v>0</v>
      </c>
      <c r="AK649" s="675">
        <v>0</v>
      </c>
      <c r="AL649" s="549">
        <v>0</v>
      </c>
      <c r="AM649" s="675">
        <v>0</v>
      </c>
      <c r="AN649" s="549">
        <v>0</v>
      </c>
      <c r="AO649" s="675">
        <v>0</v>
      </c>
      <c r="AP649" s="549">
        <v>0</v>
      </c>
      <c r="AQ649" s="675">
        <v>0</v>
      </c>
      <c r="AR649" s="549">
        <v>0</v>
      </c>
      <c r="AS649" s="675">
        <v>0</v>
      </c>
      <c r="AT649" s="549">
        <v>0</v>
      </c>
      <c r="AU649" s="675">
        <v>0</v>
      </c>
      <c r="AV649" s="549">
        <v>0</v>
      </c>
      <c r="AW649" s="675">
        <v>0</v>
      </c>
      <c r="AX649" s="549">
        <v>0</v>
      </c>
      <c r="AY649" s="675">
        <v>0</v>
      </c>
      <c r="AZ649" s="549">
        <v>0</v>
      </c>
      <c r="BA649" s="675">
        <v>0</v>
      </c>
      <c r="BB649" s="549">
        <v>0</v>
      </c>
      <c r="BC649" s="675">
        <v>0</v>
      </c>
      <c r="BD649" s="549">
        <v>0</v>
      </c>
      <c r="BE649" s="675">
        <v>0</v>
      </c>
      <c r="BF649" s="549">
        <v>0</v>
      </c>
      <c r="BG649" s="675">
        <v>0</v>
      </c>
      <c r="BH649" s="549">
        <v>0</v>
      </c>
      <c r="BI649" s="675">
        <v>0</v>
      </c>
      <c r="BJ649" s="549">
        <v>0</v>
      </c>
      <c r="BK649" s="675">
        <v>0</v>
      </c>
      <c r="BL649" s="549">
        <v>0</v>
      </c>
      <c r="BM649" s="675">
        <v>0</v>
      </c>
      <c r="BN649" s="549">
        <v>0</v>
      </c>
      <c r="BO649" s="675">
        <v>0</v>
      </c>
      <c r="BP649" s="549">
        <v>0</v>
      </c>
      <c r="BQ649" s="675">
        <v>0</v>
      </c>
      <c r="BR649" s="549">
        <v>0</v>
      </c>
      <c r="BS649" s="675">
        <v>0</v>
      </c>
      <c r="BT649" s="549">
        <v>0</v>
      </c>
      <c r="BU649" s="675">
        <v>0</v>
      </c>
      <c r="BV649" s="549">
        <v>0</v>
      </c>
      <c r="BW649" s="675">
        <v>0</v>
      </c>
      <c r="BX649" s="549">
        <v>0</v>
      </c>
      <c r="BY649" s="675">
        <v>0</v>
      </c>
      <c r="BZ649" s="549">
        <v>0</v>
      </c>
      <c r="CA649" s="675">
        <v>0</v>
      </c>
      <c r="CB649" s="549">
        <v>0</v>
      </c>
      <c r="CC649" s="675">
        <v>0</v>
      </c>
      <c r="CD649" s="549">
        <v>0</v>
      </c>
      <c r="CE649" s="675">
        <v>0</v>
      </c>
      <c r="CF649" s="549">
        <v>0</v>
      </c>
      <c r="CG649" s="675">
        <v>0</v>
      </c>
      <c r="CH649" s="549">
        <v>0</v>
      </c>
      <c r="CI649" s="675">
        <v>0</v>
      </c>
      <c r="CJ649" s="549">
        <v>0</v>
      </c>
      <c r="CK649" s="675">
        <v>0</v>
      </c>
      <c r="CL649" s="549">
        <v>0</v>
      </c>
      <c r="CM649" s="675">
        <v>0</v>
      </c>
      <c r="CN649" s="549">
        <v>0</v>
      </c>
      <c r="CO649" s="675">
        <v>0</v>
      </c>
      <c r="CP649" s="549">
        <v>0</v>
      </c>
      <c r="CQ649" s="675">
        <v>0</v>
      </c>
      <c r="CR649" s="549">
        <v>0</v>
      </c>
      <c r="CS649" s="675">
        <v>0</v>
      </c>
      <c r="CT649" s="549">
        <v>0</v>
      </c>
      <c r="CU649" s="675">
        <v>0</v>
      </c>
      <c r="CV649" s="549">
        <v>0</v>
      </c>
      <c r="CW649" s="675">
        <v>0</v>
      </c>
      <c r="CX649" s="549">
        <v>0</v>
      </c>
      <c r="CY649" s="675">
        <v>0</v>
      </c>
      <c r="CZ649" s="549">
        <v>0</v>
      </c>
      <c r="DA649" s="675">
        <v>0</v>
      </c>
      <c r="DB649" s="549">
        <v>0</v>
      </c>
      <c r="DC649" s="675">
        <v>0</v>
      </c>
      <c r="DD649" s="549">
        <v>0</v>
      </c>
      <c r="DE649" s="675">
        <v>0</v>
      </c>
      <c r="DF649" s="549">
        <v>0</v>
      </c>
      <c r="DG649" s="675">
        <v>0</v>
      </c>
      <c r="DH649" s="549">
        <v>0</v>
      </c>
      <c r="DI649" s="675">
        <v>0</v>
      </c>
      <c r="DJ649" s="549">
        <v>0</v>
      </c>
      <c r="DK649" s="675">
        <v>0</v>
      </c>
      <c r="DL649" s="549">
        <v>0</v>
      </c>
      <c r="DM649" s="675">
        <v>0</v>
      </c>
      <c r="DN649" s="549">
        <v>0</v>
      </c>
      <c r="DO649" s="675">
        <v>0</v>
      </c>
      <c r="DP649" s="549">
        <v>0</v>
      </c>
      <c r="DQ649" s="675">
        <v>0</v>
      </c>
      <c r="DR649" s="549">
        <v>0</v>
      </c>
      <c r="DS649" s="675">
        <v>0</v>
      </c>
      <c r="DT649" s="549">
        <v>0</v>
      </c>
      <c r="DU649" s="675">
        <v>0</v>
      </c>
      <c r="DV649" s="549">
        <v>0</v>
      </c>
      <c r="DW649" s="675">
        <v>0</v>
      </c>
      <c r="DX649" s="549">
        <v>0</v>
      </c>
      <c r="DY649" s="675">
        <v>0</v>
      </c>
      <c r="DZ649" s="549">
        <v>0</v>
      </c>
      <c r="EA649" s="675">
        <v>0</v>
      </c>
      <c r="EB649" s="549">
        <v>0</v>
      </c>
      <c r="EC649" s="675">
        <v>0</v>
      </c>
      <c r="ED649" s="549">
        <v>0</v>
      </c>
      <c r="EE649" s="675">
        <v>0</v>
      </c>
      <c r="EF649" s="549">
        <v>0</v>
      </c>
      <c r="EG649" s="675">
        <v>0</v>
      </c>
      <c r="EH649" s="549">
        <v>0</v>
      </c>
      <c r="EI649" s="675">
        <v>0</v>
      </c>
      <c r="EJ649" s="549">
        <v>0</v>
      </c>
      <c r="EK649" s="675">
        <v>0</v>
      </c>
      <c r="EL649" s="549">
        <v>0</v>
      </c>
      <c r="EM649" s="675">
        <v>0</v>
      </c>
      <c r="EN649" s="549">
        <v>0</v>
      </c>
      <c r="EO649" s="675">
        <v>0</v>
      </c>
      <c r="EP649" s="549">
        <v>0</v>
      </c>
      <c r="EQ649" s="675">
        <v>0</v>
      </c>
      <c r="ER649" s="549">
        <v>0</v>
      </c>
      <c r="ES649" s="675">
        <v>0</v>
      </c>
      <c r="ET649" s="549">
        <v>0</v>
      </c>
      <c r="EU649" s="675">
        <v>0</v>
      </c>
      <c r="EV649" s="549">
        <v>0</v>
      </c>
      <c r="EW649" s="675">
        <v>0</v>
      </c>
      <c r="EX649" s="549">
        <v>0</v>
      </c>
      <c r="EY649" s="675">
        <v>0</v>
      </c>
      <c r="EZ649" s="549">
        <v>0</v>
      </c>
      <c r="FA649" s="675">
        <v>0</v>
      </c>
      <c r="FB649" s="549">
        <v>0</v>
      </c>
      <c r="FC649" s="675">
        <v>0</v>
      </c>
      <c r="FD649" s="549">
        <v>0</v>
      </c>
      <c r="FE649" s="675">
        <v>0</v>
      </c>
      <c r="FF649" s="549">
        <v>0</v>
      </c>
      <c r="FG649" s="675">
        <v>0</v>
      </c>
      <c r="FH649" s="549">
        <v>0</v>
      </c>
      <c r="FI649" s="675">
        <v>0</v>
      </c>
      <c r="FJ649" s="549">
        <v>0</v>
      </c>
      <c r="FK649" s="675">
        <v>0</v>
      </c>
      <c r="FL649" s="549">
        <v>0</v>
      </c>
      <c r="FM649" s="675">
        <v>0</v>
      </c>
      <c r="FN649" s="549">
        <v>0</v>
      </c>
      <c r="FO649" s="675">
        <v>0</v>
      </c>
      <c r="FP649" s="549">
        <v>0</v>
      </c>
      <c r="FQ649" s="675">
        <v>0</v>
      </c>
      <c r="FR649" s="549">
        <v>0</v>
      </c>
      <c r="FS649" s="675">
        <v>0</v>
      </c>
      <c r="FT649" s="549">
        <v>0</v>
      </c>
      <c r="FU649" s="675">
        <v>0</v>
      </c>
      <c r="FV649" s="549">
        <v>0</v>
      </c>
      <c r="FW649" s="675">
        <v>0</v>
      </c>
      <c r="FX649" s="549">
        <v>0</v>
      </c>
      <c r="FY649" s="675">
        <v>0</v>
      </c>
      <c r="FZ649" s="549">
        <v>0</v>
      </c>
      <c r="GA649" s="675">
        <v>0</v>
      </c>
      <c r="GB649" s="549">
        <v>0</v>
      </c>
      <c r="GC649" s="675">
        <v>0</v>
      </c>
      <c r="GD649" s="549">
        <v>0</v>
      </c>
      <c r="GE649" s="675">
        <v>0</v>
      </c>
      <c r="GF649" s="549">
        <v>0</v>
      </c>
      <c r="GG649" s="675">
        <v>0</v>
      </c>
      <c r="GH649" s="549">
        <v>0</v>
      </c>
      <c r="GI649" s="675">
        <v>0</v>
      </c>
      <c r="GJ649" s="549">
        <v>0</v>
      </c>
      <c r="GK649" s="675">
        <v>0</v>
      </c>
      <c r="GL649" s="549">
        <v>0</v>
      </c>
      <c r="GM649" s="675">
        <v>0</v>
      </c>
      <c r="GN649" s="549">
        <v>0</v>
      </c>
      <c r="GO649" s="675">
        <v>0</v>
      </c>
      <c r="GP649" s="549">
        <f t="shared" si="14825"/>
        <v>0</v>
      </c>
      <c r="GQ649" s="675">
        <f t="shared" si="14826"/>
        <v>0</v>
      </c>
      <c r="GR649" s="74">
        <f>C649+GP649+GQ649</f>
        <v>1600</v>
      </c>
      <c r="GS649" s="74">
        <f t="shared" si="14827"/>
        <v>1600</v>
      </c>
      <c r="GT649" s="568">
        <f t="shared" si="14828"/>
        <v>1600</v>
      </c>
      <c r="GU649" s="275">
        <v>150</v>
      </c>
      <c r="GV649" s="275">
        <v>145</v>
      </c>
      <c r="GW649" s="275">
        <v>145</v>
      </c>
      <c r="GX649" s="275">
        <v>145</v>
      </c>
      <c r="GY649" s="275">
        <v>145</v>
      </c>
      <c r="GZ649" s="275">
        <v>145</v>
      </c>
      <c r="HA649" s="275">
        <v>145</v>
      </c>
      <c r="HB649" s="275">
        <v>145</v>
      </c>
      <c r="HC649" s="275">
        <v>145</v>
      </c>
      <c r="HD649" s="275">
        <f>145+145</f>
        <v>290</v>
      </c>
      <c r="HE649" s="275">
        <f>145-145</f>
        <v>0</v>
      </c>
      <c r="HF649" s="275">
        <v>0</v>
      </c>
      <c r="HG649" s="74">
        <f>SUM(HH649:IE649)+GP649+GQ649</f>
        <v>1600</v>
      </c>
      <c r="HH649" s="89">
        <v>0</v>
      </c>
      <c r="HI649" s="817">
        <v>0</v>
      </c>
      <c r="HJ649" s="89">
        <v>0</v>
      </c>
      <c r="HK649" s="817">
        <v>295</v>
      </c>
      <c r="HL649" s="89">
        <v>0</v>
      </c>
      <c r="HM649" s="817">
        <v>0</v>
      </c>
      <c r="HN649" s="89">
        <v>0</v>
      </c>
      <c r="HO649" s="817">
        <v>290</v>
      </c>
      <c r="HP649" s="89">
        <v>0</v>
      </c>
      <c r="HQ649" s="817">
        <v>145</v>
      </c>
      <c r="HR649" s="89">
        <v>0</v>
      </c>
      <c r="HS649" s="817">
        <v>145</v>
      </c>
      <c r="HT649" s="89">
        <v>0</v>
      </c>
      <c r="HU649" s="817">
        <v>145</v>
      </c>
      <c r="HV649" s="89">
        <v>0</v>
      </c>
      <c r="HW649" s="817">
        <v>145</v>
      </c>
      <c r="HX649" s="89">
        <v>0</v>
      </c>
      <c r="HY649" s="817">
        <v>145</v>
      </c>
      <c r="HZ649" s="89">
        <v>0</v>
      </c>
      <c r="IA649" s="817">
        <v>290</v>
      </c>
      <c r="IB649" s="89">
        <v>0</v>
      </c>
      <c r="IC649" s="817">
        <v>0</v>
      </c>
      <c r="ID649" s="89">
        <v>0</v>
      </c>
      <c r="IE649" s="817">
        <v>0</v>
      </c>
      <c r="IF649" s="841">
        <f t="shared" si="14829"/>
        <v>1600</v>
      </c>
      <c r="IG649" s="263">
        <f t="shared" si="14830"/>
        <v>1600</v>
      </c>
      <c r="IH649" s="842">
        <f t="shared" si="14831"/>
        <v>1600</v>
      </c>
      <c r="II649" s="89">
        <v>75</v>
      </c>
      <c r="IJ649" s="89">
        <f t="shared" si="14832"/>
        <v>75</v>
      </c>
      <c r="IK649" s="89">
        <f t="shared" si="14833"/>
        <v>75</v>
      </c>
      <c r="IL649" s="89">
        <f>295-75</f>
        <v>220</v>
      </c>
      <c r="IM649" s="89">
        <f t="shared" si="14834"/>
        <v>220</v>
      </c>
      <c r="IN649" s="89">
        <f t="shared" si="14835"/>
        <v>220</v>
      </c>
      <c r="IO649" s="89">
        <v>0</v>
      </c>
      <c r="IP649" s="89">
        <f t="shared" si="14836"/>
        <v>0</v>
      </c>
      <c r="IQ649" s="89">
        <f t="shared" si="14837"/>
        <v>0</v>
      </c>
      <c r="IR649" s="89">
        <f>585-295</f>
        <v>290</v>
      </c>
      <c r="IS649" s="89">
        <f t="shared" si="14838"/>
        <v>290</v>
      </c>
      <c r="IT649" s="89">
        <f t="shared" si="14839"/>
        <v>290</v>
      </c>
      <c r="IU649" s="89">
        <f>730-585</f>
        <v>145</v>
      </c>
      <c r="IV649" s="89">
        <f t="shared" si="14840"/>
        <v>145</v>
      </c>
      <c r="IW649" s="89">
        <f t="shared" si="14841"/>
        <v>145</v>
      </c>
      <c r="IX649" s="89">
        <f>875-730</f>
        <v>145</v>
      </c>
      <c r="IY649" s="89">
        <f t="shared" si="14842"/>
        <v>145</v>
      </c>
      <c r="IZ649" s="89">
        <f t="shared" si="14843"/>
        <v>145</v>
      </c>
      <c r="JA649" s="89">
        <f>1020-875</f>
        <v>145</v>
      </c>
      <c r="JB649" s="89">
        <f t="shared" si="14844"/>
        <v>145</v>
      </c>
      <c r="JC649" s="89">
        <f t="shared" si="14845"/>
        <v>145</v>
      </c>
      <c r="JD649" s="89">
        <f>1165-1020</f>
        <v>145</v>
      </c>
      <c r="JE649" s="89">
        <f t="shared" si="14846"/>
        <v>145</v>
      </c>
      <c r="JF649" s="89">
        <f t="shared" si="14847"/>
        <v>145</v>
      </c>
      <c r="JG649" s="89">
        <f>1310-1165</f>
        <v>145</v>
      </c>
      <c r="JH649" s="89">
        <f t="shared" si="14848"/>
        <v>145</v>
      </c>
      <c r="JI649" s="89">
        <f t="shared" si="14849"/>
        <v>145</v>
      </c>
      <c r="JJ649" s="89">
        <f>1600-1310</f>
        <v>290</v>
      </c>
      <c r="JK649" s="89">
        <f t="shared" si="14850"/>
        <v>290</v>
      </c>
      <c r="JL649" s="89">
        <f t="shared" si="14851"/>
        <v>290</v>
      </c>
      <c r="JM649" s="89">
        <v>0</v>
      </c>
      <c r="JN649" s="89">
        <f t="shared" si="14852"/>
        <v>0</v>
      </c>
      <c r="JO649" s="89">
        <f t="shared" si="14853"/>
        <v>0</v>
      </c>
      <c r="JP649" s="89">
        <v>0</v>
      </c>
      <c r="JQ649" s="89">
        <f t="shared" ref="JQ649:JR649" si="14858">JP649</f>
        <v>0</v>
      </c>
      <c r="JR649" s="89">
        <f t="shared" si="14858"/>
        <v>0</v>
      </c>
      <c r="JS649" s="74">
        <f>HG649-IF649</f>
        <v>0</v>
      </c>
      <c r="JT649" s="382">
        <f>GS649-IF649</f>
        <v>0</v>
      </c>
      <c r="JU649" s="665"/>
      <c r="JV649" s="524"/>
      <c r="JW649" s="525"/>
      <c r="JX649" s="549">
        <f t="shared" si="14855"/>
        <v>0</v>
      </c>
      <c r="JY649" s="549">
        <f t="shared" si="14855"/>
        <v>1600</v>
      </c>
      <c r="JZ649" s="581">
        <f t="shared" si="14740"/>
        <v>0</v>
      </c>
      <c r="KA649" s="581">
        <f t="shared" si="14741"/>
        <v>0</v>
      </c>
      <c r="KB649" s="549">
        <f t="shared" si="14516"/>
        <v>1600</v>
      </c>
      <c r="KC649" s="709">
        <f t="shared" si="14739"/>
        <v>0</v>
      </c>
      <c r="KD649" s="272"/>
      <c r="KE649" s="272"/>
      <c r="KF649" s="272"/>
      <c r="KG649" s="272"/>
      <c r="KH649" s="272"/>
      <c r="KI649" s="272"/>
      <c r="KJ649" s="272"/>
      <c r="KK649" s="272"/>
    </row>
    <row r="650" spans="1:297" s="10" customFormat="1">
      <c r="A650" s="86"/>
      <c r="B650" s="77"/>
      <c r="C650" s="74"/>
      <c r="D650" s="549"/>
      <c r="E650" s="675"/>
      <c r="F650" s="549"/>
      <c r="G650" s="675"/>
      <c r="H650" s="549"/>
      <c r="I650" s="675"/>
      <c r="J650" s="549"/>
      <c r="K650" s="675"/>
      <c r="L650" s="549"/>
      <c r="M650" s="675"/>
      <c r="N650" s="549"/>
      <c r="O650" s="675"/>
      <c r="P650" s="549"/>
      <c r="Q650" s="675"/>
      <c r="R650" s="549"/>
      <c r="S650" s="675"/>
      <c r="T650" s="549"/>
      <c r="U650" s="675"/>
      <c r="V650" s="549"/>
      <c r="W650" s="675"/>
      <c r="X650" s="549"/>
      <c r="Y650" s="675"/>
      <c r="Z650" s="549"/>
      <c r="AA650" s="675"/>
      <c r="AB650" s="549"/>
      <c r="AC650" s="675"/>
      <c r="AD650" s="549"/>
      <c r="AE650" s="675"/>
      <c r="AF650" s="549"/>
      <c r="AG650" s="675"/>
      <c r="AH650" s="549"/>
      <c r="AI650" s="675"/>
      <c r="AJ650" s="549"/>
      <c r="AK650" s="675"/>
      <c r="AL650" s="549"/>
      <c r="AM650" s="675"/>
      <c r="AN650" s="549"/>
      <c r="AO650" s="675"/>
      <c r="AP650" s="549"/>
      <c r="AQ650" s="675"/>
      <c r="AR650" s="549"/>
      <c r="AS650" s="675"/>
      <c r="AT650" s="549"/>
      <c r="AU650" s="675"/>
      <c r="AV650" s="549"/>
      <c r="AW650" s="675"/>
      <c r="AX650" s="549"/>
      <c r="AY650" s="675"/>
      <c r="AZ650" s="549"/>
      <c r="BA650" s="675"/>
      <c r="BB650" s="549"/>
      <c r="BC650" s="675"/>
      <c r="BD650" s="549"/>
      <c r="BE650" s="675"/>
      <c r="BF650" s="549"/>
      <c r="BG650" s="675"/>
      <c r="BH650" s="549"/>
      <c r="BI650" s="675"/>
      <c r="BJ650" s="549"/>
      <c r="BK650" s="675"/>
      <c r="BL650" s="549"/>
      <c r="BM650" s="675"/>
      <c r="BN650" s="549"/>
      <c r="BO650" s="675"/>
      <c r="BP650" s="549"/>
      <c r="BQ650" s="675"/>
      <c r="BR650" s="549"/>
      <c r="BS650" s="675"/>
      <c r="BT650" s="549"/>
      <c r="BU650" s="675"/>
      <c r="BV650" s="549"/>
      <c r="BW650" s="675"/>
      <c r="BX650" s="549"/>
      <c r="BY650" s="675"/>
      <c r="BZ650" s="549"/>
      <c r="CA650" s="675"/>
      <c r="CB650" s="549"/>
      <c r="CC650" s="675"/>
      <c r="CD650" s="549"/>
      <c r="CE650" s="675"/>
      <c r="CF650" s="549"/>
      <c r="CG650" s="675"/>
      <c r="CH650" s="549"/>
      <c r="CI650" s="675"/>
      <c r="CJ650" s="549"/>
      <c r="CK650" s="675"/>
      <c r="CL650" s="549"/>
      <c r="CM650" s="675"/>
      <c r="CN650" s="549"/>
      <c r="CO650" s="675"/>
      <c r="CP650" s="549"/>
      <c r="CQ650" s="675"/>
      <c r="CR650" s="549"/>
      <c r="CS650" s="675"/>
      <c r="CT650" s="549"/>
      <c r="CU650" s="675"/>
      <c r="CV650" s="549"/>
      <c r="CW650" s="675"/>
      <c r="CX650" s="549"/>
      <c r="CY650" s="675"/>
      <c r="CZ650" s="549"/>
      <c r="DA650" s="675"/>
      <c r="DB650" s="549"/>
      <c r="DC650" s="675"/>
      <c r="DD650" s="549"/>
      <c r="DE650" s="675"/>
      <c r="DF650" s="549"/>
      <c r="DG650" s="675"/>
      <c r="DH650" s="549"/>
      <c r="DI650" s="675"/>
      <c r="DJ650" s="549"/>
      <c r="DK650" s="675"/>
      <c r="DL650" s="549"/>
      <c r="DM650" s="675"/>
      <c r="DN650" s="549"/>
      <c r="DO650" s="675"/>
      <c r="DP650" s="549"/>
      <c r="DQ650" s="675"/>
      <c r="DR650" s="549"/>
      <c r="DS650" s="675"/>
      <c r="DT650" s="549"/>
      <c r="DU650" s="675"/>
      <c r="DV650" s="549"/>
      <c r="DW650" s="675"/>
      <c r="DX650" s="549"/>
      <c r="DY650" s="675"/>
      <c r="DZ650" s="549"/>
      <c r="EA650" s="675"/>
      <c r="EB650" s="549"/>
      <c r="EC650" s="675"/>
      <c r="ED650" s="549"/>
      <c r="EE650" s="675"/>
      <c r="EF650" s="549"/>
      <c r="EG650" s="675"/>
      <c r="EH650" s="549"/>
      <c r="EI650" s="675"/>
      <c r="EJ650" s="549"/>
      <c r="EK650" s="675"/>
      <c r="EL650" s="549"/>
      <c r="EM650" s="675"/>
      <c r="EN650" s="549"/>
      <c r="EO650" s="675"/>
      <c r="EP650" s="549"/>
      <c r="EQ650" s="675"/>
      <c r="ER650" s="549"/>
      <c r="ES650" s="675"/>
      <c r="ET650" s="549"/>
      <c r="EU650" s="675"/>
      <c r="EV650" s="549"/>
      <c r="EW650" s="675"/>
      <c r="EX650" s="549"/>
      <c r="EY650" s="675"/>
      <c r="EZ650" s="549"/>
      <c r="FA650" s="675"/>
      <c r="FB650" s="549"/>
      <c r="FC650" s="675"/>
      <c r="FD650" s="549"/>
      <c r="FE650" s="675"/>
      <c r="FF650" s="549"/>
      <c r="FG650" s="675"/>
      <c r="FH650" s="549"/>
      <c r="FI650" s="675"/>
      <c r="FJ650" s="549"/>
      <c r="FK650" s="675"/>
      <c r="FL650" s="549"/>
      <c r="FM650" s="675"/>
      <c r="FN650" s="549"/>
      <c r="FO650" s="675"/>
      <c r="FP650" s="549"/>
      <c r="FQ650" s="675"/>
      <c r="FR650" s="549"/>
      <c r="FS650" s="675"/>
      <c r="FT650" s="549"/>
      <c r="FU650" s="675"/>
      <c r="FV650" s="549"/>
      <c r="FW650" s="675"/>
      <c r="FX650" s="549"/>
      <c r="FY650" s="675"/>
      <c r="FZ650" s="549"/>
      <c r="GA650" s="675"/>
      <c r="GB650" s="549"/>
      <c r="GC650" s="675"/>
      <c r="GD650" s="549"/>
      <c r="GE650" s="675"/>
      <c r="GF650" s="549"/>
      <c r="GG650" s="675"/>
      <c r="GH650" s="549"/>
      <c r="GI650" s="675"/>
      <c r="GJ650" s="549"/>
      <c r="GK650" s="675"/>
      <c r="GL650" s="549"/>
      <c r="GM650" s="675"/>
      <c r="GN650" s="549"/>
      <c r="GO650" s="675"/>
      <c r="GP650" s="549"/>
      <c r="GQ650" s="675"/>
      <c r="GR650" s="74"/>
      <c r="GS650" s="74"/>
      <c r="GT650" s="568"/>
      <c r="GU650" s="89"/>
      <c r="GV650" s="89"/>
      <c r="GW650" s="568"/>
      <c r="GX650" s="568"/>
      <c r="GY650" s="89"/>
      <c r="GZ650" s="89"/>
      <c r="HA650" s="89"/>
      <c r="HB650" s="89"/>
      <c r="HC650" s="89"/>
      <c r="HD650" s="89"/>
      <c r="HE650" s="89"/>
      <c r="HF650" s="89"/>
      <c r="HG650" s="74"/>
      <c r="HH650" s="89"/>
      <c r="HI650" s="817"/>
      <c r="HJ650" s="89"/>
      <c r="HK650" s="817"/>
      <c r="HL650" s="89"/>
      <c r="HM650" s="817"/>
      <c r="HN650" s="89"/>
      <c r="HO650" s="817"/>
      <c r="HP650" s="89"/>
      <c r="HQ650" s="817"/>
      <c r="HR650" s="89"/>
      <c r="HS650" s="817"/>
      <c r="HT650" s="89"/>
      <c r="HU650" s="817"/>
      <c r="HV650" s="89"/>
      <c r="HW650" s="817"/>
      <c r="HX650" s="89"/>
      <c r="HY650" s="817"/>
      <c r="HZ650" s="89"/>
      <c r="IA650" s="817"/>
      <c r="IB650" s="89"/>
      <c r="IC650" s="817"/>
      <c r="ID650" s="89"/>
      <c r="IE650" s="817"/>
      <c r="IF650" s="841"/>
      <c r="IG650" s="263"/>
      <c r="IH650" s="842"/>
      <c r="II650" s="89"/>
      <c r="IJ650" s="89"/>
      <c r="IK650" s="89"/>
      <c r="IL650" s="89"/>
      <c r="IM650" s="89"/>
      <c r="IN650" s="89"/>
      <c r="IO650" s="89"/>
      <c r="IP650" s="89"/>
      <c r="IQ650" s="89"/>
      <c r="IR650" s="89"/>
      <c r="IS650" s="89"/>
      <c r="IT650" s="89"/>
      <c r="IU650" s="89"/>
      <c r="IV650" s="89"/>
      <c r="IW650" s="89"/>
      <c r="IX650" s="89"/>
      <c r="IY650" s="89"/>
      <c r="IZ650" s="89"/>
      <c r="JA650" s="89"/>
      <c r="JB650" s="89"/>
      <c r="JC650" s="89"/>
      <c r="JD650" s="89"/>
      <c r="JE650" s="89"/>
      <c r="JF650" s="89"/>
      <c r="JG650" s="89"/>
      <c r="JH650" s="89"/>
      <c r="JI650" s="89"/>
      <c r="JJ650" s="89"/>
      <c r="JK650" s="89"/>
      <c r="JL650" s="89"/>
      <c r="JM650" s="89"/>
      <c r="JN650" s="89"/>
      <c r="JO650" s="89"/>
      <c r="JP650" s="89"/>
      <c r="JQ650" s="89"/>
      <c r="JR650" s="89"/>
      <c r="JS650" s="74"/>
      <c r="JT650" s="382"/>
      <c r="JU650" s="665"/>
      <c r="JV650" s="524"/>
      <c r="JW650" s="525"/>
      <c r="JX650" s="549"/>
      <c r="JY650" s="549"/>
      <c r="JZ650" s="581">
        <f t="shared" si="14740"/>
        <v>0</v>
      </c>
      <c r="KA650" s="581">
        <f t="shared" si="14741"/>
        <v>0</v>
      </c>
      <c r="KB650" s="549"/>
      <c r="KC650" s="709">
        <f t="shared" si="14739"/>
        <v>0</v>
      </c>
      <c r="KD650" s="36"/>
      <c r="KE650" s="36"/>
      <c r="KF650" s="36"/>
      <c r="KG650" s="36"/>
      <c r="KH650" s="36"/>
      <c r="KI650" s="36"/>
      <c r="KJ650" s="36"/>
      <c r="KK650" s="36"/>
    </row>
    <row r="651" spans="1:297" s="32" customFormat="1" ht="13.5" hidden="1" customHeight="1">
      <c r="A651" s="96" t="s">
        <v>1136</v>
      </c>
      <c r="B651" s="97"/>
      <c r="C651" s="93">
        <f>SUM(C653)</f>
        <v>0</v>
      </c>
      <c r="D651" s="552">
        <f t="shared" ref="D651:E651" si="14859">SUM(D653,D660)</f>
        <v>0</v>
      </c>
      <c r="E651" s="680">
        <f t="shared" si="14859"/>
        <v>0</v>
      </c>
      <c r="F651" s="552">
        <f t="shared" ref="F651:G651" si="14860">SUM(F653,F660)</f>
        <v>0</v>
      </c>
      <c r="G651" s="680">
        <f t="shared" si="14860"/>
        <v>0</v>
      </c>
      <c r="H651" s="552">
        <f t="shared" ref="H651:BQ651" si="14861">SUM(H653,H660)</f>
        <v>0</v>
      </c>
      <c r="I651" s="680">
        <f t="shared" si="14861"/>
        <v>0</v>
      </c>
      <c r="J651" s="552">
        <f t="shared" si="14861"/>
        <v>455000</v>
      </c>
      <c r="K651" s="680">
        <f t="shared" si="14861"/>
        <v>-455000</v>
      </c>
      <c r="L651" s="552">
        <f t="shared" si="14861"/>
        <v>0</v>
      </c>
      <c r="M651" s="680">
        <f t="shared" si="14861"/>
        <v>0</v>
      </c>
      <c r="N651" s="552">
        <f t="shared" si="14861"/>
        <v>372264</v>
      </c>
      <c r="O651" s="680">
        <f t="shared" si="14861"/>
        <v>-372264</v>
      </c>
      <c r="P651" s="552">
        <f t="shared" si="14861"/>
        <v>0</v>
      </c>
      <c r="Q651" s="680">
        <f t="shared" si="14861"/>
        <v>0</v>
      </c>
      <c r="R651" s="552">
        <f t="shared" si="14861"/>
        <v>0</v>
      </c>
      <c r="S651" s="680">
        <f t="shared" si="14861"/>
        <v>0</v>
      </c>
      <c r="T651" s="552">
        <f t="shared" si="14861"/>
        <v>402600</v>
      </c>
      <c r="U651" s="680">
        <f t="shared" si="14861"/>
        <v>-402600</v>
      </c>
      <c r="V651" s="552">
        <f t="shared" si="14861"/>
        <v>0</v>
      </c>
      <c r="W651" s="680">
        <f t="shared" si="14861"/>
        <v>0</v>
      </c>
      <c r="X651" s="552">
        <f t="shared" si="14861"/>
        <v>0</v>
      </c>
      <c r="Y651" s="680">
        <f t="shared" si="14861"/>
        <v>0</v>
      </c>
      <c r="Z651" s="552">
        <f t="shared" si="14861"/>
        <v>532628</v>
      </c>
      <c r="AA651" s="680">
        <f t="shared" si="14861"/>
        <v>-532628</v>
      </c>
      <c r="AB651" s="552">
        <f t="shared" si="14861"/>
        <v>257802</v>
      </c>
      <c r="AC651" s="680">
        <f t="shared" si="14861"/>
        <v>-257802</v>
      </c>
      <c r="AD651" s="552">
        <f t="shared" si="14861"/>
        <v>0</v>
      </c>
      <c r="AE651" s="680">
        <f t="shared" si="14861"/>
        <v>0</v>
      </c>
      <c r="AF651" s="552">
        <f t="shared" si="14861"/>
        <v>0</v>
      </c>
      <c r="AG651" s="680">
        <f t="shared" si="14861"/>
        <v>0</v>
      </c>
      <c r="AH651" s="552">
        <f t="shared" si="14861"/>
        <v>0</v>
      </c>
      <c r="AI651" s="680">
        <f t="shared" si="14861"/>
        <v>0</v>
      </c>
      <c r="AJ651" s="552">
        <f t="shared" si="14861"/>
        <v>0</v>
      </c>
      <c r="AK651" s="680">
        <f t="shared" si="14861"/>
        <v>0</v>
      </c>
      <c r="AL651" s="552">
        <f t="shared" si="14861"/>
        <v>0</v>
      </c>
      <c r="AM651" s="680">
        <f t="shared" si="14861"/>
        <v>0</v>
      </c>
      <c r="AN651" s="552">
        <f t="shared" si="14861"/>
        <v>0</v>
      </c>
      <c r="AO651" s="680">
        <f t="shared" si="14861"/>
        <v>0</v>
      </c>
      <c r="AP651" s="552">
        <f t="shared" si="14861"/>
        <v>538190</v>
      </c>
      <c r="AQ651" s="680">
        <f t="shared" si="14861"/>
        <v>-538190</v>
      </c>
      <c r="AR651" s="552">
        <f t="shared" si="14861"/>
        <v>0</v>
      </c>
      <c r="AS651" s="680">
        <f t="shared" si="14861"/>
        <v>0</v>
      </c>
      <c r="AT651" s="552">
        <f t="shared" ref="AT651:AU651" si="14862">SUM(AT653,AT660)</f>
        <v>0</v>
      </c>
      <c r="AU651" s="680">
        <f t="shared" si="14862"/>
        <v>0</v>
      </c>
      <c r="AV651" s="552">
        <f t="shared" ref="AV651:AW651" si="14863">SUM(AV653,AV660)</f>
        <v>0</v>
      </c>
      <c r="AW651" s="680">
        <f t="shared" si="14863"/>
        <v>0</v>
      </c>
      <c r="AX651" s="552">
        <f t="shared" ref="AX651:AY651" si="14864">SUM(AX653,AX660)</f>
        <v>597810</v>
      </c>
      <c r="AY651" s="680">
        <f t="shared" si="14864"/>
        <v>-597810</v>
      </c>
      <c r="AZ651" s="552">
        <f t="shared" ref="AZ651:BA651" si="14865">SUM(AZ653,AZ660)</f>
        <v>0</v>
      </c>
      <c r="BA651" s="680">
        <f t="shared" si="14865"/>
        <v>0</v>
      </c>
      <c r="BB651" s="552">
        <f t="shared" ref="BB651:BC651" si="14866">SUM(BB653,BB660)</f>
        <v>580000</v>
      </c>
      <c r="BC651" s="680">
        <f t="shared" si="14866"/>
        <v>-580000</v>
      </c>
      <c r="BD651" s="552">
        <f t="shared" ref="BD651:BE651" si="14867">SUM(BD653,BD660)</f>
        <v>0</v>
      </c>
      <c r="BE651" s="680">
        <f t="shared" si="14867"/>
        <v>0</v>
      </c>
      <c r="BF651" s="552">
        <f t="shared" ref="BF651:BG651" si="14868">SUM(BF653,BF660)</f>
        <v>0</v>
      </c>
      <c r="BG651" s="680">
        <f t="shared" si="14868"/>
        <v>0</v>
      </c>
      <c r="BH651" s="552">
        <f t="shared" ref="BH651:BI651" si="14869">SUM(BH653,BH660)</f>
        <v>0</v>
      </c>
      <c r="BI651" s="680">
        <f t="shared" si="14869"/>
        <v>0</v>
      </c>
      <c r="BJ651" s="552">
        <f t="shared" ref="BJ651:BK651" si="14870">SUM(BJ653,BJ660)</f>
        <v>0</v>
      </c>
      <c r="BK651" s="680">
        <f t="shared" si="14870"/>
        <v>0</v>
      </c>
      <c r="BL651" s="552">
        <f t="shared" si="14861"/>
        <v>0</v>
      </c>
      <c r="BM651" s="680">
        <f t="shared" si="14861"/>
        <v>0</v>
      </c>
      <c r="BN651" s="552">
        <f t="shared" si="14861"/>
        <v>0</v>
      </c>
      <c r="BO651" s="680">
        <f t="shared" si="14861"/>
        <v>0</v>
      </c>
      <c r="BP651" s="552">
        <f t="shared" si="14861"/>
        <v>0</v>
      </c>
      <c r="BQ651" s="680">
        <f t="shared" si="14861"/>
        <v>0</v>
      </c>
      <c r="BR651" s="552">
        <f t="shared" ref="BR651:BS651" si="14871">SUM(BR653,BR660)</f>
        <v>233844</v>
      </c>
      <c r="BS651" s="680">
        <f t="shared" si="14871"/>
        <v>-233844</v>
      </c>
      <c r="BT651" s="552">
        <f t="shared" ref="BT651:BU651" si="14872">SUM(BT653,BT660)</f>
        <v>462000</v>
      </c>
      <c r="BU651" s="680">
        <f t="shared" si="14872"/>
        <v>-462000</v>
      </c>
      <c r="BV651" s="552">
        <f t="shared" ref="BV651:BW651" si="14873">SUM(BV653,BV660)</f>
        <v>0</v>
      </c>
      <c r="BW651" s="680">
        <f t="shared" si="14873"/>
        <v>0</v>
      </c>
      <c r="BX651" s="552">
        <f t="shared" ref="BX651:BY651" si="14874">SUM(BX653,BX660)</f>
        <v>24024</v>
      </c>
      <c r="BY651" s="680">
        <f t="shared" si="14874"/>
        <v>-24024</v>
      </c>
      <c r="BZ651" s="552">
        <f t="shared" ref="BZ651:CA651" si="14875">SUM(BZ653,BZ660)</f>
        <v>0</v>
      </c>
      <c r="CA651" s="680">
        <f t="shared" si="14875"/>
        <v>0</v>
      </c>
      <c r="CB651" s="552">
        <f t="shared" ref="CB651:EG651" si="14876">SUM(CB653,CB660)</f>
        <v>0</v>
      </c>
      <c r="CC651" s="680">
        <f t="shared" si="14876"/>
        <v>0</v>
      </c>
      <c r="CD651" s="552">
        <f t="shared" si="14876"/>
        <v>0</v>
      </c>
      <c r="CE651" s="680">
        <f t="shared" si="14876"/>
        <v>0</v>
      </c>
      <c r="CF651" s="552">
        <f t="shared" si="14876"/>
        <v>350526</v>
      </c>
      <c r="CG651" s="680">
        <f t="shared" si="14876"/>
        <v>-350526</v>
      </c>
      <c r="CH651" s="552">
        <f t="shared" si="14876"/>
        <v>0</v>
      </c>
      <c r="CI651" s="680">
        <f t="shared" si="14876"/>
        <v>0</v>
      </c>
      <c r="CJ651" s="552">
        <f t="shared" si="14876"/>
        <v>0</v>
      </c>
      <c r="CK651" s="680">
        <f t="shared" si="14876"/>
        <v>0</v>
      </c>
      <c r="CL651" s="552">
        <f t="shared" si="14876"/>
        <v>0</v>
      </c>
      <c r="CM651" s="680">
        <f t="shared" si="14876"/>
        <v>0</v>
      </c>
      <c r="CN651" s="552">
        <f t="shared" si="14876"/>
        <v>0</v>
      </c>
      <c r="CO651" s="680">
        <f t="shared" si="14876"/>
        <v>0</v>
      </c>
      <c r="CP651" s="552">
        <f t="shared" si="14876"/>
        <v>0</v>
      </c>
      <c r="CQ651" s="680">
        <f t="shared" si="14876"/>
        <v>0</v>
      </c>
      <c r="CR651" s="552">
        <f t="shared" si="14876"/>
        <v>131708</v>
      </c>
      <c r="CS651" s="680">
        <f t="shared" si="14876"/>
        <v>-131708</v>
      </c>
      <c r="CT651" s="552">
        <f t="shared" si="14876"/>
        <v>6000</v>
      </c>
      <c r="CU651" s="680">
        <f t="shared" si="14876"/>
        <v>-6000</v>
      </c>
      <c r="CV651" s="552">
        <f t="shared" si="14876"/>
        <v>0</v>
      </c>
      <c r="CW651" s="680">
        <f t="shared" si="14876"/>
        <v>0</v>
      </c>
      <c r="CX651" s="552">
        <f t="shared" si="14876"/>
        <v>200000</v>
      </c>
      <c r="CY651" s="680">
        <f t="shared" si="14876"/>
        <v>-200000</v>
      </c>
      <c r="CZ651" s="552">
        <f t="shared" si="14876"/>
        <v>0</v>
      </c>
      <c r="DA651" s="680">
        <f t="shared" si="14876"/>
        <v>0</v>
      </c>
      <c r="DB651" s="552">
        <f t="shared" si="14876"/>
        <v>266000</v>
      </c>
      <c r="DC651" s="680">
        <f t="shared" si="14876"/>
        <v>-266000</v>
      </c>
      <c r="DD651" s="552">
        <f t="shared" si="14876"/>
        <v>22144</v>
      </c>
      <c r="DE651" s="680">
        <f t="shared" si="14876"/>
        <v>-22144</v>
      </c>
      <c r="DF651" s="552">
        <f t="shared" si="14876"/>
        <v>0</v>
      </c>
      <c r="DG651" s="680">
        <f t="shared" si="14876"/>
        <v>0</v>
      </c>
      <c r="DH651" s="552">
        <f t="shared" si="14876"/>
        <v>0</v>
      </c>
      <c r="DI651" s="680">
        <f t="shared" si="14876"/>
        <v>0</v>
      </c>
      <c r="DJ651" s="552">
        <f t="shared" si="14876"/>
        <v>0</v>
      </c>
      <c r="DK651" s="680">
        <f t="shared" si="14876"/>
        <v>0</v>
      </c>
      <c r="DL651" s="552">
        <f t="shared" si="14876"/>
        <v>90800</v>
      </c>
      <c r="DM651" s="680">
        <f t="shared" si="14876"/>
        <v>-90800</v>
      </c>
      <c r="DN651" s="552">
        <f t="shared" si="14876"/>
        <v>461874</v>
      </c>
      <c r="DO651" s="680">
        <f t="shared" si="14876"/>
        <v>-461874</v>
      </c>
      <c r="DP651" s="552">
        <f t="shared" si="14876"/>
        <v>0</v>
      </c>
      <c r="DQ651" s="680">
        <f t="shared" si="14876"/>
        <v>0</v>
      </c>
      <c r="DR651" s="552">
        <f t="shared" si="14876"/>
        <v>125858</v>
      </c>
      <c r="DS651" s="680">
        <f t="shared" si="14876"/>
        <v>-125858</v>
      </c>
      <c r="DT651" s="552">
        <f t="shared" si="14876"/>
        <v>0</v>
      </c>
      <c r="DU651" s="680">
        <f t="shared" si="14876"/>
        <v>0</v>
      </c>
      <c r="DV651" s="552">
        <f t="shared" si="14876"/>
        <v>88000</v>
      </c>
      <c r="DW651" s="680">
        <f t="shared" si="14876"/>
        <v>-88000</v>
      </c>
      <c r="DX651" s="552">
        <f t="shared" si="14876"/>
        <v>260742</v>
      </c>
      <c r="DY651" s="680">
        <f t="shared" si="14876"/>
        <v>-260742</v>
      </c>
      <c r="DZ651" s="552">
        <f t="shared" si="14876"/>
        <v>51686</v>
      </c>
      <c r="EA651" s="680">
        <f t="shared" si="14876"/>
        <v>-51686</v>
      </c>
      <c r="EB651" s="552">
        <f t="shared" si="14876"/>
        <v>0</v>
      </c>
      <c r="EC651" s="680">
        <f t="shared" si="14876"/>
        <v>0</v>
      </c>
      <c r="ED651" s="552">
        <f t="shared" si="14876"/>
        <v>0</v>
      </c>
      <c r="EE651" s="680">
        <f t="shared" si="14876"/>
        <v>0</v>
      </c>
      <c r="EF651" s="552">
        <f t="shared" si="14876"/>
        <v>0</v>
      </c>
      <c r="EG651" s="680">
        <f t="shared" si="14876"/>
        <v>0</v>
      </c>
      <c r="EH651" s="552">
        <f t="shared" ref="EH651:EI651" si="14877">SUM(EH653,EH660)</f>
        <v>0</v>
      </c>
      <c r="EI651" s="680">
        <f t="shared" si="14877"/>
        <v>0</v>
      </c>
      <c r="EJ651" s="552">
        <f t="shared" ref="EJ651:EU651" si="14878">SUM(EJ653,EJ660)</f>
        <v>0</v>
      </c>
      <c r="EK651" s="680">
        <f t="shared" si="14878"/>
        <v>0</v>
      </c>
      <c r="EL651" s="552">
        <f t="shared" si="14878"/>
        <v>0</v>
      </c>
      <c r="EM651" s="680">
        <f t="shared" si="14878"/>
        <v>0</v>
      </c>
      <c r="EN651" s="552">
        <f t="shared" si="14878"/>
        <v>98438</v>
      </c>
      <c r="EO651" s="680">
        <f t="shared" si="14878"/>
        <v>-98438</v>
      </c>
      <c r="EP651" s="552">
        <f t="shared" si="14878"/>
        <v>0</v>
      </c>
      <c r="EQ651" s="680">
        <f t="shared" si="14878"/>
        <v>0</v>
      </c>
      <c r="ER651" s="552">
        <f t="shared" si="14878"/>
        <v>98438</v>
      </c>
      <c r="ES651" s="680">
        <f t="shared" si="14878"/>
        <v>-98438</v>
      </c>
      <c r="ET651" s="552">
        <f t="shared" si="14878"/>
        <v>0</v>
      </c>
      <c r="EU651" s="680">
        <f t="shared" si="14878"/>
        <v>0</v>
      </c>
      <c r="EV651" s="552">
        <f t="shared" ref="EV651:EW651" si="14879">SUM(EV653,EV660)</f>
        <v>0</v>
      </c>
      <c r="EW651" s="680">
        <f t="shared" si="14879"/>
        <v>0</v>
      </c>
      <c r="EX651" s="552">
        <f t="shared" ref="EX651:FK651" si="14880">SUM(EX653,EX660)</f>
        <v>0</v>
      </c>
      <c r="EY651" s="680">
        <f t="shared" si="14880"/>
        <v>0</v>
      </c>
      <c r="EZ651" s="552">
        <f t="shared" si="14880"/>
        <v>0</v>
      </c>
      <c r="FA651" s="680">
        <f t="shared" si="14880"/>
        <v>0</v>
      </c>
      <c r="FB651" s="552">
        <f t="shared" si="14880"/>
        <v>43892</v>
      </c>
      <c r="FC651" s="680">
        <f t="shared" si="14880"/>
        <v>-43892</v>
      </c>
      <c r="FD651" s="552">
        <f t="shared" si="14880"/>
        <v>0</v>
      </c>
      <c r="FE651" s="680">
        <f t="shared" si="14880"/>
        <v>0</v>
      </c>
      <c r="FF651" s="552">
        <f t="shared" si="14880"/>
        <v>0</v>
      </c>
      <c r="FG651" s="680">
        <f t="shared" si="14880"/>
        <v>0</v>
      </c>
      <c r="FH651" s="552">
        <f t="shared" si="14880"/>
        <v>0</v>
      </c>
      <c r="FI651" s="680">
        <f t="shared" si="14880"/>
        <v>0</v>
      </c>
      <c r="FJ651" s="552">
        <f t="shared" si="14880"/>
        <v>0</v>
      </c>
      <c r="FK651" s="680">
        <f t="shared" si="14880"/>
        <v>0</v>
      </c>
      <c r="FL651" s="552">
        <f t="shared" ref="FL651:FM651" si="14881">SUM(FL653,FL660)</f>
        <v>0</v>
      </c>
      <c r="FM651" s="680">
        <f t="shared" si="14881"/>
        <v>0</v>
      </c>
      <c r="FN651" s="552">
        <f t="shared" ref="FN651:FO651" si="14882">SUM(FN653,FN660)</f>
        <v>156332</v>
      </c>
      <c r="FO651" s="680">
        <f t="shared" si="14882"/>
        <v>-156332</v>
      </c>
      <c r="FP651" s="552">
        <f t="shared" ref="FP651:FQ651" si="14883">SUM(FP653,FP660)</f>
        <v>0</v>
      </c>
      <c r="FQ651" s="680">
        <f t="shared" si="14883"/>
        <v>0</v>
      </c>
      <c r="FR651" s="552">
        <f t="shared" ref="FR651:FS651" si="14884">SUM(FR653,FR660)</f>
        <v>0</v>
      </c>
      <c r="FS651" s="680">
        <f t="shared" si="14884"/>
        <v>0</v>
      </c>
      <c r="FT651" s="552">
        <f t="shared" ref="FT651:FU651" si="14885">SUM(FT653,FT660)</f>
        <v>0</v>
      </c>
      <c r="FU651" s="680">
        <f t="shared" si="14885"/>
        <v>0</v>
      </c>
      <c r="FV651" s="552">
        <f t="shared" ref="FV651:GK651" si="14886">SUM(FV653,FV660)</f>
        <v>0</v>
      </c>
      <c r="FW651" s="680">
        <f t="shared" si="14886"/>
        <v>0</v>
      </c>
      <c r="FX651" s="552">
        <f t="shared" si="14886"/>
        <v>0</v>
      </c>
      <c r="FY651" s="680">
        <f t="shared" si="14886"/>
        <v>0</v>
      </c>
      <c r="FZ651" s="552">
        <f t="shared" ref="FZ651:GI651" si="14887">SUM(FZ653,FZ660)</f>
        <v>598000</v>
      </c>
      <c r="GA651" s="680">
        <f t="shared" si="14887"/>
        <v>-598000</v>
      </c>
      <c r="GB651" s="552">
        <f t="shared" si="14887"/>
        <v>0</v>
      </c>
      <c r="GC651" s="680">
        <f t="shared" si="14887"/>
        <v>0</v>
      </c>
      <c r="GD651" s="552">
        <f t="shared" si="14887"/>
        <v>0</v>
      </c>
      <c r="GE651" s="680">
        <f t="shared" si="14887"/>
        <v>0</v>
      </c>
      <c r="GF651" s="552">
        <f t="shared" si="14887"/>
        <v>0</v>
      </c>
      <c r="GG651" s="680">
        <f t="shared" si="14887"/>
        <v>0</v>
      </c>
      <c r="GH651" s="552">
        <f t="shared" si="14887"/>
        <v>0</v>
      </c>
      <c r="GI651" s="680">
        <f t="shared" si="14887"/>
        <v>0</v>
      </c>
      <c r="GJ651" s="552">
        <f t="shared" si="14886"/>
        <v>0</v>
      </c>
      <c r="GK651" s="680">
        <f t="shared" si="14886"/>
        <v>0</v>
      </c>
      <c r="GL651" s="552">
        <f t="shared" ref="GL651:GM651" si="14888">SUM(GL653,GL660)</f>
        <v>0</v>
      </c>
      <c r="GM651" s="680">
        <f t="shared" si="14888"/>
        <v>0</v>
      </c>
      <c r="GN651" s="552">
        <f t="shared" ref="GN651:GO651" si="14889">SUM(GN653,GN660)</f>
        <v>0</v>
      </c>
      <c r="GO651" s="680">
        <f t="shared" si="14889"/>
        <v>0</v>
      </c>
      <c r="GP651" s="552">
        <f>SUM(GP653)</f>
        <v>0</v>
      </c>
      <c r="GQ651" s="680">
        <f>SUM(GQ653)</f>
        <v>0</v>
      </c>
      <c r="GR651" s="552">
        <f>SUM(GR653)</f>
        <v>0</v>
      </c>
      <c r="GS651" s="552">
        <f t="shared" ref="GS651:HF651" si="14890">SUM(GS653)</f>
        <v>0</v>
      </c>
      <c r="GT651" s="552">
        <f t="shared" si="14890"/>
        <v>0</v>
      </c>
      <c r="GU651" s="552">
        <f t="shared" si="14890"/>
        <v>0</v>
      </c>
      <c r="GV651" s="552">
        <f t="shared" si="14890"/>
        <v>0</v>
      </c>
      <c r="GW651" s="552">
        <f t="shared" si="14890"/>
        <v>0</v>
      </c>
      <c r="GX651" s="552">
        <f t="shared" si="14890"/>
        <v>0</v>
      </c>
      <c r="GY651" s="552">
        <f t="shared" si="14890"/>
        <v>0</v>
      </c>
      <c r="GZ651" s="552">
        <f t="shared" si="14890"/>
        <v>0</v>
      </c>
      <c r="HA651" s="552">
        <f t="shared" si="14890"/>
        <v>0</v>
      </c>
      <c r="HB651" s="552">
        <f t="shared" si="14890"/>
        <v>0</v>
      </c>
      <c r="HC651" s="552">
        <f t="shared" si="14890"/>
        <v>0</v>
      </c>
      <c r="HD651" s="552">
        <f t="shared" si="14890"/>
        <v>0</v>
      </c>
      <c r="HE651" s="552">
        <f t="shared" si="14890"/>
        <v>0</v>
      </c>
      <c r="HF651" s="552">
        <f t="shared" si="14890"/>
        <v>0</v>
      </c>
      <c r="HG651" s="552">
        <f>SUM(HG653)</f>
        <v>0</v>
      </c>
      <c r="HH651" s="552">
        <f t="shared" ref="HH651:HI651" si="14891">SUM(HH653,HH660)</f>
        <v>0</v>
      </c>
      <c r="HI651" s="821">
        <f t="shared" si="14891"/>
        <v>0</v>
      </c>
      <c r="HJ651" s="552">
        <f t="shared" ref="HJ651:HK651" si="14892">SUM(HJ653,HJ660)</f>
        <v>0</v>
      </c>
      <c r="HK651" s="821">
        <f t="shared" si="14892"/>
        <v>0</v>
      </c>
      <c r="HL651" s="552">
        <f t="shared" ref="HL651:HM651" si="14893">SUM(HL653,HL660)</f>
        <v>0</v>
      </c>
      <c r="HM651" s="821">
        <f t="shared" si="14893"/>
        <v>1036077</v>
      </c>
      <c r="HN651" s="552">
        <f t="shared" ref="HN651:HO651" si="14894">SUM(HN653,HN660)</f>
        <v>0</v>
      </c>
      <c r="HO651" s="821">
        <f t="shared" si="14894"/>
        <v>1459975</v>
      </c>
      <c r="HP651" s="552">
        <f t="shared" ref="HP651:HQ651" si="14895">SUM(HP653,HP660)</f>
        <v>0</v>
      </c>
      <c r="HQ651" s="821">
        <f t="shared" si="14895"/>
        <v>0</v>
      </c>
      <c r="HR651" s="552">
        <f t="shared" ref="HR651:HS651" si="14896">SUM(HR653,HR660)</f>
        <v>0</v>
      </c>
      <c r="HS651" s="821">
        <f t="shared" si="14896"/>
        <v>0</v>
      </c>
      <c r="HT651" s="552">
        <f t="shared" ref="HT651:HU651" si="14897">SUM(HT653,HT660)</f>
        <v>0</v>
      </c>
      <c r="HU651" s="821">
        <f t="shared" si="14897"/>
        <v>1467874</v>
      </c>
      <c r="HV651" s="552">
        <f t="shared" ref="HV651:HW651" si="14898">SUM(HV653,HV660)</f>
        <v>0</v>
      </c>
      <c r="HW651" s="821">
        <f t="shared" si="14898"/>
        <v>0</v>
      </c>
      <c r="HX651" s="552">
        <f t="shared" ref="HX651:HY651" si="14899">SUM(HX653,HX660)</f>
        <v>0</v>
      </c>
      <c r="HY651" s="821">
        <f t="shared" si="14899"/>
        <v>0</v>
      </c>
      <c r="HZ651" s="552">
        <f t="shared" ref="HZ651:IA651" si="14900">SUM(HZ653,HZ660)</f>
        <v>0</v>
      </c>
      <c r="IA651" s="821">
        <f t="shared" si="14900"/>
        <v>1036074</v>
      </c>
      <c r="IB651" s="552">
        <f t="shared" ref="IB651:IC651" si="14901">SUM(IB653,IB660)</f>
        <v>0</v>
      </c>
      <c r="IC651" s="821">
        <f t="shared" si="14901"/>
        <v>0</v>
      </c>
      <c r="ID651" s="552">
        <f t="shared" ref="ID651:IE651" si="14902">SUM(ID653,ID660)</f>
        <v>0</v>
      </c>
      <c r="IE651" s="821">
        <f t="shared" si="14902"/>
        <v>0</v>
      </c>
      <c r="IF651" s="859">
        <f>SUM(IF653)</f>
        <v>0</v>
      </c>
      <c r="IG651" s="283">
        <f t="shared" ref="IG651:IN651" si="14903">SUM(IG653)</f>
        <v>0</v>
      </c>
      <c r="IH651" s="860">
        <f t="shared" si="14903"/>
        <v>0</v>
      </c>
      <c r="II651" s="552">
        <f t="shared" si="14903"/>
        <v>0</v>
      </c>
      <c r="IJ651" s="552">
        <f t="shared" si="14903"/>
        <v>0</v>
      </c>
      <c r="IK651" s="552">
        <f t="shared" si="14903"/>
        <v>0</v>
      </c>
      <c r="IL651" s="552">
        <f t="shared" si="14903"/>
        <v>0</v>
      </c>
      <c r="IM651" s="552">
        <f t="shared" si="14903"/>
        <v>0</v>
      </c>
      <c r="IN651" s="552">
        <f t="shared" si="14903"/>
        <v>0</v>
      </c>
      <c r="IO651" s="552">
        <f t="shared" ref="IO651:IQ651" si="14904">SUM(IO653)</f>
        <v>0</v>
      </c>
      <c r="IP651" s="552">
        <f t="shared" si="14904"/>
        <v>0</v>
      </c>
      <c r="IQ651" s="552">
        <f t="shared" si="14904"/>
        <v>0</v>
      </c>
      <c r="IR651" s="552">
        <f t="shared" ref="IR651:IT651" si="14905">SUM(IR653)</f>
        <v>0</v>
      </c>
      <c r="IS651" s="552">
        <f t="shared" si="14905"/>
        <v>0</v>
      </c>
      <c r="IT651" s="552">
        <f t="shared" si="14905"/>
        <v>0</v>
      </c>
      <c r="IU651" s="552">
        <f t="shared" ref="IU651:IW651" si="14906">SUM(IU653)</f>
        <v>0</v>
      </c>
      <c r="IV651" s="552">
        <f t="shared" si="14906"/>
        <v>0</v>
      </c>
      <c r="IW651" s="552">
        <f t="shared" si="14906"/>
        <v>0</v>
      </c>
      <c r="IX651" s="552">
        <f t="shared" ref="IX651:IZ651" si="14907">SUM(IX653)</f>
        <v>0</v>
      </c>
      <c r="IY651" s="552">
        <f t="shared" si="14907"/>
        <v>0</v>
      </c>
      <c r="IZ651" s="552">
        <f t="shared" si="14907"/>
        <v>0</v>
      </c>
      <c r="JA651" s="552">
        <f t="shared" ref="JA651:JC651" si="14908">SUM(JA653)</f>
        <v>0</v>
      </c>
      <c r="JB651" s="552">
        <f t="shared" si="14908"/>
        <v>0</v>
      </c>
      <c r="JC651" s="552">
        <f t="shared" si="14908"/>
        <v>0</v>
      </c>
      <c r="JD651" s="552">
        <f t="shared" ref="JD651:JF651" si="14909">SUM(JD653)</f>
        <v>0</v>
      </c>
      <c r="JE651" s="552">
        <f t="shared" si="14909"/>
        <v>0</v>
      </c>
      <c r="JF651" s="552">
        <f t="shared" si="14909"/>
        <v>0</v>
      </c>
      <c r="JG651" s="552">
        <f t="shared" ref="JG651:JI651" si="14910">SUM(JG653)</f>
        <v>0</v>
      </c>
      <c r="JH651" s="552">
        <f t="shared" si="14910"/>
        <v>0</v>
      </c>
      <c r="JI651" s="552">
        <f t="shared" si="14910"/>
        <v>0</v>
      </c>
      <c r="JJ651" s="552">
        <f t="shared" ref="JJ651:JL651" si="14911">SUM(JJ653)</f>
        <v>0</v>
      </c>
      <c r="JK651" s="552">
        <f t="shared" si="14911"/>
        <v>0</v>
      </c>
      <c r="JL651" s="552">
        <f t="shared" si="14911"/>
        <v>0</v>
      </c>
      <c r="JM651" s="552">
        <f t="shared" ref="JM651:JO651" si="14912">SUM(JM653)</f>
        <v>0</v>
      </c>
      <c r="JN651" s="552">
        <f t="shared" si="14912"/>
        <v>0</v>
      </c>
      <c r="JO651" s="552">
        <f t="shared" si="14912"/>
        <v>0</v>
      </c>
      <c r="JP651" s="552">
        <f t="shared" ref="JP651:JR651" si="14913">SUM(JP653)</f>
        <v>0</v>
      </c>
      <c r="JQ651" s="552">
        <f t="shared" si="14913"/>
        <v>0</v>
      </c>
      <c r="JR651" s="552">
        <f t="shared" si="14913"/>
        <v>0</v>
      </c>
      <c r="JS651" s="552">
        <f>SUM(JS653)</f>
        <v>0</v>
      </c>
      <c r="JT651" s="552">
        <f>SUM(JT653)</f>
        <v>0</v>
      </c>
      <c r="JU651" s="665"/>
      <c r="JV651" s="524"/>
      <c r="JW651" s="525"/>
      <c r="JX651" s="552">
        <f>SUM(JX653)</f>
        <v>0</v>
      </c>
      <c r="JY651" s="552">
        <f>SUM(JY653)</f>
        <v>0</v>
      </c>
      <c r="JZ651" s="581">
        <f t="shared" si="14740"/>
        <v>0</v>
      </c>
      <c r="KA651" s="581">
        <f t="shared" si="14741"/>
        <v>0</v>
      </c>
      <c r="KB651" s="552">
        <f>SUM(KB653)</f>
        <v>0</v>
      </c>
      <c r="KC651" s="709">
        <f t="shared" si="14739"/>
        <v>0</v>
      </c>
      <c r="KD651" s="36"/>
      <c r="KE651" s="36"/>
      <c r="KF651" s="36"/>
      <c r="KG651" s="36"/>
      <c r="KH651" s="36"/>
      <c r="KI651" s="36"/>
      <c r="KJ651" s="36"/>
      <c r="KK651" s="36"/>
    </row>
    <row r="652" spans="1:297" s="10" customFormat="1" ht="12.75" hidden="1" customHeight="1">
      <c r="A652" s="86"/>
      <c r="B652" s="77"/>
      <c r="C652" s="74"/>
      <c r="D652" s="549"/>
      <c r="E652" s="675"/>
      <c r="F652" s="549"/>
      <c r="G652" s="675"/>
      <c r="H652" s="549"/>
      <c r="I652" s="675"/>
      <c r="J652" s="549"/>
      <c r="K652" s="675"/>
      <c r="L652" s="549"/>
      <c r="M652" s="675"/>
      <c r="N652" s="549"/>
      <c r="O652" s="675"/>
      <c r="P652" s="549"/>
      <c r="Q652" s="675"/>
      <c r="R652" s="549"/>
      <c r="S652" s="675"/>
      <c r="T652" s="549"/>
      <c r="U652" s="675"/>
      <c r="V652" s="549"/>
      <c r="W652" s="675"/>
      <c r="X652" s="549"/>
      <c r="Y652" s="675"/>
      <c r="Z652" s="549"/>
      <c r="AA652" s="675"/>
      <c r="AB652" s="549"/>
      <c r="AC652" s="675"/>
      <c r="AD652" s="549"/>
      <c r="AE652" s="675"/>
      <c r="AF652" s="549"/>
      <c r="AG652" s="675"/>
      <c r="AH652" s="549"/>
      <c r="AI652" s="675"/>
      <c r="AJ652" s="549"/>
      <c r="AK652" s="675"/>
      <c r="AL652" s="549"/>
      <c r="AM652" s="675"/>
      <c r="AN652" s="549"/>
      <c r="AO652" s="675"/>
      <c r="AP652" s="549"/>
      <c r="AQ652" s="675"/>
      <c r="AR652" s="549"/>
      <c r="AS652" s="675"/>
      <c r="AT652" s="549"/>
      <c r="AU652" s="675"/>
      <c r="AV652" s="549"/>
      <c r="AW652" s="675"/>
      <c r="AX652" s="549"/>
      <c r="AY652" s="675"/>
      <c r="AZ652" s="549"/>
      <c r="BA652" s="675"/>
      <c r="BB652" s="549"/>
      <c r="BC652" s="675"/>
      <c r="BD652" s="549"/>
      <c r="BE652" s="675"/>
      <c r="BF652" s="549"/>
      <c r="BG652" s="675"/>
      <c r="BH652" s="549"/>
      <c r="BI652" s="675"/>
      <c r="BJ652" s="549"/>
      <c r="BK652" s="675"/>
      <c r="BL652" s="549"/>
      <c r="BM652" s="675"/>
      <c r="BN652" s="549"/>
      <c r="BO652" s="675"/>
      <c r="BP652" s="549"/>
      <c r="BQ652" s="675"/>
      <c r="BR652" s="549"/>
      <c r="BS652" s="675"/>
      <c r="BT652" s="549"/>
      <c r="BU652" s="675"/>
      <c r="BV652" s="549"/>
      <c r="BW652" s="675"/>
      <c r="BX652" s="549"/>
      <c r="BY652" s="675"/>
      <c r="BZ652" s="549"/>
      <c r="CA652" s="675"/>
      <c r="CB652" s="549"/>
      <c r="CC652" s="675"/>
      <c r="CD652" s="549"/>
      <c r="CE652" s="675"/>
      <c r="CF652" s="549"/>
      <c r="CG652" s="675"/>
      <c r="CH652" s="549"/>
      <c r="CI652" s="675"/>
      <c r="CJ652" s="549"/>
      <c r="CK652" s="675"/>
      <c r="CL652" s="549"/>
      <c r="CM652" s="675"/>
      <c r="CN652" s="549"/>
      <c r="CO652" s="675"/>
      <c r="CP652" s="549"/>
      <c r="CQ652" s="675"/>
      <c r="CR652" s="549"/>
      <c r="CS652" s="675"/>
      <c r="CT652" s="549"/>
      <c r="CU652" s="675"/>
      <c r="CV652" s="549"/>
      <c r="CW652" s="675"/>
      <c r="CX652" s="549"/>
      <c r="CY652" s="675"/>
      <c r="CZ652" s="549"/>
      <c r="DA652" s="675"/>
      <c r="DB652" s="549"/>
      <c r="DC652" s="675"/>
      <c r="DD652" s="549"/>
      <c r="DE652" s="675"/>
      <c r="DF652" s="549"/>
      <c r="DG652" s="675"/>
      <c r="DH652" s="549"/>
      <c r="DI652" s="675"/>
      <c r="DJ652" s="549"/>
      <c r="DK652" s="675"/>
      <c r="DL652" s="549"/>
      <c r="DM652" s="675"/>
      <c r="DN652" s="549"/>
      <c r="DO652" s="675"/>
      <c r="DP652" s="549"/>
      <c r="DQ652" s="675"/>
      <c r="DR652" s="549"/>
      <c r="DS652" s="675"/>
      <c r="DT652" s="549"/>
      <c r="DU652" s="675"/>
      <c r="DV652" s="549"/>
      <c r="DW652" s="675"/>
      <c r="DX652" s="549"/>
      <c r="DY652" s="675"/>
      <c r="DZ652" s="549"/>
      <c r="EA652" s="675"/>
      <c r="EB652" s="549"/>
      <c r="EC652" s="675"/>
      <c r="ED652" s="549"/>
      <c r="EE652" s="675"/>
      <c r="EF652" s="549"/>
      <c r="EG652" s="675"/>
      <c r="EH652" s="549"/>
      <c r="EI652" s="675"/>
      <c r="EJ652" s="549"/>
      <c r="EK652" s="675"/>
      <c r="EL652" s="549"/>
      <c r="EM652" s="675"/>
      <c r="EN652" s="549"/>
      <c r="EO652" s="675"/>
      <c r="EP652" s="549"/>
      <c r="EQ652" s="675"/>
      <c r="ER652" s="549"/>
      <c r="ES652" s="675"/>
      <c r="ET652" s="549"/>
      <c r="EU652" s="675"/>
      <c r="EV652" s="549"/>
      <c r="EW652" s="675"/>
      <c r="EX652" s="549"/>
      <c r="EY652" s="675"/>
      <c r="EZ652" s="549"/>
      <c r="FA652" s="675"/>
      <c r="FB652" s="549"/>
      <c r="FC652" s="675"/>
      <c r="FD652" s="549"/>
      <c r="FE652" s="675"/>
      <c r="FF652" s="549"/>
      <c r="FG652" s="675"/>
      <c r="FH652" s="549"/>
      <c r="FI652" s="675"/>
      <c r="FJ652" s="549"/>
      <c r="FK652" s="675"/>
      <c r="FL652" s="549"/>
      <c r="FM652" s="675"/>
      <c r="FN652" s="549"/>
      <c r="FO652" s="675"/>
      <c r="FP652" s="549"/>
      <c r="FQ652" s="675"/>
      <c r="FR652" s="549"/>
      <c r="FS652" s="675"/>
      <c r="FT652" s="549"/>
      <c r="FU652" s="675"/>
      <c r="FV652" s="549"/>
      <c r="FW652" s="675"/>
      <c r="FX652" s="549"/>
      <c r="FY652" s="675"/>
      <c r="FZ652" s="549"/>
      <c r="GA652" s="675"/>
      <c r="GB652" s="549"/>
      <c r="GC652" s="675"/>
      <c r="GD652" s="549"/>
      <c r="GE652" s="675"/>
      <c r="GF652" s="549"/>
      <c r="GG652" s="675"/>
      <c r="GH652" s="549"/>
      <c r="GI652" s="675"/>
      <c r="GJ652" s="549"/>
      <c r="GK652" s="675"/>
      <c r="GL652" s="549"/>
      <c r="GM652" s="675"/>
      <c r="GN652" s="549"/>
      <c r="GO652" s="675"/>
      <c r="GP652" s="549"/>
      <c r="GQ652" s="675"/>
      <c r="GR652" s="74"/>
      <c r="GS652" s="74"/>
      <c r="GT652" s="74"/>
      <c r="GU652" s="73"/>
      <c r="GV652" s="73"/>
      <c r="GW652" s="549"/>
      <c r="GX652" s="549"/>
      <c r="GY652" s="73"/>
      <c r="GZ652" s="73"/>
      <c r="HA652" s="73"/>
      <c r="HB652" s="73"/>
      <c r="HC652" s="73"/>
      <c r="HD652" s="73"/>
      <c r="HE652" s="73"/>
      <c r="HF652" s="73"/>
      <c r="HG652" s="74"/>
      <c r="HH652" s="73"/>
      <c r="HI652" s="815"/>
      <c r="HJ652" s="73"/>
      <c r="HK652" s="815"/>
      <c r="HL652" s="73"/>
      <c r="HM652" s="815"/>
      <c r="HN652" s="73"/>
      <c r="HO652" s="815"/>
      <c r="HP652" s="73"/>
      <c r="HQ652" s="815"/>
      <c r="HR652" s="73"/>
      <c r="HS652" s="815"/>
      <c r="HT652" s="73"/>
      <c r="HU652" s="815"/>
      <c r="HV652" s="73"/>
      <c r="HW652" s="815"/>
      <c r="HX652" s="73"/>
      <c r="HY652" s="815"/>
      <c r="HZ652" s="73"/>
      <c r="IA652" s="815"/>
      <c r="IB652" s="73"/>
      <c r="IC652" s="815"/>
      <c r="ID652" s="73"/>
      <c r="IE652" s="815"/>
      <c r="IF652" s="841"/>
      <c r="IG652" s="263"/>
      <c r="IH652" s="842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  <c r="JD652" s="73"/>
      <c r="JE652" s="73"/>
      <c r="JF652" s="73"/>
      <c r="JG652" s="73"/>
      <c r="JH652" s="73"/>
      <c r="JI652" s="73"/>
      <c r="JJ652" s="73"/>
      <c r="JK652" s="73"/>
      <c r="JL652" s="73"/>
      <c r="JM652" s="73"/>
      <c r="JN652" s="73"/>
      <c r="JO652" s="73"/>
      <c r="JP652" s="73"/>
      <c r="JQ652" s="73"/>
      <c r="JR652" s="73"/>
      <c r="JS652" s="74"/>
      <c r="JT652" s="382"/>
      <c r="JU652" s="665"/>
      <c r="JV652" s="524"/>
      <c r="JW652" s="525"/>
      <c r="JX652" s="549"/>
      <c r="JY652" s="549"/>
      <c r="JZ652" s="581">
        <f t="shared" si="14740"/>
        <v>0</v>
      </c>
      <c r="KA652" s="581">
        <f t="shared" si="14741"/>
        <v>0</v>
      </c>
      <c r="KB652" s="549">
        <f t="shared" ref="KB652:KB657" si="14914">JX652</f>
        <v>0</v>
      </c>
      <c r="KC652" s="709">
        <f t="shared" si="14739"/>
        <v>0</v>
      </c>
      <c r="KD652" s="36"/>
      <c r="KE652" s="36"/>
      <c r="KF652" s="36"/>
      <c r="KG652" s="36"/>
      <c r="KH652" s="36"/>
      <c r="KI652" s="36"/>
      <c r="KJ652" s="36"/>
      <c r="KK652" s="36"/>
    </row>
    <row r="653" spans="1:297" s="7" customFormat="1" ht="15" hidden="1" customHeight="1">
      <c r="A653" s="80" t="s">
        <v>1137</v>
      </c>
      <c r="B653" s="74" t="s">
        <v>50</v>
      </c>
      <c r="C653" s="74">
        <f>SUM(C655)</f>
        <v>0</v>
      </c>
      <c r="D653" s="549">
        <f t="shared" ref="D653:E653" si="14915">SUM(D655)+D658</f>
        <v>0</v>
      </c>
      <c r="E653" s="675">
        <f t="shared" si="14915"/>
        <v>0</v>
      </c>
      <c r="F653" s="549">
        <f t="shared" ref="F653:G653" si="14916">SUM(F655)+F658</f>
        <v>0</v>
      </c>
      <c r="G653" s="675">
        <f t="shared" si="14916"/>
        <v>0</v>
      </c>
      <c r="H653" s="549">
        <f t="shared" ref="H653:I653" si="14917">SUM(H655)+H658</f>
        <v>0</v>
      </c>
      <c r="I653" s="675">
        <f t="shared" si="14917"/>
        <v>0</v>
      </c>
      <c r="J653" s="549">
        <f t="shared" ref="J653:K653" si="14918">SUM(J655)+J658</f>
        <v>227500</v>
      </c>
      <c r="K653" s="675">
        <f t="shared" si="14918"/>
        <v>-227500</v>
      </c>
      <c r="L653" s="549">
        <f t="shared" ref="L653:M653" si="14919">SUM(L655)+L658</f>
        <v>0</v>
      </c>
      <c r="M653" s="675">
        <f t="shared" si="14919"/>
        <v>0</v>
      </c>
      <c r="N653" s="549">
        <f t="shared" ref="N653:O653" si="14920">SUM(N655)+N658</f>
        <v>186132</v>
      </c>
      <c r="O653" s="675">
        <f t="shared" si="14920"/>
        <v>-186132</v>
      </c>
      <c r="P653" s="549">
        <f t="shared" ref="P653:Q653" si="14921">SUM(P655)+P658</f>
        <v>0</v>
      </c>
      <c r="Q653" s="675">
        <f t="shared" si="14921"/>
        <v>0</v>
      </c>
      <c r="R653" s="549">
        <f t="shared" ref="R653:S653" si="14922">SUM(R655)+R658</f>
        <v>0</v>
      </c>
      <c r="S653" s="675">
        <f t="shared" si="14922"/>
        <v>0</v>
      </c>
      <c r="T653" s="549">
        <f t="shared" ref="T653:U653" si="14923">SUM(T655)+T658</f>
        <v>201300</v>
      </c>
      <c r="U653" s="675">
        <f t="shared" si="14923"/>
        <v>-201300</v>
      </c>
      <c r="V653" s="549">
        <f t="shared" ref="V653:W653" si="14924">SUM(V655)+V658</f>
        <v>0</v>
      </c>
      <c r="W653" s="675">
        <f t="shared" si="14924"/>
        <v>0</v>
      </c>
      <c r="X653" s="549">
        <f t="shared" ref="X653:Y653" si="14925">SUM(X655)+X658</f>
        <v>0</v>
      </c>
      <c r="Y653" s="675">
        <f t="shared" si="14925"/>
        <v>0</v>
      </c>
      <c r="Z653" s="549">
        <f t="shared" ref="Z653:AA653" si="14926">SUM(Z655)+Z658</f>
        <v>266314</v>
      </c>
      <c r="AA653" s="675">
        <f t="shared" si="14926"/>
        <v>-266314</v>
      </c>
      <c r="AB653" s="549">
        <f t="shared" ref="AB653:AC653" si="14927">SUM(AB655)+AB658</f>
        <v>128901</v>
      </c>
      <c r="AC653" s="675">
        <f t="shared" si="14927"/>
        <v>-128901</v>
      </c>
      <c r="AD653" s="549">
        <f t="shared" ref="AD653:AK653" si="14928">SUM(AD655)+AD658</f>
        <v>0</v>
      </c>
      <c r="AE653" s="675">
        <f t="shared" si="14928"/>
        <v>0</v>
      </c>
      <c r="AF653" s="549">
        <f t="shared" si="14928"/>
        <v>0</v>
      </c>
      <c r="AG653" s="675">
        <f t="shared" si="14928"/>
        <v>0</v>
      </c>
      <c r="AH653" s="549">
        <f t="shared" si="14928"/>
        <v>0</v>
      </c>
      <c r="AI653" s="675">
        <f t="shared" si="14928"/>
        <v>0</v>
      </c>
      <c r="AJ653" s="549">
        <f t="shared" si="14928"/>
        <v>0</v>
      </c>
      <c r="AK653" s="675">
        <f t="shared" si="14928"/>
        <v>0</v>
      </c>
      <c r="AL653" s="549">
        <f t="shared" ref="AL653:AM653" si="14929">SUM(AL655)+AL658</f>
        <v>0</v>
      </c>
      <c r="AM653" s="675">
        <f t="shared" si="14929"/>
        <v>0</v>
      </c>
      <c r="AN653" s="549">
        <f t="shared" ref="AN653:AO653" si="14930">SUM(AN655)+AN658</f>
        <v>0</v>
      </c>
      <c r="AO653" s="675">
        <f t="shared" si="14930"/>
        <v>0</v>
      </c>
      <c r="AP653" s="549">
        <f t="shared" ref="AP653:AQ653" si="14931">SUM(AP655)+AP658</f>
        <v>269095</v>
      </c>
      <c r="AQ653" s="675">
        <f t="shared" si="14931"/>
        <v>-269095</v>
      </c>
      <c r="AR653" s="549">
        <f t="shared" ref="AR653:AS653" si="14932">SUM(AR655)+AR658</f>
        <v>0</v>
      </c>
      <c r="AS653" s="675">
        <f t="shared" si="14932"/>
        <v>0</v>
      </c>
      <c r="AT653" s="549">
        <f t="shared" ref="AT653:AU653" si="14933">SUM(AT655)+AT658</f>
        <v>0</v>
      </c>
      <c r="AU653" s="675">
        <f t="shared" si="14933"/>
        <v>0</v>
      </c>
      <c r="AV653" s="549">
        <f t="shared" ref="AV653:AW653" si="14934">SUM(AV655)+AV658</f>
        <v>0</v>
      </c>
      <c r="AW653" s="675">
        <f t="shared" si="14934"/>
        <v>0</v>
      </c>
      <c r="AX653" s="549">
        <f t="shared" ref="AX653:AY653" si="14935">SUM(AX655)+AX658</f>
        <v>298905</v>
      </c>
      <c r="AY653" s="675">
        <f t="shared" si="14935"/>
        <v>-298905</v>
      </c>
      <c r="AZ653" s="549">
        <f t="shared" ref="AZ653:BA653" si="14936">SUM(AZ655)+AZ658</f>
        <v>0</v>
      </c>
      <c r="BA653" s="675">
        <f t="shared" si="14936"/>
        <v>0</v>
      </c>
      <c r="BB653" s="549">
        <f t="shared" ref="BB653:BC653" si="14937">SUM(BB655)+BB658</f>
        <v>290000</v>
      </c>
      <c r="BC653" s="675">
        <f t="shared" si="14937"/>
        <v>-290000</v>
      </c>
      <c r="BD653" s="549">
        <f t="shared" ref="BD653:BE653" si="14938">SUM(BD655)+BD658</f>
        <v>0</v>
      </c>
      <c r="BE653" s="675">
        <f t="shared" si="14938"/>
        <v>0</v>
      </c>
      <c r="BF653" s="549">
        <f t="shared" ref="BF653:BG653" si="14939">SUM(BF655)+BF658</f>
        <v>0</v>
      </c>
      <c r="BG653" s="675">
        <f t="shared" si="14939"/>
        <v>0</v>
      </c>
      <c r="BH653" s="549">
        <f t="shared" ref="BH653:BI653" si="14940">SUM(BH655)+BH658</f>
        <v>0</v>
      </c>
      <c r="BI653" s="675">
        <f t="shared" si="14940"/>
        <v>0</v>
      </c>
      <c r="BJ653" s="549">
        <f t="shared" ref="BJ653:BK653" si="14941">SUM(BJ655)+BJ658</f>
        <v>0</v>
      </c>
      <c r="BK653" s="675">
        <f t="shared" si="14941"/>
        <v>0</v>
      </c>
      <c r="BL653" s="549">
        <f t="shared" ref="BL653:BS653" si="14942">SUM(BL655)+BL658</f>
        <v>0</v>
      </c>
      <c r="BM653" s="675">
        <f t="shared" si="14942"/>
        <v>0</v>
      </c>
      <c r="BN653" s="549">
        <f t="shared" si="14942"/>
        <v>0</v>
      </c>
      <c r="BO653" s="675">
        <f t="shared" si="14942"/>
        <v>0</v>
      </c>
      <c r="BP653" s="549">
        <f t="shared" si="14942"/>
        <v>0</v>
      </c>
      <c r="BQ653" s="675">
        <f t="shared" si="14942"/>
        <v>0</v>
      </c>
      <c r="BR653" s="549">
        <f t="shared" si="14942"/>
        <v>116922</v>
      </c>
      <c r="BS653" s="675">
        <f t="shared" si="14942"/>
        <v>-116922</v>
      </c>
      <c r="BT653" s="549">
        <f t="shared" ref="BT653:BU653" si="14943">SUM(BT655)+BT658</f>
        <v>231000</v>
      </c>
      <c r="BU653" s="675">
        <f t="shared" si="14943"/>
        <v>-231000</v>
      </c>
      <c r="BV653" s="549">
        <f t="shared" ref="BV653:BW653" si="14944">SUM(BV655)+BV658</f>
        <v>0</v>
      </c>
      <c r="BW653" s="675">
        <f t="shared" si="14944"/>
        <v>0</v>
      </c>
      <c r="BX653" s="549">
        <f t="shared" ref="BX653:BY653" si="14945">SUM(BX655)+BX658</f>
        <v>12012</v>
      </c>
      <c r="BY653" s="675">
        <f t="shared" si="14945"/>
        <v>-12012</v>
      </c>
      <c r="BZ653" s="549">
        <f t="shared" ref="BZ653:CA653" si="14946">SUM(BZ655)+BZ658</f>
        <v>0</v>
      </c>
      <c r="CA653" s="675">
        <f t="shared" si="14946"/>
        <v>0</v>
      </c>
      <c r="CB653" s="549">
        <f t="shared" ref="CB653:CC653" si="14947">SUM(CB655)+CB658</f>
        <v>0</v>
      </c>
      <c r="CC653" s="675">
        <f t="shared" si="14947"/>
        <v>0</v>
      </c>
      <c r="CD653" s="549">
        <f t="shared" ref="CD653:CE653" si="14948">SUM(CD655)+CD658</f>
        <v>0</v>
      </c>
      <c r="CE653" s="675">
        <f t="shared" si="14948"/>
        <v>0</v>
      </c>
      <c r="CF653" s="549">
        <f t="shared" ref="CF653:CG653" si="14949">SUM(CF655)+CF658</f>
        <v>175263</v>
      </c>
      <c r="CG653" s="675">
        <f t="shared" si="14949"/>
        <v>-175263</v>
      </c>
      <c r="CH653" s="549">
        <f t="shared" ref="CH653:CI653" si="14950">SUM(CH655)+CH658</f>
        <v>0</v>
      </c>
      <c r="CI653" s="675">
        <f t="shared" si="14950"/>
        <v>0</v>
      </c>
      <c r="CJ653" s="549">
        <f t="shared" ref="CJ653:CK653" si="14951">SUM(CJ655)+CJ658</f>
        <v>0</v>
      </c>
      <c r="CK653" s="675">
        <f t="shared" si="14951"/>
        <v>0</v>
      </c>
      <c r="CL653" s="549">
        <f t="shared" ref="CL653:CM653" si="14952">SUM(CL655)+CL658</f>
        <v>0</v>
      </c>
      <c r="CM653" s="675">
        <f t="shared" si="14952"/>
        <v>0</v>
      </c>
      <c r="CN653" s="549">
        <f t="shared" ref="CN653:CO653" si="14953">SUM(CN655)+CN658</f>
        <v>0</v>
      </c>
      <c r="CO653" s="675">
        <f t="shared" si="14953"/>
        <v>0</v>
      </c>
      <c r="CP653" s="549">
        <f t="shared" ref="CP653:CQ653" si="14954">SUM(CP655)+CP658</f>
        <v>0</v>
      </c>
      <c r="CQ653" s="675">
        <f t="shared" si="14954"/>
        <v>0</v>
      </c>
      <c r="CR653" s="549">
        <f t="shared" ref="CR653:CS653" si="14955">SUM(CR655)+CR658</f>
        <v>65854</v>
      </c>
      <c r="CS653" s="675">
        <f t="shared" si="14955"/>
        <v>-65854</v>
      </c>
      <c r="CT653" s="549">
        <f t="shared" ref="CT653:CU653" si="14956">SUM(CT655)+CT658</f>
        <v>3000</v>
      </c>
      <c r="CU653" s="675">
        <f t="shared" si="14956"/>
        <v>-3000</v>
      </c>
      <c r="CV653" s="549">
        <f t="shared" ref="CV653:CW653" si="14957">SUM(CV655)+CV658</f>
        <v>0</v>
      </c>
      <c r="CW653" s="675">
        <f t="shared" si="14957"/>
        <v>0</v>
      </c>
      <c r="CX653" s="549">
        <f t="shared" ref="CX653:CY653" si="14958">SUM(CX655)+CX658</f>
        <v>100000</v>
      </c>
      <c r="CY653" s="675">
        <f t="shared" si="14958"/>
        <v>-100000</v>
      </c>
      <c r="CZ653" s="549">
        <f t="shared" ref="CZ653:FK653" si="14959">SUM(CZ655)+CZ658</f>
        <v>0</v>
      </c>
      <c r="DA653" s="675">
        <f t="shared" si="14959"/>
        <v>0</v>
      </c>
      <c r="DB653" s="549">
        <f t="shared" si="14959"/>
        <v>133000</v>
      </c>
      <c r="DC653" s="675">
        <f t="shared" si="14959"/>
        <v>-133000</v>
      </c>
      <c r="DD653" s="549">
        <f t="shared" si="14959"/>
        <v>11072</v>
      </c>
      <c r="DE653" s="675">
        <f t="shared" si="14959"/>
        <v>-11072</v>
      </c>
      <c r="DF653" s="549">
        <f t="shared" si="14959"/>
        <v>0</v>
      </c>
      <c r="DG653" s="675">
        <f t="shared" si="14959"/>
        <v>0</v>
      </c>
      <c r="DH653" s="549">
        <f t="shared" si="14959"/>
        <v>0</v>
      </c>
      <c r="DI653" s="675">
        <f t="shared" si="14959"/>
        <v>0</v>
      </c>
      <c r="DJ653" s="549">
        <f t="shared" si="14959"/>
        <v>0</v>
      </c>
      <c r="DK653" s="675">
        <f t="shared" si="14959"/>
        <v>0</v>
      </c>
      <c r="DL653" s="549">
        <f t="shared" si="14959"/>
        <v>45400</v>
      </c>
      <c r="DM653" s="675">
        <f t="shared" si="14959"/>
        <v>-45400</v>
      </c>
      <c r="DN653" s="549">
        <f t="shared" si="14959"/>
        <v>230937</v>
      </c>
      <c r="DO653" s="675">
        <f t="shared" si="14959"/>
        <v>-230937</v>
      </c>
      <c r="DP653" s="549">
        <f t="shared" si="14959"/>
        <v>0</v>
      </c>
      <c r="DQ653" s="675">
        <f t="shared" si="14959"/>
        <v>0</v>
      </c>
      <c r="DR653" s="549">
        <f t="shared" si="14959"/>
        <v>62929</v>
      </c>
      <c r="DS653" s="675">
        <f t="shared" si="14959"/>
        <v>-62929</v>
      </c>
      <c r="DT653" s="549">
        <f t="shared" si="14959"/>
        <v>0</v>
      </c>
      <c r="DU653" s="675">
        <f t="shared" si="14959"/>
        <v>0</v>
      </c>
      <c r="DV653" s="549">
        <f t="shared" si="14959"/>
        <v>44000</v>
      </c>
      <c r="DW653" s="675">
        <f t="shared" si="14959"/>
        <v>-44000</v>
      </c>
      <c r="DX653" s="549">
        <f t="shared" si="14959"/>
        <v>130371</v>
      </c>
      <c r="DY653" s="675">
        <f t="shared" si="14959"/>
        <v>-130371</v>
      </c>
      <c r="DZ653" s="549">
        <f t="shared" si="14959"/>
        <v>25843</v>
      </c>
      <c r="EA653" s="675">
        <f t="shared" si="14959"/>
        <v>-25843</v>
      </c>
      <c r="EB653" s="549">
        <f t="shared" si="14959"/>
        <v>0</v>
      </c>
      <c r="EC653" s="675">
        <f t="shared" si="14959"/>
        <v>0</v>
      </c>
      <c r="ED653" s="549">
        <f t="shared" si="14959"/>
        <v>0</v>
      </c>
      <c r="EE653" s="675">
        <f t="shared" si="14959"/>
        <v>0</v>
      </c>
      <c r="EF653" s="549">
        <f t="shared" si="14959"/>
        <v>0</v>
      </c>
      <c r="EG653" s="675">
        <f t="shared" si="14959"/>
        <v>0</v>
      </c>
      <c r="EH653" s="549">
        <f t="shared" si="14959"/>
        <v>0</v>
      </c>
      <c r="EI653" s="675">
        <f t="shared" si="14959"/>
        <v>0</v>
      </c>
      <c r="EJ653" s="549">
        <f t="shared" si="14959"/>
        <v>0</v>
      </c>
      <c r="EK653" s="675">
        <f t="shared" si="14959"/>
        <v>0</v>
      </c>
      <c r="EL653" s="549">
        <f t="shared" si="14959"/>
        <v>0</v>
      </c>
      <c r="EM653" s="675">
        <f t="shared" si="14959"/>
        <v>0</v>
      </c>
      <c r="EN653" s="549">
        <f t="shared" si="14959"/>
        <v>49219</v>
      </c>
      <c r="EO653" s="675">
        <f t="shared" si="14959"/>
        <v>-49219</v>
      </c>
      <c r="EP653" s="549">
        <f t="shared" si="14959"/>
        <v>0</v>
      </c>
      <c r="EQ653" s="675">
        <f t="shared" si="14959"/>
        <v>0</v>
      </c>
      <c r="ER653" s="549">
        <f t="shared" si="14959"/>
        <v>49219</v>
      </c>
      <c r="ES653" s="675">
        <f t="shared" si="14959"/>
        <v>-49219</v>
      </c>
      <c r="ET653" s="549">
        <f t="shared" si="14959"/>
        <v>0</v>
      </c>
      <c r="EU653" s="675">
        <f t="shared" si="14959"/>
        <v>0</v>
      </c>
      <c r="EV653" s="549">
        <f t="shared" si="14959"/>
        <v>0</v>
      </c>
      <c r="EW653" s="675">
        <f t="shared" si="14959"/>
        <v>0</v>
      </c>
      <c r="EX653" s="549">
        <f t="shared" si="14959"/>
        <v>0</v>
      </c>
      <c r="EY653" s="675">
        <f t="shared" si="14959"/>
        <v>0</v>
      </c>
      <c r="EZ653" s="549">
        <f t="shared" si="14959"/>
        <v>0</v>
      </c>
      <c r="FA653" s="675">
        <f t="shared" si="14959"/>
        <v>0</v>
      </c>
      <c r="FB653" s="549">
        <f t="shared" si="14959"/>
        <v>21946</v>
      </c>
      <c r="FC653" s="675">
        <f t="shared" si="14959"/>
        <v>-21946</v>
      </c>
      <c r="FD653" s="549">
        <f t="shared" si="14959"/>
        <v>0</v>
      </c>
      <c r="FE653" s="675">
        <f t="shared" si="14959"/>
        <v>0</v>
      </c>
      <c r="FF653" s="549">
        <f t="shared" si="14959"/>
        <v>0</v>
      </c>
      <c r="FG653" s="675">
        <f t="shared" si="14959"/>
        <v>0</v>
      </c>
      <c r="FH653" s="549">
        <f t="shared" si="14959"/>
        <v>0</v>
      </c>
      <c r="FI653" s="675">
        <f t="shared" si="14959"/>
        <v>0</v>
      </c>
      <c r="FJ653" s="549">
        <f t="shared" si="14959"/>
        <v>0</v>
      </c>
      <c r="FK653" s="675">
        <f t="shared" si="14959"/>
        <v>0</v>
      </c>
      <c r="FL653" s="549">
        <f t="shared" ref="FL653:FM653" si="14960">SUM(FL655)+FL658</f>
        <v>0</v>
      </c>
      <c r="FM653" s="675">
        <f t="shared" si="14960"/>
        <v>0</v>
      </c>
      <c r="FN653" s="549">
        <f t="shared" ref="FN653:FO653" si="14961">SUM(FN655)+FN658</f>
        <v>78166</v>
      </c>
      <c r="FO653" s="675">
        <f t="shared" si="14961"/>
        <v>-78166</v>
      </c>
      <c r="FP653" s="549">
        <f t="shared" ref="FP653:FQ653" si="14962">SUM(FP655)+FP658</f>
        <v>0</v>
      </c>
      <c r="FQ653" s="675">
        <f t="shared" si="14962"/>
        <v>0</v>
      </c>
      <c r="FR653" s="549">
        <f t="shared" ref="FR653:FS653" si="14963">SUM(FR655)+FR658</f>
        <v>0</v>
      </c>
      <c r="FS653" s="675">
        <f t="shared" si="14963"/>
        <v>0</v>
      </c>
      <c r="FT653" s="549">
        <f t="shared" ref="FT653:FU653" si="14964">SUM(FT655)+FT658</f>
        <v>0</v>
      </c>
      <c r="FU653" s="675">
        <f t="shared" si="14964"/>
        <v>0</v>
      </c>
      <c r="FV653" s="549">
        <f t="shared" ref="FV653:GK653" si="14965">SUM(FV655)+FV658</f>
        <v>0</v>
      </c>
      <c r="FW653" s="675">
        <f t="shared" si="14965"/>
        <v>0</v>
      </c>
      <c r="FX653" s="549">
        <f t="shared" si="14965"/>
        <v>0</v>
      </c>
      <c r="FY653" s="675">
        <f t="shared" si="14965"/>
        <v>0</v>
      </c>
      <c r="FZ653" s="549">
        <f t="shared" ref="FZ653:GI653" si="14966">SUM(FZ655)+FZ658</f>
        <v>299000</v>
      </c>
      <c r="GA653" s="675">
        <f t="shared" si="14966"/>
        <v>-299000</v>
      </c>
      <c r="GB653" s="549">
        <f t="shared" si="14966"/>
        <v>0</v>
      </c>
      <c r="GC653" s="675">
        <f t="shared" si="14966"/>
        <v>0</v>
      </c>
      <c r="GD653" s="549">
        <f t="shared" si="14966"/>
        <v>0</v>
      </c>
      <c r="GE653" s="675">
        <f t="shared" si="14966"/>
        <v>0</v>
      </c>
      <c r="GF653" s="549">
        <f t="shared" si="14966"/>
        <v>0</v>
      </c>
      <c r="GG653" s="675">
        <f t="shared" si="14966"/>
        <v>0</v>
      </c>
      <c r="GH653" s="549">
        <f t="shared" si="14966"/>
        <v>0</v>
      </c>
      <c r="GI653" s="675">
        <f t="shared" si="14966"/>
        <v>0</v>
      </c>
      <c r="GJ653" s="549">
        <f t="shared" si="14965"/>
        <v>0</v>
      </c>
      <c r="GK653" s="675">
        <f t="shared" si="14965"/>
        <v>0</v>
      </c>
      <c r="GL653" s="549">
        <f t="shared" ref="GL653:GM653" si="14967">SUM(GL655)+GL658</f>
        <v>0</v>
      </c>
      <c r="GM653" s="675">
        <f t="shared" si="14967"/>
        <v>0</v>
      </c>
      <c r="GN653" s="549">
        <f t="shared" ref="GN653:GO653" si="14968">SUM(GN655)+GN658</f>
        <v>0</v>
      </c>
      <c r="GO653" s="675">
        <f t="shared" si="14968"/>
        <v>0</v>
      </c>
      <c r="GP653" s="549">
        <f>SUM(GP655)</f>
        <v>0</v>
      </c>
      <c r="GQ653" s="675">
        <f>SUM(GQ655)</f>
        <v>0</v>
      </c>
      <c r="GR653" s="263">
        <f>SUM(GR655)</f>
        <v>0</v>
      </c>
      <c r="GS653" s="263">
        <f t="shared" ref="GS653:JD653" si="14969">SUM(GS655)</f>
        <v>0</v>
      </c>
      <c r="GT653" s="263">
        <f t="shared" si="14969"/>
        <v>0</v>
      </c>
      <c r="GU653" s="263">
        <f t="shared" si="14969"/>
        <v>0</v>
      </c>
      <c r="GV653" s="263">
        <f t="shared" si="14969"/>
        <v>0</v>
      </c>
      <c r="GW653" s="263">
        <f t="shared" si="14969"/>
        <v>0</v>
      </c>
      <c r="GX653" s="263">
        <f t="shared" si="14969"/>
        <v>0</v>
      </c>
      <c r="GY653" s="263">
        <f t="shared" si="14969"/>
        <v>0</v>
      </c>
      <c r="GZ653" s="263">
        <f t="shared" si="14969"/>
        <v>0</v>
      </c>
      <c r="HA653" s="263">
        <f t="shared" si="14969"/>
        <v>0</v>
      </c>
      <c r="HB653" s="263">
        <f t="shared" si="14969"/>
        <v>0</v>
      </c>
      <c r="HC653" s="263">
        <f t="shared" si="14969"/>
        <v>0</v>
      </c>
      <c r="HD653" s="263">
        <f t="shared" si="14969"/>
        <v>0</v>
      </c>
      <c r="HE653" s="263">
        <f t="shared" si="14969"/>
        <v>0</v>
      </c>
      <c r="HF653" s="263">
        <f t="shared" si="14969"/>
        <v>0</v>
      </c>
      <c r="HG653" s="263">
        <f t="shared" si="14969"/>
        <v>0</v>
      </c>
      <c r="HH653" s="263">
        <f t="shared" ref="HH653:HI653" si="14970">SUM(HH655)</f>
        <v>0</v>
      </c>
      <c r="HI653" s="812">
        <f t="shared" si="14970"/>
        <v>0</v>
      </c>
      <c r="HJ653" s="263">
        <f t="shared" ref="HJ653:HK653" si="14971">SUM(HJ655)</f>
        <v>0</v>
      </c>
      <c r="HK653" s="812">
        <f t="shared" si="14971"/>
        <v>0</v>
      </c>
      <c r="HL653" s="263">
        <f t="shared" ref="HL653:HM653" si="14972">SUM(HL655)</f>
        <v>0</v>
      </c>
      <c r="HM653" s="812">
        <f t="shared" si="14972"/>
        <v>0</v>
      </c>
      <c r="HN653" s="263">
        <f t="shared" ref="HN653:HO653" si="14973">SUM(HN655)</f>
        <v>0</v>
      </c>
      <c r="HO653" s="812">
        <f t="shared" si="14973"/>
        <v>0</v>
      </c>
      <c r="HP653" s="263">
        <f t="shared" ref="HP653:HQ653" si="14974">SUM(HP655)</f>
        <v>0</v>
      </c>
      <c r="HQ653" s="812">
        <f t="shared" si="14974"/>
        <v>0</v>
      </c>
      <c r="HR653" s="263">
        <f t="shared" ref="HR653:HS653" si="14975">SUM(HR655)</f>
        <v>0</v>
      </c>
      <c r="HS653" s="812">
        <f t="shared" si="14975"/>
        <v>0</v>
      </c>
      <c r="HT653" s="263">
        <f t="shared" ref="HT653:HU653" si="14976">SUM(HT655)</f>
        <v>0</v>
      </c>
      <c r="HU653" s="812">
        <f t="shared" si="14976"/>
        <v>0</v>
      </c>
      <c r="HV653" s="263">
        <f t="shared" ref="HV653:HW653" si="14977">SUM(HV655)</f>
        <v>0</v>
      </c>
      <c r="HW653" s="812">
        <f t="shared" si="14977"/>
        <v>0</v>
      </c>
      <c r="HX653" s="263">
        <f t="shared" ref="HX653:HY653" si="14978">SUM(HX655)</f>
        <v>0</v>
      </c>
      <c r="HY653" s="812">
        <f t="shared" si="14978"/>
        <v>0</v>
      </c>
      <c r="HZ653" s="263">
        <f t="shared" ref="HZ653:IA653" si="14979">SUM(HZ655)</f>
        <v>0</v>
      </c>
      <c r="IA653" s="812">
        <f t="shared" si="14979"/>
        <v>0</v>
      </c>
      <c r="IB653" s="263">
        <f t="shared" ref="IB653:IC653" si="14980">SUM(IB655)</f>
        <v>0</v>
      </c>
      <c r="IC653" s="812">
        <f t="shared" si="14980"/>
        <v>0</v>
      </c>
      <c r="ID653" s="263">
        <f t="shared" si="14969"/>
        <v>0</v>
      </c>
      <c r="IE653" s="812">
        <f t="shared" si="14969"/>
        <v>0</v>
      </c>
      <c r="IF653" s="851">
        <f t="shared" si="14969"/>
        <v>0</v>
      </c>
      <c r="IG653" s="263">
        <f t="shared" si="14969"/>
        <v>0</v>
      </c>
      <c r="IH653" s="842">
        <f t="shared" si="14969"/>
        <v>0</v>
      </c>
      <c r="II653" s="263">
        <f t="shared" si="14969"/>
        <v>0</v>
      </c>
      <c r="IJ653" s="263">
        <f t="shared" si="14969"/>
        <v>0</v>
      </c>
      <c r="IK653" s="263">
        <f t="shared" si="14969"/>
        <v>0</v>
      </c>
      <c r="IL653" s="263">
        <f t="shared" si="14969"/>
        <v>0</v>
      </c>
      <c r="IM653" s="263">
        <f t="shared" si="14969"/>
        <v>0</v>
      </c>
      <c r="IN653" s="263">
        <f t="shared" si="14969"/>
        <v>0</v>
      </c>
      <c r="IO653" s="263">
        <f t="shared" si="14969"/>
        <v>0</v>
      </c>
      <c r="IP653" s="263">
        <f t="shared" si="14969"/>
        <v>0</v>
      </c>
      <c r="IQ653" s="263">
        <f t="shared" si="14969"/>
        <v>0</v>
      </c>
      <c r="IR653" s="263">
        <f t="shared" si="14969"/>
        <v>0</v>
      </c>
      <c r="IS653" s="263">
        <f t="shared" si="14969"/>
        <v>0</v>
      </c>
      <c r="IT653" s="263">
        <f t="shared" si="14969"/>
        <v>0</v>
      </c>
      <c r="IU653" s="263">
        <f t="shared" si="14969"/>
        <v>0</v>
      </c>
      <c r="IV653" s="263">
        <f t="shared" si="14969"/>
        <v>0</v>
      </c>
      <c r="IW653" s="263">
        <f t="shared" si="14969"/>
        <v>0</v>
      </c>
      <c r="IX653" s="263">
        <f t="shared" si="14969"/>
        <v>0</v>
      </c>
      <c r="IY653" s="263">
        <f t="shared" si="14969"/>
        <v>0</v>
      </c>
      <c r="IZ653" s="263">
        <f t="shared" si="14969"/>
        <v>0</v>
      </c>
      <c r="JA653" s="263">
        <f t="shared" si="14969"/>
        <v>0</v>
      </c>
      <c r="JB653" s="263">
        <f t="shared" si="14969"/>
        <v>0</v>
      </c>
      <c r="JC653" s="263">
        <f t="shared" si="14969"/>
        <v>0</v>
      </c>
      <c r="JD653" s="263">
        <f t="shared" si="14969"/>
        <v>0</v>
      </c>
      <c r="JE653" s="263">
        <f t="shared" ref="JE653:JF653" si="14981">SUM(JE655)</f>
        <v>0</v>
      </c>
      <c r="JF653" s="263">
        <f t="shared" si="14981"/>
        <v>0</v>
      </c>
      <c r="JG653" s="263">
        <f t="shared" ref="JG653:JI653" si="14982">SUM(JG655)</f>
        <v>0</v>
      </c>
      <c r="JH653" s="263">
        <f t="shared" si="14982"/>
        <v>0</v>
      </c>
      <c r="JI653" s="263">
        <f t="shared" si="14982"/>
        <v>0</v>
      </c>
      <c r="JJ653" s="263">
        <f t="shared" ref="JJ653:JL653" si="14983">SUM(JJ655)</f>
        <v>0</v>
      </c>
      <c r="JK653" s="263">
        <f t="shared" si="14983"/>
        <v>0</v>
      </c>
      <c r="JL653" s="263">
        <f t="shared" si="14983"/>
        <v>0</v>
      </c>
      <c r="JM653" s="263">
        <f t="shared" ref="JM653:JO653" si="14984">SUM(JM655)</f>
        <v>0</v>
      </c>
      <c r="JN653" s="263">
        <f t="shared" si="14984"/>
        <v>0</v>
      </c>
      <c r="JO653" s="263">
        <f t="shared" si="14984"/>
        <v>0</v>
      </c>
      <c r="JP653" s="263">
        <f t="shared" ref="JP653:JT653" si="14985">SUM(JP655)</f>
        <v>0</v>
      </c>
      <c r="JQ653" s="263">
        <f t="shared" si="14985"/>
        <v>0</v>
      </c>
      <c r="JR653" s="263">
        <f t="shared" si="14985"/>
        <v>0</v>
      </c>
      <c r="JS653" s="263">
        <f t="shared" si="14985"/>
        <v>0</v>
      </c>
      <c r="JT653" s="263">
        <f t="shared" si="14985"/>
        <v>0</v>
      </c>
      <c r="JU653" s="665"/>
      <c r="JV653" s="524"/>
      <c r="JW653" s="525"/>
      <c r="JX653" s="549">
        <f t="shared" ref="JX653" si="14986">SUM(JX655)+JX658</f>
        <v>0</v>
      </c>
      <c r="JY653" s="549">
        <f>SUM(JY655)</f>
        <v>0</v>
      </c>
      <c r="JZ653" s="581">
        <f t="shared" si="14740"/>
        <v>0</v>
      </c>
      <c r="KA653" s="581">
        <f t="shared" si="14741"/>
        <v>0</v>
      </c>
      <c r="KB653" s="549">
        <f t="shared" si="14914"/>
        <v>0</v>
      </c>
      <c r="KC653" s="709">
        <f t="shared" si="14739"/>
        <v>0</v>
      </c>
      <c r="KD653" s="36"/>
      <c r="KE653" s="36"/>
      <c r="KF653" s="36"/>
      <c r="KG653" s="36"/>
      <c r="KH653" s="36"/>
      <c r="KI653" s="36"/>
      <c r="KJ653" s="36"/>
      <c r="KK653" s="36"/>
    </row>
    <row r="654" spans="1:297" s="33" customFormat="1" ht="12.75" hidden="1" customHeight="1">
      <c r="A654" s="86"/>
      <c r="B654" s="77"/>
      <c r="C654" s="74"/>
      <c r="D654" s="549"/>
      <c r="E654" s="675"/>
      <c r="F654" s="549"/>
      <c r="G654" s="675"/>
      <c r="H654" s="549"/>
      <c r="I654" s="675"/>
      <c r="J654" s="549"/>
      <c r="K654" s="675"/>
      <c r="L654" s="549"/>
      <c r="M654" s="675"/>
      <c r="N654" s="549"/>
      <c r="O654" s="675"/>
      <c r="P654" s="549"/>
      <c r="Q654" s="675"/>
      <c r="R654" s="549"/>
      <c r="S654" s="675"/>
      <c r="T654" s="549"/>
      <c r="U654" s="675"/>
      <c r="V654" s="549"/>
      <c r="W654" s="675"/>
      <c r="X654" s="549"/>
      <c r="Y654" s="675"/>
      <c r="Z654" s="549"/>
      <c r="AA654" s="675"/>
      <c r="AB654" s="549"/>
      <c r="AC654" s="675"/>
      <c r="AD654" s="549"/>
      <c r="AE654" s="675"/>
      <c r="AF654" s="549"/>
      <c r="AG654" s="675"/>
      <c r="AH654" s="549"/>
      <c r="AI654" s="675"/>
      <c r="AJ654" s="549"/>
      <c r="AK654" s="675"/>
      <c r="AL654" s="549"/>
      <c r="AM654" s="675"/>
      <c r="AN654" s="549"/>
      <c r="AO654" s="675"/>
      <c r="AP654" s="549"/>
      <c r="AQ654" s="675"/>
      <c r="AR654" s="549"/>
      <c r="AS654" s="675"/>
      <c r="AT654" s="549"/>
      <c r="AU654" s="675"/>
      <c r="AV654" s="549"/>
      <c r="AW654" s="675"/>
      <c r="AX654" s="549"/>
      <c r="AY654" s="675"/>
      <c r="AZ654" s="549"/>
      <c r="BA654" s="675"/>
      <c r="BB654" s="549"/>
      <c r="BC654" s="675"/>
      <c r="BD654" s="549"/>
      <c r="BE654" s="675"/>
      <c r="BF654" s="549"/>
      <c r="BG654" s="675"/>
      <c r="BH654" s="549"/>
      <c r="BI654" s="675"/>
      <c r="BJ654" s="549"/>
      <c r="BK654" s="675"/>
      <c r="BL654" s="549"/>
      <c r="BM654" s="675"/>
      <c r="BN654" s="549"/>
      <c r="BO654" s="675"/>
      <c r="BP654" s="549"/>
      <c r="BQ654" s="675"/>
      <c r="BR654" s="549"/>
      <c r="BS654" s="675"/>
      <c r="BT654" s="549"/>
      <c r="BU654" s="675"/>
      <c r="BV654" s="549"/>
      <c r="BW654" s="675"/>
      <c r="BX654" s="549"/>
      <c r="BY654" s="675"/>
      <c r="BZ654" s="549"/>
      <c r="CA654" s="675"/>
      <c r="CB654" s="549"/>
      <c r="CC654" s="675"/>
      <c r="CD654" s="549"/>
      <c r="CE654" s="675"/>
      <c r="CF654" s="549"/>
      <c r="CG654" s="675"/>
      <c r="CH654" s="549"/>
      <c r="CI654" s="675"/>
      <c r="CJ654" s="549"/>
      <c r="CK654" s="675"/>
      <c r="CL654" s="549"/>
      <c r="CM654" s="675"/>
      <c r="CN654" s="549"/>
      <c r="CO654" s="675"/>
      <c r="CP654" s="549"/>
      <c r="CQ654" s="675"/>
      <c r="CR654" s="549"/>
      <c r="CS654" s="675"/>
      <c r="CT654" s="549"/>
      <c r="CU654" s="675"/>
      <c r="CV654" s="549"/>
      <c r="CW654" s="675"/>
      <c r="CX654" s="549"/>
      <c r="CY654" s="675"/>
      <c r="CZ654" s="549"/>
      <c r="DA654" s="675"/>
      <c r="DB654" s="549"/>
      <c r="DC654" s="675"/>
      <c r="DD654" s="549"/>
      <c r="DE654" s="675"/>
      <c r="DF654" s="549"/>
      <c r="DG654" s="675"/>
      <c r="DH654" s="549"/>
      <c r="DI654" s="675"/>
      <c r="DJ654" s="549"/>
      <c r="DK654" s="675"/>
      <c r="DL654" s="549"/>
      <c r="DM654" s="675"/>
      <c r="DN654" s="549"/>
      <c r="DO654" s="675"/>
      <c r="DP654" s="549"/>
      <c r="DQ654" s="675"/>
      <c r="DR654" s="549"/>
      <c r="DS654" s="675"/>
      <c r="DT654" s="549"/>
      <c r="DU654" s="675"/>
      <c r="DV654" s="549"/>
      <c r="DW654" s="675"/>
      <c r="DX654" s="549"/>
      <c r="DY654" s="675"/>
      <c r="DZ654" s="549"/>
      <c r="EA654" s="675"/>
      <c r="EB654" s="549"/>
      <c r="EC654" s="675"/>
      <c r="ED654" s="549"/>
      <c r="EE654" s="675"/>
      <c r="EF654" s="549"/>
      <c r="EG654" s="675"/>
      <c r="EH654" s="549"/>
      <c r="EI654" s="675"/>
      <c r="EJ654" s="549"/>
      <c r="EK654" s="675"/>
      <c r="EL654" s="549"/>
      <c r="EM654" s="675"/>
      <c r="EN654" s="549"/>
      <c r="EO654" s="675"/>
      <c r="EP654" s="549"/>
      <c r="EQ654" s="675"/>
      <c r="ER654" s="549"/>
      <c r="ES654" s="675"/>
      <c r="ET654" s="549"/>
      <c r="EU654" s="675"/>
      <c r="EV654" s="549"/>
      <c r="EW654" s="675"/>
      <c r="EX654" s="549"/>
      <c r="EY654" s="675"/>
      <c r="EZ654" s="549"/>
      <c r="FA654" s="675"/>
      <c r="FB654" s="549"/>
      <c r="FC654" s="675"/>
      <c r="FD654" s="549"/>
      <c r="FE654" s="675"/>
      <c r="FF654" s="549"/>
      <c r="FG654" s="675"/>
      <c r="FH654" s="549"/>
      <c r="FI654" s="675"/>
      <c r="FJ654" s="549"/>
      <c r="FK654" s="675"/>
      <c r="FL654" s="549"/>
      <c r="FM654" s="675"/>
      <c r="FN654" s="549"/>
      <c r="FO654" s="675"/>
      <c r="FP654" s="549"/>
      <c r="FQ654" s="675"/>
      <c r="FR654" s="549"/>
      <c r="FS654" s="675"/>
      <c r="FT654" s="549"/>
      <c r="FU654" s="675"/>
      <c r="FV654" s="549"/>
      <c r="FW654" s="675"/>
      <c r="FX654" s="549"/>
      <c r="FY654" s="675"/>
      <c r="FZ654" s="549"/>
      <c r="GA654" s="675"/>
      <c r="GB654" s="549"/>
      <c r="GC654" s="675"/>
      <c r="GD654" s="549"/>
      <c r="GE654" s="675"/>
      <c r="GF654" s="549"/>
      <c r="GG654" s="675"/>
      <c r="GH654" s="549"/>
      <c r="GI654" s="675"/>
      <c r="GJ654" s="549"/>
      <c r="GK654" s="675"/>
      <c r="GL654" s="549"/>
      <c r="GM654" s="675"/>
      <c r="GN654" s="549"/>
      <c r="GO654" s="675"/>
      <c r="GP654" s="549"/>
      <c r="GQ654" s="675"/>
      <c r="GR654" s="74"/>
      <c r="GS654" s="74"/>
      <c r="GT654" s="74"/>
      <c r="GU654" s="275"/>
      <c r="GV654" s="275"/>
      <c r="GW654" s="588"/>
      <c r="GX654" s="588"/>
      <c r="GY654" s="275"/>
      <c r="GZ654" s="275"/>
      <c r="HA654" s="275"/>
      <c r="HB654" s="275"/>
      <c r="HC654" s="275"/>
      <c r="HD654" s="275"/>
      <c r="HE654" s="275"/>
      <c r="HF654" s="275"/>
      <c r="HG654" s="74"/>
      <c r="HH654" s="89"/>
      <c r="HI654" s="817"/>
      <c r="HJ654" s="89"/>
      <c r="HK654" s="817"/>
      <c r="HL654" s="89"/>
      <c r="HM654" s="817"/>
      <c r="HN654" s="89"/>
      <c r="HO654" s="817"/>
      <c r="HP654" s="89"/>
      <c r="HQ654" s="817"/>
      <c r="HR654" s="89"/>
      <c r="HS654" s="817"/>
      <c r="HT654" s="89"/>
      <c r="HU654" s="817"/>
      <c r="HV654" s="89"/>
      <c r="HW654" s="817"/>
      <c r="HX654" s="89"/>
      <c r="HY654" s="817"/>
      <c r="HZ654" s="89"/>
      <c r="IA654" s="817"/>
      <c r="IB654" s="89"/>
      <c r="IC654" s="817"/>
      <c r="ID654" s="89"/>
      <c r="IE654" s="817"/>
      <c r="IF654" s="841"/>
      <c r="IG654" s="263"/>
      <c r="IH654" s="842"/>
      <c r="II654" s="89"/>
      <c r="IJ654" s="89"/>
      <c r="IK654" s="89"/>
      <c r="IL654" s="89"/>
      <c r="IM654" s="89"/>
      <c r="IN654" s="89"/>
      <c r="IO654" s="89"/>
      <c r="IP654" s="89"/>
      <c r="IQ654" s="89"/>
      <c r="IR654" s="89"/>
      <c r="IS654" s="89"/>
      <c r="IT654" s="89"/>
      <c r="IU654" s="89"/>
      <c r="IV654" s="89"/>
      <c r="IW654" s="89"/>
      <c r="IX654" s="89"/>
      <c r="IY654" s="89"/>
      <c r="IZ654" s="89"/>
      <c r="JA654" s="89"/>
      <c r="JB654" s="89"/>
      <c r="JC654" s="89"/>
      <c r="JD654" s="89"/>
      <c r="JE654" s="89"/>
      <c r="JF654" s="89"/>
      <c r="JG654" s="89"/>
      <c r="JH654" s="89"/>
      <c r="JI654" s="89"/>
      <c r="JJ654" s="89"/>
      <c r="JK654" s="89"/>
      <c r="JL654" s="89"/>
      <c r="JM654" s="89"/>
      <c r="JN654" s="89"/>
      <c r="JO654" s="89"/>
      <c r="JP654" s="89"/>
      <c r="JQ654" s="89"/>
      <c r="JR654" s="89"/>
      <c r="JS654" s="74"/>
      <c r="JT654" s="382"/>
      <c r="JU654" s="665"/>
      <c r="JV654" s="524"/>
      <c r="JW654" s="525"/>
      <c r="JX654" s="549"/>
      <c r="JY654" s="549"/>
      <c r="JZ654" s="581">
        <f t="shared" si="14740"/>
        <v>0</v>
      </c>
      <c r="KA654" s="581">
        <f t="shared" si="14741"/>
        <v>0</v>
      </c>
      <c r="KB654" s="549">
        <f t="shared" si="14914"/>
        <v>0</v>
      </c>
      <c r="KC654" s="709">
        <f t="shared" si="14739"/>
        <v>0</v>
      </c>
      <c r="KD654" s="36"/>
      <c r="KE654" s="36"/>
      <c r="KF654" s="36"/>
      <c r="KG654" s="36"/>
      <c r="KH654" s="36"/>
      <c r="KI654" s="36"/>
      <c r="KJ654" s="36"/>
      <c r="KK654" s="36"/>
    </row>
    <row r="655" spans="1:297" s="8" customFormat="1" ht="12.75" hidden="1" customHeight="1">
      <c r="A655" s="80" t="s">
        <v>1139</v>
      </c>
      <c r="B655" s="79" t="s">
        <v>52</v>
      </c>
      <c r="C655" s="78">
        <f>SUM(C656:C656)</f>
        <v>0</v>
      </c>
      <c r="D655" s="564">
        <f t="shared" ref="D655:CC655" si="14987">SUM(D656:D656)</f>
        <v>0</v>
      </c>
      <c r="E655" s="677">
        <f t="shared" si="14987"/>
        <v>0</v>
      </c>
      <c r="F655" s="564">
        <f t="shared" si="14987"/>
        <v>0</v>
      </c>
      <c r="G655" s="677">
        <f t="shared" si="14987"/>
        <v>0</v>
      </c>
      <c r="H655" s="564">
        <f t="shared" si="14987"/>
        <v>0</v>
      </c>
      <c r="I655" s="677">
        <f t="shared" si="14987"/>
        <v>0</v>
      </c>
      <c r="J655" s="564">
        <f t="shared" si="14987"/>
        <v>0</v>
      </c>
      <c r="K655" s="677">
        <f t="shared" si="14987"/>
        <v>0</v>
      </c>
      <c r="L655" s="564">
        <f t="shared" si="14987"/>
        <v>0</v>
      </c>
      <c r="M655" s="677">
        <f t="shared" si="14987"/>
        <v>0</v>
      </c>
      <c r="N655" s="564">
        <f t="shared" si="14987"/>
        <v>0</v>
      </c>
      <c r="O655" s="677">
        <f t="shared" si="14987"/>
        <v>0</v>
      </c>
      <c r="P655" s="564">
        <f t="shared" si="14987"/>
        <v>0</v>
      </c>
      <c r="Q655" s="677">
        <f t="shared" si="14987"/>
        <v>0</v>
      </c>
      <c r="R655" s="564">
        <f t="shared" si="14987"/>
        <v>0</v>
      </c>
      <c r="S655" s="677">
        <f t="shared" si="14987"/>
        <v>0</v>
      </c>
      <c r="T655" s="564">
        <f t="shared" si="14987"/>
        <v>0</v>
      </c>
      <c r="U655" s="677">
        <f t="shared" si="14987"/>
        <v>0</v>
      </c>
      <c r="V655" s="564">
        <f t="shared" si="14987"/>
        <v>0</v>
      </c>
      <c r="W655" s="677">
        <f t="shared" si="14987"/>
        <v>0</v>
      </c>
      <c r="X655" s="564">
        <f t="shared" si="14987"/>
        <v>0</v>
      </c>
      <c r="Y655" s="677">
        <f t="shared" si="14987"/>
        <v>0</v>
      </c>
      <c r="Z655" s="564">
        <f t="shared" si="14987"/>
        <v>0</v>
      </c>
      <c r="AA655" s="677">
        <f t="shared" si="14987"/>
        <v>0</v>
      </c>
      <c r="AB655" s="564">
        <f t="shared" si="14987"/>
        <v>0</v>
      </c>
      <c r="AC655" s="677">
        <f t="shared" si="14987"/>
        <v>0</v>
      </c>
      <c r="AD655" s="564">
        <f t="shared" si="14987"/>
        <v>0</v>
      </c>
      <c r="AE655" s="677">
        <f t="shared" si="14987"/>
        <v>0</v>
      </c>
      <c r="AF655" s="564">
        <f t="shared" si="14987"/>
        <v>0</v>
      </c>
      <c r="AG655" s="677">
        <f t="shared" si="14987"/>
        <v>0</v>
      </c>
      <c r="AH655" s="564">
        <f t="shared" si="14987"/>
        <v>0</v>
      </c>
      <c r="AI655" s="677">
        <f t="shared" si="14987"/>
        <v>0</v>
      </c>
      <c r="AJ655" s="564">
        <f t="shared" si="14987"/>
        <v>0</v>
      </c>
      <c r="AK655" s="677">
        <f t="shared" si="14987"/>
        <v>0</v>
      </c>
      <c r="AL655" s="564">
        <f t="shared" si="14987"/>
        <v>0</v>
      </c>
      <c r="AM655" s="677">
        <f t="shared" si="14987"/>
        <v>0</v>
      </c>
      <c r="AN655" s="564">
        <f t="shared" si="14987"/>
        <v>0</v>
      </c>
      <c r="AO655" s="677">
        <f t="shared" si="14987"/>
        <v>0</v>
      </c>
      <c r="AP655" s="564">
        <f t="shared" si="14987"/>
        <v>0</v>
      </c>
      <c r="AQ655" s="677">
        <f t="shared" si="14987"/>
        <v>0</v>
      </c>
      <c r="AR655" s="564">
        <f t="shared" si="14987"/>
        <v>0</v>
      </c>
      <c r="AS655" s="677">
        <f t="shared" si="14987"/>
        <v>0</v>
      </c>
      <c r="AT655" s="564">
        <f t="shared" si="14987"/>
        <v>0</v>
      </c>
      <c r="AU655" s="677">
        <f t="shared" si="14987"/>
        <v>0</v>
      </c>
      <c r="AV655" s="564">
        <f t="shared" si="14987"/>
        <v>0</v>
      </c>
      <c r="AW655" s="677">
        <f t="shared" si="14987"/>
        <v>0</v>
      </c>
      <c r="AX655" s="564">
        <f t="shared" si="14987"/>
        <v>0</v>
      </c>
      <c r="AY655" s="677">
        <f t="shared" si="14987"/>
        <v>0</v>
      </c>
      <c r="AZ655" s="564">
        <f t="shared" si="14987"/>
        <v>0</v>
      </c>
      <c r="BA655" s="677">
        <f t="shared" si="14987"/>
        <v>0</v>
      </c>
      <c r="BB655" s="564">
        <f t="shared" si="14987"/>
        <v>0</v>
      </c>
      <c r="BC655" s="677">
        <f t="shared" si="14987"/>
        <v>0</v>
      </c>
      <c r="BD655" s="564">
        <f t="shared" si="14987"/>
        <v>0</v>
      </c>
      <c r="BE655" s="677">
        <f t="shared" si="14987"/>
        <v>0</v>
      </c>
      <c r="BF655" s="564">
        <f t="shared" si="14987"/>
        <v>0</v>
      </c>
      <c r="BG655" s="677">
        <f t="shared" si="14987"/>
        <v>0</v>
      </c>
      <c r="BH655" s="564">
        <f t="shared" si="14987"/>
        <v>0</v>
      </c>
      <c r="BI655" s="677">
        <f t="shared" si="14987"/>
        <v>0</v>
      </c>
      <c r="BJ655" s="564">
        <f t="shared" si="14987"/>
        <v>0</v>
      </c>
      <c r="BK655" s="677">
        <f t="shared" si="14987"/>
        <v>0</v>
      </c>
      <c r="BL655" s="564">
        <f t="shared" si="14987"/>
        <v>0</v>
      </c>
      <c r="BM655" s="677">
        <f t="shared" si="14987"/>
        <v>0</v>
      </c>
      <c r="BN655" s="564">
        <f t="shared" si="14987"/>
        <v>0</v>
      </c>
      <c r="BO655" s="677">
        <f t="shared" si="14987"/>
        <v>0</v>
      </c>
      <c r="BP655" s="564">
        <f t="shared" si="14987"/>
        <v>0</v>
      </c>
      <c r="BQ655" s="677">
        <f t="shared" si="14987"/>
        <v>0</v>
      </c>
      <c r="BR655" s="564">
        <f t="shared" si="14987"/>
        <v>0</v>
      </c>
      <c r="BS655" s="677">
        <f t="shared" si="14987"/>
        <v>0</v>
      </c>
      <c r="BT655" s="564">
        <f t="shared" si="14987"/>
        <v>0</v>
      </c>
      <c r="BU655" s="677">
        <f t="shared" si="14987"/>
        <v>0</v>
      </c>
      <c r="BV655" s="564">
        <f t="shared" si="14987"/>
        <v>0</v>
      </c>
      <c r="BW655" s="677">
        <f t="shared" si="14987"/>
        <v>0</v>
      </c>
      <c r="BX655" s="564">
        <f t="shared" si="14987"/>
        <v>0</v>
      </c>
      <c r="BY655" s="677">
        <f t="shared" si="14987"/>
        <v>0</v>
      </c>
      <c r="BZ655" s="564">
        <f t="shared" si="14987"/>
        <v>0</v>
      </c>
      <c r="CA655" s="677">
        <f t="shared" si="14987"/>
        <v>0</v>
      </c>
      <c r="CB655" s="564">
        <f t="shared" si="14987"/>
        <v>0</v>
      </c>
      <c r="CC655" s="677">
        <f t="shared" si="14987"/>
        <v>0</v>
      </c>
      <c r="CD655" s="564">
        <f t="shared" ref="CD655:CE655" si="14988">SUM(CD656:CD656)</f>
        <v>0</v>
      </c>
      <c r="CE655" s="677">
        <f t="shared" si="14988"/>
        <v>0</v>
      </c>
      <c r="CF655" s="564">
        <f t="shared" ref="CF655:CG655" si="14989">SUM(CF656:CF656)</f>
        <v>0</v>
      </c>
      <c r="CG655" s="677">
        <f t="shared" si="14989"/>
        <v>0</v>
      </c>
      <c r="CH655" s="564">
        <f t="shared" ref="CH655:CI655" si="14990">SUM(CH656:CH656)</f>
        <v>0</v>
      </c>
      <c r="CI655" s="677">
        <f t="shared" si="14990"/>
        <v>0</v>
      </c>
      <c r="CJ655" s="564">
        <f t="shared" ref="CJ655:CK655" si="14991">SUM(CJ656:CJ656)</f>
        <v>0</v>
      </c>
      <c r="CK655" s="677">
        <f t="shared" si="14991"/>
        <v>0</v>
      </c>
      <c r="CL655" s="564">
        <f t="shared" ref="CL655:CM655" si="14992">SUM(CL656:CL656)</f>
        <v>0</v>
      </c>
      <c r="CM655" s="677">
        <f t="shared" si="14992"/>
        <v>0</v>
      </c>
      <c r="CN655" s="564">
        <f t="shared" ref="CN655:CO655" si="14993">SUM(CN656:CN656)</f>
        <v>0</v>
      </c>
      <c r="CO655" s="677">
        <f t="shared" si="14993"/>
        <v>0</v>
      </c>
      <c r="CP655" s="564">
        <f t="shared" ref="CP655:CQ655" si="14994">SUM(CP656:CP656)</f>
        <v>0</v>
      </c>
      <c r="CQ655" s="677">
        <f t="shared" si="14994"/>
        <v>0</v>
      </c>
      <c r="CR655" s="564">
        <f t="shared" ref="CR655:CS655" si="14995">SUM(CR656:CR656)</f>
        <v>0</v>
      </c>
      <c r="CS655" s="677">
        <f t="shared" si="14995"/>
        <v>0</v>
      </c>
      <c r="CT655" s="564">
        <f t="shared" ref="CT655:CU655" si="14996">SUM(CT656:CT656)</f>
        <v>0</v>
      </c>
      <c r="CU655" s="677">
        <f t="shared" si="14996"/>
        <v>0</v>
      </c>
      <c r="CV655" s="564">
        <f t="shared" ref="CV655:CW655" si="14997">SUM(CV656:CV656)</f>
        <v>0</v>
      </c>
      <c r="CW655" s="677">
        <f t="shared" si="14997"/>
        <v>0</v>
      </c>
      <c r="CX655" s="564">
        <f t="shared" ref="CX655:CY655" si="14998">SUM(CX656:CX656)</f>
        <v>0</v>
      </c>
      <c r="CY655" s="677">
        <f t="shared" si="14998"/>
        <v>0</v>
      </c>
      <c r="CZ655" s="564">
        <f t="shared" ref="CZ655:DA655" si="14999">SUM(CZ656:CZ656)</f>
        <v>0</v>
      </c>
      <c r="DA655" s="677">
        <f t="shared" si="14999"/>
        <v>0</v>
      </c>
      <c r="DB655" s="564">
        <f t="shared" ref="DB655:DC655" si="15000">SUM(DB656:DB656)</f>
        <v>0</v>
      </c>
      <c r="DC655" s="677">
        <f t="shared" si="15000"/>
        <v>0</v>
      </c>
      <c r="DD655" s="564">
        <f t="shared" ref="DD655:DE655" si="15001">SUM(DD656:DD656)</f>
        <v>0</v>
      </c>
      <c r="DE655" s="677">
        <f t="shared" si="15001"/>
        <v>0</v>
      </c>
      <c r="DF655" s="564">
        <f t="shared" ref="DF655:DG655" si="15002">SUM(DF656:DF656)</f>
        <v>0</v>
      </c>
      <c r="DG655" s="677">
        <f t="shared" si="15002"/>
        <v>0</v>
      </c>
      <c r="DH655" s="564">
        <f t="shared" ref="DH655:DI655" si="15003">SUM(DH656:DH656)</f>
        <v>0</v>
      </c>
      <c r="DI655" s="677">
        <f t="shared" si="15003"/>
        <v>0</v>
      </c>
      <c r="DJ655" s="564">
        <f t="shared" ref="DJ655:DK655" si="15004">SUM(DJ656:DJ656)</f>
        <v>0</v>
      </c>
      <c r="DK655" s="677">
        <f t="shared" si="15004"/>
        <v>0</v>
      </c>
      <c r="DL655" s="564">
        <f t="shared" ref="DL655:DM655" si="15005">SUM(DL656:DL656)</f>
        <v>0</v>
      </c>
      <c r="DM655" s="677">
        <f t="shared" si="15005"/>
        <v>0</v>
      </c>
      <c r="DN655" s="564">
        <f t="shared" ref="DN655:DO655" si="15006">SUM(DN656:DN656)</f>
        <v>0</v>
      </c>
      <c r="DO655" s="677">
        <f t="shared" si="15006"/>
        <v>0</v>
      </c>
      <c r="DP655" s="564">
        <f t="shared" ref="DP655:DQ655" si="15007">SUM(DP656:DP656)</f>
        <v>0</v>
      </c>
      <c r="DQ655" s="677">
        <f t="shared" si="15007"/>
        <v>0</v>
      </c>
      <c r="DR655" s="564">
        <f t="shared" ref="DR655:DS655" si="15008">SUM(DR656:DR656)</f>
        <v>0</v>
      </c>
      <c r="DS655" s="677">
        <f t="shared" si="15008"/>
        <v>0</v>
      </c>
      <c r="DT655" s="564">
        <f t="shared" ref="DT655:DU655" si="15009">SUM(DT656:DT656)</f>
        <v>0</v>
      </c>
      <c r="DU655" s="677">
        <f t="shared" si="15009"/>
        <v>0</v>
      </c>
      <c r="DV655" s="564">
        <f t="shared" ref="DV655:DW655" si="15010">SUM(DV656:DV656)</f>
        <v>0</v>
      </c>
      <c r="DW655" s="677">
        <f t="shared" si="15010"/>
        <v>0</v>
      </c>
      <c r="DX655" s="564">
        <f t="shared" ref="DX655:DY655" si="15011">SUM(DX656:DX656)</f>
        <v>0</v>
      </c>
      <c r="DY655" s="677">
        <f t="shared" si="15011"/>
        <v>0</v>
      </c>
      <c r="DZ655" s="564">
        <f t="shared" ref="DZ655:EA655" si="15012">SUM(DZ656:DZ656)</f>
        <v>0</v>
      </c>
      <c r="EA655" s="677">
        <f t="shared" si="15012"/>
        <v>0</v>
      </c>
      <c r="EB655" s="564">
        <f t="shared" ref="EB655:EC655" si="15013">SUM(EB656:EB656)</f>
        <v>0</v>
      </c>
      <c r="EC655" s="677">
        <f t="shared" si="15013"/>
        <v>0</v>
      </c>
      <c r="ED655" s="564">
        <f t="shared" ref="ED655:EE655" si="15014">SUM(ED656:ED656)</f>
        <v>0</v>
      </c>
      <c r="EE655" s="677">
        <f t="shared" si="15014"/>
        <v>0</v>
      </c>
      <c r="EF655" s="564">
        <f t="shared" ref="EF655:EG655" si="15015">SUM(EF656:EF656)</f>
        <v>0</v>
      </c>
      <c r="EG655" s="677">
        <f t="shared" si="15015"/>
        <v>0</v>
      </c>
      <c r="EH655" s="564">
        <f t="shared" ref="EH655:EI655" si="15016">SUM(EH656:EH656)</f>
        <v>0</v>
      </c>
      <c r="EI655" s="677">
        <f t="shared" si="15016"/>
        <v>0</v>
      </c>
      <c r="EJ655" s="564">
        <f t="shared" ref="EJ655:EK655" si="15017">SUM(EJ656:EJ656)</f>
        <v>0</v>
      </c>
      <c r="EK655" s="677">
        <f t="shared" si="15017"/>
        <v>0</v>
      </c>
      <c r="EL655" s="564">
        <f t="shared" ref="EL655:EM655" si="15018">SUM(EL656:EL656)</f>
        <v>0</v>
      </c>
      <c r="EM655" s="677">
        <f t="shared" si="15018"/>
        <v>0</v>
      </c>
      <c r="EN655" s="564">
        <f t="shared" ref="EN655:EO655" si="15019">SUM(EN656:EN656)</f>
        <v>0</v>
      </c>
      <c r="EO655" s="677">
        <f t="shared" si="15019"/>
        <v>0</v>
      </c>
      <c r="EP655" s="564">
        <f t="shared" ref="EP655:HG655" si="15020">SUM(EP656:EP656)</f>
        <v>0</v>
      </c>
      <c r="EQ655" s="677">
        <f t="shared" ref="EQ655" si="15021">SUM(EQ656:EQ656)</f>
        <v>0</v>
      </c>
      <c r="ER655" s="564">
        <f t="shared" si="15020"/>
        <v>0</v>
      </c>
      <c r="ES655" s="677">
        <f t="shared" si="15020"/>
        <v>0</v>
      </c>
      <c r="ET655" s="564">
        <f t="shared" si="15020"/>
        <v>0</v>
      </c>
      <c r="EU655" s="677">
        <f t="shared" si="15020"/>
        <v>0</v>
      </c>
      <c r="EV655" s="564">
        <f t="shared" si="15020"/>
        <v>0</v>
      </c>
      <c r="EW655" s="677">
        <f t="shared" si="15020"/>
        <v>0</v>
      </c>
      <c r="EX655" s="564">
        <f t="shared" si="15020"/>
        <v>0</v>
      </c>
      <c r="EY655" s="677">
        <f t="shared" si="15020"/>
        <v>0</v>
      </c>
      <c r="EZ655" s="564">
        <f t="shared" si="15020"/>
        <v>0</v>
      </c>
      <c r="FA655" s="677">
        <f t="shared" si="15020"/>
        <v>0</v>
      </c>
      <c r="FB655" s="564">
        <f t="shared" si="15020"/>
        <v>0</v>
      </c>
      <c r="FC655" s="677">
        <f t="shared" si="15020"/>
        <v>0</v>
      </c>
      <c r="FD655" s="564">
        <f t="shared" si="15020"/>
        <v>0</v>
      </c>
      <c r="FE655" s="677">
        <f t="shared" si="15020"/>
        <v>0</v>
      </c>
      <c r="FF655" s="564">
        <f t="shared" si="15020"/>
        <v>0</v>
      </c>
      <c r="FG655" s="677">
        <f t="shared" si="15020"/>
        <v>0</v>
      </c>
      <c r="FH655" s="564">
        <f t="shared" si="15020"/>
        <v>0</v>
      </c>
      <c r="FI655" s="677">
        <f t="shared" si="15020"/>
        <v>0</v>
      </c>
      <c r="FJ655" s="564">
        <f t="shared" si="15020"/>
        <v>0</v>
      </c>
      <c r="FK655" s="677">
        <f t="shared" si="15020"/>
        <v>0</v>
      </c>
      <c r="FL655" s="564">
        <f t="shared" si="15020"/>
        <v>0</v>
      </c>
      <c r="FM655" s="677">
        <f t="shared" si="15020"/>
        <v>0</v>
      </c>
      <c r="FN655" s="564">
        <f t="shared" si="15020"/>
        <v>0</v>
      </c>
      <c r="FO655" s="677">
        <f t="shared" si="15020"/>
        <v>0</v>
      </c>
      <c r="FP655" s="564">
        <f t="shared" si="15020"/>
        <v>0</v>
      </c>
      <c r="FQ655" s="677">
        <f t="shared" si="15020"/>
        <v>0</v>
      </c>
      <c r="FR655" s="564">
        <f t="shared" si="15020"/>
        <v>0</v>
      </c>
      <c r="FS655" s="677">
        <f t="shared" si="15020"/>
        <v>0</v>
      </c>
      <c r="FT655" s="564">
        <f t="shared" si="15020"/>
        <v>0</v>
      </c>
      <c r="FU655" s="677">
        <f t="shared" si="15020"/>
        <v>0</v>
      </c>
      <c r="FV655" s="564">
        <f t="shared" si="15020"/>
        <v>0</v>
      </c>
      <c r="FW655" s="677">
        <f t="shared" si="15020"/>
        <v>0</v>
      </c>
      <c r="FX655" s="564">
        <f t="shared" si="15020"/>
        <v>0</v>
      </c>
      <c r="FY655" s="677">
        <f t="shared" si="15020"/>
        <v>0</v>
      </c>
      <c r="FZ655" s="564">
        <f t="shared" si="15020"/>
        <v>0</v>
      </c>
      <c r="GA655" s="677">
        <f t="shared" si="15020"/>
        <v>0</v>
      </c>
      <c r="GB655" s="564">
        <f t="shared" si="15020"/>
        <v>0</v>
      </c>
      <c r="GC655" s="677">
        <f t="shared" si="15020"/>
        <v>0</v>
      </c>
      <c r="GD655" s="564">
        <f t="shared" si="15020"/>
        <v>0</v>
      </c>
      <c r="GE655" s="677">
        <f t="shared" si="15020"/>
        <v>0</v>
      </c>
      <c r="GF655" s="564">
        <f t="shared" si="15020"/>
        <v>0</v>
      </c>
      <c r="GG655" s="677">
        <f t="shared" si="15020"/>
        <v>0</v>
      </c>
      <c r="GH655" s="564">
        <f t="shared" si="15020"/>
        <v>0</v>
      </c>
      <c r="GI655" s="677">
        <f t="shared" si="15020"/>
        <v>0</v>
      </c>
      <c r="GJ655" s="564">
        <f t="shared" si="15020"/>
        <v>0</v>
      </c>
      <c r="GK655" s="677">
        <f t="shared" si="15020"/>
        <v>0</v>
      </c>
      <c r="GL655" s="564">
        <f t="shared" si="15020"/>
        <v>0</v>
      </c>
      <c r="GM655" s="677">
        <f t="shared" si="15020"/>
        <v>0</v>
      </c>
      <c r="GN655" s="564">
        <f t="shared" si="15020"/>
        <v>0</v>
      </c>
      <c r="GO655" s="677">
        <f t="shared" si="15020"/>
        <v>0</v>
      </c>
      <c r="GP655" s="564">
        <f t="shared" si="15020"/>
        <v>0</v>
      </c>
      <c r="GQ655" s="677">
        <f t="shared" si="15020"/>
        <v>0</v>
      </c>
      <c r="GR655" s="78">
        <f t="shared" si="15020"/>
        <v>0</v>
      </c>
      <c r="GS655" s="78">
        <f t="shared" si="15020"/>
        <v>0</v>
      </c>
      <c r="GT655" s="78">
        <f t="shared" si="15020"/>
        <v>0</v>
      </c>
      <c r="GU655" s="78">
        <f t="shared" si="15020"/>
        <v>0</v>
      </c>
      <c r="GV655" s="78">
        <f t="shared" si="15020"/>
        <v>0</v>
      </c>
      <c r="GW655" s="564">
        <f t="shared" si="15020"/>
        <v>0</v>
      </c>
      <c r="GX655" s="564">
        <f t="shared" si="15020"/>
        <v>0</v>
      </c>
      <c r="GY655" s="78">
        <f t="shared" si="15020"/>
        <v>0</v>
      </c>
      <c r="GZ655" s="78">
        <f t="shared" si="15020"/>
        <v>0</v>
      </c>
      <c r="HA655" s="78">
        <f t="shared" si="15020"/>
        <v>0</v>
      </c>
      <c r="HB655" s="78">
        <f t="shared" si="15020"/>
        <v>0</v>
      </c>
      <c r="HC655" s="78">
        <f t="shared" si="15020"/>
        <v>0</v>
      </c>
      <c r="HD655" s="78">
        <f t="shared" si="15020"/>
        <v>0</v>
      </c>
      <c r="HE655" s="78">
        <f t="shared" si="15020"/>
        <v>0</v>
      </c>
      <c r="HF655" s="78">
        <f t="shared" si="15020"/>
        <v>0</v>
      </c>
      <c r="HG655" s="78">
        <f t="shared" si="15020"/>
        <v>0</v>
      </c>
      <c r="HH655" s="78">
        <f t="shared" ref="HH655:JP655" si="15022">SUM(HH656:HH656)</f>
        <v>0</v>
      </c>
      <c r="HI655" s="811">
        <f t="shared" si="15022"/>
        <v>0</v>
      </c>
      <c r="HJ655" s="78">
        <f t="shared" si="15022"/>
        <v>0</v>
      </c>
      <c r="HK655" s="811">
        <f t="shared" si="15022"/>
        <v>0</v>
      </c>
      <c r="HL655" s="78">
        <f t="shared" si="15022"/>
        <v>0</v>
      </c>
      <c r="HM655" s="811">
        <f t="shared" si="15022"/>
        <v>0</v>
      </c>
      <c r="HN655" s="78">
        <f t="shared" si="15022"/>
        <v>0</v>
      </c>
      <c r="HO655" s="811">
        <f t="shared" si="15022"/>
        <v>0</v>
      </c>
      <c r="HP655" s="78">
        <f t="shared" si="15022"/>
        <v>0</v>
      </c>
      <c r="HQ655" s="811">
        <f t="shared" si="15022"/>
        <v>0</v>
      </c>
      <c r="HR655" s="78">
        <f t="shared" si="15022"/>
        <v>0</v>
      </c>
      <c r="HS655" s="811">
        <f t="shared" si="15022"/>
        <v>0</v>
      </c>
      <c r="HT655" s="78">
        <f t="shared" si="15022"/>
        <v>0</v>
      </c>
      <c r="HU655" s="811">
        <f t="shared" si="15022"/>
        <v>0</v>
      </c>
      <c r="HV655" s="78">
        <f t="shared" si="15022"/>
        <v>0</v>
      </c>
      <c r="HW655" s="811">
        <f t="shared" si="15022"/>
        <v>0</v>
      </c>
      <c r="HX655" s="78">
        <f t="shared" si="15022"/>
        <v>0</v>
      </c>
      <c r="HY655" s="811">
        <f t="shared" si="15022"/>
        <v>0</v>
      </c>
      <c r="HZ655" s="78">
        <f t="shared" si="15022"/>
        <v>0</v>
      </c>
      <c r="IA655" s="811">
        <f t="shared" si="15022"/>
        <v>0</v>
      </c>
      <c r="IB655" s="78">
        <f t="shared" si="15022"/>
        <v>0</v>
      </c>
      <c r="IC655" s="811">
        <f t="shared" si="15022"/>
        <v>0</v>
      </c>
      <c r="ID655" s="78">
        <f t="shared" si="15022"/>
        <v>0</v>
      </c>
      <c r="IE655" s="811">
        <f t="shared" si="15022"/>
        <v>0</v>
      </c>
      <c r="IF655" s="851">
        <f t="shared" si="15022"/>
        <v>0</v>
      </c>
      <c r="IG655" s="280">
        <f t="shared" si="15022"/>
        <v>0</v>
      </c>
      <c r="IH655" s="852">
        <f t="shared" si="15022"/>
        <v>0</v>
      </c>
      <c r="II655" s="78">
        <f t="shared" si="15022"/>
        <v>0</v>
      </c>
      <c r="IJ655" s="78">
        <f>SUM(IJ656:IJ656)</f>
        <v>0</v>
      </c>
      <c r="IK655" s="78">
        <f>SUM(IK656:IK656)</f>
        <v>0</v>
      </c>
      <c r="IL655" s="78">
        <f t="shared" si="15022"/>
        <v>0</v>
      </c>
      <c r="IM655" s="78">
        <f>SUM(IM656:IM656)</f>
        <v>0</v>
      </c>
      <c r="IN655" s="78">
        <f>SUM(IN656:IN656)</f>
        <v>0</v>
      </c>
      <c r="IO655" s="78">
        <f t="shared" si="15022"/>
        <v>0</v>
      </c>
      <c r="IP655" s="78">
        <f>SUM(IP656:IP656)</f>
        <v>0</v>
      </c>
      <c r="IQ655" s="78">
        <f>SUM(IQ656:IQ656)</f>
        <v>0</v>
      </c>
      <c r="IR655" s="78">
        <f t="shared" si="15022"/>
        <v>0</v>
      </c>
      <c r="IS655" s="78">
        <f>SUM(IS656:IS656)</f>
        <v>0</v>
      </c>
      <c r="IT655" s="78">
        <f>SUM(IT656:IT656)</f>
        <v>0</v>
      </c>
      <c r="IU655" s="78">
        <f t="shared" si="15022"/>
        <v>0</v>
      </c>
      <c r="IV655" s="78">
        <f>SUM(IV656:IV656)</f>
        <v>0</v>
      </c>
      <c r="IW655" s="78">
        <f>SUM(IW656:IW656)</f>
        <v>0</v>
      </c>
      <c r="IX655" s="78">
        <f t="shared" si="15022"/>
        <v>0</v>
      </c>
      <c r="IY655" s="78">
        <f>SUM(IY656:IY656)</f>
        <v>0</v>
      </c>
      <c r="IZ655" s="78">
        <f>SUM(IZ656:IZ656)</f>
        <v>0</v>
      </c>
      <c r="JA655" s="78">
        <f t="shared" si="15022"/>
        <v>0</v>
      </c>
      <c r="JB655" s="78">
        <f>SUM(JB656:JB656)</f>
        <v>0</v>
      </c>
      <c r="JC655" s="78">
        <f>SUM(JC656:JC656)</f>
        <v>0</v>
      </c>
      <c r="JD655" s="78">
        <f t="shared" si="15022"/>
        <v>0</v>
      </c>
      <c r="JE655" s="78">
        <f>SUM(JE656:JE656)</f>
        <v>0</v>
      </c>
      <c r="JF655" s="78">
        <f>SUM(JF656:JF656)</f>
        <v>0</v>
      </c>
      <c r="JG655" s="78">
        <f t="shared" si="15022"/>
        <v>0</v>
      </c>
      <c r="JH655" s="78">
        <f>SUM(JH656:JH656)</f>
        <v>0</v>
      </c>
      <c r="JI655" s="78">
        <f>SUM(JI656:JI656)</f>
        <v>0</v>
      </c>
      <c r="JJ655" s="78">
        <f t="shared" si="15022"/>
        <v>0</v>
      </c>
      <c r="JK655" s="78">
        <f>SUM(JK656:JK656)</f>
        <v>0</v>
      </c>
      <c r="JL655" s="78">
        <f>SUM(JL656:JL656)</f>
        <v>0</v>
      </c>
      <c r="JM655" s="78">
        <f t="shared" si="15022"/>
        <v>0</v>
      </c>
      <c r="JN655" s="78">
        <f>SUM(JN656:JN656)</f>
        <v>0</v>
      </c>
      <c r="JO655" s="78">
        <f>SUM(JO656:JO656)</f>
        <v>0</v>
      </c>
      <c r="JP655" s="78">
        <f t="shared" si="15022"/>
        <v>0</v>
      </c>
      <c r="JQ655" s="78">
        <f>SUM(JQ656:JQ656)</f>
        <v>0</v>
      </c>
      <c r="JR655" s="78">
        <f>SUM(JR656:JR656)</f>
        <v>0</v>
      </c>
      <c r="JS655" s="74">
        <f>SUM(JS656)</f>
        <v>0</v>
      </c>
      <c r="JT655" s="382">
        <f>SUM(JT656)</f>
        <v>0</v>
      </c>
      <c r="JU655" s="665"/>
      <c r="JV655" s="524"/>
      <c r="JW655" s="525"/>
      <c r="JX655" s="549">
        <f>SUM(JX656:JX656)</f>
        <v>0</v>
      </c>
      <c r="JY655" s="549">
        <f>SUM(JY656:JY656)</f>
        <v>0</v>
      </c>
      <c r="JZ655" s="581">
        <f t="shared" si="14740"/>
        <v>0</v>
      </c>
      <c r="KA655" s="581">
        <f t="shared" si="14741"/>
        <v>0</v>
      </c>
      <c r="KB655" s="549">
        <f t="shared" si="14914"/>
        <v>0</v>
      </c>
      <c r="KC655" s="709">
        <f t="shared" si="14739"/>
        <v>0</v>
      </c>
      <c r="KD655" s="36"/>
      <c r="KE655" s="36"/>
      <c r="KF655" s="36"/>
      <c r="KG655" s="36"/>
      <c r="KH655" s="36"/>
      <c r="KI655" s="36"/>
      <c r="KJ655" s="36"/>
      <c r="KK655" s="36"/>
    </row>
    <row r="656" spans="1:297" s="33" customFormat="1" ht="12.75" hidden="1" customHeight="1">
      <c r="A656" s="86" t="s">
        <v>1138</v>
      </c>
      <c r="B656" s="77" t="s">
        <v>56</v>
      </c>
      <c r="C656" s="74">
        <v>0</v>
      </c>
      <c r="D656" s="549">
        <v>0</v>
      </c>
      <c r="E656" s="675">
        <v>0</v>
      </c>
      <c r="F656" s="549">
        <v>0</v>
      </c>
      <c r="G656" s="675">
        <v>0</v>
      </c>
      <c r="H656" s="549">
        <v>0</v>
      </c>
      <c r="I656" s="675">
        <v>0</v>
      </c>
      <c r="J656" s="549">
        <v>0</v>
      </c>
      <c r="K656" s="675">
        <v>0</v>
      </c>
      <c r="L656" s="549">
        <v>0</v>
      </c>
      <c r="M656" s="675">
        <v>0</v>
      </c>
      <c r="N656" s="549">
        <v>0</v>
      </c>
      <c r="O656" s="675">
        <v>0</v>
      </c>
      <c r="P656" s="549">
        <v>0</v>
      </c>
      <c r="Q656" s="675">
        <v>0</v>
      </c>
      <c r="R656" s="549">
        <v>0</v>
      </c>
      <c r="S656" s="675">
        <v>0</v>
      </c>
      <c r="T656" s="549">
        <v>0</v>
      </c>
      <c r="U656" s="675">
        <v>0</v>
      </c>
      <c r="V656" s="549">
        <v>0</v>
      </c>
      <c r="W656" s="675">
        <v>0</v>
      </c>
      <c r="X656" s="549">
        <v>0</v>
      </c>
      <c r="Y656" s="675">
        <v>0</v>
      </c>
      <c r="Z656" s="549">
        <v>0</v>
      </c>
      <c r="AA656" s="675">
        <v>0</v>
      </c>
      <c r="AB656" s="549">
        <v>0</v>
      </c>
      <c r="AC656" s="675">
        <v>0</v>
      </c>
      <c r="AD656" s="549">
        <v>0</v>
      </c>
      <c r="AE656" s="675">
        <v>0</v>
      </c>
      <c r="AF656" s="549">
        <v>0</v>
      </c>
      <c r="AG656" s="675">
        <v>0</v>
      </c>
      <c r="AH656" s="549">
        <v>0</v>
      </c>
      <c r="AI656" s="675">
        <v>0</v>
      </c>
      <c r="AJ656" s="549">
        <v>0</v>
      </c>
      <c r="AK656" s="675">
        <v>0</v>
      </c>
      <c r="AL656" s="549">
        <v>0</v>
      </c>
      <c r="AM656" s="675">
        <v>0</v>
      </c>
      <c r="AN656" s="549">
        <v>0</v>
      </c>
      <c r="AO656" s="675">
        <v>0</v>
      </c>
      <c r="AP656" s="549">
        <v>0</v>
      </c>
      <c r="AQ656" s="675">
        <v>0</v>
      </c>
      <c r="AR656" s="549">
        <v>0</v>
      </c>
      <c r="AS656" s="675">
        <v>0</v>
      </c>
      <c r="AT656" s="549">
        <v>0</v>
      </c>
      <c r="AU656" s="675">
        <v>0</v>
      </c>
      <c r="AV656" s="549">
        <v>0</v>
      </c>
      <c r="AW656" s="675">
        <v>0</v>
      </c>
      <c r="AX656" s="549">
        <v>0</v>
      </c>
      <c r="AY656" s="675">
        <v>0</v>
      </c>
      <c r="AZ656" s="549">
        <v>0</v>
      </c>
      <c r="BA656" s="675">
        <v>0</v>
      </c>
      <c r="BB656" s="549">
        <v>0</v>
      </c>
      <c r="BC656" s="675">
        <v>0</v>
      </c>
      <c r="BD656" s="549">
        <v>0</v>
      </c>
      <c r="BE656" s="675">
        <v>0</v>
      </c>
      <c r="BF656" s="549">
        <v>0</v>
      </c>
      <c r="BG656" s="675">
        <v>0</v>
      </c>
      <c r="BH656" s="549">
        <v>0</v>
      </c>
      <c r="BI656" s="675">
        <v>0</v>
      </c>
      <c r="BJ656" s="549">
        <v>0</v>
      </c>
      <c r="BK656" s="675">
        <v>0</v>
      </c>
      <c r="BL656" s="549">
        <v>0</v>
      </c>
      <c r="BM656" s="675">
        <v>0</v>
      </c>
      <c r="BN656" s="549">
        <v>0</v>
      </c>
      <c r="BO656" s="675">
        <v>0</v>
      </c>
      <c r="BP656" s="549">
        <v>0</v>
      </c>
      <c r="BQ656" s="675">
        <v>0</v>
      </c>
      <c r="BR656" s="549">
        <v>0</v>
      </c>
      <c r="BS656" s="675">
        <v>0</v>
      </c>
      <c r="BT656" s="549">
        <v>0</v>
      </c>
      <c r="BU656" s="675">
        <v>0</v>
      </c>
      <c r="BV656" s="549">
        <v>0</v>
      </c>
      <c r="BW656" s="675">
        <v>0</v>
      </c>
      <c r="BX656" s="549">
        <v>0</v>
      </c>
      <c r="BY656" s="675">
        <v>0</v>
      </c>
      <c r="BZ656" s="549">
        <v>0</v>
      </c>
      <c r="CA656" s="675">
        <v>0</v>
      </c>
      <c r="CB656" s="549">
        <v>0</v>
      </c>
      <c r="CC656" s="675">
        <v>0</v>
      </c>
      <c r="CD656" s="549">
        <v>0</v>
      </c>
      <c r="CE656" s="675">
        <v>0</v>
      </c>
      <c r="CF656" s="549">
        <v>0</v>
      </c>
      <c r="CG656" s="675">
        <v>0</v>
      </c>
      <c r="CH656" s="549">
        <v>0</v>
      </c>
      <c r="CI656" s="675">
        <v>0</v>
      </c>
      <c r="CJ656" s="549">
        <v>0</v>
      </c>
      <c r="CK656" s="675">
        <v>0</v>
      </c>
      <c r="CL656" s="549">
        <v>0</v>
      </c>
      <c r="CM656" s="675">
        <v>0</v>
      </c>
      <c r="CN656" s="549">
        <v>0</v>
      </c>
      <c r="CO656" s="675">
        <v>0</v>
      </c>
      <c r="CP656" s="549">
        <v>0</v>
      </c>
      <c r="CQ656" s="675">
        <v>0</v>
      </c>
      <c r="CR656" s="549">
        <v>0</v>
      </c>
      <c r="CS656" s="675">
        <v>0</v>
      </c>
      <c r="CT656" s="549">
        <v>0</v>
      </c>
      <c r="CU656" s="675">
        <v>0</v>
      </c>
      <c r="CV656" s="549">
        <v>0</v>
      </c>
      <c r="CW656" s="675">
        <v>0</v>
      </c>
      <c r="CX656" s="549">
        <v>0</v>
      </c>
      <c r="CY656" s="675">
        <v>0</v>
      </c>
      <c r="CZ656" s="549">
        <v>0</v>
      </c>
      <c r="DA656" s="675">
        <v>0</v>
      </c>
      <c r="DB656" s="549">
        <v>0</v>
      </c>
      <c r="DC656" s="675">
        <v>0</v>
      </c>
      <c r="DD656" s="549">
        <v>0</v>
      </c>
      <c r="DE656" s="675">
        <v>0</v>
      </c>
      <c r="DF656" s="549">
        <v>0</v>
      </c>
      <c r="DG656" s="675">
        <v>0</v>
      </c>
      <c r="DH656" s="549">
        <v>0</v>
      </c>
      <c r="DI656" s="675">
        <v>0</v>
      </c>
      <c r="DJ656" s="549">
        <v>0</v>
      </c>
      <c r="DK656" s="675">
        <v>0</v>
      </c>
      <c r="DL656" s="549">
        <v>0</v>
      </c>
      <c r="DM656" s="675">
        <v>0</v>
      </c>
      <c r="DN656" s="549">
        <v>0</v>
      </c>
      <c r="DO656" s="675">
        <v>0</v>
      </c>
      <c r="DP656" s="549">
        <v>0</v>
      </c>
      <c r="DQ656" s="675">
        <v>0</v>
      </c>
      <c r="DR656" s="549">
        <v>0</v>
      </c>
      <c r="DS656" s="675">
        <v>0</v>
      </c>
      <c r="DT656" s="549">
        <v>0</v>
      </c>
      <c r="DU656" s="675">
        <v>0</v>
      </c>
      <c r="DV656" s="549">
        <v>0</v>
      </c>
      <c r="DW656" s="675">
        <v>0</v>
      </c>
      <c r="DX656" s="549">
        <v>0</v>
      </c>
      <c r="DY656" s="675">
        <v>0</v>
      </c>
      <c r="DZ656" s="549">
        <v>0</v>
      </c>
      <c r="EA656" s="675">
        <v>0</v>
      </c>
      <c r="EB656" s="549">
        <v>0</v>
      </c>
      <c r="EC656" s="675">
        <v>0</v>
      </c>
      <c r="ED656" s="549">
        <v>0</v>
      </c>
      <c r="EE656" s="675">
        <v>0</v>
      </c>
      <c r="EF656" s="549">
        <v>0</v>
      </c>
      <c r="EG656" s="675">
        <v>0</v>
      </c>
      <c r="EH656" s="549">
        <v>0</v>
      </c>
      <c r="EI656" s="675">
        <v>0</v>
      </c>
      <c r="EJ656" s="549">
        <v>0</v>
      </c>
      <c r="EK656" s="675">
        <v>0</v>
      </c>
      <c r="EL656" s="549">
        <v>0</v>
      </c>
      <c r="EM656" s="675">
        <v>0</v>
      </c>
      <c r="EN656" s="549">
        <v>0</v>
      </c>
      <c r="EO656" s="675">
        <v>0</v>
      </c>
      <c r="EP656" s="549">
        <v>0</v>
      </c>
      <c r="EQ656" s="675">
        <v>0</v>
      </c>
      <c r="ER656" s="549">
        <v>0</v>
      </c>
      <c r="ES656" s="675">
        <v>0</v>
      </c>
      <c r="ET656" s="549">
        <v>0</v>
      </c>
      <c r="EU656" s="675">
        <v>0</v>
      </c>
      <c r="EV656" s="549">
        <v>0</v>
      </c>
      <c r="EW656" s="675">
        <v>0</v>
      </c>
      <c r="EX656" s="549">
        <v>0</v>
      </c>
      <c r="EY656" s="675">
        <v>0</v>
      </c>
      <c r="EZ656" s="549">
        <v>0</v>
      </c>
      <c r="FA656" s="675">
        <v>0</v>
      </c>
      <c r="FB656" s="549">
        <v>0</v>
      </c>
      <c r="FC656" s="675">
        <v>0</v>
      </c>
      <c r="FD656" s="549">
        <v>0</v>
      </c>
      <c r="FE656" s="675">
        <v>0</v>
      </c>
      <c r="FF656" s="549">
        <v>0</v>
      </c>
      <c r="FG656" s="675">
        <v>0</v>
      </c>
      <c r="FH656" s="549">
        <v>0</v>
      </c>
      <c r="FI656" s="675">
        <v>0</v>
      </c>
      <c r="FJ656" s="549">
        <v>0</v>
      </c>
      <c r="FK656" s="675">
        <v>0</v>
      </c>
      <c r="FL656" s="549">
        <v>0</v>
      </c>
      <c r="FM656" s="675">
        <v>0</v>
      </c>
      <c r="FN656" s="549">
        <v>0</v>
      </c>
      <c r="FO656" s="675">
        <v>0</v>
      </c>
      <c r="FP656" s="549">
        <v>0</v>
      </c>
      <c r="FQ656" s="675">
        <v>0</v>
      </c>
      <c r="FR656" s="549">
        <v>0</v>
      </c>
      <c r="FS656" s="675">
        <v>0</v>
      </c>
      <c r="FT656" s="549">
        <v>0</v>
      </c>
      <c r="FU656" s="675">
        <v>0</v>
      </c>
      <c r="FV656" s="549">
        <v>0</v>
      </c>
      <c r="FW656" s="675">
        <v>0</v>
      </c>
      <c r="FX656" s="549">
        <v>0</v>
      </c>
      <c r="FY656" s="675">
        <v>0</v>
      </c>
      <c r="FZ656" s="549">
        <v>0</v>
      </c>
      <c r="GA656" s="675">
        <v>0</v>
      </c>
      <c r="GB656" s="549">
        <v>0</v>
      </c>
      <c r="GC656" s="675">
        <v>0</v>
      </c>
      <c r="GD656" s="549">
        <v>0</v>
      </c>
      <c r="GE656" s="675">
        <v>0</v>
      </c>
      <c r="GF656" s="549">
        <v>0</v>
      </c>
      <c r="GG656" s="675">
        <v>0</v>
      </c>
      <c r="GH656" s="549">
        <v>0</v>
      </c>
      <c r="GI656" s="675">
        <v>0</v>
      </c>
      <c r="GJ656" s="549">
        <v>0</v>
      </c>
      <c r="GK656" s="675">
        <v>0</v>
      </c>
      <c r="GL656" s="549">
        <v>0</v>
      </c>
      <c r="GM656" s="675">
        <v>0</v>
      </c>
      <c r="GN656" s="549">
        <v>0</v>
      </c>
      <c r="GO656" s="675">
        <v>0</v>
      </c>
      <c r="GP656" s="549">
        <f>+D656+F656+H656+J656+L656+N656+P656+R656+T656+V656+X656+Z656+AB656+AD656+AH656+AJ656+AL656+AN656+AP656+AR656+AT656+AV656+AX656+AZ656+BB656+BD656+BF656+BH656+BJ656+BL656+BN656+BP656+BR656+BT656+BV656+BX656+BZ656+CB656+CD656+CF656+CH656+CJ656+CL656+CN656+CP656+CR656+CT656+CV656+CX656+CZ656+DB656+DD656+DF656+DH656+DT656+EX656+DJ656+DL656+DN656+DP656+DR656+EJ656+EB656+DZ656+DX656+DV656+ED656+EF656+EH656+EL656+EN656+EP656+EV656+ET656+ER656+EZ656+FB656+FD656+GL656+FF656+FJ656+FL656+GJ656+FT656+FR656+FP656+FN656+FH656</f>
        <v>0</v>
      </c>
      <c r="GQ656" s="675">
        <f>+E656+G656+I656+K656+M656+O656+Q656+S656+U656+W656+Y656+AA656+AC656+AE656+AI656+AK656+AM656+AO656+AQ656+AS656+AU656+AW656+AY656+BA656+BC656+BE656+BG656+BI656+BK656+BM656+BO656+BQ656+BS656+BU656+BW656+BY656+CA656+CC656+CE656+CG656+CI656+CK656+CM656+CO656+CQ656+CS656+CU656+CW656+CY656+DA656+DC656+DE656+DG656+DI656+DU656+EY656+DK656+DM656+DO656+DQ656+DS656+EK656+EC656+EA656+DY656+DW656+EI656+EG656+EE656+EM656+EO656+EQ656+EW656+EU656+ES656+FA656+FC656+FE656+GM656+FG656+FK656+FM656+FO656+FQ656+FS656+FU656+GK656+FI656</f>
        <v>0</v>
      </c>
      <c r="GR656" s="74">
        <f>C656+GP656+GQ656</f>
        <v>0</v>
      </c>
      <c r="GS656" s="74">
        <f>SUM(GU656:HE656)+GP656+GQ656</f>
        <v>0</v>
      </c>
      <c r="GT656" s="568">
        <f>SUM(GU656:HF656)+GQ656+GP656</f>
        <v>0</v>
      </c>
      <c r="GU656" s="275">
        <v>0</v>
      </c>
      <c r="GV656" s="275">
        <v>0</v>
      </c>
      <c r="GW656" s="275">
        <v>0</v>
      </c>
      <c r="GX656" s="275">
        <v>0</v>
      </c>
      <c r="GY656" s="275">
        <v>0</v>
      </c>
      <c r="GZ656" s="275">
        <v>0</v>
      </c>
      <c r="HA656" s="275">
        <v>0</v>
      </c>
      <c r="HB656" s="275">
        <v>0</v>
      </c>
      <c r="HC656" s="275">
        <v>0</v>
      </c>
      <c r="HD656" s="275">
        <v>0</v>
      </c>
      <c r="HE656" s="275">
        <v>0</v>
      </c>
      <c r="HF656" s="275">
        <v>0</v>
      </c>
      <c r="HG656" s="74">
        <f>SUM(HH656:IE656)</f>
        <v>0</v>
      </c>
      <c r="HH656" s="275">
        <v>0</v>
      </c>
      <c r="HI656" s="322">
        <v>0</v>
      </c>
      <c r="HJ656" s="275">
        <v>0</v>
      </c>
      <c r="HK656" s="322">
        <v>0</v>
      </c>
      <c r="HL656" s="275">
        <v>0</v>
      </c>
      <c r="HM656" s="322">
        <v>0</v>
      </c>
      <c r="HN656" s="275">
        <v>0</v>
      </c>
      <c r="HO656" s="322">
        <v>0</v>
      </c>
      <c r="HP656" s="275">
        <v>0</v>
      </c>
      <c r="HQ656" s="322">
        <v>0</v>
      </c>
      <c r="HR656" s="275">
        <v>0</v>
      </c>
      <c r="HS656" s="322">
        <v>0</v>
      </c>
      <c r="HT656" s="275">
        <v>0</v>
      </c>
      <c r="HU656" s="322">
        <v>0</v>
      </c>
      <c r="HV656" s="275">
        <v>0</v>
      </c>
      <c r="HW656" s="322">
        <v>0</v>
      </c>
      <c r="HX656" s="275">
        <v>0</v>
      </c>
      <c r="HY656" s="322">
        <v>0</v>
      </c>
      <c r="HZ656" s="275">
        <v>0</v>
      </c>
      <c r="IA656" s="322">
        <v>0</v>
      </c>
      <c r="IB656" s="275">
        <v>0</v>
      </c>
      <c r="IC656" s="322">
        <v>0</v>
      </c>
      <c r="ID656" s="275">
        <v>0</v>
      </c>
      <c r="IE656" s="322">
        <v>0</v>
      </c>
      <c r="IF656" s="841">
        <f t="shared" ref="IF656" si="15023">SUM(II656,IL656,IO656,IR656,IU656,IX656,JA656,JD656,JG656,JJ656,JM656,JP656)</f>
        <v>0</v>
      </c>
      <c r="IG656" s="263">
        <f t="shared" ref="IG656" si="15024">SUM(IJ656,IM656,IP656,IS656,IV656,IY656,JB656,JE656,JH656,JK656,JN656,JQ656)</f>
        <v>0</v>
      </c>
      <c r="IH656" s="842">
        <f t="shared" ref="IH656" si="15025">SUM(IK656,IN656,IQ656,IT656,IW656,IZ656,JC656,JF656,JI656,JL656,JO656,JR656)</f>
        <v>0</v>
      </c>
      <c r="II656" s="322">
        <v>0</v>
      </c>
      <c r="IJ656" s="322">
        <v>0</v>
      </c>
      <c r="IK656" s="322">
        <v>0</v>
      </c>
      <c r="IL656" s="322">
        <v>0</v>
      </c>
      <c r="IM656" s="322">
        <v>0</v>
      </c>
      <c r="IN656" s="322">
        <v>0</v>
      </c>
      <c r="IO656" s="322">
        <v>0</v>
      </c>
      <c r="IP656" s="322">
        <v>0</v>
      </c>
      <c r="IQ656" s="322">
        <v>0</v>
      </c>
      <c r="IR656" s="322">
        <v>0</v>
      </c>
      <c r="IS656" s="322">
        <v>0</v>
      </c>
      <c r="IT656" s="322">
        <v>0</v>
      </c>
      <c r="IU656" s="322">
        <v>0</v>
      </c>
      <c r="IV656" s="322">
        <v>0</v>
      </c>
      <c r="IW656" s="322">
        <v>0</v>
      </c>
      <c r="IX656" s="322">
        <v>0</v>
      </c>
      <c r="IY656" s="322">
        <v>0</v>
      </c>
      <c r="IZ656" s="322">
        <v>0</v>
      </c>
      <c r="JA656" s="322">
        <v>0</v>
      </c>
      <c r="JB656" s="322">
        <v>0</v>
      </c>
      <c r="JC656" s="322">
        <v>0</v>
      </c>
      <c r="JD656" s="322">
        <v>0</v>
      </c>
      <c r="JE656" s="322">
        <v>0</v>
      </c>
      <c r="JF656" s="322">
        <v>0</v>
      </c>
      <c r="JG656" s="322">
        <v>0</v>
      </c>
      <c r="JH656" s="322">
        <v>0</v>
      </c>
      <c r="JI656" s="322">
        <v>0</v>
      </c>
      <c r="JJ656" s="322">
        <v>0</v>
      </c>
      <c r="JK656" s="322">
        <v>0</v>
      </c>
      <c r="JL656" s="322">
        <v>0</v>
      </c>
      <c r="JM656" s="322">
        <v>0</v>
      </c>
      <c r="JN656" s="322">
        <v>0</v>
      </c>
      <c r="JO656" s="322">
        <v>0</v>
      </c>
      <c r="JP656" s="322">
        <v>0</v>
      </c>
      <c r="JQ656" s="322">
        <v>0</v>
      </c>
      <c r="JR656" s="322">
        <v>0</v>
      </c>
      <c r="JS656" s="74">
        <f>HG656-IF656</f>
        <v>0</v>
      </c>
      <c r="JT656" s="382">
        <f>GS656-IF656</f>
        <v>0</v>
      </c>
      <c r="JU656" s="665"/>
      <c r="JV656" s="524"/>
      <c r="JW656" s="525"/>
      <c r="JX656" s="549">
        <f>SUM(HH656,HJ656,HL656,HN656,HP656,HR656,HT656,HV656,HX656,HZ656,IB656,ID656)</f>
        <v>0</v>
      </c>
      <c r="JY656" s="549">
        <f>SUM(HI656,HK656,HM656,HO656,HQ656,HS656,HU656,HW656,HY656,IA656,IC656,IE656)</f>
        <v>0</v>
      </c>
      <c r="JZ656" s="581">
        <f t="shared" si="14740"/>
        <v>0</v>
      </c>
      <c r="KA656" s="581">
        <f t="shared" si="14741"/>
        <v>0</v>
      </c>
      <c r="KB656" s="549">
        <f>JX656</f>
        <v>0</v>
      </c>
      <c r="KC656" s="709">
        <f t="shared" si="14739"/>
        <v>0</v>
      </c>
      <c r="KD656" s="36"/>
      <c r="KE656" s="36"/>
      <c r="KF656" s="36"/>
      <c r="KG656" s="36"/>
      <c r="KH656" s="36"/>
      <c r="KI656" s="36"/>
      <c r="KJ656" s="36"/>
      <c r="KK656" s="36"/>
    </row>
    <row r="657" spans="1:297" s="33" customFormat="1" ht="12.75" hidden="1" customHeight="1">
      <c r="A657" s="86"/>
      <c r="B657" s="77"/>
      <c r="C657" s="74"/>
      <c r="D657" s="549"/>
      <c r="E657" s="675"/>
      <c r="F657" s="549"/>
      <c r="G657" s="675"/>
      <c r="H657" s="549"/>
      <c r="I657" s="675"/>
      <c r="J657" s="549"/>
      <c r="K657" s="675"/>
      <c r="L657" s="549"/>
      <c r="M657" s="675"/>
      <c r="N657" s="549"/>
      <c r="O657" s="675"/>
      <c r="P657" s="549"/>
      <c r="Q657" s="675"/>
      <c r="R657" s="549"/>
      <c r="S657" s="675"/>
      <c r="T657" s="549"/>
      <c r="U657" s="675"/>
      <c r="V657" s="549"/>
      <c r="W657" s="675"/>
      <c r="X657" s="549"/>
      <c r="Y657" s="675"/>
      <c r="Z657" s="549"/>
      <c r="AA657" s="675"/>
      <c r="AB657" s="549"/>
      <c r="AC657" s="675"/>
      <c r="AD657" s="549"/>
      <c r="AE657" s="675"/>
      <c r="AF657" s="549"/>
      <c r="AG657" s="675"/>
      <c r="AH657" s="549"/>
      <c r="AI657" s="675"/>
      <c r="AJ657" s="549"/>
      <c r="AK657" s="675"/>
      <c r="AL657" s="549"/>
      <c r="AM657" s="675"/>
      <c r="AN657" s="549"/>
      <c r="AO657" s="675"/>
      <c r="AP657" s="549"/>
      <c r="AQ657" s="675"/>
      <c r="AR657" s="549"/>
      <c r="AS657" s="675"/>
      <c r="AT657" s="549"/>
      <c r="AU657" s="675"/>
      <c r="AV657" s="549"/>
      <c r="AW657" s="675"/>
      <c r="AX657" s="549"/>
      <c r="AY657" s="675"/>
      <c r="AZ657" s="549"/>
      <c r="BA657" s="675"/>
      <c r="BB657" s="549"/>
      <c r="BC657" s="675"/>
      <c r="BD657" s="549"/>
      <c r="BE657" s="675"/>
      <c r="BF657" s="549"/>
      <c r="BG657" s="675"/>
      <c r="BH657" s="549"/>
      <c r="BI657" s="675"/>
      <c r="BJ657" s="549"/>
      <c r="BK657" s="675"/>
      <c r="BL657" s="549"/>
      <c r="BM657" s="675"/>
      <c r="BN657" s="549"/>
      <c r="BO657" s="675"/>
      <c r="BP657" s="549"/>
      <c r="BQ657" s="675"/>
      <c r="BR657" s="549"/>
      <c r="BS657" s="675"/>
      <c r="BT657" s="549"/>
      <c r="BU657" s="675"/>
      <c r="BV657" s="549"/>
      <c r="BW657" s="675"/>
      <c r="BX657" s="549"/>
      <c r="BY657" s="675"/>
      <c r="BZ657" s="549"/>
      <c r="CA657" s="675"/>
      <c r="CB657" s="549"/>
      <c r="CC657" s="675"/>
      <c r="CD657" s="549"/>
      <c r="CE657" s="675"/>
      <c r="CF657" s="549"/>
      <c r="CG657" s="675"/>
      <c r="CH657" s="549"/>
      <c r="CI657" s="675"/>
      <c r="CJ657" s="549"/>
      <c r="CK657" s="675"/>
      <c r="CL657" s="549"/>
      <c r="CM657" s="675"/>
      <c r="CN657" s="549"/>
      <c r="CO657" s="675"/>
      <c r="CP657" s="549"/>
      <c r="CQ657" s="675"/>
      <c r="CR657" s="549"/>
      <c r="CS657" s="675"/>
      <c r="CT657" s="549"/>
      <c r="CU657" s="675"/>
      <c r="CV657" s="549"/>
      <c r="CW657" s="675"/>
      <c r="CX657" s="549"/>
      <c r="CY657" s="675"/>
      <c r="CZ657" s="549"/>
      <c r="DA657" s="675"/>
      <c r="DB657" s="549"/>
      <c r="DC657" s="675"/>
      <c r="DD657" s="549"/>
      <c r="DE657" s="675"/>
      <c r="DF657" s="549"/>
      <c r="DG657" s="675"/>
      <c r="DH657" s="549"/>
      <c r="DI657" s="675"/>
      <c r="DJ657" s="549"/>
      <c r="DK657" s="675"/>
      <c r="DL657" s="549"/>
      <c r="DM657" s="675"/>
      <c r="DN657" s="549"/>
      <c r="DO657" s="675"/>
      <c r="DP657" s="549"/>
      <c r="DQ657" s="675"/>
      <c r="DR657" s="549"/>
      <c r="DS657" s="675"/>
      <c r="DT657" s="549"/>
      <c r="DU657" s="675"/>
      <c r="DV657" s="549"/>
      <c r="DW657" s="675"/>
      <c r="DX657" s="549"/>
      <c r="DY657" s="675"/>
      <c r="DZ657" s="549"/>
      <c r="EA657" s="675"/>
      <c r="EB657" s="549"/>
      <c r="EC657" s="675"/>
      <c r="ED657" s="549"/>
      <c r="EE657" s="675"/>
      <c r="EF657" s="549"/>
      <c r="EG657" s="675"/>
      <c r="EH657" s="549"/>
      <c r="EI657" s="675"/>
      <c r="EJ657" s="549"/>
      <c r="EK657" s="675"/>
      <c r="EL657" s="549"/>
      <c r="EM657" s="675"/>
      <c r="EN657" s="549"/>
      <c r="EO657" s="675"/>
      <c r="EP657" s="549"/>
      <c r="EQ657" s="675"/>
      <c r="ER657" s="549"/>
      <c r="ES657" s="675"/>
      <c r="ET657" s="549"/>
      <c r="EU657" s="675"/>
      <c r="EV657" s="549"/>
      <c r="EW657" s="675"/>
      <c r="EX657" s="549"/>
      <c r="EY657" s="675"/>
      <c r="EZ657" s="549"/>
      <c r="FA657" s="675"/>
      <c r="FB657" s="549"/>
      <c r="FC657" s="675"/>
      <c r="FD657" s="549"/>
      <c r="FE657" s="675"/>
      <c r="FF657" s="549"/>
      <c r="FG657" s="675"/>
      <c r="FH657" s="549"/>
      <c r="FI657" s="675"/>
      <c r="FJ657" s="549"/>
      <c r="FK657" s="675"/>
      <c r="FL657" s="549"/>
      <c r="FM657" s="675"/>
      <c r="FN657" s="549"/>
      <c r="FO657" s="675"/>
      <c r="FP657" s="549"/>
      <c r="FQ657" s="675"/>
      <c r="FR657" s="549"/>
      <c r="FS657" s="675"/>
      <c r="FT657" s="549"/>
      <c r="FU657" s="675"/>
      <c r="FV657" s="549"/>
      <c r="FW657" s="675"/>
      <c r="FX657" s="549"/>
      <c r="FY657" s="675"/>
      <c r="FZ657" s="549"/>
      <c r="GA657" s="675"/>
      <c r="GB657" s="549"/>
      <c r="GC657" s="675"/>
      <c r="GD657" s="549"/>
      <c r="GE657" s="675"/>
      <c r="GF657" s="549"/>
      <c r="GG657" s="675"/>
      <c r="GH657" s="549"/>
      <c r="GI657" s="675"/>
      <c r="GJ657" s="549"/>
      <c r="GK657" s="675"/>
      <c r="GL657" s="549"/>
      <c r="GM657" s="675"/>
      <c r="GN657" s="549"/>
      <c r="GO657" s="675"/>
      <c r="GP657" s="549"/>
      <c r="GQ657" s="675"/>
      <c r="GR657" s="74"/>
      <c r="GS657" s="74"/>
      <c r="GT657" s="74"/>
      <c r="GU657" s="275"/>
      <c r="GV657" s="275"/>
      <c r="GW657" s="588"/>
      <c r="GX657" s="588"/>
      <c r="GY657" s="275"/>
      <c r="GZ657" s="275"/>
      <c r="HA657" s="275"/>
      <c r="HB657" s="275"/>
      <c r="HC657" s="275"/>
      <c r="HD657" s="275"/>
      <c r="HE657" s="275"/>
      <c r="HF657" s="275"/>
      <c r="HG657" s="74"/>
      <c r="HH657" s="89"/>
      <c r="HI657" s="817"/>
      <c r="HJ657" s="89"/>
      <c r="HK657" s="817"/>
      <c r="HL657" s="89"/>
      <c r="HM657" s="817"/>
      <c r="HN657" s="89"/>
      <c r="HO657" s="817"/>
      <c r="HP657" s="89"/>
      <c r="HQ657" s="817"/>
      <c r="HR657" s="89"/>
      <c r="HS657" s="817"/>
      <c r="HT657" s="89"/>
      <c r="HU657" s="817"/>
      <c r="HV657" s="89"/>
      <c r="HW657" s="817"/>
      <c r="HX657" s="89"/>
      <c r="HY657" s="817"/>
      <c r="HZ657" s="89"/>
      <c r="IA657" s="817"/>
      <c r="IB657" s="89"/>
      <c r="IC657" s="817"/>
      <c r="ID657" s="89"/>
      <c r="IE657" s="817"/>
      <c r="IF657" s="841"/>
      <c r="IG657" s="263"/>
      <c r="IH657" s="842"/>
      <c r="II657" s="89"/>
      <c r="IJ657" s="89"/>
      <c r="IK657" s="89"/>
      <c r="IL657" s="89"/>
      <c r="IM657" s="89"/>
      <c r="IN657" s="89"/>
      <c r="IO657" s="89"/>
      <c r="IP657" s="89"/>
      <c r="IQ657" s="89"/>
      <c r="IR657" s="89"/>
      <c r="IS657" s="89"/>
      <c r="IT657" s="89"/>
      <c r="IU657" s="89"/>
      <c r="IV657" s="89"/>
      <c r="IW657" s="89"/>
      <c r="IX657" s="89"/>
      <c r="IY657" s="89"/>
      <c r="IZ657" s="89"/>
      <c r="JA657" s="89"/>
      <c r="JB657" s="89"/>
      <c r="JC657" s="89"/>
      <c r="JD657" s="89"/>
      <c r="JE657" s="89"/>
      <c r="JF657" s="89"/>
      <c r="JG657" s="89"/>
      <c r="JH657" s="89"/>
      <c r="JI657" s="89"/>
      <c r="JJ657" s="89"/>
      <c r="JK657" s="89"/>
      <c r="JL657" s="89"/>
      <c r="JM657" s="89"/>
      <c r="JN657" s="89"/>
      <c r="JO657" s="89"/>
      <c r="JP657" s="89"/>
      <c r="JQ657" s="89"/>
      <c r="JR657" s="89"/>
      <c r="JS657" s="74"/>
      <c r="JT657" s="382"/>
      <c r="JU657" s="665"/>
      <c r="JV657" s="524"/>
      <c r="JW657" s="525"/>
      <c r="JX657" s="549"/>
      <c r="JY657" s="549"/>
      <c r="JZ657" s="581">
        <f t="shared" si="14740"/>
        <v>0</v>
      </c>
      <c r="KA657" s="581">
        <f t="shared" si="14741"/>
        <v>0</v>
      </c>
      <c r="KB657" s="549">
        <f t="shared" si="14914"/>
        <v>0</v>
      </c>
      <c r="KC657" s="709">
        <f t="shared" si="14739"/>
        <v>0</v>
      </c>
      <c r="KD657" s="36"/>
      <c r="KE657" s="36"/>
      <c r="KF657" s="36"/>
      <c r="KG657" s="36"/>
      <c r="KH657" s="36"/>
      <c r="KI657" s="36"/>
      <c r="KJ657" s="36"/>
      <c r="KK657" s="36"/>
    </row>
    <row r="658" spans="1:297" s="381" customFormat="1" ht="15.75" customHeight="1">
      <c r="A658" s="285" t="s">
        <v>345</v>
      </c>
      <c r="B658" s="379" t="s">
        <v>345</v>
      </c>
      <c r="C658" s="286">
        <f>C660</f>
        <v>5000000</v>
      </c>
      <c r="D658" s="286">
        <f t="shared" ref="D658:E658" si="15026">D660</f>
        <v>0</v>
      </c>
      <c r="E658" s="286">
        <f t="shared" si="15026"/>
        <v>0</v>
      </c>
      <c r="F658" s="286">
        <f t="shared" ref="F658:G658" si="15027">F660</f>
        <v>0</v>
      </c>
      <c r="G658" s="286">
        <f t="shared" si="15027"/>
        <v>0</v>
      </c>
      <c r="H658" s="286">
        <f t="shared" ref="H658:BQ658" si="15028">H660</f>
        <v>0</v>
      </c>
      <c r="I658" s="286">
        <f t="shared" si="15028"/>
        <v>0</v>
      </c>
      <c r="J658" s="286">
        <f t="shared" si="15028"/>
        <v>227500</v>
      </c>
      <c r="K658" s="286">
        <f t="shared" si="15028"/>
        <v>-227500</v>
      </c>
      <c r="L658" s="286">
        <f t="shared" si="15028"/>
        <v>0</v>
      </c>
      <c r="M658" s="286">
        <f t="shared" si="15028"/>
        <v>0</v>
      </c>
      <c r="N658" s="286">
        <f t="shared" si="15028"/>
        <v>186132</v>
      </c>
      <c r="O658" s="286">
        <f t="shared" si="15028"/>
        <v>-186132</v>
      </c>
      <c r="P658" s="286">
        <f t="shared" si="15028"/>
        <v>0</v>
      </c>
      <c r="Q658" s="286">
        <f t="shared" si="15028"/>
        <v>0</v>
      </c>
      <c r="R658" s="286">
        <f t="shared" si="15028"/>
        <v>0</v>
      </c>
      <c r="S658" s="286">
        <f t="shared" si="15028"/>
        <v>0</v>
      </c>
      <c r="T658" s="286">
        <f t="shared" si="15028"/>
        <v>201300</v>
      </c>
      <c r="U658" s="286">
        <f t="shared" si="15028"/>
        <v>-201300</v>
      </c>
      <c r="V658" s="286">
        <f t="shared" si="15028"/>
        <v>0</v>
      </c>
      <c r="W658" s="286">
        <f t="shared" si="15028"/>
        <v>0</v>
      </c>
      <c r="X658" s="286">
        <f t="shared" si="15028"/>
        <v>0</v>
      </c>
      <c r="Y658" s="286">
        <f t="shared" si="15028"/>
        <v>0</v>
      </c>
      <c r="Z658" s="286">
        <f t="shared" si="15028"/>
        <v>266314</v>
      </c>
      <c r="AA658" s="286">
        <f t="shared" si="15028"/>
        <v>-266314</v>
      </c>
      <c r="AB658" s="286">
        <f t="shared" si="15028"/>
        <v>128901</v>
      </c>
      <c r="AC658" s="286">
        <f t="shared" si="15028"/>
        <v>-128901</v>
      </c>
      <c r="AD658" s="286">
        <f t="shared" si="15028"/>
        <v>0</v>
      </c>
      <c r="AE658" s="286">
        <f t="shared" si="15028"/>
        <v>0</v>
      </c>
      <c r="AF658" s="286">
        <f t="shared" si="15028"/>
        <v>0</v>
      </c>
      <c r="AG658" s="286">
        <f t="shared" si="15028"/>
        <v>0</v>
      </c>
      <c r="AH658" s="286">
        <f t="shared" si="15028"/>
        <v>0</v>
      </c>
      <c r="AI658" s="286">
        <f t="shared" si="15028"/>
        <v>0</v>
      </c>
      <c r="AJ658" s="286">
        <f t="shared" si="15028"/>
        <v>0</v>
      </c>
      <c r="AK658" s="286">
        <f t="shared" si="15028"/>
        <v>0</v>
      </c>
      <c r="AL658" s="286">
        <f t="shared" si="15028"/>
        <v>0</v>
      </c>
      <c r="AM658" s="286">
        <f t="shared" si="15028"/>
        <v>0</v>
      </c>
      <c r="AN658" s="286">
        <f t="shared" si="15028"/>
        <v>0</v>
      </c>
      <c r="AO658" s="286">
        <f t="shared" si="15028"/>
        <v>0</v>
      </c>
      <c r="AP658" s="286">
        <f t="shared" si="15028"/>
        <v>269095</v>
      </c>
      <c r="AQ658" s="286">
        <f t="shared" si="15028"/>
        <v>-269095</v>
      </c>
      <c r="AR658" s="286">
        <f t="shared" si="15028"/>
        <v>0</v>
      </c>
      <c r="AS658" s="286">
        <f t="shared" si="15028"/>
        <v>0</v>
      </c>
      <c r="AT658" s="286">
        <f t="shared" ref="AT658:AU658" si="15029">AT660</f>
        <v>0</v>
      </c>
      <c r="AU658" s="286">
        <f t="shared" si="15029"/>
        <v>0</v>
      </c>
      <c r="AV658" s="286">
        <f t="shared" ref="AV658:AW658" si="15030">AV660</f>
        <v>0</v>
      </c>
      <c r="AW658" s="286">
        <f t="shared" si="15030"/>
        <v>0</v>
      </c>
      <c r="AX658" s="286">
        <f t="shared" ref="AX658:AY658" si="15031">AX660</f>
        <v>298905</v>
      </c>
      <c r="AY658" s="286">
        <f t="shared" si="15031"/>
        <v>-298905</v>
      </c>
      <c r="AZ658" s="286">
        <f t="shared" ref="AZ658:BA658" si="15032">AZ660</f>
        <v>0</v>
      </c>
      <c r="BA658" s="286">
        <f t="shared" si="15032"/>
        <v>0</v>
      </c>
      <c r="BB658" s="286">
        <f t="shared" ref="BB658:BC658" si="15033">BB660</f>
        <v>290000</v>
      </c>
      <c r="BC658" s="286">
        <f t="shared" si="15033"/>
        <v>-290000</v>
      </c>
      <c r="BD658" s="286">
        <f t="shared" ref="BD658:BE658" si="15034">BD660</f>
        <v>0</v>
      </c>
      <c r="BE658" s="286">
        <f t="shared" si="15034"/>
        <v>0</v>
      </c>
      <c r="BF658" s="286">
        <f t="shared" ref="BF658:BG658" si="15035">BF660</f>
        <v>0</v>
      </c>
      <c r="BG658" s="286">
        <f t="shared" si="15035"/>
        <v>0</v>
      </c>
      <c r="BH658" s="286">
        <f t="shared" ref="BH658:BI658" si="15036">BH660</f>
        <v>0</v>
      </c>
      <c r="BI658" s="286">
        <f t="shared" si="15036"/>
        <v>0</v>
      </c>
      <c r="BJ658" s="286">
        <f t="shared" ref="BJ658:BK658" si="15037">BJ660</f>
        <v>0</v>
      </c>
      <c r="BK658" s="286">
        <f t="shared" si="15037"/>
        <v>0</v>
      </c>
      <c r="BL658" s="286">
        <f t="shared" si="15028"/>
        <v>0</v>
      </c>
      <c r="BM658" s="286">
        <f t="shared" si="15028"/>
        <v>0</v>
      </c>
      <c r="BN658" s="286">
        <f t="shared" si="15028"/>
        <v>0</v>
      </c>
      <c r="BO658" s="286">
        <f t="shared" si="15028"/>
        <v>0</v>
      </c>
      <c r="BP658" s="286">
        <f t="shared" si="15028"/>
        <v>0</v>
      </c>
      <c r="BQ658" s="286">
        <f t="shared" si="15028"/>
        <v>0</v>
      </c>
      <c r="BR658" s="286">
        <f t="shared" ref="BR658:BS658" si="15038">BR660</f>
        <v>116922</v>
      </c>
      <c r="BS658" s="286">
        <f t="shared" si="15038"/>
        <v>-116922</v>
      </c>
      <c r="BT658" s="286">
        <f t="shared" ref="BT658:BU658" si="15039">BT660</f>
        <v>231000</v>
      </c>
      <c r="BU658" s="286">
        <f t="shared" si="15039"/>
        <v>-231000</v>
      </c>
      <c r="BV658" s="286">
        <f t="shared" ref="BV658:BW658" si="15040">BV660</f>
        <v>0</v>
      </c>
      <c r="BW658" s="286">
        <f t="shared" si="15040"/>
        <v>0</v>
      </c>
      <c r="BX658" s="286">
        <f t="shared" ref="BX658:BY658" si="15041">BX660</f>
        <v>12012</v>
      </c>
      <c r="BY658" s="286">
        <f t="shared" si="15041"/>
        <v>-12012</v>
      </c>
      <c r="BZ658" s="286">
        <f t="shared" ref="BZ658:CA658" si="15042">BZ660</f>
        <v>0</v>
      </c>
      <c r="CA658" s="286">
        <f t="shared" si="15042"/>
        <v>0</v>
      </c>
      <c r="CB658" s="286">
        <f t="shared" ref="CB658:HE658" si="15043">CB660</f>
        <v>0</v>
      </c>
      <c r="CC658" s="286">
        <f t="shared" si="15043"/>
        <v>0</v>
      </c>
      <c r="CD658" s="286">
        <f t="shared" si="15043"/>
        <v>0</v>
      </c>
      <c r="CE658" s="286">
        <f t="shared" si="15043"/>
        <v>0</v>
      </c>
      <c r="CF658" s="286">
        <f t="shared" si="15043"/>
        <v>175263</v>
      </c>
      <c r="CG658" s="286">
        <f t="shared" si="15043"/>
        <v>-175263</v>
      </c>
      <c r="CH658" s="286">
        <f t="shared" si="15043"/>
        <v>0</v>
      </c>
      <c r="CI658" s="286">
        <f t="shared" si="15043"/>
        <v>0</v>
      </c>
      <c r="CJ658" s="286">
        <f t="shared" si="15043"/>
        <v>0</v>
      </c>
      <c r="CK658" s="286">
        <f t="shared" si="15043"/>
        <v>0</v>
      </c>
      <c r="CL658" s="286">
        <f t="shared" si="15043"/>
        <v>0</v>
      </c>
      <c r="CM658" s="286">
        <f t="shared" si="15043"/>
        <v>0</v>
      </c>
      <c r="CN658" s="286">
        <f t="shared" si="15043"/>
        <v>0</v>
      </c>
      <c r="CO658" s="286">
        <f t="shared" si="15043"/>
        <v>0</v>
      </c>
      <c r="CP658" s="286">
        <f t="shared" si="15043"/>
        <v>0</v>
      </c>
      <c r="CQ658" s="286">
        <f t="shared" si="15043"/>
        <v>0</v>
      </c>
      <c r="CR658" s="286">
        <f t="shared" si="15043"/>
        <v>65854</v>
      </c>
      <c r="CS658" s="286">
        <f t="shared" si="15043"/>
        <v>-65854</v>
      </c>
      <c r="CT658" s="286">
        <f t="shared" si="15043"/>
        <v>3000</v>
      </c>
      <c r="CU658" s="286">
        <f t="shared" si="15043"/>
        <v>-3000</v>
      </c>
      <c r="CV658" s="286">
        <f t="shared" si="15043"/>
        <v>0</v>
      </c>
      <c r="CW658" s="286">
        <f t="shared" si="15043"/>
        <v>0</v>
      </c>
      <c r="CX658" s="286">
        <f t="shared" si="15043"/>
        <v>100000</v>
      </c>
      <c r="CY658" s="286">
        <f t="shared" si="15043"/>
        <v>-100000</v>
      </c>
      <c r="CZ658" s="286">
        <f t="shared" si="15043"/>
        <v>0</v>
      </c>
      <c r="DA658" s="286">
        <f t="shared" si="15043"/>
        <v>0</v>
      </c>
      <c r="DB658" s="286">
        <f t="shared" si="15043"/>
        <v>133000</v>
      </c>
      <c r="DC658" s="286">
        <f t="shared" si="15043"/>
        <v>-133000</v>
      </c>
      <c r="DD658" s="286">
        <f t="shared" si="15043"/>
        <v>11072</v>
      </c>
      <c r="DE658" s="286">
        <f t="shared" si="15043"/>
        <v>-11072</v>
      </c>
      <c r="DF658" s="286">
        <f t="shared" si="15043"/>
        <v>0</v>
      </c>
      <c r="DG658" s="286">
        <f t="shared" si="15043"/>
        <v>0</v>
      </c>
      <c r="DH658" s="286">
        <f t="shared" si="15043"/>
        <v>0</v>
      </c>
      <c r="DI658" s="286">
        <f t="shared" si="15043"/>
        <v>0</v>
      </c>
      <c r="DJ658" s="286">
        <f t="shared" si="15043"/>
        <v>0</v>
      </c>
      <c r="DK658" s="286">
        <f t="shared" si="15043"/>
        <v>0</v>
      </c>
      <c r="DL658" s="286">
        <f t="shared" si="15043"/>
        <v>45400</v>
      </c>
      <c r="DM658" s="286">
        <f t="shared" si="15043"/>
        <v>-45400</v>
      </c>
      <c r="DN658" s="286">
        <f t="shared" ref="DN658:DW658" si="15044">DN660</f>
        <v>230937</v>
      </c>
      <c r="DO658" s="286">
        <f t="shared" si="15044"/>
        <v>-230937</v>
      </c>
      <c r="DP658" s="286">
        <f t="shared" si="15044"/>
        <v>0</v>
      </c>
      <c r="DQ658" s="286">
        <f t="shared" si="15044"/>
        <v>0</v>
      </c>
      <c r="DR658" s="286">
        <f t="shared" si="15044"/>
        <v>62929</v>
      </c>
      <c r="DS658" s="286">
        <f t="shared" si="15044"/>
        <v>-62929</v>
      </c>
      <c r="DT658" s="286">
        <f t="shared" si="15044"/>
        <v>0</v>
      </c>
      <c r="DU658" s="286">
        <f t="shared" si="15044"/>
        <v>0</v>
      </c>
      <c r="DV658" s="286">
        <f t="shared" si="15044"/>
        <v>44000</v>
      </c>
      <c r="DW658" s="286">
        <f t="shared" si="15044"/>
        <v>-44000</v>
      </c>
      <c r="DX658" s="286">
        <f t="shared" si="15043"/>
        <v>130371</v>
      </c>
      <c r="DY658" s="286">
        <f t="shared" si="15043"/>
        <v>-130371</v>
      </c>
      <c r="DZ658" s="286">
        <f t="shared" ref="DZ658:FA658" si="15045">DZ660</f>
        <v>25843</v>
      </c>
      <c r="EA658" s="286">
        <f t="shared" si="15045"/>
        <v>-25843</v>
      </c>
      <c r="EB658" s="286">
        <f t="shared" si="15045"/>
        <v>0</v>
      </c>
      <c r="EC658" s="286">
        <f t="shared" si="15045"/>
        <v>0</v>
      </c>
      <c r="ED658" s="286">
        <f t="shared" si="15045"/>
        <v>0</v>
      </c>
      <c r="EE658" s="286">
        <f t="shared" si="15045"/>
        <v>0</v>
      </c>
      <c r="EF658" s="286">
        <f t="shared" si="15045"/>
        <v>0</v>
      </c>
      <c r="EG658" s="286">
        <f t="shared" si="15045"/>
        <v>0</v>
      </c>
      <c r="EH658" s="286">
        <f t="shared" ref="EH658:EM658" si="15046">EH660</f>
        <v>0</v>
      </c>
      <c r="EI658" s="286">
        <f t="shared" si="15046"/>
        <v>0</v>
      </c>
      <c r="EJ658" s="286">
        <f t="shared" si="15046"/>
        <v>0</v>
      </c>
      <c r="EK658" s="286">
        <f t="shared" si="15046"/>
        <v>0</v>
      </c>
      <c r="EL658" s="286">
        <f t="shared" si="15046"/>
        <v>0</v>
      </c>
      <c r="EM658" s="286">
        <f t="shared" si="15046"/>
        <v>0</v>
      </c>
      <c r="EN658" s="286">
        <f t="shared" si="15045"/>
        <v>49219</v>
      </c>
      <c r="EO658" s="286">
        <f t="shared" si="15045"/>
        <v>-49219</v>
      </c>
      <c r="EP658" s="286">
        <f t="shared" si="15045"/>
        <v>0</v>
      </c>
      <c r="EQ658" s="286">
        <f t="shared" si="15045"/>
        <v>0</v>
      </c>
      <c r="ER658" s="286">
        <f t="shared" si="15045"/>
        <v>49219</v>
      </c>
      <c r="ES658" s="286">
        <f t="shared" si="15045"/>
        <v>-49219</v>
      </c>
      <c r="ET658" s="286">
        <f t="shared" si="15045"/>
        <v>0</v>
      </c>
      <c r="EU658" s="286">
        <f t="shared" si="15045"/>
        <v>0</v>
      </c>
      <c r="EV658" s="286">
        <f t="shared" ref="EV658:EW658" si="15047">EV660</f>
        <v>0</v>
      </c>
      <c r="EW658" s="286">
        <f t="shared" si="15047"/>
        <v>0</v>
      </c>
      <c r="EX658" s="286">
        <f t="shared" si="15045"/>
        <v>0</v>
      </c>
      <c r="EY658" s="286">
        <f t="shared" si="15045"/>
        <v>0</v>
      </c>
      <c r="EZ658" s="286">
        <f t="shared" si="15045"/>
        <v>0</v>
      </c>
      <c r="FA658" s="286">
        <f t="shared" si="15045"/>
        <v>0</v>
      </c>
      <c r="FB658" s="286">
        <f t="shared" si="15043"/>
        <v>21946</v>
      </c>
      <c r="FC658" s="286">
        <f t="shared" si="15043"/>
        <v>-21946</v>
      </c>
      <c r="FD658" s="286">
        <f t="shared" si="15043"/>
        <v>0</v>
      </c>
      <c r="FE658" s="286">
        <f t="shared" si="15043"/>
        <v>0</v>
      </c>
      <c r="FF658" s="286">
        <f t="shared" ref="FF658:FG658" si="15048">FF660</f>
        <v>0</v>
      </c>
      <c r="FG658" s="286">
        <f t="shared" si="15048"/>
        <v>0</v>
      </c>
      <c r="FH658" s="286">
        <f t="shared" ref="FH658:FI658" si="15049">FH660</f>
        <v>0</v>
      </c>
      <c r="FI658" s="286">
        <f t="shared" si="15049"/>
        <v>0</v>
      </c>
      <c r="FJ658" s="286">
        <f t="shared" ref="FJ658:FK658" si="15050">FJ660</f>
        <v>0</v>
      </c>
      <c r="FK658" s="286">
        <f t="shared" si="15050"/>
        <v>0</v>
      </c>
      <c r="FL658" s="286">
        <f t="shared" ref="FL658:FM658" si="15051">FL660</f>
        <v>0</v>
      </c>
      <c r="FM658" s="286">
        <f t="shared" si="15051"/>
        <v>0</v>
      </c>
      <c r="FN658" s="286">
        <f t="shared" ref="FN658:FO658" si="15052">FN660</f>
        <v>78166</v>
      </c>
      <c r="FO658" s="286">
        <f t="shared" si="15052"/>
        <v>-78166</v>
      </c>
      <c r="FP658" s="286">
        <f t="shared" ref="FP658:FQ658" si="15053">FP660</f>
        <v>0</v>
      </c>
      <c r="FQ658" s="286">
        <f t="shared" si="15053"/>
        <v>0</v>
      </c>
      <c r="FR658" s="286">
        <f t="shared" ref="FR658:FS658" si="15054">FR660</f>
        <v>0</v>
      </c>
      <c r="FS658" s="286">
        <f t="shared" si="15054"/>
        <v>0</v>
      </c>
      <c r="FT658" s="286">
        <f t="shared" ref="FT658:FU658" si="15055">FT660</f>
        <v>0</v>
      </c>
      <c r="FU658" s="286">
        <f t="shared" si="15055"/>
        <v>0</v>
      </c>
      <c r="FV658" s="286">
        <f t="shared" ref="FV658:GK658" si="15056">FV660</f>
        <v>0</v>
      </c>
      <c r="FW658" s="286">
        <f t="shared" si="15056"/>
        <v>0</v>
      </c>
      <c r="FX658" s="286">
        <f t="shared" si="15056"/>
        <v>0</v>
      </c>
      <c r="FY658" s="286">
        <f t="shared" si="15056"/>
        <v>0</v>
      </c>
      <c r="FZ658" s="286">
        <f t="shared" ref="FZ658:GI658" si="15057">FZ660</f>
        <v>299000</v>
      </c>
      <c r="GA658" s="286">
        <f t="shared" si="15057"/>
        <v>-299000</v>
      </c>
      <c r="GB658" s="286">
        <f t="shared" si="15057"/>
        <v>0</v>
      </c>
      <c r="GC658" s="286">
        <f t="shared" si="15057"/>
        <v>0</v>
      </c>
      <c r="GD658" s="286">
        <f t="shared" si="15057"/>
        <v>0</v>
      </c>
      <c r="GE658" s="286">
        <f t="shared" si="15057"/>
        <v>0</v>
      </c>
      <c r="GF658" s="286">
        <f t="shared" si="15057"/>
        <v>0</v>
      </c>
      <c r="GG658" s="286">
        <f t="shared" si="15057"/>
        <v>0</v>
      </c>
      <c r="GH658" s="286">
        <f t="shared" si="15057"/>
        <v>0</v>
      </c>
      <c r="GI658" s="286">
        <f t="shared" si="15057"/>
        <v>0</v>
      </c>
      <c r="GJ658" s="286">
        <f t="shared" si="15056"/>
        <v>0</v>
      </c>
      <c r="GK658" s="286">
        <f t="shared" si="15056"/>
        <v>0</v>
      </c>
      <c r="GL658" s="286">
        <f t="shared" ref="GL658:GM658" si="15058">GL660</f>
        <v>0</v>
      </c>
      <c r="GM658" s="286">
        <f t="shared" si="15058"/>
        <v>0</v>
      </c>
      <c r="GN658" s="286">
        <f t="shared" ref="GN658:GO658" si="15059">GN660</f>
        <v>0</v>
      </c>
      <c r="GO658" s="286">
        <f t="shared" si="15059"/>
        <v>0</v>
      </c>
      <c r="GP658" s="286">
        <f t="shared" si="15043"/>
        <v>3753300</v>
      </c>
      <c r="GQ658" s="682">
        <f t="shared" si="15043"/>
        <v>-3753300</v>
      </c>
      <c r="GR658" s="286">
        <f t="shared" si="15043"/>
        <v>5000000</v>
      </c>
      <c r="GS658" s="286">
        <f t="shared" si="15043"/>
        <v>5000000</v>
      </c>
      <c r="GT658" s="286">
        <f t="shared" si="15043"/>
        <v>5000000</v>
      </c>
      <c r="GU658" s="286">
        <f t="shared" si="15043"/>
        <v>1036077</v>
      </c>
      <c r="GV658" s="286">
        <f t="shared" si="15043"/>
        <v>1700080</v>
      </c>
      <c r="GW658" s="286">
        <f t="shared" si="15043"/>
        <v>48880</v>
      </c>
      <c r="GX658" s="286">
        <f t="shared" si="15043"/>
        <v>804115</v>
      </c>
      <c r="GY658" s="286">
        <f t="shared" si="15043"/>
        <v>841550</v>
      </c>
      <c r="GZ658" s="286">
        <f t="shared" si="15043"/>
        <v>175000</v>
      </c>
      <c r="HA658" s="286">
        <f t="shared" si="15043"/>
        <v>366659</v>
      </c>
      <c r="HB658" s="286">
        <f t="shared" si="15043"/>
        <v>0</v>
      </c>
      <c r="HC658" s="286">
        <f t="shared" si="15043"/>
        <v>0</v>
      </c>
      <c r="HD658" s="286">
        <f t="shared" si="15043"/>
        <v>27639</v>
      </c>
      <c r="HE658" s="286">
        <f t="shared" si="15043"/>
        <v>0</v>
      </c>
      <c r="HF658" s="286">
        <f t="shared" ref="HF658:JQ658" si="15060">HF660</f>
        <v>0</v>
      </c>
      <c r="HG658" s="286">
        <f t="shared" si="15060"/>
        <v>5000000</v>
      </c>
      <c r="HH658" s="286">
        <f t="shared" ref="HH658:HI658" si="15061">HH660</f>
        <v>0</v>
      </c>
      <c r="HI658" s="822">
        <f t="shared" si="15061"/>
        <v>0</v>
      </c>
      <c r="HJ658" s="286">
        <f t="shared" ref="HJ658:HK658" si="15062">HJ660</f>
        <v>0</v>
      </c>
      <c r="HK658" s="822">
        <f t="shared" si="15062"/>
        <v>0</v>
      </c>
      <c r="HL658" s="286">
        <f t="shared" ref="HL658:HM658" si="15063">HL660</f>
        <v>0</v>
      </c>
      <c r="HM658" s="822">
        <f t="shared" si="15063"/>
        <v>1036077</v>
      </c>
      <c r="HN658" s="286">
        <f t="shared" ref="HN658:HO658" si="15064">HN660</f>
        <v>0</v>
      </c>
      <c r="HO658" s="822">
        <f t="shared" si="15064"/>
        <v>1459975</v>
      </c>
      <c r="HP658" s="286">
        <f t="shared" ref="HP658:HQ658" si="15065">HP660</f>
        <v>0</v>
      </c>
      <c r="HQ658" s="822">
        <f t="shared" si="15065"/>
        <v>0</v>
      </c>
      <c r="HR658" s="286">
        <f t="shared" ref="HR658:HS658" si="15066">HR660</f>
        <v>0</v>
      </c>
      <c r="HS658" s="822">
        <f t="shared" si="15066"/>
        <v>0</v>
      </c>
      <c r="HT658" s="286">
        <f t="shared" ref="HT658:HU658" si="15067">HT660</f>
        <v>0</v>
      </c>
      <c r="HU658" s="822">
        <f t="shared" si="15067"/>
        <v>1467874</v>
      </c>
      <c r="HV658" s="286">
        <f t="shared" ref="HV658:HW658" si="15068">HV660</f>
        <v>0</v>
      </c>
      <c r="HW658" s="822">
        <f t="shared" si="15068"/>
        <v>0</v>
      </c>
      <c r="HX658" s="286">
        <f t="shared" ref="HX658:HY658" si="15069">HX660</f>
        <v>0</v>
      </c>
      <c r="HY658" s="822">
        <f t="shared" si="15069"/>
        <v>0</v>
      </c>
      <c r="HZ658" s="286">
        <f t="shared" ref="HZ658:IA658" si="15070">HZ660</f>
        <v>0</v>
      </c>
      <c r="IA658" s="822">
        <f t="shared" si="15070"/>
        <v>1036074</v>
      </c>
      <c r="IB658" s="286">
        <f t="shared" ref="IB658:IC658" si="15071">IB660</f>
        <v>0</v>
      </c>
      <c r="IC658" s="822">
        <f t="shared" si="15071"/>
        <v>0</v>
      </c>
      <c r="ID658" s="286">
        <f t="shared" si="15060"/>
        <v>0</v>
      </c>
      <c r="IE658" s="822">
        <f t="shared" si="15060"/>
        <v>0</v>
      </c>
      <c r="IF658" s="863">
        <f t="shared" si="15060"/>
        <v>1695381.5</v>
      </c>
      <c r="IG658" s="286">
        <f t="shared" si="15060"/>
        <v>1695381.5</v>
      </c>
      <c r="IH658" s="864">
        <f t="shared" si="15060"/>
        <v>1695381.5</v>
      </c>
      <c r="II658" s="286">
        <f t="shared" ref="II658:IK658" si="15072">II660</f>
        <v>14812</v>
      </c>
      <c r="IJ658" s="286">
        <f t="shared" si="15072"/>
        <v>14812</v>
      </c>
      <c r="IK658" s="286">
        <f t="shared" si="15072"/>
        <v>14812</v>
      </c>
      <c r="IL658" s="286">
        <f t="shared" ref="IL658:IN658" si="15073">IL660</f>
        <v>46109.73</v>
      </c>
      <c r="IM658" s="286">
        <f t="shared" si="15073"/>
        <v>46109.73</v>
      </c>
      <c r="IN658" s="286">
        <f t="shared" si="15073"/>
        <v>46109.73</v>
      </c>
      <c r="IO658" s="286">
        <f t="shared" ref="IO658:IQ658" si="15074">IO660</f>
        <v>179959.04000000001</v>
      </c>
      <c r="IP658" s="286">
        <f t="shared" si="15074"/>
        <v>179959.04000000001</v>
      </c>
      <c r="IQ658" s="286">
        <f t="shared" si="15074"/>
        <v>179959.04000000001</v>
      </c>
      <c r="IR658" s="286">
        <f t="shared" ref="IR658:IT658" si="15075">IR660</f>
        <v>567617.24</v>
      </c>
      <c r="IS658" s="286">
        <f t="shared" si="15075"/>
        <v>567617.24</v>
      </c>
      <c r="IT658" s="286">
        <f t="shared" si="15075"/>
        <v>567617.24</v>
      </c>
      <c r="IU658" s="286">
        <f t="shared" ref="IU658:IW658" si="15076">IU660</f>
        <v>50835.67</v>
      </c>
      <c r="IV658" s="286">
        <f t="shared" si="15076"/>
        <v>50835.67</v>
      </c>
      <c r="IW658" s="286">
        <f t="shared" si="15076"/>
        <v>50835.67</v>
      </c>
      <c r="IX658" s="286">
        <f t="shared" ref="IX658:IZ658" si="15077">IX660</f>
        <v>25178.68</v>
      </c>
      <c r="IY658" s="286">
        <f t="shared" si="15077"/>
        <v>25178.68</v>
      </c>
      <c r="IZ658" s="286">
        <f t="shared" si="15077"/>
        <v>25178.68</v>
      </c>
      <c r="JA658" s="286">
        <f t="shared" ref="JA658:JC658" si="15078">JA660</f>
        <v>238644.17999999996</v>
      </c>
      <c r="JB658" s="286">
        <f t="shared" si="15078"/>
        <v>238644.17999999996</v>
      </c>
      <c r="JC658" s="286">
        <f t="shared" si="15078"/>
        <v>238644.17999999996</v>
      </c>
      <c r="JD658" s="286">
        <f t="shared" ref="JD658:JF658" si="15079">JD660</f>
        <v>30203.430000000008</v>
      </c>
      <c r="JE658" s="286">
        <f t="shared" si="15079"/>
        <v>30203.430000000008</v>
      </c>
      <c r="JF658" s="286">
        <f t="shared" si="15079"/>
        <v>30203.430000000008</v>
      </c>
      <c r="JG658" s="286">
        <f t="shared" ref="JG658:JI658" si="15080">JG660</f>
        <v>327911.90999999997</v>
      </c>
      <c r="JH658" s="286">
        <f t="shared" si="15080"/>
        <v>327911.90999999997</v>
      </c>
      <c r="JI658" s="286">
        <f t="shared" si="15080"/>
        <v>327911.90999999997</v>
      </c>
      <c r="JJ658" s="286">
        <f t="shared" ref="JJ658:JL658" si="15081">JJ660</f>
        <v>214109.62</v>
      </c>
      <c r="JK658" s="286">
        <f t="shared" si="15081"/>
        <v>214109.62</v>
      </c>
      <c r="JL658" s="286">
        <f t="shared" si="15081"/>
        <v>214109.62</v>
      </c>
      <c r="JM658" s="286">
        <f t="shared" ref="JM658:JO658" si="15082">JM660</f>
        <v>0</v>
      </c>
      <c r="JN658" s="286">
        <f t="shared" si="15082"/>
        <v>0</v>
      </c>
      <c r="JO658" s="286">
        <f t="shared" si="15082"/>
        <v>0</v>
      </c>
      <c r="JP658" s="286">
        <f t="shared" si="15060"/>
        <v>0</v>
      </c>
      <c r="JQ658" s="286">
        <f t="shared" si="15060"/>
        <v>0</v>
      </c>
      <c r="JR658" s="286">
        <f t="shared" ref="JR658:JT658" si="15083">JR660</f>
        <v>0</v>
      </c>
      <c r="JS658" s="286">
        <f t="shared" si="15083"/>
        <v>3304618.5</v>
      </c>
      <c r="JT658" s="286">
        <f t="shared" si="15083"/>
        <v>3304618.5</v>
      </c>
      <c r="JU658" s="665"/>
      <c r="JV658" s="524"/>
      <c r="JW658" s="525"/>
      <c r="JX658" s="286">
        <f>+JX660+JX721+JX764</f>
        <v>0</v>
      </c>
      <c r="JY658" s="286">
        <f>JY660</f>
        <v>5000000</v>
      </c>
      <c r="JZ658" s="286">
        <f t="shared" ref="JZ658:KA658" si="15084">JZ660</f>
        <v>3753300</v>
      </c>
      <c r="KA658" s="286">
        <f t="shared" si="15084"/>
        <v>-3753300</v>
      </c>
      <c r="KB658" s="286">
        <f>SUM(JX658:KA658)</f>
        <v>5000000</v>
      </c>
      <c r="KC658" s="709">
        <f>HG658-KB658</f>
        <v>0</v>
      </c>
      <c r="KD658" s="380"/>
      <c r="KE658" s="380"/>
      <c r="KF658" s="380"/>
      <c r="KG658" s="380"/>
      <c r="KH658" s="380"/>
      <c r="KI658" s="380"/>
      <c r="KJ658" s="380"/>
      <c r="KK658" s="380"/>
    </row>
    <row r="659" spans="1:297" s="9" customFormat="1" ht="15.75" customHeight="1">
      <c r="A659" s="80"/>
      <c r="B659" s="72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74"/>
      <c r="Z659" s="74"/>
      <c r="AA659" s="74"/>
      <c r="AB659" s="74"/>
      <c r="AC659" s="74"/>
      <c r="AD659" s="74"/>
      <c r="AE659" s="74"/>
      <c r="AF659" s="74"/>
      <c r="AG659" s="74"/>
      <c r="AH659" s="74"/>
      <c r="AI659" s="74"/>
      <c r="AJ659" s="74"/>
      <c r="AK659" s="74"/>
      <c r="AL659" s="74"/>
      <c r="AM659" s="74"/>
      <c r="AN659" s="74"/>
      <c r="AO659" s="74"/>
      <c r="AP659" s="74"/>
      <c r="AQ659" s="74"/>
      <c r="AR659" s="74"/>
      <c r="AS659" s="74"/>
      <c r="AT659" s="74"/>
      <c r="AU659" s="74"/>
      <c r="AV659" s="74"/>
      <c r="AW659" s="74"/>
      <c r="AX659" s="74"/>
      <c r="AY659" s="74"/>
      <c r="AZ659" s="74"/>
      <c r="BA659" s="74"/>
      <c r="BB659" s="74"/>
      <c r="BC659" s="74"/>
      <c r="BD659" s="74"/>
      <c r="BE659" s="74"/>
      <c r="BF659" s="74"/>
      <c r="BG659" s="74"/>
      <c r="BH659" s="74"/>
      <c r="BI659" s="74"/>
      <c r="BJ659" s="74"/>
      <c r="BK659" s="74"/>
      <c r="BL659" s="74"/>
      <c r="BM659" s="74"/>
      <c r="BN659" s="74"/>
      <c r="BO659" s="74"/>
      <c r="BP659" s="74"/>
      <c r="BQ659" s="74"/>
      <c r="BR659" s="74"/>
      <c r="BS659" s="74"/>
      <c r="BT659" s="74"/>
      <c r="BU659" s="74"/>
      <c r="BV659" s="74"/>
      <c r="BW659" s="74"/>
      <c r="BX659" s="74"/>
      <c r="BY659" s="74"/>
      <c r="BZ659" s="74"/>
      <c r="CA659" s="74"/>
      <c r="CB659" s="74"/>
      <c r="CC659" s="74"/>
      <c r="CD659" s="74"/>
      <c r="CE659" s="74"/>
      <c r="CF659" s="74"/>
      <c r="CG659" s="74"/>
      <c r="CH659" s="74"/>
      <c r="CI659" s="74"/>
      <c r="CJ659" s="74"/>
      <c r="CK659" s="74"/>
      <c r="CL659" s="74"/>
      <c r="CM659" s="74"/>
      <c r="CN659" s="74"/>
      <c r="CO659" s="74"/>
      <c r="CP659" s="74"/>
      <c r="CQ659" s="74"/>
      <c r="CR659" s="74"/>
      <c r="CS659" s="74"/>
      <c r="CT659" s="74"/>
      <c r="CU659" s="74"/>
      <c r="CV659" s="74"/>
      <c r="CW659" s="74"/>
      <c r="CX659" s="74"/>
      <c r="CY659" s="74"/>
      <c r="CZ659" s="74"/>
      <c r="DA659" s="74"/>
      <c r="DB659" s="74"/>
      <c r="DC659" s="74"/>
      <c r="DD659" s="74"/>
      <c r="DE659" s="74"/>
      <c r="DF659" s="74"/>
      <c r="DG659" s="74"/>
      <c r="DH659" s="74"/>
      <c r="DI659" s="74"/>
      <c r="DJ659" s="74"/>
      <c r="DK659" s="74"/>
      <c r="DL659" s="74"/>
      <c r="DM659" s="74"/>
      <c r="DN659" s="74"/>
      <c r="DO659" s="74"/>
      <c r="DP659" s="74"/>
      <c r="DQ659" s="74"/>
      <c r="DR659" s="74"/>
      <c r="DS659" s="74"/>
      <c r="DT659" s="74"/>
      <c r="DU659" s="74"/>
      <c r="DV659" s="74"/>
      <c r="DW659" s="74"/>
      <c r="DX659" s="74"/>
      <c r="DY659" s="74"/>
      <c r="DZ659" s="74"/>
      <c r="EA659" s="74"/>
      <c r="EB659" s="74"/>
      <c r="EC659" s="74"/>
      <c r="ED659" s="74"/>
      <c r="EE659" s="74"/>
      <c r="EF659" s="74"/>
      <c r="EG659" s="74"/>
      <c r="EH659" s="74"/>
      <c r="EI659" s="74"/>
      <c r="EJ659" s="74"/>
      <c r="EK659" s="74"/>
      <c r="EL659" s="74"/>
      <c r="EM659" s="74"/>
      <c r="EN659" s="74"/>
      <c r="EO659" s="74"/>
      <c r="EP659" s="74"/>
      <c r="EQ659" s="74"/>
      <c r="ER659" s="74"/>
      <c r="ES659" s="74"/>
      <c r="ET659" s="74"/>
      <c r="EU659" s="74"/>
      <c r="EV659" s="74"/>
      <c r="EW659" s="74"/>
      <c r="EX659" s="74"/>
      <c r="EY659" s="74"/>
      <c r="EZ659" s="74"/>
      <c r="FA659" s="74"/>
      <c r="FB659" s="74"/>
      <c r="FC659" s="74"/>
      <c r="FD659" s="74"/>
      <c r="FE659" s="74"/>
      <c r="FF659" s="74"/>
      <c r="FG659" s="74"/>
      <c r="FH659" s="74"/>
      <c r="FI659" s="74"/>
      <c r="FJ659" s="74"/>
      <c r="FK659" s="74"/>
      <c r="FL659" s="74"/>
      <c r="FM659" s="74"/>
      <c r="FN659" s="74"/>
      <c r="FO659" s="74"/>
      <c r="FP659" s="74"/>
      <c r="FQ659" s="74"/>
      <c r="FR659" s="74"/>
      <c r="FS659" s="74"/>
      <c r="FT659" s="74"/>
      <c r="FU659" s="74"/>
      <c r="FV659" s="74"/>
      <c r="FW659" s="74"/>
      <c r="FX659" s="74"/>
      <c r="FY659" s="74"/>
      <c r="FZ659" s="74"/>
      <c r="GA659" s="74"/>
      <c r="GB659" s="74"/>
      <c r="GC659" s="74"/>
      <c r="GD659" s="74"/>
      <c r="GE659" s="74"/>
      <c r="GF659" s="74"/>
      <c r="GG659" s="74"/>
      <c r="GH659" s="74"/>
      <c r="GI659" s="74"/>
      <c r="GJ659" s="74"/>
      <c r="GK659" s="74"/>
      <c r="GL659" s="74"/>
      <c r="GM659" s="74"/>
      <c r="GN659" s="74"/>
      <c r="GO659" s="74"/>
      <c r="GP659" s="74"/>
      <c r="GQ659" s="675"/>
      <c r="GR659" s="74"/>
      <c r="GS659" s="74"/>
      <c r="GT659" s="74"/>
      <c r="GU659" s="74"/>
      <c r="GV659" s="74"/>
      <c r="GW659" s="74"/>
      <c r="GX659" s="74"/>
      <c r="GY659" s="74"/>
      <c r="GZ659" s="74"/>
      <c r="HA659" s="74"/>
      <c r="HB659" s="74"/>
      <c r="HC659" s="74"/>
      <c r="HD659" s="74"/>
      <c r="HE659" s="74"/>
      <c r="HF659" s="74"/>
      <c r="HG659" s="74"/>
      <c r="HH659" s="74"/>
      <c r="HI659" s="792"/>
      <c r="HJ659" s="74"/>
      <c r="HK659" s="792"/>
      <c r="HL659" s="74"/>
      <c r="HM659" s="792"/>
      <c r="HN659" s="74"/>
      <c r="HO659" s="792"/>
      <c r="HP659" s="74"/>
      <c r="HQ659" s="792"/>
      <c r="HR659" s="74"/>
      <c r="HS659" s="792"/>
      <c r="HT659" s="74"/>
      <c r="HU659" s="792"/>
      <c r="HV659" s="74"/>
      <c r="HW659" s="792"/>
      <c r="HX659" s="74"/>
      <c r="HY659" s="792"/>
      <c r="HZ659" s="74"/>
      <c r="IA659" s="792"/>
      <c r="IB659" s="74"/>
      <c r="IC659" s="792"/>
      <c r="ID659" s="74"/>
      <c r="IE659" s="792"/>
      <c r="IF659" s="853"/>
      <c r="IG659" s="74"/>
      <c r="IH659" s="575"/>
      <c r="II659" s="74"/>
      <c r="IJ659" s="74"/>
      <c r="IK659" s="74"/>
      <c r="IL659" s="74"/>
      <c r="IM659" s="74"/>
      <c r="IN659" s="74"/>
      <c r="IO659" s="74"/>
      <c r="IP659" s="74"/>
      <c r="IQ659" s="74"/>
      <c r="IR659" s="74"/>
      <c r="IS659" s="74"/>
      <c r="IT659" s="74"/>
      <c r="IU659" s="74"/>
      <c r="IV659" s="74"/>
      <c r="IW659" s="74"/>
      <c r="IX659" s="74"/>
      <c r="IY659" s="74"/>
      <c r="IZ659" s="74"/>
      <c r="JA659" s="74"/>
      <c r="JB659" s="74"/>
      <c r="JC659" s="74"/>
      <c r="JD659" s="74"/>
      <c r="JE659" s="74"/>
      <c r="JF659" s="74"/>
      <c r="JG659" s="74"/>
      <c r="JH659" s="74"/>
      <c r="JI659" s="74"/>
      <c r="JJ659" s="74"/>
      <c r="JK659" s="74"/>
      <c r="JL659" s="74"/>
      <c r="JM659" s="74"/>
      <c r="JN659" s="74"/>
      <c r="JO659" s="74"/>
      <c r="JP659" s="74"/>
      <c r="JQ659" s="74"/>
      <c r="JR659" s="74"/>
      <c r="JS659" s="74"/>
      <c r="JT659" s="74"/>
      <c r="JU659" s="665"/>
      <c r="JV659" s="524"/>
      <c r="JW659" s="525"/>
      <c r="JX659" s="74"/>
      <c r="JY659" s="74"/>
      <c r="JZ659" s="74"/>
      <c r="KA659" s="74"/>
      <c r="KB659" s="74"/>
      <c r="KC659" s="709">
        <f t="shared" si="14739"/>
        <v>0</v>
      </c>
      <c r="KD659" s="36"/>
      <c r="KE659" s="36"/>
      <c r="KF659" s="36"/>
      <c r="KG659" s="36"/>
      <c r="KH659" s="36"/>
      <c r="KI659" s="36"/>
      <c r="KJ659" s="36"/>
      <c r="KK659" s="36"/>
    </row>
    <row r="660" spans="1:297" s="273" customFormat="1" ht="15.75" customHeight="1">
      <c r="A660" s="608" t="s">
        <v>934</v>
      </c>
      <c r="B660" s="506" t="s">
        <v>345</v>
      </c>
      <c r="C660" s="507">
        <f t="shared" ref="C660:AQ660" si="15085">+C662+C721+C764</f>
        <v>5000000</v>
      </c>
      <c r="D660" s="507">
        <f t="shared" si="15085"/>
        <v>0</v>
      </c>
      <c r="E660" s="507">
        <f t="shared" si="15085"/>
        <v>0</v>
      </c>
      <c r="F660" s="507">
        <f t="shared" si="15085"/>
        <v>0</v>
      </c>
      <c r="G660" s="507">
        <f t="shared" si="15085"/>
        <v>0</v>
      </c>
      <c r="H660" s="507">
        <f t="shared" si="15085"/>
        <v>0</v>
      </c>
      <c r="I660" s="507">
        <f t="shared" si="15085"/>
        <v>0</v>
      </c>
      <c r="J660" s="507">
        <f t="shared" si="15085"/>
        <v>227500</v>
      </c>
      <c r="K660" s="507">
        <f t="shared" si="15085"/>
        <v>-227500</v>
      </c>
      <c r="L660" s="507">
        <f t="shared" si="15085"/>
        <v>0</v>
      </c>
      <c r="M660" s="507">
        <f t="shared" si="15085"/>
        <v>0</v>
      </c>
      <c r="N660" s="507">
        <f t="shared" si="15085"/>
        <v>186132</v>
      </c>
      <c r="O660" s="507">
        <f t="shared" si="15085"/>
        <v>-186132</v>
      </c>
      <c r="P660" s="507">
        <f t="shared" si="15085"/>
        <v>0</v>
      </c>
      <c r="Q660" s="507">
        <f t="shared" si="15085"/>
        <v>0</v>
      </c>
      <c r="R660" s="507">
        <f t="shared" si="15085"/>
        <v>0</v>
      </c>
      <c r="S660" s="507">
        <f t="shared" si="15085"/>
        <v>0</v>
      </c>
      <c r="T660" s="507">
        <f t="shared" si="15085"/>
        <v>201300</v>
      </c>
      <c r="U660" s="507">
        <f t="shared" si="15085"/>
        <v>-201300</v>
      </c>
      <c r="V660" s="507">
        <f t="shared" si="15085"/>
        <v>0</v>
      </c>
      <c r="W660" s="507">
        <f t="shared" si="15085"/>
        <v>0</v>
      </c>
      <c r="X660" s="507">
        <f t="shared" si="15085"/>
        <v>0</v>
      </c>
      <c r="Y660" s="507">
        <f t="shared" si="15085"/>
        <v>0</v>
      </c>
      <c r="Z660" s="507">
        <f t="shared" si="15085"/>
        <v>266314</v>
      </c>
      <c r="AA660" s="507">
        <f t="shared" si="15085"/>
        <v>-266314</v>
      </c>
      <c r="AB660" s="507">
        <f t="shared" si="15085"/>
        <v>128901</v>
      </c>
      <c r="AC660" s="507">
        <f t="shared" si="15085"/>
        <v>-128901</v>
      </c>
      <c r="AD660" s="507">
        <f t="shared" si="15085"/>
        <v>0</v>
      </c>
      <c r="AE660" s="507">
        <f t="shared" si="15085"/>
        <v>0</v>
      </c>
      <c r="AF660" s="507">
        <f t="shared" si="15085"/>
        <v>0</v>
      </c>
      <c r="AG660" s="507">
        <f t="shared" si="15085"/>
        <v>0</v>
      </c>
      <c r="AH660" s="507">
        <f t="shared" si="15085"/>
        <v>0</v>
      </c>
      <c r="AI660" s="507">
        <f t="shared" si="15085"/>
        <v>0</v>
      </c>
      <c r="AJ660" s="507">
        <f t="shared" si="15085"/>
        <v>0</v>
      </c>
      <c r="AK660" s="507">
        <f t="shared" si="15085"/>
        <v>0</v>
      </c>
      <c r="AL660" s="507">
        <f t="shared" si="15085"/>
        <v>0</v>
      </c>
      <c r="AM660" s="507">
        <f t="shared" si="15085"/>
        <v>0</v>
      </c>
      <c r="AN660" s="507">
        <f t="shared" si="15085"/>
        <v>0</v>
      </c>
      <c r="AO660" s="507">
        <f t="shared" si="15085"/>
        <v>0</v>
      </c>
      <c r="AP660" s="507">
        <f t="shared" si="15085"/>
        <v>269095</v>
      </c>
      <c r="AQ660" s="507">
        <f t="shared" si="15085"/>
        <v>-269095</v>
      </c>
      <c r="AR660" s="507">
        <f t="shared" ref="AR660:DA660" si="15086">+AR662+AR721+AR764</f>
        <v>0</v>
      </c>
      <c r="AS660" s="507">
        <f t="shared" si="15086"/>
        <v>0</v>
      </c>
      <c r="AT660" s="507">
        <f t="shared" si="15086"/>
        <v>0</v>
      </c>
      <c r="AU660" s="507">
        <f t="shared" si="15086"/>
        <v>0</v>
      </c>
      <c r="AV660" s="507">
        <f t="shared" si="15086"/>
        <v>0</v>
      </c>
      <c r="AW660" s="507">
        <f t="shared" si="15086"/>
        <v>0</v>
      </c>
      <c r="AX660" s="507">
        <f t="shared" si="15086"/>
        <v>298905</v>
      </c>
      <c r="AY660" s="507">
        <f t="shared" si="15086"/>
        <v>-298905</v>
      </c>
      <c r="AZ660" s="507">
        <f t="shared" ref="AZ660:BA660" si="15087">+AZ662+AZ721+AZ764</f>
        <v>0</v>
      </c>
      <c r="BA660" s="507">
        <f t="shared" si="15087"/>
        <v>0</v>
      </c>
      <c r="BB660" s="507">
        <f t="shared" ref="BB660:BC660" si="15088">+BB662+BB721+BB764</f>
        <v>290000</v>
      </c>
      <c r="BC660" s="507">
        <f t="shared" si="15088"/>
        <v>-290000</v>
      </c>
      <c r="BD660" s="507">
        <f t="shared" ref="BD660:BE660" si="15089">+BD662+BD721+BD764</f>
        <v>0</v>
      </c>
      <c r="BE660" s="507">
        <f t="shared" si="15089"/>
        <v>0</v>
      </c>
      <c r="BF660" s="507">
        <f t="shared" ref="BF660:BG660" si="15090">+BF662+BF721+BF764</f>
        <v>0</v>
      </c>
      <c r="BG660" s="507">
        <f t="shared" si="15090"/>
        <v>0</v>
      </c>
      <c r="BH660" s="507">
        <f t="shared" ref="BH660:BI660" si="15091">+BH662+BH721+BH764</f>
        <v>0</v>
      </c>
      <c r="BI660" s="507">
        <f t="shared" si="15091"/>
        <v>0</v>
      </c>
      <c r="BJ660" s="507">
        <f t="shared" ref="BJ660:BK660" si="15092">+BJ662+BJ721+BJ764</f>
        <v>0</v>
      </c>
      <c r="BK660" s="507">
        <f t="shared" si="15092"/>
        <v>0</v>
      </c>
      <c r="BL660" s="507">
        <f t="shared" ref="BL660:BM660" si="15093">+BL662+BL721+BL764</f>
        <v>0</v>
      </c>
      <c r="BM660" s="507">
        <f t="shared" si="15093"/>
        <v>0</v>
      </c>
      <c r="BN660" s="507">
        <f t="shared" ref="BN660:BO660" si="15094">+BN662+BN721+BN764</f>
        <v>0</v>
      </c>
      <c r="BO660" s="507">
        <f t="shared" si="15094"/>
        <v>0</v>
      </c>
      <c r="BP660" s="507">
        <f t="shared" ref="BP660:BQ660" si="15095">+BP662+BP721+BP764</f>
        <v>0</v>
      </c>
      <c r="BQ660" s="507">
        <f t="shared" si="15095"/>
        <v>0</v>
      </c>
      <c r="BR660" s="507">
        <f t="shared" ref="BR660:BS660" si="15096">+BR662+BR721+BR764</f>
        <v>116922</v>
      </c>
      <c r="BS660" s="507">
        <f t="shared" si="15096"/>
        <v>-116922</v>
      </c>
      <c r="BT660" s="507">
        <f t="shared" ref="BT660:BU660" si="15097">+BT662+BT721+BT764</f>
        <v>231000</v>
      </c>
      <c r="BU660" s="507">
        <f t="shared" si="15097"/>
        <v>-231000</v>
      </c>
      <c r="BV660" s="507">
        <f t="shared" ref="BV660:BW660" si="15098">+BV662+BV721+BV764</f>
        <v>0</v>
      </c>
      <c r="BW660" s="507">
        <f t="shared" si="15098"/>
        <v>0</v>
      </c>
      <c r="BX660" s="507">
        <f t="shared" ref="BX660:BY660" si="15099">+BX662+BX721+BX764</f>
        <v>12012</v>
      </c>
      <c r="BY660" s="507">
        <f t="shared" si="15099"/>
        <v>-12012</v>
      </c>
      <c r="BZ660" s="507">
        <f t="shared" ref="BZ660:CA660" si="15100">+BZ662+BZ721+BZ764</f>
        <v>0</v>
      </c>
      <c r="CA660" s="507">
        <f t="shared" si="15100"/>
        <v>0</v>
      </c>
      <c r="CB660" s="507">
        <f t="shared" si="15086"/>
        <v>0</v>
      </c>
      <c r="CC660" s="507">
        <f t="shared" si="15086"/>
        <v>0</v>
      </c>
      <c r="CD660" s="507">
        <f t="shared" si="15086"/>
        <v>0</v>
      </c>
      <c r="CE660" s="507">
        <f t="shared" si="15086"/>
        <v>0</v>
      </c>
      <c r="CF660" s="507">
        <f t="shared" si="15086"/>
        <v>175263</v>
      </c>
      <c r="CG660" s="507">
        <f t="shared" si="15086"/>
        <v>-175263</v>
      </c>
      <c r="CH660" s="507">
        <f t="shared" si="15086"/>
        <v>0</v>
      </c>
      <c r="CI660" s="507">
        <f t="shared" si="15086"/>
        <v>0</v>
      </c>
      <c r="CJ660" s="507">
        <f t="shared" si="15086"/>
        <v>0</v>
      </c>
      <c r="CK660" s="507">
        <f t="shared" si="15086"/>
        <v>0</v>
      </c>
      <c r="CL660" s="507">
        <f t="shared" si="15086"/>
        <v>0</v>
      </c>
      <c r="CM660" s="507">
        <f t="shared" si="15086"/>
        <v>0</v>
      </c>
      <c r="CN660" s="507">
        <f t="shared" si="15086"/>
        <v>0</v>
      </c>
      <c r="CO660" s="507">
        <f t="shared" si="15086"/>
        <v>0</v>
      </c>
      <c r="CP660" s="507">
        <f t="shared" si="15086"/>
        <v>0</v>
      </c>
      <c r="CQ660" s="507">
        <f t="shared" si="15086"/>
        <v>0</v>
      </c>
      <c r="CR660" s="507">
        <f t="shared" si="15086"/>
        <v>65854</v>
      </c>
      <c r="CS660" s="507">
        <f t="shared" si="15086"/>
        <v>-65854</v>
      </c>
      <c r="CT660" s="507">
        <f t="shared" si="15086"/>
        <v>3000</v>
      </c>
      <c r="CU660" s="507">
        <f t="shared" si="15086"/>
        <v>-3000</v>
      </c>
      <c r="CV660" s="507">
        <f t="shared" si="15086"/>
        <v>0</v>
      </c>
      <c r="CW660" s="507">
        <f t="shared" si="15086"/>
        <v>0</v>
      </c>
      <c r="CX660" s="507">
        <f t="shared" si="15086"/>
        <v>100000</v>
      </c>
      <c r="CY660" s="507">
        <f t="shared" si="15086"/>
        <v>-100000</v>
      </c>
      <c r="CZ660" s="507">
        <f t="shared" si="15086"/>
        <v>0</v>
      </c>
      <c r="DA660" s="507">
        <f t="shared" si="15086"/>
        <v>0</v>
      </c>
      <c r="DB660" s="507">
        <f t="shared" ref="DB660:DC660" si="15101">+DB662+DB721+DB764</f>
        <v>133000</v>
      </c>
      <c r="DC660" s="507">
        <f t="shared" si="15101"/>
        <v>-133000</v>
      </c>
      <c r="DD660" s="507">
        <f t="shared" ref="DD660:GT660" si="15102">+DD662+DD721+DD764</f>
        <v>11072</v>
      </c>
      <c r="DE660" s="507">
        <f t="shared" si="15102"/>
        <v>-11072</v>
      </c>
      <c r="DF660" s="507">
        <f t="shared" si="15102"/>
        <v>0</v>
      </c>
      <c r="DG660" s="507">
        <f t="shared" si="15102"/>
        <v>0</v>
      </c>
      <c r="DH660" s="507">
        <f t="shared" si="15102"/>
        <v>0</v>
      </c>
      <c r="DI660" s="507">
        <f t="shared" si="15102"/>
        <v>0</v>
      </c>
      <c r="DJ660" s="507">
        <f t="shared" si="15102"/>
        <v>0</v>
      </c>
      <c r="DK660" s="507">
        <f t="shared" si="15102"/>
        <v>0</v>
      </c>
      <c r="DL660" s="507">
        <f t="shared" si="15102"/>
        <v>45400</v>
      </c>
      <c r="DM660" s="507">
        <f t="shared" si="15102"/>
        <v>-45400</v>
      </c>
      <c r="DN660" s="507">
        <f t="shared" si="15102"/>
        <v>230937</v>
      </c>
      <c r="DO660" s="507">
        <f t="shared" si="15102"/>
        <v>-230937</v>
      </c>
      <c r="DP660" s="507">
        <f t="shared" si="15102"/>
        <v>0</v>
      </c>
      <c r="DQ660" s="507">
        <f t="shared" si="15102"/>
        <v>0</v>
      </c>
      <c r="DR660" s="507">
        <f t="shared" si="15102"/>
        <v>62929</v>
      </c>
      <c r="DS660" s="507">
        <f t="shared" si="15102"/>
        <v>-62929</v>
      </c>
      <c r="DT660" s="507">
        <f t="shared" si="15102"/>
        <v>0</v>
      </c>
      <c r="DU660" s="507">
        <f t="shared" si="15102"/>
        <v>0</v>
      </c>
      <c r="DV660" s="507">
        <f t="shared" si="15102"/>
        <v>44000</v>
      </c>
      <c r="DW660" s="507">
        <f t="shared" si="15102"/>
        <v>-44000</v>
      </c>
      <c r="DX660" s="507">
        <f t="shared" si="15102"/>
        <v>130371</v>
      </c>
      <c r="DY660" s="507">
        <f t="shared" si="15102"/>
        <v>-130371</v>
      </c>
      <c r="DZ660" s="507">
        <f t="shared" si="15102"/>
        <v>25843</v>
      </c>
      <c r="EA660" s="507">
        <f t="shared" si="15102"/>
        <v>-25843</v>
      </c>
      <c r="EB660" s="507">
        <f t="shared" si="15102"/>
        <v>0</v>
      </c>
      <c r="EC660" s="507">
        <f t="shared" si="15102"/>
        <v>0</v>
      </c>
      <c r="ED660" s="507">
        <f t="shared" si="15102"/>
        <v>0</v>
      </c>
      <c r="EE660" s="507">
        <f t="shared" si="15102"/>
        <v>0</v>
      </c>
      <c r="EF660" s="507">
        <f t="shared" si="15102"/>
        <v>0</v>
      </c>
      <c r="EG660" s="507">
        <f t="shared" si="15102"/>
        <v>0</v>
      </c>
      <c r="EH660" s="507">
        <f t="shared" si="15102"/>
        <v>0</v>
      </c>
      <c r="EI660" s="507">
        <f t="shared" si="15102"/>
        <v>0</v>
      </c>
      <c r="EJ660" s="507">
        <f t="shared" si="15102"/>
        <v>0</v>
      </c>
      <c r="EK660" s="507">
        <f t="shared" si="15102"/>
        <v>0</v>
      </c>
      <c r="EL660" s="507">
        <f t="shared" si="15102"/>
        <v>0</v>
      </c>
      <c r="EM660" s="507">
        <f t="shared" si="15102"/>
        <v>0</v>
      </c>
      <c r="EN660" s="507">
        <f t="shared" si="15102"/>
        <v>49219</v>
      </c>
      <c r="EO660" s="507">
        <f t="shared" si="15102"/>
        <v>-49219</v>
      </c>
      <c r="EP660" s="507">
        <f t="shared" si="15102"/>
        <v>0</v>
      </c>
      <c r="EQ660" s="507">
        <f t="shared" si="15102"/>
        <v>0</v>
      </c>
      <c r="ER660" s="507">
        <f t="shared" si="15102"/>
        <v>49219</v>
      </c>
      <c r="ES660" s="507">
        <f t="shared" si="15102"/>
        <v>-49219</v>
      </c>
      <c r="ET660" s="507">
        <f t="shared" si="15102"/>
        <v>0</v>
      </c>
      <c r="EU660" s="507">
        <f t="shared" si="15102"/>
        <v>0</v>
      </c>
      <c r="EV660" s="507">
        <f t="shared" si="15102"/>
        <v>0</v>
      </c>
      <c r="EW660" s="507">
        <f t="shared" si="15102"/>
        <v>0</v>
      </c>
      <c r="EX660" s="507">
        <f t="shared" si="15102"/>
        <v>0</v>
      </c>
      <c r="EY660" s="507">
        <f t="shared" si="15102"/>
        <v>0</v>
      </c>
      <c r="EZ660" s="507">
        <f t="shared" si="15102"/>
        <v>0</v>
      </c>
      <c r="FA660" s="507">
        <f t="shared" si="15102"/>
        <v>0</v>
      </c>
      <c r="FB660" s="507">
        <f t="shared" si="15102"/>
        <v>21946</v>
      </c>
      <c r="FC660" s="507">
        <f t="shared" si="15102"/>
        <v>-21946</v>
      </c>
      <c r="FD660" s="507">
        <f t="shared" si="15102"/>
        <v>0</v>
      </c>
      <c r="FE660" s="507">
        <f t="shared" si="15102"/>
        <v>0</v>
      </c>
      <c r="FF660" s="507">
        <f t="shared" si="15102"/>
        <v>0</v>
      </c>
      <c r="FG660" s="507">
        <f t="shared" si="15102"/>
        <v>0</v>
      </c>
      <c r="FH660" s="507">
        <f t="shared" si="15102"/>
        <v>0</v>
      </c>
      <c r="FI660" s="507">
        <f t="shared" si="15102"/>
        <v>0</v>
      </c>
      <c r="FJ660" s="507">
        <f t="shared" si="15102"/>
        <v>0</v>
      </c>
      <c r="FK660" s="507">
        <f t="shared" si="15102"/>
        <v>0</v>
      </c>
      <c r="FL660" s="507">
        <f t="shared" ref="FL660:FM660" si="15103">+FL662+FL721+FL764</f>
        <v>0</v>
      </c>
      <c r="FM660" s="507">
        <f t="shared" si="15103"/>
        <v>0</v>
      </c>
      <c r="FN660" s="507">
        <f t="shared" ref="FN660:FO660" si="15104">+FN662+FN721+FN764</f>
        <v>78166</v>
      </c>
      <c r="FO660" s="507">
        <f t="shared" si="15104"/>
        <v>-78166</v>
      </c>
      <c r="FP660" s="507">
        <f t="shared" ref="FP660:FQ660" si="15105">+FP662+FP721+FP764</f>
        <v>0</v>
      </c>
      <c r="FQ660" s="507">
        <f t="shared" si="15105"/>
        <v>0</v>
      </c>
      <c r="FR660" s="507">
        <f t="shared" ref="FR660:FS660" si="15106">+FR662+FR721+FR764</f>
        <v>0</v>
      </c>
      <c r="FS660" s="507">
        <f t="shared" si="15106"/>
        <v>0</v>
      </c>
      <c r="FT660" s="507">
        <f t="shared" ref="FT660:FU660" si="15107">+FT662+FT721+FT764</f>
        <v>0</v>
      </c>
      <c r="FU660" s="507">
        <f t="shared" si="15107"/>
        <v>0</v>
      </c>
      <c r="FV660" s="507">
        <f t="shared" ref="FV660:GK660" si="15108">+FV662+FV721+FV764</f>
        <v>0</v>
      </c>
      <c r="FW660" s="507">
        <f t="shared" si="15108"/>
        <v>0</v>
      </c>
      <c r="FX660" s="507">
        <f t="shared" si="15108"/>
        <v>0</v>
      </c>
      <c r="FY660" s="507">
        <f t="shared" si="15108"/>
        <v>0</v>
      </c>
      <c r="FZ660" s="507">
        <f t="shared" ref="FZ660:GI660" si="15109">+FZ662+FZ721+FZ764</f>
        <v>299000</v>
      </c>
      <c r="GA660" s="507">
        <f t="shared" si="15109"/>
        <v>-299000</v>
      </c>
      <c r="GB660" s="507">
        <f t="shared" si="15109"/>
        <v>0</v>
      </c>
      <c r="GC660" s="507">
        <f t="shared" si="15109"/>
        <v>0</v>
      </c>
      <c r="GD660" s="507">
        <f t="shared" si="15109"/>
        <v>0</v>
      </c>
      <c r="GE660" s="507">
        <f t="shared" si="15109"/>
        <v>0</v>
      </c>
      <c r="GF660" s="507">
        <f t="shared" si="15109"/>
        <v>0</v>
      </c>
      <c r="GG660" s="507">
        <f t="shared" si="15109"/>
        <v>0</v>
      </c>
      <c r="GH660" s="507">
        <f t="shared" si="15109"/>
        <v>0</v>
      </c>
      <c r="GI660" s="507">
        <f t="shared" si="15109"/>
        <v>0</v>
      </c>
      <c r="GJ660" s="507">
        <f t="shared" si="15108"/>
        <v>0</v>
      </c>
      <c r="GK660" s="507">
        <f t="shared" si="15108"/>
        <v>0</v>
      </c>
      <c r="GL660" s="507">
        <f t="shared" ref="GL660:GM660" si="15110">+GL662+GL721+GL764</f>
        <v>0</v>
      </c>
      <c r="GM660" s="507">
        <f t="shared" si="15110"/>
        <v>0</v>
      </c>
      <c r="GN660" s="507">
        <f t="shared" ref="GN660:GO660" si="15111">+GN662+GN721+GN764</f>
        <v>0</v>
      </c>
      <c r="GO660" s="507">
        <f t="shared" si="15111"/>
        <v>0</v>
      </c>
      <c r="GP660" s="507">
        <f t="shared" si="15102"/>
        <v>3753300</v>
      </c>
      <c r="GQ660" s="683">
        <f t="shared" si="15102"/>
        <v>-3753300</v>
      </c>
      <c r="GR660" s="507">
        <f t="shared" si="15102"/>
        <v>5000000</v>
      </c>
      <c r="GS660" s="507">
        <f t="shared" si="15102"/>
        <v>5000000</v>
      </c>
      <c r="GT660" s="507">
        <f t="shared" si="15102"/>
        <v>5000000</v>
      </c>
      <c r="GU660" s="507">
        <f t="shared" ref="GU660:JF660" si="15112">+GU662+GU721+GU764</f>
        <v>1036077</v>
      </c>
      <c r="GV660" s="507">
        <f t="shared" si="15112"/>
        <v>1700080</v>
      </c>
      <c r="GW660" s="507">
        <f t="shared" si="15112"/>
        <v>48880</v>
      </c>
      <c r="GX660" s="507">
        <f t="shared" si="15112"/>
        <v>804115</v>
      </c>
      <c r="GY660" s="507">
        <f t="shared" si="15112"/>
        <v>841550</v>
      </c>
      <c r="GZ660" s="507">
        <f t="shared" si="15112"/>
        <v>175000</v>
      </c>
      <c r="HA660" s="507">
        <f t="shared" si="15112"/>
        <v>366659</v>
      </c>
      <c r="HB660" s="507">
        <f t="shared" si="15112"/>
        <v>0</v>
      </c>
      <c r="HC660" s="507">
        <f t="shared" si="15112"/>
        <v>0</v>
      </c>
      <c r="HD660" s="507">
        <f t="shared" si="15112"/>
        <v>27639</v>
      </c>
      <c r="HE660" s="507">
        <f t="shared" si="15112"/>
        <v>0</v>
      </c>
      <c r="HF660" s="507">
        <f t="shared" si="15112"/>
        <v>0</v>
      </c>
      <c r="HG660" s="507">
        <f t="shared" si="15112"/>
        <v>5000000</v>
      </c>
      <c r="HH660" s="507">
        <f t="shared" ref="HH660:HI660" si="15113">+HH662+HH721+HH764</f>
        <v>0</v>
      </c>
      <c r="HI660" s="823">
        <f t="shared" si="15113"/>
        <v>0</v>
      </c>
      <c r="HJ660" s="507">
        <f t="shared" ref="HJ660:HK660" si="15114">+HJ662+HJ721+HJ764</f>
        <v>0</v>
      </c>
      <c r="HK660" s="823">
        <f t="shared" si="15114"/>
        <v>0</v>
      </c>
      <c r="HL660" s="507">
        <f t="shared" ref="HL660:HM660" si="15115">+HL662+HL721+HL764</f>
        <v>0</v>
      </c>
      <c r="HM660" s="823">
        <f t="shared" si="15115"/>
        <v>1036077</v>
      </c>
      <c r="HN660" s="507">
        <f t="shared" ref="HN660:HO660" si="15116">+HN662+HN721+HN764</f>
        <v>0</v>
      </c>
      <c r="HO660" s="823">
        <f t="shared" si="15116"/>
        <v>1459975</v>
      </c>
      <c r="HP660" s="507">
        <f t="shared" ref="HP660:HQ660" si="15117">+HP662+HP721+HP764</f>
        <v>0</v>
      </c>
      <c r="HQ660" s="823">
        <f t="shared" si="15117"/>
        <v>0</v>
      </c>
      <c r="HR660" s="507">
        <f t="shared" ref="HR660:HS660" si="15118">+HR662+HR721+HR764</f>
        <v>0</v>
      </c>
      <c r="HS660" s="823">
        <f t="shared" si="15118"/>
        <v>0</v>
      </c>
      <c r="HT660" s="507">
        <f t="shared" ref="HT660:HU660" si="15119">+HT662+HT721+HT764</f>
        <v>0</v>
      </c>
      <c r="HU660" s="823">
        <f t="shared" si="15119"/>
        <v>1467874</v>
      </c>
      <c r="HV660" s="507">
        <f t="shared" ref="HV660:HW660" si="15120">+HV662+HV721+HV764</f>
        <v>0</v>
      </c>
      <c r="HW660" s="823">
        <f t="shared" si="15120"/>
        <v>0</v>
      </c>
      <c r="HX660" s="507">
        <f t="shared" ref="HX660:HY660" si="15121">+HX662+HX721+HX764</f>
        <v>0</v>
      </c>
      <c r="HY660" s="823">
        <f t="shared" si="15121"/>
        <v>0</v>
      </c>
      <c r="HZ660" s="507">
        <f t="shared" ref="HZ660:IA660" si="15122">+HZ662+HZ721+HZ764</f>
        <v>0</v>
      </c>
      <c r="IA660" s="823">
        <f t="shared" si="15122"/>
        <v>1036074</v>
      </c>
      <c r="IB660" s="507">
        <f t="shared" ref="IB660:IC660" si="15123">+IB662+IB721+IB764</f>
        <v>0</v>
      </c>
      <c r="IC660" s="823">
        <f t="shared" si="15123"/>
        <v>0</v>
      </c>
      <c r="ID660" s="507">
        <f t="shared" si="15112"/>
        <v>0</v>
      </c>
      <c r="IE660" s="823">
        <f t="shared" si="15112"/>
        <v>0</v>
      </c>
      <c r="IF660" s="865">
        <f t="shared" si="15112"/>
        <v>1695381.5</v>
      </c>
      <c r="IG660" s="507">
        <f t="shared" si="15112"/>
        <v>1695381.5</v>
      </c>
      <c r="IH660" s="866">
        <f t="shared" si="15112"/>
        <v>1695381.5</v>
      </c>
      <c r="II660" s="507">
        <f t="shared" si="15112"/>
        <v>14812</v>
      </c>
      <c r="IJ660" s="507">
        <f t="shared" si="15112"/>
        <v>14812</v>
      </c>
      <c r="IK660" s="507">
        <f t="shared" si="15112"/>
        <v>14812</v>
      </c>
      <c r="IL660" s="507">
        <f t="shared" si="15112"/>
        <v>46109.73</v>
      </c>
      <c r="IM660" s="507">
        <f t="shared" si="15112"/>
        <v>46109.73</v>
      </c>
      <c r="IN660" s="507">
        <f t="shared" si="15112"/>
        <v>46109.73</v>
      </c>
      <c r="IO660" s="507">
        <f t="shared" si="15112"/>
        <v>179959.04000000001</v>
      </c>
      <c r="IP660" s="507">
        <f t="shared" si="15112"/>
        <v>179959.04000000001</v>
      </c>
      <c r="IQ660" s="507">
        <f t="shared" si="15112"/>
        <v>179959.04000000001</v>
      </c>
      <c r="IR660" s="507">
        <f t="shared" si="15112"/>
        <v>567617.24</v>
      </c>
      <c r="IS660" s="507">
        <f t="shared" si="15112"/>
        <v>567617.24</v>
      </c>
      <c r="IT660" s="507">
        <f t="shared" si="15112"/>
        <v>567617.24</v>
      </c>
      <c r="IU660" s="507">
        <f t="shared" si="15112"/>
        <v>50835.67</v>
      </c>
      <c r="IV660" s="507">
        <f t="shared" si="15112"/>
        <v>50835.67</v>
      </c>
      <c r="IW660" s="507">
        <f t="shared" si="15112"/>
        <v>50835.67</v>
      </c>
      <c r="IX660" s="507">
        <f t="shared" si="15112"/>
        <v>25178.68</v>
      </c>
      <c r="IY660" s="507">
        <f t="shared" si="15112"/>
        <v>25178.68</v>
      </c>
      <c r="IZ660" s="507">
        <f t="shared" si="15112"/>
        <v>25178.68</v>
      </c>
      <c r="JA660" s="507">
        <f t="shared" si="15112"/>
        <v>238644.17999999996</v>
      </c>
      <c r="JB660" s="507">
        <f t="shared" si="15112"/>
        <v>238644.17999999996</v>
      </c>
      <c r="JC660" s="507">
        <f t="shared" si="15112"/>
        <v>238644.17999999996</v>
      </c>
      <c r="JD660" s="507">
        <f t="shared" si="15112"/>
        <v>30203.430000000008</v>
      </c>
      <c r="JE660" s="507">
        <f t="shared" si="15112"/>
        <v>30203.430000000008</v>
      </c>
      <c r="JF660" s="507">
        <f t="shared" si="15112"/>
        <v>30203.430000000008</v>
      </c>
      <c r="JG660" s="507">
        <f t="shared" ref="JG660:JI660" si="15124">+JG662+JG721+JG764</f>
        <v>327911.90999999997</v>
      </c>
      <c r="JH660" s="507">
        <f t="shared" si="15124"/>
        <v>327911.90999999997</v>
      </c>
      <c r="JI660" s="507">
        <f t="shared" si="15124"/>
        <v>327911.90999999997</v>
      </c>
      <c r="JJ660" s="507">
        <f t="shared" ref="JJ660:JL660" si="15125">+JJ662+JJ721+JJ764</f>
        <v>214109.62</v>
      </c>
      <c r="JK660" s="507">
        <f t="shared" si="15125"/>
        <v>214109.62</v>
      </c>
      <c r="JL660" s="507">
        <f t="shared" si="15125"/>
        <v>214109.62</v>
      </c>
      <c r="JM660" s="507">
        <f t="shared" ref="JM660:JO660" si="15126">+JM662+JM721+JM764</f>
        <v>0</v>
      </c>
      <c r="JN660" s="507">
        <f t="shared" si="15126"/>
        <v>0</v>
      </c>
      <c r="JO660" s="507">
        <f t="shared" si="15126"/>
        <v>0</v>
      </c>
      <c r="JP660" s="507">
        <f t="shared" ref="JP660:JT660" si="15127">+JP662+JP721+JP764</f>
        <v>0</v>
      </c>
      <c r="JQ660" s="507">
        <f t="shared" si="15127"/>
        <v>0</v>
      </c>
      <c r="JR660" s="507">
        <f t="shared" si="15127"/>
        <v>0</v>
      </c>
      <c r="JS660" s="507">
        <f t="shared" si="15127"/>
        <v>3304618.5</v>
      </c>
      <c r="JT660" s="507">
        <f t="shared" si="15127"/>
        <v>3304618.5</v>
      </c>
      <c r="JU660" s="665"/>
      <c r="JV660" s="524"/>
      <c r="JW660" s="525"/>
      <c r="JX660" s="507">
        <f>JX662</f>
        <v>0</v>
      </c>
      <c r="JY660" s="507">
        <f>JY662+JY721+JY764</f>
        <v>5000000</v>
      </c>
      <c r="JZ660" s="507">
        <f t="shared" ref="JZ660:KA660" si="15128">JZ662+JZ721+JZ764</f>
        <v>3753300</v>
      </c>
      <c r="KA660" s="507">
        <f t="shared" si="15128"/>
        <v>-3753300</v>
      </c>
      <c r="KB660" s="507">
        <f>SUM(JX660:KA660)</f>
        <v>5000000</v>
      </c>
      <c r="KC660" s="709">
        <f>HG660-KB660</f>
        <v>0</v>
      </c>
      <c r="KD660" s="36"/>
      <c r="KE660" s="36"/>
      <c r="KF660" s="36"/>
      <c r="KG660" s="36"/>
      <c r="KH660" s="36"/>
      <c r="KI660" s="36"/>
      <c r="KJ660" s="36"/>
      <c r="KK660" s="36"/>
    </row>
    <row r="661" spans="1:297" s="10" customFormat="1">
      <c r="A661" s="609"/>
      <c r="B661" s="508"/>
      <c r="C661" s="509"/>
      <c r="D661" s="509"/>
      <c r="E661" s="509"/>
      <c r="F661" s="509"/>
      <c r="G661" s="509"/>
      <c r="H661" s="509"/>
      <c r="I661" s="509"/>
      <c r="J661" s="509"/>
      <c r="K661" s="509"/>
      <c r="L661" s="509"/>
      <c r="M661" s="509"/>
      <c r="N661" s="509"/>
      <c r="O661" s="509"/>
      <c r="P661" s="509"/>
      <c r="Q661" s="509"/>
      <c r="R661" s="509"/>
      <c r="S661" s="509"/>
      <c r="T661" s="509"/>
      <c r="U661" s="509"/>
      <c r="V661" s="509"/>
      <c r="W661" s="509"/>
      <c r="X661" s="509"/>
      <c r="Y661" s="509"/>
      <c r="Z661" s="509"/>
      <c r="AA661" s="509"/>
      <c r="AB661" s="509"/>
      <c r="AC661" s="509"/>
      <c r="AD661" s="509"/>
      <c r="AE661" s="509"/>
      <c r="AF661" s="509"/>
      <c r="AG661" s="509"/>
      <c r="AH661" s="509"/>
      <c r="AI661" s="509"/>
      <c r="AJ661" s="509"/>
      <c r="AK661" s="509"/>
      <c r="AL661" s="509"/>
      <c r="AM661" s="509"/>
      <c r="AN661" s="509"/>
      <c r="AO661" s="509"/>
      <c r="AP661" s="509"/>
      <c r="AQ661" s="509"/>
      <c r="AR661" s="509"/>
      <c r="AS661" s="509"/>
      <c r="AT661" s="509"/>
      <c r="AU661" s="509"/>
      <c r="AV661" s="509"/>
      <c r="AW661" s="509"/>
      <c r="AX661" s="509"/>
      <c r="AY661" s="509"/>
      <c r="AZ661" s="509"/>
      <c r="BA661" s="509"/>
      <c r="BB661" s="509"/>
      <c r="BC661" s="509"/>
      <c r="BD661" s="509"/>
      <c r="BE661" s="509"/>
      <c r="BF661" s="509"/>
      <c r="BG661" s="509"/>
      <c r="BH661" s="509"/>
      <c r="BI661" s="509"/>
      <c r="BJ661" s="509"/>
      <c r="BK661" s="509"/>
      <c r="BL661" s="509"/>
      <c r="BM661" s="509"/>
      <c r="BN661" s="509"/>
      <c r="BO661" s="509"/>
      <c r="BP661" s="509"/>
      <c r="BQ661" s="509"/>
      <c r="BR661" s="509"/>
      <c r="BS661" s="509"/>
      <c r="BT661" s="509"/>
      <c r="BU661" s="509"/>
      <c r="BV661" s="509"/>
      <c r="BW661" s="509"/>
      <c r="BX661" s="509"/>
      <c r="BY661" s="509"/>
      <c r="BZ661" s="509"/>
      <c r="CA661" s="509"/>
      <c r="CB661" s="509"/>
      <c r="CC661" s="509"/>
      <c r="CD661" s="509"/>
      <c r="CE661" s="509"/>
      <c r="CF661" s="509"/>
      <c r="CG661" s="509"/>
      <c r="CH661" s="509"/>
      <c r="CI661" s="509"/>
      <c r="CJ661" s="509"/>
      <c r="CK661" s="509"/>
      <c r="CL661" s="509"/>
      <c r="CM661" s="509"/>
      <c r="CN661" s="509"/>
      <c r="CO661" s="509"/>
      <c r="CP661" s="509"/>
      <c r="CQ661" s="509"/>
      <c r="CR661" s="509"/>
      <c r="CS661" s="509"/>
      <c r="CT661" s="509"/>
      <c r="CU661" s="509"/>
      <c r="CV661" s="509"/>
      <c r="CW661" s="509"/>
      <c r="CX661" s="509"/>
      <c r="CY661" s="509"/>
      <c r="CZ661" s="509"/>
      <c r="DA661" s="509"/>
      <c r="DB661" s="509"/>
      <c r="DC661" s="509"/>
      <c r="DD661" s="509"/>
      <c r="DE661" s="509"/>
      <c r="DF661" s="509"/>
      <c r="DG661" s="509"/>
      <c r="DH661" s="509"/>
      <c r="DI661" s="509"/>
      <c r="DJ661" s="509"/>
      <c r="DK661" s="509"/>
      <c r="DL661" s="509"/>
      <c r="DM661" s="509"/>
      <c r="DN661" s="509"/>
      <c r="DO661" s="509"/>
      <c r="DP661" s="509"/>
      <c r="DQ661" s="509"/>
      <c r="DR661" s="509"/>
      <c r="DS661" s="509"/>
      <c r="DT661" s="509"/>
      <c r="DU661" s="509"/>
      <c r="DV661" s="509"/>
      <c r="DW661" s="509"/>
      <c r="DX661" s="509"/>
      <c r="DY661" s="509"/>
      <c r="DZ661" s="509"/>
      <c r="EA661" s="509"/>
      <c r="EB661" s="509"/>
      <c r="EC661" s="509"/>
      <c r="ED661" s="509"/>
      <c r="EE661" s="509"/>
      <c r="EF661" s="509"/>
      <c r="EG661" s="509"/>
      <c r="EH661" s="509"/>
      <c r="EI661" s="509"/>
      <c r="EJ661" s="509"/>
      <c r="EK661" s="509"/>
      <c r="EL661" s="509"/>
      <c r="EM661" s="509"/>
      <c r="EN661" s="509"/>
      <c r="EO661" s="509"/>
      <c r="EP661" s="509"/>
      <c r="EQ661" s="509"/>
      <c r="ER661" s="509"/>
      <c r="ES661" s="509"/>
      <c r="ET661" s="509"/>
      <c r="EU661" s="509"/>
      <c r="EV661" s="509"/>
      <c r="EW661" s="509"/>
      <c r="EX661" s="509"/>
      <c r="EY661" s="509"/>
      <c r="EZ661" s="509"/>
      <c r="FA661" s="509"/>
      <c r="FB661" s="509"/>
      <c r="FC661" s="509"/>
      <c r="FD661" s="509"/>
      <c r="FE661" s="509"/>
      <c r="FF661" s="509"/>
      <c r="FG661" s="509"/>
      <c r="FH661" s="509"/>
      <c r="FI661" s="509"/>
      <c r="FJ661" s="509"/>
      <c r="FK661" s="509"/>
      <c r="FL661" s="509"/>
      <c r="FM661" s="509"/>
      <c r="FN661" s="509"/>
      <c r="FO661" s="509"/>
      <c r="FP661" s="509"/>
      <c r="FQ661" s="509"/>
      <c r="FR661" s="509"/>
      <c r="FS661" s="509"/>
      <c r="FT661" s="509"/>
      <c r="FU661" s="509"/>
      <c r="FV661" s="509"/>
      <c r="FW661" s="509"/>
      <c r="FX661" s="509"/>
      <c r="FY661" s="509"/>
      <c r="FZ661" s="509"/>
      <c r="GA661" s="509"/>
      <c r="GB661" s="509"/>
      <c r="GC661" s="509"/>
      <c r="GD661" s="509"/>
      <c r="GE661" s="509"/>
      <c r="GF661" s="509"/>
      <c r="GG661" s="509"/>
      <c r="GH661" s="509"/>
      <c r="GI661" s="509"/>
      <c r="GJ661" s="509"/>
      <c r="GK661" s="509"/>
      <c r="GL661" s="509"/>
      <c r="GM661" s="509"/>
      <c r="GN661" s="509"/>
      <c r="GO661" s="509"/>
      <c r="GP661" s="509"/>
      <c r="GQ661" s="714"/>
      <c r="GR661" s="509"/>
      <c r="GS661" s="509"/>
      <c r="GT661" s="509"/>
      <c r="GU661" s="509"/>
      <c r="GV661" s="509"/>
      <c r="GW661" s="509"/>
      <c r="GX661" s="509"/>
      <c r="GY661" s="509"/>
      <c r="GZ661" s="509"/>
      <c r="HA661" s="509"/>
      <c r="HB661" s="509"/>
      <c r="HC661" s="509"/>
      <c r="HD661" s="509"/>
      <c r="HE661" s="509"/>
      <c r="HF661" s="509"/>
      <c r="HG661" s="509"/>
      <c r="HH661" s="509"/>
      <c r="HI661" s="824"/>
      <c r="HJ661" s="509"/>
      <c r="HK661" s="824"/>
      <c r="HL661" s="509"/>
      <c r="HM661" s="824"/>
      <c r="HN661" s="509"/>
      <c r="HO661" s="824"/>
      <c r="HP661" s="509"/>
      <c r="HQ661" s="824"/>
      <c r="HR661" s="509"/>
      <c r="HS661" s="824"/>
      <c r="HT661" s="509"/>
      <c r="HU661" s="824"/>
      <c r="HV661" s="509"/>
      <c r="HW661" s="824"/>
      <c r="HX661" s="509"/>
      <c r="HY661" s="824"/>
      <c r="HZ661" s="509"/>
      <c r="IA661" s="824"/>
      <c r="IB661" s="509"/>
      <c r="IC661" s="824"/>
      <c r="ID661" s="509"/>
      <c r="IE661" s="824"/>
      <c r="IF661" s="867"/>
      <c r="IG661" s="509"/>
      <c r="IH661" s="868"/>
      <c r="II661" s="509"/>
      <c r="IJ661" s="509"/>
      <c r="IK661" s="509"/>
      <c r="IL661" s="509"/>
      <c r="IM661" s="509"/>
      <c r="IN661" s="509"/>
      <c r="IO661" s="509"/>
      <c r="IP661" s="509"/>
      <c r="IQ661" s="509"/>
      <c r="IR661" s="509"/>
      <c r="IS661" s="509"/>
      <c r="IT661" s="509"/>
      <c r="IU661" s="509"/>
      <c r="IV661" s="509"/>
      <c r="IW661" s="509"/>
      <c r="IX661" s="509"/>
      <c r="IY661" s="509"/>
      <c r="IZ661" s="509"/>
      <c r="JA661" s="509"/>
      <c r="JB661" s="509"/>
      <c r="JC661" s="509"/>
      <c r="JD661" s="509"/>
      <c r="JE661" s="509"/>
      <c r="JF661" s="509"/>
      <c r="JG661" s="509"/>
      <c r="JH661" s="509"/>
      <c r="JI661" s="509"/>
      <c r="JJ661" s="509"/>
      <c r="JK661" s="509"/>
      <c r="JL661" s="509"/>
      <c r="JM661" s="509"/>
      <c r="JN661" s="509"/>
      <c r="JO661" s="509"/>
      <c r="JP661" s="509"/>
      <c r="JQ661" s="509"/>
      <c r="JR661" s="509"/>
      <c r="JS661" s="509"/>
      <c r="JT661" s="509"/>
      <c r="JU661" s="665"/>
      <c r="JV661" s="524"/>
      <c r="JW661" s="525"/>
      <c r="JX661" s="509"/>
      <c r="JY661" s="509"/>
      <c r="JZ661" s="509"/>
      <c r="KA661" s="509"/>
      <c r="KB661" s="509"/>
      <c r="KC661" s="709">
        <f t="shared" si="14739"/>
        <v>0</v>
      </c>
      <c r="KD661" s="36"/>
      <c r="KE661" s="36"/>
      <c r="KF661" s="36"/>
      <c r="KG661" s="36"/>
      <c r="KH661" s="36"/>
      <c r="KI661" s="36"/>
      <c r="KJ661" s="36"/>
      <c r="KK661" s="36"/>
    </row>
    <row r="662" spans="1:297" s="10" customFormat="1">
      <c r="A662" s="610" t="s">
        <v>935</v>
      </c>
      <c r="B662" s="510" t="s">
        <v>936</v>
      </c>
      <c r="C662" s="511">
        <f t="shared" ref="C662:BP662" si="15129">C664+C691</f>
        <v>875100</v>
      </c>
      <c r="D662" s="511">
        <f t="shared" ref="D662:E662" si="15130">D664+D691</f>
        <v>0</v>
      </c>
      <c r="E662" s="511">
        <f t="shared" si="15130"/>
        <v>0</v>
      </c>
      <c r="F662" s="511">
        <f t="shared" ref="F662:G662" si="15131">F664+F691</f>
        <v>0</v>
      </c>
      <c r="G662" s="511">
        <f t="shared" si="15131"/>
        <v>0</v>
      </c>
      <c r="H662" s="511">
        <f t="shared" ref="H662:I662" si="15132">H664+H691</f>
        <v>0</v>
      </c>
      <c r="I662" s="511">
        <f t="shared" si="15132"/>
        <v>0</v>
      </c>
      <c r="J662" s="511">
        <f t="shared" ref="J662:K662" si="15133">J664+J691</f>
        <v>227500</v>
      </c>
      <c r="K662" s="511">
        <f t="shared" si="15133"/>
        <v>0</v>
      </c>
      <c r="L662" s="511">
        <f t="shared" ref="L662:M662" si="15134">L664+L691</f>
        <v>0</v>
      </c>
      <c r="M662" s="511">
        <f t="shared" si="15134"/>
        <v>0</v>
      </c>
      <c r="N662" s="511">
        <f t="shared" ref="N662:O662" si="15135">N664+N691</f>
        <v>186132</v>
      </c>
      <c r="O662" s="511">
        <f t="shared" si="15135"/>
        <v>-72332</v>
      </c>
      <c r="P662" s="511">
        <f t="shared" ref="P662:Q662" si="15136">P664+P691</f>
        <v>0</v>
      </c>
      <c r="Q662" s="511">
        <f t="shared" si="15136"/>
        <v>0</v>
      </c>
      <c r="R662" s="511">
        <f t="shared" ref="R662:S662" si="15137">R664+R691</f>
        <v>0</v>
      </c>
      <c r="S662" s="511">
        <f t="shared" si="15137"/>
        <v>0</v>
      </c>
      <c r="T662" s="511">
        <f t="shared" ref="T662:U662" si="15138">T664+T691</f>
        <v>201300</v>
      </c>
      <c r="U662" s="511">
        <f t="shared" si="15138"/>
        <v>-201300</v>
      </c>
      <c r="V662" s="511">
        <f t="shared" ref="V662:W662" si="15139">V664+V691</f>
        <v>0</v>
      </c>
      <c r="W662" s="511">
        <f t="shared" si="15139"/>
        <v>0</v>
      </c>
      <c r="X662" s="511">
        <f t="shared" ref="X662:Y662" si="15140">X664+X691</f>
        <v>0</v>
      </c>
      <c r="Y662" s="511">
        <f t="shared" si="15140"/>
        <v>0</v>
      </c>
      <c r="Z662" s="511">
        <f t="shared" ref="Z662:AA662" si="15141">Z664+Z691</f>
        <v>266314</v>
      </c>
      <c r="AA662" s="511">
        <f t="shared" si="15141"/>
        <v>-7714</v>
      </c>
      <c r="AB662" s="511">
        <f t="shared" ref="AB662:AC662" si="15142">AB664+AB691</f>
        <v>128901</v>
      </c>
      <c r="AC662" s="511">
        <f t="shared" si="15142"/>
        <v>0</v>
      </c>
      <c r="AD662" s="511">
        <f t="shared" ref="AD662:AE662" si="15143">AD664+AD691</f>
        <v>0</v>
      </c>
      <c r="AE662" s="511">
        <f t="shared" si="15143"/>
        <v>0</v>
      </c>
      <c r="AF662" s="511">
        <f t="shared" ref="AF662:AG662" si="15144">AF664+AF691</f>
        <v>0</v>
      </c>
      <c r="AG662" s="511">
        <f t="shared" si="15144"/>
        <v>0</v>
      </c>
      <c r="AH662" s="511">
        <f t="shared" ref="AH662:AI662" si="15145">AH664+AH691</f>
        <v>0</v>
      </c>
      <c r="AI662" s="511">
        <f t="shared" si="15145"/>
        <v>0</v>
      </c>
      <c r="AJ662" s="511">
        <f t="shared" ref="AJ662:AK662" si="15146">AJ664+AJ691</f>
        <v>0</v>
      </c>
      <c r="AK662" s="511">
        <f t="shared" si="15146"/>
        <v>0</v>
      </c>
      <c r="AL662" s="511">
        <f t="shared" ref="AL662:AM662" si="15147">AL664+AL691</f>
        <v>0</v>
      </c>
      <c r="AM662" s="511">
        <f t="shared" si="15147"/>
        <v>0</v>
      </c>
      <c r="AN662" s="511">
        <f t="shared" ref="AN662:AO662" si="15148">AN664+AN691</f>
        <v>0</v>
      </c>
      <c r="AO662" s="511">
        <f t="shared" si="15148"/>
        <v>0</v>
      </c>
      <c r="AP662" s="511">
        <f t="shared" ref="AP662:AQ662" si="15149">AP664+AP691</f>
        <v>269095</v>
      </c>
      <c r="AQ662" s="511">
        <f t="shared" si="15149"/>
        <v>0</v>
      </c>
      <c r="AR662" s="511">
        <f t="shared" ref="AR662:AS662" si="15150">AR664+AR691</f>
        <v>0</v>
      </c>
      <c r="AS662" s="511">
        <f t="shared" si="15150"/>
        <v>0</v>
      </c>
      <c r="AT662" s="511">
        <f t="shared" ref="AT662:AU662" si="15151">AT664+AT691</f>
        <v>0</v>
      </c>
      <c r="AU662" s="511">
        <f t="shared" si="15151"/>
        <v>0</v>
      </c>
      <c r="AV662" s="511">
        <f t="shared" ref="AV662:AW662" si="15152">AV664+AV691</f>
        <v>0</v>
      </c>
      <c r="AW662" s="511">
        <f t="shared" si="15152"/>
        <v>0</v>
      </c>
      <c r="AX662" s="511">
        <f t="shared" ref="AX662:AY662" si="15153">AX664+AX691</f>
        <v>16905</v>
      </c>
      <c r="AY662" s="511">
        <f t="shared" si="15153"/>
        <v>0</v>
      </c>
      <c r="AZ662" s="511">
        <f t="shared" si="15129"/>
        <v>0</v>
      </c>
      <c r="BA662" s="511">
        <f t="shared" si="15129"/>
        <v>0</v>
      </c>
      <c r="BB662" s="511">
        <f t="shared" si="15129"/>
        <v>0</v>
      </c>
      <c r="BC662" s="511">
        <f t="shared" si="15129"/>
        <v>0</v>
      </c>
      <c r="BD662" s="511">
        <f t="shared" si="15129"/>
        <v>0</v>
      </c>
      <c r="BE662" s="511">
        <f t="shared" si="15129"/>
        <v>0</v>
      </c>
      <c r="BF662" s="511">
        <f t="shared" si="15129"/>
        <v>0</v>
      </c>
      <c r="BG662" s="511">
        <f t="shared" si="15129"/>
        <v>0</v>
      </c>
      <c r="BH662" s="511">
        <f t="shared" si="15129"/>
        <v>0</v>
      </c>
      <c r="BI662" s="511">
        <f t="shared" si="15129"/>
        <v>0</v>
      </c>
      <c r="BJ662" s="511">
        <f t="shared" si="15129"/>
        <v>0</v>
      </c>
      <c r="BK662" s="511">
        <f t="shared" si="15129"/>
        <v>0</v>
      </c>
      <c r="BL662" s="511">
        <f t="shared" si="15129"/>
        <v>0</v>
      </c>
      <c r="BM662" s="511">
        <f t="shared" si="15129"/>
        <v>0</v>
      </c>
      <c r="BN662" s="511">
        <f t="shared" si="15129"/>
        <v>0</v>
      </c>
      <c r="BO662" s="511">
        <f t="shared" si="15129"/>
        <v>0</v>
      </c>
      <c r="BP662" s="511">
        <f t="shared" si="15129"/>
        <v>0</v>
      </c>
      <c r="BQ662" s="511">
        <f t="shared" ref="BQ662" si="15154">BQ664+BQ691</f>
        <v>0</v>
      </c>
      <c r="BR662" s="511">
        <f t="shared" ref="BR662:BS662" si="15155">BR664+BR691</f>
        <v>116922</v>
      </c>
      <c r="BS662" s="511">
        <f t="shared" si="15155"/>
        <v>0</v>
      </c>
      <c r="BT662" s="511">
        <f t="shared" ref="BT662:BU662" si="15156">BT664+BT691</f>
        <v>0</v>
      </c>
      <c r="BU662" s="511">
        <f t="shared" si="15156"/>
        <v>-125000</v>
      </c>
      <c r="BV662" s="511">
        <f t="shared" ref="BV662:BW662" si="15157">BV664+BV691</f>
        <v>0</v>
      </c>
      <c r="BW662" s="511">
        <f t="shared" si="15157"/>
        <v>0</v>
      </c>
      <c r="BX662" s="511">
        <f t="shared" ref="BX662:BY662" si="15158">BX664+BX691</f>
        <v>12012</v>
      </c>
      <c r="BY662" s="511">
        <f t="shared" si="15158"/>
        <v>0</v>
      </c>
      <c r="BZ662" s="511">
        <f t="shared" ref="BZ662:CA662" si="15159">BZ664+BZ691</f>
        <v>0</v>
      </c>
      <c r="CA662" s="511">
        <f t="shared" si="15159"/>
        <v>0</v>
      </c>
      <c r="CB662" s="511">
        <f t="shared" ref="CB662:EC662" si="15160">CB664+CB691</f>
        <v>0</v>
      </c>
      <c r="CC662" s="511">
        <f t="shared" si="15160"/>
        <v>0</v>
      </c>
      <c r="CD662" s="511">
        <f t="shared" si="15160"/>
        <v>0</v>
      </c>
      <c r="CE662" s="511">
        <f t="shared" si="15160"/>
        <v>0</v>
      </c>
      <c r="CF662" s="511">
        <f t="shared" si="15160"/>
        <v>0</v>
      </c>
      <c r="CG662" s="511">
        <f t="shared" si="15160"/>
        <v>0</v>
      </c>
      <c r="CH662" s="511">
        <f t="shared" si="15160"/>
        <v>0</v>
      </c>
      <c r="CI662" s="511">
        <f t="shared" si="15160"/>
        <v>0</v>
      </c>
      <c r="CJ662" s="511">
        <f t="shared" si="15160"/>
        <v>0</v>
      </c>
      <c r="CK662" s="511">
        <f t="shared" si="15160"/>
        <v>0</v>
      </c>
      <c r="CL662" s="511">
        <f t="shared" si="15160"/>
        <v>0</v>
      </c>
      <c r="CM662" s="511">
        <f t="shared" si="15160"/>
        <v>0</v>
      </c>
      <c r="CN662" s="511">
        <f t="shared" si="15160"/>
        <v>0</v>
      </c>
      <c r="CO662" s="511">
        <f t="shared" si="15160"/>
        <v>0</v>
      </c>
      <c r="CP662" s="511">
        <f t="shared" si="15160"/>
        <v>0</v>
      </c>
      <c r="CQ662" s="511">
        <f t="shared" si="15160"/>
        <v>0</v>
      </c>
      <c r="CR662" s="511">
        <f t="shared" si="15160"/>
        <v>65854</v>
      </c>
      <c r="CS662" s="511">
        <f t="shared" si="15160"/>
        <v>-65854</v>
      </c>
      <c r="CT662" s="511">
        <f t="shared" si="15160"/>
        <v>3000</v>
      </c>
      <c r="CU662" s="511">
        <f t="shared" si="15160"/>
        <v>-3000</v>
      </c>
      <c r="CV662" s="511">
        <f t="shared" si="15160"/>
        <v>0</v>
      </c>
      <c r="CW662" s="511">
        <f t="shared" si="15160"/>
        <v>0</v>
      </c>
      <c r="CX662" s="511">
        <f t="shared" si="15160"/>
        <v>100000</v>
      </c>
      <c r="CY662" s="511">
        <f t="shared" si="15160"/>
        <v>0</v>
      </c>
      <c r="CZ662" s="511">
        <f t="shared" si="15160"/>
        <v>0</v>
      </c>
      <c r="DA662" s="511">
        <f t="shared" si="15160"/>
        <v>0</v>
      </c>
      <c r="DB662" s="511">
        <f t="shared" si="15160"/>
        <v>100000</v>
      </c>
      <c r="DC662" s="511">
        <f t="shared" si="15160"/>
        <v>-10000</v>
      </c>
      <c r="DD662" s="511">
        <f t="shared" si="15160"/>
        <v>11072</v>
      </c>
      <c r="DE662" s="511">
        <f t="shared" si="15160"/>
        <v>0</v>
      </c>
      <c r="DF662" s="511">
        <f t="shared" si="15160"/>
        <v>0</v>
      </c>
      <c r="DG662" s="511">
        <f t="shared" si="15160"/>
        <v>0</v>
      </c>
      <c r="DH662" s="511">
        <f t="shared" si="15160"/>
        <v>0</v>
      </c>
      <c r="DI662" s="511">
        <f t="shared" si="15160"/>
        <v>0</v>
      </c>
      <c r="DJ662" s="511">
        <f t="shared" si="15160"/>
        <v>0</v>
      </c>
      <c r="DK662" s="511">
        <f t="shared" si="15160"/>
        <v>0</v>
      </c>
      <c r="DL662" s="511">
        <f t="shared" si="15160"/>
        <v>0</v>
      </c>
      <c r="DM662" s="511">
        <f t="shared" si="15160"/>
        <v>-1900</v>
      </c>
      <c r="DN662" s="511">
        <f t="shared" si="15160"/>
        <v>45000</v>
      </c>
      <c r="DO662" s="511">
        <f t="shared" si="15160"/>
        <v>0</v>
      </c>
      <c r="DP662" s="511">
        <f t="shared" si="15160"/>
        <v>0</v>
      </c>
      <c r="DQ662" s="511">
        <f t="shared" si="15160"/>
        <v>0</v>
      </c>
      <c r="DR662" s="511">
        <f t="shared" si="15160"/>
        <v>62929</v>
      </c>
      <c r="DS662" s="511">
        <f t="shared" si="15160"/>
        <v>-29929</v>
      </c>
      <c r="DT662" s="511">
        <f t="shared" si="15160"/>
        <v>0</v>
      </c>
      <c r="DU662" s="511">
        <f t="shared" si="15160"/>
        <v>0</v>
      </c>
      <c r="DV662" s="511">
        <f t="shared" si="15160"/>
        <v>0</v>
      </c>
      <c r="DW662" s="511">
        <f t="shared" si="15160"/>
        <v>0</v>
      </c>
      <c r="DX662" s="511">
        <f t="shared" si="15160"/>
        <v>0</v>
      </c>
      <c r="DY662" s="511">
        <f t="shared" si="15160"/>
        <v>-91921</v>
      </c>
      <c r="DZ662" s="511">
        <f t="shared" si="15160"/>
        <v>0</v>
      </c>
      <c r="EA662" s="511">
        <f t="shared" si="15160"/>
        <v>-7128</v>
      </c>
      <c r="EB662" s="511">
        <f t="shared" si="15160"/>
        <v>0</v>
      </c>
      <c r="EC662" s="511">
        <f t="shared" si="15160"/>
        <v>0</v>
      </c>
      <c r="ED662" s="511">
        <f t="shared" ref="ED662:EE662" si="15161">ED664+ED691</f>
        <v>0</v>
      </c>
      <c r="EE662" s="511">
        <f t="shared" si="15161"/>
        <v>0</v>
      </c>
      <c r="EF662" s="511">
        <f t="shared" ref="EF662:HV662" si="15162">EF664+EF691</f>
        <v>0</v>
      </c>
      <c r="EG662" s="511">
        <f t="shared" si="15162"/>
        <v>0</v>
      </c>
      <c r="EH662" s="511">
        <f t="shared" si="15162"/>
        <v>0</v>
      </c>
      <c r="EI662" s="511">
        <f t="shared" si="15162"/>
        <v>0</v>
      </c>
      <c r="EJ662" s="511">
        <f t="shared" si="15162"/>
        <v>0</v>
      </c>
      <c r="EK662" s="511">
        <f t="shared" si="15162"/>
        <v>0</v>
      </c>
      <c r="EL662" s="511">
        <f t="shared" si="15162"/>
        <v>0</v>
      </c>
      <c r="EM662" s="511">
        <f t="shared" si="15162"/>
        <v>0</v>
      </c>
      <c r="EN662" s="511">
        <f t="shared" si="15162"/>
        <v>49219</v>
      </c>
      <c r="EO662" s="511">
        <f t="shared" si="15162"/>
        <v>0</v>
      </c>
      <c r="EP662" s="511">
        <f t="shared" si="15162"/>
        <v>0</v>
      </c>
      <c r="EQ662" s="511">
        <f t="shared" si="15162"/>
        <v>0</v>
      </c>
      <c r="ER662" s="511">
        <f t="shared" si="15162"/>
        <v>0</v>
      </c>
      <c r="ES662" s="511">
        <f t="shared" si="15162"/>
        <v>-49219</v>
      </c>
      <c r="ET662" s="511">
        <f t="shared" si="15162"/>
        <v>0</v>
      </c>
      <c r="EU662" s="511">
        <f t="shared" si="15162"/>
        <v>0</v>
      </c>
      <c r="EV662" s="511">
        <f t="shared" si="15162"/>
        <v>0</v>
      </c>
      <c r="EW662" s="511">
        <f t="shared" si="15162"/>
        <v>0</v>
      </c>
      <c r="EX662" s="511">
        <f t="shared" si="15162"/>
        <v>0</v>
      </c>
      <c r="EY662" s="511">
        <f t="shared" si="15162"/>
        <v>0</v>
      </c>
      <c r="EZ662" s="511">
        <f t="shared" si="15162"/>
        <v>0</v>
      </c>
      <c r="FA662" s="511">
        <f t="shared" si="15162"/>
        <v>0</v>
      </c>
      <c r="FB662" s="511">
        <f t="shared" si="15162"/>
        <v>21946</v>
      </c>
      <c r="FC662" s="511">
        <f t="shared" si="15162"/>
        <v>-21946</v>
      </c>
      <c r="FD662" s="511">
        <f t="shared" si="15162"/>
        <v>0</v>
      </c>
      <c r="FE662" s="511">
        <f t="shared" si="15162"/>
        <v>0</v>
      </c>
      <c r="FF662" s="511">
        <f t="shared" si="15162"/>
        <v>0</v>
      </c>
      <c r="FG662" s="511">
        <f t="shared" si="15162"/>
        <v>0</v>
      </c>
      <c r="FH662" s="511">
        <f t="shared" si="15162"/>
        <v>0</v>
      </c>
      <c r="FI662" s="511">
        <f t="shared" si="15162"/>
        <v>0</v>
      </c>
      <c r="FJ662" s="511">
        <f t="shared" si="15162"/>
        <v>0</v>
      </c>
      <c r="FK662" s="511">
        <f t="shared" si="15162"/>
        <v>0</v>
      </c>
      <c r="FL662" s="511">
        <f t="shared" ref="FL662:FM662" si="15163">FL664+FL691</f>
        <v>0</v>
      </c>
      <c r="FM662" s="511">
        <f t="shared" si="15163"/>
        <v>0</v>
      </c>
      <c r="FN662" s="511">
        <f t="shared" ref="FN662:FO662" si="15164">FN664+FN691</f>
        <v>0</v>
      </c>
      <c r="FO662" s="511">
        <f t="shared" si="15164"/>
        <v>-32651</v>
      </c>
      <c r="FP662" s="511">
        <f t="shared" ref="FP662:FQ662" si="15165">FP664+FP691</f>
        <v>0</v>
      </c>
      <c r="FQ662" s="511">
        <f t="shared" si="15165"/>
        <v>0</v>
      </c>
      <c r="FR662" s="511">
        <f t="shared" ref="FR662:FS662" si="15166">FR664+FR691</f>
        <v>0</v>
      </c>
      <c r="FS662" s="511">
        <f t="shared" si="15166"/>
        <v>0</v>
      </c>
      <c r="FT662" s="511">
        <f t="shared" ref="FT662:FU662" si="15167">FT664+FT691</f>
        <v>0</v>
      </c>
      <c r="FU662" s="511">
        <f t="shared" si="15167"/>
        <v>0</v>
      </c>
      <c r="FV662" s="511">
        <f t="shared" ref="FV662:GK662" si="15168">FV664+FV691</f>
        <v>0</v>
      </c>
      <c r="FW662" s="511">
        <f t="shared" si="15168"/>
        <v>0</v>
      </c>
      <c r="FX662" s="511">
        <f t="shared" si="15168"/>
        <v>0</v>
      </c>
      <c r="FY662" s="511">
        <f t="shared" si="15168"/>
        <v>0</v>
      </c>
      <c r="FZ662" s="511">
        <f t="shared" ref="FZ662:GI662" si="15169">FZ664+FZ691</f>
        <v>0</v>
      </c>
      <c r="GA662" s="511">
        <f t="shared" si="15169"/>
        <v>0</v>
      </c>
      <c r="GB662" s="511">
        <f t="shared" si="15169"/>
        <v>0</v>
      </c>
      <c r="GC662" s="511">
        <f t="shared" si="15169"/>
        <v>0</v>
      </c>
      <c r="GD662" s="511">
        <f t="shared" si="15169"/>
        <v>0</v>
      </c>
      <c r="GE662" s="511">
        <f t="shared" si="15169"/>
        <v>0</v>
      </c>
      <c r="GF662" s="511">
        <f t="shared" si="15169"/>
        <v>0</v>
      </c>
      <c r="GG662" s="511">
        <f t="shared" si="15169"/>
        <v>0</v>
      </c>
      <c r="GH662" s="511">
        <f t="shared" si="15169"/>
        <v>0</v>
      </c>
      <c r="GI662" s="511">
        <f t="shared" si="15169"/>
        <v>0</v>
      </c>
      <c r="GJ662" s="511">
        <f t="shared" si="15168"/>
        <v>0</v>
      </c>
      <c r="GK662" s="511">
        <f t="shared" si="15168"/>
        <v>0</v>
      </c>
      <c r="GL662" s="511">
        <f t="shared" ref="GL662:GM662" si="15170">GL664+GL691</f>
        <v>0</v>
      </c>
      <c r="GM662" s="511">
        <f t="shared" si="15170"/>
        <v>0</v>
      </c>
      <c r="GN662" s="511">
        <f t="shared" ref="GN662:GO662" si="15171">GN664+GN691</f>
        <v>0</v>
      </c>
      <c r="GO662" s="511">
        <f t="shared" si="15171"/>
        <v>0</v>
      </c>
      <c r="GP662" s="511">
        <f t="shared" si="15162"/>
        <v>1884101</v>
      </c>
      <c r="GQ662" s="684">
        <f t="shared" si="15162"/>
        <v>-719894</v>
      </c>
      <c r="GR662" s="511">
        <f t="shared" si="15162"/>
        <v>2039307</v>
      </c>
      <c r="GS662" s="511">
        <f t="shared" si="15162"/>
        <v>2039307</v>
      </c>
      <c r="GT662" s="511">
        <f t="shared" si="15162"/>
        <v>2039307</v>
      </c>
      <c r="GU662" s="511">
        <f t="shared" si="15162"/>
        <v>175020</v>
      </c>
      <c r="GV662" s="511">
        <f t="shared" si="15162"/>
        <v>511200</v>
      </c>
      <c r="GW662" s="511">
        <f t="shared" si="15162"/>
        <v>48880</v>
      </c>
      <c r="GX662" s="511">
        <f t="shared" si="15162"/>
        <v>52500</v>
      </c>
      <c r="GY662" s="511">
        <f t="shared" si="15162"/>
        <v>62500</v>
      </c>
      <c r="GZ662" s="511">
        <f t="shared" si="15162"/>
        <v>25000</v>
      </c>
      <c r="HA662" s="511">
        <f t="shared" si="15162"/>
        <v>0</v>
      </c>
      <c r="HB662" s="511">
        <f t="shared" si="15162"/>
        <v>0</v>
      </c>
      <c r="HC662" s="511">
        <f t="shared" si="15162"/>
        <v>0</v>
      </c>
      <c r="HD662" s="511">
        <f t="shared" si="15162"/>
        <v>0</v>
      </c>
      <c r="HE662" s="511">
        <f t="shared" si="15162"/>
        <v>0</v>
      </c>
      <c r="HF662" s="511">
        <f t="shared" si="15162"/>
        <v>0</v>
      </c>
      <c r="HG662" s="511">
        <f t="shared" si="15162"/>
        <v>2039307</v>
      </c>
      <c r="HH662" s="511">
        <f t="shared" si="15162"/>
        <v>0</v>
      </c>
      <c r="HI662" s="825">
        <f t="shared" si="15162"/>
        <v>0</v>
      </c>
      <c r="HJ662" s="511">
        <f t="shared" si="15162"/>
        <v>0</v>
      </c>
      <c r="HK662" s="825">
        <f t="shared" si="15162"/>
        <v>-341300</v>
      </c>
      <c r="HL662" s="511">
        <f t="shared" si="15162"/>
        <v>0</v>
      </c>
      <c r="HM662" s="825">
        <f t="shared" si="15162"/>
        <v>257907.38</v>
      </c>
      <c r="HN662" s="511">
        <f t="shared" si="15162"/>
        <v>0</v>
      </c>
      <c r="HO662" s="825">
        <f t="shared" si="15162"/>
        <v>448947.24</v>
      </c>
      <c r="HP662" s="511">
        <f t="shared" si="15162"/>
        <v>0</v>
      </c>
      <c r="HQ662" s="825">
        <f t="shared" si="15162"/>
        <v>-231000</v>
      </c>
      <c r="HR662" s="511">
        <f t="shared" si="15162"/>
        <v>0</v>
      </c>
      <c r="HS662" s="825">
        <f t="shared" si="15162"/>
        <v>37500</v>
      </c>
      <c r="HT662" s="511">
        <f t="shared" si="15162"/>
        <v>0</v>
      </c>
      <c r="HU662" s="825">
        <f t="shared" si="15162"/>
        <v>180604.76999999996</v>
      </c>
      <c r="HV662" s="511">
        <f t="shared" si="15162"/>
        <v>0</v>
      </c>
      <c r="HW662" s="825">
        <f t="shared" ref="HW662" si="15172">HW664+HW691</f>
        <v>0</v>
      </c>
      <c r="HX662" s="511">
        <f t="shared" ref="HX662:HY662" si="15173">HX664+HX691</f>
        <v>0</v>
      </c>
      <c r="HY662" s="825">
        <f t="shared" si="15173"/>
        <v>31000</v>
      </c>
      <c r="HZ662" s="511">
        <f t="shared" ref="HZ662:IA662" si="15174">HZ664+HZ691</f>
        <v>0</v>
      </c>
      <c r="IA662" s="825">
        <f t="shared" si="15174"/>
        <v>491440.61</v>
      </c>
      <c r="IB662" s="511">
        <f t="shared" ref="IB662:IC662" si="15175">IB664+IB691</f>
        <v>0</v>
      </c>
      <c r="IC662" s="825">
        <f t="shared" si="15175"/>
        <v>0</v>
      </c>
      <c r="ID662" s="511">
        <f t="shared" ref="ID662:JT662" si="15176">ID664+ID691</f>
        <v>0</v>
      </c>
      <c r="IE662" s="825">
        <f t="shared" si="15176"/>
        <v>0</v>
      </c>
      <c r="IF662" s="796">
        <f t="shared" si="15176"/>
        <v>852644.95000000007</v>
      </c>
      <c r="IG662" s="511">
        <f t="shared" si="15176"/>
        <v>852644.95000000007</v>
      </c>
      <c r="IH662" s="797">
        <f t="shared" si="15176"/>
        <v>852644.95000000007</v>
      </c>
      <c r="II662" s="511">
        <f t="shared" ref="II662:IK662" si="15177">II664+II691</f>
        <v>0</v>
      </c>
      <c r="IJ662" s="511">
        <f t="shared" si="15177"/>
        <v>0</v>
      </c>
      <c r="IK662" s="511">
        <f t="shared" si="15177"/>
        <v>0</v>
      </c>
      <c r="IL662" s="511">
        <f t="shared" ref="IL662:IN662" si="15178">IL664+IL691</f>
        <v>0</v>
      </c>
      <c r="IM662" s="511">
        <f t="shared" si="15178"/>
        <v>0</v>
      </c>
      <c r="IN662" s="511">
        <f t="shared" si="15178"/>
        <v>0</v>
      </c>
      <c r="IO662" s="511">
        <f t="shared" ref="IO662:IQ662" si="15179">IO664+IO691</f>
        <v>0</v>
      </c>
      <c r="IP662" s="511">
        <f t="shared" si="15179"/>
        <v>0</v>
      </c>
      <c r="IQ662" s="511">
        <f t="shared" si="15179"/>
        <v>0</v>
      </c>
      <c r="IR662" s="511">
        <f t="shared" ref="IR662:IT662" si="15180">IR664+IR691</f>
        <v>488240.23</v>
      </c>
      <c r="IS662" s="511">
        <f t="shared" si="15180"/>
        <v>488240.23</v>
      </c>
      <c r="IT662" s="511">
        <f t="shared" si="15180"/>
        <v>488240.23</v>
      </c>
      <c r="IU662" s="511">
        <f t="shared" ref="IU662:IW662" si="15181">IU664+IU691</f>
        <v>25586.5</v>
      </c>
      <c r="IV662" s="511">
        <f t="shared" si="15181"/>
        <v>25586.5</v>
      </c>
      <c r="IW662" s="511">
        <f t="shared" si="15181"/>
        <v>25586.5</v>
      </c>
      <c r="IX662" s="511">
        <f t="shared" ref="IX662:IZ662" si="15182">IX664+IX691</f>
        <v>0</v>
      </c>
      <c r="IY662" s="511">
        <f t="shared" si="15182"/>
        <v>0</v>
      </c>
      <c r="IZ662" s="511">
        <f t="shared" si="15182"/>
        <v>0</v>
      </c>
      <c r="JA662" s="511">
        <f t="shared" ref="JA662:JC662" si="15183">JA664+JA691</f>
        <v>2989</v>
      </c>
      <c r="JB662" s="511">
        <f t="shared" si="15183"/>
        <v>2989</v>
      </c>
      <c r="JC662" s="511">
        <f t="shared" si="15183"/>
        <v>2989</v>
      </c>
      <c r="JD662" s="511">
        <f t="shared" ref="JD662:JF662" si="15184">JD664+JD691</f>
        <v>-2989</v>
      </c>
      <c r="JE662" s="511">
        <f t="shared" si="15184"/>
        <v>-2989</v>
      </c>
      <c r="JF662" s="511">
        <f t="shared" si="15184"/>
        <v>-2989</v>
      </c>
      <c r="JG662" s="511">
        <f t="shared" ref="JG662:JI662" si="15185">JG664+JG691</f>
        <v>276148.47999999998</v>
      </c>
      <c r="JH662" s="511">
        <f t="shared" si="15185"/>
        <v>276148.47999999998</v>
      </c>
      <c r="JI662" s="511">
        <f t="shared" si="15185"/>
        <v>276148.47999999998</v>
      </c>
      <c r="JJ662" s="511">
        <f t="shared" ref="JJ662:JL662" si="15186">JJ664+JJ691</f>
        <v>62669.739999999991</v>
      </c>
      <c r="JK662" s="511">
        <f t="shared" si="15186"/>
        <v>62669.739999999991</v>
      </c>
      <c r="JL662" s="511">
        <f t="shared" si="15186"/>
        <v>62669.739999999991</v>
      </c>
      <c r="JM662" s="511">
        <f t="shared" ref="JM662:JO662" si="15187">JM664+JM691</f>
        <v>0</v>
      </c>
      <c r="JN662" s="511">
        <f t="shared" si="15187"/>
        <v>0</v>
      </c>
      <c r="JO662" s="511">
        <f t="shared" si="15187"/>
        <v>0</v>
      </c>
      <c r="JP662" s="511">
        <f t="shared" si="15176"/>
        <v>0</v>
      </c>
      <c r="JQ662" s="511">
        <f t="shared" si="15176"/>
        <v>0</v>
      </c>
      <c r="JR662" s="511">
        <f t="shared" si="15176"/>
        <v>0</v>
      </c>
      <c r="JS662" s="511">
        <f t="shared" si="15176"/>
        <v>1186662.0499999998</v>
      </c>
      <c r="JT662" s="511">
        <f t="shared" si="15176"/>
        <v>1186662.0499999998</v>
      </c>
      <c r="JU662" s="665"/>
      <c r="JV662" s="524"/>
      <c r="JW662" s="525"/>
      <c r="JX662" s="511">
        <f>JX664+JX691</f>
        <v>0</v>
      </c>
      <c r="JY662" s="511">
        <f>JY664+JY691</f>
        <v>875100</v>
      </c>
      <c r="JZ662" s="511">
        <f>JZ664+JZ691</f>
        <v>1884101</v>
      </c>
      <c r="KA662" s="511">
        <f>KA664+KA691</f>
        <v>-719894</v>
      </c>
      <c r="KB662" s="511">
        <f>SUM(JX662:KA662)</f>
        <v>2039307</v>
      </c>
      <c r="KC662" s="709">
        <f>HG662-KB662</f>
        <v>0</v>
      </c>
      <c r="KD662" s="36"/>
      <c r="KE662" s="36"/>
      <c r="KF662" s="36"/>
      <c r="KG662" s="36"/>
      <c r="KH662" s="36"/>
      <c r="KI662" s="36"/>
      <c r="KJ662" s="36"/>
      <c r="KK662" s="36"/>
    </row>
    <row r="663" spans="1:297" s="505" customFormat="1">
      <c r="A663" s="611"/>
      <c r="B663" s="576"/>
      <c r="C663" s="577"/>
      <c r="D663" s="577"/>
      <c r="E663" s="577"/>
      <c r="F663" s="577"/>
      <c r="G663" s="577"/>
      <c r="H663" s="577"/>
      <c r="I663" s="577"/>
      <c r="J663" s="577"/>
      <c r="K663" s="577"/>
      <c r="L663" s="577"/>
      <c r="M663" s="577"/>
      <c r="N663" s="577"/>
      <c r="O663" s="577"/>
      <c r="P663" s="577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  <c r="AA663" s="577"/>
      <c r="AB663" s="577"/>
      <c r="AC663" s="577"/>
      <c r="AD663" s="577"/>
      <c r="AE663" s="577"/>
      <c r="AF663" s="577"/>
      <c r="AG663" s="577"/>
      <c r="AH663" s="577"/>
      <c r="AI663" s="577"/>
      <c r="AJ663" s="577"/>
      <c r="AK663" s="577"/>
      <c r="AL663" s="577"/>
      <c r="AM663" s="577"/>
      <c r="AN663" s="577"/>
      <c r="AO663" s="577"/>
      <c r="AP663" s="577"/>
      <c r="AQ663" s="577"/>
      <c r="AR663" s="577"/>
      <c r="AS663" s="577"/>
      <c r="AT663" s="577"/>
      <c r="AU663" s="577"/>
      <c r="AV663" s="577"/>
      <c r="AW663" s="577"/>
      <c r="AX663" s="577"/>
      <c r="AY663" s="577"/>
      <c r="AZ663" s="577"/>
      <c r="BA663" s="577"/>
      <c r="BB663" s="577"/>
      <c r="BC663" s="577"/>
      <c r="BD663" s="577"/>
      <c r="BE663" s="577"/>
      <c r="BF663" s="577"/>
      <c r="BG663" s="577"/>
      <c r="BH663" s="577"/>
      <c r="BI663" s="577"/>
      <c r="BJ663" s="577"/>
      <c r="BK663" s="577"/>
      <c r="BL663" s="577"/>
      <c r="BM663" s="577"/>
      <c r="BN663" s="577"/>
      <c r="BO663" s="577"/>
      <c r="BP663" s="577"/>
      <c r="BQ663" s="577"/>
      <c r="BR663" s="577"/>
      <c r="BS663" s="577"/>
      <c r="BT663" s="577"/>
      <c r="BU663" s="577"/>
      <c r="BV663" s="577"/>
      <c r="BW663" s="577"/>
      <c r="BX663" s="577"/>
      <c r="BY663" s="577"/>
      <c r="BZ663" s="577"/>
      <c r="CA663" s="577"/>
      <c r="CB663" s="577"/>
      <c r="CC663" s="577"/>
      <c r="CD663" s="577"/>
      <c r="CE663" s="577"/>
      <c r="CF663" s="577"/>
      <c r="CG663" s="577"/>
      <c r="CH663" s="577"/>
      <c r="CI663" s="577"/>
      <c r="CJ663" s="577"/>
      <c r="CK663" s="577"/>
      <c r="CL663" s="577"/>
      <c r="CM663" s="577"/>
      <c r="CN663" s="577"/>
      <c r="CO663" s="577"/>
      <c r="CP663" s="577"/>
      <c r="CQ663" s="577"/>
      <c r="CR663" s="577"/>
      <c r="CS663" s="577"/>
      <c r="CT663" s="577"/>
      <c r="CU663" s="577"/>
      <c r="CV663" s="577"/>
      <c r="CW663" s="577"/>
      <c r="CX663" s="577"/>
      <c r="CY663" s="577"/>
      <c r="CZ663" s="577"/>
      <c r="DA663" s="577"/>
      <c r="DB663" s="577"/>
      <c r="DC663" s="577"/>
      <c r="DD663" s="577"/>
      <c r="DE663" s="577"/>
      <c r="DF663" s="577"/>
      <c r="DG663" s="577"/>
      <c r="DH663" s="577"/>
      <c r="DI663" s="577"/>
      <c r="DJ663" s="577"/>
      <c r="DK663" s="577"/>
      <c r="DL663" s="577"/>
      <c r="DM663" s="577"/>
      <c r="DN663" s="577"/>
      <c r="DO663" s="577"/>
      <c r="DP663" s="577"/>
      <c r="DQ663" s="577"/>
      <c r="DR663" s="577"/>
      <c r="DS663" s="577"/>
      <c r="DT663" s="577"/>
      <c r="DU663" s="577"/>
      <c r="DV663" s="577"/>
      <c r="DW663" s="577"/>
      <c r="DX663" s="577"/>
      <c r="DY663" s="577"/>
      <c r="DZ663" s="577"/>
      <c r="EA663" s="577"/>
      <c r="EB663" s="577"/>
      <c r="EC663" s="577"/>
      <c r="ED663" s="577"/>
      <c r="EE663" s="577"/>
      <c r="EF663" s="577"/>
      <c r="EG663" s="577"/>
      <c r="EH663" s="577"/>
      <c r="EI663" s="577"/>
      <c r="EJ663" s="577"/>
      <c r="EK663" s="577"/>
      <c r="EL663" s="577"/>
      <c r="EM663" s="577"/>
      <c r="EN663" s="577"/>
      <c r="EO663" s="577"/>
      <c r="EP663" s="577"/>
      <c r="EQ663" s="577"/>
      <c r="ER663" s="577"/>
      <c r="ES663" s="577"/>
      <c r="ET663" s="577"/>
      <c r="EU663" s="577"/>
      <c r="EV663" s="577"/>
      <c r="EW663" s="577"/>
      <c r="EX663" s="577"/>
      <c r="EY663" s="577"/>
      <c r="EZ663" s="577"/>
      <c r="FA663" s="577"/>
      <c r="FB663" s="577"/>
      <c r="FC663" s="577"/>
      <c r="FD663" s="577"/>
      <c r="FE663" s="577"/>
      <c r="FF663" s="577"/>
      <c r="FG663" s="577"/>
      <c r="FH663" s="577"/>
      <c r="FI663" s="577"/>
      <c r="FJ663" s="577"/>
      <c r="FK663" s="577"/>
      <c r="FL663" s="577"/>
      <c r="FM663" s="577"/>
      <c r="FN663" s="577"/>
      <c r="FO663" s="577"/>
      <c r="FP663" s="577"/>
      <c r="FQ663" s="577"/>
      <c r="FR663" s="577"/>
      <c r="FS663" s="577"/>
      <c r="FT663" s="577"/>
      <c r="FU663" s="577"/>
      <c r="FV663" s="577"/>
      <c r="FW663" s="577"/>
      <c r="FX663" s="577"/>
      <c r="FY663" s="577"/>
      <c r="FZ663" s="577"/>
      <c r="GA663" s="577"/>
      <c r="GB663" s="577"/>
      <c r="GC663" s="577"/>
      <c r="GD663" s="577"/>
      <c r="GE663" s="577"/>
      <c r="GF663" s="577"/>
      <c r="GG663" s="577"/>
      <c r="GH663" s="577"/>
      <c r="GI663" s="577"/>
      <c r="GJ663" s="577"/>
      <c r="GK663" s="577"/>
      <c r="GL663" s="577"/>
      <c r="GM663" s="577"/>
      <c r="GN663" s="577"/>
      <c r="GO663" s="577"/>
      <c r="GP663" s="577"/>
      <c r="GQ663" s="685"/>
      <c r="GR663" s="577"/>
      <c r="GS663" s="577"/>
      <c r="GT663" s="577"/>
      <c r="GU663" s="577"/>
      <c r="GV663" s="577"/>
      <c r="GW663" s="577"/>
      <c r="GX663" s="577"/>
      <c r="GY663" s="577"/>
      <c r="GZ663" s="577"/>
      <c r="HA663" s="577"/>
      <c r="HB663" s="577"/>
      <c r="HC663" s="577"/>
      <c r="HD663" s="577"/>
      <c r="HE663" s="577"/>
      <c r="HF663" s="577"/>
      <c r="HG663" s="577"/>
      <c r="HH663" s="577"/>
      <c r="HI663" s="826"/>
      <c r="HJ663" s="577"/>
      <c r="HK663" s="826"/>
      <c r="HL663" s="577"/>
      <c r="HM663" s="826"/>
      <c r="HN663" s="577"/>
      <c r="HO663" s="826"/>
      <c r="HP663" s="577"/>
      <c r="HQ663" s="826"/>
      <c r="HR663" s="577"/>
      <c r="HS663" s="826"/>
      <c r="HT663" s="577"/>
      <c r="HU663" s="826"/>
      <c r="HV663" s="577"/>
      <c r="HW663" s="826"/>
      <c r="HX663" s="577"/>
      <c r="HY663" s="826"/>
      <c r="HZ663" s="577"/>
      <c r="IA663" s="826"/>
      <c r="IB663" s="577"/>
      <c r="IC663" s="826"/>
      <c r="ID663" s="577"/>
      <c r="IE663" s="826"/>
      <c r="IF663" s="869"/>
      <c r="IG663" s="577"/>
      <c r="IH663" s="870"/>
      <c r="II663" s="577"/>
      <c r="IJ663" s="577"/>
      <c r="IK663" s="577"/>
      <c r="IL663" s="577"/>
      <c r="IM663" s="577"/>
      <c r="IN663" s="577"/>
      <c r="IO663" s="577"/>
      <c r="IP663" s="577"/>
      <c r="IQ663" s="577"/>
      <c r="IR663" s="577"/>
      <c r="IS663" s="577"/>
      <c r="IT663" s="577"/>
      <c r="IU663" s="577"/>
      <c r="IV663" s="577"/>
      <c r="IW663" s="577"/>
      <c r="IX663" s="577"/>
      <c r="IY663" s="577"/>
      <c r="IZ663" s="577"/>
      <c r="JA663" s="577"/>
      <c r="JB663" s="577"/>
      <c r="JC663" s="577"/>
      <c r="JD663" s="577"/>
      <c r="JE663" s="577"/>
      <c r="JF663" s="577"/>
      <c r="JG663" s="577"/>
      <c r="JH663" s="577"/>
      <c r="JI663" s="577"/>
      <c r="JJ663" s="577"/>
      <c r="JK663" s="577"/>
      <c r="JL663" s="577"/>
      <c r="JM663" s="577"/>
      <c r="JN663" s="577"/>
      <c r="JO663" s="577"/>
      <c r="JP663" s="577"/>
      <c r="JQ663" s="577"/>
      <c r="JR663" s="577"/>
      <c r="JS663" s="577"/>
      <c r="JT663" s="577"/>
      <c r="JU663" s="665"/>
      <c r="JV663" s="524"/>
      <c r="JW663" s="525"/>
      <c r="JX663" s="577"/>
      <c r="JY663" s="577"/>
      <c r="JZ663" s="577"/>
      <c r="KA663" s="577"/>
      <c r="KB663" s="577"/>
      <c r="KC663" s="709">
        <f t="shared" si="14739"/>
        <v>0</v>
      </c>
      <c r="KD663" s="491"/>
      <c r="KE663" s="491"/>
      <c r="KF663" s="491"/>
      <c r="KG663" s="491"/>
      <c r="KH663" s="491"/>
      <c r="KI663" s="491"/>
      <c r="KJ663" s="491"/>
      <c r="KK663" s="491"/>
    </row>
    <row r="664" spans="1:297" s="10" customFormat="1">
      <c r="A664" s="610" t="s">
        <v>937</v>
      </c>
      <c r="B664" s="510" t="s">
        <v>938</v>
      </c>
      <c r="C664" s="511">
        <f>C666+C669+C681+C685+C688</f>
        <v>311100</v>
      </c>
      <c r="D664" s="511">
        <f t="shared" ref="D664:BO664" si="15188">D666+D669+D681+D685+D688</f>
        <v>0</v>
      </c>
      <c r="E664" s="511">
        <f t="shared" si="15188"/>
        <v>0</v>
      </c>
      <c r="F664" s="511">
        <f t="shared" si="15188"/>
        <v>0</v>
      </c>
      <c r="G664" s="511">
        <f t="shared" si="15188"/>
        <v>0</v>
      </c>
      <c r="H664" s="511">
        <f t="shared" si="15188"/>
        <v>0</v>
      </c>
      <c r="I664" s="511">
        <f t="shared" si="15188"/>
        <v>0</v>
      </c>
      <c r="J664" s="511">
        <f t="shared" si="15188"/>
        <v>0</v>
      </c>
      <c r="K664" s="511">
        <f t="shared" si="15188"/>
        <v>0</v>
      </c>
      <c r="L664" s="511">
        <f t="shared" si="15188"/>
        <v>0</v>
      </c>
      <c r="M664" s="511">
        <f t="shared" si="15188"/>
        <v>0</v>
      </c>
      <c r="N664" s="511">
        <f t="shared" si="15188"/>
        <v>186132</v>
      </c>
      <c r="O664" s="511">
        <f t="shared" si="15188"/>
        <v>-70000</v>
      </c>
      <c r="P664" s="511">
        <f t="shared" si="15188"/>
        <v>0</v>
      </c>
      <c r="Q664" s="511">
        <f t="shared" si="15188"/>
        <v>0</v>
      </c>
      <c r="R664" s="511">
        <f t="shared" si="15188"/>
        <v>0</v>
      </c>
      <c r="S664" s="511">
        <f t="shared" si="15188"/>
        <v>0</v>
      </c>
      <c r="T664" s="511">
        <f t="shared" si="15188"/>
        <v>0</v>
      </c>
      <c r="U664" s="511">
        <f t="shared" si="15188"/>
        <v>0</v>
      </c>
      <c r="V664" s="511">
        <f t="shared" si="15188"/>
        <v>0</v>
      </c>
      <c r="W664" s="511">
        <f t="shared" si="15188"/>
        <v>0</v>
      </c>
      <c r="X664" s="511">
        <f t="shared" si="15188"/>
        <v>0</v>
      </c>
      <c r="Y664" s="511">
        <f t="shared" si="15188"/>
        <v>0</v>
      </c>
      <c r="Z664" s="511">
        <f t="shared" si="15188"/>
        <v>266314</v>
      </c>
      <c r="AA664" s="511">
        <f t="shared" si="15188"/>
        <v>0</v>
      </c>
      <c r="AB664" s="511">
        <f t="shared" si="15188"/>
        <v>128901</v>
      </c>
      <c r="AC664" s="511">
        <f t="shared" si="15188"/>
        <v>0</v>
      </c>
      <c r="AD664" s="511">
        <f t="shared" si="15188"/>
        <v>0</v>
      </c>
      <c r="AE664" s="511">
        <f t="shared" si="15188"/>
        <v>0</v>
      </c>
      <c r="AF664" s="511">
        <f t="shared" si="15188"/>
        <v>0</v>
      </c>
      <c r="AG664" s="511">
        <f t="shared" si="15188"/>
        <v>0</v>
      </c>
      <c r="AH664" s="511">
        <f t="shared" si="15188"/>
        <v>0</v>
      </c>
      <c r="AI664" s="511">
        <f t="shared" si="15188"/>
        <v>0</v>
      </c>
      <c r="AJ664" s="511">
        <f t="shared" si="15188"/>
        <v>0</v>
      </c>
      <c r="AK664" s="511">
        <f t="shared" si="15188"/>
        <v>0</v>
      </c>
      <c r="AL664" s="511">
        <f t="shared" si="15188"/>
        <v>0</v>
      </c>
      <c r="AM664" s="511">
        <f t="shared" si="15188"/>
        <v>0</v>
      </c>
      <c r="AN664" s="511">
        <f t="shared" si="15188"/>
        <v>0</v>
      </c>
      <c r="AO664" s="511">
        <f t="shared" si="15188"/>
        <v>0</v>
      </c>
      <c r="AP664" s="511">
        <f t="shared" si="15188"/>
        <v>269095</v>
      </c>
      <c r="AQ664" s="511">
        <f t="shared" si="15188"/>
        <v>0</v>
      </c>
      <c r="AR664" s="511">
        <f t="shared" si="15188"/>
        <v>0</v>
      </c>
      <c r="AS664" s="511">
        <f t="shared" si="15188"/>
        <v>0</v>
      </c>
      <c r="AT664" s="511">
        <f t="shared" si="15188"/>
        <v>0</v>
      </c>
      <c r="AU664" s="511">
        <f t="shared" si="15188"/>
        <v>0</v>
      </c>
      <c r="AV664" s="511">
        <f t="shared" si="15188"/>
        <v>0</v>
      </c>
      <c r="AW664" s="511">
        <f t="shared" si="15188"/>
        <v>0</v>
      </c>
      <c r="AX664" s="511">
        <f t="shared" si="15188"/>
        <v>16905</v>
      </c>
      <c r="AY664" s="511">
        <f t="shared" si="15188"/>
        <v>0</v>
      </c>
      <c r="AZ664" s="511">
        <f t="shared" si="15188"/>
        <v>0</v>
      </c>
      <c r="BA664" s="511">
        <f t="shared" si="15188"/>
        <v>0</v>
      </c>
      <c r="BB664" s="511">
        <f t="shared" si="15188"/>
        <v>0</v>
      </c>
      <c r="BC664" s="511">
        <f t="shared" si="15188"/>
        <v>0</v>
      </c>
      <c r="BD664" s="511">
        <f t="shared" si="15188"/>
        <v>0</v>
      </c>
      <c r="BE664" s="511">
        <f t="shared" si="15188"/>
        <v>0</v>
      </c>
      <c r="BF664" s="511">
        <f t="shared" si="15188"/>
        <v>0</v>
      </c>
      <c r="BG664" s="511">
        <f t="shared" si="15188"/>
        <v>0</v>
      </c>
      <c r="BH664" s="511">
        <f t="shared" si="15188"/>
        <v>0</v>
      </c>
      <c r="BI664" s="511">
        <f t="shared" si="15188"/>
        <v>0</v>
      </c>
      <c r="BJ664" s="511">
        <f t="shared" si="15188"/>
        <v>0</v>
      </c>
      <c r="BK664" s="511">
        <f t="shared" si="15188"/>
        <v>0</v>
      </c>
      <c r="BL664" s="511">
        <f t="shared" si="15188"/>
        <v>0</v>
      </c>
      <c r="BM664" s="511">
        <f t="shared" si="15188"/>
        <v>0</v>
      </c>
      <c r="BN664" s="511">
        <f t="shared" si="15188"/>
        <v>0</v>
      </c>
      <c r="BO664" s="511">
        <f t="shared" si="15188"/>
        <v>0</v>
      </c>
      <c r="BP664" s="511">
        <f t="shared" ref="BP664:EA664" si="15189">BP666+BP669+BP681+BP685+BP688</f>
        <v>0</v>
      </c>
      <c r="BQ664" s="511">
        <f t="shared" si="15189"/>
        <v>0</v>
      </c>
      <c r="BR664" s="511">
        <f t="shared" si="15189"/>
        <v>116922</v>
      </c>
      <c r="BS664" s="511">
        <f t="shared" si="15189"/>
        <v>0</v>
      </c>
      <c r="BT664" s="511">
        <f t="shared" si="15189"/>
        <v>0</v>
      </c>
      <c r="BU664" s="511">
        <f t="shared" si="15189"/>
        <v>-50000</v>
      </c>
      <c r="BV664" s="511">
        <f t="shared" si="15189"/>
        <v>0</v>
      </c>
      <c r="BW664" s="511">
        <f t="shared" si="15189"/>
        <v>0</v>
      </c>
      <c r="BX664" s="511">
        <f t="shared" si="15189"/>
        <v>12012</v>
      </c>
      <c r="BY664" s="511">
        <f t="shared" si="15189"/>
        <v>0</v>
      </c>
      <c r="BZ664" s="511">
        <f t="shared" si="15189"/>
        <v>0</v>
      </c>
      <c r="CA664" s="511">
        <f t="shared" si="15189"/>
        <v>0</v>
      </c>
      <c r="CB664" s="511">
        <f t="shared" si="15189"/>
        <v>0</v>
      </c>
      <c r="CC664" s="511">
        <f t="shared" si="15189"/>
        <v>0</v>
      </c>
      <c r="CD664" s="511">
        <f t="shared" si="15189"/>
        <v>0</v>
      </c>
      <c r="CE664" s="511">
        <f t="shared" si="15189"/>
        <v>0</v>
      </c>
      <c r="CF664" s="511">
        <f t="shared" si="15189"/>
        <v>0</v>
      </c>
      <c r="CG664" s="511">
        <f t="shared" si="15189"/>
        <v>0</v>
      </c>
      <c r="CH664" s="511">
        <f t="shared" si="15189"/>
        <v>0</v>
      </c>
      <c r="CI664" s="511">
        <f t="shared" si="15189"/>
        <v>0</v>
      </c>
      <c r="CJ664" s="511">
        <f t="shared" si="15189"/>
        <v>0</v>
      </c>
      <c r="CK664" s="511">
        <f t="shared" si="15189"/>
        <v>0</v>
      </c>
      <c r="CL664" s="511">
        <f t="shared" si="15189"/>
        <v>0</v>
      </c>
      <c r="CM664" s="511">
        <f t="shared" si="15189"/>
        <v>0</v>
      </c>
      <c r="CN664" s="511">
        <f t="shared" si="15189"/>
        <v>0</v>
      </c>
      <c r="CO664" s="511">
        <f t="shared" si="15189"/>
        <v>0</v>
      </c>
      <c r="CP664" s="511">
        <f t="shared" si="15189"/>
        <v>0</v>
      </c>
      <c r="CQ664" s="511">
        <f t="shared" si="15189"/>
        <v>0</v>
      </c>
      <c r="CR664" s="511">
        <f t="shared" si="15189"/>
        <v>0</v>
      </c>
      <c r="CS664" s="511">
        <f t="shared" si="15189"/>
        <v>-50000</v>
      </c>
      <c r="CT664" s="511">
        <f t="shared" si="15189"/>
        <v>3000</v>
      </c>
      <c r="CU664" s="511">
        <f t="shared" si="15189"/>
        <v>-3000</v>
      </c>
      <c r="CV664" s="511">
        <f t="shared" si="15189"/>
        <v>0</v>
      </c>
      <c r="CW664" s="511">
        <f t="shared" si="15189"/>
        <v>0</v>
      </c>
      <c r="CX664" s="511">
        <f t="shared" si="15189"/>
        <v>0</v>
      </c>
      <c r="CY664" s="511">
        <f t="shared" si="15189"/>
        <v>0</v>
      </c>
      <c r="CZ664" s="511">
        <f t="shared" si="15189"/>
        <v>0</v>
      </c>
      <c r="DA664" s="511">
        <f t="shared" si="15189"/>
        <v>0</v>
      </c>
      <c r="DB664" s="511">
        <f t="shared" si="15189"/>
        <v>100000</v>
      </c>
      <c r="DC664" s="511">
        <f t="shared" si="15189"/>
        <v>-10000</v>
      </c>
      <c r="DD664" s="511">
        <f t="shared" si="15189"/>
        <v>11072</v>
      </c>
      <c r="DE664" s="511">
        <f t="shared" si="15189"/>
        <v>0</v>
      </c>
      <c r="DF664" s="511">
        <f t="shared" si="15189"/>
        <v>0</v>
      </c>
      <c r="DG664" s="511">
        <f t="shared" si="15189"/>
        <v>0</v>
      </c>
      <c r="DH664" s="511">
        <f t="shared" si="15189"/>
        <v>0</v>
      </c>
      <c r="DI664" s="511">
        <f t="shared" si="15189"/>
        <v>0</v>
      </c>
      <c r="DJ664" s="511">
        <f t="shared" si="15189"/>
        <v>0</v>
      </c>
      <c r="DK664" s="511">
        <f t="shared" si="15189"/>
        <v>0</v>
      </c>
      <c r="DL664" s="511">
        <f t="shared" si="15189"/>
        <v>0</v>
      </c>
      <c r="DM664" s="511">
        <f t="shared" si="15189"/>
        <v>-1900</v>
      </c>
      <c r="DN664" s="511">
        <f t="shared" si="15189"/>
        <v>0</v>
      </c>
      <c r="DO664" s="511">
        <f t="shared" si="15189"/>
        <v>0</v>
      </c>
      <c r="DP664" s="511">
        <f t="shared" si="15189"/>
        <v>0</v>
      </c>
      <c r="DQ664" s="511">
        <f t="shared" si="15189"/>
        <v>0</v>
      </c>
      <c r="DR664" s="511">
        <f t="shared" si="15189"/>
        <v>62929</v>
      </c>
      <c r="DS664" s="511">
        <f t="shared" si="15189"/>
        <v>-29929</v>
      </c>
      <c r="DT664" s="511">
        <f t="shared" si="15189"/>
        <v>0</v>
      </c>
      <c r="DU664" s="511">
        <f t="shared" si="15189"/>
        <v>0</v>
      </c>
      <c r="DV664" s="511">
        <f t="shared" si="15189"/>
        <v>0</v>
      </c>
      <c r="DW664" s="511">
        <f t="shared" si="15189"/>
        <v>0</v>
      </c>
      <c r="DX664" s="511">
        <f t="shared" si="15189"/>
        <v>0</v>
      </c>
      <c r="DY664" s="511">
        <f t="shared" si="15189"/>
        <v>-26921</v>
      </c>
      <c r="DZ664" s="511">
        <f t="shared" si="15189"/>
        <v>0</v>
      </c>
      <c r="EA664" s="511">
        <f t="shared" si="15189"/>
        <v>-7128</v>
      </c>
      <c r="EB664" s="511">
        <f t="shared" ref="EB664:GM664" si="15190">EB666+EB669+EB681+EB685+EB688</f>
        <v>0</v>
      </c>
      <c r="EC664" s="511">
        <f t="shared" si="15190"/>
        <v>0</v>
      </c>
      <c r="ED664" s="511">
        <f t="shared" si="15190"/>
        <v>0</v>
      </c>
      <c r="EE664" s="511">
        <f t="shared" si="15190"/>
        <v>0</v>
      </c>
      <c r="EF664" s="511">
        <f t="shared" si="15190"/>
        <v>0</v>
      </c>
      <c r="EG664" s="511">
        <f t="shared" si="15190"/>
        <v>0</v>
      </c>
      <c r="EH664" s="511">
        <f t="shared" si="15190"/>
        <v>0</v>
      </c>
      <c r="EI664" s="511">
        <f t="shared" si="15190"/>
        <v>0</v>
      </c>
      <c r="EJ664" s="511">
        <f t="shared" si="15190"/>
        <v>0</v>
      </c>
      <c r="EK664" s="511">
        <f t="shared" si="15190"/>
        <v>0</v>
      </c>
      <c r="EL664" s="511">
        <f t="shared" si="15190"/>
        <v>0</v>
      </c>
      <c r="EM664" s="511">
        <f t="shared" si="15190"/>
        <v>0</v>
      </c>
      <c r="EN664" s="511">
        <f t="shared" si="15190"/>
        <v>49219</v>
      </c>
      <c r="EO664" s="511">
        <f t="shared" si="15190"/>
        <v>0</v>
      </c>
      <c r="EP664" s="511">
        <f t="shared" si="15190"/>
        <v>0</v>
      </c>
      <c r="EQ664" s="511">
        <f t="shared" si="15190"/>
        <v>0</v>
      </c>
      <c r="ER664" s="511">
        <f t="shared" si="15190"/>
        <v>0</v>
      </c>
      <c r="ES664" s="511">
        <f t="shared" si="15190"/>
        <v>-49219</v>
      </c>
      <c r="ET664" s="511">
        <f t="shared" si="15190"/>
        <v>0</v>
      </c>
      <c r="EU664" s="511">
        <f t="shared" si="15190"/>
        <v>0</v>
      </c>
      <c r="EV664" s="511">
        <f t="shared" si="15190"/>
        <v>0</v>
      </c>
      <c r="EW664" s="511">
        <f t="shared" si="15190"/>
        <v>0</v>
      </c>
      <c r="EX664" s="511">
        <f t="shared" si="15190"/>
        <v>0</v>
      </c>
      <c r="EY664" s="511">
        <f t="shared" si="15190"/>
        <v>0</v>
      </c>
      <c r="EZ664" s="511">
        <f t="shared" si="15190"/>
        <v>0</v>
      </c>
      <c r="FA664" s="511">
        <f t="shared" si="15190"/>
        <v>0</v>
      </c>
      <c r="FB664" s="511">
        <f t="shared" si="15190"/>
        <v>21946</v>
      </c>
      <c r="FC664" s="511">
        <f t="shared" si="15190"/>
        <v>0</v>
      </c>
      <c r="FD664" s="511">
        <f t="shared" si="15190"/>
        <v>0</v>
      </c>
      <c r="FE664" s="511">
        <f t="shared" si="15190"/>
        <v>0</v>
      </c>
      <c r="FF664" s="511">
        <f t="shared" si="15190"/>
        <v>0</v>
      </c>
      <c r="FG664" s="511">
        <f t="shared" si="15190"/>
        <v>0</v>
      </c>
      <c r="FH664" s="511">
        <f t="shared" si="15190"/>
        <v>0</v>
      </c>
      <c r="FI664" s="511">
        <f t="shared" si="15190"/>
        <v>0</v>
      </c>
      <c r="FJ664" s="511">
        <f t="shared" si="15190"/>
        <v>0</v>
      </c>
      <c r="FK664" s="511">
        <f t="shared" si="15190"/>
        <v>0</v>
      </c>
      <c r="FL664" s="511">
        <f t="shared" si="15190"/>
        <v>0</v>
      </c>
      <c r="FM664" s="511">
        <f t="shared" si="15190"/>
        <v>0</v>
      </c>
      <c r="FN664" s="511">
        <f t="shared" si="15190"/>
        <v>0</v>
      </c>
      <c r="FO664" s="511">
        <f t="shared" si="15190"/>
        <v>-8690</v>
      </c>
      <c r="FP664" s="511">
        <f t="shared" si="15190"/>
        <v>0</v>
      </c>
      <c r="FQ664" s="511">
        <f t="shared" si="15190"/>
        <v>0</v>
      </c>
      <c r="FR664" s="511">
        <f t="shared" si="15190"/>
        <v>0</v>
      </c>
      <c r="FS664" s="511">
        <f t="shared" si="15190"/>
        <v>0</v>
      </c>
      <c r="FT664" s="511">
        <f t="shared" si="15190"/>
        <v>0</v>
      </c>
      <c r="FU664" s="511">
        <f t="shared" si="15190"/>
        <v>0</v>
      </c>
      <c r="FV664" s="511">
        <f t="shared" si="15190"/>
        <v>0</v>
      </c>
      <c r="FW664" s="511">
        <f t="shared" si="15190"/>
        <v>0</v>
      </c>
      <c r="FX664" s="511">
        <f t="shared" si="15190"/>
        <v>0</v>
      </c>
      <c r="FY664" s="511">
        <f t="shared" si="15190"/>
        <v>0</v>
      </c>
      <c r="FZ664" s="511">
        <f t="shared" si="15190"/>
        <v>0</v>
      </c>
      <c r="GA664" s="511">
        <f t="shared" si="15190"/>
        <v>0</v>
      </c>
      <c r="GB664" s="511">
        <f t="shared" si="15190"/>
        <v>0</v>
      </c>
      <c r="GC664" s="511">
        <f t="shared" si="15190"/>
        <v>0</v>
      </c>
      <c r="GD664" s="511">
        <f t="shared" si="15190"/>
        <v>0</v>
      </c>
      <c r="GE664" s="511">
        <f t="shared" si="15190"/>
        <v>0</v>
      </c>
      <c r="GF664" s="511">
        <f t="shared" si="15190"/>
        <v>0</v>
      </c>
      <c r="GG664" s="511">
        <f t="shared" si="15190"/>
        <v>0</v>
      </c>
      <c r="GH664" s="511">
        <f t="shared" si="15190"/>
        <v>0</v>
      </c>
      <c r="GI664" s="511">
        <f t="shared" si="15190"/>
        <v>0</v>
      </c>
      <c r="GJ664" s="511">
        <f t="shared" si="15190"/>
        <v>0</v>
      </c>
      <c r="GK664" s="511">
        <f t="shared" si="15190"/>
        <v>0</v>
      </c>
      <c r="GL664" s="511">
        <f t="shared" si="15190"/>
        <v>0</v>
      </c>
      <c r="GM664" s="511">
        <f t="shared" si="15190"/>
        <v>0</v>
      </c>
      <c r="GN664" s="511">
        <f t="shared" ref="GN664:GP664" si="15191">GN666+GN669+GN681+GN685+GN688</f>
        <v>0</v>
      </c>
      <c r="GO664" s="511">
        <f t="shared" si="15191"/>
        <v>0</v>
      </c>
      <c r="GP664" s="511">
        <f t="shared" si="15191"/>
        <v>1244447</v>
      </c>
      <c r="GQ664" s="684">
        <f>GQ666+GQ669+GQ681+GQ685+GQ688</f>
        <v>-306787</v>
      </c>
      <c r="GR664" s="511">
        <f>GR666+GR669+GR681+GR685+GR688</f>
        <v>1248760</v>
      </c>
      <c r="GS664" s="511">
        <f t="shared" ref="GS664:JD664" si="15192">GS666+GS669+GS681+GS685+GS688</f>
        <v>1248760</v>
      </c>
      <c r="GT664" s="511">
        <f t="shared" si="15192"/>
        <v>1248760</v>
      </c>
      <c r="GU664" s="511">
        <f t="shared" si="15192"/>
        <v>62220</v>
      </c>
      <c r="GV664" s="511">
        <f t="shared" si="15192"/>
        <v>120000</v>
      </c>
      <c r="GW664" s="511">
        <f t="shared" si="15192"/>
        <v>48880</v>
      </c>
      <c r="GX664" s="511">
        <f t="shared" si="15192"/>
        <v>30000</v>
      </c>
      <c r="GY664" s="511">
        <f t="shared" si="15192"/>
        <v>25000</v>
      </c>
      <c r="GZ664" s="511">
        <f t="shared" si="15192"/>
        <v>25000</v>
      </c>
      <c r="HA664" s="511">
        <f t="shared" si="15192"/>
        <v>0</v>
      </c>
      <c r="HB664" s="511">
        <f t="shared" si="15192"/>
        <v>0</v>
      </c>
      <c r="HC664" s="511">
        <f t="shared" si="15192"/>
        <v>0</v>
      </c>
      <c r="HD664" s="511">
        <f t="shared" si="15192"/>
        <v>0</v>
      </c>
      <c r="HE664" s="511">
        <f t="shared" si="15192"/>
        <v>0</v>
      </c>
      <c r="HF664" s="511">
        <f t="shared" si="15192"/>
        <v>0</v>
      </c>
      <c r="HG664" s="511">
        <f t="shared" si="15192"/>
        <v>1248760</v>
      </c>
      <c r="HH664" s="511">
        <f t="shared" si="15192"/>
        <v>0</v>
      </c>
      <c r="HI664" s="511">
        <f t="shared" si="15192"/>
        <v>0</v>
      </c>
      <c r="HJ664" s="511">
        <f t="shared" si="15192"/>
        <v>0</v>
      </c>
      <c r="HK664" s="511">
        <f t="shared" si="15192"/>
        <v>-116132</v>
      </c>
      <c r="HL664" s="511">
        <f t="shared" si="15192"/>
        <v>0</v>
      </c>
      <c r="HM664" s="511">
        <f t="shared" si="15192"/>
        <v>48893.380000000005</v>
      </c>
      <c r="HN664" s="511">
        <f t="shared" si="15192"/>
        <v>0</v>
      </c>
      <c r="HO664" s="511">
        <f t="shared" si="15192"/>
        <v>162794.09</v>
      </c>
      <c r="HP664" s="511">
        <f t="shared" si="15192"/>
        <v>0</v>
      </c>
      <c r="HQ664" s="511">
        <f t="shared" si="15192"/>
        <v>-231000</v>
      </c>
      <c r="HR664" s="511">
        <f t="shared" si="15192"/>
        <v>0</v>
      </c>
      <c r="HS664" s="511">
        <f t="shared" si="15192"/>
        <v>0</v>
      </c>
      <c r="HT664" s="511">
        <f t="shared" si="15192"/>
        <v>0</v>
      </c>
      <c r="HU664" s="511">
        <f t="shared" si="15192"/>
        <v>140544.52999999997</v>
      </c>
      <c r="HV664" s="511">
        <f t="shared" si="15192"/>
        <v>0</v>
      </c>
      <c r="HW664" s="511">
        <f t="shared" si="15192"/>
        <v>0</v>
      </c>
      <c r="HX664" s="511">
        <f t="shared" si="15192"/>
        <v>0</v>
      </c>
      <c r="HY664" s="511">
        <f t="shared" si="15192"/>
        <v>131000</v>
      </c>
      <c r="HZ664" s="511">
        <f t="shared" si="15192"/>
        <v>0</v>
      </c>
      <c r="IA664" s="511">
        <f t="shared" si="15192"/>
        <v>175000</v>
      </c>
      <c r="IB664" s="511">
        <f t="shared" si="15192"/>
        <v>0</v>
      </c>
      <c r="IC664" s="511">
        <f t="shared" si="15192"/>
        <v>0</v>
      </c>
      <c r="ID664" s="511">
        <f t="shared" si="15192"/>
        <v>0</v>
      </c>
      <c r="IE664" s="511">
        <f t="shared" si="15192"/>
        <v>0</v>
      </c>
      <c r="IF664" s="863">
        <f t="shared" si="15192"/>
        <v>576426.57000000007</v>
      </c>
      <c r="IG664" s="286">
        <f t="shared" si="15192"/>
        <v>576426.57000000007</v>
      </c>
      <c r="IH664" s="864">
        <f t="shared" si="15192"/>
        <v>576426.57000000007</v>
      </c>
      <c r="II664" s="511">
        <f t="shared" si="15192"/>
        <v>0</v>
      </c>
      <c r="IJ664" s="511">
        <f t="shared" si="15192"/>
        <v>0</v>
      </c>
      <c r="IK664" s="511">
        <f t="shared" si="15192"/>
        <v>0</v>
      </c>
      <c r="IL664" s="511">
        <f t="shared" si="15192"/>
        <v>0</v>
      </c>
      <c r="IM664" s="511">
        <f t="shared" si="15192"/>
        <v>0</v>
      </c>
      <c r="IN664" s="511">
        <f t="shared" si="15192"/>
        <v>0</v>
      </c>
      <c r="IO664" s="511">
        <f t="shared" si="15192"/>
        <v>0</v>
      </c>
      <c r="IP664" s="511">
        <f t="shared" si="15192"/>
        <v>0</v>
      </c>
      <c r="IQ664" s="511">
        <f t="shared" si="15192"/>
        <v>0</v>
      </c>
      <c r="IR664" s="511">
        <f t="shared" si="15192"/>
        <v>212021.85</v>
      </c>
      <c r="IS664" s="511">
        <f t="shared" si="15192"/>
        <v>212021.85</v>
      </c>
      <c r="IT664" s="511">
        <f t="shared" si="15192"/>
        <v>212021.85</v>
      </c>
      <c r="IU664" s="511">
        <f t="shared" si="15192"/>
        <v>25586.5</v>
      </c>
      <c r="IV664" s="511">
        <f t="shared" si="15192"/>
        <v>25586.5</v>
      </c>
      <c r="IW664" s="511">
        <f t="shared" si="15192"/>
        <v>25586.5</v>
      </c>
      <c r="IX664" s="511">
        <f t="shared" si="15192"/>
        <v>0</v>
      </c>
      <c r="IY664" s="511">
        <f t="shared" si="15192"/>
        <v>0</v>
      </c>
      <c r="IZ664" s="511">
        <f t="shared" si="15192"/>
        <v>0</v>
      </c>
      <c r="JA664" s="511">
        <f t="shared" si="15192"/>
        <v>2989</v>
      </c>
      <c r="JB664" s="511">
        <f t="shared" si="15192"/>
        <v>2989</v>
      </c>
      <c r="JC664" s="511">
        <f t="shared" si="15192"/>
        <v>2989</v>
      </c>
      <c r="JD664" s="511">
        <f t="shared" si="15192"/>
        <v>-2989</v>
      </c>
      <c r="JE664" s="511">
        <f t="shared" ref="JE664:JT664" si="15193">JE666+JE669+JE681+JE685+JE688</f>
        <v>-2989</v>
      </c>
      <c r="JF664" s="511">
        <f t="shared" si="15193"/>
        <v>-2989</v>
      </c>
      <c r="JG664" s="511">
        <f t="shared" si="15193"/>
        <v>276148.47999999998</v>
      </c>
      <c r="JH664" s="511">
        <f t="shared" si="15193"/>
        <v>276148.47999999998</v>
      </c>
      <c r="JI664" s="511">
        <f t="shared" si="15193"/>
        <v>276148.47999999998</v>
      </c>
      <c r="JJ664" s="511">
        <f t="shared" si="15193"/>
        <v>62669.739999999991</v>
      </c>
      <c r="JK664" s="511">
        <f t="shared" si="15193"/>
        <v>62669.739999999991</v>
      </c>
      <c r="JL664" s="511">
        <f t="shared" si="15193"/>
        <v>62669.739999999991</v>
      </c>
      <c r="JM664" s="511">
        <f t="shared" si="15193"/>
        <v>0</v>
      </c>
      <c r="JN664" s="511">
        <f t="shared" si="15193"/>
        <v>0</v>
      </c>
      <c r="JO664" s="511">
        <f t="shared" si="15193"/>
        <v>0</v>
      </c>
      <c r="JP664" s="511">
        <f t="shared" si="15193"/>
        <v>0</v>
      </c>
      <c r="JQ664" s="511">
        <f t="shared" si="15193"/>
        <v>0</v>
      </c>
      <c r="JR664" s="511">
        <f t="shared" si="15193"/>
        <v>0</v>
      </c>
      <c r="JS664" s="511">
        <f t="shared" si="15193"/>
        <v>672333.42999999993</v>
      </c>
      <c r="JT664" s="511">
        <f t="shared" si="15193"/>
        <v>672333.42999999993</v>
      </c>
      <c r="JU664" s="665"/>
      <c r="JV664" s="524"/>
      <c r="JW664" s="525"/>
      <c r="JX664" s="511">
        <f>JX666+JX669+JX681+JX685+JX688</f>
        <v>0</v>
      </c>
      <c r="JY664" s="511">
        <f t="shared" ref="JY664:KB664" si="15194">JY666+JY669+JY681+JY685+JY688</f>
        <v>311100</v>
      </c>
      <c r="JZ664" s="511">
        <f t="shared" si="15194"/>
        <v>1244447</v>
      </c>
      <c r="KA664" s="511">
        <f t="shared" si="15194"/>
        <v>-306787</v>
      </c>
      <c r="KB664" s="511">
        <f t="shared" si="15194"/>
        <v>1248760</v>
      </c>
      <c r="KC664" s="709">
        <f t="shared" si="14739"/>
        <v>0</v>
      </c>
      <c r="KD664" s="36"/>
      <c r="KE664" s="36"/>
      <c r="KF664" s="36"/>
      <c r="KG664" s="36"/>
      <c r="KH664" s="36"/>
      <c r="KI664" s="36"/>
      <c r="KJ664" s="36"/>
      <c r="KK664" s="36"/>
    </row>
    <row r="665" spans="1:297" s="10" customFormat="1">
      <c r="A665" s="612"/>
      <c r="B665" s="512"/>
      <c r="C665" s="513"/>
      <c r="D665" s="567"/>
      <c r="E665" s="686"/>
      <c r="F665" s="567"/>
      <c r="G665" s="686"/>
      <c r="H665" s="567"/>
      <c r="I665" s="686"/>
      <c r="J665" s="567"/>
      <c r="K665" s="686"/>
      <c r="L665" s="567"/>
      <c r="M665" s="686"/>
      <c r="N665" s="567"/>
      <c r="O665" s="686"/>
      <c r="P665" s="567"/>
      <c r="Q665" s="686"/>
      <c r="R665" s="567"/>
      <c r="S665" s="686"/>
      <c r="T665" s="567"/>
      <c r="U665" s="686"/>
      <c r="V665" s="567"/>
      <c r="W665" s="686"/>
      <c r="X665" s="567"/>
      <c r="Y665" s="686"/>
      <c r="Z665" s="567"/>
      <c r="AA665" s="686"/>
      <c r="AB665" s="567"/>
      <c r="AC665" s="686"/>
      <c r="AD665" s="567"/>
      <c r="AE665" s="686"/>
      <c r="AF665" s="567"/>
      <c r="AG665" s="686"/>
      <c r="AH665" s="567"/>
      <c r="AI665" s="686"/>
      <c r="AJ665" s="567"/>
      <c r="AK665" s="686"/>
      <c r="AL665" s="567"/>
      <c r="AM665" s="686"/>
      <c r="AN665" s="567"/>
      <c r="AO665" s="686"/>
      <c r="AP665" s="567"/>
      <c r="AQ665" s="686"/>
      <c r="AR665" s="567"/>
      <c r="AS665" s="686"/>
      <c r="AT665" s="567"/>
      <c r="AU665" s="686"/>
      <c r="AV665" s="567"/>
      <c r="AW665" s="686"/>
      <c r="AX665" s="567"/>
      <c r="AY665" s="686"/>
      <c r="AZ665" s="567"/>
      <c r="BA665" s="686"/>
      <c r="BB665" s="567"/>
      <c r="BC665" s="686"/>
      <c r="BD665" s="567"/>
      <c r="BE665" s="686"/>
      <c r="BF665" s="567"/>
      <c r="BG665" s="686"/>
      <c r="BH665" s="567"/>
      <c r="BI665" s="686"/>
      <c r="BJ665" s="567"/>
      <c r="BK665" s="686"/>
      <c r="BL665" s="567"/>
      <c r="BM665" s="686"/>
      <c r="BN665" s="567"/>
      <c r="BO665" s="686"/>
      <c r="BP665" s="567"/>
      <c r="BQ665" s="686"/>
      <c r="BR665" s="567"/>
      <c r="BS665" s="686"/>
      <c r="BT665" s="567"/>
      <c r="BU665" s="686"/>
      <c r="BV665" s="567"/>
      <c r="BW665" s="686"/>
      <c r="BX665" s="567"/>
      <c r="BY665" s="686"/>
      <c r="BZ665" s="567"/>
      <c r="CA665" s="686"/>
      <c r="CB665" s="567"/>
      <c r="CC665" s="686"/>
      <c r="CD665" s="567"/>
      <c r="CE665" s="686"/>
      <c r="CF665" s="567"/>
      <c r="CG665" s="686"/>
      <c r="CH665" s="567"/>
      <c r="CI665" s="686"/>
      <c r="CJ665" s="567"/>
      <c r="CK665" s="686"/>
      <c r="CL665" s="567"/>
      <c r="CM665" s="686"/>
      <c r="CN665" s="567"/>
      <c r="CO665" s="686"/>
      <c r="CP665" s="567"/>
      <c r="CQ665" s="686"/>
      <c r="CR665" s="567"/>
      <c r="CS665" s="686"/>
      <c r="CT665" s="567"/>
      <c r="CU665" s="686"/>
      <c r="CV665" s="567"/>
      <c r="CW665" s="686"/>
      <c r="CX665" s="567"/>
      <c r="CY665" s="686"/>
      <c r="CZ665" s="567"/>
      <c r="DA665" s="686"/>
      <c r="DB665" s="567"/>
      <c r="DC665" s="686"/>
      <c r="DD665" s="567"/>
      <c r="DE665" s="686"/>
      <c r="DF665" s="567"/>
      <c r="DG665" s="686"/>
      <c r="DH665" s="567"/>
      <c r="DI665" s="686"/>
      <c r="DJ665" s="567"/>
      <c r="DK665" s="686"/>
      <c r="DL665" s="567"/>
      <c r="DM665" s="686"/>
      <c r="DN665" s="567"/>
      <c r="DO665" s="686"/>
      <c r="DP665" s="567"/>
      <c r="DQ665" s="686"/>
      <c r="DR665" s="567"/>
      <c r="DS665" s="686"/>
      <c r="DT665" s="567"/>
      <c r="DU665" s="686"/>
      <c r="DV665" s="567"/>
      <c r="DW665" s="686"/>
      <c r="DX665" s="567"/>
      <c r="DY665" s="686"/>
      <c r="DZ665" s="567"/>
      <c r="EA665" s="686"/>
      <c r="EB665" s="567"/>
      <c r="EC665" s="686"/>
      <c r="ED665" s="567"/>
      <c r="EE665" s="686"/>
      <c r="EF665" s="567"/>
      <c r="EG665" s="686"/>
      <c r="EH665" s="567"/>
      <c r="EI665" s="686"/>
      <c r="EJ665" s="567"/>
      <c r="EK665" s="686"/>
      <c r="EL665" s="567"/>
      <c r="EM665" s="686"/>
      <c r="EN665" s="567"/>
      <c r="EO665" s="686"/>
      <c r="EP665" s="567"/>
      <c r="EQ665" s="686"/>
      <c r="ER665" s="567"/>
      <c r="ES665" s="686"/>
      <c r="ET665" s="567"/>
      <c r="EU665" s="686"/>
      <c r="EV665" s="567"/>
      <c r="EW665" s="686"/>
      <c r="EX665" s="567"/>
      <c r="EY665" s="686"/>
      <c r="EZ665" s="567"/>
      <c r="FA665" s="686"/>
      <c r="FB665" s="567"/>
      <c r="FC665" s="686"/>
      <c r="FD665" s="567"/>
      <c r="FE665" s="686"/>
      <c r="FF665" s="567"/>
      <c r="FG665" s="686"/>
      <c r="FH665" s="567"/>
      <c r="FI665" s="686"/>
      <c r="FJ665" s="567"/>
      <c r="FK665" s="686"/>
      <c r="FL665" s="567"/>
      <c r="FM665" s="686"/>
      <c r="FN665" s="567"/>
      <c r="FO665" s="686"/>
      <c r="FP665" s="567"/>
      <c r="FQ665" s="686"/>
      <c r="FR665" s="567"/>
      <c r="FS665" s="686"/>
      <c r="FT665" s="567"/>
      <c r="FU665" s="686"/>
      <c r="FV665" s="567"/>
      <c r="FW665" s="686"/>
      <c r="FX665" s="567"/>
      <c r="FY665" s="686"/>
      <c r="FZ665" s="567"/>
      <c r="GA665" s="686"/>
      <c r="GB665" s="567"/>
      <c r="GC665" s="686"/>
      <c r="GD665" s="567"/>
      <c r="GE665" s="686"/>
      <c r="GF665" s="567"/>
      <c r="GG665" s="686"/>
      <c r="GH665" s="567"/>
      <c r="GI665" s="686"/>
      <c r="GJ665" s="567"/>
      <c r="GK665" s="686"/>
      <c r="GL665" s="567"/>
      <c r="GM665" s="686"/>
      <c r="GN665" s="567"/>
      <c r="GO665" s="686"/>
      <c r="GP665" s="567"/>
      <c r="GQ665" s="686"/>
      <c r="GR665" s="513"/>
      <c r="GS665" s="513"/>
      <c r="GT665" s="567"/>
      <c r="GU665" s="513"/>
      <c r="GV665" s="513"/>
      <c r="GW665" s="567"/>
      <c r="GX665" s="567"/>
      <c r="GY665" s="513"/>
      <c r="GZ665" s="513"/>
      <c r="HA665" s="513"/>
      <c r="HB665" s="513"/>
      <c r="HC665" s="513"/>
      <c r="HD665" s="513"/>
      <c r="HE665" s="513"/>
      <c r="HF665" s="513"/>
      <c r="HG665" s="513"/>
      <c r="HH665" s="513"/>
      <c r="HI665" s="827"/>
      <c r="HJ665" s="513"/>
      <c r="HK665" s="827"/>
      <c r="HL665" s="513"/>
      <c r="HM665" s="827"/>
      <c r="HN665" s="513"/>
      <c r="HO665" s="827"/>
      <c r="HP665" s="513"/>
      <c r="HQ665" s="827"/>
      <c r="HR665" s="513"/>
      <c r="HS665" s="827"/>
      <c r="HT665" s="513"/>
      <c r="HU665" s="827"/>
      <c r="HV665" s="513"/>
      <c r="HW665" s="827"/>
      <c r="HX665" s="513"/>
      <c r="HY665" s="827"/>
      <c r="HZ665" s="513"/>
      <c r="IA665" s="827"/>
      <c r="IB665" s="513"/>
      <c r="IC665" s="827"/>
      <c r="ID665" s="513"/>
      <c r="IE665" s="827"/>
      <c r="IF665" s="703"/>
      <c r="IG665" s="704"/>
      <c r="IH665" s="858"/>
      <c r="II665" s="513"/>
      <c r="IJ665" s="513"/>
      <c r="IK665" s="513"/>
      <c r="IL665" s="513"/>
      <c r="IM665" s="513"/>
      <c r="IN665" s="513"/>
      <c r="IO665" s="513"/>
      <c r="IP665" s="513"/>
      <c r="IQ665" s="513"/>
      <c r="IR665" s="513"/>
      <c r="IS665" s="513"/>
      <c r="IT665" s="513"/>
      <c r="IU665" s="513"/>
      <c r="IV665" s="513"/>
      <c r="IW665" s="513"/>
      <c r="IX665" s="513"/>
      <c r="IY665" s="513"/>
      <c r="IZ665" s="513"/>
      <c r="JA665" s="513"/>
      <c r="JB665" s="513"/>
      <c r="JC665" s="513"/>
      <c r="JD665" s="513"/>
      <c r="JE665" s="513"/>
      <c r="JF665" s="513"/>
      <c r="JG665" s="513"/>
      <c r="JH665" s="513"/>
      <c r="JI665" s="513"/>
      <c r="JJ665" s="513"/>
      <c r="JK665" s="513"/>
      <c r="JL665" s="513"/>
      <c r="JM665" s="513"/>
      <c r="JN665" s="513"/>
      <c r="JO665" s="513"/>
      <c r="JP665" s="513"/>
      <c r="JQ665" s="513"/>
      <c r="JR665" s="513"/>
      <c r="JS665" s="513"/>
      <c r="JT665" s="573"/>
      <c r="JU665" s="665"/>
      <c r="JV665" s="524"/>
      <c r="JW665" s="525"/>
      <c r="JX665" s="567"/>
      <c r="JY665" s="549">
        <f>SUM(HI665,HK665,HM665,HO665,HQ665,HS665,HU665,HW665,HY665,IA665,IC665,IE665)</f>
        <v>0</v>
      </c>
      <c r="JZ665" s="581">
        <f t="shared" si="14740"/>
        <v>0</v>
      </c>
      <c r="KA665" s="581">
        <f t="shared" si="14741"/>
        <v>0</v>
      </c>
      <c r="KB665" s="566">
        <f>SUM(JX665:KA665)</f>
        <v>0</v>
      </c>
      <c r="KC665" s="709">
        <f t="shared" si="14739"/>
        <v>0</v>
      </c>
      <c r="KD665" s="36"/>
      <c r="KE665" s="36"/>
      <c r="KF665" s="36"/>
      <c r="KG665" s="36"/>
      <c r="KH665" s="36"/>
      <c r="KI665" s="36"/>
      <c r="KJ665" s="36"/>
      <c r="KK665" s="36"/>
    </row>
    <row r="666" spans="1:297" s="10" customFormat="1" ht="12.75" customHeight="1">
      <c r="A666" s="613" t="s">
        <v>1160</v>
      </c>
      <c r="B666" s="514" t="s">
        <v>1186</v>
      </c>
      <c r="C666" s="513">
        <f t="shared" ref="C666" si="15195">SUM(C667:C667)</f>
        <v>50000</v>
      </c>
      <c r="D666" s="567">
        <f t="shared" ref="D666:CC666" si="15196">SUM(D667:D667)</f>
        <v>0</v>
      </c>
      <c r="E666" s="686">
        <f t="shared" si="15196"/>
        <v>0</v>
      </c>
      <c r="F666" s="567">
        <f t="shared" si="15196"/>
        <v>0</v>
      </c>
      <c r="G666" s="686">
        <f t="shared" si="15196"/>
        <v>0</v>
      </c>
      <c r="H666" s="567">
        <f t="shared" si="15196"/>
        <v>0</v>
      </c>
      <c r="I666" s="686">
        <f t="shared" si="15196"/>
        <v>0</v>
      </c>
      <c r="J666" s="567">
        <f t="shared" si="15196"/>
        <v>0</v>
      </c>
      <c r="K666" s="686">
        <f t="shared" si="15196"/>
        <v>0</v>
      </c>
      <c r="L666" s="567">
        <f t="shared" si="15196"/>
        <v>0</v>
      </c>
      <c r="M666" s="686">
        <f t="shared" si="15196"/>
        <v>0</v>
      </c>
      <c r="N666" s="567">
        <f t="shared" si="15196"/>
        <v>0</v>
      </c>
      <c r="O666" s="686">
        <f t="shared" si="15196"/>
        <v>0</v>
      </c>
      <c r="P666" s="567">
        <f t="shared" si="15196"/>
        <v>0</v>
      </c>
      <c r="Q666" s="686">
        <f t="shared" si="15196"/>
        <v>0</v>
      </c>
      <c r="R666" s="567">
        <f t="shared" si="15196"/>
        <v>0</v>
      </c>
      <c r="S666" s="686">
        <f t="shared" si="15196"/>
        <v>0</v>
      </c>
      <c r="T666" s="567">
        <f t="shared" si="15196"/>
        <v>0</v>
      </c>
      <c r="U666" s="686">
        <f t="shared" si="15196"/>
        <v>0</v>
      </c>
      <c r="V666" s="567">
        <f t="shared" si="15196"/>
        <v>0</v>
      </c>
      <c r="W666" s="686">
        <f t="shared" si="15196"/>
        <v>0</v>
      </c>
      <c r="X666" s="567">
        <f t="shared" si="15196"/>
        <v>0</v>
      </c>
      <c r="Y666" s="686">
        <f t="shared" si="15196"/>
        <v>0</v>
      </c>
      <c r="Z666" s="567">
        <f t="shared" si="15196"/>
        <v>0</v>
      </c>
      <c r="AA666" s="686">
        <f t="shared" si="15196"/>
        <v>0</v>
      </c>
      <c r="AB666" s="567">
        <f t="shared" si="15196"/>
        <v>0</v>
      </c>
      <c r="AC666" s="686">
        <f t="shared" si="15196"/>
        <v>0</v>
      </c>
      <c r="AD666" s="567">
        <f t="shared" si="15196"/>
        <v>0</v>
      </c>
      <c r="AE666" s="686">
        <f t="shared" si="15196"/>
        <v>0</v>
      </c>
      <c r="AF666" s="567">
        <f t="shared" si="15196"/>
        <v>0</v>
      </c>
      <c r="AG666" s="686">
        <f t="shared" si="15196"/>
        <v>0</v>
      </c>
      <c r="AH666" s="567">
        <f t="shared" si="15196"/>
        <v>0</v>
      </c>
      <c r="AI666" s="686">
        <f t="shared" si="15196"/>
        <v>0</v>
      </c>
      <c r="AJ666" s="567">
        <f t="shared" si="15196"/>
        <v>0</v>
      </c>
      <c r="AK666" s="686">
        <f t="shared" si="15196"/>
        <v>0</v>
      </c>
      <c r="AL666" s="567">
        <f t="shared" si="15196"/>
        <v>0</v>
      </c>
      <c r="AM666" s="686">
        <f t="shared" si="15196"/>
        <v>0</v>
      </c>
      <c r="AN666" s="567">
        <f t="shared" si="15196"/>
        <v>0</v>
      </c>
      <c r="AO666" s="686">
        <f t="shared" si="15196"/>
        <v>0</v>
      </c>
      <c r="AP666" s="567">
        <f t="shared" si="15196"/>
        <v>0</v>
      </c>
      <c r="AQ666" s="686">
        <f t="shared" si="15196"/>
        <v>0</v>
      </c>
      <c r="AR666" s="567">
        <f t="shared" si="15196"/>
        <v>0</v>
      </c>
      <c r="AS666" s="686">
        <f t="shared" si="15196"/>
        <v>0</v>
      </c>
      <c r="AT666" s="567">
        <f t="shared" si="15196"/>
        <v>0</v>
      </c>
      <c r="AU666" s="686">
        <f t="shared" si="15196"/>
        <v>0</v>
      </c>
      <c r="AV666" s="567">
        <f t="shared" si="15196"/>
        <v>0</v>
      </c>
      <c r="AW666" s="686">
        <f t="shared" si="15196"/>
        <v>0</v>
      </c>
      <c r="AX666" s="567">
        <f t="shared" si="15196"/>
        <v>0</v>
      </c>
      <c r="AY666" s="686">
        <f t="shared" si="15196"/>
        <v>0</v>
      </c>
      <c r="AZ666" s="567">
        <f t="shared" si="15196"/>
        <v>0</v>
      </c>
      <c r="BA666" s="686">
        <f t="shared" si="15196"/>
        <v>0</v>
      </c>
      <c r="BB666" s="567">
        <f t="shared" si="15196"/>
        <v>0</v>
      </c>
      <c r="BC666" s="686">
        <f t="shared" si="15196"/>
        <v>0</v>
      </c>
      <c r="BD666" s="567">
        <f t="shared" si="15196"/>
        <v>0</v>
      </c>
      <c r="BE666" s="686">
        <f t="shared" si="15196"/>
        <v>0</v>
      </c>
      <c r="BF666" s="567">
        <f t="shared" si="15196"/>
        <v>0</v>
      </c>
      <c r="BG666" s="686">
        <f t="shared" si="15196"/>
        <v>0</v>
      </c>
      <c r="BH666" s="567">
        <f t="shared" si="15196"/>
        <v>0</v>
      </c>
      <c r="BI666" s="686">
        <f t="shared" si="15196"/>
        <v>0</v>
      </c>
      <c r="BJ666" s="567">
        <f t="shared" si="15196"/>
        <v>0</v>
      </c>
      <c r="BK666" s="686">
        <f t="shared" si="15196"/>
        <v>0</v>
      </c>
      <c r="BL666" s="567">
        <f t="shared" si="15196"/>
        <v>0</v>
      </c>
      <c r="BM666" s="686">
        <f t="shared" si="15196"/>
        <v>0</v>
      </c>
      <c r="BN666" s="567">
        <f t="shared" si="15196"/>
        <v>0</v>
      </c>
      <c r="BO666" s="686">
        <f t="shared" si="15196"/>
        <v>0</v>
      </c>
      <c r="BP666" s="567">
        <f t="shared" si="15196"/>
        <v>0</v>
      </c>
      <c r="BQ666" s="686">
        <f t="shared" si="15196"/>
        <v>0</v>
      </c>
      <c r="BR666" s="567">
        <f t="shared" si="15196"/>
        <v>0</v>
      </c>
      <c r="BS666" s="686">
        <f t="shared" si="15196"/>
        <v>0</v>
      </c>
      <c r="BT666" s="567">
        <f t="shared" si="15196"/>
        <v>0</v>
      </c>
      <c r="BU666" s="686">
        <f t="shared" si="15196"/>
        <v>0</v>
      </c>
      <c r="BV666" s="567">
        <f t="shared" si="15196"/>
        <v>0</v>
      </c>
      <c r="BW666" s="686">
        <f t="shared" si="15196"/>
        <v>0</v>
      </c>
      <c r="BX666" s="567">
        <f t="shared" si="15196"/>
        <v>0</v>
      </c>
      <c r="BY666" s="686">
        <f t="shared" si="15196"/>
        <v>0</v>
      </c>
      <c r="BZ666" s="567">
        <f t="shared" si="15196"/>
        <v>0</v>
      </c>
      <c r="CA666" s="686">
        <f t="shared" si="15196"/>
        <v>0</v>
      </c>
      <c r="CB666" s="567">
        <f t="shared" si="15196"/>
        <v>0</v>
      </c>
      <c r="CC666" s="686">
        <f t="shared" si="15196"/>
        <v>0</v>
      </c>
      <c r="CD666" s="567">
        <f t="shared" ref="CD666:CE666" si="15197">SUM(CD667:CD667)</f>
        <v>0</v>
      </c>
      <c r="CE666" s="686">
        <f t="shared" si="15197"/>
        <v>0</v>
      </c>
      <c r="CF666" s="567">
        <f t="shared" ref="CF666:CG666" si="15198">SUM(CF667:CF667)</f>
        <v>0</v>
      </c>
      <c r="CG666" s="686">
        <f t="shared" si="15198"/>
        <v>0</v>
      </c>
      <c r="CH666" s="567">
        <f t="shared" ref="CH666:CI666" si="15199">SUM(CH667:CH667)</f>
        <v>0</v>
      </c>
      <c r="CI666" s="686">
        <f t="shared" si="15199"/>
        <v>0</v>
      </c>
      <c r="CJ666" s="567">
        <f t="shared" ref="CJ666:CK666" si="15200">SUM(CJ667:CJ667)</f>
        <v>0</v>
      </c>
      <c r="CK666" s="686">
        <f t="shared" si="15200"/>
        <v>0</v>
      </c>
      <c r="CL666" s="567">
        <f t="shared" ref="CL666:CM666" si="15201">SUM(CL667:CL667)</f>
        <v>0</v>
      </c>
      <c r="CM666" s="686">
        <f t="shared" si="15201"/>
        <v>0</v>
      </c>
      <c r="CN666" s="567">
        <f t="shared" ref="CN666:CO666" si="15202">SUM(CN667:CN667)</f>
        <v>0</v>
      </c>
      <c r="CO666" s="686">
        <f t="shared" si="15202"/>
        <v>0</v>
      </c>
      <c r="CP666" s="567">
        <f t="shared" ref="CP666:CQ666" si="15203">SUM(CP667:CP667)</f>
        <v>0</v>
      </c>
      <c r="CQ666" s="686">
        <f t="shared" si="15203"/>
        <v>0</v>
      </c>
      <c r="CR666" s="567">
        <f t="shared" ref="CR666:CS666" si="15204">SUM(CR667:CR667)</f>
        <v>0</v>
      </c>
      <c r="CS666" s="686">
        <f t="shared" si="15204"/>
        <v>-50000</v>
      </c>
      <c r="CT666" s="567">
        <f t="shared" ref="CT666:CU666" si="15205">SUM(CT667:CT667)</f>
        <v>0</v>
      </c>
      <c r="CU666" s="686">
        <f t="shared" si="15205"/>
        <v>0</v>
      </c>
      <c r="CV666" s="567">
        <f t="shared" ref="CV666:CW666" si="15206">SUM(CV667:CV667)</f>
        <v>0</v>
      </c>
      <c r="CW666" s="686">
        <f t="shared" si="15206"/>
        <v>0</v>
      </c>
      <c r="CX666" s="567">
        <f t="shared" ref="CX666:CY666" si="15207">SUM(CX667:CX667)</f>
        <v>0</v>
      </c>
      <c r="CY666" s="686">
        <f t="shared" si="15207"/>
        <v>0</v>
      </c>
      <c r="CZ666" s="567">
        <f t="shared" ref="CZ666:DA666" si="15208">SUM(CZ667:CZ667)</f>
        <v>0</v>
      </c>
      <c r="DA666" s="686">
        <f t="shared" si="15208"/>
        <v>0</v>
      </c>
      <c r="DB666" s="567">
        <f t="shared" ref="DB666:DC666" si="15209">SUM(DB667:DB667)</f>
        <v>0</v>
      </c>
      <c r="DC666" s="686">
        <f t="shared" si="15209"/>
        <v>0</v>
      </c>
      <c r="DD666" s="567">
        <f t="shared" ref="DD666:DE666" si="15210">SUM(DD667:DD667)</f>
        <v>0</v>
      </c>
      <c r="DE666" s="686">
        <f t="shared" si="15210"/>
        <v>0</v>
      </c>
      <c r="DF666" s="567">
        <f t="shared" ref="DF666:DG666" si="15211">SUM(DF667:DF667)</f>
        <v>0</v>
      </c>
      <c r="DG666" s="686">
        <f t="shared" si="15211"/>
        <v>0</v>
      </c>
      <c r="DH666" s="567">
        <f t="shared" ref="DH666:DI666" si="15212">SUM(DH667:DH667)</f>
        <v>0</v>
      </c>
      <c r="DI666" s="686">
        <f t="shared" si="15212"/>
        <v>0</v>
      </c>
      <c r="DJ666" s="567">
        <f t="shared" ref="DJ666:DK666" si="15213">SUM(DJ667:DJ667)</f>
        <v>0</v>
      </c>
      <c r="DK666" s="686">
        <f t="shared" si="15213"/>
        <v>0</v>
      </c>
      <c r="DL666" s="567">
        <f t="shared" ref="DL666:DM666" si="15214">SUM(DL667:DL667)</f>
        <v>0</v>
      </c>
      <c r="DM666" s="686">
        <f t="shared" si="15214"/>
        <v>0</v>
      </c>
      <c r="DN666" s="567">
        <f t="shared" ref="DN666:DO666" si="15215">SUM(DN667:DN667)</f>
        <v>0</v>
      </c>
      <c r="DO666" s="686">
        <f t="shared" si="15215"/>
        <v>0</v>
      </c>
      <c r="DP666" s="567">
        <f t="shared" ref="DP666:DQ666" si="15216">SUM(DP667:DP667)</f>
        <v>0</v>
      </c>
      <c r="DQ666" s="686">
        <f t="shared" si="15216"/>
        <v>0</v>
      </c>
      <c r="DR666" s="567">
        <f t="shared" ref="DR666:DS666" si="15217">SUM(DR667:DR667)</f>
        <v>0</v>
      </c>
      <c r="DS666" s="686">
        <f t="shared" si="15217"/>
        <v>0</v>
      </c>
      <c r="DT666" s="567">
        <f t="shared" ref="DT666:DU666" si="15218">SUM(DT667:DT667)</f>
        <v>0</v>
      </c>
      <c r="DU666" s="686">
        <f t="shared" si="15218"/>
        <v>0</v>
      </c>
      <c r="DV666" s="567">
        <f t="shared" ref="DV666:DW666" si="15219">SUM(DV667:DV667)</f>
        <v>0</v>
      </c>
      <c r="DW666" s="686">
        <f t="shared" si="15219"/>
        <v>0</v>
      </c>
      <c r="DX666" s="567">
        <f t="shared" ref="DX666:DY666" si="15220">SUM(DX667:DX667)</f>
        <v>0</v>
      </c>
      <c r="DY666" s="686">
        <f t="shared" si="15220"/>
        <v>0</v>
      </c>
      <c r="DZ666" s="567">
        <f t="shared" ref="DZ666:EA666" si="15221">SUM(DZ667:DZ667)</f>
        <v>0</v>
      </c>
      <c r="EA666" s="686">
        <f t="shared" si="15221"/>
        <v>0</v>
      </c>
      <c r="EB666" s="567">
        <f t="shared" ref="EB666:EC666" si="15222">SUM(EB667:EB667)</f>
        <v>0</v>
      </c>
      <c r="EC666" s="686">
        <f t="shared" si="15222"/>
        <v>0</v>
      </c>
      <c r="ED666" s="567">
        <f t="shared" ref="ED666:EE666" si="15223">SUM(ED667:ED667)</f>
        <v>0</v>
      </c>
      <c r="EE666" s="686">
        <f t="shared" si="15223"/>
        <v>0</v>
      </c>
      <c r="EF666" s="567">
        <f t="shared" ref="EF666:EG666" si="15224">SUM(EF667:EF667)</f>
        <v>0</v>
      </c>
      <c r="EG666" s="686">
        <f t="shared" si="15224"/>
        <v>0</v>
      </c>
      <c r="EH666" s="567">
        <f t="shared" ref="EH666:EI666" si="15225">SUM(EH667:EH667)</f>
        <v>0</v>
      </c>
      <c r="EI666" s="686">
        <f t="shared" si="15225"/>
        <v>0</v>
      </c>
      <c r="EJ666" s="567">
        <f t="shared" ref="EJ666:EK666" si="15226">SUM(EJ667:EJ667)</f>
        <v>0</v>
      </c>
      <c r="EK666" s="686">
        <f t="shared" si="15226"/>
        <v>0</v>
      </c>
      <c r="EL666" s="567">
        <f t="shared" ref="EL666:EM666" si="15227">SUM(EL667:EL667)</f>
        <v>0</v>
      </c>
      <c r="EM666" s="686">
        <f t="shared" si="15227"/>
        <v>0</v>
      </c>
      <c r="EN666" s="567">
        <f t="shared" ref="EN666:EO666" si="15228">SUM(EN667:EN667)</f>
        <v>0</v>
      </c>
      <c r="EO666" s="686">
        <f t="shared" si="15228"/>
        <v>0</v>
      </c>
      <c r="EP666" s="567">
        <f t="shared" ref="EP666:EQ666" si="15229">SUM(EP667:EP667)</f>
        <v>0</v>
      </c>
      <c r="EQ666" s="686">
        <f t="shared" si="15229"/>
        <v>0</v>
      </c>
      <c r="ER666" s="567">
        <f t="shared" ref="ER666:ES666" si="15230">SUM(ER667:ER667)</f>
        <v>0</v>
      </c>
      <c r="ES666" s="686">
        <f t="shared" si="15230"/>
        <v>0</v>
      </c>
      <c r="ET666" s="567">
        <f t="shared" ref="ET666:EU666" si="15231">SUM(ET667:ET667)</f>
        <v>0</v>
      </c>
      <c r="EU666" s="686">
        <f t="shared" si="15231"/>
        <v>0</v>
      </c>
      <c r="EV666" s="567">
        <f t="shared" ref="EV666:EW666" si="15232">SUM(EV667:EV667)</f>
        <v>0</v>
      </c>
      <c r="EW666" s="686">
        <f t="shared" si="15232"/>
        <v>0</v>
      </c>
      <c r="EX666" s="567">
        <f t="shared" ref="EX666:EY666" si="15233">SUM(EX667:EX667)</f>
        <v>0</v>
      </c>
      <c r="EY666" s="686">
        <f t="shared" si="15233"/>
        <v>0</v>
      </c>
      <c r="EZ666" s="567">
        <f t="shared" ref="EZ666:FA666" si="15234">SUM(EZ667:EZ667)</f>
        <v>0</v>
      </c>
      <c r="FA666" s="686">
        <f t="shared" si="15234"/>
        <v>0</v>
      </c>
      <c r="FB666" s="567">
        <f t="shared" ref="FB666:FC666" si="15235">SUM(FB667:FB667)</f>
        <v>0</v>
      </c>
      <c r="FC666" s="686">
        <f t="shared" si="15235"/>
        <v>0</v>
      </c>
      <c r="FD666" s="567">
        <f t="shared" ref="FD666:FE666" si="15236">SUM(FD667:FD667)</f>
        <v>0</v>
      </c>
      <c r="FE666" s="686">
        <f t="shared" si="15236"/>
        <v>0</v>
      </c>
      <c r="FF666" s="567">
        <f t="shared" ref="FF666:FG666" si="15237">SUM(FF667:FF667)</f>
        <v>0</v>
      </c>
      <c r="FG666" s="686">
        <f t="shared" si="15237"/>
        <v>0</v>
      </c>
      <c r="FH666" s="567">
        <f t="shared" ref="FH666:FI666" si="15238">SUM(FH667:FH667)</f>
        <v>0</v>
      </c>
      <c r="FI666" s="686">
        <f t="shared" si="15238"/>
        <v>0</v>
      </c>
      <c r="FJ666" s="567">
        <f t="shared" ref="FJ666:FK666" si="15239">SUM(FJ667:FJ667)</f>
        <v>0</v>
      </c>
      <c r="FK666" s="686">
        <f t="shared" si="15239"/>
        <v>0</v>
      </c>
      <c r="FL666" s="567">
        <f t="shared" ref="FL666:HG666" si="15240">SUM(FL667:FL667)</f>
        <v>0</v>
      </c>
      <c r="FM666" s="686">
        <f t="shared" si="15240"/>
        <v>0</v>
      </c>
      <c r="FN666" s="567">
        <f t="shared" si="15240"/>
        <v>0</v>
      </c>
      <c r="FO666" s="686">
        <f t="shared" si="15240"/>
        <v>0</v>
      </c>
      <c r="FP666" s="567">
        <f t="shared" si="15240"/>
        <v>0</v>
      </c>
      <c r="FQ666" s="686">
        <f t="shared" si="15240"/>
        <v>0</v>
      </c>
      <c r="FR666" s="567">
        <f t="shared" si="15240"/>
        <v>0</v>
      </c>
      <c r="FS666" s="686">
        <f t="shared" si="15240"/>
        <v>0</v>
      </c>
      <c r="FT666" s="567">
        <f t="shared" si="15240"/>
        <v>0</v>
      </c>
      <c r="FU666" s="686">
        <f t="shared" si="15240"/>
        <v>0</v>
      </c>
      <c r="FV666" s="567">
        <f t="shared" si="15240"/>
        <v>0</v>
      </c>
      <c r="FW666" s="686">
        <f t="shared" si="15240"/>
        <v>0</v>
      </c>
      <c r="FX666" s="567">
        <f t="shared" si="15240"/>
        <v>0</v>
      </c>
      <c r="FY666" s="686">
        <f t="shared" si="15240"/>
        <v>0</v>
      </c>
      <c r="FZ666" s="567">
        <f t="shared" si="15240"/>
        <v>0</v>
      </c>
      <c r="GA666" s="686">
        <f t="shared" si="15240"/>
        <v>0</v>
      </c>
      <c r="GB666" s="567">
        <f t="shared" si="15240"/>
        <v>0</v>
      </c>
      <c r="GC666" s="686">
        <f t="shared" si="15240"/>
        <v>0</v>
      </c>
      <c r="GD666" s="567">
        <f t="shared" si="15240"/>
        <v>0</v>
      </c>
      <c r="GE666" s="686">
        <f t="shared" si="15240"/>
        <v>0</v>
      </c>
      <c r="GF666" s="567">
        <f t="shared" si="15240"/>
        <v>0</v>
      </c>
      <c r="GG666" s="686">
        <f t="shared" si="15240"/>
        <v>0</v>
      </c>
      <c r="GH666" s="567">
        <f t="shared" si="15240"/>
        <v>0</v>
      </c>
      <c r="GI666" s="686">
        <f t="shared" si="15240"/>
        <v>0</v>
      </c>
      <c r="GJ666" s="567">
        <f t="shared" si="15240"/>
        <v>0</v>
      </c>
      <c r="GK666" s="686">
        <f t="shared" si="15240"/>
        <v>0</v>
      </c>
      <c r="GL666" s="567">
        <f t="shared" si="15240"/>
        <v>0</v>
      </c>
      <c r="GM666" s="686">
        <f t="shared" si="15240"/>
        <v>0</v>
      </c>
      <c r="GN666" s="567">
        <f t="shared" si="15240"/>
        <v>0</v>
      </c>
      <c r="GO666" s="686">
        <f t="shared" si="15240"/>
        <v>0</v>
      </c>
      <c r="GP666" s="567">
        <f t="shared" si="15240"/>
        <v>0</v>
      </c>
      <c r="GQ666" s="686">
        <f t="shared" si="15240"/>
        <v>-50000</v>
      </c>
      <c r="GR666" s="513">
        <f t="shared" si="15240"/>
        <v>0</v>
      </c>
      <c r="GS666" s="513">
        <f t="shared" si="15240"/>
        <v>0</v>
      </c>
      <c r="GT666" s="567">
        <f t="shared" si="15240"/>
        <v>0</v>
      </c>
      <c r="GU666" s="513">
        <f t="shared" si="15240"/>
        <v>10000</v>
      </c>
      <c r="GV666" s="513">
        <f t="shared" si="15240"/>
        <v>0</v>
      </c>
      <c r="GW666" s="567">
        <f t="shared" si="15240"/>
        <v>0</v>
      </c>
      <c r="GX666" s="567">
        <f t="shared" si="15240"/>
        <v>15000</v>
      </c>
      <c r="GY666" s="513">
        <f t="shared" si="15240"/>
        <v>0</v>
      </c>
      <c r="GZ666" s="513">
        <f t="shared" si="15240"/>
        <v>25000</v>
      </c>
      <c r="HA666" s="513">
        <f t="shared" si="15240"/>
        <v>0</v>
      </c>
      <c r="HB666" s="513">
        <f t="shared" si="15240"/>
        <v>0</v>
      </c>
      <c r="HC666" s="513">
        <f t="shared" si="15240"/>
        <v>0</v>
      </c>
      <c r="HD666" s="513">
        <f t="shared" si="15240"/>
        <v>0</v>
      </c>
      <c r="HE666" s="513">
        <f t="shared" si="15240"/>
        <v>0</v>
      </c>
      <c r="HF666" s="513">
        <f t="shared" si="15240"/>
        <v>0</v>
      </c>
      <c r="HG666" s="513">
        <f t="shared" si="15240"/>
        <v>0</v>
      </c>
      <c r="HH666" s="513">
        <f t="shared" ref="HH666:JT666" si="15241">SUM(HH667:HH667)</f>
        <v>0</v>
      </c>
      <c r="HI666" s="827">
        <f t="shared" si="15241"/>
        <v>0</v>
      </c>
      <c r="HJ666" s="513">
        <f t="shared" si="15241"/>
        <v>0</v>
      </c>
      <c r="HK666" s="827">
        <f t="shared" si="15241"/>
        <v>0</v>
      </c>
      <c r="HL666" s="513">
        <f t="shared" si="15241"/>
        <v>0</v>
      </c>
      <c r="HM666" s="827">
        <f t="shared" si="15241"/>
        <v>10000</v>
      </c>
      <c r="HN666" s="513">
        <f t="shared" si="15241"/>
        <v>0</v>
      </c>
      <c r="HO666" s="827">
        <f t="shared" si="15241"/>
        <v>15000</v>
      </c>
      <c r="HP666" s="513">
        <f t="shared" si="15241"/>
        <v>0</v>
      </c>
      <c r="HQ666" s="827">
        <f t="shared" si="15241"/>
        <v>0</v>
      </c>
      <c r="HR666" s="513">
        <f t="shared" si="15241"/>
        <v>0</v>
      </c>
      <c r="HS666" s="827">
        <f t="shared" si="15241"/>
        <v>0</v>
      </c>
      <c r="HT666" s="513">
        <f t="shared" si="15241"/>
        <v>0</v>
      </c>
      <c r="HU666" s="827">
        <f t="shared" si="15241"/>
        <v>25000</v>
      </c>
      <c r="HV666" s="513">
        <f t="shared" si="15241"/>
        <v>0</v>
      </c>
      <c r="HW666" s="827">
        <f t="shared" si="15241"/>
        <v>0</v>
      </c>
      <c r="HX666" s="513">
        <f t="shared" si="15241"/>
        <v>0</v>
      </c>
      <c r="HY666" s="827">
        <f t="shared" si="15241"/>
        <v>0</v>
      </c>
      <c r="HZ666" s="513">
        <f t="shared" si="15241"/>
        <v>0</v>
      </c>
      <c r="IA666" s="827">
        <f t="shared" si="15241"/>
        <v>0</v>
      </c>
      <c r="IB666" s="513">
        <f t="shared" si="15241"/>
        <v>0</v>
      </c>
      <c r="IC666" s="827">
        <f t="shared" si="15241"/>
        <v>0</v>
      </c>
      <c r="ID666" s="513">
        <f t="shared" si="15241"/>
        <v>0</v>
      </c>
      <c r="IE666" s="827">
        <f t="shared" si="15241"/>
        <v>0</v>
      </c>
      <c r="IF666" s="703">
        <f t="shared" si="15241"/>
        <v>0</v>
      </c>
      <c r="IG666" s="704">
        <f t="shared" si="15241"/>
        <v>0</v>
      </c>
      <c r="IH666" s="858">
        <f t="shared" si="15241"/>
        <v>0</v>
      </c>
      <c r="II666" s="513">
        <f t="shared" si="15241"/>
        <v>0</v>
      </c>
      <c r="IJ666" s="513">
        <f t="shared" si="15241"/>
        <v>0</v>
      </c>
      <c r="IK666" s="513">
        <f t="shared" si="15241"/>
        <v>0</v>
      </c>
      <c r="IL666" s="513">
        <f t="shared" si="15241"/>
        <v>0</v>
      </c>
      <c r="IM666" s="513">
        <f t="shared" si="15241"/>
        <v>0</v>
      </c>
      <c r="IN666" s="513">
        <f t="shared" si="15241"/>
        <v>0</v>
      </c>
      <c r="IO666" s="513">
        <f t="shared" si="15241"/>
        <v>0</v>
      </c>
      <c r="IP666" s="513">
        <f t="shared" si="15241"/>
        <v>0</v>
      </c>
      <c r="IQ666" s="513">
        <f t="shared" si="15241"/>
        <v>0</v>
      </c>
      <c r="IR666" s="513">
        <f t="shared" si="15241"/>
        <v>0</v>
      </c>
      <c r="IS666" s="513">
        <f t="shared" si="15241"/>
        <v>0</v>
      </c>
      <c r="IT666" s="513">
        <f t="shared" si="15241"/>
        <v>0</v>
      </c>
      <c r="IU666" s="513">
        <f t="shared" si="15241"/>
        <v>0</v>
      </c>
      <c r="IV666" s="513">
        <f t="shared" si="15241"/>
        <v>0</v>
      </c>
      <c r="IW666" s="513">
        <f t="shared" si="15241"/>
        <v>0</v>
      </c>
      <c r="IX666" s="513">
        <f t="shared" si="15241"/>
        <v>0</v>
      </c>
      <c r="IY666" s="513">
        <f t="shared" si="15241"/>
        <v>0</v>
      </c>
      <c r="IZ666" s="513">
        <f t="shared" si="15241"/>
        <v>0</v>
      </c>
      <c r="JA666" s="513">
        <f t="shared" si="15241"/>
        <v>0</v>
      </c>
      <c r="JB666" s="513">
        <f t="shared" si="15241"/>
        <v>0</v>
      </c>
      <c r="JC666" s="513">
        <f t="shared" si="15241"/>
        <v>0</v>
      </c>
      <c r="JD666" s="513">
        <f t="shared" si="15241"/>
        <v>0</v>
      </c>
      <c r="JE666" s="513">
        <f t="shared" si="15241"/>
        <v>0</v>
      </c>
      <c r="JF666" s="513">
        <f t="shared" si="15241"/>
        <v>0</v>
      </c>
      <c r="JG666" s="513">
        <f t="shared" si="15241"/>
        <v>0</v>
      </c>
      <c r="JH666" s="513">
        <f t="shared" si="15241"/>
        <v>0</v>
      </c>
      <c r="JI666" s="513">
        <f t="shared" si="15241"/>
        <v>0</v>
      </c>
      <c r="JJ666" s="513">
        <f t="shared" si="15241"/>
        <v>0</v>
      </c>
      <c r="JK666" s="513">
        <f t="shared" si="15241"/>
        <v>0</v>
      </c>
      <c r="JL666" s="513">
        <f t="shared" si="15241"/>
        <v>0</v>
      </c>
      <c r="JM666" s="513">
        <f t="shared" si="15241"/>
        <v>0</v>
      </c>
      <c r="JN666" s="513">
        <f t="shared" si="15241"/>
        <v>0</v>
      </c>
      <c r="JO666" s="513">
        <f t="shared" si="15241"/>
        <v>0</v>
      </c>
      <c r="JP666" s="513">
        <f t="shared" si="15241"/>
        <v>0</v>
      </c>
      <c r="JQ666" s="513">
        <f t="shared" si="15241"/>
        <v>0</v>
      </c>
      <c r="JR666" s="513">
        <f t="shared" si="15241"/>
        <v>0</v>
      </c>
      <c r="JS666" s="513">
        <f t="shared" si="15241"/>
        <v>0</v>
      </c>
      <c r="JT666" s="573">
        <f t="shared" si="15241"/>
        <v>0</v>
      </c>
      <c r="JU666" s="665"/>
      <c r="JV666" s="524"/>
      <c r="JW666" s="525"/>
      <c r="JX666" s="567">
        <f>SUM(JX667:JX667)</f>
        <v>0</v>
      </c>
      <c r="JY666" s="549">
        <f>SUM(HI666,HK666,HM666,HO666,HQ666,HS666,HU666,HW666,HY666,IA666,IC666,IE666)</f>
        <v>50000</v>
      </c>
      <c r="JZ666" s="581">
        <f t="shared" si="14740"/>
        <v>0</v>
      </c>
      <c r="KA666" s="581">
        <f t="shared" si="14741"/>
        <v>-50000</v>
      </c>
      <c r="KB666" s="566">
        <f t="shared" ref="KB666:KB668" si="15242">SUM(JX666:KA666)</f>
        <v>0</v>
      </c>
      <c r="KC666" s="709">
        <f t="shared" si="14739"/>
        <v>0</v>
      </c>
      <c r="KD666" s="36"/>
      <c r="KE666" s="36"/>
      <c r="KF666" s="36"/>
      <c r="KG666" s="36"/>
      <c r="KH666" s="36"/>
      <c r="KI666" s="36"/>
      <c r="KJ666" s="36"/>
      <c r="KK666" s="36"/>
    </row>
    <row r="667" spans="1:297" s="10" customFormat="1" ht="12.75" customHeight="1">
      <c r="A667" s="612" t="s">
        <v>1161</v>
      </c>
      <c r="B667" s="512" t="s">
        <v>346</v>
      </c>
      <c r="C667" s="74">
        <v>50000</v>
      </c>
      <c r="D667" s="549">
        <v>0</v>
      </c>
      <c r="E667" s="675">
        <v>0</v>
      </c>
      <c r="F667" s="549">
        <v>0</v>
      </c>
      <c r="G667" s="675">
        <v>0</v>
      </c>
      <c r="H667" s="549">
        <v>0</v>
      </c>
      <c r="I667" s="675">
        <v>0</v>
      </c>
      <c r="J667" s="549">
        <v>0</v>
      </c>
      <c r="K667" s="675">
        <v>0</v>
      </c>
      <c r="L667" s="549">
        <v>0</v>
      </c>
      <c r="M667" s="675">
        <v>0</v>
      </c>
      <c r="N667" s="549">
        <v>0</v>
      </c>
      <c r="O667" s="675">
        <v>0</v>
      </c>
      <c r="P667" s="549">
        <v>0</v>
      </c>
      <c r="Q667" s="675">
        <v>0</v>
      </c>
      <c r="R667" s="549">
        <v>0</v>
      </c>
      <c r="S667" s="675">
        <v>0</v>
      </c>
      <c r="T667" s="549">
        <v>0</v>
      </c>
      <c r="U667" s="675">
        <v>0</v>
      </c>
      <c r="V667" s="549">
        <v>0</v>
      </c>
      <c r="W667" s="675">
        <v>0</v>
      </c>
      <c r="X667" s="549">
        <v>0</v>
      </c>
      <c r="Y667" s="675">
        <v>0</v>
      </c>
      <c r="Z667" s="549">
        <v>0</v>
      </c>
      <c r="AA667" s="675">
        <v>0</v>
      </c>
      <c r="AB667" s="549">
        <v>0</v>
      </c>
      <c r="AC667" s="675">
        <v>0</v>
      </c>
      <c r="AD667" s="549">
        <v>0</v>
      </c>
      <c r="AE667" s="675">
        <v>0</v>
      </c>
      <c r="AF667" s="549">
        <v>0</v>
      </c>
      <c r="AG667" s="675">
        <v>0</v>
      </c>
      <c r="AH667" s="549">
        <v>0</v>
      </c>
      <c r="AI667" s="675">
        <v>0</v>
      </c>
      <c r="AJ667" s="549">
        <v>0</v>
      </c>
      <c r="AK667" s="675">
        <v>0</v>
      </c>
      <c r="AL667" s="549">
        <v>0</v>
      </c>
      <c r="AM667" s="675">
        <v>0</v>
      </c>
      <c r="AN667" s="549">
        <v>0</v>
      </c>
      <c r="AO667" s="675">
        <v>0</v>
      </c>
      <c r="AP667" s="549">
        <v>0</v>
      </c>
      <c r="AQ667" s="675">
        <v>0</v>
      </c>
      <c r="AR667" s="549">
        <v>0</v>
      </c>
      <c r="AS667" s="675">
        <v>0</v>
      </c>
      <c r="AT667" s="549">
        <v>0</v>
      </c>
      <c r="AU667" s="675">
        <v>0</v>
      </c>
      <c r="AV667" s="549">
        <v>0</v>
      </c>
      <c r="AW667" s="675">
        <v>0</v>
      </c>
      <c r="AX667" s="549">
        <v>0</v>
      </c>
      <c r="AY667" s="675">
        <v>0</v>
      </c>
      <c r="AZ667" s="549">
        <v>0</v>
      </c>
      <c r="BA667" s="675">
        <v>0</v>
      </c>
      <c r="BB667" s="549">
        <v>0</v>
      </c>
      <c r="BC667" s="675">
        <v>0</v>
      </c>
      <c r="BD667" s="549">
        <v>0</v>
      </c>
      <c r="BE667" s="675">
        <v>0</v>
      </c>
      <c r="BF667" s="549">
        <v>0</v>
      </c>
      <c r="BG667" s="675">
        <v>0</v>
      </c>
      <c r="BH667" s="549">
        <v>0</v>
      </c>
      <c r="BI667" s="675">
        <v>0</v>
      </c>
      <c r="BJ667" s="549">
        <v>0</v>
      </c>
      <c r="BK667" s="675">
        <v>0</v>
      </c>
      <c r="BL667" s="549">
        <v>0</v>
      </c>
      <c r="BM667" s="675">
        <v>0</v>
      </c>
      <c r="BN667" s="549">
        <v>0</v>
      </c>
      <c r="BO667" s="675">
        <v>0</v>
      </c>
      <c r="BP667" s="549">
        <v>0</v>
      </c>
      <c r="BQ667" s="675">
        <v>0</v>
      </c>
      <c r="BR667" s="549">
        <v>0</v>
      </c>
      <c r="BS667" s="675">
        <v>0</v>
      </c>
      <c r="BT667" s="549">
        <v>0</v>
      </c>
      <c r="BU667" s="675">
        <v>0</v>
      </c>
      <c r="BV667" s="549">
        <v>0</v>
      </c>
      <c r="BW667" s="675">
        <v>0</v>
      </c>
      <c r="BX667" s="549">
        <v>0</v>
      </c>
      <c r="BY667" s="675">
        <v>0</v>
      </c>
      <c r="BZ667" s="549">
        <v>0</v>
      </c>
      <c r="CA667" s="675">
        <v>0</v>
      </c>
      <c r="CB667" s="549">
        <v>0</v>
      </c>
      <c r="CC667" s="675">
        <v>0</v>
      </c>
      <c r="CD667" s="549">
        <v>0</v>
      </c>
      <c r="CE667" s="675">
        <v>0</v>
      </c>
      <c r="CF667" s="549">
        <v>0</v>
      </c>
      <c r="CG667" s="675">
        <v>0</v>
      </c>
      <c r="CH667" s="549">
        <v>0</v>
      </c>
      <c r="CI667" s="675">
        <v>0</v>
      </c>
      <c r="CJ667" s="549">
        <v>0</v>
      </c>
      <c r="CK667" s="675">
        <v>0</v>
      </c>
      <c r="CL667" s="549">
        <v>0</v>
      </c>
      <c r="CM667" s="675">
        <v>0</v>
      </c>
      <c r="CN667" s="549">
        <v>0</v>
      </c>
      <c r="CO667" s="675">
        <v>0</v>
      </c>
      <c r="CP667" s="549">
        <v>0</v>
      </c>
      <c r="CQ667" s="675">
        <v>0</v>
      </c>
      <c r="CR667" s="549">
        <v>0</v>
      </c>
      <c r="CS667" s="675">
        <v>-50000</v>
      </c>
      <c r="CT667" s="549">
        <v>0</v>
      </c>
      <c r="CU667" s="675">
        <v>0</v>
      </c>
      <c r="CV667" s="549">
        <v>0</v>
      </c>
      <c r="CW667" s="675">
        <v>0</v>
      </c>
      <c r="CX667" s="549">
        <v>0</v>
      </c>
      <c r="CY667" s="675">
        <v>0</v>
      </c>
      <c r="CZ667" s="549">
        <v>0</v>
      </c>
      <c r="DA667" s="675">
        <v>0</v>
      </c>
      <c r="DB667" s="549">
        <v>0</v>
      </c>
      <c r="DC667" s="675">
        <v>0</v>
      </c>
      <c r="DD667" s="549">
        <v>0</v>
      </c>
      <c r="DE667" s="675">
        <v>0</v>
      </c>
      <c r="DF667" s="549">
        <v>0</v>
      </c>
      <c r="DG667" s="675">
        <v>0</v>
      </c>
      <c r="DH667" s="549">
        <v>0</v>
      </c>
      <c r="DI667" s="675">
        <v>0</v>
      </c>
      <c r="DJ667" s="549">
        <v>0</v>
      </c>
      <c r="DK667" s="675">
        <v>0</v>
      </c>
      <c r="DL667" s="549">
        <v>0</v>
      </c>
      <c r="DM667" s="675">
        <v>0</v>
      </c>
      <c r="DN667" s="549">
        <v>0</v>
      </c>
      <c r="DO667" s="675">
        <v>0</v>
      </c>
      <c r="DP667" s="549">
        <v>0</v>
      </c>
      <c r="DQ667" s="675">
        <v>0</v>
      </c>
      <c r="DR667" s="549">
        <v>0</v>
      </c>
      <c r="DS667" s="675">
        <v>0</v>
      </c>
      <c r="DT667" s="549">
        <v>0</v>
      </c>
      <c r="DU667" s="675">
        <v>0</v>
      </c>
      <c r="DV667" s="549">
        <v>0</v>
      </c>
      <c r="DW667" s="675">
        <v>0</v>
      </c>
      <c r="DX667" s="549">
        <v>0</v>
      </c>
      <c r="DY667" s="675">
        <v>0</v>
      </c>
      <c r="DZ667" s="549">
        <v>0</v>
      </c>
      <c r="EA667" s="675">
        <v>0</v>
      </c>
      <c r="EB667" s="549">
        <v>0</v>
      </c>
      <c r="EC667" s="675">
        <v>0</v>
      </c>
      <c r="ED667" s="549">
        <v>0</v>
      </c>
      <c r="EE667" s="675">
        <v>0</v>
      </c>
      <c r="EF667" s="549">
        <v>0</v>
      </c>
      <c r="EG667" s="675">
        <v>0</v>
      </c>
      <c r="EH667" s="549">
        <v>0</v>
      </c>
      <c r="EI667" s="675">
        <v>0</v>
      </c>
      <c r="EJ667" s="549">
        <v>0</v>
      </c>
      <c r="EK667" s="675">
        <v>0</v>
      </c>
      <c r="EL667" s="549">
        <v>0</v>
      </c>
      <c r="EM667" s="675">
        <v>0</v>
      </c>
      <c r="EN667" s="549">
        <v>0</v>
      </c>
      <c r="EO667" s="675">
        <v>0</v>
      </c>
      <c r="EP667" s="549">
        <v>0</v>
      </c>
      <c r="EQ667" s="675">
        <v>0</v>
      </c>
      <c r="ER667" s="549">
        <v>0</v>
      </c>
      <c r="ES667" s="675">
        <v>0</v>
      </c>
      <c r="ET667" s="549">
        <v>0</v>
      </c>
      <c r="EU667" s="675">
        <v>0</v>
      </c>
      <c r="EV667" s="549">
        <v>0</v>
      </c>
      <c r="EW667" s="675">
        <v>0</v>
      </c>
      <c r="EX667" s="549">
        <v>0</v>
      </c>
      <c r="EY667" s="675">
        <v>0</v>
      </c>
      <c r="EZ667" s="549">
        <v>0</v>
      </c>
      <c r="FA667" s="675">
        <v>0</v>
      </c>
      <c r="FB667" s="549">
        <v>0</v>
      </c>
      <c r="FC667" s="675">
        <v>0</v>
      </c>
      <c r="FD667" s="549">
        <v>0</v>
      </c>
      <c r="FE667" s="675">
        <v>0</v>
      </c>
      <c r="FF667" s="549">
        <v>0</v>
      </c>
      <c r="FG667" s="675">
        <v>0</v>
      </c>
      <c r="FH667" s="549">
        <v>0</v>
      </c>
      <c r="FI667" s="675">
        <v>0</v>
      </c>
      <c r="FJ667" s="549">
        <v>0</v>
      </c>
      <c r="FK667" s="675">
        <v>0</v>
      </c>
      <c r="FL667" s="549">
        <v>0</v>
      </c>
      <c r="FM667" s="675">
        <v>0</v>
      </c>
      <c r="FN667" s="549">
        <v>0</v>
      </c>
      <c r="FO667" s="675">
        <v>0</v>
      </c>
      <c r="FP667" s="549">
        <v>0</v>
      </c>
      <c r="FQ667" s="675">
        <v>0</v>
      </c>
      <c r="FR667" s="549">
        <v>0</v>
      </c>
      <c r="FS667" s="675">
        <v>0</v>
      </c>
      <c r="FT667" s="549">
        <v>0</v>
      </c>
      <c r="FU667" s="675">
        <v>0</v>
      </c>
      <c r="FV667" s="549">
        <v>0</v>
      </c>
      <c r="FW667" s="675">
        <v>0</v>
      </c>
      <c r="FX667" s="549">
        <v>0</v>
      </c>
      <c r="FY667" s="675">
        <v>0</v>
      </c>
      <c r="FZ667" s="549">
        <v>0</v>
      </c>
      <c r="GA667" s="675">
        <v>0</v>
      </c>
      <c r="GB667" s="549">
        <v>0</v>
      </c>
      <c r="GC667" s="675">
        <v>0</v>
      </c>
      <c r="GD667" s="549">
        <v>0</v>
      </c>
      <c r="GE667" s="675">
        <v>0</v>
      </c>
      <c r="GF667" s="549">
        <v>0</v>
      </c>
      <c r="GG667" s="675">
        <v>0</v>
      </c>
      <c r="GH667" s="549">
        <v>0</v>
      </c>
      <c r="GI667" s="675">
        <v>0</v>
      </c>
      <c r="GJ667" s="549">
        <v>0</v>
      </c>
      <c r="GK667" s="675">
        <v>0</v>
      </c>
      <c r="GL667" s="549">
        <v>0</v>
      </c>
      <c r="GM667" s="675">
        <v>0</v>
      </c>
      <c r="GN667" s="549">
        <v>0</v>
      </c>
      <c r="GO667" s="675">
        <v>0</v>
      </c>
      <c r="GP667" s="549">
        <f>+D667+F667+H667+J667+L667+N667+P667+R667+T667+V667+X667+Z667+AB667+AF667+AD667+AH667+AJ667+AL667+AN667+AP667+AR667+AT667+AV667+AX667+AZ667+BB667+BD667+BF667+BH667+BJ667+BL667+BN667+BP667+BR667+BT667+BV667+BX667+BZ667+CB667+CD667+CF667+CH667+CJ667+CL667+CN667+CP667+CR667+CT667+CV667+CX667+CZ667+DB667+DD667+DF667+DH667+DT667+EX667+DJ667+DL667+DN667+DP667+DR667+EJ667+EB667+DZ667+DX667+DV667+ED667+EF667+EH667+EL667+EN667+EP667+EV667+ET667+ER667+EZ667+FB667+FD667+GL667+FF667+FJ667+FL667+GJ667+FT667+FR667+FP667+FN667+FH667+GH667+GF667+GD667+GB667+FZ667+FX667+FV667+GN667</f>
        <v>0</v>
      </c>
      <c r="GQ667" s="675">
        <f>+E667+G667+I667+K667+M667+O667+Q667+S667+U667+W667+Y667+AA667+AC667+AE667+AG667+AI667+AK667+AM667+AO667+AQ667+AS667+AU667+AW667+AY667+BA667+BC667+BE667+BG667+BI667+BK667+BM667+BO667+BQ667+BS667+BU667+BW667+BY667+CA667+CC667+CE667+CG667+CI667+CK667+CM667+CO667+CQ667+CS667+CU667+CW667+CY667+DA667+DC667+DE667+DG667+DI667+DU667+EY667+DK667+DM667+DO667+DQ667+DS667+EK667+EC667+EA667+DY667+DW667+EI667+EG667+EE667+EM667+EO667+EQ667+EW667+EU667+ES667+FA667+FC667+FE667+GM667+FG667+FK667+FM667+FO667+FQ667+FS667+FU667+GK667+FI667+GI667+GG667+GE667+GC667+GA667+FY667+FW667+GO667</f>
        <v>-50000</v>
      </c>
      <c r="GR667" s="74">
        <f>C667+GP667+GQ667</f>
        <v>0</v>
      </c>
      <c r="GS667" s="74">
        <f>SUM(GU667:HD667)+GP667+GQ667</f>
        <v>0</v>
      </c>
      <c r="GT667" s="568">
        <f>SUM(GU667:HF667)+GQ667+GP667</f>
        <v>0</v>
      </c>
      <c r="GU667" s="799">
        <v>10000</v>
      </c>
      <c r="GV667" s="799"/>
      <c r="GW667" s="799"/>
      <c r="GX667" s="799">
        <v>15000</v>
      </c>
      <c r="GY667" s="799">
        <v>0</v>
      </c>
      <c r="GZ667" s="799">
        <v>25000</v>
      </c>
      <c r="HA667" s="799">
        <f>15000-15000</f>
        <v>0</v>
      </c>
      <c r="HB667" s="799">
        <v>0</v>
      </c>
      <c r="HC667" s="799">
        <v>0</v>
      </c>
      <c r="HD667" s="799">
        <f>10000-10000</f>
        <v>0</v>
      </c>
      <c r="HE667" s="799">
        <v>0</v>
      </c>
      <c r="HF667" s="799">
        <v>0</v>
      </c>
      <c r="HG667" s="74">
        <f>SUM(HH667:IE667)+GP667+GQ667</f>
        <v>0</v>
      </c>
      <c r="HH667" s="89">
        <v>0</v>
      </c>
      <c r="HI667" s="817">
        <v>0</v>
      </c>
      <c r="HJ667" s="89">
        <v>0</v>
      </c>
      <c r="HK667" s="817">
        <v>0</v>
      </c>
      <c r="HL667" s="89">
        <v>0</v>
      </c>
      <c r="HM667" s="817">
        <v>10000</v>
      </c>
      <c r="HN667" s="89">
        <v>0</v>
      </c>
      <c r="HO667" s="817">
        <v>15000</v>
      </c>
      <c r="HP667" s="89">
        <v>0</v>
      </c>
      <c r="HQ667" s="817">
        <v>0</v>
      </c>
      <c r="HR667" s="89">
        <v>0</v>
      </c>
      <c r="HS667" s="817">
        <v>0</v>
      </c>
      <c r="HT667" s="89">
        <v>0</v>
      </c>
      <c r="HU667" s="817">
        <v>25000</v>
      </c>
      <c r="HV667" s="89">
        <v>0</v>
      </c>
      <c r="HW667" s="817">
        <v>0</v>
      </c>
      <c r="HX667" s="89">
        <v>0</v>
      </c>
      <c r="HY667" s="817">
        <v>0</v>
      </c>
      <c r="HZ667" s="89">
        <v>0</v>
      </c>
      <c r="IA667" s="817">
        <v>0</v>
      </c>
      <c r="IB667" s="89">
        <v>0</v>
      </c>
      <c r="IC667" s="817">
        <v>0</v>
      </c>
      <c r="ID667" s="89">
        <v>0</v>
      </c>
      <c r="IE667" s="817">
        <v>0</v>
      </c>
      <c r="IF667" s="841">
        <f t="shared" ref="IF667" si="15243">SUM(II667,IL667,IO667,IR667,IU667,IX667,JA667,JD667,JG667,JJ667,JM667,JP667)</f>
        <v>0</v>
      </c>
      <c r="IG667" s="263">
        <f t="shared" ref="IG667" si="15244">SUM(IJ667,IM667,IP667,IS667,IV667,IY667,JB667,JE667,JH667,JK667,JN667,JQ667)</f>
        <v>0</v>
      </c>
      <c r="IH667" s="842">
        <f t="shared" ref="IH667" si="15245">SUM(IK667,IN667,IQ667,IT667,IW667,IZ667,JC667,JF667,JI667,JL667,JO667,JR667)</f>
        <v>0</v>
      </c>
      <c r="II667" s="89">
        <v>0</v>
      </c>
      <c r="IJ667" s="89">
        <f t="shared" ref="IJ667" si="15246">II667</f>
        <v>0</v>
      </c>
      <c r="IK667" s="89">
        <f t="shared" ref="IK667" si="15247">IJ667</f>
        <v>0</v>
      </c>
      <c r="IL667" s="89">
        <v>0</v>
      </c>
      <c r="IM667" s="89">
        <f t="shared" ref="IM667" si="15248">IL667</f>
        <v>0</v>
      </c>
      <c r="IN667" s="89">
        <f t="shared" ref="IN667" si="15249">IM667</f>
        <v>0</v>
      </c>
      <c r="IO667" s="89">
        <v>0</v>
      </c>
      <c r="IP667" s="89">
        <f t="shared" ref="IP667" si="15250">IO667</f>
        <v>0</v>
      </c>
      <c r="IQ667" s="89">
        <f t="shared" ref="IQ667" si="15251">IP667</f>
        <v>0</v>
      </c>
      <c r="IR667" s="89">
        <v>0</v>
      </c>
      <c r="IS667" s="89">
        <f t="shared" ref="IS667" si="15252">IR667</f>
        <v>0</v>
      </c>
      <c r="IT667" s="89">
        <f t="shared" ref="IT667" si="15253">IS667</f>
        <v>0</v>
      </c>
      <c r="IU667" s="89">
        <v>0</v>
      </c>
      <c r="IV667" s="89">
        <f t="shared" ref="IV667" si="15254">IU667</f>
        <v>0</v>
      </c>
      <c r="IW667" s="89">
        <f t="shared" ref="IW667" si="15255">IV667</f>
        <v>0</v>
      </c>
      <c r="IX667" s="89">
        <v>0</v>
      </c>
      <c r="IY667" s="89">
        <f t="shared" ref="IY667" si="15256">IX667</f>
        <v>0</v>
      </c>
      <c r="IZ667" s="89">
        <f t="shared" ref="IZ667" si="15257">IY667</f>
        <v>0</v>
      </c>
      <c r="JA667" s="89">
        <v>0</v>
      </c>
      <c r="JB667" s="89">
        <f t="shared" ref="JB667" si="15258">JA667</f>
        <v>0</v>
      </c>
      <c r="JC667" s="89">
        <f t="shared" ref="JC667" si="15259">JB667</f>
        <v>0</v>
      </c>
      <c r="JD667" s="89">
        <v>0</v>
      </c>
      <c r="JE667" s="89">
        <f t="shared" ref="JE667" si="15260">JD667</f>
        <v>0</v>
      </c>
      <c r="JF667" s="89">
        <f t="shared" ref="JF667" si="15261">JE667</f>
        <v>0</v>
      </c>
      <c r="JG667" s="89">
        <v>0</v>
      </c>
      <c r="JH667" s="89">
        <f t="shared" ref="JH667" si="15262">JG667</f>
        <v>0</v>
      </c>
      <c r="JI667" s="89">
        <f t="shared" ref="JI667" si="15263">JH667</f>
        <v>0</v>
      </c>
      <c r="JJ667" s="89">
        <v>0</v>
      </c>
      <c r="JK667" s="89">
        <f t="shared" ref="JK667" si="15264">JJ667</f>
        <v>0</v>
      </c>
      <c r="JL667" s="89">
        <f t="shared" ref="JL667" si="15265">JK667</f>
        <v>0</v>
      </c>
      <c r="JM667" s="89">
        <v>0</v>
      </c>
      <c r="JN667" s="89">
        <f t="shared" ref="JN667" si="15266">JM667</f>
        <v>0</v>
      </c>
      <c r="JO667" s="89">
        <f t="shared" ref="JO667" si="15267">JN667</f>
        <v>0</v>
      </c>
      <c r="JP667" s="89">
        <v>0</v>
      </c>
      <c r="JQ667" s="89">
        <f t="shared" ref="JQ667:JR667" si="15268">JP667</f>
        <v>0</v>
      </c>
      <c r="JR667" s="89">
        <f t="shared" si="15268"/>
        <v>0</v>
      </c>
      <c r="JS667" s="74">
        <f>HG667-IF667</f>
        <v>0</v>
      </c>
      <c r="JT667" s="382">
        <f>GS667-IF667</f>
        <v>0</v>
      </c>
      <c r="JU667" s="665"/>
      <c r="JV667" s="524"/>
      <c r="JW667" s="525"/>
      <c r="JX667" s="549">
        <f t="shared" ref="JX667:JY684" si="15269">SUM(HH667,HJ667,HL667,HN667,HP667,HR667,HT667,HV667,HX667,HZ667,IB667,ID667)</f>
        <v>0</v>
      </c>
      <c r="JY667" s="549">
        <f t="shared" si="15269"/>
        <v>50000</v>
      </c>
      <c r="JZ667" s="581">
        <f t="shared" si="14740"/>
        <v>0</v>
      </c>
      <c r="KA667" s="581">
        <f t="shared" si="14741"/>
        <v>-50000</v>
      </c>
      <c r="KB667" s="566">
        <f t="shared" si="15242"/>
        <v>0</v>
      </c>
      <c r="KC667" s="709">
        <f t="shared" si="14739"/>
        <v>0</v>
      </c>
      <c r="KD667" s="491"/>
      <c r="KE667" s="491"/>
      <c r="KF667" s="491"/>
      <c r="KG667" s="491"/>
      <c r="KH667" s="36"/>
      <c r="KI667" s="36"/>
      <c r="KJ667" s="36"/>
      <c r="KK667" s="36"/>
    </row>
    <row r="668" spans="1:297" s="8" customFormat="1" ht="12.75" customHeight="1">
      <c r="A668" s="612"/>
      <c r="B668" s="512"/>
      <c r="C668" s="513"/>
      <c r="D668" s="553"/>
      <c r="E668" s="687"/>
      <c r="F668" s="553"/>
      <c r="G668" s="687"/>
      <c r="H668" s="553"/>
      <c r="I668" s="687"/>
      <c r="J668" s="553"/>
      <c r="K668" s="687"/>
      <c r="L668" s="553"/>
      <c r="M668" s="687"/>
      <c r="N668" s="553"/>
      <c r="O668" s="687"/>
      <c r="P668" s="553"/>
      <c r="Q668" s="687"/>
      <c r="R668" s="553"/>
      <c r="S668" s="687"/>
      <c r="T668" s="553"/>
      <c r="U668" s="687"/>
      <c r="V668" s="553"/>
      <c r="W668" s="687"/>
      <c r="X668" s="553"/>
      <c r="Y668" s="687"/>
      <c r="Z668" s="553"/>
      <c r="AA668" s="687"/>
      <c r="AB668" s="553"/>
      <c r="AC668" s="687"/>
      <c r="AD668" s="553"/>
      <c r="AE668" s="687"/>
      <c r="AF668" s="553"/>
      <c r="AG668" s="687"/>
      <c r="AH668" s="553"/>
      <c r="AI668" s="687"/>
      <c r="AJ668" s="553"/>
      <c r="AK668" s="687"/>
      <c r="AL668" s="553"/>
      <c r="AM668" s="687"/>
      <c r="AN668" s="553"/>
      <c r="AO668" s="687"/>
      <c r="AP668" s="553"/>
      <c r="AQ668" s="687"/>
      <c r="AR668" s="553"/>
      <c r="AS668" s="687"/>
      <c r="AT668" s="553"/>
      <c r="AU668" s="687"/>
      <c r="AV668" s="553"/>
      <c r="AW668" s="687"/>
      <c r="AX668" s="553"/>
      <c r="AY668" s="687"/>
      <c r="AZ668" s="553"/>
      <c r="BA668" s="687"/>
      <c r="BB668" s="553"/>
      <c r="BC668" s="687"/>
      <c r="BD668" s="553"/>
      <c r="BE668" s="687"/>
      <c r="BF668" s="553"/>
      <c r="BG668" s="687"/>
      <c r="BH668" s="553"/>
      <c r="BI668" s="687"/>
      <c r="BJ668" s="553"/>
      <c r="BK668" s="687"/>
      <c r="BL668" s="553"/>
      <c r="BM668" s="687"/>
      <c r="BN668" s="553"/>
      <c r="BO668" s="687"/>
      <c r="BP668" s="553"/>
      <c r="BQ668" s="687"/>
      <c r="BR668" s="553"/>
      <c r="BS668" s="687"/>
      <c r="BT668" s="553"/>
      <c r="BU668" s="687"/>
      <c r="BV668" s="553"/>
      <c r="BW668" s="687"/>
      <c r="BX668" s="553"/>
      <c r="BY668" s="687"/>
      <c r="BZ668" s="553"/>
      <c r="CA668" s="687"/>
      <c r="CB668" s="553"/>
      <c r="CC668" s="687"/>
      <c r="CD668" s="553"/>
      <c r="CE668" s="687"/>
      <c r="CF668" s="553"/>
      <c r="CG668" s="687"/>
      <c r="CH668" s="553"/>
      <c r="CI668" s="687"/>
      <c r="CJ668" s="553"/>
      <c r="CK668" s="687"/>
      <c r="CL668" s="553"/>
      <c r="CM668" s="687"/>
      <c r="CN668" s="553"/>
      <c r="CO668" s="687"/>
      <c r="CP668" s="553"/>
      <c r="CQ668" s="687"/>
      <c r="CR668" s="553"/>
      <c r="CS668" s="687"/>
      <c r="CT668" s="553"/>
      <c r="CU668" s="687"/>
      <c r="CV668" s="553"/>
      <c r="CW668" s="687"/>
      <c r="CX668" s="553"/>
      <c r="CY668" s="687"/>
      <c r="CZ668" s="553"/>
      <c r="DA668" s="687"/>
      <c r="DB668" s="553"/>
      <c r="DC668" s="687"/>
      <c r="DD668" s="553"/>
      <c r="DE668" s="687"/>
      <c r="DF668" s="553"/>
      <c r="DG668" s="687"/>
      <c r="DH668" s="553"/>
      <c r="DI668" s="687"/>
      <c r="DJ668" s="553"/>
      <c r="DK668" s="687"/>
      <c r="DL668" s="553"/>
      <c r="DM668" s="687"/>
      <c r="DN668" s="553"/>
      <c r="DO668" s="687"/>
      <c r="DP668" s="553"/>
      <c r="DQ668" s="687"/>
      <c r="DR668" s="553"/>
      <c r="DS668" s="687"/>
      <c r="DT668" s="553"/>
      <c r="DU668" s="687"/>
      <c r="DV668" s="553"/>
      <c r="DW668" s="687"/>
      <c r="DX668" s="553"/>
      <c r="DY668" s="687"/>
      <c r="DZ668" s="553"/>
      <c r="EA668" s="687"/>
      <c r="EB668" s="553"/>
      <c r="EC668" s="687"/>
      <c r="ED668" s="553"/>
      <c r="EE668" s="687"/>
      <c r="EF668" s="553"/>
      <c r="EG668" s="687"/>
      <c r="EH668" s="553"/>
      <c r="EI668" s="687"/>
      <c r="EJ668" s="553"/>
      <c r="EK668" s="687"/>
      <c r="EL668" s="553"/>
      <c r="EM668" s="687"/>
      <c r="EN668" s="553"/>
      <c r="EO668" s="687"/>
      <c r="EP668" s="553"/>
      <c r="EQ668" s="687"/>
      <c r="ER668" s="553"/>
      <c r="ES668" s="687"/>
      <c r="ET668" s="553"/>
      <c r="EU668" s="687"/>
      <c r="EV668" s="553"/>
      <c r="EW668" s="687"/>
      <c r="EX668" s="553"/>
      <c r="EY668" s="687"/>
      <c r="EZ668" s="553"/>
      <c r="FA668" s="687"/>
      <c r="FB668" s="553"/>
      <c r="FC668" s="687"/>
      <c r="FD668" s="553"/>
      <c r="FE668" s="687"/>
      <c r="FF668" s="553"/>
      <c r="FG668" s="687"/>
      <c r="FH668" s="553"/>
      <c r="FI668" s="687"/>
      <c r="FJ668" s="553"/>
      <c r="FK668" s="687"/>
      <c r="FL668" s="553"/>
      <c r="FM668" s="687"/>
      <c r="FN668" s="553"/>
      <c r="FO668" s="687"/>
      <c r="FP668" s="553"/>
      <c r="FQ668" s="687"/>
      <c r="FR668" s="553"/>
      <c r="FS668" s="687"/>
      <c r="FT668" s="553"/>
      <c r="FU668" s="687"/>
      <c r="FV668" s="553"/>
      <c r="FW668" s="687"/>
      <c r="FX668" s="553"/>
      <c r="FY668" s="687"/>
      <c r="FZ668" s="553"/>
      <c r="GA668" s="687"/>
      <c r="GB668" s="553"/>
      <c r="GC668" s="687"/>
      <c r="GD668" s="553"/>
      <c r="GE668" s="687"/>
      <c r="GF668" s="553"/>
      <c r="GG668" s="687"/>
      <c r="GH668" s="553"/>
      <c r="GI668" s="687"/>
      <c r="GJ668" s="553"/>
      <c r="GK668" s="687"/>
      <c r="GL668" s="553"/>
      <c r="GM668" s="687"/>
      <c r="GN668" s="553"/>
      <c r="GO668" s="687"/>
      <c r="GP668" s="553"/>
      <c r="GQ668" s="687"/>
      <c r="GR668" s="487"/>
      <c r="GS668" s="487"/>
      <c r="GT668" s="553"/>
      <c r="GU668" s="487"/>
      <c r="GV668" s="487"/>
      <c r="GW668" s="553"/>
      <c r="GX668" s="553"/>
      <c r="GY668" s="487"/>
      <c r="GZ668" s="487"/>
      <c r="HA668" s="487"/>
      <c r="HB668" s="487"/>
      <c r="HC668" s="487"/>
      <c r="HD668" s="487"/>
      <c r="HE668" s="487"/>
      <c r="HF668" s="487"/>
      <c r="HG668" s="487"/>
      <c r="HH668" s="487"/>
      <c r="HI668" s="828"/>
      <c r="HJ668" s="487"/>
      <c r="HK668" s="828"/>
      <c r="HL668" s="487"/>
      <c r="HM668" s="828"/>
      <c r="HN668" s="487"/>
      <c r="HO668" s="828"/>
      <c r="HP668" s="487"/>
      <c r="HQ668" s="828"/>
      <c r="HR668" s="487"/>
      <c r="HS668" s="828"/>
      <c r="HT668" s="487"/>
      <c r="HU668" s="828"/>
      <c r="HV668" s="487"/>
      <c r="HW668" s="828"/>
      <c r="HX668" s="487"/>
      <c r="HY668" s="828"/>
      <c r="HZ668" s="487"/>
      <c r="IA668" s="828"/>
      <c r="IB668" s="487"/>
      <c r="IC668" s="828"/>
      <c r="ID668" s="487"/>
      <c r="IE668" s="828"/>
      <c r="IF668" s="871"/>
      <c r="IG668" s="486"/>
      <c r="IH668" s="872"/>
      <c r="II668" s="487"/>
      <c r="IJ668" s="487"/>
      <c r="IK668" s="487"/>
      <c r="IL668" s="487"/>
      <c r="IM668" s="487"/>
      <c r="IN668" s="487"/>
      <c r="IO668" s="487"/>
      <c r="IP668" s="487"/>
      <c r="IQ668" s="487"/>
      <c r="IR668" s="487"/>
      <c r="IS668" s="487"/>
      <c r="IT668" s="487"/>
      <c r="IU668" s="487"/>
      <c r="IV668" s="487"/>
      <c r="IW668" s="487"/>
      <c r="IX668" s="487"/>
      <c r="IY668" s="487"/>
      <c r="IZ668" s="487"/>
      <c r="JA668" s="487"/>
      <c r="JB668" s="487"/>
      <c r="JC668" s="487"/>
      <c r="JD668" s="487"/>
      <c r="JE668" s="487"/>
      <c r="JF668" s="487"/>
      <c r="JG668" s="487"/>
      <c r="JH668" s="487"/>
      <c r="JI668" s="487"/>
      <c r="JJ668" s="487"/>
      <c r="JK668" s="487"/>
      <c r="JL668" s="487"/>
      <c r="JM668" s="487"/>
      <c r="JN668" s="487"/>
      <c r="JO668" s="487"/>
      <c r="JP668" s="487"/>
      <c r="JQ668" s="487"/>
      <c r="JR668" s="487"/>
      <c r="JS668" s="487"/>
      <c r="JT668" s="662"/>
      <c r="JU668" s="665"/>
      <c r="JV668" s="524"/>
      <c r="JW668" s="525"/>
      <c r="JX668" s="553"/>
      <c r="JY668" s="549">
        <f t="shared" si="15269"/>
        <v>0</v>
      </c>
      <c r="JZ668" s="581">
        <f t="shared" si="14740"/>
        <v>0</v>
      </c>
      <c r="KA668" s="581">
        <f t="shared" si="14741"/>
        <v>0</v>
      </c>
      <c r="KB668" s="566">
        <f t="shared" si="15242"/>
        <v>0</v>
      </c>
      <c r="KC668" s="709">
        <f t="shared" si="14739"/>
        <v>0</v>
      </c>
      <c r="KD668" s="491"/>
      <c r="KE668" s="491"/>
      <c r="KF668" s="491"/>
      <c r="KG668" s="491"/>
      <c r="KH668" s="36"/>
      <c r="KI668" s="36"/>
      <c r="KJ668" s="36"/>
      <c r="KK668" s="36"/>
    </row>
    <row r="669" spans="1:297" s="10" customFormat="1">
      <c r="A669" s="613" t="s">
        <v>941</v>
      </c>
      <c r="B669" s="514" t="s">
        <v>942</v>
      </c>
      <c r="C669" s="513">
        <f>SUM(C670:C679)</f>
        <v>100000</v>
      </c>
      <c r="D669" s="513">
        <f t="shared" ref="D669:E669" si="15270">SUM(D670:D679)</f>
        <v>0</v>
      </c>
      <c r="E669" s="513">
        <f t="shared" si="15270"/>
        <v>0</v>
      </c>
      <c r="F669" s="513">
        <f t="shared" ref="F669:G669" si="15271">SUM(F670:F679)</f>
        <v>0</v>
      </c>
      <c r="G669" s="513">
        <f t="shared" si="15271"/>
        <v>0</v>
      </c>
      <c r="H669" s="513">
        <f t="shared" ref="H669:BQ669" si="15272">SUM(H670:H679)</f>
        <v>0</v>
      </c>
      <c r="I669" s="513">
        <f t="shared" si="15272"/>
        <v>0</v>
      </c>
      <c r="J669" s="513">
        <f t="shared" si="15272"/>
        <v>0</v>
      </c>
      <c r="K669" s="513">
        <f t="shared" si="15272"/>
        <v>0</v>
      </c>
      <c r="L669" s="513">
        <f t="shared" si="15272"/>
        <v>0</v>
      </c>
      <c r="M669" s="513">
        <f t="shared" si="15272"/>
        <v>0</v>
      </c>
      <c r="N669" s="513">
        <f t="shared" si="15272"/>
        <v>186132</v>
      </c>
      <c r="O669" s="513">
        <f t="shared" si="15272"/>
        <v>-70000</v>
      </c>
      <c r="P669" s="513">
        <f t="shared" si="15272"/>
        <v>0</v>
      </c>
      <c r="Q669" s="513">
        <f t="shared" si="15272"/>
        <v>0</v>
      </c>
      <c r="R669" s="513">
        <f t="shared" si="15272"/>
        <v>0</v>
      </c>
      <c r="S669" s="513">
        <f t="shared" si="15272"/>
        <v>0</v>
      </c>
      <c r="T669" s="513">
        <f t="shared" si="15272"/>
        <v>0</v>
      </c>
      <c r="U669" s="513">
        <f t="shared" si="15272"/>
        <v>0</v>
      </c>
      <c r="V669" s="513">
        <f t="shared" si="15272"/>
        <v>0</v>
      </c>
      <c r="W669" s="513">
        <f t="shared" si="15272"/>
        <v>0</v>
      </c>
      <c r="X669" s="513">
        <f t="shared" si="15272"/>
        <v>0</v>
      </c>
      <c r="Y669" s="513">
        <f t="shared" si="15272"/>
        <v>0</v>
      </c>
      <c r="Z669" s="513">
        <f t="shared" si="15272"/>
        <v>0</v>
      </c>
      <c r="AA669" s="513">
        <f t="shared" si="15272"/>
        <v>0</v>
      </c>
      <c r="AB669" s="513">
        <f t="shared" si="15272"/>
        <v>0</v>
      </c>
      <c r="AC669" s="513">
        <f t="shared" si="15272"/>
        <v>0</v>
      </c>
      <c r="AD669" s="513">
        <f t="shared" si="15272"/>
        <v>0</v>
      </c>
      <c r="AE669" s="513">
        <f t="shared" si="15272"/>
        <v>0</v>
      </c>
      <c r="AF669" s="513">
        <f t="shared" si="15272"/>
        <v>0</v>
      </c>
      <c r="AG669" s="513">
        <f t="shared" si="15272"/>
        <v>0</v>
      </c>
      <c r="AH669" s="513">
        <f t="shared" si="15272"/>
        <v>0</v>
      </c>
      <c r="AI669" s="513">
        <f t="shared" si="15272"/>
        <v>0</v>
      </c>
      <c r="AJ669" s="513">
        <f t="shared" si="15272"/>
        <v>0</v>
      </c>
      <c r="AK669" s="513">
        <f t="shared" si="15272"/>
        <v>0</v>
      </c>
      <c r="AL669" s="513">
        <f t="shared" si="15272"/>
        <v>0</v>
      </c>
      <c r="AM669" s="513">
        <f t="shared" si="15272"/>
        <v>0</v>
      </c>
      <c r="AN669" s="513">
        <f t="shared" si="15272"/>
        <v>0</v>
      </c>
      <c r="AO669" s="513">
        <f t="shared" si="15272"/>
        <v>0</v>
      </c>
      <c r="AP669" s="513">
        <f t="shared" si="15272"/>
        <v>269095</v>
      </c>
      <c r="AQ669" s="513">
        <f t="shared" si="15272"/>
        <v>0</v>
      </c>
      <c r="AR669" s="513">
        <f t="shared" si="15272"/>
        <v>0</v>
      </c>
      <c r="AS669" s="513">
        <f t="shared" si="15272"/>
        <v>0</v>
      </c>
      <c r="AT669" s="513">
        <f t="shared" ref="AT669:AU669" si="15273">SUM(AT670:AT679)</f>
        <v>0</v>
      </c>
      <c r="AU669" s="513">
        <f t="shared" si="15273"/>
        <v>0</v>
      </c>
      <c r="AV669" s="513">
        <f t="shared" ref="AV669:AW669" si="15274">SUM(AV670:AV679)</f>
        <v>0</v>
      </c>
      <c r="AW669" s="513">
        <f t="shared" si="15274"/>
        <v>0</v>
      </c>
      <c r="AX669" s="513">
        <f t="shared" ref="AX669:AY669" si="15275">SUM(AX670:AX679)</f>
        <v>16905</v>
      </c>
      <c r="AY669" s="513">
        <f t="shared" si="15275"/>
        <v>0</v>
      </c>
      <c r="AZ669" s="513">
        <f t="shared" ref="AZ669:BA669" si="15276">SUM(AZ670:AZ679)</f>
        <v>0</v>
      </c>
      <c r="BA669" s="513">
        <f t="shared" si="15276"/>
        <v>0</v>
      </c>
      <c r="BB669" s="513">
        <f t="shared" ref="BB669:BC669" si="15277">SUM(BB670:BB679)</f>
        <v>0</v>
      </c>
      <c r="BC669" s="513">
        <f t="shared" si="15277"/>
        <v>0</v>
      </c>
      <c r="BD669" s="513">
        <f t="shared" ref="BD669:BE669" si="15278">SUM(BD670:BD679)</f>
        <v>0</v>
      </c>
      <c r="BE669" s="513">
        <f t="shared" si="15278"/>
        <v>0</v>
      </c>
      <c r="BF669" s="513">
        <f t="shared" ref="BF669:BG669" si="15279">SUM(BF670:BF679)</f>
        <v>0</v>
      </c>
      <c r="BG669" s="513">
        <f t="shared" si="15279"/>
        <v>0</v>
      </c>
      <c r="BH669" s="513">
        <f t="shared" ref="BH669:BI669" si="15280">SUM(BH670:BH679)</f>
        <v>0</v>
      </c>
      <c r="BI669" s="513">
        <f t="shared" si="15280"/>
        <v>0</v>
      </c>
      <c r="BJ669" s="513">
        <f t="shared" ref="BJ669:BK669" si="15281">SUM(BJ670:BJ679)</f>
        <v>0</v>
      </c>
      <c r="BK669" s="513">
        <f t="shared" si="15281"/>
        <v>0</v>
      </c>
      <c r="BL669" s="513">
        <f t="shared" si="15272"/>
        <v>0</v>
      </c>
      <c r="BM669" s="513">
        <f t="shared" si="15272"/>
        <v>0</v>
      </c>
      <c r="BN669" s="513">
        <f t="shared" si="15272"/>
        <v>0</v>
      </c>
      <c r="BO669" s="513">
        <f t="shared" si="15272"/>
        <v>0</v>
      </c>
      <c r="BP669" s="513">
        <f t="shared" si="15272"/>
        <v>0</v>
      </c>
      <c r="BQ669" s="513">
        <f t="shared" si="15272"/>
        <v>0</v>
      </c>
      <c r="BR669" s="513">
        <f t="shared" ref="BR669:BS669" si="15282">SUM(BR670:BR679)</f>
        <v>116922</v>
      </c>
      <c r="BS669" s="513">
        <f t="shared" si="15282"/>
        <v>0</v>
      </c>
      <c r="BT669" s="513">
        <f t="shared" ref="BT669:BU669" si="15283">SUM(BT670:BT679)</f>
        <v>0</v>
      </c>
      <c r="BU669" s="513">
        <f t="shared" si="15283"/>
        <v>0</v>
      </c>
      <c r="BV669" s="513">
        <f t="shared" ref="BV669:BW669" si="15284">SUM(BV670:BV679)</f>
        <v>0</v>
      </c>
      <c r="BW669" s="513">
        <f t="shared" si="15284"/>
        <v>0</v>
      </c>
      <c r="BX669" s="513">
        <f t="shared" ref="BX669:BY669" si="15285">SUM(BX670:BX679)</f>
        <v>12012</v>
      </c>
      <c r="BY669" s="513">
        <f t="shared" si="15285"/>
        <v>0</v>
      </c>
      <c r="BZ669" s="513">
        <f t="shared" ref="BZ669:CA669" si="15286">SUM(BZ670:BZ679)</f>
        <v>0</v>
      </c>
      <c r="CA669" s="513">
        <f t="shared" si="15286"/>
        <v>0</v>
      </c>
      <c r="CB669" s="513">
        <f t="shared" ref="CB669:HE669" si="15287">SUM(CB670:CB679)</f>
        <v>0</v>
      </c>
      <c r="CC669" s="513">
        <f t="shared" si="15287"/>
        <v>0</v>
      </c>
      <c r="CD669" s="513">
        <f t="shared" si="15287"/>
        <v>0</v>
      </c>
      <c r="CE669" s="513">
        <f t="shared" si="15287"/>
        <v>0</v>
      </c>
      <c r="CF669" s="513">
        <f t="shared" si="15287"/>
        <v>0</v>
      </c>
      <c r="CG669" s="513">
        <f t="shared" si="15287"/>
        <v>0</v>
      </c>
      <c r="CH669" s="513">
        <f t="shared" si="15287"/>
        <v>0</v>
      </c>
      <c r="CI669" s="513">
        <f t="shared" si="15287"/>
        <v>0</v>
      </c>
      <c r="CJ669" s="513">
        <f t="shared" si="15287"/>
        <v>0</v>
      </c>
      <c r="CK669" s="513">
        <f t="shared" si="15287"/>
        <v>0</v>
      </c>
      <c r="CL669" s="513">
        <f t="shared" si="15287"/>
        <v>0</v>
      </c>
      <c r="CM669" s="513">
        <f t="shared" si="15287"/>
        <v>0</v>
      </c>
      <c r="CN669" s="513">
        <f t="shared" si="15287"/>
        <v>0</v>
      </c>
      <c r="CO669" s="513">
        <f t="shared" si="15287"/>
        <v>0</v>
      </c>
      <c r="CP669" s="513">
        <f t="shared" si="15287"/>
        <v>0</v>
      </c>
      <c r="CQ669" s="513">
        <f t="shared" si="15287"/>
        <v>0</v>
      </c>
      <c r="CR669" s="513">
        <f t="shared" si="15287"/>
        <v>0</v>
      </c>
      <c r="CS669" s="513">
        <f t="shared" si="15287"/>
        <v>0</v>
      </c>
      <c r="CT669" s="513">
        <f t="shared" si="15287"/>
        <v>3000</v>
      </c>
      <c r="CU669" s="513">
        <f t="shared" si="15287"/>
        <v>-3000</v>
      </c>
      <c r="CV669" s="513">
        <f t="shared" si="15287"/>
        <v>0</v>
      </c>
      <c r="CW669" s="513">
        <f t="shared" si="15287"/>
        <v>0</v>
      </c>
      <c r="CX669" s="513">
        <f t="shared" si="15287"/>
        <v>0</v>
      </c>
      <c r="CY669" s="513">
        <f t="shared" si="15287"/>
        <v>0</v>
      </c>
      <c r="CZ669" s="513">
        <f t="shared" si="15287"/>
        <v>0</v>
      </c>
      <c r="DA669" s="513">
        <f t="shared" si="15287"/>
        <v>0</v>
      </c>
      <c r="DB669" s="513">
        <f t="shared" si="15287"/>
        <v>100000</v>
      </c>
      <c r="DC669" s="513">
        <f t="shared" si="15287"/>
        <v>-10000</v>
      </c>
      <c r="DD669" s="513">
        <f t="shared" si="15287"/>
        <v>11072</v>
      </c>
      <c r="DE669" s="513">
        <f t="shared" si="15287"/>
        <v>0</v>
      </c>
      <c r="DF669" s="513">
        <f t="shared" si="15287"/>
        <v>0</v>
      </c>
      <c r="DG669" s="513">
        <f t="shared" si="15287"/>
        <v>0</v>
      </c>
      <c r="DH669" s="513">
        <f t="shared" si="15287"/>
        <v>0</v>
      </c>
      <c r="DI669" s="513">
        <f t="shared" si="15287"/>
        <v>0</v>
      </c>
      <c r="DJ669" s="513">
        <f t="shared" si="15287"/>
        <v>0</v>
      </c>
      <c r="DK669" s="513">
        <f t="shared" si="15287"/>
        <v>0</v>
      </c>
      <c r="DL669" s="513">
        <f t="shared" si="15287"/>
        <v>0</v>
      </c>
      <c r="DM669" s="513">
        <f t="shared" si="15287"/>
        <v>-1900</v>
      </c>
      <c r="DN669" s="513">
        <f t="shared" ref="DN669:DW669" si="15288">SUM(DN670:DN679)</f>
        <v>0</v>
      </c>
      <c r="DO669" s="513">
        <f t="shared" si="15288"/>
        <v>0</v>
      </c>
      <c r="DP669" s="513">
        <f t="shared" si="15288"/>
        <v>0</v>
      </c>
      <c r="DQ669" s="513">
        <f t="shared" si="15288"/>
        <v>0</v>
      </c>
      <c r="DR669" s="513">
        <f t="shared" si="15288"/>
        <v>62929</v>
      </c>
      <c r="DS669" s="513">
        <f t="shared" si="15288"/>
        <v>-29929</v>
      </c>
      <c r="DT669" s="513">
        <f t="shared" si="15288"/>
        <v>0</v>
      </c>
      <c r="DU669" s="513">
        <f t="shared" si="15288"/>
        <v>0</v>
      </c>
      <c r="DV669" s="513">
        <f t="shared" si="15288"/>
        <v>0</v>
      </c>
      <c r="DW669" s="513">
        <f t="shared" si="15288"/>
        <v>0</v>
      </c>
      <c r="DX669" s="513">
        <f t="shared" si="15287"/>
        <v>0</v>
      </c>
      <c r="DY669" s="513">
        <f t="shared" si="15287"/>
        <v>-26921</v>
      </c>
      <c r="DZ669" s="513">
        <f t="shared" ref="DZ669:FA669" si="15289">SUM(DZ670:DZ679)</f>
        <v>0</v>
      </c>
      <c r="EA669" s="513">
        <f t="shared" si="15289"/>
        <v>-7128</v>
      </c>
      <c r="EB669" s="513">
        <f t="shared" si="15289"/>
        <v>0</v>
      </c>
      <c r="EC669" s="513">
        <f t="shared" si="15289"/>
        <v>0</v>
      </c>
      <c r="ED669" s="513">
        <f t="shared" si="15289"/>
        <v>0</v>
      </c>
      <c r="EE669" s="513">
        <f t="shared" si="15289"/>
        <v>0</v>
      </c>
      <c r="EF669" s="513">
        <f t="shared" si="15289"/>
        <v>0</v>
      </c>
      <c r="EG669" s="513">
        <f t="shared" si="15289"/>
        <v>0</v>
      </c>
      <c r="EH669" s="513">
        <f t="shared" ref="EH669:EM669" si="15290">SUM(EH670:EH679)</f>
        <v>0</v>
      </c>
      <c r="EI669" s="513">
        <f t="shared" si="15290"/>
        <v>0</v>
      </c>
      <c r="EJ669" s="513">
        <f t="shared" si="15290"/>
        <v>0</v>
      </c>
      <c r="EK669" s="513">
        <f t="shared" si="15290"/>
        <v>0</v>
      </c>
      <c r="EL669" s="513">
        <f t="shared" si="15290"/>
        <v>0</v>
      </c>
      <c r="EM669" s="513">
        <f t="shared" si="15290"/>
        <v>0</v>
      </c>
      <c r="EN669" s="513">
        <f t="shared" si="15289"/>
        <v>49219</v>
      </c>
      <c r="EO669" s="513">
        <f t="shared" si="15289"/>
        <v>0</v>
      </c>
      <c r="EP669" s="513">
        <f t="shared" si="15289"/>
        <v>0</v>
      </c>
      <c r="EQ669" s="513">
        <f t="shared" si="15289"/>
        <v>0</v>
      </c>
      <c r="ER669" s="513">
        <f t="shared" si="15289"/>
        <v>0</v>
      </c>
      <c r="ES669" s="513">
        <f t="shared" si="15289"/>
        <v>-49219</v>
      </c>
      <c r="ET669" s="513">
        <f t="shared" si="15289"/>
        <v>0</v>
      </c>
      <c r="EU669" s="513">
        <f t="shared" si="15289"/>
        <v>0</v>
      </c>
      <c r="EV669" s="513">
        <f t="shared" ref="EV669:EW669" si="15291">SUM(EV670:EV679)</f>
        <v>0</v>
      </c>
      <c r="EW669" s="513">
        <f t="shared" si="15291"/>
        <v>0</v>
      </c>
      <c r="EX669" s="513">
        <f t="shared" si="15289"/>
        <v>0</v>
      </c>
      <c r="EY669" s="513">
        <f t="shared" si="15289"/>
        <v>0</v>
      </c>
      <c r="EZ669" s="513">
        <f t="shared" si="15289"/>
        <v>0</v>
      </c>
      <c r="FA669" s="513">
        <f t="shared" si="15289"/>
        <v>0</v>
      </c>
      <c r="FB669" s="513">
        <f t="shared" si="15287"/>
        <v>21946</v>
      </c>
      <c r="FC669" s="513">
        <f t="shared" si="15287"/>
        <v>0</v>
      </c>
      <c r="FD669" s="513">
        <f t="shared" si="15287"/>
        <v>0</v>
      </c>
      <c r="FE669" s="513">
        <f t="shared" si="15287"/>
        <v>0</v>
      </c>
      <c r="FF669" s="513">
        <f t="shared" ref="FF669:FG669" si="15292">SUM(FF670:FF679)</f>
        <v>0</v>
      </c>
      <c r="FG669" s="513">
        <f t="shared" si="15292"/>
        <v>0</v>
      </c>
      <c r="FH669" s="513">
        <f t="shared" ref="FH669:FI669" si="15293">SUM(FH670:FH679)</f>
        <v>0</v>
      </c>
      <c r="FI669" s="513">
        <f t="shared" si="15293"/>
        <v>0</v>
      </c>
      <c r="FJ669" s="513">
        <f t="shared" ref="FJ669:FK669" si="15294">SUM(FJ670:FJ679)</f>
        <v>0</v>
      </c>
      <c r="FK669" s="513">
        <f t="shared" si="15294"/>
        <v>0</v>
      </c>
      <c r="FL669" s="513">
        <f t="shared" ref="FL669:FM669" si="15295">SUM(FL670:FL679)</f>
        <v>0</v>
      </c>
      <c r="FM669" s="513">
        <f t="shared" si="15295"/>
        <v>0</v>
      </c>
      <c r="FN669" s="513">
        <f t="shared" ref="FN669:FO669" si="15296">SUM(FN670:FN679)</f>
        <v>0</v>
      </c>
      <c r="FO669" s="513">
        <f t="shared" si="15296"/>
        <v>-8690</v>
      </c>
      <c r="FP669" s="513">
        <f t="shared" ref="FP669:FQ669" si="15297">SUM(FP670:FP679)</f>
        <v>0</v>
      </c>
      <c r="FQ669" s="513">
        <f t="shared" si="15297"/>
        <v>0</v>
      </c>
      <c r="FR669" s="513">
        <f t="shared" ref="FR669:FS669" si="15298">SUM(FR670:FR679)</f>
        <v>0</v>
      </c>
      <c r="FS669" s="513">
        <f t="shared" si="15298"/>
        <v>0</v>
      </c>
      <c r="FT669" s="513">
        <f t="shared" ref="FT669:FU669" si="15299">SUM(FT670:FT679)</f>
        <v>0</v>
      </c>
      <c r="FU669" s="513">
        <f t="shared" si="15299"/>
        <v>0</v>
      </c>
      <c r="FV669" s="513">
        <f t="shared" ref="FV669:GK669" si="15300">SUM(FV670:FV679)</f>
        <v>0</v>
      </c>
      <c r="FW669" s="513">
        <f t="shared" si="15300"/>
        <v>0</v>
      </c>
      <c r="FX669" s="513">
        <f t="shared" si="15300"/>
        <v>0</v>
      </c>
      <c r="FY669" s="513">
        <f t="shared" si="15300"/>
        <v>0</v>
      </c>
      <c r="FZ669" s="513">
        <f t="shared" ref="FZ669:GI669" si="15301">SUM(FZ670:FZ679)</f>
        <v>0</v>
      </c>
      <c r="GA669" s="513">
        <f t="shared" si="15301"/>
        <v>0</v>
      </c>
      <c r="GB669" s="513">
        <f t="shared" si="15301"/>
        <v>0</v>
      </c>
      <c r="GC669" s="513">
        <f t="shared" si="15301"/>
        <v>0</v>
      </c>
      <c r="GD669" s="513">
        <f t="shared" si="15301"/>
        <v>0</v>
      </c>
      <c r="GE669" s="513">
        <f t="shared" si="15301"/>
        <v>0</v>
      </c>
      <c r="GF669" s="513">
        <f t="shared" si="15301"/>
        <v>0</v>
      </c>
      <c r="GG669" s="513">
        <f t="shared" si="15301"/>
        <v>0</v>
      </c>
      <c r="GH669" s="513">
        <f t="shared" si="15301"/>
        <v>0</v>
      </c>
      <c r="GI669" s="513">
        <f t="shared" si="15301"/>
        <v>0</v>
      </c>
      <c r="GJ669" s="513">
        <f t="shared" si="15300"/>
        <v>0</v>
      </c>
      <c r="GK669" s="513">
        <f t="shared" si="15300"/>
        <v>0</v>
      </c>
      <c r="GL669" s="513">
        <f t="shared" ref="GL669:GM669" si="15302">SUM(GL670:GL679)</f>
        <v>0</v>
      </c>
      <c r="GM669" s="513">
        <f t="shared" si="15302"/>
        <v>0</v>
      </c>
      <c r="GN669" s="513">
        <f t="shared" ref="GN669:GO669" si="15303">SUM(GN670:GN679)</f>
        <v>0</v>
      </c>
      <c r="GO669" s="513">
        <f t="shared" si="15303"/>
        <v>0</v>
      </c>
      <c r="GP669" s="513">
        <f>SUM(GP670:GP679)</f>
        <v>849232</v>
      </c>
      <c r="GQ669" s="513">
        <f>SUM(GQ670:GQ679)</f>
        <v>-206787</v>
      </c>
      <c r="GR669" s="513">
        <f t="shared" si="15287"/>
        <v>742445</v>
      </c>
      <c r="GS669" s="513">
        <f t="shared" si="15287"/>
        <v>742445</v>
      </c>
      <c r="GT669" s="513">
        <f t="shared" si="15287"/>
        <v>742445</v>
      </c>
      <c r="GU669" s="513">
        <f t="shared" si="15287"/>
        <v>20000</v>
      </c>
      <c r="GV669" s="513">
        <f t="shared" si="15287"/>
        <v>80000</v>
      </c>
      <c r="GW669" s="513">
        <f t="shared" si="15287"/>
        <v>0</v>
      </c>
      <c r="GX669" s="513">
        <f t="shared" si="15287"/>
        <v>0</v>
      </c>
      <c r="GY669" s="513">
        <f t="shared" si="15287"/>
        <v>0</v>
      </c>
      <c r="GZ669" s="513">
        <f t="shared" si="15287"/>
        <v>0</v>
      </c>
      <c r="HA669" s="513">
        <f t="shared" si="15287"/>
        <v>0</v>
      </c>
      <c r="HB669" s="513">
        <f t="shared" si="15287"/>
        <v>0</v>
      </c>
      <c r="HC669" s="513">
        <f t="shared" si="15287"/>
        <v>0</v>
      </c>
      <c r="HD669" s="513">
        <f t="shared" si="15287"/>
        <v>0</v>
      </c>
      <c r="HE669" s="513">
        <f t="shared" si="15287"/>
        <v>0</v>
      </c>
      <c r="HF669" s="513">
        <f t="shared" ref="HF669:JQ669" si="15304">SUM(HF670:HF679)</f>
        <v>0</v>
      </c>
      <c r="HG669" s="513">
        <f t="shared" si="15304"/>
        <v>742445</v>
      </c>
      <c r="HH669" s="513">
        <f t="shared" ref="HH669:HI669" si="15305">SUM(HH670:HH679)</f>
        <v>0</v>
      </c>
      <c r="HI669" s="827">
        <f t="shared" si="15305"/>
        <v>0</v>
      </c>
      <c r="HJ669" s="513">
        <f t="shared" ref="HJ669:HK669" si="15306">SUM(HJ670:HJ679)</f>
        <v>0</v>
      </c>
      <c r="HK669" s="827">
        <f t="shared" si="15306"/>
        <v>-116132</v>
      </c>
      <c r="HL669" s="513">
        <f t="shared" ref="HL669:HM669" si="15307">SUM(HL670:HL679)</f>
        <v>0</v>
      </c>
      <c r="HM669" s="827">
        <f t="shared" si="15307"/>
        <v>38893.380000000005</v>
      </c>
      <c r="HN669" s="513">
        <f t="shared" ref="HN669:HO669" si="15308">SUM(HN670:HN679)</f>
        <v>0</v>
      </c>
      <c r="HO669" s="827">
        <f t="shared" si="15308"/>
        <v>61694.09</v>
      </c>
      <c r="HP669" s="513">
        <f t="shared" ref="HP669:HQ669" si="15309">SUM(HP670:HP679)</f>
        <v>0</v>
      </c>
      <c r="HQ669" s="827">
        <f t="shared" si="15309"/>
        <v>0</v>
      </c>
      <c r="HR669" s="513">
        <f t="shared" ref="HR669:HS669" si="15310">SUM(HR670:HR679)</f>
        <v>0</v>
      </c>
      <c r="HS669" s="827">
        <f t="shared" si="15310"/>
        <v>0</v>
      </c>
      <c r="HT669" s="513">
        <f t="shared" ref="HT669:HU669" si="15311">SUM(HT670:HT679)</f>
        <v>0</v>
      </c>
      <c r="HU669" s="827">
        <f t="shared" si="15311"/>
        <v>115544.52999999997</v>
      </c>
      <c r="HV669" s="513">
        <f t="shared" ref="HV669:HW669" si="15312">SUM(HV670:HV679)</f>
        <v>0</v>
      </c>
      <c r="HW669" s="827">
        <f t="shared" si="15312"/>
        <v>0</v>
      </c>
      <c r="HX669" s="513">
        <f t="shared" ref="HX669:HY669" si="15313">SUM(HX670:HX679)</f>
        <v>0</v>
      </c>
      <c r="HY669" s="827">
        <f t="shared" si="15313"/>
        <v>0</v>
      </c>
      <c r="HZ669" s="513">
        <f t="shared" ref="HZ669:IA669" si="15314">SUM(HZ670:HZ679)</f>
        <v>0</v>
      </c>
      <c r="IA669" s="827">
        <f t="shared" si="15314"/>
        <v>0</v>
      </c>
      <c r="IB669" s="513">
        <f t="shared" ref="IB669:IC669" si="15315">SUM(IB670:IB679)</f>
        <v>0</v>
      </c>
      <c r="IC669" s="827">
        <f t="shared" si="15315"/>
        <v>0</v>
      </c>
      <c r="ID669" s="513">
        <f t="shared" si="15304"/>
        <v>0</v>
      </c>
      <c r="IE669" s="827">
        <f t="shared" si="15304"/>
        <v>0</v>
      </c>
      <c r="IF669" s="839">
        <f t="shared" si="15304"/>
        <v>259900.25</v>
      </c>
      <c r="IG669" s="513">
        <f t="shared" si="15304"/>
        <v>259900.25</v>
      </c>
      <c r="IH669" s="840">
        <f t="shared" si="15304"/>
        <v>259900.25</v>
      </c>
      <c r="II669" s="513">
        <f t="shared" ref="II669:IK669" si="15316">SUM(II670:II679)</f>
        <v>0</v>
      </c>
      <c r="IJ669" s="513">
        <f t="shared" si="15316"/>
        <v>0</v>
      </c>
      <c r="IK669" s="513">
        <f t="shared" si="15316"/>
        <v>0</v>
      </c>
      <c r="IL669" s="513">
        <f t="shared" ref="IL669:IN669" si="15317">SUM(IL670:IL679)</f>
        <v>0</v>
      </c>
      <c r="IM669" s="513">
        <f t="shared" si="15317"/>
        <v>0</v>
      </c>
      <c r="IN669" s="513">
        <f t="shared" si="15317"/>
        <v>0</v>
      </c>
      <c r="IO669" s="513">
        <f t="shared" ref="IO669:IQ669" si="15318">SUM(IO670:IO679)</f>
        <v>0</v>
      </c>
      <c r="IP669" s="513">
        <f t="shared" si="15318"/>
        <v>0</v>
      </c>
      <c r="IQ669" s="513">
        <f t="shared" si="15318"/>
        <v>0</v>
      </c>
      <c r="IR669" s="513">
        <f t="shared" ref="IR669:IT669" si="15319">SUM(IR670:IR679)</f>
        <v>85496.53</v>
      </c>
      <c r="IS669" s="513">
        <f t="shared" si="15319"/>
        <v>85496.53</v>
      </c>
      <c r="IT669" s="513">
        <f t="shared" si="15319"/>
        <v>85496.53</v>
      </c>
      <c r="IU669" s="513">
        <f t="shared" ref="IU669:IW669" si="15320">SUM(IU670:IU679)</f>
        <v>25586.5</v>
      </c>
      <c r="IV669" s="513">
        <f t="shared" si="15320"/>
        <v>25586.5</v>
      </c>
      <c r="IW669" s="513">
        <f t="shared" si="15320"/>
        <v>25586.5</v>
      </c>
      <c r="IX669" s="513">
        <f t="shared" ref="IX669:IZ669" si="15321">SUM(IX670:IX679)</f>
        <v>0</v>
      </c>
      <c r="IY669" s="513">
        <f t="shared" si="15321"/>
        <v>0</v>
      </c>
      <c r="IZ669" s="513">
        <f t="shared" si="15321"/>
        <v>0</v>
      </c>
      <c r="JA669" s="513">
        <f t="shared" ref="JA669:JC669" si="15322">SUM(JA670:JA679)</f>
        <v>2989</v>
      </c>
      <c r="JB669" s="513">
        <f t="shared" si="15322"/>
        <v>2989</v>
      </c>
      <c r="JC669" s="513">
        <f t="shared" si="15322"/>
        <v>2989</v>
      </c>
      <c r="JD669" s="513">
        <f t="shared" ref="JD669:JF669" si="15323">SUM(JD670:JD679)</f>
        <v>-2989</v>
      </c>
      <c r="JE669" s="513">
        <f t="shared" si="15323"/>
        <v>-2989</v>
      </c>
      <c r="JF669" s="513">
        <f t="shared" si="15323"/>
        <v>-2989</v>
      </c>
      <c r="JG669" s="513">
        <f t="shared" ref="JG669:JI669" si="15324">SUM(JG670:JG679)</f>
        <v>86147.48000000001</v>
      </c>
      <c r="JH669" s="513">
        <f t="shared" si="15324"/>
        <v>86147.48000000001</v>
      </c>
      <c r="JI669" s="513">
        <f t="shared" si="15324"/>
        <v>86147.48000000001</v>
      </c>
      <c r="JJ669" s="513">
        <f t="shared" ref="JJ669:JL669" si="15325">SUM(JJ670:JJ679)</f>
        <v>62669.739999999991</v>
      </c>
      <c r="JK669" s="513">
        <f t="shared" si="15325"/>
        <v>62669.739999999991</v>
      </c>
      <c r="JL669" s="513">
        <f t="shared" si="15325"/>
        <v>62669.739999999991</v>
      </c>
      <c r="JM669" s="513">
        <f t="shared" ref="JM669:JO669" si="15326">SUM(JM670:JM679)</f>
        <v>0</v>
      </c>
      <c r="JN669" s="513">
        <f t="shared" si="15326"/>
        <v>0</v>
      </c>
      <c r="JO669" s="513">
        <f t="shared" si="15326"/>
        <v>0</v>
      </c>
      <c r="JP669" s="513">
        <f t="shared" si="15304"/>
        <v>0</v>
      </c>
      <c r="JQ669" s="513">
        <f t="shared" si="15304"/>
        <v>0</v>
      </c>
      <c r="JR669" s="513">
        <f t="shared" ref="JR669:JT669" si="15327">SUM(JR670:JR679)</f>
        <v>0</v>
      </c>
      <c r="JS669" s="513">
        <f t="shared" si="15327"/>
        <v>482544.75</v>
      </c>
      <c r="JT669" s="382">
        <f t="shared" si="15327"/>
        <v>482544.75</v>
      </c>
      <c r="JU669" s="665"/>
      <c r="JV669" s="524"/>
      <c r="JW669" s="525"/>
      <c r="JX669" s="549">
        <f>SUM(JX670:JX679)</f>
        <v>0</v>
      </c>
      <c r="JY669" s="513">
        <f>SUM(JY670:JY679)</f>
        <v>99999.999999999971</v>
      </c>
      <c r="JZ669" s="513">
        <f>SUM(JZ670:JZ679)</f>
        <v>849232</v>
      </c>
      <c r="KA669" s="513">
        <f>SUM(KA670:KA679)</f>
        <v>-206787</v>
      </c>
      <c r="KB669" s="513">
        <f>SUM(KB670:KB679)</f>
        <v>742445</v>
      </c>
      <c r="KC669" s="709">
        <f t="shared" si="14739"/>
        <v>0</v>
      </c>
      <c r="KD669" s="491"/>
      <c r="KE669" s="491"/>
      <c r="KF669" s="491"/>
      <c r="KG669" s="491"/>
      <c r="KH669" s="36"/>
      <c r="KI669" s="36"/>
      <c r="KJ669" s="36"/>
      <c r="KK669" s="36"/>
    </row>
    <row r="670" spans="1:297" s="10" customFormat="1" ht="12.75" customHeight="1">
      <c r="A670" s="612" t="s">
        <v>1322</v>
      </c>
      <c r="B670" s="512" t="s">
        <v>944</v>
      </c>
      <c r="C670" s="74">
        <v>0</v>
      </c>
      <c r="D670" s="549">
        <v>0</v>
      </c>
      <c r="E670" s="675">
        <v>0</v>
      </c>
      <c r="F670" s="549">
        <v>0</v>
      </c>
      <c r="G670" s="675">
        <v>0</v>
      </c>
      <c r="H670" s="549">
        <v>0</v>
      </c>
      <c r="I670" s="675">
        <v>0</v>
      </c>
      <c r="J670" s="549">
        <v>0</v>
      </c>
      <c r="K670" s="675">
        <v>0</v>
      </c>
      <c r="L670" s="549">
        <v>0</v>
      </c>
      <c r="M670" s="675">
        <v>0</v>
      </c>
      <c r="N670" s="549">
        <v>0</v>
      </c>
      <c r="O670" s="675">
        <v>0</v>
      </c>
      <c r="P670" s="549">
        <v>0</v>
      </c>
      <c r="Q670" s="675">
        <v>0</v>
      </c>
      <c r="R670" s="549">
        <v>0</v>
      </c>
      <c r="S670" s="675">
        <v>0</v>
      </c>
      <c r="T670" s="549">
        <v>0</v>
      </c>
      <c r="U670" s="675">
        <v>0</v>
      </c>
      <c r="V670" s="549">
        <v>0</v>
      </c>
      <c r="W670" s="675">
        <v>0</v>
      </c>
      <c r="X670" s="549">
        <v>0</v>
      </c>
      <c r="Y670" s="675">
        <v>0</v>
      </c>
      <c r="Z670" s="549">
        <v>0</v>
      </c>
      <c r="AA670" s="675">
        <v>0</v>
      </c>
      <c r="AB670" s="549">
        <v>0</v>
      </c>
      <c r="AC670" s="675">
        <v>0</v>
      </c>
      <c r="AD670" s="549">
        <v>0</v>
      </c>
      <c r="AE670" s="675">
        <v>0</v>
      </c>
      <c r="AF670" s="549">
        <v>0</v>
      </c>
      <c r="AG670" s="675">
        <v>0</v>
      </c>
      <c r="AH670" s="549">
        <v>0</v>
      </c>
      <c r="AI670" s="675">
        <v>0</v>
      </c>
      <c r="AJ670" s="549">
        <v>0</v>
      </c>
      <c r="AK670" s="675">
        <v>0</v>
      </c>
      <c r="AL670" s="549">
        <v>0</v>
      </c>
      <c r="AM670" s="675">
        <v>0</v>
      </c>
      <c r="AN670" s="549">
        <v>0</v>
      </c>
      <c r="AO670" s="675">
        <v>0</v>
      </c>
      <c r="AP670" s="549">
        <v>6750</v>
      </c>
      <c r="AQ670" s="675">
        <v>0</v>
      </c>
      <c r="AR670" s="549">
        <v>0</v>
      </c>
      <c r="AS670" s="675">
        <v>0</v>
      </c>
      <c r="AT670" s="549">
        <v>0</v>
      </c>
      <c r="AU670" s="675">
        <v>0</v>
      </c>
      <c r="AV670" s="549">
        <v>0</v>
      </c>
      <c r="AW670" s="675">
        <v>0</v>
      </c>
      <c r="AX670" s="549">
        <v>0</v>
      </c>
      <c r="AY670" s="675">
        <v>0</v>
      </c>
      <c r="AZ670" s="549">
        <v>0</v>
      </c>
      <c r="BA670" s="675">
        <v>0</v>
      </c>
      <c r="BB670" s="549">
        <v>0</v>
      </c>
      <c r="BC670" s="675">
        <v>0</v>
      </c>
      <c r="BD670" s="549">
        <v>0</v>
      </c>
      <c r="BE670" s="675">
        <v>0</v>
      </c>
      <c r="BF670" s="549">
        <v>0</v>
      </c>
      <c r="BG670" s="675">
        <v>0</v>
      </c>
      <c r="BH670" s="549">
        <v>0</v>
      </c>
      <c r="BI670" s="675">
        <v>0</v>
      </c>
      <c r="BJ670" s="549">
        <v>0</v>
      </c>
      <c r="BK670" s="675">
        <v>0</v>
      </c>
      <c r="BL670" s="549">
        <v>0</v>
      </c>
      <c r="BM670" s="675">
        <v>0</v>
      </c>
      <c r="BN670" s="549">
        <v>0</v>
      </c>
      <c r="BO670" s="675">
        <v>0</v>
      </c>
      <c r="BP670" s="549">
        <v>0</v>
      </c>
      <c r="BQ670" s="675">
        <v>0</v>
      </c>
      <c r="BR670" s="549">
        <v>0</v>
      </c>
      <c r="BS670" s="675">
        <v>0</v>
      </c>
      <c r="BT670" s="549">
        <v>0</v>
      </c>
      <c r="BU670" s="675">
        <v>0</v>
      </c>
      <c r="BV670" s="549">
        <v>0</v>
      </c>
      <c r="BW670" s="675">
        <v>0</v>
      </c>
      <c r="BX670" s="549">
        <v>0</v>
      </c>
      <c r="BY670" s="675">
        <v>0</v>
      </c>
      <c r="BZ670" s="549">
        <v>0</v>
      </c>
      <c r="CA670" s="675">
        <v>0</v>
      </c>
      <c r="CB670" s="549">
        <v>0</v>
      </c>
      <c r="CC670" s="675">
        <v>0</v>
      </c>
      <c r="CD670" s="549">
        <v>0</v>
      </c>
      <c r="CE670" s="675">
        <v>0</v>
      </c>
      <c r="CF670" s="549">
        <v>0</v>
      </c>
      <c r="CG670" s="675">
        <v>0</v>
      </c>
      <c r="CH670" s="549">
        <v>0</v>
      </c>
      <c r="CI670" s="675">
        <v>0</v>
      </c>
      <c r="CJ670" s="549">
        <v>0</v>
      </c>
      <c r="CK670" s="675">
        <v>0</v>
      </c>
      <c r="CL670" s="549">
        <v>0</v>
      </c>
      <c r="CM670" s="675">
        <v>0</v>
      </c>
      <c r="CN670" s="549">
        <v>0</v>
      </c>
      <c r="CO670" s="675">
        <v>0</v>
      </c>
      <c r="CP670" s="549">
        <v>0</v>
      </c>
      <c r="CQ670" s="675">
        <v>0</v>
      </c>
      <c r="CR670" s="549">
        <v>0</v>
      </c>
      <c r="CS670" s="675">
        <v>0</v>
      </c>
      <c r="CT670" s="549">
        <v>0</v>
      </c>
      <c r="CU670" s="675">
        <v>-3000</v>
      </c>
      <c r="CV670" s="549">
        <v>0</v>
      </c>
      <c r="CW670" s="675">
        <v>0</v>
      </c>
      <c r="CX670" s="549">
        <v>0</v>
      </c>
      <c r="CY670" s="675">
        <v>0</v>
      </c>
      <c r="CZ670" s="549">
        <v>0</v>
      </c>
      <c r="DA670" s="675">
        <v>0</v>
      </c>
      <c r="DB670" s="549">
        <v>0</v>
      </c>
      <c r="DC670" s="675">
        <v>0</v>
      </c>
      <c r="DD670" s="549">
        <v>0</v>
      </c>
      <c r="DE670" s="675">
        <v>0</v>
      </c>
      <c r="DF670" s="549">
        <v>0</v>
      </c>
      <c r="DG670" s="675">
        <v>0</v>
      </c>
      <c r="DH670" s="549">
        <v>0</v>
      </c>
      <c r="DI670" s="675">
        <v>0</v>
      </c>
      <c r="DJ670" s="549">
        <v>0</v>
      </c>
      <c r="DK670" s="675">
        <v>0</v>
      </c>
      <c r="DL670" s="549">
        <v>0</v>
      </c>
      <c r="DM670" s="675">
        <v>0</v>
      </c>
      <c r="DN670" s="549">
        <v>0</v>
      </c>
      <c r="DO670" s="675">
        <v>0</v>
      </c>
      <c r="DP670" s="549">
        <v>0</v>
      </c>
      <c r="DQ670" s="675">
        <v>0</v>
      </c>
      <c r="DR670" s="549">
        <v>0</v>
      </c>
      <c r="DS670" s="675">
        <v>0</v>
      </c>
      <c r="DT670" s="549">
        <v>0</v>
      </c>
      <c r="DU670" s="675">
        <v>0</v>
      </c>
      <c r="DV670" s="549">
        <v>0</v>
      </c>
      <c r="DW670" s="675">
        <v>0</v>
      </c>
      <c r="DX670" s="549">
        <v>0</v>
      </c>
      <c r="DY670" s="675">
        <v>0</v>
      </c>
      <c r="DZ670" s="549">
        <v>0</v>
      </c>
      <c r="EA670" s="675">
        <v>0</v>
      </c>
      <c r="EB670" s="549">
        <v>0</v>
      </c>
      <c r="EC670" s="675">
        <v>0</v>
      </c>
      <c r="ED670" s="549">
        <v>0</v>
      </c>
      <c r="EE670" s="675">
        <v>0</v>
      </c>
      <c r="EF670" s="549">
        <v>0</v>
      </c>
      <c r="EG670" s="675">
        <v>0</v>
      </c>
      <c r="EH670" s="549">
        <v>0</v>
      </c>
      <c r="EI670" s="675">
        <v>0</v>
      </c>
      <c r="EJ670" s="549">
        <v>0</v>
      </c>
      <c r="EK670" s="675">
        <v>0</v>
      </c>
      <c r="EL670" s="549">
        <v>0</v>
      </c>
      <c r="EM670" s="675">
        <v>0</v>
      </c>
      <c r="EN670" s="549">
        <v>0</v>
      </c>
      <c r="EO670" s="675">
        <v>0</v>
      </c>
      <c r="EP670" s="549">
        <v>0</v>
      </c>
      <c r="EQ670" s="675">
        <v>0</v>
      </c>
      <c r="ER670" s="549">
        <v>0</v>
      </c>
      <c r="ES670" s="675">
        <v>0</v>
      </c>
      <c r="ET670" s="549">
        <v>0</v>
      </c>
      <c r="EU670" s="675">
        <v>0</v>
      </c>
      <c r="EV670" s="549">
        <v>0</v>
      </c>
      <c r="EW670" s="675">
        <v>0</v>
      </c>
      <c r="EX670" s="549">
        <v>0</v>
      </c>
      <c r="EY670" s="675">
        <v>0</v>
      </c>
      <c r="EZ670" s="549">
        <v>0</v>
      </c>
      <c r="FA670" s="675">
        <v>0</v>
      </c>
      <c r="FB670" s="549">
        <v>0</v>
      </c>
      <c r="FC670" s="675">
        <v>0</v>
      </c>
      <c r="FD670" s="549">
        <v>0</v>
      </c>
      <c r="FE670" s="675">
        <v>0</v>
      </c>
      <c r="FF670" s="549">
        <v>0</v>
      </c>
      <c r="FG670" s="675">
        <v>0</v>
      </c>
      <c r="FH670" s="549">
        <v>0</v>
      </c>
      <c r="FI670" s="675">
        <v>0</v>
      </c>
      <c r="FJ670" s="549">
        <v>0</v>
      </c>
      <c r="FK670" s="675">
        <v>0</v>
      </c>
      <c r="FL670" s="549">
        <v>0</v>
      </c>
      <c r="FM670" s="675">
        <v>0</v>
      </c>
      <c r="FN670" s="549">
        <v>0</v>
      </c>
      <c r="FO670" s="675">
        <v>-3750</v>
      </c>
      <c r="FP670" s="549">
        <v>0</v>
      </c>
      <c r="FQ670" s="675">
        <v>0</v>
      </c>
      <c r="FR670" s="549">
        <v>0</v>
      </c>
      <c r="FS670" s="675">
        <v>0</v>
      </c>
      <c r="FT670" s="549">
        <v>0</v>
      </c>
      <c r="FU670" s="675">
        <v>0</v>
      </c>
      <c r="FV670" s="549">
        <v>0</v>
      </c>
      <c r="FW670" s="675">
        <v>0</v>
      </c>
      <c r="FX670" s="549">
        <v>0</v>
      </c>
      <c r="FY670" s="675">
        <v>0</v>
      </c>
      <c r="FZ670" s="549">
        <v>0</v>
      </c>
      <c r="GA670" s="675">
        <v>0</v>
      </c>
      <c r="GB670" s="549">
        <v>0</v>
      </c>
      <c r="GC670" s="675">
        <v>0</v>
      </c>
      <c r="GD670" s="549">
        <v>0</v>
      </c>
      <c r="GE670" s="675">
        <v>0</v>
      </c>
      <c r="GF670" s="549">
        <v>0</v>
      </c>
      <c r="GG670" s="675">
        <v>0</v>
      </c>
      <c r="GH670" s="549">
        <v>0</v>
      </c>
      <c r="GI670" s="675">
        <v>0</v>
      </c>
      <c r="GJ670" s="549">
        <v>0</v>
      </c>
      <c r="GK670" s="675">
        <v>0</v>
      </c>
      <c r="GL670" s="549">
        <v>0</v>
      </c>
      <c r="GM670" s="675">
        <v>0</v>
      </c>
      <c r="GN670" s="549">
        <v>0</v>
      </c>
      <c r="GO670" s="675">
        <v>0</v>
      </c>
      <c r="GP670" s="549">
        <f>+D670+F670+H670+J670+L670+N670+P670+R670+T670+V670+X670+Z670+AB670+AD670+AH670+AJ670+AL670+AN670+AP670+AR670+AT670+AV670+AX670+AZ670+BB670+BD670+BF670+BH670+BJ670+BL670+BN670+BP670+BR670+BT670+BV670+BX670+BZ670+CB670+CD670+CF670+CH670+CJ670+CL670+CN670+CP670+CR670+CT670+CV670+CX670+CZ670+DB670+DD670+DF670+DH670+DT670+EX670+DJ670+DL670+DN670+DP670+DR670+EJ670+EB670+DZ670+DX670+DV670+ED670+EF670+EH670+EL670+EN670+EP670+EV670+ET670+ER670+EZ670+FB670+FD670+GL670+FF670+FJ670+FL670+GJ670+FT670+FR670+FP670+FN670+FH670</f>
        <v>6750</v>
      </c>
      <c r="GQ670" s="675">
        <f>+E670+G670+I670+K670+M670+O670+Q670+S670+U670+W670+Y670+AA670+AC670+AE670+AI670+AK670+AM670+AO670+AQ670+AS670+AU670+AW670+AY670+BA670+BC670+BE670+BG670+BI670+BK670+BM670+BO670+BQ670+BS670+BU670+BW670+BY670+CA670+CC670+CE670+CG670+CI670+CK670+CM670+CO670+CQ670+CS670+CU670+CW670+CY670+DA670+DC670+DE670+DG670+DI670+DU670+EY670+DK670+DM670+DO670+DQ670+DS670+EK670+EC670+EA670+DY670+DW670+EI670+EG670+EE670+EM670+EO670+EQ670+EW670+EU670+ES670+FA670+FC670+FE670+GM670+FG670+FK670+FM670+FO670+FQ670+FS670+FU670+GK670+FI670</f>
        <v>-6750</v>
      </c>
      <c r="GR670" s="74">
        <f t="shared" ref="GR670:GR679" si="15328">C670+GP670+GQ670</f>
        <v>0</v>
      </c>
      <c r="GS670" s="74">
        <f t="shared" ref="GS670:GS679" si="15329">SUM(GU670:HD670)+GP670+GQ670</f>
        <v>0</v>
      </c>
      <c r="GT670" s="568">
        <f t="shared" ref="GT670:GT679" si="15330">SUM(GU670:HF670)+GQ670+GP670</f>
        <v>0</v>
      </c>
      <c r="GU670" s="275">
        <v>0</v>
      </c>
      <c r="GV670" s="275">
        <v>0</v>
      </c>
      <c r="GW670" s="275">
        <v>0</v>
      </c>
      <c r="GX670" s="275">
        <v>0</v>
      </c>
      <c r="GY670" s="275">
        <v>0</v>
      </c>
      <c r="GZ670" s="275">
        <v>0</v>
      </c>
      <c r="HA670" s="275">
        <v>0</v>
      </c>
      <c r="HB670" s="275">
        <v>0</v>
      </c>
      <c r="HC670" s="275">
        <v>0</v>
      </c>
      <c r="HD670" s="275">
        <v>0</v>
      </c>
      <c r="HE670" s="275">
        <v>0</v>
      </c>
      <c r="HF670" s="275">
        <v>0</v>
      </c>
      <c r="HG670" s="74">
        <f>SUM(HH670:IE670)+GP670+GQ670</f>
        <v>0</v>
      </c>
      <c r="HH670" s="275">
        <v>0</v>
      </c>
      <c r="HI670" s="322">
        <v>0</v>
      </c>
      <c r="HJ670" s="275">
        <v>0</v>
      </c>
      <c r="HK670" s="322">
        <v>0</v>
      </c>
      <c r="HL670" s="275">
        <v>0</v>
      </c>
      <c r="HM670" s="322">
        <v>0</v>
      </c>
      <c r="HN670" s="275">
        <v>0</v>
      </c>
      <c r="HO670" s="322">
        <v>0</v>
      </c>
      <c r="HP670" s="275">
        <v>0</v>
      </c>
      <c r="HQ670" s="322">
        <v>0</v>
      </c>
      <c r="HR670" s="275">
        <v>0</v>
      </c>
      <c r="HS670" s="322">
        <v>0</v>
      </c>
      <c r="HT670" s="275">
        <v>0</v>
      </c>
      <c r="HU670" s="322">
        <v>0</v>
      </c>
      <c r="HV670" s="275">
        <v>0</v>
      </c>
      <c r="HW670" s="322">
        <v>0</v>
      </c>
      <c r="HX670" s="275">
        <v>0</v>
      </c>
      <c r="HY670" s="322">
        <v>0</v>
      </c>
      <c r="HZ670" s="275">
        <v>0</v>
      </c>
      <c r="IA670" s="322">
        <v>0</v>
      </c>
      <c r="IB670" s="275">
        <v>0</v>
      </c>
      <c r="IC670" s="322">
        <v>0</v>
      </c>
      <c r="ID670" s="275">
        <v>0</v>
      </c>
      <c r="IE670" s="322">
        <v>0</v>
      </c>
      <c r="IF670" s="841">
        <f t="shared" ref="IF670:IF679" si="15331">SUM(II670,IL670,IO670,IR670,IU670,IX670,JA670,JD670,JG670,JJ670,JM670,JP670)</f>
        <v>0</v>
      </c>
      <c r="IG670" s="263">
        <f t="shared" ref="IG670:IG679" si="15332">SUM(IJ670,IM670,IP670,IS670,IV670,IY670,JB670,JE670,JH670,JK670,JN670,JQ670)</f>
        <v>0</v>
      </c>
      <c r="IH670" s="842">
        <f t="shared" ref="IH670:IH679" si="15333">SUM(IK670,IN670,IQ670,IT670,IW670,IZ670,JC670,JF670,JI670,JL670,JO670,JR670)</f>
        <v>0</v>
      </c>
      <c r="II670" s="89">
        <v>0</v>
      </c>
      <c r="IJ670" s="89">
        <f t="shared" ref="IJ670" si="15334">II670</f>
        <v>0</v>
      </c>
      <c r="IK670" s="89">
        <f t="shared" ref="IK670" si="15335">IJ670</f>
        <v>0</v>
      </c>
      <c r="IL670" s="89">
        <v>0</v>
      </c>
      <c r="IM670" s="89">
        <f t="shared" ref="IM670" si="15336">IL670</f>
        <v>0</v>
      </c>
      <c r="IN670" s="89">
        <f t="shared" ref="IN670" si="15337">IM670</f>
        <v>0</v>
      </c>
      <c r="IO670" s="89">
        <v>0</v>
      </c>
      <c r="IP670" s="89">
        <f t="shared" ref="IP670" si="15338">IO670</f>
        <v>0</v>
      </c>
      <c r="IQ670" s="89">
        <f t="shared" ref="IQ670" si="15339">IP670</f>
        <v>0</v>
      </c>
      <c r="IR670" s="89">
        <v>0</v>
      </c>
      <c r="IS670" s="89">
        <f t="shared" ref="IS670" si="15340">IR670</f>
        <v>0</v>
      </c>
      <c r="IT670" s="89">
        <f t="shared" ref="IT670" si="15341">IS670</f>
        <v>0</v>
      </c>
      <c r="IU670" s="89">
        <v>0</v>
      </c>
      <c r="IV670" s="89">
        <f t="shared" ref="IV670" si="15342">IU670</f>
        <v>0</v>
      </c>
      <c r="IW670" s="89">
        <f t="shared" ref="IW670" si="15343">IV670</f>
        <v>0</v>
      </c>
      <c r="IX670" s="89">
        <v>0</v>
      </c>
      <c r="IY670" s="89">
        <f t="shared" ref="IY670" si="15344">IX670</f>
        <v>0</v>
      </c>
      <c r="IZ670" s="89">
        <f t="shared" ref="IZ670" si="15345">IY670</f>
        <v>0</v>
      </c>
      <c r="JA670" s="89">
        <v>0</v>
      </c>
      <c r="JB670" s="89">
        <f t="shared" ref="JB670" si="15346">JA670</f>
        <v>0</v>
      </c>
      <c r="JC670" s="89">
        <f t="shared" ref="JC670" si="15347">JB670</f>
        <v>0</v>
      </c>
      <c r="JD670" s="89">
        <v>0</v>
      </c>
      <c r="JE670" s="89">
        <f t="shared" ref="JE670" si="15348">JD670</f>
        <v>0</v>
      </c>
      <c r="JF670" s="89">
        <f t="shared" ref="JF670" si="15349">JE670</f>
        <v>0</v>
      </c>
      <c r="JG670" s="89">
        <v>0</v>
      </c>
      <c r="JH670" s="89">
        <f t="shared" ref="JH670" si="15350">JG670</f>
        <v>0</v>
      </c>
      <c r="JI670" s="89">
        <f t="shared" ref="JI670" si="15351">JH670</f>
        <v>0</v>
      </c>
      <c r="JJ670" s="89">
        <v>0</v>
      </c>
      <c r="JK670" s="89">
        <f t="shared" ref="JK670" si="15352">JJ670</f>
        <v>0</v>
      </c>
      <c r="JL670" s="89">
        <f t="shared" ref="JL670" si="15353">JK670</f>
        <v>0</v>
      </c>
      <c r="JM670" s="89">
        <v>0</v>
      </c>
      <c r="JN670" s="89">
        <f t="shared" ref="JN670" si="15354">JM670</f>
        <v>0</v>
      </c>
      <c r="JO670" s="89">
        <f t="shared" ref="JO670" si="15355">JN670</f>
        <v>0</v>
      </c>
      <c r="JP670" s="89">
        <v>0</v>
      </c>
      <c r="JQ670" s="89">
        <f t="shared" ref="JQ670:JR670" si="15356">JP670</f>
        <v>0</v>
      </c>
      <c r="JR670" s="89">
        <f t="shared" si="15356"/>
        <v>0</v>
      </c>
      <c r="JS670" s="74">
        <f t="shared" ref="JS670:JS678" si="15357">HG670-IF670</f>
        <v>0</v>
      </c>
      <c r="JT670" s="382">
        <f t="shared" ref="JT670:JT678" si="15358">GS670-IF670</f>
        <v>0</v>
      </c>
      <c r="JU670" s="665"/>
      <c r="JV670" s="524"/>
      <c r="JW670" s="525"/>
      <c r="JX670" s="549">
        <f>SUM(HH670,HJ670,HL670,HN670,HP670,HR670,HT670,HV670,HX670,HZ670,IB670,ID670)</f>
        <v>0</v>
      </c>
      <c r="JY670" s="549">
        <f t="shared" si="15269"/>
        <v>0</v>
      </c>
      <c r="JZ670" s="581">
        <f t="shared" si="14740"/>
        <v>6750</v>
      </c>
      <c r="KA670" s="581">
        <f t="shared" si="14741"/>
        <v>-6750</v>
      </c>
      <c r="KB670" s="566">
        <f t="shared" ref="KB670:KB673" si="15359">SUM(JX670:KA670)</f>
        <v>0</v>
      </c>
      <c r="KC670" s="709">
        <f t="shared" si="14739"/>
        <v>0</v>
      </c>
      <c r="KD670" s="491"/>
      <c r="KE670" s="491"/>
      <c r="KF670" s="491"/>
      <c r="KG670" s="491"/>
      <c r="KH670" s="36"/>
      <c r="KI670" s="36"/>
      <c r="KJ670" s="36"/>
      <c r="KK670" s="36"/>
    </row>
    <row r="671" spans="1:297" s="10" customFormat="1">
      <c r="A671" s="612" t="s">
        <v>1323</v>
      </c>
      <c r="B671" s="512"/>
      <c r="C671" s="74">
        <v>0</v>
      </c>
      <c r="D671" s="549"/>
      <c r="E671" s="675"/>
      <c r="F671" s="549"/>
      <c r="G671" s="675"/>
      <c r="H671" s="549"/>
      <c r="I671" s="675"/>
      <c r="J671" s="549"/>
      <c r="K671" s="675"/>
      <c r="L671" s="549"/>
      <c r="M671" s="675"/>
      <c r="N671" s="549"/>
      <c r="O671" s="675"/>
      <c r="P671" s="549"/>
      <c r="Q671" s="675"/>
      <c r="R671" s="549"/>
      <c r="S671" s="675"/>
      <c r="T671" s="549"/>
      <c r="U671" s="675"/>
      <c r="V671" s="549"/>
      <c r="W671" s="675"/>
      <c r="X671" s="549"/>
      <c r="Y671" s="675"/>
      <c r="Z671" s="549"/>
      <c r="AA671" s="675"/>
      <c r="AB671" s="549"/>
      <c r="AC671" s="675"/>
      <c r="AD671" s="549"/>
      <c r="AE671" s="675"/>
      <c r="AF671" s="549"/>
      <c r="AG671" s="675"/>
      <c r="AH671" s="549"/>
      <c r="AI671" s="675"/>
      <c r="AJ671" s="549"/>
      <c r="AK671" s="675"/>
      <c r="AL671" s="549"/>
      <c r="AM671" s="675"/>
      <c r="AN671" s="549"/>
      <c r="AO671" s="675"/>
      <c r="AP671" s="549">
        <v>2900</v>
      </c>
      <c r="AQ671" s="675"/>
      <c r="AR671" s="549"/>
      <c r="AS671" s="675"/>
      <c r="AT671" s="549"/>
      <c r="AU671" s="675"/>
      <c r="AV671" s="549"/>
      <c r="AW671" s="675"/>
      <c r="AX671" s="549">
        <v>0</v>
      </c>
      <c r="AY671" s="675">
        <v>0</v>
      </c>
      <c r="AZ671" s="549"/>
      <c r="BA671" s="675"/>
      <c r="BB671" s="549"/>
      <c r="BC671" s="675"/>
      <c r="BD671" s="549"/>
      <c r="BE671" s="675"/>
      <c r="BF671" s="549"/>
      <c r="BG671" s="675"/>
      <c r="BH671" s="549"/>
      <c r="BI671" s="675"/>
      <c r="BJ671" s="549"/>
      <c r="BK671" s="675"/>
      <c r="BL671" s="549"/>
      <c r="BM671" s="675"/>
      <c r="BN671" s="549"/>
      <c r="BO671" s="675"/>
      <c r="BP671" s="549"/>
      <c r="BQ671" s="675"/>
      <c r="BR671" s="549">
        <v>0</v>
      </c>
      <c r="BS671" s="675">
        <v>0</v>
      </c>
      <c r="BT671" s="549"/>
      <c r="BU671" s="675"/>
      <c r="BV671" s="549"/>
      <c r="BW671" s="675"/>
      <c r="BX671" s="549"/>
      <c r="BY671" s="675"/>
      <c r="BZ671" s="549"/>
      <c r="CA671" s="675"/>
      <c r="CB671" s="549"/>
      <c r="CC671" s="675"/>
      <c r="CD671" s="549"/>
      <c r="CE671" s="675"/>
      <c r="CF671" s="549"/>
      <c r="CG671" s="675"/>
      <c r="CH671" s="549"/>
      <c r="CI671" s="675"/>
      <c r="CJ671" s="549"/>
      <c r="CK671" s="675"/>
      <c r="CL671" s="549"/>
      <c r="CM671" s="675"/>
      <c r="CN671" s="549"/>
      <c r="CO671" s="675"/>
      <c r="CP671" s="549"/>
      <c r="CQ671" s="675"/>
      <c r="CR671" s="549"/>
      <c r="CS671" s="675"/>
      <c r="CT671" s="549"/>
      <c r="CU671" s="675"/>
      <c r="CV671" s="549"/>
      <c r="CW671" s="675"/>
      <c r="CX671" s="549"/>
      <c r="CY671" s="675"/>
      <c r="CZ671" s="549"/>
      <c r="DA671" s="675"/>
      <c r="DB671" s="549"/>
      <c r="DC671" s="675"/>
      <c r="DD671" s="549">
        <v>0</v>
      </c>
      <c r="DE671" s="675">
        <v>0</v>
      </c>
      <c r="DF671" s="549">
        <v>0</v>
      </c>
      <c r="DG671" s="675">
        <v>0</v>
      </c>
      <c r="DH671" s="549">
        <v>0</v>
      </c>
      <c r="DI671" s="675">
        <v>0</v>
      </c>
      <c r="DJ671" s="549">
        <v>0</v>
      </c>
      <c r="DK671" s="675">
        <v>0</v>
      </c>
      <c r="DL671" s="549">
        <v>0</v>
      </c>
      <c r="DM671" s="675">
        <v>0</v>
      </c>
      <c r="DN671" s="549">
        <v>0</v>
      </c>
      <c r="DO671" s="675">
        <v>0</v>
      </c>
      <c r="DP671" s="549">
        <v>0</v>
      </c>
      <c r="DQ671" s="675">
        <v>0</v>
      </c>
      <c r="DR671" s="549">
        <v>0</v>
      </c>
      <c r="DS671" s="675">
        <v>0</v>
      </c>
      <c r="DT671" s="549">
        <v>0</v>
      </c>
      <c r="DU671" s="675">
        <v>0</v>
      </c>
      <c r="DV671" s="549">
        <v>0</v>
      </c>
      <c r="DW671" s="675">
        <v>0</v>
      </c>
      <c r="DX671" s="549">
        <v>0</v>
      </c>
      <c r="DY671" s="675">
        <v>0</v>
      </c>
      <c r="DZ671" s="549">
        <v>0</v>
      </c>
      <c r="EA671" s="675">
        <v>-2900</v>
      </c>
      <c r="EB671" s="549">
        <v>0</v>
      </c>
      <c r="EC671" s="675">
        <v>0</v>
      </c>
      <c r="ED671" s="549">
        <v>0</v>
      </c>
      <c r="EE671" s="675">
        <v>0</v>
      </c>
      <c r="EF671" s="549">
        <v>0</v>
      </c>
      <c r="EG671" s="675">
        <v>0</v>
      </c>
      <c r="EH671" s="549">
        <v>0</v>
      </c>
      <c r="EI671" s="675">
        <v>0</v>
      </c>
      <c r="EJ671" s="549">
        <v>0</v>
      </c>
      <c r="EK671" s="675">
        <v>0</v>
      </c>
      <c r="EL671" s="549">
        <v>0</v>
      </c>
      <c r="EM671" s="675">
        <v>0</v>
      </c>
      <c r="EN671" s="549">
        <v>0</v>
      </c>
      <c r="EO671" s="675">
        <v>0</v>
      </c>
      <c r="EP671" s="549">
        <v>0</v>
      </c>
      <c r="EQ671" s="675">
        <v>0</v>
      </c>
      <c r="ER671" s="549">
        <v>0</v>
      </c>
      <c r="ES671" s="675">
        <v>0</v>
      </c>
      <c r="ET671" s="549">
        <v>0</v>
      </c>
      <c r="EU671" s="675">
        <v>0</v>
      </c>
      <c r="EV671" s="549">
        <v>0</v>
      </c>
      <c r="EW671" s="675">
        <v>0</v>
      </c>
      <c r="EX671" s="549">
        <v>0</v>
      </c>
      <c r="EY671" s="675">
        <v>0</v>
      </c>
      <c r="EZ671" s="549">
        <v>0</v>
      </c>
      <c r="FA671" s="675">
        <v>0</v>
      </c>
      <c r="FB671" s="549">
        <v>0</v>
      </c>
      <c r="FC671" s="675">
        <v>0</v>
      </c>
      <c r="FD671" s="549">
        <v>0</v>
      </c>
      <c r="FE671" s="675">
        <v>0</v>
      </c>
      <c r="FF671" s="549">
        <v>0</v>
      </c>
      <c r="FG671" s="675">
        <v>0</v>
      </c>
      <c r="FH671" s="549">
        <v>0</v>
      </c>
      <c r="FI671" s="675">
        <v>0</v>
      </c>
      <c r="FJ671" s="549">
        <v>0</v>
      </c>
      <c r="FK671" s="675">
        <v>0</v>
      </c>
      <c r="FL671" s="549">
        <v>0</v>
      </c>
      <c r="FM671" s="675">
        <v>0</v>
      </c>
      <c r="FN671" s="549">
        <v>0</v>
      </c>
      <c r="FO671" s="675">
        <v>0</v>
      </c>
      <c r="FP671" s="549">
        <v>0</v>
      </c>
      <c r="FQ671" s="675">
        <v>0</v>
      </c>
      <c r="FR671" s="549">
        <v>0</v>
      </c>
      <c r="FS671" s="675">
        <v>0</v>
      </c>
      <c r="FT671" s="549">
        <v>0</v>
      </c>
      <c r="FU671" s="675">
        <v>0</v>
      </c>
      <c r="FV671" s="549">
        <v>0</v>
      </c>
      <c r="FW671" s="675">
        <v>0</v>
      </c>
      <c r="FX671" s="549">
        <v>0</v>
      </c>
      <c r="FY671" s="675">
        <v>0</v>
      </c>
      <c r="FZ671" s="549">
        <v>0</v>
      </c>
      <c r="GA671" s="675">
        <v>0</v>
      </c>
      <c r="GB671" s="549">
        <v>0</v>
      </c>
      <c r="GC671" s="675">
        <v>0</v>
      </c>
      <c r="GD671" s="549">
        <v>0</v>
      </c>
      <c r="GE671" s="675">
        <v>0</v>
      </c>
      <c r="GF671" s="549">
        <v>0</v>
      </c>
      <c r="GG671" s="675">
        <v>0</v>
      </c>
      <c r="GH671" s="549">
        <v>0</v>
      </c>
      <c r="GI671" s="675">
        <v>0</v>
      </c>
      <c r="GJ671" s="549">
        <v>0</v>
      </c>
      <c r="GK671" s="675">
        <v>0</v>
      </c>
      <c r="GL671" s="549">
        <v>0</v>
      </c>
      <c r="GM671" s="675">
        <v>0</v>
      </c>
      <c r="GN671" s="549">
        <v>0</v>
      </c>
      <c r="GO671" s="675">
        <v>0</v>
      </c>
      <c r="GP671" s="549">
        <f t="shared" ref="GP671:GP679" si="15360">+D671+F671+H671+J671+L671+N671+P671+R671+T671+V671+X671+Z671+AB671+AF671+AD671+AH671+AJ671+AL671+AN671+AP671+AR671+AT671+AV671+AX671+AZ671+BB671+BD671+BF671+BH671+BJ671+BL671+BN671+BP671+BR671+BT671+BV671+BX671+BZ671+CB671+CD671+CF671+CH671+CJ671+CL671+CN671+CP671+CR671+CT671+CV671+CX671+CZ671+DB671+DD671+DF671+DH671+DT671+EX671+DJ671+DL671+DN671+DP671+DR671+EJ671+EB671+DZ671+DX671+DV671+ED671+EF671+EH671+EL671+EN671+EP671+EV671+ET671+ER671+EZ671+FB671+FD671+GL671+FF671+FJ671+FL671+GJ671+FT671+FR671+FP671+FN671+FH671+GH671+GF671+GD671+GB671+FZ671+FX671+FV671+GN671</f>
        <v>2900</v>
      </c>
      <c r="GQ671" s="675">
        <f t="shared" ref="GQ671:GQ679" si="15361">+E671+G671+I671+K671+M671+O671+Q671+S671+U671+W671+Y671+AA671+AC671+AE671+AG671+AI671+AK671+AM671+AO671+AQ671+AS671+AU671+AW671+AY671+BA671+BC671+BE671+BG671+BI671+BK671+BM671+BO671+BQ671+BS671+BU671+BW671+BY671+CA671+CC671+CE671+CG671+CI671+CK671+CM671+CO671+CQ671+CS671+CU671+CW671+CY671+DA671+DC671+DE671+DG671+DI671+DU671+EY671+DK671+DM671+DO671+DQ671+DS671+EK671+EC671+EA671+DY671+DW671+EI671+EG671+EE671+EM671+EO671+EQ671+EW671+EU671+ES671+FA671+FC671+FE671+GM671+FG671+FK671+FM671+FO671+FQ671+FS671+FU671+GK671+FI671+GI671+GG671+GE671+GC671+GA671+FY671+FW671+GO671</f>
        <v>-2900</v>
      </c>
      <c r="GR671" s="74">
        <f t="shared" si="15328"/>
        <v>0</v>
      </c>
      <c r="GS671" s="74">
        <f t="shared" si="15329"/>
        <v>0</v>
      </c>
      <c r="GT671" s="568">
        <f t="shared" ref="GT671" si="15362">SUM(GU671:HF671)+GQ671+GP671</f>
        <v>0</v>
      </c>
      <c r="GU671" s="275">
        <v>0</v>
      </c>
      <c r="GV671" s="275">
        <v>0</v>
      </c>
      <c r="GW671" s="275">
        <v>0</v>
      </c>
      <c r="GX671" s="275">
        <v>0</v>
      </c>
      <c r="GY671" s="275">
        <v>0</v>
      </c>
      <c r="GZ671" s="275">
        <v>0</v>
      </c>
      <c r="HA671" s="275">
        <v>0</v>
      </c>
      <c r="HB671" s="275">
        <v>0</v>
      </c>
      <c r="HC671" s="275">
        <v>0</v>
      </c>
      <c r="HD671" s="275">
        <v>0</v>
      </c>
      <c r="HE671" s="275">
        <v>0</v>
      </c>
      <c r="HF671" s="275">
        <v>0</v>
      </c>
      <c r="HG671" s="74">
        <f>SUM(HH671:IE671)+GP671+GQ671</f>
        <v>0</v>
      </c>
      <c r="HH671" s="275"/>
      <c r="HI671" s="322"/>
      <c r="HJ671" s="275"/>
      <c r="HK671" s="322"/>
      <c r="HL671" s="275"/>
      <c r="HM671" s="322"/>
      <c r="HN671" s="275">
        <v>0</v>
      </c>
      <c r="HO671" s="322">
        <v>0</v>
      </c>
      <c r="HP671" s="275"/>
      <c r="HQ671" s="322"/>
      <c r="HR671" s="275"/>
      <c r="HS671" s="322"/>
      <c r="HT671" s="275">
        <v>0</v>
      </c>
      <c r="HU671" s="322">
        <v>0</v>
      </c>
      <c r="HV671" s="275"/>
      <c r="HW671" s="322"/>
      <c r="HX671" s="275"/>
      <c r="HY671" s="322"/>
      <c r="HZ671" s="275"/>
      <c r="IA671" s="322"/>
      <c r="IB671" s="275"/>
      <c r="IC671" s="322"/>
      <c r="ID671" s="275"/>
      <c r="IE671" s="322"/>
      <c r="IF671" s="841">
        <f t="shared" ref="IF671" si="15363">SUM(II671,IL671,IO671,IR671,IU671,IX671,JA671,JD671,JG671,JJ671,JM671,JP671)</f>
        <v>0</v>
      </c>
      <c r="IG671" s="263">
        <f t="shared" ref="IG671" si="15364">SUM(IJ671,IM671,IP671,IS671,IV671,IY671,JB671,JE671,JH671,JK671,JN671,JQ671)</f>
        <v>0</v>
      </c>
      <c r="IH671" s="842">
        <f t="shared" ref="IH671" si="15365">SUM(IK671,IN671,IQ671,IT671,IW671,IZ671,JC671,JF671,JI671,JL671,JO671,JR671)</f>
        <v>0</v>
      </c>
      <c r="II671" s="89">
        <v>0</v>
      </c>
      <c r="IJ671" s="89">
        <v>0</v>
      </c>
      <c r="IK671" s="89">
        <v>0</v>
      </c>
      <c r="IL671" s="89">
        <v>0</v>
      </c>
      <c r="IM671" s="89">
        <v>0</v>
      </c>
      <c r="IN671" s="89">
        <v>0</v>
      </c>
      <c r="IO671" s="89">
        <v>0</v>
      </c>
      <c r="IP671" s="89">
        <v>0</v>
      </c>
      <c r="IQ671" s="89">
        <v>0</v>
      </c>
      <c r="IR671" s="89">
        <v>0</v>
      </c>
      <c r="IS671" s="89">
        <v>0</v>
      </c>
      <c r="IT671" s="89">
        <v>0</v>
      </c>
      <c r="IU671" s="89">
        <v>0</v>
      </c>
      <c r="IV671" s="89">
        <v>0</v>
      </c>
      <c r="IW671" s="89">
        <v>0</v>
      </c>
      <c r="IX671" s="89">
        <v>0</v>
      </c>
      <c r="IY671" s="89">
        <v>0</v>
      </c>
      <c r="IZ671" s="89">
        <v>0</v>
      </c>
      <c r="JA671" s="89">
        <v>0</v>
      </c>
      <c r="JB671" s="89">
        <v>0</v>
      </c>
      <c r="JC671" s="89">
        <v>0</v>
      </c>
      <c r="JD671" s="89">
        <v>0</v>
      </c>
      <c r="JE671" s="89">
        <v>0</v>
      </c>
      <c r="JF671" s="89">
        <v>0</v>
      </c>
      <c r="JG671" s="89">
        <v>0</v>
      </c>
      <c r="JH671" s="89">
        <v>0</v>
      </c>
      <c r="JI671" s="89">
        <v>0</v>
      </c>
      <c r="JJ671" s="89">
        <v>0</v>
      </c>
      <c r="JK671" s="89">
        <v>0</v>
      </c>
      <c r="JL671" s="89">
        <v>0</v>
      </c>
      <c r="JM671" s="89">
        <v>0</v>
      </c>
      <c r="JN671" s="89">
        <v>0</v>
      </c>
      <c r="JO671" s="89">
        <v>0</v>
      </c>
      <c r="JP671" s="89">
        <v>0</v>
      </c>
      <c r="JQ671" s="89">
        <v>0</v>
      </c>
      <c r="JR671" s="89">
        <v>0</v>
      </c>
      <c r="JS671" s="74">
        <f t="shared" ref="JS671" si="15366">HG671-IF671</f>
        <v>0</v>
      </c>
      <c r="JT671" s="382">
        <f t="shared" ref="JT671" si="15367">GS671-IF671</f>
        <v>0</v>
      </c>
      <c r="JU671" s="665"/>
      <c r="JV671" s="524"/>
      <c r="JW671" s="525"/>
      <c r="JX671" s="549">
        <f>SUM(HH671,HJ671,HL671,HN671,HP671,HR671,HT671,HV671,HX671,HZ671,IB671,ID671)</f>
        <v>0</v>
      </c>
      <c r="JY671" s="549">
        <f t="shared" ref="JY671" si="15368">SUM(HI671,HK671,HM671,HO671,HQ671,HS671,HU671,HW671,HY671,IA671,IC671,IE671)</f>
        <v>0</v>
      </c>
      <c r="JZ671" s="581">
        <f t="shared" ref="JZ671" si="15369">GP671</f>
        <v>2900</v>
      </c>
      <c r="KA671" s="581">
        <f t="shared" ref="KA671" si="15370">GQ671</f>
        <v>-2900</v>
      </c>
      <c r="KB671" s="566">
        <f t="shared" ref="KB671" si="15371">SUM(JX671:KA671)</f>
        <v>0</v>
      </c>
      <c r="KC671" s="709"/>
      <c r="KD671" s="491"/>
      <c r="KE671" s="491"/>
      <c r="KF671" s="491"/>
      <c r="KG671" s="491"/>
      <c r="KH671" s="36"/>
      <c r="KI671" s="36"/>
      <c r="KJ671" s="36"/>
      <c r="KK671" s="36"/>
    </row>
    <row r="672" spans="1:297" s="10" customFormat="1">
      <c r="A672" s="612" t="s">
        <v>943</v>
      </c>
      <c r="B672" s="512" t="s">
        <v>944</v>
      </c>
      <c r="C672" s="74">
        <v>30000</v>
      </c>
      <c r="D672" s="549">
        <v>0</v>
      </c>
      <c r="E672" s="675">
        <v>0</v>
      </c>
      <c r="F672" s="549">
        <v>0</v>
      </c>
      <c r="G672" s="675">
        <v>0</v>
      </c>
      <c r="H672" s="549">
        <v>0</v>
      </c>
      <c r="I672" s="675">
        <v>0</v>
      </c>
      <c r="J672" s="549">
        <v>0</v>
      </c>
      <c r="K672" s="675">
        <v>0</v>
      </c>
      <c r="L672" s="549">
        <v>0</v>
      </c>
      <c r="M672" s="675">
        <v>0</v>
      </c>
      <c r="N672" s="549">
        <v>186132</v>
      </c>
      <c r="O672" s="675">
        <v>0</v>
      </c>
      <c r="P672" s="549">
        <v>0</v>
      </c>
      <c r="Q672" s="675">
        <v>0</v>
      </c>
      <c r="R672" s="549">
        <v>0</v>
      </c>
      <c r="S672" s="675">
        <v>0</v>
      </c>
      <c r="T672" s="549">
        <v>0</v>
      </c>
      <c r="U672" s="675">
        <v>0</v>
      </c>
      <c r="V672" s="549">
        <v>0</v>
      </c>
      <c r="W672" s="675">
        <v>0</v>
      </c>
      <c r="X672" s="549">
        <v>0</v>
      </c>
      <c r="Y672" s="675">
        <v>0</v>
      </c>
      <c r="Z672" s="549">
        <v>0</v>
      </c>
      <c r="AA672" s="675">
        <v>0</v>
      </c>
      <c r="AB672" s="549">
        <v>0</v>
      </c>
      <c r="AC672" s="675">
        <v>0</v>
      </c>
      <c r="AD672" s="549">
        <v>0</v>
      </c>
      <c r="AE672" s="675">
        <v>0</v>
      </c>
      <c r="AF672" s="549">
        <v>0</v>
      </c>
      <c r="AG672" s="675">
        <v>0</v>
      </c>
      <c r="AH672" s="549">
        <v>0</v>
      </c>
      <c r="AI672" s="675">
        <v>0</v>
      </c>
      <c r="AJ672" s="549">
        <v>0</v>
      </c>
      <c r="AK672" s="675">
        <v>0</v>
      </c>
      <c r="AL672" s="549">
        <v>0</v>
      </c>
      <c r="AM672" s="675">
        <v>0</v>
      </c>
      <c r="AN672" s="549">
        <v>0</v>
      </c>
      <c r="AO672" s="675">
        <v>0</v>
      </c>
      <c r="AP672" s="549">
        <v>224720</v>
      </c>
      <c r="AQ672" s="675">
        <v>0</v>
      </c>
      <c r="AR672" s="549">
        <v>0</v>
      </c>
      <c r="AS672" s="675">
        <v>0</v>
      </c>
      <c r="AT672" s="549">
        <v>0</v>
      </c>
      <c r="AU672" s="675">
        <v>0</v>
      </c>
      <c r="AV672" s="549">
        <v>0</v>
      </c>
      <c r="AW672" s="675">
        <v>0</v>
      </c>
      <c r="AX672" s="549">
        <v>16905</v>
      </c>
      <c r="AY672" s="675">
        <v>0</v>
      </c>
      <c r="AZ672" s="549">
        <v>0</v>
      </c>
      <c r="BA672" s="675">
        <v>0</v>
      </c>
      <c r="BB672" s="549">
        <v>0</v>
      </c>
      <c r="BC672" s="675">
        <v>0</v>
      </c>
      <c r="BD672" s="549">
        <v>0</v>
      </c>
      <c r="BE672" s="675">
        <v>0</v>
      </c>
      <c r="BF672" s="549">
        <v>0</v>
      </c>
      <c r="BG672" s="675">
        <v>0</v>
      </c>
      <c r="BH672" s="549">
        <v>0</v>
      </c>
      <c r="BI672" s="675">
        <v>0</v>
      </c>
      <c r="BJ672" s="549">
        <v>0</v>
      </c>
      <c r="BK672" s="675">
        <v>0</v>
      </c>
      <c r="BL672" s="549">
        <v>0</v>
      </c>
      <c r="BM672" s="675">
        <v>0</v>
      </c>
      <c r="BN672" s="549">
        <v>0</v>
      </c>
      <c r="BO672" s="675">
        <v>0</v>
      </c>
      <c r="BP672" s="549">
        <v>0</v>
      </c>
      <c r="BQ672" s="675">
        <v>0</v>
      </c>
      <c r="BR672" s="549">
        <v>26922</v>
      </c>
      <c r="BS672" s="675">
        <v>0</v>
      </c>
      <c r="BT672" s="549">
        <v>0</v>
      </c>
      <c r="BU672" s="675">
        <v>0</v>
      </c>
      <c r="BV672" s="549">
        <v>0</v>
      </c>
      <c r="BW672" s="675">
        <v>0</v>
      </c>
      <c r="BX672" s="549">
        <v>9498</v>
      </c>
      <c r="BY672" s="675">
        <v>0</v>
      </c>
      <c r="BZ672" s="549">
        <v>0</v>
      </c>
      <c r="CA672" s="675">
        <v>0</v>
      </c>
      <c r="CB672" s="549">
        <v>0</v>
      </c>
      <c r="CC672" s="675">
        <v>0</v>
      </c>
      <c r="CD672" s="549">
        <v>0</v>
      </c>
      <c r="CE672" s="675">
        <v>0</v>
      </c>
      <c r="CF672" s="549">
        <v>0</v>
      </c>
      <c r="CG672" s="675">
        <v>0</v>
      </c>
      <c r="CH672" s="549">
        <v>0</v>
      </c>
      <c r="CI672" s="675">
        <v>0</v>
      </c>
      <c r="CJ672" s="549">
        <v>0</v>
      </c>
      <c r="CK672" s="675">
        <v>0</v>
      </c>
      <c r="CL672" s="549">
        <v>0</v>
      </c>
      <c r="CM672" s="675">
        <v>0</v>
      </c>
      <c r="CN672" s="549">
        <v>0</v>
      </c>
      <c r="CO672" s="675">
        <v>0</v>
      </c>
      <c r="CP672" s="549">
        <v>0</v>
      </c>
      <c r="CQ672" s="675">
        <v>0</v>
      </c>
      <c r="CR672" s="549">
        <v>0</v>
      </c>
      <c r="CS672" s="675">
        <v>0</v>
      </c>
      <c r="CT672" s="549">
        <v>3000</v>
      </c>
      <c r="CU672" s="675">
        <v>0</v>
      </c>
      <c r="CV672" s="549">
        <v>0</v>
      </c>
      <c r="CW672" s="675">
        <v>0</v>
      </c>
      <c r="CX672" s="549">
        <v>0</v>
      </c>
      <c r="CY672" s="675">
        <v>0</v>
      </c>
      <c r="CZ672" s="549">
        <v>0</v>
      </c>
      <c r="DA672" s="675">
        <v>0</v>
      </c>
      <c r="DB672" s="549">
        <v>0</v>
      </c>
      <c r="DC672" s="675">
        <v>0</v>
      </c>
      <c r="DD672" s="549">
        <v>5191</v>
      </c>
      <c r="DE672" s="675">
        <v>0</v>
      </c>
      <c r="DF672" s="549">
        <v>0</v>
      </c>
      <c r="DG672" s="675">
        <v>0</v>
      </c>
      <c r="DH672" s="549">
        <v>0</v>
      </c>
      <c r="DI672" s="675">
        <v>0</v>
      </c>
      <c r="DJ672" s="549">
        <v>0</v>
      </c>
      <c r="DK672" s="675">
        <v>0</v>
      </c>
      <c r="DL672" s="549">
        <v>0</v>
      </c>
      <c r="DM672" s="675">
        <v>-1900</v>
      </c>
      <c r="DN672" s="549">
        <v>0</v>
      </c>
      <c r="DO672" s="675">
        <v>0</v>
      </c>
      <c r="DP672" s="549">
        <v>0</v>
      </c>
      <c r="DQ672" s="675">
        <v>0</v>
      </c>
      <c r="DR672" s="549">
        <v>33980</v>
      </c>
      <c r="DS672" s="675">
        <v>0</v>
      </c>
      <c r="DT672" s="549">
        <v>0</v>
      </c>
      <c r="DU672" s="675">
        <v>0</v>
      </c>
      <c r="DV672" s="549">
        <v>0</v>
      </c>
      <c r="DW672" s="675">
        <v>0</v>
      </c>
      <c r="DX672" s="549">
        <v>0</v>
      </c>
      <c r="DY672" s="675">
        <v>-26921</v>
      </c>
      <c r="DZ672" s="549">
        <v>0</v>
      </c>
      <c r="EA672" s="675">
        <v>0</v>
      </c>
      <c r="EB672" s="549">
        <v>0</v>
      </c>
      <c r="EC672" s="675">
        <v>0</v>
      </c>
      <c r="ED672" s="549">
        <v>0</v>
      </c>
      <c r="EE672" s="675">
        <v>0</v>
      </c>
      <c r="EF672" s="549">
        <v>0</v>
      </c>
      <c r="EG672" s="675">
        <v>0</v>
      </c>
      <c r="EH672" s="549">
        <v>0</v>
      </c>
      <c r="EI672" s="675">
        <v>0</v>
      </c>
      <c r="EJ672" s="549">
        <v>0</v>
      </c>
      <c r="EK672" s="675">
        <v>0</v>
      </c>
      <c r="EL672" s="549">
        <v>0</v>
      </c>
      <c r="EM672" s="675">
        <v>0</v>
      </c>
      <c r="EN672" s="549">
        <v>0</v>
      </c>
      <c r="EO672" s="675">
        <v>0</v>
      </c>
      <c r="EP672" s="549">
        <v>0</v>
      </c>
      <c r="EQ672" s="675">
        <v>0</v>
      </c>
      <c r="ER672" s="549">
        <v>0</v>
      </c>
      <c r="ES672" s="675">
        <v>0</v>
      </c>
      <c r="ET672" s="549">
        <v>0</v>
      </c>
      <c r="EU672" s="675">
        <v>0</v>
      </c>
      <c r="EV672" s="549">
        <v>0</v>
      </c>
      <c r="EW672" s="675">
        <v>0</v>
      </c>
      <c r="EX672" s="549">
        <v>0</v>
      </c>
      <c r="EY672" s="675">
        <v>0</v>
      </c>
      <c r="EZ672" s="549">
        <v>0</v>
      </c>
      <c r="FA672" s="675">
        <v>0</v>
      </c>
      <c r="FB672" s="549">
        <v>21946</v>
      </c>
      <c r="FC672" s="675">
        <v>0</v>
      </c>
      <c r="FD672" s="549">
        <v>0</v>
      </c>
      <c r="FE672" s="675">
        <v>0</v>
      </c>
      <c r="FF672" s="549">
        <v>0</v>
      </c>
      <c r="FG672" s="675">
        <v>0</v>
      </c>
      <c r="FH672" s="549">
        <v>0</v>
      </c>
      <c r="FI672" s="675">
        <v>0</v>
      </c>
      <c r="FJ672" s="549">
        <v>0</v>
      </c>
      <c r="FK672" s="675">
        <v>0</v>
      </c>
      <c r="FL672" s="549">
        <v>0</v>
      </c>
      <c r="FM672" s="675">
        <v>0</v>
      </c>
      <c r="FN672" s="549">
        <v>0</v>
      </c>
      <c r="FO672" s="675">
        <v>-4660</v>
      </c>
      <c r="FP672" s="549">
        <v>0</v>
      </c>
      <c r="FQ672" s="675">
        <v>0</v>
      </c>
      <c r="FR672" s="549">
        <v>0</v>
      </c>
      <c r="FS672" s="675">
        <v>0</v>
      </c>
      <c r="FT672" s="549">
        <v>0</v>
      </c>
      <c r="FU672" s="675">
        <v>0</v>
      </c>
      <c r="FV672" s="549">
        <v>0</v>
      </c>
      <c r="FW672" s="675">
        <v>0</v>
      </c>
      <c r="FX672" s="549">
        <v>0</v>
      </c>
      <c r="FY672" s="675">
        <v>0</v>
      </c>
      <c r="FZ672" s="549">
        <v>0</v>
      </c>
      <c r="GA672" s="675">
        <v>0</v>
      </c>
      <c r="GB672" s="549">
        <v>0</v>
      </c>
      <c r="GC672" s="675">
        <v>0</v>
      </c>
      <c r="GD672" s="549">
        <v>0</v>
      </c>
      <c r="GE672" s="675">
        <v>0</v>
      </c>
      <c r="GF672" s="549">
        <v>0</v>
      </c>
      <c r="GG672" s="675">
        <v>0</v>
      </c>
      <c r="GH672" s="549">
        <v>0</v>
      </c>
      <c r="GI672" s="675">
        <v>0</v>
      </c>
      <c r="GJ672" s="549">
        <v>0</v>
      </c>
      <c r="GK672" s="675">
        <v>0</v>
      </c>
      <c r="GL672" s="549">
        <v>0</v>
      </c>
      <c r="GM672" s="675">
        <v>0</v>
      </c>
      <c r="GN672" s="549">
        <v>0</v>
      </c>
      <c r="GO672" s="675">
        <v>0</v>
      </c>
      <c r="GP672" s="549">
        <f t="shared" si="15360"/>
        <v>528294</v>
      </c>
      <c r="GQ672" s="675">
        <f t="shared" si="15361"/>
        <v>-33481</v>
      </c>
      <c r="GR672" s="74">
        <f t="shared" si="15328"/>
        <v>524813</v>
      </c>
      <c r="GS672" s="74">
        <f t="shared" si="15329"/>
        <v>524813</v>
      </c>
      <c r="GT672" s="568">
        <f t="shared" si="15330"/>
        <v>524813</v>
      </c>
      <c r="GU672" s="275">
        <v>6000</v>
      </c>
      <c r="GV672" s="275">
        <v>24000</v>
      </c>
      <c r="GW672" s="275">
        <v>0</v>
      </c>
      <c r="GX672" s="275">
        <f>9000-9000</f>
        <v>0</v>
      </c>
      <c r="GY672" s="275">
        <v>0</v>
      </c>
      <c r="GZ672" s="275">
        <v>0</v>
      </c>
      <c r="HA672" s="275">
        <f>9000-9000</f>
        <v>0</v>
      </c>
      <c r="HB672" s="275">
        <v>0</v>
      </c>
      <c r="HC672" s="275">
        <v>0</v>
      </c>
      <c r="HD672" s="275">
        <f>6000-6000</f>
        <v>0</v>
      </c>
      <c r="HE672" s="275">
        <v>0</v>
      </c>
      <c r="HF672" s="275">
        <v>0</v>
      </c>
      <c r="HG672" s="74">
        <f>SUM(HH672:IE672)+GP672+GQ672</f>
        <v>524813</v>
      </c>
      <c r="HH672" s="275">
        <v>0</v>
      </c>
      <c r="HI672" s="322">
        <v>0</v>
      </c>
      <c r="HJ672" s="275">
        <v>0</v>
      </c>
      <c r="HK672" s="322">
        <v>-186132</v>
      </c>
      <c r="HL672" s="275">
        <v>0</v>
      </c>
      <c r="HM672" s="322">
        <f>1036077-997183.62</f>
        <v>38893.380000000005</v>
      </c>
      <c r="HN672" s="275">
        <v>0</v>
      </c>
      <c r="HO672" s="322">
        <v>61694.09</v>
      </c>
      <c r="HP672" s="275">
        <v>0</v>
      </c>
      <c r="HQ672" s="322">
        <v>0</v>
      </c>
      <c r="HR672" s="275">
        <v>0</v>
      </c>
      <c r="HS672" s="322">
        <v>0</v>
      </c>
      <c r="HT672" s="275">
        <v>0</v>
      </c>
      <c r="HU672" s="322">
        <f>383104.97-267560.44</f>
        <v>115544.52999999997</v>
      </c>
      <c r="HV672" s="275">
        <v>0</v>
      </c>
      <c r="HW672" s="322">
        <v>0</v>
      </c>
      <c r="HX672" s="275">
        <v>0</v>
      </c>
      <c r="HY672" s="322">
        <v>0</v>
      </c>
      <c r="HZ672" s="275">
        <v>0</v>
      </c>
      <c r="IA672" s="322">
        <v>0</v>
      </c>
      <c r="IB672" s="275">
        <v>0</v>
      </c>
      <c r="IC672" s="322">
        <v>0</v>
      </c>
      <c r="ID672" s="275">
        <v>0</v>
      </c>
      <c r="IE672" s="322">
        <v>0</v>
      </c>
      <c r="IF672" s="841">
        <f t="shared" si="15331"/>
        <v>259900.25</v>
      </c>
      <c r="IG672" s="263">
        <f t="shared" si="15332"/>
        <v>259900.25</v>
      </c>
      <c r="IH672" s="842">
        <f t="shared" si="15333"/>
        <v>259900.25</v>
      </c>
      <c r="II672" s="89">
        <v>0</v>
      </c>
      <c r="IJ672" s="89">
        <f t="shared" ref="IJ672:IJ679" si="15372">II672</f>
        <v>0</v>
      </c>
      <c r="IK672" s="89">
        <f t="shared" ref="IK672:IK679" si="15373">IJ672</f>
        <v>0</v>
      </c>
      <c r="IL672" s="89">
        <v>0</v>
      </c>
      <c r="IM672" s="89">
        <f t="shared" ref="IM672:IM679" si="15374">IL672</f>
        <v>0</v>
      </c>
      <c r="IN672" s="89">
        <f t="shared" ref="IN672:IN679" si="15375">IM672</f>
        <v>0</v>
      </c>
      <c r="IO672" s="89">
        <v>0</v>
      </c>
      <c r="IP672" s="89">
        <f t="shared" ref="IP672:IP679" si="15376">IO672</f>
        <v>0</v>
      </c>
      <c r="IQ672" s="89">
        <f t="shared" ref="IQ672:IQ679" si="15377">IP672</f>
        <v>0</v>
      </c>
      <c r="IR672" s="89">
        <v>85496.53</v>
      </c>
      <c r="IS672" s="89">
        <f t="shared" ref="IS672:IS679" si="15378">IR672</f>
        <v>85496.53</v>
      </c>
      <c r="IT672" s="89">
        <f t="shared" ref="IT672:IT679" si="15379">IS672</f>
        <v>85496.53</v>
      </c>
      <c r="IU672" s="89">
        <f>111083.03-85496.53</f>
        <v>25586.5</v>
      </c>
      <c r="IV672" s="89">
        <f t="shared" ref="IV672:IV679" si="15380">IU672</f>
        <v>25586.5</v>
      </c>
      <c r="IW672" s="89">
        <f t="shared" ref="IW672:IW679" si="15381">IV672</f>
        <v>25586.5</v>
      </c>
      <c r="IX672" s="89">
        <v>0</v>
      </c>
      <c r="IY672" s="89">
        <f t="shared" ref="IY672:IY679" si="15382">IX672</f>
        <v>0</v>
      </c>
      <c r="IZ672" s="89">
        <f t="shared" ref="IZ672:IZ679" si="15383">IY672</f>
        <v>0</v>
      </c>
      <c r="JA672" s="89">
        <f>114072.03-111083.03</f>
        <v>2989</v>
      </c>
      <c r="JB672" s="89">
        <f t="shared" ref="JB672:JB679" si="15384">JA672</f>
        <v>2989</v>
      </c>
      <c r="JC672" s="89">
        <f t="shared" ref="JC672:JC679" si="15385">JB672</f>
        <v>2989</v>
      </c>
      <c r="JD672" s="89">
        <f>111083.03-114072.03</f>
        <v>-2989</v>
      </c>
      <c r="JE672" s="89">
        <f t="shared" ref="JE672:JE679" si="15386">JD672</f>
        <v>-2989</v>
      </c>
      <c r="JF672" s="89">
        <f t="shared" ref="JF672:JF679" si="15387">JE672</f>
        <v>-2989</v>
      </c>
      <c r="JG672" s="89">
        <f>197230.51-111083.03</f>
        <v>86147.48000000001</v>
      </c>
      <c r="JH672" s="89">
        <f t="shared" ref="JH672:JH679" si="15388">JG672</f>
        <v>86147.48000000001</v>
      </c>
      <c r="JI672" s="89">
        <f t="shared" ref="JI672:JI679" si="15389">JH672</f>
        <v>86147.48000000001</v>
      </c>
      <c r="JJ672" s="89">
        <f>259900.25-197230.51</f>
        <v>62669.739999999991</v>
      </c>
      <c r="JK672" s="89">
        <f t="shared" ref="JK672:JK679" si="15390">JJ672</f>
        <v>62669.739999999991</v>
      </c>
      <c r="JL672" s="89">
        <f t="shared" ref="JL672:JL679" si="15391">JK672</f>
        <v>62669.739999999991</v>
      </c>
      <c r="JM672" s="89">
        <v>0</v>
      </c>
      <c r="JN672" s="89">
        <f t="shared" ref="JN672:JN679" si="15392">JM672</f>
        <v>0</v>
      </c>
      <c r="JO672" s="89">
        <f t="shared" ref="JO672:JO679" si="15393">JN672</f>
        <v>0</v>
      </c>
      <c r="JP672" s="89">
        <v>0</v>
      </c>
      <c r="JQ672" s="89">
        <f t="shared" ref="JQ672:JR672" si="15394">JP672</f>
        <v>0</v>
      </c>
      <c r="JR672" s="89">
        <f t="shared" si="15394"/>
        <v>0</v>
      </c>
      <c r="JS672" s="74">
        <f t="shared" si="15357"/>
        <v>264912.75</v>
      </c>
      <c r="JT672" s="382">
        <f t="shared" si="15358"/>
        <v>264912.75</v>
      </c>
      <c r="JU672" s="665"/>
      <c r="JV672" s="524"/>
      <c r="JW672" s="525"/>
      <c r="JX672" s="549">
        <f>SUM(HH672,HJ672,HL672,HN672,HP672,HR672,HT672,HV672,HX672,HZ672,IB672,ID672)</f>
        <v>0</v>
      </c>
      <c r="JY672" s="549">
        <f t="shared" si="15269"/>
        <v>29999.999999999971</v>
      </c>
      <c r="JZ672" s="581">
        <f t="shared" si="14740"/>
        <v>528294</v>
      </c>
      <c r="KA672" s="581">
        <f t="shared" si="14741"/>
        <v>-33481</v>
      </c>
      <c r="KB672" s="566">
        <f t="shared" si="15359"/>
        <v>524813</v>
      </c>
      <c r="KC672" s="709">
        <f t="shared" si="14739"/>
        <v>0</v>
      </c>
      <c r="KD672" s="491"/>
      <c r="KE672" s="491"/>
      <c r="KF672" s="491"/>
      <c r="KG672" s="491"/>
      <c r="KH672" s="36"/>
      <c r="KI672" s="36"/>
      <c r="KJ672" s="36"/>
      <c r="KK672" s="36"/>
    </row>
    <row r="673" spans="1:297" s="10" customFormat="1" ht="12.75" hidden="1" customHeight="1">
      <c r="A673" s="612" t="s">
        <v>1095</v>
      </c>
      <c r="B673" s="512"/>
      <c r="C673" s="74">
        <v>0</v>
      </c>
      <c r="D673" s="549">
        <v>0</v>
      </c>
      <c r="E673" s="675">
        <v>0</v>
      </c>
      <c r="F673" s="549">
        <v>0</v>
      </c>
      <c r="G673" s="675">
        <v>0</v>
      </c>
      <c r="H673" s="549">
        <v>0</v>
      </c>
      <c r="I673" s="675">
        <v>0</v>
      </c>
      <c r="J673" s="549">
        <v>0</v>
      </c>
      <c r="K673" s="675">
        <v>0</v>
      </c>
      <c r="L673" s="549">
        <v>0</v>
      </c>
      <c r="M673" s="675">
        <v>0</v>
      </c>
      <c r="N673" s="549">
        <v>0</v>
      </c>
      <c r="O673" s="675">
        <v>0</v>
      </c>
      <c r="P673" s="549">
        <v>0</v>
      </c>
      <c r="Q673" s="675">
        <v>0</v>
      </c>
      <c r="R673" s="549">
        <v>0</v>
      </c>
      <c r="S673" s="675">
        <v>0</v>
      </c>
      <c r="T673" s="549">
        <v>0</v>
      </c>
      <c r="U673" s="675">
        <v>0</v>
      </c>
      <c r="V673" s="549">
        <v>0</v>
      </c>
      <c r="W673" s="675">
        <v>0</v>
      </c>
      <c r="X673" s="549">
        <v>0</v>
      </c>
      <c r="Y673" s="675">
        <v>0</v>
      </c>
      <c r="Z673" s="549">
        <v>0</v>
      </c>
      <c r="AA673" s="675">
        <v>0</v>
      </c>
      <c r="AB673" s="549">
        <v>0</v>
      </c>
      <c r="AC673" s="675">
        <v>0</v>
      </c>
      <c r="AD673" s="549">
        <v>0</v>
      </c>
      <c r="AE673" s="675">
        <v>0</v>
      </c>
      <c r="AF673" s="549">
        <v>0</v>
      </c>
      <c r="AG673" s="675">
        <v>0</v>
      </c>
      <c r="AH673" s="549">
        <v>0</v>
      </c>
      <c r="AI673" s="675">
        <v>0</v>
      </c>
      <c r="AJ673" s="549">
        <v>0</v>
      </c>
      <c r="AK673" s="675">
        <v>0</v>
      </c>
      <c r="AL673" s="549">
        <v>0</v>
      </c>
      <c r="AM673" s="675">
        <v>0</v>
      </c>
      <c r="AN673" s="549">
        <v>0</v>
      </c>
      <c r="AO673" s="675">
        <v>0</v>
      </c>
      <c r="AP673" s="549">
        <v>0</v>
      </c>
      <c r="AQ673" s="675">
        <v>0</v>
      </c>
      <c r="AR673" s="549">
        <v>0</v>
      </c>
      <c r="AS673" s="675">
        <v>0</v>
      </c>
      <c r="AT673" s="549">
        <v>0</v>
      </c>
      <c r="AU673" s="675">
        <v>0</v>
      </c>
      <c r="AV673" s="549">
        <v>0</v>
      </c>
      <c r="AW673" s="675">
        <v>0</v>
      </c>
      <c r="AX673" s="549">
        <v>0</v>
      </c>
      <c r="AY673" s="675">
        <v>0</v>
      </c>
      <c r="AZ673" s="549">
        <v>0</v>
      </c>
      <c r="BA673" s="675">
        <v>0</v>
      </c>
      <c r="BB673" s="549">
        <v>0</v>
      </c>
      <c r="BC673" s="675">
        <v>0</v>
      </c>
      <c r="BD673" s="549">
        <v>0</v>
      </c>
      <c r="BE673" s="675">
        <v>0</v>
      </c>
      <c r="BF673" s="549">
        <v>0</v>
      </c>
      <c r="BG673" s="675">
        <v>0</v>
      </c>
      <c r="BH673" s="549">
        <v>0</v>
      </c>
      <c r="BI673" s="675">
        <v>0</v>
      </c>
      <c r="BJ673" s="549">
        <v>0</v>
      </c>
      <c r="BK673" s="675">
        <v>0</v>
      </c>
      <c r="BL673" s="549">
        <v>0</v>
      </c>
      <c r="BM673" s="675">
        <v>0</v>
      </c>
      <c r="BN673" s="549">
        <v>0</v>
      </c>
      <c r="BO673" s="675">
        <v>0</v>
      </c>
      <c r="BP673" s="549">
        <v>0</v>
      </c>
      <c r="BQ673" s="675">
        <v>0</v>
      </c>
      <c r="BR673" s="549">
        <v>0</v>
      </c>
      <c r="BS673" s="675">
        <v>0</v>
      </c>
      <c r="BT673" s="549">
        <v>0</v>
      </c>
      <c r="BU673" s="675">
        <v>0</v>
      </c>
      <c r="BV673" s="549">
        <v>0</v>
      </c>
      <c r="BW673" s="675">
        <v>0</v>
      </c>
      <c r="BX673" s="549">
        <v>0</v>
      </c>
      <c r="BY673" s="675">
        <v>0</v>
      </c>
      <c r="BZ673" s="549">
        <v>0</v>
      </c>
      <c r="CA673" s="675">
        <v>0</v>
      </c>
      <c r="CB673" s="549">
        <v>0</v>
      </c>
      <c r="CC673" s="675">
        <v>0</v>
      </c>
      <c r="CD673" s="549">
        <v>0</v>
      </c>
      <c r="CE673" s="675">
        <v>0</v>
      </c>
      <c r="CF673" s="549">
        <v>0</v>
      </c>
      <c r="CG673" s="675">
        <v>0</v>
      </c>
      <c r="CH673" s="549">
        <v>0</v>
      </c>
      <c r="CI673" s="675">
        <v>0</v>
      </c>
      <c r="CJ673" s="549">
        <v>0</v>
      </c>
      <c r="CK673" s="675">
        <v>0</v>
      </c>
      <c r="CL673" s="549">
        <v>0</v>
      </c>
      <c r="CM673" s="675">
        <v>0</v>
      </c>
      <c r="CN673" s="549">
        <v>0</v>
      </c>
      <c r="CO673" s="675">
        <v>0</v>
      </c>
      <c r="CP673" s="549">
        <v>0</v>
      </c>
      <c r="CQ673" s="675">
        <v>0</v>
      </c>
      <c r="CR673" s="549">
        <v>0</v>
      </c>
      <c r="CS673" s="675">
        <v>0</v>
      </c>
      <c r="CT673" s="549">
        <v>0</v>
      </c>
      <c r="CU673" s="675">
        <v>0</v>
      </c>
      <c r="CV673" s="549">
        <v>0</v>
      </c>
      <c r="CW673" s="675">
        <v>0</v>
      </c>
      <c r="CX673" s="549">
        <v>0</v>
      </c>
      <c r="CY673" s="675">
        <v>0</v>
      </c>
      <c r="CZ673" s="549">
        <v>0</v>
      </c>
      <c r="DA673" s="675">
        <v>0</v>
      </c>
      <c r="DB673" s="549">
        <v>0</v>
      </c>
      <c r="DC673" s="675">
        <v>0</v>
      </c>
      <c r="DD673" s="549">
        <v>0</v>
      </c>
      <c r="DE673" s="675">
        <v>0</v>
      </c>
      <c r="DF673" s="549">
        <v>0</v>
      </c>
      <c r="DG673" s="675">
        <v>0</v>
      </c>
      <c r="DH673" s="549">
        <v>0</v>
      </c>
      <c r="DI673" s="675">
        <v>0</v>
      </c>
      <c r="DJ673" s="549">
        <v>0</v>
      </c>
      <c r="DK673" s="675">
        <v>0</v>
      </c>
      <c r="DL673" s="549">
        <v>0</v>
      </c>
      <c r="DM673" s="675">
        <v>0</v>
      </c>
      <c r="DN673" s="549">
        <v>0</v>
      </c>
      <c r="DO673" s="675">
        <v>0</v>
      </c>
      <c r="DP673" s="549">
        <v>0</v>
      </c>
      <c r="DQ673" s="675">
        <v>0</v>
      </c>
      <c r="DR673" s="549">
        <v>0</v>
      </c>
      <c r="DS673" s="675">
        <v>0</v>
      </c>
      <c r="DT673" s="549">
        <v>0</v>
      </c>
      <c r="DU673" s="675">
        <v>0</v>
      </c>
      <c r="DV673" s="549">
        <v>0</v>
      </c>
      <c r="DW673" s="675">
        <v>0</v>
      </c>
      <c r="DX673" s="549">
        <v>0</v>
      </c>
      <c r="DY673" s="675">
        <v>0</v>
      </c>
      <c r="DZ673" s="549">
        <v>0</v>
      </c>
      <c r="EA673" s="675">
        <v>0</v>
      </c>
      <c r="EB673" s="549">
        <v>0</v>
      </c>
      <c r="EC673" s="675">
        <v>0</v>
      </c>
      <c r="ED673" s="549">
        <v>0</v>
      </c>
      <c r="EE673" s="675">
        <v>0</v>
      </c>
      <c r="EF673" s="549">
        <v>0</v>
      </c>
      <c r="EG673" s="675">
        <v>0</v>
      </c>
      <c r="EH673" s="549">
        <v>0</v>
      </c>
      <c r="EI673" s="675">
        <v>0</v>
      </c>
      <c r="EJ673" s="549">
        <v>0</v>
      </c>
      <c r="EK673" s="675">
        <v>0</v>
      </c>
      <c r="EL673" s="549">
        <v>0</v>
      </c>
      <c r="EM673" s="675">
        <v>0</v>
      </c>
      <c r="EN673" s="549">
        <v>0</v>
      </c>
      <c r="EO673" s="675">
        <v>0</v>
      </c>
      <c r="EP673" s="549">
        <v>0</v>
      </c>
      <c r="EQ673" s="675">
        <v>0</v>
      </c>
      <c r="ER673" s="549">
        <v>0</v>
      </c>
      <c r="ES673" s="675">
        <v>0</v>
      </c>
      <c r="ET673" s="549">
        <v>0</v>
      </c>
      <c r="EU673" s="675">
        <v>0</v>
      </c>
      <c r="EV673" s="549">
        <v>0</v>
      </c>
      <c r="EW673" s="675">
        <v>0</v>
      </c>
      <c r="EX673" s="549">
        <v>0</v>
      </c>
      <c r="EY673" s="675">
        <v>0</v>
      </c>
      <c r="EZ673" s="549">
        <v>0</v>
      </c>
      <c r="FA673" s="675">
        <v>0</v>
      </c>
      <c r="FB673" s="549">
        <v>0</v>
      </c>
      <c r="FC673" s="675">
        <v>0</v>
      </c>
      <c r="FD673" s="549">
        <v>0</v>
      </c>
      <c r="FE673" s="675">
        <v>0</v>
      </c>
      <c r="FF673" s="549">
        <v>0</v>
      </c>
      <c r="FG673" s="675">
        <v>0</v>
      </c>
      <c r="FH673" s="549">
        <v>0</v>
      </c>
      <c r="FI673" s="675">
        <v>0</v>
      </c>
      <c r="FJ673" s="549">
        <v>0</v>
      </c>
      <c r="FK673" s="675">
        <v>0</v>
      </c>
      <c r="FL673" s="549">
        <v>0</v>
      </c>
      <c r="FM673" s="675">
        <v>0</v>
      </c>
      <c r="FN673" s="549">
        <v>0</v>
      </c>
      <c r="FO673" s="675">
        <v>0</v>
      </c>
      <c r="FP673" s="549">
        <v>0</v>
      </c>
      <c r="FQ673" s="675">
        <v>0</v>
      </c>
      <c r="FR673" s="549">
        <v>0</v>
      </c>
      <c r="FS673" s="675">
        <v>0</v>
      </c>
      <c r="FT673" s="549">
        <v>0</v>
      </c>
      <c r="FU673" s="675">
        <v>0</v>
      </c>
      <c r="FV673" s="549">
        <v>0</v>
      </c>
      <c r="FW673" s="675">
        <v>0</v>
      </c>
      <c r="FX673" s="549">
        <v>0</v>
      </c>
      <c r="FY673" s="675">
        <v>0</v>
      </c>
      <c r="FZ673" s="549">
        <v>0</v>
      </c>
      <c r="GA673" s="675">
        <v>0</v>
      </c>
      <c r="GB673" s="549">
        <v>0</v>
      </c>
      <c r="GC673" s="675">
        <v>0</v>
      </c>
      <c r="GD673" s="549">
        <v>0</v>
      </c>
      <c r="GE673" s="675">
        <v>0</v>
      </c>
      <c r="GF673" s="549">
        <v>0</v>
      </c>
      <c r="GG673" s="675">
        <v>0</v>
      </c>
      <c r="GH673" s="549">
        <v>0</v>
      </c>
      <c r="GI673" s="675">
        <v>0</v>
      </c>
      <c r="GJ673" s="549">
        <v>0</v>
      </c>
      <c r="GK673" s="675">
        <v>0</v>
      </c>
      <c r="GL673" s="549">
        <v>0</v>
      </c>
      <c r="GM673" s="675">
        <v>0</v>
      </c>
      <c r="GN673" s="549">
        <v>0</v>
      </c>
      <c r="GO673" s="675">
        <v>0</v>
      </c>
      <c r="GP673" s="549">
        <f t="shared" si="15360"/>
        <v>0</v>
      </c>
      <c r="GQ673" s="675">
        <f t="shared" si="15361"/>
        <v>0</v>
      </c>
      <c r="GR673" s="74">
        <f t="shared" si="15328"/>
        <v>0</v>
      </c>
      <c r="GS673" s="74">
        <f t="shared" si="15329"/>
        <v>0</v>
      </c>
      <c r="GT673" s="568">
        <f t="shared" si="15330"/>
        <v>0</v>
      </c>
      <c r="GU673" s="275">
        <v>0</v>
      </c>
      <c r="GV673" s="275">
        <v>0</v>
      </c>
      <c r="GW673" s="275">
        <v>0</v>
      </c>
      <c r="GX673" s="275">
        <v>0</v>
      </c>
      <c r="GY673" s="275">
        <v>0</v>
      </c>
      <c r="GZ673" s="275">
        <v>0</v>
      </c>
      <c r="HA673" s="275">
        <v>0</v>
      </c>
      <c r="HB673" s="275">
        <v>0</v>
      </c>
      <c r="HC673" s="275">
        <v>0</v>
      </c>
      <c r="HD673" s="275">
        <v>0</v>
      </c>
      <c r="HE673" s="275">
        <v>0</v>
      </c>
      <c r="HF673" s="275">
        <v>0</v>
      </c>
      <c r="HG673" s="74">
        <f t="shared" ref="HG673" si="15395">SUM(HH673:IE673)</f>
        <v>0</v>
      </c>
      <c r="HH673" s="275">
        <v>0</v>
      </c>
      <c r="HI673" s="322">
        <v>0</v>
      </c>
      <c r="HJ673" s="275">
        <v>0</v>
      </c>
      <c r="HK673" s="322">
        <v>0</v>
      </c>
      <c r="HL673" s="275">
        <v>0</v>
      </c>
      <c r="HM673" s="322">
        <v>0</v>
      </c>
      <c r="HN673" s="275">
        <v>0</v>
      </c>
      <c r="HO673" s="322">
        <v>0</v>
      </c>
      <c r="HP673" s="275">
        <v>0</v>
      </c>
      <c r="HQ673" s="322">
        <v>0</v>
      </c>
      <c r="HR673" s="275">
        <v>0</v>
      </c>
      <c r="HS673" s="322">
        <v>0</v>
      </c>
      <c r="HT673" s="275">
        <v>0</v>
      </c>
      <c r="HU673" s="322">
        <v>0</v>
      </c>
      <c r="HV673" s="275">
        <v>0</v>
      </c>
      <c r="HW673" s="322">
        <v>0</v>
      </c>
      <c r="HX673" s="275">
        <v>0</v>
      </c>
      <c r="HY673" s="322">
        <v>0</v>
      </c>
      <c r="HZ673" s="275">
        <v>0</v>
      </c>
      <c r="IA673" s="322">
        <v>0</v>
      </c>
      <c r="IB673" s="275">
        <v>0</v>
      </c>
      <c r="IC673" s="322">
        <v>0</v>
      </c>
      <c r="ID673" s="275">
        <v>0</v>
      </c>
      <c r="IE673" s="322">
        <v>0</v>
      </c>
      <c r="IF673" s="841">
        <f t="shared" si="15331"/>
        <v>0</v>
      </c>
      <c r="IG673" s="263">
        <f t="shared" si="15332"/>
        <v>0</v>
      </c>
      <c r="IH673" s="842">
        <f t="shared" si="15333"/>
        <v>0</v>
      </c>
      <c r="II673" s="89">
        <v>0</v>
      </c>
      <c r="IJ673" s="89">
        <f t="shared" si="15372"/>
        <v>0</v>
      </c>
      <c r="IK673" s="89">
        <f t="shared" si="15373"/>
        <v>0</v>
      </c>
      <c r="IL673" s="89">
        <v>0</v>
      </c>
      <c r="IM673" s="89">
        <f t="shared" si="15374"/>
        <v>0</v>
      </c>
      <c r="IN673" s="89">
        <f t="shared" si="15375"/>
        <v>0</v>
      </c>
      <c r="IO673" s="89">
        <v>0</v>
      </c>
      <c r="IP673" s="89">
        <f t="shared" si="15376"/>
        <v>0</v>
      </c>
      <c r="IQ673" s="89">
        <f t="shared" si="15377"/>
        <v>0</v>
      </c>
      <c r="IR673" s="89">
        <v>0</v>
      </c>
      <c r="IS673" s="89">
        <f t="shared" si="15378"/>
        <v>0</v>
      </c>
      <c r="IT673" s="89">
        <f t="shared" si="15379"/>
        <v>0</v>
      </c>
      <c r="IU673" s="89">
        <v>0</v>
      </c>
      <c r="IV673" s="89">
        <f t="shared" si="15380"/>
        <v>0</v>
      </c>
      <c r="IW673" s="89">
        <f t="shared" si="15381"/>
        <v>0</v>
      </c>
      <c r="IX673" s="89">
        <v>0</v>
      </c>
      <c r="IY673" s="89">
        <f t="shared" si="15382"/>
        <v>0</v>
      </c>
      <c r="IZ673" s="89">
        <f t="shared" si="15383"/>
        <v>0</v>
      </c>
      <c r="JA673" s="89">
        <v>0</v>
      </c>
      <c r="JB673" s="89">
        <f t="shared" si="15384"/>
        <v>0</v>
      </c>
      <c r="JC673" s="89">
        <f t="shared" si="15385"/>
        <v>0</v>
      </c>
      <c r="JD673" s="89">
        <v>0</v>
      </c>
      <c r="JE673" s="89">
        <f t="shared" si="15386"/>
        <v>0</v>
      </c>
      <c r="JF673" s="89">
        <f t="shared" si="15387"/>
        <v>0</v>
      </c>
      <c r="JG673" s="89">
        <v>0</v>
      </c>
      <c r="JH673" s="89">
        <f t="shared" si="15388"/>
        <v>0</v>
      </c>
      <c r="JI673" s="89">
        <f t="shared" si="15389"/>
        <v>0</v>
      </c>
      <c r="JJ673" s="89">
        <v>0</v>
      </c>
      <c r="JK673" s="89">
        <f t="shared" si="15390"/>
        <v>0</v>
      </c>
      <c r="JL673" s="89">
        <f t="shared" si="15391"/>
        <v>0</v>
      </c>
      <c r="JM673" s="89">
        <v>0</v>
      </c>
      <c r="JN673" s="89">
        <f t="shared" si="15392"/>
        <v>0</v>
      </c>
      <c r="JO673" s="89">
        <f t="shared" si="15393"/>
        <v>0</v>
      </c>
      <c r="JP673" s="89">
        <v>0</v>
      </c>
      <c r="JQ673" s="89">
        <f t="shared" ref="JQ673:JR673" si="15396">JP673</f>
        <v>0</v>
      </c>
      <c r="JR673" s="89">
        <f t="shared" si="15396"/>
        <v>0</v>
      </c>
      <c r="JS673" s="74">
        <f t="shared" si="15357"/>
        <v>0</v>
      </c>
      <c r="JT673" s="382">
        <f t="shared" si="15358"/>
        <v>0</v>
      </c>
      <c r="JU673" s="665"/>
      <c r="JV673" s="524"/>
      <c r="JW673" s="525"/>
      <c r="JX673" s="549"/>
      <c r="JY673" s="549">
        <f t="shared" si="15269"/>
        <v>0</v>
      </c>
      <c r="JZ673" s="581">
        <f t="shared" si="14740"/>
        <v>0</v>
      </c>
      <c r="KA673" s="581">
        <f t="shared" si="14741"/>
        <v>0</v>
      </c>
      <c r="KB673" s="566">
        <f t="shared" si="15359"/>
        <v>0</v>
      </c>
      <c r="KC673" s="709">
        <f t="shared" si="14739"/>
        <v>0</v>
      </c>
      <c r="KD673" s="491"/>
      <c r="KE673" s="491"/>
      <c r="KF673" s="491"/>
      <c r="KG673" s="491"/>
      <c r="KH673" s="36"/>
      <c r="KI673" s="36"/>
      <c r="KJ673" s="36"/>
      <c r="KK673" s="36"/>
    </row>
    <row r="674" spans="1:297" s="8" customFormat="1" hidden="1">
      <c r="A674" s="612" t="s">
        <v>1229</v>
      </c>
      <c r="B674" s="512" t="s">
        <v>945</v>
      </c>
      <c r="C674" s="74">
        <v>0</v>
      </c>
      <c r="D674" s="549">
        <v>0</v>
      </c>
      <c r="E674" s="675">
        <v>0</v>
      </c>
      <c r="F674" s="549">
        <v>0</v>
      </c>
      <c r="G674" s="675">
        <v>0</v>
      </c>
      <c r="H674" s="549">
        <v>0</v>
      </c>
      <c r="I674" s="675">
        <v>0</v>
      </c>
      <c r="J674" s="549">
        <v>0</v>
      </c>
      <c r="K674" s="675">
        <v>0</v>
      </c>
      <c r="L674" s="549">
        <v>0</v>
      </c>
      <c r="M674" s="675">
        <v>0</v>
      </c>
      <c r="N674" s="549">
        <v>0</v>
      </c>
      <c r="O674" s="675">
        <v>0</v>
      </c>
      <c r="P674" s="549">
        <v>0</v>
      </c>
      <c r="Q674" s="675">
        <v>0</v>
      </c>
      <c r="R674" s="549">
        <v>0</v>
      </c>
      <c r="S674" s="675">
        <v>0</v>
      </c>
      <c r="T674" s="549">
        <v>0</v>
      </c>
      <c r="U674" s="675">
        <v>0</v>
      </c>
      <c r="V674" s="549">
        <v>0</v>
      </c>
      <c r="W674" s="675">
        <v>0</v>
      </c>
      <c r="X674" s="549">
        <v>0</v>
      </c>
      <c r="Y674" s="675">
        <v>0</v>
      </c>
      <c r="Z674" s="549">
        <v>0</v>
      </c>
      <c r="AA674" s="675">
        <v>0</v>
      </c>
      <c r="AB674" s="549">
        <v>0</v>
      </c>
      <c r="AC674" s="675">
        <v>0</v>
      </c>
      <c r="AD674" s="549">
        <v>0</v>
      </c>
      <c r="AE674" s="675">
        <v>0</v>
      </c>
      <c r="AF674" s="549">
        <v>0</v>
      </c>
      <c r="AG674" s="675">
        <v>0</v>
      </c>
      <c r="AH674" s="549">
        <v>0</v>
      </c>
      <c r="AI674" s="675">
        <v>0</v>
      </c>
      <c r="AJ674" s="549">
        <v>0</v>
      </c>
      <c r="AK674" s="675">
        <v>0</v>
      </c>
      <c r="AL674" s="549">
        <v>0</v>
      </c>
      <c r="AM674" s="675">
        <v>0</v>
      </c>
      <c r="AN674" s="549">
        <v>0</v>
      </c>
      <c r="AO674" s="675">
        <v>0</v>
      </c>
      <c r="AP674" s="549">
        <v>0</v>
      </c>
      <c r="AQ674" s="675">
        <v>0</v>
      </c>
      <c r="AR674" s="549">
        <v>0</v>
      </c>
      <c r="AS674" s="675">
        <v>0</v>
      </c>
      <c r="AT674" s="549">
        <v>0</v>
      </c>
      <c r="AU674" s="675">
        <v>0</v>
      </c>
      <c r="AV674" s="549">
        <v>0</v>
      </c>
      <c r="AW674" s="675">
        <v>0</v>
      </c>
      <c r="AX674" s="549">
        <v>0</v>
      </c>
      <c r="AY674" s="675">
        <v>0</v>
      </c>
      <c r="AZ674" s="549">
        <v>0</v>
      </c>
      <c r="BA674" s="675">
        <v>0</v>
      </c>
      <c r="BB674" s="549">
        <v>0</v>
      </c>
      <c r="BC674" s="675">
        <v>0</v>
      </c>
      <c r="BD674" s="549">
        <v>0</v>
      </c>
      <c r="BE674" s="675">
        <v>0</v>
      </c>
      <c r="BF674" s="549">
        <v>0</v>
      </c>
      <c r="BG674" s="675">
        <v>0</v>
      </c>
      <c r="BH674" s="549">
        <v>0</v>
      </c>
      <c r="BI674" s="675">
        <v>0</v>
      </c>
      <c r="BJ674" s="549">
        <v>0</v>
      </c>
      <c r="BK674" s="675">
        <v>0</v>
      </c>
      <c r="BL674" s="549">
        <v>0</v>
      </c>
      <c r="BM674" s="675">
        <v>0</v>
      </c>
      <c r="BN674" s="549">
        <v>0</v>
      </c>
      <c r="BO674" s="675">
        <v>0</v>
      </c>
      <c r="BP674" s="549">
        <v>0</v>
      </c>
      <c r="BQ674" s="675">
        <v>0</v>
      </c>
      <c r="BR674" s="549">
        <v>0</v>
      </c>
      <c r="BS674" s="675">
        <v>0</v>
      </c>
      <c r="BT674" s="549">
        <v>0</v>
      </c>
      <c r="BU674" s="675">
        <v>0</v>
      </c>
      <c r="BV674" s="549">
        <v>0</v>
      </c>
      <c r="BW674" s="675">
        <v>0</v>
      </c>
      <c r="BX674" s="549">
        <v>0</v>
      </c>
      <c r="BY674" s="675">
        <v>0</v>
      </c>
      <c r="BZ674" s="549">
        <v>0</v>
      </c>
      <c r="CA674" s="675">
        <v>0</v>
      </c>
      <c r="CB674" s="549">
        <v>0</v>
      </c>
      <c r="CC674" s="675">
        <v>0</v>
      </c>
      <c r="CD674" s="549">
        <v>0</v>
      </c>
      <c r="CE674" s="675">
        <v>0</v>
      </c>
      <c r="CF674" s="549">
        <v>0</v>
      </c>
      <c r="CG674" s="675">
        <v>0</v>
      </c>
      <c r="CH674" s="549">
        <v>0</v>
      </c>
      <c r="CI674" s="675">
        <v>0</v>
      </c>
      <c r="CJ674" s="549">
        <v>0</v>
      </c>
      <c r="CK674" s="675">
        <v>0</v>
      </c>
      <c r="CL674" s="549">
        <v>0</v>
      </c>
      <c r="CM674" s="675">
        <v>0</v>
      </c>
      <c r="CN674" s="549">
        <v>0</v>
      </c>
      <c r="CO674" s="675">
        <v>0</v>
      </c>
      <c r="CP674" s="549">
        <v>0</v>
      </c>
      <c r="CQ674" s="675">
        <v>0</v>
      </c>
      <c r="CR674" s="549">
        <v>0</v>
      </c>
      <c r="CS674" s="675">
        <v>0</v>
      </c>
      <c r="CT674" s="549">
        <v>0</v>
      </c>
      <c r="CU674" s="675">
        <v>0</v>
      </c>
      <c r="CV674" s="549">
        <v>0</v>
      </c>
      <c r="CW674" s="675">
        <v>0</v>
      </c>
      <c r="CX674" s="549">
        <v>0</v>
      </c>
      <c r="CY674" s="675">
        <v>0</v>
      </c>
      <c r="CZ674" s="549">
        <v>0</v>
      </c>
      <c r="DA674" s="675">
        <v>0</v>
      </c>
      <c r="DB674" s="549">
        <v>0</v>
      </c>
      <c r="DC674" s="675">
        <v>0</v>
      </c>
      <c r="DD674" s="549">
        <v>0</v>
      </c>
      <c r="DE674" s="675">
        <v>0</v>
      </c>
      <c r="DF674" s="549">
        <v>0</v>
      </c>
      <c r="DG674" s="675">
        <v>0</v>
      </c>
      <c r="DH674" s="549">
        <v>0</v>
      </c>
      <c r="DI674" s="675">
        <v>0</v>
      </c>
      <c r="DJ674" s="549">
        <v>0</v>
      </c>
      <c r="DK674" s="675">
        <v>0</v>
      </c>
      <c r="DL674" s="549">
        <v>0</v>
      </c>
      <c r="DM674" s="675">
        <v>0</v>
      </c>
      <c r="DN674" s="549">
        <v>0</v>
      </c>
      <c r="DO674" s="675">
        <v>0</v>
      </c>
      <c r="DP674" s="549">
        <v>0</v>
      </c>
      <c r="DQ674" s="675">
        <v>0</v>
      </c>
      <c r="DR674" s="549">
        <v>0</v>
      </c>
      <c r="DS674" s="675">
        <v>0</v>
      </c>
      <c r="DT674" s="549">
        <v>0</v>
      </c>
      <c r="DU674" s="675">
        <v>0</v>
      </c>
      <c r="DV674" s="549">
        <v>0</v>
      </c>
      <c r="DW674" s="675">
        <v>0</v>
      </c>
      <c r="DX674" s="549">
        <v>0</v>
      </c>
      <c r="DY674" s="675">
        <v>0</v>
      </c>
      <c r="DZ674" s="549">
        <v>0</v>
      </c>
      <c r="EA674" s="675">
        <v>0</v>
      </c>
      <c r="EB674" s="549">
        <v>0</v>
      </c>
      <c r="EC674" s="675">
        <v>0</v>
      </c>
      <c r="ED674" s="549">
        <v>0</v>
      </c>
      <c r="EE674" s="675">
        <v>0</v>
      </c>
      <c r="EF674" s="549">
        <v>0</v>
      </c>
      <c r="EG674" s="675">
        <v>0</v>
      </c>
      <c r="EH674" s="549">
        <v>0</v>
      </c>
      <c r="EI674" s="675">
        <v>0</v>
      </c>
      <c r="EJ674" s="549">
        <v>0</v>
      </c>
      <c r="EK674" s="675">
        <v>0</v>
      </c>
      <c r="EL674" s="549">
        <v>0</v>
      </c>
      <c r="EM674" s="675">
        <v>0</v>
      </c>
      <c r="EN674" s="549">
        <v>0</v>
      </c>
      <c r="EO674" s="675">
        <v>0</v>
      </c>
      <c r="EP674" s="549">
        <v>0</v>
      </c>
      <c r="EQ674" s="675">
        <v>0</v>
      </c>
      <c r="ER674" s="549">
        <v>0</v>
      </c>
      <c r="ES674" s="675">
        <v>0</v>
      </c>
      <c r="ET674" s="549">
        <v>0</v>
      </c>
      <c r="EU674" s="675">
        <v>0</v>
      </c>
      <c r="EV674" s="549">
        <v>0</v>
      </c>
      <c r="EW674" s="675">
        <v>0</v>
      </c>
      <c r="EX674" s="549">
        <v>0</v>
      </c>
      <c r="EY674" s="675">
        <v>0</v>
      </c>
      <c r="EZ674" s="549">
        <v>0</v>
      </c>
      <c r="FA674" s="675">
        <v>0</v>
      </c>
      <c r="FB674" s="549">
        <v>0</v>
      </c>
      <c r="FC674" s="675">
        <v>0</v>
      </c>
      <c r="FD674" s="549">
        <v>0</v>
      </c>
      <c r="FE674" s="675">
        <v>0</v>
      </c>
      <c r="FF674" s="549">
        <v>0</v>
      </c>
      <c r="FG674" s="675">
        <v>0</v>
      </c>
      <c r="FH674" s="549">
        <v>0</v>
      </c>
      <c r="FI674" s="675">
        <v>0</v>
      </c>
      <c r="FJ674" s="549">
        <v>0</v>
      </c>
      <c r="FK674" s="675">
        <v>0</v>
      </c>
      <c r="FL674" s="549">
        <v>0</v>
      </c>
      <c r="FM674" s="675">
        <v>0</v>
      </c>
      <c r="FN674" s="549">
        <v>0</v>
      </c>
      <c r="FO674" s="675">
        <v>0</v>
      </c>
      <c r="FP674" s="549">
        <v>0</v>
      </c>
      <c r="FQ674" s="675">
        <v>0</v>
      </c>
      <c r="FR674" s="549">
        <v>0</v>
      </c>
      <c r="FS674" s="675">
        <v>0</v>
      </c>
      <c r="FT674" s="549">
        <v>0</v>
      </c>
      <c r="FU674" s="675">
        <v>0</v>
      </c>
      <c r="FV674" s="549">
        <v>0</v>
      </c>
      <c r="FW674" s="675">
        <v>0</v>
      </c>
      <c r="FX674" s="549">
        <v>0</v>
      </c>
      <c r="FY674" s="675">
        <v>0</v>
      </c>
      <c r="FZ674" s="549">
        <v>0</v>
      </c>
      <c r="GA674" s="675">
        <v>0</v>
      </c>
      <c r="GB674" s="549">
        <v>0</v>
      </c>
      <c r="GC674" s="675">
        <v>0</v>
      </c>
      <c r="GD674" s="549">
        <v>0</v>
      </c>
      <c r="GE674" s="675">
        <v>0</v>
      </c>
      <c r="GF674" s="549">
        <v>0</v>
      </c>
      <c r="GG674" s="675">
        <v>0</v>
      </c>
      <c r="GH674" s="549">
        <v>0</v>
      </c>
      <c r="GI674" s="675">
        <v>0</v>
      </c>
      <c r="GJ674" s="549">
        <v>0</v>
      </c>
      <c r="GK674" s="675">
        <v>0</v>
      </c>
      <c r="GL674" s="549">
        <v>0</v>
      </c>
      <c r="GM674" s="675">
        <v>0</v>
      </c>
      <c r="GN674" s="549">
        <v>0</v>
      </c>
      <c r="GO674" s="675">
        <v>0</v>
      </c>
      <c r="GP674" s="549">
        <f t="shared" si="15360"/>
        <v>0</v>
      </c>
      <c r="GQ674" s="675">
        <f t="shared" si="15361"/>
        <v>0</v>
      </c>
      <c r="GR674" s="74">
        <f t="shared" si="15328"/>
        <v>0</v>
      </c>
      <c r="GS674" s="74">
        <f t="shared" si="15329"/>
        <v>0</v>
      </c>
      <c r="GT674" s="568">
        <f t="shared" si="15330"/>
        <v>0</v>
      </c>
      <c r="GU674" s="275">
        <v>0</v>
      </c>
      <c r="GV674" s="275">
        <v>0</v>
      </c>
      <c r="GW674" s="275">
        <v>0</v>
      </c>
      <c r="GX674" s="275">
        <v>0</v>
      </c>
      <c r="GY674" s="275">
        <v>0</v>
      </c>
      <c r="GZ674" s="275">
        <v>0</v>
      </c>
      <c r="HA674" s="275">
        <v>0</v>
      </c>
      <c r="HB674" s="275">
        <v>0</v>
      </c>
      <c r="HC674" s="275">
        <v>0</v>
      </c>
      <c r="HD674" s="275">
        <v>0</v>
      </c>
      <c r="HE674" s="275">
        <v>0</v>
      </c>
      <c r="HF674" s="275">
        <v>0</v>
      </c>
      <c r="HG674" s="74">
        <f t="shared" ref="HG674:HG679" si="15397">SUM(HH674:IE674)+GP674+GQ674</f>
        <v>0</v>
      </c>
      <c r="HH674" s="275">
        <v>0</v>
      </c>
      <c r="HI674" s="322">
        <v>0</v>
      </c>
      <c r="HJ674" s="275">
        <v>0</v>
      </c>
      <c r="HK674" s="322">
        <v>0</v>
      </c>
      <c r="HL674" s="275">
        <v>0</v>
      </c>
      <c r="HM674" s="322">
        <v>0</v>
      </c>
      <c r="HN674" s="275">
        <v>0</v>
      </c>
      <c r="HO674" s="322">
        <v>0</v>
      </c>
      <c r="HP674" s="275">
        <v>0</v>
      </c>
      <c r="HQ674" s="322">
        <v>0</v>
      </c>
      <c r="HR674" s="275">
        <v>0</v>
      </c>
      <c r="HS674" s="322">
        <v>0</v>
      </c>
      <c r="HT674" s="275">
        <v>0</v>
      </c>
      <c r="HU674" s="322">
        <v>0</v>
      </c>
      <c r="HV674" s="275">
        <v>0</v>
      </c>
      <c r="HW674" s="322">
        <v>0</v>
      </c>
      <c r="HX674" s="275">
        <v>0</v>
      </c>
      <c r="HY674" s="322">
        <v>0</v>
      </c>
      <c r="HZ674" s="275">
        <v>0</v>
      </c>
      <c r="IA674" s="322">
        <v>0</v>
      </c>
      <c r="IB674" s="275">
        <v>0</v>
      </c>
      <c r="IC674" s="322">
        <v>0</v>
      </c>
      <c r="ID674" s="275">
        <v>0</v>
      </c>
      <c r="IE674" s="322">
        <v>0</v>
      </c>
      <c r="IF674" s="841">
        <f t="shared" si="15331"/>
        <v>0</v>
      </c>
      <c r="IG674" s="263">
        <f t="shared" si="15332"/>
        <v>0</v>
      </c>
      <c r="IH674" s="842">
        <f t="shared" si="15333"/>
        <v>0</v>
      </c>
      <c r="II674" s="89">
        <v>0</v>
      </c>
      <c r="IJ674" s="89">
        <f t="shared" si="15372"/>
        <v>0</v>
      </c>
      <c r="IK674" s="89">
        <f t="shared" si="15373"/>
        <v>0</v>
      </c>
      <c r="IL674" s="89">
        <v>0</v>
      </c>
      <c r="IM674" s="89">
        <f t="shared" si="15374"/>
        <v>0</v>
      </c>
      <c r="IN674" s="89">
        <f t="shared" si="15375"/>
        <v>0</v>
      </c>
      <c r="IO674" s="89">
        <v>0</v>
      </c>
      <c r="IP674" s="89">
        <f t="shared" si="15376"/>
        <v>0</v>
      </c>
      <c r="IQ674" s="89">
        <f t="shared" si="15377"/>
        <v>0</v>
      </c>
      <c r="IR674" s="89">
        <v>0</v>
      </c>
      <c r="IS674" s="89">
        <f t="shared" si="15378"/>
        <v>0</v>
      </c>
      <c r="IT674" s="89">
        <f t="shared" si="15379"/>
        <v>0</v>
      </c>
      <c r="IU674" s="89">
        <v>0</v>
      </c>
      <c r="IV674" s="89">
        <f t="shared" si="15380"/>
        <v>0</v>
      </c>
      <c r="IW674" s="89">
        <f t="shared" si="15381"/>
        <v>0</v>
      </c>
      <c r="IX674" s="89">
        <v>0</v>
      </c>
      <c r="IY674" s="89">
        <f t="shared" si="15382"/>
        <v>0</v>
      </c>
      <c r="IZ674" s="89">
        <f t="shared" si="15383"/>
        <v>0</v>
      </c>
      <c r="JA674" s="89">
        <v>0</v>
      </c>
      <c r="JB674" s="89">
        <f t="shared" si="15384"/>
        <v>0</v>
      </c>
      <c r="JC674" s="89">
        <f t="shared" si="15385"/>
        <v>0</v>
      </c>
      <c r="JD674" s="89">
        <v>0</v>
      </c>
      <c r="JE674" s="89">
        <f t="shared" si="15386"/>
        <v>0</v>
      </c>
      <c r="JF674" s="89">
        <f t="shared" si="15387"/>
        <v>0</v>
      </c>
      <c r="JG674" s="89">
        <v>0</v>
      </c>
      <c r="JH674" s="89">
        <f t="shared" si="15388"/>
        <v>0</v>
      </c>
      <c r="JI674" s="89">
        <f t="shared" si="15389"/>
        <v>0</v>
      </c>
      <c r="JJ674" s="89">
        <v>0</v>
      </c>
      <c r="JK674" s="89">
        <f t="shared" si="15390"/>
        <v>0</v>
      </c>
      <c r="JL674" s="89">
        <f t="shared" si="15391"/>
        <v>0</v>
      </c>
      <c r="JM674" s="89">
        <v>0</v>
      </c>
      <c r="JN674" s="89">
        <f t="shared" si="15392"/>
        <v>0</v>
      </c>
      <c r="JO674" s="89">
        <f t="shared" si="15393"/>
        <v>0</v>
      </c>
      <c r="JP674" s="89">
        <v>0</v>
      </c>
      <c r="JQ674" s="89">
        <f t="shared" ref="JQ674:JR674" si="15398">JP674</f>
        <v>0</v>
      </c>
      <c r="JR674" s="89">
        <f t="shared" si="15398"/>
        <v>0</v>
      </c>
      <c r="JS674" s="74">
        <f t="shared" si="15357"/>
        <v>0</v>
      </c>
      <c r="JT674" s="382">
        <f t="shared" si="15358"/>
        <v>0</v>
      </c>
      <c r="JU674" s="665"/>
      <c r="JV674" s="524"/>
      <c r="JW674" s="525"/>
      <c r="JX674" s="549">
        <f>SUM(HH674,HJ674,HL674,HN674,HP674,HR674,HT674,HV674,HX674,HZ674,IB674,ID674)</f>
        <v>0</v>
      </c>
      <c r="JY674" s="549">
        <f t="shared" si="15269"/>
        <v>0</v>
      </c>
      <c r="JZ674" s="581">
        <f t="shared" si="14740"/>
        <v>0</v>
      </c>
      <c r="KA674" s="581">
        <f t="shared" si="14741"/>
        <v>0</v>
      </c>
      <c r="KB674" s="566">
        <f>SUM(JX674:KA674)</f>
        <v>0</v>
      </c>
      <c r="KC674" s="709">
        <f t="shared" si="14739"/>
        <v>0</v>
      </c>
      <c r="KD674" s="491"/>
      <c r="KE674" s="491"/>
      <c r="KF674" s="491"/>
      <c r="KG674" s="491"/>
      <c r="KH674" s="36"/>
      <c r="KI674" s="36"/>
      <c r="KJ674" s="36"/>
      <c r="KK674" s="36"/>
    </row>
    <row r="675" spans="1:297" s="8" customFormat="1" ht="12.75" customHeight="1">
      <c r="A675" s="612" t="s">
        <v>1235</v>
      </c>
      <c r="B675" s="512" t="s">
        <v>945</v>
      </c>
      <c r="C675" s="74">
        <v>20000</v>
      </c>
      <c r="D675" s="549">
        <v>0</v>
      </c>
      <c r="E675" s="675">
        <v>0</v>
      </c>
      <c r="F675" s="549">
        <v>0</v>
      </c>
      <c r="G675" s="675">
        <v>0</v>
      </c>
      <c r="H675" s="549">
        <v>0</v>
      </c>
      <c r="I675" s="675">
        <v>0</v>
      </c>
      <c r="J675" s="549">
        <v>0</v>
      </c>
      <c r="K675" s="675">
        <v>0</v>
      </c>
      <c r="L675" s="549">
        <v>0</v>
      </c>
      <c r="M675" s="675">
        <v>0</v>
      </c>
      <c r="N675" s="549">
        <v>0</v>
      </c>
      <c r="O675" s="675">
        <v>-20000</v>
      </c>
      <c r="P675" s="549">
        <v>0</v>
      </c>
      <c r="Q675" s="675">
        <v>0</v>
      </c>
      <c r="R675" s="549">
        <v>0</v>
      </c>
      <c r="S675" s="675">
        <v>0</v>
      </c>
      <c r="T675" s="549">
        <v>0</v>
      </c>
      <c r="U675" s="675">
        <v>0</v>
      </c>
      <c r="V675" s="549">
        <v>0</v>
      </c>
      <c r="W675" s="675">
        <v>0</v>
      </c>
      <c r="X675" s="549">
        <v>0</v>
      </c>
      <c r="Y675" s="675">
        <v>0</v>
      </c>
      <c r="Z675" s="549">
        <v>0</v>
      </c>
      <c r="AA675" s="675">
        <v>0</v>
      </c>
      <c r="AB675" s="549">
        <v>0</v>
      </c>
      <c r="AC675" s="675">
        <v>0</v>
      </c>
      <c r="AD675" s="549">
        <v>0</v>
      </c>
      <c r="AE675" s="675">
        <v>0</v>
      </c>
      <c r="AF675" s="549">
        <v>0</v>
      </c>
      <c r="AG675" s="675">
        <v>0</v>
      </c>
      <c r="AH675" s="549">
        <v>0</v>
      </c>
      <c r="AI675" s="675">
        <v>0</v>
      </c>
      <c r="AJ675" s="549">
        <v>0</v>
      </c>
      <c r="AK675" s="675">
        <v>0</v>
      </c>
      <c r="AL675" s="549">
        <v>0</v>
      </c>
      <c r="AM675" s="675">
        <v>0</v>
      </c>
      <c r="AN675" s="549">
        <v>0</v>
      </c>
      <c r="AO675" s="675">
        <v>0</v>
      </c>
      <c r="AP675" s="549">
        <v>0</v>
      </c>
      <c r="AQ675" s="675">
        <v>0</v>
      </c>
      <c r="AR675" s="549">
        <v>0</v>
      </c>
      <c r="AS675" s="675">
        <v>0</v>
      </c>
      <c r="AT675" s="549">
        <v>0</v>
      </c>
      <c r="AU675" s="675">
        <v>0</v>
      </c>
      <c r="AV675" s="549">
        <v>0</v>
      </c>
      <c r="AW675" s="675">
        <v>0</v>
      </c>
      <c r="AX675" s="549">
        <v>0</v>
      </c>
      <c r="AY675" s="675">
        <v>0</v>
      </c>
      <c r="AZ675" s="549">
        <v>0</v>
      </c>
      <c r="BA675" s="675">
        <v>0</v>
      </c>
      <c r="BB675" s="549">
        <v>0</v>
      </c>
      <c r="BC675" s="675">
        <v>0</v>
      </c>
      <c r="BD675" s="549">
        <v>0</v>
      </c>
      <c r="BE675" s="675">
        <v>0</v>
      </c>
      <c r="BF675" s="549">
        <v>0</v>
      </c>
      <c r="BG675" s="675">
        <v>0</v>
      </c>
      <c r="BH675" s="549">
        <v>0</v>
      </c>
      <c r="BI675" s="675">
        <v>0</v>
      </c>
      <c r="BJ675" s="549">
        <v>0</v>
      </c>
      <c r="BK675" s="675">
        <v>0</v>
      </c>
      <c r="BL675" s="549">
        <v>0</v>
      </c>
      <c r="BM675" s="675">
        <v>0</v>
      </c>
      <c r="BN675" s="549">
        <v>0</v>
      </c>
      <c r="BO675" s="675">
        <v>0</v>
      </c>
      <c r="BP675" s="549">
        <v>0</v>
      </c>
      <c r="BQ675" s="675">
        <v>0</v>
      </c>
      <c r="BR675" s="549">
        <v>0</v>
      </c>
      <c r="BS675" s="675">
        <v>0</v>
      </c>
      <c r="BT675" s="549">
        <v>0</v>
      </c>
      <c r="BU675" s="675">
        <v>0</v>
      </c>
      <c r="BV675" s="549">
        <v>0</v>
      </c>
      <c r="BW675" s="675">
        <v>0</v>
      </c>
      <c r="BX675" s="549">
        <v>0</v>
      </c>
      <c r="BY675" s="675">
        <v>0</v>
      </c>
      <c r="BZ675" s="549">
        <v>0</v>
      </c>
      <c r="CA675" s="675">
        <v>0</v>
      </c>
      <c r="CB675" s="549">
        <v>0</v>
      </c>
      <c r="CC675" s="675">
        <v>0</v>
      </c>
      <c r="CD675" s="549">
        <v>0</v>
      </c>
      <c r="CE675" s="675">
        <v>0</v>
      </c>
      <c r="CF675" s="549">
        <v>0</v>
      </c>
      <c r="CG675" s="675">
        <v>0</v>
      </c>
      <c r="CH675" s="549">
        <v>0</v>
      </c>
      <c r="CI675" s="675">
        <v>0</v>
      </c>
      <c r="CJ675" s="549">
        <v>0</v>
      </c>
      <c r="CK675" s="675">
        <v>0</v>
      </c>
      <c r="CL675" s="549">
        <v>0</v>
      </c>
      <c r="CM675" s="675">
        <v>0</v>
      </c>
      <c r="CN675" s="549">
        <v>0</v>
      </c>
      <c r="CO675" s="675">
        <v>0</v>
      </c>
      <c r="CP675" s="549">
        <v>0</v>
      </c>
      <c r="CQ675" s="675">
        <v>0</v>
      </c>
      <c r="CR675" s="549">
        <v>0</v>
      </c>
      <c r="CS675" s="675">
        <v>0</v>
      </c>
      <c r="CT675" s="549">
        <v>0</v>
      </c>
      <c r="CU675" s="675">
        <v>0</v>
      </c>
      <c r="CV675" s="549">
        <v>0</v>
      </c>
      <c r="CW675" s="675">
        <v>0</v>
      </c>
      <c r="CX675" s="549">
        <v>0</v>
      </c>
      <c r="CY675" s="675">
        <v>0</v>
      </c>
      <c r="CZ675" s="549">
        <v>0</v>
      </c>
      <c r="DA675" s="675">
        <v>0</v>
      </c>
      <c r="DB675" s="549">
        <v>0</v>
      </c>
      <c r="DC675" s="675">
        <v>0</v>
      </c>
      <c r="DD675" s="549">
        <v>0</v>
      </c>
      <c r="DE675" s="675">
        <v>0</v>
      </c>
      <c r="DF675" s="549">
        <v>0</v>
      </c>
      <c r="DG675" s="675">
        <v>0</v>
      </c>
      <c r="DH675" s="549">
        <v>0</v>
      </c>
      <c r="DI675" s="675">
        <v>0</v>
      </c>
      <c r="DJ675" s="549">
        <v>0</v>
      </c>
      <c r="DK675" s="675">
        <v>0</v>
      </c>
      <c r="DL675" s="549">
        <v>0</v>
      </c>
      <c r="DM675" s="675">
        <v>0</v>
      </c>
      <c r="DN675" s="549">
        <v>0</v>
      </c>
      <c r="DO675" s="675">
        <v>0</v>
      </c>
      <c r="DP675" s="549">
        <v>0</v>
      </c>
      <c r="DQ675" s="675">
        <v>0</v>
      </c>
      <c r="DR675" s="549">
        <v>0</v>
      </c>
      <c r="DS675" s="675">
        <v>0</v>
      </c>
      <c r="DT675" s="549">
        <v>0</v>
      </c>
      <c r="DU675" s="675">
        <v>0</v>
      </c>
      <c r="DV675" s="549">
        <v>0</v>
      </c>
      <c r="DW675" s="675">
        <v>0</v>
      </c>
      <c r="DX675" s="549">
        <v>0</v>
      </c>
      <c r="DY675" s="675">
        <v>0</v>
      </c>
      <c r="DZ675" s="549">
        <v>0</v>
      </c>
      <c r="EA675" s="675">
        <v>0</v>
      </c>
      <c r="EB675" s="549">
        <v>0</v>
      </c>
      <c r="EC675" s="675">
        <v>0</v>
      </c>
      <c r="ED675" s="549">
        <v>0</v>
      </c>
      <c r="EE675" s="675">
        <v>0</v>
      </c>
      <c r="EF675" s="549">
        <v>0</v>
      </c>
      <c r="EG675" s="675">
        <v>0</v>
      </c>
      <c r="EH675" s="549">
        <v>0</v>
      </c>
      <c r="EI675" s="675">
        <v>0</v>
      </c>
      <c r="EJ675" s="549">
        <v>0</v>
      </c>
      <c r="EK675" s="675">
        <v>0</v>
      </c>
      <c r="EL675" s="549">
        <v>0</v>
      </c>
      <c r="EM675" s="675">
        <v>0</v>
      </c>
      <c r="EN675" s="549">
        <v>0</v>
      </c>
      <c r="EO675" s="675">
        <v>0</v>
      </c>
      <c r="EP675" s="549">
        <v>0</v>
      </c>
      <c r="EQ675" s="675">
        <v>0</v>
      </c>
      <c r="ER675" s="549">
        <v>0</v>
      </c>
      <c r="ES675" s="675">
        <v>0</v>
      </c>
      <c r="ET675" s="549">
        <v>0</v>
      </c>
      <c r="EU675" s="675">
        <v>0</v>
      </c>
      <c r="EV675" s="549">
        <v>0</v>
      </c>
      <c r="EW675" s="675">
        <v>0</v>
      </c>
      <c r="EX675" s="549">
        <v>0</v>
      </c>
      <c r="EY675" s="675">
        <v>0</v>
      </c>
      <c r="EZ675" s="549">
        <v>0</v>
      </c>
      <c r="FA675" s="675">
        <v>0</v>
      </c>
      <c r="FB675" s="549">
        <v>0</v>
      </c>
      <c r="FC675" s="675">
        <v>0</v>
      </c>
      <c r="FD675" s="549">
        <v>0</v>
      </c>
      <c r="FE675" s="675">
        <v>0</v>
      </c>
      <c r="FF675" s="549">
        <v>0</v>
      </c>
      <c r="FG675" s="675">
        <v>0</v>
      </c>
      <c r="FH675" s="549">
        <v>0</v>
      </c>
      <c r="FI675" s="675">
        <v>0</v>
      </c>
      <c r="FJ675" s="549">
        <v>0</v>
      </c>
      <c r="FK675" s="675">
        <v>0</v>
      </c>
      <c r="FL675" s="549">
        <v>0</v>
      </c>
      <c r="FM675" s="675">
        <v>0</v>
      </c>
      <c r="FN675" s="549">
        <v>0</v>
      </c>
      <c r="FO675" s="675">
        <v>0</v>
      </c>
      <c r="FP675" s="549">
        <v>0</v>
      </c>
      <c r="FQ675" s="675">
        <v>0</v>
      </c>
      <c r="FR675" s="549">
        <v>0</v>
      </c>
      <c r="FS675" s="675">
        <v>0</v>
      </c>
      <c r="FT675" s="549">
        <v>0</v>
      </c>
      <c r="FU675" s="675">
        <v>0</v>
      </c>
      <c r="FV675" s="549">
        <v>0</v>
      </c>
      <c r="FW675" s="675">
        <v>0</v>
      </c>
      <c r="FX675" s="549">
        <v>0</v>
      </c>
      <c r="FY675" s="675">
        <v>0</v>
      </c>
      <c r="FZ675" s="549">
        <v>0</v>
      </c>
      <c r="GA675" s="675">
        <v>0</v>
      </c>
      <c r="GB675" s="549">
        <v>0</v>
      </c>
      <c r="GC675" s="675">
        <v>0</v>
      </c>
      <c r="GD675" s="549">
        <v>0</v>
      </c>
      <c r="GE675" s="675">
        <v>0</v>
      </c>
      <c r="GF675" s="549">
        <v>0</v>
      </c>
      <c r="GG675" s="675">
        <v>0</v>
      </c>
      <c r="GH675" s="549">
        <v>0</v>
      </c>
      <c r="GI675" s="675">
        <v>0</v>
      </c>
      <c r="GJ675" s="549">
        <v>0</v>
      </c>
      <c r="GK675" s="675">
        <v>0</v>
      </c>
      <c r="GL675" s="549">
        <v>0</v>
      </c>
      <c r="GM675" s="675">
        <v>0</v>
      </c>
      <c r="GN675" s="549">
        <v>0</v>
      </c>
      <c r="GO675" s="675">
        <v>0</v>
      </c>
      <c r="GP675" s="549">
        <f t="shared" si="15360"/>
        <v>0</v>
      </c>
      <c r="GQ675" s="675">
        <f t="shared" si="15361"/>
        <v>-20000</v>
      </c>
      <c r="GR675" s="74">
        <f t="shared" si="15328"/>
        <v>0</v>
      </c>
      <c r="GS675" s="74">
        <f t="shared" si="15329"/>
        <v>0</v>
      </c>
      <c r="GT675" s="568">
        <f t="shared" si="15330"/>
        <v>0</v>
      </c>
      <c r="GU675" s="275">
        <v>4000</v>
      </c>
      <c r="GV675" s="275">
        <v>16000</v>
      </c>
      <c r="GW675" s="275">
        <v>0</v>
      </c>
      <c r="GX675" s="275">
        <f>6000-6000</f>
        <v>0</v>
      </c>
      <c r="GY675" s="275">
        <v>0</v>
      </c>
      <c r="GZ675" s="275">
        <v>0</v>
      </c>
      <c r="HA675" s="275">
        <f>6000-6000</f>
        <v>0</v>
      </c>
      <c r="HB675" s="275">
        <v>0</v>
      </c>
      <c r="HC675" s="275">
        <v>0</v>
      </c>
      <c r="HD675" s="275">
        <f>4000-4000</f>
        <v>0</v>
      </c>
      <c r="HE675" s="275">
        <v>0</v>
      </c>
      <c r="HF675" s="275">
        <v>0</v>
      </c>
      <c r="HG675" s="74">
        <f t="shared" si="15397"/>
        <v>0</v>
      </c>
      <c r="HH675" s="275">
        <v>0</v>
      </c>
      <c r="HI675" s="322">
        <v>0</v>
      </c>
      <c r="HJ675" s="275">
        <v>0</v>
      </c>
      <c r="HK675" s="322">
        <v>20000</v>
      </c>
      <c r="HL675" s="275">
        <v>0</v>
      </c>
      <c r="HM675" s="322">
        <v>0</v>
      </c>
      <c r="HN675" s="275">
        <v>0</v>
      </c>
      <c r="HO675" s="322">
        <v>0</v>
      </c>
      <c r="HP675" s="275">
        <v>0</v>
      </c>
      <c r="HQ675" s="322">
        <v>0</v>
      </c>
      <c r="HR675" s="275">
        <v>0</v>
      </c>
      <c r="HS675" s="322">
        <v>0</v>
      </c>
      <c r="HT675" s="275">
        <v>0</v>
      </c>
      <c r="HU675" s="322">
        <v>0</v>
      </c>
      <c r="HV675" s="275">
        <v>0</v>
      </c>
      <c r="HW675" s="322">
        <v>0</v>
      </c>
      <c r="HX675" s="275">
        <v>0</v>
      </c>
      <c r="HY675" s="322">
        <v>0</v>
      </c>
      <c r="HZ675" s="275">
        <v>0</v>
      </c>
      <c r="IA675" s="322">
        <v>0</v>
      </c>
      <c r="IB675" s="275">
        <v>0</v>
      </c>
      <c r="IC675" s="322">
        <v>0</v>
      </c>
      <c r="ID675" s="275">
        <v>0</v>
      </c>
      <c r="IE675" s="322">
        <v>0</v>
      </c>
      <c r="IF675" s="841">
        <f t="shared" si="15331"/>
        <v>0</v>
      </c>
      <c r="IG675" s="263">
        <f t="shared" si="15332"/>
        <v>0</v>
      </c>
      <c r="IH675" s="842">
        <f t="shared" si="15333"/>
        <v>0</v>
      </c>
      <c r="II675" s="89">
        <v>0</v>
      </c>
      <c r="IJ675" s="89">
        <f t="shared" si="15372"/>
        <v>0</v>
      </c>
      <c r="IK675" s="89">
        <f t="shared" si="15373"/>
        <v>0</v>
      </c>
      <c r="IL675" s="89">
        <v>0</v>
      </c>
      <c r="IM675" s="89">
        <f t="shared" si="15374"/>
        <v>0</v>
      </c>
      <c r="IN675" s="89">
        <f t="shared" si="15375"/>
        <v>0</v>
      </c>
      <c r="IO675" s="89">
        <v>0</v>
      </c>
      <c r="IP675" s="89">
        <f t="shared" si="15376"/>
        <v>0</v>
      </c>
      <c r="IQ675" s="89">
        <f t="shared" si="15377"/>
        <v>0</v>
      </c>
      <c r="IR675" s="89">
        <v>0</v>
      </c>
      <c r="IS675" s="89">
        <f t="shared" si="15378"/>
        <v>0</v>
      </c>
      <c r="IT675" s="89">
        <f t="shared" si="15379"/>
        <v>0</v>
      </c>
      <c r="IU675" s="89">
        <v>0</v>
      </c>
      <c r="IV675" s="89">
        <f t="shared" si="15380"/>
        <v>0</v>
      </c>
      <c r="IW675" s="89">
        <f t="shared" si="15381"/>
        <v>0</v>
      </c>
      <c r="IX675" s="89">
        <v>0</v>
      </c>
      <c r="IY675" s="89">
        <f t="shared" si="15382"/>
        <v>0</v>
      </c>
      <c r="IZ675" s="89">
        <f t="shared" si="15383"/>
        <v>0</v>
      </c>
      <c r="JA675" s="89">
        <v>0</v>
      </c>
      <c r="JB675" s="89">
        <f t="shared" si="15384"/>
        <v>0</v>
      </c>
      <c r="JC675" s="89">
        <f t="shared" si="15385"/>
        <v>0</v>
      </c>
      <c r="JD675" s="89">
        <v>0</v>
      </c>
      <c r="JE675" s="89">
        <f t="shared" si="15386"/>
        <v>0</v>
      </c>
      <c r="JF675" s="89">
        <f t="shared" si="15387"/>
        <v>0</v>
      </c>
      <c r="JG675" s="89">
        <v>0</v>
      </c>
      <c r="JH675" s="89">
        <f t="shared" si="15388"/>
        <v>0</v>
      </c>
      <c r="JI675" s="89">
        <f t="shared" si="15389"/>
        <v>0</v>
      </c>
      <c r="JJ675" s="89">
        <v>0</v>
      </c>
      <c r="JK675" s="89">
        <f t="shared" si="15390"/>
        <v>0</v>
      </c>
      <c r="JL675" s="89">
        <f t="shared" si="15391"/>
        <v>0</v>
      </c>
      <c r="JM675" s="89">
        <v>0</v>
      </c>
      <c r="JN675" s="89">
        <f t="shared" si="15392"/>
        <v>0</v>
      </c>
      <c r="JO675" s="89">
        <f t="shared" si="15393"/>
        <v>0</v>
      </c>
      <c r="JP675" s="89">
        <v>0</v>
      </c>
      <c r="JQ675" s="89">
        <f t="shared" ref="JQ675:JR675" si="15399">JP675</f>
        <v>0</v>
      </c>
      <c r="JR675" s="89">
        <f t="shared" si="15399"/>
        <v>0</v>
      </c>
      <c r="JS675" s="74">
        <f t="shared" si="15357"/>
        <v>0</v>
      </c>
      <c r="JT675" s="382">
        <f t="shared" si="15358"/>
        <v>0</v>
      </c>
      <c r="JU675" s="665"/>
      <c r="JV675" s="524"/>
      <c r="JW675" s="525"/>
      <c r="JX675" s="549">
        <f t="shared" ref="JX675:JX680" si="15400">SUM(HH675,HJ675,HL675,HN675,HP675,HR675,HT675,HV675,HX675,HZ675,IB675,ID675)</f>
        <v>0</v>
      </c>
      <c r="JY675" s="549">
        <f t="shared" si="15269"/>
        <v>20000</v>
      </c>
      <c r="JZ675" s="581">
        <f t="shared" si="14740"/>
        <v>0</v>
      </c>
      <c r="KA675" s="581">
        <f t="shared" si="14741"/>
        <v>-20000</v>
      </c>
      <c r="KB675" s="566">
        <f t="shared" ref="KB675:KB679" si="15401">SUM(JX675:KA675)</f>
        <v>0</v>
      </c>
      <c r="KC675" s="709">
        <f t="shared" si="14739"/>
        <v>0</v>
      </c>
      <c r="KD675" s="491"/>
      <c r="KE675" s="491"/>
      <c r="KF675" s="491"/>
      <c r="KG675" s="491"/>
      <c r="KH675" s="36"/>
      <c r="KI675" s="36"/>
      <c r="KJ675" s="36"/>
      <c r="KK675" s="36"/>
    </row>
    <row r="676" spans="1:297" s="8" customFormat="1">
      <c r="A676" s="612" t="s">
        <v>1324</v>
      </c>
      <c r="B676" s="512"/>
      <c r="C676" s="74">
        <v>0</v>
      </c>
      <c r="D676" s="549">
        <v>0</v>
      </c>
      <c r="E676" s="675">
        <v>0</v>
      </c>
      <c r="F676" s="549">
        <v>0</v>
      </c>
      <c r="G676" s="675">
        <v>0</v>
      </c>
      <c r="H676" s="549">
        <v>0</v>
      </c>
      <c r="I676" s="675">
        <v>0</v>
      </c>
      <c r="J676" s="549">
        <v>0</v>
      </c>
      <c r="K676" s="675">
        <v>0</v>
      </c>
      <c r="L676" s="549">
        <v>0</v>
      </c>
      <c r="M676" s="675">
        <v>0</v>
      </c>
      <c r="N676" s="549">
        <v>0</v>
      </c>
      <c r="O676" s="675">
        <v>0</v>
      </c>
      <c r="P676" s="549">
        <v>0</v>
      </c>
      <c r="Q676" s="675">
        <v>0</v>
      </c>
      <c r="R676" s="549">
        <v>0</v>
      </c>
      <c r="S676" s="675">
        <v>0</v>
      </c>
      <c r="T676" s="549">
        <v>0</v>
      </c>
      <c r="U676" s="675">
        <v>0</v>
      </c>
      <c r="V676" s="549">
        <v>0</v>
      </c>
      <c r="W676" s="675">
        <v>0</v>
      </c>
      <c r="X676" s="549">
        <v>0</v>
      </c>
      <c r="Y676" s="675">
        <v>0</v>
      </c>
      <c r="Z676" s="549">
        <v>0</v>
      </c>
      <c r="AA676" s="675">
        <v>0</v>
      </c>
      <c r="AB676" s="549">
        <v>0</v>
      </c>
      <c r="AC676" s="675">
        <v>0</v>
      </c>
      <c r="AD676" s="549">
        <v>0</v>
      </c>
      <c r="AE676" s="675">
        <v>0</v>
      </c>
      <c r="AF676" s="549">
        <v>0</v>
      </c>
      <c r="AG676" s="675">
        <v>0</v>
      </c>
      <c r="AH676" s="549">
        <v>0</v>
      </c>
      <c r="AI676" s="675">
        <v>0</v>
      </c>
      <c r="AJ676" s="549">
        <v>0</v>
      </c>
      <c r="AK676" s="675">
        <v>0</v>
      </c>
      <c r="AL676" s="549">
        <v>0</v>
      </c>
      <c r="AM676" s="675">
        <v>0</v>
      </c>
      <c r="AN676" s="549">
        <v>0</v>
      </c>
      <c r="AO676" s="675">
        <v>0</v>
      </c>
      <c r="AP676" s="549">
        <v>34725</v>
      </c>
      <c r="AQ676" s="675">
        <v>0</v>
      </c>
      <c r="AR676" s="549">
        <v>0</v>
      </c>
      <c r="AS676" s="675">
        <v>0</v>
      </c>
      <c r="AT676" s="549">
        <v>0</v>
      </c>
      <c r="AU676" s="675">
        <v>0</v>
      </c>
      <c r="AV676" s="549">
        <v>0</v>
      </c>
      <c r="AW676" s="675">
        <v>0</v>
      </c>
      <c r="AX676" s="549">
        <v>0</v>
      </c>
      <c r="AY676" s="675">
        <v>0</v>
      </c>
      <c r="AZ676" s="549">
        <v>0</v>
      </c>
      <c r="BA676" s="675">
        <v>0</v>
      </c>
      <c r="BB676" s="549">
        <v>0</v>
      </c>
      <c r="BC676" s="675">
        <v>0</v>
      </c>
      <c r="BD676" s="549">
        <v>0</v>
      </c>
      <c r="BE676" s="675">
        <v>0</v>
      </c>
      <c r="BF676" s="549">
        <v>0</v>
      </c>
      <c r="BG676" s="675">
        <v>0</v>
      </c>
      <c r="BH676" s="549">
        <v>0</v>
      </c>
      <c r="BI676" s="675">
        <v>0</v>
      </c>
      <c r="BJ676" s="549">
        <v>0</v>
      </c>
      <c r="BK676" s="675">
        <v>0</v>
      </c>
      <c r="BL676" s="549">
        <v>0</v>
      </c>
      <c r="BM676" s="675">
        <v>0</v>
      </c>
      <c r="BN676" s="549">
        <v>0</v>
      </c>
      <c r="BO676" s="675">
        <v>0</v>
      </c>
      <c r="BP676" s="549">
        <v>0</v>
      </c>
      <c r="BQ676" s="675">
        <v>0</v>
      </c>
      <c r="BR676" s="549">
        <v>0</v>
      </c>
      <c r="BS676" s="675">
        <v>0</v>
      </c>
      <c r="BT676" s="549">
        <v>0</v>
      </c>
      <c r="BU676" s="675">
        <v>0</v>
      </c>
      <c r="BV676" s="549">
        <v>0</v>
      </c>
      <c r="BW676" s="675">
        <v>0</v>
      </c>
      <c r="BX676" s="549">
        <v>0</v>
      </c>
      <c r="BY676" s="675">
        <v>0</v>
      </c>
      <c r="BZ676" s="549">
        <v>0</v>
      </c>
      <c r="CA676" s="675">
        <v>0</v>
      </c>
      <c r="CB676" s="549">
        <v>0</v>
      </c>
      <c r="CC676" s="675">
        <v>0</v>
      </c>
      <c r="CD676" s="549">
        <v>0</v>
      </c>
      <c r="CE676" s="675">
        <v>0</v>
      </c>
      <c r="CF676" s="549">
        <v>0</v>
      </c>
      <c r="CG676" s="675">
        <v>0</v>
      </c>
      <c r="CH676" s="549">
        <v>0</v>
      </c>
      <c r="CI676" s="675">
        <v>0</v>
      </c>
      <c r="CJ676" s="549">
        <v>0</v>
      </c>
      <c r="CK676" s="675">
        <v>0</v>
      </c>
      <c r="CL676" s="549">
        <v>0</v>
      </c>
      <c r="CM676" s="675">
        <v>0</v>
      </c>
      <c r="CN676" s="549">
        <v>0</v>
      </c>
      <c r="CO676" s="675">
        <v>0</v>
      </c>
      <c r="CP676" s="549">
        <v>0</v>
      </c>
      <c r="CQ676" s="675">
        <v>0</v>
      </c>
      <c r="CR676" s="549">
        <v>0</v>
      </c>
      <c r="CS676" s="675">
        <v>0</v>
      </c>
      <c r="CT676" s="549">
        <v>0</v>
      </c>
      <c r="CU676" s="675">
        <v>0</v>
      </c>
      <c r="CV676" s="549">
        <v>0</v>
      </c>
      <c r="CW676" s="675">
        <v>0</v>
      </c>
      <c r="CX676" s="549">
        <v>0</v>
      </c>
      <c r="CY676" s="675">
        <v>0</v>
      </c>
      <c r="CZ676" s="549">
        <v>0</v>
      </c>
      <c r="DA676" s="675">
        <v>0</v>
      </c>
      <c r="DB676" s="549">
        <v>34000</v>
      </c>
      <c r="DC676" s="675">
        <v>0</v>
      </c>
      <c r="DD676" s="549">
        <v>0</v>
      </c>
      <c r="DE676" s="675">
        <v>0</v>
      </c>
      <c r="DF676" s="549">
        <v>0</v>
      </c>
      <c r="DG676" s="675">
        <v>0</v>
      </c>
      <c r="DH676" s="549">
        <v>0</v>
      </c>
      <c r="DI676" s="675">
        <v>0</v>
      </c>
      <c r="DJ676" s="549">
        <v>0</v>
      </c>
      <c r="DK676" s="675">
        <v>0</v>
      </c>
      <c r="DL676" s="549">
        <v>0</v>
      </c>
      <c r="DM676" s="675">
        <v>0</v>
      </c>
      <c r="DN676" s="549">
        <v>0</v>
      </c>
      <c r="DO676" s="675">
        <v>0</v>
      </c>
      <c r="DP676" s="549">
        <v>0</v>
      </c>
      <c r="DQ676" s="675">
        <v>0</v>
      </c>
      <c r="DR676" s="549">
        <v>2331</v>
      </c>
      <c r="DS676" s="675">
        <v>0</v>
      </c>
      <c r="DT676" s="549">
        <v>0</v>
      </c>
      <c r="DU676" s="675">
        <v>0</v>
      </c>
      <c r="DV676" s="549">
        <v>0</v>
      </c>
      <c r="DW676" s="675">
        <v>0</v>
      </c>
      <c r="DX676" s="549">
        <v>0</v>
      </c>
      <c r="DY676" s="675">
        <v>0</v>
      </c>
      <c r="DZ676" s="549">
        <v>0</v>
      </c>
      <c r="EA676" s="675">
        <v>0</v>
      </c>
      <c r="EB676" s="549">
        <v>0</v>
      </c>
      <c r="EC676" s="675">
        <v>0</v>
      </c>
      <c r="ED676" s="549">
        <v>0</v>
      </c>
      <c r="EE676" s="675">
        <v>0</v>
      </c>
      <c r="EF676" s="549">
        <v>0</v>
      </c>
      <c r="EG676" s="675">
        <v>0</v>
      </c>
      <c r="EH676" s="549">
        <v>0</v>
      </c>
      <c r="EI676" s="675">
        <v>0</v>
      </c>
      <c r="EJ676" s="549">
        <v>0</v>
      </c>
      <c r="EK676" s="675">
        <v>0</v>
      </c>
      <c r="EL676" s="549">
        <v>0</v>
      </c>
      <c r="EM676" s="675">
        <v>0</v>
      </c>
      <c r="EN676" s="549">
        <v>49219</v>
      </c>
      <c r="EO676" s="675">
        <v>0</v>
      </c>
      <c r="EP676" s="549">
        <v>0</v>
      </c>
      <c r="EQ676" s="675">
        <v>0</v>
      </c>
      <c r="ER676" s="549">
        <v>0</v>
      </c>
      <c r="ES676" s="675">
        <v>-49219</v>
      </c>
      <c r="ET676" s="549">
        <v>0</v>
      </c>
      <c r="EU676" s="675">
        <v>0</v>
      </c>
      <c r="EV676" s="549">
        <v>0</v>
      </c>
      <c r="EW676" s="675">
        <v>0</v>
      </c>
      <c r="EX676" s="549">
        <v>0</v>
      </c>
      <c r="EY676" s="675">
        <v>0</v>
      </c>
      <c r="EZ676" s="549">
        <v>0</v>
      </c>
      <c r="FA676" s="675">
        <v>0</v>
      </c>
      <c r="FB676" s="549">
        <v>0</v>
      </c>
      <c r="FC676" s="675">
        <v>0</v>
      </c>
      <c r="FD676" s="549">
        <v>0</v>
      </c>
      <c r="FE676" s="675">
        <v>0</v>
      </c>
      <c r="FF676" s="549">
        <v>0</v>
      </c>
      <c r="FG676" s="675">
        <v>0</v>
      </c>
      <c r="FH676" s="549">
        <v>0</v>
      </c>
      <c r="FI676" s="675">
        <v>0</v>
      </c>
      <c r="FJ676" s="549">
        <v>0</v>
      </c>
      <c r="FK676" s="675">
        <v>0</v>
      </c>
      <c r="FL676" s="549">
        <v>0</v>
      </c>
      <c r="FM676" s="675">
        <v>0</v>
      </c>
      <c r="FN676" s="549">
        <v>0</v>
      </c>
      <c r="FO676" s="675">
        <v>0</v>
      </c>
      <c r="FP676" s="549">
        <v>0</v>
      </c>
      <c r="FQ676" s="675">
        <v>0</v>
      </c>
      <c r="FR676" s="549">
        <v>0</v>
      </c>
      <c r="FS676" s="675">
        <v>0</v>
      </c>
      <c r="FT676" s="549">
        <v>0</v>
      </c>
      <c r="FU676" s="675">
        <v>0</v>
      </c>
      <c r="FV676" s="549">
        <v>0</v>
      </c>
      <c r="FW676" s="675">
        <v>0</v>
      </c>
      <c r="FX676" s="549">
        <v>0</v>
      </c>
      <c r="FY676" s="675">
        <v>0</v>
      </c>
      <c r="FZ676" s="549">
        <v>0</v>
      </c>
      <c r="GA676" s="675">
        <v>0</v>
      </c>
      <c r="GB676" s="549">
        <v>0</v>
      </c>
      <c r="GC676" s="675">
        <v>0</v>
      </c>
      <c r="GD676" s="549">
        <v>0</v>
      </c>
      <c r="GE676" s="675">
        <v>0</v>
      </c>
      <c r="GF676" s="549">
        <v>0</v>
      </c>
      <c r="GG676" s="675">
        <v>0</v>
      </c>
      <c r="GH676" s="549">
        <v>0</v>
      </c>
      <c r="GI676" s="675">
        <v>0</v>
      </c>
      <c r="GJ676" s="549">
        <v>0</v>
      </c>
      <c r="GK676" s="675">
        <v>0</v>
      </c>
      <c r="GL676" s="549">
        <v>0</v>
      </c>
      <c r="GM676" s="675">
        <v>0</v>
      </c>
      <c r="GN676" s="549">
        <v>0</v>
      </c>
      <c r="GO676" s="675">
        <v>0</v>
      </c>
      <c r="GP676" s="549">
        <f t="shared" si="15360"/>
        <v>120275</v>
      </c>
      <c r="GQ676" s="675">
        <f t="shared" si="15361"/>
        <v>-49219</v>
      </c>
      <c r="GR676" s="74">
        <f t="shared" si="15328"/>
        <v>71056</v>
      </c>
      <c r="GS676" s="74">
        <f t="shared" si="15329"/>
        <v>71056</v>
      </c>
      <c r="GT676" s="568">
        <f t="shared" si="15330"/>
        <v>71056</v>
      </c>
      <c r="GU676" s="275">
        <v>0</v>
      </c>
      <c r="GV676" s="275">
        <v>0</v>
      </c>
      <c r="GW676" s="275">
        <v>0</v>
      </c>
      <c r="GX676" s="275">
        <v>0</v>
      </c>
      <c r="GY676" s="275">
        <v>0</v>
      </c>
      <c r="GZ676" s="275">
        <v>0</v>
      </c>
      <c r="HA676" s="275">
        <v>0</v>
      </c>
      <c r="HB676" s="275">
        <v>0</v>
      </c>
      <c r="HC676" s="275">
        <v>0</v>
      </c>
      <c r="HD676" s="275">
        <v>0</v>
      </c>
      <c r="HE676" s="275">
        <v>0</v>
      </c>
      <c r="HF676" s="275">
        <v>0</v>
      </c>
      <c r="HG676" s="74">
        <f t="shared" si="15397"/>
        <v>71056</v>
      </c>
      <c r="HH676" s="275">
        <v>0</v>
      </c>
      <c r="HI676" s="322">
        <v>0</v>
      </c>
      <c r="HJ676" s="275">
        <v>0</v>
      </c>
      <c r="HK676" s="322">
        <v>0</v>
      </c>
      <c r="HL676" s="275">
        <v>0</v>
      </c>
      <c r="HM676" s="322">
        <v>0</v>
      </c>
      <c r="HN676" s="275">
        <v>0</v>
      </c>
      <c r="HO676" s="322">
        <v>0</v>
      </c>
      <c r="HP676" s="275">
        <v>0</v>
      </c>
      <c r="HQ676" s="322">
        <v>0</v>
      </c>
      <c r="HR676" s="275">
        <v>0</v>
      </c>
      <c r="HS676" s="322">
        <v>0</v>
      </c>
      <c r="HT676" s="275">
        <v>0</v>
      </c>
      <c r="HU676" s="322">
        <v>0</v>
      </c>
      <c r="HV676" s="275">
        <v>0</v>
      </c>
      <c r="HW676" s="322">
        <v>0</v>
      </c>
      <c r="HX676" s="275">
        <v>0</v>
      </c>
      <c r="HY676" s="322">
        <v>0</v>
      </c>
      <c r="HZ676" s="275">
        <v>0</v>
      </c>
      <c r="IA676" s="322">
        <v>0</v>
      </c>
      <c r="IB676" s="275">
        <v>0</v>
      </c>
      <c r="IC676" s="322">
        <v>0</v>
      </c>
      <c r="ID676" s="275">
        <v>0</v>
      </c>
      <c r="IE676" s="322">
        <v>0</v>
      </c>
      <c r="IF676" s="841">
        <f t="shared" si="15331"/>
        <v>0</v>
      </c>
      <c r="IG676" s="263">
        <f t="shared" si="15332"/>
        <v>0</v>
      </c>
      <c r="IH676" s="842">
        <f t="shared" si="15333"/>
        <v>0</v>
      </c>
      <c r="II676" s="89">
        <v>0</v>
      </c>
      <c r="IJ676" s="89">
        <f t="shared" si="15372"/>
        <v>0</v>
      </c>
      <c r="IK676" s="89">
        <f t="shared" si="15373"/>
        <v>0</v>
      </c>
      <c r="IL676" s="89">
        <v>0</v>
      </c>
      <c r="IM676" s="89">
        <f t="shared" si="15374"/>
        <v>0</v>
      </c>
      <c r="IN676" s="89">
        <f t="shared" si="15375"/>
        <v>0</v>
      </c>
      <c r="IO676" s="89">
        <v>0</v>
      </c>
      <c r="IP676" s="89">
        <f t="shared" si="15376"/>
        <v>0</v>
      </c>
      <c r="IQ676" s="89">
        <f t="shared" si="15377"/>
        <v>0</v>
      </c>
      <c r="IR676" s="89">
        <v>0</v>
      </c>
      <c r="IS676" s="89">
        <f t="shared" si="15378"/>
        <v>0</v>
      </c>
      <c r="IT676" s="89">
        <f t="shared" si="15379"/>
        <v>0</v>
      </c>
      <c r="IU676" s="89">
        <v>0</v>
      </c>
      <c r="IV676" s="89">
        <f t="shared" si="15380"/>
        <v>0</v>
      </c>
      <c r="IW676" s="89">
        <f t="shared" si="15381"/>
        <v>0</v>
      </c>
      <c r="IX676" s="89">
        <v>0</v>
      </c>
      <c r="IY676" s="89">
        <f t="shared" si="15382"/>
        <v>0</v>
      </c>
      <c r="IZ676" s="89">
        <f t="shared" si="15383"/>
        <v>0</v>
      </c>
      <c r="JA676" s="89">
        <v>0</v>
      </c>
      <c r="JB676" s="89">
        <f t="shared" si="15384"/>
        <v>0</v>
      </c>
      <c r="JC676" s="89">
        <f t="shared" si="15385"/>
        <v>0</v>
      </c>
      <c r="JD676" s="89">
        <v>0</v>
      </c>
      <c r="JE676" s="89">
        <f t="shared" si="15386"/>
        <v>0</v>
      </c>
      <c r="JF676" s="89">
        <f t="shared" si="15387"/>
        <v>0</v>
      </c>
      <c r="JG676" s="89">
        <v>0</v>
      </c>
      <c r="JH676" s="89">
        <f t="shared" si="15388"/>
        <v>0</v>
      </c>
      <c r="JI676" s="89">
        <f t="shared" si="15389"/>
        <v>0</v>
      </c>
      <c r="JJ676" s="89">
        <v>0</v>
      </c>
      <c r="JK676" s="89">
        <f t="shared" si="15390"/>
        <v>0</v>
      </c>
      <c r="JL676" s="89">
        <f t="shared" si="15391"/>
        <v>0</v>
      </c>
      <c r="JM676" s="89">
        <v>0</v>
      </c>
      <c r="JN676" s="89">
        <f t="shared" si="15392"/>
        <v>0</v>
      </c>
      <c r="JO676" s="89">
        <f t="shared" si="15393"/>
        <v>0</v>
      </c>
      <c r="JP676" s="89">
        <v>0</v>
      </c>
      <c r="JQ676" s="89">
        <f t="shared" ref="JQ676:JR676" si="15402">JP676</f>
        <v>0</v>
      </c>
      <c r="JR676" s="89">
        <f t="shared" si="15402"/>
        <v>0</v>
      </c>
      <c r="JS676" s="74">
        <f>HG676-IF676</f>
        <v>71056</v>
      </c>
      <c r="JT676" s="382">
        <f>GS676-IF676</f>
        <v>71056</v>
      </c>
      <c r="JU676" s="665"/>
      <c r="JV676" s="524"/>
      <c r="JW676" s="525"/>
      <c r="JX676" s="549">
        <f t="shared" si="15400"/>
        <v>0</v>
      </c>
      <c r="JY676" s="549">
        <f>SUM(HI676,HK676,HM676,HO676,HQ676,HS676,HU676,HW676,HY676,IA676,IC676,IE676)</f>
        <v>0</v>
      </c>
      <c r="JZ676" s="581">
        <f>GP676</f>
        <v>120275</v>
      </c>
      <c r="KA676" s="581">
        <f>GQ676</f>
        <v>-49219</v>
      </c>
      <c r="KB676" s="566">
        <f t="shared" si="15401"/>
        <v>71056</v>
      </c>
      <c r="KC676" s="709">
        <f t="shared" si="14739"/>
        <v>0</v>
      </c>
      <c r="KD676" s="491"/>
      <c r="KE676" s="491"/>
      <c r="KF676" s="491"/>
      <c r="KG676" s="491"/>
      <c r="KH676" s="36"/>
      <c r="KI676" s="36"/>
      <c r="KJ676" s="36"/>
      <c r="KK676" s="36"/>
    </row>
    <row r="677" spans="1:297" s="8" customFormat="1">
      <c r="A677" s="612" t="s">
        <v>1212</v>
      </c>
      <c r="B677" s="512"/>
      <c r="C677" s="74">
        <v>0</v>
      </c>
      <c r="D677" s="549">
        <v>0</v>
      </c>
      <c r="E677" s="675">
        <v>0</v>
      </c>
      <c r="F677" s="549">
        <v>0</v>
      </c>
      <c r="G677" s="675">
        <v>0</v>
      </c>
      <c r="H677" s="549">
        <v>0</v>
      </c>
      <c r="I677" s="675">
        <v>0</v>
      </c>
      <c r="J677" s="549">
        <v>0</v>
      </c>
      <c r="K677" s="675">
        <v>0</v>
      </c>
      <c r="L677" s="549">
        <v>0</v>
      </c>
      <c r="M677" s="675">
        <v>0</v>
      </c>
      <c r="N677" s="549">
        <v>0</v>
      </c>
      <c r="O677" s="675">
        <v>0</v>
      </c>
      <c r="P677" s="549">
        <v>0</v>
      </c>
      <c r="Q677" s="675">
        <v>0</v>
      </c>
      <c r="R677" s="549">
        <v>0</v>
      </c>
      <c r="S677" s="675">
        <v>0</v>
      </c>
      <c r="T677" s="549">
        <v>0</v>
      </c>
      <c r="U677" s="675">
        <v>0</v>
      </c>
      <c r="V677" s="549">
        <v>0</v>
      </c>
      <c r="W677" s="675">
        <v>0</v>
      </c>
      <c r="X677" s="549">
        <v>0</v>
      </c>
      <c r="Y677" s="675">
        <v>0</v>
      </c>
      <c r="Z677" s="549">
        <v>0</v>
      </c>
      <c r="AA677" s="675">
        <v>0</v>
      </c>
      <c r="AB677" s="549">
        <v>0</v>
      </c>
      <c r="AC677" s="675">
        <v>0</v>
      </c>
      <c r="AD677" s="549">
        <v>0</v>
      </c>
      <c r="AE677" s="675">
        <v>0</v>
      </c>
      <c r="AF677" s="549">
        <v>0</v>
      </c>
      <c r="AG677" s="675">
        <v>0</v>
      </c>
      <c r="AH677" s="549">
        <v>0</v>
      </c>
      <c r="AI677" s="675">
        <v>0</v>
      </c>
      <c r="AJ677" s="549">
        <v>0</v>
      </c>
      <c r="AK677" s="675">
        <v>0</v>
      </c>
      <c r="AL677" s="549">
        <v>0</v>
      </c>
      <c r="AM677" s="675">
        <v>0</v>
      </c>
      <c r="AN677" s="549">
        <v>0</v>
      </c>
      <c r="AO677" s="675">
        <v>0</v>
      </c>
      <c r="AP677" s="549">
        <v>0</v>
      </c>
      <c r="AQ677" s="675">
        <v>0</v>
      </c>
      <c r="AR677" s="549">
        <v>0</v>
      </c>
      <c r="AS677" s="675">
        <v>0</v>
      </c>
      <c r="AT677" s="549">
        <v>0</v>
      </c>
      <c r="AU677" s="675">
        <v>0</v>
      </c>
      <c r="AV677" s="549">
        <v>0</v>
      </c>
      <c r="AW677" s="675">
        <v>0</v>
      </c>
      <c r="AX677" s="549">
        <v>0</v>
      </c>
      <c r="AY677" s="675">
        <v>0</v>
      </c>
      <c r="AZ677" s="549">
        <v>0</v>
      </c>
      <c r="BA677" s="675">
        <v>0</v>
      </c>
      <c r="BB677" s="549">
        <v>0</v>
      </c>
      <c r="BC677" s="675">
        <v>0</v>
      </c>
      <c r="BD677" s="549">
        <v>0</v>
      </c>
      <c r="BE677" s="675">
        <v>0</v>
      </c>
      <c r="BF677" s="549">
        <v>0</v>
      </c>
      <c r="BG677" s="675">
        <v>0</v>
      </c>
      <c r="BH677" s="549">
        <v>0</v>
      </c>
      <c r="BI677" s="675">
        <v>0</v>
      </c>
      <c r="BJ677" s="549">
        <v>0</v>
      </c>
      <c r="BK677" s="675">
        <v>0</v>
      </c>
      <c r="BL677" s="549">
        <v>0</v>
      </c>
      <c r="BM677" s="675">
        <v>0</v>
      </c>
      <c r="BN677" s="549">
        <v>0</v>
      </c>
      <c r="BO677" s="675">
        <v>0</v>
      </c>
      <c r="BP677" s="549">
        <v>0</v>
      </c>
      <c r="BQ677" s="675">
        <v>0</v>
      </c>
      <c r="BR677" s="549">
        <v>0</v>
      </c>
      <c r="BS677" s="675">
        <v>0</v>
      </c>
      <c r="BT677" s="549">
        <v>0</v>
      </c>
      <c r="BU677" s="675">
        <v>0</v>
      </c>
      <c r="BV677" s="549">
        <v>0</v>
      </c>
      <c r="BW677" s="675">
        <v>0</v>
      </c>
      <c r="BX677" s="549">
        <v>2514</v>
      </c>
      <c r="BY677" s="675">
        <v>0</v>
      </c>
      <c r="BZ677" s="549">
        <v>0</v>
      </c>
      <c r="CA677" s="675">
        <v>0</v>
      </c>
      <c r="CB677" s="549">
        <v>0</v>
      </c>
      <c r="CC677" s="675">
        <v>0</v>
      </c>
      <c r="CD677" s="549">
        <v>0</v>
      </c>
      <c r="CE677" s="675">
        <v>0</v>
      </c>
      <c r="CF677" s="549">
        <v>0</v>
      </c>
      <c r="CG677" s="675">
        <v>0</v>
      </c>
      <c r="CH677" s="549">
        <v>0</v>
      </c>
      <c r="CI677" s="675">
        <v>0</v>
      </c>
      <c r="CJ677" s="549">
        <v>0</v>
      </c>
      <c r="CK677" s="675">
        <v>0</v>
      </c>
      <c r="CL677" s="549">
        <v>0</v>
      </c>
      <c r="CM677" s="675">
        <v>0</v>
      </c>
      <c r="CN677" s="549">
        <v>0</v>
      </c>
      <c r="CO677" s="675">
        <v>0</v>
      </c>
      <c r="CP677" s="549">
        <v>0</v>
      </c>
      <c r="CQ677" s="675">
        <v>0</v>
      </c>
      <c r="CR677" s="549">
        <v>0</v>
      </c>
      <c r="CS677" s="675">
        <v>0</v>
      </c>
      <c r="CT677" s="549">
        <v>0</v>
      </c>
      <c r="CU677" s="675">
        <v>0</v>
      </c>
      <c r="CV677" s="549">
        <v>0</v>
      </c>
      <c r="CW677" s="675">
        <v>0</v>
      </c>
      <c r="CX677" s="549">
        <v>0</v>
      </c>
      <c r="CY677" s="675">
        <v>0</v>
      </c>
      <c r="CZ677" s="549">
        <v>0</v>
      </c>
      <c r="DA677" s="675">
        <v>0</v>
      </c>
      <c r="DB677" s="549">
        <v>66000</v>
      </c>
      <c r="DC677" s="675">
        <v>0</v>
      </c>
      <c r="DD677" s="549">
        <v>5881</v>
      </c>
      <c r="DE677" s="675">
        <v>0</v>
      </c>
      <c r="DF677" s="549">
        <v>0</v>
      </c>
      <c r="DG677" s="675">
        <v>0</v>
      </c>
      <c r="DH677" s="549">
        <v>0</v>
      </c>
      <c r="DI677" s="675">
        <v>0</v>
      </c>
      <c r="DJ677" s="549">
        <v>0</v>
      </c>
      <c r="DK677" s="675">
        <v>0</v>
      </c>
      <c r="DL677" s="549">
        <v>0</v>
      </c>
      <c r="DM677" s="675">
        <v>0</v>
      </c>
      <c r="DN677" s="549">
        <v>0</v>
      </c>
      <c r="DO677" s="675">
        <v>0</v>
      </c>
      <c r="DP677" s="549">
        <v>0</v>
      </c>
      <c r="DQ677" s="675">
        <v>0</v>
      </c>
      <c r="DR677" s="549">
        <v>0</v>
      </c>
      <c r="DS677" s="675">
        <v>-29929</v>
      </c>
      <c r="DT677" s="549">
        <v>0</v>
      </c>
      <c r="DU677" s="675">
        <v>0</v>
      </c>
      <c r="DV677" s="549">
        <v>0</v>
      </c>
      <c r="DW677" s="675">
        <v>0</v>
      </c>
      <c r="DX677" s="549">
        <v>0</v>
      </c>
      <c r="DY677" s="675">
        <v>0</v>
      </c>
      <c r="DZ677" s="549">
        <v>0</v>
      </c>
      <c r="EA677" s="675">
        <v>-4228</v>
      </c>
      <c r="EB677" s="549">
        <v>0</v>
      </c>
      <c r="EC677" s="675">
        <v>0</v>
      </c>
      <c r="ED677" s="549">
        <v>0</v>
      </c>
      <c r="EE677" s="675">
        <v>0</v>
      </c>
      <c r="EF677" s="549">
        <v>0</v>
      </c>
      <c r="EG677" s="675">
        <v>0</v>
      </c>
      <c r="EH677" s="549">
        <v>0</v>
      </c>
      <c r="EI677" s="675">
        <v>0</v>
      </c>
      <c r="EJ677" s="549">
        <v>0</v>
      </c>
      <c r="EK677" s="675">
        <v>0</v>
      </c>
      <c r="EL677" s="549">
        <v>0</v>
      </c>
      <c r="EM677" s="675">
        <v>0</v>
      </c>
      <c r="EN677" s="549">
        <v>0</v>
      </c>
      <c r="EO677" s="675">
        <v>0</v>
      </c>
      <c r="EP677" s="549">
        <v>0</v>
      </c>
      <c r="EQ677" s="675">
        <v>0</v>
      </c>
      <c r="ER677" s="549">
        <v>0</v>
      </c>
      <c r="ES677" s="675">
        <v>0</v>
      </c>
      <c r="ET677" s="549">
        <v>0</v>
      </c>
      <c r="EU677" s="675">
        <v>0</v>
      </c>
      <c r="EV677" s="549">
        <v>0</v>
      </c>
      <c r="EW677" s="675">
        <v>0</v>
      </c>
      <c r="EX677" s="549">
        <v>0</v>
      </c>
      <c r="EY677" s="675">
        <v>0</v>
      </c>
      <c r="EZ677" s="549">
        <v>0</v>
      </c>
      <c r="FA677" s="675">
        <v>0</v>
      </c>
      <c r="FB677" s="549">
        <v>0</v>
      </c>
      <c r="FC677" s="675">
        <v>0</v>
      </c>
      <c r="FD677" s="549">
        <v>0</v>
      </c>
      <c r="FE677" s="675">
        <v>0</v>
      </c>
      <c r="FF677" s="549">
        <v>0</v>
      </c>
      <c r="FG677" s="675">
        <v>0</v>
      </c>
      <c r="FH677" s="549">
        <v>0</v>
      </c>
      <c r="FI677" s="675">
        <v>0</v>
      </c>
      <c r="FJ677" s="549">
        <v>0</v>
      </c>
      <c r="FK677" s="675">
        <v>0</v>
      </c>
      <c r="FL677" s="549">
        <v>0</v>
      </c>
      <c r="FM677" s="675">
        <v>0</v>
      </c>
      <c r="FN677" s="549">
        <v>0</v>
      </c>
      <c r="FO677" s="675">
        <v>-280</v>
      </c>
      <c r="FP677" s="549">
        <v>0</v>
      </c>
      <c r="FQ677" s="675">
        <v>0</v>
      </c>
      <c r="FR677" s="549">
        <v>0</v>
      </c>
      <c r="FS677" s="675">
        <v>0</v>
      </c>
      <c r="FT677" s="549">
        <v>0</v>
      </c>
      <c r="FU677" s="675">
        <v>0</v>
      </c>
      <c r="FV677" s="549">
        <v>0</v>
      </c>
      <c r="FW677" s="675">
        <v>0</v>
      </c>
      <c r="FX677" s="549">
        <v>0</v>
      </c>
      <c r="FY677" s="675">
        <v>0</v>
      </c>
      <c r="FZ677" s="549">
        <v>0</v>
      </c>
      <c r="GA677" s="675">
        <v>0</v>
      </c>
      <c r="GB677" s="549">
        <v>0</v>
      </c>
      <c r="GC677" s="675">
        <v>0</v>
      </c>
      <c r="GD677" s="549">
        <v>0</v>
      </c>
      <c r="GE677" s="675">
        <v>0</v>
      </c>
      <c r="GF677" s="549">
        <v>0</v>
      </c>
      <c r="GG677" s="675">
        <v>0</v>
      </c>
      <c r="GH677" s="549">
        <v>0</v>
      </c>
      <c r="GI677" s="675">
        <v>0</v>
      </c>
      <c r="GJ677" s="549">
        <v>0</v>
      </c>
      <c r="GK677" s="675">
        <v>0</v>
      </c>
      <c r="GL677" s="549">
        <v>0</v>
      </c>
      <c r="GM677" s="675">
        <v>0</v>
      </c>
      <c r="GN677" s="549">
        <v>0</v>
      </c>
      <c r="GO677" s="675">
        <v>0</v>
      </c>
      <c r="GP677" s="549">
        <f t="shared" si="15360"/>
        <v>74395</v>
      </c>
      <c r="GQ677" s="675">
        <f t="shared" si="15361"/>
        <v>-34437</v>
      </c>
      <c r="GR677" s="74">
        <f t="shared" si="15328"/>
        <v>39958</v>
      </c>
      <c r="GS677" s="74">
        <f t="shared" si="15329"/>
        <v>39958</v>
      </c>
      <c r="GT677" s="568">
        <f t="shared" si="15330"/>
        <v>39958</v>
      </c>
      <c r="GU677" s="275">
        <v>0</v>
      </c>
      <c r="GV677" s="275">
        <v>0</v>
      </c>
      <c r="GW677" s="275">
        <v>0</v>
      </c>
      <c r="GX677" s="275">
        <v>0</v>
      </c>
      <c r="GY677" s="275">
        <v>0</v>
      </c>
      <c r="GZ677" s="275">
        <v>0</v>
      </c>
      <c r="HA677" s="275">
        <v>0</v>
      </c>
      <c r="HB677" s="275">
        <v>0</v>
      </c>
      <c r="HC677" s="275">
        <v>0</v>
      </c>
      <c r="HD677" s="275">
        <v>0</v>
      </c>
      <c r="HE677" s="275">
        <v>0</v>
      </c>
      <c r="HF677" s="275">
        <v>0</v>
      </c>
      <c r="HG677" s="74">
        <f t="shared" si="15397"/>
        <v>39958</v>
      </c>
      <c r="HH677" s="275">
        <v>0</v>
      </c>
      <c r="HI677" s="322">
        <v>0</v>
      </c>
      <c r="HJ677" s="275">
        <v>0</v>
      </c>
      <c r="HK677" s="322">
        <v>0</v>
      </c>
      <c r="HL677" s="275">
        <v>0</v>
      </c>
      <c r="HM677" s="322">
        <v>0</v>
      </c>
      <c r="HN677" s="275">
        <v>0</v>
      </c>
      <c r="HO677" s="322">
        <v>0</v>
      </c>
      <c r="HP677" s="275">
        <v>0</v>
      </c>
      <c r="HQ677" s="322">
        <v>0</v>
      </c>
      <c r="HR677" s="275">
        <v>0</v>
      </c>
      <c r="HS677" s="322">
        <v>0</v>
      </c>
      <c r="HT677" s="275">
        <v>0</v>
      </c>
      <c r="HU677" s="322">
        <v>0</v>
      </c>
      <c r="HV677" s="275">
        <v>0</v>
      </c>
      <c r="HW677" s="322">
        <v>0</v>
      </c>
      <c r="HX677" s="275">
        <v>0</v>
      </c>
      <c r="HY677" s="322">
        <v>0</v>
      </c>
      <c r="HZ677" s="275">
        <v>0</v>
      </c>
      <c r="IA677" s="322">
        <v>0</v>
      </c>
      <c r="IB677" s="275">
        <v>0</v>
      </c>
      <c r="IC677" s="322">
        <v>0</v>
      </c>
      <c r="ID677" s="275">
        <v>0</v>
      </c>
      <c r="IE677" s="322">
        <v>0</v>
      </c>
      <c r="IF677" s="841">
        <f t="shared" si="15331"/>
        <v>0</v>
      </c>
      <c r="IG677" s="263">
        <f t="shared" si="15332"/>
        <v>0</v>
      </c>
      <c r="IH677" s="842">
        <f t="shared" si="15333"/>
        <v>0</v>
      </c>
      <c r="II677" s="89">
        <v>0</v>
      </c>
      <c r="IJ677" s="89">
        <f t="shared" si="15372"/>
        <v>0</v>
      </c>
      <c r="IK677" s="89">
        <f t="shared" si="15373"/>
        <v>0</v>
      </c>
      <c r="IL677" s="89">
        <v>0</v>
      </c>
      <c r="IM677" s="89">
        <f t="shared" si="15374"/>
        <v>0</v>
      </c>
      <c r="IN677" s="89">
        <f t="shared" si="15375"/>
        <v>0</v>
      </c>
      <c r="IO677" s="89">
        <v>0</v>
      </c>
      <c r="IP677" s="89">
        <f t="shared" si="15376"/>
        <v>0</v>
      </c>
      <c r="IQ677" s="89">
        <f t="shared" si="15377"/>
        <v>0</v>
      </c>
      <c r="IR677" s="89">
        <v>0</v>
      </c>
      <c r="IS677" s="89">
        <f t="shared" si="15378"/>
        <v>0</v>
      </c>
      <c r="IT677" s="89">
        <f t="shared" si="15379"/>
        <v>0</v>
      </c>
      <c r="IU677" s="89">
        <v>0</v>
      </c>
      <c r="IV677" s="89">
        <f t="shared" si="15380"/>
        <v>0</v>
      </c>
      <c r="IW677" s="89">
        <f t="shared" si="15381"/>
        <v>0</v>
      </c>
      <c r="IX677" s="89">
        <v>0</v>
      </c>
      <c r="IY677" s="89">
        <f t="shared" si="15382"/>
        <v>0</v>
      </c>
      <c r="IZ677" s="89">
        <f t="shared" si="15383"/>
        <v>0</v>
      </c>
      <c r="JA677" s="89">
        <v>0</v>
      </c>
      <c r="JB677" s="89">
        <f t="shared" si="15384"/>
        <v>0</v>
      </c>
      <c r="JC677" s="89">
        <f t="shared" si="15385"/>
        <v>0</v>
      </c>
      <c r="JD677" s="89">
        <v>0</v>
      </c>
      <c r="JE677" s="89">
        <f t="shared" si="15386"/>
        <v>0</v>
      </c>
      <c r="JF677" s="89">
        <f t="shared" si="15387"/>
        <v>0</v>
      </c>
      <c r="JG677" s="89">
        <v>0</v>
      </c>
      <c r="JH677" s="89">
        <f t="shared" si="15388"/>
        <v>0</v>
      </c>
      <c r="JI677" s="89">
        <f t="shared" si="15389"/>
        <v>0</v>
      </c>
      <c r="JJ677" s="89">
        <v>0</v>
      </c>
      <c r="JK677" s="89">
        <f t="shared" si="15390"/>
        <v>0</v>
      </c>
      <c r="JL677" s="89">
        <f t="shared" si="15391"/>
        <v>0</v>
      </c>
      <c r="JM677" s="89">
        <v>0</v>
      </c>
      <c r="JN677" s="89">
        <f t="shared" si="15392"/>
        <v>0</v>
      </c>
      <c r="JO677" s="89">
        <f t="shared" si="15393"/>
        <v>0</v>
      </c>
      <c r="JP677" s="89">
        <v>0</v>
      </c>
      <c r="JQ677" s="89">
        <f t="shared" ref="JQ677:JR677" si="15403">JP677</f>
        <v>0</v>
      </c>
      <c r="JR677" s="89">
        <f t="shared" si="15403"/>
        <v>0</v>
      </c>
      <c r="JS677" s="74">
        <f>HG677-IF677</f>
        <v>39958</v>
      </c>
      <c r="JT677" s="382">
        <f>GS677-IF677</f>
        <v>39958</v>
      </c>
      <c r="JU677" s="665"/>
      <c r="JV677" s="524"/>
      <c r="JW677" s="525"/>
      <c r="JX677" s="549">
        <f t="shared" si="15400"/>
        <v>0</v>
      </c>
      <c r="JY677" s="549">
        <f>SUM(HI677,HK677,HM677,HO677,HQ677,HS677,HU677,HW677,HY677,IA677,IC677,IE677)</f>
        <v>0</v>
      </c>
      <c r="JZ677" s="581">
        <f>GP677</f>
        <v>74395</v>
      </c>
      <c r="KA677" s="581">
        <f>GQ677</f>
        <v>-34437</v>
      </c>
      <c r="KB677" s="566">
        <f t="shared" si="15401"/>
        <v>39958</v>
      </c>
      <c r="KC677" s="709">
        <f t="shared" si="14739"/>
        <v>0</v>
      </c>
      <c r="KD677" s="491"/>
      <c r="KE677" s="491"/>
      <c r="KF677" s="491"/>
      <c r="KG677" s="491"/>
      <c r="KH677" s="36"/>
      <c r="KI677" s="36"/>
      <c r="KJ677" s="36"/>
      <c r="KK677" s="36"/>
    </row>
    <row r="678" spans="1:297" s="8" customFormat="1">
      <c r="A678" s="612" t="s">
        <v>1213</v>
      </c>
      <c r="B678" s="512" t="s">
        <v>1143</v>
      </c>
      <c r="C678" s="74">
        <v>0</v>
      </c>
      <c r="D678" s="549">
        <v>0</v>
      </c>
      <c r="E678" s="675">
        <v>0</v>
      </c>
      <c r="F678" s="549">
        <v>0</v>
      </c>
      <c r="G678" s="675">
        <v>0</v>
      </c>
      <c r="H678" s="549">
        <v>0</v>
      </c>
      <c r="I678" s="675">
        <v>0</v>
      </c>
      <c r="J678" s="549">
        <v>0</v>
      </c>
      <c r="K678" s="675">
        <v>0</v>
      </c>
      <c r="L678" s="549">
        <v>0</v>
      </c>
      <c r="M678" s="675">
        <v>0</v>
      </c>
      <c r="N678" s="549">
        <v>0</v>
      </c>
      <c r="O678" s="675">
        <v>0</v>
      </c>
      <c r="P678" s="549">
        <v>0</v>
      </c>
      <c r="Q678" s="675">
        <v>0</v>
      </c>
      <c r="R678" s="549">
        <v>0</v>
      </c>
      <c r="S678" s="675">
        <v>0</v>
      </c>
      <c r="T678" s="549">
        <v>0</v>
      </c>
      <c r="U678" s="675">
        <v>0</v>
      </c>
      <c r="V678" s="549">
        <v>0</v>
      </c>
      <c r="W678" s="675">
        <v>0</v>
      </c>
      <c r="X678" s="549">
        <v>0</v>
      </c>
      <c r="Y678" s="675">
        <v>0</v>
      </c>
      <c r="Z678" s="549">
        <v>0</v>
      </c>
      <c r="AA678" s="675">
        <v>0</v>
      </c>
      <c r="AB678" s="549">
        <v>0</v>
      </c>
      <c r="AC678" s="675">
        <v>0</v>
      </c>
      <c r="AD678" s="549">
        <v>0</v>
      </c>
      <c r="AE678" s="675">
        <v>0</v>
      </c>
      <c r="AF678" s="549">
        <v>0</v>
      </c>
      <c r="AG678" s="675">
        <v>0</v>
      </c>
      <c r="AH678" s="549">
        <v>0</v>
      </c>
      <c r="AI678" s="675">
        <v>0</v>
      </c>
      <c r="AJ678" s="549">
        <v>0</v>
      </c>
      <c r="AK678" s="675">
        <v>0</v>
      </c>
      <c r="AL678" s="549">
        <v>0</v>
      </c>
      <c r="AM678" s="675">
        <v>0</v>
      </c>
      <c r="AN678" s="549">
        <v>0</v>
      </c>
      <c r="AO678" s="675">
        <v>0</v>
      </c>
      <c r="AP678" s="549">
        <v>0</v>
      </c>
      <c r="AQ678" s="675">
        <v>0</v>
      </c>
      <c r="AR678" s="549">
        <v>0</v>
      </c>
      <c r="AS678" s="675">
        <v>0</v>
      </c>
      <c r="AT678" s="549">
        <v>0</v>
      </c>
      <c r="AU678" s="675">
        <v>0</v>
      </c>
      <c r="AV678" s="549">
        <v>0</v>
      </c>
      <c r="AW678" s="675">
        <v>0</v>
      </c>
      <c r="AX678" s="549">
        <v>0</v>
      </c>
      <c r="AY678" s="675">
        <v>0</v>
      </c>
      <c r="AZ678" s="549">
        <v>0</v>
      </c>
      <c r="BA678" s="675">
        <v>0</v>
      </c>
      <c r="BB678" s="549">
        <v>0</v>
      </c>
      <c r="BC678" s="675">
        <v>0</v>
      </c>
      <c r="BD678" s="549">
        <v>0</v>
      </c>
      <c r="BE678" s="675">
        <v>0</v>
      </c>
      <c r="BF678" s="549">
        <v>0</v>
      </c>
      <c r="BG678" s="675">
        <v>0</v>
      </c>
      <c r="BH678" s="549">
        <v>0</v>
      </c>
      <c r="BI678" s="675">
        <v>0</v>
      </c>
      <c r="BJ678" s="549">
        <v>0</v>
      </c>
      <c r="BK678" s="675">
        <v>0</v>
      </c>
      <c r="BL678" s="549">
        <v>0</v>
      </c>
      <c r="BM678" s="675">
        <v>0</v>
      </c>
      <c r="BN678" s="549">
        <v>0</v>
      </c>
      <c r="BO678" s="675">
        <v>0</v>
      </c>
      <c r="BP678" s="549">
        <v>0</v>
      </c>
      <c r="BQ678" s="675">
        <v>0</v>
      </c>
      <c r="BR678" s="549">
        <v>0</v>
      </c>
      <c r="BS678" s="675">
        <v>0</v>
      </c>
      <c r="BT678" s="549">
        <v>0</v>
      </c>
      <c r="BU678" s="675">
        <v>0</v>
      </c>
      <c r="BV678" s="549">
        <v>0</v>
      </c>
      <c r="BW678" s="675">
        <v>0</v>
      </c>
      <c r="BX678" s="549">
        <v>0</v>
      </c>
      <c r="BY678" s="675">
        <v>0</v>
      </c>
      <c r="BZ678" s="549">
        <v>0</v>
      </c>
      <c r="CA678" s="675">
        <v>0</v>
      </c>
      <c r="CB678" s="549">
        <v>0</v>
      </c>
      <c r="CC678" s="675">
        <v>0</v>
      </c>
      <c r="CD678" s="549">
        <v>0</v>
      </c>
      <c r="CE678" s="675">
        <v>0</v>
      </c>
      <c r="CF678" s="549">
        <v>0</v>
      </c>
      <c r="CG678" s="675">
        <v>0</v>
      </c>
      <c r="CH678" s="549">
        <v>0</v>
      </c>
      <c r="CI678" s="675">
        <v>0</v>
      </c>
      <c r="CJ678" s="549">
        <v>0</v>
      </c>
      <c r="CK678" s="675">
        <v>0</v>
      </c>
      <c r="CL678" s="549">
        <v>0</v>
      </c>
      <c r="CM678" s="675">
        <v>0</v>
      </c>
      <c r="CN678" s="549">
        <v>0</v>
      </c>
      <c r="CO678" s="675">
        <v>0</v>
      </c>
      <c r="CP678" s="549">
        <v>0</v>
      </c>
      <c r="CQ678" s="675">
        <v>0</v>
      </c>
      <c r="CR678" s="549">
        <v>0</v>
      </c>
      <c r="CS678" s="675">
        <v>0</v>
      </c>
      <c r="CT678" s="549">
        <v>0</v>
      </c>
      <c r="CU678" s="675">
        <v>0</v>
      </c>
      <c r="CV678" s="549">
        <v>0</v>
      </c>
      <c r="CW678" s="675">
        <v>0</v>
      </c>
      <c r="CX678" s="549">
        <v>0</v>
      </c>
      <c r="CY678" s="675">
        <v>0</v>
      </c>
      <c r="CZ678" s="549">
        <v>0</v>
      </c>
      <c r="DA678" s="675">
        <v>0</v>
      </c>
      <c r="DB678" s="549">
        <v>0</v>
      </c>
      <c r="DC678" s="675">
        <v>0</v>
      </c>
      <c r="DD678" s="549">
        <v>0</v>
      </c>
      <c r="DE678" s="675">
        <v>0</v>
      </c>
      <c r="DF678" s="549">
        <v>0</v>
      </c>
      <c r="DG678" s="675">
        <v>0</v>
      </c>
      <c r="DH678" s="549">
        <v>0</v>
      </c>
      <c r="DI678" s="675">
        <v>0</v>
      </c>
      <c r="DJ678" s="549">
        <v>0</v>
      </c>
      <c r="DK678" s="675">
        <v>0</v>
      </c>
      <c r="DL678" s="549">
        <v>0</v>
      </c>
      <c r="DM678" s="675">
        <v>0</v>
      </c>
      <c r="DN678" s="549">
        <v>0</v>
      </c>
      <c r="DO678" s="675">
        <v>0</v>
      </c>
      <c r="DP678" s="549">
        <v>0</v>
      </c>
      <c r="DQ678" s="675">
        <v>0</v>
      </c>
      <c r="DR678" s="549">
        <v>26618</v>
      </c>
      <c r="DS678" s="675">
        <v>0</v>
      </c>
      <c r="DT678" s="549">
        <v>0</v>
      </c>
      <c r="DU678" s="675">
        <v>0</v>
      </c>
      <c r="DV678" s="549">
        <v>0</v>
      </c>
      <c r="DW678" s="675">
        <v>0</v>
      </c>
      <c r="DX678" s="549">
        <v>0</v>
      </c>
      <c r="DY678" s="675">
        <v>0</v>
      </c>
      <c r="DZ678" s="549">
        <v>0</v>
      </c>
      <c r="EA678" s="675">
        <v>0</v>
      </c>
      <c r="EB678" s="549">
        <v>0</v>
      </c>
      <c r="EC678" s="675">
        <v>0</v>
      </c>
      <c r="ED678" s="549">
        <v>0</v>
      </c>
      <c r="EE678" s="675">
        <v>0</v>
      </c>
      <c r="EF678" s="549">
        <v>0</v>
      </c>
      <c r="EG678" s="675">
        <v>0</v>
      </c>
      <c r="EH678" s="549">
        <v>0</v>
      </c>
      <c r="EI678" s="675">
        <v>0</v>
      </c>
      <c r="EJ678" s="549">
        <v>0</v>
      </c>
      <c r="EK678" s="675">
        <v>0</v>
      </c>
      <c r="EL678" s="549">
        <v>0</v>
      </c>
      <c r="EM678" s="675">
        <v>0</v>
      </c>
      <c r="EN678" s="549">
        <v>0</v>
      </c>
      <c r="EO678" s="675">
        <v>0</v>
      </c>
      <c r="EP678" s="549">
        <v>0</v>
      </c>
      <c r="EQ678" s="675">
        <v>0</v>
      </c>
      <c r="ER678" s="549">
        <v>0</v>
      </c>
      <c r="ES678" s="675">
        <v>0</v>
      </c>
      <c r="ET678" s="549">
        <v>0</v>
      </c>
      <c r="EU678" s="675">
        <v>0</v>
      </c>
      <c r="EV678" s="549">
        <v>0</v>
      </c>
      <c r="EW678" s="675">
        <v>0</v>
      </c>
      <c r="EX678" s="549">
        <v>0</v>
      </c>
      <c r="EY678" s="675">
        <v>0</v>
      </c>
      <c r="EZ678" s="549">
        <v>0</v>
      </c>
      <c r="FA678" s="675">
        <v>0</v>
      </c>
      <c r="FB678" s="549">
        <v>0</v>
      </c>
      <c r="FC678" s="675">
        <v>0</v>
      </c>
      <c r="FD678" s="549">
        <v>0</v>
      </c>
      <c r="FE678" s="675">
        <v>0</v>
      </c>
      <c r="FF678" s="549">
        <v>0</v>
      </c>
      <c r="FG678" s="675">
        <v>0</v>
      </c>
      <c r="FH678" s="549">
        <v>0</v>
      </c>
      <c r="FI678" s="675">
        <v>0</v>
      </c>
      <c r="FJ678" s="549">
        <v>0</v>
      </c>
      <c r="FK678" s="675">
        <v>0</v>
      </c>
      <c r="FL678" s="549">
        <v>0</v>
      </c>
      <c r="FM678" s="675">
        <v>0</v>
      </c>
      <c r="FN678" s="549">
        <v>0</v>
      </c>
      <c r="FO678" s="675">
        <v>0</v>
      </c>
      <c r="FP678" s="549">
        <v>0</v>
      </c>
      <c r="FQ678" s="675">
        <v>0</v>
      </c>
      <c r="FR678" s="549">
        <v>0</v>
      </c>
      <c r="FS678" s="675">
        <v>0</v>
      </c>
      <c r="FT678" s="549">
        <v>0</v>
      </c>
      <c r="FU678" s="675">
        <v>0</v>
      </c>
      <c r="FV678" s="549">
        <v>0</v>
      </c>
      <c r="FW678" s="675">
        <v>0</v>
      </c>
      <c r="FX678" s="549">
        <v>0</v>
      </c>
      <c r="FY678" s="675">
        <v>0</v>
      </c>
      <c r="FZ678" s="549">
        <v>0</v>
      </c>
      <c r="GA678" s="675">
        <v>0</v>
      </c>
      <c r="GB678" s="549">
        <v>0</v>
      </c>
      <c r="GC678" s="675">
        <v>0</v>
      </c>
      <c r="GD678" s="549">
        <v>0</v>
      </c>
      <c r="GE678" s="675">
        <v>0</v>
      </c>
      <c r="GF678" s="549">
        <v>0</v>
      </c>
      <c r="GG678" s="675">
        <v>0</v>
      </c>
      <c r="GH678" s="549">
        <v>0</v>
      </c>
      <c r="GI678" s="675">
        <v>0</v>
      </c>
      <c r="GJ678" s="549">
        <v>0</v>
      </c>
      <c r="GK678" s="675">
        <v>0</v>
      </c>
      <c r="GL678" s="549">
        <v>0</v>
      </c>
      <c r="GM678" s="675">
        <v>0</v>
      </c>
      <c r="GN678" s="549">
        <v>0</v>
      </c>
      <c r="GO678" s="675">
        <v>0</v>
      </c>
      <c r="GP678" s="549">
        <f t="shared" si="15360"/>
        <v>26618</v>
      </c>
      <c r="GQ678" s="675">
        <f t="shared" si="15361"/>
        <v>0</v>
      </c>
      <c r="GR678" s="74">
        <f t="shared" si="15328"/>
        <v>26618</v>
      </c>
      <c r="GS678" s="74">
        <f t="shared" si="15329"/>
        <v>26618</v>
      </c>
      <c r="GT678" s="568">
        <f t="shared" si="15330"/>
        <v>26618</v>
      </c>
      <c r="GU678" s="275">
        <v>0</v>
      </c>
      <c r="GV678" s="275">
        <v>0</v>
      </c>
      <c r="GW678" s="275">
        <v>0</v>
      </c>
      <c r="GX678" s="275">
        <v>0</v>
      </c>
      <c r="GY678" s="275">
        <v>0</v>
      </c>
      <c r="GZ678" s="275">
        <v>0</v>
      </c>
      <c r="HA678" s="275">
        <v>0</v>
      </c>
      <c r="HB678" s="275">
        <v>0</v>
      </c>
      <c r="HC678" s="275">
        <v>0</v>
      </c>
      <c r="HD678" s="275">
        <v>0</v>
      </c>
      <c r="HE678" s="275">
        <v>0</v>
      </c>
      <c r="HF678" s="275">
        <v>0</v>
      </c>
      <c r="HG678" s="74">
        <f>SUM(HH678:IE678)+GP678+GQ678</f>
        <v>26618</v>
      </c>
      <c r="HH678" s="275">
        <v>0</v>
      </c>
      <c r="HI678" s="322">
        <v>0</v>
      </c>
      <c r="HJ678" s="275">
        <v>0</v>
      </c>
      <c r="HK678" s="322">
        <v>0</v>
      </c>
      <c r="HL678" s="275">
        <v>0</v>
      </c>
      <c r="HM678" s="322">
        <v>0</v>
      </c>
      <c r="HN678" s="275">
        <v>0</v>
      </c>
      <c r="HO678" s="322">
        <v>0</v>
      </c>
      <c r="HP678" s="275">
        <v>0</v>
      </c>
      <c r="HQ678" s="322">
        <v>0</v>
      </c>
      <c r="HR678" s="275">
        <v>0</v>
      </c>
      <c r="HS678" s="322">
        <v>0</v>
      </c>
      <c r="HT678" s="275">
        <v>0</v>
      </c>
      <c r="HU678" s="322">
        <v>0</v>
      </c>
      <c r="HV678" s="275">
        <v>0</v>
      </c>
      <c r="HW678" s="322">
        <v>0</v>
      </c>
      <c r="HX678" s="275">
        <v>0</v>
      </c>
      <c r="HY678" s="322">
        <v>0</v>
      </c>
      <c r="HZ678" s="275">
        <v>0</v>
      </c>
      <c r="IA678" s="322">
        <v>0</v>
      </c>
      <c r="IB678" s="275">
        <v>0</v>
      </c>
      <c r="IC678" s="322">
        <v>0</v>
      </c>
      <c r="ID678" s="275">
        <v>0</v>
      </c>
      <c r="IE678" s="322">
        <v>0</v>
      </c>
      <c r="IF678" s="841">
        <f t="shared" si="15331"/>
        <v>0</v>
      </c>
      <c r="IG678" s="263">
        <f t="shared" si="15332"/>
        <v>0</v>
      </c>
      <c r="IH678" s="842">
        <f t="shared" si="15333"/>
        <v>0</v>
      </c>
      <c r="II678" s="89">
        <v>0</v>
      </c>
      <c r="IJ678" s="89">
        <f t="shared" si="15372"/>
        <v>0</v>
      </c>
      <c r="IK678" s="89">
        <f t="shared" si="15373"/>
        <v>0</v>
      </c>
      <c r="IL678" s="89">
        <v>0</v>
      </c>
      <c r="IM678" s="89">
        <f t="shared" si="15374"/>
        <v>0</v>
      </c>
      <c r="IN678" s="89">
        <f t="shared" si="15375"/>
        <v>0</v>
      </c>
      <c r="IO678" s="89">
        <v>0</v>
      </c>
      <c r="IP678" s="89">
        <f t="shared" si="15376"/>
        <v>0</v>
      </c>
      <c r="IQ678" s="89">
        <f t="shared" si="15377"/>
        <v>0</v>
      </c>
      <c r="IR678" s="89">
        <v>0</v>
      </c>
      <c r="IS678" s="89">
        <f t="shared" si="15378"/>
        <v>0</v>
      </c>
      <c r="IT678" s="89">
        <f t="shared" si="15379"/>
        <v>0</v>
      </c>
      <c r="IU678" s="89">
        <v>0</v>
      </c>
      <c r="IV678" s="89">
        <f t="shared" si="15380"/>
        <v>0</v>
      </c>
      <c r="IW678" s="89">
        <f t="shared" si="15381"/>
        <v>0</v>
      </c>
      <c r="IX678" s="89">
        <v>0</v>
      </c>
      <c r="IY678" s="89">
        <f t="shared" si="15382"/>
        <v>0</v>
      </c>
      <c r="IZ678" s="89">
        <f t="shared" si="15383"/>
        <v>0</v>
      </c>
      <c r="JA678" s="89">
        <v>0</v>
      </c>
      <c r="JB678" s="89">
        <f t="shared" si="15384"/>
        <v>0</v>
      </c>
      <c r="JC678" s="89">
        <f t="shared" si="15385"/>
        <v>0</v>
      </c>
      <c r="JD678" s="89">
        <v>0</v>
      </c>
      <c r="JE678" s="89">
        <f t="shared" si="15386"/>
        <v>0</v>
      </c>
      <c r="JF678" s="89">
        <f t="shared" si="15387"/>
        <v>0</v>
      </c>
      <c r="JG678" s="89">
        <v>0</v>
      </c>
      <c r="JH678" s="89">
        <f t="shared" si="15388"/>
        <v>0</v>
      </c>
      <c r="JI678" s="89">
        <f t="shared" si="15389"/>
        <v>0</v>
      </c>
      <c r="JJ678" s="89">
        <v>0</v>
      </c>
      <c r="JK678" s="89">
        <f t="shared" si="15390"/>
        <v>0</v>
      </c>
      <c r="JL678" s="89">
        <f t="shared" si="15391"/>
        <v>0</v>
      </c>
      <c r="JM678" s="89">
        <v>0</v>
      </c>
      <c r="JN678" s="89">
        <f t="shared" si="15392"/>
        <v>0</v>
      </c>
      <c r="JO678" s="89">
        <f t="shared" si="15393"/>
        <v>0</v>
      </c>
      <c r="JP678" s="89">
        <v>0</v>
      </c>
      <c r="JQ678" s="89">
        <f t="shared" ref="JQ678:JR678" si="15404">JP678</f>
        <v>0</v>
      </c>
      <c r="JR678" s="89">
        <f t="shared" si="15404"/>
        <v>0</v>
      </c>
      <c r="JS678" s="74">
        <f t="shared" si="15357"/>
        <v>26618</v>
      </c>
      <c r="JT678" s="382">
        <f t="shared" si="15358"/>
        <v>26618</v>
      </c>
      <c r="JU678" s="665"/>
      <c r="JV678" s="524"/>
      <c r="JW678" s="525"/>
      <c r="JX678" s="549">
        <f t="shared" si="15400"/>
        <v>0</v>
      </c>
      <c r="JY678" s="549">
        <f t="shared" si="15269"/>
        <v>0</v>
      </c>
      <c r="JZ678" s="581">
        <f t="shared" si="14740"/>
        <v>26618</v>
      </c>
      <c r="KA678" s="581">
        <f t="shared" si="14741"/>
        <v>0</v>
      </c>
      <c r="KB678" s="566">
        <f t="shared" si="15401"/>
        <v>26618</v>
      </c>
      <c r="KC678" s="709">
        <f t="shared" si="14739"/>
        <v>0</v>
      </c>
      <c r="KD678" s="491"/>
      <c r="KE678" s="491"/>
      <c r="KF678" s="491"/>
      <c r="KG678" s="491"/>
      <c r="KH678" s="36"/>
      <c r="KI678" s="36"/>
      <c r="KJ678" s="36"/>
      <c r="KK678" s="36"/>
    </row>
    <row r="679" spans="1:297" s="8" customFormat="1">
      <c r="A679" s="612" t="s">
        <v>1140</v>
      </c>
      <c r="B679" s="512" t="s">
        <v>1144</v>
      </c>
      <c r="C679" s="74">
        <v>50000</v>
      </c>
      <c r="D679" s="549">
        <v>0</v>
      </c>
      <c r="E679" s="675">
        <v>0</v>
      </c>
      <c r="F679" s="549">
        <v>0</v>
      </c>
      <c r="G679" s="675">
        <v>0</v>
      </c>
      <c r="H679" s="549">
        <v>0</v>
      </c>
      <c r="I679" s="675">
        <v>0</v>
      </c>
      <c r="J679" s="549">
        <v>0</v>
      </c>
      <c r="K679" s="675">
        <v>0</v>
      </c>
      <c r="L679" s="549">
        <v>0</v>
      </c>
      <c r="M679" s="675">
        <v>0</v>
      </c>
      <c r="N679" s="549">
        <v>0</v>
      </c>
      <c r="O679" s="675">
        <v>-50000</v>
      </c>
      <c r="P679" s="549">
        <v>0</v>
      </c>
      <c r="Q679" s="675">
        <v>0</v>
      </c>
      <c r="R679" s="549">
        <v>0</v>
      </c>
      <c r="S679" s="675">
        <v>0</v>
      </c>
      <c r="T679" s="549">
        <v>0</v>
      </c>
      <c r="U679" s="675">
        <v>0</v>
      </c>
      <c r="V679" s="549">
        <v>0</v>
      </c>
      <c r="W679" s="675">
        <v>0</v>
      </c>
      <c r="X679" s="549">
        <v>0</v>
      </c>
      <c r="Y679" s="675">
        <v>0</v>
      </c>
      <c r="Z679" s="549">
        <v>0</v>
      </c>
      <c r="AA679" s="675">
        <v>0</v>
      </c>
      <c r="AB679" s="549">
        <v>0</v>
      </c>
      <c r="AC679" s="675">
        <v>0</v>
      </c>
      <c r="AD679" s="549">
        <v>0</v>
      </c>
      <c r="AE679" s="675">
        <v>0</v>
      </c>
      <c r="AF679" s="549">
        <v>0</v>
      </c>
      <c r="AG679" s="675">
        <v>0</v>
      </c>
      <c r="AH679" s="549">
        <v>0</v>
      </c>
      <c r="AI679" s="675">
        <v>0</v>
      </c>
      <c r="AJ679" s="549">
        <v>0</v>
      </c>
      <c r="AK679" s="675">
        <v>0</v>
      </c>
      <c r="AL679" s="549">
        <v>0</v>
      </c>
      <c r="AM679" s="675">
        <v>0</v>
      </c>
      <c r="AN679" s="549">
        <v>0</v>
      </c>
      <c r="AO679" s="675">
        <v>0</v>
      </c>
      <c r="AP679" s="549">
        <v>0</v>
      </c>
      <c r="AQ679" s="675">
        <v>0</v>
      </c>
      <c r="AR679" s="549">
        <v>0</v>
      </c>
      <c r="AS679" s="675">
        <v>0</v>
      </c>
      <c r="AT679" s="549">
        <v>0</v>
      </c>
      <c r="AU679" s="675">
        <v>0</v>
      </c>
      <c r="AV679" s="549">
        <v>0</v>
      </c>
      <c r="AW679" s="675">
        <v>0</v>
      </c>
      <c r="AX679" s="549">
        <v>0</v>
      </c>
      <c r="AY679" s="675">
        <v>0</v>
      </c>
      <c r="AZ679" s="549">
        <v>0</v>
      </c>
      <c r="BA679" s="675">
        <v>0</v>
      </c>
      <c r="BB679" s="549">
        <v>0</v>
      </c>
      <c r="BC679" s="675">
        <v>0</v>
      </c>
      <c r="BD679" s="549">
        <v>0</v>
      </c>
      <c r="BE679" s="675">
        <v>0</v>
      </c>
      <c r="BF679" s="549">
        <v>0</v>
      </c>
      <c r="BG679" s="675">
        <v>0</v>
      </c>
      <c r="BH679" s="549">
        <v>0</v>
      </c>
      <c r="BI679" s="675">
        <v>0</v>
      </c>
      <c r="BJ679" s="549">
        <v>0</v>
      </c>
      <c r="BK679" s="675">
        <v>0</v>
      </c>
      <c r="BL679" s="549">
        <v>0</v>
      </c>
      <c r="BM679" s="675">
        <v>0</v>
      </c>
      <c r="BN679" s="549">
        <v>0</v>
      </c>
      <c r="BO679" s="675">
        <v>0</v>
      </c>
      <c r="BP679" s="549">
        <v>0</v>
      </c>
      <c r="BQ679" s="675">
        <v>0</v>
      </c>
      <c r="BR679" s="549">
        <v>90000</v>
      </c>
      <c r="BS679" s="675">
        <v>0</v>
      </c>
      <c r="BT679" s="549">
        <v>0</v>
      </c>
      <c r="BU679" s="675">
        <v>0</v>
      </c>
      <c r="BV679" s="549">
        <v>0</v>
      </c>
      <c r="BW679" s="675">
        <v>0</v>
      </c>
      <c r="BX679" s="549">
        <v>0</v>
      </c>
      <c r="BY679" s="675">
        <v>0</v>
      </c>
      <c r="BZ679" s="549">
        <v>0</v>
      </c>
      <c r="CA679" s="675">
        <v>0</v>
      </c>
      <c r="CB679" s="549">
        <v>0</v>
      </c>
      <c r="CC679" s="675">
        <v>0</v>
      </c>
      <c r="CD679" s="549">
        <v>0</v>
      </c>
      <c r="CE679" s="675">
        <v>0</v>
      </c>
      <c r="CF679" s="549">
        <v>0</v>
      </c>
      <c r="CG679" s="675">
        <v>0</v>
      </c>
      <c r="CH679" s="549">
        <v>0</v>
      </c>
      <c r="CI679" s="675">
        <v>0</v>
      </c>
      <c r="CJ679" s="549">
        <v>0</v>
      </c>
      <c r="CK679" s="675">
        <v>0</v>
      </c>
      <c r="CL679" s="549">
        <v>0</v>
      </c>
      <c r="CM679" s="675">
        <v>0</v>
      </c>
      <c r="CN679" s="549">
        <v>0</v>
      </c>
      <c r="CO679" s="675">
        <v>0</v>
      </c>
      <c r="CP679" s="549">
        <v>0</v>
      </c>
      <c r="CQ679" s="675">
        <v>0</v>
      </c>
      <c r="CR679" s="549">
        <v>0</v>
      </c>
      <c r="CS679" s="675">
        <v>0</v>
      </c>
      <c r="CT679" s="549">
        <v>0</v>
      </c>
      <c r="CU679" s="675">
        <v>0</v>
      </c>
      <c r="CV679" s="549">
        <v>0</v>
      </c>
      <c r="CW679" s="675">
        <v>0</v>
      </c>
      <c r="CX679" s="549">
        <v>0</v>
      </c>
      <c r="CY679" s="675">
        <v>0</v>
      </c>
      <c r="CZ679" s="549">
        <v>0</v>
      </c>
      <c r="DA679" s="675">
        <v>0</v>
      </c>
      <c r="DB679" s="549">
        <v>0</v>
      </c>
      <c r="DC679" s="675">
        <v>-10000</v>
      </c>
      <c r="DD679" s="549">
        <v>0</v>
      </c>
      <c r="DE679" s="675">
        <v>0</v>
      </c>
      <c r="DF679" s="549">
        <v>0</v>
      </c>
      <c r="DG679" s="675">
        <v>0</v>
      </c>
      <c r="DH679" s="549">
        <v>0</v>
      </c>
      <c r="DI679" s="675">
        <v>0</v>
      </c>
      <c r="DJ679" s="549">
        <v>0</v>
      </c>
      <c r="DK679" s="675">
        <v>0</v>
      </c>
      <c r="DL679" s="549">
        <v>0</v>
      </c>
      <c r="DM679" s="675">
        <v>0</v>
      </c>
      <c r="DN679" s="549">
        <v>0</v>
      </c>
      <c r="DO679" s="675">
        <v>0</v>
      </c>
      <c r="DP679" s="549">
        <v>0</v>
      </c>
      <c r="DQ679" s="675">
        <v>0</v>
      </c>
      <c r="DR679" s="549">
        <v>0</v>
      </c>
      <c r="DS679" s="675">
        <v>0</v>
      </c>
      <c r="DT679" s="549">
        <v>0</v>
      </c>
      <c r="DU679" s="675">
        <v>0</v>
      </c>
      <c r="DV679" s="549">
        <v>0</v>
      </c>
      <c r="DW679" s="675">
        <v>0</v>
      </c>
      <c r="DX679" s="549">
        <v>0</v>
      </c>
      <c r="DY679" s="675">
        <v>0</v>
      </c>
      <c r="DZ679" s="549">
        <v>0</v>
      </c>
      <c r="EA679" s="675">
        <v>0</v>
      </c>
      <c r="EB679" s="549">
        <v>0</v>
      </c>
      <c r="EC679" s="675">
        <v>0</v>
      </c>
      <c r="ED679" s="549">
        <v>0</v>
      </c>
      <c r="EE679" s="675">
        <v>0</v>
      </c>
      <c r="EF679" s="549">
        <v>0</v>
      </c>
      <c r="EG679" s="675">
        <v>0</v>
      </c>
      <c r="EH679" s="549">
        <v>0</v>
      </c>
      <c r="EI679" s="675">
        <v>0</v>
      </c>
      <c r="EJ679" s="549">
        <v>0</v>
      </c>
      <c r="EK679" s="675">
        <v>0</v>
      </c>
      <c r="EL679" s="549">
        <v>0</v>
      </c>
      <c r="EM679" s="675">
        <v>0</v>
      </c>
      <c r="EN679" s="549">
        <v>0</v>
      </c>
      <c r="EO679" s="675">
        <v>0</v>
      </c>
      <c r="EP679" s="549">
        <v>0</v>
      </c>
      <c r="EQ679" s="675">
        <v>0</v>
      </c>
      <c r="ER679" s="549">
        <v>0</v>
      </c>
      <c r="ES679" s="675">
        <v>0</v>
      </c>
      <c r="ET679" s="549">
        <v>0</v>
      </c>
      <c r="EU679" s="675">
        <v>0</v>
      </c>
      <c r="EV679" s="549">
        <v>0</v>
      </c>
      <c r="EW679" s="675">
        <v>0</v>
      </c>
      <c r="EX679" s="549">
        <v>0</v>
      </c>
      <c r="EY679" s="675">
        <v>0</v>
      </c>
      <c r="EZ679" s="549">
        <v>0</v>
      </c>
      <c r="FA679" s="675">
        <v>0</v>
      </c>
      <c r="FB679" s="549">
        <v>0</v>
      </c>
      <c r="FC679" s="675">
        <v>0</v>
      </c>
      <c r="FD679" s="549">
        <v>0</v>
      </c>
      <c r="FE679" s="675">
        <v>0</v>
      </c>
      <c r="FF679" s="549">
        <v>0</v>
      </c>
      <c r="FG679" s="675">
        <v>0</v>
      </c>
      <c r="FH679" s="549">
        <v>0</v>
      </c>
      <c r="FI679" s="675">
        <v>0</v>
      </c>
      <c r="FJ679" s="549">
        <v>0</v>
      </c>
      <c r="FK679" s="675">
        <v>0</v>
      </c>
      <c r="FL679" s="549">
        <v>0</v>
      </c>
      <c r="FM679" s="675">
        <v>0</v>
      </c>
      <c r="FN679" s="549">
        <v>0</v>
      </c>
      <c r="FO679" s="675">
        <v>0</v>
      </c>
      <c r="FP679" s="549">
        <v>0</v>
      </c>
      <c r="FQ679" s="675">
        <v>0</v>
      </c>
      <c r="FR679" s="549">
        <v>0</v>
      </c>
      <c r="FS679" s="675">
        <v>0</v>
      </c>
      <c r="FT679" s="549">
        <v>0</v>
      </c>
      <c r="FU679" s="675">
        <v>0</v>
      </c>
      <c r="FV679" s="549">
        <v>0</v>
      </c>
      <c r="FW679" s="675">
        <v>0</v>
      </c>
      <c r="FX679" s="549">
        <v>0</v>
      </c>
      <c r="FY679" s="675">
        <v>0</v>
      </c>
      <c r="FZ679" s="549">
        <v>0</v>
      </c>
      <c r="GA679" s="675">
        <v>0</v>
      </c>
      <c r="GB679" s="549">
        <v>0</v>
      </c>
      <c r="GC679" s="675">
        <v>0</v>
      </c>
      <c r="GD679" s="549">
        <v>0</v>
      </c>
      <c r="GE679" s="675">
        <v>0</v>
      </c>
      <c r="GF679" s="549">
        <v>0</v>
      </c>
      <c r="GG679" s="675">
        <v>0</v>
      </c>
      <c r="GH679" s="549">
        <v>0</v>
      </c>
      <c r="GI679" s="675">
        <v>0</v>
      </c>
      <c r="GJ679" s="549">
        <v>0</v>
      </c>
      <c r="GK679" s="675">
        <v>0</v>
      </c>
      <c r="GL679" s="549">
        <v>0</v>
      </c>
      <c r="GM679" s="675">
        <v>0</v>
      </c>
      <c r="GN679" s="549">
        <v>0</v>
      </c>
      <c r="GO679" s="675">
        <v>0</v>
      </c>
      <c r="GP679" s="549">
        <f t="shared" si="15360"/>
        <v>90000</v>
      </c>
      <c r="GQ679" s="675">
        <f t="shared" si="15361"/>
        <v>-60000</v>
      </c>
      <c r="GR679" s="74">
        <f t="shared" si="15328"/>
        <v>80000</v>
      </c>
      <c r="GS679" s="74">
        <f t="shared" si="15329"/>
        <v>80000</v>
      </c>
      <c r="GT679" s="568">
        <f t="shared" si="15330"/>
        <v>80000</v>
      </c>
      <c r="GU679" s="275">
        <v>10000</v>
      </c>
      <c r="GV679" s="275">
        <v>40000</v>
      </c>
      <c r="GW679" s="275">
        <v>0</v>
      </c>
      <c r="GX679" s="275">
        <f>15000-15000</f>
        <v>0</v>
      </c>
      <c r="GY679" s="275">
        <v>0</v>
      </c>
      <c r="GZ679" s="275">
        <v>0</v>
      </c>
      <c r="HA679" s="275">
        <f>15000-15000</f>
        <v>0</v>
      </c>
      <c r="HB679" s="275">
        <v>0</v>
      </c>
      <c r="HC679" s="275">
        <v>0</v>
      </c>
      <c r="HD679" s="275">
        <f>10000-10000</f>
        <v>0</v>
      </c>
      <c r="HE679" s="275">
        <v>0</v>
      </c>
      <c r="HF679" s="275">
        <v>0</v>
      </c>
      <c r="HG679" s="74">
        <f t="shared" si="15397"/>
        <v>80000</v>
      </c>
      <c r="HH679" s="275">
        <v>0</v>
      </c>
      <c r="HI679" s="322">
        <v>0</v>
      </c>
      <c r="HJ679" s="275">
        <v>0</v>
      </c>
      <c r="HK679" s="322">
        <v>50000</v>
      </c>
      <c r="HL679" s="275">
        <v>0</v>
      </c>
      <c r="HM679" s="322">
        <v>0</v>
      </c>
      <c r="HN679" s="275">
        <v>0</v>
      </c>
      <c r="HO679" s="322">
        <v>0</v>
      </c>
      <c r="HP679" s="275">
        <v>0</v>
      </c>
      <c r="HQ679" s="322">
        <v>0</v>
      </c>
      <c r="HR679" s="275">
        <v>0</v>
      </c>
      <c r="HS679" s="322">
        <v>0</v>
      </c>
      <c r="HT679" s="275">
        <v>0</v>
      </c>
      <c r="HU679" s="322">
        <v>0</v>
      </c>
      <c r="HV679" s="275">
        <v>0</v>
      </c>
      <c r="HW679" s="322">
        <v>0</v>
      </c>
      <c r="HX679" s="275">
        <v>0</v>
      </c>
      <c r="HY679" s="322">
        <v>0</v>
      </c>
      <c r="HZ679" s="275">
        <v>0</v>
      </c>
      <c r="IA679" s="322">
        <v>0</v>
      </c>
      <c r="IB679" s="275">
        <v>0</v>
      </c>
      <c r="IC679" s="322">
        <v>0</v>
      </c>
      <c r="ID679" s="275">
        <v>0</v>
      </c>
      <c r="IE679" s="322">
        <v>0</v>
      </c>
      <c r="IF679" s="841">
        <f t="shared" si="15331"/>
        <v>0</v>
      </c>
      <c r="IG679" s="263">
        <f t="shared" si="15332"/>
        <v>0</v>
      </c>
      <c r="IH679" s="842">
        <f t="shared" si="15333"/>
        <v>0</v>
      </c>
      <c r="II679" s="89">
        <v>0</v>
      </c>
      <c r="IJ679" s="89">
        <f t="shared" si="15372"/>
        <v>0</v>
      </c>
      <c r="IK679" s="89">
        <f t="shared" si="15373"/>
        <v>0</v>
      </c>
      <c r="IL679" s="89">
        <v>0</v>
      </c>
      <c r="IM679" s="89">
        <f t="shared" si="15374"/>
        <v>0</v>
      </c>
      <c r="IN679" s="89">
        <f t="shared" si="15375"/>
        <v>0</v>
      </c>
      <c r="IO679" s="89">
        <v>0</v>
      </c>
      <c r="IP679" s="89">
        <f t="shared" si="15376"/>
        <v>0</v>
      </c>
      <c r="IQ679" s="89">
        <f t="shared" si="15377"/>
        <v>0</v>
      </c>
      <c r="IR679" s="89">
        <v>0</v>
      </c>
      <c r="IS679" s="89">
        <f t="shared" si="15378"/>
        <v>0</v>
      </c>
      <c r="IT679" s="89">
        <f t="shared" si="15379"/>
        <v>0</v>
      </c>
      <c r="IU679" s="89">
        <v>0</v>
      </c>
      <c r="IV679" s="89">
        <f t="shared" si="15380"/>
        <v>0</v>
      </c>
      <c r="IW679" s="89">
        <f t="shared" si="15381"/>
        <v>0</v>
      </c>
      <c r="IX679" s="89">
        <v>0</v>
      </c>
      <c r="IY679" s="89">
        <f t="shared" si="15382"/>
        <v>0</v>
      </c>
      <c r="IZ679" s="89">
        <f t="shared" si="15383"/>
        <v>0</v>
      </c>
      <c r="JA679" s="89">
        <v>0</v>
      </c>
      <c r="JB679" s="89">
        <f t="shared" si="15384"/>
        <v>0</v>
      </c>
      <c r="JC679" s="89">
        <f t="shared" si="15385"/>
        <v>0</v>
      </c>
      <c r="JD679" s="89">
        <v>0</v>
      </c>
      <c r="JE679" s="89">
        <f t="shared" si="15386"/>
        <v>0</v>
      </c>
      <c r="JF679" s="89">
        <f t="shared" si="15387"/>
        <v>0</v>
      </c>
      <c r="JG679" s="89">
        <v>0</v>
      </c>
      <c r="JH679" s="89">
        <f t="shared" si="15388"/>
        <v>0</v>
      </c>
      <c r="JI679" s="89">
        <f t="shared" si="15389"/>
        <v>0</v>
      </c>
      <c r="JJ679" s="89">
        <v>0</v>
      </c>
      <c r="JK679" s="89">
        <f t="shared" si="15390"/>
        <v>0</v>
      </c>
      <c r="JL679" s="89">
        <f t="shared" si="15391"/>
        <v>0</v>
      </c>
      <c r="JM679" s="89">
        <v>0</v>
      </c>
      <c r="JN679" s="89">
        <f t="shared" si="15392"/>
        <v>0</v>
      </c>
      <c r="JO679" s="89">
        <f t="shared" si="15393"/>
        <v>0</v>
      </c>
      <c r="JP679" s="89">
        <v>0</v>
      </c>
      <c r="JQ679" s="89">
        <f t="shared" ref="JQ679:JR679" si="15405">JP679</f>
        <v>0</v>
      </c>
      <c r="JR679" s="89">
        <f t="shared" si="15405"/>
        <v>0</v>
      </c>
      <c r="JS679" s="74">
        <f>HG679-IF679</f>
        <v>80000</v>
      </c>
      <c r="JT679" s="382">
        <f>GS679-IF679</f>
        <v>80000</v>
      </c>
      <c r="JU679" s="665"/>
      <c r="JV679" s="524"/>
      <c r="JW679" s="525"/>
      <c r="JX679" s="549">
        <f t="shared" si="15400"/>
        <v>0</v>
      </c>
      <c r="JY679" s="549">
        <f>SUM(HI679,HK679,HM679,HO679,HQ679,HS679,HU679,HW679,HY679,IA679,IC679,IE679)</f>
        <v>50000</v>
      </c>
      <c r="JZ679" s="581">
        <f>GP679</f>
        <v>90000</v>
      </c>
      <c r="KA679" s="581">
        <f>GQ679</f>
        <v>-60000</v>
      </c>
      <c r="KB679" s="566">
        <f t="shared" si="15401"/>
        <v>80000</v>
      </c>
      <c r="KC679" s="709">
        <f t="shared" si="14739"/>
        <v>0</v>
      </c>
      <c r="KD679" s="491"/>
      <c r="KE679" s="491"/>
      <c r="KF679" s="491"/>
      <c r="KG679" s="491"/>
      <c r="KH679" s="36"/>
      <c r="KI679" s="36"/>
      <c r="KJ679" s="36"/>
      <c r="KK679" s="36"/>
    </row>
    <row r="680" spans="1:297" s="10" customFormat="1">
      <c r="A680" s="612"/>
      <c r="B680" s="512"/>
      <c r="C680" s="513"/>
      <c r="D680" s="553"/>
      <c r="E680" s="687"/>
      <c r="F680" s="553"/>
      <c r="G680" s="687"/>
      <c r="H680" s="553"/>
      <c r="I680" s="687"/>
      <c r="J680" s="553"/>
      <c r="K680" s="687"/>
      <c r="L680" s="553"/>
      <c r="M680" s="687"/>
      <c r="N680" s="553"/>
      <c r="O680" s="687"/>
      <c r="P680" s="553"/>
      <c r="Q680" s="687"/>
      <c r="R680" s="553"/>
      <c r="S680" s="687"/>
      <c r="T680" s="553"/>
      <c r="U680" s="687"/>
      <c r="V680" s="553"/>
      <c r="W680" s="687"/>
      <c r="X680" s="553"/>
      <c r="Y680" s="687"/>
      <c r="Z680" s="553"/>
      <c r="AA680" s="687"/>
      <c r="AB680" s="553"/>
      <c r="AC680" s="687"/>
      <c r="AD680" s="553"/>
      <c r="AE680" s="687"/>
      <c r="AF680" s="553"/>
      <c r="AG680" s="687"/>
      <c r="AH680" s="553"/>
      <c r="AI680" s="687"/>
      <c r="AJ680" s="553"/>
      <c r="AK680" s="687"/>
      <c r="AL680" s="553"/>
      <c r="AM680" s="687"/>
      <c r="AN680" s="553"/>
      <c r="AO680" s="687"/>
      <c r="AP680" s="553"/>
      <c r="AQ680" s="687"/>
      <c r="AR680" s="553"/>
      <c r="AS680" s="687"/>
      <c r="AT680" s="553"/>
      <c r="AU680" s="687"/>
      <c r="AV680" s="553"/>
      <c r="AW680" s="687"/>
      <c r="AX680" s="553"/>
      <c r="AY680" s="687"/>
      <c r="AZ680" s="553"/>
      <c r="BA680" s="687"/>
      <c r="BB680" s="553"/>
      <c r="BC680" s="687"/>
      <c r="BD680" s="553"/>
      <c r="BE680" s="687"/>
      <c r="BF680" s="553"/>
      <c r="BG680" s="687"/>
      <c r="BH680" s="553"/>
      <c r="BI680" s="687"/>
      <c r="BJ680" s="553"/>
      <c r="BK680" s="687"/>
      <c r="BL680" s="553"/>
      <c r="BM680" s="687"/>
      <c r="BN680" s="553"/>
      <c r="BO680" s="687"/>
      <c r="BP680" s="553"/>
      <c r="BQ680" s="687"/>
      <c r="BR680" s="553"/>
      <c r="BS680" s="687"/>
      <c r="BT680" s="553"/>
      <c r="BU680" s="687"/>
      <c r="BV680" s="553"/>
      <c r="BW680" s="687"/>
      <c r="BX680" s="553"/>
      <c r="BY680" s="687"/>
      <c r="BZ680" s="553"/>
      <c r="CA680" s="687"/>
      <c r="CB680" s="553"/>
      <c r="CC680" s="687"/>
      <c r="CD680" s="553"/>
      <c r="CE680" s="687"/>
      <c r="CF680" s="553"/>
      <c r="CG680" s="687"/>
      <c r="CH680" s="553"/>
      <c r="CI680" s="687"/>
      <c r="CJ680" s="553"/>
      <c r="CK680" s="687"/>
      <c r="CL680" s="553"/>
      <c r="CM680" s="687"/>
      <c r="CN680" s="553"/>
      <c r="CO680" s="687"/>
      <c r="CP680" s="553"/>
      <c r="CQ680" s="687"/>
      <c r="CR680" s="553"/>
      <c r="CS680" s="687"/>
      <c r="CT680" s="553"/>
      <c r="CU680" s="687"/>
      <c r="CV680" s="553"/>
      <c r="CW680" s="687"/>
      <c r="CX680" s="553"/>
      <c r="CY680" s="687"/>
      <c r="CZ680" s="553"/>
      <c r="DA680" s="687"/>
      <c r="DB680" s="553"/>
      <c r="DC680" s="687"/>
      <c r="DD680" s="553"/>
      <c r="DE680" s="687"/>
      <c r="DF680" s="553"/>
      <c r="DG680" s="687"/>
      <c r="DH680" s="553"/>
      <c r="DI680" s="687"/>
      <c r="DJ680" s="553"/>
      <c r="DK680" s="687"/>
      <c r="DL680" s="553"/>
      <c r="DM680" s="687"/>
      <c r="DN680" s="553"/>
      <c r="DO680" s="687"/>
      <c r="DP680" s="553"/>
      <c r="DQ680" s="687"/>
      <c r="DR680" s="553"/>
      <c r="DS680" s="687"/>
      <c r="DT680" s="553"/>
      <c r="DU680" s="687"/>
      <c r="DV680" s="553"/>
      <c r="DW680" s="687"/>
      <c r="DX680" s="553"/>
      <c r="DY680" s="687"/>
      <c r="DZ680" s="553"/>
      <c r="EA680" s="687"/>
      <c r="EB680" s="553"/>
      <c r="EC680" s="687"/>
      <c r="ED680" s="553"/>
      <c r="EE680" s="687"/>
      <c r="EF680" s="553"/>
      <c r="EG680" s="687"/>
      <c r="EH680" s="553"/>
      <c r="EI680" s="687"/>
      <c r="EJ680" s="553"/>
      <c r="EK680" s="687"/>
      <c r="EL680" s="553"/>
      <c r="EM680" s="687"/>
      <c r="EN680" s="553"/>
      <c r="EO680" s="687"/>
      <c r="EP680" s="553"/>
      <c r="EQ680" s="687"/>
      <c r="ER680" s="553"/>
      <c r="ES680" s="687"/>
      <c r="ET680" s="553"/>
      <c r="EU680" s="687"/>
      <c r="EV680" s="553"/>
      <c r="EW680" s="687"/>
      <c r="EX680" s="553"/>
      <c r="EY680" s="687"/>
      <c r="EZ680" s="553"/>
      <c r="FA680" s="687"/>
      <c r="FB680" s="553"/>
      <c r="FC680" s="687"/>
      <c r="FD680" s="553"/>
      <c r="FE680" s="687"/>
      <c r="FF680" s="553"/>
      <c r="FG680" s="687"/>
      <c r="FH680" s="553"/>
      <c r="FI680" s="687"/>
      <c r="FJ680" s="553"/>
      <c r="FK680" s="687"/>
      <c r="FL680" s="553"/>
      <c r="FM680" s="687"/>
      <c r="FN680" s="553"/>
      <c r="FO680" s="687"/>
      <c r="FP680" s="553"/>
      <c r="FQ680" s="687"/>
      <c r="FR680" s="553"/>
      <c r="FS680" s="687"/>
      <c r="FT680" s="553"/>
      <c r="FU680" s="687"/>
      <c r="FV680" s="553"/>
      <c r="FW680" s="687"/>
      <c r="FX680" s="553"/>
      <c r="FY680" s="687"/>
      <c r="FZ680" s="553"/>
      <c r="GA680" s="687"/>
      <c r="GB680" s="553"/>
      <c r="GC680" s="687"/>
      <c r="GD680" s="553"/>
      <c r="GE680" s="687"/>
      <c r="GF680" s="553"/>
      <c r="GG680" s="687"/>
      <c r="GH680" s="553"/>
      <c r="GI680" s="687"/>
      <c r="GJ680" s="553"/>
      <c r="GK680" s="687"/>
      <c r="GL680" s="553"/>
      <c r="GM680" s="687"/>
      <c r="GN680" s="553"/>
      <c r="GO680" s="687"/>
      <c r="GP680" s="553"/>
      <c r="GQ680" s="687"/>
      <c r="GR680" s="487"/>
      <c r="GS680" s="487"/>
      <c r="GT680" s="567"/>
      <c r="GU680" s="493"/>
      <c r="GV680" s="493"/>
      <c r="GW680" s="589"/>
      <c r="GX680" s="589"/>
      <c r="GY680" s="493"/>
      <c r="GZ680" s="493"/>
      <c r="HA680" s="493"/>
      <c r="HB680" s="493"/>
      <c r="HC680" s="493"/>
      <c r="HD680" s="493"/>
      <c r="HE680" s="493"/>
      <c r="HF680" s="493"/>
      <c r="HG680" s="487"/>
      <c r="HH680" s="488"/>
      <c r="HI680" s="829"/>
      <c r="HJ680" s="488"/>
      <c r="HK680" s="829"/>
      <c r="HL680" s="488"/>
      <c r="HM680" s="829"/>
      <c r="HN680" s="488"/>
      <c r="HO680" s="829"/>
      <c r="HP680" s="488"/>
      <c r="HQ680" s="829"/>
      <c r="HR680" s="488"/>
      <c r="HS680" s="829"/>
      <c r="HT680" s="488"/>
      <c r="HU680" s="829"/>
      <c r="HV680" s="488"/>
      <c r="HW680" s="829"/>
      <c r="HX680" s="488"/>
      <c r="HY680" s="829"/>
      <c r="HZ680" s="488"/>
      <c r="IA680" s="829"/>
      <c r="IB680" s="488"/>
      <c r="IC680" s="829"/>
      <c r="ID680" s="488"/>
      <c r="IE680" s="829"/>
      <c r="IF680" s="871"/>
      <c r="IG680" s="486"/>
      <c r="IH680" s="872"/>
      <c r="II680" s="488"/>
      <c r="IJ680" s="488"/>
      <c r="IK680" s="488"/>
      <c r="IL680" s="488"/>
      <c r="IM680" s="488"/>
      <c r="IN680" s="488"/>
      <c r="IO680" s="488"/>
      <c r="IP680" s="488"/>
      <c r="IQ680" s="488"/>
      <c r="IR680" s="488"/>
      <c r="IS680" s="488"/>
      <c r="IT680" s="488"/>
      <c r="IU680" s="488"/>
      <c r="IV680" s="488"/>
      <c r="IW680" s="488"/>
      <c r="IX680" s="488"/>
      <c r="IY680" s="488"/>
      <c r="IZ680" s="488"/>
      <c r="JA680" s="488"/>
      <c r="JB680" s="488"/>
      <c r="JC680" s="488"/>
      <c r="JD680" s="488"/>
      <c r="JE680" s="488"/>
      <c r="JF680" s="488"/>
      <c r="JG680" s="488"/>
      <c r="JH680" s="488"/>
      <c r="JI680" s="488"/>
      <c r="JJ680" s="488"/>
      <c r="JK680" s="488"/>
      <c r="JL680" s="488"/>
      <c r="JM680" s="488"/>
      <c r="JN680" s="488"/>
      <c r="JO680" s="488"/>
      <c r="JP680" s="488"/>
      <c r="JQ680" s="488"/>
      <c r="JR680" s="488"/>
      <c r="JS680" s="487"/>
      <c r="JT680" s="662"/>
      <c r="JU680" s="665"/>
      <c r="JV680" s="524"/>
      <c r="JW680" s="525"/>
      <c r="JX680" s="549">
        <f t="shared" si="15400"/>
        <v>0</v>
      </c>
      <c r="JY680" s="549">
        <f t="shared" si="15269"/>
        <v>0</v>
      </c>
      <c r="JZ680" s="581">
        <f t="shared" si="14740"/>
        <v>0</v>
      </c>
      <c r="KA680" s="581">
        <f t="shared" si="14741"/>
        <v>0</v>
      </c>
      <c r="KB680" s="566">
        <f t="shared" ref="KB680:KB788" si="15406">SUM(JX680:KA680)</f>
        <v>0</v>
      </c>
      <c r="KC680" s="709">
        <f t="shared" si="14739"/>
        <v>0</v>
      </c>
      <c r="KD680" s="491"/>
      <c r="KE680" s="491"/>
      <c r="KF680" s="491"/>
      <c r="KG680" s="491"/>
      <c r="KH680" s="272"/>
      <c r="KI680" s="272"/>
      <c r="KJ680" s="272"/>
      <c r="KK680" s="272"/>
    </row>
    <row r="681" spans="1:297" s="8" customFormat="1">
      <c r="A681" s="613" t="s">
        <v>946</v>
      </c>
      <c r="B681" s="514" t="s">
        <v>947</v>
      </c>
      <c r="C681" s="513">
        <f t="shared" ref="C681:S681" si="15407">SUM(C682:C683)</f>
        <v>50000</v>
      </c>
      <c r="D681" s="567">
        <f t="shared" si="15407"/>
        <v>0</v>
      </c>
      <c r="E681" s="686">
        <f t="shared" si="15407"/>
        <v>0</v>
      </c>
      <c r="F681" s="567">
        <f t="shared" si="15407"/>
        <v>0</v>
      </c>
      <c r="G681" s="686">
        <f t="shared" si="15407"/>
        <v>0</v>
      </c>
      <c r="H681" s="567">
        <f t="shared" si="15407"/>
        <v>0</v>
      </c>
      <c r="I681" s="686">
        <f t="shared" si="15407"/>
        <v>0</v>
      </c>
      <c r="J681" s="567">
        <f t="shared" si="15407"/>
        <v>0</v>
      </c>
      <c r="K681" s="686">
        <f t="shared" si="15407"/>
        <v>0</v>
      </c>
      <c r="L681" s="567">
        <f t="shared" si="15407"/>
        <v>0</v>
      </c>
      <c r="M681" s="686">
        <f t="shared" si="15407"/>
        <v>0</v>
      </c>
      <c r="N681" s="567">
        <f t="shared" si="15407"/>
        <v>0</v>
      </c>
      <c r="O681" s="686">
        <f t="shared" si="15407"/>
        <v>0</v>
      </c>
      <c r="P681" s="567">
        <f t="shared" si="15407"/>
        <v>0</v>
      </c>
      <c r="Q681" s="686">
        <f t="shared" si="15407"/>
        <v>0</v>
      </c>
      <c r="R681" s="567">
        <f t="shared" si="15407"/>
        <v>0</v>
      </c>
      <c r="S681" s="686">
        <f t="shared" si="15407"/>
        <v>0</v>
      </c>
      <c r="T681" s="567">
        <f t="shared" ref="T681:AM681" si="15408">SUM(T682:T683)</f>
        <v>0</v>
      </c>
      <c r="U681" s="686">
        <f t="shared" si="15408"/>
        <v>0</v>
      </c>
      <c r="V681" s="567">
        <f t="shared" si="15408"/>
        <v>0</v>
      </c>
      <c r="W681" s="686">
        <f t="shared" si="15408"/>
        <v>0</v>
      </c>
      <c r="X681" s="567">
        <f t="shared" si="15408"/>
        <v>0</v>
      </c>
      <c r="Y681" s="686">
        <f t="shared" si="15408"/>
        <v>0</v>
      </c>
      <c r="Z681" s="567">
        <f t="shared" si="15408"/>
        <v>0</v>
      </c>
      <c r="AA681" s="686">
        <f t="shared" si="15408"/>
        <v>0</v>
      </c>
      <c r="AB681" s="567">
        <f t="shared" si="15408"/>
        <v>0</v>
      </c>
      <c r="AC681" s="686">
        <f t="shared" si="15408"/>
        <v>0</v>
      </c>
      <c r="AD681" s="567">
        <f t="shared" ref="AD681:AK681" si="15409">SUM(AD682:AD683)</f>
        <v>0</v>
      </c>
      <c r="AE681" s="686">
        <f t="shared" si="15409"/>
        <v>0</v>
      </c>
      <c r="AF681" s="567">
        <f t="shared" si="15409"/>
        <v>0</v>
      </c>
      <c r="AG681" s="686">
        <f t="shared" si="15409"/>
        <v>0</v>
      </c>
      <c r="AH681" s="567">
        <f t="shared" si="15409"/>
        <v>0</v>
      </c>
      <c r="AI681" s="686">
        <f t="shared" si="15409"/>
        <v>0</v>
      </c>
      <c r="AJ681" s="567">
        <f t="shared" si="15409"/>
        <v>0</v>
      </c>
      <c r="AK681" s="686">
        <f t="shared" si="15409"/>
        <v>0</v>
      </c>
      <c r="AL681" s="567">
        <f t="shared" si="15408"/>
        <v>0</v>
      </c>
      <c r="AM681" s="686">
        <f t="shared" si="15408"/>
        <v>0</v>
      </c>
      <c r="AN681" s="567">
        <f t="shared" ref="AN681:AS681" si="15410">SUM(AN682:AN683)</f>
        <v>0</v>
      </c>
      <c r="AO681" s="686">
        <f t="shared" si="15410"/>
        <v>0</v>
      </c>
      <c r="AP681" s="567">
        <f t="shared" si="15410"/>
        <v>0</v>
      </c>
      <c r="AQ681" s="686">
        <f t="shared" si="15410"/>
        <v>0</v>
      </c>
      <c r="AR681" s="567">
        <f t="shared" si="15410"/>
        <v>0</v>
      </c>
      <c r="AS681" s="686">
        <f t="shared" si="15410"/>
        <v>0</v>
      </c>
      <c r="AT681" s="567">
        <f t="shared" ref="AT681:AU681" si="15411">SUM(AT682:AT683)</f>
        <v>0</v>
      </c>
      <c r="AU681" s="686">
        <f t="shared" si="15411"/>
        <v>0</v>
      </c>
      <c r="AV681" s="567">
        <f t="shared" ref="AV681:AW681" si="15412">SUM(AV682:AV683)</f>
        <v>0</v>
      </c>
      <c r="AW681" s="686">
        <f t="shared" si="15412"/>
        <v>0</v>
      </c>
      <c r="AX681" s="567">
        <f t="shared" ref="AX681:AY681" si="15413">SUM(AX682:AX683)</f>
        <v>0</v>
      </c>
      <c r="AY681" s="686">
        <f t="shared" si="15413"/>
        <v>0</v>
      </c>
      <c r="AZ681" s="567">
        <f t="shared" ref="AZ681:BA681" si="15414">SUM(AZ682:AZ683)</f>
        <v>0</v>
      </c>
      <c r="BA681" s="686">
        <f t="shared" si="15414"/>
        <v>0</v>
      </c>
      <c r="BB681" s="567">
        <f t="shared" ref="BB681:BC681" si="15415">SUM(BB682:BB683)</f>
        <v>0</v>
      </c>
      <c r="BC681" s="686">
        <f t="shared" si="15415"/>
        <v>0</v>
      </c>
      <c r="BD681" s="567">
        <f t="shared" ref="BD681:BE681" si="15416">SUM(BD682:BD683)</f>
        <v>0</v>
      </c>
      <c r="BE681" s="686">
        <f t="shared" si="15416"/>
        <v>0</v>
      </c>
      <c r="BF681" s="567">
        <f t="shared" ref="BF681:BG681" si="15417">SUM(BF682:BF683)</f>
        <v>0</v>
      </c>
      <c r="BG681" s="686">
        <f t="shared" si="15417"/>
        <v>0</v>
      </c>
      <c r="BH681" s="567">
        <f t="shared" ref="BH681:BI681" si="15418">SUM(BH682:BH683)</f>
        <v>0</v>
      </c>
      <c r="BI681" s="686">
        <f t="shared" si="15418"/>
        <v>0</v>
      </c>
      <c r="BJ681" s="567">
        <f t="shared" ref="BJ681:BK681" si="15419">SUM(BJ682:BJ683)</f>
        <v>0</v>
      </c>
      <c r="BK681" s="686">
        <f t="shared" si="15419"/>
        <v>0</v>
      </c>
      <c r="BL681" s="567">
        <f t="shared" ref="BL681:BS681" si="15420">SUM(BL682:BL683)</f>
        <v>0</v>
      </c>
      <c r="BM681" s="686">
        <f t="shared" si="15420"/>
        <v>0</v>
      </c>
      <c r="BN681" s="567">
        <f t="shared" si="15420"/>
        <v>0</v>
      </c>
      <c r="BO681" s="686">
        <f t="shared" si="15420"/>
        <v>0</v>
      </c>
      <c r="BP681" s="567">
        <f t="shared" si="15420"/>
        <v>0</v>
      </c>
      <c r="BQ681" s="686">
        <f t="shared" si="15420"/>
        <v>0</v>
      </c>
      <c r="BR681" s="567">
        <f t="shared" si="15420"/>
        <v>0</v>
      </c>
      <c r="BS681" s="686">
        <f t="shared" si="15420"/>
        <v>0</v>
      </c>
      <c r="BT681" s="567">
        <f t="shared" ref="BT681:BU681" si="15421">SUM(BT682:BT683)</f>
        <v>0</v>
      </c>
      <c r="BU681" s="686">
        <f t="shared" si="15421"/>
        <v>-50000</v>
      </c>
      <c r="BV681" s="567">
        <f t="shared" ref="BV681:BW681" si="15422">SUM(BV682:BV683)</f>
        <v>0</v>
      </c>
      <c r="BW681" s="686">
        <f t="shared" si="15422"/>
        <v>0</v>
      </c>
      <c r="BX681" s="567">
        <f t="shared" ref="BX681:BY681" si="15423">SUM(BX682:BX683)</f>
        <v>0</v>
      </c>
      <c r="BY681" s="686">
        <f t="shared" si="15423"/>
        <v>0</v>
      </c>
      <c r="BZ681" s="567">
        <f t="shared" ref="BZ681:CA681" si="15424">SUM(BZ682:BZ683)</f>
        <v>0</v>
      </c>
      <c r="CA681" s="686">
        <f t="shared" si="15424"/>
        <v>0</v>
      </c>
      <c r="CB681" s="567">
        <f t="shared" ref="CB681:CE681" si="15425">SUM(CB682:CB683)</f>
        <v>0</v>
      </c>
      <c r="CC681" s="686">
        <f t="shared" si="15425"/>
        <v>0</v>
      </c>
      <c r="CD681" s="567">
        <f t="shared" si="15425"/>
        <v>0</v>
      </c>
      <c r="CE681" s="686">
        <f t="shared" si="15425"/>
        <v>0</v>
      </c>
      <c r="CF681" s="567">
        <f t="shared" ref="CF681:CG681" si="15426">SUM(CF682:CF683)</f>
        <v>0</v>
      </c>
      <c r="CG681" s="686">
        <f t="shared" si="15426"/>
        <v>0</v>
      </c>
      <c r="CH681" s="567">
        <f t="shared" ref="CH681:CQ681" si="15427">SUM(CH682:CH683)</f>
        <v>0</v>
      </c>
      <c r="CI681" s="686">
        <f t="shared" si="15427"/>
        <v>0</v>
      </c>
      <c r="CJ681" s="567">
        <f t="shared" si="15427"/>
        <v>0</v>
      </c>
      <c r="CK681" s="686">
        <f t="shared" si="15427"/>
        <v>0</v>
      </c>
      <c r="CL681" s="567">
        <f t="shared" si="15427"/>
        <v>0</v>
      </c>
      <c r="CM681" s="686">
        <f t="shared" si="15427"/>
        <v>0</v>
      </c>
      <c r="CN681" s="567">
        <f t="shared" si="15427"/>
        <v>0</v>
      </c>
      <c r="CO681" s="686">
        <f t="shared" si="15427"/>
        <v>0</v>
      </c>
      <c r="CP681" s="567">
        <f t="shared" si="15427"/>
        <v>0</v>
      </c>
      <c r="CQ681" s="686">
        <f t="shared" si="15427"/>
        <v>0</v>
      </c>
      <c r="CR681" s="567">
        <f t="shared" ref="CR681:CY681" si="15428">SUM(CR682:CR683)</f>
        <v>0</v>
      </c>
      <c r="CS681" s="686">
        <f t="shared" si="15428"/>
        <v>0</v>
      </c>
      <c r="CT681" s="567">
        <f t="shared" si="15428"/>
        <v>0</v>
      </c>
      <c r="CU681" s="686">
        <f t="shared" si="15428"/>
        <v>0</v>
      </c>
      <c r="CV681" s="567">
        <f t="shared" si="15428"/>
        <v>0</v>
      </c>
      <c r="CW681" s="686">
        <f t="shared" si="15428"/>
        <v>0</v>
      </c>
      <c r="CX681" s="567">
        <f t="shared" si="15428"/>
        <v>0</v>
      </c>
      <c r="CY681" s="686">
        <f t="shared" si="15428"/>
        <v>0</v>
      </c>
      <c r="CZ681" s="567">
        <f t="shared" ref="CZ681:DI681" si="15429">SUM(CZ682:CZ683)</f>
        <v>0</v>
      </c>
      <c r="DA681" s="686">
        <f t="shared" si="15429"/>
        <v>0</v>
      </c>
      <c r="DB681" s="567">
        <f t="shared" si="15429"/>
        <v>0</v>
      </c>
      <c r="DC681" s="686">
        <f t="shared" si="15429"/>
        <v>0</v>
      </c>
      <c r="DD681" s="567">
        <f t="shared" si="15429"/>
        <v>0</v>
      </c>
      <c r="DE681" s="686">
        <f t="shared" si="15429"/>
        <v>0</v>
      </c>
      <c r="DF681" s="567">
        <f t="shared" si="15429"/>
        <v>0</v>
      </c>
      <c r="DG681" s="686">
        <f t="shared" si="15429"/>
        <v>0</v>
      </c>
      <c r="DH681" s="567">
        <f t="shared" si="15429"/>
        <v>0</v>
      </c>
      <c r="DI681" s="686">
        <f t="shared" si="15429"/>
        <v>0</v>
      </c>
      <c r="DJ681" s="567">
        <f t="shared" ref="DJ681:HS681" si="15430">SUM(DJ682:DJ683)</f>
        <v>0</v>
      </c>
      <c r="DK681" s="686">
        <f t="shared" si="15430"/>
        <v>0</v>
      </c>
      <c r="DL681" s="567">
        <f t="shared" si="15430"/>
        <v>0</v>
      </c>
      <c r="DM681" s="686">
        <f t="shared" si="15430"/>
        <v>0</v>
      </c>
      <c r="DN681" s="567">
        <f t="shared" ref="DN681:DW681" si="15431">SUM(DN682:DN683)</f>
        <v>0</v>
      </c>
      <c r="DO681" s="686">
        <f t="shared" si="15431"/>
        <v>0</v>
      </c>
      <c r="DP681" s="567">
        <f t="shared" si="15431"/>
        <v>0</v>
      </c>
      <c r="DQ681" s="686">
        <f t="shared" si="15431"/>
        <v>0</v>
      </c>
      <c r="DR681" s="567">
        <f t="shared" si="15431"/>
        <v>0</v>
      </c>
      <c r="DS681" s="686">
        <f t="shared" si="15431"/>
        <v>0</v>
      </c>
      <c r="DT681" s="567">
        <f t="shared" si="15431"/>
        <v>0</v>
      </c>
      <c r="DU681" s="686">
        <f t="shared" si="15431"/>
        <v>0</v>
      </c>
      <c r="DV681" s="567">
        <f t="shared" si="15431"/>
        <v>0</v>
      </c>
      <c r="DW681" s="686">
        <f t="shared" si="15431"/>
        <v>0</v>
      </c>
      <c r="DX681" s="567">
        <f t="shared" si="15430"/>
        <v>0</v>
      </c>
      <c r="DY681" s="686">
        <f t="shared" si="15430"/>
        <v>0</v>
      </c>
      <c r="DZ681" s="567">
        <f t="shared" ref="DZ681:FA681" si="15432">SUM(DZ682:DZ683)</f>
        <v>0</v>
      </c>
      <c r="EA681" s="686">
        <f t="shared" si="15432"/>
        <v>0</v>
      </c>
      <c r="EB681" s="567">
        <f t="shared" si="15432"/>
        <v>0</v>
      </c>
      <c r="EC681" s="686">
        <f t="shared" si="15432"/>
        <v>0</v>
      </c>
      <c r="ED681" s="567">
        <f t="shared" si="15432"/>
        <v>0</v>
      </c>
      <c r="EE681" s="686">
        <f t="shared" si="15432"/>
        <v>0</v>
      </c>
      <c r="EF681" s="567">
        <f t="shared" si="15432"/>
        <v>0</v>
      </c>
      <c r="EG681" s="686">
        <f t="shared" si="15432"/>
        <v>0</v>
      </c>
      <c r="EH681" s="567">
        <f t="shared" ref="EH681:EM681" si="15433">SUM(EH682:EH683)</f>
        <v>0</v>
      </c>
      <c r="EI681" s="686">
        <f t="shared" si="15433"/>
        <v>0</v>
      </c>
      <c r="EJ681" s="567">
        <f t="shared" si="15433"/>
        <v>0</v>
      </c>
      <c r="EK681" s="686">
        <f t="shared" si="15433"/>
        <v>0</v>
      </c>
      <c r="EL681" s="567">
        <f t="shared" si="15433"/>
        <v>0</v>
      </c>
      <c r="EM681" s="686">
        <f t="shared" si="15433"/>
        <v>0</v>
      </c>
      <c r="EN681" s="567">
        <f t="shared" si="15432"/>
        <v>0</v>
      </c>
      <c r="EO681" s="686">
        <f t="shared" si="15432"/>
        <v>0</v>
      </c>
      <c r="EP681" s="567">
        <f t="shared" si="15432"/>
        <v>0</v>
      </c>
      <c r="EQ681" s="686">
        <f t="shared" si="15432"/>
        <v>0</v>
      </c>
      <c r="ER681" s="567">
        <f t="shared" si="15432"/>
        <v>0</v>
      </c>
      <c r="ES681" s="686">
        <f t="shared" si="15432"/>
        <v>0</v>
      </c>
      <c r="ET681" s="567">
        <f t="shared" si="15432"/>
        <v>0</v>
      </c>
      <c r="EU681" s="686">
        <f t="shared" si="15432"/>
        <v>0</v>
      </c>
      <c r="EV681" s="567">
        <f t="shared" ref="EV681:EW681" si="15434">SUM(EV682:EV683)</f>
        <v>0</v>
      </c>
      <c r="EW681" s="686">
        <f t="shared" si="15434"/>
        <v>0</v>
      </c>
      <c r="EX681" s="567">
        <f t="shared" si="15432"/>
        <v>0</v>
      </c>
      <c r="EY681" s="686">
        <f t="shared" si="15432"/>
        <v>0</v>
      </c>
      <c r="EZ681" s="567">
        <f t="shared" si="15432"/>
        <v>0</v>
      </c>
      <c r="FA681" s="686">
        <f t="shared" si="15432"/>
        <v>0</v>
      </c>
      <c r="FB681" s="567">
        <f t="shared" si="15430"/>
        <v>0</v>
      </c>
      <c r="FC681" s="686">
        <f t="shared" si="15430"/>
        <v>0</v>
      </c>
      <c r="FD681" s="567">
        <f t="shared" si="15430"/>
        <v>0</v>
      </c>
      <c r="FE681" s="686">
        <f t="shared" si="15430"/>
        <v>0</v>
      </c>
      <c r="FF681" s="567">
        <f t="shared" ref="FF681:FG681" si="15435">SUM(FF682:FF683)</f>
        <v>0</v>
      </c>
      <c r="FG681" s="686">
        <f t="shared" si="15435"/>
        <v>0</v>
      </c>
      <c r="FH681" s="567">
        <f t="shared" ref="FH681:FI681" si="15436">SUM(FH682:FH683)</f>
        <v>0</v>
      </c>
      <c r="FI681" s="686">
        <f t="shared" si="15436"/>
        <v>0</v>
      </c>
      <c r="FJ681" s="567">
        <f t="shared" ref="FJ681:FK681" si="15437">SUM(FJ682:FJ683)</f>
        <v>0</v>
      </c>
      <c r="FK681" s="686">
        <f t="shared" si="15437"/>
        <v>0</v>
      </c>
      <c r="FL681" s="567">
        <f t="shared" ref="FL681:FM681" si="15438">SUM(FL682:FL683)</f>
        <v>0</v>
      </c>
      <c r="FM681" s="686">
        <f t="shared" si="15438"/>
        <v>0</v>
      </c>
      <c r="FN681" s="567">
        <f t="shared" ref="FN681:FO681" si="15439">SUM(FN682:FN683)</f>
        <v>0</v>
      </c>
      <c r="FO681" s="686">
        <f t="shared" si="15439"/>
        <v>0</v>
      </c>
      <c r="FP681" s="567">
        <f t="shared" ref="FP681:FQ681" si="15440">SUM(FP682:FP683)</f>
        <v>0</v>
      </c>
      <c r="FQ681" s="686">
        <f t="shared" si="15440"/>
        <v>0</v>
      </c>
      <c r="FR681" s="567">
        <f t="shared" ref="FR681:FS681" si="15441">SUM(FR682:FR683)</f>
        <v>0</v>
      </c>
      <c r="FS681" s="686">
        <f t="shared" si="15441"/>
        <v>0</v>
      </c>
      <c r="FT681" s="567">
        <f t="shared" ref="FT681:FU681" si="15442">SUM(FT682:FT683)</f>
        <v>0</v>
      </c>
      <c r="FU681" s="686">
        <f t="shared" si="15442"/>
        <v>0</v>
      </c>
      <c r="FV681" s="567">
        <f t="shared" ref="FV681:GK681" si="15443">SUM(FV682:FV683)</f>
        <v>0</v>
      </c>
      <c r="FW681" s="686">
        <f t="shared" si="15443"/>
        <v>0</v>
      </c>
      <c r="FX681" s="567">
        <f t="shared" si="15443"/>
        <v>0</v>
      </c>
      <c r="FY681" s="686">
        <f t="shared" si="15443"/>
        <v>0</v>
      </c>
      <c r="FZ681" s="567">
        <f t="shared" ref="FZ681:GI681" si="15444">SUM(FZ682:FZ683)</f>
        <v>0</v>
      </c>
      <c r="GA681" s="686">
        <f t="shared" si="15444"/>
        <v>0</v>
      </c>
      <c r="GB681" s="567">
        <f t="shared" si="15444"/>
        <v>0</v>
      </c>
      <c r="GC681" s="686">
        <f t="shared" si="15444"/>
        <v>0</v>
      </c>
      <c r="GD681" s="567">
        <f t="shared" si="15444"/>
        <v>0</v>
      </c>
      <c r="GE681" s="686">
        <f t="shared" si="15444"/>
        <v>0</v>
      </c>
      <c r="GF681" s="567">
        <f t="shared" si="15444"/>
        <v>0</v>
      </c>
      <c r="GG681" s="686">
        <f t="shared" si="15444"/>
        <v>0</v>
      </c>
      <c r="GH681" s="567">
        <f t="shared" si="15444"/>
        <v>0</v>
      </c>
      <c r="GI681" s="686">
        <f t="shared" si="15444"/>
        <v>0</v>
      </c>
      <c r="GJ681" s="567">
        <f t="shared" si="15443"/>
        <v>0</v>
      </c>
      <c r="GK681" s="686">
        <f t="shared" si="15443"/>
        <v>0</v>
      </c>
      <c r="GL681" s="567">
        <f t="shared" ref="GL681:GM681" si="15445">SUM(GL682:GL683)</f>
        <v>0</v>
      </c>
      <c r="GM681" s="686">
        <f t="shared" si="15445"/>
        <v>0</v>
      </c>
      <c r="GN681" s="567">
        <f t="shared" ref="GN681:GO681" si="15446">SUM(GN682:GN683)</f>
        <v>0</v>
      </c>
      <c r="GO681" s="686">
        <f t="shared" si="15446"/>
        <v>0</v>
      </c>
      <c r="GP681" s="567">
        <f t="shared" si="15430"/>
        <v>0</v>
      </c>
      <c r="GQ681" s="686">
        <f t="shared" si="15430"/>
        <v>-50000</v>
      </c>
      <c r="GR681" s="513">
        <f t="shared" si="15430"/>
        <v>0</v>
      </c>
      <c r="GS681" s="513">
        <f t="shared" si="15430"/>
        <v>0</v>
      </c>
      <c r="GT681" s="567">
        <f t="shared" si="15430"/>
        <v>0</v>
      </c>
      <c r="GU681" s="513">
        <f t="shared" si="15430"/>
        <v>10000</v>
      </c>
      <c r="GV681" s="513">
        <f t="shared" si="15430"/>
        <v>0</v>
      </c>
      <c r="GW681" s="567">
        <f t="shared" si="15430"/>
        <v>0</v>
      </c>
      <c r="GX681" s="567">
        <f t="shared" si="15430"/>
        <v>15000</v>
      </c>
      <c r="GY681" s="513">
        <f t="shared" si="15430"/>
        <v>25000</v>
      </c>
      <c r="GZ681" s="513">
        <f t="shared" si="15430"/>
        <v>0</v>
      </c>
      <c r="HA681" s="513">
        <f t="shared" si="15430"/>
        <v>0</v>
      </c>
      <c r="HB681" s="513">
        <f t="shared" si="15430"/>
        <v>0</v>
      </c>
      <c r="HC681" s="513">
        <f t="shared" si="15430"/>
        <v>0</v>
      </c>
      <c r="HD681" s="513">
        <f t="shared" si="15430"/>
        <v>0</v>
      </c>
      <c r="HE681" s="513">
        <f t="shared" si="15430"/>
        <v>0</v>
      </c>
      <c r="HF681" s="513">
        <f t="shared" si="15430"/>
        <v>0</v>
      </c>
      <c r="HG681" s="513">
        <f t="shared" si="15430"/>
        <v>0</v>
      </c>
      <c r="HH681" s="513">
        <f t="shared" si="15430"/>
        <v>0</v>
      </c>
      <c r="HI681" s="827">
        <f t="shared" si="15430"/>
        <v>0</v>
      </c>
      <c r="HJ681" s="513">
        <f t="shared" si="15430"/>
        <v>0</v>
      </c>
      <c r="HK681" s="827">
        <f t="shared" si="15430"/>
        <v>0</v>
      </c>
      <c r="HL681" s="513">
        <f t="shared" si="15430"/>
        <v>0</v>
      </c>
      <c r="HM681" s="827">
        <f t="shared" si="15430"/>
        <v>0</v>
      </c>
      <c r="HN681" s="513">
        <f t="shared" si="15430"/>
        <v>0</v>
      </c>
      <c r="HO681" s="827">
        <f t="shared" si="15430"/>
        <v>25000</v>
      </c>
      <c r="HP681" s="513">
        <f t="shared" si="15430"/>
        <v>0</v>
      </c>
      <c r="HQ681" s="827">
        <f t="shared" si="15430"/>
        <v>0</v>
      </c>
      <c r="HR681" s="513">
        <f t="shared" si="15430"/>
        <v>0</v>
      </c>
      <c r="HS681" s="827">
        <f t="shared" si="15430"/>
        <v>25000</v>
      </c>
      <c r="HT681" s="513">
        <f t="shared" ref="HT681:HU681" si="15447">SUM(HT682:HT683)</f>
        <v>0</v>
      </c>
      <c r="HU681" s="827">
        <f t="shared" si="15447"/>
        <v>0</v>
      </c>
      <c r="HV681" s="513">
        <f t="shared" ref="HV681:HW681" si="15448">SUM(HV682:HV683)</f>
        <v>0</v>
      </c>
      <c r="HW681" s="827">
        <f t="shared" si="15448"/>
        <v>0</v>
      </c>
      <c r="HX681" s="513">
        <f t="shared" ref="HX681:HY681" si="15449">SUM(HX682:HX683)</f>
        <v>0</v>
      </c>
      <c r="HY681" s="827">
        <f t="shared" si="15449"/>
        <v>0</v>
      </c>
      <c r="HZ681" s="513">
        <f t="shared" ref="HZ681:IA681" si="15450">SUM(HZ682:HZ683)</f>
        <v>0</v>
      </c>
      <c r="IA681" s="827">
        <f t="shared" si="15450"/>
        <v>0</v>
      </c>
      <c r="IB681" s="513">
        <f t="shared" ref="IB681:IC681" si="15451">SUM(IB682:IB683)</f>
        <v>0</v>
      </c>
      <c r="IC681" s="827">
        <f t="shared" si="15451"/>
        <v>0</v>
      </c>
      <c r="ID681" s="513">
        <f t="shared" ref="ID681:IZ681" si="15452">SUM(ID682:ID683)</f>
        <v>0</v>
      </c>
      <c r="IE681" s="827">
        <f t="shared" si="15452"/>
        <v>0</v>
      </c>
      <c r="IF681" s="703">
        <f>SUM(IF682:IF683)</f>
        <v>0</v>
      </c>
      <c r="IG681" s="704">
        <f t="shared" si="15452"/>
        <v>0</v>
      </c>
      <c r="IH681" s="858">
        <f t="shared" si="15452"/>
        <v>0</v>
      </c>
      <c r="II681" s="513">
        <f t="shared" si="15452"/>
        <v>0</v>
      </c>
      <c r="IJ681" s="513">
        <f t="shared" si="15452"/>
        <v>0</v>
      </c>
      <c r="IK681" s="513">
        <f t="shared" si="15452"/>
        <v>0</v>
      </c>
      <c r="IL681" s="513">
        <f t="shared" si="15452"/>
        <v>0</v>
      </c>
      <c r="IM681" s="513">
        <f t="shared" si="15452"/>
        <v>0</v>
      </c>
      <c r="IN681" s="513">
        <f t="shared" si="15452"/>
        <v>0</v>
      </c>
      <c r="IO681" s="513">
        <f t="shared" si="15452"/>
        <v>0</v>
      </c>
      <c r="IP681" s="513">
        <f t="shared" si="15452"/>
        <v>0</v>
      </c>
      <c r="IQ681" s="513">
        <f t="shared" si="15452"/>
        <v>0</v>
      </c>
      <c r="IR681" s="513">
        <f t="shared" si="15452"/>
        <v>0</v>
      </c>
      <c r="IS681" s="513">
        <f t="shared" si="15452"/>
        <v>0</v>
      </c>
      <c r="IT681" s="513">
        <f t="shared" si="15452"/>
        <v>0</v>
      </c>
      <c r="IU681" s="513">
        <f t="shared" si="15452"/>
        <v>0</v>
      </c>
      <c r="IV681" s="513">
        <f t="shared" si="15452"/>
        <v>0</v>
      </c>
      <c r="IW681" s="513">
        <f t="shared" si="15452"/>
        <v>0</v>
      </c>
      <c r="IX681" s="513">
        <f t="shared" si="15452"/>
        <v>0</v>
      </c>
      <c r="IY681" s="513">
        <f t="shared" si="15452"/>
        <v>0</v>
      </c>
      <c r="IZ681" s="513">
        <f t="shared" si="15452"/>
        <v>0</v>
      </c>
      <c r="JA681" s="513">
        <f t="shared" ref="JA681:JC681" si="15453">SUM(JA682:JA683)</f>
        <v>0</v>
      </c>
      <c r="JB681" s="513">
        <f t="shared" si="15453"/>
        <v>0</v>
      </c>
      <c r="JC681" s="513">
        <f t="shared" si="15453"/>
        <v>0</v>
      </c>
      <c r="JD681" s="513">
        <f t="shared" ref="JD681:JF681" si="15454">SUM(JD682:JD683)</f>
        <v>0</v>
      </c>
      <c r="JE681" s="513">
        <f t="shared" si="15454"/>
        <v>0</v>
      </c>
      <c r="JF681" s="513">
        <f t="shared" si="15454"/>
        <v>0</v>
      </c>
      <c r="JG681" s="513">
        <f t="shared" ref="JG681:JI681" si="15455">SUM(JG682:JG683)</f>
        <v>0</v>
      </c>
      <c r="JH681" s="513">
        <f t="shared" si="15455"/>
        <v>0</v>
      </c>
      <c r="JI681" s="513">
        <f t="shared" si="15455"/>
        <v>0</v>
      </c>
      <c r="JJ681" s="513">
        <f t="shared" ref="JJ681:JL681" si="15456">SUM(JJ682:JJ683)</f>
        <v>0</v>
      </c>
      <c r="JK681" s="513">
        <f t="shared" si="15456"/>
        <v>0</v>
      </c>
      <c r="JL681" s="513">
        <f t="shared" si="15456"/>
        <v>0</v>
      </c>
      <c r="JM681" s="513">
        <f t="shared" ref="JM681:JO681" si="15457">SUM(JM682:JM683)</f>
        <v>0</v>
      </c>
      <c r="JN681" s="513">
        <f t="shared" si="15457"/>
        <v>0</v>
      </c>
      <c r="JO681" s="513">
        <f t="shared" si="15457"/>
        <v>0</v>
      </c>
      <c r="JP681" s="513">
        <f t="shared" ref="JP681:JX681" si="15458">SUM(JP682:JP683)</f>
        <v>0</v>
      </c>
      <c r="JQ681" s="513">
        <f t="shared" si="15458"/>
        <v>0</v>
      </c>
      <c r="JR681" s="513">
        <f t="shared" si="15458"/>
        <v>0</v>
      </c>
      <c r="JS681" s="513">
        <f t="shared" si="15458"/>
        <v>0</v>
      </c>
      <c r="JT681" s="573">
        <f t="shared" si="15458"/>
        <v>0</v>
      </c>
      <c r="JU681" s="665"/>
      <c r="JV681" s="524"/>
      <c r="JW681" s="525"/>
      <c r="JX681" s="567">
        <f t="shared" si="15458"/>
        <v>0</v>
      </c>
      <c r="JY681" s="513">
        <f>JY682</f>
        <v>50000</v>
      </c>
      <c r="JZ681" s="513">
        <f t="shared" ref="JZ681:KB681" si="15459">JZ682</f>
        <v>0</v>
      </c>
      <c r="KA681" s="513">
        <f t="shared" si="15459"/>
        <v>-50000</v>
      </c>
      <c r="KB681" s="513">
        <f t="shared" si="15459"/>
        <v>0</v>
      </c>
      <c r="KC681" s="709">
        <f t="shared" si="14739"/>
        <v>0</v>
      </c>
      <c r="KD681" s="491"/>
      <c r="KE681" s="491"/>
      <c r="KF681" s="491"/>
      <c r="KG681" s="491"/>
      <c r="KH681" s="36"/>
      <c r="KI681" s="36"/>
      <c r="KJ681" s="36"/>
      <c r="KK681" s="36"/>
    </row>
    <row r="682" spans="1:297" s="10" customFormat="1" ht="12.75" customHeight="1">
      <c r="A682" s="612" t="s">
        <v>514</v>
      </c>
      <c r="B682" s="512" t="s">
        <v>948</v>
      </c>
      <c r="C682" s="74">
        <v>50000</v>
      </c>
      <c r="D682" s="549">
        <v>0</v>
      </c>
      <c r="E682" s="675">
        <v>0</v>
      </c>
      <c r="F682" s="549">
        <v>0</v>
      </c>
      <c r="G682" s="675">
        <v>0</v>
      </c>
      <c r="H682" s="549">
        <v>0</v>
      </c>
      <c r="I682" s="675">
        <v>0</v>
      </c>
      <c r="J682" s="549">
        <v>0</v>
      </c>
      <c r="K682" s="675">
        <v>0</v>
      </c>
      <c r="L682" s="549">
        <v>0</v>
      </c>
      <c r="M682" s="675">
        <v>0</v>
      </c>
      <c r="N682" s="549">
        <v>0</v>
      </c>
      <c r="O682" s="675">
        <v>0</v>
      </c>
      <c r="P682" s="549">
        <v>0</v>
      </c>
      <c r="Q682" s="675">
        <v>0</v>
      </c>
      <c r="R682" s="549">
        <v>0</v>
      </c>
      <c r="S682" s="675">
        <v>0</v>
      </c>
      <c r="T682" s="549">
        <v>0</v>
      </c>
      <c r="U682" s="675">
        <v>0</v>
      </c>
      <c r="V682" s="549">
        <v>0</v>
      </c>
      <c r="W682" s="675">
        <v>0</v>
      </c>
      <c r="X682" s="549">
        <v>0</v>
      </c>
      <c r="Y682" s="675">
        <v>0</v>
      </c>
      <c r="Z682" s="549">
        <v>0</v>
      </c>
      <c r="AA682" s="675">
        <v>0</v>
      </c>
      <c r="AB682" s="549">
        <v>0</v>
      </c>
      <c r="AC682" s="675">
        <v>0</v>
      </c>
      <c r="AD682" s="549">
        <v>0</v>
      </c>
      <c r="AE682" s="675">
        <v>0</v>
      </c>
      <c r="AF682" s="549">
        <v>0</v>
      </c>
      <c r="AG682" s="675">
        <v>0</v>
      </c>
      <c r="AH682" s="549">
        <v>0</v>
      </c>
      <c r="AI682" s="675">
        <v>0</v>
      </c>
      <c r="AJ682" s="549">
        <v>0</v>
      </c>
      <c r="AK682" s="675">
        <v>0</v>
      </c>
      <c r="AL682" s="549">
        <v>0</v>
      </c>
      <c r="AM682" s="675">
        <v>0</v>
      </c>
      <c r="AN682" s="549">
        <v>0</v>
      </c>
      <c r="AO682" s="675">
        <v>0</v>
      </c>
      <c r="AP682" s="549">
        <v>0</v>
      </c>
      <c r="AQ682" s="675">
        <v>0</v>
      </c>
      <c r="AR682" s="549">
        <v>0</v>
      </c>
      <c r="AS682" s="675">
        <v>0</v>
      </c>
      <c r="AT682" s="549">
        <v>0</v>
      </c>
      <c r="AU682" s="675">
        <v>0</v>
      </c>
      <c r="AV682" s="549">
        <v>0</v>
      </c>
      <c r="AW682" s="675">
        <v>0</v>
      </c>
      <c r="AX682" s="549">
        <v>0</v>
      </c>
      <c r="AY682" s="675">
        <v>0</v>
      </c>
      <c r="AZ682" s="549">
        <v>0</v>
      </c>
      <c r="BA682" s="675">
        <v>0</v>
      </c>
      <c r="BB682" s="549">
        <v>0</v>
      </c>
      <c r="BC682" s="675">
        <v>0</v>
      </c>
      <c r="BD682" s="549">
        <v>0</v>
      </c>
      <c r="BE682" s="675">
        <v>0</v>
      </c>
      <c r="BF682" s="549">
        <v>0</v>
      </c>
      <c r="BG682" s="675">
        <v>0</v>
      </c>
      <c r="BH682" s="549">
        <v>0</v>
      </c>
      <c r="BI682" s="675">
        <v>0</v>
      </c>
      <c r="BJ682" s="549">
        <v>0</v>
      </c>
      <c r="BK682" s="675">
        <v>0</v>
      </c>
      <c r="BL682" s="549">
        <v>0</v>
      </c>
      <c r="BM682" s="675">
        <v>0</v>
      </c>
      <c r="BN682" s="549">
        <v>0</v>
      </c>
      <c r="BO682" s="675">
        <v>0</v>
      </c>
      <c r="BP682" s="549">
        <v>0</v>
      </c>
      <c r="BQ682" s="675">
        <v>0</v>
      </c>
      <c r="BR682" s="549">
        <v>0</v>
      </c>
      <c r="BS682" s="675">
        <v>0</v>
      </c>
      <c r="BT682" s="549">
        <v>0</v>
      </c>
      <c r="BU682" s="675">
        <v>-50000</v>
      </c>
      <c r="BV682" s="549">
        <v>0</v>
      </c>
      <c r="BW682" s="675">
        <v>0</v>
      </c>
      <c r="BX682" s="549">
        <v>0</v>
      </c>
      <c r="BY682" s="675">
        <v>0</v>
      </c>
      <c r="BZ682" s="549">
        <v>0</v>
      </c>
      <c r="CA682" s="675">
        <v>0</v>
      </c>
      <c r="CB682" s="549">
        <v>0</v>
      </c>
      <c r="CC682" s="675">
        <v>0</v>
      </c>
      <c r="CD682" s="549">
        <v>0</v>
      </c>
      <c r="CE682" s="675">
        <v>0</v>
      </c>
      <c r="CF682" s="549">
        <v>0</v>
      </c>
      <c r="CG682" s="675">
        <v>0</v>
      </c>
      <c r="CH682" s="549">
        <v>0</v>
      </c>
      <c r="CI682" s="675">
        <v>0</v>
      </c>
      <c r="CJ682" s="549">
        <v>0</v>
      </c>
      <c r="CK682" s="675">
        <v>0</v>
      </c>
      <c r="CL682" s="549">
        <v>0</v>
      </c>
      <c r="CM682" s="675">
        <v>0</v>
      </c>
      <c r="CN682" s="549">
        <v>0</v>
      </c>
      <c r="CO682" s="675">
        <v>0</v>
      </c>
      <c r="CP682" s="549">
        <v>0</v>
      </c>
      <c r="CQ682" s="675">
        <v>0</v>
      </c>
      <c r="CR682" s="549">
        <v>0</v>
      </c>
      <c r="CS682" s="675">
        <v>0</v>
      </c>
      <c r="CT682" s="549">
        <v>0</v>
      </c>
      <c r="CU682" s="675">
        <v>0</v>
      </c>
      <c r="CV682" s="549">
        <v>0</v>
      </c>
      <c r="CW682" s="675">
        <v>0</v>
      </c>
      <c r="CX682" s="549">
        <v>0</v>
      </c>
      <c r="CY682" s="675">
        <v>0</v>
      </c>
      <c r="CZ682" s="549">
        <v>0</v>
      </c>
      <c r="DA682" s="675">
        <v>0</v>
      </c>
      <c r="DB682" s="549">
        <v>0</v>
      </c>
      <c r="DC682" s="675">
        <v>0</v>
      </c>
      <c r="DD682" s="549">
        <v>0</v>
      </c>
      <c r="DE682" s="675">
        <v>0</v>
      </c>
      <c r="DF682" s="549">
        <v>0</v>
      </c>
      <c r="DG682" s="675">
        <v>0</v>
      </c>
      <c r="DH682" s="549">
        <v>0</v>
      </c>
      <c r="DI682" s="675">
        <v>0</v>
      </c>
      <c r="DJ682" s="549">
        <v>0</v>
      </c>
      <c r="DK682" s="675">
        <v>0</v>
      </c>
      <c r="DL682" s="549">
        <v>0</v>
      </c>
      <c r="DM682" s="675">
        <v>0</v>
      </c>
      <c r="DN682" s="549">
        <v>0</v>
      </c>
      <c r="DO682" s="675">
        <v>0</v>
      </c>
      <c r="DP682" s="549">
        <v>0</v>
      </c>
      <c r="DQ682" s="675">
        <v>0</v>
      </c>
      <c r="DR682" s="549">
        <v>0</v>
      </c>
      <c r="DS682" s="675">
        <v>0</v>
      </c>
      <c r="DT682" s="549">
        <v>0</v>
      </c>
      <c r="DU682" s="675">
        <v>0</v>
      </c>
      <c r="DV682" s="549">
        <v>0</v>
      </c>
      <c r="DW682" s="675">
        <v>0</v>
      </c>
      <c r="DX682" s="549">
        <v>0</v>
      </c>
      <c r="DY682" s="675">
        <v>0</v>
      </c>
      <c r="DZ682" s="549">
        <v>0</v>
      </c>
      <c r="EA682" s="675">
        <v>0</v>
      </c>
      <c r="EB682" s="549">
        <v>0</v>
      </c>
      <c r="EC682" s="675">
        <v>0</v>
      </c>
      <c r="ED682" s="549">
        <v>0</v>
      </c>
      <c r="EE682" s="675">
        <v>0</v>
      </c>
      <c r="EF682" s="549">
        <v>0</v>
      </c>
      <c r="EG682" s="675">
        <v>0</v>
      </c>
      <c r="EH682" s="549">
        <v>0</v>
      </c>
      <c r="EI682" s="675">
        <v>0</v>
      </c>
      <c r="EJ682" s="549">
        <v>0</v>
      </c>
      <c r="EK682" s="675">
        <v>0</v>
      </c>
      <c r="EL682" s="549">
        <v>0</v>
      </c>
      <c r="EM682" s="675">
        <v>0</v>
      </c>
      <c r="EN682" s="549">
        <v>0</v>
      </c>
      <c r="EO682" s="675">
        <v>0</v>
      </c>
      <c r="EP682" s="549">
        <v>0</v>
      </c>
      <c r="EQ682" s="675">
        <v>0</v>
      </c>
      <c r="ER682" s="549">
        <v>0</v>
      </c>
      <c r="ES682" s="675">
        <v>0</v>
      </c>
      <c r="ET682" s="549">
        <v>0</v>
      </c>
      <c r="EU682" s="675">
        <v>0</v>
      </c>
      <c r="EV682" s="549">
        <v>0</v>
      </c>
      <c r="EW682" s="675">
        <v>0</v>
      </c>
      <c r="EX682" s="549">
        <v>0</v>
      </c>
      <c r="EY682" s="675">
        <v>0</v>
      </c>
      <c r="EZ682" s="549">
        <v>0</v>
      </c>
      <c r="FA682" s="675">
        <v>0</v>
      </c>
      <c r="FB682" s="549">
        <v>0</v>
      </c>
      <c r="FC682" s="675">
        <v>0</v>
      </c>
      <c r="FD682" s="549">
        <v>0</v>
      </c>
      <c r="FE682" s="675">
        <v>0</v>
      </c>
      <c r="FF682" s="549">
        <v>0</v>
      </c>
      <c r="FG682" s="675">
        <v>0</v>
      </c>
      <c r="FH682" s="549">
        <v>0</v>
      </c>
      <c r="FI682" s="675">
        <v>0</v>
      </c>
      <c r="FJ682" s="549">
        <v>0</v>
      </c>
      <c r="FK682" s="675">
        <v>0</v>
      </c>
      <c r="FL682" s="549">
        <v>0</v>
      </c>
      <c r="FM682" s="675">
        <v>0</v>
      </c>
      <c r="FN682" s="549">
        <v>0</v>
      </c>
      <c r="FO682" s="675">
        <v>0</v>
      </c>
      <c r="FP682" s="549">
        <v>0</v>
      </c>
      <c r="FQ682" s="675">
        <v>0</v>
      </c>
      <c r="FR682" s="549">
        <v>0</v>
      </c>
      <c r="FS682" s="675">
        <v>0</v>
      </c>
      <c r="FT682" s="549">
        <v>0</v>
      </c>
      <c r="FU682" s="675">
        <v>0</v>
      </c>
      <c r="FV682" s="549">
        <v>0</v>
      </c>
      <c r="FW682" s="675">
        <v>0</v>
      </c>
      <c r="FX682" s="549">
        <v>0</v>
      </c>
      <c r="FY682" s="675">
        <v>0</v>
      </c>
      <c r="FZ682" s="549">
        <v>0</v>
      </c>
      <c r="GA682" s="675">
        <v>0</v>
      </c>
      <c r="GB682" s="549">
        <v>0</v>
      </c>
      <c r="GC682" s="675">
        <v>0</v>
      </c>
      <c r="GD682" s="549">
        <v>0</v>
      </c>
      <c r="GE682" s="675">
        <v>0</v>
      </c>
      <c r="GF682" s="549">
        <v>0</v>
      </c>
      <c r="GG682" s="675">
        <v>0</v>
      </c>
      <c r="GH682" s="549">
        <v>0</v>
      </c>
      <c r="GI682" s="675">
        <v>0</v>
      </c>
      <c r="GJ682" s="549">
        <v>0</v>
      </c>
      <c r="GK682" s="675">
        <v>0</v>
      </c>
      <c r="GL682" s="549">
        <v>0</v>
      </c>
      <c r="GM682" s="675">
        <v>0</v>
      </c>
      <c r="GN682" s="549">
        <v>0</v>
      </c>
      <c r="GO682" s="675">
        <v>0</v>
      </c>
      <c r="GP682" s="549">
        <f>+D682+F682+H682+J682+L682+N682+P682+R682+T682+V682+X682+Z682+AB682+AF682+AD682+AH682+AJ682+AL682+AN682+AP682+AR682+AT682+AV682+AX682+AZ682+BB682+BD682+BF682+BH682+BJ682+BL682+BN682+BP682+BR682+BT682+BV682+BX682+BZ682+CB682+CD682+CF682+CH682+CJ682+CL682+CN682+CP682+CR682+CT682+CV682+CX682+CZ682+DB682+DD682+DF682+DH682+DT682+EX682+DJ682+DL682+DN682+DP682+DR682+EJ682+EB682+DZ682+DX682+DV682+ED682+EF682+EH682+EL682+EN682+EP682+EV682+ET682+ER682+EZ682+FB682+FD682+GL682+FF682+FJ682+FL682+GJ682+FT682+FR682+FP682+FN682+FH682+GH682+GF682+GD682+GB682+FZ682+FX682+FV682+GN682</f>
        <v>0</v>
      </c>
      <c r="GQ682" s="675">
        <f>+E682+G682+I682+K682+M682+O682+Q682+S682+U682+W682+Y682+AA682+AC682+AE682+AG682+AI682+AK682+AM682+AO682+AQ682+AS682+AU682+AW682+AY682+BA682+BC682+BE682+BG682+BI682+BK682+BM682+BO682+BQ682+BS682+BU682+BW682+BY682+CA682+CC682+CE682+CG682+CI682+CK682+CM682+CO682+CQ682+CS682+CU682+CW682+CY682+DA682+DC682+DE682+DG682+DI682+DU682+EY682+DK682+DM682+DO682+DQ682+DS682+EK682+EC682+EA682+DY682+DW682+EI682+EG682+EE682+EM682+EO682+EQ682+EW682+EU682+ES682+FA682+FC682+FE682+GM682+FG682+FK682+FM682+FO682+FQ682+FS682+FU682+GK682+FI682+GI682+GG682+GE682+GC682+GA682+FY682+FW682+GO682</f>
        <v>-50000</v>
      </c>
      <c r="GR682" s="74">
        <f>C682+GP682+GQ682</f>
        <v>0</v>
      </c>
      <c r="GS682" s="74">
        <f>SUM(GU682:HD682)+GP682+GQ682</f>
        <v>0</v>
      </c>
      <c r="GT682" s="568">
        <f>SUM(GU682:HF682)+GQ682+GP682</f>
        <v>0</v>
      </c>
      <c r="GU682" s="799">
        <v>10000</v>
      </c>
      <c r="GV682" s="799"/>
      <c r="GW682" s="799"/>
      <c r="GX682" s="799">
        <v>15000</v>
      </c>
      <c r="GY682" s="799">
        <v>25000</v>
      </c>
      <c r="GZ682" s="799"/>
      <c r="HA682" s="799">
        <f>15000-15000</f>
        <v>0</v>
      </c>
      <c r="HB682" s="799"/>
      <c r="HC682" s="799"/>
      <c r="HD682" s="799">
        <f>10000-10000</f>
        <v>0</v>
      </c>
      <c r="HE682" s="799">
        <v>0</v>
      </c>
      <c r="HF682" s="799">
        <v>0</v>
      </c>
      <c r="HG682" s="74">
        <f>SUM(HH682:IE682)+GP682+GQ682</f>
        <v>0</v>
      </c>
      <c r="HH682" s="89">
        <v>0</v>
      </c>
      <c r="HI682" s="817">
        <v>0</v>
      </c>
      <c r="HJ682" s="89">
        <v>0</v>
      </c>
      <c r="HK682" s="817">
        <v>0</v>
      </c>
      <c r="HL682" s="89">
        <v>0</v>
      </c>
      <c r="HM682" s="817">
        <v>0</v>
      </c>
      <c r="HN682" s="89">
        <v>0</v>
      </c>
      <c r="HO682" s="817">
        <v>25000</v>
      </c>
      <c r="HP682" s="89">
        <v>0</v>
      </c>
      <c r="HQ682" s="817">
        <v>0</v>
      </c>
      <c r="HR682" s="89">
        <v>0</v>
      </c>
      <c r="HS682" s="817">
        <v>25000</v>
      </c>
      <c r="HT682" s="89">
        <v>0</v>
      </c>
      <c r="HU682" s="817">
        <v>0</v>
      </c>
      <c r="HV682" s="89">
        <v>0</v>
      </c>
      <c r="HW682" s="817">
        <v>0</v>
      </c>
      <c r="HX682" s="89">
        <v>0</v>
      </c>
      <c r="HY682" s="817">
        <v>0</v>
      </c>
      <c r="HZ682" s="89">
        <v>0</v>
      </c>
      <c r="IA682" s="817">
        <v>0</v>
      </c>
      <c r="IB682" s="89">
        <v>0</v>
      </c>
      <c r="IC682" s="817">
        <v>0</v>
      </c>
      <c r="ID682" s="89">
        <v>0</v>
      </c>
      <c r="IE682" s="817">
        <v>0</v>
      </c>
      <c r="IF682" s="841">
        <f t="shared" ref="IF682:IF683" si="15460">SUM(II682,IL682,IO682,IR682,IU682,IX682,JA682,JD682,JG682,JJ682,JM682,JP682)</f>
        <v>0</v>
      </c>
      <c r="IG682" s="263">
        <f t="shared" ref="IG682:IG683" si="15461">SUM(IJ682,IM682,IP682,IS682,IV682,IY682,JB682,JE682,JH682,JK682,JN682,JQ682)</f>
        <v>0</v>
      </c>
      <c r="IH682" s="842">
        <f t="shared" ref="IH682:IH683" si="15462">SUM(IK682,IN682,IQ682,IT682,IW682,IZ682,JC682,JF682,JI682,JL682,JO682,JR682)</f>
        <v>0</v>
      </c>
      <c r="II682" s="89">
        <v>0</v>
      </c>
      <c r="IJ682" s="89">
        <f t="shared" ref="IJ682" si="15463">II682</f>
        <v>0</v>
      </c>
      <c r="IK682" s="89">
        <f t="shared" ref="IK682" si="15464">IJ682</f>
        <v>0</v>
      </c>
      <c r="IL682" s="89">
        <v>0</v>
      </c>
      <c r="IM682" s="89">
        <f t="shared" ref="IM682" si="15465">IL682</f>
        <v>0</v>
      </c>
      <c r="IN682" s="89">
        <f t="shared" ref="IN682" si="15466">IM682</f>
        <v>0</v>
      </c>
      <c r="IO682" s="89">
        <v>0</v>
      </c>
      <c r="IP682" s="89">
        <f t="shared" ref="IP682" si="15467">IO682</f>
        <v>0</v>
      </c>
      <c r="IQ682" s="89">
        <f t="shared" ref="IQ682" si="15468">IP682</f>
        <v>0</v>
      </c>
      <c r="IR682" s="89">
        <v>0</v>
      </c>
      <c r="IS682" s="89">
        <f t="shared" ref="IS682" si="15469">IR682</f>
        <v>0</v>
      </c>
      <c r="IT682" s="89">
        <f t="shared" ref="IT682" si="15470">IS682</f>
        <v>0</v>
      </c>
      <c r="IU682" s="89">
        <v>0</v>
      </c>
      <c r="IV682" s="89">
        <f t="shared" ref="IV682" si="15471">IU682</f>
        <v>0</v>
      </c>
      <c r="IW682" s="89">
        <f t="shared" ref="IW682" si="15472">IV682</f>
        <v>0</v>
      </c>
      <c r="IX682" s="89">
        <v>0</v>
      </c>
      <c r="IY682" s="89">
        <f t="shared" ref="IY682" si="15473">IX682</f>
        <v>0</v>
      </c>
      <c r="IZ682" s="89">
        <f t="shared" ref="IZ682" si="15474">IY682</f>
        <v>0</v>
      </c>
      <c r="JA682" s="89">
        <v>0</v>
      </c>
      <c r="JB682" s="89">
        <f t="shared" ref="JB682" si="15475">JA682</f>
        <v>0</v>
      </c>
      <c r="JC682" s="89">
        <f t="shared" ref="JC682" si="15476">JB682</f>
        <v>0</v>
      </c>
      <c r="JD682" s="89">
        <v>0</v>
      </c>
      <c r="JE682" s="89">
        <f t="shared" ref="JE682" si="15477">JD682</f>
        <v>0</v>
      </c>
      <c r="JF682" s="89">
        <f t="shared" ref="JF682" si="15478">JE682</f>
        <v>0</v>
      </c>
      <c r="JG682" s="89">
        <v>0</v>
      </c>
      <c r="JH682" s="89">
        <f t="shared" ref="JH682" si="15479">JG682</f>
        <v>0</v>
      </c>
      <c r="JI682" s="89">
        <f t="shared" ref="JI682" si="15480">JH682</f>
        <v>0</v>
      </c>
      <c r="JJ682" s="89">
        <v>0</v>
      </c>
      <c r="JK682" s="89">
        <f t="shared" ref="JK682" si="15481">JJ682</f>
        <v>0</v>
      </c>
      <c r="JL682" s="89">
        <f t="shared" ref="JL682" si="15482">JK682</f>
        <v>0</v>
      </c>
      <c r="JM682" s="89">
        <v>0</v>
      </c>
      <c r="JN682" s="89">
        <f t="shared" ref="JN682" si="15483">JM682</f>
        <v>0</v>
      </c>
      <c r="JO682" s="89">
        <f t="shared" ref="JO682" si="15484">JN682</f>
        <v>0</v>
      </c>
      <c r="JP682" s="89">
        <v>0</v>
      </c>
      <c r="JQ682" s="89">
        <f t="shared" ref="JQ682:JR682" si="15485">JP682</f>
        <v>0</v>
      </c>
      <c r="JR682" s="89">
        <f t="shared" si="15485"/>
        <v>0</v>
      </c>
      <c r="JS682" s="74">
        <f>HG682-IF682</f>
        <v>0</v>
      </c>
      <c r="JT682" s="382">
        <f>GS682-IF682</f>
        <v>0</v>
      </c>
      <c r="JU682" s="665"/>
      <c r="JV682" s="524"/>
      <c r="JW682" s="525"/>
      <c r="JX682" s="549">
        <f>SUM(HH682,HJ682,HL682,HN682,HP682,HR682,HT682,HV682,HX682,HZ682,IB682,ID682)</f>
        <v>0</v>
      </c>
      <c r="JY682" s="549">
        <f t="shared" si="15269"/>
        <v>50000</v>
      </c>
      <c r="JZ682" s="581">
        <f t="shared" si="14740"/>
        <v>0</v>
      </c>
      <c r="KA682" s="581">
        <f t="shared" si="14741"/>
        <v>-50000</v>
      </c>
      <c r="KB682" s="566">
        <f t="shared" si="15406"/>
        <v>0</v>
      </c>
      <c r="KC682" s="709">
        <f t="shared" si="14739"/>
        <v>0</v>
      </c>
      <c r="KD682" s="491"/>
      <c r="KE682" s="491"/>
      <c r="KF682" s="491"/>
      <c r="KG682" s="491"/>
      <c r="KH682" s="36"/>
      <c r="KI682" s="36"/>
      <c r="KJ682" s="36"/>
      <c r="KK682" s="36"/>
    </row>
    <row r="683" spans="1:297" s="10" customFormat="1" ht="12.75" hidden="1" customHeight="1">
      <c r="A683" s="612" t="s">
        <v>949</v>
      </c>
      <c r="B683" s="512" t="s">
        <v>950</v>
      </c>
      <c r="C683" s="74">
        <v>0</v>
      </c>
      <c r="D683" s="549">
        <v>0</v>
      </c>
      <c r="E683" s="675">
        <v>0</v>
      </c>
      <c r="F683" s="549">
        <v>0</v>
      </c>
      <c r="G683" s="675">
        <v>0</v>
      </c>
      <c r="H683" s="549">
        <v>0</v>
      </c>
      <c r="I683" s="675">
        <v>0</v>
      </c>
      <c r="J683" s="549">
        <v>0</v>
      </c>
      <c r="K683" s="675">
        <v>0</v>
      </c>
      <c r="L683" s="549">
        <v>0</v>
      </c>
      <c r="M683" s="675">
        <v>0</v>
      </c>
      <c r="N683" s="549">
        <v>0</v>
      </c>
      <c r="O683" s="675">
        <v>0</v>
      </c>
      <c r="P683" s="549">
        <v>0</v>
      </c>
      <c r="Q683" s="675">
        <v>0</v>
      </c>
      <c r="R683" s="549">
        <v>0</v>
      </c>
      <c r="S683" s="675">
        <v>0</v>
      </c>
      <c r="T683" s="549">
        <v>0</v>
      </c>
      <c r="U683" s="675">
        <v>0</v>
      </c>
      <c r="V683" s="549">
        <v>0</v>
      </c>
      <c r="W683" s="675">
        <v>0</v>
      </c>
      <c r="X683" s="549">
        <v>0</v>
      </c>
      <c r="Y683" s="675">
        <v>0</v>
      </c>
      <c r="Z683" s="549">
        <v>0</v>
      </c>
      <c r="AA683" s="675">
        <v>0</v>
      </c>
      <c r="AB683" s="549">
        <v>0</v>
      </c>
      <c r="AC683" s="675">
        <v>0</v>
      </c>
      <c r="AD683" s="549">
        <v>0</v>
      </c>
      <c r="AE683" s="675">
        <v>0</v>
      </c>
      <c r="AF683" s="549">
        <v>0</v>
      </c>
      <c r="AG683" s="675">
        <v>0</v>
      </c>
      <c r="AH683" s="549">
        <v>0</v>
      </c>
      <c r="AI683" s="675">
        <v>0</v>
      </c>
      <c r="AJ683" s="549">
        <v>0</v>
      </c>
      <c r="AK683" s="675">
        <v>0</v>
      </c>
      <c r="AL683" s="549">
        <v>0</v>
      </c>
      <c r="AM683" s="675">
        <v>0</v>
      </c>
      <c r="AN683" s="549">
        <v>0</v>
      </c>
      <c r="AO683" s="675">
        <v>0</v>
      </c>
      <c r="AP683" s="549">
        <v>0</v>
      </c>
      <c r="AQ683" s="675">
        <v>0</v>
      </c>
      <c r="AR683" s="549">
        <v>0</v>
      </c>
      <c r="AS683" s="675">
        <v>0</v>
      </c>
      <c r="AT683" s="549">
        <v>0</v>
      </c>
      <c r="AU683" s="675">
        <v>0</v>
      </c>
      <c r="AV683" s="549">
        <v>0</v>
      </c>
      <c r="AW683" s="675">
        <v>0</v>
      </c>
      <c r="AX683" s="549">
        <v>0</v>
      </c>
      <c r="AY683" s="675">
        <v>0</v>
      </c>
      <c r="AZ683" s="549">
        <v>0</v>
      </c>
      <c r="BA683" s="675">
        <v>0</v>
      </c>
      <c r="BB683" s="549">
        <v>0</v>
      </c>
      <c r="BC683" s="675">
        <v>0</v>
      </c>
      <c r="BD683" s="549">
        <v>0</v>
      </c>
      <c r="BE683" s="675">
        <v>0</v>
      </c>
      <c r="BF683" s="549">
        <v>0</v>
      </c>
      <c r="BG683" s="675">
        <v>0</v>
      </c>
      <c r="BH683" s="549">
        <v>0</v>
      </c>
      <c r="BI683" s="675">
        <v>0</v>
      </c>
      <c r="BJ683" s="549">
        <v>0</v>
      </c>
      <c r="BK683" s="675">
        <v>0</v>
      </c>
      <c r="BL683" s="549">
        <v>0</v>
      </c>
      <c r="BM683" s="675">
        <v>0</v>
      </c>
      <c r="BN683" s="549">
        <v>0</v>
      </c>
      <c r="BO683" s="675">
        <v>0</v>
      </c>
      <c r="BP683" s="549">
        <v>0</v>
      </c>
      <c r="BQ683" s="675">
        <v>0</v>
      </c>
      <c r="BR683" s="549">
        <v>0</v>
      </c>
      <c r="BS683" s="675">
        <v>0</v>
      </c>
      <c r="BT683" s="549">
        <v>0</v>
      </c>
      <c r="BU683" s="675">
        <v>0</v>
      </c>
      <c r="BV683" s="549">
        <v>0</v>
      </c>
      <c r="BW683" s="675">
        <v>0</v>
      </c>
      <c r="BX683" s="549">
        <v>0</v>
      </c>
      <c r="BY683" s="675">
        <v>0</v>
      </c>
      <c r="BZ683" s="549">
        <v>0</v>
      </c>
      <c r="CA683" s="675">
        <v>0</v>
      </c>
      <c r="CB683" s="549">
        <v>0</v>
      </c>
      <c r="CC683" s="675">
        <v>0</v>
      </c>
      <c r="CD683" s="549">
        <v>0</v>
      </c>
      <c r="CE683" s="675">
        <v>0</v>
      </c>
      <c r="CF683" s="549">
        <v>0</v>
      </c>
      <c r="CG683" s="675">
        <v>0</v>
      </c>
      <c r="CH683" s="549">
        <v>0</v>
      </c>
      <c r="CI683" s="675">
        <v>0</v>
      </c>
      <c r="CJ683" s="549">
        <v>0</v>
      </c>
      <c r="CK683" s="675">
        <v>0</v>
      </c>
      <c r="CL683" s="549">
        <v>0</v>
      </c>
      <c r="CM683" s="675">
        <v>0</v>
      </c>
      <c r="CN683" s="549">
        <v>0</v>
      </c>
      <c r="CO683" s="675">
        <v>0</v>
      </c>
      <c r="CP683" s="549">
        <v>0</v>
      </c>
      <c r="CQ683" s="675">
        <v>0</v>
      </c>
      <c r="CR683" s="549">
        <v>0</v>
      </c>
      <c r="CS683" s="675">
        <v>0</v>
      </c>
      <c r="CT683" s="549">
        <v>0</v>
      </c>
      <c r="CU683" s="675">
        <v>0</v>
      </c>
      <c r="CV683" s="549">
        <v>0</v>
      </c>
      <c r="CW683" s="675">
        <v>0</v>
      </c>
      <c r="CX683" s="549">
        <v>0</v>
      </c>
      <c r="CY683" s="675">
        <v>0</v>
      </c>
      <c r="CZ683" s="549">
        <v>0</v>
      </c>
      <c r="DA683" s="675">
        <v>0</v>
      </c>
      <c r="DB683" s="549">
        <v>0</v>
      </c>
      <c r="DC683" s="675">
        <v>0</v>
      </c>
      <c r="DD683" s="549">
        <v>0</v>
      </c>
      <c r="DE683" s="675">
        <v>0</v>
      </c>
      <c r="DF683" s="549">
        <v>0</v>
      </c>
      <c r="DG683" s="675">
        <v>0</v>
      </c>
      <c r="DH683" s="549">
        <v>0</v>
      </c>
      <c r="DI683" s="675">
        <v>0</v>
      </c>
      <c r="DJ683" s="549">
        <v>0</v>
      </c>
      <c r="DK683" s="675">
        <v>0</v>
      </c>
      <c r="DL683" s="549">
        <v>0</v>
      </c>
      <c r="DM683" s="675">
        <v>0</v>
      </c>
      <c r="DN683" s="549">
        <v>0</v>
      </c>
      <c r="DO683" s="675">
        <v>0</v>
      </c>
      <c r="DP683" s="549">
        <v>0</v>
      </c>
      <c r="DQ683" s="675">
        <v>0</v>
      </c>
      <c r="DR683" s="549">
        <v>0</v>
      </c>
      <c r="DS683" s="675">
        <v>0</v>
      </c>
      <c r="DT683" s="549">
        <v>0</v>
      </c>
      <c r="DU683" s="675">
        <v>0</v>
      </c>
      <c r="DV683" s="549">
        <v>0</v>
      </c>
      <c r="DW683" s="675">
        <v>0</v>
      </c>
      <c r="DX683" s="549">
        <v>0</v>
      </c>
      <c r="DY683" s="675">
        <v>0</v>
      </c>
      <c r="DZ683" s="549">
        <v>0</v>
      </c>
      <c r="EA683" s="675">
        <v>0</v>
      </c>
      <c r="EB683" s="549">
        <v>0</v>
      </c>
      <c r="EC683" s="675">
        <v>0</v>
      </c>
      <c r="ED683" s="549">
        <v>0</v>
      </c>
      <c r="EE683" s="675">
        <v>0</v>
      </c>
      <c r="EF683" s="549">
        <v>0</v>
      </c>
      <c r="EG683" s="675">
        <v>0</v>
      </c>
      <c r="EH683" s="549">
        <v>0</v>
      </c>
      <c r="EI683" s="675">
        <v>0</v>
      </c>
      <c r="EJ683" s="549">
        <v>0</v>
      </c>
      <c r="EK683" s="675">
        <v>0</v>
      </c>
      <c r="EL683" s="549">
        <v>0</v>
      </c>
      <c r="EM683" s="675">
        <v>0</v>
      </c>
      <c r="EN683" s="549">
        <v>0</v>
      </c>
      <c r="EO683" s="675">
        <v>0</v>
      </c>
      <c r="EP683" s="549">
        <v>0</v>
      </c>
      <c r="EQ683" s="675">
        <v>0</v>
      </c>
      <c r="ER683" s="549">
        <v>0</v>
      </c>
      <c r="ES683" s="675">
        <v>0</v>
      </c>
      <c r="ET683" s="549">
        <v>0</v>
      </c>
      <c r="EU683" s="675">
        <v>0</v>
      </c>
      <c r="EV683" s="549">
        <v>0</v>
      </c>
      <c r="EW683" s="675">
        <v>0</v>
      </c>
      <c r="EX683" s="549">
        <v>0</v>
      </c>
      <c r="EY683" s="675">
        <v>0</v>
      </c>
      <c r="EZ683" s="549">
        <v>0</v>
      </c>
      <c r="FA683" s="675">
        <v>0</v>
      </c>
      <c r="FB683" s="549">
        <v>0</v>
      </c>
      <c r="FC683" s="675">
        <v>0</v>
      </c>
      <c r="FD683" s="549">
        <v>0</v>
      </c>
      <c r="FE683" s="675">
        <v>0</v>
      </c>
      <c r="FF683" s="549">
        <v>0</v>
      </c>
      <c r="FG683" s="675">
        <v>0</v>
      </c>
      <c r="FH683" s="549">
        <v>0</v>
      </c>
      <c r="FI683" s="675">
        <v>0</v>
      </c>
      <c r="FJ683" s="549">
        <v>0</v>
      </c>
      <c r="FK683" s="675">
        <v>0</v>
      </c>
      <c r="FL683" s="549">
        <v>0</v>
      </c>
      <c r="FM683" s="675">
        <v>0</v>
      </c>
      <c r="FN683" s="549">
        <v>0</v>
      </c>
      <c r="FO683" s="675">
        <v>0</v>
      </c>
      <c r="FP683" s="549">
        <v>0</v>
      </c>
      <c r="FQ683" s="675">
        <v>0</v>
      </c>
      <c r="FR683" s="549">
        <v>0</v>
      </c>
      <c r="FS683" s="675">
        <v>0</v>
      </c>
      <c r="FT683" s="549">
        <v>0</v>
      </c>
      <c r="FU683" s="675">
        <v>0</v>
      </c>
      <c r="FV683" s="549">
        <v>0</v>
      </c>
      <c r="FW683" s="675">
        <v>0</v>
      </c>
      <c r="FX683" s="549">
        <v>0</v>
      </c>
      <c r="FY683" s="675">
        <v>0</v>
      </c>
      <c r="FZ683" s="549">
        <v>0</v>
      </c>
      <c r="GA683" s="675">
        <v>0</v>
      </c>
      <c r="GB683" s="549">
        <v>0</v>
      </c>
      <c r="GC683" s="675">
        <v>0</v>
      </c>
      <c r="GD683" s="549">
        <v>0</v>
      </c>
      <c r="GE683" s="675">
        <v>0</v>
      </c>
      <c r="GF683" s="549">
        <v>0</v>
      </c>
      <c r="GG683" s="675">
        <v>0</v>
      </c>
      <c r="GH683" s="549">
        <v>0</v>
      </c>
      <c r="GI683" s="675">
        <v>0</v>
      </c>
      <c r="GJ683" s="549">
        <v>0</v>
      </c>
      <c r="GK683" s="675">
        <v>0</v>
      </c>
      <c r="GL683" s="549">
        <v>0</v>
      </c>
      <c r="GM683" s="675">
        <v>0</v>
      </c>
      <c r="GN683" s="549">
        <v>0</v>
      </c>
      <c r="GO683" s="675">
        <v>0</v>
      </c>
      <c r="GP683" s="549">
        <f>+D683+F683+H683+J683+L683+N683+P683+R683+T683+V683+X683+Z683+AB683+AD683+AH683+AJ683+AL683+AN683+AP683+AR683+AT683+AV683+AX683+AZ683+BB683+BD683+BF683+BH683+BJ683+BL683+BN683+BP683+BR683+BT683+BV683+BX683+BZ683+CB683+CD683+CF683+CH683+CJ683+CL683+CN683+CP683+CR683+CT683+CV683+CX683+CZ683+DB683+DD683+DF683+DH683+DT683+EX683+DJ683+DL683+DN683+DP683+DR683+EJ683+EB683+DZ683+DX683+DV683+ED683+EF683+EH683+EL683+EN683+EP683+EV683+ET683+ER683+EZ683+FB683+FD683+GL683</f>
        <v>0</v>
      </c>
      <c r="GQ683" s="675">
        <f>+E683+G683+I683+K683+M683+O683+Q683+S683+U683+W683+Y683+AA683+AC683+AE683+AI683+AK683+AM683+AO683+AQ683+AS683+AU683+AW683+AY683+BA683+BC683+BE683+BG683+BI683+BK683+BM683+BO683+BQ683+BS683+BU683+BW683+BY683+CA683+CC683+CE683+CG683+CI683+CK683+CM683+CO683+CQ683+CS683+CU683+CW683+CY683+DA683+DC683+DE683+DG683+DI683+DU683+EY683+DK683+DM683+DO683+DQ683+DS683+EK683+EC683+EA683+DY683+DW683+EI683+EG683+EE683+EM683+EO683+EQ683+EW683+EU683+ES683+FA683+FC683+FE683+GM683</f>
        <v>0</v>
      </c>
      <c r="GR683" s="74">
        <f>C683+GP683+GQ683</f>
        <v>0</v>
      </c>
      <c r="GS683" s="74">
        <f t="shared" ref="GS683" si="15486">SUM(GU683:HF683)+GP683+GQ683</f>
        <v>0</v>
      </c>
      <c r="GT683" s="568">
        <f>SUM(GU683:HF683)+GQ683+GP683</f>
        <v>0</v>
      </c>
      <c r="GU683" s="275">
        <v>0</v>
      </c>
      <c r="GV683" s="275"/>
      <c r="GW683" s="588"/>
      <c r="GX683" s="588">
        <v>0</v>
      </c>
      <c r="GY683" s="275"/>
      <c r="GZ683" s="275"/>
      <c r="HA683" s="275">
        <v>0</v>
      </c>
      <c r="HB683" s="275"/>
      <c r="HC683" s="275"/>
      <c r="HD683" s="275">
        <v>0</v>
      </c>
      <c r="HE683" s="275">
        <v>0</v>
      </c>
      <c r="HF683" s="275">
        <v>0</v>
      </c>
      <c r="HG683" s="74">
        <f>SUM(HH683:IE683)</f>
        <v>0</v>
      </c>
      <c r="HH683" s="89">
        <v>0</v>
      </c>
      <c r="HI683" s="817">
        <v>0</v>
      </c>
      <c r="HJ683" s="89">
        <v>0</v>
      </c>
      <c r="HK683" s="817">
        <v>0</v>
      </c>
      <c r="HL683" s="89">
        <v>0</v>
      </c>
      <c r="HM683" s="817">
        <v>0</v>
      </c>
      <c r="HN683" s="89">
        <v>0</v>
      </c>
      <c r="HO683" s="817">
        <v>0</v>
      </c>
      <c r="HP683" s="89">
        <v>0</v>
      </c>
      <c r="HQ683" s="817">
        <v>0</v>
      </c>
      <c r="HR683" s="89">
        <v>0</v>
      </c>
      <c r="HS683" s="817">
        <v>0</v>
      </c>
      <c r="HT683" s="89">
        <v>0</v>
      </c>
      <c r="HU683" s="817">
        <v>0</v>
      </c>
      <c r="HV683" s="89">
        <v>0</v>
      </c>
      <c r="HW683" s="817">
        <v>0</v>
      </c>
      <c r="HX683" s="89">
        <v>0</v>
      </c>
      <c r="HY683" s="817">
        <v>0</v>
      </c>
      <c r="HZ683" s="89">
        <v>0</v>
      </c>
      <c r="IA683" s="817">
        <v>0</v>
      </c>
      <c r="IB683" s="89">
        <v>0</v>
      </c>
      <c r="IC683" s="817">
        <v>0</v>
      </c>
      <c r="ID683" s="89">
        <v>0</v>
      </c>
      <c r="IE683" s="817">
        <v>0</v>
      </c>
      <c r="IF683" s="841">
        <f t="shared" si="15460"/>
        <v>0</v>
      </c>
      <c r="IG683" s="263">
        <f t="shared" si="15461"/>
        <v>0</v>
      </c>
      <c r="IH683" s="842">
        <f t="shared" si="15462"/>
        <v>0</v>
      </c>
      <c r="II683" s="89">
        <v>0</v>
      </c>
      <c r="IJ683" s="89">
        <v>0</v>
      </c>
      <c r="IK683" s="89">
        <v>0</v>
      </c>
      <c r="IL683" s="89">
        <v>0</v>
      </c>
      <c r="IM683" s="89">
        <v>0</v>
      </c>
      <c r="IN683" s="89">
        <v>0</v>
      </c>
      <c r="IO683" s="89">
        <v>0</v>
      </c>
      <c r="IP683" s="89">
        <v>0</v>
      </c>
      <c r="IQ683" s="89">
        <v>0</v>
      </c>
      <c r="IR683" s="89">
        <v>0</v>
      </c>
      <c r="IS683" s="89">
        <v>0</v>
      </c>
      <c r="IT683" s="89">
        <v>0</v>
      </c>
      <c r="IU683" s="89">
        <v>0</v>
      </c>
      <c r="IV683" s="89">
        <v>0</v>
      </c>
      <c r="IW683" s="89">
        <v>0</v>
      </c>
      <c r="IX683" s="89">
        <v>0</v>
      </c>
      <c r="IY683" s="89">
        <v>0</v>
      </c>
      <c r="IZ683" s="89">
        <v>0</v>
      </c>
      <c r="JA683" s="89">
        <v>0</v>
      </c>
      <c r="JB683" s="89">
        <v>0</v>
      </c>
      <c r="JC683" s="89">
        <v>0</v>
      </c>
      <c r="JD683" s="89">
        <v>0</v>
      </c>
      <c r="JE683" s="89">
        <v>0</v>
      </c>
      <c r="JF683" s="89">
        <v>0</v>
      </c>
      <c r="JG683" s="89">
        <v>0</v>
      </c>
      <c r="JH683" s="89">
        <v>0</v>
      </c>
      <c r="JI683" s="89">
        <v>0</v>
      </c>
      <c r="JJ683" s="89">
        <v>0</v>
      </c>
      <c r="JK683" s="89">
        <v>0</v>
      </c>
      <c r="JL683" s="89">
        <v>0</v>
      </c>
      <c r="JM683" s="89">
        <v>0</v>
      </c>
      <c r="JN683" s="89">
        <v>0</v>
      </c>
      <c r="JO683" s="89">
        <v>0</v>
      </c>
      <c r="JP683" s="89">
        <v>0</v>
      </c>
      <c r="JQ683" s="89">
        <v>0</v>
      </c>
      <c r="JR683" s="89">
        <v>0</v>
      </c>
      <c r="JS683" s="74">
        <f>HG683-IF683</f>
        <v>0</v>
      </c>
      <c r="JT683" s="382">
        <f>GS683-IF683</f>
        <v>0</v>
      </c>
      <c r="JU683" s="665"/>
      <c r="JV683" s="524"/>
      <c r="JW683" s="525"/>
      <c r="JX683" s="549">
        <f>SUM(HH683,HJ683,HL683,HN683,HP683,HR683,HT683,HV683,HX683,HZ683,IB683,ID683)</f>
        <v>0</v>
      </c>
      <c r="JY683" s="549">
        <f t="shared" si="15269"/>
        <v>0</v>
      </c>
      <c r="JZ683" s="581">
        <f t="shared" si="14740"/>
        <v>0</v>
      </c>
      <c r="KA683" s="581">
        <f t="shared" si="14741"/>
        <v>0</v>
      </c>
      <c r="KB683" s="566">
        <f t="shared" si="15406"/>
        <v>0</v>
      </c>
      <c r="KC683" s="709">
        <f t="shared" si="14739"/>
        <v>0</v>
      </c>
      <c r="KD683" s="491"/>
      <c r="KE683" s="491"/>
      <c r="KF683" s="491"/>
      <c r="KG683" s="491"/>
      <c r="KH683" s="36"/>
      <c r="KI683" s="36"/>
      <c r="KJ683" s="36"/>
      <c r="KK683" s="36"/>
    </row>
    <row r="684" spans="1:297" s="10" customFormat="1">
      <c r="A684" s="612"/>
      <c r="B684" s="512"/>
      <c r="C684" s="513"/>
      <c r="D684" s="553"/>
      <c r="E684" s="687"/>
      <c r="F684" s="553"/>
      <c r="G684" s="687"/>
      <c r="H684" s="553"/>
      <c r="I684" s="687"/>
      <c r="J684" s="553"/>
      <c r="K684" s="687"/>
      <c r="L684" s="553"/>
      <c r="M684" s="687"/>
      <c r="N684" s="553"/>
      <c r="O684" s="687"/>
      <c r="P684" s="553"/>
      <c r="Q684" s="687"/>
      <c r="R684" s="553"/>
      <c r="S684" s="687"/>
      <c r="T684" s="553"/>
      <c r="U684" s="687"/>
      <c r="V684" s="553"/>
      <c r="W684" s="687"/>
      <c r="X684" s="553"/>
      <c r="Y684" s="687"/>
      <c r="Z684" s="553"/>
      <c r="AA684" s="687"/>
      <c r="AB684" s="553"/>
      <c r="AC684" s="687"/>
      <c r="AD684" s="553"/>
      <c r="AE684" s="687"/>
      <c r="AF684" s="553"/>
      <c r="AG684" s="687"/>
      <c r="AH684" s="553"/>
      <c r="AI684" s="687"/>
      <c r="AJ684" s="553"/>
      <c r="AK684" s="687"/>
      <c r="AL684" s="553"/>
      <c r="AM684" s="687"/>
      <c r="AN684" s="553"/>
      <c r="AO684" s="687"/>
      <c r="AP684" s="553"/>
      <c r="AQ684" s="687"/>
      <c r="AR684" s="553"/>
      <c r="AS684" s="687"/>
      <c r="AT684" s="553"/>
      <c r="AU684" s="687"/>
      <c r="AV684" s="553"/>
      <c r="AW684" s="687"/>
      <c r="AX684" s="553"/>
      <c r="AY684" s="687"/>
      <c r="AZ684" s="553"/>
      <c r="BA684" s="687"/>
      <c r="BB684" s="553"/>
      <c r="BC684" s="687"/>
      <c r="BD684" s="553"/>
      <c r="BE684" s="687"/>
      <c r="BF684" s="553"/>
      <c r="BG684" s="687"/>
      <c r="BH684" s="553"/>
      <c r="BI684" s="687"/>
      <c r="BJ684" s="553"/>
      <c r="BK684" s="687"/>
      <c r="BL684" s="553"/>
      <c r="BM684" s="687"/>
      <c r="BN684" s="553"/>
      <c r="BO684" s="687"/>
      <c r="BP684" s="553"/>
      <c r="BQ684" s="687"/>
      <c r="BR684" s="553"/>
      <c r="BS684" s="687"/>
      <c r="BT684" s="553"/>
      <c r="BU684" s="687"/>
      <c r="BV684" s="553"/>
      <c r="BW684" s="687"/>
      <c r="BX684" s="553"/>
      <c r="BY684" s="687"/>
      <c r="BZ684" s="553"/>
      <c r="CA684" s="687"/>
      <c r="CB684" s="553"/>
      <c r="CC684" s="687"/>
      <c r="CD684" s="553"/>
      <c r="CE684" s="687"/>
      <c r="CF684" s="553"/>
      <c r="CG684" s="687"/>
      <c r="CH684" s="553"/>
      <c r="CI684" s="687"/>
      <c r="CJ684" s="553"/>
      <c r="CK684" s="687"/>
      <c r="CL684" s="553"/>
      <c r="CM684" s="687"/>
      <c r="CN684" s="553"/>
      <c r="CO684" s="687"/>
      <c r="CP684" s="553"/>
      <c r="CQ684" s="687"/>
      <c r="CR684" s="553"/>
      <c r="CS684" s="687"/>
      <c r="CT684" s="553"/>
      <c r="CU684" s="687"/>
      <c r="CV684" s="553"/>
      <c r="CW684" s="687"/>
      <c r="CX684" s="553"/>
      <c r="CY684" s="687"/>
      <c r="CZ684" s="553"/>
      <c r="DA684" s="687"/>
      <c r="DB684" s="553"/>
      <c r="DC684" s="687"/>
      <c r="DD684" s="553"/>
      <c r="DE684" s="687"/>
      <c r="DF684" s="553"/>
      <c r="DG684" s="687"/>
      <c r="DH684" s="553"/>
      <c r="DI684" s="687"/>
      <c r="DJ684" s="553"/>
      <c r="DK684" s="687"/>
      <c r="DL684" s="553"/>
      <c r="DM684" s="687"/>
      <c r="DN684" s="553"/>
      <c r="DO684" s="687"/>
      <c r="DP684" s="553"/>
      <c r="DQ684" s="687"/>
      <c r="DR684" s="553"/>
      <c r="DS684" s="687"/>
      <c r="DT684" s="553"/>
      <c r="DU684" s="687"/>
      <c r="DV684" s="553"/>
      <c r="DW684" s="687"/>
      <c r="DX684" s="553"/>
      <c r="DY684" s="687"/>
      <c r="DZ684" s="553"/>
      <c r="EA684" s="687"/>
      <c r="EB684" s="553"/>
      <c r="EC684" s="687"/>
      <c r="ED684" s="553"/>
      <c r="EE684" s="687"/>
      <c r="EF684" s="553"/>
      <c r="EG684" s="687"/>
      <c r="EH684" s="553"/>
      <c r="EI684" s="687"/>
      <c r="EJ684" s="553"/>
      <c r="EK684" s="687"/>
      <c r="EL684" s="553"/>
      <c r="EM684" s="687"/>
      <c r="EN684" s="553"/>
      <c r="EO684" s="687"/>
      <c r="EP684" s="553"/>
      <c r="EQ684" s="687"/>
      <c r="ER684" s="553"/>
      <c r="ES684" s="687"/>
      <c r="ET684" s="553"/>
      <c r="EU684" s="687"/>
      <c r="EV684" s="553"/>
      <c r="EW684" s="687"/>
      <c r="EX684" s="553"/>
      <c r="EY684" s="687"/>
      <c r="EZ684" s="553"/>
      <c r="FA684" s="687"/>
      <c r="FB684" s="553"/>
      <c r="FC684" s="687"/>
      <c r="FD684" s="553"/>
      <c r="FE684" s="687"/>
      <c r="FF684" s="553"/>
      <c r="FG684" s="687"/>
      <c r="FH684" s="553"/>
      <c r="FI684" s="687"/>
      <c r="FJ684" s="553"/>
      <c r="FK684" s="687"/>
      <c r="FL684" s="553"/>
      <c r="FM684" s="687"/>
      <c r="FN684" s="553"/>
      <c r="FO684" s="687"/>
      <c r="FP684" s="553"/>
      <c r="FQ684" s="687"/>
      <c r="FR684" s="553"/>
      <c r="FS684" s="687"/>
      <c r="FT684" s="553"/>
      <c r="FU684" s="687"/>
      <c r="FV684" s="553"/>
      <c r="FW684" s="687"/>
      <c r="FX684" s="553"/>
      <c r="FY684" s="687"/>
      <c r="FZ684" s="553"/>
      <c r="GA684" s="687"/>
      <c r="GB684" s="553"/>
      <c r="GC684" s="687"/>
      <c r="GD684" s="553"/>
      <c r="GE684" s="687"/>
      <c r="GF684" s="553"/>
      <c r="GG684" s="687"/>
      <c r="GH684" s="553"/>
      <c r="GI684" s="687"/>
      <c r="GJ684" s="553"/>
      <c r="GK684" s="687"/>
      <c r="GL684" s="553"/>
      <c r="GM684" s="687"/>
      <c r="GN684" s="553"/>
      <c r="GO684" s="687"/>
      <c r="GP684" s="553"/>
      <c r="GQ684" s="687"/>
      <c r="GR684" s="487"/>
      <c r="GS684" s="487"/>
      <c r="GT684" s="553"/>
      <c r="GU684" s="487"/>
      <c r="GV684" s="487"/>
      <c r="GW684" s="553"/>
      <c r="GX684" s="553"/>
      <c r="GY684" s="487"/>
      <c r="GZ684" s="487"/>
      <c r="HA684" s="487"/>
      <c r="HB684" s="487"/>
      <c r="HC684" s="487"/>
      <c r="HD684" s="487"/>
      <c r="HE684" s="487"/>
      <c r="HF684" s="487"/>
      <c r="HG684" s="487"/>
      <c r="HH684" s="487"/>
      <c r="HI684" s="828"/>
      <c r="HJ684" s="487"/>
      <c r="HK684" s="828"/>
      <c r="HL684" s="487"/>
      <c r="HM684" s="828"/>
      <c r="HN684" s="487"/>
      <c r="HO684" s="828"/>
      <c r="HP684" s="487"/>
      <c r="HQ684" s="828"/>
      <c r="HR684" s="487"/>
      <c r="HS684" s="828"/>
      <c r="HT684" s="487"/>
      <c r="HU684" s="828"/>
      <c r="HV684" s="487"/>
      <c r="HW684" s="828"/>
      <c r="HX684" s="487"/>
      <c r="HY684" s="828"/>
      <c r="HZ684" s="487"/>
      <c r="IA684" s="828"/>
      <c r="IB684" s="487"/>
      <c r="IC684" s="828"/>
      <c r="ID684" s="487"/>
      <c r="IE684" s="828"/>
      <c r="IF684" s="871"/>
      <c r="IG684" s="486"/>
      <c r="IH684" s="872"/>
      <c r="II684" s="487"/>
      <c r="IJ684" s="487"/>
      <c r="IK684" s="487"/>
      <c r="IL684" s="487"/>
      <c r="IM684" s="487"/>
      <c r="IN684" s="487"/>
      <c r="IO684" s="487"/>
      <c r="IP684" s="487"/>
      <c r="IQ684" s="487"/>
      <c r="IR684" s="487"/>
      <c r="IS684" s="487"/>
      <c r="IT684" s="487"/>
      <c r="IU684" s="487"/>
      <c r="IV684" s="487"/>
      <c r="IW684" s="487"/>
      <c r="IX684" s="487"/>
      <c r="IY684" s="487"/>
      <c r="IZ684" s="487"/>
      <c r="JA684" s="487"/>
      <c r="JB684" s="487"/>
      <c r="JC684" s="487"/>
      <c r="JD684" s="487"/>
      <c r="JE684" s="487"/>
      <c r="JF684" s="487"/>
      <c r="JG684" s="487"/>
      <c r="JH684" s="487"/>
      <c r="JI684" s="487"/>
      <c r="JJ684" s="487"/>
      <c r="JK684" s="487"/>
      <c r="JL684" s="487"/>
      <c r="JM684" s="487"/>
      <c r="JN684" s="487"/>
      <c r="JO684" s="487"/>
      <c r="JP684" s="487"/>
      <c r="JQ684" s="487"/>
      <c r="JR684" s="487"/>
      <c r="JS684" s="487"/>
      <c r="JT684" s="662"/>
      <c r="JU684" s="665"/>
      <c r="JV684" s="524"/>
      <c r="JW684" s="525"/>
      <c r="JX684" s="553"/>
      <c r="JY684" s="549">
        <f t="shared" si="15269"/>
        <v>0</v>
      </c>
      <c r="JZ684" s="581">
        <f t="shared" si="14740"/>
        <v>0</v>
      </c>
      <c r="KA684" s="581">
        <f t="shared" si="14741"/>
        <v>0</v>
      </c>
      <c r="KB684" s="566">
        <f t="shared" si="15406"/>
        <v>0</v>
      </c>
      <c r="KC684" s="709">
        <f t="shared" si="14739"/>
        <v>0</v>
      </c>
      <c r="KD684" s="491"/>
      <c r="KE684" s="491"/>
      <c r="KF684" s="491"/>
      <c r="KG684" s="491"/>
      <c r="KH684" s="36"/>
      <c r="KI684" s="36"/>
      <c r="KJ684" s="36"/>
      <c r="KK684" s="36"/>
    </row>
    <row r="685" spans="1:297" s="8" customFormat="1">
      <c r="A685" s="613" t="s">
        <v>1141</v>
      </c>
      <c r="B685" s="514" t="s">
        <v>1145</v>
      </c>
      <c r="C685" s="513">
        <f t="shared" ref="C685" si="15487">SUM(C686:C686)</f>
        <v>50000</v>
      </c>
      <c r="D685" s="567">
        <f t="shared" ref="D685:CC685" si="15488">SUM(D686:D686)</f>
        <v>0</v>
      </c>
      <c r="E685" s="686">
        <f t="shared" si="15488"/>
        <v>0</v>
      </c>
      <c r="F685" s="567">
        <f t="shared" si="15488"/>
        <v>0</v>
      </c>
      <c r="G685" s="686">
        <f t="shared" si="15488"/>
        <v>0</v>
      </c>
      <c r="H685" s="567">
        <f t="shared" si="15488"/>
        <v>0</v>
      </c>
      <c r="I685" s="686">
        <f t="shared" si="15488"/>
        <v>0</v>
      </c>
      <c r="J685" s="567">
        <f t="shared" si="15488"/>
        <v>0</v>
      </c>
      <c r="K685" s="686">
        <f t="shared" si="15488"/>
        <v>0</v>
      </c>
      <c r="L685" s="567">
        <f t="shared" si="15488"/>
        <v>0</v>
      </c>
      <c r="M685" s="686">
        <f t="shared" si="15488"/>
        <v>0</v>
      </c>
      <c r="N685" s="567">
        <f t="shared" si="15488"/>
        <v>0</v>
      </c>
      <c r="O685" s="686">
        <f t="shared" si="15488"/>
        <v>0</v>
      </c>
      <c r="P685" s="567">
        <f t="shared" si="15488"/>
        <v>0</v>
      </c>
      <c r="Q685" s="686">
        <f t="shared" si="15488"/>
        <v>0</v>
      </c>
      <c r="R685" s="567">
        <f t="shared" si="15488"/>
        <v>0</v>
      </c>
      <c r="S685" s="686">
        <f t="shared" si="15488"/>
        <v>0</v>
      </c>
      <c r="T685" s="567">
        <f t="shared" si="15488"/>
        <v>0</v>
      </c>
      <c r="U685" s="686">
        <f t="shared" si="15488"/>
        <v>0</v>
      </c>
      <c r="V685" s="567">
        <f t="shared" si="15488"/>
        <v>0</v>
      </c>
      <c r="W685" s="686">
        <f t="shared" si="15488"/>
        <v>0</v>
      </c>
      <c r="X685" s="567">
        <f t="shared" si="15488"/>
        <v>0</v>
      </c>
      <c r="Y685" s="686">
        <f t="shared" si="15488"/>
        <v>0</v>
      </c>
      <c r="Z685" s="567">
        <f t="shared" si="15488"/>
        <v>266314</v>
      </c>
      <c r="AA685" s="686">
        <f t="shared" si="15488"/>
        <v>0</v>
      </c>
      <c r="AB685" s="567">
        <f t="shared" si="15488"/>
        <v>0</v>
      </c>
      <c r="AC685" s="686">
        <f t="shared" si="15488"/>
        <v>0</v>
      </c>
      <c r="AD685" s="567">
        <f t="shared" si="15488"/>
        <v>0</v>
      </c>
      <c r="AE685" s="686">
        <f t="shared" si="15488"/>
        <v>0</v>
      </c>
      <c r="AF685" s="567">
        <f t="shared" si="15488"/>
        <v>0</v>
      </c>
      <c r="AG685" s="686">
        <f t="shared" si="15488"/>
        <v>0</v>
      </c>
      <c r="AH685" s="567">
        <f t="shared" si="15488"/>
        <v>0</v>
      </c>
      <c r="AI685" s="686">
        <f t="shared" si="15488"/>
        <v>0</v>
      </c>
      <c r="AJ685" s="567">
        <f t="shared" si="15488"/>
        <v>0</v>
      </c>
      <c r="AK685" s="686">
        <f t="shared" si="15488"/>
        <v>0</v>
      </c>
      <c r="AL685" s="567">
        <f t="shared" si="15488"/>
        <v>0</v>
      </c>
      <c r="AM685" s="686">
        <f t="shared" si="15488"/>
        <v>0</v>
      </c>
      <c r="AN685" s="567">
        <f t="shared" si="15488"/>
        <v>0</v>
      </c>
      <c r="AO685" s="686">
        <f t="shared" si="15488"/>
        <v>0</v>
      </c>
      <c r="AP685" s="567">
        <f t="shared" si="15488"/>
        <v>0</v>
      </c>
      <c r="AQ685" s="686">
        <f t="shared" si="15488"/>
        <v>0</v>
      </c>
      <c r="AR685" s="567">
        <f t="shared" si="15488"/>
        <v>0</v>
      </c>
      <c r="AS685" s="686">
        <f t="shared" si="15488"/>
        <v>0</v>
      </c>
      <c r="AT685" s="567">
        <f t="shared" si="15488"/>
        <v>0</v>
      </c>
      <c r="AU685" s="686">
        <f t="shared" si="15488"/>
        <v>0</v>
      </c>
      <c r="AV685" s="567">
        <f t="shared" si="15488"/>
        <v>0</v>
      </c>
      <c r="AW685" s="686">
        <f t="shared" si="15488"/>
        <v>0</v>
      </c>
      <c r="AX685" s="567">
        <f t="shared" si="15488"/>
        <v>0</v>
      </c>
      <c r="AY685" s="686">
        <f t="shared" si="15488"/>
        <v>0</v>
      </c>
      <c r="AZ685" s="567">
        <f t="shared" si="15488"/>
        <v>0</v>
      </c>
      <c r="BA685" s="686">
        <f t="shared" si="15488"/>
        <v>0</v>
      </c>
      <c r="BB685" s="567">
        <f t="shared" si="15488"/>
        <v>0</v>
      </c>
      <c r="BC685" s="686">
        <f t="shared" si="15488"/>
        <v>0</v>
      </c>
      <c r="BD685" s="567">
        <f t="shared" si="15488"/>
        <v>0</v>
      </c>
      <c r="BE685" s="686">
        <f t="shared" si="15488"/>
        <v>0</v>
      </c>
      <c r="BF685" s="567">
        <f t="shared" si="15488"/>
        <v>0</v>
      </c>
      <c r="BG685" s="686">
        <f t="shared" si="15488"/>
        <v>0</v>
      </c>
      <c r="BH685" s="567">
        <f t="shared" si="15488"/>
        <v>0</v>
      </c>
      <c r="BI685" s="686">
        <f t="shared" si="15488"/>
        <v>0</v>
      </c>
      <c r="BJ685" s="567">
        <f t="shared" si="15488"/>
        <v>0</v>
      </c>
      <c r="BK685" s="686">
        <f t="shared" si="15488"/>
        <v>0</v>
      </c>
      <c r="BL685" s="567">
        <f t="shared" si="15488"/>
        <v>0</v>
      </c>
      <c r="BM685" s="686">
        <f t="shared" si="15488"/>
        <v>0</v>
      </c>
      <c r="BN685" s="567">
        <f t="shared" si="15488"/>
        <v>0</v>
      </c>
      <c r="BO685" s="686">
        <f t="shared" si="15488"/>
        <v>0</v>
      </c>
      <c r="BP685" s="567">
        <f t="shared" si="15488"/>
        <v>0</v>
      </c>
      <c r="BQ685" s="686">
        <f t="shared" si="15488"/>
        <v>0</v>
      </c>
      <c r="BR685" s="567">
        <f t="shared" si="15488"/>
        <v>0</v>
      </c>
      <c r="BS685" s="686">
        <f t="shared" si="15488"/>
        <v>0</v>
      </c>
      <c r="BT685" s="567">
        <f t="shared" si="15488"/>
        <v>0</v>
      </c>
      <c r="BU685" s="686">
        <f t="shared" si="15488"/>
        <v>0</v>
      </c>
      <c r="BV685" s="567">
        <f t="shared" si="15488"/>
        <v>0</v>
      </c>
      <c r="BW685" s="686">
        <f t="shared" si="15488"/>
        <v>0</v>
      </c>
      <c r="BX685" s="567">
        <f t="shared" si="15488"/>
        <v>0</v>
      </c>
      <c r="BY685" s="686">
        <f t="shared" si="15488"/>
        <v>0</v>
      </c>
      <c r="BZ685" s="567">
        <f t="shared" si="15488"/>
        <v>0</v>
      </c>
      <c r="CA685" s="686">
        <f t="shared" si="15488"/>
        <v>0</v>
      </c>
      <c r="CB685" s="567">
        <f t="shared" si="15488"/>
        <v>0</v>
      </c>
      <c r="CC685" s="686">
        <f t="shared" si="15488"/>
        <v>0</v>
      </c>
      <c r="CD685" s="567">
        <f t="shared" ref="CD685:CE685" si="15489">SUM(CD686:CD686)</f>
        <v>0</v>
      </c>
      <c r="CE685" s="686">
        <f t="shared" si="15489"/>
        <v>0</v>
      </c>
      <c r="CF685" s="567">
        <f t="shared" ref="CF685:CG685" si="15490">SUM(CF686:CF686)</f>
        <v>0</v>
      </c>
      <c r="CG685" s="686">
        <f t="shared" si="15490"/>
        <v>0</v>
      </c>
      <c r="CH685" s="567">
        <f t="shared" ref="CH685:CI685" si="15491">SUM(CH686:CH686)</f>
        <v>0</v>
      </c>
      <c r="CI685" s="686">
        <f t="shared" si="15491"/>
        <v>0</v>
      </c>
      <c r="CJ685" s="567">
        <f t="shared" ref="CJ685:CK685" si="15492">SUM(CJ686:CJ686)</f>
        <v>0</v>
      </c>
      <c r="CK685" s="686">
        <f t="shared" si="15492"/>
        <v>0</v>
      </c>
      <c r="CL685" s="567">
        <f t="shared" ref="CL685:CM685" si="15493">SUM(CL686:CL686)</f>
        <v>0</v>
      </c>
      <c r="CM685" s="686">
        <f t="shared" si="15493"/>
        <v>0</v>
      </c>
      <c r="CN685" s="567">
        <f t="shared" ref="CN685:CO685" si="15494">SUM(CN686:CN686)</f>
        <v>0</v>
      </c>
      <c r="CO685" s="686">
        <f t="shared" si="15494"/>
        <v>0</v>
      </c>
      <c r="CP685" s="567">
        <f t="shared" ref="CP685:CQ685" si="15495">SUM(CP686:CP686)</f>
        <v>0</v>
      </c>
      <c r="CQ685" s="686">
        <f t="shared" si="15495"/>
        <v>0</v>
      </c>
      <c r="CR685" s="567">
        <f t="shared" ref="CR685:CS685" si="15496">SUM(CR686:CR686)</f>
        <v>0</v>
      </c>
      <c r="CS685" s="686">
        <f t="shared" si="15496"/>
        <v>0</v>
      </c>
      <c r="CT685" s="567">
        <f t="shared" ref="CT685:CU685" si="15497">SUM(CT686:CT686)</f>
        <v>0</v>
      </c>
      <c r="CU685" s="686">
        <f t="shared" si="15497"/>
        <v>0</v>
      </c>
      <c r="CV685" s="567">
        <f t="shared" ref="CV685:CW685" si="15498">SUM(CV686:CV686)</f>
        <v>0</v>
      </c>
      <c r="CW685" s="686">
        <f t="shared" si="15498"/>
        <v>0</v>
      </c>
      <c r="CX685" s="567">
        <f t="shared" ref="CX685:CY685" si="15499">SUM(CX686:CX686)</f>
        <v>0</v>
      </c>
      <c r="CY685" s="686">
        <f t="shared" si="15499"/>
        <v>0</v>
      </c>
      <c r="CZ685" s="567">
        <f t="shared" ref="CZ685:DA685" si="15500">SUM(CZ686:CZ686)</f>
        <v>0</v>
      </c>
      <c r="DA685" s="686">
        <f t="shared" si="15500"/>
        <v>0</v>
      </c>
      <c r="DB685" s="567">
        <f t="shared" ref="DB685:DC685" si="15501">SUM(DB686:DB686)</f>
        <v>0</v>
      </c>
      <c r="DC685" s="686">
        <f t="shared" si="15501"/>
        <v>0</v>
      </c>
      <c r="DD685" s="567">
        <f t="shared" ref="DD685:DE685" si="15502">SUM(DD686:DD686)</f>
        <v>0</v>
      </c>
      <c r="DE685" s="686">
        <f t="shared" si="15502"/>
        <v>0</v>
      </c>
      <c r="DF685" s="567">
        <f t="shared" ref="DF685:DG685" si="15503">SUM(DF686:DF686)</f>
        <v>0</v>
      </c>
      <c r="DG685" s="686">
        <f t="shared" si="15503"/>
        <v>0</v>
      </c>
      <c r="DH685" s="567">
        <f t="shared" ref="DH685:DI685" si="15504">SUM(DH686:DH686)</f>
        <v>0</v>
      </c>
      <c r="DI685" s="686">
        <f t="shared" si="15504"/>
        <v>0</v>
      </c>
      <c r="DJ685" s="567">
        <f t="shared" ref="DJ685:DK685" si="15505">SUM(DJ686:DJ686)</f>
        <v>0</v>
      </c>
      <c r="DK685" s="686">
        <f t="shared" si="15505"/>
        <v>0</v>
      </c>
      <c r="DL685" s="567">
        <f t="shared" ref="DL685:DM685" si="15506">SUM(DL686:DL686)</f>
        <v>0</v>
      </c>
      <c r="DM685" s="686">
        <f t="shared" si="15506"/>
        <v>0</v>
      </c>
      <c r="DN685" s="567">
        <f t="shared" ref="DN685:DO685" si="15507">SUM(DN686:DN686)</f>
        <v>0</v>
      </c>
      <c r="DO685" s="686">
        <f t="shared" si="15507"/>
        <v>0</v>
      </c>
      <c r="DP685" s="567">
        <f t="shared" ref="DP685:DQ685" si="15508">SUM(DP686:DP686)</f>
        <v>0</v>
      </c>
      <c r="DQ685" s="686">
        <f t="shared" si="15508"/>
        <v>0</v>
      </c>
      <c r="DR685" s="567">
        <f t="shared" ref="DR685:DS685" si="15509">SUM(DR686:DR686)</f>
        <v>0</v>
      </c>
      <c r="DS685" s="686">
        <f t="shared" si="15509"/>
        <v>0</v>
      </c>
      <c r="DT685" s="567">
        <f t="shared" ref="DT685:DU685" si="15510">SUM(DT686:DT686)</f>
        <v>0</v>
      </c>
      <c r="DU685" s="686">
        <f t="shared" si="15510"/>
        <v>0</v>
      </c>
      <c r="DV685" s="567">
        <f t="shared" ref="DV685:DW685" si="15511">SUM(DV686:DV686)</f>
        <v>0</v>
      </c>
      <c r="DW685" s="686">
        <f t="shared" si="15511"/>
        <v>0</v>
      </c>
      <c r="DX685" s="567">
        <f t="shared" ref="DX685:DY685" si="15512">SUM(DX686:DX686)</f>
        <v>0</v>
      </c>
      <c r="DY685" s="686">
        <f t="shared" si="15512"/>
        <v>0</v>
      </c>
      <c r="DZ685" s="567">
        <f t="shared" ref="DZ685:EA685" si="15513">SUM(DZ686:DZ686)</f>
        <v>0</v>
      </c>
      <c r="EA685" s="686">
        <f t="shared" si="15513"/>
        <v>0</v>
      </c>
      <c r="EB685" s="567">
        <f t="shared" ref="EB685:EC685" si="15514">SUM(EB686:EB686)</f>
        <v>0</v>
      </c>
      <c r="EC685" s="686">
        <f t="shared" si="15514"/>
        <v>0</v>
      </c>
      <c r="ED685" s="567">
        <f t="shared" ref="ED685:EE685" si="15515">SUM(ED686:ED686)</f>
        <v>0</v>
      </c>
      <c r="EE685" s="686">
        <f t="shared" si="15515"/>
        <v>0</v>
      </c>
      <c r="EF685" s="567">
        <f t="shared" ref="EF685:EG685" si="15516">SUM(EF686:EF686)</f>
        <v>0</v>
      </c>
      <c r="EG685" s="686">
        <f t="shared" si="15516"/>
        <v>0</v>
      </c>
      <c r="EH685" s="567">
        <f t="shared" ref="EH685:EI685" si="15517">SUM(EH686:EH686)</f>
        <v>0</v>
      </c>
      <c r="EI685" s="686">
        <f t="shared" si="15517"/>
        <v>0</v>
      </c>
      <c r="EJ685" s="567">
        <f t="shared" ref="EJ685:EK685" si="15518">SUM(EJ686:EJ686)</f>
        <v>0</v>
      </c>
      <c r="EK685" s="686">
        <f t="shared" si="15518"/>
        <v>0</v>
      </c>
      <c r="EL685" s="567">
        <f t="shared" ref="EL685:EM685" si="15519">SUM(EL686:EL686)</f>
        <v>0</v>
      </c>
      <c r="EM685" s="686">
        <f t="shared" si="15519"/>
        <v>0</v>
      </c>
      <c r="EN685" s="567">
        <f t="shared" ref="EN685:EO685" si="15520">SUM(EN686:EN686)</f>
        <v>0</v>
      </c>
      <c r="EO685" s="686">
        <f t="shared" si="15520"/>
        <v>0</v>
      </c>
      <c r="EP685" s="567">
        <f t="shared" ref="EP685:EQ685" si="15521">SUM(EP686:EP686)</f>
        <v>0</v>
      </c>
      <c r="EQ685" s="686">
        <f t="shared" si="15521"/>
        <v>0</v>
      </c>
      <c r="ER685" s="567">
        <f t="shared" ref="ER685:ES685" si="15522">SUM(ER686:ER686)</f>
        <v>0</v>
      </c>
      <c r="ES685" s="686">
        <f t="shared" si="15522"/>
        <v>0</v>
      </c>
      <c r="ET685" s="567">
        <f t="shared" ref="ET685:EU685" si="15523">SUM(ET686:ET686)</f>
        <v>0</v>
      </c>
      <c r="EU685" s="686">
        <f t="shared" si="15523"/>
        <v>0</v>
      </c>
      <c r="EV685" s="567">
        <f t="shared" ref="EV685:EW685" si="15524">SUM(EV686:EV686)</f>
        <v>0</v>
      </c>
      <c r="EW685" s="686">
        <f t="shared" si="15524"/>
        <v>0</v>
      </c>
      <c r="EX685" s="567">
        <f t="shared" ref="EX685:EY685" si="15525">SUM(EX686:EX686)</f>
        <v>0</v>
      </c>
      <c r="EY685" s="686">
        <f t="shared" si="15525"/>
        <v>0</v>
      </c>
      <c r="EZ685" s="567">
        <f t="shared" ref="EZ685:FA685" si="15526">SUM(EZ686:EZ686)</f>
        <v>0</v>
      </c>
      <c r="FA685" s="686">
        <f t="shared" si="15526"/>
        <v>0</v>
      </c>
      <c r="FB685" s="567">
        <f t="shared" ref="FB685:FC685" si="15527">SUM(FB686:FB686)</f>
        <v>0</v>
      </c>
      <c r="FC685" s="686">
        <f t="shared" si="15527"/>
        <v>0</v>
      </c>
      <c r="FD685" s="567">
        <f t="shared" ref="FD685:FE685" si="15528">SUM(FD686:FD686)</f>
        <v>0</v>
      </c>
      <c r="FE685" s="686">
        <f t="shared" si="15528"/>
        <v>0</v>
      </c>
      <c r="FF685" s="567">
        <f t="shared" ref="FF685:FG685" si="15529">SUM(FF686:FF686)</f>
        <v>0</v>
      </c>
      <c r="FG685" s="686">
        <f t="shared" si="15529"/>
        <v>0</v>
      </c>
      <c r="FH685" s="567">
        <f t="shared" ref="FH685:FI685" si="15530">SUM(FH686:FH686)</f>
        <v>0</v>
      </c>
      <c r="FI685" s="686">
        <f t="shared" si="15530"/>
        <v>0</v>
      </c>
      <c r="FJ685" s="567">
        <f t="shared" ref="FJ685:FK685" si="15531">SUM(FJ686:FJ686)</f>
        <v>0</v>
      </c>
      <c r="FK685" s="686">
        <f t="shared" si="15531"/>
        <v>0</v>
      </c>
      <c r="FL685" s="567">
        <f t="shared" ref="FL685:HG685" si="15532">SUM(FL686:FL686)</f>
        <v>0</v>
      </c>
      <c r="FM685" s="686">
        <f t="shared" si="15532"/>
        <v>0</v>
      </c>
      <c r="FN685" s="567">
        <f t="shared" si="15532"/>
        <v>0</v>
      </c>
      <c r="FO685" s="686">
        <f t="shared" si="15532"/>
        <v>0</v>
      </c>
      <c r="FP685" s="567">
        <f t="shared" si="15532"/>
        <v>0</v>
      </c>
      <c r="FQ685" s="686">
        <f t="shared" si="15532"/>
        <v>0</v>
      </c>
      <c r="FR685" s="567">
        <f t="shared" si="15532"/>
        <v>0</v>
      </c>
      <c r="FS685" s="686">
        <f t="shared" si="15532"/>
        <v>0</v>
      </c>
      <c r="FT685" s="567">
        <f t="shared" si="15532"/>
        <v>0</v>
      </c>
      <c r="FU685" s="686">
        <f t="shared" si="15532"/>
        <v>0</v>
      </c>
      <c r="FV685" s="567">
        <f t="shared" si="15532"/>
        <v>0</v>
      </c>
      <c r="FW685" s="686">
        <f t="shared" si="15532"/>
        <v>0</v>
      </c>
      <c r="FX685" s="567">
        <f t="shared" si="15532"/>
        <v>0</v>
      </c>
      <c r="FY685" s="686">
        <f t="shared" si="15532"/>
        <v>0</v>
      </c>
      <c r="FZ685" s="567">
        <f t="shared" si="15532"/>
        <v>0</v>
      </c>
      <c r="GA685" s="686">
        <f t="shared" si="15532"/>
        <v>0</v>
      </c>
      <c r="GB685" s="567">
        <f t="shared" si="15532"/>
        <v>0</v>
      </c>
      <c r="GC685" s="686">
        <f t="shared" si="15532"/>
        <v>0</v>
      </c>
      <c r="GD685" s="567">
        <f t="shared" si="15532"/>
        <v>0</v>
      </c>
      <c r="GE685" s="686">
        <f t="shared" si="15532"/>
        <v>0</v>
      </c>
      <c r="GF685" s="567">
        <f t="shared" si="15532"/>
        <v>0</v>
      </c>
      <c r="GG685" s="686">
        <f t="shared" si="15532"/>
        <v>0</v>
      </c>
      <c r="GH685" s="567">
        <f t="shared" si="15532"/>
        <v>0</v>
      </c>
      <c r="GI685" s="686">
        <f t="shared" si="15532"/>
        <v>0</v>
      </c>
      <c r="GJ685" s="567">
        <f t="shared" si="15532"/>
        <v>0</v>
      </c>
      <c r="GK685" s="686">
        <f t="shared" si="15532"/>
        <v>0</v>
      </c>
      <c r="GL685" s="567">
        <f t="shared" si="15532"/>
        <v>0</v>
      </c>
      <c r="GM685" s="686">
        <f t="shared" si="15532"/>
        <v>0</v>
      </c>
      <c r="GN685" s="567">
        <f t="shared" si="15532"/>
        <v>0</v>
      </c>
      <c r="GO685" s="686">
        <f t="shared" si="15532"/>
        <v>0</v>
      </c>
      <c r="GP685" s="567">
        <f t="shared" si="15532"/>
        <v>266314</v>
      </c>
      <c r="GQ685" s="686">
        <f t="shared" si="15532"/>
        <v>0</v>
      </c>
      <c r="GR685" s="513">
        <f t="shared" si="15532"/>
        <v>316314</v>
      </c>
      <c r="GS685" s="513">
        <f t="shared" si="15532"/>
        <v>316314</v>
      </c>
      <c r="GT685" s="567">
        <f t="shared" si="15532"/>
        <v>316314</v>
      </c>
      <c r="GU685" s="513">
        <f t="shared" si="15532"/>
        <v>10000</v>
      </c>
      <c r="GV685" s="513">
        <f t="shared" si="15532"/>
        <v>40000</v>
      </c>
      <c r="GW685" s="567">
        <f t="shared" si="15532"/>
        <v>0</v>
      </c>
      <c r="GX685" s="567">
        <f t="shared" si="15532"/>
        <v>0</v>
      </c>
      <c r="GY685" s="513">
        <f t="shared" si="15532"/>
        <v>0</v>
      </c>
      <c r="GZ685" s="513">
        <f t="shared" si="15532"/>
        <v>0</v>
      </c>
      <c r="HA685" s="513">
        <f t="shared" si="15532"/>
        <v>0</v>
      </c>
      <c r="HB685" s="513">
        <f t="shared" si="15532"/>
        <v>0</v>
      </c>
      <c r="HC685" s="513">
        <f t="shared" si="15532"/>
        <v>0</v>
      </c>
      <c r="HD685" s="513">
        <f t="shared" si="15532"/>
        <v>0</v>
      </c>
      <c r="HE685" s="513">
        <f t="shared" si="15532"/>
        <v>0</v>
      </c>
      <c r="HF685" s="513">
        <f t="shared" si="15532"/>
        <v>0</v>
      </c>
      <c r="HG685" s="513">
        <f t="shared" si="15532"/>
        <v>316314</v>
      </c>
      <c r="HH685" s="513">
        <f t="shared" ref="HH685:JT685" si="15533">SUM(HH686:HH686)</f>
        <v>0</v>
      </c>
      <c r="HI685" s="827">
        <f t="shared" si="15533"/>
        <v>0</v>
      </c>
      <c r="HJ685" s="513">
        <f t="shared" si="15533"/>
        <v>0</v>
      </c>
      <c r="HK685" s="827">
        <f t="shared" si="15533"/>
        <v>0</v>
      </c>
      <c r="HL685" s="513">
        <f t="shared" si="15533"/>
        <v>0</v>
      </c>
      <c r="HM685" s="827">
        <f t="shared" si="15533"/>
        <v>0</v>
      </c>
      <c r="HN685" s="513">
        <f t="shared" si="15533"/>
        <v>0</v>
      </c>
      <c r="HO685" s="827">
        <f t="shared" si="15533"/>
        <v>0</v>
      </c>
      <c r="HP685" s="513">
        <f t="shared" si="15533"/>
        <v>0</v>
      </c>
      <c r="HQ685" s="827">
        <f t="shared" si="15533"/>
        <v>-100000</v>
      </c>
      <c r="HR685" s="513">
        <f t="shared" si="15533"/>
        <v>0</v>
      </c>
      <c r="HS685" s="827">
        <f t="shared" si="15533"/>
        <v>-25000</v>
      </c>
      <c r="HT685" s="513">
        <f t="shared" si="15533"/>
        <v>0</v>
      </c>
      <c r="HU685" s="827">
        <f t="shared" si="15533"/>
        <v>0</v>
      </c>
      <c r="HV685" s="513">
        <f t="shared" si="15533"/>
        <v>0</v>
      </c>
      <c r="HW685" s="827">
        <f t="shared" si="15533"/>
        <v>0</v>
      </c>
      <c r="HX685" s="513">
        <f t="shared" si="15533"/>
        <v>0</v>
      </c>
      <c r="HY685" s="827">
        <f t="shared" si="15533"/>
        <v>0</v>
      </c>
      <c r="HZ685" s="513">
        <f t="shared" si="15533"/>
        <v>0</v>
      </c>
      <c r="IA685" s="827">
        <f t="shared" si="15533"/>
        <v>175000</v>
      </c>
      <c r="IB685" s="513">
        <f t="shared" si="15533"/>
        <v>0</v>
      </c>
      <c r="IC685" s="827">
        <f t="shared" si="15533"/>
        <v>0</v>
      </c>
      <c r="ID685" s="513">
        <f t="shared" si="15533"/>
        <v>0</v>
      </c>
      <c r="IE685" s="827">
        <f t="shared" si="15533"/>
        <v>0</v>
      </c>
      <c r="IF685" s="703">
        <f t="shared" si="15533"/>
        <v>126525.32</v>
      </c>
      <c r="IG685" s="704">
        <f t="shared" si="15533"/>
        <v>126525.32</v>
      </c>
      <c r="IH685" s="858">
        <f t="shared" si="15533"/>
        <v>126525.32</v>
      </c>
      <c r="II685" s="513">
        <f t="shared" si="15533"/>
        <v>0</v>
      </c>
      <c r="IJ685" s="513">
        <f t="shared" si="15533"/>
        <v>0</v>
      </c>
      <c r="IK685" s="513">
        <f t="shared" si="15533"/>
        <v>0</v>
      </c>
      <c r="IL685" s="513">
        <f t="shared" si="15533"/>
        <v>0</v>
      </c>
      <c r="IM685" s="513">
        <f t="shared" si="15533"/>
        <v>0</v>
      </c>
      <c r="IN685" s="513">
        <f t="shared" si="15533"/>
        <v>0</v>
      </c>
      <c r="IO685" s="513">
        <f t="shared" si="15533"/>
        <v>0</v>
      </c>
      <c r="IP685" s="513">
        <f t="shared" si="15533"/>
        <v>0</v>
      </c>
      <c r="IQ685" s="513">
        <f t="shared" si="15533"/>
        <v>0</v>
      </c>
      <c r="IR685" s="513">
        <f t="shared" si="15533"/>
        <v>126525.32</v>
      </c>
      <c r="IS685" s="513">
        <f t="shared" si="15533"/>
        <v>126525.32</v>
      </c>
      <c r="IT685" s="513">
        <f t="shared" si="15533"/>
        <v>126525.32</v>
      </c>
      <c r="IU685" s="513">
        <f t="shared" si="15533"/>
        <v>0</v>
      </c>
      <c r="IV685" s="513">
        <f t="shared" si="15533"/>
        <v>0</v>
      </c>
      <c r="IW685" s="513">
        <f t="shared" si="15533"/>
        <v>0</v>
      </c>
      <c r="IX685" s="513">
        <f t="shared" si="15533"/>
        <v>0</v>
      </c>
      <c r="IY685" s="513">
        <f t="shared" si="15533"/>
        <v>0</v>
      </c>
      <c r="IZ685" s="513">
        <f t="shared" si="15533"/>
        <v>0</v>
      </c>
      <c r="JA685" s="513">
        <f t="shared" si="15533"/>
        <v>0</v>
      </c>
      <c r="JB685" s="513">
        <f t="shared" si="15533"/>
        <v>0</v>
      </c>
      <c r="JC685" s="513">
        <f t="shared" si="15533"/>
        <v>0</v>
      </c>
      <c r="JD685" s="513">
        <f t="shared" si="15533"/>
        <v>0</v>
      </c>
      <c r="JE685" s="513">
        <f t="shared" si="15533"/>
        <v>0</v>
      </c>
      <c r="JF685" s="513">
        <f t="shared" si="15533"/>
        <v>0</v>
      </c>
      <c r="JG685" s="513">
        <f t="shared" si="15533"/>
        <v>0</v>
      </c>
      <c r="JH685" s="513">
        <f t="shared" si="15533"/>
        <v>0</v>
      </c>
      <c r="JI685" s="513">
        <f t="shared" si="15533"/>
        <v>0</v>
      </c>
      <c r="JJ685" s="513">
        <f t="shared" si="15533"/>
        <v>0</v>
      </c>
      <c r="JK685" s="513">
        <f t="shared" si="15533"/>
        <v>0</v>
      </c>
      <c r="JL685" s="513">
        <f t="shared" si="15533"/>
        <v>0</v>
      </c>
      <c r="JM685" s="513">
        <f t="shared" si="15533"/>
        <v>0</v>
      </c>
      <c r="JN685" s="513">
        <f t="shared" si="15533"/>
        <v>0</v>
      </c>
      <c r="JO685" s="513">
        <f t="shared" si="15533"/>
        <v>0</v>
      </c>
      <c r="JP685" s="513">
        <f t="shared" si="15533"/>
        <v>0</v>
      </c>
      <c r="JQ685" s="513">
        <f t="shared" si="15533"/>
        <v>0</v>
      </c>
      <c r="JR685" s="513">
        <f t="shared" si="15533"/>
        <v>0</v>
      </c>
      <c r="JS685" s="513">
        <f t="shared" si="15533"/>
        <v>189788.68</v>
      </c>
      <c r="JT685" s="573">
        <f t="shared" si="15533"/>
        <v>189788.68</v>
      </c>
      <c r="JU685" s="665"/>
      <c r="JV685" s="524"/>
      <c r="JW685" s="525"/>
      <c r="JX685" s="567">
        <f>SUM(JX686:JX686)</f>
        <v>0</v>
      </c>
      <c r="JY685" s="513">
        <f>JY686</f>
        <v>50000</v>
      </c>
      <c r="JZ685" s="513">
        <f t="shared" ref="JZ685:KB685" si="15534">JZ686</f>
        <v>266314</v>
      </c>
      <c r="KA685" s="513">
        <f t="shared" si="15534"/>
        <v>0</v>
      </c>
      <c r="KB685" s="513">
        <f t="shared" si="15534"/>
        <v>316314</v>
      </c>
      <c r="KC685" s="709">
        <f t="shared" si="14739"/>
        <v>0</v>
      </c>
      <c r="KD685" s="491"/>
      <c r="KE685" s="491"/>
      <c r="KF685" s="491"/>
      <c r="KG685" s="491"/>
      <c r="KH685" s="36"/>
      <c r="KI685" s="36"/>
      <c r="KJ685" s="36"/>
      <c r="KK685" s="36"/>
    </row>
    <row r="686" spans="1:297" s="10" customFormat="1" ht="12.75" customHeight="1">
      <c r="A686" s="612" t="s">
        <v>1142</v>
      </c>
      <c r="B686" s="512" t="s">
        <v>1144</v>
      </c>
      <c r="C686" s="74">
        <v>50000</v>
      </c>
      <c r="D686" s="549">
        <v>0</v>
      </c>
      <c r="E686" s="675">
        <v>0</v>
      </c>
      <c r="F686" s="549">
        <v>0</v>
      </c>
      <c r="G686" s="675">
        <v>0</v>
      </c>
      <c r="H686" s="549">
        <v>0</v>
      </c>
      <c r="I686" s="675">
        <v>0</v>
      </c>
      <c r="J686" s="549">
        <v>0</v>
      </c>
      <c r="K686" s="675">
        <v>0</v>
      </c>
      <c r="L686" s="549">
        <v>0</v>
      </c>
      <c r="M686" s="675">
        <v>0</v>
      </c>
      <c r="N686" s="549">
        <v>0</v>
      </c>
      <c r="O686" s="675">
        <v>0</v>
      </c>
      <c r="P686" s="549">
        <v>0</v>
      </c>
      <c r="Q686" s="675">
        <v>0</v>
      </c>
      <c r="R686" s="549">
        <v>0</v>
      </c>
      <c r="S686" s="675">
        <v>0</v>
      </c>
      <c r="T686" s="549">
        <v>0</v>
      </c>
      <c r="U686" s="675">
        <v>0</v>
      </c>
      <c r="V686" s="549">
        <v>0</v>
      </c>
      <c r="W686" s="675">
        <v>0</v>
      </c>
      <c r="X686" s="549">
        <v>0</v>
      </c>
      <c r="Y686" s="675">
        <v>0</v>
      </c>
      <c r="Z686" s="549">
        <v>266314</v>
      </c>
      <c r="AA686" s="675">
        <v>0</v>
      </c>
      <c r="AB686" s="549">
        <v>0</v>
      </c>
      <c r="AC686" s="675">
        <v>0</v>
      </c>
      <c r="AD686" s="549">
        <v>0</v>
      </c>
      <c r="AE686" s="675">
        <v>0</v>
      </c>
      <c r="AF686" s="549">
        <v>0</v>
      </c>
      <c r="AG686" s="675">
        <v>0</v>
      </c>
      <c r="AH686" s="549">
        <v>0</v>
      </c>
      <c r="AI686" s="675">
        <v>0</v>
      </c>
      <c r="AJ686" s="549">
        <v>0</v>
      </c>
      <c r="AK686" s="675">
        <v>0</v>
      </c>
      <c r="AL686" s="549">
        <v>0</v>
      </c>
      <c r="AM686" s="675">
        <v>0</v>
      </c>
      <c r="AN686" s="549">
        <v>0</v>
      </c>
      <c r="AO686" s="675">
        <v>0</v>
      </c>
      <c r="AP686" s="549">
        <v>0</v>
      </c>
      <c r="AQ686" s="675">
        <v>0</v>
      </c>
      <c r="AR686" s="549">
        <v>0</v>
      </c>
      <c r="AS686" s="675">
        <v>0</v>
      </c>
      <c r="AT686" s="549">
        <v>0</v>
      </c>
      <c r="AU686" s="675">
        <v>0</v>
      </c>
      <c r="AV686" s="549">
        <v>0</v>
      </c>
      <c r="AW686" s="675">
        <v>0</v>
      </c>
      <c r="AX686" s="549">
        <v>0</v>
      </c>
      <c r="AY686" s="675">
        <v>0</v>
      </c>
      <c r="AZ686" s="549">
        <v>0</v>
      </c>
      <c r="BA686" s="675">
        <v>0</v>
      </c>
      <c r="BB686" s="549">
        <v>0</v>
      </c>
      <c r="BC686" s="675">
        <v>0</v>
      </c>
      <c r="BD686" s="549">
        <v>0</v>
      </c>
      <c r="BE686" s="675">
        <v>0</v>
      </c>
      <c r="BF686" s="549">
        <v>0</v>
      </c>
      <c r="BG686" s="675">
        <v>0</v>
      </c>
      <c r="BH686" s="549">
        <v>0</v>
      </c>
      <c r="BI686" s="675">
        <v>0</v>
      </c>
      <c r="BJ686" s="549">
        <v>0</v>
      </c>
      <c r="BK686" s="675">
        <v>0</v>
      </c>
      <c r="BL686" s="549">
        <v>0</v>
      </c>
      <c r="BM686" s="675">
        <v>0</v>
      </c>
      <c r="BN686" s="549">
        <v>0</v>
      </c>
      <c r="BO686" s="675">
        <v>0</v>
      </c>
      <c r="BP686" s="549">
        <v>0</v>
      </c>
      <c r="BQ686" s="675">
        <v>0</v>
      </c>
      <c r="BR686" s="549">
        <v>0</v>
      </c>
      <c r="BS686" s="675">
        <v>0</v>
      </c>
      <c r="BT686" s="549">
        <v>0</v>
      </c>
      <c r="BU686" s="675">
        <v>0</v>
      </c>
      <c r="BV686" s="549">
        <v>0</v>
      </c>
      <c r="BW686" s="675">
        <v>0</v>
      </c>
      <c r="BX686" s="549">
        <v>0</v>
      </c>
      <c r="BY686" s="675">
        <v>0</v>
      </c>
      <c r="BZ686" s="549">
        <v>0</v>
      </c>
      <c r="CA686" s="675">
        <v>0</v>
      </c>
      <c r="CB686" s="549">
        <v>0</v>
      </c>
      <c r="CC686" s="675">
        <v>0</v>
      </c>
      <c r="CD686" s="549">
        <v>0</v>
      </c>
      <c r="CE686" s="675">
        <v>0</v>
      </c>
      <c r="CF686" s="549">
        <v>0</v>
      </c>
      <c r="CG686" s="675">
        <v>0</v>
      </c>
      <c r="CH686" s="549">
        <v>0</v>
      </c>
      <c r="CI686" s="675">
        <v>0</v>
      </c>
      <c r="CJ686" s="549">
        <v>0</v>
      </c>
      <c r="CK686" s="675">
        <v>0</v>
      </c>
      <c r="CL686" s="549">
        <v>0</v>
      </c>
      <c r="CM686" s="675">
        <v>0</v>
      </c>
      <c r="CN686" s="549">
        <v>0</v>
      </c>
      <c r="CO686" s="675">
        <v>0</v>
      </c>
      <c r="CP686" s="549">
        <v>0</v>
      </c>
      <c r="CQ686" s="675">
        <v>0</v>
      </c>
      <c r="CR686" s="549">
        <v>0</v>
      </c>
      <c r="CS686" s="675">
        <v>0</v>
      </c>
      <c r="CT686" s="549">
        <v>0</v>
      </c>
      <c r="CU686" s="675">
        <v>0</v>
      </c>
      <c r="CV686" s="549">
        <v>0</v>
      </c>
      <c r="CW686" s="675">
        <v>0</v>
      </c>
      <c r="CX686" s="549">
        <v>0</v>
      </c>
      <c r="CY686" s="675">
        <v>0</v>
      </c>
      <c r="CZ686" s="549">
        <v>0</v>
      </c>
      <c r="DA686" s="675">
        <v>0</v>
      </c>
      <c r="DB686" s="549">
        <v>0</v>
      </c>
      <c r="DC686" s="675">
        <v>0</v>
      </c>
      <c r="DD686" s="549">
        <v>0</v>
      </c>
      <c r="DE686" s="675">
        <v>0</v>
      </c>
      <c r="DF686" s="549">
        <v>0</v>
      </c>
      <c r="DG686" s="675">
        <v>0</v>
      </c>
      <c r="DH686" s="549">
        <v>0</v>
      </c>
      <c r="DI686" s="675">
        <v>0</v>
      </c>
      <c r="DJ686" s="549">
        <v>0</v>
      </c>
      <c r="DK686" s="675">
        <v>0</v>
      </c>
      <c r="DL686" s="549">
        <v>0</v>
      </c>
      <c r="DM686" s="675">
        <v>0</v>
      </c>
      <c r="DN686" s="549">
        <v>0</v>
      </c>
      <c r="DO686" s="675">
        <v>0</v>
      </c>
      <c r="DP686" s="549">
        <v>0</v>
      </c>
      <c r="DQ686" s="675">
        <v>0</v>
      </c>
      <c r="DR686" s="549">
        <v>0</v>
      </c>
      <c r="DS686" s="675">
        <v>0</v>
      </c>
      <c r="DT686" s="549">
        <v>0</v>
      </c>
      <c r="DU686" s="675">
        <v>0</v>
      </c>
      <c r="DV686" s="549">
        <v>0</v>
      </c>
      <c r="DW686" s="675">
        <v>0</v>
      </c>
      <c r="DX686" s="549">
        <v>0</v>
      </c>
      <c r="DY686" s="675">
        <v>0</v>
      </c>
      <c r="DZ686" s="549">
        <v>0</v>
      </c>
      <c r="EA686" s="675">
        <v>0</v>
      </c>
      <c r="EB686" s="549">
        <v>0</v>
      </c>
      <c r="EC686" s="675">
        <v>0</v>
      </c>
      <c r="ED686" s="549">
        <v>0</v>
      </c>
      <c r="EE686" s="675">
        <v>0</v>
      </c>
      <c r="EF686" s="549">
        <v>0</v>
      </c>
      <c r="EG686" s="675">
        <v>0</v>
      </c>
      <c r="EH686" s="549">
        <v>0</v>
      </c>
      <c r="EI686" s="675">
        <v>0</v>
      </c>
      <c r="EJ686" s="549">
        <v>0</v>
      </c>
      <c r="EK686" s="675">
        <v>0</v>
      </c>
      <c r="EL686" s="549">
        <v>0</v>
      </c>
      <c r="EM686" s="675">
        <v>0</v>
      </c>
      <c r="EN686" s="549">
        <v>0</v>
      </c>
      <c r="EO686" s="675">
        <v>0</v>
      </c>
      <c r="EP686" s="549">
        <v>0</v>
      </c>
      <c r="EQ686" s="675">
        <v>0</v>
      </c>
      <c r="ER686" s="549">
        <v>0</v>
      </c>
      <c r="ES686" s="675">
        <v>0</v>
      </c>
      <c r="ET686" s="549">
        <v>0</v>
      </c>
      <c r="EU686" s="675">
        <v>0</v>
      </c>
      <c r="EV686" s="549">
        <v>0</v>
      </c>
      <c r="EW686" s="675">
        <v>0</v>
      </c>
      <c r="EX686" s="549">
        <v>0</v>
      </c>
      <c r="EY686" s="675">
        <v>0</v>
      </c>
      <c r="EZ686" s="549">
        <v>0</v>
      </c>
      <c r="FA686" s="675">
        <v>0</v>
      </c>
      <c r="FB686" s="549">
        <v>0</v>
      </c>
      <c r="FC686" s="675">
        <v>0</v>
      </c>
      <c r="FD686" s="549">
        <v>0</v>
      </c>
      <c r="FE686" s="675">
        <v>0</v>
      </c>
      <c r="FF686" s="549">
        <v>0</v>
      </c>
      <c r="FG686" s="675">
        <v>0</v>
      </c>
      <c r="FH686" s="549">
        <v>0</v>
      </c>
      <c r="FI686" s="675">
        <v>0</v>
      </c>
      <c r="FJ686" s="549">
        <v>0</v>
      </c>
      <c r="FK686" s="675">
        <v>0</v>
      </c>
      <c r="FL686" s="549">
        <v>0</v>
      </c>
      <c r="FM686" s="675">
        <v>0</v>
      </c>
      <c r="FN686" s="549">
        <v>0</v>
      </c>
      <c r="FO686" s="675">
        <v>0</v>
      </c>
      <c r="FP686" s="549">
        <v>0</v>
      </c>
      <c r="FQ686" s="675">
        <v>0</v>
      </c>
      <c r="FR686" s="549">
        <v>0</v>
      </c>
      <c r="FS686" s="675">
        <v>0</v>
      </c>
      <c r="FT686" s="549">
        <v>0</v>
      </c>
      <c r="FU686" s="675">
        <v>0</v>
      </c>
      <c r="FV686" s="549">
        <v>0</v>
      </c>
      <c r="FW686" s="675">
        <v>0</v>
      </c>
      <c r="FX686" s="549">
        <v>0</v>
      </c>
      <c r="FY686" s="675">
        <v>0</v>
      </c>
      <c r="FZ686" s="549">
        <v>0</v>
      </c>
      <c r="GA686" s="675">
        <v>0</v>
      </c>
      <c r="GB686" s="549">
        <v>0</v>
      </c>
      <c r="GC686" s="675">
        <v>0</v>
      </c>
      <c r="GD686" s="549">
        <v>0</v>
      </c>
      <c r="GE686" s="675">
        <v>0</v>
      </c>
      <c r="GF686" s="549">
        <v>0</v>
      </c>
      <c r="GG686" s="675">
        <v>0</v>
      </c>
      <c r="GH686" s="549">
        <v>0</v>
      </c>
      <c r="GI686" s="675">
        <v>0</v>
      </c>
      <c r="GJ686" s="549">
        <v>0</v>
      </c>
      <c r="GK686" s="675">
        <v>0</v>
      </c>
      <c r="GL686" s="549">
        <v>0</v>
      </c>
      <c r="GM686" s="675">
        <v>0</v>
      </c>
      <c r="GN686" s="549">
        <v>0</v>
      </c>
      <c r="GO686" s="675">
        <v>0</v>
      </c>
      <c r="GP686" s="549">
        <f>+D686+F686+H686+J686+L686+N686+P686+R686+T686+V686+X686+Z686+AB686+AF686+AD686+AH686+AJ686+AL686+AN686+AP686+AR686+AT686+AV686+AX686+AZ686+BB686+BD686+BF686+BH686+BJ686+BL686+BN686+BP686+BR686+BT686+BV686+BX686+BZ686+CB686+CD686+CF686+CH686+CJ686+CL686+CN686+CP686+CR686+CT686+CV686+CX686+CZ686+DB686+DD686+DF686+DH686+DT686+EX686+DJ686+DL686+DN686+DP686+DR686+EJ686+EB686+DZ686+DX686+DV686+ED686+EF686+EH686+EL686+EN686+EP686+EV686+ET686+ER686+EZ686+FB686+FD686+GL686+FF686+FJ686+FL686+GJ686+FT686+FR686+FP686+FN686+FH686+GH686+GF686+GD686+GB686+FZ686+FX686+FV686+GN686</f>
        <v>266314</v>
      </c>
      <c r="GQ686" s="675">
        <f>+E686+G686+I686+K686+M686+O686+Q686+S686+U686+W686+Y686+AA686+AC686+AE686+AG686+AI686+AK686+AM686+AO686+AQ686+AS686+AU686+AW686+AY686+BA686+BC686+BE686+BG686+BI686+BK686+BM686+BO686+BQ686+BS686+BU686+BW686+BY686+CA686+CC686+CE686+CG686+CI686+CK686+CM686+CO686+CQ686+CS686+CU686+CW686+CY686+DA686+DC686+DE686+DG686+DI686+DU686+EY686+DK686+DM686+DO686+DQ686+DS686+EK686+EC686+EA686+DY686+DW686+EI686+EG686+EE686+EM686+EO686+EQ686+EW686+EU686+ES686+FA686+FC686+FE686+GM686+FG686+FK686+FM686+FO686+FQ686+FS686+FU686+GK686+FI686+GI686+GG686+GE686+GC686+GA686+FY686+FW686+GO686</f>
        <v>0</v>
      </c>
      <c r="GR686" s="74">
        <f>C686+GP686+GQ686</f>
        <v>316314</v>
      </c>
      <c r="GS686" s="74">
        <f>SUM(GU686:HD686)+GP686+GQ686</f>
        <v>316314</v>
      </c>
      <c r="GT686" s="568">
        <f>SUM(GU686:HF686)+GQ686+GP686</f>
        <v>316314</v>
      </c>
      <c r="GU686" s="799">
        <v>10000</v>
      </c>
      <c r="GV686" s="799">
        <v>40000</v>
      </c>
      <c r="GW686" s="799"/>
      <c r="GX686" s="799">
        <f>15000-15000</f>
        <v>0</v>
      </c>
      <c r="GY686" s="799"/>
      <c r="GZ686" s="799"/>
      <c r="HA686" s="799">
        <f>15000-15000</f>
        <v>0</v>
      </c>
      <c r="HB686" s="799"/>
      <c r="HC686" s="799"/>
      <c r="HD686" s="799">
        <f>10000-10000</f>
        <v>0</v>
      </c>
      <c r="HE686" s="799">
        <v>0</v>
      </c>
      <c r="HF686" s="799">
        <v>0</v>
      </c>
      <c r="HG686" s="74">
        <f>SUM(HH686:IE686)+GP686+GQ686</f>
        <v>316314</v>
      </c>
      <c r="HH686" s="89">
        <v>0</v>
      </c>
      <c r="HI686" s="817">
        <v>0</v>
      </c>
      <c r="HJ686" s="89">
        <v>0</v>
      </c>
      <c r="HK686" s="817">
        <v>0</v>
      </c>
      <c r="HL686" s="89">
        <v>0</v>
      </c>
      <c r="HM686" s="817">
        <v>0</v>
      </c>
      <c r="HN686" s="89">
        <v>0</v>
      </c>
      <c r="HO686" s="817">
        <v>0</v>
      </c>
      <c r="HP686" s="89">
        <v>0</v>
      </c>
      <c r="HQ686" s="817">
        <v>-100000</v>
      </c>
      <c r="HR686" s="89">
        <v>0</v>
      </c>
      <c r="HS686" s="817">
        <v>-25000</v>
      </c>
      <c r="HT686" s="89">
        <v>0</v>
      </c>
      <c r="HU686" s="847">
        <v>0</v>
      </c>
      <c r="HV686" s="89">
        <v>0</v>
      </c>
      <c r="HW686" s="817">
        <v>0</v>
      </c>
      <c r="HX686" s="89">
        <v>0</v>
      </c>
      <c r="HY686" s="817">
        <v>0</v>
      </c>
      <c r="HZ686" s="89">
        <v>0</v>
      </c>
      <c r="IA686" s="817">
        <f>189788.68-14788.68</f>
        <v>175000</v>
      </c>
      <c r="IB686" s="89">
        <v>0</v>
      </c>
      <c r="IC686" s="817">
        <v>0</v>
      </c>
      <c r="ID686" s="89">
        <v>0</v>
      </c>
      <c r="IE686" s="817">
        <v>0</v>
      </c>
      <c r="IF686" s="841">
        <f t="shared" ref="IF686" si="15535">SUM(II686,IL686,IO686,IR686,IU686,IX686,JA686,JD686,JG686,JJ686,JM686,JP686)</f>
        <v>126525.32</v>
      </c>
      <c r="IG686" s="263">
        <f t="shared" ref="IG686" si="15536">SUM(IJ686,IM686,IP686,IS686,IV686,IY686,JB686,JE686,JH686,JK686,JN686,JQ686)</f>
        <v>126525.32</v>
      </c>
      <c r="IH686" s="842">
        <f t="shared" ref="IH686" si="15537">SUM(IK686,IN686,IQ686,IT686,IW686,IZ686,JC686,JF686,JI686,JL686,JO686,JR686)</f>
        <v>126525.32</v>
      </c>
      <c r="II686" s="89">
        <v>0</v>
      </c>
      <c r="IJ686" s="89">
        <f t="shared" ref="IJ686" si="15538">II686</f>
        <v>0</v>
      </c>
      <c r="IK686" s="89">
        <f t="shared" ref="IK686" si="15539">IJ686</f>
        <v>0</v>
      </c>
      <c r="IL686" s="89">
        <v>0</v>
      </c>
      <c r="IM686" s="89">
        <f t="shared" ref="IM686" si="15540">IL686</f>
        <v>0</v>
      </c>
      <c r="IN686" s="89">
        <f t="shared" ref="IN686" si="15541">IM686</f>
        <v>0</v>
      </c>
      <c r="IO686" s="89">
        <v>0</v>
      </c>
      <c r="IP686" s="89">
        <f t="shared" ref="IP686" si="15542">IO686</f>
        <v>0</v>
      </c>
      <c r="IQ686" s="89">
        <f t="shared" ref="IQ686" si="15543">IP686</f>
        <v>0</v>
      </c>
      <c r="IR686" s="89">
        <v>126525.32</v>
      </c>
      <c r="IS686" s="89">
        <f t="shared" ref="IS686" si="15544">IR686</f>
        <v>126525.32</v>
      </c>
      <c r="IT686" s="89">
        <f t="shared" ref="IT686" si="15545">IS686</f>
        <v>126525.32</v>
      </c>
      <c r="IU686" s="89">
        <v>0</v>
      </c>
      <c r="IV686" s="89">
        <f t="shared" ref="IV686" si="15546">IU686</f>
        <v>0</v>
      </c>
      <c r="IW686" s="89">
        <f t="shared" ref="IW686" si="15547">IV686</f>
        <v>0</v>
      </c>
      <c r="IX686" s="89">
        <v>0</v>
      </c>
      <c r="IY686" s="89">
        <f t="shared" ref="IY686" si="15548">IX686</f>
        <v>0</v>
      </c>
      <c r="IZ686" s="89">
        <f t="shared" ref="IZ686" si="15549">IY686</f>
        <v>0</v>
      </c>
      <c r="JA686" s="89">
        <f>126525.32-126525.32</f>
        <v>0</v>
      </c>
      <c r="JB686" s="89">
        <f t="shared" ref="JB686" si="15550">JA686</f>
        <v>0</v>
      </c>
      <c r="JC686" s="89">
        <f t="shared" ref="JC686" si="15551">JB686</f>
        <v>0</v>
      </c>
      <c r="JD686" s="89">
        <v>0</v>
      </c>
      <c r="JE686" s="89">
        <f t="shared" ref="JE686" si="15552">JD686</f>
        <v>0</v>
      </c>
      <c r="JF686" s="89">
        <f t="shared" ref="JF686" si="15553">JE686</f>
        <v>0</v>
      </c>
      <c r="JG686" s="89">
        <v>0</v>
      </c>
      <c r="JH686" s="89">
        <f t="shared" ref="JH686" si="15554">JG686</f>
        <v>0</v>
      </c>
      <c r="JI686" s="89">
        <f t="shared" ref="JI686" si="15555">JH686</f>
        <v>0</v>
      </c>
      <c r="JJ686" s="89">
        <v>0</v>
      </c>
      <c r="JK686" s="89">
        <f t="shared" ref="JK686" si="15556">JJ686</f>
        <v>0</v>
      </c>
      <c r="JL686" s="89">
        <f t="shared" ref="JL686" si="15557">JK686</f>
        <v>0</v>
      </c>
      <c r="JM686" s="89">
        <v>0</v>
      </c>
      <c r="JN686" s="89">
        <f t="shared" ref="JN686" si="15558">JM686</f>
        <v>0</v>
      </c>
      <c r="JO686" s="89">
        <f t="shared" ref="JO686" si="15559">JN686</f>
        <v>0</v>
      </c>
      <c r="JP686" s="89">
        <v>0</v>
      </c>
      <c r="JQ686" s="89">
        <f t="shared" ref="JQ686:JR686" si="15560">JP686</f>
        <v>0</v>
      </c>
      <c r="JR686" s="89">
        <f t="shared" si="15560"/>
        <v>0</v>
      </c>
      <c r="JS686" s="74">
        <f>HG686-IF686</f>
        <v>189788.68</v>
      </c>
      <c r="JT686" s="382">
        <f>GS686-IF686</f>
        <v>189788.68</v>
      </c>
      <c r="JU686" s="665"/>
      <c r="JV686" s="524"/>
      <c r="JW686" s="525"/>
      <c r="JX686" s="549">
        <f>SUM(HH686,HJ686,HL686,HN686,HP686,HR686,HT686,HV686,HX686,HZ686,IB686,ID686)</f>
        <v>0</v>
      </c>
      <c r="JY686" s="549">
        <f t="shared" ref="JY686:JY690" si="15561">SUM(HI686,HK686,HM686,HO686,HQ686,HS686,HU686,HW686,HY686,IA686,IC686,IE686)</f>
        <v>50000</v>
      </c>
      <c r="JZ686" s="581">
        <f t="shared" ref="JZ686:JZ690" si="15562">GP686</f>
        <v>266314</v>
      </c>
      <c r="KA686" s="581">
        <f t="shared" ref="KA686:KA690" si="15563">GQ686</f>
        <v>0</v>
      </c>
      <c r="KB686" s="566">
        <f t="shared" si="15406"/>
        <v>316314</v>
      </c>
      <c r="KC686" s="709">
        <f t="shared" si="14739"/>
        <v>0</v>
      </c>
      <c r="KD686" s="491"/>
      <c r="KE686" s="491"/>
      <c r="KF686" s="491"/>
      <c r="KG686" s="491"/>
      <c r="KH686" s="36"/>
      <c r="KI686" s="36"/>
      <c r="KJ686" s="36"/>
      <c r="KK686" s="36"/>
    </row>
    <row r="687" spans="1:297" s="10" customFormat="1" ht="12.75" customHeight="1">
      <c r="A687" s="612"/>
      <c r="B687" s="512"/>
      <c r="C687" s="74"/>
      <c r="D687" s="549"/>
      <c r="E687" s="675"/>
      <c r="F687" s="549"/>
      <c r="G687" s="675"/>
      <c r="H687" s="549"/>
      <c r="I687" s="675"/>
      <c r="J687" s="549"/>
      <c r="K687" s="675"/>
      <c r="L687" s="549"/>
      <c r="M687" s="675"/>
      <c r="N687" s="549"/>
      <c r="O687" s="675"/>
      <c r="P687" s="549"/>
      <c r="Q687" s="675"/>
      <c r="R687" s="549"/>
      <c r="S687" s="675"/>
      <c r="T687" s="549"/>
      <c r="U687" s="675"/>
      <c r="V687" s="549"/>
      <c r="W687" s="675"/>
      <c r="X687" s="549"/>
      <c r="Y687" s="675"/>
      <c r="Z687" s="549"/>
      <c r="AA687" s="675"/>
      <c r="AB687" s="549"/>
      <c r="AC687" s="675"/>
      <c r="AD687" s="549"/>
      <c r="AE687" s="675"/>
      <c r="AF687" s="549"/>
      <c r="AG687" s="675"/>
      <c r="AH687" s="549"/>
      <c r="AI687" s="675"/>
      <c r="AJ687" s="549"/>
      <c r="AK687" s="675"/>
      <c r="AL687" s="549"/>
      <c r="AM687" s="675"/>
      <c r="AN687" s="549"/>
      <c r="AO687" s="675"/>
      <c r="AP687" s="549"/>
      <c r="AQ687" s="675"/>
      <c r="AR687" s="549"/>
      <c r="AS687" s="675"/>
      <c r="AT687" s="549"/>
      <c r="AU687" s="675"/>
      <c r="AV687" s="549"/>
      <c r="AW687" s="675"/>
      <c r="AX687" s="549"/>
      <c r="AY687" s="675"/>
      <c r="AZ687" s="549"/>
      <c r="BA687" s="675"/>
      <c r="BB687" s="549"/>
      <c r="BC687" s="675"/>
      <c r="BD687" s="549"/>
      <c r="BE687" s="675"/>
      <c r="BF687" s="549"/>
      <c r="BG687" s="675"/>
      <c r="BH687" s="549"/>
      <c r="BI687" s="675"/>
      <c r="BJ687" s="549"/>
      <c r="BK687" s="675"/>
      <c r="BL687" s="549"/>
      <c r="BM687" s="675"/>
      <c r="BN687" s="549"/>
      <c r="BO687" s="675"/>
      <c r="BP687" s="549"/>
      <c r="BQ687" s="675"/>
      <c r="BR687" s="549"/>
      <c r="BS687" s="675"/>
      <c r="BT687" s="549"/>
      <c r="BU687" s="675"/>
      <c r="BV687" s="549"/>
      <c r="BW687" s="675"/>
      <c r="BX687" s="549"/>
      <c r="BY687" s="675"/>
      <c r="BZ687" s="549"/>
      <c r="CA687" s="675"/>
      <c r="CB687" s="549"/>
      <c r="CC687" s="675"/>
      <c r="CD687" s="549"/>
      <c r="CE687" s="675"/>
      <c r="CF687" s="549"/>
      <c r="CG687" s="675"/>
      <c r="CH687" s="549"/>
      <c r="CI687" s="675"/>
      <c r="CJ687" s="549"/>
      <c r="CK687" s="675"/>
      <c r="CL687" s="549"/>
      <c r="CM687" s="675"/>
      <c r="CN687" s="549"/>
      <c r="CO687" s="675"/>
      <c r="CP687" s="549"/>
      <c r="CQ687" s="675"/>
      <c r="CR687" s="549"/>
      <c r="CS687" s="675"/>
      <c r="CT687" s="549"/>
      <c r="CU687" s="675"/>
      <c r="CV687" s="549"/>
      <c r="CW687" s="675"/>
      <c r="CX687" s="549"/>
      <c r="CY687" s="675"/>
      <c r="CZ687" s="549"/>
      <c r="DA687" s="675"/>
      <c r="DB687" s="549"/>
      <c r="DC687" s="675"/>
      <c r="DD687" s="549"/>
      <c r="DE687" s="675"/>
      <c r="DF687" s="549"/>
      <c r="DG687" s="675"/>
      <c r="DH687" s="549"/>
      <c r="DI687" s="675"/>
      <c r="DJ687" s="549"/>
      <c r="DK687" s="675"/>
      <c r="DL687" s="549"/>
      <c r="DM687" s="675"/>
      <c r="DN687" s="549"/>
      <c r="DO687" s="675"/>
      <c r="DP687" s="549"/>
      <c r="DQ687" s="675"/>
      <c r="DR687" s="549"/>
      <c r="DS687" s="675"/>
      <c r="DT687" s="549"/>
      <c r="DU687" s="675"/>
      <c r="DV687" s="549"/>
      <c r="DW687" s="675"/>
      <c r="DX687" s="549"/>
      <c r="DY687" s="675"/>
      <c r="DZ687" s="549"/>
      <c r="EA687" s="675"/>
      <c r="EB687" s="549"/>
      <c r="EC687" s="675"/>
      <c r="ED687" s="549"/>
      <c r="EE687" s="675"/>
      <c r="EF687" s="549"/>
      <c r="EG687" s="675"/>
      <c r="EH687" s="549"/>
      <c r="EI687" s="675"/>
      <c r="EJ687" s="549"/>
      <c r="EK687" s="675"/>
      <c r="EL687" s="549"/>
      <c r="EM687" s="675"/>
      <c r="EN687" s="549"/>
      <c r="EO687" s="675"/>
      <c r="EP687" s="549"/>
      <c r="EQ687" s="675"/>
      <c r="ER687" s="549"/>
      <c r="ES687" s="675"/>
      <c r="ET687" s="549"/>
      <c r="EU687" s="675"/>
      <c r="EV687" s="549"/>
      <c r="EW687" s="675"/>
      <c r="EX687" s="549"/>
      <c r="EY687" s="675"/>
      <c r="EZ687" s="549"/>
      <c r="FA687" s="675"/>
      <c r="FB687" s="549"/>
      <c r="FC687" s="675"/>
      <c r="FD687" s="549"/>
      <c r="FE687" s="675"/>
      <c r="FF687" s="549"/>
      <c r="FG687" s="675"/>
      <c r="FH687" s="549"/>
      <c r="FI687" s="675"/>
      <c r="FJ687" s="549"/>
      <c r="FK687" s="675"/>
      <c r="FL687" s="549"/>
      <c r="FM687" s="675"/>
      <c r="FN687" s="549"/>
      <c r="FO687" s="675"/>
      <c r="FP687" s="549"/>
      <c r="FQ687" s="675"/>
      <c r="FR687" s="549"/>
      <c r="FS687" s="675"/>
      <c r="FT687" s="549"/>
      <c r="FU687" s="675"/>
      <c r="FV687" s="549"/>
      <c r="FW687" s="675"/>
      <c r="FX687" s="549"/>
      <c r="FY687" s="675"/>
      <c r="FZ687" s="549"/>
      <c r="GA687" s="675"/>
      <c r="GB687" s="549"/>
      <c r="GC687" s="675"/>
      <c r="GD687" s="549"/>
      <c r="GE687" s="675"/>
      <c r="GF687" s="549"/>
      <c r="GG687" s="675"/>
      <c r="GH687" s="549"/>
      <c r="GI687" s="675"/>
      <c r="GJ687" s="549"/>
      <c r="GK687" s="675"/>
      <c r="GL687" s="549"/>
      <c r="GM687" s="675"/>
      <c r="GN687" s="549"/>
      <c r="GO687" s="675"/>
      <c r="GP687" s="549"/>
      <c r="GQ687" s="675"/>
      <c r="GR687" s="74"/>
      <c r="GS687" s="74"/>
      <c r="GT687" s="568"/>
      <c r="GU687" s="799"/>
      <c r="GV687" s="799"/>
      <c r="GW687" s="799"/>
      <c r="GX687" s="799"/>
      <c r="GY687" s="799"/>
      <c r="GZ687" s="799"/>
      <c r="HA687" s="799"/>
      <c r="HB687" s="799"/>
      <c r="HC687" s="799"/>
      <c r="HD687" s="799"/>
      <c r="HE687" s="799"/>
      <c r="HF687" s="799"/>
      <c r="HG687" s="74"/>
      <c r="HH687" s="89"/>
      <c r="HI687" s="817"/>
      <c r="HJ687" s="89"/>
      <c r="HK687" s="817"/>
      <c r="HL687" s="89"/>
      <c r="HM687" s="817"/>
      <c r="HN687" s="89"/>
      <c r="HO687" s="817"/>
      <c r="HP687" s="89"/>
      <c r="HQ687" s="817"/>
      <c r="HR687" s="89"/>
      <c r="HS687" s="817"/>
      <c r="HT687" s="89"/>
      <c r="HU687" s="817"/>
      <c r="HV687" s="89"/>
      <c r="HW687" s="817"/>
      <c r="HX687" s="89"/>
      <c r="HY687" s="817"/>
      <c r="HZ687" s="89"/>
      <c r="IA687" s="817"/>
      <c r="IB687" s="89"/>
      <c r="IC687" s="817"/>
      <c r="ID687" s="89"/>
      <c r="IE687" s="817"/>
      <c r="IF687" s="841"/>
      <c r="IG687" s="263"/>
      <c r="IH687" s="842"/>
      <c r="II687" s="89"/>
      <c r="IJ687" s="89"/>
      <c r="IK687" s="89"/>
      <c r="IL687" s="89"/>
      <c r="IM687" s="89"/>
      <c r="IN687" s="89"/>
      <c r="IO687" s="89"/>
      <c r="IP687" s="89"/>
      <c r="IQ687" s="89"/>
      <c r="IR687" s="89"/>
      <c r="IS687" s="89"/>
      <c r="IT687" s="89"/>
      <c r="IU687" s="89"/>
      <c r="IV687" s="89"/>
      <c r="IW687" s="89"/>
      <c r="IX687" s="89"/>
      <c r="IY687" s="89"/>
      <c r="IZ687" s="89"/>
      <c r="JA687" s="89"/>
      <c r="JB687" s="89"/>
      <c r="JC687" s="89"/>
      <c r="JD687" s="89"/>
      <c r="JE687" s="89"/>
      <c r="JF687" s="89"/>
      <c r="JG687" s="89"/>
      <c r="JH687" s="89"/>
      <c r="JI687" s="89"/>
      <c r="JJ687" s="89"/>
      <c r="JK687" s="89"/>
      <c r="JL687" s="89"/>
      <c r="JM687" s="89"/>
      <c r="JN687" s="89"/>
      <c r="JO687" s="89"/>
      <c r="JP687" s="89"/>
      <c r="JQ687" s="89"/>
      <c r="JR687" s="89"/>
      <c r="JS687" s="74"/>
      <c r="JT687" s="382"/>
      <c r="JU687" s="665"/>
      <c r="JV687" s="524"/>
      <c r="JW687" s="525"/>
      <c r="JX687" s="549"/>
      <c r="JY687" s="549"/>
      <c r="JZ687" s="581"/>
      <c r="KA687" s="581"/>
      <c r="KB687" s="566"/>
      <c r="KC687" s="709"/>
      <c r="KD687" s="491"/>
      <c r="KE687" s="491"/>
      <c r="KF687" s="491"/>
      <c r="KG687" s="491"/>
      <c r="KH687" s="36"/>
      <c r="KI687" s="36"/>
      <c r="KJ687" s="36"/>
      <c r="KK687" s="36"/>
    </row>
    <row r="688" spans="1:297" s="8" customFormat="1">
      <c r="A688" s="613" t="s">
        <v>1236</v>
      </c>
      <c r="B688" s="514" t="s">
        <v>1247</v>
      </c>
      <c r="C688" s="513">
        <f t="shared" ref="C688" si="15564">SUM(C689:C689)</f>
        <v>61100</v>
      </c>
      <c r="D688" s="567">
        <f t="shared" ref="D688:CC688" si="15565">SUM(D689:D689)</f>
        <v>0</v>
      </c>
      <c r="E688" s="686">
        <f t="shared" si="15565"/>
        <v>0</v>
      </c>
      <c r="F688" s="567">
        <f t="shared" si="15565"/>
        <v>0</v>
      </c>
      <c r="G688" s="686">
        <f t="shared" si="15565"/>
        <v>0</v>
      </c>
      <c r="H688" s="567">
        <f t="shared" si="15565"/>
        <v>0</v>
      </c>
      <c r="I688" s="686">
        <f t="shared" si="15565"/>
        <v>0</v>
      </c>
      <c r="J688" s="567">
        <f t="shared" si="15565"/>
        <v>0</v>
      </c>
      <c r="K688" s="686">
        <f t="shared" si="15565"/>
        <v>0</v>
      </c>
      <c r="L688" s="567">
        <f t="shared" si="15565"/>
        <v>0</v>
      </c>
      <c r="M688" s="686">
        <f t="shared" si="15565"/>
        <v>0</v>
      </c>
      <c r="N688" s="567">
        <f t="shared" si="15565"/>
        <v>0</v>
      </c>
      <c r="O688" s="686">
        <f t="shared" si="15565"/>
        <v>0</v>
      </c>
      <c r="P688" s="567">
        <f t="shared" si="15565"/>
        <v>0</v>
      </c>
      <c r="Q688" s="686">
        <f t="shared" si="15565"/>
        <v>0</v>
      </c>
      <c r="R688" s="567">
        <f t="shared" si="15565"/>
        <v>0</v>
      </c>
      <c r="S688" s="686">
        <f t="shared" si="15565"/>
        <v>0</v>
      </c>
      <c r="T688" s="567">
        <f t="shared" si="15565"/>
        <v>0</v>
      </c>
      <c r="U688" s="686">
        <f t="shared" si="15565"/>
        <v>0</v>
      </c>
      <c r="V688" s="567">
        <f t="shared" si="15565"/>
        <v>0</v>
      </c>
      <c r="W688" s="686">
        <f t="shared" si="15565"/>
        <v>0</v>
      </c>
      <c r="X688" s="567">
        <f t="shared" si="15565"/>
        <v>0</v>
      </c>
      <c r="Y688" s="686">
        <f t="shared" si="15565"/>
        <v>0</v>
      </c>
      <c r="Z688" s="567">
        <f t="shared" si="15565"/>
        <v>0</v>
      </c>
      <c r="AA688" s="686">
        <f t="shared" si="15565"/>
        <v>0</v>
      </c>
      <c r="AB688" s="567">
        <f t="shared" si="15565"/>
        <v>128901</v>
      </c>
      <c r="AC688" s="686">
        <f t="shared" si="15565"/>
        <v>0</v>
      </c>
      <c r="AD688" s="567">
        <f t="shared" si="15565"/>
        <v>0</v>
      </c>
      <c r="AE688" s="686">
        <f t="shared" si="15565"/>
        <v>0</v>
      </c>
      <c r="AF688" s="567">
        <f t="shared" si="15565"/>
        <v>0</v>
      </c>
      <c r="AG688" s="686">
        <f t="shared" si="15565"/>
        <v>0</v>
      </c>
      <c r="AH688" s="567">
        <f t="shared" si="15565"/>
        <v>0</v>
      </c>
      <c r="AI688" s="686">
        <f t="shared" si="15565"/>
        <v>0</v>
      </c>
      <c r="AJ688" s="567">
        <f t="shared" si="15565"/>
        <v>0</v>
      </c>
      <c r="AK688" s="686">
        <f t="shared" si="15565"/>
        <v>0</v>
      </c>
      <c r="AL688" s="567">
        <f t="shared" si="15565"/>
        <v>0</v>
      </c>
      <c r="AM688" s="686">
        <f t="shared" si="15565"/>
        <v>0</v>
      </c>
      <c r="AN688" s="567">
        <f t="shared" si="15565"/>
        <v>0</v>
      </c>
      <c r="AO688" s="686">
        <f t="shared" si="15565"/>
        <v>0</v>
      </c>
      <c r="AP688" s="567">
        <f t="shared" si="15565"/>
        <v>0</v>
      </c>
      <c r="AQ688" s="686">
        <f t="shared" si="15565"/>
        <v>0</v>
      </c>
      <c r="AR688" s="567">
        <f t="shared" si="15565"/>
        <v>0</v>
      </c>
      <c r="AS688" s="686">
        <f t="shared" si="15565"/>
        <v>0</v>
      </c>
      <c r="AT688" s="567">
        <f t="shared" si="15565"/>
        <v>0</v>
      </c>
      <c r="AU688" s="686">
        <f t="shared" si="15565"/>
        <v>0</v>
      </c>
      <c r="AV688" s="567">
        <f t="shared" si="15565"/>
        <v>0</v>
      </c>
      <c r="AW688" s="686">
        <f t="shared" si="15565"/>
        <v>0</v>
      </c>
      <c r="AX688" s="567">
        <f t="shared" si="15565"/>
        <v>0</v>
      </c>
      <c r="AY688" s="686">
        <f t="shared" si="15565"/>
        <v>0</v>
      </c>
      <c r="AZ688" s="567">
        <f t="shared" si="15565"/>
        <v>0</v>
      </c>
      <c r="BA688" s="686">
        <f t="shared" si="15565"/>
        <v>0</v>
      </c>
      <c r="BB688" s="567">
        <f t="shared" si="15565"/>
        <v>0</v>
      </c>
      <c r="BC688" s="686">
        <f t="shared" si="15565"/>
        <v>0</v>
      </c>
      <c r="BD688" s="567">
        <f t="shared" si="15565"/>
        <v>0</v>
      </c>
      <c r="BE688" s="686">
        <f t="shared" si="15565"/>
        <v>0</v>
      </c>
      <c r="BF688" s="567">
        <f t="shared" si="15565"/>
        <v>0</v>
      </c>
      <c r="BG688" s="686">
        <f t="shared" si="15565"/>
        <v>0</v>
      </c>
      <c r="BH688" s="567">
        <f t="shared" si="15565"/>
        <v>0</v>
      </c>
      <c r="BI688" s="686">
        <f t="shared" si="15565"/>
        <v>0</v>
      </c>
      <c r="BJ688" s="567">
        <f t="shared" si="15565"/>
        <v>0</v>
      </c>
      <c r="BK688" s="686">
        <f t="shared" si="15565"/>
        <v>0</v>
      </c>
      <c r="BL688" s="567">
        <f t="shared" si="15565"/>
        <v>0</v>
      </c>
      <c r="BM688" s="686">
        <f t="shared" si="15565"/>
        <v>0</v>
      </c>
      <c r="BN688" s="567">
        <f t="shared" si="15565"/>
        <v>0</v>
      </c>
      <c r="BO688" s="686">
        <f t="shared" si="15565"/>
        <v>0</v>
      </c>
      <c r="BP688" s="567">
        <f t="shared" si="15565"/>
        <v>0</v>
      </c>
      <c r="BQ688" s="686">
        <f t="shared" si="15565"/>
        <v>0</v>
      </c>
      <c r="BR688" s="567">
        <f t="shared" si="15565"/>
        <v>0</v>
      </c>
      <c r="BS688" s="686">
        <f t="shared" si="15565"/>
        <v>0</v>
      </c>
      <c r="BT688" s="567">
        <f t="shared" si="15565"/>
        <v>0</v>
      </c>
      <c r="BU688" s="686">
        <f t="shared" si="15565"/>
        <v>0</v>
      </c>
      <c r="BV688" s="567">
        <f t="shared" si="15565"/>
        <v>0</v>
      </c>
      <c r="BW688" s="686">
        <f t="shared" si="15565"/>
        <v>0</v>
      </c>
      <c r="BX688" s="567">
        <f t="shared" si="15565"/>
        <v>0</v>
      </c>
      <c r="BY688" s="686">
        <f t="shared" si="15565"/>
        <v>0</v>
      </c>
      <c r="BZ688" s="567">
        <f t="shared" si="15565"/>
        <v>0</v>
      </c>
      <c r="CA688" s="686">
        <f t="shared" si="15565"/>
        <v>0</v>
      </c>
      <c r="CB688" s="567">
        <f t="shared" si="15565"/>
        <v>0</v>
      </c>
      <c r="CC688" s="686">
        <f t="shared" si="15565"/>
        <v>0</v>
      </c>
      <c r="CD688" s="567">
        <f t="shared" ref="CD688:EO688" si="15566">SUM(CD689:CD689)</f>
        <v>0</v>
      </c>
      <c r="CE688" s="686">
        <f t="shared" si="15566"/>
        <v>0</v>
      </c>
      <c r="CF688" s="567">
        <f t="shared" si="15566"/>
        <v>0</v>
      </c>
      <c r="CG688" s="686">
        <f t="shared" si="15566"/>
        <v>0</v>
      </c>
      <c r="CH688" s="567">
        <f t="shared" si="15566"/>
        <v>0</v>
      </c>
      <c r="CI688" s="686">
        <f t="shared" si="15566"/>
        <v>0</v>
      </c>
      <c r="CJ688" s="567">
        <f t="shared" si="15566"/>
        <v>0</v>
      </c>
      <c r="CK688" s="686">
        <f t="shared" si="15566"/>
        <v>0</v>
      </c>
      <c r="CL688" s="567">
        <f t="shared" si="15566"/>
        <v>0</v>
      </c>
      <c r="CM688" s="686">
        <f t="shared" si="15566"/>
        <v>0</v>
      </c>
      <c r="CN688" s="567">
        <f t="shared" si="15566"/>
        <v>0</v>
      </c>
      <c r="CO688" s="686">
        <f t="shared" si="15566"/>
        <v>0</v>
      </c>
      <c r="CP688" s="567">
        <f t="shared" si="15566"/>
        <v>0</v>
      </c>
      <c r="CQ688" s="686">
        <f t="shared" si="15566"/>
        <v>0</v>
      </c>
      <c r="CR688" s="567">
        <f t="shared" si="15566"/>
        <v>0</v>
      </c>
      <c r="CS688" s="686">
        <f t="shared" si="15566"/>
        <v>0</v>
      </c>
      <c r="CT688" s="567">
        <f t="shared" si="15566"/>
        <v>0</v>
      </c>
      <c r="CU688" s="686">
        <f t="shared" si="15566"/>
        <v>0</v>
      </c>
      <c r="CV688" s="567">
        <f t="shared" si="15566"/>
        <v>0</v>
      </c>
      <c r="CW688" s="686">
        <f t="shared" si="15566"/>
        <v>0</v>
      </c>
      <c r="CX688" s="567">
        <f t="shared" si="15566"/>
        <v>0</v>
      </c>
      <c r="CY688" s="686">
        <f t="shared" si="15566"/>
        <v>0</v>
      </c>
      <c r="CZ688" s="567">
        <f t="shared" si="15566"/>
        <v>0</v>
      </c>
      <c r="DA688" s="686">
        <f t="shared" si="15566"/>
        <v>0</v>
      </c>
      <c r="DB688" s="567">
        <f t="shared" si="15566"/>
        <v>0</v>
      </c>
      <c r="DC688" s="686">
        <f t="shared" si="15566"/>
        <v>0</v>
      </c>
      <c r="DD688" s="567">
        <f t="shared" si="15566"/>
        <v>0</v>
      </c>
      <c r="DE688" s="686">
        <f t="shared" si="15566"/>
        <v>0</v>
      </c>
      <c r="DF688" s="567">
        <f t="shared" si="15566"/>
        <v>0</v>
      </c>
      <c r="DG688" s="686">
        <f t="shared" si="15566"/>
        <v>0</v>
      </c>
      <c r="DH688" s="567">
        <f t="shared" si="15566"/>
        <v>0</v>
      </c>
      <c r="DI688" s="686">
        <f t="shared" si="15566"/>
        <v>0</v>
      </c>
      <c r="DJ688" s="567">
        <f t="shared" si="15566"/>
        <v>0</v>
      </c>
      <c r="DK688" s="686">
        <f t="shared" si="15566"/>
        <v>0</v>
      </c>
      <c r="DL688" s="567">
        <f t="shared" si="15566"/>
        <v>0</v>
      </c>
      <c r="DM688" s="686">
        <f t="shared" si="15566"/>
        <v>0</v>
      </c>
      <c r="DN688" s="567">
        <f t="shared" si="15566"/>
        <v>0</v>
      </c>
      <c r="DO688" s="686">
        <f t="shared" si="15566"/>
        <v>0</v>
      </c>
      <c r="DP688" s="567">
        <f t="shared" si="15566"/>
        <v>0</v>
      </c>
      <c r="DQ688" s="686">
        <f t="shared" si="15566"/>
        <v>0</v>
      </c>
      <c r="DR688" s="567">
        <f t="shared" si="15566"/>
        <v>0</v>
      </c>
      <c r="DS688" s="686">
        <f t="shared" si="15566"/>
        <v>0</v>
      </c>
      <c r="DT688" s="567">
        <f t="shared" si="15566"/>
        <v>0</v>
      </c>
      <c r="DU688" s="686">
        <f t="shared" si="15566"/>
        <v>0</v>
      </c>
      <c r="DV688" s="567">
        <f t="shared" si="15566"/>
        <v>0</v>
      </c>
      <c r="DW688" s="686">
        <f t="shared" si="15566"/>
        <v>0</v>
      </c>
      <c r="DX688" s="567">
        <f t="shared" si="15566"/>
        <v>0</v>
      </c>
      <c r="DY688" s="686">
        <f t="shared" si="15566"/>
        <v>0</v>
      </c>
      <c r="DZ688" s="567">
        <f t="shared" si="15566"/>
        <v>0</v>
      </c>
      <c r="EA688" s="686">
        <f t="shared" si="15566"/>
        <v>0</v>
      </c>
      <c r="EB688" s="567">
        <f t="shared" si="15566"/>
        <v>0</v>
      </c>
      <c r="EC688" s="686">
        <f t="shared" si="15566"/>
        <v>0</v>
      </c>
      <c r="ED688" s="567">
        <f t="shared" si="15566"/>
        <v>0</v>
      </c>
      <c r="EE688" s="686">
        <f t="shared" si="15566"/>
        <v>0</v>
      </c>
      <c r="EF688" s="567">
        <f t="shared" si="15566"/>
        <v>0</v>
      </c>
      <c r="EG688" s="686">
        <f t="shared" si="15566"/>
        <v>0</v>
      </c>
      <c r="EH688" s="567">
        <f t="shared" si="15566"/>
        <v>0</v>
      </c>
      <c r="EI688" s="686">
        <f t="shared" si="15566"/>
        <v>0</v>
      </c>
      <c r="EJ688" s="567">
        <f t="shared" si="15566"/>
        <v>0</v>
      </c>
      <c r="EK688" s="686">
        <f t="shared" si="15566"/>
        <v>0</v>
      </c>
      <c r="EL688" s="567">
        <f t="shared" si="15566"/>
        <v>0</v>
      </c>
      <c r="EM688" s="686">
        <f t="shared" si="15566"/>
        <v>0</v>
      </c>
      <c r="EN688" s="567">
        <f t="shared" si="15566"/>
        <v>0</v>
      </c>
      <c r="EO688" s="686">
        <f t="shared" si="15566"/>
        <v>0</v>
      </c>
      <c r="EP688" s="567">
        <f t="shared" ref="EP688:HA688" si="15567">SUM(EP689:EP689)</f>
        <v>0</v>
      </c>
      <c r="EQ688" s="686">
        <f t="shared" si="15567"/>
        <v>0</v>
      </c>
      <c r="ER688" s="567">
        <f t="shared" si="15567"/>
        <v>0</v>
      </c>
      <c r="ES688" s="686">
        <f t="shared" si="15567"/>
        <v>0</v>
      </c>
      <c r="ET688" s="567">
        <f t="shared" si="15567"/>
        <v>0</v>
      </c>
      <c r="EU688" s="686">
        <f t="shared" si="15567"/>
        <v>0</v>
      </c>
      <c r="EV688" s="567">
        <f t="shared" si="15567"/>
        <v>0</v>
      </c>
      <c r="EW688" s="686">
        <f t="shared" si="15567"/>
        <v>0</v>
      </c>
      <c r="EX688" s="567">
        <f t="shared" si="15567"/>
        <v>0</v>
      </c>
      <c r="EY688" s="686">
        <f t="shared" si="15567"/>
        <v>0</v>
      </c>
      <c r="EZ688" s="567">
        <f t="shared" si="15567"/>
        <v>0</v>
      </c>
      <c r="FA688" s="686">
        <f t="shared" si="15567"/>
        <v>0</v>
      </c>
      <c r="FB688" s="567">
        <f t="shared" si="15567"/>
        <v>0</v>
      </c>
      <c r="FC688" s="686">
        <f t="shared" si="15567"/>
        <v>0</v>
      </c>
      <c r="FD688" s="567">
        <f t="shared" si="15567"/>
        <v>0</v>
      </c>
      <c r="FE688" s="686">
        <f t="shared" si="15567"/>
        <v>0</v>
      </c>
      <c r="FF688" s="567">
        <f t="shared" si="15567"/>
        <v>0</v>
      </c>
      <c r="FG688" s="686">
        <f t="shared" si="15567"/>
        <v>0</v>
      </c>
      <c r="FH688" s="567">
        <f t="shared" si="15567"/>
        <v>0</v>
      </c>
      <c r="FI688" s="686">
        <f t="shared" si="15567"/>
        <v>0</v>
      </c>
      <c r="FJ688" s="567">
        <f t="shared" si="15567"/>
        <v>0</v>
      </c>
      <c r="FK688" s="686">
        <f t="shared" si="15567"/>
        <v>0</v>
      </c>
      <c r="FL688" s="567">
        <f t="shared" si="15567"/>
        <v>0</v>
      </c>
      <c r="FM688" s="686">
        <f t="shared" si="15567"/>
        <v>0</v>
      </c>
      <c r="FN688" s="567">
        <f t="shared" si="15567"/>
        <v>0</v>
      </c>
      <c r="FO688" s="686">
        <f t="shared" si="15567"/>
        <v>0</v>
      </c>
      <c r="FP688" s="567">
        <f t="shared" si="15567"/>
        <v>0</v>
      </c>
      <c r="FQ688" s="686">
        <f t="shared" si="15567"/>
        <v>0</v>
      </c>
      <c r="FR688" s="567">
        <f t="shared" si="15567"/>
        <v>0</v>
      </c>
      <c r="FS688" s="686">
        <f t="shared" si="15567"/>
        <v>0</v>
      </c>
      <c r="FT688" s="567">
        <f t="shared" si="15567"/>
        <v>0</v>
      </c>
      <c r="FU688" s="686">
        <f t="shared" si="15567"/>
        <v>0</v>
      </c>
      <c r="FV688" s="567">
        <f t="shared" si="15567"/>
        <v>0</v>
      </c>
      <c r="FW688" s="686">
        <f t="shared" si="15567"/>
        <v>0</v>
      </c>
      <c r="FX688" s="567">
        <f t="shared" si="15567"/>
        <v>0</v>
      </c>
      <c r="FY688" s="686">
        <f t="shared" si="15567"/>
        <v>0</v>
      </c>
      <c r="FZ688" s="567">
        <f t="shared" si="15567"/>
        <v>0</v>
      </c>
      <c r="GA688" s="686">
        <f t="shared" si="15567"/>
        <v>0</v>
      </c>
      <c r="GB688" s="567">
        <f t="shared" si="15567"/>
        <v>0</v>
      </c>
      <c r="GC688" s="686">
        <f t="shared" si="15567"/>
        <v>0</v>
      </c>
      <c r="GD688" s="567">
        <f t="shared" si="15567"/>
        <v>0</v>
      </c>
      <c r="GE688" s="686">
        <f t="shared" si="15567"/>
        <v>0</v>
      </c>
      <c r="GF688" s="567">
        <f t="shared" si="15567"/>
        <v>0</v>
      </c>
      <c r="GG688" s="686">
        <f t="shared" si="15567"/>
        <v>0</v>
      </c>
      <c r="GH688" s="567">
        <f t="shared" si="15567"/>
        <v>0</v>
      </c>
      <c r="GI688" s="686">
        <f t="shared" si="15567"/>
        <v>0</v>
      </c>
      <c r="GJ688" s="567">
        <f t="shared" si="15567"/>
        <v>0</v>
      </c>
      <c r="GK688" s="686">
        <f t="shared" si="15567"/>
        <v>0</v>
      </c>
      <c r="GL688" s="567">
        <f t="shared" si="15567"/>
        <v>0</v>
      </c>
      <c r="GM688" s="686">
        <f t="shared" si="15567"/>
        <v>0</v>
      </c>
      <c r="GN688" s="567">
        <f t="shared" si="15567"/>
        <v>0</v>
      </c>
      <c r="GO688" s="686">
        <f t="shared" si="15567"/>
        <v>0</v>
      </c>
      <c r="GP688" s="567">
        <f t="shared" si="15567"/>
        <v>128901</v>
      </c>
      <c r="GQ688" s="686">
        <f t="shared" si="15567"/>
        <v>0</v>
      </c>
      <c r="GR688" s="513">
        <f t="shared" si="15567"/>
        <v>190001</v>
      </c>
      <c r="GS688" s="513">
        <f t="shared" si="15567"/>
        <v>190001</v>
      </c>
      <c r="GT688" s="567">
        <f t="shared" si="15567"/>
        <v>190001</v>
      </c>
      <c r="GU688" s="513">
        <f t="shared" si="15567"/>
        <v>12220</v>
      </c>
      <c r="GV688" s="513">
        <f t="shared" si="15567"/>
        <v>0</v>
      </c>
      <c r="GW688" s="567">
        <f t="shared" si="15567"/>
        <v>48880</v>
      </c>
      <c r="GX688" s="567">
        <f t="shared" si="15567"/>
        <v>0</v>
      </c>
      <c r="GY688" s="513">
        <f t="shared" si="15567"/>
        <v>0</v>
      </c>
      <c r="GZ688" s="513">
        <f t="shared" si="15567"/>
        <v>0</v>
      </c>
      <c r="HA688" s="513">
        <f t="shared" si="15567"/>
        <v>0</v>
      </c>
      <c r="HB688" s="513">
        <f t="shared" ref="HB688:JM688" si="15568">SUM(HB689:HB689)</f>
        <v>0</v>
      </c>
      <c r="HC688" s="513">
        <f t="shared" si="15568"/>
        <v>0</v>
      </c>
      <c r="HD688" s="513">
        <f t="shared" si="15568"/>
        <v>0</v>
      </c>
      <c r="HE688" s="513">
        <f t="shared" si="15568"/>
        <v>0</v>
      </c>
      <c r="HF688" s="513">
        <f t="shared" si="15568"/>
        <v>0</v>
      </c>
      <c r="HG688" s="513">
        <f t="shared" si="15568"/>
        <v>190001</v>
      </c>
      <c r="HH688" s="513">
        <f t="shared" si="15568"/>
        <v>0</v>
      </c>
      <c r="HI688" s="827">
        <f t="shared" si="15568"/>
        <v>0</v>
      </c>
      <c r="HJ688" s="513">
        <f t="shared" si="15568"/>
        <v>0</v>
      </c>
      <c r="HK688" s="827">
        <f t="shared" si="15568"/>
        <v>0</v>
      </c>
      <c r="HL688" s="513">
        <f t="shared" si="15568"/>
        <v>0</v>
      </c>
      <c r="HM688" s="827">
        <f t="shared" si="15568"/>
        <v>0</v>
      </c>
      <c r="HN688" s="513">
        <f t="shared" si="15568"/>
        <v>0</v>
      </c>
      <c r="HO688" s="827">
        <f t="shared" si="15568"/>
        <v>61100</v>
      </c>
      <c r="HP688" s="513">
        <f t="shared" si="15568"/>
        <v>0</v>
      </c>
      <c r="HQ688" s="827">
        <f t="shared" si="15568"/>
        <v>-131000</v>
      </c>
      <c r="HR688" s="513">
        <f t="shared" si="15568"/>
        <v>0</v>
      </c>
      <c r="HS688" s="827">
        <f t="shared" si="15568"/>
        <v>0</v>
      </c>
      <c r="HT688" s="513">
        <f t="shared" si="15568"/>
        <v>0</v>
      </c>
      <c r="HU688" s="827">
        <f t="shared" si="15568"/>
        <v>0</v>
      </c>
      <c r="HV688" s="513">
        <f t="shared" si="15568"/>
        <v>0</v>
      </c>
      <c r="HW688" s="827">
        <f t="shared" si="15568"/>
        <v>0</v>
      </c>
      <c r="HX688" s="513">
        <f t="shared" si="15568"/>
        <v>0</v>
      </c>
      <c r="HY688" s="827">
        <f t="shared" si="15568"/>
        <v>131000</v>
      </c>
      <c r="HZ688" s="513">
        <f t="shared" si="15568"/>
        <v>0</v>
      </c>
      <c r="IA688" s="827">
        <f t="shared" si="15568"/>
        <v>0</v>
      </c>
      <c r="IB688" s="513">
        <f t="shared" si="15568"/>
        <v>0</v>
      </c>
      <c r="IC688" s="827">
        <f t="shared" si="15568"/>
        <v>0</v>
      </c>
      <c r="ID688" s="513">
        <f t="shared" si="15568"/>
        <v>0</v>
      </c>
      <c r="IE688" s="827">
        <f t="shared" si="15568"/>
        <v>0</v>
      </c>
      <c r="IF688" s="703">
        <f t="shared" si="15568"/>
        <v>190001</v>
      </c>
      <c r="IG688" s="704">
        <f t="shared" si="15568"/>
        <v>190001</v>
      </c>
      <c r="IH688" s="858">
        <f t="shared" si="15568"/>
        <v>190001</v>
      </c>
      <c r="II688" s="513">
        <f t="shared" si="15568"/>
        <v>0</v>
      </c>
      <c r="IJ688" s="513">
        <f t="shared" si="15568"/>
        <v>0</v>
      </c>
      <c r="IK688" s="513">
        <f t="shared" si="15568"/>
        <v>0</v>
      </c>
      <c r="IL688" s="513">
        <f t="shared" si="15568"/>
        <v>0</v>
      </c>
      <c r="IM688" s="513">
        <f t="shared" si="15568"/>
        <v>0</v>
      </c>
      <c r="IN688" s="513">
        <f t="shared" si="15568"/>
        <v>0</v>
      </c>
      <c r="IO688" s="513">
        <f t="shared" si="15568"/>
        <v>0</v>
      </c>
      <c r="IP688" s="513">
        <f t="shared" si="15568"/>
        <v>0</v>
      </c>
      <c r="IQ688" s="513">
        <f t="shared" si="15568"/>
        <v>0</v>
      </c>
      <c r="IR688" s="513">
        <f t="shared" si="15568"/>
        <v>0</v>
      </c>
      <c r="IS688" s="513">
        <f t="shared" si="15568"/>
        <v>0</v>
      </c>
      <c r="IT688" s="513">
        <f t="shared" si="15568"/>
        <v>0</v>
      </c>
      <c r="IU688" s="513">
        <f t="shared" si="15568"/>
        <v>0</v>
      </c>
      <c r="IV688" s="513">
        <f t="shared" si="15568"/>
        <v>0</v>
      </c>
      <c r="IW688" s="513">
        <f t="shared" si="15568"/>
        <v>0</v>
      </c>
      <c r="IX688" s="513">
        <f t="shared" si="15568"/>
        <v>0</v>
      </c>
      <c r="IY688" s="513">
        <f t="shared" si="15568"/>
        <v>0</v>
      </c>
      <c r="IZ688" s="513">
        <f t="shared" si="15568"/>
        <v>0</v>
      </c>
      <c r="JA688" s="513">
        <f t="shared" si="15568"/>
        <v>0</v>
      </c>
      <c r="JB688" s="513">
        <f t="shared" si="15568"/>
        <v>0</v>
      </c>
      <c r="JC688" s="513">
        <f t="shared" si="15568"/>
        <v>0</v>
      </c>
      <c r="JD688" s="513">
        <f t="shared" si="15568"/>
        <v>0</v>
      </c>
      <c r="JE688" s="513">
        <f t="shared" si="15568"/>
        <v>0</v>
      </c>
      <c r="JF688" s="513">
        <f t="shared" si="15568"/>
        <v>0</v>
      </c>
      <c r="JG688" s="513">
        <f t="shared" si="15568"/>
        <v>190001</v>
      </c>
      <c r="JH688" s="513">
        <f t="shared" si="15568"/>
        <v>190001</v>
      </c>
      <c r="JI688" s="513">
        <f t="shared" si="15568"/>
        <v>190001</v>
      </c>
      <c r="JJ688" s="513">
        <f t="shared" si="15568"/>
        <v>0</v>
      </c>
      <c r="JK688" s="513">
        <f t="shared" si="15568"/>
        <v>0</v>
      </c>
      <c r="JL688" s="513">
        <f t="shared" si="15568"/>
        <v>0</v>
      </c>
      <c r="JM688" s="513">
        <f t="shared" si="15568"/>
        <v>0</v>
      </c>
      <c r="JN688" s="513">
        <f t="shared" ref="JN688:JT688" si="15569">SUM(JN689:JN689)</f>
        <v>0</v>
      </c>
      <c r="JO688" s="513">
        <f t="shared" si="15569"/>
        <v>0</v>
      </c>
      <c r="JP688" s="513">
        <f t="shared" si="15569"/>
        <v>0</v>
      </c>
      <c r="JQ688" s="513">
        <f t="shared" si="15569"/>
        <v>0</v>
      </c>
      <c r="JR688" s="513">
        <f t="shared" si="15569"/>
        <v>0</v>
      </c>
      <c r="JS688" s="513">
        <f t="shared" si="15569"/>
        <v>0</v>
      </c>
      <c r="JT688" s="573">
        <f t="shared" si="15569"/>
        <v>0</v>
      </c>
      <c r="JU688" s="665"/>
      <c r="JV688" s="524"/>
      <c r="JW688" s="525"/>
      <c r="JX688" s="567">
        <f>SUM(JX689:JX689)</f>
        <v>0</v>
      </c>
      <c r="JY688" s="513">
        <f>JY689</f>
        <v>61100</v>
      </c>
      <c r="JZ688" s="513">
        <f t="shared" ref="JZ688:KB688" si="15570">JZ689</f>
        <v>128901</v>
      </c>
      <c r="KA688" s="513">
        <f t="shared" si="15570"/>
        <v>0</v>
      </c>
      <c r="KB688" s="513">
        <f t="shared" si="15570"/>
        <v>190001</v>
      </c>
      <c r="KC688" s="709">
        <f t="shared" ref="KC688:KC689" si="15571">HG688-KB688</f>
        <v>0</v>
      </c>
      <c r="KD688" s="491"/>
      <c r="KE688" s="491"/>
      <c r="KF688" s="491"/>
      <c r="KG688" s="491"/>
      <c r="KH688" s="36"/>
      <c r="KI688" s="36"/>
      <c r="KJ688" s="36"/>
      <c r="KK688" s="36"/>
    </row>
    <row r="689" spans="1:297" s="10" customFormat="1" ht="12.75" customHeight="1">
      <c r="A689" s="612" t="s">
        <v>1237</v>
      </c>
      <c r="B689" s="512" t="s">
        <v>1144</v>
      </c>
      <c r="C689" s="74">
        <v>61100</v>
      </c>
      <c r="D689" s="549">
        <v>0</v>
      </c>
      <c r="E689" s="675">
        <v>0</v>
      </c>
      <c r="F689" s="549">
        <v>0</v>
      </c>
      <c r="G689" s="675">
        <v>0</v>
      </c>
      <c r="H689" s="549">
        <v>0</v>
      </c>
      <c r="I689" s="675">
        <v>0</v>
      </c>
      <c r="J689" s="549">
        <v>0</v>
      </c>
      <c r="K689" s="675">
        <v>0</v>
      </c>
      <c r="L689" s="549">
        <v>0</v>
      </c>
      <c r="M689" s="675">
        <v>0</v>
      </c>
      <c r="N689" s="549">
        <v>0</v>
      </c>
      <c r="O689" s="675">
        <v>0</v>
      </c>
      <c r="P689" s="549">
        <v>0</v>
      </c>
      <c r="Q689" s="675">
        <v>0</v>
      </c>
      <c r="R689" s="549">
        <v>0</v>
      </c>
      <c r="S689" s="675">
        <v>0</v>
      </c>
      <c r="T689" s="549">
        <v>0</v>
      </c>
      <c r="U689" s="675">
        <v>0</v>
      </c>
      <c r="V689" s="549">
        <v>0</v>
      </c>
      <c r="W689" s="675">
        <v>0</v>
      </c>
      <c r="X689" s="549">
        <v>0</v>
      </c>
      <c r="Y689" s="675">
        <v>0</v>
      </c>
      <c r="Z689" s="549">
        <v>0</v>
      </c>
      <c r="AA689" s="675">
        <v>0</v>
      </c>
      <c r="AB689" s="549">
        <v>128901</v>
      </c>
      <c r="AC689" s="675">
        <v>0</v>
      </c>
      <c r="AD689" s="549">
        <v>0</v>
      </c>
      <c r="AE689" s="675">
        <v>0</v>
      </c>
      <c r="AF689" s="549">
        <v>0</v>
      </c>
      <c r="AG689" s="675">
        <v>0</v>
      </c>
      <c r="AH689" s="549">
        <v>0</v>
      </c>
      <c r="AI689" s="675">
        <v>0</v>
      </c>
      <c r="AJ689" s="549">
        <v>0</v>
      </c>
      <c r="AK689" s="675">
        <v>0</v>
      </c>
      <c r="AL689" s="549">
        <v>0</v>
      </c>
      <c r="AM689" s="675">
        <v>0</v>
      </c>
      <c r="AN689" s="549">
        <v>0</v>
      </c>
      <c r="AO689" s="675">
        <v>0</v>
      </c>
      <c r="AP689" s="549">
        <v>0</v>
      </c>
      <c r="AQ689" s="675">
        <v>0</v>
      </c>
      <c r="AR689" s="549">
        <v>0</v>
      </c>
      <c r="AS689" s="675">
        <v>0</v>
      </c>
      <c r="AT689" s="549">
        <v>0</v>
      </c>
      <c r="AU689" s="675">
        <v>0</v>
      </c>
      <c r="AV689" s="549">
        <v>0</v>
      </c>
      <c r="AW689" s="675">
        <v>0</v>
      </c>
      <c r="AX689" s="549">
        <v>0</v>
      </c>
      <c r="AY689" s="675">
        <v>0</v>
      </c>
      <c r="AZ689" s="549">
        <v>0</v>
      </c>
      <c r="BA689" s="675">
        <v>0</v>
      </c>
      <c r="BB689" s="549">
        <v>0</v>
      </c>
      <c r="BC689" s="675">
        <v>0</v>
      </c>
      <c r="BD689" s="549">
        <v>0</v>
      </c>
      <c r="BE689" s="675">
        <v>0</v>
      </c>
      <c r="BF689" s="549">
        <v>0</v>
      </c>
      <c r="BG689" s="675">
        <v>0</v>
      </c>
      <c r="BH689" s="549">
        <v>0</v>
      </c>
      <c r="BI689" s="675">
        <v>0</v>
      </c>
      <c r="BJ689" s="549">
        <v>0</v>
      </c>
      <c r="BK689" s="675">
        <v>0</v>
      </c>
      <c r="BL689" s="549">
        <v>0</v>
      </c>
      <c r="BM689" s="675">
        <v>0</v>
      </c>
      <c r="BN689" s="549">
        <v>0</v>
      </c>
      <c r="BO689" s="675">
        <v>0</v>
      </c>
      <c r="BP689" s="549">
        <v>0</v>
      </c>
      <c r="BQ689" s="675">
        <v>0</v>
      </c>
      <c r="BR689" s="549">
        <v>0</v>
      </c>
      <c r="BS689" s="675">
        <v>0</v>
      </c>
      <c r="BT689" s="549">
        <v>0</v>
      </c>
      <c r="BU689" s="675">
        <v>0</v>
      </c>
      <c r="BV689" s="549">
        <v>0</v>
      </c>
      <c r="BW689" s="675">
        <v>0</v>
      </c>
      <c r="BX689" s="549">
        <v>0</v>
      </c>
      <c r="BY689" s="675">
        <v>0</v>
      </c>
      <c r="BZ689" s="549">
        <v>0</v>
      </c>
      <c r="CA689" s="675">
        <v>0</v>
      </c>
      <c r="CB689" s="549">
        <v>0</v>
      </c>
      <c r="CC689" s="675">
        <v>0</v>
      </c>
      <c r="CD689" s="549">
        <v>0</v>
      </c>
      <c r="CE689" s="675">
        <v>0</v>
      </c>
      <c r="CF689" s="549">
        <v>0</v>
      </c>
      <c r="CG689" s="675">
        <v>0</v>
      </c>
      <c r="CH689" s="549">
        <v>0</v>
      </c>
      <c r="CI689" s="675">
        <v>0</v>
      </c>
      <c r="CJ689" s="549">
        <v>0</v>
      </c>
      <c r="CK689" s="675">
        <v>0</v>
      </c>
      <c r="CL689" s="549">
        <v>0</v>
      </c>
      <c r="CM689" s="675">
        <v>0</v>
      </c>
      <c r="CN689" s="549">
        <v>0</v>
      </c>
      <c r="CO689" s="675">
        <v>0</v>
      </c>
      <c r="CP689" s="549">
        <v>0</v>
      </c>
      <c r="CQ689" s="675">
        <v>0</v>
      </c>
      <c r="CR689" s="549">
        <v>0</v>
      </c>
      <c r="CS689" s="675">
        <v>0</v>
      </c>
      <c r="CT689" s="549">
        <v>0</v>
      </c>
      <c r="CU689" s="675">
        <v>0</v>
      </c>
      <c r="CV689" s="549">
        <v>0</v>
      </c>
      <c r="CW689" s="675">
        <v>0</v>
      </c>
      <c r="CX689" s="549">
        <v>0</v>
      </c>
      <c r="CY689" s="675">
        <v>0</v>
      </c>
      <c r="CZ689" s="549">
        <v>0</v>
      </c>
      <c r="DA689" s="675">
        <v>0</v>
      </c>
      <c r="DB689" s="549">
        <v>0</v>
      </c>
      <c r="DC689" s="675">
        <v>0</v>
      </c>
      <c r="DD689" s="549">
        <v>0</v>
      </c>
      <c r="DE689" s="675">
        <v>0</v>
      </c>
      <c r="DF689" s="549">
        <v>0</v>
      </c>
      <c r="DG689" s="675">
        <v>0</v>
      </c>
      <c r="DH689" s="549">
        <v>0</v>
      </c>
      <c r="DI689" s="675">
        <v>0</v>
      </c>
      <c r="DJ689" s="549">
        <v>0</v>
      </c>
      <c r="DK689" s="675">
        <v>0</v>
      </c>
      <c r="DL689" s="549">
        <v>0</v>
      </c>
      <c r="DM689" s="675">
        <v>0</v>
      </c>
      <c r="DN689" s="549">
        <v>0</v>
      </c>
      <c r="DO689" s="675">
        <v>0</v>
      </c>
      <c r="DP689" s="549">
        <v>0</v>
      </c>
      <c r="DQ689" s="675">
        <v>0</v>
      </c>
      <c r="DR689" s="549">
        <v>0</v>
      </c>
      <c r="DS689" s="675">
        <v>0</v>
      </c>
      <c r="DT689" s="549">
        <v>0</v>
      </c>
      <c r="DU689" s="675">
        <v>0</v>
      </c>
      <c r="DV689" s="549">
        <v>0</v>
      </c>
      <c r="DW689" s="675">
        <v>0</v>
      </c>
      <c r="DX689" s="549">
        <v>0</v>
      </c>
      <c r="DY689" s="675">
        <v>0</v>
      </c>
      <c r="DZ689" s="549">
        <v>0</v>
      </c>
      <c r="EA689" s="675">
        <v>0</v>
      </c>
      <c r="EB689" s="549">
        <v>0</v>
      </c>
      <c r="EC689" s="675">
        <v>0</v>
      </c>
      <c r="ED689" s="549">
        <v>0</v>
      </c>
      <c r="EE689" s="675">
        <v>0</v>
      </c>
      <c r="EF689" s="549">
        <v>0</v>
      </c>
      <c r="EG689" s="675">
        <v>0</v>
      </c>
      <c r="EH689" s="549">
        <v>0</v>
      </c>
      <c r="EI689" s="675">
        <v>0</v>
      </c>
      <c r="EJ689" s="549">
        <v>0</v>
      </c>
      <c r="EK689" s="675">
        <v>0</v>
      </c>
      <c r="EL689" s="549">
        <v>0</v>
      </c>
      <c r="EM689" s="675">
        <v>0</v>
      </c>
      <c r="EN689" s="549">
        <v>0</v>
      </c>
      <c r="EO689" s="675">
        <v>0</v>
      </c>
      <c r="EP689" s="549">
        <v>0</v>
      </c>
      <c r="EQ689" s="675">
        <v>0</v>
      </c>
      <c r="ER689" s="549">
        <v>0</v>
      </c>
      <c r="ES689" s="675">
        <v>0</v>
      </c>
      <c r="ET689" s="549">
        <v>0</v>
      </c>
      <c r="EU689" s="675">
        <v>0</v>
      </c>
      <c r="EV689" s="549">
        <v>0</v>
      </c>
      <c r="EW689" s="675">
        <v>0</v>
      </c>
      <c r="EX689" s="549">
        <v>0</v>
      </c>
      <c r="EY689" s="675">
        <v>0</v>
      </c>
      <c r="EZ689" s="549">
        <v>0</v>
      </c>
      <c r="FA689" s="675">
        <v>0</v>
      </c>
      <c r="FB689" s="549">
        <v>0</v>
      </c>
      <c r="FC689" s="675">
        <v>0</v>
      </c>
      <c r="FD689" s="549">
        <v>0</v>
      </c>
      <c r="FE689" s="675">
        <v>0</v>
      </c>
      <c r="FF689" s="549">
        <v>0</v>
      </c>
      <c r="FG689" s="675">
        <v>0</v>
      </c>
      <c r="FH689" s="549">
        <v>0</v>
      </c>
      <c r="FI689" s="675">
        <v>0</v>
      </c>
      <c r="FJ689" s="549">
        <v>0</v>
      </c>
      <c r="FK689" s="675">
        <v>0</v>
      </c>
      <c r="FL689" s="549">
        <v>0</v>
      </c>
      <c r="FM689" s="675">
        <v>0</v>
      </c>
      <c r="FN689" s="549">
        <v>0</v>
      </c>
      <c r="FO689" s="675">
        <v>0</v>
      </c>
      <c r="FP689" s="549">
        <v>0</v>
      </c>
      <c r="FQ689" s="675">
        <v>0</v>
      </c>
      <c r="FR689" s="549">
        <v>0</v>
      </c>
      <c r="FS689" s="675">
        <v>0</v>
      </c>
      <c r="FT689" s="549">
        <v>0</v>
      </c>
      <c r="FU689" s="675">
        <v>0</v>
      </c>
      <c r="FV689" s="549">
        <v>0</v>
      </c>
      <c r="FW689" s="675">
        <v>0</v>
      </c>
      <c r="FX689" s="549">
        <v>0</v>
      </c>
      <c r="FY689" s="675">
        <v>0</v>
      </c>
      <c r="FZ689" s="549">
        <v>0</v>
      </c>
      <c r="GA689" s="675">
        <v>0</v>
      </c>
      <c r="GB689" s="549">
        <v>0</v>
      </c>
      <c r="GC689" s="675">
        <v>0</v>
      </c>
      <c r="GD689" s="549">
        <v>0</v>
      </c>
      <c r="GE689" s="675">
        <v>0</v>
      </c>
      <c r="GF689" s="549">
        <v>0</v>
      </c>
      <c r="GG689" s="675">
        <v>0</v>
      </c>
      <c r="GH689" s="549">
        <v>0</v>
      </c>
      <c r="GI689" s="675">
        <v>0</v>
      </c>
      <c r="GJ689" s="549">
        <v>0</v>
      </c>
      <c r="GK689" s="675">
        <v>0</v>
      </c>
      <c r="GL689" s="549">
        <v>0</v>
      </c>
      <c r="GM689" s="675">
        <v>0</v>
      </c>
      <c r="GN689" s="549">
        <v>0</v>
      </c>
      <c r="GO689" s="675">
        <v>0</v>
      </c>
      <c r="GP689" s="549">
        <f>+D689+F689+H689+J689+L689+N689+P689+R689+T689+V689+X689+Z689+AB689+AF689+AD689+AH689+AJ689+AL689+AN689+AP689+AR689+AT689+AV689+AX689+AZ689+BB689+BD689+BF689+BH689+BJ689+BL689+BN689+BP689+BR689+BT689+BV689+BX689+BZ689+CB689+CD689+CF689+CH689+CJ689+CL689+CN689+CP689+CR689+CT689+CV689+CX689+CZ689+DB689+DD689+DF689+DH689+DT689+EX689+DJ689+DL689+DN689+DP689+DR689+EJ689+EB689+DZ689+DX689+DV689+ED689+EF689+EH689+EL689+EN689+EP689+EV689+ET689+ER689+EZ689+FB689+FD689+GL689+FF689+FJ689+FL689+GJ689+FT689+FR689+FP689+FN689+FH689+GH689+GF689+GD689+GB689+FZ689+FX689+FV689+GN689</f>
        <v>128901</v>
      </c>
      <c r="GQ689" s="675">
        <f>+E689+G689+I689+K689+M689+O689+Q689+S689+U689+W689+Y689+AA689+AC689+AE689+AG689+AI689+AK689+AM689+AO689+AQ689+AS689+AU689+AW689+AY689+BA689+BC689+BE689+BG689+BI689+BK689+BM689+BO689+BQ689+BS689+BU689+BW689+BY689+CA689+CC689+CE689+CG689+CI689+CK689+CM689+CO689+CQ689+CS689+CU689+CW689+CY689+DA689+DC689+DE689+DG689+DI689+DU689+EY689+DK689+DM689+DO689+DQ689+DS689+EK689+EC689+EA689+DY689+DW689+EI689+EG689+EE689+EM689+EO689+EQ689+EW689+EU689+ES689+FA689+FC689+FE689+GM689+FG689+FK689+FM689+FO689+FQ689+FS689+FU689+GK689+FI689+GI689+GG689+GE689+GC689+GA689+FY689+FW689+GO689</f>
        <v>0</v>
      </c>
      <c r="GR689" s="74">
        <f>C689+GP689+GQ689</f>
        <v>190001</v>
      </c>
      <c r="GS689" s="74">
        <f>SUM(GU689:HD689)+GP689+GQ689</f>
        <v>190001</v>
      </c>
      <c r="GT689" s="568">
        <f>SUM(GU689:HF689)+GQ689+GP689</f>
        <v>190001</v>
      </c>
      <c r="GU689" s="799">
        <v>12220</v>
      </c>
      <c r="GV689" s="799"/>
      <c r="GW689" s="799">
        <v>48880</v>
      </c>
      <c r="GX689" s="799">
        <f>18330-18330</f>
        <v>0</v>
      </c>
      <c r="GY689" s="799"/>
      <c r="GZ689" s="799"/>
      <c r="HA689" s="799">
        <f>18330-18330</f>
        <v>0</v>
      </c>
      <c r="HB689" s="799"/>
      <c r="HC689" s="799"/>
      <c r="HD689" s="799">
        <f>12220-12220</f>
        <v>0</v>
      </c>
      <c r="HE689" s="799">
        <v>0</v>
      </c>
      <c r="HF689" s="799">
        <v>0</v>
      </c>
      <c r="HG689" s="74">
        <f>SUM(HH689:IE689)+GP689+GQ689</f>
        <v>190001</v>
      </c>
      <c r="HH689" s="89">
        <v>0</v>
      </c>
      <c r="HI689" s="817">
        <v>0</v>
      </c>
      <c r="HJ689" s="89">
        <v>0</v>
      </c>
      <c r="HK689" s="817">
        <v>0</v>
      </c>
      <c r="HL689" s="89">
        <v>0</v>
      </c>
      <c r="HM689" s="817">
        <v>0</v>
      </c>
      <c r="HN689" s="89">
        <v>0</v>
      </c>
      <c r="HO689" s="817">
        <v>61100</v>
      </c>
      <c r="HP689" s="89">
        <v>0</v>
      </c>
      <c r="HQ689" s="817">
        <v>-131000</v>
      </c>
      <c r="HR689" s="89">
        <v>0</v>
      </c>
      <c r="HS689" s="817">
        <v>0</v>
      </c>
      <c r="HT689" s="89">
        <v>0</v>
      </c>
      <c r="HU689" s="847">
        <v>0</v>
      </c>
      <c r="HV689" s="89">
        <v>0</v>
      </c>
      <c r="HW689" s="817">
        <v>0</v>
      </c>
      <c r="HX689" s="89">
        <v>0</v>
      </c>
      <c r="HY689" s="817">
        <v>131000</v>
      </c>
      <c r="HZ689" s="89">
        <v>0</v>
      </c>
      <c r="IA689" s="817">
        <v>0</v>
      </c>
      <c r="IB689" s="89">
        <v>0</v>
      </c>
      <c r="IC689" s="817">
        <v>0</v>
      </c>
      <c r="ID689" s="89">
        <v>0</v>
      </c>
      <c r="IE689" s="817">
        <v>0</v>
      </c>
      <c r="IF689" s="841">
        <f t="shared" ref="IF689" si="15572">SUM(II689,IL689,IO689,IR689,IU689,IX689,JA689,JD689,JG689,JJ689,JM689,JP689)</f>
        <v>190001</v>
      </c>
      <c r="IG689" s="263">
        <f t="shared" ref="IG689" si="15573">SUM(IJ689,IM689,IP689,IS689,IV689,IY689,JB689,JE689,JH689,JK689,JN689,JQ689)</f>
        <v>190001</v>
      </c>
      <c r="IH689" s="842">
        <f t="shared" ref="IH689" si="15574">SUM(IK689,IN689,IQ689,IT689,IW689,IZ689,JC689,JF689,JI689,JL689,JO689,JR689)</f>
        <v>190001</v>
      </c>
      <c r="II689" s="89">
        <v>0</v>
      </c>
      <c r="IJ689" s="89">
        <f t="shared" ref="IJ689" si="15575">II689</f>
        <v>0</v>
      </c>
      <c r="IK689" s="89">
        <f t="shared" ref="IK689" si="15576">IJ689</f>
        <v>0</v>
      </c>
      <c r="IL689" s="89">
        <v>0</v>
      </c>
      <c r="IM689" s="89">
        <f t="shared" ref="IM689" si="15577">IL689</f>
        <v>0</v>
      </c>
      <c r="IN689" s="89">
        <f t="shared" ref="IN689" si="15578">IM689</f>
        <v>0</v>
      </c>
      <c r="IO689" s="89">
        <v>0</v>
      </c>
      <c r="IP689" s="89">
        <f t="shared" ref="IP689" si="15579">IO689</f>
        <v>0</v>
      </c>
      <c r="IQ689" s="89">
        <f t="shared" ref="IQ689" si="15580">IP689</f>
        <v>0</v>
      </c>
      <c r="IR689" s="89">
        <v>0</v>
      </c>
      <c r="IS689" s="89">
        <f t="shared" ref="IS689" si="15581">IR689</f>
        <v>0</v>
      </c>
      <c r="IT689" s="89">
        <f t="shared" ref="IT689" si="15582">IS689</f>
        <v>0</v>
      </c>
      <c r="IU689" s="89">
        <v>0</v>
      </c>
      <c r="IV689" s="89">
        <f t="shared" ref="IV689" si="15583">IU689</f>
        <v>0</v>
      </c>
      <c r="IW689" s="89">
        <f t="shared" ref="IW689" si="15584">IV689</f>
        <v>0</v>
      </c>
      <c r="IX689" s="89">
        <v>0</v>
      </c>
      <c r="IY689" s="89">
        <f t="shared" ref="IY689" si="15585">IX689</f>
        <v>0</v>
      </c>
      <c r="IZ689" s="89">
        <f t="shared" ref="IZ689" si="15586">IY689</f>
        <v>0</v>
      </c>
      <c r="JA689" s="89">
        <v>0</v>
      </c>
      <c r="JB689" s="89">
        <f t="shared" ref="JB689" si="15587">JA689</f>
        <v>0</v>
      </c>
      <c r="JC689" s="89">
        <f t="shared" ref="JC689" si="15588">JB689</f>
        <v>0</v>
      </c>
      <c r="JD689" s="89">
        <v>0</v>
      </c>
      <c r="JE689" s="89">
        <f t="shared" ref="JE689" si="15589">JD689</f>
        <v>0</v>
      </c>
      <c r="JF689" s="89">
        <f t="shared" ref="JF689" si="15590">JE689</f>
        <v>0</v>
      </c>
      <c r="JG689" s="89">
        <v>190001</v>
      </c>
      <c r="JH689" s="89">
        <f t="shared" ref="JH689" si="15591">JG689</f>
        <v>190001</v>
      </c>
      <c r="JI689" s="89">
        <f t="shared" ref="JI689" si="15592">JH689</f>
        <v>190001</v>
      </c>
      <c r="JJ689" s="89">
        <v>0</v>
      </c>
      <c r="JK689" s="89">
        <f t="shared" ref="JK689" si="15593">JJ689</f>
        <v>0</v>
      </c>
      <c r="JL689" s="89">
        <f t="shared" ref="JL689" si="15594">JK689</f>
        <v>0</v>
      </c>
      <c r="JM689" s="89">
        <v>0</v>
      </c>
      <c r="JN689" s="89">
        <f t="shared" ref="JN689" si="15595">JM689</f>
        <v>0</v>
      </c>
      <c r="JO689" s="89">
        <f t="shared" ref="JO689" si="15596">JN689</f>
        <v>0</v>
      </c>
      <c r="JP689" s="89">
        <v>0</v>
      </c>
      <c r="JQ689" s="89">
        <f t="shared" ref="JQ689" si="15597">JP689</f>
        <v>0</v>
      </c>
      <c r="JR689" s="89">
        <f t="shared" ref="JR689" si="15598">JQ689</f>
        <v>0</v>
      </c>
      <c r="JS689" s="74">
        <f>HG689-IF689</f>
        <v>0</v>
      </c>
      <c r="JT689" s="382">
        <f>GS689-IF689</f>
        <v>0</v>
      </c>
      <c r="JU689" s="665"/>
      <c r="JV689" s="524"/>
      <c r="JW689" s="525"/>
      <c r="JX689" s="549">
        <f>SUM(HH689,HJ689,HL689,HN689,HP689,HR689,HT689,HV689,HX689,HZ689,IB689,ID689)</f>
        <v>0</v>
      </c>
      <c r="JY689" s="549">
        <f t="shared" ref="JY689" si="15599">SUM(HI689,HK689,HM689,HO689,HQ689,HS689,HU689,HW689,HY689,IA689,IC689,IE689)</f>
        <v>61100</v>
      </c>
      <c r="JZ689" s="581">
        <f t="shared" ref="JZ689" si="15600">GP689</f>
        <v>128901</v>
      </c>
      <c r="KA689" s="581">
        <f t="shared" ref="KA689" si="15601">GQ689</f>
        <v>0</v>
      </c>
      <c r="KB689" s="566">
        <f t="shared" ref="KB689" si="15602">SUM(JX689:KA689)</f>
        <v>190001</v>
      </c>
      <c r="KC689" s="709">
        <f t="shared" si="15571"/>
        <v>0</v>
      </c>
      <c r="KD689" s="491"/>
      <c r="KE689" s="491"/>
      <c r="KF689" s="491"/>
      <c r="KG689" s="491"/>
      <c r="KH689" s="36"/>
      <c r="KI689" s="36"/>
      <c r="KJ689" s="36"/>
      <c r="KK689" s="36"/>
    </row>
    <row r="690" spans="1:297" s="10" customFormat="1">
      <c r="A690" s="612"/>
      <c r="B690" s="512"/>
      <c r="C690" s="513"/>
      <c r="D690" s="553"/>
      <c r="E690" s="687"/>
      <c r="F690" s="553"/>
      <c r="G690" s="687"/>
      <c r="H690" s="553"/>
      <c r="I690" s="687"/>
      <c r="J690" s="553"/>
      <c r="K690" s="687"/>
      <c r="L690" s="553"/>
      <c r="M690" s="687"/>
      <c r="N690" s="553"/>
      <c r="O690" s="687"/>
      <c r="P690" s="553"/>
      <c r="Q690" s="687"/>
      <c r="R690" s="553"/>
      <c r="S690" s="687"/>
      <c r="T690" s="553"/>
      <c r="U690" s="687"/>
      <c r="V690" s="553"/>
      <c r="W690" s="687"/>
      <c r="X690" s="553"/>
      <c r="Y690" s="687"/>
      <c r="Z690" s="553"/>
      <c r="AA690" s="687"/>
      <c r="AB690" s="553"/>
      <c r="AC690" s="687"/>
      <c r="AD690" s="553"/>
      <c r="AE690" s="687"/>
      <c r="AF690" s="553"/>
      <c r="AG690" s="687"/>
      <c r="AH690" s="553"/>
      <c r="AI690" s="687"/>
      <c r="AJ690" s="553"/>
      <c r="AK690" s="687"/>
      <c r="AL690" s="553"/>
      <c r="AM690" s="687"/>
      <c r="AN690" s="553"/>
      <c r="AO690" s="687"/>
      <c r="AP690" s="553"/>
      <c r="AQ690" s="687"/>
      <c r="AR690" s="553"/>
      <c r="AS690" s="687"/>
      <c r="AT690" s="553"/>
      <c r="AU690" s="687"/>
      <c r="AV690" s="553"/>
      <c r="AW690" s="687"/>
      <c r="AX690" s="553"/>
      <c r="AY690" s="687"/>
      <c r="AZ690" s="553"/>
      <c r="BA690" s="687"/>
      <c r="BB690" s="553"/>
      <c r="BC690" s="687"/>
      <c r="BD690" s="553"/>
      <c r="BE690" s="687"/>
      <c r="BF690" s="553"/>
      <c r="BG690" s="687"/>
      <c r="BH690" s="553"/>
      <c r="BI690" s="687"/>
      <c r="BJ690" s="553"/>
      <c r="BK690" s="687"/>
      <c r="BL690" s="553"/>
      <c r="BM690" s="687"/>
      <c r="BN690" s="553"/>
      <c r="BO690" s="687"/>
      <c r="BP690" s="553"/>
      <c r="BQ690" s="687"/>
      <c r="BR690" s="553"/>
      <c r="BS690" s="687"/>
      <c r="BT690" s="553"/>
      <c r="BU690" s="687"/>
      <c r="BV690" s="553"/>
      <c r="BW690" s="687"/>
      <c r="BX690" s="553"/>
      <c r="BY690" s="687"/>
      <c r="BZ690" s="553"/>
      <c r="CA690" s="687"/>
      <c r="CB690" s="553"/>
      <c r="CC690" s="687"/>
      <c r="CD690" s="553"/>
      <c r="CE690" s="687"/>
      <c r="CF690" s="553"/>
      <c r="CG690" s="687"/>
      <c r="CH690" s="553"/>
      <c r="CI690" s="687"/>
      <c r="CJ690" s="553"/>
      <c r="CK690" s="687"/>
      <c r="CL690" s="553"/>
      <c r="CM690" s="687"/>
      <c r="CN690" s="553"/>
      <c r="CO690" s="687"/>
      <c r="CP690" s="553"/>
      <c r="CQ690" s="687"/>
      <c r="CR690" s="553"/>
      <c r="CS690" s="687"/>
      <c r="CT690" s="553"/>
      <c r="CU690" s="687"/>
      <c r="CV690" s="553"/>
      <c r="CW690" s="687"/>
      <c r="CX690" s="553"/>
      <c r="CY690" s="687"/>
      <c r="CZ690" s="553"/>
      <c r="DA690" s="687"/>
      <c r="DB690" s="553"/>
      <c r="DC690" s="687"/>
      <c r="DD690" s="553"/>
      <c r="DE690" s="687"/>
      <c r="DF690" s="553"/>
      <c r="DG690" s="687"/>
      <c r="DH690" s="553"/>
      <c r="DI690" s="687"/>
      <c r="DJ690" s="553"/>
      <c r="DK690" s="687"/>
      <c r="DL690" s="553"/>
      <c r="DM690" s="687"/>
      <c r="DN690" s="553"/>
      <c r="DO690" s="687"/>
      <c r="DP690" s="553"/>
      <c r="DQ690" s="687"/>
      <c r="DR690" s="553"/>
      <c r="DS690" s="687"/>
      <c r="DT690" s="553"/>
      <c r="DU690" s="687"/>
      <c r="DV690" s="553"/>
      <c r="DW690" s="687"/>
      <c r="DX690" s="553"/>
      <c r="DY690" s="687"/>
      <c r="DZ690" s="553"/>
      <c r="EA690" s="687"/>
      <c r="EB690" s="553"/>
      <c r="EC690" s="687"/>
      <c r="ED690" s="553"/>
      <c r="EE690" s="687"/>
      <c r="EF690" s="553"/>
      <c r="EG690" s="687"/>
      <c r="EH690" s="553"/>
      <c r="EI690" s="687"/>
      <c r="EJ690" s="553"/>
      <c r="EK690" s="687"/>
      <c r="EL690" s="553"/>
      <c r="EM690" s="687"/>
      <c r="EN690" s="553"/>
      <c r="EO690" s="687"/>
      <c r="EP690" s="553"/>
      <c r="EQ690" s="687"/>
      <c r="ER690" s="553"/>
      <c r="ES690" s="687"/>
      <c r="ET690" s="553"/>
      <c r="EU690" s="687"/>
      <c r="EV690" s="553"/>
      <c r="EW690" s="687"/>
      <c r="EX690" s="553"/>
      <c r="EY690" s="687"/>
      <c r="EZ690" s="553"/>
      <c r="FA690" s="687"/>
      <c r="FB690" s="553"/>
      <c r="FC690" s="687"/>
      <c r="FD690" s="553"/>
      <c r="FE690" s="687"/>
      <c r="FF690" s="553"/>
      <c r="FG690" s="687"/>
      <c r="FH690" s="553"/>
      <c r="FI690" s="687"/>
      <c r="FJ690" s="553"/>
      <c r="FK690" s="687"/>
      <c r="FL690" s="553"/>
      <c r="FM690" s="687"/>
      <c r="FN690" s="553"/>
      <c r="FO690" s="687"/>
      <c r="FP690" s="553"/>
      <c r="FQ690" s="687"/>
      <c r="FR690" s="553"/>
      <c r="FS690" s="687"/>
      <c r="FT690" s="553"/>
      <c r="FU690" s="687"/>
      <c r="FV690" s="553"/>
      <c r="FW690" s="687"/>
      <c r="FX690" s="553"/>
      <c r="FY690" s="687"/>
      <c r="FZ690" s="553"/>
      <c r="GA690" s="687"/>
      <c r="GB690" s="553"/>
      <c r="GC690" s="687"/>
      <c r="GD690" s="553"/>
      <c r="GE690" s="687"/>
      <c r="GF690" s="553"/>
      <c r="GG690" s="687"/>
      <c r="GH690" s="553"/>
      <c r="GI690" s="687"/>
      <c r="GJ690" s="553"/>
      <c r="GK690" s="687"/>
      <c r="GL690" s="553"/>
      <c r="GM690" s="687"/>
      <c r="GN690" s="553"/>
      <c r="GO690" s="687"/>
      <c r="GP690" s="553"/>
      <c r="GQ690" s="687"/>
      <c r="GR690" s="487"/>
      <c r="GS690" s="487"/>
      <c r="GT690" s="553"/>
      <c r="GU690" s="487"/>
      <c r="GV690" s="487"/>
      <c r="GW690" s="553"/>
      <c r="GX690" s="553"/>
      <c r="GY690" s="487"/>
      <c r="GZ690" s="487"/>
      <c r="HA690" s="487"/>
      <c r="HB690" s="487"/>
      <c r="HC690" s="487"/>
      <c r="HD690" s="487"/>
      <c r="HE690" s="487"/>
      <c r="HF690" s="487"/>
      <c r="HG690" s="487"/>
      <c r="HH690" s="487"/>
      <c r="HI690" s="828"/>
      <c r="HJ690" s="487"/>
      <c r="HK690" s="828"/>
      <c r="HL690" s="487"/>
      <c r="HM690" s="828"/>
      <c r="HN690" s="487"/>
      <c r="HO690" s="828"/>
      <c r="HP690" s="487"/>
      <c r="HQ690" s="828"/>
      <c r="HR690" s="487"/>
      <c r="HS690" s="828"/>
      <c r="HT690" s="487"/>
      <c r="HU690" s="828"/>
      <c r="HV690" s="487"/>
      <c r="HW690" s="828"/>
      <c r="HX690" s="487"/>
      <c r="HY690" s="828"/>
      <c r="HZ690" s="487"/>
      <c r="IA690" s="828"/>
      <c r="IB690" s="487"/>
      <c r="IC690" s="828"/>
      <c r="ID690" s="487"/>
      <c r="IE690" s="828"/>
      <c r="IF690" s="871"/>
      <c r="IG690" s="486"/>
      <c r="IH690" s="872"/>
      <c r="II690" s="487"/>
      <c r="IJ690" s="487"/>
      <c r="IK690" s="487"/>
      <c r="IL690" s="487"/>
      <c r="IM690" s="487"/>
      <c r="IN690" s="487"/>
      <c r="IO690" s="487"/>
      <c r="IP690" s="487"/>
      <c r="IQ690" s="487"/>
      <c r="IR690" s="487"/>
      <c r="IS690" s="487"/>
      <c r="IT690" s="487"/>
      <c r="IU690" s="487"/>
      <c r="IV690" s="487"/>
      <c r="IW690" s="487"/>
      <c r="IX690" s="487"/>
      <c r="IY690" s="487"/>
      <c r="IZ690" s="487"/>
      <c r="JA690" s="487"/>
      <c r="JB690" s="487"/>
      <c r="JC690" s="487"/>
      <c r="JD690" s="487"/>
      <c r="JE690" s="487"/>
      <c r="JF690" s="487"/>
      <c r="JG690" s="487"/>
      <c r="JH690" s="487"/>
      <c r="JI690" s="487"/>
      <c r="JJ690" s="487"/>
      <c r="JK690" s="487"/>
      <c r="JL690" s="487"/>
      <c r="JM690" s="487"/>
      <c r="JN690" s="487"/>
      <c r="JO690" s="487"/>
      <c r="JP690" s="487"/>
      <c r="JQ690" s="487"/>
      <c r="JR690" s="487"/>
      <c r="JS690" s="487"/>
      <c r="JT690" s="662"/>
      <c r="JU690" s="665"/>
      <c r="JV690" s="524"/>
      <c r="JW690" s="525"/>
      <c r="JX690" s="553"/>
      <c r="JY690" s="549">
        <f t="shared" si="15561"/>
        <v>0</v>
      </c>
      <c r="JZ690" s="581">
        <f t="shared" si="15562"/>
        <v>0</v>
      </c>
      <c r="KA690" s="581">
        <f t="shared" si="15563"/>
        <v>0</v>
      </c>
      <c r="KB690" s="566">
        <f t="shared" si="15406"/>
        <v>0</v>
      </c>
      <c r="KC690" s="709">
        <f t="shared" si="14739"/>
        <v>0</v>
      </c>
      <c r="KD690" s="491"/>
      <c r="KE690" s="491"/>
      <c r="KF690" s="491"/>
      <c r="KG690" s="491"/>
      <c r="KH690" s="36"/>
      <c r="KI690" s="36"/>
      <c r="KJ690" s="36"/>
      <c r="KK690" s="36"/>
    </row>
    <row r="691" spans="1:297" s="10" customFormat="1">
      <c r="A691" s="610" t="s">
        <v>951</v>
      </c>
      <c r="B691" s="510" t="s">
        <v>952</v>
      </c>
      <c r="C691" s="511">
        <f>C702+C705+C693+C699+C711+C708</f>
        <v>564000</v>
      </c>
      <c r="D691" s="511">
        <f t="shared" ref="D691:BO691" si="15603">D702+D705+D693+D699+D711+D708</f>
        <v>0</v>
      </c>
      <c r="E691" s="684">
        <f t="shared" si="15603"/>
        <v>0</v>
      </c>
      <c r="F691" s="511">
        <f t="shared" si="15603"/>
        <v>0</v>
      </c>
      <c r="G691" s="511">
        <f t="shared" si="15603"/>
        <v>0</v>
      </c>
      <c r="H691" s="511">
        <f t="shared" si="15603"/>
        <v>0</v>
      </c>
      <c r="I691" s="511">
        <f t="shared" si="15603"/>
        <v>0</v>
      </c>
      <c r="J691" s="511">
        <f t="shared" si="15603"/>
        <v>227500</v>
      </c>
      <c r="K691" s="511">
        <f t="shared" si="15603"/>
        <v>0</v>
      </c>
      <c r="L691" s="511">
        <f t="shared" si="15603"/>
        <v>0</v>
      </c>
      <c r="M691" s="511">
        <f t="shared" si="15603"/>
        <v>0</v>
      </c>
      <c r="N691" s="511">
        <f t="shared" si="15603"/>
        <v>0</v>
      </c>
      <c r="O691" s="511">
        <f t="shared" si="15603"/>
        <v>-2332</v>
      </c>
      <c r="P691" s="511">
        <f t="shared" si="15603"/>
        <v>0</v>
      </c>
      <c r="Q691" s="511">
        <f t="shared" si="15603"/>
        <v>0</v>
      </c>
      <c r="R691" s="511">
        <f t="shared" si="15603"/>
        <v>0</v>
      </c>
      <c r="S691" s="511">
        <f t="shared" si="15603"/>
        <v>0</v>
      </c>
      <c r="T691" s="511">
        <f t="shared" si="15603"/>
        <v>201300</v>
      </c>
      <c r="U691" s="511">
        <f t="shared" si="15603"/>
        <v>-201300</v>
      </c>
      <c r="V691" s="511">
        <f t="shared" si="15603"/>
        <v>0</v>
      </c>
      <c r="W691" s="511">
        <f t="shared" si="15603"/>
        <v>0</v>
      </c>
      <c r="X691" s="511">
        <f t="shared" si="15603"/>
        <v>0</v>
      </c>
      <c r="Y691" s="511">
        <f t="shared" si="15603"/>
        <v>0</v>
      </c>
      <c r="Z691" s="511">
        <f t="shared" si="15603"/>
        <v>0</v>
      </c>
      <c r="AA691" s="511">
        <f t="shared" si="15603"/>
        <v>-7714</v>
      </c>
      <c r="AB691" s="511">
        <f t="shared" si="15603"/>
        <v>0</v>
      </c>
      <c r="AC691" s="511">
        <f t="shared" si="15603"/>
        <v>0</v>
      </c>
      <c r="AD691" s="511">
        <f t="shared" si="15603"/>
        <v>0</v>
      </c>
      <c r="AE691" s="511">
        <f t="shared" si="15603"/>
        <v>0</v>
      </c>
      <c r="AF691" s="511">
        <f t="shared" si="15603"/>
        <v>0</v>
      </c>
      <c r="AG691" s="511">
        <f t="shared" si="15603"/>
        <v>0</v>
      </c>
      <c r="AH691" s="511">
        <f t="shared" si="15603"/>
        <v>0</v>
      </c>
      <c r="AI691" s="511">
        <f t="shared" si="15603"/>
        <v>0</v>
      </c>
      <c r="AJ691" s="511">
        <f t="shared" si="15603"/>
        <v>0</v>
      </c>
      <c r="AK691" s="511">
        <f t="shared" si="15603"/>
        <v>0</v>
      </c>
      <c r="AL691" s="511">
        <f t="shared" si="15603"/>
        <v>0</v>
      </c>
      <c r="AM691" s="511">
        <f t="shared" si="15603"/>
        <v>0</v>
      </c>
      <c r="AN691" s="511">
        <f t="shared" si="15603"/>
        <v>0</v>
      </c>
      <c r="AO691" s="511">
        <f t="shared" si="15603"/>
        <v>0</v>
      </c>
      <c r="AP691" s="511">
        <f t="shared" si="15603"/>
        <v>0</v>
      </c>
      <c r="AQ691" s="511">
        <f t="shared" si="15603"/>
        <v>0</v>
      </c>
      <c r="AR691" s="511">
        <f t="shared" si="15603"/>
        <v>0</v>
      </c>
      <c r="AS691" s="511">
        <f t="shared" si="15603"/>
        <v>0</v>
      </c>
      <c r="AT691" s="511">
        <f t="shared" si="15603"/>
        <v>0</v>
      </c>
      <c r="AU691" s="511">
        <f t="shared" si="15603"/>
        <v>0</v>
      </c>
      <c r="AV691" s="511">
        <f t="shared" si="15603"/>
        <v>0</v>
      </c>
      <c r="AW691" s="511">
        <f t="shared" si="15603"/>
        <v>0</v>
      </c>
      <c r="AX691" s="511">
        <f t="shared" si="15603"/>
        <v>0</v>
      </c>
      <c r="AY691" s="511">
        <f t="shared" si="15603"/>
        <v>0</v>
      </c>
      <c r="AZ691" s="511">
        <f t="shared" si="15603"/>
        <v>0</v>
      </c>
      <c r="BA691" s="511">
        <f t="shared" si="15603"/>
        <v>0</v>
      </c>
      <c r="BB691" s="511">
        <f t="shared" si="15603"/>
        <v>0</v>
      </c>
      <c r="BC691" s="511">
        <f t="shared" si="15603"/>
        <v>0</v>
      </c>
      <c r="BD691" s="511">
        <f t="shared" si="15603"/>
        <v>0</v>
      </c>
      <c r="BE691" s="511">
        <f t="shared" si="15603"/>
        <v>0</v>
      </c>
      <c r="BF691" s="511">
        <f t="shared" si="15603"/>
        <v>0</v>
      </c>
      <c r="BG691" s="511">
        <f t="shared" si="15603"/>
        <v>0</v>
      </c>
      <c r="BH691" s="511">
        <f t="shared" si="15603"/>
        <v>0</v>
      </c>
      <c r="BI691" s="511">
        <f t="shared" si="15603"/>
        <v>0</v>
      </c>
      <c r="BJ691" s="511">
        <f t="shared" si="15603"/>
        <v>0</v>
      </c>
      <c r="BK691" s="511">
        <f t="shared" si="15603"/>
        <v>0</v>
      </c>
      <c r="BL691" s="511">
        <f t="shared" si="15603"/>
        <v>0</v>
      </c>
      <c r="BM691" s="511">
        <f t="shared" si="15603"/>
        <v>0</v>
      </c>
      <c r="BN691" s="511">
        <f t="shared" si="15603"/>
        <v>0</v>
      </c>
      <c r="BO691" s="511">
        <f t="shared" si="15603"/>
        <v>0</v>
      </c>
      <c r="BP691" s="511">
        <f t="shared" ref="BP691:CW691" si="15604">BP702+BP705+BP693+BP699+BP711+BP708</f>
        <v>0</v>
      </c>
      <c r="BQ691" s="511">
        <f t="shared" si="15604"/>
        <v>0</v>
      </c>
      <c r="BR691" s="511">
        <f t="shared" si="15604"/>
        <v>0</v>
      </c>
      <c r="BS691" s="511">
        <f t="shared" si="15604"/>
        <v>0</v>
      </c>
      <c r="BT691" s="511">
        <f t="shared" si="15604"/>
        <v>0</v>
      </c>
      <c r="BU691" s="511">
        <f t="shared" si="15604"/>
        <v>-75000</v>
      </c>
      <c r="BV691" s="511">
        <f t="shared" si="15604"/>
        <v>0</v>
      </c>
      <c r="BW691" s="511">
        <f t="shared" si="15604"/>
        <v>0</v>
      </c>
      <c r="BX691" s="511">
        <f t="shared" si="15604"/>
        <v>0</v>
      </c>
      <c r="BY691" s="511">
        <f t="shared" si="15604"/>
        <v>0</v>
      </c>
      <c r="BZ691" s="511">
        <f t="shared" si="15604"/>
        <v>0</v>
      </c>
      <c r="CA691" s="511">
        <f t="shared" si="15604"/>
        <v>0</v>
      </c>
      <c r="CB691" s="511">
        <f t="shared" si="15604"/>
        <v>0</v>
      </c>
      <c r="CC691" s="511">
        <f t="shared" si="15604"/>
        <v>0</v>
      </c>
      <c r="CD691" s="511">
        <f t="shared" si="15604"/>
        <v>0</v>
      </c>
      <c r="CE691" s="511">
        <f t="shared" si="15604"/>
        <v>0</v>
      </c>
      <c r="CF691" s="511">
        <f t="shared" si="15604"/>
        <v>0</v>
      </c>
      <c r="CG691" s="511">
        <f t="shared" si="15604"/>
        <v>0</v>
      </c>
      <c r="CH691" s="511">
        <f t="shared" si="15604"/>
        <v>0</v>
      </c>
      <c r="CI691" s="511">
        <f t="shared" si="15604"/>
        <v>0</v>
      </c>
      <c r="CJ691" s="511">
        <f t="shared" si="15604"/>
        <v>0</v>
      </c>
      <c r="CK691" s="511">
        <f t="shared" si="15604"/>
        <v>0</v>
      </c>
      <c r="CL691" s="511">
        <f t="shared" si="15604"/>
        <v>0</v>
      </c>
      <c r="CM691" s="511">
        <f t="shared" si="15604"/>
        <v>0</v>
      </c>
      <c r="CN691" s="511">
        <f t="shared" si="15604"/>
        <v>0</v>
      </c>
      <c r="CO691" s="511">
        <f t="shared" si="15604"/>
        <v>0</v>
      </c>
      <c r="CP691" s="511">
        <f t="shared" si="15604"/>
        <v>0</v>
      </c>
      <c r="CQ691" s="511">
        <f t="shared" si="15604"/>
        <v>0</v>
      </c>
      <c r="CR691" s="511">
        <f t="shared" si="15604"/>
        <v>65854</v>
      </c>
      <c r="CS691" s="511">
        <f t="shared" si="15604"/>
        <v>-15854</v>
      </c>
      <c r="CT691" s="511">
        <f t="shared" si="15604"/>
        <v>0</v>
      </c>
      <c r="CU691" s="511">
        <f t="shared" si="15604"/>
        <v>0</v>
      </c>
      <c r="CV691" s="511">
        <f t="shared" si="15604"/>
        <v>0</v>
      </c>
      <c r="CW691" s="511">
        <f t="shared" si="15604"/>
        <v>0</v>
      </c>
      <c r="CX691" s="511">
        <f t="shared" ref="CX691:EC691" si="15605">CX702+CX705+CX693+CX699+CX711+CX708+CX718</f>
        <v>100000</v>
      </c>
      <c r="CY691" s="511">
        <f t="shared" si="15605"/>
        <v>0</v>
      </c>
      <c r="CZ691" s="511">
        <f t="shared" si="15605"/>
        <v>0</v>
      </c>
      <c r="DA691" s="511">
        <f t="shared" si="15605"/>
        <v>0</v>
      </c>
      <c r="DB691" s="511">
        <f t="shared" si="15605"/>
        <v>0</v>
      </c>
      <c r="DC691" s="511">
        <f t="shared" si="15605"/>
        <v>0</v>
      </c>
      <c r="DD691" s="511">
        <f t="shared" si="15605"/>
        <v>0</v>
      </c>
      <c r="DE691" s="511">
        <f t="shared" si="15605"/>
        <v>0</v>
      </c>
      <c r="DF691" s="511">
        <f t="shared" si="15605"/>
        <v>0</v>
      </c>
      <c r="DG691" s="511">
        <f t="shared" si="15605"/>
        <v>0</v>
      </c>
      <c r="DH691" s="511">
        <f t="shared" si="15605"/>
        <v>0</v>
      </c>
      <c r="DI691" s="511">
        <f t="shared" si="15605"/>
        <v>0</v>
      </c>
      <c r="DJ691" s="511">
        <f t="shared" si="15605"/>
        <v>0</v>
      </c>
      <c r="DK691" s="511">
        <f t="shared" si="15605"/>
        <v>0</v>
      </c>
      <c r="DL691" s="511">
        <f t="shared" si="15605"/>
        <v>0</v>
      </c>
      <c r="DM691" s="511">
        <f t="shared" si="15605"/>
        <v>0</v>
      </c>
      <c r="DN691" s="511">
        <f t="shared" si="15605"/>
        <v>45000</v>
      </c>
      <c r="DO691" s="511">
        <f t="shared" si="15605"/>
        <v>0</v>
      </c>
      <c r="DP691" s="511">
        <f t="shared" si="15605"/>
        <v>0</v>
      </c>
      <c r="DQ691" s="511">
        <f t="shared" si="15605"/>
        <v>0</v>
      </c>
      <c r="DR691" s="511">
        <f t="shared" si="15605"/>
        <v>0</v>
      </c>
      <c r="DS691" s="511">
        <f t="shared" si="15605"/>
        <v>0</v>
      </c>
      <c r="DT691" s="511">
        <f t="shared" si="15605"/>
        <v>0</v>
      </c>
      <c r="DU691" s="511">
        <f t="shared" si="15605"/>
        <v>0</v>
      </c>
      <c r="DV691" s="511">
        <f t="shared" si="15605"/>
        <v>0</v>
      </c>
      <c r="DW691" s="511">
        <f t="shared" si="15605"/>
        <v>0</v>
      </c>
      <c r="DX691" s="511">
        <f t="shared" si="15605"/>
        <v>0</v>
      </c>
      <c r="DY691" s="511">
        <f t="shared" si="15605"/>
        <v>-65000</v>
      </c>
      <c r="DZ691" s="511">
        <f t="shared" si="15605"/>
        <v>0</v>
      </c>
      <c r="EA691" s="511">
        <f t="shared" si="15605"/>
        <v>0</v>
      </c>
      <c r="EB691" s="511">
        <f t="shared" si="15605"/>
        <v>0</v>
      </c>
      <c r="EC691" s="511">
        <f t="shared" si="15605"/>
        <v>0</v>
      </c>
      <c r="ED691" s="511">
        <f t="shared" ref="ED691:FI691" si="15606">ED702+ED705+ED693+ED699+ED711+ED708+ED718</f>
        <v>0</v>
      </c>
      <c r="EE691" s="511">
        <f t="shared" si="15606"/>
        <v>0</v>
      </c>
      <c r="EF691" s="511">
        <f t="shared" si="15606"/>
        <v>0</v>
      </c>
      <c r="EG691" s="511">
        <f t="shared" si="15606"/>
        <v>0</v>
      </c>
      <c r="EH691" s="511">
        <f t="shared" si="15606"/>
        <v>0</v>
      </c>
      <c r="EI691" s="511">
        <f t="shared" si="15606"/>
        <v>0</v>
      </c>
      <c r="EJ691" s="511">
        <f t="shared" si="15606"/>
        <v>0</v>
      </c>
      <c r="EK691" s="511">
        <f t="shared" si="15606"/>
        <v>0</v>
      </c>
      <c r="EL691" s="511">
        <f t="shared" si="15606"/>
        <v>0</v>
      </c>
      <c r="EM691" s="511">
        <f t="shared" si="15606"/>
        <v>0</v>
      </c>
      <c r="EN691" s="511">
        <f t="shared" si="15606"/>
        <v>0</v>
      </c>
      <c r="EO691" s="511">
        <f t="shared" si="15606"/>
        <v>0</v>
      </c>
      <c r="EP691" s="511">
        <f t="shared" si="15606"/>
        <v>0</v>
      </c>
      <c r="EQ691" s="511">
        <f t="shared" si="15606"/>
        <v>0</v>
      </c>
      <c r="ER691" s="511">
        <f t="shared" si="15606"/>
        <v>0</v>
      </c>
      <c r="ES691" s="511">
        <f t="shared" si="15606"/>
        <v>0</v>
      </c>
      <c r="ET691" s="511">
        <f t="shared" si="15606"/>
        <v>0</v>
      </c>
      <c r="EU691" s="511">
        <f t="shared" si="15606"/>
        <v>0</v>
      </c>
      <c r="EV691" s="511">
        <f t="shared" si="15606"/>
        <v>0</v>
      </c>
      <c r="EW691" s="511">
        <f t="shared" si="15606"/>
        <v>0</v>
      </c>
      <c r="EX691" s="511">
        <f t="shared" si="15606"/>
        <v>0</v>
      </c>
      <c r="EY691" s="511">
        <f t="shared" si="15606"/>
        <v>0</v>
      </c>
      <c r="EZ691" s="511">
        <f t="shared" si="15606"/>
        <v>0</v>
      </c>
      <c r="FA691" s="511">
        <f t="shared" si="15606"/>
        <v>0</v>
      </c>
      <c r="FB691" s="511">
        <f t="shared" si="15606"/>
        <v>0</v>
      </c>
      <c r="FC691" s="511">
        <f t="shared" si="15606"/>
        <v>-21946</v>
      </c>
      <c r="FD691" s="511">
        <f t="shared" si="15606"/>
        <v>0</v>
      </c>
      <c r="FE691" s="511">
        <f t="shared" si="15606"/>
        <v>0</v>
      </c>
      <c r="FF691" s="511">
        <f t="shared" si="15606"/>
        <v>0</v>
      </c>
      <c r="FG691" s="511">
        <f t="shared" si="15606"/>
        <v>0</v>
      </c>
      <c r="FH691" s="511">
        <f t="shared" si="15606"/>
        <v>0</v>
      </c>
      <c r="FI691" s="511">
        <f t="shared" si="15606"/>
        <v>0</v>
      </c>
      <c r="FJ691" s="511">
        <f t="shared" ref="FJ691:GR691" si="15607">FJ702+FJ705+FJ693+FJ699+FJ711+FJ708+FJ718</f>
        <v>0</v>
      </c>
      <c r="FK691" s="511">
        <f t="shared" si="15607"/>
        <v>0</v>
      </c>
      <c r="FL691" s="511">
        <f t="shared" si="15607"/>
        <v>0</v>
      </c>
      <c r="FM691" s="511">
        <f t="shared" si="15607"/>
        <v>0</v>
      </c>
      <c r="FN691" s="511">
        <f t="shared" si="15607"/>
        <v>0</v>
      </c>
      <c r="FO691" s="511">
        <f t="shared" si="15607"/>
        <v>-23961</v>
      </c>
      <c r="FP691" s="511">
        <f t="shared" si="15607"/>
        <v>0</v>
      </c>
      <c r="FQ691" s="511">
        <f t="shared" si="15607"/>
        <v>0</v>
      </c>
      <c r="FR691" s="511">
        <f t="shared" si="15607"/>
        <v>0</v>
      </c>
      <c r="FS691" s="511">
        <f t="shared" si="15607"/>
        <v>0</v>
      </c>
      <c r="FT691" s="511">
        <f t="shared" si="15607"/>
        <v>0</v>
      </c>
      <c r="FU691" s="511">
        <f t="shared" si="15607"/>
        <v>0</v>
      </c>
      <c r="FV691" s="511">
        <f t="shared" si="15607"/>
        <v>0</v>
      </c>
      <c r="FW691" s="511">
        <f t="shared" si="15607"/>
        <v>0</v>
      </c>
      <c r="FX691" s="511">
        <f t="shared" si="15607"/>
        <v>0</v>
      </c>
      <c r="FY691" s="511">
        <f t="shared" si="15607"/>
        <v>0</v>
      </c>
      <c r="FZ691" s="511">
        <f t="shared" si="15607"/>
        <v>0</v>
      </c>
      <c r="GA691" s="511">
        <f t="shared" si="15607"/>
        <v>0</v>
      </c>
      <c r="GB691" s="511">
        <f t="shared" si="15607"/>
        <v>0</v>
      </c>
      <c r="GC691" s="511">
        <f t="shared" si="15607"/>
        <v>0</v>
      </c>
      <c r="GD691" s="511">
        <f t="shared" si="15607"/>
        <v>0</v>
      </c>
      <c r="GE691" s="511">
        <f t="shared" si="15607"/>
        <v>0</v>
      </c>
      <c r="GF691" s="511">
        <f t="shared" si="15607"/>
        <v>0</v>
      </c>
      <c r="GG691" s="511">
        <f t="shared" si="15607"/>
        <v>0</v>
      </c>
      <c r="GH691" s="511">
        <f t="shared" si="15607"/>
        <v>0</v>
      </c>
      <c r="GI691" s="511">
        <f t="shared" si="15607"/>
        <v>0</v>
      </c>
      <c r="GJ691" s="511">
        <f t="shared" si="15607"/>
        <v>0</v>
      </c>
      <c r="GK691" s="511">
        <f t="shared" si="15607"/>
        <v>0</v>
      </c>
      <c r="GL691" s="511">
        <f t="shared" si="15607"/>
        <v>0</v>
      </c>
      <c r="GM691" s="511">
        <f t="shared" si="15607"/>
        <v>0</v>
      </c>
      <c r="GN691" s="511">
        <f t="shared" si="15607"/>
        <v>0</v>
      </c>
      <c r="GO691" s="511">
        <f t="shared" si="15607"/>
        <v>0</v>
      </c>
      <c r="GP691" s="511">
        <f t="shared" si="15607"/>
        <v>639654</v>
      </c>
      <c r="GQ691" s="684">
        <f t="shared" si="15607"/>
        <v>-413107</v>
      </c>
      <c r="GR691" s="511">
        <f t="shared" si="15607"/>
        <v>790547</v>
      </c>
      <c r="GS691" s="511">
        <f t="shared" ref="GS691:JD691" si="15608">GS702+GS705+GS693+GS699+GS711+GS708+GS718</f>
        <v>790547</v>
      </c>
      <c r="GT691" s="511">
        <f t="shared" si="15608"/>
        <v>790547</v>
      </c>
      <c r="GU691" s="511">
        <f t="shared" si="15608"/>
        <v>112800</v>
      </c>
      <c r="GV691" s="511">
        <f t="shared" si="15608"/>
        <v>391200</v>
      </c>
      <c r="GW691" s="511">
        <f t="shared" si="15608"/>
        <v>0</v>
      </c>
      <c r="GX691" s="511">
        <f t="shared" si="15608"/>
        <v>22500</v>
      </c>
      <c r="GY691" s="511">
        <f t="shared" si="15608"/>
        <v>37500</v>
      </c>
      <c r="GZ691" s="511">
        <f t="shared" si="15608"/>
        <v>0</v>
      </c>
      <c r="HA691" s="511">
        <f t="shared" si="15608"/>
        <v>0</v>
      </c>
      <c r="HB691" s="511">
        <f t="shared" si="15608"/>
        <v>0</v>
      </c>
      <c r="HC691" s="511">
        <f t="shared" si="15608"/>
        <v>0</v>
      </c>
      <c r="HD691" s="511">
        <f t="shared" si="15608"/>
        <v>0</v>
      </c>
      <c r="HE691" s="511">
        <f t="shared" si="15608"/>
        <v>0</v>
      </c>
      <c r="HF691" s="511">
        <f t="shared" si="15608"/>
        <v>0</v>
      </c>
      <c r="HG691" s="511">
        <f t="shared" si="15608"/>
        <v>790547</v>
      </c>
      <c r="HH691" s="511">
        <f t="shared" si="15608"/>
        <v>0</v>
      </c>
      <c r="HI691" s="511">
        <f t="shared" si="15608"/>
        <v>0</v>
      </c>
      <c r="HJ691" s="511">
        <f t="shared" si="15608"/>
        <v>0</v>
      </c>
      <c r="HK691" s="511">
        <f t="shared" si="15608"/>
        <v>-225168</v>
      </c>
      <c r="HL691" s="511">
        <f t="shared" si="15608"/>
        <v>0</v>
      </c>
      <c r="HM691" s="511">
        <f t="shared" si="15608"/>
        <v>209014</v>
      </c>
      <c r="HN691" s="511">
        <f t="shared" si="15608"/>
        <v>0</v>
      </c>
      <c r="HO691" s="511">
        <f t="shared" si="15608"/>
        <v>286153.15000000002</v>
      </c>
      <c r="HP691" s="511">
        <f t="shared" si="15608"/>
        <v>0</v>
      </c>
      <c r="HQ691" s="511">
        <f t="shared" si="15608"/>
        <v>0</v>
      </c>
      <c r="HR691" s="511">
        <f t="shared" si="15608"/>
        <v>0</v>
      </c>
      <c r="HS691" s="511">
        <f t="shared" si="15608"/>
        <v>37500</v>
      </c>
      <c r="HT691" s="511">
        <f t="shared" si="15608"/>
        <v>0</v>
      </c>
      <c r="HU691" s="511">
        <f t="shared" si="15608"/>
        <v>40060.239999999998</v>
      </c>
      <c r="HV691" s="511">
        <f t="shared" si="15608"/>
        <v>0</v>
      </c>
      <c r="HW691" s="511">
        <f t="shared" si="15608"/>
        <v>0</v>
      </c>
      <c r="HX691" s="511">
        <f t="shared" si="15608"/>
        <v>0</v>
      </c>
      <c r="HY691" s="511">
        <f t="shared" si="15608"/>
        <v>-100000</v>
      </c>
      <c r="HZ691" s="511">
        <f t="shared" si="15608"/>
        <v>0</v>
      </c>
      <c r="IA691" s="511">
        <f t="shared" si="15608"/>
        <v>316440.61</v>
      </c>
      <c r="IB691" s="511">
        <f t="shared" si="15608"/>
        <v>0</v>
      </c>
      <c r="IC691" s="511">
        <f t="shared" si="15608"/>
        <v>0</v>
      </c>
      <c r="ID691" s="511">
        <f t="shared" si="15608"/>
        <v>0</v>
      </c>
      <c r="IE691" s="511">
        <f t="shared" si="15608"/>
        <v>0</v>
      </c>
      <c r="IF691" s="863">
        <f t="shared" si="15608"/>
        <v>276218.38</v>
      </c>
      <c r="IG691" s="286">
        <f t="shared" si="15608"/>
        <v>276218.38</v>
      </c>
      <c r="IH691" s="864">
        <f t="shared" si="15608"/>
        <v>276218.38</v>
      </c>
      <c r="II691" s="511">
        <f t="shared" si="15608"/>
        <v>0</v>
      </c>
      <c r="IJ691" s="511">
        <f t="shared" si="15608"/>
        <v>0</v>
      </c>
      <c r="IK691" s="511">
        <f t="shared" si="15608"/>
        <v>0</v>
      </c>
      <c r="IL691" s="511">
        <f t="shared" si="15608"/>
        <v>0</v>
      </c>
      <c r="IM691" s="511">
        <f t="shared" si="15608"/>
        <v>0</v>
      </c>
      <c r="IN691" s="511">
        <f t="shared" si="15608"/>
        <v>0</v>
      </c>
      <c r="IO691" s="511">
        <f t="shared" si="15608"/>
        <v>0</v>
      </c>
      <c r="IP691" s="511">
        <f t="shared" si="15608"/>
        <v>0</v>
      </c>
      <c r="IQ691" s="511">
        <f t="shared" si="15608"/>
        <v>0</v>
      </c>
      <c r="IR691" s="511">
        <f t="shared" si="15608"/>
        <v>276218.38</v>
      </c>
      <c r="IS691" s="511">
        <f t="shared" si="15608"/>
        <v>276218.38</v>
      </c>
      <c r="IT691" s="511">
        <f t="shared" si="15608"/>
        <v>276218.38</v>
      </c>
      <c r="IU691" s="511">
        <f t="shared" si="15608"/>
        <v>0</v>
      </c>
      <c r="IV691" s="511">
        <f t="shared" si="15608"/>
        <v>0</v>
      </c>
      <c r="IW691" s="511">
        <f t="shared" si="15608"/>
        <v>0</v>
      </c>
      <c r="IX691" s="511">
        <f t="shared" si="15608"/>
        <v>0</v>
      </c>
      <c r="IY691" s="511">
        <f t="shared" si="15608"/>
        <v>0</v>
      </c>
      <c r="IZ691" s="511">
        <f t="shared" si="15608"/>
        <v>0</v>
      </c>
      <c r="JA691" s="511">
        <f t="shared" si="15608"/>
        <v>0</v>
      </c>
      <c r="JB691" s="511">
        <f t="shared" si="15608"/>
        <v>0</v>
      </c>
      <c r="JC691" s="511">
        <f t="shared" si="15608"/>
        <v>0</v>
      </c>
      <c r="JD691" s="511">
        <f t="shared" si="15608"/>
        <v>0</v>
      </c>
      <c r="JE691" s="511">
        <f t="shared" ref="JE691:JT691" si="15609">JE702+JE705+JE693+JE699+JE711+JE708+JE718</f>
        <v>0</v>
      </c>
      <c r="JF691" s="511">
        <f t="shared" si="15609"/>
        <v>0</v>
      </c>
      <c r="JG691" s="511">
        <f t="shared" si="15609"/>
        <v>0</v>
      </c>
      <c r="JH691" s="511">
        <f t="shared" si="15609"/>
        <v>0</v>
      </c>
      <c r="JI691" s="511">
        <f t="shared" si="15609"/>
        <v>0</v>
      </c>
      <c r="JJ691" s="511">
        <f t="shared" si="15609"/>
        <v>0</v>
      </c>
      <c r="JK691" s="511">
        <f t="shared" si="15609"/>
        <v>0</v>
      </c>
      <c r="JL691" s="511">
        <f t="shared" si="15609"/>
        <v>0</v>
      </c>
      <c r="JM691" s="511">
        <f t="shared" si="15609"/>
        <v>0</v>
      </c>
      <c r="JN691" s="511">
        <f t="shared" si="15609"/>
        <v>0</v>
      </c>
      <c r="JO691" s="511">
        <f t="shared" si="15609"/>
        <v>0</v>
      </c>
      <c r="JP691" s="511">
        <f t="shared" si="15609"/>
        <v>0</v>
      </c>
      <c r="JQ691" s="511">
        <f t="shared" si="15609"/>
        <v>0</v>
      </c>
      <c r="JR691" s="511">
        <f t="shared" si="15609"/>
        <v>0</v>
      </c>
      <c r="JS691" s="511">
        <f t="shared" si="15609"/>
        <v>514328.62</v>
      </c>
      <c r="JT691" s="511">
        <f t="shared" si="15609"/>
        <v>514328.62</v>
      </c>
      <c r="JU691" s="665"/>
      <c r="JV691" s="524"/>
      <c r="JW691" s="525"/>
      <c r="JX691" s="566">
        <f>JX702+JX705+JX693+JX696+JX699+JX711+JX718+JX708</f>
        <v>0</v>
      </c>
      <c r="JY691" s="566">
        <f>JY702+JY705+JY693+JY696+JY699+JY711+JY718+JY708</f>
        <v>564000</v>
      </c>
      <c r="JZ691" s="566">
        <f>JZ702+JZ705+JZ693+JZ696+JZ699+JZ711+JZ718+JZ708</f>
        <v>639654</v>
      </c>
      <c r="KA691" s="566">
        <f>KA702+KA705+KA693+KA696+KA699+KA711+KA718+KA708</f>
        <v>-413107</v>
      </c>
      <c r="KB691" s="566">
        <f>KB702+KB705+KB693+KB696+KB699+KB711+KB718+KB708</f>
        <v>790547</v>
      </c>
      <c r="KC691" s="709">
        <f>HG691-KB691</f>
        <v>0</v>
      </c>
      <c r="KD691" s="491"/>
      <c r="KE691" s="491"/>
      <c r="KF691" s="491"/>
      <c r="KG691" s="491"/>
      <c r="KH691" s="36"/>
      <c r="KI691" s="36"/>
      <c r="KJ691" s="36"/>
      <c r="KK691" s="36"/>
    </row>
    <row r="692" spans="1:297" s="10" customFormat="1">
      <c r="A692" s="612"/>
      <c r="B692" s="512"/>
      <c r="C692" s="513"/>
      <c r="D692" s="567"/>
      <c r="E692" s="686"/>
      <c r="F692" s="567"/>
      <c r="G692" s="686"/>
      <c r="H692" s="567"/>
      <c r="I692" s="686"/>
      <c r="J692" s="567"/>
      <c r="K692" s="686"/>
      <c r="L692" s="567"/>
      <c r="M692" s="686"/>
      <c r="N692" s="567"/>
      <c r="O692" s="686"/>
      <c r="P692" s="567"/>
      <c r="Q692" s="686"/>
      <c r="R692" s="567"/>
      <c r="S692" s="686"/>
      <c r="T692" s="567"/>
      <c r="U692" s="686"/>
      <c r="V692" s="567"/>
      <c r="W692" s="686"/>
      <c r="X692" s="567"/>
      <c r="Y692" s="686"/>
      <c r="Z692" s="567"/>
      <c r="AA692" s="686"/>
      <c r="AB692" s="567"/>
      <c r="AC692" s="686"/>
      <c r="AD692" s="567"/>
      <c r="AE692" s="686"/>
      <c r="AF692" s="567"/>
      <c r="AG692" s="686"/>
      <c r="AH692" s="567"/>
      <c r="AI692" s="686"/>
      <c r="AJ692" s="567"/>
      <c r="AK692" s="686"/>
      <c r="AL692" s="567"/>
      <c r="AM692" s="686"/>
      <c r="AN692" s="567"/>
      <c r="AO692" s="686"/>
      <c r="AP692" s="567"/>
      <c r="AQ692" s="686"/>
      <c r="AR692" s="567"/>
      <c r="AS692" s="686"/>
      <c r="AT692" s="567"/>
      <c r="AU692" s="686"/>
      <c r="AV692" s="567"/>
      <c r="AW692" s="686"/>
      <c r="AX692" s="567"/>
      <c r="AY692" s="686"/>
      <c r="AZ692" s="567"/>
      <c r="BA692" s="686"/>
      <c r="BB692" s="567"/>
      <c r="BC692" s="686"/>
      <c r="BD692" s="567"/>
      <c r="BE692" s="686"/>
      <c r="BF692" s="567"/>
      <c r="BG692" s="686"/>
      <c r="BH692" s="567"/>
      <c r="BI692" s="686"/>
      <c r="BJ692" s="567"/>
      <c r="BK692" s="686"/>
      <c r="BL692" s="567"/>
      <c r="BM692" s="686"/>
      <c r="BN692" s="567"/>
      <c r="BO692" s="686"/>
      <c r="BP692" s="567"/>
      <c r="BQ692" s="686"/>
      <c r="BR692" s="567"/>
      <c r="BS692" s="686"/>
      <c r="BT692" s="567"/>
      <c r="BU692" s="686"/>
      <c r="BV692" s="567"/>
      <c r="BW692" s="686"/>
      <c r="BX692" s="567"/>
      <c r="BY692" s="686"/>
      <c r="BZ692" s="567"/>
      <c r="CA692" s="686"/>
      <c r="CB692" s="567"/>
      <c r="CC692" s="686"/>
      <c r="CD692" s="567"/>
      <c r="CE692" s="686"/>
      <c r="CF692" s="567"/>
      <c r="CG692" s="686"/>
      <c r="CH692" s="567"/>
      <c r="CI692" s="686"/>
      <c r="CJ692" s="567"/>
      <c r="CK692" s="686"/>
      <c r="CL692" s="567"/>
      <c r="CM692" s="686"/>
      <c r="CN692" s="567"/>
      <c r="CO692" s="686"/>
      <c r="CP692" s="567"/>
      <c r="CQ692" s="686"/>
      <c r="CR692" s="567"/>
      <c r="CS692" s="686"/>
      <c r="CT692" s="567"/>
      <c r="CU692" s="686"/>
      <c r="CV692" s="567"/>
      <c r="CW692" s="686"/>
      <c r="CX692" s="567"/>
      <c r="CY692" s="686"/>
      <c r="CZ692" s="567"/>
      <c r="DA692" s="686"/>
      <c r="DB692" s="567"/>
      <c r="DC692" s="686"/>
      <c r="DD692" s="567"/>
      <c r="DE692" s="686"/>
      <c r="DF692" s="567"/>
      <c r="DG692" s="686"/>
      <c r="DH692" s="567"/>
      <c r="DI692" s="686"/>
      <c r="DJ692" s="567"/>
      <c r="DK692" s="686"/>
      <c r="DL692" s="567"/>
      <c r="DM692" s="686"/>
      <c r="DN692" s="567"/>
      <c r="DO692" s="686"/>
      <c r="DP692" s="567"/>
      <c r="DQ692" s="686"/>
      <c r="DR692" s="567"/>
      <c r="DS692" s="686"/>
      <c r="DT692" s="567"/>
      <c r="DU692" s="686"/>
      <c r="DV692" s="567"/>
      <c r="DW692" s="686"/>
      <c r="DX692" s="567"/>
      <c r="DY692" s="686"/>
      <c r="DZ692" s="567"/>
      <c r="EA692" s="686"/>
      <c r="EB692" s="567"/>
      <c r="EC692" s="686"/>
      <c r="ED692" s="567"/>
      <c r="EE692" s="686"/>
      <c r="EF692" s="567"/>
      <c r="EG692" s="686"/>
      <c r="EH692" s="567"/>
      <c r="EI692" s="686"/>
      <c r="EJ692" s="567"/>
      <c r="EK692" s="686"/>
      <c r="EL692" s="567"/>
      <c r="EM692" s="686"/>
      <c r="EN692" s="567"/>
      <c r="EO692" s="686"/>
      <c r="EP692" s="567"/>
      <c r="EQ692" s="686"/>
      <c r="ER692" s="567"/>
      <c r="ES692" s="686"/>
      <c r="ET692" s="567"/>
      <c r="EU692" s="686"/>
      <c r="EV692" s="567"/>
      <c r="EW692" s="686"/>
      <c r="EX692" s="567"/>
      <c r="EY692" s="686"/>
      <c r="EZ692" s="567"/>
      <c r="FA692" s="686"/>
      <c r="FB692" s="567"/>
      <c r="FC692" s="686"/>
      <c r="FD692" s="567"/>
      <c r="FE692" s="686"/>
      <c r="FF692" s="567"/>
      <c r="FG692" s="686"/>
      <c r="FH692" s="567"/>
      <c r="FI692" s="686"/>
      <c r="FJ692" s="567"/>
      <c r="FK692" s="686"/>
      <c r="FL692" s="567"/>
      <c r="FM692" s="686"/>
      <c r="FN692" s="567"/>
      <c r="FO692" s="686"/>
      <c r="FP692" s="567"/>
      <c r="FQ692" s="686"/>
      <c r="FR692" s="567"/>
      <c r="FS692" s="686"/>
      <c r="FT692" s="567"/>
      <c r="FU692" s="686"/>
      <c r="FV692" s="567"/>
      <c r="FW692" s="686"/>
      <c r="FX692" s="567"/>
      <c r="FY692" s="686"/>
      <c r="FZ692" s="567"/>
      <c r="GA692" s="686"/>
      <c r="GB692" s="567"/>
      <c r="GC692" s="686"/>
      <c r="GD692" s="567"/>
      <c r="GE692" s="686"/>
      <c r="GF692" s="567"/>
      <c r="GG692" s="686"/>
      <c r="GH692" s="567"/>
      <c r="GI692" s="686"/>
      <c r="GJ692" s="567"/>
      <c r="GK692" s="686"/>
      <c r="GL692" s="567"/>
      <c r="GM692" s="686"/>
      <c r="GN692" s="567"/>
      <c r="GO692" s="686"/>
      <c r="GP692" s="567"/>
      <c r="GQ692" s="686"/>
      <c r="GR692" s="513"/>
      <c r="GS692" s="513"/>
      <c r="GT692" s="567"/>
      <c r="GU692" s="513"/>
      <c r="GV692" s="513"/>
      <c r="GW692" s="567"/>
      <c r="GX692" s="567"/>
      <c r="GY692" s="513"/>
      <c r="GZ692" s="513"/>
      <c r="HA692" s="513"/>
      <c r="HB692" s="513"/>
      <c r="HC692" s="513"/>
      <c r="HD692" s="513"/>
      <c r="HE692" s="513"/>
      <c r="HF692" s="513"/>
      <c r="HG692" s="513"/>
      <c r="HH692" s="513"/>
      <c r="HI692" s="827"/>
      <c r="HJ692" s="513"/>
      <c r="HK692" s="827"/>
      <c r="HL692" s="513"/>
      <c r="HM692" s="827"/>
      <c r="HN692" s="513"/>
      <c r="HO692" s="827"/>
      <c r="HP692" s="513"/>
      <c r="HQ692" s="827"/>
      <c r="HR692" s="513"/>
      <c r="HS692" s="827"/>
      <c r="HT692" s="513"/>
      <c r="HU692" s="827"/>
      <c r="HV692" s="513"/>
      <c r="HW692" s="827"/>
      <c r="HX692" s="513"/>
      <c r="HY692" s="827"/>
      <c r="HZ692" s="513"/>
      <c r="IA692" s="827"/>
      <c r="IB692" s="513"/>
      <c r="IC692" s="827"/>
      <c r="ID692" s="513"/>
      <c r="IE692" s="827"/>
      <c r="IF692" s="703"/>
      <c r="IG692" s="704"/>
      <c r="IH692" s="858"/>
      <c r="II692" s="513"/>
      <c r="IJ692" s="513"/>
      <c r="IK692" s="513"/>
      <c r="IL692" s="513"/>
      <c r="IM692" s="513"/>
      <c r="IN692" s="513"/>
      <c r="IO692" s="513"/>
      <c r="IP692" s="513"/>
      <c r="IQ692" s="513"/>
      <c r="IR692" s="513"/>
      <c r="IS692" s="513"/>
      <c r="IT692" s="513"/>
      <c r="IU692" s="513"/>
      <c r="IV692" s="513"/>
      <c r="IW692" s="513"/>
      <c r="IX692" s="513"/>
      <c r="IY692" s="513"/>
      <c r="IZ692" s="513"/>
      <c r="JA692" s="513"/>
      <c r="JB692" s="513"/>
      <c r="JC692" s="513"/>
      <c r="JD692" s="513"/>
      <c r="JE692" s="513"/>
      <c r="JF692" s="513"/>
      <c r="JG692" s="513"/>
      <c r="JH692" s="513"/>
      <c r="JI692" s="513"/>
      <c r="JJ692" s="513"/>
      <c r="JK692" s="513"/>
      <c r="JL692" s="513"/>
      <c r="JM692" s="513"/>
      <c r="JN692" s="513"/>
      <c r="JO692" s="513"/>
      <c r="JP692" s="513"/>
      <c r="JQ692" s="513"/>
      <c r="JR692" s="513"/>
      <c r="JS692" s="513"/>
      <c r="JT692" s="573"/>
      <c r="JU692" s="665"/>
      <c r="JV692" s="524"/>
      <c r="JW692" s="525"/>
      <c r="JX692" s="567"/>
      <c r="JY692" s="549"/>
      <c r="JZ692" s="581"/>
      <c r="KA692" s="581"/>
      <c r="KB692" s="566"/>
      <c r="KC692" s="709">
        <f t="shared" si="14739"/>
        <v>0</v>
      </c>
      <c r="KD692" s="491"/>
      <c r="KE692" s="491"/>
      <c r="KF692" s="491"/>
      <c r="KG692" s="491"/>
      <c r="KH692" s="36"/>
      <c r="KI692" s="36"/>
      <c r="KJ692" s="36"/>
      <c r="KK692" s="36"/>
    </row>
    <row r="693" spans="1:297" s="10" customFormat="1">
      <c r="A693" s="613" t="s">
        <v>1162</v>
      </c>
      <c r="B693" s="514" t="s">
        <v>1187</v>
      </c>
      <c r="C693" s="513">
        <f>C694</f>
        <v>100000</v>
      </c>
      <c r="D693" s="567">
        <f t="shared" ref="D693:IZ693" si="15610">D694</f>
        <v>0</v>
      </c>
      <c r="E693" s="686">
        <f t="shared" ref="E693" si="15611">E694</f>
        <v>0</v>
      </c>
      <c r="F693" s="567">
        <f t="shared" si="15610"/>
        <v>0</v>
      </c>
      <c r="G693" s="686">
        <f t="shared" si="15610"/>
        <v>0</v>
      </c>
      <c r="H693" s="567">
        <f t="shared" si="15610"/>
        <v>0</v>
      </c>
      <c r="I693" s="686">
        <f t="shared" si="15610"/>
        <v>0</v>
      </c>
      <c r="J693" s="567">
        <f t="shared" si="15610"/>
        <v>0</v>
      </c>
      <c r="K693" s="686">
        <f t="shared" si="15610"/>
        <v>0</v>
      </c>
      <c r="L693" s="567">
        <f t="shared" si="15610"/>
        <v>0</v>
      </c>
      <c r="M693" s="686">
        <f t="shared" si="15610"/>
        <v>0</v>
      </c>
      <c r="N693" s="567">
        <f t="shared" si="15610"/>
        <v>0</v>
      </c>
      <c r="O693" s="686">
        <f t="shared" si="15610"/>
        <v>0</v>
      </c>
      <c r="P693" s="567">
        <f t="shared" si="15610"/>
        <v>0</v>
      </c>
      <c r="Q693" s="686">
        <f t="shared" si="15610"/>
        <v>0</v>
      </c>
      <c r="R693" s="567">
        <f t="shared" si="15610"/>
        <v>0</v>
      </c>
      <c r="S693" s="686">
        <f t="shared" si="15610"/>
        <v>0</v>
      </c>
      <c r="T693" s="567">
        <f t="shared" si="15610"/>
        <v>0</v>
      </c>
      <c r="U693" s="686">
        <f t="shared" si="15610"/>
        <v>-100000</v>
      </c>
      <c r="V693" s="567">
        <f t="shared" si="15610"/>
        <v>0</v>
      </c>
      <c r="W693" s="686">
        <f t="shared" si="15610"/>
        <v>0</v>
      </c>
      <c r="X693" s="567">
        <f t="shared" si="15610"/>
        <v>0</v>
      </c>
      <c r="Y693" s="686">
        <f t="shared" si="15610"/>
        <v>0</v>
      </c>
      <c r="Z693" s="567">
        <f t="shared" si="15610"/>
        <v>0</v>
      </c>
      <c r="AA693" s="686">
        <f t="shared" si="15610"/>
        <v>0</v>
      </c>
      <c r="AB693" s="567">
        <f t="shared" si="15610"/>
        <v>0</v>
      </c>
      <c r="AC693" s="686">
        <f t="shared" si="15610"/>
        <v>0</v>
      </c>
      <c r="AD693" s="567">
        <f t="shared" si="15610"/>
        <v>0</v>
      </c>
      <c r="AE693" s="686">
        <f t="shared" si="15610"/>
        <v>0</v>
      </c>
      <c r="AF693" s="567">
        <f t="shared" si="15610"/>
        <v>0</v>
      </c>
      <c r="AG693" s="686">
        <f t="shared" si="15610"/>
        <v>0</v>
      </c>
      <c r="AH693" s="567">
        <f t="shared" si="15610"/>
        <v>0</v>
      </c>
      <c r="AI693" s="686">
        <f t="shared" si="15610"/>
        <v>0</v>
      </c>
      <c r="AJ693" s="567">
        <f t="shared" si="15610"/>
        <v>0</v>
      </c>
      <c r="AK693" s="686">
        <f t="shared" si="15610"/>
        <v>0</v>
      </c>
      <c r="AL693" s="567">
        <f t="shared" si="15610"/>
        <v>0</v>
      </c>
      <c r="AM693" s="686">
        <f t="shared" si="15610"/>
        <v>0</v>
      </c>
      <c r="AN693" s="567">
        <f t="shared" si="15610"/>
        <v>0</v>
      </c>
      <c r="AO693" s="686">
        <f t="shared" si="15610"/>
        <v>0</v>
      </c>
      <c r="AP693" s="567">
        <f t="shared" si="15610"/>
        <v>0</v>
      </c>
      <c r="AQ693" s="686">
        <f t="shared" si="15610"/>
        <v>0</v>
      </c>
      <c r="AR693" s="567">
        <f t="shared" si="15610"/>
        <v>0</v>
      </c>
      <c r="AS693" s="686">
        <f t="shared" si="15610"/>
        <v>0</v>
      </c>
      <c r="AT693" s="567">
        <f t="shared" si="15610"/>
        <v>0</v>
      </c>
      <c r="AU693" s="686">
        <f t="shared" si="15610"/>
        <v>0</v>
      </c>
      <c r="AV693" s="567">
        <f t="shared" si="15610"/>
        <v>0</v>
      </c>
      <c r="AW693" s="686">
        <f t="shared" si="15610"/>
        <v>0</v>
      </c>
      <c r="AX693" s="567">
        <f t="shared" si="15610"/>
        <v>0</v>
      </c>
      <c r="AY693" s="686">
        <f t="shared" si="15610"/>
        <v>0</v>
      </c>
      <c r="AZ693" s="567">
        <f t="shared" si="15610"/>
        <v>0</v>
      </c>
      <c r="BA693" s="686">
        <f t="shared" si="15610"/>
        <v>0</v>
      </c>
      <c r="BB693" s="567">
        <f t="shared" si="15610"/>
        <v>0</v>
      </c>
      <c r="BC693" s="686">
        <f t="shared" si="15610"/>
        <v>0</v>
      </c>
      <c r="BD693" s="567">
        <f t="shared" si="15610"/>
        <v>0</v>
      </c>
      <c r="BE693" s="686">
        <f t="shared" si="15610"/>
        <v>0</v>
      </c>
      <c r="BF693" s="567">
        <f t="shared" si="15610"/>
        <v>0</v>
      </c>
      <c r="BG693" s="686">
        <f t="shared" si="15610"/>
        <v>0</v>
      </c>
      <c r="BH693" s="567">
        <f t="shared" si="15610"/>
        <v>0</v>
      </c>
      <c r="BI693" s="686">
        <f t="shared" si="15610"/>
        <v>0</v>
      </c>
      <c r="BJ693" s="567">
        <f t="shared" si="15610"/>
        <v>0</v>
      </c>
      <c r="BK693" s="686">
        <f t="shared" si="15610"/>
        <v>0</v>
      </c>
      <c r="BL693" s="567">
        <f t="shared" si="15610"/>
        <v>0</v>
      </c>
      <c r="BM693" s="686">
        <f t="shared" si="15610"/>
        <v>0</v>
      </c>
      <c r="BN693" s="567">
        <f t="shared" si="15610"/>
        <v>0</v>
      </c>
      <c r="BO693" s="686">
        <f t="shared" si="15610"/>
        <v>0</v>
      </c>
      <c r="BP693" s="567">
        <f t="shared" si="15610"/>
        <v>0</v>
      </c>
      <c r="BQ693" s="686">
        <f t="shared" si="15610"/>
        <v>0</v>
      </c>
      <c r="BR693" s="567">
        <f t="shared" si="15610"/>
        <v>0</v>
      </c>
      <c r="BS693" s="686">
        <f t="shared" si="15610"/>
        <v>0</v>
      </c>
      <c r="BT693" s="567">
        <f t="shared" si="15610"/>
        <v>0</v>
      </c>
      <c r="BU693" s="686">
        <f t="shared" si="15610"/>
        <v>0</v>
      </c>
      <c r="BV693" s="567">
        <f t="shared" si="15610"/>
        <v>0</v>
      </c>
      <c r="BW693" s="686">
        <f t="shared" si="15610"/>
        <v>0</v>
      </c>
      <c r="BX693" s="567">
        <f t="shared" si="15610"/>
        <v>0</v>
      </c>
      <c r="BY693" s="686">
        <f t="shared" si="15610"/>
        <v>0</v>
      </c>
      <c r="BZ693" s="567">
        <f t="shared" si="15610"/>
        <v>0</v>
      </c>
      <c r="CA693" s="686">
        <f t="shared" si="15610"/>
        <v>0</v>
      </c>
      <c r="CB693" s="567">
        <f t="shared" si="15610"/>
        <v>0</v>
      </c>
      <c r="CC693" s="686">
        <f t="shared" si="15610"/>
        <v>0</v>
      </c>
      <c r="CD693" s="567">
        <f t="shared" si="15610"/>
        <v>0</v>
      </c>
      <c r="CE693" s="686">
        <f t="shared" si="15610"/>
        <v>0</v>
      </c>
      <c r="CF693" s="567">
        <f t="shared" si="15610"/>
        <v>0</v>
      </c>
      <c r="CG693" s="686">
        <f t="shared" si="15610"/>
        <v>0</v>
      </c>
      <c r="CH693" s="567">
        <f t="shared" si="15610"/>
        <v>0</v>
      </c>
      <c r="CI693" s="686">
        <f t="shared" si="15610"/>
        <v>0</v>
      </c>
      <c r="CJ693" s="567">
        <f t="shared" si="15610"/>
        <v>0</v>
      </c>
      <c r="CK693" s="686">
        <f t="shared" si="15610"/>
        <v>0</v>
      </c>
      <c r="CL693" s="567">
        <f t="shared" si="15610"/>
        <v>0</v>
      </c>
      <c r="CM693" s="686">
        <f t="shared" si="15610"/>
        <v>0</v>
      </c>
      <c r="CN693" s="567">
        <f t="shared" si="15610"/>
        <v>0</v>
      </c>
      <c r="CO693" s="686">
        <f t="shared" si="15610"/>
        <v>0</v>
      </c>
      <c r="CP693" s="567">
        <f t="shared" si="15610"/>
        <v>0</v>
      </c>
      <c r="CQ693" s="686">
        <f t="shared" si="15610"/>
        <v>0</v>
      </c>
      <c r="CR693" s="567">
        <f t="shared" si="15610"/>
        <v>0</v>
      </c>
      <c r="CS693" s="686">
        <f t="shared" si="15610"/>
        <v>0</v>
      </c>
      <c r="CT693" s="567">
        <f t="shared" si="15610"/>
        <v>0</v>
      </c>
      <c r="CU693" s="686">
        <f t="shared" si="15610"/>
        <v>0</v>
      </c>
      <c r="CV693" s="567">
        <f t="shared" si="15610"/>
        <v>0</v>
      </c>
      <c r="CW693" s="686">
        <f t="shared" si="15610"/>
        <v>0</v>
      </c>
      <c r="CX693" s="567">
        <f t="shared" si="15610"/>
        <v>0</v>
      </c>
      <c r="CY693" s="686">
        <f t="shared" si="15610"/>
        <v>0</v>
      </c>
      <c r="CZ693" s="567">
        <f t="shared" si="15610"/>
        <v>0</v>
      </c>
      <c r="DA693" s="686">
        <f t="shared" si="15610"/>
        <v>0</v>
      </c>
      <c r="DB693" s="567">
        <f t="shared" si="15610"/>
        <v>0</v>
      </c>
      <c r="DC693" s="686">
        <f t="shared" si="15610"/>
        <v>0</v>
      </c>
      <c r="DD693" s="567">
        <f t="shared" si="15610"/>
        <v>0</v>
      </c>
      <c r="DE693" s="686">
        <f t="shared" si="15610"/>
        <v>0</v>
      </c>
      <c r="DF693" s="567">
        <f t="shared" si="15610"/>
        <v>0</v>
      </c>
      <c r="DG693" s="686">
        <f t="shared" si="15610"/>
        <v>0</v>
      </c>
      <c r="DH693" s="567">
        <f t="shared" si="15610"/>
        <v>0</v>
      </c>
      <c r="DI693" s="686">
        <f t="shared" si="15610"/>
        <v>0</v>
      </c>
      <c r="DJ693" s="567">
        <f t="shared" si="15610"/>
        <v>0</v>
      </c>
      <c r="DK693" s="686">
        <f t="shared" si="15610"/>
        <v>0</v>
      </c>
      <c r="DL693" s="567">
        <f t="shared" si="15610"/>
        <v>0</v>
      </c>
      <c r="DM693" s="686">
        <f t="shared" si="15610"/>
        <v>0</v>
      </c>
      <c r="DN693" s="567">
        <f t="shared" si="15610"/>
        <v>0</v>
      </c>
      <c r="DO693" s="686">
        <f t="shared" si="15610"/>
        <v>0</v>
      </c>
      <c r="DP693" s="567">
        <f t="shared" si="15610"/>
        <v>0</v>
      </c>
      <c r="DQ693" s="686">
        <f t="shared" si="15610"/>
        <v>0</v>
      </c>
      <c r="DR693" s="567">
        <f t="shared" si="15610"/>
        <v>0</v>
      </c>
      <c r="DS693" s="686">
        <f t="shared" si="15610"/>
        <v>0</v>
      </c>
      <c r="DT693" s="567">
        <f t="shared" si="15610"/>
        <v>0</v>
      </c>
      <c r="DU693" s="686">
        <f t="shared" si="15610"/>
        <v>0</v>
      </c>
      <c r="DV693" s="567">
        <f t="shared" si="15610"/>
        <v>0</v>
      </c>
      <c r="DW693" s="686">
        <f t="shared" si="15610"/>
        <v>0</v>
      </c>
      <c r="DX693" s="567">
        <f t="shared" si="15610"/>
        <v>0</v>
      </c>
      <c r="DY693" s="686">
        <f t="shared" si="15610"/>
        <v>0</v>
      </c>
      <c r="DZ693" s="567">
        <f t="shared" si="15610"/>
        <v>0</v>
      </c>
      <c r="EA693" s="686">
        <f t="shared" si="15610"/>
        <v>0</v>
      </c>
      <c r="EB693" s="567">
        <f t="shared" si="15610"/>
        <v>0</v>
      </c>
      <c r="EC693" s="686">
        <f t="shared" si="15610"/>
        <v>0</v>
      </c>
      <c r="ED693" s="567">
        <f t="shared" si="15610"/>
        <v>0</v>
      </c>
      <c r="EE693" s="686">
        <f t="shared" si="15610"/>
        <v>0</v>
      </c>
      <c r="EF693" s="567">
        <f t="shared" si="15610"/>
        <v>0</v>
      </c>
      <c r="EG693" s="686">
        <f t="shared" si="15610"/>
        <v>0</v>
      </c>
      <c r="EH693" s="567">
        <f t="shared" si="15610"/>
        <v>0</v>
      </c>
      <c r="EI693" s="686">
        <f t="shared" si="15610"/>
        <v>0</v>
      </c>
      <c r="EJ693" s="567">
        <f t="shared" si="15610"/>
        <v>0</v>
      </c>
      <c r="EK693" s="686">
        <f t="shared" si="15610"/>
        <v>0</v>
      </c>
      <c r="EL693" s="567">
        <f t="shared" si="15610"/>
        <v>0</v>
      </c>
      <c r="EM693" s="686">
        <f t="shared" si="15610"/>
        <v>0</v>
      </c>
      <c r="EN693" s="567">
        <f t="shared" si="15610"/>
        <v>0</v>
      </c>
      <c r="EO693" s="686">
        <f t="shared" si="15610"/>
        <v>0</v>
      </c>
      <c r="EP693" s="567">
        <f t="shared" si="15610"/>
        <v>0</v>
      </c>
      <c r="EQ693" s="686">
        <f t="shared" si="15610"/>
        <v>0</v>
      </c>
      <c r="ER693" s="567">
        <f t="shared" si="15610"/>
        <v>0</v>
      </c>
      <c r="ES693" s="686">
        <f t="shared" si="15610"/>
        <v>0</v>
      </c>
      <c r="ET693" s="567">
        <f t="shared" si="15610"/>
        <v>0</v>
      </c>
      <c r="EU693" s="686">
        <f t="shared" si="15610"/>
        <v>0</v>
      </c>
      <c r="EV693" s="567">
        <f t="shared" si="15610"/>
        <v>0</v>
      </c>
      <c r="EW693" s="686">
        <f t="shared" si="15610"/>
        <v>0</v>
      </c>
      <c r="EX693" s="567">
        <f t="shared" si="15610"/>
        <v>0</v>
      </c>
      <c r="EY693" s="686">
        <f t="shared" si="15610"/>
        <v>0</v>
      </c>
      <c r="EZ693" s="567">
        <f t="shared" si="15610"/>
        <v>0</v>
      </c>
      <c r="FA693" s="686">
        <f t="shared" si="15610"/>
        <v>0</v>
      </c>
      <c r="FB693" s="567">
        <f t="shared" si="15610"/>
        <v>0</v>
      </c>
      <c r="FC693" s="686">
        <f t="shared" si="15610"/>
        <v>0</v>
      </c>
      <c r="FD693" s="567">
        <f t="shared" si="15610"/>
        <v>0</v>
      </c>
      <c r="FE693" s="686">
        <f t="shared" si="15610"/>
        <v>0</v>
      </c>
      <c r="FF693" s="567">
        <f t="shared" si="15610"/>
        <v>0</v>
      </c>
      <c r="FG693" s="686">
        <f t="shared" si="15610"/>
        <v>0</v>
      </c>
      <c r="FH693" s="567">
        <f t="shared" si="15610"/>
        <v>0</v>
      </c>
      <c r="FI693" s="686">
        <f t="shared" si="15610"/>
        <v>0</v>
      </c>
      <c r="FJ693" s="567">
        <f t="shared" si="15610"/>
        <v>0</v>
      </c>
      <c r="FK693" s="686">
        <f t="shared" si="15610"/>
        <v>0</v>
      </c>
      <c r="FL693" s="567">
        <f t="shared" si="15610"/>
        <v>0</v>
      </c>
      <c r="FM693" s="686">
        <f t="shared" si="15610"/>
        <v>0</v>
      </c>
      <c r="FN693" s="567">
        <f t="shared" si="15610"/>
        <v>0</v>
      </c>
      <c r="FO693" s="686">
        <f t="shared" si="15610"/>
        <v>0</v>
      </c>
      <c r="FP693" s="567">
        <f t="shared" si="15610"/>
        <v>0</v>
      </c>
      <c r="FQ693" s="686">
        <f t="shared" si="15610"/>
        <v>0</v>
      </c>
      <c r="FR693" s="567">
        <f t="shared" si="15610"/>
        <v>0</v>
      </c>
      <c r="FS693" s="686">
        <f t="shared" si="15610"/>
        <v>0</v>
      </c>
      <c r="FT693" s="567">
        <f t="shared" si="15610"/>
        <v>0</v>
      </c>
      <c r="FU693" s="686">
        <f t="shared" si="15610"/>
        <v>0</v>
      </c>
      <c r="FV693" s="567">
        <f t="shared" si="15610"/>
        <v>0</v>
      </c>
      <c r="FW693" s="686">
        <f t="shared" si="15610"/>
        <v>0</v>
      </c>
      <c r="FX693" s="567">
        <f t="shared" si="15610"/>
        <v>0</v>
      </c>
      <c r="FY693" s="686">
        <f t="shared" si="15610"/>
        <v>0</v>
      </c>
      <c r="FZ693" s="567">
        <f t="shared" si="15610"/>
        <v>0</v>
      </c>
      <c r="GA693" s="686">
        <f t="shared" si="15610"/>
        <v>0</v>
      </c>
      <c r="GB693" s="567">
        <f t="shared" si="15610"/>
        <v>0</v>
      </c>
      <c r="GC693" s="686">
        <f t="shared" si="15610"/>
        <v>0</v>
      </c>
      <c r="GD693" s="567">
        <f t="shared" si="15610"/>
        <v>0</v>
      </c>
      <c r="GE693" s="686">
        <f t="shared" si="15610"/>
        <v>0</v>
      </c>
      <c r="GF693" s="567">
        <f t="shared" si="15610"/>
        <v>0</v>
      </c>
      <c r="GG693" s="686">
        <f t="shared" si="15610"/>
        <v>0</v>
      </c>
      <c r="GH693" s="567">
        <f t="shared" si="15610"/>
        <v>0</v>
      </c>
      <c r="GI693" s="686">
        <f t="shared" si="15610"/>
        <v>0</v>
      </c>
      <c r="GJ693" s="567">
        <f t="shared" si="15610"/>
        <v>0</v>
      </c>
      <c r="GK693" s="686">
        <f t="shared" si="15610"/>
        <v>0</v>
      </c>
      <c r="GL693" s="567">
        <f t="shared" si="15610"/>
        <v>0</v>
      </c>
      <c r="GM693" s="686">
        <f t="shared" si="15610"/>
        <v>0</v>
      </c>
      <c r="GN693" s="567">
        <f t="shared" si="15610"/>
        <v>0</v>
      </c>
      <c r="GO693" s="686">
        <f t="shared" si="15610"/>
        <v>0</v>
      </c>
      <c r="GP693" s="567">
        <f t="shared" si="15610"/>
        <v>0</v>
      </c>
      <c r="GQ693" s="686">
        <f t="shared" si="15610"/>
        <v>-100000</v>
      </c>
      <c r="GR693" s="513">
        <f t="shared" si="15610"/>
        <v>0</v>
      </c>
      <c r="GS693" s="513">
        <f t="shared" si="15610"/>
        <v>0</v>
      </c>
      <c r="GT693" s="567">
        <f t="shared" si="15610"/>
        <v>0</v>
      </c>
      <c r="GU693" s="513">
        <f t="shared" si="15610"/>
        <v>20000</v>
      </c>
      <c r="GV693" s="513">
        <f t="shared" si="15610"/>
        <v>80000</v>
      </c>
      <c r="GW693" s="567">
        <f t="shared" si="15610"/>
        <v>0</v>
      </c>
      <c r="GX693" s="567">
        <f t="shared" si="15610"/>
        <v>0</v>
      </c>
      <c r="GY693" s="513">
        <f t="shared" si="15610"/>
        <v>0</v>
      </c>
      <c r="GZ693" s="513">
        <f t="shared" si="15610"/>
        <v>0</v>
      </c>
      <c r="HA693" s="513">
        <f t="shared" si="15610"/>
        <v>0</v>
      </c>
      <c r="HB693" s="513">
        <f t="shared" si="15610"/>
        <v>0</v>
      </c>
      <c r="HC693" s="513">
        <f t="shared" si="15610"/>
        <v>0</v>
      </c>
      <c r="HD693" s="513">
        <f t="shared" si="15610"/>
        <v>0</v>
      </c>
      <c r="HE693" s="513">
        <f t="shared" si="15610"/>
        <v>0</v>
      </c>
      <c r="HF693" s="513">
        <f t="shared" si="15610"/>
        <v>0</v>
      </c>
      <c r="HG693" s="513">
        <f t="shared" si="15610"/>
        <v>0</v>
      </c>
      <c r="HH693" s="513">
        <f t="shared" ref="HH693:HI693" si="15612">HH694</f>
        <v>0</v>
      </c>
      <c r="HI693" s="827">
        <f t="shared" si="15612"/>
        <v>0</v>
      </c>
      <c r="HJ693" s="513">
        <f t="shared" ref="HJ693:HK693" si="15613">HJ694</f>
        <v>0</v>
      </c>
      <c r="HK693" s="827">
        <f t="shared" si="15613"/>
        <v>0</v>
      </c>
      <c r="HL693" s="513">
        <f t="shared" ref="HL693:HM693" si="15614">HL694</f>
        <v>0</v>
      </c>
      <c r="HM693" s="827">
        <f t="shared" si="15614"/>
        <v>100000</v>
      </c>
      <c r="HN693" s="513">
        <f t="shared" ref="HN693:HO693" si="15615">HN694</f>
        <v>0</v>
      </c>
      <c r="HO693" s="827">
        <f t="shared" si="15615"/>
        <v>0</v>
      </c>
      <c r="HP693" s="513">
        <f t="shared" ref="HP693:HQ693" si="15616">HP694</f>
        <v>0</v>
      </c>
      <c r="HQ693" s="827">
        <f t="shared" si="15616"/>
        <v>0</v>
      </c>
      <c r="HR693" s="513">
        <f t="shared" ref="HR693:HS693" si="15617">HR694</f>
        <v>0</v>
      </c>
      <c r="HS693" s="827">
        <f t="shared" si="15617"/>
        <v>0</v>
      </c>
      <c r="HT693" s="513">
        <f t="shared" ref="HT693:HU693" si="15618">HT694</f>
        <v>0</v>
      </c>
      <c r="HU693" s="827">
        <f t="shared" si="15618"/>
        <v>0</v>
      </c>
      <c r="HV693" s="513">
        <f t="shared" ref="HV693:HW693" si="15619">HV694</f>
        <v>0</v>
      </c>
      <c r="HW693" s="827">
        <f t="shared" si="15619"/>
        <v>0</v>
      </c>
      <c r="HX693" s="513">
        <f t="shared" ref="HX693:HY693" si="15620">HX694</f>
        <v>0</v>
      </c>
      <c r="HY693" s="827">
        <f t="shared" si="15620"/>
        <v>0</v>
      </c>
      <c r="HZ693" s="513">
        <f t="shared" ref="HZ693:IA693" si="15621">HZ694</f>
        <v>0</v>
      </c>
      <c r="IA693" s="827">
        <f t="shared" si="15621"/>
        <v>0</v>
      </c>
      <c r="IB693" s="513">
        <f t="shared" ref="IB693:IC693" si="15622">IB694</f>
        <v>0</v>
      </c>
      <c r="IC693" s="827">
        <f t="shared" si="15622"/>
        <v>0</v>
      </c>
      <c r="ID693" s="513">
        <f t="shared" si="15610"/>
        <v>0</v>
      </c>
      <c r="IE693" s="827">
        <f t="shared" si="15610"/>
        <v>0</v>
      </c>
      <c r="IF693" s="703">
        <f t="shared" si="15610"/>
        <v>0</v>
      </c>
      <c r="IG693" s="704">
        <f>IG694</f>
        <v>0</v>
      </c>
      <c r="IH693" s="858">
        <f t="shared" si="15610"/>
        <v>0</v>
      </c>
      <c r="II693" s="513">
        <f t="shared" si="15610"/>
        <v>0</v>
      </c>
      <c r="IJ693" s="513">
        <f t="shared" si="15610"/>
        <v>0</v>
      </c>
      <c r="IK693" s="513">
        <f t="shared" si="15610"/>
        <v>0</v>
      </c>
      <c r="IL693" s="513">
        <f t="shared" si="15610"/>
        <v>0</v>
      </c>
      <c r="IM693" s="513">
        <f t="shared" si="15610"/>
        <v>0</v>
      </c>
      <c r="IN693" s="513">
        <f t="shared" si="15610"/>
        <v>0</v>
      </c>
      <c r="IO693" s="513">
        <f t="shared" si="15610"/>
        <v>0</v>
      </c>
      <c r="IP693" s="513">
        <f t="shared" si="15610"/>
        <v>0</v>
      </c>
      <c r="IQ693" s="513">
        <f t="shared" si="15610"/>
        <v>0</v>
      </c>
      <c r="IR693" s="513">
        <f t="shared" si="15610"/>
        <v>0</v>
      </c>
      <c r="IS693" s="513">
        <f t="shared" si="15610"/>
        <v>0</v>
      </c>
      <c r="IT693" s="513">
        <f t="shared" si="15610"/>
        <v>0</v>
      </c>
      <c r="IU693" s="513">
        <f t="shared" si="15610"/>
        <v>0</v>
      </c>
      <c r="IV693" s="513">
        <f t="shared" si="15610"/>
        <v>0</v>
      </c>
      <c r="IW693" s="513">
        <f t="shared" si="15610"/>
        <v>0</v>
      </c>
      <c r="IX693" s="513">
        <f t="shared" si="15610"/>
        <v>0</v>
      </c>
      <c r="IY693" s="513">
        <f t="shared" si="15610"/>
        <v>0</v>
      </c>
      <c r="IZ693" s="513">
        <f t="shared" si="15610"/>
        <v>0</v>
      </c>
      <c r="JA693" s="513">
        <f t="shared" ref="JA693:JX693" si="15623">JA694</f>
        <v>0</v>
      </c>
      <c r="JB693" s="513">
        <f t="shared" si="15623"/>
        <v>0</v>
      </c>
      <c r="JC693" s="513">
        <f t="shared" si="15623"/>
        <v>0</v>
      </c>
      <c r="JD693" s="513">
        <f t="shared" si="15623"/>
        <v>0</v>
      </c>
      <c r="JE693" s="513">
        <f t="shared" si="15623"/>
        <v>0</v>
      </c>
      <c r="JF693" s="513">
        <f t="shared" si="15623"/>
        <v>0</v>
      </c>
      <c r="JG693" s="513">
        <f t="shared" si="15623"/>
        <v>0</v>
      </c>
      <c r="JH693" s="513">
        <f t="shared" si="15623"/>
        <v>0</v>
      </c>
      <c r="JI693" s="513">
        <f t="shared" si="15623"/>
        <v>0</v>
      </c>
      <c r="JJ693" s="513">
        <f t="shared" si="15623"/>
        <v>0</v>
      </c>
      <c r="JK693" s="513">
        <f t="shared" si="15623"/>
        <v>0</v>
      </c>
      <c r="JL693" s="513">
        <f t="shared" si="15623"/>
        <v>0</v>
      </c>
      <c r="JM693" s="513">
        <f t="shared" si="15623"/>
        <v>0</v>
      </c>
      <c r="JN693" s="513">
        <f t="shared" si="15623"/>
        <v>0</v>
      </c>
      <c r="JO693" s="513">
        <f t="shared" si="15623"/>
        <v>0</v>
      </c>
      <c r="JP693" s="513">
        <f t="shared" si="15623"/>
        <v>0</v>
      </c>
      <c r="JQ693" s="513">
        <f t="shared" si="15623"/>
        <v>0</v>
      </c>
      <c r="JR693" s="513">
        <f t="shared" si="15623"/>
        <v>0</v>
      </c>
      <c r="JS693" s="513">
        <f t="shared" si="15623"/>
        <v>0</v>
      </c>
      <c r="JT693" s="573">
        <f t="shared" si="15623"/>
        <v>0</v>
      </c>
      <c r="JU693" s="665"/>
      <c r="JV693" s="524"/>
      <c r="JW693" s="525"/>
      <c r="JX693" s="567">
        <f t="shared" si="15623"/>
        <v>0</v>
      </c>
      <c r="JY693" s="513">
        <f>JY694</f>
        <v>100000</v>
      </c>
      <c r="JZ693" s="513">
        <f t="shared" ref="JZ693:KB693" si="15624">JZ694</f>
        <v>0</v>
      </c>
      <c r="KA693" s="513">
        <f t="shared" si="15624"/>
        <v>-100000</v>
      </c>
      <c r="KB693" s="513">
        <f t="shared" si="15624"/>
        <v>0</v>
      </c>
      <c r="KC693" s="709">
        <f t="shared" ref="KC693:KC695" si="15625">HG693-KB693</f>
        <v>0</v>
      </c>
      <c r="KD693" s="491"/>
      <c r="KE693" s="491"/>
      <c r="KF693" s="491"/>
      <c r="KG693" s="491"/>
      <c r="KH693" s="36"/>
      <c r="KI693" s="36"/>
      <c r="KJ693" s="36"/>
      <c r="KK693" s="36"/>
    </row>
    <row r="694" spans="1:297" s="8" customFormat="1">
      <c r="A694" s="612" t="s">
        <v>1163</v>
      </c>
      <c r="B694" s="512" t="s">
        <v>346</v>
      </c>
      <c r="C694" s="74">
        <v>100000</v>
      </c>
      <c r="D694" s="549">
        <v>0</v>
      </c>
      <c r="E694" s="675">
        <v>0</v>
      </c>
      <c r="F694" s="549">
        <v>0</v>
      </c>
      <c r="G694" s="675">
        <v>0</v>
      </c>
      <c r="H694" s="549">
        <v>0</v>
      </c>
      <c r="I694" s="675">
        <v>0</v>
      </c>
      <c r="J694" s="549">
        <v>0</v>
      </c>
      <c r="K694" s="675">
        <v>0</v>
      </c>
      <c r="L694" s="549">
        <v>0</v>
      </c>
      <c r="M694" s="675">
        <v>0</v>
      </c>
      <c r="N694" s="549">
        <v>0</v>
      </c>
      <c r="O694" s="675">
        <v>0</v>
      </c>
      <c r="P694" s="549">
        <v>0</v>
      </c>
      <c r="Q694" s="675">
        <v>0</v>
      </c>
      <c r="R694" s="549">
        <v>0</v>
      </c>
      <c r="S694" s="675">
        <v>0</v>
      </c>
      <c r="T694" s="549">
        <v>0</v>
      </c>
      <c r="U694" s="675">
        <v>-100000</v>
      </c>
      <c r="V694" s="549">
        <v>0</v>
      </c>
      <c r="W694" s="675">
        <v>0</v>
      </c>
      <c r="X694" s="549">
        <v>0</v>
      </c>
      <c r="Y694" s="675">
        <v>0</v>
      </c>
      <c r="Z694" s="549">
        <v>0</v>
      </c>
      <c r="AA694" s="675">
        <v>0</v>
      </c>
      <c r="AB694" s="549">
        <v>0</v>
      </c>
      <c r="AC694" s="675">
        <v>0</v>
      </c>
      <c r="AD694" s="549">
        <v>0</v>
      </c>
      <c r="AE694" s="675">
        <v>0</v>
      </c>
      <c r="AF694" s="549">
        <v>0</v>
      </c>
      <c r="AG694" s="675">
        <v>0</v>
      </c>
      <c r="AH694" s="549">
        <v>0</v>
      </c>
      <c r="AI694" s="675">
        <v>0</v>
      </c>
      <c r="AJ694" s="549">
        <v>0</v>
      </c>
      <c r="AK694" s="675">
        <v>0</v>
      </c>
      <c r="AL694" s="549">
        <v>0</v>
      </c>
      <c r="AM694" s="675">
        <v>0</v>
      </c>
      <c r="AN694" s="549">
        <v>0</v>
      </c>
      <c r="AO694" s="675">
        <v>0</v>
      </c>
      <c r="AP694" s="549">
        <v>0</v>
      </c>
      <c r="AQ694" s="675">
        <v>0</v>
      </c>
      <c r="AR694" s="549">
        <v>0</v>
      </c>
      <c r="AS694" s="675">
        <v>0</v>
      </c>
      <c r="AT694" s="549">
        <v>0</v>
      </c>
      <c r="AU694" s="675">
        <v>0</v>
      </c>
      <c r="AV694" s="549">
        <v>0</v>
      </c>
      <c r="AW694" s="675">
        <v>0</v>
      </c>
      <c r="AX694" s="549">
        <v>0</v>
      </c>
      <c r="AY694" s="675">
        <v>0</v>
      </c>
      <c r="AZ694" s="549">
        <v>0</v>
      </c>
      <c r="BA694" s="675">
        <v>0</v>
      </c>
      <c r="BB694" s="549">
        <v>0</v>
      </c>
      <c r="BC694" s="675">
        <v>0</v>
      </c>
      <c r="BD694" s="549">
        <v>0</v>
      </c>
      <c r="BE694" s="675">
        <v>0</v>
      </c>
      <c r="BF694" s="549">
        <v>0</v>
      </c>
      <c r="BG694" s="675">
        <v>0</v>
      </c>
      <c r="BH694" s="549">
        <v>0</v>
      </c>
      <c r="BI694" s="675">
        <v>0</v>
      </c>
      <c r="BJ694" s="549">
        <v>0</v>
      </c>
      <c r="BK694" s="675">
        <v>0</v>
      </c>
      <c r="BL694" s="549">
        <v>0</v>
      </c>
      <c r="BM694" s="675">
        <v>0</v>
      </c>
      <c r="BN694" s="549">
        <v>0</v>
      </c>
      <c r="BO694" s="675">
        <v>0</v>
      </c>
      <c r="BP694" s="549">
        <v>0</v>
      </c>
      <c r="BQ694" s="675">
        <v>0</v>
      </c>
      <c r="BR694" s="549">
        <v>0</v>
      </c>
      <c r="BS694" s="675">
        <v>0</v>
      </c>
      <c r="BT694" s="549">
        <v>0</v>
      </c>
      <c r="BU694" s="675">
        <v>0</v>
      </c>
      <c r="BV694" s="549">
        <v>0</v>
      </c>
      <c r="BW694" s="675">
        <v>0</v>
      </c>
      <c r="BX694" s="549">
        <v>0</v>
      </c>
      <c r="BY694" s="675">
        <v>0</v>
      </c>
      <c r="BZ694" s="549">
        <v>0</v>
      </c>
      <c r="CA694" s="675">
        <v>0</v>
      </c>
      <c r="CB694" s="549">
        <v>0</v>
      </c>
      <c r="CC694" s="675">
        <v>0</v>
      </c>
      <c r="CD694" s="549">
        <v>0</v>
      </c>
      <c r="CE694" s="675">
        <v>0</v>
      </c>
      <c r="CF694" s="549">
        <v>0</v>
      </c>
      <c r="CG694" s="675">
        <v>0</v>
      </c>
      <c r="CH694" s="549">
        <v>0</v>
      </c>
      <c r="CI694" s="675">
        <v>0</v>
      </c>
      <c r="CJ694" s="549">
        <v>0</v>
      </c>
      <c r="CK694" s="675">
        <v>0</v>
      </c>
      <c r="CL694" s="549">
        <v>0</v>
      </c>
      <c r="CM694" s="675">
        <v>0</v>
      </c>
      <c r="CN694" s="549">
        <v>0</v>
      </c>
      <c r="CO694" s="675">
        <v>0</v>
      </c>
      <c r="CP694" s="549">
        <v>0</v>
      </c>
      <c r="CQ694" s="675">
        <v>0</v>
      </c>
      <c r="CR694" s="549">
        <v>0</v>
      </c>
      <c r="CS694" s="675">
        <v>0</v>
      </c>
      <c r="CT694" s="549">
        <v>0</v>
      </c>
      <c r="CU694" s="675">
        <v>0</v>
      </c>
      <c r="CV694" s="549">
        <v>0</v>
      </c>
      <c r="CW694" s="675">
        <v>0</v>
      </c>
      <c r="CX694" s="549">
        <v>0</v>
      </c>
      <c r="CY694" s="675">
        <v>0</v>
      </c>
      <c r="CZ694" s="549">
        <v>0</v>
      </c>
      <c r="DA694" s="675">
        <v>0</v>
      </c>
      <c r="DB694" s="549">
        <v>0</v>
      </c>
      <c r="DC694" s="675">
        <v>0</v>
      </c>
      <c r="DD694" s="549">
        <v>0</v>
      </c>
      <c r="DE694" s="675">
        <v>0</v>
      </c>
      <c r="DF694" s="549">
        <v>0</v>
      </c>
      <c r="DG694" s="675">
        <v>0</v>
      </c>
      <c r="DH694" s="549">
        <v>0</v>
      </c>
      <c r="DI694" s="675">
        <v>0</v>
      </c>
      <c r="DJ694" s="549">
        <v>0</v>
      </c>
      <c r="DK694" s="675">
        <v>0</v>
      </c>
      <c r="DL694" s="549">
        <v>0</v>
      </c>
      <c r="DM694" s="675">
        <v>0</v>
      </c>
      <c r="DN694" s="549">
        <v>0</v>
      </c>
      <c r="DO694" s="675">
        <v>0</v>
      </c>
      <c r="DP694" s="549">
        <v>0</v>
      </c>
      <c r="DQ694" s="675">
        <v>0</v>
      </c>
      <c r="DR694" s="549">
        <v>0</v>
      </c>
      <c r="DS694" s="675">
        <v>0</v>
      </c>
      <c r="DT694" s="549">
        <v>0</v>
      </c>
      <c r="DU694" s="675">
        <v>0</v>
      </c>
      <c r="DV694" s="549">
        <v>0</v>
      </c>
      <c r="DW694" s="675">
        <v>0</v>
      </c>
      <c r="DX694" s="549">
        <v>0</v>
      </c>
      <c r="DY694" s="675">
        <v>0</v>
      </c>
      <c r="DZ694" s="549">
        <v>0</v>
      </c>
      <c r="EA694" s="675">
        <v>0</v>
      </c>
      <c r="EB694" s="549">
        <v>0</v>
      </c>
      <c r="EC694" s="675">
        <v>0</v>
      </c>
      <c r="ED694" s="549">
        <v>0</v>
      </c>
      <c r="EE694" s="675">
        <v>0</v>
      </c>
      <c r="EF694" s="549">
        <v>0</v>
      </c>
      <c r="EG694" s="675">
        <v>0</v>
      </c>
      <c r="EH694" s="549">
        <v>0</v>
      </c>
      <c r="EI694" s="675">
        <v>0</v>
      </c>
      <c r="EJ694" s="549">
        <v>0</v>
      </c>
      <c r="EK694" s="675">
        <v>0</v>
      </c>
      <c r="EL694" s="549">
        <v>0</v>
      </c>
      <c r="EM694" s="675">
        <v>0</v>
      </c>
      <c r="EN694" s="549">
        <v>0</v>
      </c>
      <c r="EO694" s="675">
        <v>0</v>
      </c>
      <c r="EP694" s="549">
        <v>0</v>
      </c>
      <c r="EQ694" s="675">
        <v>0</v>
      </c>
      <c r="ER694" s="549">
        <v>0</v>
      </c>
      <c r="ES694" s="675">
        <v>0</v>
      </c>
      <c r="ET694" s="549">
        <v>0</v>
      </c>
      <c r="EU694" s="675">
        <v>0</v>
      </c>
      <c r="EV694" s="549">
        <v>0</v>
      </c>
      <c r="EW694" s="675">
        <v>0</v>
      </c>
      <c r="EX694" s="549">
        <v>0</v>
      </c>
      <c r="EY694" s="675">
        <v>0</v>
      </c>
      <c r="EZ694" s="549">
        <v>0</v>
      </c>
      <c r="FA694" s="675">
        <v>0</v>
      </c>
      <c r="FB694" s="549">
        <v>0</v>
      </c>
      <c r="FC694" s="675">
        <v>0</v>
      </c>
      <c r="FD694" s="549">
        <v>0</v>
      </c>
      <c r="FE694" s="675">
        <v>0</v>
      </c>
      <c r="FF694" s="549">
        <v>0</v>
      </c>
      <c r="FG694" s="675">
        <v>0</v>
      </c>
      <c r="FH694" s="549">
        <v>0</v>
      </c>
      <c r="FI694" s="675">
        <v>0</v>
      </c>
      <c r="FJ694" s="549">
        <v>0</v>
      </c>
      <c r="FK694" s="675">
        <v>0</v>
      </c>
      <c r="FL694" s="549">
        <v>0</v>
      </c>
      <c r="FM694" s="675">
        <v>0</v>
      </c>
      <c r="FN694" s="549">
        <v>0</v>
      </c>
      <c r="FO694" s="675">
        <v>0</v>
      </c>
      <c r="FP694" s="549">
        <v>0</v>
      </c>
      <c r="FQ694" s="675">
        <v>0</v>
      </c>
      <c r="FR694" s="549">
        <v>0</v>
      </c>
      <c r="FS694" s="675">
        <v>0</v>
      </c>
      <c r="FT694" s="549">
        <v>0</v>
      </c>
      <c r="FU694" s="675">
        <v>0</v>
      </c>
      <c r="FV694" s="549">
        <v>0</v>
      </c>
      <c r="FW694" s="675">
        <v>0</v>
      </c>
      <c r="FX694" s="549">
        <v>0</v>
      </c>
      <c r="FY694" s="675">
        <v>0</v>
      </c>
      <c r="FZ694" s="549">
        <v>0</v>
      </c>
      <c r="GA694" s="675">
        <v>0</v>
      </c>
      <c r="GB694" s="549">
        <v>0</v>
      </c>
      <c r="GC694" s="675">
        <v>0</v>
      </c>
      <c r="GD694" s="549">
        <v>0</v>
      </c>
      <c r="GE694" s="675">
        <v>0</v>
      </c>
      <c r="GF694" s="549">
        <v>0</v>
      </c>
      <c r="GG694" s="675">
        <v>0</v>
      </c>
      <c r="GH694" s="549">
        <v>0</v>
      </c>
      <c r="GI694" s="675">
        <v>0</v>
      </c>
      <c r="GJ694" s="549">
        <v>0</v>
      </c>
      <c r="GK694" s="675">
        <v>0</v>
      </c>
      <c r="GL694" s="549">
        <v>0</v>
      </c>
      <c r="GM694" s="675">
        <v>0</v>
      </c>
      <c r="GN694" s="549">
        <v>0</v>
      </c>
      <c r="GO694" s="675">
        <v>0</v>
      </c>
      <c r="GP694" s="549">
        <f>+D694+F694+H694+J694+L694+N694+P694+R694+T694+V694+X694+Z694+AB694+AF694+AD694+AH694+AJ694+AL694+AN694+AP694+AR694+AT694+AV694+AX694+AZ694+BB694+BD694+BF694+BH694+BJ694+BL694+BN694+BP694+BR694+BT694+BV694+BX694+BZ694+CB694+CD694+CF694+CH694+CJ694+CL694+CN694+CP694+CR694+CT694+CV694+CX694+CZ694+DB694+DD694+DF694+DH694+DT694+EX694+DJ694+DL694+DN694+DP694+DR694+EJ694+EB694+DZ694+DX694+DV694+ED694+EF694+EH694+EL694+EN694+EP694+EV694+ET694+ER694+EZ694+FB694+FD694+GL694+FF694+FJ694+FL694+GJ694+FT694+FR694+FP694+FN694+FH694+GH694+GF694+GD694+GB694+FZ694+FX694+FV694+GN694</f>
        <v>0</v>
      </c>
      <c r="GQ694" s="675">
        <f>+E694+G694+I694+K694+M694+O694+Q694+S694+U694+W694+Y694+AA694+AC694+AE694+AG694+AI694+AK694+AM694+AO694+AQ694+AS694+AU694+AW694+AY694+BA694+BC694+BE694+BG694+BI694+BK694+BM694+BO694+BQ694+BS694+BU694+BW694+BY694+CA694+CC694+CE694+CG694+CI694+CK694+CM694+CO694+CQ694+CS694+CU694+CW694+CY694+DA694+DC694+DE694+DG694+DI694+DU694+EY694+DK694+DM694+DO694+DQ694+DS694+EK694+EC694+EA694+DY694+DW694+EI694+EG694+EE694+EM694+EO694+EQ694+EW694+EU694+ES694+FA694+FC694+FE694+GM694+FG694+FK694+FM694+FO694+FQ694+FS694+FU694+GK694+FI694+GI694+GG694+GE694+GC694+GA694+FY694+FW694+GO694</f>
        <v>-100000</v>
      </c>
      <c r="GR694" s="74">
        <f>C694+GP694+GQ694</f>
        <v>0</v>
      </c>
      <c r="GS694" s="74">
        <f>SUM(GU694:HD694)+GP694+GQ694</f>
        <v>0</v>
      </c>
      <c r="GT694" s="568">
        <f>SUM(GU694:HF694)+GQ694+GP694</f>
        <v>0</v>
      </c>
      <c r="GU694" s="275">
        <v>20000</v>
      </c>
      <c r="GV694" s="275">
        <v>80000</v>
      </c>
      <c r="GW694" s="588"/>
      <c r="GX694" s="588">
        <f>30000-30000</f>
        <v>0</v>
      </c>
      <c r="GY694" s="275"/>
      <c r="GZ694" s="275"/>
      <c r="HA694" s="275">
        <f>30000-30000</f>
        <v>0</v>
      </c>
      <c r="HB694" s="275"/>
      <c r="HC694" s="275"/>
      <c r="HD694" s="275">
        <f>20000-20000</f>
        <v>0</v>
      </c>
      <c r="HE694" s="275">
        <v>0</v>
      </c>
      <c r="HF694" s="275">
        <v>0</v>
      </c>
      <c r="HG694" s="74">
        <f>SUM(HH694:IE694)+GP694+GQ694</f>
        <v>0</v>
      </c>
      <c r="HH694" s="89">
        <v>0</v>
      </c>
      <c r="HI694" s="817">
        <v>0</v>
      </c>
      <c r="HJ694" s="89">
        <v>0</v>
      </c>
      <c r="HK694" s="817">
        <v>0</v>
      </c>
      <c r="HL694" s="89">
        <v>0</v>
      </c>
      <c r="HM694" s="817">
        <v>100000</v>
      </c>
      <c r="HN694" s="89">
        <v>0</v>
      </c>
      <c r="HO694" s="817">
        <v>0</v>
      </c>
      <c r="HP694" s="89">
        <v>0</v>
      </c>
      <c r="HQ694" s="817">
        <v>0</v>
      </c>
      <c r="HR694" s="89">
        <v>0</v>
      </c>
      <c r="HS694" s="817">
        <v>0</v>
      </c>
      <c r="HT694" s="89">
        <v>0</v>
      </c>
      <c r="HU694" s="817">
        <v>0</v>
      </c>
      <c r="HV694" s="89">
        <v>0</v>
      </c>
      <c r="HW694" s="817">
        <v>0</v>
      </c>
      <c r="HX694" s="89">
        <v>0</v>
      </c>
      <c r="HY694" s="817">
        <v>0</v>
      </c>
      <c r="HZ694" s="89">
        <v>0</v>
      </c>
      <c r="IA694" s="817">
        <v>0</v>
      </c>
      <c r="IB694" s="89">
        <v>0</v>
      </c>
      <c r="IC694" s="817">
        <v>0</v>
      </c>
      <c r="ID694" s="89">
        <v>0</v>
      </c>
      <c r="IE694" s="817">
        <v>0</v>
      </c>
      <c r="IF694" s="841">
        <f t="shared" ref="IF694" si="15626">SUM(II694,IL694,IO694,IR694,IU694,IX694,JA694,JD694,JG694,JJ694,JM694,JP694)</f>
        <v>0</v>
      </c>
      <c r="IG694" s="263">
        <f t="shared" ref="IG694" si="15627">SUM(IJ694,IM694,IP694,IS694,IV694,IY694,JB694,JE694,JH694,JK694,JN694,JQ694)</f>
        <v>0</v>
      </c>
      <c r="IH694" s="842">
        <f t="shared" ref="IH694" si="15628">SUM(IK694,IN694,IQ694,IT694,IW694,IZ694,JC694,JF694,JI694,JL694,JO694,JR694)</f>
        <v>0</v>
      </c>
      <c r="II694" s="89">
        <v>0</v>
      </c>
      <c r="IJ694" s="89">
        <f t="shared" ref="IJ694" si="15629">II694</f>
        <v>0</v>
      </c>
      <c r="IK694" s="89">
        <f t="shared" ref="IK694" si="15630">IJ694</f>
        <v>0</v>
      </c>
      <c r="IL694" s="89">
        <v>0</v>
      </c>
      <c r="IM694" s="89">
        <f t="shared" ref="IM694" si="15631">IL694</f>
        <v>0</v>
      </c>
      <c r="IN694" s="89">
        <f t="shared" ref="IN694" si="15632">IM694</f>
        <v>0</v>
      </c>
      <c r="IO694" s="89">
        <v>0</v>
      </c>
      <c r="IP694" s="89">
        <f t="shared" ref="IP694" si="15633">IO694</f>
        <v>0</v>
      </c>
      <c r="IQ694" s="89">
        <f t="shared" ref="IQ694" si="15634">IP694</f>
        <v>0</v>
      </c>
      <c r="IR694" s="89">
        <v>0</v>
      </c>
      <c r="IS694" s="89">
        <f t="shared" ref="IS694" si="15635">IR694</f>
        <v>0</v>
      </c>
      <c r="IT694" s="89">
        <f t="shared" ref="IT694" si="15636">IS694</f>
        <v>0</v>
      </c>
      <c r="IU694" s="89">
        <v>0</v>
      </c>
      <c r="IV694" s="89">
        <f t="shared" ref="IV694" si="15637">IU694</f>
        <v>0</v>
      </c>
      <c r="IW694" s="89">
        <f t="shared" ref="IW694" si="15638">IV694</f>
        <v>0</v>
      </c>
      <c r="IX694" s="89">
        <v>0</v>
      </c>
      <c r="IY694" s="89">
        <f t="shared" ref="IY694" si="15639">IX694</f>
        <v>0</v>
      </c>
      <c r="IZ694" s="89">
        <f t="shared" ref="IZ694" si="15640">IY694</f>
        <v>0</v>
      </c>
      <c r="JA694" s="89">
        <v>0</v>
      </c>
      <c r="JB694" s="89">
        <f t="shared" ref="JB694" si="15641">JA694</f>
        <v>0</v>
      </c>
      <c r="JC694" s="89">
        <f t="shared" ref="JC694" si="15642">JB694</f>
        <v>0</v>
      </c>
      <c r="JD694" s="89">
        <v>0</v>
      </c>
      <c r="JE694" s="89">
        <f t="shared" ref="JE694" si="15643">JD694</f>
        <v>0</v>
      </c>
      <c r="JF694" s="89">
        <f t="shared" ref="JF694" si="15644">JE694</f>
        <v>0</v>
      </c>
      <c r="JG694" s="89">
        <v>0</v>
      </c>
      <c r="JH694" s="89">
        <f t="shared" ref="JH694" si="15645">JG694</f>
        <v>0</v>
      </c>
      <c r="JI694" s="89">
        <f t="shared" ref="JI694" si="15646">JH694</f>
        <v>0</v>
      </c>
      <c r="JJ694" s="89">
        <v>0</v>
      </c>
      <c r="JK694" s="89">
        <f t="shared" ref="JK694" si="15647">JJ694</f>
        <v>0</v>
      </c>
      <c r="JL694" s="89">
        <f t="shared" ref="JL694" si="15648">JK694</f>
        <v>0</v>
      </c>
      <c r="JM694" s="89">
        <v>0</v>
      </c>
      <c r="JN694" s="89">
        <f t="shared" ref="JN694" si="15649">JM694</f>
        <v>0</v>
      </c>
      <c r="JO694" s="89">
        <f t="shared" ref="JO694" si="15650">JN694</f>
        <v>0</v>
      </c>
      <c r="JP694" s="89">
        <v>0</v>
      </c>
      <c r="JQ694" s="89">
        <f t="shared" ref="JQ694:JR694" si="15651">JP694</f>
        <v>0</v>
      </c>
      <c r="JR694" s="89">
        <f t="shared" si="15651"/>
        <v>0</v>
      </c>
      <c r="JS694" s="74">
        <f>HG694-IF694</f>
        <v>0</v>
      </c>
      <c r="JT694" s="382">
        <f>GS694-IF694</f>
        <v>0</v>
      </c>
      <c r="JU694" s="665"/>
      <c r="JV694" s="524"/>
      <c r="JW694" s="525"/>
      <c r="JX694" s="549">
        <f>SUM(HH694,HJ694,HL694,HN694,HP694,HR694,HT694,HV694,HX694,HZ694,IB694,ID694)</f>
        <v>0</v>
      </c>
      <c r="JY694" s="549">
        <f t="shared" ref="JY694:JY695" si="15652">SUM(HI694,HK694,HM694,HO694,HQ694,HS694,HU694,HW694,HY694,IA694,IC694,IE694)</f>
        <v>100000</v>
      </c>
      <c r="JZ694" s="581">
        <f t="shared" ref="JZ694:JZ695" si="15653">GP694</f>
        <v>0</v>
      </c>
      <c r="KA694" s="581">
        <f t="shared" ref="KA694:KA695" si="15654">GQ694</f>
        <v>-100000</v>
      </c>
      <c r="KB694" s="566">
        <f>SUM(JX694:KA694)</f>
        <v>0</v>
      </c>
      <c r="KC694" s="709">
        <f t="shared" si="15625"/>
        <v>0</v>
      </c>
      <c r="KD694" s="491"/>
      <c r="KE694" s="491"/>
      <c r="KF694" s="491"/>
      <c r="KG694" s="491"/>
      <c r="KH694" s="36"/>
      <c r="KI694" s="36"/>
      <c r="KJ694" s="36"/>
      <c r="KK694" s="36"/>
    </row>
    <row r="695" spans="1:297" s="10" customFormat="1">
      <c r="A695" s="612"/>
      <c r="B695" s="512"/>
      <c r="C695" s="513"/>
      <c r="D695" s="553"/>
      <c r="E695" s="687"/>
      <c r="F695" s="553"/>
      <c r="G695" s="687"/>
      <c r="H695" s="553"/>
      <c r="I695" s="687"/>
      <c r="J695" s="553"/>
      <c r="K695" s="687"/>
      <c r="L695" s="553"/>
      <c r="M695" s="687"/>
      <c r="N695" s="553"/>
      <c r="O695" s="687"/>
      <c r="P695" s="553"/>
      <c r="Q695" s="687"/>
      <c r="R695" s="553"/>
      <c r="S695" s="687"/>
      <c r="T695" s="553"/>
      <c r="U695" s="687"/>
      <c r="V695" s="553"/>
      <c r="W695" s="687"/>
      <c r="X695" s="553"/>
      <c r="Y695" s="687"/>
      <c r="Z695" s="553"/>
      <c r="AA695" s="687"/>
      <c r="AB695" s="553"/>
      <c r="AC695" s="687"/>
      <c r="AD695" s="553"/>
      <c r="AE695" s="687"/>
      <c r="AF695" s="553"/>
      <c r="AG695" s="687"/>
      <c r="AH695" s="553"/>
      <c r="AI695" s="687"/>
      <c r="AJ695" s="553"/>
      <c r="AK695" s="687"/>
      <c r="AL695" s="553"/>
      <c r="AM695" s="687"/>
      <c r="AN695" s="553"/>
      <c r="AO695" s="687"/>
      <c r="AP695" s="553"/>
      <c r="AQ695" s="687"/>
      <c r="AR695" s="553"/>
      <c r="AS695" s="687"/>
      <c r="AT695" s="553"/>
      <c r="AU695" s="687"/>
      <c r="AV695" s="553"/>
      <c r="AW695" s="687"/>
      <c r="AX695" s="553"/>
      <c r="AY695" s="687"/>
      <c r="AZ695" s="553"/>
      <c r="BA695" s="687"/>
      <c r="BB695" s="553"/>
      <c r="BC695" s="687"/>
      <c r="BD695" s="553"/>
      <c r="BE695" s="687"/>
      <c r="BF695" s="553"/>
      <c r="BG695" s="687"/>
      <c r="BH695" s="553"/>
      <c r="BI695" s="687"/>
      <c r="BJ695" s="553"/>
      <c r="BK695" s="687"/>
      <c r="BL695" s="553"/>
      <c r="BM695" s="687"/>
      <c r="BN695" s="553"/>
      <c r="BO695" s="687"/>
      <c r="BP695" s="553"/>
      <c r="BQ695" s="687"/>
      <c r="BR695" s="553"/>
      <c r="BS695" s="687"/>
      <c r="BT695" s="553"/>
      <c r="BU695" s="687"/>
      <c r="BV695" s="553"/>
      <c r="BW695" s="687"/>
      <c r="BX695" s="553"/>
      <c r="BY695" s="687"/>
      <c r="BZ695" s="553"/>
      <c r="CA695" s="687"/>
      <c r="CB695" s="553"/>
      <c r="CC695" s="687"/>
      <c r="CD695" s="553"/>
      <c r="CE695" s="687"/>
      <c r="CF695" s="553"/>
      <c r="CG695" s="687"/>
      <c r="CH695" s="553"/>
      <c r="CI695" s="687"/>
      <c r="CJ695" s="553"/>
      <c r="CK695" s="687"/>
      <c r="CL695" s="553"/>
      <c r="CM695" s="687"/>
      <c r="CN695" s="553"/>
      <c r="CO695" s="687"/>
      <c r="CP695" s="553"/>
      <c r="CQ695" s="687"/>
      <c r="CR695" s="553"/>
      <c r="CS695" s="687"/>
      <c r="CT695" s="553"/>
      <c r="CU695" s="687"/>
      <c r="CV695" s="553"/>
      <c r="CW695" s="687"/>
      <c r="CX695" s="553"/>
      <c r="CY695" s="687"/>
      <c r="CZ695" s="553"/>
      <c r="DA695" s="687"/>
      <c r="DB695" s="553"/>
      <c r="DC695" s="687"/>
      <c r="DD695" s="553"/>
      <c r="DE695" s="687"/>
      <c r="DF695" s="553"/>
      <c r="DG695" s="687"/>
      <c r="DH695" s="553"/>
      <c r="DI695" s="687"/>
      <c r="DJ695" s="553"/>
      <c r="DK695" s="687"/>
      <c r="DL695" s="553"/>
      <c r="DM695" s="687"/>
      <c r="DN695" s="553"/>
      <c r="DO695" s="687"/>
      <c r="DP695" s="553"/>
      <c r="DQ695" s="687"/>
      <c r="DR695" s="553"/>
      <c r="DS695" s="687"/>
      <c r="DT695" s="553"/>
      <c r="DU695" s="687"/>
      <c r="DV695" s="553"/>
      <c r="DW695" s="687"/>
      <c r="DX695" s="553"/>
      <c r="DY695" s="687"/>
      <c r="DZ695" s="553"/>
      <c r="EA695" s="687"/>
      <c r="EB695" s="553"/>
      <c r="EC695" s="687"/>
      <c r="ED695" s="553"/>
      <c r="EE695" s="687"/>
      <c r="EF695" s="553"/>
      <c r="EG695" s="687"/>
      <c r="EH695" s="553"/>
      <c r="EI695" s="687"/>
      <c r="EJ695" s="553"/>
      <c r="EK695" s="687"/>
      <c r="EL695" s="553"/>
      <c r="EM695" s="687"/>
      <c r="EN695" s="553"/>
      <c r="EO695" s="687"/>
      <c r="EP695" s="553"/>
      <c r="EQ695" s="687"/>
      <c r="ER695" s="553"/>
      <c r="ES695" s="687"/>
      <c r="ET695" s="553"/>
      <c r="EU695" s="687"/>
      <c r="EV695" s="553"/>
      <c r="EW695" s="687"/>
      <c r="EX695" s="553"/>
      <c r="EY695" s="687"/>
      <c r="EZ695" s="553"/>
      <c r="FA695" s="687"/>
      <c r="FB695" s="553"/>
      <c r="FC695" s="687"/>
      <c r="FD695" s="553"/>
      <c r="FE695" s="687"/>
      <c r="FF695" s="553"/>
      <c r="FG695" s="687"/>
      <c r="FH695" s="553"/>
      <c r="FI695" s="687"/>
      <c r="FJ695" s="553"/>
      <c r="FK695" s="687"/>
      <c r="FL695" s="553"/>
      <c r="FM695" s="687"/>
      <c r="FN695" s="553"/>
      <c r="FO695" s="687"/>
      <c r="FP695" s="553"/>
      <c r="FQ695" s="687"/>
      <c r="FR695" s="553"/>
      <c r="FS695" s="687"/>
      <c r="FT695" s="553"/>
      <c r="FU695" s="687"/>
      <c r="FV695" s="553"/>
      <c r="FW695" s="687"/>
      <c r="FX695" s="553"/>
      <c r="FY695" s="687"/>
      <c r="FZ695" s="553"/>
      <c r="GA695" s="687"/>
      <c r="GB695" s="553"/>
      <c r="GC695" s="687"/>
      <c r="GD695" s="553"/>
      <c r="GE695" s="687"/>
      <c r="GF695" s="553"/>
      <c r="GG695" s="687"/>
      <c r="GH695" s="553"/>
      <c r="GI695" s="687"/>
      <c r="GJ695" s="553"/>
      <c r="GK695" s="687"/>
      <c r="GL695" s="553"/>
      <c r="GM695" s="687"/>
      <c r="GN695" s="553"/>
      <c r="GO695" s="687"/>
      <c r="GP695" s="553"/>
      <c r="GQ695" s="687"/>
      <c r="GR695" s="487"/>
      <c r="GS695" s="487"/>
      <c r="GT695" s="567"/>
      <c r="GU695" s="493"/>
      <c r="GV695" s="493"/>
      <c r="GW695" s="589"/>
      <c r="GX695" s="589"/>
      <c r="GY695" s="493"/>
      <c r="GZ695" s="493"/>
      <c r="HA695" s="493"/>
      <c r="HB695" s="493"/>
      <c r="HC695" s="493"/>
      <c r="HD695" s="493"/>
      <c r="HE695" s="493"/>
      <c r="HF695" s="493"/>
      <c r="HG695" s="487"/>
      <c r="HH695" s="488"/>
      <c r="HI695" s="829"/>
      <c r="HJ695" s="488"/>
      <c r="HK695" s="829"/>
      <c r="HL695" s="488"/>
      <c r="HM695" s="829"/>
      <c r="HN695" s="488"/>
      <c r="HO695" s="829"/>
      <c r="HP695" s="488"/>
      <c r="HQ695" s="829"/>
      <c r="HR695" s="488"/>
      <c r="HS695" s="829"/>
      <c r="HT695" s="488"/>
      <c r="HU695" s="829"/>
      <c r="HV695" s="488"/>
      <c r="HW695" s="829"/>
      <c r="HX695" s="488"/>
      <c r="HY695" s="829"/>
      <c r="HZ695" s="488"/>
      <c r="IA695" s="829"/>
      <c r="IB695" s="488"/>
      <c r="IC695" s="829"/>
      <c r="ID695" s="488"/>
      <c r="IE695" s="829"/>
      <c r="IF695" s="871"/>
      <c r="IG695" s="486"/>
      <c r="IH695" s="872"/>
      <c r="II695" s="488"/>
      <c r="IJ695" s="488"/>
      <c r="IK695" s="488"/>
      <c r="IL695" s="488"/>
      <c r="IM695" s="488"/>
      <c r="IN695" s="488"/>
      <c r="IO695" s="488"/>
      <c r="IP695" s="488"/>
      <c r="IQ695" s="488"/>
      <c r="IR695" s="488"/>
      <c r="IS695" s="488"/>
      <c r="IT695" s="488"/>
      <c r="IU695" s="488"/>
      <c r="IV695" s="488"/>
      <c r="IW695" s="488"/>
      <c r="IX695" s="488"/>
      <c r="IY695" s="488"/>
      <c r="IZ695" s="488"/>
      <c r="JA695" s="488"/>
      <c r="JB695" s="488"/>
      <c r="JC695" s="488"/>
      <c r="JD695" s="488"/>
      <c r="JE695" s="488"/>
      <c r="JF695" s="488"/>
      <c r="JG695" s="488"/>
      <c r="JH695" s="488"/>
      <c r="JI695" s="488"/>
      <c r="JJ695" s="488"/>
      <c r="JK695" s="488"/>
      <c r="JL695" s="488"/>
      <c r="JM695" s="488"/>
      <c r="JN695" s="488"/>
      <c r="JO695" s="488"/>
      <c r="JP695" s="488"/>
      <c r="JQ695" s="488"/>
      <c r="JR695" s="488"/>
      <c r="JS695" s="487"/>
      <c r="JT695" s="662"/>
      <c r="JU695" s="665"/>
      <c r="JV695" s="524"/>
      <c r="JW695" s="525"/>
      <c r="JX695" s="553"/>
      <c r="JY695" s="549">
        <f t="shared" si="15652"/>
        <v>0</v>
      </c>
      <c r="JZ695" s="581">
        <f t="shared" si="15653"/>
        <v>0</v>
      </c>
      <c r="KA695" s="581">
        <f t="shared" si="15654"/>
        <v>0</v>
      </c>
      <c r="KB695" s="566">
        <f t="shared" ref="KB695" si="15655">SUM(JX695:KA695)</f>
        <v>0</v>
      </c>
      <c r="KC695" s="709">
        <f t="shared" si="15625"/>
        <v>0</v>
      </c>
      <c r="KD695" s="491"/>
      <c r="KE695" s="491"/>
      <c r="KF695" s="491"/>
      <c r="KG695" s="491"/>
      <c r="KH695" s="36"/>
      <c r="KI695" s="36"/>
      <c r="KJ695" s="36"/>
      <c r="KK695" s="36"/>
    </row>
    <row r="696" spans="1:297" s="10" customFormat="1" ht="12.75" hidden="1" customHeight="1">
      <c r="A696" s="613" t="s">
        <v>1164</v>
      </c>
      <c r="B696" s="514" t="s">
        <v>954</v>
      </c>
      <c r="C696" s="513">
        <f>C697</f>
        <v>0</v>
      </c>
      <c r="D696" s="567">
        <f t="shared" ref="D696:IZ696" si="15656">D697</f>
        <v>0</v>
      </c>
      <c r="E696" s="686">
        <f t="shared" ref="E696" si="15657">E697</f>
        <v>0</v>
      </c>
      <c r="F696" s="567">
        <f t="shared" si="15656"/>
        <v>0</v>
      </c>
      <c r="G696" s="686">
        <f t="shared" si="15656"/>
        <v>0</v>
      </c>
      <c r="H696" s="567">
        <f t="shared" si="15656"/>
        <v>0</v>
      </c>
      <c r="I696" s="686">
        <f t="shared" si="15656"/>
        <v>0</v>
      </c>
      <c r="J696" s="567">
        <f t="shared" si="15656"/>
        <v>0</v>
      </c>
      <c r="K696" s="686">
        <f t="shared" si="15656"/>
        <v>0</v>
      </c>
      <c r="L696" s="567">
        <f t="shared" si="15656"/>
        <v>0</v>
      </c>
      <c r="M696" s="686">
        <f t="shared" si="15656"/>
        <v>0</v>
      </c>
      <c r="N696" s="567">
        <f t="shared" si="15656"/>
        <v>0</v>
      </c>
      <c r="O696" s="686">
        <f t="shared" si="15656"/>
        <v>0</v>
      </c>
      <c r="P696" s="567">
        <f t="shared" si="15656"/>
        <v>0</v>
      </c>
      <c r="Q696" s="686">
        <f t="shared" si="15656"/>
        <v>0</v>
      </c>
      <c r="R696" s="567">
        <f t="shared" si="15656"/>
        <v>0</v>
      </c>
      <c r="S696" s="686">
        <f t="shared" si="15656"/>
        <v>0</v>
      </c>
      <c r="T696" s="567">
        <f t="shared" si="15656"/>
        <v>0</v>
      </c>
      <c r="U696" s="686">
        <f t="shared" si="15656"/>
        <v>0</v>
      </c>
      <c r="V696" s="567">
        <f t="shared" si="15656"/>
        <v>0</v>
      </c>
      <c r="W696" s="686">
        <f t="shared" si="15656"/>
        <v>0</v>
      </c>
      <c r="X696" s="567">
        <f t="shared" si="15656"/>
        <v>0</v>
      </c>
      <c r="Y696" s="686">
        <f t="shared" si="15656"/>
        <v>0</v>
      </c>
      <c r="Z696" s="567">
        <f t="shared" si="15656"/>
        <v>0</v>
      </c>
      <c r="AA696" s="686">
        <f t="shared" si="15656"/>
        <v>0</v>
      </c>
      <c r="AB696" s="567">
        <f t="shared" si="15656"/>
        <v>0</v>
      </c>
      <c r="AC696" s="686">
        <f t="shared" si="15656"/>
        <v>0</v>
      </c>
      <c r="AD696" s="567">
        <f t="shared" si="15656"/>
        <v>0</v>
      </c>
      <c r="AE696" s="686">
        <f t="shared" si="15656"/>
        <v>0</v>
      </c>
      <c r="AF696" s="567">
        <f t="shared" si="15656"/>
        <v>0</v>
      </c>
      <c r="AG696" s="686">
        <f t="shared" si="15656"/>
        <v>0</v>
      </c>
      <c r="AH696" s="567">
        <f t="shared" si="15656"/>
        <v>0</v>
      </c>
      <c r="AI696" s="686">
        <f t="shared" si="15656"/>
        <v>0</v>
      </c>
      <c r="AJ696" s="567">
        <f t="shared" si="15656"/>
        <v>0</v>
      </c>
      <c r="AK696" s="686">
        <f t="shared" si="15656"/>
        <v>0</v>
      </c>
      <c r="AL696" s="567">
        <f t="shared" si="15656"/>
        <v>0</v>
      </c>
      <c r="AM696" s="686">
        <f t="shared" si="15656"/>
        <v>0</v>
      </c>
      <c r="AN696" s="567">
        <f t="shared" si="15656"/>
        <v>0</v>
      </c>
      <c r="AO696" s="686">
        <f t="shared" si="15656"/>
        <v>0</v>
      </c>
      <c r="AP696" s="567">
        <f t="shared" si="15656"/>
        <v>0</v>
      </c>
      <c r="AQ696" s="686">
        <f t="shared" si="15656"/>
        <v>0</v>
      </c>
      <c r="AR696" s="567">
        <f t="shared" si="15656"/>
        <v>0</v>
      </c>
      <c r="AS696" s="686">
        <f t="shared" si="15656"/>
        <v>0</v>
      </c>
      <c r="AT696" s="567">
        <f t="shared" si="15656"/>
        <v>0</v>
      </c>
      <c r="AU696" s="686">
        <f t="shared" si="15656"/>
        <v>0</v>
      </c>
      <c r="AV696" s="567">
        <f t="shared" si="15656"/>
        <v>0</v>
      </c>
      <c r="AW696" s="686">
        <f t="shared" si="15656"/>
        <v>0</v>
      </c>
      <c r="AX696" s="567">
        <f t="shared" si="15656"/>
        <v>0</v>
      </c>
      <c r="AY696" s="686">
        <f t="shared" si="15656"/>
        <v>0</v>
      </c>
      <c r="AZ696" s="567">
        <f t="shared" si="15656"/>
        <v>0</v>
      </c>
      <c r="BA696" s="686">
        <f t="shared" si="15656"/>
        <v>0</v>
      </c>
      <c r="BB696" s="567">
        <f t="shared" si="15656"/>
        <v>0</v>
      </c>
      <c r="BC696" s="686">
        <f t="shared" si="15656"/>
        <v>0</v>
      </c>
      <c r="BD696" s="567">
        <f t="shared" si="15656"/>
        <v>0</v>
      </c>
      <c r="BE696" s="686">
        <f t="shared" si="15656"/>
        <v>0</v>
      </c>
      <c r="BF696" s="567">
        <f t="shared" si="15656"/>
        <v>0</v>
      </c>
      <c r="BG696" s="686">
        <f t="shared" si="15656"/>
        <v>0</v>
      </c>
      <c r="BH696" s="567">
        <f t="shared" si="15656"/>
        <v>0</v>
      </c>
      <c r="BI696" s="686">
        <f t="shared" si="15656"/>
        <v>0</v>
      </c>
      <c r="BJ696" s="567">
        <f t="shared" si="15656"/>
        <v>0</v>
      </c>
      <c r="BK696" s="686">
        <f t="shared" si="15656"/>
        <v>0</v>
      </c>
      <c r="BL696" s="567">
        <f t="shared" si="15656"/>
        <v>0</v>
      </c>
      <c r="BM696" s="686">
        <f t="shared" si="15656"/>
        <v>0</v>
      </c>
      <c r="BN696" s="567">
        <f t="shared" si="15656"/>
        <v>0</v>
      </c>
      <c r="BO696" s="686">
        <f t="shared" si="15656"/>
        <v>0</v>
      </c>
      <c r="BP696" s="567">
        <f t="shared" si="15656"/>
        <v>0</v>
      </c>
      <c r="BQ696" s="686">
        <f t="shared" si="15656"/>
        <v>0</v>
      </c>
      <c r="BR696" s="567">
        <f t="shared" si="15656"/>
        <v>0</v>
      </c>
      <c r="BS696" s="686">
        <f t="shared" si="15656"/>
        <v>0</v>
      </c>
      <c r="BT696" s="567">
        <f t="shared" si="15656"/>
        <v>0</v>
      </c>
      <c r="BU696" s="686">
        <f t="shared" si="15656"/>
        <v>0</v>
      </c>
      <c r="BV696" s="567">
        <f t="shared" si="15656"/>
        <v>0</v>
      </c>
      <c r="BW696" s="686">
        <f t="shared" si="15656"/>
        <v>0</v>
      </c>
      <c r="BX696" s="567">
        <f t="shared" si="15656"/>
        <v>0</v>
      </c>
      <c r="BY696" s="686">
        <f t="shared" si="15656"/>
        <v>0</v>
      </c>
      <c r="BZ696" s="567">
        <f t="shared" si="15656"/>
        <v>0</v>
      </c>
      <c r="CA696" s="686">
        <f t="shared" si="15656"/>
        <v>0</v>
      </c>
      <c r="CB696" s="567">
        <f t="shared" si="15656"/>
        <v>0</v>
      </c>
      <c r="CC696" s="686">
        <f t="shared" si="15656"/>
        <v>0</v>
      </c>
      <c r="CD696" s="567">
        <f t="shared" si="15656"/>
        <v>0</v>
      </c>
      <c r="CE696" s="686">
        <f t="shared" si="15656"/>
        <v>0</v>
      </c>
      <c r="CF696" s="567">
        <f t="shared" si="15656"/>
        <v>0</v>
      </c>
      <c r="CG696" s="686">
        <f t="shared" si="15656"/>
        <v>0</v>
      </c>
      <c r="CH696" s="567">
        <f t="shared" si="15656"/>
        <v>0</v>
      </c>
      <c r="CI696" s="686">
        <f t="shared" si="15656"/>
        <v>0</v>
      </c>
      <c r="CJ696" s="567">
        <f t="shared" si="15656"/>
        <v>0</v>
      </c>
      <c r="CK696" s="686">
        <f t="shared" si="15656"/>
        <v>0</v>
      </c>
      <c r="CL696" s="567">
        <f t="shared" si="15656"/>
        <v>0</v>
      </c>
      <c r="CM696" s="686">
        <f t="shared" si="15656"/>
        <v>0</v>
      </c>
      <c r="CN696" s="567">
        <f t="shared" si="15656"/>
        <v>0</v>
      </c>
      <c r="CO696" s="686">
        <f t="shared" si="15656"/>
        <v>0</v>
      </c>
      <c r="CP696" s="567">
        <f t="shared" si="15656"/>
        <v>0</v>
      </c>
      <c r="CQ696" s="686">
        <f t="shared" si="15656"/>
        <v>0</v>
      </c>
      <c r="CR696" s="567">
        <f t="shared" si="15656"/>
        <v>0</v>
      </c>
      <c r="CS696" s="686">
        <f t="shared" si="15656"/>
        <v>0</v>
      </c>
      <c r="CT696" s="567">
        <f t="shared" si="15656"/>
        <v>0</v>
      </c>
      <c r="CU696" s="686">
        <f t="shared" si="15656"/>
        <v>0</v>
      </c>
      <c r="CV696" s="567">
        <f t="shared" si="15656"/>
        <v>0</v>
      </c>
      <c r="CW696" s="686">
        <f t="shared" si="15656"/>
        <v>0</v>
      </c>
      <c r="CX696" s="567">
        <f t="shared" si="15656"/>
        <v>0</v>
      </c>
      <c r="CY696" s="686">
        <f t="shared" si="15656"/>
        <v>0</v>
      </c>
      <c r="CZ696" s="567">
        <f t="shared" si="15656"/>
        <v>0</v>
      </c>
      <c r="DA696" s="686">
        <f t="shared" si="15656"/>
        <v>0</v>
      </c>
      <c r="DB696" s="567">
        <f t="shared" si="15656"/>
        <v>0</v>
      </c>
      <c r="DC696" s="686">
        <f t="shared" si="15656"/>
        <v>0</v>
      </c>
      <c r="DD696" s="567">
        <f t="shared" si="15656"/>
        <v>0</v>
      </c>
      <c r="DE696" s="686">
        <f t="shared" si="15656"/>
        <v>0</v>
      </c>
      <c r="DF696" s="567">
        <f t="shared" si="15656"/>
        <v>0</v>
      </c>
      <c r="DG696" s="686">
        <f t="shared" si="15656"/>
        <v>0</v>
      </c>
      <c r="DH696" s="567">
        <f t="shared" si="15656"/>
        <v>0</v>
      </c>
      <c r="DI696" s="686">
        <f t="shared" si="15656"/>
        <v>0</v>
      </c>
      <c r="DJ696" s="567">
        <f t="shared" si="15656"/>
        <v>0</v>
      </c>
      <c r="DK696" s="686">
        <f t="shared" si="15656"/>
        <v>0</v>
      </c>
      <c r="DL696" s="567">
        <f t="shared" si="15656"/>
        <v>0</v>
      </c>
      <c r="DM696" s="686">
        <f t="shared" si="15656"/>
        <v>0</v>
      </c>
      <c r="DN696" s="567">
        <f t="shared" si="15656"/>
        <v>0</v>
      </c>
      <c r="DO696" s="686">
        <f t="shared" si="15656"/>
        <v>0</v>
      </c>
      <c r="DP696" s="567">
        <f t="shared" si="15656"/>
        <v>0</v>
      </c>
      <c r="DQ696" s="686">
        <f t="shared" si="15656"/>
        <v>0</v>
      </c>
      <c r="DR696" s="567">
        <f t="shared" si="15656"/>
        <v>0</v>
      </c>
      <c r="DS696" s="686">
        <f t="shared" si="15656"/>
        <v>0</v>
      </c>
      <c r="DT696" s="567">
        <f t="shared" si="15656"/>
        <v>0</v>
      </c>
      <c r="DU696" s="686">
        <f t="shared" si="15656"/>
        <v>0</v>
      </c>
      <c r="DV696" s="567">
        <f t="shared" si="15656"/>
        <v>0</v>
      </c>
      <c r="DW696" s="686">
        <f t="shared" si="15656"/>
        <v>0</v>
      </c>
      <c r="DX696" s="567">
        <f t="shared" si="15656"/>
        <v>0</v>
      </c>
      <c r="DY696" s="686">
        <f t="shared" si="15656"/>
        <v>0</v>
      </c>
      <c r="DZ696" s="567">
        <f t="shared" si="15656"/>
        <v>0</v>
      </c>
      <c r="EA696" s="686">
        <f t="shared" si="15656"/>
        <v>0</v>
      </c>
      <c r="EB696" s="567">
        <f t="shared" si="15656"/>
        <v>0</v>
      </c>
      <c r="EC696" s="686">
        <f t="shared" si="15656"/>
        <v>0</v>
      </c>
      <c r="ED696" s="567">
        <f t="shared" si="15656"/>
        <v>0</v>
      </c>
      <c r="EE696" s="686">
        <f t="shared" si="15656"/>
        <v>0</v>
      </c>
      <c r="EF696" s="567">
        <f t="shared" si="15656"/>
        <v>0</v>
      </c>
      <c r="EG696" s="686">
        <f t="shared" si="15656"/>
        <v>0</v>
      </c>
      <c r="EH696" s="567">
        <f t="shared" si="15656"/>
        <v>0</v>
      </c>
      <c r="EI696" s="686">
        <f t="shared" si="15656"/>
        <v>0</v>
      </c>
      <c r="EJ696" s="567">
        <f t="shared" si="15656"/>
        <v>0</v>
      </c>
      <c r="EK696" s="686">
        <f t="shared" si="15656"/>
        <v>0</v>
      </c>
      <c r="EL696" s="567">
        <f t="shared" si="15656"/>
        <v>0</v>
      </c>
      <c r="EM696" s="686">
        <f t="shared" si="15656"/>
        <v>0</v>
      </c>
      <c r="EN696" s="567">
        <f t="shared" si="15656"/>
        <v>0</v>
      </c>
      <c r="EO696" s="686">
        <f t="shared" si="15656"/>
        <v>0</v>
      </c>
      <c r="EP696" s="567">
        <f t="shared" si="15656"/>
        <v>0</v>
      </c>
      <c r="EQ696" s="686">
        <f t="shared" si="15656"/>
        <v>0</v>
      </c>
      <c r="ER696" s="567">
        <f t="shared" si="15656"/>
        <v>0</v>
      </c>
      <c r="ES696" s="686">
        <f t="shared" si="15656"/>
        <v>0</v>
      </c>
      <c r="ET696" s="567">
        <f t="shared" si="15656"/>
        <v>0</v>
      </c>
      <c r="EU696" s="686">
        <f t="shared" si="15656"/>
        <v>0</v>
      </c>
      <c r="EV696" s="567">
        <f t="shared" si="15656"/>
        <v>0</v>
      </c>
      <c r="EW696" s="686">
        <f t="shared" si="15656"/>
        <v>0</v>
      </c>
      <c r="EX696" s="567">
        <f t="shared" si="15656"/>
        <v>0</v>
      </c>
      <c r="EY696" s="686">
        <f t="shared" si="15656"/>
        <v>0</v>
      </c>
      <c r="EZ696" s="567">
        <f t="shared" si="15656"/>
        <v>0</v>
      </c>
      <c r="FA696" s="686">
        <f t="shared" si="15656"/>
        <v>0</v>
      </c>
      <c r="FB696" s="567">
        <f t="shared" si="15656"/>
        <v>0</v>
      </c>
      <c r="FC696" s="686">
        <f t="shared" si="15656"/>
        <v>0</v>
      </c>
      <c r="FD696" s="567">
        <f t="shared" si="15656"/>
        <v>0</v>
      </c>
      <c r="FE696" s="686">
        <f t="shared" si="15656"/>
        <v>0</v>
      </c>
      <c r="FF696" s="567">
        <f t="shared" si="15656"/>
        <v>0</v>
      </c>
      <c r="FG696" s="686">
        <f t="shared" si="15656"/>
        <v>0</v>
      </c>
      <c r="FH696" s="567">
        <f t="shared" si="15656"/>
        <v>0</v>
      </c>
      <c r="FI696" s="686">
        <f t="shared" si="15656"/>
        <v>0</v>
      </c>
      <c r="FJ696" s="567">
        <f t="shared" si="15656"/>
        <v>0</v>
      </c>
      <c r="FK696" s="686">
        <f t="shared" si="15656"/>
        <v>0</v>
      </c>
      <c r="FL696" s="567">
        <f t="shared" si="15656"/>
        <v>0</v>
      </c>
      <c r="FM696" s="686">
        <f t="shared" si="15656"/>
        <v>0</v>
      </c>
      <c r="FN696" s="567">
        <f t="shared" si="15656"/>
        <v>0</v>
      </c>
      <c r="FO696" s="686">
        <f t="shared" si="15656"/>
        <v>0</v>
      </c>
      <c r="FP696" s="567">
        <f t="shared" si="15656"/>
        <v>0</v>
      </c>
      <c r="FQ696" s="686">
        <f t="shared" si="15656"/>
        <v>0</v>
      </c>
      <c r="FR696" s="567">
        <f t="shared" si="15656"/>
        <v>0</v>
      </c>
      <c r="FS696" s="686">
        <f t="shared" si="15656"/>
        <v>0</v>
      </c>
      <c r="FT696" s="567">
        <f t="shared" si="15656"/>
        <v>0</v>
      </c>
      <c r="FU696" s="686">
        <f t="shared" si="15656"/>
        <v>0</v>
      </c>
      <c r="FV696" s="567">
        <f t="shared" si="15656"/>
        <v>0</v>
      </c>
      <c r="FW696" s="686">
        <f t="shared" si="15656"/>
        <v>0</v>
      </c>
      <c r="FX696" s="567">
        <f t="shared" si="15656"/>
        <v>0</v>
      </c>
      <c r="FY696" s="686">
        <f t="shared" si="15656"/>
        <v>0</v>
      </c>
      <c r="FZ696" s="567">
        <f t="shared" si="15656"/>
        <v>0</v>
      </c>
      <c r="GA696" s="686">
        <f t="shared" si="15656"/>
        <v>0</v>
      </c>
      <c r="GB696" s="567">
        <f t="shared" si="15656"/>
        <v>0</v>
      </c>
      <c r="GC696" s="686">
        <f t="shared" si="15656"/>
        <v>0</v>
      </c>
      <c r="GD696" s="567">
        <f t="shared" si="15656"/>
        <v>0</v>
      </c>
      <c r="GE696" s="686">
        <f t="shared" si="15656"/>
        <v>0</v>
      </c>
      <c r="GF696" s="567">
        <f t="shared" si="15656"/>
        <v>0</v>
      </c>
      <c r="GG696" s="686">
        <f t="shared" si="15656"/>
        <v>0</v>
      </c>
      <c r="GH696" s="567">
        <f t="shared" si="15656"/>
        <v>0</v>
      </c>
      <c r="GI696" s="686">
        <f t="shared" si="15656"/>
        <v>0</v>
      </c>
      <c r="GJ696" s="567">
        <f t="shared" si="15656"/>
        <v>0</v>
      </c>
      <c r="GK696" s="686">
        <f t="shared" si="15656"/>
        <v>0</v>
      </c>
      <c r="GL696" s="567">
        <f t="shared" si="15656"/>
        <v>0</v>
      </c>
      <c r="GM696" s="686">
        <f t="shared" si="15656"/>
        <v>0</v>
      </c>
      <c r="GN696" s="567">
        <f t="shared" si="15656"/>
        <v>0</v>
      </c>
      <c r="GO696" s="686">
        <f t="shared" si="15656"/>
        <v>0</v>
      </c>
      <c r="GP696" s="567">
        <f t="shared" si="15656"/>
        <v>0</v>
      </c>
      <c r="GQ696" s="686">
        <f t="shared" si="15656"/>
        <v>0</v>
      </c>
      <c r="GR696" s="513">
        <f t="shared" si="15656"/>
        <v>0</v>
      </c>
      <c r="GS696" s="513">
        <f t="shared" si="15656"/>
        <v>0</v>
      </c>
      <c r="GT696" s="567">
        <f t="shared" si="15656"/>
        <v>0</v>
      </c>
      <c r="GU696" s="513">
        <f t="shared" si="15656"/>
        <v>0</v>
      </c>
      <c r="GV696" s="513">
        <f t="shared" si="15656"/>
        <v>0</v>
      </c>
      <c r="GW696" s="567">
        <f t="shared" si="15656"/>
        <v>0</v>
      </c>
      <c r="GX696" s="567">
        <f t="shared" si="15656"/>
        <v>0</v>
      </c>
      <c r="GY696" s="513">
        <f t="shared" si="15656"/>
        <v>0</v>
      </c>
      <c r="GZ696" s="513">
        <f t="shared" si="15656"/>
        <v>0</v>
      </c>
      <c r="HA696" s="513">
        <f t="shared" si="15656"/>
        <v>0</v>
      </c>
      <c r="HB696" s="513">
        <f t="shared" si="15656"/>
        <v>0</v>
      </c>
      <c r="HC696" s="513">
        <f t="shared" si="15656"/>
        <v>0</v>
      </c>
      <c r="HD696" s="513">
        <f t="shared" si="15656"/>
        <v>0</v>
      </c>
      <c r="HE696" s="513">
        <f t="shared" si="15656"/>
        <v>0</v>
      </c>
      <c r="HF696" s="513">
        <f t="shared" si="15656"/>
        <v>0</v>
      </c>
      <c r="HG696" s="513">
        <f t="shared" si="15656"/>
        <v>0</v>
      </c>
      <c r="HH696" s="513">
        <f t="shared" ref="HH696:HI696" si="15658">HH697</f>
        <v>0</v>
      </c>
      <c r="HI696" s="827">
        <f t="shared" si="15658"/>
        <v>0</v>
      </c>
      <c r="HJ696" s="513">
        <f t="shared" ref="HJ696:HK696" si="15659">HJ697</f>
        <v>0</v>
      </c>
      <c r="HK696" s="827">
        <f t="shared" si="15659"/>
        <v>0</v>
      </c>
      <c r="HL696" s="513">
        <f t="shared" ref="HL696:HM696" si="15660">HL697</f>
        <v>0</v>
      </c>
      <c r="HM696" s="827">
        <f t="shared" si="15660"/>
        <v>0</v>
      </c>
      <c r="HN696" s="513">
        <f t="shared" ref="HN696:HO696" si="15661">HN697</f>
        <v>0</v>
      </c>
      <c r="HO696" s="827">
        <f t="shared" si="15661"/>
        <v>0</v>
      </c>
      <c r="HP696" s="513">
        <f t="shared" ref="HP696:HQ696" si="15662">HP697</f>
        <v>0</v>
      </c>
      <c r="HQ696" s="827">
        <f t="shared" si="15662"/>
        <v>0</v>
      </c>
      <c r="HR696" s="513">
        <f t="shared" ref="HR696:HS696" si="15663">HR697</f>
        <v>0</v>
      </c>
      <c r="HS696" s="827">
        <f t="shared" si="15663"/>
        <v>0</v>
      </c>
      <c r="HT696" s="513">
        <f t="shared" ref="HT696:HU696" si="15664">HT697</f>
        <v>0</v>
      </c>
      <c r="HU696" s="827">
        <f t="shared" si="15664"/>
        <v>0</v>
      </c>
      <c r="HV696" s="513">
        <f t="shared" ref="HV696:HW696" si="15665">HV697</f>
        <v>0</v>
      </c>
      <c r="HW696" s="827">
        <f t="shared" si="15665"/>
        <v>0</v>
      </c>
      <c r="HX696" s="513">
        <f t="shared" ref="HX696:HY696" si="15666">HX697</f>
        <v>0</v>
      </c>
      <c r="HY696" s="827">
        <f t="shared" si="15666"/>
        <v>0</v>
      </c>
      <c r="HZ696" s="513">
        <f t="shared" ref="HZ696:IA696" si="15667">HZ697</f>
        <v>0</v>
      </c>
      <c r="IA696" s="827">
        <f t="shared" si="15667"/>
        <v>0</v>
      </c>
      <c r="IB696" s="513">
        <f t="shared" ref="IB696:IC696" si="15668">IB697</f>
        <v>0</v>
      </c>
      <c r="IC696" s="827">
        <f t="shared" si="15668"/>
        <v>0</v>
      </c>
      <c r="ID696" s="513">
        <f t="shared" si="15656"/>
        <v>0</v>
      </c>
      <c r="IE696" s="827">
        <f t="shared" si="15656"/>
        <v>0</v>
      </c>
      <c r="IF696" s="703">
        <f t="shared" si="15656"/>
        <v>0</v>
      </c>
      <c r="IG696" s="704">
        <f>IG697</f>
        <v>0</v>
      </c>
      <c r="IH696" s="858">
        <f t="shared" si="15656"/>
        <v>0</v>
      </c>
      <c r="II696" s="513">
        <f t="shared" si="15656"/>
        <v>0</v>
      </c>
      <c r="IJ696" s="513">
        <f t="shared" si="15656"/>
        <v>0</v>
      </c>
      <c r="IK696" s="513">
        <f t="shared" si="15656"/>
        <v>0</v>
      </c>
      <c r="IL696" s="513">
        <f t="shared" si="15656"/>
        <v>0</v>
      </c>
      <c r="IM696" s="513">
        <f t="shared" si="15656"/>
        <v>0</v>
      </c>
      <c r="IN696" s="513">
        <f t="shared" si="15656"/>
        <v>0</v>
      </c>
      <c r="IO696" s="513">
        <f t="shared" si="15656"/>
        <v>0</v>
      </c>
      <c r="IP696" s="513">
        <f t="shared" si="15656"/>
        <v>0</v>
      </c>
      <c r="IQ696" s="513">
        <f t="shared" si="15656"/>
        <v>0</v>
      </c>
      <c r="IR696" s="513">
        <f t="shared" si="15656"/>
        <v>0</v>
      </c>
      <c r="IS696" s="513">
        <f t="shared" si="15656"/>
        <v>0</v>
      </c>
      <c r="IT696" s="513">
        <f t="shared" si="15656"/>
        <v>0</v>
      </c>
      <c r="IU696" s="513">
        <f t="shared" si="15656"/>
        <v>0</v>
      </c>
      <c r="IV696" s="513">
        <f t="shared" si="15656"/>
        <v>0</v>
      </c>
      <c r="IW696" s="513">
        <f t="shared" si="15656"/>
        <v>0</v>
      </c>
      <c r="IX696" s="513">
        <f t="shared" si="15656"/>
        <v>0</v>
      </c>
      <c r="IY696" s="513">
        <f t="shared" si="15656"/>
        <v>0</v>
      </c>
      <c r="IZ696" s="513">
        <f t="shared" si="15656"/>
        <v>0</v>
      </c>
      <c r="JA696" s="513">
        <f t="shared" ref="JA696:JX696" si="15669">JA697</f>
        <v>0</v>
      </c>
      <c r="JB696" s="513">
        <f t="shared" si="15669"/>
        <v>0</v>
      </c>
      <c r="JC696" s="513">
        <f t="shared" si="15669"/>
        <v>0</v>
      </c>
      <c r="JD696" s="513">
        <f t="shared" si="15669"/>
        <v>0</v>
      </c>
      <c r="JE696" s="513">
        <f t="shared" si="15669"/>
        <v>0</v>
      </c>
      <c r="JF696" s="513">
        <f t="shared" si="15669"/>
        <v>0</v>
      </c>
      <c r="JG696" s="513">
        <f t="shared" si="15669"/>
        <v>0</v>
      </c>
      <c r="JH696" s="513">
        <f t="shared" si="15669"/>
        <v>0</v>
      </c>
      <c r="JI696" s="513">
        <f t="shared" si="15669"/>
        <v>0</v>
      </c>
      <c r="JJ696" s="513">
        <f t="shared" si="15669"/>
        <v>0</v>
      </c>
      <c r="JK696" s="513">
        <f t="shared" si="15669"/>
        <v>0</v>
      </c>
      <c r="JL696" s="513">
        <f t="shared" si="15669"/>
        <v>0</v>
      </c>
      <c r="JM696" s="513">
        <f t="shared" si="15669"/>
        <v>0</v>
      </c>
      <c r="JN696" s="513">
        <f t="shared" si="15669"/>
        <v>0</v>
      </c>
      <c r="JO696" s="513">
        <f t="shared" si="15669"/>
        <v>0</v>
      </c>
      <c r="JP696" s="513">
        <f t="shared" si="15669"/>
        <v>0</v>
      </c>
      <c r="JQ696" s="513">
        <f t="shared" si="15669"/>
        <v>0</v>
      </c>
      <c r="JR696" s="513">
        <f t="shared" si="15669"/>
        <v>0</v>
      </c>
      <c r="JS696" s="513">
        <f t="shared" si="15669"/>
        <v>0</v>
      </c>
      <c r="JT696" s="573">
        <f t="shared" si="15669"/>
        <v>0</v>
      </c>
      <c r="JU696" s="665"/>
      <c r="JV696" s="524"/>
      <c r="JW696" s="525"/>
      <c r="JX696" s="567">
        <f t="shared" si="15669"/>
        <v>0</v>
      </c>
      <c r="JY696" s="513">
        <f>JY697</f>
        <v>0</v>
      </c>
      <c r="JZ696" s="513">
        <f t="shared" ref="JZ696:KB696" si="15670">JZ697</f>
        <v>0</v>
      </c>
      <c r="KA696" s="513">
        <f t="shared" si="15670"/>
        <v>0</v>
      </c>
      <c r="KB696" s="513">
        <f t="shared" si="15670"/>
        <v>0</v>
      </c>
      <c r="KC696" s="709">
        <f t="shared" ref="KC696:KC698" si="15671">HG696-KB696</f>
        <v>0</v>
      </c>
      <c r="KD696" s="491"/>
      <c r="KE696" s="491"/>
      <c r="KF696" s="491"/>
      <c r="KG696" s="491"/>
      <c r="KH696" s="36"/>
      <c r="KI696" s="36"/>
      <c r="KJ696" s="36"/>
      <c r="KK696" s="36"/>
    </row>
    <row r="697" spans="1:297" s="8" customFormat="1" ht="12.75" hidden="1" customHeight="1">
      <c r="A697" s="612" t="s">
        <v>1165</v>
      </c>
      <c r="B697" s="512" t="s">
        <v>346</v>
      </c>
      <c r="C697" s="74">
        <v>0</v>
      </c>
      <c r="D697" s="549">
        <v>0</v>
      </c>
      <c r="E697" s="675">
        <v>0</v>
      </c>
      <c r="F697" s="549">
        <v>0</v>
      </c>
      <c r="G697" s="675">
        <v>0</v>
      </c>
      <c r="H697" s="549">
        <v>0</v>
      </c>
      <c r="I697" s="675">
        <v>0</v>
      </c>
      <c r="J697" s="549">
        <v>0</v>
      </c>
      <c r="K697" s="675">
        <v>0</v>
      </c>
      <c r="L697" s="549">
        <v>0</v>
      </c>
      <c r="M697" s="675">
        <v>0</v>
      </c>
      <c r="N697" s="549">
        <v>0</v>
      </c>
      <c r="O697" s="675">
        <v>0</v>
      </c>
      <c r="P697" s="549">
        <v>0</v>
      </c>
      <c r="Q697" s="675">
        <v>0</v>
      </c>
      <c r="R697" s="549">
        <v>0</v>
      </c>
      <c r="S697" s="675">
        <v>0</v>
      </c>
      <c r="T697" s="549">
        <v>0</v>
      </c>
      <c r="U697" s="675">
        <v>0</v>
      </c>
      <c r="V697" s="549">
        <v>0</v>
      </c>
      <c r="W697" s="675">
        <v>0</v>
      </c>
      <c r="X697" s="549">
        <v>0</v>
      </c>
      <c r="Y697" s="675">
        <v>0</v>
      </c>
      <c r="Z697" s="549">
        <v>0</v>
      </c>
      <c r="AA697" s="675">
        <v>0</v>
      </c>
      <c r="AB697" s="549">
        <v>0</v>
      </c>
      <c r="AC697" s="675">
        <v>0</v>
      </c>
      <c r="AD697" s="549">
        <v>0</v>
      </c>
      <c r="AE697" s="675">
        <v>0</v>
      </c>
      <c r="AF697" s="549">
        <v>0</v>
      </c>
      <c r="AG697" s="675">
        <v>0</v>
      </c>
      <c r="AH697" s="549">
        <v>0</v>
      </c>
      <c r="AI697" s="675">
        <v>0</v>
      </c>
      <c r="AJ697" s="549">
        <v>0</v>
      </c>
      <c r="AK697" s="675">
        <v>0</v>
      </c>
      <c r="AL697" s="549">
        <v>0</v>
      </c>
      <c r="AM697" s="675">
        <v>0</v>
      </c>
      <c r="AN697" s="549">
        <v>0</v>
      </c>
      <c r="AO697" s="675">
        <v>0</v>
      </c>
      <c r="AP697" s="549">
        <v>0</v>
      </c>
      <c r="AQ697" s="675">
        <v>0</v>
      </c>
      <c r="AR697" s="549">
        <v>0</v>
      </c>
      <c r="AS697" s="675">
        <v>0</v>
      </c>
      <c r="AT697" s="549">
        <v>0</v>
      </c>
      <c r="AU697" s="675">
        <v>0</v>
      </c>
      <c r="AV697" s="549">
        <v>0</v>
      </c>
      <c r="AW697" s="675">
        <v>0</v>
      </c>
      <c r="AX697" s="549">
        <v>0</v>
      </c>
      <c r="AY697" s="675">
        <v>0</v>
      </c>
      <c r="AZ697" s="549">
        <v>0</v>
      </c>
      <c r="BA697" s="675">
        <v>0</v>
      </c>
      <c r="BB697" s="549">
        <v>0</v>
      </c>
      <c r="BC697" s="675">
        <v>0</v>
      </c>
      <c r="BD697" s="549">
        <v>0</v>
      </c>
      <c r="BE697" s="675">
        <v>0</v>
      </c>
      <c r="BF697" s="549">
        <v>0</v>
      </c>
      <c r="BG697" s="675">
        <v>0</v>
      </c>
      <c r="BH697" s="549">
        <v>0</v>
      </c>
      <c r="BI697" s="675">
        <v>0</v>
      </c>
      <c r="BJ697" s="549">
        <v>0</v>
      </c>
      <c r="BK697" s="675">
        <v>0</v>
      </c>
      <c r="BL697" s="549">
        <v>0</v>
      </c>
      <c r="BM697" s="675">
        <v>0</v>
      </c>
      <c r="BN697" s="549">
        <v>0</v>
      </c>
      <c r="BO697" s="675">
        <v>0</v>
      </c>
      <c r="BP697" s="549">
        <v>0</v>
      </c>
      <c r="BQ697" s="675">
        <v>0</v>
      </c>
      <c r="BR697" s="549">
        <v>0</v>
      </c>
      <c r="BS697" s="675">
        <v>0</v>
      </c>
      <c r="BT697" s="549">
        <v>0</v>
      </c>
      <c r="BU697" s="675">
        <v>0</v>
      </c>
      <c r="BV697" s="549">
        <v>0</v>
      </c>
      <c r="BW697" s="675">
        <v>0</v>
      </c>
      <c r="BX697" s="549">
        <v>0</v>
      </c>
      <c r="BY697" s="675">
        <v>0</v>
      </c>
      <c r="BZ697" s="549">
        <v>0</v>
      </c>
      <c r="CA697" s="675">
        <v>0</v>
      </c>
      <c r="CB697" s="549">
        <v>0</v>
      </c>
      <c r="CC697" s="675">
        <v>0</v>
      </c>
      <c r="CD697" s="549">
        <v>0</v>
      </c>
      <c r="CE697" s="675">
        <v>0</v>
      </c>
      <c r="CF697" s="549">
        <v>0</v>
      </c>
      <c r="CG697" s="675">
        <v>0</v>
      </c>
      <c r="CH697" s="549">
        <v>0</v>
      </c>
      <c r="CI697" s="675">
        <v>0</v>
      </c>
      <c r="CJ697" s="549">
        <v>0</v>
      </c>
      <c r="CK697" s="675">
        <v>0</v>
      </c>
      <c r="CL697" s="549">
        <v>0</v>
      </c>
      <c r="CM697" s="675">
        <v>0</v>
      </c>
      <c r="CN697" s="549">
        <v>0</v>
      </c>
      <c r="CO697" s="675">
        <v>0</v>
      </c>
      <c r="CP697" s="549">
        <v>0</v>
      </c>
      <c r="CQ697" s="675">
        <v>0</v>
      </c>
      <c r="CR697" s="549">
        <v>0</v>
      </c>
      <c r="CS697" s="675">
        <v>0</v>
      </c>
      <c r="CT697" s="549">
        <v>0</v>
      </c>
      <c r="CU697" s="675">
        <v>0</v>
      </c>
      <c r="CV697" s="549">
        <v>0</v>
      </c>
      <c r="CW697" s="675">
        <v>0</v>
      </c>
      <c r="CX697" s="549">
        <v>0</v>
      </c>
      <c r="CY697" s="675">
        <v>0</v>
      </c>
      <c r="CZ697" s="549">
        <v>0</v>
      </c>
      <c r="DA697" s="675">
        <v>0</v>
      </c>
      <c r="DB697" s="549">
        <v>0</v>
      </c>
      <c r="DC697" s="675">
        <v>0</v>
      </c>
      <c r="DD697" s="549">
        <v>0</v>
      </c>
      <c r="DE697" s="675">
        <v>0</v>
      </c>
      <c r="DF697" s="549">
        <v>0</v>
      </c>
      <c r="DG697" s="675">
        <v>0</v>
      </c>
      <c r="DH697" s="549">
        <v>0</v>
      </c>
      <c r="DI697" s="675">
        <v>0</v>
      </c>
      <c r="DJ697" s="549">
        <v>0</v>
      </c>
      <c r="DK697" s="675">
        <v>0</v>
      </c>
      <c r="DL697" s="549">
        <v>0</v>
      </c>
      <c r="DM697" s="675">
        <v>0</v>
      </c>
      <c r="DN697" s="549">
        <v>0</v>
      </c>
      <c r="DO697" s="675">
        <v>0</v>
      </c>
      <c r="DP697" s="549">
        <v>0</v>
      </c>
      <c r="DQ697" s="675">
        <v>0</v>
      </c>
      <c r="DR697" s="549">
        <v>0</v>
      </c>
      <c r="DS697" s="675">
        <v>0</v>
      </c>
      <c r="DT697" s="549">
        <v>0</v>
      </c>
      <c r="DU697" s="675">
        <v>0</v>
      </c>
      <c r="DV697" s="549">
        <v>0</v>
      </c>
      <c r="DW697" s="675">
        <v>0</v>
      </c>
      <c r="DX697" s="549">
        <v>0</v>
      </c>
      <c r="DY697" s="675">
        <v>0</v>
      </c>
      <c r="DZ697" s="549">
        <v>0</v>
      </c>
      <c r="EA697" s="675">
        <v>0</v>
      </c>
      <c r="EB697" s="549">
        <v>0</v>
      </c>
      <c r="EC697" s="675">
        <v>0</v>
      </c>
      <c r="ED697" s="549">
        <v>0</v>
      </c>
      <c r="EE697" s="675">
        <v>0</v>
      </c>
      <c r="EF697" s="549">
        <v>0</v>
      </c>
      <c r="EG697" s="675">
        <v>0</v>
      </c>
      <c r="EH697" s="549">
        <v>0</v>
      </c>
      <c r="EI697" s="675">
        <v>0</v>
      </c>
      <c r="EJ697" s="549">
        <v>0</v>
      </c>
      <c r="EK697" s="675">
        <v>0</v>
      </c>
      <c r="EL697" s="549">
        <v>0</v>
      </c>
      <c r="EM697" s="675">
        <v>0</v>
      </c>
      <c r="EN697" s="549">
        <v>0</v>
      </c>
      <c r="EO697" s="675">
        <v>0</v>
      </c>
      <c r="EP697" s="549">
        <v>0</v>
      </c>
      <c r="EQ697" s="675">
        <v>0</v>
      </c>
      <c r="ER697" s="549">
        <v>0</v>
      </c>
      <c r="ES697" s="675">
        <v>0</v>
      </c>
      <c r="ET697" s="549">
        <v>0</v>
      </c>
      <c r="EU697" s="675">
        <v>0</v>
      </c>
      <c r="EV697" s="549">
        <v>0</v>
      </c>
      <c r="EW697" s="675">
        <v>0</v>
      </c>
      <c r="EX697" s="549">
        <v>0</v>
      </c>
      <c r="EY697" s="675">
        <v>0</v>
      </c>
      <c r="EZ697" s="549">
        <v>0</v>
      </c>
      <c r="FA697" s="675">
        <v>0</v>
      </c>
      <c r="FB697" s="549">
        <v>0</v>
      </c>
      <c r="FC697" s="675">
        <v>0</v>
      </c>
      <c r="FD697" s="549">
        <v>0</v>
      </c>
      <c r="FE697" s="675">
        <v>0</v>
      </c>
      <c r="FF697" s="549">
        <v>0</v>
      </c>
      <c r="FG697" s="675">
        <v>0</v>
      </c>
      <c r="FH697" s="549">
        <v>0</v>
      </c>
      <c r="FI697" s="675">
        <v>0</v>
      </c>
      <c r="FJ697" s="549">
        <v>0</v>
      </c>
      <c r="FK697" s="675">
        <v>0</v>
      </c>
      <c r="FL697" s="549">
        <v>0</v>
      </c>
      <c r="FM697" s="675">
        <v>0</v>
      </c>
      <c r="FN697" s="549">
        <v>0</v>
      </c>
      <c r="FO697" s="675">
        <v>0</v>
      </c>
      <c r="FP697" s="549">
        <v>0</v>
      </c>
      <c r="FQ697" s="675">
        <v>0</v>
      </c>
      <c r="FR697" s="549">
        <v>0</v>
      </c>
      <c r="FS697" s="675">
        <v>0</v>
      </c>
      <c r="FT697" s="549">
        <v>0</v>
      </c>
      <c r="FU697" s="675">
        <v>0</v>
      </c>
      <c r="FV697" s="549">
        <v>0</v>
      </c>
      <c r="FW697" s="675">
        <v>0</v>
      </c>
      <c r="FX697" s="549">
        <v>0</v>
      </c>
      <c r="FY697" s="675">
        <v>0</v>
      </c>
      <c r="FZ697" s="549">
        <v>0</v>
      </c>
      <c r="GA697" s="675">
        <v>0</v>
      </c>
      <c r="GB697" s="549">
        <v>0</v>
      </c>
      <c r="GC697" s="675">
        <v>0</v>
      </c>
      <c r="GD697" s="549">
        <v>0</v>
      </c>
      <c r="GE697" s="675">
        <v>0</v>
      </c>
      <c r="GF697" s="549">
        <v>0</v>
      </c>
      <c r="GG697" s="675">
        <v>0</v>
      </c>
      <c r="GH697" s="549">
        <v>0</v>
      </c>
      <c r="GI697" s="675">
        <v>0</v>
      </c>
      <c r="GJ697" s="549">
        <v>0</v>
      </c>
      <c r="GK697" s="675">
        <v>0</v>
      </c>
      <c r="GL697" s="549">
        <v>0</v>
      </c>
      <c r="GM697" s="675">
        <v>0</v>
      </c>
      <c r="GN697" s="549">
        <v>0</v>
      </c>
      <c r="GO697" s="675">
        <v>0</v>
      </c>
      <c r="GP697" s="549">
        <f>+D697+F697+H697+J697+L697+N697+P697+R697+T697+V697+X697+Z697+AB697+AD697+AH697+AJ697+AL697+AN697+AP697+AR697+AT697+AV697+AX697+AZ697+BB697+BD697+BF697+BH697+BJ697+BL697+BN697+BP697+BR697+BT697+BV697+BX697+BZ697+CB697+CD697+CF697+CH697+CJ697+CL697+CN697+CP697+CR697+CT697+CV697+CX697+CZ697+DB697+DD697+DF697+DH697+DT697+EX697+DJ697+DL697+DN697+DP697+DR697+EJ697+EB697+DZ697+DX697+DV697+ED697+EF697+EH697+EL697+EN697+EP697+EV697+ET697+ER697+EZ697+FB697+FD697+GL697+FF697+FJ697+FL697+GJ697+FT697+FR697+FP697+FN697+FH697</f>
        <v>0</v>
      </c>
      <c r="GQ697" s="675">
        <f>+E697+G697+I697+K697+M697+O697+Q697+S697+U697+W697+Y697+AA697+AC697+AE697+AI697+AK697+AM697+AO697+AQ697+AS697+AU697+AW697+AY697+BA697+BC697+BE697+BG697+BI697+BK697+BM697+BO697+BQ697+BS697+BU697+BW697+BY697+CA697+CC697+CE697+CG697+CI697+CK697+CM697+CO697+CQ697+CS697+CU697+CW697+CY697+DA697+DC697+DE697+DG697+DI697+DU697+EY697+DK697+DM697+DO697+DQ697+DS697+EK697+EC697+EA697+DY697+DW697+EI697+EG697+EE697+EM697+EO697+EQ697+EW697+EU697+ES697+FA697+FC697+FE697+GM697+FG697+FK697+FM697+FO697+FQ697+FS697+FU697+GK697+FI697</f>
        <v>0</v>
      </c>
      <c r="GR697" s="74">
        <f>C697+GP697+GQ697</f>
        <v>0</v>
      </c>
      <c r="GS697" s="74">
        <f t="shared" ref="GS697" si="15672">SUM(GU697)+GP697+GQ697</f>
        <v>0</v>
      </c>
      <c r="GT697" s="568">
        <f>SUM(GU697:HF697)+GQ697+GP697</f>
        <v>0</v>
      </c>
      <c r="GU697" s="275">
        <v>0</v>
      </c>
      <c r="GV697" s="275"/>
      <c r="GW697" s="588"/>
      <c r="GX697" s="588">
        <v>0</v>
      </c>
      <c r="GY697" s="275"/>
      <c r="GZ697" s="275"/>
      <c r="HA697" s="275">
        <v>0</v>
      </c>
      <c r="HB697" s="275"/>
      <c r="HC697" s="275"/>
      <c r="HD697" s="275">
        <v>0</v>
      </c>
      <c r="HE697" s="275">
        <v>0</v>
      </c>
      <c r="HF697" s="275">
        <v>0</v>
      </c>
      <c r="HG697" s="74">
        <f>SUM(HH697:IE697)+GP697+GQ697</f>
        <v>0</v>
      </c>
      <c r="HH697" s="89">
        <v>0</v>
      </c>
      <c r="HI697" s="817">
        <v>0</v>
      </c>
      <c r="HJ697" s="89">
        <v>0</v>
      </c>
      <c r="HK697" s="817">
        <v>0</v>
      </c>
      <c r="HL697" s="89">
        <v>0</v>
      </c>
      <c r="HM697" s="817">
        <v>0</v>
      </c>
      <c r="HN697" s="89">
        <v>0</v>
      </c>
      <c r="HO697" s="817">
        <v>0</v>
      </c>
      <c r="HP697" s="89">
        <v>0</v>
      </c>
      <c r="HQ697" s="817">
        <v>0</v>
      </c>
      <c r="HR697" s="89">
        <v>0</v>
      </c>
      <c r="HS697" s="817">
        <v>0</v>
      </c>
      <c r="HT697" s="89">
        <v>0</v>
      </c>
      <c r="HU697" s="817">
        <v>0</v>
      </c>
      <c r="HV697" s="89">
        <v>0</v>
      </c>
      <c r="HW697" s="817">
        <v>0</v>
      </c>
      <c r="HX697" s="89">
        <v>0</v>
      </c>
      <c r="HY697" s="817">
        <v>0</v>
      </c>
      <c r="HZ697" s="89">
        <v>0</v>
      </c>
      <c r="IA697" s="817">
        <v>0</v>
      </c>
      <c r="IB697" s="89">
        <v>0</v>
      </c>
      <c r="IC697" s="817">
        <v>0</v>
      </c>
      <c r="ID697" s="89">
        <v>0</v>
      </c>
      <c r="IE697" s="817">
        <v>0</v>
      </c>
      <c r="IF697" s="841">
        <f t="shared" ref="IF697" si="15673">SUM(II697,IL697,IO697,IR697,IU697,IX697,JA697,JD697,JG697,JJ697,JM697,JP697)</f>
        <v>0</v>
      </c>
      <c r="IG697" s="263">
        <f t="shared" ref="IG697" si="15674">SUM(IJ697,IM697,IP697,IS697,IV697,IY697,JB697,JE697,JH697,JK697,JN697,JQ697)</f>
        <v>0</v>
      </c>
      <c r="IH697" s="842">
        <f t="shared" ref="IH697" si="15675">SUM(IK697,IN697,IQ697,IT697,IW697,IZ697,JC697,JF697,JI697,JL697,JO697,JR697)</f>
        <v>0</v>
      </c>
      <c r="II697" s="89">
        <v>0</v>
      </c>
      <c r="IJ697" s="89">
        <v>0</v>
      </c>
      <c r="IK697" s="89">
        <v>0</v>
      </c>
      <c r="IL697" s="89">
        <v>0</v>
      </c>
      <c r="IM697" s="89">
        <v>0</v>
      </c>
      <c r="IN697" s="89">
        <v>0</v>
      </c>
      <c r="IO697" s="89">
        <v>0</v>
      </c>
      <c r="IP697" s="89">
        <v>0</v>
      </c>
      <c r="IQ697" s="89">
        <v>0</v>
      </c>
      <c r="IR697" s="89">
        <v>0</v>
      </c>
      <c r="IS697" s="89">
        <v>0</v>
      </c>
      <c r="IT697" s="89">
        <v>0</v>
      </c>
      <c r="IU697" s="89">
        <v>0</v>
      </c>
      <c r="IV697" s="89">
        <v>0</v>
      </c>
      <c r="IW697" s="89">
        <v>0</v>
      </c>
      <c r="IX697" s="89">
        <v>0</v>
      </c>
      <c r="IY697" s="89">
        <v>0</v>
      </c>
      <c r="IZ697" s="89">
        <v>0</v>
      </c>
      <c r="JA697" s="89">
        <v>0</v>
      </c>
      <c r="JB697" s="89">
        <v>0</v>
      </c>
      <c r="JC697" s="89">
        <v>0</v>
      </c>
      <c r="JD697" s="89">
        <v>0</v>
      </c>
      <c r="JE697" s="89">
        <v>0</v>
      </c>
      <c r="JF697" s="89">
        <v>0</v>
      </c>
      <c r="JG697" s="89">
        <v>0</v>
      </c>
      <c r="JH697" s="89">
        <v>0</v>
      </c>
      <c r="JI697" s="89">
        <v>0</v>
      </c>
      <c r="JJ697" s="89">
        <v>0</v>
      </c>
      <c r="JK697" s="89">
        <v>0</v>
      </c>
      <c r="JL697" s="89">
        <v>0</v>
      </c>
      <c r="JM697" s="89">
        <v>0</v>
      </c>
      <c r="JN697" s="89">
        <v>0</v>
      </c>
      <c r="JO697" s="89">
        <v>0</v>
      </c>
      <c r="JP697" s="89">
        <v>0</v>
      </c>
      <c r="JQ697" s="89">
        <v>0</v>
      </c>
      <c r="JR697" s="89">
        <v>0</v>
      </c>
      <c r="JS697" s="74">
        <f>HG697-IF697</f>
        <v>0</v>
      </c>
      <c r="JT697" s="382">
        <f>GS697-IF697</f>
        <v>0</v>
      </c>
      <c r="JU697" s="665"/>
      <c r="JV697" s="524"/>
      <c r="JW697" s="525"/>
      <c r="JX697" s="549">
        <f>SUM(HH697,HJ697,HL697,HN697,HP697,HR697,HT697,HV697,HX697,HZ697,IB697,ID697)</f>
        <v>0</v>
      </c>
      <c r="JY697" s="549">
        <f t="shared" ref="JY697:JY698" si="15676">SUM(HI697,HK697,HM697,HO697,HQ697,HS697,HU697,HW697,HY697,IA697,IC697,IE697)</f>
        <v>0</v>
      </c>
      <c r="JZ697" s="581">
        <f t="shared" ref="JZ697:JZ698" si="15677">GP697</f>
        <v>0</v>
      </c>
      <c r="KA697" s="581">
        <f t="shared" ref="KA697:KA698" si="15678">GQ697</f>
        <v>0</v>
      </c>
      <c r="KB697" s="566">
        <f>SUM(JX697:KA697)</f>
        <v>0</v>
      </c>
      <c r="KC697" s="709">
        <f t="shared" si="15671"/>
        <v>0</v>
      </c>
      <c r="KD697" s="491"/>
      <c r="KE697" s="491"/>
      <c r="KF697" s="491"/>
      <c r="KG697" s="491"/>
      <c r="KH697" s="36"/>
      <c r="KI697" s="36"/>
      <c r="KJ697" s="36"/>
      <c r="KK697" s="36"/>
    </row>
    <row r="698" spans="1:297" s="10" customFormat="1" ht="12.75" hidden="1" customHeight="1">
      <c r="A698" s="612"/>
      <c r="B698" s="512"/>
      <c r="C698" s="513"/>
      <c r="D698" s="553"/>
      <c r="E698" s="687"/>
      <c r="F698" s="553"/>
      <c r="G698" s="687"/>
      <c r="H698" s="553"/>
      <c r="I698" s="687"/>
      <c r="J698" s="553"/>
      <c r="K698" s="687"/>
      <c r="L698" s="553"/>
      <c r="M698" s="687"/>
      <c r="N698" s="553"/>
      <c r="O698" s="687"/>
      <c r="P698" s="553"/>
      <c r="Q698" s="687"/>
      <c r="R698" s="553"/>
      <c r="S698" s="687"/>
      <c r="T698" s="553"/>
      <c r="U698" s="687"/>
      <c r="V698" s="553"/>
      <c r="W698" s="687"/>
      <c r="X698" s="553"/>
      <c r="Y698" s="687"/>
      <c r="Z698" s="553"/>
      <c r="AA698" s="687"/>
      <c r="AB698" s="553"/>
      <c r="AC698" s="687"/>
      <c r="AD698" s="553"/>
      <c r="AE698" s="687"/>
      <c r="AF698" s="553"/>
      <c r="AG698" s="687"/>
      <c r="AH698" s="553"/>
      <c r="AI698" s="687"/>
      <c r="AJ698" s="553"/>
      <c r="AK698" s="687"/>
      <c r="AL698" s="553"/>
      <c r="AM698" s="687"/>
      <c r="AN698" s="553"/>
      <c r="AO698" s="687"/>
      <c r="AP698" s="553"/>
      <c r="AQ698" s="687"/>
      <c r="AR698" s="553"/>
      <c r="AS698" s="687"/>
      <c r="AT698" s="553"/>
      <c r="AU698" s="687"/>
      <c r="AV698" s="553"/>
      <c r="AW698" s="687"/>
      <c r="AX698" s="553"/>
      <c r="AY698" s="687"/>
      <c r="AZ698" s="553"/>
      <c r="BA698" s="687"/>
      <c r="BB698" s="553"/>
      <c r="BC698" s="687"/>
      <c r="BD698" s="553"/>
      <c r="BE698" s="687"/>
      <c r="BF698" s="553"/>
      <c r="BG698" s="687"/>
      <c r="BH698" s="553"/>
      <c r="BI698" s="687"/>
      <c r="BJ698" s="553"/>
      <c r="BK698" s="687"/>
      <c r="BL698" s="553"/>
      <c r="BM698" s="687"/>
      <c r="BN698" s="553"/>
      <c r="BO698" s="687"/>
      <c r="BP698" s="553"/>
      <c r="BQ698" s="687"/>
      <c r="BR698" s="553"/>
      <c r="BS698" s="687"/>
      <c r="BT698" s="553"/>
      <c r="BU698" s="687"/>
      <c r="BV698" s="553"/>
      <c r="BW698" s="687"/>
      <c r="BX698" s="553"/>
      <c r="BY698" s="687"/>
      <c r="BZ698" s="553"/>
      <c r="CA698" s="687"/>
      <c r="CB698" s="553"/>
      <c r="CC698" s="687"/>
      <c r="CD698" s="553"/>
      <c r="CE698" s="687"/>
      <c r="CF698" s="553"/>
      <c r="CG698" s="687"/>
      <c r="CH698" s="553"/>
      <c r="CI698" s="687"/>
      <c r="CJ698" s="553"/>
      <c r="CK698" s="687"/>
      <c r="CL698" s="553"/>
      <c r="CM698" s="687"/>
      <c r="CN698" s="553"/>
      <c r="CO698" s="687"/>
      <c r="CP698" s="553"/>
      <c r="CQ698" s="687"/>
      <c r="CR698" s="553"/>
      <c r="CS698" s="687"/>
      <c r="CT698" s="553"/>
      <c r="CU698" s="687"/>
      <c r="CV698" s="553"/>
      <c r="CW698" s="687"/>
      <c r="CX698" s="553"/>
      <c r="CY698" s="687"/>
      <c r="CZ698" s="553"/>
      <c r="DA698" s="687"/>
      <c r="DB698" s="553"/>
      <c r="DC698" s="687"/>
      <c r="DD698" s="553"/>
      <c r="DE698" s="687"/>
      <c r="DF698" s="553"/>
      <c r="DG698" s="687"/>
      <c r="DH698" s="553"/>
      <c r="DI698" s="687"/>
      <c r="DJ698" s="553"/>
      <c r="DK698" s="687"/>
      <c r="DL698" s="553"/>
      <c r="DM698" s="687"/>
      <c r="DN698" s="553"/>
      <c r="DO698" s="687"/>
      <c r="DP698" s="553"/>
      <c r="DQ698" s="687"/>
      <c r="DR698" s="553"/>
      <c r="DS698" s="687"/>
      <c r="DT698" s="553"/>
      <c r="DU698" s="687"/>
      <c r="DV698" s="553"/>
      <c r="DW698" s="687"/>
      <c r="DX698" s="553"/>
      <c r="DY698" s="687"/>
      <c r="DZ698" s="553"/>
      <c r="EA698" s="687"/>
      <c r="EB698" s="553"/>
      <c r="EC698" s="687"/>
      <c r="ED698" s="553"/>
      <c r="EE698" s="687"/>
      <c r="EF698" s="553"/>
      <c r="EG698" s="687"/>
      <c r="EH698" s="553"/>
      <c r="EI698" s="687"/>
      <c r="EJ698" s="553"/>
      <c r="EK698" s="687"/>
      <c r="EL698" s="553"/>
      <c r="EM698" s="687"/>
      <c r="EN698" s="553"/>
      <c r="EO698" s="687"/>
      <c r="EP698" s="553"/>
      <c r="EQ698" s="687"/>
      <c r="ER698" s="553"/>
      <c r="ES698" s="687"/>
      <c r="ET698" s="553"/>
      <c r="EU698" s="687"/>
      <c r="EV698" s="553"/>
      <c r="EW698" s="687"/>
      <c r="EX698" s="553"/>
      <c r="EY698" s="687"/>
      <c r="EZ698" s="553"/>
      <c r="FA698" s="687"/>
      <c r="FB698" s="553"/>
      <c r="FC698" s="687"/>
      <c r="FD698" s="553"/>
      <c r="FE698" s="687"/>
      <c r="FF698" s="553"/>
      <c r="FG698" s="687"/>
      <c r="FH698" s="553"/>
      <c r="FI698" s="687"/>
      <c r="FJ698" s="553"/>
      <c r="FK698" s="687"/>
      <c r="FL698" s="553"/>
      <c r="FM698" s="687"/>
      <c r="FN698" s="553"/>
      <c r="FO698" s="687"/>
      <c r="FP698" s="553"/>
      <c r="FQ698" s="687"/>
      <c r="FR698" s="553"/>
      <c r="FS698" s="687"/>
      <c r="FT698" s="553"/>
      <c r="FU698" s="687"/>
      <c r="FV698" s="553"/>
      <c r="FW698" s="687"/>
      <c r="FX698" s="553"/>
      <c r="FY698" s="687"/>
      <c r="FZ698" s="553"/>
      <c r="GA698" s="687"/>
      <c r="GB698" s="553"/>
      <c r="GC698" s="687"/>
      <c r="GD698" s="553"/>
      <c r="GE698" s="687"/>
      <c r="GF698" s="553"/>
      <c r="GG698" s="687"/>
      <c r="GH698" s="553"/>
      <c r="GI698" s="687"/>
      <c r="GJ698" s="553"/>
      <c r="GK698" s="687"/>
      <c r="GL698" s="553"/>
      <c r="GM698" s="687"/>
      <c r="GN698" s="553"/>
      <c r="GO698" s="687"/>
      <c r="GP698" s="553"/>
      <c r="GQ698" s="687"/>
      <c r="GR698" s="487"/>
      <c r="GS698" s="487"/>
      <c r="GT698" s="567"/>
      <c r="GU698" s="493"/>
      <c r="GV698" s="493"/>
      <c r="GW698" s="589"/>
      <c r="GX698" s="589"/>
      <c r="GY698" s="493"/>
      <c r="GZ698" s="493"/>
      <c r="HA698" s="493"/>
      <c r="HB698" s="493"/>
      <c r="HC698" s="493"/>
      <c r="HD698" s="493"/>
      <c r="HE698" s="493"/>
      <c r="HF698" s="493"/>
      <c r="HG698" s="487"/>
      <c r="HH698" s="488"/>
      <c r="HI698" s="829"/>
      <c r="HJ698" s="488"/>
      <c r="HK698" s="829"/>
      <c r="HL698" s="488"/>
      <c r="HM698" s="829"/>
      <c r="HN698" s="488"/>
      <c r="HO698" s="829"/>
      <c r="HP698" s="488"/>
      <c r="HQ698" s="829"/>
      <c r="HR698" s="488"/>
      <c r="HS698" s="829"/>
      <c r="HT698" s="488"/>
      <c r="HU698" s="829"/>
      <c r="HV698" s="488"/>
      <c r="HW698" s="829"/>
      <c r="HX698" s="488"/>
      <c r="HY698" s="829"/>
      <c r="HZ698" s="488"/>
      <c r="IA698" s="829"/>
      <c r="IB698" s="488"/>
      <c r="IC698" s="829"/>
      <c r="ID698" s="488"/>
      <c r="IE698" s="829"/>
      <c r="IF698" s="871"/>
      <c r="IG698" s="486"/>
      <c r="IH698" s="872"/>
      <c r="II698" s="488"/>
      <c r="IJ698" s="488"/>
      <c r="IK698" s="488"/>
      <c r="IL698" s="488"/>
      <c r="IM698" s="488"/>
      <c r="IN698" s="488"/>
      <c r="IO698" s="488"/>
      <c r="IP698" s="488"/>
      <c r="IQ698" s="488"/>
      <c r="IR698" s="488"/>
      <c r="IS698" s="488"/>
      <c r="IT698" s="488"/>
      <c r="IU698" s="488"/>
      <c r="IV698" s="488"/>
      <c r="IW698" s="488"/>
      <c r="IX698" s="488"/>
      <c r="IY698" s="488"/>
      <c r="IZ698" s="488"/>
      <c r="JA698" s="488"/>
      <c r="JB698" s="488"/>
      <c r="JC698" s="488"/>
      <c r="JD698" s="488"/>
      <c r="JE698" s="488"/>
      <c r="JF698" s="488"/>
      <c r="JG698" s="488"/>
      <c r="JH698" s="488"/>
      <c r="JI698" s="488"/>
      <c r="JJ698" s="488"/>
      <c r="JK698" s="488"/>
      <c r="JL698" s="488"/>
      <c r="JM698" s="488"/>
      <c r="JN698" s="488"/>
      <c r="JO698" s="488"/>
      <c r="JP698" s="488"/>
      <c r="JQ698" s="488"/>
      <c r="JR698" s="488"/>
      <c r="JS698" s="487"/>
      <c r="JT698" s="662"/>
      <c r="JU698" s="665"/>
      <c r="JV698" s="524"/>
      <c r="JW698" s="525"/>
      <c r="JX698" s="553"/>
      <c r="JY698" s="549">
        <f t="shared" si="15676"/>
        <v>0</v>
      </c>
      <c r="JZ698" s="581">
        <f t="shared" si="15677"/>
        <v>0</v>
      </c>
      <c r="KA698" s="581">
        <f t="shared" si="15678"/>
        <v>0</v>
      </c>
      <c r="KB698" s="566">
        <f t="shared" ref="KB698" si="15679">SUM(JX698:KA698)</f>
        <v>0</v>
      </c>
      <c r="KC698" s="709">
        <f t="shared" si="15671"/>
        <v>0</v>
      </c>
      <c r="KD698" s="491"/>
      <c r="KE698" s="491"/>
      <c r="KF698" s="491"/>
      <c r="KG698" s="491"/>
      <c r="KH698" s="36"/>
      <c r="KI698" s="36"/>
      <c r="KJ698" s="36"/>
      <c r="KK698" s="36"/>
    </row>
    <row r="699" spans="1:297" s="10" customFormat="1">
      <c r="A699" s="613" t="s">
        <v>1166</v>
      </c>
      <c r="B699" s="514" t="s">
        <v>1188</v>
      </c>
      <c r="C699" s="513">
        <f>C700</f>
        <v>77200</v>
      </c>
      <c r="D699" s="567">
        <f t="shared" ref="D699:IZ699" si="15680">D700</f>
        <v>0</v>
      </c>
      <c r="E699" s="686">
        <f t="shared" ref="E699" si="15681">E700</f>
        <v>0</v>
      </c>
      <c r="F699" s="567">
        <f t="shared" si="15680"/>
        <v>0</v>
      </c>
      <c r="G699" s="686">
        <f t="shared" si="15680"/>
        <v>0</v>
      </c>
      <c r="H699" s="567">
        <f t="shared" si="15680"/>
        <v>0</v>
      </c>
      <c r="I699" s="686">
        <f t="shared" si="15680"/>
        <v>0</v>
      </c>
      <c r="J699" s="567">
        <f t="shared" si="15680"/>
        <v>0</v>
      </c>
      <c r="K699" s="686">
        <f t="shared" si="15680"/>
        <v>0</v>
      </c>
      <c r="L699" s="567">
        <f t="shared" si="15680"/>
        <v>0</v>
      </c>
      <c r="M699" s="686">
        <f t="shared" si="15680"/>
        <v>0</v>
      </c>
      <c r="N699" s="567">
        <f t="shared" si="15680"/>
        <v>0</v>
      </c>
      <c r="O699" s="686">
        <f t="shared" si="15680"/>
        <v>0</v>
      </c>
      <c r="P699" s="567">
        <f t="shared" si="15680"/>
        <v>0</v>
      </c>
      <c r="Q699" s="686">
        <f t="shared" si="15680"/>
        <v>0</v>
      </c>
      <c r="R699" s="567">
        <f t="shared" si="15680"/>
        <v>0</v>
      </c>
      <c r="S699" s="686">
        <f t="shared" si="15680"/>
        <v>0</v>
      </c>
      <c r="T699" s="567">
        <f t="shared" si="15680"/>
        <v>0</v>
      </c>
      <c r="U699" s="686">
        <f t="shared" si="15680"/>
        <v>-77200</v>
      </c>
      <c r="V699" s="567">
        <f t="shared" si="15680"/>
        <v>0</v>
      </c>
      <c r="W699" s="686">
        <f t="shared" si="15680"/>
        <v>0</v>
      </c>
      <c r="X699" s="567">
        <f t="shared" si="15680"/>
        <v>0</v>
      </c>
      <c r="Y699" s="686">
        <f t="shared" si="15680"/>
        <v>0</v>
      </c>
      <c r="Z699" s="567">
        <f t="shared" si="15680"/>
        <v>0</v>
      </c>
      <c r="AA699" s="686">
        <f t="shared" si="15680"/>
        <v>0</v>
      </c>
      <c r="AB699" s="567">
        <f t="shared" si="15680"/>
        <v>0</v>
      </c>
      <c r="AC699" s="686">
        <f t="shared" si="15680"/>
        <v>0</v>
      </c>
      <c r="AD699" s="567">
        <f t="shared" si="15680"/>
        <v>0</v>
      </c>
      <c r="AE699" s="686">
        <f t="shared" si="15680"/>
        <v>0</v>
      </c>
      <c r="AF699" s="567">
        <f t="shared" si="15680"/>
        <v>0</v>
      </c>
      <c r="AG699" s="686">
        <f t="shared" si="15680"/>
        <v>0</v>
      </c>
      <c r="AH699" s="567">
        <f t="shared" si="15680"/>
        <v>0</v>
      </c>
      <c r="AI699" s="686">
        <f t="shared" si="15680"/>
        <v>0</v>
      </c>
      <c r="AJ699" s="567">
        <f t="shared" si="15680"/>
        <v>0</v>
      </c>
      <c r="AK699" s="686">
        <f t="shared" si="15680"/>
        <v>0</v>
      </c>
      <c r="AL699" s="567">
        <f t="shared" si="15680"/>
        <v>0</v>
      </c>
      <c r="AM699" s="686">
        <f t="shared" si="15680"/>
        <v>0</v>
      </c>
      <c r="AN699" s="567">
        <f t="shared" si="15680"/>
        <v>0</v>
      </c>
      <c r="AO699" s="686">
        <f t="shared" si="15680"/>
        <v>0</v>
      </c>
      <c r="AP699" s="567">
        <f t="shared" si="15680"/>
        <v>0</v>
      </c>
      <c r="AQ699" s="686">
        <f t="shared" si="15680"/>
        <v>0</v>
      </c>
      <c r="AR699" s="567">
        <f t="shared" si="15680"/>
        <v>0</v>
      </c>
      <c r="AS699" s="686">
        <f t="shared" si="15680"/>
        <v>0</v>
      </c>
      <c r="AT699" s="567">
        <f t="shared" si="15680"/>
        <v>0</v>
      </c>
      <c r="AU699" s="686">
        <f t="shared" si="15680"/>
        <v>0</v>
      </c>
      <c r="AV699" s="567">
        <f t="shared" si="15680"/>
        <v>0</v>
      </c>
      <c r="AW699" s="686">
        <f t="shared" si="15680"/>
        <v>0</v>
      </c>
      <c r="AX699" s="567">
        <f t="shared" si="15680"/>
        <v>0</v>
      </c>
      <c r="AY699" s="686">
        <f t="shared" si="15680"/>
        <v>0</v>
      </c>
      <c r="AZ699" s="567">
        <f t="shared" si="15680"/>
        <v>0</v>
      </c>
      <c r="BA699" s="686">
        <f t="shared" si="15680"/>
        <v>0</v>
      </c>
      <c r="BB699" s="567">
        <f t="shared" si="15680"/>
        <v>0</v>
      </c>
      <c r="BC699" s="686">
        <f t="shared" si="15680"/>
        <v>0</v>
      </c>
      <c r="BD699" s="567">
        <f t="shared" si="15680"/>
        <v>0</v>
      </c>
      <c r="BE699" s="686">
        <f t="shared" si="15680"/>
        <v>0</v>
      </c>
      <c r="BF699" s="567">
        <f t="shared" si="15680"/>
        <v>0</v>
      </c>
      <c r="BG699" s="686">
        <f t="shared" si="15680"/>
        <v>0</v>
      </c>
      <c r="BH699" s="567">
        <f t="shared" si="15680"/>
        <v>0</v>
      </c>
      <c r="BI699" s="686">
        <f t="shared" si="15680"/>
        <v>0</v>
      </c>
      <c r="BJ699" s="567">
        <f t="shared" si="15680"/>
        <v>0</v>
      </c>
      <c r="BK699" s="686">
        <f t="shared" si="15680"/>
        <v>0</v>
      </c>
      <c r="BL699" s="567">
        <f t="shared" si="15680"/>
        <v>0</v>
      </c>
      <c r="BM699" s="686">
        <f t="shared" si="15680"/>
        <v>0</v>
      </c>
      <c r="BN699" s="567">
        <f t="shared" si="15680"/>
        <v>0</v>
      </c>
      <c r="BO699" s="686">
        <f t="shared" si="15680"/>
        <v>0</v>
      </c>
      <c r="BP699" s="567">
        <f t="shared" si="15680"/>
        <v>0</v>
      </c>
      <c r="BQ699" s="686">
        <f t="shared" si="15680"/>
        <v>0</v>
      </c>
      <c r="BR699" s="567">
        <f t="shared" si="15680"/>
        <v>0</v>
      </c>
      <c r="BS699" s="686">
        <f t="shared" si="15680"/>
        <v>0</v>
      </c>
      <c r="BT699" s="567">
        <f t="shared" si="15680"/>
        <v>0</v>
      </c>
      <c r="BU699" s="686">
        <f t="shared" si="15680"/>
        <v>0</v>
      </c>
      <c r="BV699" s="567">
        <f t="shared" si="15680"/>
        <v>0</v>
      </c>
      <c r="BW699" s="686">
        <f t="shared" si="15680"/>
        <v>0</v>
      </c>
      <c r="BX699" s="567">
        <f t="shared" si="15680"/>
        <v>0</v>
      </c>
      <c r="BY699" s="686">
        <f t="shared" si="15680"/>
        <v>0</v>
      </c>
      <c r="BZ699" s="567">
        <f t="shared" si="15680"/>
        <v>0</v>
      </c>
      <c r="CA699" s="686">
        <f t="shared" si="15680"/>
        <v>0</v>
      </c>
      <c r="CB699" s="567">
        <f t="shared" si="15680"/>
        <v>0</v>
      </c>
      <c r="CC699" s="686">
        <f t="shared" si="15680"/>
        <v>0</v>
      </c>
      <c r="CD699" s="567">
        <f t="shared" si="15680"/>
        <v>0</v>
      </c>
      <c r="CE699" s="686">
        <f t="shared" si="15680"/>
        <v>0</v>
      </c>
      <c r="CF699" s="567">
        <f t="shared" si="15680"/>
        <v>0</v>
      </c>
      <c r="CG699" s="686">
        <f t="shared" si="15680"/>
        <v>0</v>
      </c>
      <c r="CH699" s="567">
        <f t="shared" si="15680"/>
        <v>0</v>
      </c>
      <c r="CI699" s="686">
        <f t="shared" si="15680"/>
        <v>0</v>
      </c>
      <c r="CJ699" s="567">
        <f t="shared" si="15680"/>
        <v>0</v>
      </c>
      <c r="CK699" s="686">
        <f t="shared" si="15680"/>
        <v>0</v>
      </c>
      <c r="CL699" s="567">
        <f t="shared" si="15680"/>
        <v>0</v>
      </c>
      <c r="CM699" s="686">
        <f t="shared" si="15680"/>
        <v>0</v>
      </c>
      <c r="CN699" s="567">
        <f t="shared" si="15680"/>
        <v>0</v>
      </c>
      <c r="CO699" s="686">
        <f t="shared" si="15680"/>
        <v>0</v>
      </c>
      <c r="CP699" s="567">
        <f t="shared" si="15680"/>
        <v>0</v>
      </c>
      <c r="CQ699" s="686">
        <f t="shared" si="15680"/>
        <v>0</v>
      </c>
      <c r="CR699" s="567">
        <f t="shared" si="15680"/>
        <v>0</v>
      </c>
      <c r="CS699" s="686">
        <f t="shared" si="15680"/>
        <v>0</v>
      </c>
      <c r="CT699" s="567">
        <f t="shared" si="15680"/>
        <v>0</v>
      </c>
      <c r="CU699" s="686">
        <f t="shared" si="15680"/>
        <v>0</v>
      </c>
      <c r="CV699" s="567">
        <f t="shared" si="15680"/>
        <v>0</v>
      </c>
      <c r="CW699" s="686">
        <f t="shared" si="15680"/>
        <v>0</v>
      </c>
      <c r="CX699" s="567">
        <f t="shared" si="15680"/>
        <v>0</v>
      </c>
      <c r="CY699" s="686">
        <f t="shared" si="15680"/>
        <v>0</v>
      </c>
      <c r="CZ699" s="567">
        <f t="shared" si="15680"/>
        <v>0</v>
      </c>
      <c r="DA699" s="686">
        <f t="shared" si="15680"/>
        <v>0</v>
      </c>
      <c r="DB699" s="567">
        <f t="shared" si="15680"/>
        <v>0</v>
      </c>
      <c r="DC699" s="686">
        <f t="shared" si="15680"/>
        <v>0</v>
      </c>
      <c r="DD699" s="567">
        <f t="shared" si="15680"/>
        <v>0</v>
      </c>
      <c r="DE699" s="686">
        <f t="shared" si="15680"/>
        <v>0</v>
      </c>
      <c r="DF699" s="567">
        <f t="shared" si="15680"/>
        <v>0</v>
      </c>
      <c r="DG699" s="686">
        <f t="shared" si="15680"/>
        <v>0</v>
      </c>
      <c r="DH699" s="567">
        <f t="shared" si="15680"/>
        <v>0</v>
      </c>
      <c r="DI699" s="686">
        <f t="shared" si="15680"/>
        <v>0</v>
      </c>
      <c r="DJ699" s="567">
        <f t="shared" si="15680"/>
        <v>0</v>
      </c>
      <c r="DK699" s="686">
        <f t="shared" si="15680"/>
        <v>0</v>
      </c>
      <c r="DL699" s="567">
        <f t="shared" si="15680"/>
        <v>0</v>
      </c>
      <c r="DM699" s="686">
        <f t="shared" si="15680"/>
        <v>0</v>
      </c>
      <c r="DN699" s="567">
        <f t="shared" si="15680"/>
        <v>0</v>
      </c>
      <c r="DO699" s="686">
        <f t="shared" si="15680"/>
        <v>0</v>
      </c>
      <c r="DP699" s="567">
        <f t="shared" si="15680"/>
        <v>0</v>
      </c>
      <c r="DQ699" s="686">
        <f t="shared" si="15680"/>
        <v>0</v>
      </c>
      <c r="DR699" s="567">
        <f t="shared" si="15680"/>
        <v>0</v>
      </c>
      <c r="DS699" s="686">
        <f t="shared" si="15680"/>
        <v>0</v>
      </c>
      <c r="DT699" s="567">
        <f t="shared" si="15680"/>
        <v>0</v>
      </c>
      <c r="DU699" s="686">
        <f t="shared" si="15680"/>
        <v>0</v>
      </c>
      <c r="DV699" s="567">
        <f t="shared" si="15680"/>
        <v>0</v>
      </c>
      <c r="DW699" s="686">
        <f t="shared" si="15680"/>
        <v>0</v>
      </c>
      <c r="DX699" s="567">
        <f t="shared" si="15680"/>
        <v>0</v>
      </c>
      <c r="DY699" s="686">
        <f t="shared" si="15680"/>
        <v>0</v>
      </c>
      <c r="DZ699" s="567">
        <f t="shared" si="15680"/>
        <v>0</v>
      </c>
      <c r="EA699" s="686">
        <f t="shared" si="15680"/>
        <v>0</v>
      </c>
      <c r="EB699" s="567">
        <f t="shared" si="15680"/>
        <v>0</v>
      </c>
      <c r="EC699" s="686">
        <f t="shared" si="15680"/>
        <v>0</v>
      </c>
      <c r="ED699" s="567">
        <f t="shared" si="15680"/>
        <v>0</v>
      </c>
      <c r="EE699" s="686">
        <f t="shared" si="15680"/>
        <v>0</v>
      </c>
      <c r="EF699" s="567">
        <f t="shared" si="15680"/>
        <v>0</v>
      </c>
      <c r="EG699" s="686">
        <f t="shared" si="15680"/>
        <v>0</v>
      </c>
      <c r="EH699" s="567">
        <f t="shared" si="15680"/>
        <v>0</v>
      </c>
      <c r="EI699" s="686">
        <f t="shared" si="15680"/>
        <v>0</v>
      </c>
      <c r="EJ699" s="567">
        <f t="shared" si="15680"/>
        <v>0</v>
      </c>
      <c r="EK699" s="686">
        <f t="shared" si="15680"/>
        <v>0</v>
      </c>
      <c r="EL699" s="567">
        <f t="shared" si="15680"/>
        <v>0</v>
      </c>
      <c r="EM699" s="686">
        <f t="shared" si="15680"/>
        <v>0</v>
      </c>
      <c r="EN699" s="567">
        <f t="shared" si="15680"/>
        <v>0</v>
      </c>
      <c r="EO699" s="686">
        <f t="shared" si="15680"/>
        <v>0</v>
      </c>
      <c r="EP699" s="567">
        <f t="shared" si="15680"/>
        <v>0</v>
      </c>
      <c r="EQ699" s="686">
        <f t="shared" si="15680"/>
        <v>0</v>
      </c>
      <c r="ER699" s="567">
        <f t="shared" si="15680"/>
        <v>0</v>
      </c>
      <c r="ES699" s="686">
        <f t="shared" si="15680"/>
        <v>0</v>
      </c>
      <c r="ET699" s="567">
        <f t="shared" si="15680"/>
        <v>0</v>
      </c>
      <c r="EU699" s="686">
        <f t="shared" si="15680"/>
        <v>0</v>
      </c>
      <c r="EV699" s="567">
        <f t="shared" si="15680"/>
        <v>0</v>
      </c>
      <c r="EW699" s="686">
        <f t="shared" si="15680"/>
        <v>0</v>
      </c>
      <c r="EX699" s="567">
        <f t="shared" si="15680"/>
        <v>0</v>
      </c>
      <c r="EY699" s="686">
        <f t="shared" si="15680"/>
        <v>0</v>
      </c>
      <c r="EZ699" s="567">
        <f t="shared" si="15680"/>
        <v>0</v>
      </c>
      <c r="FA699" s="686">
        <f t="shared" si="15680"/>
        <v>0</v>
      </c>
      <c r="FB699" s="567">
        <f t="shared" si="15680"/>
        <v>0</v>
      </c>
      <c r="FC699" s="686">
        <f t="shared" si="15680"/>
        <v>0</v>
      </c>
      <c r="FD699" s="567">
        <f t="shared" si="15680"/>
        <v>0</v>
      </c>
      <c r="FE699" s="686">
        <f t="shared" si="15680"/>
        <v>0</v>
      </c>
      <c r="FF699" s="567">
        <f t="shared" si="15680"/>
        <v>0</v>
      </c>
      <c r="FG699" s="686">
        <f t="shared" si="15680"/>
        <v>0</v>
      </c>
      <c r="FH699" s="567">
        <f t="shared" si="15680"/>
        <v>0</v>
      </c>
      <c r="FI699" s="686">
        <f t="shared" si="15680"/>
        <v>0</v>
      </c>
      <c r="FJ699" s="567">
        <f t="shared" si="15680"/>
        <v>0</v>
      </c>
      <c r="FK699" s="686">
        <f t="shared" si="15680"/>
        <v>0</v>
      </c>
      <c r="FL699" s="567">
        <f t="shared" si="15680"/>
        <v>0</v>
      </c>
      <c r="FM699" s="686">
        <f t="shared" si="15680"/>
        <v>0</v>
      </c>
      <c r="FN699" s="567">
        <f t="shared" si="15680"/>
        <v>0</v>
      </c>
      <c r="FO699" s="686">
        <f t="shared" si="15680"/>
        <v>0</v>
      </c>
      <c r="FP699" s="567">
        <f t="shared" si="15680"/>
        <v>0</v>
      </c>
      <c r="FQ699" s="686">
        <f t="shared" si="15680"/>
        <v>0</v>
      </c>
      <c r="FR699" s="567">
        <f t="shared" si="15680"/>
        <v>0</v>
      </c>
      <c r="FS699" s="686">
        <f t="shared" si="15680"/>
        <v>0</v>
      </c>
      <c r="FT699" s="567">
        <f t="shared" si="15680"/>
        <v>0</v>
      </c>
      <c r="FU699" s="686">
        <f t="shared" si="15680"/>
        <v>0</v>
      </c>
      <c r="FV699" s="567">
        <f t="shared" si="15680"/>
        <v>0</v>
      </c>
      <c r="FW699" s="686">
        <f t="shared" si="15680"/>
        <v>0</v>
      </c>
      <c r="FX699" s="567">
        <f t="shared" si="15680"/>
        <v>0</v>
      </c>
      <c r="FY699" s="686">
        <f t="shared" si="15680"/>
        <v>0</v>
      </c>
      <c r="FZ699" s="567">
        <f t="shared" si="15680"/>
        <v>0</v>
      </c>
      <c r="GA699" s="686">
        <f t="shared" si="15680"/>
        <v>0</v>
      </c>
      <c r="GB699" s="567">
        <f t="shared" si="15680"/>
        <v>0</v>
      </c>
      <c r="GC699" s="686">
        <f t="shared" si="15680"/>
        <v>0</v>
      </c>
      <c r="GD699" s="567">
        <f t="shared" si="15680"/>
        <v>0</v>
      </c>
      <c r="GE699" s="686">
        <f t="shared" si="15680"/>
        <v>0</v>
      </c>
      <c r="GF699" s="567">
        <f t="shared" si="15680"/>
        <v>0</v>
      </c>
      <c r="GG699" s="686">
        <f t="shared" si="15680"/>
        <v>0</v>
      </c>
      <c r="GH699" s="567">
        <f t="shared" si="15680"/>
        <v>0</v>
      </c>
      <c r="GI699" s="686">
        <f t="shared" si="15680"/>
        <v>0</v>
      </c>
      <c r="GJ699" s="567">
        <f t="shared" si="15680"/>
        <v>0</v>
      </c>
      <c r="GK699" s="686">
        <f t="shared" si="15680"/>
        <v>0</v>
      </c>
      <c r="GL699" s="567">
        <f t="shared" si="15680"/>
        <v>0</v>
      </c>
      <c r="GM699" s="686">
        <f t="shared" si="15680"/>
        <v>0</v>
      </c>
      <c r="GN699" s="567">
        <f t="shared" si="15680"/>
        <v>0</v>
      </c>
      <c r="GO699" s="686">
        <f t="shared" si="15680"/>
        <v>0</v>
      </c>
      <c r="GP699" s="567">
        <f t="shared" si="15680"/>
        <v>0</v>
      </c>
      <c r="GQ699" s="686">
        <f t="shared" si="15680"/>
        <v>-77200</v>
      </c>
      <c r="GR699" s="513">
        <f t="shared" si="15680"/>
        <v>0</v>
      </c>
      <c r="GS699" s="513">
        <f t="shared" si="15680"/>
        <v>0</v>
      </c>
      <c r="GT699" s="567">
        <f t="shared" si="15680"/>
        <v>0</v>
      </c>
      <c r="GU699" s="513">
        <f t="shared" si="15680"/>
        <v>15440</v>
      </c>
      <c r="GV699" s="513">
        <f t="shared" si="15680"/>
        <v>61760</v>
      </c>
      <c r="GW699" s="567">
        <f t="shared" si="15680"/>
        <v>0</v>
      </c>
      <c r="GX699" s="567">
        <f t="shared" si="15680"/>
        <v>0</v>
      </c>
      <c r="GY699" s="513">
        <f t="shared" si="15680"/>
        <v>0</v>
      </c>
      <c r="GZ699" s="513">
        <f t="shared" si="15680"/>
        <v>0</v>
      </c>
      <c r="HA699" s="513">
        <f t="shared" si="15680"/>
        <v>0</v>
      </c>
      <c r="HB699" s="513">
        <f t="shared" si="15680"/>
        <v>0</v>
      </c>
      <c r="HC699" s="513">
        <f t="shared" si="15680"/>
        <v>0</v>
      </c>
      <c r="HD699" s="513">
        <f t="shared" si="15680"/>
        <v>0</v>
      </c>
      <c r="HE699" s="513">
        <f t="shared" si="15680"/>
        <v>0</v>
      </c>
      <c r="HF699" s="513">
        <f t="shared" si="15680"/>
        <v>0</v>
      </c>
      <c r="HG699" s="513">
        <f t="shared" si="15680"/>
        <v>0</v>
      </c>
      <c r="HH699" s="513">
        <f t="shared" ref="HH699:HI699" si="15682">HH700</f>
        <v>0</v>
      </c>
      <c r="HI699" s="827">
        <f t="shared" si="15682"/>
        <v>0</v>
      </c>
      <c r="HJ699" s="513">
        <f t="shared" ref="HJ699:HK699" si="15683">HJ700</f>
        <v>0</v>
      </c>
      <c r="HK699" s="827">
        <f t="shared" si="15683"/>
        <v>0</v>
      </c>
      <c r="HL699" s="513">
        <f t="shared" ref="HL699:HM699" si="15684">HL700</f>
        <v>0</v>
      </c>
      <c r="HM699" s="827">
        <f t="shared" si="15684"/>
        <v>77200</v>
      </c>
      <c r="HN699" s="513">
        <f t="shared" ref="HN699:HO699" si="15685">HN700</f>
        <v>0</v>
      </c>
      <c r="HO699" s="827">
        <f t="shared" si="15685"/>
        <v>0</v>
      </c>
      <c r="HP699" s="513">
        <f t="shared" ref="HP699:HQ699" si="15686">HP700</f>
        <v>0</v>
      </c>
      <c r="HQ699" s="827">
        <f t="shared" si="15686"/>
        <v>0</v>
      </c>
      <c r="HR699" s="513">
        <f t="shared" ref="HR699:HS699" si="15687">HR700</f>
        <v>0</v>
      </c>
      <c r="HS699" s="827">
        <f t="shared" si="15687"/>
        <v>0</v>
      </c>
      <c r="HT699" s="513">
        <f t="shared" ref="HT699:HU699" si="15688">HT700</f>
        <v>0</v>
      </c>
      <c r="HU699" s="827">
        <f t="shared" si="15688"/>
        <v>0</v>
      </c>
      <c r="HV699" s="513">
        <f t="shared" ref="HV699:HW699" si="15689">HV700</f>
        <v>0</v>
      </c>
      <c r="HW699" s="827">
        <f t="shared" si="15689"/>
        <v>0</v>
      </c>
      <c r="HX699" s="513">
        <f t="shared" ref="HX699:HY699" si="15690">HX700</f>
        <v>0</v>
      </c>
      <c r="HY699" s="827">
        <f t="shared" si="15690"/>
        <v>0</v>
      </c>
      <c r="HZ699" s="513">
        <f t="shared" ref="HZ699:IA699" si="15691">HZ700</f>
        <v>0</v>
      </c>
      <c r="IA699" s="827">
        <f t="shared" si="15691"/>
        <v>0</v>
      </c>
      <c r="IB699" s="513">
        <f t="shared" ref="IB699:IC699" si="15692">IB700</f>
        <v>0</v>
      </c>
      <c r="IC699" s="827">
        <f t="shared" si="15692"/>
        <v>0</v>
      </c>
      <c r="ID699" s="513">
        <f t="shared" si="15680"/>
        <v>0</v>
      </c>
      <c r="IE699" s="827">
        <f t="shared" si="15680"/>
        <v>0</v>
      </c>
      <c r="IF699" s="703">
        <f t="shared" si="15680"/>
        <v>0</v>
      </c>
      <c r="IG699" s="704">
        <f>IG700</f>
        <v>0</v>
      </c>
      <c r="IH699" s="858">
        <f t="shared" si="15680"/>
        <v>0</v>
      </c>
      <c r="II699" s="513">
        <f t="shared" si="15680"/>
        <v>0</v>
      </c>
      <c r="IJ699" s="513">
        <f t="shared" si="15680"/>
        <v>0</v>
      </c>
      <c r="IK699" s="513">
        <f t="shared" si="15680"/>
        <v>0</v>
      </c>
      <c r="IL699" s="513">
        <f t="shared" si="15680"/>
        <v>0</v>
      </c>
      <c r="IM699" s="513">
        <f t="shared" si="15680"/>
        <v>0</v>
      </c>
      <c r="IN699" s="513">
        <f t="shared" si="15680"/>
        <v>0</v>
      </c>
      <c r="IO699" s="513">
        <f t="shared" si="15680"/>
        <v>0</v>
      </c>
      <c r="IP699" s="513">
        <f t="shared" si="15680"/>
        <v>0</v>
      </c>
      <c r="IQ699" s="513">
        <f t="shared" si="15680"/>
        <v>0</v>
      </c>
      <c r="IR699" s="513">
        <f t="shared" si="15680"/>
        <v>0</v>
      </c>
      <c r="IS699" s="513">
        <f t="shared" si="15680"/>
        <v>0</v>
      </c>
      <c r="IT699" s="513">
        <f t="shared" si="15680"/>
        <v>0</v>
      </c>
      <c r="IU699" s="513">
        <f t="shared" si="15680"/>
        <v>0</v>
      </c>
      <c r="IV699" s="513">
        <f t="shared" si="15680"/>
        <v>0</v>
      </c>
      <c r="IW699" s="513">
        <f t="shared" si="15680"/>
        <v>0</v>
      </c>
      <c r="IX699" s="513">
        <f t="shared" si="15680"/>
        <v>0</v>
      </c>
      <c r="IY699" s="513">
        <f t="shared" si="15680"/>
        <v>0</v>
      </c>
      <c r="IZ699" s="513">
        <f t="shared" si="15680"/>
        <v>0</v>
      </c>
      <c r="JA699" s="513">
        <f t="shared" ref="JA699:JX699" si="15693">JA700</f>
        <v>0</v>
      </c>
      <c r="JB699" s="513">
        <f t="shared" si="15693"/>
        <v>0</v>
      </c>
      <c r="JC699" s="513">
        <f t="shared" si="15693"/>
        <v>0</v>
      </c>
      <c r="JD699" s="513">
        <f t="shared" si="15693"/>
        <v>0</v>
      </c>
      <c r="JE699" s="513">
        <f t="shared" si="15693"/>
        <v>0</v>
      </c>
      <c r="JF699" s="513">
        <f t="shared" si="15693"/>
        <v>0</v>
      </c>
      <c r="JG699" s="513">
        <f t="shared" si="15693"/>
        <v>0</v>
      </c>
      <c r="JH699" s="513">
        <f t="shared" si="15693"/>
        <v>0</v>
      </c>
      <c r="JI699" s="513">
        <f t="shared" si="15693"/>
        <v>0</v>
      </c>
      <c r="JJ699" s="513">
        <f t="shared" si="15693"/>
        <v>0</v>
      </c>
      <c r="JK699" s="513">
        <f t="shared" si="15693"/>
        <v>0</v>
      </c>
      <c r="JL699" s="513">
        <f t="shared" si="15693"/>
        <v>0</v>
      </c>
      <c r="JM699" s="513">
        <f t="shared" si="15693"/>
        <v>0</v>
      </c>
      <c r="JN699" s="513">
        <f t="shared" si="15693"/>
        <v>0</v>
      </c>
      <c r="JO699" s="513">
        <f t="shared" si="15693"/>
        <v>0</v>
      </c>
      <c r="JP699" s="513">
        <f t="shared" si="15693"/>
        <v>0</v>
      </c>
      <c r="JQ699" s="513">
        <f t="shared" si="15693"/>
        <v>0</v>
      </c>
      <c r="JR699" s="513">
        <f t="shared" si="15693"/>
        <v>0</v>
      </c>
      <c r="JS699" s="513">
        <f t="shared" si="15693"/>
        <v>0</v>
      </c>
      <c r="JT699" s="573">
        <f t="shared" si="15693"/>
        <v>0</v>
      </c>
      <c r="JU699" s="665"/>
      <c r="JV699" s="524"/>
      <c r="JW699" s="525"/>
      <c r="JX699" s="567">
        <f t="shared" si="15693"/>
        <v>0</v>
      </c>
      <c r="JY699" s="513">
        <f>JY700</f>
        <v>77200</v>
      </c>
      <c r="JZ699" s="513">
        <f t="shared" ref="JZ699:KB699" si="15694">JZ700</f>
        <v>0</v>
      </c>
      <c r="KA699" s="513">
        <f t="shared" si="15694"/>
        <v>-77200</v>
      </c>
      <c r="KB699" s="513">
        <f t="shared" si="15694"/>
        <v>0</v>
      </c>
      <c r="KC699" s="709">
        <f t="shared" ref="KC699:KC701" si="15695">HG699-KB699</f>
        <v>0</v>
      </c>
      <c r="KD699" s="491"/>
      <c r="KE699" s="491"/>
      <c r="KF699" s="491"/>
      <c r="KG699" s="491"/>
      <c r="KH699" s="36"/>
      <c r="KI699" s="36"/>
      <c r="KJ699" s="36"/>
      <c r="KK699" s="36"/>
    </row>
    <row r="700" spans="1:297" s="8" customFormat="1">
      <c r="A700" s="612" t="s">
        <v>1167</v>
      </c>
      <c r="B700" s="512" t="s">
        <v>346</v>
      </c>
      <c r="C700" s="74">
        <v>77200</v>
      </c>
      <c r="D700" s="549">
        <v>0</v>
      </c>
      <c r="E700" s="675">
        <v>0</v>
      </c>
      <c r="F700" s="549">
        <v>0</v>
      </c>
      <c r="G700" s="675">
        <v>0</v>
      </c>
      <c r="H700" s="549">
        <v>0</v>
      </c>
      <c r="I700" s="675">
        <v>0</v>
      </c>
      <c r="J700" s="549">
        <v>0</v>
      </c>
      <c r="K700" s="675">
        <v>0</v>
      </c>
      <c r="L700" s="549">
        <v>0</v>
      </c>
      <c r="M700" s="675">
        <v>0</v>
      </c>
      <c r="N700" s="549">
        <v>0</v>
      </c>
      <c r="O700" s="675">
        <v>0</v>
      </c>
      <c r="P700" s="549">
        <v>0</v>
      </c>
      <c r="Q700" s="675">
        <v>0</v>
      </c>
      <c r="R700" s="549">
        <v>0</v>
      </c>
      <c r="S700" s="675">
        <v>0</v>
      </c>
      <c r="T700" s="549">
        <v>0</v>
      </c>
      <c r="U700" s="675">
        <v>-77200</v>
      </c>
      <c r="V700" s="549">
        <v>0</v>
      </c>
      <c r="W700" s="675">
        <v>0</v>
      </c>
      <c r="X700" s="549">
        <v>0</v>
      </c>
      <c r="Y700" s="675">
        <v>0</v>
      </c>
      <c r="Z700" s="549">
        <v>0</v>
      </c>
      <c r="AA700" s="675">
        <v>0</v>
      </c>
      <c r="AB700" s="549">
        <v>0</v>
      </c>
      <c r="AC700" s="675">
        <v>0</v>
      </c>
      <c r="AD700" s="549">
        <v>0</v>
      </c>
      <c r="AE700" s="675">
        <v>0</v>
      </c>
      <c r="AF700" s="549">
        <v>0</v>
      </c>
      <c r="AG700" s="675">
        <v>0</v>
      </c>
      <c r="AH700" s="549">
        <v>0</v>
      </c>
      <c r="AI700" s="675">
        <v>0</v>
      </c>
      <c r="AJ700" s="549">
        <v>0</v>
      </c>
      <c r="AK700" s="675">
        <v>0</v>
      </c>
      <c r="AL700" s="549">
        <v>0</v>
      </c>
      <c r="AM700" s="675">
        <v>0</v>
      </c>
      <c r="AN700" s="549">
        <v>0</v>
      </c>
      <c r="AO700" s="675">
        <v>0</v>
      </c>
      <c r="AP700" s="549">
        <v>0</v>
      </c>
      <c r="AQ700" s="675">
        <v>0</v>
      </c>
      <c r="AR700" s="549">
        <v>0</v>
      </c>
      <c r="AS700" s="675">
        <v>0</v>
      </c>
      <c r="AT700" s="549">
        <v>0</v>
      </c>
      <c r="AU700" s="675">
        <v>0</v>
      </c>
      <c r="AV700" s="549">
        <v>0</v>
      </c>
      <c r="AW700" s="675">
        <v>0</v>
      </c>
      <c r="AX700" s="549">
        <v>0</v>
      </c>
      <c r="AY700" s="675">
        <v>0</v>
      </c>
      <c r="AZ700" s="549">
        <v>0</v>
      </c>
      <c r="BA700" s="675">
        <v>0</v>
      </c>
      <c r="BB700" s="549">
        <v>0</v>
      </c>
      <c r="BC700" s="675">
        <v>0</v>
      </c>
      <c r="BD700" s="549">
        <v>0</v>
      </c>
      <c r="BE700" s="675">
        <v>0</v>
      </c>
      <c r="BF700" s="549">
        <v>0</v>
      </c>
      <c r="BG700" s="675">
        <v>0</v>
      </c>
      <c r="BH700" s="549">
        <v>0</v>
      </c>
      <c r="BI700" s="675">
        <v>0</v>
      </c>
      <c r="BJ700" s="549">
        <v>0</v>
      </c>
      <c r="BK700" s="675">
        <v>0</v>
      </c>
      <c r="BL700" s="549">
        <v>0</v>
      </c>
      <c r="BM700" s="675">
        <v>0</v>
      </c>
      <c r="BN700" s="549">
        <v>0</v>
      </c>
      <c r="BO700" s="675">
        <v>0</v>
      </c>
      <c r="BP700" s="549">
        <v>0</v>
      </c>
      <c r="BQ700" s="675">
        <v>0</v>
      </c>
      <c r="BR700" s="549">
        <v>0</v>
      </c>
      <c r="BS700" s="675">
        <v>0</v>
      </c>
      <c r="BT700" s="549">
        <v>0</v>
      </c>
      <c r="BU700" s="675">
        <v>0</v>
      </c>
      <c r="BV700" s="549">
        <v>0</v>
      </c>
      <c r="BW700" s="675">
        <v>0</v>
      </c>
      <c r="BX700" s="549">
        <v>0</v>
      </c>
      <c r="BY700" s="675">
        <v>0</v>
      </c>
      <c r="BZ700" s="549">
        <v>0</v>
      </c>
      <c r="CA700" s="675">
        <v>0</v>
      </c>
      <c r="CB700" s="549">
        <v>0</v>
      </c>
      <c r="CC700" s="675">
        <v>0</v>
      </c>
      <c r="CD700" s="549">
        <v>0</v>
      </c>
      <c r="CE700" s="675">
        <v>0</v>
      </c>
      <c r="CF700" s="549">
        <v>0</v>
      </c>
      <c r="CG700" s="675">
        <v>0</v>
      </c>
      <c r="CH700" s="549">
        <v>0</v>
      </c>
      <c r="CI700" s="675">
        <v>0</v>
      </c>
      <c r="CJ700" s="549">
        <v>0</v>
      </c>
      <c r="CK700" s="675">
        <v>0</v>
      </c>
      <c r="CL700" s="549">
        <v>0</v>
      </c>
      <c r="CM700" s="675">
        <v>0</v>
      </c>
      <c r="CN700" s="549">
        <v>0</v>
      </c>
      <c r="CO700" s="675">
        <v>0</v>
      </c>
      <c r="CP700" s="549">
        <v>0</v>
      </c>
      <c r="CQ700" s="675">
        <v>0</v>
      </c>
      <c r="CR700" s="549">
        <v>0</v>
      </c>
      <c r="CS700" s="675">
        <v>0</v>
      </c>
      <c r="CT700" s="549">
        <v>0</v>
      </c>
      <c r="CU700" s="675">
        <v>0</v>
      </c>
      <c r="CV700" s="549">
        <v>0</v>
      </c>
      <c r="CW700" s="675">
        <v>0</v>
      </c>
      <c r="CX700" s="549">
        <v>0</v>
      </c>
      <c r="CY700" s="675">
        <v>0</v>
      </c>
      <c r="CZ700" s="549">
        <v>0</v>
      </c>
      <c r="DA700" s="675">
        <v>0</v>
      </c>
      <c r="DB700" s="549">
        <v>0</v>
      </c>
      <c r="DC700" s="675">
        <v>0</v>
      </c>
      <c r="DD700" s="549">
        <v>0</v>
      </c>
      <c r="DE700" s="675">
        <v>0</v>
      </c>
      <c r="DF700" s="549">
        <v>0</v>
      </c>
      <c r="DG700" s="675">
        <v>0</v>
      </c>
      <c r="DH700" s="549">
        <v>0</v>
      </c>
      <c r="DI700" s="675">
        <v>0</v>
      </c>
      <c r="DJ700" s="549">
        <v>0</v>
      </c>
      <c r="DK700" s="675">
        <v>0</v>
      </c>
      <c r="DL700" s="549">
        <v>0</v>
      </c>
      <c r="DM700" s="675">
        <v>0</v>
      </c>
      <c r="DN700" s="549">
        <v>0</v>
      </c>
      <c r="DO700" s="675">
        <v>0</v>
      </c>
      <c r="DP700" s="549">
        <v>0</v>
      </c>
      <c r="DQ700" s="675">
        <v>0</v>
      </c>
      <c r="DR700" s="549">
        <v>0</v>
      </c>
      <c r="DS700" s="675">
        <v>0</v>
      </c>
      <c r="DT700" s="549">
        <v>0</v>
      </c>
      <c r="DU700" s="675">
        <v>0</v>
      </c>
      <c r="DV700" s="549">
        <v>0</v>
      </c>
      <c r="DW700" s="675">
        <v>0</v>
      </c>
      <c r="DX700" s="549">
        <v>0</v>
      </c>
      <c r="DY700" s="675">
        <v>0</v>
      </c>
      <c r="DZ700" s="549">
        <v>0</v>
      </c>
      <c r="EA700" s="675">
        <v>0</v>
      </c>
      <c r="EB700" s="549">
        <v>0</v>
      </c>
      <c r="EC700" s="675">
        <v>0</v>
      </c>
      <c r="ED700" s="549">
        <v>0</v>
      </c>
      <c r="EE700" s="675">
        <v>0</v>
      </c>
      <c r="EF700" s="549">
        <v>0</v>
      </c>
      <c r="EG700" s="675">
        <v>0</v>
      </c>
      <c r="EH700" s="549">
        <v>0</v>
      </c>
      <c r="EI700" s="675">
        <v>0</v>
      </c>
      <c r="EJ700" s="549">
        <v>0</v>
      </c>
      <c r="EK700" s="675">
        <v>0</v>
      </c>
      <c r="EL700" s="549">
        <v>0</v>
      </c>
      <c r="EM700" s="675">
        <v>0</v>
      </c>
      <c r="EN700" s="549">
        <v>0</v>
      </c>
      <c r="EO700" s="675">
        <v>0</v>
      </c>
      <c r="EP700" s="549">
        <v>0</v>
      </c>
      <c r="EQ700" s="675">
        <v>0</v>
      </c>
      <c r="ER700" s="549">
        <v>0</v>
      </c>
      <c r="ES700" s="675">
        <v>0</v>
      </c>
      <c r="ET700" s="549">
        <v>0</v>
      </c>
      <c r="EU700" s="675">
        <v>0</v>
      </c>
      <c r="EV700" s="549">
        <v>0</v>
      </c>
      <c r="EW700" s="675">
        <v>0</v>
      </c>
      <c r="EX700" s="549">
        <v>0</v>
      </c>
      <c r="EY700" s="675">
        <v>0</v>
      </c>
      <c r="EZ700" s="549">
        <v>0</v>
      </c>
      <c r="FA700" s="675">
        <v>0</v>
      </c>
      <c r="FB700" s="549">
        <v>0</v>
      </c>
      <c r="FC700" s="675">
        <v>0</v>
      </c>
      <c r="FD700" s="549">
        <v>0</v>
      </c>
      <c r="FE700" s="675">
        <v>0</v>
      </c>
      <c r="FF700" s="549">
        <v>0</v>
      </c>
      <c r="FG700" s="675">
        <v>0</v>
      </c>
      <c r="FH700" s="549">
        <v>0</v>
      </c>
      <c r="FI700" s="675">
        <v>0</v>
      </c>
      <c r="FJ700" s="549">
        <v>0</v>
      </c>
      <c r="FK700" s="675">
        <v>0</v>
      </c>
      <c r="FL700" s="549">
        <v>0</v>
      </c>
      <c r="FM700" s="675">
        <v>0</v>
      </c>
      <c r="FN700" s="549">
        <v>0</v>
      </c>
      <c r="FO700" s="675">
        <v>0</v>
      </c>
      <c r="FP700" s="549">
        <v>0</v>
      </c>
      <c r="FQ700" s="675">
        <v>0</v>
      </c>
      <c r="FR700" s="549">
        <v>0</v>
      </c>
      <c r="FS700" s="675">
        <v>0</v>
      </c>
      <c r="FT700" s="549">
        <v>0</v>
      </c>
      <c r="FU700" s="675">
        <v>0</v>
      </c>
      <c r="FV700" s="549">
        <v>0</v>
      </c>
      <c r="FW700" s="675">
        <v>0</v>
      </c>
      <c r="FX700" s="549">
        <v>0</v>
      </c>
      <c r="FY700" s="675">
        <v>0</v>
      </c>
      <c r="FZ700" s="549">
        <v>0</v>
      </c>
      <c r="GA700" s="675">
        <v>0</v>
      </c>
      <c r="GB700" s="549">
        <v>0</v>
      </c>
      <c r="GC700" s="675">
        <v>0</v>
      </c>
      <c r="GD700" s="549">
        <v>0</v>
      </c>
      <c r="GE700" s="675">
        <v>0</v>
      </c>
      <c r="GF700" s="549">
        <v>0</v>
      </c>
      <c r="GG700" s="675">
        <v>0</v>
      </c>
      <c r="GH700" s="549">
        <v>0</v>
      </c>
      <c r="GI700" s="675">
        <v>0</v>
      </c>
      <c r="GJ700" s="549">
        <v>0</v>
      </c>
      <c r="GK700" s="675">
        <v>0</v>
      </c>
      <c r="GL700" s="549">
        <v>0</v>
      </c>
      <c r="GM700" s="675">
        <v>0</v>
      </c>
      <c r="GN700" s="549">
        <v>0</v>
      </c>
      <c r="GO700" s="675">
        <v>0</v>
      </c>
      <c r="GP700" s="549">
        <f>+D700+F700+H700+J700+L700+N700+P700+R700+T700+V700+X700+Z700+AB700+AF700+AD700+AH700+AJ700+AL700+AN700+AP700+AR700+AT700+AV700+AX700+AZ700+BB700+BD700+BF700+BH700+BJ700+BL700+BN700+BP700+BR700+BT700+BV700+BX700+BZ700+CB700+CD700+CF700+CH700+CJ700+CL700+CN700+CP700+CR700+CT700+CV700+CX700+CZ700+DB700+DD700+DF700+DH700+DT700+EX700+DJ700+DL700+DN700+DP700+DR700+EJ700+EB700+DZ700+DX700+DV700+ED700+EF700+EH700+EL700+EN700+EP700+EV700+ET700+ER700+EZ700+FB700+FD700+GL700+FF700+FJ700+FL700+GJ700+FT700+FR700+FP700+FN700+FH700+GH700+GF700+GD700+GB700+FZ700+FX700+FV700+GN700</f>
        <v>0</v>
      </c>
      <c r="GQ700" s="675">
        <f>+E700+G700+I700+K700+M700+O700+Q700+S700+U700+W700+Y700+AA700+AC700+AE700+AG700+AI700+AK700+AM700+AO700+AQ700+AS700+AU700+AW700+AY700+BA700+BC700+BE700+BG700+BI700+BK700+BM700+BO700+BQ700+BS700+BU700+BW700+BY700+CA700+CC700+CE700+CG700+CI700+CK700+CM700+CO700+CQ700+CS700+CU700+CW700+CY700+DA700+DC700+DE700+DG700+DI700+DU700+EY700+DK700+DM700+DO700+DQ700+DS700+EK700+EC700+EA700+DY700+DW700+EI700+EG700+EE700+EM700+EO700+EQ700+EW700+EU700+ES700+FA700+FC700+FE700+GM700+FG700+FK700+FM700+FO700+FQ700+FS700+FU700+GK700+FI700+GI700+GG700+GE700+GC700+GA700+FY700+FW700+GO700</f>
        <v>-77200</v>
      </c>
      <c r="GR700" s="74">
        <f>C700+GP700+GQ700</f>
        <v>0</v>
      </c>
      <c r="GS700" s="74">
        <f>SUM(GU700:HD700)+GP700+GQ700</f>
        <v>0</v>
      </c>
      <c r="GT700" s="568">
        <f>SUM(GU700:HF700)+GQ700+GP700</f>
        <v>0</v>
      </c>
      <c r="GU700" s="275">
        <v>15440</v>
      </c>
      <c r="GV700" s="275">
        <v>61760</v>
      </c>
      <c r="GW700" s="588"/>
      <c r="GX700" s="588">
        <f>23160-23160</f>
        <v>0</v>
      </c>
      <c r="GY700" s="275"/>
      <c r="GZ700" s="275"/>
      <c r="HA700" s="275">
        <f>23160-23160</f>
        <v>0</v>
      </c>
      <c r="HB700" s="275"/>
      <c r="HC700" s="275"/>
      <c r="HD700" s="275">
        <f>15440-15440</f>
        <v>0</v>
      </c>
      <c r="HE700" s="275">
        <v>0</v>
      </c>
      <c r="HF700" s="275">
        <v>0</v>
      </c>
      <c r="HG700" s="74">
        <f>SUM(HH700:IE700)+GP700+GQ700</f>
        <v>0</v>
      </c>
      <c r="HH700" s="89">
        <v>0</v>
      </c>
      <c r="HI700" s="817">
        <v>0</v>
      </c>
      <c r="HJ700" s="89">
        <v>0</v>
      </c>
      <c r="HK700" s="817">
        <v>0</v>
      </c>
      <c r="HL700" s="89">
        <v>0</v>
      </c>
      <c r="HM700" s="817">
        <v>77200</v>
      </c>
      <c r="HN700" s="89">
        <v>0</v>
      </c>
      <c r="HO700" s="817">
        <v>0</v>
      </c>
      <c r="HP700" s="89">
        <v>0</v>
      </c>
      <c r="HQ700" s="817">
        <v>0</v>
      </c>
      <c r="HR700" s="89">
        <v>0</v>
      </c>
      <c r="HS700" s="817">
        <v>0</v>
      </c>
      <c r="HT700" s="89">
        <v>0</v>
      </c>
      <c r="HU700" s="817">
        <v>0</v>
      </c>
      <c r="HV700" s="89">
        <v>0</v>
      </c>
      <c r="HW700" s="817">
        <v>0</v>
      </c>
      <c r="HX700" s="89">
        <v>0</v>
      </c>
      <c r="HY700" s="817">
        <v>0</v>
      </c>
      <c r="HZ700" s="89">
        <v>0</v>
      </c>
      <c r="IA700" s="817">
        <v>0</v>
      </c>
      <c r="IB700" s="89">
        <v>0</v>
      </c>
      <c r="IC700" s="817">
        <v>0</v>
      </c>
      <c r="ID700" s="89">
        <v>0</v>
      </c>
      <c r="IE700" s="817">
        <v>0</v>
      </c>
      <c r="IF700" s="841">
        <f t="shared" ref="IF700" si="15696">SUM(II700,IL700,IO700,IR700,IU700,IX700,JA700,JD700,JG700,JJ700,JM700,JP700)</f>
        <v>0</v>
      </c>
      <c r="IG700" s="263">
        <f t="shared" ref="IG700" si="15697">SUM(IJ700,IM700,IP700,IS700,IV700,IY700,JB700,JE700,JH700,JK700,JN700,JQ700)</f>
        <v>0</v>
      </c>
      <c r="IH700" s="842">
        <f t="shared" ref="IH700" si="15698">SUM(IK700,IN700,IQ700,IT700,IW700,IZ700,JC700,JF700,JI700,JL700,JO700,JR700)</f>
        <v>0</v>
      </c>
      <c r="II700" s="89">
        <v>0</v>
      </c>
      <c r="IJ700" s="89">
        <f t="shared" ref="IJ700" si="15699">II700</f>
        <v>0</v>
      </c>
      <c r="IK700" s="89">
        <f t="shared" ref="IK700" si="15700">IJ700</f>
        <v>0</v>
      </c>
      <c r="IL700" s="89">
        <v>0</v>
      </c>
      <c r="IM700" s="89">
        <f t="shared" ref="IM700" si="15701">IL700</f>
        <v>0</v>
      </c>
      <c r="IN700" s="89">
        <f t="shared" ref="IN700" si="15702">IM700</f>
        <v>0</v>
      </c>
      <c r="IO700" s="89">
        <v>0</v>
      </c>
      <c r="IP700" s="89">
        <f t="shared" ref="IP700" si="15703">IO700</f>
        <v>0</v>
      </c>
      <c r="IQ700" s="89">
        <f t="shared" ref="IQ700" si="15704">IP700</f>
        <v>0</v>
      </c>
      <c r="IR700" s="89">
        <v>0</v>
      </c>
      <c r="IS700" s="89">
        <f t="shared" ref="IS700" si="15705">IR700</f>
        <v>0</v>
      </c>
      <c r="IT700" s="89">
        <f t="shared" ref="IT700" si="15706">IS700</f>
        <v>0</v>
      </c>
      <c r="IU700" s="89">
        <v>0</v>
      </c>
      <c r="IV700" s="89">
        <f t="shared" ref="IV700" si="15707">IU700</f>
        <v>0</v>
      </c>
      <c r="IW700" s="89">
        <f t="shared" ref="IW700" si="15708">IV700</f>
        <v>0</v>
      </c>
      <c r="IX700" s="89">
        <v>0</v>
      </c>
      <c r="IY700" s="89">
        <f t="shared" ref="IY700" si="15709">IX700</f>
        <v>0</v>
      </c>
      <c r="IZ700" s="89">
        <f t="shared" ref="IZ700" si="15710">IY700</f>
        <v>0</v>
      </c>
      <c r="JA700" s="89">
        <v>0</v>
      </c>
      <c r="JB700" s="89">
        <f t="shared" ref="JB700" si="15711">JA700</f>
        <v>0</v>
      </c>
      <c r="JC700" s="89">
        <f t="shared" ref="JC700" si="15712">JB700</f>
        <v>0</v>
      </c>
      <c r="JD700" s="89">
        <v>0</v>
      </c>
      <c r="JE700" s="89">
        <f t="shared" ref="JE700" si="15713">JD700</f>
        <v>0</v>
      </c>
      <c r="JF700" s="89">
        <f t="shared" ref="JF700" si="15714">JE700</f>
        <v>0</v>
      </c>
      <c r="JG700" s="89">
        <v>0</v>
      </c>
      <c r="JH700" s="89">
        <f t="shared" ref="JH700" si="15715">JG700</f>
        <v>0</v>
      </c>
      <c r="JI700" s="89">
        <f t="shared" ref="JI700" si="15716">JH700</f>
        <v>0</v>
      </c>
      <c r="JJ700" s="89">
        <v>0</v>
      </c>
      <c r="JK700" s="89">
        <f t="shared" ref="JK700" si="15717">JJ700</f>
        <v>0</v>
      </c>
      <c r="JL700" s="89">
        <f t="shared" ref="JL700" si="15718">JK700</f>
        <v>0</v>
      </c>
      <c r="JM700" s="89">
        <v>0</v>
      </c>
      <c r="JN700" s="89">
        <f t="shared" ref="JN700" si="15719">JM700</f>
        <v>0</v>
      </c>
      <c r="JO700" s="89">
        <f t="shared" ref="JO700" si="15720">JN700</f>
        <v>0</v>
      </c>
      <c r="JP700" s="89">
        <v>0</v>
      </c>
      <c r="JQ700" s="89">
        <f t="shared" ref="JQ700:JR700" si="15721">JP700</f>
        <v>0</v>
      </c>
      <c r="JR700" s="89">
        <f t="shared" si="15721"/>
        <v>0</v>
      </c>
      <c r="JS700" s="74">
        <f>HG700-IF700</f>
        <v>0</v>
      </c>
      <c r="JT700" s="382">
        <f>GS700-IF700</f>
        <v>0</v>
      </c>
      <c r="JU700" s="665"/>
      <c r="JV700" s="524"/>
      <c r="JW700" s="525"/>
      <c r="JX700" s="549">
        <f>SUM(HH700,HJ700,HL700,HN700,HP700,HR700,HT700,HV700,HX700,HZ700,IB700,ID700)</f>
        <v>0</v>
      </c>
      <c r="JY700" s="549">
        <f t="shared" ref="JY700:JY701" si="15722">SUM(HI700,HK700,HM700,HO700,HQ700,HS700,HU700,HW700,HY700,IA700,IC700,IE700)</f>
        <v>77200</v>
      </c>
      <c r="JZ700" s="581">
        <f t="shared" ref="JZ700:JZ701" si="15723">GP700</f>
        <v>0</v>
      </c>
      <c r="KA700" s="581">
        <f t="shared" ref="KA700:KA701" si="15724">GQ700</f>
        <v>-77200</v>
      </c>
      <c r="KB700" s="566">
        <f>SUM(JX700:KA700)</f>
        <v>0</v>
      </c>
      <c r="KC700" s="709">
        <f t="shared" si="15695"/>
        <v>0</v>
      </c>
      <c r="KD700" s="491"/>
      <c r="KE700" s="491"/>
      <c r="KF700" s="491"/>
      <c r="KG700" s="491"/>
      <c r="KH700" s="36"/>
      <c r="KI700" s="36"/>
      <c r="KJ700" s="36"/>
      <c r="KK700" s="36"/>
    </row>
    <row r="701" spans="1:297" s="10" customFormat="1">
      <c r="A701" s="612"/>
      <c r="B701" s="512"/>
      <c r="C701" s="513"/>
      <c r="D701" s="553"/>
      <c r="E701" s="687"/>
      <c r="F701" s="553"/>
      <c r="G701" s="687"/>
      <c r="H701" s="553"/>
      <c r="I701" s="687"/>
      <c r="J701" s="553"/>
      <c r="K701" s="687"/>
      <c r="L701" s="553"/>
      <c r="M701" s="687"/>
      <c r="N701" s="553"/>
      <c r="O701" s="687"/>
      <c r="P701" s="553"/>
      <c r="Q701" s="687"/>
      <c r="R701" s="553"/>
      <c r="S701" s="687"/>
      <c r="T701" s="553"/>
      <c r="U701" s="687"/>
      <c r="V701" s="553"/>
      <c r="W701" s="687"/>
      <c r="X701" s="553"/>
      <c r="Y701" s="687"/>
      <c r="Z701" s="553"/>
      <c r="AA701" s="687"/>
      <c r="AB701" s="553"/>
      <c r="AC701" s="687"/>
      <c r="AD701" s="553"/>
      <c r="AE701" s="687"/>
      <c r="AF701" s="553"/>
      <c r="AG701" s="687"/>
      <c r="AH701" s="553"/>
      <c r="AI701" s="687"/>
      <c r="AJ701" s="553"/>
      <c r="AK701" s="687"/>
      <c r="AL701" s="553"/>
      <c r="AM701" s="687"/>
      <c r="AN701" s="553"/>
      <c r="AO701" s="687"/>
      <c r="AP701" s="553"/>
      <c r="AQ701" s="687"/>
      <c r="AR701" s="553"/>
      <c r="AS701" s="687"/>
      <c r="AT701" s="553"/>
      <c r="AU701" s="687"/>
      <c r="AV701" s="553"/>
      <c r="AW701" s="687"/>
      <c r="AX701" s="553"/>
      <c r="AY701" s="687"/>
      <c r="AZ701" s="553"/>
      <c r="BA701" s="687"/>
      <c r="BB701" s="553"/>
      <c r="BC701" s="687"/>
      <c r="BD701" s="553"/>
      <c r="BE701" s="687"/>
      <c r="BF701" s="553"/>
      <c r="BG701" s="687"/>
      <c r="BH701" s="553"/>
      <c r="BI701" s="687"/>
      <c r="BJ701" s="553"/>
      <c r="BK701" s="687"/>
      <c r="BL701" s="553"/>
      <c r="BM701" s="687"/>
      <c r="BN701" s="553"/>
      <c r="BO701" s="687"/>
      <c r="BP701" s="553"/>
      <c r="BQ701" s="687"/>
      <c r="BR701" s="553"/>
      <c r="BS701" s="687"/>
      <c r="BT701" s="553"/>
      <c r="BU701" s="687"/>
      <c r="BV701" s="553"/>
      <c r="BW701" s="687"/>
      <c r="BX701" s="553"/>
      <c r="BY701" s="687"/>
      <c r="BZ701" s="553"/>
      <c r="CA701" s="687"/>
      <c r="CB701" s="553"/>
      <c r="CC701" s="687"/>
      <c r="CD701" s="553"/>
      <c r="CE701" s="687"/>
      <c r="CF701" s="553"/>
      <c r="CG701" s="687"/>
      <c r="CH701" s="553"/>
      <c r="CI701" s="687"/>
      <c r="CJ701" s="553"/>
      <c r="CK701" s="687"/>
      <c r="CL701" s="553"/>
      <c r="CM701" s="687"/>
      <c r="CN701" s="553"/>
      <c r="CO701" s="687"/>
      <c r="CP701" s="553"/>
      <c r="CQ701" s="687"/>
      <c r="CR701" s="553"/>
      <c r="CS701" s="687"/>
      <c r="CT701" s="553"/>
      <c r="CU701" s="687"/>
      <c r="CV701" s="553"/>
      <c r="CW701" s="687"/>
      <c r="CX701" s="553"/>
      <c r="CY701" s="687"/>
      <c r="CZ701" s="553"/>
      <c r="DA701" s="687"/>
      <c r="DB701" s="553"/>
      <c r="DC701" s="687"/>
      <c r="DD701" s="553"/>
      <c r="DE701" s="687"/>
      <c r="DF701" s="553"/>
      <c r="DG701" s="687"/>
      <c r="DH701" s="553"/>
      <c r="DI701" s="687"/>
      <c r="DJ701" s="553"/>
      <c r="DK701" s="687"/>
      <c r="DL701" s="553"/>
      <c r="DM701" s="687"/>
      <c r="DN701" s="553"/>
      <c r="DO701" s="687"/>
      <c r="DP701" s="553"/>
      <c r="DQ701" s="687"/>
      <c r="DR701" s="553"/>
      <c r="DS701" s="687"/>
      <c r="DT701" s="553"/>
      <c r="DU701" s="687"/>
      <c r="DV701" s="553"/>
      <c r="DW701" s="687"/>
      <c r="DX701" s="553"/>
      <c r="DY701" s="687"/>
      <c r="DZ701" s="553"/>
      <c r="EA701" s="687"/>
      <c r="EB701" s="553"/>
      <c r="EC701" s="687"/>
      <c r="ED701" s="553"/>
      <c r="EE701" s="687"/>
      <c r="EF701" s="553"/>
      <c r="EG701" s="687"/>
      <c r="EH701" s="553"/>
      <c r="EI701" s="687"/>
      <c r="EJ701" s="553"/>
      <c r="EK701" s="687"/>
      <c r="EL701" s="553"/>
      <c r="EM701" s="687"/>
      <c r="EN701" s="553"/>
      <c r="EO701" s="687"/>
      <c r="EP701" s="553"/>
      <c r="EQ701" s="687"/>
      <c r="ER701" s="553"/>
      <c r="ES701" s="687"/>
      <c r="ET701" s="553"/>
      <c r="EU701" s="687"/>
      <c r="EV701" s="553"/>
      <c r="EW701" s="687"/>
      <c r="EX701" s="553"/>
      <c r="EY701" s="687"/>
      <c r="EZ701" s="553"/>
      <c r="FA701" s="687"/>
      <c r="FB701" s="553"/>
      <c r="FC701" s="687"/>
      <c r="FD701" s="553"/>
      <c r="FE701" s="687"/>
      <c r="FF701" s="553"/>
      <c r="FG701" s="687"/>
      <c r="FH701" s="553"/>
      <c r="FI701" s="687"/>
      <c r="FJ701" s="553"/>
      <c r="FK701" s="687"/>
      <c r="FL701" s="553"/>
      <c r="FM701" s="687"/>
      <c r="FN701" s="553"/>
      <c r="FO701" s="687"/>
      <c r="FP701" s="553"/>
      <c r="FQ701" s="687"/>
      <c r="FR701" s="553"/>
      <c r="FS701" s="687"/>
      <c r="FT701" s="553"/>
      <c r="FU701" s="687"/>
      <c r="FV701" s="553"/>
      <c r="FW701" s="687"/>
      <c r="FX701" s="553"/>
      <c r="FY701" s="687"/>
      <c r="FZ701" s="553"/>
      <c r="GA701" s="687"/>
      <c r="GB701" s="553"/>
      <c r="GC701" s="687"/>
      <c r="GD701" s="553"/>
      <c r="GE701" s="687"/>
      <c r="GF701" s="553"/>
      <c r="GG701" s="687"/>
      <c r="GH701" s="553"/>
      <c r="GI701" s="687"/>
      <c r="GJ701" s="553"/>
      <c r="GK701" s="687"/>
      <c r="GL701" s="553"/>
      <c r="GM701" s="687"/>
      <c r="GN701" s="553"/>
      <c r="GO701" s="687"/>
      <c r="GP701" s="553"/>
      <c r="GQ701" s="687"/>
      <c r="GR701" s="487"/>
      <c r="GS701" s="487"/>
      <c r="GT701" s="567"/>
      <c r="GU701" s="493"/>
      <c r="GV701" s="493"/>
      <c r="GW701" s="589"/>
      <c r="GX701" s="589"/>
      <c r="GY701" s="493"/>
      <c r="GZ701" s="493"/>
      <c r="HA701" s="493"/>
      <c r="HB701" s="493"/>
      <c r="HC701" s="493"/>
      <c r="HD701" s="493"/>
      <c r="HE701" s="493"/>
      <c r="HF701" s="493"/>
      <c r="HG701" s="487"/>
      <c r="HH701" s="488"/>
      <c r="HI701" s="829"/>
      <c r="HJ701" s="488"/>
      <c r="HK701" s="829"/>
      <c r="HL701" s="488"/>
      <c r="HM701" s="829"/>
      <c r="HN701" s="488"/>
      <c r="HO701" s="829"/>
      <c r="HP701" s="488"/>
      <c r="HQ701" s="829"/>
      <c r="HR701" s="488"/>
      <c r="HS701" s="829"/>
      <c r="HT701" s="488"/>
      <c r="HU701" s="829"/>
      <c r="HV701" s="488"/>
      <c r="HW701" s="829"/>
      <c r="HX701" s="488"/>
      <c r="HY701" s="829"/>
      <c r="HZ701" s="488"/>
      <c r="IA701" s="829"/>
      <c r="IB701" s="488"/>
      <c r="IC701" s="829"/>
      <c r="ID701" s="488"/>
      <c r="IE701" s="829"/>
      <c r="IF701" s="871"/>
      <c r="IG701" s="486"/>
      <c r="IH701" s="872"/>
      <c r="II701" s="488"/>
      <c r="IJ701" s="488"/>
      <c r="IK701" s="488"/>
      <c r="IL701" s="488"/>
      <c r="IM701" s="488"/>
      <c r="IN701" s="488"/>
      <c r="IO701" s="488"/>
      <c r="IP701" s="488"/>
      <c r="IQ701" s="488"/>
      <c r="IR701" s="488"/>
      <c r="IS701" s="488"/>
      <c r="IT701" s="488"/>
      <c r="IU701" s="488"/>
      <c r="IV701" s="488"/>
      <c r="IW701" s="488"/>
      <c r="IX701" s="488"/>
      <c r="IY701" s="488"/>
      <c r="IZ701" s="488"/>
      <c r="JA701" s="488"/>
      <c r="JB701" s="488"/>
      <c r="JC701" s="488"/>
      <c r="JD701" s="488"/>
      <c r="JE701" s="488"/>
      <c r="JF701" s="488"/>
      <c r="JG701" s="488"/>
      <c r="JH701" s="488"/>
      <c r="JI701" s="488"/>
      <c r="JJ701" s="488"/>
      <c r="JK701" s="488"/>
      <c r="JL701" s="488"/>
      <c r="JM701" s="488"/>
      <c r="JN701" s="488"/>
      <c r="JO701" s="488"/>
      <c r="JP701" s="488"/>
      <c r="JQ701" s="488"/>
      <c r="JR701" s="488"/>
      <c r="JS701" s="487"/>
      <c r="JT701" s="662"/>
      <c r="JU701" s="665"/>
      <c r="JV701" s="524"/>
      <c r="JW701" s="525"/>
      <c r="JX701" s="553"/>
      <c r="JY701" s="549">
        <f t="shared" si="15722"/>
        <v>0</v>
      </c>
      <c r="JZ701" s="581">
        <f t="shared" si="15723"/>
        <v>0</v>
      </c>
      <c r="KA701" s="581">
        <f t="shared" si="15724"/>
        <v>0</v>
      </c>
      <c r="KB701" s="566">
        <f t="shared" ref="KB701" si="15725">SUM(JX701:KA701)</f>
        <v>0</v>
      </c>
      <c r="KC701" s="709">
        <f t="shared" si="15695"/>
        <v>0</v>
      </c>
      <c r="KD701" s="491"/>
      <c r="KE701" s="491"/>
      <c r="KF701" s="491"/>
      <c r="KG701" s="491"/>
      <c r="KH701" s="36"/>
      <c r="KI701" s="36"/>
      <c r="KJ701" s="36"/>
      <c r="KK701" s="36"/>
    </row>
    <row r="702" spans="1:297" s="10" customFormat="1">
      <c r="A702" s="613" t="s">
        <v>953</v>
      </c>
      <c r="B702" s="514" t="s">
        <v>954</v>
      </c>
      <c r="C702" s="513">
        <f>C703</f>
        <v>200000</v>
      </c>
      <c r="D702" s="567">
        <f t="shared" ref="D702:E702" si="15726">D703</f>
        <v>0</v>
      </c>
      <c r="E702" s="686">
        <f t="shared" si="15726"/>
        <v>0</v>
      </c>
      <c r="F702" s="567">
        <f t="shared" ref="F702:IZ702" si="15727">F703</f>
        <v>0</v>
      </c>
      <c r="G702" s="686">
        <f t="shared" si="15727"/>
        <v>0</v>
      </c>
      <c r="H702" s="567">
        <f t="shared" si="15727"/>
        <v>0</v>
      </c>
      <c r="I702" s="686">
        <f t="shared" si="15727"/>
        <v>0</v>
      </c>
      <c r="J702" s="567">
        <f t="shared" si="15727"/>
        <v>227500</v>
      </c>
      <c r="K702" s="686">
        <f t="shared" si="15727"/>
        <v>0</v>
      </c>
      <c r="L702" s="567">
        <f t="shared" si="15727"/>
        <v>0</v>
      </c>
      <c r="M702" s="686">
        <f t="shared" si="15727"/>
        <v>0</v>
      </c>
      <c r="N702" s="567">
        <f t="shared" si="15727"/>
        <v>0</v>
      </c>
      <c r="O702" s="686">
        <f t="shared" si="15727"/>
        <v>0</v>
      </c>
      <c r="P702" s="567">
        <f t="shared" si="15727"/>
        <v>0</v>
      </c>
      <c r="Q702" s="686">
        <f t="shared" si="15727"/>
        <v>0</v>
      </c>
      <c r="R702" s="567">
        <f t="shared" si="15727"/>
        <v>0</v>
      </c>
      <c r="S702" s="686">
        <f t="shared" si="15727"/>
        <v>0</v>
      </c>
      <c r="T702" s="567">
        <f t="shared" si="15727"/>
        <v>0</v>
      </c>
      <c r="U702" s="686">
        <f t="shared" si="15727"/>
        <v>0</v>
      </c>
      <c r="V702" s="567">
        <f t="shared" si="15727"/>
        <v>0</v>
      </c>
      <c r="W702" s="686">
        <f t="shared" si="15727"/>
        <v>0</v>
      </c>
      <c r="X702" s="567">
        <f t="shared" si="15727"/>
        <v>0</v>
      </c>
      <c r="Y702" s="686">
        <f t="shared" si="15727"/>
        <v>0</v>
      </c>
      <c r="Z702" s="567">
        <f t="shared" si="15727"/>
        <v>0</v>
      </c>
      <c r="AA702" s="686">
        <f t="shared" si="15727"/>
        <v>0</v>
      </c>
      <c r="AB702" s="567">
        <f t="shared" si="15727"/>
        <v>0</v>
      </c>
      <c r="AC702" s="686">
        <f t="shared" si="15727"/>
        <v>0</v>
      </c>
      <c r="AD702" s="567">
        <f t="shared" si="15727"/>
        <v>0</v>
      </c>
      <c r="AE702" s="686">
        <f t="shared" si="15727"/>
        <v>0</v>
      </c>
      <c r="AF702" s="567">
        <f t="shared" si="15727"/>
        <v>0</v>
      </c>
      <c r="AG702" s="686">
        <f t="shared" si="15727"/>
        <v>0</v>
      </c>
      <c r="AH702" s="567">
        <f t="shared" si="15727"/>
        <v>0</v>
      </c>
      <c r="AI702" s="686">
        <f t="shared" si="15727"/>
        <v>0</v>
      </c>
      <c r="AJ702" s="567">
        <f t="shared" si="15727"/>
        <v>0</v>
      </c>
      <c r="AK702" s="686">
        <f t="shared" si="15727"/>
        <v>0</v>
      </c>
      <c r="AL702" s="567">
        <f t="shared" si="15727"/>
        <v>0</v>
      </c>
      <c r="AM702" s="686">
        <f t="shared" si="15727"/>
        <v>0</v>
      </c>
      <c r="AN702" s="567">
        <f t="shared" si="15727"/>
        <v>0</v>
      </c>
      <c r="AO702" s="686">
        <f t="shared" si="15727"/>
        <v>0</v>
      </c>
      <c r="AP702" s="567">
        <f t="shared" si="15727"/>
        <v>0</v>
      </c>
      <c r="AQ702" s="686">
        <f t="shared" si="15727"/>
        <v>0</v>
      </c>
      <c r="AR702" s="567">
        <f t="shared" si="15727"/>
        <v>0</v>
      </c>
      <c r="AS702" s="686">
        <f t="shared" si="15727"/>
        <v>0</v>
      </c>
      <c r="AT702" s="567">
        <f t="shared" si="15727"/>
        <v>0</v>
      </c>
      <c r="AU702" s="686">
        <f t="shared" si="15727"/>
        <v>0</v>
      </c>
      <c r="AV702" s="567">
        <f t="shared" si="15727"/>
        <v>0</v>
      </c>
      <c r="AW702" s="686">
        <f t="shared" si="15727"/>
        <v>0</v>
      </c>
      <c r="AX702" s="567">
        <f t="shared" si="15727"/>
        <v>0</v>
      </c>
      <c r="AY702" s="686">
        <f t="shared" si="15727"/>
        <v>0</v>
      </c>
      <c r="AZ702" s="567">
        <f t="shared" si="15727"/>
        <v>0</v>
      </c>
      <c r="BA702" s="686">
        <f t="shared" si="15727"/>
        <v>0</v>
      </c>
      <c r="BB702" s="567">
        <f t="shared" si="15727"/>
        <v>0</v>
      </c>
      <c r="BC702" s="686">
        <f t="shared" si="15727"/>
        <v>0</v>
      </c>
      <c r="BD702" s="567">
        <f t="shared" si="15727"/>
        <v>0</v>
      </c>
      <c r="BE702" s="686">
        <f t="shared" si="15727"/>
        <v>0</v>
      </c>
      <c r="BF702" s="567">
        <f t="shared" si="15727"/>
        <v>0</v>
      </c>
      <c r="BG702" s="686">
        <f t="shared" si="15727"/>
        <v>0</v>
      </c>
      <c r="BH702" s="567">
        <f t="shared" si="15727"/>
        <v>0</v>
      </c>
      <c r="BI702" s="686">
        <f t="shared" si="15727"/>
        <v>0</v>
      </c>
      <c r="BJ702" s="567">
        <f t="shared" si="15727"/>
        <v>0</v>
      </c>
      <c r="BK702" s="686">
        <f t="shared" si="15727"/>
        <v>0</v>
      </c>
      <c r="BL702" s="567">
        <f t="shared" si="15727"/>
        <v>0</v>
      </c>
      <c r="BM702" s="686">
        <f t="shared" si="15727"/>
        <v>0</v>
      </c>
      <c r="BN702" s="567">
        <f t="shared" si="15727"/>
        <v>0</v>
      </c>
      <c r="BO702" s="686">
        <f t="shared" si="15727"/>
        <v>0</v>
      </c>
      <c r="BP702" s="567">
        <f t="shared" si="15727"/>
        <v>0</v>
      </c>
      <c r="BQ702" s="686">
        <f t="shared" si="15727"/>
        <v>0</v>
      </c>
      <c r="BR702" s="567">
        <f t="shared" si="15727"/>
        <v>0</v>
      </c>
      <c r="BS702" s="686">
        <f t="shared" si="15727"/>
        <v>0</v>
      </c>
      <c r="BT702" s="567">
        <f t="shared" si="15727"/>
        <v>0</v>
      </c>
      <c r="BU702" s="686">
        <f t="shared" si="15727"/>
        <v>0</v>
      </c>
      <c r="BV702" s="567">
        <f t="shared" si="15727"/>
        <v>0</v>
      </c>
      <c r="BW702" s="686">
        <f t="shared" si="15727"/>
        <v>0</v>
      </c>
      <c r="BX702" s="567">
        <f t="shared" si="15727"/>
        <v>0</v>
      </c>
      <c r="BY702" s="686">
        <f t="shared" si="15727"/>
        <v>0</v>
      </c>
      <c r="BZ702" s="567">
        <f t="shared" si="15727"/>
        <v>0</v>
      </c>
      <c r="CA702" s="686">
        <f t="shared" si="15727"/>
        <v>0</v>
      </c>
      <c r="CB702" s="567">
        <f t="shared" si="15727"/>
        <v>0</v>
      </c>
      <c r="CC702" s="686">
        <f t="shared" si="15727"/>
        <v>0</v>
      </c>
      <c r="CD702" s="567">
        <f t="shared" si="15727"/>
        <v>0</v>
      </c>
      <c r="CE702" s="686">
        <f t="shared" si="15727"/>
        <v>0</v>
      </c>
      <c r="CF702" s="567">
        <f t="shared" si="15727"/>
        <v>0</v>
      </c>
      <c r="CG702" s="686">
        <f t="shared" si="15727"/>
        <v>0</v>
      </c>
      <c r="CH702" s="567">
        <f t="shared" si="15727"/>
        <v>0</v>
      </c>
      <c r="CI702" s="686">
        <f t="shared" si="15727"/>
        <v>0</v>
      </c>
      <c r="CJ702" s="567">
        <f t="shared" si="15727"/>
        <v>0</v>
      </c>
      <c r="CK702" s="686">
        <f t="shared" si="15727"/>
        <v>0</v>
      </c>
      <c r="CL702" s="567">
        <f t="shared" si="15727"/>
        <v>0</v>
      </c>
      <c r="CM702" s="686">
        <f t="shared" si="15727"/>
        <v>0</v>
      </c>
      <c r="CN702" s="567">
        <f t="shared" si="15727"/>
        <v>0</v>
      </c>
      <c r="CO702" s="686">
        <f t="shared" si="15727"/>
        <v>0</v>
      </c>
      <c r="CP702" s="567">
        <f t="shared" si="15727"/>
        <v>0</v>
      </c>
      <c r="CQ702" s="686">
        <f t="shared" si="15727"/>
        <v>0</v>
      </c>
      <c r="CR702" s="567">
        <f t="shared" si="15727"/>
        <v>0</v>
      </c>
      <c r="CS702" s="686">
        <f t="shared" si="15727"/>
        <v>0</v>
      </c>
      <c r="CT702" s="567">
        <f t="shared" si="15727"/>
        <v>0</v>
      </c>
      <c r="CU702" s="686">
        <f t="shared" si="15727"/>
        <v>0</v>
      </c>
      <c r="CV702" s="567">
        <f t="shared" si="15727"/>
        <v>0</v>
      </c>
      <c r="CW702" s="686">
        <f t="shared" si="15727"/>
        <v>0</v>
      </c>
      <c r="CX702" s="567">
        <f t="shared" si="15727"/>
        <v>0</v>
      </c>
      <c r="CY702" s="686">
        <f t="shared" si="15727"/>
        <v>0</v>
      </c>
      <c r="CZ702" s="567">
        <f t="shared" si="15727"/>
        <v>0</v>
      </c>
      <c r="DA702" s="686">
        <f t="shared" si="15727"/>
        <v>0</v>
      </c>
      <c r="DB702" s="567">
        <f t="shared" si="15727"/>
        <v>0</v>
      </c>
      <c r="DC702" s="686">
        <f t="shared" si="15727"/>
        <v>0</v>
      </c>
      <c r="DD702" s="567">
        <f t="shared" si="15727"/>
        <v>0</v>
      </c>
      <c r="DE702" s="686">
        <f t="shared" si="15727"/>
        <v>0</v>
      </c>
      <c r="DF702" s="567">
        <f t="shared" si="15727"/>
        <v>0</v>
      </c>
      <c r="DG702" s="686">
        <f t="shared" si="15727"/>
        <v>0</v>
      </c>
      <c r="DH702" s="567">
        <f t="shared" si="15727"/>
        <v>0</v>
      </c>
      <c r="DI702" s="686">
        <f t="shared" si="15727"/>
        <v>0</v>
      </c>
      <c r="DJ702" s="567">
        <f t="shared" si="15727"/>
        <v>0</v>
      </c>
      <c r="DK702" s="686">
        <f t="shared" si="15727"/>
        <v>0</v>
      </c>
      <c r="DL702" s="567">
        <f t="shared" si="15727"/>
        <v>0</v>
      </c>
      <c r="DM702" s="686">
        <f t="shared" si="15727"/>
        <v>0</v>
      </c>
      <c r="DN702" s="567">
        <f t="shared" si="15727"/>
        <v>45000</v>
      </c>
      <c r="DO702" s="686">
        <f t="shared" si="15727"/>
        <v>0</v>
      </c>
      <c r="DP702" s="567">
        <f t="shared" si="15727"/>
        <v>0</v>
      </c>
      <c r="DQ702" s="686">
        <f t="shared" si="15727"/>
        <v>0</v>
      </c>
      <c r="DR702" s="567">
        <f t="shared" si="15727"/>
        <v>0</v>
      </c>
      <c r="DS702" s="686">
        <f t="shared" si="15727"/>
        <v>0</v>
      </c>
      <c r="DT702" s="567">
        <f t="shared" si="15727"/>
        <v>0</v>
      </c>
      <c r="DU702" s="686">
        <f t="shared" si="15727"/>
        <v>0</v>
      </c>
      <c r="DV702" s="567">
        <f t="shared" si="15727"/>
        <v>0</v>
      </c>
      <c r="DW702" s="686">
        <f t="shared" si="15727"/>
        <v>0</v>
      </c>
      <c r="DX702" s="567">
        <f t="shared" si="15727"/>
        <v>0</v>
      </c>
      <c r="DY702" s="686">
        <f t="shared" si="15727"/>
        <v>0</v>
      </c>
      <c r="DZ702" s="567">
        <f t="shared" si="15727"/>
        <v>0</v>
      </c>
      <c r="EA702" s="686">
        <f t="shared" si="15727"/>
        <v>0</v>
      </c>
      <c r="EB702" s="567">
        <f t="shared" si="15727"/>
        <v>0</v>
      </c>
      <c r="EC702" s="686">
        <f t="shared" si="15727"/>
        <v>0</v>
      </c>
      <c r="ED702" s="567">
        <f t="shared" si="15727"/>
        <v>0</v>
      </c>
      <c r="EE702" s="686">
        <f t="shared" si="15727"/>
        <v>0</v>
      </c>
      <c r="EF702" s="567">
        <f t="shared" si="15727"/>
        <v>0</v>
      </c>
      <c r="EG702" s="686">
        <f t="shared" si="15727"/>
        <v>0</v>
      </c>
      <c r="EH702" s="567">
        <f t="shared" si="15727"/>
        <v>0</v>
      </c>
      <c r="EI702" s="686">
        <f t="shared" si="15727"/>
        <v>0</v>
      </c>
      <c r="EJ702" s="567">
        <f t="shared" si="15727"/>
        <v>0</v>
      </c>
      <c r="EK702" s="686">
        <f t="shared" si="15727"/>
        <v>0</v>
      </c>
      <c r="EL702" s="567">
        <f t="shared" si="15727"/>
        <v>0</v>
      </c>
      <c r="EM702" s="686">
        <f t="shared" si="15727"/>
        <v>0</v>
      </c>
      <c r="EN702" s="567">
        <f t="shared" si="15727"/>
        <v>0</v>
      </c>
      <c r="EO702" s="686">
        <f t="shared" si="15727"/>
        <v>0</v>
      </c>
      <c r="EP702" s="567">
        <f t="shared" si="15727"/>
        <v>0</v>
      </c>
      <c r="EQ702" s="686">
        <f t="shared" si="15727"/>
        <v>0</v>
      </c>
      <c r="ER702" s="567">
        <f t="shared" si="15727"/>
        <v>0</v>
      </c>
      <c r="ES702" s="686">
        <f t="shared" si="15727"/>
        <v>0</v>
      </c>
      <c r="ET702" s="567">
        <f t="shared" si="15727"/>
        <v>0</v>
      </c>
      <c r="EU702" s="686">
        <f t="shared" si="15727"/>
        <v>0</v>
      </c>
      <c r="EV702" s="567">
        <f t="shared" si="15727"/>
        <v>0</v>
      </c>
      <c r="EW702" s="686">
        <f t="shared" si="15727"/>
        <v>0</v>
      </c>
      <c r="EX702" s="567">
        <f t="shared" si="15727"/>
        <v>0</v>
      </c>
      <c r="EY702" s="686">
        <f t="shared" si="15727"/>
        <v>0</v>
      </c>
      <c r="EZ702" s="567">
        <f t="shared" si="15727"/>
        <v>0</v>
      </c>
      <c r="FA702" s="686">
        <f t="shared" si="15727"/>
        <v>0</v>
      </c>
      <c r="FB702" s="567">
        <f t="shared" si="15727"/>
        <v>0</v>
      </c>
      <c r="FC702" s="686">
        <f t="shared" si="15727"/>
        <v>-21946</v>
      </c>
      <c r="FD702" s="567">
        <f t="shared" si="15727"/>
        <v>0</v>
      </c>
      <c r="FE702" s="686">
        <f t="shared" si="15727"/>
        <v>0</v>
      </c>
      <c r="FF702" s="567">
        <f t="shared" si="15727"/>
        <v>0</v>
      </c>
      <c r="FG702" s="686">
        <f t="shared" si="15727"/>
        <v>0</v>
      </c>
      <c r="FH702" s="567">
        <f t="shared" si="15727"/>
        <v>0</v>
      </c>
      <c r="FI702" s="686">
        <f t="shared" si="15727"/>
        <v>0</v>
      </c>
      <c r="FJ702" s="567">
        <f t="shared" si="15727"/>
        <v>0</v>
      </c>
      <c r="FK702" s="686">
        <f t="shared" si="15727"/>
        <v>0</v>
      </c>
      <c r="FL702" s="567">
        <f t="shared" si="15727"/>
        <v>0</v>
      </c>
      <c r="FM702" s="686">
        <f t="shared" si="15727"/>
        <v>0</v>
      </c>
      <c r="FN702" s="567">
        <f t="shared" si="15727"/>
        <v>0</v>
      </c>
      <c r="FO702" s="686">
        <f t="shared" si="15727"/>
        <v>-23056</v>
      </c>
      <c r="FP702" s="567">
        <f t="shared" si="15727"/>
        <v>0</v>
      </c>
      <c r="FQ702" s="686">
        <f t="shared" si="15727"/>
        <v>0</v>
      </c>
      <c r="FR702" s="567">
        <f t="shared" si="15727"/>
        <v>0</v>
      </c>
      <c r="FS702" s="686">
        <f t="shared" si="15727"/>
        <v>0</v>
      </c>
      <c r="FT702" s="567">
        <f t="shared" si="15727"/>
        <v>0</v>
      </c>
      <c r="FU702" s="686">
        <f t="shared" si="15727"/>
        <v>0</v>
      </c>
      <c r="FV702" s="567">
        <f t="shared" si="15727"/>
        <v>0</v>
      </c>
      <c r="FW702" s="686">
        <f t="shared" si="15727"/>
        <v>0</v>
      </c>
      <c r="FX702" s="567">
        <f t="shared" si="15727"/>
        <v>0</v>
      </c>
      <c r="FY702" s="686">
        <f t="shared" si="15727"/>
        <v>0</v>
      </c>
      <c r="FZ702" s="567">
        <f t="shared" si="15727"/>
        <v>0</v>
      </c>
      <c r="GA702" s="686">
        <f t="shared" si="15727"/>
        <v>0</v>
      </c>
      <c r="GB702" s="567">
        <f t="shared" si="15727"/>
        <v>0</v>
      </c>
      <c r="GC702" s="686">
        <f t="shared" si="15727"/>
        <v>0</v>
      </c>
      <c r="GD702" s="567">
        <f t="shared" si="15727"/>
        <v>0</v>
      </c>
      <c r="GE702" s="686">
        <f t="shared" si="15727"/>
        <v>0</v>
      </c>
      <c r="GF702" s="567">
        <f t="shared" si="15727"/>
        <v>0</v>
      </c>
      <c r="GG702" s="686">
        <f t="shared" si="15727"/>
        <v>0</v>
      </c>
      <c r="GH702" s="567">
        <f t="shared" si="15727"/>
        <v>0</v>
      </c>
      <c r="GI702" s="686">
        <f t="shared" si="15727"/>
        <v>0</v>
      </c>
      <c r="GJ702" s="567">
        <f t="shared" si="15727"/>
        <v>0</v>
      </c>
      <c r="GK702" s="686">
        <f t="shared" si="15727"/>
        <v>0</v>
      </c>
      <c r="GL702" s="567">
        <f t="shared" si="15727"/>
        <v>0</v>
      </c>
      <c r="GM702" s="686">
        <f t="shared" si="15727"/>
        <v>0</v>
      </c>
      <c r="GN702" s="567">
        <f t="shared" si="15727"/>
        <v>0</v>
      </c>
      <c r="GO702" s="686">
        <f t="shared" si="15727"/>
        <v>0</v>
      </c>
      <c r="GP702" s="567">
        <f t="shared" si="15727"/>
        <v>272500</v>
      </c>
      <c r="GQ702" s="686">
        <f t="shared" si="15727"/>
        <v>-45002</v>
      </c>
      <c r="GR702" s="513">
        <f t="shared" si="15727"/>
        <v>427498</v>
      </c>
      <c r="GS702" s="513">
        <f>GS703</f>
        <v>427498</v>
      </c>
      <c r="GT702" s="567">
        <f t="shared" si="15727"/>
        <v>427498</v>
      </c>
      <c r="GU702" s="513">
        <f t="shared" si="15727"/>
        <v>40000</v>
      </c>
      <c r="GV702" s="513">
        <f t="shared" si="15727"/>
        <v>160000</v>
      </c>
      <c r="GW702" s="567">
        <f t="shared" si="15727"/>
        <v>0</v>
      </c>
      <c r="GX702" s="567">
        <f t="shared" si="15727"/>
        <v>0</v>
      </c>
      <c r="GY702" s="513">
        <f t="shared" si="15727"/>
        <v>0</v>
      </c>
      <c r="GZ702" s="513">
        <f t="shared" si="15727"/>
        <v>0</v>
      </c>
      <c r="HA702" s="513">
        <f t="shared" si="15727"/>
        <v>0</v>
      </c>
      <c r="HB702" s="513">
        <f t="shared" si="15727"/>
        <v>0</v>
      </c>
      <c r="HC702" s="513">
        <f t="shared" si="15727"/>
        <v>0</v>
      </c>
      <c r="HD702" s="513">
        <f t="shared" si="15727"/>
        <v>0</v>
      </c>
      <c r="HE702" s="513">
        <f t="shared" si="15727"/>
        <v>0</v>
      </c>
      <c r="HF702" s="513">
        <f t="shared" si="15727"/>
        <v>0</v>
      </c>
      <c r="HG702" s="513">
        <f t="shared" si="15727"/>
        <v>427498</v>
      </c>
      <c r="HH702" s="513">
        <f t="shared" ref="HH702:HI702" si="15728">HH703</f>
        <v>0</v>
      </c>
      <c r="HI702" s="827">
        <f t="shared" si="15728"/>
        <v>0</v>
      </c>
      <c r="HJ702" s="513">
        <f t="shared" ref="HJ702:HK702" si="15729">HJ703</f>
        <v>0</v>
      </c>
      <c r="HK702" s="827">
        <f t="shared" si="15729"/>
        <v>-227500</v>
      </c>
      <c r="HL702" s="513">
        <f t="shared" ref="HL702:HM702" si="15730">HL703</f>
        <v>0</v>
      </c>
      <c r="HM702" s="827">
        <f t="shared" si="15730"/>
        <v>0</v>
      </c>
      <c r="HN702" s="513">
        <f t="shared" ref="HN702:HO702" si="15731">HN703</f>
        <v>0</v>
      </c>
      <c r="HO702" s="827">
        <f t="shared" si="15731"/>
        <v>170999.15</v>
      </c>
      <c r="HP702" s="513">
        <f t="shared" ref="HP702:HQ702" si="15732">HP703</f>
        <v>0</v>
      </c>
      <c r="HQ702" s="827">
        <f t="shared" si="15732"/>
        <v>0</v>
      </c>
      <c r="HR702" s="513">
        <f t="shared" ref="HR702:HS702" si="15733">HR703</f>
        <v>0</v>
      </c>
      <c r="HS702" s="827">
        <f t="shared" si="15733"/>
        <v>0</v>
      </c>
      <c r="HT702" s="513">
        <f t="shared" ref="HT702:HU702" si="15734">HT703</f>
        <v>0</v>
      </c>
      <c r="HU702" s="827">
        <f t="shared" si="15734"/>
        <v>40060.239999999998</v>
      </c>
      <c r="HV702" s="513">
        <f t="shared" ref="HV702:HW702" si="15735">HV703</f>
        <v>0</v>
      </c>
      <c r="HW702" s="827">
        <f t="shared" si="15735"/>
        <v>0</v>
      </c>
      <c r="HX702" s="513">
        <f t="shared" ref="HX702:HY702" si="15736">HX703</f>
        <v>0</v>
      </c>
      <c r="HY702" s="827">
        <f t="shared" si="15736"/>
        <v>0</v>
      </c>
      <c r="HZ702" s="513">
        <f t="shared" ref="HZ702:IA702" si="15737">HZ703</f>
        <v>0</v>
      </c>
      <c r="IA702" s="827">
        <f t="shared" si="15737"/>
        <v>216440.61000000002</v>
      </c>
      <c r="IB702" s="513">
        <f t="shared" ref="IB702:IC702" si="15738">IB703</f>
        <v>0</v>
      </c>
      <c r="IC702" s="827">
        <f t="shared" si="15738"/>
        <v>0</v>
      </c>
      <c r="ID702" s="513">
        <f t="shared" si="15727"/>
        <v>0</v>
      </c>
      <c r="IE702" s="827">
        <f t="shared" si="15727"/>
        <v>0</v>
      </c>
      <c r="IF702" s="703">
        <f t="shared" si="15727"/>
        <v>170999.15</v>
      </c>
      <c r="IG702" s="704">
        <f t="shared" si="15727"/>
        <v>170999.15</v>
      </c>
      <c r="IH702" s="858">
        <f t="shared" si="15727"/>
        <v>170999.15</v>
      </c>
      <c r="II702" s="513">
        <f t="shared" si="15727"/>
        <v>0</v>
      </c>
      <c r="IJ702" s="513">
        <f t="shared" si="15727"/>
        <v>0</v>
      </c>
      <c r="IK702" s="513">
        <f t="shared" si="15727"/>
        <v>0</v>
      </c>
      <c r="IL702" s="513">
        <f t="shared" si="15727"/>
        <v>0</v>
      </c>
      <c r="IM702" s="513">
        <f t="shared" si="15727"/>
        <v>0</v>
      </c>
      <c r="IN702" s="513">
        <f t="shared" si="15727"/>
        <v>0</v>
      </c>
      <c r="IO702" s="513">
        <f t="shared" si="15727"/>
        <v>0</v>
      </c>
      <c r="IP702" s="513">
        <f t="shared" si="15727"/>
        <v>0</v>
      </c>
      <c r="IQ702" s="513">
        <f t="shared" si="15727"/>
        <v>0</v>
      </c>
      <c r="IR702" s="513">
        <f t="shared" si="15727"/>
        <v>170999.15</v>
      </c>
      <c r="IS702" s="513">
        <f t="shared" si="15727"/>
        <v>170999.15</v>
      </c>
      <c r="IT702" s="513">
        <f t="shared" si="15727"/>
        <v>170999.15</v>
      </c>
      <c r="IU702" s="513">
        <f t="shared" si="15727"/>
        <v>0</v>
      </c>
      <c r="IV702" s="513">
        <f t="shared" si="15727"/>
        <v>0</v>
      </c>
      <c r="IW702" s="513">
        <f t="shared" si="15727"/>
        <v>0</v>
      </c>
      <c r="IX702" s="513">
        <f t="shared" si="15727"/>
        <v>0</v>
      </c>
      <c r="IY702" s="513">
        <f t="shared" si="15727"/>
        <v>0</v>
      </c>
      <c r="IZ702" s="513">
        <f t="shared" si="15727"/>
        <v>0</v>
      </c>
      <c r="JA702" s="513">
        <f t="shared" ref="JA702:JX702" si="15739">JA703</f>
        <v>0</v>
      </c>
      <c r="JB702" s="513">
        <f t="shared" si="15739"/>
        <v>0</v>
      </c>
      <c r="JC702" s="513">
        <f t="shared" si="15739"/>
        <v>0</v>
      </c>
      <c r="JD702" s="513">
        <f t="shared" si="15739"/>
        <v>0</v>
      </c>
      <c r="JE702" s="513">
        <f t="shared" si="15739"/>
        <v>0</v>
      </c>
      <c r="JF702" s="513">
        <f t="shared" si="15739"/>
        <v>0</v>
      </c>
      <c r="JG702" s="513">
        <f t="shared" si="15739"/>
        <v>0</v>
      </c>
      <c r="JH702" s="513">
        <f t="shared" si="15739"/>
        <v>0</v>
      </c>
      <c r="JI702" s="513">
        <f t="shared" si="15739"/>
        <v>0</v>
      </c>
      <c r="JJ702" s="513">
        <f t="shared" si="15739"/>
        <v>0</v>
      </c>
      <c r="JK702" s="513">
        <f t="shared" si="15739"/>
        <v>0</v>
      </c>
      <c r="JL702" s="513">
        <f t="shared" si="15739"/>
        <v>0</v>
      </c>
      <c r="JM702" s="513">
        <f t="shared" si="15739"/>
        <v>0</v>
      </c>
      <c r="JN702" s="513">
        <f t="shared" si="15739"/>
        <v>0</v>
      </c>
      <c r="JO702" s="513">
        <f t="shared" si="15739"/>
        <v>0</v>
      </c>
      <c r="JP702" s="513">
        <f t="shared" si="15739"/>
        <v>0</v>
      </c>
      <c r="JQ702" s="513">
        <f t="shared" si="15739"/>
        <v>0</v>
      </c>
      <c r="JR702" s="513">
        <f t="shared" si="15739"/>
        <v>0</v>
      </c>
      <c r="JS702" s="513">
        <f t="shared" si="15739"/>
        <v>256498.85</v>
      </c>
      <c r="JT702" s="573">
        <f t="shared" si="15739"/>
        <v>256498.85</v>
      </c>
      <c r="JU702" s="665"/>
      <c r="JV702" s="524"/>
      <c r="JW702" s="525"/>
      <c r="JX702" s="567">
        <f t="shared" si="15739"/>
        <v>0</v>
      </c>
      <c r="JY702" s="513">
        <f>JY703</f>
        <v>200000</v>
      </c>
      <c r="JZ702" s="513">
        <f t="shared" ref="JZ702:KB702" si="15740">JZ703</f>
        <v>272500</v>
      </c>
      <c r="KA702" s="513">
        <f t="shared" si="15740"/>
        <v>-45002</v>
      </c>
      <c r="KB702" s="513">
        <f t="shared" si="15740"/>
        <v>427498</v>
      </c>
      <c r="KC702" s="709">
        <f t="shared" si="14739"/>
        <v>0</v>
      </c>
      <c r="KD702" s="491"/>
      <c r="KE702" s="491"/>
      <c r="KF702" s="491"/>
      <c r="KG702" s="491"/>
      <c r="KH702" s="36"/>
      <c r="KI702" s="36"/>
      <c r="KJ702" s="36"/>
      <c r="KK702" s="36"/>
    </row>
    <row r="703" spans="1:297" s="8" customFormat="1">
      <c r="A703" s="612" t="s">
        <v>955</v>
      </c>
      <c r="B703" s="512" t="s">
        <v>346</v>
      </c>
      <c r="C703" s="74">
        <v>200000</v>
      </c>
      <c r="D703" s="549">
        <v>0</v>
      </c>
      <c r="E703" s="675">
        <v>0</v>
      </c>
      <c r="F703" s="549">
        <v>0</v>
      </c>
      <c r="G703" s="675">
        <v>0</v>
      </c>
      <c r="H703" s="549">
        <v>0</v>
      </c>
      <c r="I703" s="675">
        <v>0</v>
      </c>
      <c r="J703" s="549">
        <v>227500</v>
      </c>
      <c r="K703" s="675">
        <v>0</v>
      </c>
      <c r="L703" s="549">
        <v>0</v>
      </c>
      <c r="M703" s="675">
        <v>0</v>
      </c>
      <c r="N703" s="549">
        <v>0</v>
      </c>
      <c r="O703" s="675">
        <v>0</v>
      </c>
      <c r="P703" s="549">
        <v>0</v>
      </c>
      <c r="Q703" s="675">
        <v>0</v>
      </c>
      <c r="R703" s="549">
        <v>0</v>
      </c>
      <c r="S703" s="675">
        <v>0</v>
      </c>
      <c r="T703" s="549">
        <v>0</v>
      </c>
      <c r="U703" s="675">
        <v>0</v>
      </c>
      <c r="V703" s="549">
        <v>0</v>
      </c>
      <c r="W703" s="675">
        <v>0</v>
      </c>
      <c r="X703" s="549">
        <v>0</v>
      </c>
      <c r="Y703" s="675">
        <v>0</v>
      </c>
      <c r="Z703" s="549">
        <v>0</v>
      </c>
      <c r="AA703" s="675">
        <v>0</v>
      </c>
      <c r="AB703" s="549">
        <v>0</v>
      </c>
      <c r="AC703" s="675">
        <v>0</v>
      </c>
      <c r="AD703" s="549">
        <v>0</v>
      </c>
      <c r="AE703" s="675">
        <v>0</v>
      </c>
      <c r="AF703" s="549">
        <v>0</v>
      </c>
      <c r="AG703" s="675">
        <v>0</v>
      </c>
      <c r="AH703" s="549">
        <v>0</v>
      </c>
      <c r="AI703" s="675">
        <v>0</v>
      </c>
      <c r="AJ703" s="549">
        <v>0</v>
      </c>
      <c r="AK703" s="675">
        <v>0</v>
      </c>
      <c r="AL703" s="549">
        <v>0</v>
      </c>
      <c r="AM703" s="675">
        <v>0</v>
      </c>
      <c r="AN703" s="549">
        <v>0</v>
      </c>
      <c r="AO703" s="675">
        <v>0</v>
      </c>
      <c r="AP703" s="549">
        <v>0</v>
      </c>
      <c r="AQ703" s="675">
        <v>0</v>
      </c>
      <c r="AR703" s="549">
        <v>0</v>
      </c>
      <c r="AS703" s="675">
        <v>0</v>
      </c>
      <c r="AT703" s="549">
        <v>0</v>
      </c>
      <c r="AU703" s="675">
        <v>0</v>
      </c>
      <c r="AV703" s="549">
        <v>0</v>
      </c>
      <c r="AW703" s="675">
        <v>0</v>
      </c>
      <c r="AX703" s="549">
        <v>0</v>
      </c>
      <c r="AY703" s="675">
        <v>0</v>
      </c>
      <c r="AZ703" s="549">
        <v>0</v>
      </c>
      <c r="BA703" s="675">
        <v>0</v>
      </c>
      <c r="BB703" s="549">
        <v>0</v>
      </c>
      <c r="BC703" s="675">
        <v>0</v>
      </c>
      <c r="BD703" s="549">
        <v>0</v>
      </c>
      <c r="BE703" s="675">
        <v>0</v>
      </c>
      <c r="BF703" s="549">
        <v>0</v>
      </c>
      <c r="BG703" s="675">
        <v>0</v>
      </c>
      <c r="BH703" s="549">
        <v>0</v>
      </c>
      <c r="BI703" s="675">
        <v>0</v>
      </c>
      <c r="BJ703" s="549">
        <v>0</v>
      </c>
      <c r="BK703" s="675">
        <v>0</v>
      </c>
      <c r="BL703" s="549">
        <v>0</v>
      </c>
      <c r="BM703" s="675">
        <v>0</v>
      </c>
      <c r="BN703" s="549">
        <v>0</v>
      </c>
      <c r="BO703" s="675">
        <v>0</v>
      </c>
      <c r="BP703" s="549">
        <v>0</v>
      </c>
      <c r="BQ703" s="675">
        <v>0</v>
      </c>
      <c r="BR703" s="549">
        <v>0</v>
      </c>
      <c r="BS703" s="675">
        <v>0</v>
      </c>
      <c r="BT703" s="549">
        <v>0</v>
      </c>
      <c r="BU703" s="675">
        <v>0</v>
      </c>
      <c r="BV703" s="549">
        <v>0</v>
      </c>
      <c r="BW703" s="675">
        <v>0</v>
      </c>
      <c r="BX703" s="549">
        <v>0</v>
      </c>
      <c r="BY703" s="675">
        <v>0</v>
      </c>
      <c r="BZ703" s="549">
        <v>0</v>
      </c>
      <c r="CA703" s="675">
        <v>0</v>
      </c>
      <c r="CB703" s="549">
        <v>0</v>
      </c>
      <c r="CC703" s="675">
        <v>0</v>
      </c>
      <c r="CD703" s="549">
        <v>0</v>
      </c>
      <c r="CE703" s="675">
        <v>0</v>
      </c>
      <c r="CF703" s="549">
        <v>0</v>
      </c>
      <c r="CG703" s="675">
        <v>0</v>
      </c>
      <c r="CH703" s="549">
        <v>0</v>
      </c>
      <c r="CI703" s="675">
        <v>0</v>
      </c>
      <c r="CJ703" s="549">
        <v>0</v>
      </c>
      <c r="CK703" s="675">
        <v>0</v>
      </c>
      <c r="CL703" s="549">
        <v>0</v>
      </c>
      <c r="CM703" s="675">
        <v>0</v>
      </c>
      <c r="CN703" s="549">
        <v>0</v>
      </c>
      <c r="CO703" s="675">
        <v>0</v>
      </c>
      <c r="CP703" s="549">
        <v>0</v>
      </c>
      <c r="CQ703" s="675">
        <v>0</v>
      </c>
      <c r="CR703" s="549">
        <v>0</v>
      </c>
      <c r="CS703" s="675">
        <v>0</v>
      </c>
      <c r="CT703" s="549">
        <v>0</v>
      </c>
      <c r="CU703" s="675">
        <v>0</v>
      </c>
      <c r="CV703" s="549">
        <v>0</v>
      </c>
      <c r="CW703" s="675">
        <v>0</v>
      </c>
      <c r="CX703" s="549">
        <v>0</v>
      </c>
      <c r="CY703" s="675">
        <v>0</v>
      </c>
      <c r="CZ703" s="549">
        <v>0</v>
      </c>
      <c r="DA703" s="675">
        <v>0</v>
      </c>
      <c r="DB703" s="549">
        <v>0</v>
      </c>
      <c r="DC703" s="675">
        <v>0</v>
      </c>
      <c r="DD703" s="549">
        <v>0</v>
      </c>
      <c r="DE703" s="675">
        <v>0</v>
      </c>
      <c r="DF703" s="549">
        <v>0</v>
      </c>
      <c r="DG703" s="675">
        <v>0</v>
      </c>
      <c r="DH703" s="549">
        <v>0</v>
      </c>
      <c r="DI703" s="675">
        <v>0</v>
      </c>
      <c r="DJ703" s="549">
        <v>0</v>
      </c>
      <c r="DK703" s="675">
        <v>0</v>
      </c>
      <c r="DL703" s="549">
        <v>0</v>
      </c>
      <c r="DM703" s="675">
        <v>0</v>
      </c>
      <c r="DN703" s="549">
        <v>45000</v>
      </c>
      <c r="DO703" s="675">
        <v>0</v>
      </c>
      <c r="DP703" s="549">
        <v>0</v>
      </c>
      <c r="DQ703" s="675">
        <v>0</v>
      </c>
      <c r="DR703" s="549">
        <v>0</v>
      </c>
      <c r="DS703" s="675">
        <v>0</v>
      </c>
      <c r="DT703" s="549">
        <v>0</v>
      </c>
      <c r="DU703" s="675">
        <v>0</v>
      </c>
      <c r="DV703" s="549">
        <v>0</v>
      </c>
      <c r="DW703" s="675">
        <v>0</v>
      </c>
      <c r="DX703" s="549">
        <v>0</v>
      </c>
      <c r="DY703" s="675">
        <v>0</v>
      </c>
      <c r="DZ703" s="549">
        <v>0</v>
      </c>
      <c r="EA703" s="675">
        <v>0</v>
      </c>
      <c r="EB703" s="549">
        <v>0</v>
      </c>
      <c r="EC703" s="675">
        <v>0</v>
      </c>
      <c r="ED703" s="549">
        <v>0</v>
      </c>
      <c r="EE703" s="675">
        <v>0</v>
      </c>
      <c r="EF703" s="549">
        <v>0</v>
      </c>
      <c r="EG703" s="675">
        <v>0</v>
      </c>
      <c r="EH703" s="549">
        <v>0</v>
      </c>
      <c r="EI703" s="675">
        <v>0</v>
      </c>
      <c r="EJ703" s="549">
        <v>0</v>
      </c>
      <c r="EK703" s="675">
        <v>0</v>
      </c>
      <c r="EL703" s="549">
        <v>0</v>
      </c>
      <c r="EM703" s="675">
        <v>0</v>
      </c>
      <c r="EN703" s="549">
        <v>0</v>
      </c>
      <c r="EO703" s="675">
        <v>0</v>
      </c>
      <c r="EP703" s="549">
        <v>0</v>
      </c>
      <c r="EQ703" s="675">
        <v>0</v>
      </c>
      <c r="ER703" s="549">
        <v>0</v>
      </c>
      <c r="ES703" s="675">
        <v>0</v>
      </c>
      <c r="ET703" s="549">
        <v>0</v>
      </c>
      <c r="EU703" s="675">
        <v>0</v>
      </c>
      <c r="EV703" s="549">
        <v>0</v>
      </c>
      <c r="EW703" s="675">
        <v>0</v>
      </c>
      <c r="EX703" s="549">
        <v>0</v>
      </c>
      <c r="EY703" s="675">
        <v>0</v>
      </c>
      <c r="EZ703" s="549">
        <v>0</v>
      </c>
      <c r="FA703" s="675">
        <v>0</v>
      </c>
      <c r="FB703" s="549">
        <v>0</v>
      </c>
      <c r="FC703" s="675">
        <v>-21946</v>
      </c>
      <c r="FD703" s="549">
        <v>0</v>
      </c>
      <c r="FE703" s="675">
        <v>0</v>
      </c>
      <c r="FF703" s="549">
        <v>0</v>
      </c>
      <c r="FG703" s="675">
        <v>0</v>
      </c>
      <c r="FH703" s="549">
        <v>0</v>
      </c>
      <c r="FI703" s="675">
        <v>0</v>
      </c>
      <c r="FJ703" s="549">
        <v>0</v>
      </c>
      <c r="FK703" s="675">
        <v>0</v>
      </c>
      <c r="FL703" s="549">
        <v>0</v>
      </c>
      <c r="FM703" s="675">
        <v>0</v>
      </c>
      <c r="FN703" s="549">
        <v>0</v>
      </c>
      <c r="FO703" s="675">
        <v>-23056</v>
      </c>
      <c r="FP703" s="549">
        <v>0</v>
      </c>
      <c r="FQ703" s="675">
        <v>0</v>
      </c>
      <c r="FR703" s="549">
        <v>0</v>
      </c>
      <c r="FS703" s="675">
        <v>0</v>
      </c>
      <c r="FT703" s="549">
        <v>0</v>
      </c>
      <c r="FU703" s="675">
        <v>0</v>
      </c>
      <c r="FV703" s="549">
        <v>0</v>
      </c>
      <c r="FW703" s="675">
        <v>0</v>
      </c>
      <c r="FX703" s="549">
        <v>0</v>
      </c>
      <c r="FY703" s="675">
        <v>0</v>
      </c>
      <c r="FZ703" s="549">
        <v>0</v>
      </c>
      <c r="GA703" s="675">
        <v>0</v>
      </c>
      <c r="GB703" s="549">
        <v>0</v>
      </c>
      <c r="GC703" s="675">
        <v>0</v>
      </c>
      <c r="GD703" s="549">
        <v>0</v>
      </c>
      <c r="GE703" s="675">
        <v>0</v>
      </c>
      <c r="GF703" s="549">
        <v>0</v>
      </c>
      <c r="GG703" s="675">
        <v>0</v>
      </c>
      <c r="GH703" s="549">
        <v>0</v>
      </c>
      <c r="GI703" s="675">
        <v>0</v>
      </c>
      <c r="GJ703" s="549">
        <v>0</v>
      </c>
      <c r="GK703" s="675">
        <v>0</v>
      </c>
      <c r="GL703" s="549">
        <v>0</v>
      </c>
      <c r="GM703" s="675">
        <v>0</v>
      </c>
      <c r="GN703" s="549">
        <v>0</v>
      </c>
      <c r="GO703" s="675">
        <v>0</v>
      </c>
      <c r="GP703" s="549">
        <f>+D703+F703+H703+J703+L703+N703+P703+R703+T703+V703+X703+Z703+AB703+AF703+AD703+AH703+AJ703+AL703+AN703+AP703+AR703+AT703+AV703+AX703+AZ703+BB703+BD703+BF703+BH703+BJ703+BL703+BN703+BP703+BR703+BT703+BV703+BX703+BZ703+CB703+CD703+CF703+CH703+CJ703+CL703+CN703+CP703+CR703+CT703+CV703+CX703+CZ703+DB703+DD703+DF703+DH703+DT703+EX703+DJ703+DL703+DN703+DP703+DR703+EJ703+EB703+DZ703+DX703+DV703+ED703+EF703+EH703+EL703+EN703+EP703+EV703+ET703+ER703+EZ703+FB703+FD703+GL703+FF703+FJ703+FL703+GJ703+FT703+FR703+FP703+FN703+FH703+GH703+GF703+GD703+GB703+FZ703+FX703+FV703+GN703</f>
        <v>272500</v>
      </c>
      <c r="GQ703" s="675">
        <f>+E703+G703+I703+K703+M703+O703+Q703+S703+U703+W703+Y703+AA703+AC703+AE703+AG703+AI703+AK703+AM703+AO703+AQ703+AS703+AU703+AW703+AY703+BA703+BC703+BE703+BG703+BI703+BK703+BM703+BO703+BQ703+BS703+BU703+BW703+BY703+CA703+CC703+CE703+CG703+CI703+CK703+CM703+CO703+CQ703+CS703+CU703+CW703+CY703+DA703+DC703+DE703+DG703+DI703+DU703+EY703+DK703+DM703+DO703+DQ703+DS703+EK703+EC703+EA703+DY703+DW703+EI703+EG703+EE703+EM703+EO703+EQ703+EW703+EU703+ES703+FA703+FC703+FE703+GM703+FG703+FK703+FM703+FO703+FQ703+FS703+FU703+GK703+FI703+GI703+GG703+GE703+GC703+GA703+FY703+FW703+GO703</f>
        <v>-45002</v>
      </c>
      <c r="GR703" s="74">
        <f>C703+GP703+GQ703</f>
        <v>427498</v>
      </c>
      <c r="GS703" s="74">
        <f>SUM(GU703:HD703)+GP703+GQ703</f>
        <v>427498</v>
      </c>
      <c r="GT703" s="568">
        <f>SUM(GU703:HF703)+GQ703+GP703</f>
        <v>427498</v>
      </c>
      <c r="GU703" s="275">
        <v>40000</v>
      </c>
      <c r="GV703" s="275">
        <v>160000</v>
      </c>
      <c r="GW703" s="588"/>
      <c r="GX703" s="588">
        <f>60000-60000</f>
        <v>0</v>
      </c>
      <c r="GY703" s="275"/>
      <c r="GZ703" s="275"/>
      <c r="HA703" s="275">
        <f>60000-60000</f>
        <v>0</v>
      </c>
      <c r="HB703" s="275"/>
      <c r="HC703" s="275"/>
      <c r="HD703" s="275">
        <f>40000-40000</f>
        <v>0</v>
      </c>
      <c r="HE703" s="275">
        <v>0</v>
      </c>
      <c r="HF703" s="275">
        <v>0</v>
      </c>
      <c r="HG703" s="74">
        <f>SUM(HH703:IE703)+GP703+GQ703</f>
        <v>427498</v>
      </c>
      <c r="HH703" s="89">
        <v>0</v>
      </c>
      <c r="HI703" s="817">
        <v>0</v>
      </c>
      <c r="HJ703" s="89">
        <v>0</v>
      </c>
      <c r="HK703" s="817">
        <v>-227500</v>
      </c>
      <c r="HL703" s="89">
        <v>0</v>
      </c>
      <c r="HM703" s="817">
        <v>0</v>
      </c>
      <c r="HN703" s="89">
        <v>0</v>
      </c>
      <c r="HO703" s="817">
        <v>170999.15</v>
      </c>
      <c r="HP703" s="89">
        <v>0</v>
      </c>
      <c r="HQ703" s="817">
        <v>0</v>
      </c>
      <c r="HR703" s="89">
        <v>0</v>
      </c>
      <c r="HS703" s="817">
        <v>0</v>
      </c>
      <c r="HT703" s="89">
        <v>0</v>
      </c>
      <c r="HU703" s="847">
        <v>40060.239999999998</v>
      </c>
      <c r="HV703" s="89">
        <v>0</v>
      </c>
      <c r="HW703" s="817">
        <v>0</v>
      </c>
      <c r="HX703" s="89">
        <v>0</v>
      </c>
      <c r="HY703" s="817">
        <v>0</v>
      </c>
      <c r="HZ703" s="89">
        <v>0</v>
      </c>
      <c r="IA703" s="817">
        <f>256498.85-40058.24</f>
        <v>216440.61000000002</v>
      </c>
      <c r="IB703" s="89">
        <v>0</v>
      </c>
      <c r="IC703" s="817">
        <v>0</v>
      </c>
      <c r="ID703" s="89">
        <v>0</v>
      </c>
      <c r="IE703" s="817">
        <v>0</v>
      </c>
      <c r="IF703" s="841">
        <f t="shared" ref="IF703" si="15741">SUM(II703,IL703,IO703,IR703,IU703,IX703,JA703,JD703,JG703,JJ703,JM703,JP703)</f>
        <v>170999.15</v>
      </c>
      <c r="IG703" s="263">
        <f t="shared" ref="IG703" si="15742">SUM(IJ703,IM703,IP703,IS703,IV703,IY703,JB703,JE703,JH703,JK703,JN703,JQ703)</f>
        <v>170999.15</v>
      </c>
      <c r="IH703" s="842">
        <f t="shared" ref="IH703" si="15743">SUM(IK703,IN703,IQ703,IT703,IW703,IZ703,JC703,JF703,JI703,JL703,JO703,JR703)</f>
        <v>170999.15</v>
      </c>
      <c r="II703" s="89">
        <v>0</v>
      </c>
      <c r="IJ703" s="89">
        <f t="shared" ref="IJ703" si="15744">II703</f>
        <v>0</v>
      </c>
      <c r="IK703" s="89">
        <f t="shared" ref="IK703" si="15745">IJ703</f>
        <v>0</v>
      </c>
      <c r="IL703" s="89">
        <v>0</v>
      </c>
      <c r="IM703" s="89">
        <f t="shared" ref="IM703" si="15746">IL703</f>
        <v>0</v>
      </c>
      <c r="IN703" s="89">
        <f t="shared" ref="IN703" si="15747">IM703</f>
        <v>0</v>
      </c>
      <c r="IO703" s="89">
        <v>0</v>
      </c>
      <c r="IP703" s="89">
        <f t="shared" ref="IP703" si="15748">IO703</f>
        <v>0</v>
      </c>
      <c r="IQ703" s="89">
        <f t="shared" ref="IQ703" si="15749">IP703</f>
        <v>0</v>
      </c>
      <c r="IR703" s="89">
        <v>170999.15</v>
      </c>
      <c r="IS703" s="89">
        <f t="shared" ref="IS703" si="15750">IR703</f>
        <v>170999.15</v>
      </c>
      <c r="IT703" s="89">
        <f t="shared" ref="IT703" si="15751">IS703</f>
        <v>170999.15</v>
      </c>
      <c r="IU703" s="89">
        <v>0</v>
      </c>
      <c r="IV703" s="89">
        <f t="shared" ref="IV703" si="15752">IU703</f>
        <v>0</v>
      </c>
      <c r="IW703" s="89">
        <f t="shared" ref="IW703" si="15753">IV703</f>
        <v>0</v>
      </c>
      <c r="IX703" s="89">
        <v>0</v>
      </c>
      <c r="IY703" s="89">
        <f t="shared" ref="IY703" si="15754">IX703</f>
        <v>0</v>
      </c>
      <c r="IZ703" s="89">
        <f t="shared" ref="IZ703" si="15755">IY703</f>
        <v>0</v>
      </c>
      <c r="JA703" s="89">
        <f>170999.15-170999.15</f>
        <v>0</v>
      </c>
      <c r="JB703" s="89">
        <f t="shared" ref="JB703" si="15756">JA703</f>
        <v>0</v>
      </c>
      <c r="JC703" s="89">
        <f t="shared" ref="JC703" si="15757">JB703</f>
        <v>0</v>
      </c>
      <c r="JD703" s="89">
        <v>0</v>
      </c>
      <c r="JE703" s="89">
        <f t="shared" ref="JE703" si="15758">JD703</f>
        <v>0</v>
      </c>
      <c r="JF703" s="89">
        <f t="shared" ref="JF703" si="15759">JE703</f>
        <v>0</v>
      </c>
      <c r="JG703" s="89">
        <v>0</v>
      </c>
      <c r="JH703" s="89">
        <f t="shared" ref="JH703" si="15760">JG703</f>
        <v>0</v>
      </c>
      <c r="JI703" s="89">
        <f t="shared" ref="JI703" si="15761">JH703</f>
        <v>0</v>
      </c>
      <c r="JJ703" s="89">
        <v>0</v>
      </c>
      <c r="JK703" s="89">
        <f t="shared" ref="JK703" si="15762">JJ703</f>
        <v>0</v>
      </c>
      <c r="JL703" s="89">
        <f t="shared" ref="JL703" si="15763">JK703</f>
        <v>0</v>
      </c>
      <c r="JM703" s="89">
        <v>0</v>
      </c>
      <c r="JN703" s="89">
        <f t="shared" ref="JN703" si="15764">JM703</f>
        <v>0</v>
      </c>
      <c r="JO703" s="89">
        <f t="shared" ref="JO703" si="15765">JN703</f>
        <v>0</v>
      </c>
      <c r="JP703" s="89">
        <v>0</v>
      </c>
      <c r="JQ703" s="89">
        <f t="shared" ref="JQ703:JR703" si="15766">JP703</f>
        <v>0</v>
      </c>
      <c r="JR703" s="89">
        <f t="shared" si="15766"/>
        <v>0</v>
      </c>
      <c r="JS703" s="74">
        <f>HG703-IF703</f>
        <v>256498.85</v>
      </c>
      <c r="JT703" s="382">
        <f>GS703-IF703</f>
        <v>256498.85</v>
      </c>
      <c r="JU703" s="665"/>
      <c r="JV703" s="524"/>
      <c r="JW703" s="525"/>
      <c r="JX703" s="549">
        <f>SUM(HH703,HJ703,HL703,HN703,HP703,HR703,HT703,HV703,HX703,HZ703,IB703,ID703)</f>
        <v>0</v>
      </c>
      <c r="JY703" s="549">
        <f t="shared" ref="JY703:JY804" si="15767">SUM(HI703,HK703,HM703,HO703,HQ703,HS703,HU703,HW703,HY703,IA703,IC703,IE703)</f>
        <v>200000</v>
      </c>
      <c r="JZ703" s="581">
        <f t="shared" si="14740"/>
        <v>272500</v>
      </c>
      <c r="KA703" s="581">
        <f t="shared" si="14741"/>
        <v>-45002</v>
      </c>
      <c r="KB703" s="566">
        <f t="shared" si="15406"/>
        <v>427498</v>
      </c>
      <c r="KC703" s="709">
        <f t="shared" si="14739"/>
        <v>0</v>
      </c>
      <c r="KD703" s="491"/>
      <c r="KE703" s="491"/>
      <c r="KF703" s="491"/>
      <c r="KG703" s="491"/>
      <c r="KH703" s="36"/>
      <c r="KI703" s="36"/>
      <c r="KJ703" s="36"/>
      <c r="KK703" s="36"/>
    </row>
    <row r="704" spans="1:297" s="10" customFormat="1">
      <c r="A704" s="612"/>
      <c r="B704" s="512"/>
      <c r="C704" s="513"/>
      <c r="D704" s="553"/>
      <c r="E704" s="687"/>
      <c r="F704" s="553"/>
      <c r="G704" s="687"/>
      <c r="H704" s="553"/>
      <c r="I704" s="687"/>
      <c r="J704" s="553"/>
      <c r="K704" s="687"/>
      <c r="L704" s="553"/>
      <c r="M704" s="687"/>
      <c r="N704" s="553"/>
      <c r="O704" s="687"/>
      <c r="P704" s="553"/>
      <c r="Q704" s="687"/>
      <c r="R704" s="553"/>
      <c r="S704" s="687"/>
      <c r="T704" s="553"/>
      <c r="U704" s="687"/>
      <c r="V704" s="553"/>
      <c r="W704" s="687"/>
      <c r="X704" s="553"/>
      <c r="Y704" s="687"/>
      <c r="Z704" s="553"/>
      <c r="AA704" s="687"/>
      <c r="AB704" s="553"/>
      <c r="AC704" s="687"/>
      <c r="AD704" s="553"/>
      <c r="AE704" s="687"/>
      <c r="AF704" s="553"/>
      <c r="AG704" s="687"/>
      <c r="AH704" s="553"/>
      <c r="AI704" s="687"/>
      <c r="AJ704" s="553"/>
      <c r="AK704" s="687"/>
      <c r="AL704" s="553"/>
      <c r="AM704" s="687"/>
      <c r="AN704" s="553"/>
      <c r="AO704" s="687"/>
      <c r="AP704" s="553"/>
      <c r="AQ704" s="687"/>
      <c r="AR704" s="553"/>
      <c r="AS704" s="687"/>
      <c r="AT704" s="553"/>
      <c r="AU704" s="687"/>
      <c r="AV704" s="553"/>
      <c r="AW704" s="687"/>
      <c r="AX704" s="553"/>
      <c r="AY704" s="687"/>
      <c r="AZ704" s="553"/>
      <c r="BA704" s="687"/>
      <c r="BB704" s="553"/>
      <c r="BC704" s="687"/>
      <c r="BD704" s="553"/>
      <c r="BE704" s="687"/>
      <c r="BF704" s="553"/>
      <c r="BG704" s="687"/>
      <c r="BH704" s="553"/>
      <c r="BI704" s="687"/>
      <c r="BJ704" s="553"/>
      <c r="BK704" s="687"/>
      <c r="BL704" s="553"/>
      <c r="BM704" s="687"/>
      <c r="BN704" s="553"/>
      <c r="BO704" s="687"/>
      <c r="BP704" s="553"/>
      <c r="BQ704" s="687"/>
      <c r="BR704" s="553"/>
      <c r="BS704" s="687"/>
      <c r="BT704" s="553"/>
      <c r="BU704" s="687"/>
      <c r="BV704" s="553"/>
      <c r="BW704" s="687"/>
      <c r="BX704" s="553"/>
      <c r="BY704" s="687"/>
      <c r="BZ704" s="553"/>
      <c r="CA704" s="687"/>
      <c r="CB704" s="553"/>
      <c r="CC704" s="687"/>
      <c r="CD704" s="553"/>
      <c r="CE704" s="687"/>
      <c r="CF704" s="553"/>
      <c r="CG704" s="687"/>
      <c r="CH704" s="553"/>
      <c r="CI704" s="687"/>
      <c r="CJ704" s="553"/>
      <c r="CK704" s="687"/>
      <c r="CL704" s="553"/>
      <c r="CM704" s="687"/>
      <c r="CN704" s="553"/>
      <c r="CO704" s="687"/>
      <c r="CP704" s="553"/>
      <c r="CQ704" s="687"/>
      <c r="CR704" s="553"/>
      <c r="CS704" s="687"/>
      <c r="CT704" s="553"/>
      <c r="CU704" s="687"/>
      <c r="CV704" s="553"/>
      <c r="CW704" s="687"/>
      <c r="CX704" s="553"/>
      <c r="CY704" s="687"/>
      <c r="CZ704" s="553"/>
      <c r="DA704" s="687"/>
      <c r="DB704" s="553"/>
      <c r="DC704" s="687"/>
      <c r="DD704" s="553"/>
      <c r="DE704" s="687"/>
      <c r="DF704" s="553"/>
      <c r="DG704" s="687"/>
      <c r="DH704" s="553"/>
      <c r="DI704" s="687"/>
      <c r="DJ704" s="553"/>
      <c r="DK704" s="687"/>
      <c r="DL704" s="553"/>
      <c r="DM704" s="687"/>
      <c r="DN704" s="553"/>
      <c r="DO704" s="687"/>
      <c r="DP704" s="553"/>
      <c r="DQ704" s="687"/>
      <c r="DR704" s="553"/>
      <c r="DS704" s="687"/>
      <c r="DT704" s="553"/>
      <c r="DU704" s="687"/>
      <c r="DV704" s="553"/>
      <c r="DW704" s="687"/>
      <c r="DX704" s="553"/>
      <c r="DY704" s="687"/>
      <c r="DZ704" s="553"/>
      <c r="EA704" s="687"/>
      <c r="EB704" s="553"/>
      <c r="EC704" s="687"/>
      <c r="ED704" s="553"/>
      <c r="EE704" s="687"/>
      <c r="EF704" s="553"/>
      <c r="EG704" s="687"/>
      <c r="EH704" s="553"/>
      <c r="EI704" s="687"/>
      <c r="EJ704" s="553"/>
      <c r="EK704" s="687"/>
      <c r="EL704" s="553"/>
      <c r="EM704" s="687"/>
      <c r="EN704" s="553"/>
      <c r="EO704" s="687"/>
      <c r="EP704" s="553"/>
      <c r="EQ704" s="687"/>
      <c r="ER704" s="553"/>
      <c r="ES704" s="687"/>
      <c r="ET704" s="553"/>
      <c r="EU704" s="687"/>
      <c r="EV704" s="553"/>
      <c r="EW704" s="687"/>
      <c r="EX704" s="553"/>
      <c r="EY704" s="687"/>
      <c r="EZ704" s="553"/>
      <c r="FA704" s="687"/>
      <c r="FB704" s="553"/>
      <c r="FC704" s="687"/>
      <c r="FD704" s="553"/>
      <c r="FE704" s="687"/>
      <c r="FF704" s="553"/>
      <c r="FG704" s="687"/>
      <c r="FH704" s="553"/>
      <c r="FI704" s="687"/>
      <c r="FJ704" s="553"/>
      <c r="FK704" s="687"/>
      <c r="FL704" s="553"/>
      <c r="FM704" s="687"/>
      <c r="FN704" s="553"/>
      <c r="FO704" s="687"/>
      <c r="FP704" s="553"/>
      <c r="FQ704" s="687"/>
      <c r="FR704" s="553"/>
      <c r="FS704" s="687"/>
      <c r="FT704" s="553"/>
      <c r="FU704" s="687"/>
      <c r="FV704" s="553"/>
      <c r="FW704" s="687"/>
      <c r="FX704" s="553"/>
      <c r="FY704" s="687"/>
      <c r="FZ704" s="553"/>
      <c r="GA704" s="687"/>
      <c r="GB704" s="553"/>
      <c r="GC704" s="687"/>
      <c r="GD704" s="553"/>
      <c r="GE704" s="687"/>
      <c r="GF704" s="553"/>
      <c r="GG704" s="687"/>
      <c r="GH704" s="553"/>
      <c r="GI704" s="687"/>
      <c r="GJ704" s="553"/>
      <c r="GK704" s="687"/>
      <c r="GL704" s="553"/>
      <c r="GM704" s="687"/>
      <c r="GN704" s="553"/>
      <c r="GO704" s="687"/>
      <c r="GP704" s="553"/>
      <c r="GQ704" s="687"/>
      <c r="GR704" s="487"/>
      <c r="GS704" s="487"/>
      <c r="GT704" s="567"/>
      <c r="GU704" s="493"/>
      <c r="GV704" s="493"/>
      <c r="GW704" s="589"/>
      <c r="GX704" s="589"/>
      <c r="GY704" s="493"/>
      <c r="GZ704" s="493"/>
      <c r="HA704" s="493"/>
      <c r="HB704" s="493"/>
      <c r="HC704" s="493"/>
      <c r="HD704" s="493"/>
      <c r="HE704" s="493"/>
      <c r="HF704" s="493"/>
      <c r="HG704" s="487"/>
      <c r="HH704" s="488"/>
      <c r="HI704" s="829"/>
      <c r="HJ704" s="488"/>
      <c r="HK704" s="829"/>
      <c r="HL704" s="488"/>
      <c r="HM704" s="829"/>
      <c r="HN704" s="488"/>
      <c r="HO704" s="829"/>
      <c r="HP704" s="488"/>
      <c r="HQ704" s="829"/>
      <c r="HR704" s="488"/>
      <c r="HS704" s="829"/>
      <c r="HT704" s="488"/>
      <c r="HU704" s="829"/>
      <c r="HV704" s="488"/>
      <c r="HW704" s="829"/>
      <c r="HX704" s="488"/>
      <c r="HY704" s="829"/>
      <c r="HZ704" s="488"/>
      <c r="IA704" s="829"/>
      <c r="IB704" s="488"/>
      <c r="IC704" s="829"/>
      <c r="ID704" s="488"/>
      <c r="IE704" s="829"/>
      <c r="IF704" s="871"/>
      <c r="IG704" s="486"/>
      <c r="IH704" s="872"/>
      <c r="II704" s="488"/>
      <c r="IJ704" s="488"/>
      <c r="IK704" s="488"/>
      <c r="IL704" s="488"/>
      <c r="IM704" s="488"/>
      <c r="IN704" s="488"/>
      <c r="IO704" s="488"/>
      <c r="IP704" s="488"/>
      <c r="IQ704" s="488"/>
      <c r="IR704" s="488"/>
      <c r="IS704" s="488"/>
      <c r="IT704" s="488"/>
      <c r="IU704" s="488"/>
      <c r="IV704" s="488"/>
      <c r="IW704" s="488"/>
      <c r="IX704" s="488"/>
      <c r="IY704" s="488"/>
      <c r="IZ704" s="488"/>
      <c r="JA704" s="488"/>
      <c r="JB704" s="488"/>
      <c r="JC704" s="488"/>
      <c r="JD704" s="488"/>
      <c r="JE704" s="488"/>
      <c r="JF704" s="488"/>
      <c r="JG704" s="488"/>
      <c r="JH704" s="488"/>
      <c r="JI704" s="488"/>
      <c r="JJ704" s="488"/>
      <c r="JK704" s="488"/>
      <c r="JL704" s="488"/>
      <c r="JM704" s="488"/>
      <c r="JN704" s="488"/>
      <c r="JO704" s="488"/>
      <c r="JP704" s="488"/>
      <c r="JQ704" s="488"/>
      <c r="JR704" s="488"/>
      <c r="JS704" s="487"/>
      <c r="JT704" s="662"/>
      <c r="JU704" s="665"/>
      <c r="JV704" s="524"/>
      <c r="JW704" s="525"/>
      <c r="JX704" s="553"/>
      <c r="JY704" s="549">
        <f t="shared" si="15767"/>
        <v>0</v>
      </c>
      <c r="JZ704" s="581">
        <f t="shared" si="14740"/>
        <v>0</v>
      </c>
      <c r="KA704" s="581">
        <f t="shared" si="14741"/>
        <v>0</v>
      </c>
      <c r="KB704" s="566">
        <f t="shared" si="15406"/>
        <v>0</v>
      </c>
      <c r="KC704" s="709">
        <f t="shared" si="14739"/>
        <v>0</v>
      </c>
      <c r="KD704" s="491"/>
      <c r="KE704" s="491"/>
      <c r="KF704" s="491"/>
      <c r="KG704" s="491"/>
      <c r="KH704" s="36"/>
      <c r="KI704" s="36"/>
      <c r="KJ704" s="36"/>
      <c r="KK704" s="36"/>
    </row>
    <row r="705" spans="1:297" s="10" customFormat="1">
      <c r="A705" s="613" t="s">
        <v>1184</v>
      </c>
      <c r="B705" s="514" t="s">
        <v>1189</v>
      </c>
      <c r="C705" s="513">
        <f>C706</f>
        <v>50000</v>
      </c>
      <c r="D705" s="567">
        <f t="shared" ref="D705:E705" si="15768">D706</f>
        <v>0</v>
      </c>
      <c r="E705" s="686">
        <f t="shared" si="15768"/>
        <v>0</v>
      </c>
      <c r="F705" s="567">
        <f t="shared" ref="F705:IZ705" si="15769">F706</f>
        <v>0</v>
      </c>
      <c r="G705" s="686">
        <f t="shared" si="15769"/>
        <v>0</v>
      </c>
      <c r="H705" s="567">
        <f t="shared" si="15769"/>
        <v>0</v>
      </c>
      <c r="I705" s="686">
        <f t="shared" si="15769"/>
        <v>0</v>
      </c>
      <c r="J705" s="567">
        <f t="shared" si="15769"/>
        <v>0</v>
      </c>
      <c r="K705" s="686">
        <f t="shared" si="15769"/>
        <v>0</v>
      </c>
      <c r="L705" s="567">
        <f t="shared" si="15769"/>
        <v>0</v>
      </c>
      <c r="M705" s="686">
        <f t="shared" si="15769"/>
        <v>0</v>
      </c>
      <c r="N705" s="567">
        <f t="shared" si="15769"/>
        <v>0</v>
      </c>
      <c r="O705" s="686">
        <f t="shared" si="15769"/>
        <v>-2332</v>
      </c>
      <c r="P705" s="567">
        <f t="shared" si="15769"/>
        <v>0</v>
      </c>
      <c r="Q705" s="686">
        <f t="shared" si="15769"/>
        <v>0</v>
      </c>
      <c r="R705" s="567">
        <f t="shared" si="15769"/>
        <v>0</v>
      </c>
      <c r="S705" s="686">
        <f t="shared" si="15769"/>
        <v>0</v>
      </c>
      <c r="T705" s="567">
        <f t="shared" si="15769"/>
        <v>0</v>
      </c>
      <c r="U705" s="686">
        <f t="shared" si="15769"/>
        <v>-24100</v>
      </c>
      <c r="V705" s="567">
        <f t="shared" si="15769"/>
        <v>0</v>
      </c>
      <c r="W705" s="686">
        <f t="shared" si="15769"/>
        <v>0</v>
      </c>
      <c r="X705" s="567">
        <f t="shared" si="15769"/>
        <v>0</v>
      </c>
      <c r="Y705" s="686">
        <f t="shared" si="15769"/>
        <v>0</v>
      </c>
      <c r="Z705" s="567">
        <f t="shared" si="15769"/>
        <v>0</v>
      </c>
      <c r="AA705" s="686">
        <f t="shared" si="15769"/>
        <v>-7714</v>
      </c>
      <c r="AB705" s="567">
        <f t="shared" si="15769"/>
        <v>0</v>
      </c>
      <c r="AC705" s="686">
        <f t="shared" si="15769"/>
        <v>0</v>
      </c>
      <c r="AD705" s="567">
        <f t="shared" si="15769"/>
        <v>0</v>
      </c>
      <c r="AE705" s="686">
        <f t="shared" si="15769"/>
        <v>0</v>
      </c>
      <c r="AF705" s="567">
        <f t="shared" si="15769"/>
        <v>0</v>
      </c>
      <c r="AG705" s="686">
        <f t="shared" si="15769"/>
        <v>0</v>
      </c>
      <c r="AH705" s="567">
        <f t="shared" si="15769"/>
        <v>0</v>
      </c>
      <c r="AI705" s="686">
        <f t="shared" si="15769"/>
        <v>0</v>
      </c>
      <c r="AJ705" s="567">
        <f t="shared" si="15769"/>
        <v>0</v>
      </c>
      <c r="AK705" s="686">
        <f t="shared" si="15769"/>
        <v>0</v>
      </c>
      <c r="AL705" s="567">
        <f t="shared" si="15769"/>
        <v>0</v>
      </c>
      <c r="AM705" s="686">
        <f t="shared" si="15769"/>
        <v>0</v>
      </c>
      <c r="AN705" s="567">
        <f t="shared" si="15769"/>
        <v>0</v>
      </c>
      <c r="AO705" s="686">
        <f t="shared" si="15769"/>
        <v>0</v>
      </c>
      <c r="AP705" s="567">
        <f t="shared" si="15769"/>
        <v>0</v>
      </c>
      <c r="AQ705" s="686">
        <f t="shared" si="15769"/>
        <v>0</v>
      </c>
      <c r="AR705" s="567">
        <f t="shared" si="15769"/>
        <v>0</v>
      </c>
      <c r="AS705" s="686">
        <f t="shared" si="15769"/>
        <v>0</v>
      </c>
      <c r="AT705" s="567">
        <f t="shared" si="15769"/>
        <v>0</v>
      </c>
      <c r="AU705" s="686">
        <f t="shared" si="15769"/>
        <v>0</v>
      </c>
      <c r="AV705" s="567">
        <f t="shared" si="15769"/>
        <v>0</v>
      </c>
      <c r="AW705" s="686">
        <f t="shared" si="15769"/>
        <v>0</v>
      </c>
      <c r="AX705" s="567">
        <f t="shared" si="15769"/>
        <v>0</v>
      </c>
      <c r="AY705" s="686">
        <f t="shared" si="15769"/>
        <v>0</v>
      </c>
      <c r="AZ705" s="567">
        <f t="shared" si="15769"/>
        <v>0</v>
      </c>
      <c r="BA705" s="686">
        <f t="shared" si="15769"/>
        <v>0</v>
      </c>
      <c r="BB705" s="567">
        <f t="shared" si="15769"/>
        <v>0</v>
      </c>
      <c r="BC705" s="686">
        <f t="shared" si="15769"/>
        <v>0</v>
      </c>
      <c r="BD705" s="567">
        <f t="shared" si="15769"/>
        <v>0</v>
      </c>
      <c r="BE705" s="686">
        <f t="shared" si="15769"/>
        <v>0</v>
      </c>
      <c r="BF705" s="567">
        <f t="shared" si="15769"/>
        <v>0</v>
      </c>
      <c r="BG705" s="686">
        <f t="shared" si="15769"/>
        <v>0</v>
      </c>
      <c r="BH705" s="567">
        <f t="shared" si="15769"/>
        <v>0</v>
      </c>
      <c r="BI705" s="686">
        <f t="shared" si="15769"/>
        <v>0</v>
      </c>
      <c r="BJ705" s="567">
        <f t="shared" si="15769"/>
        <v>0</v>
      </c>
      <c r="BK705" s="686">
        <f t="shared" si="15769"/>
        <v>0</v>
      </c>
      <c r="BL705" s="567">
        <f t="shared" si="15769"/>
        <v>0</v>
      </c>
      <c r="BM705" s="686">
        <f t="shared" si="15769"/>
        <v>0</v>
      </c>
      <c r="BN705" s="567">
        <f t="shared" si="15769"/>
        <v>0</v>
      </c>
      <c r="BO705" s="686">
        <f t="shared" si="15769"/>
        <v>0</v>
      </c>
      <c r="BP705" s="567">
        <f t="shared" si="15769"/>
        <v>0</v>
      </c>
      <c r="BQ705" s="686">
        <f t="shared" si="15769"/>
        <v>0</v>
      </c>
      <c r="BR705" s="567">
        <f t="shared" si="15769"/>
        <v>0</v>
      </c>
      <c r="BS705" s="686">
        <f t="shared" si="15769"/>
        <v>0</v>
      </c>
      <c r="BT705" s="567">
        <f t="shared" si="15769"/>
        <v>0</v>
      </c>
      <c r="BU705" s="686">
        <f t="shared" si="15769"/>
        <v>0</v>
      </c>
      <c r="BV705" s="567">
        <f t="shared" si="15769"/>
        <v>0</v>
      </c>
      <c r="BW705" s="686">
        <f t="shared" si="15769"/>
        <v>0</v>
      </c>
      <c r="BX705" s="567">
        <f t="shared" si="15769"/>
        <v>0</v>
      </c>
      <c r="BY705" s="686">
        <f t="shared" si="15769"/>
        <v>0</v>
      </c>
      <c r="BZ705" s="567">
        <f t="shared" si="15769"/>
        <v>0</v>
      </c>
      <c r="CA705" s="686">
        <f t="shared" si="15769"/>
        <v>0</v>
      </c>
      <c r="CB705" s="567">
        <f t="shared" si="15769"/>
        <v>0</v>
      </c>
      <c r="CC705" s="686">
        <f t="shared" si="15769"/>
        <v>0</v>
      </c>
      <c r="CD705" s="567">
        <f t="shared" si="15769"/>
        <v>0</v>
      </c>
      <c r="CE705" s="686">
        <f t="shared" si="15769"/>
        <v>0</v>
      </c>
      <c r="CF705" s="567">
        <f t="shared" si="15769"/>
        <v>0</v>
      </c>
      <c r="CG705" s="686">
        <f t="shared" si="15769"/>
        <v>0</v>
      </c>
      <c r="CH705" s="567">
        <f t="shared" si="15769"/>
        <v>0</v>
      </c>
      <c r="CI705" s="686">
        <f t="shared" si="15769"/>
        <v>0</v>
      </c>
      <c r="CJ705" s="567">
        <f t="shared" si="15769"/>
        <v>0</v>
      </c>
      <c r="CK705" s="686">
        <f t="shared" si="15769"/>
        <v>0</v>
      </c>
      <c r="CL705" s="567">
        <f t="shared" si="15769"/>
        <v>0</v>
      </c>
      <c r="CM705" s="686">
        <f t="shared" si="15769"/>
        <v>0</v>
      </c>
      <c r="CN705" s="567">
        <f t="shared" si="15769"/>
        <v>0</v>
      </c>
      <c r="CO705" s="686">
        <f t="shared" si="15769"/>
        <v>0</v>
      </c>
      <c r="CP705" s="567">
        <f t="shared" si="15769"/>
        <v>0</v>
      </c>
      <c r="CQ705" s="686">
        <f t="shared" si="15769"/>
        <v>0</v>
      </c>
      <c r="CR705" s="567">
        <f t="shared" si="15769"/>
        <v>0</v>
      </c>
      <c r="CS705" s="686">
        <f t="shared" si="15769"/>
        <v>-15854</v>
      </c>
      <c r="CT705" s="567">
        <f t="shared" si="15769"/>
        <v>0</v>
      </c>
      <c r="CU705" s="686">
        <f t="shared" si="15769"/>
        <v>0</v>
      </c>
      <c r="CV705" s="567">
        <f t="shared" si="15769"/>
        <v>0</v>
      </c>
      <c r="CW705" s="686">
        <f t="shared" si="15769"/>
        <v>0</v>
      </c>
      <c r="CX705" s="567">
        <f t="shared" si="15769"/>
        <v>0</v>
      </c>
      <c r="CY705" s="686">
        <f t="shared" si="15769"/>
        <v>0</v>
      </c>
      <c r="CZ705" s="567">
        <f t="shared" si="15769"/>
        <v>0</v>
      </c>
      <c r="DA705" s="686">
        <f t="shared" si="15769"/>
        <v>0</v>
      </c>
      <c r="DB705" s="567">
        <f t="shared" si="15769"/>
        <v>0</v>
      </c>
      <c r="DC705" s="686">
        <f t="shared" si="15769"/>
        <v>0</v>
      </c>
      <c r="DD705" s="567">
        <f t="shared" si="15769"/>
        <v>0</v>
      </c>
      <c r="DE705" s="686">
        <f t="shared" si="15769"/>
        <v>0</v>
      </c>
      <c r="DF705" s="567">
        <f t="shared" si="15769"/>
        <v>0</v>
      </c>
      <c r="DG705" s="686">
        <f t="shared" si="15769"/>
        <v>0</v>
      </c>
      <c r="DH705" s="567">
        <f t="shared" si="15769"/>
        <v>0</v>
      </c>
      <c r="DI705" s="686">
        <f t="shared" si="15769"/>
        <v>0</v>
      </c>
      <c r="DJ705" s="567">
        <f t="shared" si="15769"/>
        <v>0</v>
      </c>
      <c r="DK705" s="686">
        <f t="shared" si="15769"/>
        <v>0</v>
      </c>
      <c r="DL705" s="567">
        <f t="shared" si="15769"/>
        <v>0</v>
      </c>
      <c r="DM705" s="686">
        <f t="shared" si="15769"/>
        <v>0</v>
      </c>
      <c r="DN705" s="567">
        <f t="shared" si="15769"/>
        <v>0</v>
      </c>
      <c r="DO705" s="686">
        <f t="shared" si="15769"/>
        <v>0</v>
      </c>
      <c r="DP705" s="567">
        <f t="shared" si="15769"/>
        <v>0</v>
      </c>
      <c r="DQ705" s="686">
        <f t="shared" si="15769"/>
        <v>0</v>
      </c>
      <c r="DR705" s="567">
        <f t="shared" si="15769"/>
        <v>0</v>
      </c>
      <c r="DS705" s="686">
        <f t="shared" si="15769"/>
        <v>0</v>
      </c>
      <c r="DT705" s="567">
        <f t="shared" si="15769"/>
        <v>0</v>
      </c>
      <c r="DU705" s="686">
        <f t="shared" si="15769"/>
        <v>0</v>
      </c>
      <c r="DV705" s="567">
        <f t="shared" si="15769"/>
        <v>0</v>
      </c>
      <c r="DW705" s="686">
        <f t="shared" si="15769"/>
        <v>0</v>
      </c>
      <c r="DX705" s="567">
        <f t="shared" si="15769"/>
        <v>0</v>
      </c>
      <c r="DY705" s="686">
        <f t="shared" si="15769"/>
        <v>0</v>
      </c>
      <c r="DZ705" s="567">
        <f t="shared" si="15769"/>
        <v>0</v>
      </c>
      <c r="EA705" s="686">
        <f t="shared" si="15769"/>
        <v>0</v>
      </c>
      <c r="EB705" s="567">
        <f t="shared" si="15769"/>
        <v>0</v>
      </c>
      <c r="EC705" s="686">
        <f t="shared" si="15769"/>
        <v>0</v>
      </c>
      <c r="ED705" s="567">
        <f t="shared" si="15769"/>
        <v>0</v>
      </c>
      <c r="EE705" s="686">
        <f t="shared" si="15769"/>
        <v>0</v>
      </c>
      <c r="EF705" s="567">
        <f t="shared" si="15769"/>
        <v>0</v>
      </c>
      <c r="EG705" s="686">
        <f t="shared" si="15769"/>
        <v>0</v>
      </c>
      <c r="EH705" s="567">
        <f t="shared" si="15769"/>
        <v>0</v>
      </c>
      <c r="EI705" s="686">
        <f t="shared" si="15769"/>
        <v>0</v>
      </c>
      <c r="EJ705" s="567">
        <f t="shared" si="15769"/>
        <v>0</v>
      </c>
      <c r="EK705" s="686">
        <f t="shared" si="15769"/>
        <v>0</v>
      </c>
      <c r="EL705" s="567">
        <f t="shared" si="15769"/>
        <v>0</v>
      </c>
      <c r="EM705" s="686">
        <f t="shared" si="15769"/>
        <v>0</v>
      </c>
      <c r="EN705" s="567">
        <f t="shared" si="15769"/>
        <v>0</v>
      </c>
      <c r="EO705" s="686">
        <f t="shared" si="15769"/>
        <v>0</v>
      </c>
      <c r="EP705" s="567">
        <f t="shared" si="15769"/>
        <v>0</v>
      </c>
      <c r="EQ705" s="686">
        <f t="shared" si="15769"/>
        <v>0</v>
      </c>
      <c r="ER705" s="567">
        <f t="shared" si="15769"/>
        <v>0</v>
      </c>
      <c r="ES705" s="686">
        <f t="shared" si="15769"/>
        <v>0</v>
      </c>
      <c r="ET705" s="567">
        <f t="shared" si="15769"/>
        <v>0</v>
      </c>
      <c r="EU705" s="686">
        <f t="shared" si="15769"/>
        <v>0</v>
      </c>
      <c r="EV705" s="567">
        <f t="shared" si="15769"/>
        <v>0</v>
      </c>
      <c r="EW705" s="686">
        <f t="shared" si="15769"/>
        <v>0</v>
      </c>
      <c r="EX705" s="567">
        <f t="shared" si="15769"/>
        <v>0</v>
      </c>
      <c r="EY705" s="686">
        <f t="shared" si="15769"/>
        <v>0</v>
      </c>
      <c r="EZ705" s="567">
        <f t="shared" si="15769"/>
        <v>0</v>
      </c>
      <c r="FA705" s="686">
        <f t="shared" si="15769"/>
        <v>0</v>
      </c>
      <c r="FB705" s="567">
        <f t="shared" si="15769"/>
        <v>0</v>
      </c>
      <c r="FC705" s="686">
        <f t="shared" si="15769"/>
        <v>0</v>
      </c>
      <c r="FD705" s="567">
        <f t="shared" si="15769"/>
        <v>0</v>
      </c>
      <c r="FE705" s="686">
        <f t="shared" si="15769"/>
        <v>0</v>
      </c>
      <c r="FF705" s="567">
        <f t="shared" si="15769"/>
        <v>0</v>
      </c>
      <c r="FG705" s="686">
        <f t="shared" si="15769"/>
        <v>0</v>
      </c>
      <c r="FH705" s="567">
        <f t="shared" si="15769"/>
        <v>0</v>
      </c>
      <c r="FI705" s="686">
        <f t="shared" si="15769"/>
        <v>0</v>
      </c>
      <c r="FJ705" s="567">
        <f t="shared" si="15769"/>
        <v>0</v>
      </c>
      <c r="FK705" s="686">
        <f t="shared" si="15769"/>
        <v>0</v>
      </c>
      <c r="FL705" s="567">
        <f t="shared" si="15769"/>
        <v>0</v>
      </c>
      <c r="FM705" s="686">
        <f t="shared" si="15769"/>
        <v>0</v>
      </c>
      <c r="FN705" s="567">
        <f t="shared" si="15769"/>
        <v>0</v>
      </c>
      <c r="FO705" s="686">
        <f t="shared" si="15769"/>
        <v>0</v>
      </c>
      <c r="FP705" s="567">
        <f t="shared" si="15769"/>
        <v>0</v>
      </c>
      <c r="FQ705" s="686">
        <f t="shared" si="15769"/>
        <v>0</v>
      </c>
      <c r="FR705" s="567">
        <f t="shared" si="15769"/>
        <v>0</v>
      </c>
      <c r="FS705" s="686">
        <f t="shared" si="15769"/>
        <v>0</v>
      </c>
      <c r="FT705" s="567">
        <f t="shared" si="15769"/>
        <v>0</v>
      </c>
      <c r="FU705" s="686">
        <f t="shared" si="15769"/>
        <v>0</v>
      </c>
      <c r="FV705" s="567">
        <f t="shared" si="15769"/>
        <v>0</v>
      </c>
      <c r="FW705" s="686">
        <f t="shared" si="15769"/>
        <v>0</v>
      </c>
      <c r="FX705" s="567">
        <f t="shared" si="15769"/>
        <v>0</v>
      </c>
      <c r="FY705" s="686">
        <f t="shared" si="15769"/>
        <v>0</v>
      </c>
      <c r="FZ705" s="567">
        <f t="shared" si="15769"/>
        <v>0</v>
      </c>
      <c r="GA705" s="686">
        <f t="shared" si="15769"/>
        <v>0</v>
      </c>
      <c r="GB705" s="567">
        <f t="shared" si="15769"/>
        <v>0</v>
      </c>
      <c r="GC705" s="686">
        <f t="shared" si="15769"/>
        <v>0</v>
      </c>
      <c r="GD705" s="567">
        <f t="shared" si="15769"/>
        <v>0</v>
      </c>
      <c r="GE705" s="686">
        <f t="shared" si="15769"/>
        <v>0</v>
      </c>
      <c r="GF705" s="567">
        <f t="shared" si="15769"/>
        <v>0</v>
      </c>
      <c r="GG705" s="686">
        <f t="shared" si="15769"/>
        <v>0</v>
      </c>
      <c r="GH705" s="567">
        <f t="shared" si="15769"/>
        <v>0</v>
      </c>
      <c r="GI705" s="686">
        <f t="shared" si="15769"/>
        <v>0</v>
      </c>
      <c r="GJ705" s="567">
        <f t="shared" si="15769"/>
        <v>0</v>
      </c>
      <c r="GK705" s="686">
        <f t="shared" si="15769"/>
        <v>0</v>
      </c>
      <c r="GL705" s="567">
        <f t="shared" si="15769"/>
        <v>0</v>
      </c>
      <c r="GM705" s="686">
        <f t="shared" si="15769"/>
        <v>0</v>
      </c>
      <c r="GN705" s="567">
        <f t="shared" si="15769"/>
        <v>0</v>
      </c>
      <c r="GO705" s="686">
        <f t="shared" si="15769"/>
        <v>0</v>
      </c>
      <c r="GP705" s="567">
        <f t="shared" si="15769"/>
        <v>0</v>
      </c>
      <c r="GQ705" s="686">
        <f t="shared" si="15769"/>
        <v>-50000</v>
      </c>
      <c r="GR705" s="513">
        <f t="shared" si="15769"/>
        <v>0</v>
      </c>
      <c r="GS705" s="513">
        <f t="shared" si="15769"/>
        <v>0</v>
      </c>
      <c r="GT705" s="567">
        <f t="shared" si="15769"/>
        <v>0</v>
      </c>
      <c r="GU705" s="513">
        <f t="shared" si="15769"/>
        <v>10000</v>
      </c>
      <c r="GV705" s="513">
        <f t="shared" si="15769"/>
        <v>40000</v>
      </c>
      <c r="GW705" s="567">
        <f t="shared" si="15769"/>
        <v>0</v>
      </c>
      <c r="GX705" s="567">
        <f t="shared" si="15769"/>
        <v>0</v>
      </c>
      <c r="GY705" s="513">
        <f t="shared" si="15769"/>
        <v>0</v>
      </c>
      <c r="GZ705" s="513">
        <f t="shared" si="15769"/>
        <v>0</v>
      </c>
      <c r="HA705" s="513">
        <f t="shared" si="15769"/>
        <v>0</v>
      </c>
      <c r="HB705" s="513">
        <f t="shared" si="15769"/>
        <v>0</v>
      </c>
      <c r="HC705" s="513">
        <f t="shared" si="15769"/>
        <v>0</v>
      </c>
      <c r="HD705" s="513">
        <f t="shared" si="15769"/>
        <v>0</v>
      </c>
      <c r="HE705" s="513">
        <f t="shared" si="15769"/>
        <v>0</v>
      </c>
      <c r="HF705" s="513">
        <f t="shared" si="15769"/>
        <v>0</v>
      </c>
      <c r="HG705" s="513">
        <f t="shared" si="15769"/>
        <v>0</v>
      </c>
      <c r="HH705" s="513">
        <f t="shared" ref="HH705:HI705" si="15770">HH706</f>
        <v>0</v>
      </c>
      <c r="HI705" s="827">
        <f t="shared" si="15770"/>
        <v>0</v>
      </c>
      <c r="HJ705" s="513">
        <f t="shared" ref="HJ705:HK705" si="15771">HJ706</f>
        <v>0</v>
      </c>
      <c r="HK705" s="827">
        <f t="shared" si="15771"/>
        <v>2332</v>
      </c>
      <c r="HL705" s="513">
        <f t="shared" ref="HL705:HM705" si="15772">HL706</f>
        <v>0</v>
      </c>
      <c r="HM705" s="827">
        <f t="shared" si="15772"/>
        <v>31814</v>
      </c>
      <c r="HN705" s="513">
        <f t="shared" ref="HN705:HO705" si="15773">HN706</f>
        <v>0</v>
      </c>
      <c r="HO705" s="827">
        <f t="shared" si="15773"/>
        <v>15854</v>
      </c>
      <c r="HP705" s="513">
        <f t="shared" ref="HP705:HQ705" si="15774">HP706</f>
        <v>0</v>
      </c>
      <c r="HQ705" s="827">
        <f t="shared" si="15774"/>
        <v>0</v>
      </c>
      <c r="HR705" s="513">
        <f t="shared" ref="HR705:HS705" si="15775">HR706</f>
        <v>0</v>
      </c>
      <c r="HS705" s="827">
        <f t="shared" si="15775"/>
        <v>0</v>
      </c>
      <c r="HT705" s="513">
        <f t="shared" ref="HT705:HU705" si="15776">HT706</f>
        <v>0</v>
      </c>
      <c r="HU705" s="827">
        <f t="shared" si="15776"/>
        <v>0</v>
      </c>
      <c r="HV705" s="513">
        <f t="shared" ref="HV705:HW705" si="15777">HV706</f>
        <v>0</v>
      </c>
      <c r="HW705" s="827">
        <f t="shared" si="15777"/>
        <v>0</v>
      </c>
      <c r="HX705" s="513">
        <f t="shared" ref="HX705:HY705" si="15778">HX706</f>
        <v>0</v>
      </c>
      <c r="HY705" s="827">
        <f t="shared" si="15778"/>
        <v>0</v>
      </c>
      <c r="HZ705" s="513">
        <f t="shared" ref="HZ705:IA705" si="15779">HZ706</f>
        <v>0</v>
      </c>
      <c r="IA705" s="827">
        <f t="shared" si="15779"/>
        <v>0</v>
      </c>
      <c r="IB705" s="513">
        <f t="shared" ref="IB705:IC705" si="15780">IB706</f>
        <v>0</v>
      </c>
      <c r="IC705" s="827">
        <f t="shared" si="15780"/>
        <v>0</v>
      </c>
      <c r="ID705" s="513">
        <f t="shared" si="15769"/>
        <v>0</v>
      </c>
      <c r="IE705" s="827">
        <f t="shared" si="15769"/>
        <v>0</v>
      </c>
      <c r="IF705" s="703">
        <f t="shared" si="15769"/>
        <v>0</v>
      </c>
      <c r="IG705" s="704">
        <f t="shared" si="15769"/>
        <v>0</v>
      </c>
      <c r="IH705" s="858">
        <f t="shared" si="15769"/>
        <v>0</v>
      </c>
      <c r="II705" s="513">
        <f t="shared" si="15769"/>
        <v>0</v>
      </c>
      <c r="IJ705" s="513">
        <f t="shared" si="15769"/>
        <v>0</v>
      </c>
      <c r="IK705" s="513">
        <f t="shared" si="15769"/>
        <v>0</v>
      </c>
      <c r="IL705" s="513">
        <f t="shared" si="15769"/>
        <v>0</v>
      </c>
      <c r="IM705" s="513">
        <f t="shared" si="15769"/>
        <v>0</v>
      </c>
      <c r="IN705" s="513">
        <f t="shared" si="15769"/>
        <v>0</v>
      </c>
      <c r="IO705" s="513">
        <f t="shared" si="15769"/>
        <v>0</v>
      </c>
      <c r="IP705" s="513">
        <f t="shared" si="15769"/>
        <v>0</v>
      </c>
      <c r="IQ705" s="513">
        <f t="shared" si="15769"/>
        <v>0</v>
      </c>
      <c r="IR705" s="513">
        <f t="shared" si="15769"/>
        <v>0</v>
      </c>
      <c r="IS705" s="513">
        <f t="shared" si="15769"/>
        <v>0</v>
      </c>
      <c r="IT705" s="513">
        <f t="shared" si="15769"/>
        <v>0</v>
      </c>
      <c r="IU705" s="513">
        <f t="shared" si="15769"/>
        <v>0</v>
      </c>
      <c r="IV705" s="513">
        <f t="shared" si="15769"/>
        <v>0</v>
      </c>
      <c r="IW705" s="513">
        <f t="shared" si="15769"/>
        <v>0</v>
      </c>
      <c r="IX705" s="513">
        <f t="shared" si="15769"/>
        <v>0</v>
      </c>
      <c r="IY705" s="513">
        <f t="shared" si="15769"/>
        <v>0</v>
      </c>
      <c r="IZ705" s="513">
        <f t="shared" si="15769"/>
        <v>0</v>
      </c>
      <c r="JA705" s="513">
        <f t="shared" ref="JA705:JX705" si="15781">JA706</f>
        <v>0</v>
      </c>
      <c r="JB705" s="513">
        <f t="shared" si="15781"/>
        <v>0</v>
      </c>
      <c r="JC705" s="513">
        <f t="shared" si="15781"/>
        <v>0</v>
      </c>
      <c r="JD705" s="513">
        <f t="shared" si="15781"/>
        <v>0</v>
      </c>
      <c r="JE705" s="513">
        <f t="shared" si="15781"/>
        <v>0</v>
      </c>
      <c r="JF705" s="513">
        <f t="shared" si="15781"/>
        <v>0</v>
      </c>
      <c r="JG705" s="513">
        <f t="shared" si="15781"/>
        <v>0</v>
      </c>
      <c r="JH705" s="513">
        <f t="shared" si="15781"/>
        <v>0</v>
      </c>
      <c r="JI705" s="513">
        <f t="shared" si="15781"/>
        <v>0</v>
      </c>
      <c r="JJ705" s="513">
        <f t="shared" si="15781"/>
        <v>0</v>
      </c>
      <c r="JK705" s="513">
        <f t="shared" si="15781"/>
        <v>0</v>
      </c>
      <c r="JL705" s="513">
        <f t="shared" si="15781"/>
        <v>0</v>
      </c>
      <c r="JM705" s="513">
        <f t="shared" si="15781"/>
        <v>0</v>
      </c>
      <c r="JN705" s="513">
        <f t="shared" si="15781"/>
        <v>0</v>
      </c>
      <c r="JO705" s="513">
        <f t="shared" si="15781"/>
        <v>0</v>
      </c>
      <c r="JP705" s="513">
        <f t="shared" si="15781"/>
        <v>0</v>
      </c>
      <c r="JQ705" s="513">
        <f t="shared" si="15781"/>
        <v>0</v>
      </c>
      <c r="JR705" s="513">
        <f t="shared" si="15781"/>
        <v>0</v>
      </c>
      <c r="JS705" s="513">
        <f t="shared" si="15781"/>
        <v>0</v>
      </c>
      <c r="JT705" s="573">
        <f t="shared" si="15781"/>
        <v>0</v>
      </c>
      <c r="JU705" s="665"/>
      <c r="JV705" s="524"/>
      <c r="JW705" s="525"/>
      <c r="JX705" s="567">
        <f t="shared" si="15781"/>
        <v>0</v>
      </c>
      <c r="JY705" s="513">
        <f>JY706</f>
        <v>50000</v>
      </c>
      <c r="JZ705" s="513">
        <f t="shared" ref="JZ705:KB705" si="15782">JZ706</f>
        <v>0</v>
      </c>
      <c r="KA705" s="513">
        <f t="shared" si="15782"/>
        <v>-50000</v>
      </c>
      <c r="KB705" s="513">
        <f t="shared" si="15782"/>
        <v>0</v>
      </c>
      <c r="KC705" s="709">
        <f t="shared" si="14739"/>
        <v>0</v>
      </c>
      <c r="KD705" s="491"/>
      <c r="KE705" s="491"/>
      <c r="KF705" s="491"/>
      <c r="KG705" s="491"/>
      <c r="KH705" s="36"/>
      <c r="KI705" s="36"/>
      <c r="KJ705" s="36"/>
      <c r="KK705" s="36"/>
    </row>
    <row r="706" spans="1:297" s="10" customFormat="1">
      <c r="A706" s="612" t="s">
        <v>1185</v>
      </c>
      <c r="B706" s="512" t="s">
        <v>346</v>
      </c>
      <c r="C706" s="74">
        <v>50000</v>
      </c>
      <c r="D706" s="549">
        <v>0</v>
      </c>
      <c r="E706" s="675">
        <v>0</v>
      </c>
      <c r="F706" s="549">
        <v>0</v>
      </c>
      <c r="G706" s="675">
        <v>0</v>
      </c>
      <c r="H706" s="549">
        <v>0</v>
      </c>
      <c r="I706" s="675">
        <v>0</v>
      </c>
      <c r="J706" s="549">
        <v>0</v>
      </c>
      <c r="K706" s="675">
        <v>0</v>
      </c>
      <c r="L706" s="549">
        <v>0</v>
      </c>
      <c r="M706" s="675">
        <v>0</v>
      </c>
      <c r="N706" s="549">
        <v>0</v>
      </c>
      <c r="O706" s="675">
        <v>-2332</v>
      </c>
      <c r="P706" s="549">
        <v>0</v>
      </c>
      <c r="Q706" s="675">
        <v>0</v>
      </c>
      <c r="R706" s="549">
        <v>0</v>
      </c>
      <c r="S706" s="675">
        <v>0</v>
      </c>
      <c r="T706" s="549">
        <v>0</v>
      </c>
      <c r="U706" s="675">
        <v>-24100</v>
      </c>
      <c r="V706" s="549">
        <v>0</v>
      </c>
      <c r="W706" s="675">
        <v>0</v>
      </c>
      <c r="X706" s="549">
        <v>0</v>
      </c>
      <c r="Y706" s="675">
        <v>0</v>
      </c>
      <c r="Z706" s="549">
        <v>0</v>
      </c>
      <c r="AA706" s="675">
        <v>-7714</v>
      </c>
      <c r="AB706" s="549">
        <v>0</v>
      </c>
      <c r="AC706" s="675">
        <v>0</v>
      </c>
      <c r="AD706" s="549">
        <v>0</v>
      </c>
      <c r="AE706" s="675">
        <v>0</v>
      </c>
      <c r="AF706" s="549">
        <v>0</v>
      </c>
      <c r="AG706" s="675">
        <v>0</v>
      </c>
      <c r="AH706" s="549">
        <v>0</v>
      </c>
      <c r="AI706" s="675">
        <v>0</v>
      </c>
      <c r="AJ706" s="549">
        <v>0</v>
      </c>
      <c r="AK706" s="675">
        <v>0</v>
      </c>
      <c r="AL706" s="549">
        <v>0</v>
      </c>
      <c r="AM706" s="675">
        <v>0</v>
      </c>
      <c r="AN706" s="549">
        <v>0</v>
      </c>
      <c r="AO706" s="675">
        <v>0</v>
      </c>
      <c r="AP706" s="549">
        <v>0</v>
      </c>
      <c r="AQ706" s="675">
        <v>0</v>
      </c>
      <c r="AR706" s="549">
        <v>0</v>
      </c>
      <c r="AS706" s="675">
        <v>0</v>
      </c>
      <c r="AT706" s="549">
        <v>0</v>
      </c>
      <c r="AU706" s="675">
        <v>0</v>
      </c>
      <c r="AV706" s="549">
        <v>0</v>
      </c>
      <c r="AW706" s="675">
        <v>0</v>
      </c>
      <c r="AX706" s="549">
        <v>0</v>
      </c>
      <c r="AY706" s="675">
        <v>0</v>
      </c>
      <c r="AZ706" s="549">
        <v>0</v>
      </c>
      <c r="BA706" s="675">
        <v>0</v>
      </c>
      <c r="BB706" s="549">
        <v>0</v>
      </c>
      <c r="BC706" s="675">
        <v>0</v>
      </c>
      <c r="BD706" s="549">
        <v>0</v>
      </c>
      <c r="BE706" s="675">
        <v>0</v>
      </c>
      <c r="BF706" s="549">
        <v>0</v>
      </c>
      <c r="BG706" s="675">
        <v>0</v>
      </c>
      <c r="BH706" s="549">
        <v>0</v>
      </c>
      <c r="BI706" s="675">
        <v>0</v>
      </c>
      <c r="BJ706" s="549">
        <v>0</v>
      </c>
      <c r="BK706" s="675">
        <v>0</v>
      </c>
      <c r="BL706" s="549">
        <v>0</v>
      </c>
      <c r="BM706" s="675">
        <v>0</v>
      </c>
      <c r="BN706" s="549">
        <v>0</v>
      </c>
      <c r="BO706" s="675">
        <v>0</v>
      </c>
      <c r="BP706" s="549">
        <v>0</v>
      </c>
      <c r="BQ706" s="675">
        <v>0</v>
      </c>
      <c r="BR706" s="549">
        <v>0</v>
      </c>
      <c r="BS706" s="675">
        <v>0</v>
      </c>
      <c r="BT706" s="549">
        <v>0</v>
      </c>
      <c r="BU706" s="675">
        <v>0</v>
      </c>
      <c r="BV706" s="549">
        <v>0</v>
      </c>
      <c r="BW706" s="675">
        <v>0</v>
      </c>
      <c r="BX706" s="549">
        <v>0</v>
      </c>
      <c r="BY706" s="675">
        <v>0</v>
      </c>
      <c r="BZ706" s="549">
        <v>0</v>
      </c>
      <c r="CA706" s="675">
        <v>0</v>
      </c>
      <c r="CB706" s="549">
        <v>0</v>
      </c>
      <c r="CC706" s="675">
        <v>0</v>
      </c>
      <c r="CD706" s="549">
        <v>0</v>
      </c>
      <c r="CE706" s="675">
        <v>0</v>
      </c>
      <c r="CF706" s="549">
        <v>0</v>
      </c>
      <c r="CG706" s="675">
        <v>0</v>
      </c>
      <c r="CH706" s="549">
        <v>0</v>
      </c>
      <c r="CI706" s="675">
        <v>0</v>
      </c>
      <c r="CJ706" s="549">
        <v>0</v>
      </c>
      <c r="CK706" s="675">
        <v>0</v>
      </c>
      <c r="CL706" s="549">
        <v>0</v>
      </c>
      <c r="CM706" s="675">
        <v>0</v>
      </c>
      <c r="CN706" s="549">
        <v>0</v>
      </c>
      <c r="CO706" s="675">
        <v>0</v>
      </c>
      <c r="CP706" s="549">
        <v>0</v>
      </c>
      <c r="CQ706" s="675">
        <v>0</v>
      </c>
      <c r="CR706" s="549">
        <v>0</v>
      </c>
      <c r="CS706" s="675">
        <v>-15854</v>
      </c>
      <c r="CT706" s="549">
        <v>0</v>
      </c>
      <c r="CU706" s="675">
        <v>0</v>
      </c>
      <c r="CV706" s="549">
        <v>0</v>
      </c>
      <c r="CW706" s="675">
        <v>0</v>
      </c>
      <c r="CX706" s="549">
        <v>0</v>
      </c>
      <c r="CY706" s="675">
        <v>0</v>
      </c>
      <c r="CZ706" s="549">
        <v>0</v>
      </c>
      <c r="DA706" s="675">
        <v>0</v>
      </c>
      <c r="DB706" s="549">
        <v>0</v>
      </c>
      <c r="DC706" s="675">
        <v>0</v>
      </c>
      <c r="DD706" s="549">
        <v>0</v>
      </c>
      <c r="DE706" s="675">
        <v>0</v>
      </c>
      <c r="DF706" s="549">
        <v>0</v>
      </c>
      <c r="DG706" s="675">
        <v>0</v>
      </c>
      <c r="DH706" s="549">
        <v>0</v>
      </c>
      <c r="DI706" s="675">
        <v>0</v>
      </c>
      <c r="DJ706" s="549">
        <v>0</v>
      </c>
      <c r="DK706" s="675">
        <v>0</v>
      </c>
      <c r="DL706" s="549">
        <v>0</v>
      </c>
      <c r="DM706" s="675">
        <v>0</v>
      </c>
      <c r="DN706" s="549">
        <v>0</v>
      </c>
      <c r="DO706" s="675">
        <v>0</v>
      </c>
      <c r="DP706" s="549">
        <v>0</v>
      </c>
      <c r="DQ706" s="675">
        <v>0</v>
      </c>
      <c r="DR706" s="549">
        <v>0</v>
      </c>
      <c r="DS706" s="675">
        <v>0</v>
      </c>
      <c r="DT706" s="549">
        <v>0</v>
      </c>
      <c r="DU706" s="675">
        <v>0</v>
      </c>
      <c r="DV706" s="549">
        <v>0</v>
      </c>
      <c r="DW706" s="675">
        <v>0</v>
      </c>
      <c r="DX706" s="549">
        <v>0</v>
      </c>
      <c r="DY706" s="675">
        <v>0</v>
      </c>
      <c r="DZ706" s="549">
        <v>0</v>
      </c>
      <c r="EA706" s="675">
        <v>0</v>
      </c>
      <c r="EB706" s="549">
        <v>0</v>
      </c>
      <c r="EC706" s="675">
        <v>0</v>
      </c>
      <c r="ED706" s="549">
        <v>0</v>
      </c>
      <c r="EE706" s="675">
        <v>0</v>
      </c>
      <c r="EF706" s="549">
        <v>0</v>
      </c>
      <c r="EG706" s="675">
        <v>0</v>
      </c>
      <c r="EH706" s="549">
        <v>0</v>
      </c>
      <c r="EI706" s="675">
        <v>0</v>
      </c>
      <c r="EJ706" s="549">
        <v>0</v>
      </c>
      <c r="EK706" s="675">
        <v>0</v>
      </c>
      <c r="EL706" s="549">
        <v>0</v>
      </c>
      <c r="EM706" s="675">
        <v>0</v>
      </c>
      <c r="EN706" s="549">
        <v>0</v>
      </c>
      <c r="EO706" s="675">
        <v>0</v>
      </c>
      <c r="EP706" s="549">
        <v>0</v>
      </c>
      <c r="EQ706" s="675">
        <v>0</v>
      </c>
      <c r="ER706" s="549">
        <v>0</v>
      </c>
      <c r="ES706" s="675">
        <v>0</v>
      </c>
      <c r="ET706" s="549">
        <v>0</v>
      </c>
      <c r="EU706" s="675">
        <v>0</v>
      </c>
      <c r="EV706" s="549">
        <v>0</v>
      </c>
      <c r="EW706" s="675">
        <v>0</v>
      </c>
      <c r="EX706" s="549">
        <v>0</v>
      </c>
      <c r="EY706" s="675">
        <v>0</v>
      </c>
      <c r="EZ706" s="549">
        <v>0</v>
      </c>
      <c r="FA706" s="675">
        <v>0</v>
      </c>
      <c r="FB706" s="549">
        <v>0</v>
      </c>
      <c r="FC706" s="675">
        <v>0</v>
      </c>
      <c r="FD706" s="549">
        <v>0</v>
      </c>
      <c r="FE706" s="675">
        <v>0</v>
      </c>
      <c r="FF706" s="549">
        <v>0</v>
      </c>
      <c r="FG706" s="675">
        <v>0</v>
      </c>
      <c r="FH706" s="549">
        <v>0</v>
      </c>
      <c r="FI706" s="675">
        <v>0</v>
      </c>
      <c r="FJ706" s="549">
        <v>0</v>
      </c>
      <c r="FK706" s="675">
        <v>0</v>
      </c>
      <c r="FL706" s="549">
        <v>0</v>
      </c>
      <c r="FM706" s="675">
        <v>0</v>
      </c>
      <c r="FN706" s="549">
        <v>0</v>
      </c>
      <c r="FO706" s="675">
        <v>0</v>
      </c>
      <c r="FP706" s="549">
        <v>0</v>
      </c>
      <c r="FQ706" s="675">
        <v>0</v>
      </c>
      <c r="FR706" s="549">
        <v>0</v>
      </c>
      <c r="FS706" s="675">
        <v>0</v>
      </c>
      <c r="FT706" s="549">
        <v>0</v>
      </c>
      <c r="FU706" s="675">
        <v>0</v>
      </c>
      <c r="FV706" s="549">
        <v>0</v>
      </c>
      <c r="FW706" s="675">
        <v>0</v>
      </c>
      <c r="FX706" s="549">
        <v>0</v>
      </c>
      <c r="FY706" s="675">
        <v>0</v>
      </c>
      <c r="FZ706" s="549">
        <v>0</v>
      </c>
      <c r="GA706" s="675">
        <v>0</v>
      </c>
      <c r="GB706" s="549">
        <v>0</v>
      </c>
      <c r="GC706" s="675">
        <v>0</v>
      </c>
      <c r="GD706" s="549">
        <v>0</v>
      </c>
      <c r="GE706" s="675">
        <v>0</v>
      </c>
      <c r="GF706" s="549">
        <v>0</v>
      </c>
      <c r="GG706" s="675">
        <v>0</v>
      </c>
      <c r="GH706" s="549">
        <v>0</v>
      </c>
      <c r="GI706" s="675">
        <v>0</v>
      </c>
      <c r="GJ706" s="549">
        <v>0</v>
      </c>
      <c r="GK706" s="675">
        <v>0</v>
      </c>
      <c r="GL706" s="549">
        <v>0</v>
      </c>
      <c r="GM706" s="675">
        <v>0</v>
      </c>
      <c r="GN706" s="549">
        <v>0</v>
      </c>
      <c r="GO706" s="675">
        <v>0</v>
      </c>
      <c r="GP706" s="549">
        <f>+D706+F706+H706+J706+L706+N706+P706+R706+T706+V706+X706+Z706+AB706+AF706+AD706+AH706+AJ706+AL706+AN706+AP706+AR706+AT706+AV706+AX706+AZ706+BB706+BD706+BF706+BH706+BJ706+BL706+BN706+BP706+BR706+BT706+BV706+BX706+BZ706+CB706+CD706+CF706+CH706+CJ706+CL706+CN706+CP706+CR706+CT706+CV706+CX706+CZ706+DB706+DD706+DF706+DH706+DT706+EX706+DJ706+DL706+DN706+DP706+DR706+EJ706+EB706+DZ706+DX706+DV706+ED706+EF706+EH706+EL706+EN706+EP706+EV706+ET706+ER706+EZ706+FB706+FD706+GL706+FF706+FJ706+FL706+GJ706+FT706+FR706+FP706+FN706+FH706+GH706+GF706+GD706+GB706+FZ706+FX706+FV706+GN706</f>
        <v>0</v>
      </c>
      <c r="GQ706" s="675">
        <f>+E706+G706+I706+K706+M706+O706+Q706+S706+U706+W706+Y706+AA706+AC706+AE706+AG706+AI706+AK706+AM706+AO706+AQ706+AS706+AU706+AW706+AY706+BA706+BC706+BE706+BG706+BI706+BK706+BM706+BO706+BQ706+BS706+BU706+BW706+BY706+CA706+CC706+CE706+CG706+CI706+CK706+CM706+CO706+CQ706+CS706+CU706+CW706+CY706+DA706+DC706+DE706+DG706+DI706+DU706+EY706+DK706+DM706+DO706+DQ706+DS706+EK706+EC706+EA706+DY706+DW706+EI706+EG706+EE706+EM706+EO706+EQ706+EW706+EU706+ES706+FA706+FC706+FE706+GM706+FG706+FK706+FM706+FO706+FQ706+FS706+FU706+GK706+FI706+GI706+GG706+GE706+GC706+GA706+FY706+FW706+GO706</f>
        <v>-50000</v>
      </c>
      <c r="GR706" s="74">
        <f>C706+GP706+GQ706</f>
        <v>0</v>
      </c>
      <c r="GS706" s="74">
        <f>SUM(GU706:HD706)+GP706+GQ706</f>
        <v>0</v>
      </c>
      <c r="GT706" s="568">
        <f>SUM(GU706:HF706)+GQ706+GP706</f>
        <v>0</v>
      </c>
      <c r="GU706" s="275">
        <v>10000</v>
      </c>
      <c r="GV706" s="275">
        <v>40000</v>
      </c>
      <c r="GW706" s="588"/>
      <c r="GX706" s="588">
        <f>15000-15000</f>
        <v>0</v>
      </c>
      <c r="GY706" s="275"/>
      <c r="GZ706" s="275"/>
      <c r="HA706" s="493">
        <f>15000-15000</f>
        <v>0</v>
      </c>
      <c r="HB706" s="493"/>
      <c r="HC706" s="493"/>
      <c r="HD706" s="493">
        <f>10000-10000</f>
        <v>0</v>
      </c>
      <c r="HE706" s="493">
        <v>0</v>
      </c>
      <c r="HF706" s="275">
        <v>0</v>
      </c>
      <c r="HG706" s="74">
        <f>SUM(HH706:IE706)+GP706+GQ706</f>
        <v>0</v>
      </c>
      <c r="HH706" s="89">
        <v>0</v>
      </c>
      <c r="HI706" s="817">
        <v>0</v>
      </c>
      <c r="HJ706" s="89">
        <v>0</v>
      </c>
      <c r="HK706" s="817">
        <v>2332</v>
      </c>
      <c r="HL706" s="89">
        <v>0</v>
      </c>
      <c r="HM706" s="817">
        <v>31814</v>
      </c>
      <c r="HN706" s="89">
        <v>0</v>
      </c>
      <c r="HO706" s="817">
        <v>15854</v>
      </c>
      <c r="HP706" s="89">
        <v>0</v>
      </c>
      <c r="HQ706" s="817">
        <v>0</v>
      </c>
      <c r="HR706" s="89">
        <v>0</v>
      </c>
      <c r="HS706" s="817">
        <v>0</v>
      </c>
      <c r="HT706" s="89">
        <v>0</v>
      </c>
      <c r="HU706" s="817">
        <v>0</v>
      </c>
      <c r="HV706" s="89">
        <v>0</v>
      </c>
      <c r="HW706" s="817">
        <v>0</v>
      </c>
      <c r="HX706" s="89">
        <v>0</v>
      </c>
      <c r="HY706" s="817">
        <v>0</v>
      </c>
      <c r="HZ706" s="89">
        <v>0</v>
      </c>
      <c r="IA706" s="817">
        <v>0</v>
      </c>
      <c r="IB706" s="89">
        <v>0</v>
      </c>
      <c r="IC706" s="817">
        <v>0</v>
      </c>
      <c r="ID706" s="89">
        <v>0</v>
      </c>
      <c r="IE706" s="817">
        <v>0</v>
      </c>
      <c r="IF706" s="841">
        <f t="shared" ref="IF706" si="15783">SUM(II706,IL706,IO706,IR706,IU706,IX706,JA706,JD706,JG706,JJ706,JM706,JP706)</f>
        <v>0</v>
      </c>
      <c r="IG706" s="263">
        <f t="shared" ref="IG706" si="15784">SUM(IJ706,IM706,IP706,IS706,IV706,IY706,JB706,JE706,JH706,JK706,JN706,JQ706)</f>
        <v>0</v>
      </c>
      <c r="IH706" s="842">
        <f t="shared" ref="IH706" si="15785">SUM(IK706,IN706,IQ706,IT706,IW706,IZ706,JC706,JF706,JI706,JL706,JO706,JR706)</f>
        <v>0</v>
      </c>
      <c r="II706" s="89">
        <v>0</v>
      </c>
      <c r="IJ706" s="89">
        <f t="shared" ref="IJ706" si="15786">II706</f>
        <v>0</v>
      </c>
      <c r="IK706" s="89">
        <f t="shared" ref="IK706" si="15787">IJ706</f>
        <v>0</v>
      </c>
      <c r="IL706" s="89">
        <v>0</v>
      </c>
      <c r="IM706" s="89">
        <f t="shared" ref="IM706" si="15788">IL706</f>
        <v>0</v>
      </c>
      <c r="IN706" s="89">
        <f t="shared" ref="IN706" si="15789">IM706</f>
        <v>0</v>
      </c>
      <c r="IO706" s="89">
        <v>0</v>
      </c>
      <c r="IP706" s="89">
        <f t="shared" ref="IP706" si="15790">IO706</f>
        <v>0</v>
      </c>
      <c r="IQ706" s="89">
        <f t="shared" ref="IQ706" si="15791">IP706</f>
        <v>0</v>
      </c>
      <c r="IR706" s="89">
        <v>0</v>
      </c>
      <c r="IS706" s="89">
        <f t="shared" ref="IS706" si="15792">IR706</f>
        <v>0</v>
      </c>
      <c r="IT706" s="89">
        <f t="shared" ref="IT706" si="15793">IS706</f>
        <v>0</v>
      </c>
      <c r="IU706" s="89">
        <v>0</v>
      </c>
      <c r="IV706" s="89">
        <f t="shared" ref="IV706" si="15794">IU706</f>
        <v>0</v>
      </c>
      <c r="IW706" s="89">
        <f t="shared" ref="IW706" si="15795">IV706</f>
        <v>0</v>
      </c>
      <c r="IX706" s="89">
        <v>0</v>
      </c>
      <c r="IY706" s="89">
        <f t="shared" ref="IY706" si="15796">IX706</f>
        <v>0</v>
      </c>
      <c r="IZ706" s="89">
        <f t="shared" ref="IZ706" si="15797">IY706</f>
        <v>0</v>
      </c>
      <c r="JA706" s="89">
        <v>0</v>
      </c>
      <c r="JB706" s="89">
        <f t="shared" ref="JB706" si="15798">JA706</f>
        <v>0</v>
      </c>
      <c r="JC706" s="89">
        <f t="shared" ref="JC706" si="15799">JB706</f>
        <v>0</v>
      </c>
      <c r="JD706" s="89">
        <v>0</v>
      </c>
      <c r="JE706" s="89">
        <f t="shared" ref="JE706" si="15800">JD706</f>
        <v>0</v>
      </c>
      <c r="JF706" s="89">
        <f t="shared" ref="JF706" si="15801">JE706</f>
        <v>0</v>
      </c>
      <c r="JG706" s="89">
        <v>0</v>
      </c>
      <c r="JH706" s="89">
        <f t="shared" ref="JH706" si="15802">JG706</f>
        <v>0</v>
      </c>
      <c r="JI706" s="89">
        <f t="shared" ref="JI706" si="15803">JH706</f>
        <v>0</v>
      </c>
      <c r="JJ706" s="89">
        <v>0</v>
      </c>
      <c r="JK706" s="89">
        <f t="shared" ref="JK706" si="15804">JJ706</f>
        <v>0</v>
      </c>
      <c r="JL706" s="89">
        <f t="shared" ref="JL706" si="15805">JK706</f>
        <v>0</v>
      </c>
      <c r="JM706" s="89">
        <v>0</v>
      </c>
      <c r="JN706" s="89">
        <f t="shared" ref="JN706" si="15806">JM706</f>
        <v>0</v>
      </c>
      <c r="JO706" s="89">
        <f t="shared" ref="JO706" si="15807">JN706</f>
        <v>0</v>
      </c>
      <c r="JP706" s="89">
        <v>0</v>
      </c>
      <c r="JQ706" s="89">
        <f t="shared" ref="JQ706:JR706" si="15808">JP706</f>
        <v>0</v>
      </c>
      <c r="JR706" s="89">
        <f t="shared" si="15808"/>
        <v>0</v>
      </c>
      <c r="JS706" s="74">
        <f>HG706-IF706</f>
        <v>0</v>
      </c>
      <c r="JT706" s="382">
        <f>GS706-IF706</f>
        <v>0</v>
      </c>
      <c r="JU706" s="665"/>
      <c r="JV706" s="524"/>
      <c r="JW706" s="525"/>
      <c r="JX706" s="549">
        <f>SUM(HH706,HJ706,HL706,HN706,HP706,HR706,HT706,HV706,HX706,HZ706,IB706,ID706)</f>
        <v>0</v>
      </c>
      <c r="JY706" s="549">
        <f t="shared" si="15767"/>
        <v>50000</v>
      </c>
      <c r="JZ706" s="581">
        <f t="shared" si="14740"/>
        <v>0</v>
      </c>
      <c r="KA706" s="581">
        <f t="shared" si="14741"/>
        <v>-50000</v>
      </c>
      <c r="KB706" s="566">
        <f t="shared" si="15406"/>
        <v>0</v>
      </c>
      <c r="KC706" s="709">
        <f t="shared" si="14739"/>
        <v>0</v>
      </c>
      <c r="KD706" s="491"/>
      <c r="KE706" s="491"/>
      <c r="KF706" s="491"/>
      <c r="KG706" s="491"/>
      <c r="KH706" s="36"/>
      <c r="KI706" s="36"/>
      <c r="KJ706" s="36"/>
      <c r="KK706" s="36"/>
    </row>
    <row r="707" spans="1:297" s="10" customFormat="1">
      <c r="A707" s="612"/>
      <c r="B707" s="512"/>
      <c r="C707" s="74"/>
      <c r="D707" s="549"/>
      <c r="E707" s="675"/>
      <c r="F707" s="549"/>
      <c r="G707" s="675"/>
      <c r="H707" s="549"/>
      <c r="I707" s="675"/>
      <c r="J707" s="549"/>
      <c r="K707" s="675"/>
      <c r="L707" s="549"/>
      <c r="M707" s="675"/>
      <c r="N707" s="549"/>
      <c r="O707" s="675"/>
      <c r="P707" s="549"/>
      <c r="Q707" s="675"/>
      <c r="R707" s="549"/>
      <c r="S707" s="675"/>
      <c r="T707" s="549"/>
      <c r="U707" s="675"/>
      <c r="V707" s="549"/>
      <c r="W707" s="675"/>
      <c r="X707" s="549"/>
      <c r="Y707" s="675"/>
      <c r="Z707" s="549"/>
      <c r="AA707" s="675"/>
      <c r="AB707" s="549"/>
      <c r="AC707" s="675"/>
      <c r="AD707" s="549"/>
      <c r="AE707" s="675"/>
      <c r="AF707" s="549"/>
      <c r="AG707" s="675"/>
      <c r="AH707" s="549"/>
      <c r="AI707" s="675"/>
      <c r="AJ707" s="549"/>
      <c r="AK707" s="675"/>
      <c r="AL707" s="549"/>
      <c r="AM707" s="675"/>
      <c r="AN707" s="549"/>
      <c r="AO707" s="675"/>
      <c r="AP707" s="549"/>
      <c r="AQ707" s="675"/>
      <c r="AR707" s="549"/>
      <c r="AS707" s="675"/>
      <c r="AT707" s="549"/>
      <c r="AU707" s="675"/>
      <c r="AV707" s="549"/>
      <c r="AW707" s="675"/>
      <c r="AX707" s="549"/>
      <c r="AY707" s="675"/>
      <c r="AZ707" s="549"/>
      <c r="BA707" s="675"/>
      <c r="BB707" s="549"/>
      <c r="BC707" s="675"/>
      <c r="BD707" s="549"/>
      <c r="BE707" s="675"/>
      <c r="BF707" s="549"/>
      <c r="BG707" s="675"/>
      <c r="BH707" s="549"/>
      <c r="BI707" s="675"/>
      <c r="BJ707" s="549"/>
      <c r="BK707" s="675"/>
      <c r="BL707" s="549"/>
      <c r="BM707" s="675"/>
      <c r="BN707" s="549"/>
      <c r="BO707" s="675"/>
      <c r="BP707" s="549"/>
      <c r="BQ707" s="675"/>
      <c r="BR707" s="549"/>
      <c r="BS707" s="675"/>
      <c r="BT707" s="549"/>
      <c r="BU707" s="675"/>
      <c r="BV707" s="549"/>
      <c r="BW707" s="675"/>
      <c r="BX707" s="549"/>
      <c r="BY707" s="675"/>
      <c r="BZ707" s="549"/>
      <c r="CA707" s="675"/>
      <c r="CB707" s="549"/>
      <c r="CC707" s="675"/>
      <c r="CD707" s="549"/>
      <c r="CE707" s="675"/>
      <c r="CF707" s="549"/>
      <c r="CG707" s="675"/>
      <c r="CH707" s="549"/>
      <c r="CI707" s="675"/>
      <c r="CJ707" s="549"/>
      <c r="CK707" s="675"/>
      <c r="CL707" s="549"/>
      <c r="CM707" s="675"/>
      <c r="CN707" s="549"/>
      <c r="CO707" s="675"/>
      <c r="CP707" s="549"/>
      <c r="CQ707" s="675"/>
      <c r="CR707" s="549"/>
      <c r="CS707" s="675"/>
      <c r="CT707" s="549"/>
      <c r="CU707" s="675"/>
      <c r="CV707" s="549"/>
      <c r="CW707" s="675"/>
      <c r="CX707" s="549"/>
      <c r="CY707" s="675"/>
      <c r="CZ707" s="549"/>
      <c r="DA707" s="675"/>
      <c r="DB707" s="549"/>
      <c r="DC707" s="675"/>
      <c r="DD707" s="549"/>
      <c r="DE707" s="675"/>
      <c r="DF707" s="549"/>
      <c r="DG707" s="675"/>
      <c r="DH707" s="549"/>
      <c r="DI707" s="675"/>
      <c r="DJ707" s="549"/>
      <c r="DK707" s="675"/>
      <c r="DL707" s="549"/>
      <c r="DM707" s="675"/>
      <c r="DN707" s="549"/>
      <c r="DO707" s="675"/>
      <c r="DP707" s="549"/>
      <c r="DQ707" s="675"/>
      <c r="DR707" s="549"/>
      <c r="DS707" s="675"/>
      <c r="DT707" s="549"/>
      <c r="DU707" s="675"/>
      <c r="DV707" s="549"/>
      <c r="DW707" s="675"/>
      <c r="DX707" s="549"/>
      <c r="DY707" s="675"/>
      <c r="DZ707" s="549"/>
      <c r="EA707" s="675"/>
      <c r="EB707" s="549"/>
      <c r="EC707" s="675"/>
      <c r="ED707" s="549"/>
      <c r="EE707" s="675"/>
      <c r="EF707" s="549"/>
      <c r="EG707" s="675"/>
      <c r="EH707" s="549"/>
      <c r="EI707" s="675"/>
      <c r="EJ707" s="549"/>
      <c r="EK707" s="675"/>
      <c r="EL707" s="549"/>
      <c r="EM707" s="675"/>
      <c r="EN707" s="549"/>
      <c r="EO707" s="675"/>
      <c r="EP707" s="549"/>
      <c r="EQ707" s="675"/>
      <c r="ER707" s="549"/>
      <c r="ES707" s="675"/>
      <c r="ET707" s="549"/>
      <c r="EU707" s="675"/>
      <c r="EV707" s="549"/>
      <c r="EW707" s="675"/>
      <c r="EX707" s="549"/>
      <c r="EY707" s="675"/>
      <c r="EZ707" s="549"/>
      <c r="FA707" s="675"/>
      <c r="FB707" s="549"/>
      <c r="FC707" s="675"/>
      <c r="FD707" s="549"/>
      <c r="FE707" s="675"/>
      <c r="FF707" s="549"/>
      <c r="FG707" s="675"/>
      <c r="FH707" s="549"/>
      <c r="FI707" s="675"/>
      <c r="FJ707" s="549"/>
      <c r="FK707" s="675"/>
      <c r="FL707" s="549"/>
      <c r="FM707" s="675"/>
      <c r="FN707" s="549"/>
      <c r="FO707" s="675"/>
      <c r="FP707" s="549"/>
      <c r="FQ707" s="675"/>
      <c r="FR707" s="549"/>
      <c r="FS707" s="675"/>
      <c r="FT707" s="549"/>
      <c r="FU707" s="675"/>
      <c r="FV707" s="549"/>
      <c r="FW707" s="675"/>
      <c r="FX707" s="549"/>
      <c r="FY707" s="675"/>
      <c r="FZ707" s="549"/>
      <c r="GA707" s="675"/>
      <c r="GB707" s="549"/>
      <c r="GC707" s="675"/>
      <c r="GD707" s="549"/>
      <c r="GE707" s="675"/>
      <c r="GF707" s="549"/>
      <c r="GG707" s="675"/>
      <c r="GH707" s="549"/>
      <c r="GI707" s="675"/>
      <c r="GJ707" s="549"/>
      <c r="GK707" s="675"/>
      <c r="GL707" s="549"/>
      <c r="GM707" s="675"/>
      <c r="GN707" s="549"/>
      <c r="GO707" s="675"/>
      <c r="GP707" s="549"/>
      <c r="GQ707" s="675"/>
      <c r="GR707" s="74"/>
      <c r="GS707" s="74"/>
      <c r="GT707" s="568"/>
      <c r="GU707" s="275"/>
      <c r="GV707" s="275"/>
      <c r="GW707" s="588"/>
      <c r="GX707" s="588"/>
      <c r="GY707" s="275"/>
      <c r="GZ707" s="275"/>
      <c r="HA707" s="493"/>
      <c r="HB707" s="493"/>
      <c r="HC707" s="493"/>
      <c r="HD707" s="493"/>
      <c r="HE707" s="493"/>
      <c r="HF707" s="275"/>
      <c r="HG707" s="74"/>
      <c r="HH707" s="89"/>
      <c r="HI707" s="817"/>
      <c r="HJ707" s="89"/>
      <c r="HK707" s="817"/>
      <c r="HL707" s="89"/>
      <c r="HM707" s="817"/>
      <c r="HN707" s="89"/>
      <c r="HO707" s="817"/>
      <c r="HP707" s="89"/>
      <c r="HQ707" s="817"/>
      <c r="HR707" s="89"/>
      <c r="HS707" s="817"/>
      <c r="HT707" s="89"/>
      <c r="HU707" s="817"/>
      <c r="HV707" s="89"/>
      <c r="HW707" s="817"/>
      <c r="HX707" s="89"/>
      <c r="HY707" s="817"/>
      <c r="HZ707" s="89"/>
      <c r="IA707" s="817"/>
      <c r="IB707" s="89"/>
      <c r="IC707" s="817"/>
      <c r="ID707" s="89"/>
      <c r="IE707" s="817"/>
      <c r="IF707" s="841"/>
      <c r="IG707" s="263"/>
      <c r="IH707" s="842"/>
      <c r="II707" s="89"/>
      <c r="IJ707" s="89"/>
      <c r="IK707" s="89"/>
      <c r="IL707" s="89"/>
      <c r="IM707" s="89"/>
      <c r="IN707" s="89"/>
      <c r="IO707" s="89"/>
      <c r="IP707" s="89"/>
      <c r="IQ707" s="89"/>
      <c r="IR707" s="89"/>
      <c r="IS707" s="89"/>
      <c r="IT707" s="89"/>
      <c r="IU707" s="89"/>
      <c r="IV707" s="89"/>
      <c r="IW707" s="89"/>
      <c r="IX707" s="89"/>
      <c r="IY707" s="89"/>
      <c r="IZ707" s="89"/>
      <c r="JA707" s="89"/>
      <c r="JB707" s="89"/>
      <c r="JC707" s="89"/>
      <c r="JD707" s="89"/>
      <c r="JE707" s="89"/>
      <c r="JF707" s="89"/>
      <c r="JG707" s="89"/>
      <c r="JH707" s="89"/>
      <c r="JI707" s="89"/>
      <c r="JJ707" s="89"/>
      <c r="JK707" s="89"/>
      <c r="JL707" s="89"/>
      <c r="JM707" s="89"/>
      <c r="JN707" s="89"/>
      <c r="JO707" s="89"/>
      <c r="JP707" s="89"/>
      <c r="JQ707" s="89"/>
      <c r="JR707" s="89"/>
      <c r="JS707" s="74"/>
      <c r="JT707" s="382"/>
      <c r="JU707" s="665"/>
      <c r="JV707" s="524"/>
      <c r="JW707" s="525"/>
      <c r="JX707" s="549"/>
      <c r="JY707" s="549"/>
      <c r="JZ707" s="581"/>
      <c r="KA707" s="581"/>
      <c r="KB707" s="566"/>
      <c r="KC707" s="709"/>
      <c r="KD707" s="491"/>
      <c r="KE707" s="491"/>
      <c r="KF707" s="491"/>
      <c r="KG707" s="491"/>
      <c r="KH707" s="36"/>
      <c r="KI707" s="36"/>
      <c r="KJ707" s="36"/>
      <c r="KK707" s="36"/>
    </row>
    <row r="708" spans="1:297" s="10" customFormat="1">
      <c r="A708" s="613" t="s">
        <v>1238</v>
      </c>
      <c r="B708" s="514" t="s">
        <v>1248</v>
      </c>
      <c r="C708" s="513">
        <f>C709</f>
        <v>75000</v>
      </c>
      <c r="D708" s="567">
        <f t="shared" ref="D708:BO708" si="15809">D709</f>
        <v>0</v>
      </c>
      <c r="E708" s="686">
        <f t="shared" si="15809"/>
        <v>0</v>
      </c>
      <c r="F708" s="567">
        <f t="shared" si="15809"/>
        <v>0</v>
      </c>
      <c r="G708" s="686">
        <f t="shared" si="15809"/>
        <v>0</v>
      </c>
      <c r="H708" s="567">
        <f t="shared" si="15809"/>
        <v>0</v>
      </c>
      <c r="I708" s="686">
        <f t="shared" si="15809"/>
        <v>0</v>
      </c>
      <c r="J708" s="567">
        <f t="shared" si="15809"/>
        <v>0</v>
      </c>
      <c r="K708" s="686">
        <f t="shared" si="15809"/>
        <v>0</v>
      </c>
      <c r="L708" s="567">
        <f t="shared" si="15809"/>
        <v>0</v>
      </c>
      <c r="M708" s="686">
        <f t="shared" si="15809"/>
        <v>0</v>
      </c>
      <c r="N708" s="567">
        <f t="shared" si="15809"/>
        <v>0</v>
      </c>
      <c r="O708" s="686">
        <f t="shared" si="15809"/>
        <v>0</v>
      </c>
      <c r="P708" s="567">
        <f t="shared" si="15809"/>
        <v>0</v>
      </c>
      <c r="Q708" s="686">
        <f t="shared" si="15809"/>
        <v>0</v>
      </c>
      <c r="R708" s="567">
        <f t="shared" si="15809"/>
        <v>0</v>
      </c>
      <c r="S708" s="686">
        <f t="shared" si="15809"/>
        <v>0</v>
      </c>
      <c r="T708" s="567">
        <f t="shared" si="15809"/>
        <v>0</v>
      </c>
      <c r="U708" s="686">
        <f t="shared" si="15809"/>
        <v>0</v>
      </c>
      <c r="V708" s="567">
        <f t="shared" si="15809"/>
        <v>0</v>
      </c>
      <c r="W708" s="686">
        <f t="shared" si="15809"/>
        <v>0</v>
      </c>
      <c r="X708" s="567">
        <f t="shared" si="15809"/>
        <v>0</v>
      </c>
      <c r="Y708" s="686">
        <f t="shared" si="15809"/>
        <v>0</v>
      </c>
      <c r="Z708" s="567">
        <f t="shared" si="15809"/>
        <v>0</v>
      </c>
      <c r="AA708" s="686">
        <f t="shared" si="15809"/>
        <v>0</v>
      </c>
      <c r="AB708" s="567">
        <f t="shared" si="15809"/>
        <v>0</v>
      </c>
      <c r="AC708" s="686">
        <f t="shared" si="15809"/>
        <v>0</v>
      </c>
      <c r="AD708" s="567">
        <f t="shared" si="15809"/>
        <v>0</v>
      </c>
      <c r="AE708" s="686">
        <f t="shared" si="15809"/>
        <v>0</v>
      </c>
      <c r="AF708" s="567">
        <f t="shared" si="15809"/>
        <v>0</v>
      </c>
      <c r="AG708" s="686">
        <f t="shared" si="15809"/>
        <v>0</v>
      </c>
      <c r="AH708" s="567">
        <f t="shared" si="15809"/>
        <v>0</v>
      </c>
      <c r="AI708" s="686">
        <f t="shared" si="15809"/>
        <v>0</v>
      </c>
      <c r="AJ708" s="567">
        <f t="shared" si="15809"/>
        <v>0</v>
      </c>
      <c r="AK708" s="686">
        <f t="shared" si="15809"/>
        <v>0</v>
      </c>
      <c r="AL708" s="567">
        <f t="shared" si="15809"/>
        <v>0</v>
      </c>
      <c r="AM708" s="686">
        <f t="shared" si="15809"/>
        <v>0</v>
      </c>
      <c r="AN708" s="567">
        <f t="shared" si="15809"/>
        <v>0</v>
      </c>
      <c r="AO708" s="686">
        <f t="shared" si="15809"/>
        <v>0</v>
      </c>
      <c r="AP708" s="567">
        <f t="shared" si="15809"/>
        <v>0</v>
      </c>
      <c r="AQ708" s="686">
        <f t="shared" si="15809"/>
        <v>0</v>
      </c>
      <c r="AR708" s="567">
        <f t="shared" si="15809"/>
        <v>0</v>
      </c>
      <c r="AS708" s="686">
        <f t="shared" si="15809"/>
        <v>0</v>
      </c>
      <c r="AT708" s="567">
        <f t="shared" si="15809"/>
        <v>0</v>
      </c>
      <c r="AU708" s="686">
        <f t="shared" si="15809"/>
        <v>0</v>
      </c>
      <c r="AV708" s="567">
        <f t="shared" si="15809"/>
        <v>0</v>
      </c>
      <c r="AW708" s="686">
        <f t="shared" si="15809"/>
        <v>0</v>
      </c>
      <c r="AX708" s="567">
        <f t="shared" si="15809"/>
        <v>0</v>
      </c>
      <c r="AY708" s="686">
        <f t="shared" si="15809"/>
        <v>0</v>
      </c>
      <c r="AZ708" s="567">
        <f t="shared" si="15809"/>
        <v>0</v>
      </c>
      <c r="BA708" s="686">
        <f t="shared" si="15809"/>
        <v>0</v>
      </c>
      <c r="BB708" s="567">
        <f t="shared" si="15809"/>
        <v>0</v>
      </c>
      <c r="BC708" s="686">
        <f t="shared" si="15809"/>
        <v>0</v>
      </c>
      <c r="BD708" s="567">
        <f t="shared" si="15809"/>
        <v>0</v>
      </c>
      <c r="BE708" s="686">
        <f t="shared" si="15809"/>
        <v>0</v>
      </c>
      <c r="BF708" s="567">
        <f t="shared" si="15809"/>
        <v>0</v>
      </c>
      <c r="BG708" s="686">
        <f t="shared" si="15809"/>
        <v>0</v>
      </c>
      <c r="BH708" s="567">
        <f t="shared" si="15809"/>
        <v>0</v>
      </c>
      <c r="BI708" s="686">
        <f t="shared" si="15809"/>
        <v>0</v>
      </c>
      <c r="BJ708" s="567">
        <f t="shared" si="15809"/>
        <v>0</v>
      </c>
      <c r="BK708" s="686">
        <f t="shared" si="15809"/>
        <v>0</v>
      </c>
      <c r="BL708" s="567">
        <f t="shared" si="15809"/>
        <v>0</v>
      </c>
      <c r="BM708" s="686">
        <f t="shared" si="15809"/>
        <v>0</v>
      </c>
      <c r="BN708" s="567">
        <f t="shared" si="15809"/>
        <v>0</v>
      </c>
      <c r="BO708" s="686">
        <f t="shared" si="15809"/>
        <v>0</v>
      </c>
      <c r="BP708" s="567">
        <f t="shared" ref="BP708:JX708" si="15810">BP709</f>
        <v>0</v>
      </c>
      <c r="BQ708" s="686">
        <f t="shared" si="15810"/>
        <v>0</v>
      </c>
      <c r="BR708" s="567">
        <f t="shared" si="15810"/>
        <v>0</v>
      </c>
      <c r="BS708" s="686">
        <f t="shared" si="15810"/>
        <v>0</v>
      </c>
      <c r="BT708" s="567">
        <f t="shared" si="15810"/>
        <v>0</v>
      </c>
      <c r="BU708" s="686">
        <f t="shared" si="15810"/>
        <v>-75000</v>
      </c>
      <c r="BV708" s="567">
        <f t="shared" si="15810"/>
        <v>0</v>
      </c>
      <c r="BW708" s="686">
        <f t="shared" si="15810"/>
        <v>0</v>
      </c>
      <c r="BX708" s="567">
        <f t="shared" si="15810"/>
        <v>0</v>
      </c>
      <c r="BY708" s="686">
        <f t="shared" si="15810"/>
        <v>0</v>
      </c>
      <c r="BZ708" s="567">
        <f t="shared" si="15810"/>
        <v>0</v>
      </c>
      <c r="CA708" s="686">
        <f t="shared" si="15810"/>
        <v>0</v>
      </c>
      <c r="CB708" s="567">
        <f t="shared" si="15810"/>
        <v>0</v>
      </c>
      <c r="CC708" s="686">
        <f t="shared" si="15810"/>
        <v>0</v>
      </c>
      <c r="CD708" s="567">
        <f t="shared" si="15810"/>
        <v>0</v>
      </c>
      <c r="CE708" s="686">
        <f t="shared" si="15810"/>
        <v>0</v>
      </c>
      <c r="CF708" s="567">
        <f t="shared" si="15810"/>
        <v>0</v>
      </c>
      <c r="CG708" s="686">
        <f t="shared" si="15810"/>
        <v>0</v>
      </c>
      <c r="CH708" s="567">
        <f t="shared" si="15810"/>
        <v>0</v>
      </c>
      <c r="CI708" s="686">
        <f t="shared" si="15810"/>
        <v>0</v>
      </c>
      <c r="CJ708" s="567">
        <f t="shared" si="15810"/>
        <v>0</v>
      </c>
      <c r="CK708" s="686">
        <f t="shared" si="15810"/>
        <v>0</v>
      </c>
      <c r="CL708" s="567">
        <f t="shared" si="15810"/>
        <v>0</v>
      </c>
      <c r="CM708" s="686">
        <f t="shared" si="15810"/>
        <v>0</v>
      </c>
      <c r="CN708" s="567">
        <f t="shared" si="15810"/>
        <v>0</v>
      </c>
      <c r="CO708" s="686">
        <f t="shared" si="15810"/>
        <v>0</v>
      </c>
      <c r="CP708" s="567">
        <f t="shared" si="15810"/>
        <v>0</v>
      </c>
      <c r="CQ708" s="686">
        <f t="shared" si="15810"/>
        <v>0</v>
      </c>
      <c r="CR708" s="567">
        <f t="shared" si="15810"/>
        <v>0</v>
      </c>
      <c r="CS708" s="686">
        <f t="shared" si="15810"/>
        <v>0</v>
      </c>
      <c r="CT708" s="567">
        <f t="shared" si="15810"/>
        <v>0</v>
      </c>
      <c r="CU708" s="686">
        <f t="shared" si="15810"/>
        <v>0</v>
      </c>
      <c r="CV708" s="567">
        <f t="shared" si="15810"/>
        <v>0</v>
      </c>
      <c r="CW708" s="686">
        <f t="shared" si="15810"/>
        <v>0</v>
      </c>
      <c r="CX708" s="567">
        <f t="shared" si="15810"/>
        <v>0</v>
      </c>
      <c r="CY708" s="686">
        <f t="shared" si="15810"/>
        <v>0</v>
      </c>
      <c r="CZ708" s="567">
        <f t="shared" si="15810"/>
        <v>0</v>
      </c>
      <c r="DA708" s="686">
        <f t="shared" si="15810"/>
        <v>0</v>
      </c>
      <c r="DB708" s="567">
        <f t="shared" si="15810"/>
        <v>0</v>
      </c>
      <c r="DC708" s="686">
        <f t="shared" si="15810"/>
        <v>0</v>
      </c>
      <c r="DD708" s="567">
        <f t="shared" si="15810"/>
        <v>0</v>
      </c>
      <c r="DE708" s="686">
        <f t="shared" si="15810"/>
        <v>0</v>
      </c>
      <c r="DF708" s="567">
        <f t="shared" si="15810"/>
        <v>0</v>
      </c>
      <c r="DG708" s="686">
        <f t="shared" si="15810"/>
        <v>0</v>
      </c>
      <c r="DH708" s="567">
        <f t="shared" si="15810"/>
        <v>0</v>
      </c>
      <c r="DI708" s="686">
        <f t="shared" si="15810"/>
        <v>0</v>
      </c>
      <c r="DJ708" s="567">
        <f t="shared" si="15810"/>
        <v>0</v>
      </c>
      <c r="DK708" s="686">
        <f t="shared" si="15810"/>
        <v>0</v>
      </c>
      <c r="DL708" s="567">
        <f t="shared" si="15810"/>
        <v>0</v>
      </c>
      <c r="DM708" s="686">
        <f t="shared" si="15810"/>
        <v>0</v>
      </c>
      <c r="DN708" s="567">
        <f t="shared" si="15810"/>
        <v>0</v>
      </c>
      <c r="DO708" s="686">
        <f t="shared" si="15810"/>
        <v>0</v>
      </c>
      <c r="DP708" s="567">
        <f t="shared" si="15810"/>
        <v>0</v>
      </c>
      <c r="DQ708" s="686">
        <f t="shared" si="15810"/>
        <v>0</v>
      </c>
      <c r="DR708" s="567">
        <f t="shared" si="15810"/>
        <v>0</v>
      </c>
      <c r="DS708" s="686">
        <f t="shared" si="15810"/>
        <v>0</v>
      </c>
      <c r="DT708" s="567">
        <f t="shared" si="15810"/>
        <v>0</v>
      </c>
      <c r="DU708" s="686">
        <f t="shared" si="15810"/>
        <v>0</v>
      </c>
      <c r="DV708" s="567">
        <f t="shared" si="15810"/>
        <v>0</v>
      </c>
      <c r="DW708" s="686">
        <f t="shared" si="15810"/>
        <v>0</v>
      </c>
      <c r="DX708" s="567">
        <f t="shared" si="15810"/>
        <v>0</v>
      </c>
      <c r="DY708" s="686">
        <f t="shared" si="15810"/>
        <v>0</v>
      </c>
      <c r="DZ708" s="567">
        <f t="shared" si="15810"/>
        <v>0</v>
      </c>
      <c r="EA708" s="686">
        <f t="shared" si="15810"/>
        <v>0</v>
      </c>
      <c r="EB708" s="567">
        <f t="shared" si="15810"/>
        <v>0</v>
      </c>
      <c r="EC708" s="686">
        <f t="shared" si="15810"/>
        <v>0</v>
      </c>
      <c r="ED708" s="567">
        <f t="shared" si="15810"/>
        <v>0</v>
      </c>
      <c r="EE708" s="686">
        <f t="shared" si="15810"/>
        <v>0</v>
      </c>
      <c r="EF708" s="567">
        <f t="shared" si="15810"/>
        <v>0</v>
      </c>
      <c r="EG708" s="686">
        <f t="shared" si="15810"/>
        <v>0</v>
      </c>
      <c r="EH708" s="567">
        <f t="shared" si="15810"/>
        <v>0</v>
      </c>
      <c r="EI708" s="686">
        <f t="shared" si="15810"/>
        <v>0</v>
      </c>
      <c r="EJ708" s="567">
        <f t="shared" si="15810"/>
        <v>0</v>
      </c>
      <c r="EK708" s="686">
        <f t="shared" si="15810"/>
        <v>0</v>
      </c>
      <c r="EL708" s="567">
        <f t="shared" si="15810"/>
        <v>0</v>
      </c>
      <c r="EM708" s="686">
        <f t="shared" si="15810"/>
        <v>0</v>
      </c>
      <c r="EN708" s="567">
        <f t="shared" si="15810"/>
        <v>0</v>
      </c>
      <c r="EO708" s="686">
        <f t="shared" si="15810"/>
        <v>0</v>
      </c>
      <c r="EP708" s="567">
        <f t="shared" si="15810"/>
        <v>0</v>
      </c>
      <c r="EQ708" s="686">
        <f t="shared" si="15810"/>
        <v>0</v>
      </c>
      <c r="ER708" s="567">
        <f t="shared" si="15810"/>
        <v>0</v>
      </c>
      <c r="ES708" s="686">
        <f t="shared" si="15810"/>
        <v>0</v>
      </c>
      <c r="ET708" s="567">
        <f t="shared" si="15810"/>
        <v>0</v>
      </c>
      <c r="EU708" s="686">
        <f t="shared" si="15810"/>
        <v>0</v>
      </c>
      <c r="EV708" s="567">
        <f t="shared" si="15810"/>
        <v>0</v>
      </c>
      <c r="EW708" s="686">
        <f t="shared" si="15810"/>
        <v>0</v>
      </c>
      <c r="EX708" s="567">
        <f t="shared" si="15810"/>
        <v>0</v>
      </c>
      <c r="EY708" s="686">
        <f t="shared" si="15810"/>
        <v>0</v>
      </c>
      <c r="EZ708" s="567">
        <f t="shared" si="15810"/>
        <v>0</v>
      </c>
      <c r="FA708" s="686">
        <f t="shared" si="15810"/>
        <v>0</v>
      </c>
      <c r="FB708" s="567">
        <f t="shared" si="15810"/>
        <v>0</v>
      </c>
      <c r="FC708" s="686">
        <f t="shared" si="15810"/>
        <v>0</v>
      </c>
      <c r="FD708" s="567">
        <f t="shared" si="15810"/>
        <v>0</v>
      </c>
      <c r="FE708" s="686">
        <f t="shared" si="15810"/>
        <v>0</v>
      </c>
      <c r="FF708" s="567">
        <f t="shared" si="15810"/>
        <v>0</v>
      </c>
      <c r="FG708" s="686">
        <f t="shared" si="15810"/>
        <v>0</v>
      </c>
      <c r="FH708" s="567">
        <f t="shared" si="15810"/>
        <v>0</v>
      </c>
      <c r="FI708" s="686">
        <f t="shared" si="15810"/>
        <v>0</v>
      </c>
      <c r="FJ708" s="567">
        <f t="shared" si="15810"/>
        <v>0</v>
      </c>
      <c r="FK708" s="686">
        <f t="shared" si="15810"/>
        <v>0</v>
      </c>
      <c r="FL708" s="567">
        <f t="shared" si="15810"/>
        <v>0</v>
      </c>
      <c r="FM708" s="686">
        <f t="shared" si="15810"/>
        <v>0</v>
      </c>
      <c r="FN708" s="567">
        <f t="shared" si="15810"/>
        <v>0</v>
      </c>
      <c r="FO708" s="686">
        <f t="shared" si="15810"/>
        <v>0</v>
      </c>
      <c r="FP708" s="567">
        <f t="shared" si="15810"/>
        <v>0</v>
      </c>
      <c r="FQ708" s="686">
        <f t="shared" si="15810"/>
        <v>0</v>
      </c>
      <c r="FR708" s="567">
        <f t="shared" si="15810"/>
        <v>0</v>
      </c>
      <c r="FS708" s="686">
        <f t="shared" si="15810"/>
        <v>0</v>
      </c>
      <c r="FT708" s="567">
        <f t="shared" si="15810"/>
        <v>0</v>
      </c>
      <c r="FU708" s="686">
        <f t="shared" si="15810"/>
        <v>0</v>
      </c>
      <c r="FV708" s="567">
        <f t="shared" si="15810"/>
        <v>0</v>
      </c>
      <c r="FW708" s="686">
        <f t="shared" si="15810"/>
        <v>0</v>
      </c>
      <c r="FX708" s="567">
        <f t="shared" si="15810"/>
        <v>0</v>
      </c>
      <c r="FY708" s="686">
        <f t="shared" si="15810"/>
        <v>0</v>
      </c>
      <c r="FZ708" s="567">
        <f t="shared" si="15810"/>
        <v>0</v>
      </c>
      <c r="GA708" s="686">
        <f t="shared" si="15810"/>
        <v>0</v>
      </c>
      <c r="GB708" s="567">
        <f t="shared" si="15810"/>
        <v>0</v>
      </c>
      <c r="GC708" s="686">
        <f t="shared" si="15810"/>
        <v>0</v>
      </c>
      <c r="GD708" s="567">
        <f t="shared" si="15810"/>
        <v>0</v>
      </c>
      <c r="GE708" s="686">
        <f t="shared" si="15810"/>
        <v>0</v>
      </c>
      <c r="GF708" s="567">
        <f t="shared" si="15810"/>
        <v>0</v>
      </c>
      <c r="GG708" s="686">
        <f t="shared" si="15810"/>
        <v>0</v>
      </c>
      <c r="GH708" s="567">
        <f t="shared" si="15810"/>
        <v>0</v>
      </c>
      <c r="GI708" s="686">
        <f t="shared" si="15810"/>
        <v>0</v>
      </c>
      <c r="GJ708" s="567">
        <f t="shared" si="15810"/>
        <v>0</v>
      </c>
      <c r="GK708" s="686">
        <f t="shared" si="15810"/>
        <v>0</v>
      </c>
      <c r="GL708" s="567">
        <f t="shared" si="15810"/>
        <v>0</v>
      </c>
      <c r="GM708" s="686">
        <f t="shared" si="15810"/>
        <v>0</v>
      </c>
      <c r="GN708" s="567">
        <f t="shared" si="15810"/>
        <v>0</v>
      </c>
      <c r="GO708" s="686">
        <f t="shared" si="15810"/>
        <v>0</v>
      </c>
      <c r="GP708" s="567">
        <f t="shared" si="15810"/>
        <v>0</v>
      </c>
      <c r="GQ708" s="686">
        <f t="shared" si="15810"/>
        <v>-75000</v>
      </c>
      <c r="GR708" s="513">
        <f t="shared" si="15810"/>
        <v>0</v>
      </c>
      <c r="GS708" s="513">
        <f t="shared" si="15810"/>
        <v>0</v>
      </c>
      <c r="GT708" s="567">
        <f t="shared" si="15810"/>
        <v>0</v>
      </c>
      <c r="GU708" s="513">
        <f t="shared" si="15810"/>
        <v>15000</v>
      </c>
      <c r="GV708" s="513">
        <f t="shared" si="15810"/>
        <v>0</v>
      </c>
      <c r="GW708" s="567">
        <f t="shared" si="15810"/>
        <v>0</v>
      </c>
      <c r="GX708" s="567">
        <f t="shared" si="15810"/>
        <v>22500</v>
      </c>
      <c r="GY708" s="513">
        <f t="shared" si="15810"/>
        <v>37500</v>
      </c>
      <c r="GZ708" s="513">
        <f t="shared" si="15810"/>
        <v>0</v>
      </c>
      <c r="HA708" s="513">
        <f t="shared" si="15810"/>
        <v>0</v>
      </c>
      <c r="HB708" s="513">
        <f t="shared" si="15810"/>
        <v>0</v>
      </c>
      <c r="HC708" s="513">
        <f t="shared" si="15810"/>
        <v>0</v>
      </c>
      <c r="HD708" s="513">
        <f t="shared" si="15810"/>
        <v>0</v>
      </c>
      <c r="HE708" s="513">
        <f t="shared" si="15810"/>
        <v>0</v>
      </c>
      <c r="HF708" s="513">
        <f t="shared" si="15810"/>
        <v>0</v>
      </c>
      <c r="HG708" s="513">
        <f t="shared" si="15810"/>
        <v>0</v>
      </c>
      <c r="HH708" s="513">
        <f t="shared" si="15810"/>
        <v>0</v>
      </c>
      <c r="HI708" s="827">
        <f t="shared" si="15810"/>
        <v>0</v>
      </c>
      <c r="HJ708" s="513">
        <f t="shared" si="15810"/>
        <v>0</v>
      </c>
      <c r="HK708" s="827">
        <f t="shared" si="15810"/>
        <v>0</v>
      </c>
      <c r="HL708" s="513">
        <f t="shared" si="15810"/>
        <v>0</v>
      </c>
      <c r="HM708" s="827">
        <f t="shared" si="15810"/>
        <v>0</v>
      </c>
      <c r="HN708" s="513">
        <f t="shared" si="15810"/>
        <v>0</v>
      </c>
      <c r="HO708" s="827">
        <f t="shared" si="15810"/>
        <v>37500</v>
      </c>
      <c r="HP708" s="513">
        <f t="shared" si="15810"/>
        <v>0</v>
      </c>
      <c r="HQ708" s="827">
        <f t="shared" si="15810"/>
        <v>0</v>
      </c>
      <c r="HR708" s="513">
        <f t="shared" si="15810"/>
        <v>0</v>
      </c>
      <c r="HS708" s="827">
        <f t="shared" si="15810"/>
        <v>37500</v>
      </c>
      <c r="HT708" s="513">
        <f t="shared" si="15810"/>
        <v>0</v>
      </c>
      <c r="HU708" s="827">
        <f t="shared" si="15810"/>
        <v>0</v>
      </c>
      <c r="HV708" s="513">
        <f t="shared" si="15810"/>
        <v>0</v>
      </c>
      <c r="HW708" s="827">
        <f t="shared" si="15810"/>
        <v>0</v>
      </c>
      <c r="HX708" s="513">
        <f t="shared" si="15810"/>
        <v>0</v>
      </c>
      <c r="HY708" s="827">
        <f t="shared" si="15810"/>
        <v>0</v>
      </c>
      <c r="HZ708" s="513">
        <f t="shared" si="15810"/>
        <v>0</v>
      </c>
      <c r="IA708" s="827">
        <f t="shared" si="15810"/>
        <v>0</v>
      </c>
      <c r="IB708" s="513">
        <f t="shared" si="15810"/>
        <v>0</v>
      </c>
      <c r="IC708" s="827">
        <f t="shared" si="15810"/>
        <v>0</v>
      </c>
      <c r="ID708" s="513">
        <f t="shared" si="15810"/>
        <v>0</v>
      </c>
      <c r="IE708" s="827">
        <f t="shared" si="15810"/>
        <v>0</v>
      </c>
      <c r="IF708" s="703">
        <f t="shared" si="15810"/>
        <v>0</v>
      </c>
      <c r="IG708" s="704">
        <f t="shared" si="15810"/>
        <v>0</v>
      </c>
      <c r="IH708" s="858">
        <f t="shared" si="15810"/>
        <v>0</v>
      </c>
      <c r="II708" s="513">
        <f t="shared" si="15810"/>
        <v>0</v>
      </c>
      <c r="IJ708" s="513">
        <f t="shared" si="15810"/>
        <v>0</v>
      </c>
      <c r="IK708" s="513">
        <f t="shared" si="15810"/>
        <v>0</v>
      </c>
      <c r="IL708" s="513">
        <f t="shared" si="15810"/>
        <v>0</v>
      </c>
      <c r="IM708" s="513">
        <f t="shared" si="15810"/>
        <v>0</v>
      </c>
      <c r="IN708" s="513">
        <f t="shared" si="15810"/>
        <v>0</v>
      </c>
      <c r="IO708" s="513">
        <f t="shared" si="15810"/>
        <v>0</v>
      </c>
      <c r="IP708" s="513">
        <f t="shared" si="15810"/>
        <v>0</v>
      </c>
      <c r="IQ708" s="513">
        <f t="shared" si="15810"/>
        <v>0</v>
      </c>
      <c r="IR708" s="513">
        <f t="shared" si="15810"/>
        <v>0</v>
      </c>
      <c r="IS708" s="513">
        <f t="shared" si="15810"/>
        <v>0</v>
      </c>
      <c r="IT708" s="513">
        <f t="shared" si="15810"/>
        <v>0</v>
      </c>
      <c r="IU708" s="513">
        <f t="shared" si="15810"/>
        <v>0</v>
      </c>
      <c r="IV708" s="513">
        <f t="shared" si="15810"/>
        <v>0</v>
      </c>
      <c r="IW708" s="513">
        <f t="shared" si="15810"/>
        <v>0</v>
      </c>
      <c r="IX708" s="513">
        <f t="shared" si="15810"/>
        <v>0</v>
      </c>
      <c r="IY708" s="513">
        <f t="shared" si="15810"/>
        <v>0</v>
      </c>
      <c r="IZ708" s="513">
        <f t="shared" si="15810"/>
        <v>0</v>
      </c>
      <c r="JA708" s="513">
        <f t="shared" si="15810"/>
        <v>0</v>
      </c>
      <c r="JB708" s="513">
        <f t="shared" si="15810"/>
        <v>0</v>
      </c>
      <c r="JC708" s="513">
        <f t="shared" si="15810"/>
        <v>0</v>
      </c>
      <c r="JD708" s="513">
        <f t="shared" si="15810"/>
        <v>0</v>
      </c>
      <c r="JE708" s="513">
        <f t="shared" si="15810"/>
        <v>0</v>
      </c>
      <c r="JF708" s="513">
        <f t="shared" si="15810"/>
        <v>0</v>
      </c>
      <c r="JG708" s="513">
        <f t="shared" si="15810"/>
        <v>0</v>
      </c>
      <c r="JH708" s="513">
        <f t="shared" si="15810"/>
        <v>0</v>
      </c>
      <c r="JI708" s="513">
        <f t="shared" si="15810"/>
        <v>0</v>
      </c>
      <c r="JJ708" s="513">
        <f t="shared" si="15810"/>
        <v>0</v>
      </c>
      <c r="JK708" s="513">
        <f t="shared" si="15810"/>
        <v>0</v>
      </c>
      <c r="JL708" s="513">
        <f t="shared" si="15810"/>
        <v>0</v>
      </c>
      <c r="JM708" s="513">
        <f t="shared" si="15810"/>
        <v>0</v>
      </c>
      <c r="JN708" s="513">
        <f t="shared" si="15810"/>
        <v>0</v>
      </c>
      <c r="JO708" s="513">
        <f t="shared" si="15810"/>
        <v>0</v>
      </c>
      <c r="JP708" s="513">
        <f t="shared" si="15810"/>
        <v>0</v>
      </c>
      <c r="JQ708" s="513">
        <f t="shared" si="15810"/>
        <v>0</v>
      </c>
      <c r="JR708" s="513">
        <f t="shared" si="15810"/>
        <v>0</v>
      </c>
      <c r="JS708" s="513">
        <f t="shared" si="15810"/>
        <v>0</v>
      </c>
      <c r="JT708" s="573">
        <f t="shared" si="15810"/>
        <v>0</v>
      </c>
      <c r="JU708" s="665"/>
      <c r="JV708" s="524"/>
      <c r="JW708" s="525"/>
      <c r="JX708" s="567">
        <f t="shared" si="15810"/>
        <v>0</v>
      </c>
      <c r="JY708" s="513">
        <f>JY709</f>
        <v>75000</v>
      </c>
      <c r="JZ708" s="513">
        <f t="shared" ref="JZ708:KB708" si="15811">JZ709</f>
        <v>0</v>
      </c>
      <c r="KA708" s="513">
        <f t="shared" si="15811"/>
        <v>-75000</v>
      </c>
      <c r="KB708" s="513">
        <f t="shared" si="15811"/>
        <v>0</v>
      </c>
      <c r="KC708" s="709">
        <f t="shared" ref="KC708:KC709" si="15812">HG708-KB708</f>
        <v>0</v>
      </c>
      <c r="KD708" s="491"/>
      <c r="KE708" s="491"/>
      <c r="KF708" s="491"/>
      <c r="KG708" s="491"/>
      <c r="KH708" s="36"/>
      <c r="KI708" s="36"/>
      <c r="KJ708" s="36"/>
      <c r="KK708" s="36"/>
    </row>
    <row r="709" spans="1:297" s="10" customFormat="1">
      <c r="A709" s="612" t="s">
        <v>1239</v>
      </c>
      <c r="B709" s="512" t="s">
        <v>346</v>
      </c>
      <c r="C709" s="74">
        <v>75000</v>
      </c>
      <c r="D709" s="549">
        <v>0</v>
      </c>
      <c r="E709" s="675">
        <v>0</v>
      </c>
      <c r="F709" s="549">
        <v>0</v>
      </c>
      <c r="G709" s="675">
        <v>0</v>
      </c>
      <c r="H709" s="549">
        <v>0</v>
      </c>
      <c r="I709" s="675">
        <v>0</v>
      </c>
      <c r="J709" s="549">
        <v>0</v>
      </c>
      <c r="K709" s="675">
        <v>0</v>
      </c>
      <c r="L709" s="549">
        <v>0</v>
      </c>
      <c r="M709" s="675">
        <v>0</v>
      </c>
      <c r="N709" s="549">
        <v>0</v>
      </c>
      <c r="O709" s="675">
        <v>0</v>
      </c>
      <c r="P709" s="549">
        <v>0</v>
      </c>
      <c r="Q709" s="675">
        <v>0</v>
      </c>
      <c r="R709" s="549">
        <v>0</v>
      </c>
      <c r="S709" s="675">
        <v>0</v>
      </c>
      <c r="T709" s="549">
        <v>0</v>
      </c>
      <c r="U709" s="675">
        <v>0</v>
      </c>
      <c r="V709" s="549">
        <v>0</v>
      </c>
      <c r="W709" s="675">
        <v>0</v>
      </c>
      <c r="X709" s="549">
        <v>0</v>
      </c>
      <c r="Y709" s="675">
        <v>0</v>
      </c>
      <c r="Z709" s="549">
        <v>0</v>
      </c>
      <c r="AA709" s="675">
        <v>0</v>
      </c>
      <c r="AB709" s="549">
        <v>0</v>
      </c>
      <c r="AC709" s="675">
        <v>0</v>
      </c>
      <c r="AD709" s="549">
        <v>0</v>
      </c>
      <c r="AE709" s="675">
        <v>0</v>
      </c>
      <c r="AF709" s="549">
        <v>0</v>
      </c>
      <c r="AG709" s="675">
        <v>0</v>
      </c>
      <c r="AH709" s="549">
        <v>0</v>
      </c>
      <c r="AI709" s="675">
        <v>0</v>
      </c>
      <c r="AJ709" s="549">
        <v>0</v>
      </c>
      <c r="AK709" s="675">
        <v>0</v>
      </c>
      <c r="AL709" s="549">
        <v>0</v>
      </c>
      <c r="AM709" s="675">
        <v>0</v>
      </c>
      <c r="AN709" s="549">
        <v>0</v>
      </c>
      <c r="AO709" s="675">
        <v>0</v>
      </c>
      <c r="AP709" s="549">
        <v>0</v>
      </c>
      <c r="AQ709" s="675">
        <v>0</v>
      </c>
      <c r="AR709" s="549">
        <v>0</v>
      </c>
      <c r="AS709" s="675">
        <v>0</v>
      </c>
      <c r="AT709" s="549">
        <v>0</v>
      </c>
      <c r="AU709" s="675">
        <v>0</v>
      </c>
      <c r="AV709" s="549">
        <v>0</v>
      </c>
      <c r="AW709" s="675">
        <v>0</v>
      </c>
      <c r="AX709" s="549">
        <v>0</v>
      </c>
      <c r="AY709" s="675">
        <v>0</v>
      </c>
      <c r="AZ709" s="549">
        <v>0</v>
      </c>
      <c r="BA709" s="675">
        <v>0</v>
      </c>
      <c r="BB709" s="549">
        <v>0</v>
      </c>
      <c r="BC709" s="675">
        <v>0</v>
      </c>
      <c r="BD709" s="549">
        <v>0</v>
      </c>
      <c r="BE709" s="675">
        <v>0</v>
      </c>
      <c r="BF709" s="549">
        <v>0</v>
      </c>
      <c r="BG709" s="675">
        <v>0</v>
      </c>
      <c r="BH709" s="549">
        <v>0</v>
      </c>
      <c r="BI709" s="675">
        <v>0</v>
      </c>
      <c r="BJ709" s="549">
        <v>0</v>
      </c>
      <c r="BK709" s="675">
        <v>0</v>
      </c>
      <c r="BL709" s="549">
        <v>0</v>
      </c>
      <c r="BM709" s="675">
        <v>0</v>
      </c>
      <c r="BN709" s="549">
        <v>0</v>
      </c>
      <c r="BO709" s="675">
        <v>0</v>
      </c>
      <c r="BP709" s="549">
        <v>0</v>
      </c>
      <c r="BQ709" s="675">
        <v>0</v>
      </c>
      <c r="BR709" s="549">
        <v>0</v>
      </c>
      <c r="BS709" s="675">
        <v>0</v>
      </c>
      <c r="BT709" s="549">
        <v>0</v>
      </c>
      <c r="BU709" s="675">
        <v>-75000</v>
      </c>
      <c r="BV709" s="549">
        <v>0</v>
      </c>
      <c r="BW709" s="675">
        <v>0</v>
      </c>
      <c r="BX709" s="549">
        <v>0</v>
      </c>
      <c r="BY709" s="675">
        <v>0</v>
      </c>
      <c r="BZ709" s="549">
        <v>0</v>
      </c>
      <c r="CA709" s="675">
        <v>0</v>
      </c>
      <c r="CB709" s="549">
        <v>0</v>
      </c>
      <c r="CC709" s="675">
        <v>0</v>
      </c>
      <c r="CD709" s="549">
        <v>0</v>
      </c>
      <c r="CE709" s="675">
        <v>0</v>
      </c>
      <c r="CF709" s="549">
        <v>0</v>
      </c>
      <c r="CG709" s="675">
        <v>0</v>
      </c>
      <c r="CH709" s="549">
        <v>0</v>
      </c>
      <c r="CI709" s="675">
        <v>0</v>
      </c>
      <c r="CJ709" s="549">
        <v>0</v>
      </c>
      <c r="CK709" s="675">
        <v>0</v>
      </c>
      <c r="CL709" s="549">
        <v>0</v>
      </c>
      <c r="CM709" s="675">
        <v>0</v>
      </c>
      <c r="CN709" s="549">
        <v>0</v>
      </c>
      <c r="CO709" s="675">
        <v>0</v>
      </c>
      <c r="CP709" s="549">
        <v>0</v>
      </c>
      <c r="CQ709" s="675">
        <v>0</v>
      </c>
      <c r="CR709" s="549">
        <v>0</v>
      </c>
      <c r="CS709" s="675">
        <v>0</v>
      </c>
      <c r="CT709" s="549">
        <v>0</v>
      </c>
      <c r="CU709" s="675">
        <v>0</v>
      </c>
      <c r="CV709" s="549">
        <v>0</v>
      </c>
      <c r="CW709" s="675">
        <v>0</v>
      </c>
      <c r="CX709" s="549">
        <v>0</v>
      </c>
      <c r="CY709" s="675">
        <v>0</v>
      </c>
      <c r="CZ709" s="549">
        <v>0</v>
      </c>
      <c r="DA709" s="675">
        <v>0</v>
      </c>
      <c r="DB709" s="549">
        <v>0</v>
      </c>
      <c r="DC709" s="675">
        <v>0</v>
      </c>
      <c r="DD709" s="549">
        <v>0</v>
      </c>
      <c r="DE709" s="675">
        <v>0</v>
      </c>
      <c r="DF709" s="549">
        <v>0</v>
      </c>
      <c r="DG709" s="675">
        <v>0</v>
      </c>
      <c r="DH709" s="549">
        <v>0</v>
      </c>
      <c r="DI709" s="675">
        <v>0</v>
      </c>
      <c r="DJ709" s="549">
        <v>0</v>
      </c>
      <c r="DK709" s="675">
        <v>0</v>
      </c>
      <c r="DL709" s="549">
        <v>0</v>
      </c>
      <c r="DM709" s="675">
        <v>0</v>
      </c>
      <c r="DN709" s="549">
        <v>0</v>
      </c>
      <c r="DO709" s="675">
        <v>0</v>
      </c>
      <c r="DP709" s="549">
        <v>0</v>
      </c>
      <c r="DQ709" s="675">
        <v>0</v>
      </c>
      <c r="DR709" s="549">
        <v>0</v>
      </c>
      <c r="DS709" s="675">
        <v>0</v>
      </c>
      <c r="DT709" s="549">
        <v>0</v>
      </c>
      <c r="DU709" s="675">
        <v>0</v>
      </c>
      <c r="DV709" s="549">
        <v>0</v>
      </c>
      <c r="DW709" s="675">
        <v>0</v>
      </c>
      <c r="DX709" s="549">
        <v>0</v>
      </c>
      <c r="DY709" s="675">
        <v>0</v>
      </c>
      <c r="DZ709" s="549">
        <v>0</v>
      </c>
      <c r="EA709" s="675">
        <v>0</v>
      </c>
      <c r="EB709" s="549">
        <v>0</v>
      </c>
      <c r="EC709" s="675">
        <v>0</v>
      </c>
      <c r="ED709" s="549">
        <v>0</v>
      </c>
      <c r="EE709" s="675">
        <v>0</v>
      </c>
      <c r="EF709" s="549">
        <v>0</v>
      </c>
      <c r="EG709" s="675">
        <v>0</v>
      </c>
      <c r="EH709" s="549">
        <v>0</v>
      </c>
      <c r="EI709" s="675">
        <v>0</v>
      </c>
      <c r="EJ709" s="549">
        <v>0</v>
      </c>
      <c r="EK709" s="675">
        <v>0</v>
      </c>
      <c r="EL709" s="549">
        <v>0</v>
      </c>
      <c r="EM709" s="675">
        <v>0</v>
      </c>
      <c r="EN709" s="549">
        <v>0</v>
      </c>
      <c r="EO709" s="675">
        <v>0</v>
      </c>
      <c r="EP709" s="549">
        <v>0</v>
      </c>
      <c r="EQ709" s="675">
        <v>0</v>
      </c>
      <c r="ER709" s="549">
        <v>0</v>
      </c>
      <c r="ES709" s="675">
        <v>0</v>
      </c>
      <c r="ET709" s="549">
        <v>0</v>
      </c>
      <c r="EU709" s="675">
        <v>0</v>
      </c>
      <c r="EV709" s="549">
        <v>0</v>
      </c>
      <c r="EW709" s="675">
        <v>0</v>
      </c>
      <c r="EX709" s="549">
        <v>0</v>
      </c>
      <c r="EY709" s="675">
        <v>0</v>
      </c>
      <c r="EZ709" s="549">
        <v>0</v>
      </c>
      <c r="FA709" s="675">
        <v>0</v>
      </c>
      <c r="FB709" s="549">
        <v>0</v>
      </c>
      <c r="FC709" s="675">
        <v>0</v>
      </c>
      <c r="FD709" s="549">
        <v>0</v>
      </c>
      <c r="FE709" s="675">
        <v>0</v>
      </c>
      <c r="FF709" s="549">
        <v>0</v>
      </c>
      <c r="FG709" s="675">
        <v>0</v>
      </c>
      <c r="FH709" s="549">
        <v>0</v>
      </c>
      <c r="FI709" s="675">
        <v>0</v>
      </c>
      <c r="FJ709" s="549">
        <v>0</v>
      </c>
      <c r="FK709" s="675">
        <v>0</v>
      </c>
      <c r="FL709" s="549">
        <v>0</v>
      </c>
      <c r="FM709" s="675">
        <v>0</v>
      </c>
      <c r="FN709" s="549">
        <v>0</v>
      </c>
      <c r="FO709" s="675">
        <v>0</v>
      </c>
      <c r="FP709" s="549">
        <v>0</v>
      </c>
      <c r="FQ709" s="675">
        <v>0</v>
      </c>
      <c r="FR709" s="549">
        <v>0</v>
      </c>
      <c r="FS709" s="675">
        <v>0</v>
      </c>
      <c r="FT709" s="549">
        <v>0</v>
      </c>
      <c r="FU709" s="675">
        <v>0</v>
      </c>
      <c r="FV709" s="549">
        <v>0</v>
      </c>
      <c r="FW709" s="675">
        <v>0</v>
      </c>
      <c r="FX709" s="549">
        <v>0</v>
      </c>
      <c r="FY709" s="675">
        <v>0</v>
      </c>
      <c r="FZ709" s="549">
        <v>0</v>
      </c>
      <c r="GA709" s="675">
        <v>0</v>
      </c>
      <c r="GB709" s="549">
        <v>0</v>
      </c>
      <c r="GC709" s="675">
        <v>0</v>
      </c>
      <c r="GD709" s="549">
        <v>0</v>
      </c>
      <c r="GE709" s="675">
        <v>0</v>
      </c>
      <c r="GF709" s="549">
        <v>0</v>
      </c>
      <c r="GG709" s="675">
        <v>0</v>
      </c>
      <c r="GH709" s="549">
        <v>0</v>
      </c>
      <c r="GI709" s="675">
        <v>0</v>
      </c>
      <c r="GJ709" s="549">
        <v>0</v>
      </c>
      <c r="GK709" s="675">
        <v>0</v>
      </c>
      <c r="GL709" s="549">
        <v>0</v>
      </c>
      <c r="GM709" s="675">
        <v>0</v>
      </c>
      <c r="GN709" s="549">
        <v>0</v>
      </c>
      <c r="GO709" s="675">
        <v>0</v>
      </c>
      <c r="GP709" s="549">
        <f>+D709+F709+H709+J709+L709+N709+P709+R709+T709+V709+X709+Z709+AB709+AF709+AD709+AH709+AJ709+AL709+AN709+AP709+AR709+AT709+AV709+AX709+AZ709+BB709+BD709+BF709+BH709+BJ709+BL709+BN709+BP709+BR709+BT709+BV709+BX709+BZ709+CB709+CD709+CF709+CH709+CJ709+CL709+CN709+CP709+CR709+CT709+CV709+CX709+CZ709+DB709+DD709+DF709+DH709+DT709+EX709+DJ709+DL709+DN709+DP709+DR709+EJ709+EB709+DZ709+DX709+DV709+ED709+EF709+EH709+EL709+EN709+EP709+EV709+ET709+ER709+EZ709+FB709+FD709+GL709+FF709+FJ709+FL709+GJ709+FT709+FR709+FP709+FN709+FH709+GH709+GF709+GD709+GB709+FZ709+FX709+FV709+GN709</f>
        <v>0</v>
      </c>
      <c r="GQ709" s="675">
        <f>+E709+G709+I709+K709+M709+O709+Q709+S709+U709+W709+Y709+AA709+AC709+AE709+AG709+AI709+AK709+AM709+AO709+AQ709+AS709+AU709+AW709+AY709+BA709+BC709+BE709+BG709+BI709+BK709+BM709+BO709+BQ709+BS709+BU709+BW709+BY709+CA709+CC709+CE709+CG709+CI709+CK709+CM709+CO709+CQ709+CS709+CU709+CW709+CY709+DA709+DC709+DE709+DG709+DI709+DU709+EY709+DK709+DM709+DO709+DQ709+DS709+EK709+EC709+EA709+DY709+DW709+EI709+EG709+EE709+EM709+EO709+EQ709+EW709+EU709+ES709+FA709+FC709+FE709+GM709+FG709+FK709+FM709+FO709+FQ709+FS709+FU709+GK709+FI709+GI709+GG709+GE709+GC709+GA709+FY709+FW709+GO709</f>
        <v>-75000</v>
      </c>
      <c r="GR709" s="74">
        <f>C709+GP709+GQ709</f>
        <v>0</v>
      </c>
      <c r="GS709" s="74">
        <f>SUM(GU709:HD709)+GP709+GQ709</f>
        <v>0</v>
      </c>
      <c r="GT709" s="568">
        <f>SUM(GU709:HF709)+GQ709+GP709</f>
        <v>0</v>
      </c>
      <c r="GU709" s="275">
        <v>15000</v>
      </c>
      <c r="GV709" s="275"/>
      <c r="GW709" s="588"/>
      <c r="GX709" s="588">
        <v>22500</v>
      </c>
      <c r="GY709" s="275">
        <v>37500</v>
      </c>
      <c r="GZ709" s="275"/>
      <c r="HA709" s="493">
        <f>22500-22500</f>
        <v>0</v>
      </c>
      <c r="HB709" s="493"/>
      <c r="HC709" s="493"/>
      <c r="HD709" s="493">
        <f>15000-15000</f>
        <v>0</v>
      </c>
      <c r="HE709" s="493">
        <v>0</v>
      </c>
      <c r="HF709" s="275">
        <v>0</v>
      </c>
      <c r="HG709" s="74">
        <f>SUM(HH709:IE709)+GP709+GQ709</f>
        <v>0</v>
      </c>
      <c r="HH709" s="89">
        <v>0</v>
      </c>
      <c r="HI709" s="817">
        <v>0</v>
      </c>
      <c r="HJ709" s="89">
        <v>0</v>
      </c>
      <c r="HK709" s="817">
        <v>0</v>
      </c>
      <c r="HL709" s="89">
        <v>0</v>
      </c>
      <c r="HM709" s="817">
        <v>0</v>
      </c>
      <c r="HN709" s="89">
        <v>0</v>
      </c>
      <c r="HO709" s="817">
        <v>37500</v>
      </c>
      <c r="HP709" s="89">
        <v>0</v>
      </c>
      <c r="HQ709" s="817">
        <v>0</v>
      </c>
      <c r="HR709" s="89">
        <v>0</v>
      </c>
      <c r="HS709" s="817">
        <v>37500</v>
      </c>
      <c r="HT709" s="89">
        <v>0</v>
      </c>
      <c r="HU709" s="817">
        <v>0</v>
      </c>
      <c r="HV709" s="89">
        <v>0</v>
      </c>
      <c r="HW709" s="817">
        <v>0</v>
      </c>
      <c r="HX709" s="89">
        <v>0</v>
      </c>
      <c r="HY709" s="817">
        <v>0</v>
      </c>
      <c r="HZ709" s="89">
        <v>0</v>
      </c>
      <c r="IA709" s="817">
        <v>0</v>
      </c>
      <c r="IB709" s="89">
        <v>0</v>
      </c>
      <c r="IC709" s="817">
        <v>0</v>
      </c>
      <c r="ID709" s="89">
        <v>0</v>
      </c>
      <c r="IE709" s="817">
        <v>0</v>
      </c>
      <c r="IF709" s="841">
        <f t="shared" ref="IF709" si="15813">SUM(II709,IL709,IO709,IR709,IU709,IX709,JA709,JD709,JG709,JJ709,JM709,JP709)</f>
        <v>0</v>
      </c>
      <c r="IG709" s="263">
        <f t="shared" ref="IG709" si="15814">SUM(IJ709,IM709,IP709,IS709,IV709,IY709,JB709,JE709,JH709,JK709,JN709,JQ709)</f>
        <v>0</v>
      </c>
      <c r="IH709" s="842">
        <f t="shared" ref="IH709" si="15815">SUM(IK709,IN709,IQ709,IT709,IW709,IZ709,JC709,JF709,JI709,JL709,JO709,JR709)</f>
        <v>0</v>
      </c>
      <c r="II709" s="89">
        <v>0</v>
      </c>
      <c r="IJ709" s="89">
        <f t="shared" ref="IJ709" si="15816">II709</f>
        <v>0</v>
      </c>
      <c r="IK709" s="89">
        <f t="shared" ref="IK709" si="15817">IJ709</f>
        <v>0</v>
      </c>
      <c r="IL709" s="89">
        <v>0</v>
      </c>
      <c r="IM709" s="89">
        <f t="shared" ref="IM709" si="15818">IL709</f>
        <v>0</v>
      </c>
      <c r="IN709" s="89">
        <f t="shared" ref="IN709" si="15819">IM709</f>
        <v>0</v>
      </c>
      <c r="IO709" s="89">
        <v>0</v>
      </c>
      <c r="IP709" s="89">
        <f t="shared" ref="IP709" si="15820">IO709</f>
        <v>0</v>
      </c>
      <c r="IQ709" s="89">
        <f t="shared" ref="IQ709" si="15821">IP709</f>
        <v>0</v>
      </c>
      <c r="IR709" s="89">
        <v>0</v>
      </c>
      <c r="IS709" s="89">
        <f t="shared" ref="IS709" si="15822">IR709</f>
        <v>0</v>
      </c>
      <c r="IT709" s="89">
        <f t="shared" ref="IT709" si="15823">IS709</f>
        <v>0</v>
      </c>
      <c r="IU709" s="89">
        <v>0</v>
      </c>
      <c r="IV709" s="89">
        <f t="shared" ref="IV709" si="15824">IU709</f>
        <v>0</v>
      </c>
      <c r="IW709" s="89">
        <f t="shared" ref="IW709" si="15825">IV709</f>
        <v>0</v>
      </c>
      <c r="IX709" s="89">
        <v>0</v>
      </c>
      <c r="IY709" s="89">
        <f t="shared" ref="IY709" si="15826">IX709</f>
        <v>0</v>
      </c>
      <c r="IZ709" s="89">
        <f t="shared" ref="IZ709" si="15827">IY709</f>
        <v>0</v>
      </c>
      <c r="JA709" s="89">
        <v>0</v>
      </c>
      <c r="JB709" s="89">
        <f t="shared" ref="JB709" si="15828">JA709</f>
        <v>0</v>
      </c>
      <c r="JC709" s="89">
        <f t="shared" ref="JC709" si="15829">JB709</f>
        <v>0</v>
      </c>
      <c r="JD709" s="89">
        <v>0</v>
      </c>
      <c r="JE709" s="89">
        <f t="shared" ref="JE709" si="15830">JD709</f>
        <v>0</v>
      </c>
      <c r="JF709" s="89">
        <f t="shared" ref="JF709" si="15831">JE709</f>
        <v>0</v>
      </c>
      <c r="JG709" s="89">
        <v>0</v>
      </c>
      <c r="JH709" s="89">
        <f t="shared" ref="JH709" si="15832">JG709</f>
        <v>0</v>
      </c>
      <c r="JI709" s="89">
        <f t="shared" ref="JI709" si="15833">JH709</f>
        <v>0</v>
      </c>
      <c r="JJ709" s="89">
        <v>0</v>
      </c>
      <c r="JK709" s="89">
        <f t="shared" ref="JK709" si="15834">JJ709</f>
        <v>0</v>
      </c>
      <c r="JL709" s="89">
        <f t="shared" ref="JL709" si="15835">JK709</f>
        <v>0</v>
      </c>
      <c r="JM709" s="89">
        <v>0</v>
      </c>
      <c r="JN709" s="89">
        <f t="shared" ref="JN709" si="15836">JM709</f>
        <v>0</v>
      </c>
      <c r="JO709" s="89">
        <f t="shared" ref="JO709" si="15837">JN709</f>
        <v>0</v>
      </c>
      <c r="JP709" s="89">
        <v>0</v>
      </c>
      <c r="JQ709" s="89">
        <f t="shared" ref="JQ709" si="15838">JP709</f>
        <v>0</v>
      </c>
      <c r="JR709" s="89">
        <f t="shared" ref="JR709" si="15839">JQ709</f>
        <v>0</v>
      </c>
      <c r="JS709" s="74">
        <f>HG709-IF709</f>
        <v>0</v>
      </c>
      <c r="JT709" s="382">
        <f>GS709-IF709</f>
        <v>0</v>
      </c>
      <c r="JU709" s="665"/>
      <c r="JV709" s="524"/>
      <c r="JW709" s="525"/>
      <c r="JX709" s="549">
        <f>SUM(HH709,HJ709,HL709,HN709,HP709,HR709,HT709,HV709,HX709,HZ709,IB709,ID709)</f>
        <v>0</v>
      </c>
      <c r="JY709" s="549">
        <f t="shared" ref="JY709" si="15840">SUM(HI709,HK709,HM709,HO709,HQ709,HS709,HU709,HW709,HY709,IA709,IC709,IE709)</f>
        <v>75000</v>
      </c>
      <c r="JZ709" s="581">
        <f t="shared" ref="JZ709" si="15841">GP709</f>
        <v>0</v>
      </c>
      <c r="KA709" s="581">
        <f t="shared" ref="KA709" si="15842">GQ709</f>
        <v>-75000</v>
      </c>
      <c r="KB709" s="566">
        <f t="shared" ref="KB709" si="15843">SUM(JX709:KA709)</f>
        <v>0</v>
      </c>
      <c r="KC709" s="709">
        <f t="shared" si="15812"/>
        <v>0</v>
      </c>
      <c r="KD709" s="491"/>
      <c r="KE709" s="491"/>
      <c r="KF709" s="491"/>
      <c r="KG709" s="491"/>
      <c r="KH709" s="36"/>
      <c r="KI709" s="36"/>
      <c r="KJ709" s="36"/>
      <c r="KK709" s="36"/>
    </row>
    <row r="710" spans="1:297" s="10" customFormat="1">
      <c r="A710" s="612"/>
      <c r="B710" s="512"/>
      <c r="C710" s="513"/>
      <c r="D710" s="553"/>
      <c r="E710" s="687"/>
      <c r="F710" s="553"/>
      <c r="G710" s="687"/>
      <c r="H710" s="553"/>
      <c r="I710" s="687"/>
      <c r="J710" s="553"/>
      <c r="K710" s="687"/>
      <c r="L710" s="553"/>
      <c r="M710" s="687"/>
      <c r="N710" s="553"/>
      <c r="O710" s="687"/>
      <c r="P710" s="553"/>
      <c r="Q710" s="687"/>
      <c r="R710" s="553"/>
      <c r="S710" s="687"/>
      <c r="T710" s="553"/>
      <c r="U710" s="687"/>
      <c r="V710" s="553"/>
      <c r="W710" s="687"/>
      <c r="X710" s="553"/>
      <c r="Y710" s="687"/>
      <c r="Z710" s="553"/>
      <c r="AA710" s="687"/>
      <c r="AB710" s="553"/>
      <c r="AC710" s="687"/>
      <c r="AD710" s="553"/>
      <c r="AE710" s="687"/>
      <c r="AF710" s="553"/>
      <c r="AG710" s="687"/>
      <c r="AH710" s="553"/>
      <c r="AI710" s="687"/>
      <c r="AJ710" s="553"/>
      <c r="AK710" s="687"/>
      <c r="AL710" s="553"/>
      <c r="AM710" s="687"/>
      <c r="AN710" s="553"/>
      <c r="AO710" s="687"/>
      <c r="AP710" s="553"/>
      <c r="AQ710" s="687"/>
      <c r="AR710" s="553"/>
      <c r="AS710" s="687"/>
      <c r="AT710" s="553"/>
      <c r="AU710" s="687"/>
      <c r="AV710" s="553"/>
      <c r="AW710" s="687"/>
      <c r="AX710" s="553"/>
      <c r="AY710" s="687"/>
      <c r="AZ710" s="553"/>
      <c r="BA710" s="687"/>
      <c r="BB710" s="553"/>
      <c r="BC710" s="687"/>
      <c r="BD710" s="553"/>
      <c r="BE710" s="687"/>
      <c r="BF710" s="553"/>
      <c r="BG710" s="687"/>
      <c r="BH710" s="553"/>
      <c r="BI710" s="687"/>
      <c r="BJ710" s="553"/>
      <c r="BK710" s="687"/>
      <c r="BL710" s="553"/>
      <c r="BM710" s="687"/>
      <c r="BN710" s="553"/>
      <c r="BO710" s="687"/>
      <c r="BP710" s="553"/>
      <c r="BQ710" s="687"/>
      <c r="BR710" s="553"/>
      <c r="BS710" s="687"/>
      <c r="BT710" s="553"/>
      <c r="BU710" s="687"/>
      <c r="BV710" s="553"/>
      <c r="BW710" s="687"/>
      <c r="BX710" s="553"/>
      <c r="BY710" s="687"/>
      <c r="BZ710" s="553"/>
      <c r="CA710" s="687"/>
      <c r="CB710" s="553"/>
      <c r="CC710" s="687"/>
      <c r="CD710" s="553"/>
      <c r="CE710" s="687"/>
      <c r="CF710" s="553"/>
      <c r="CG710" s="687"/>
      <c r="CH710" s="553"/>
      <c r="CI710" s="687"/>
      <c r="CJ710" s="553"/>
      <c r="CK710" s="687"/>
      <c r="CL710" s="553"/>
      <c r="CM710" s="687"/>
      <c r="CN710" s="553"/>
      <c r="CO710" s="687"/>
      <c r="CP710" s="553"/>
      <c r="CQ710" s="687"/>
      <c r="CR710" s="553"/>
      <c r="CS710" s="687"/>
      <c r="CT710" s="553"/>
      <c r="CU710" s="687"/>
      <c r="CV710" s="553"/>
      <c r="CW710" s="687"/>
      <c r="CX710" s="553"/>
      <c r="CY710" s="687"/>
      <c r="CZ710" s="553"/>
      <c r="DA710" s="687"/>
      <c r="DB710" s="553"/>
      <c r="DC710" s="687"/>
      <c r="DD710" s="553"/>
      <c r="DE710" s="687"/>
      <c r="DF710" s="553"/>
      <c r="DG710" s="687"/>
      <c r="DH710" s="553"/>
      <c r="DI710" s="687"/>
      <c r="DJ710" s="553"/>
      <c r="DK710" s="687"/>
      <c r="DL710" s="553"/>
      <c r="DM710" s="687"/>
      <c r="DN710" s="553"/>
      <c r="DO710" s="687"/>
      <c r="DP710" s="553"/>
      <c r="DQ710" s="687"/>
      <c r="DR710" s="553"/>
      <c r="DS710" s="687"/>
      <c r="DT710" s="553"/>
      <c r="DU710" s="687"/>
      <c r="DV710" s="553"/>
      <c r="DW710" s="687"/>
      <c r="DX710" s="553"/>
      <c r="DY710" s="687"/>
      <c r="DZ710" s="553"/>
      <c r="EA710" s="687"/>
      <c r="EB710" s="553"/>
      <c r="EC710" s="687"/>
      <c r="ED710" s="553"/>
      <c r="EE710" s="687"/>
      <c r="EF710" s="553"/>
      <c r="EG710" s="687"/>
      <c r="EH710" s="553"/>
      <c r="EI710" s="687"/>
      <c r="EJ710" s="553"/>
      <c r="EK710" s="687"/>
      <c r="EL710" s="553"/>
      <c r="EM710" s="687"/>
      <c r="EN710" s="553"/>
      <c r="EO710" s="687"/>
      <c r="EP710" s="553"/>
      <c r="EQ710" s="687"/>
      <c r="ER710" s="553"/>
      <c r="ES710" s="687"/>
      <c r="ET710" s="553"/>
      <c r="EU710" s="687"/>
      <c r="EV710" s="553"/>
      <c r="EW710" s="687"/>
      <c r="EX710" s="553"/>
      <c r="EY710" s="687"/>
      <c r="EZ710" s="553"/>
      <c r="FA710" s="687"/>
      <c r="FB710" s="553"/>
      <c r="FC710" s="687"/>
      <c r="FD710" s="553"/>
      <c r="FE710" s="687"/>
      <c r="FF710" s="553"/>
      <c r="FG710" s="687"/>
      <c r="FH710" s="553"/>
      <c r="FI710" s="687"/>
      <c r="FJ710" s="553"/>
      <c r="FK710" s="687"/>
      <c r="FL710" s="553"/>
      <c r="FM710" s="687"/>
      <c r="FN710" s="553"/>
      <c r="FO710" s="687"/>
      <c r="FP710" s="553"/>
      <c r="FQ710" s="687"/>
      <c r="FR710" s="553"/>
      <c r="FS710" s="687"/>
      <c r="FT710" s="553"/>
      <c r="FU710" s="687"/>
      <c r="FV710" s="553"/>
      <c r="FW710" s="687"/>
      <c r="FX710" s="553"/>
      <c r="FY710" s="687"/>
      <c r="FZ710" s="553"/>
      <c r="GA710" s="687"/>
      <c r="GB710" s="553"/>
      <c r="GC710" s="687"/>
      <c r="GD710" s="553"/>
      <c r="GE710" s="687"/>
      <c r="GF710" s="553"/>
      <c r="GG710" s="687"/>
      <c r="GH710" s="553"/>
      <c r="GI710" s="687"/>
      <c r="GJ710" s="553"/>
      <c r="GK710" s="687"/>
      <c r="GL710" s="553"/>
      <c r="GM710" s="687"/>
      <c r="GN710" s="553"/>
      <c r="GO710" s="687"/>
      <c r="GP710" s="553"/>
      <c r="GQ710" s="687"/>
      <c r="GR710" s="487"/>
      <c r="GS710" s="487"/>
      <c r="GT710" s="567"/>
      <c r="GU710" s="493"/>
      <c r="GV710" s="493"/>
      <c r="GW710" s="589"/>
      <c r="GX710" s="589"/>
      <c r="GY710" s="493"/>
      <c r="GZ710" s="493"/>
      <c r="HA710" s="493"/>
      <c r="HB710" s="493"/>
      <c r="HC710" s="493"/>
      <c r="HD710" s="493"/>
      <c r="HE710" s="493"/>
      <c r="HF710" s="493"/>
      <c r="HG710" s="487"/>
      <c r="HH710" s="488"/>
      <c r="HI710" s="829"/>
      <c r="HJ710" s="488"/>
      <c r="HK710" s="829"/>
      <c r="HL710" s="488"/>
      <c r="HM710" s="829"/>
      <c r="HN710" s="488"/>
      <c r="HO710" s="829"/>
      <c r="HP710" s="488"/>
      <c r="HQ710" s="829"/>
      <c r="HR710" s="488"/>
      <c r="HS710" s="829"/>
      <c r="HT710" s="488"/>
      <c r="HU710" s="829"/>
      <c r="HV710" s="488"/>
      <c r="HW710" s="829"/>
      <c r="HX710" s="488"/>
      <c r="HY710" s="829"/>
      <c r="HZ710" s="488"/>
      <c r="IA710" s="829"/>
      <c r="IB710" s="488"/>
      <c r="IC710" s="829"/>
      <c r="ID710" s="488"/>
      <c r="IE710" s="829"/>
      <c r="IF710" s="871"/>
      <c r="IG710" s="486"/>
      <c r="IH710" s="872"/>
      <c r="II710" s="488"/>
      <c r="IJ710" s="488"/>
      <c r="IK710" s="488"/>
      <c r="IL710" s="488"/>
      <c r="IM710" s="488"/>
      <c r="IN710" s="488"/>
      <c r="IO710" s="488"/>
      <c r="IP710" s="488"/>
      <c r="IQ710" s="488"/>
      <c r="IR710" s="488"/>
      <c r="IS710" s="488"/>
      <c r="IT710" s="488"/>
      <c r="IU710" s="488"/>
      <c r="IV710" s="488"/>
      <c r="IW710" s="488"/>
      <c r="IX710" s="488"/>
      <c r="IY710" s="488"/>
      <c r="IZ710" s="488"/>
      <c r="JA710" s="488"/>
      <c r="JB710" s="488"/>
      <c r="JC710" s="488"/>
      <c r="JD710" s="488"/>
      <c r="JE710" s="488"/>
      <c r="JF710" s="488"/>
      <c r="JG710" s="488"/>
      <c r="JH710" s="488"/>
      <c r="JI710" s="488"/>
      <c r="JJ710" s="488"/>
      <c r="JK710" s="488"/>
      <c r="JL710" s="488"/>
      <c r="JM710" s="488"/>
      <c r="JN710" s="488"/>
      <c r="JO710" s="488"/>
      <c r="JP710" s="488"/>
      <c r="JQ710" s="488"/>
      <c r="JR710" s="488"/>
      <c r="JS710" s="487"/>
      <c r="JT710" s="662"/>
      <c r="JU710" s="665"/>
      <c r="JV710" s="524"/>
      <c r="JW710" s="525"/>
      <c r="JX710" s="553"/>
      <c r="JY710" s="549">
        <f t="shared" si="15767"/>
        <v>0</v>
      </c>
      <c r="JZ710" s="581">
        <f t="shared" si="14740"/>
        <v>0</v>
      </c>
      <c r="KA710" s="581">
        <f t="shared" si="14741"/>
        <v>0</v>
      </c>
      <c r="KB710" s="566">
        <f t="shared" si="15406"/>
        <v>0</v>
      </c>
      <c r="KC710" s="709">
        <f t="shared" si="14739"/>
        <v>0</v>
      </c>
      <c r="KD710" s="491"/>
      <c r="KE710" s="491"/>
      <c r="KF710" s="491"/>
      <c r="KG710" s="491"/>
      <c r="KH710" s="36"/>
      <c r="KI710" s="36"/>
      <c r="KJ710" s="36"/>
      <c r="KK710" s="36"/>
    </row>
    <row r="711" spans="1:297" s="10" customFormat="1">
      <c r="A711" s="613" t="s">
        <v>1168</v>
      </c>
      <c r="B711" s="514" t="s">
        <v>1190</v>
      </c>
      <c r="C711" s="513">
        <f t="shared" ref="C711" si="15844">SUM(C712:C716)</f>
        <v>61800</v>
      </c>
      <c r="D711" s="567">
        <f t="shared" ref="D711:E711" si="15845">SUM(D712:D716)</f>
        <v>0</v>
      </c>
      <c r="E711" s="686">
        <f t="shared" si="15845"/>
        <v>0</v>
      </c>
      <c r="F711" s="567">
        <f t="shared" ref="F711:G711" si="15846">SUM(F712:F716)</f>
        <v>0</v>
      </c>
      <c r="G711" s="686">
        <f t="shared" si="15846"/>
        <v>0</v>
      </c>
      <c r="H711" s="567">
        <f t="shared" ref="H711:I711" si="15847">SUM(H712:H716)</f>
        <v>0</v>
      </c>
      <c r="I711" s="686">
        <f t="shared" si="15847"/>
        <v>0</v>
      </c>
      <c r="J711" s="567">
        <f t="shared" ref="J711:K711" si="15848">SUM(J712:J716)</f>
        <v>0</v>
      </c>
      <c r="K711" s="686">
        <f t="shared" si="15848"/>
        <v>0</v>
      </c>
      <c r="L711" s="567">
        <f t="shared" ref="L711:M711" si="15849">SUM(L712:L716)</f>
        <v>0</v>
      </c>
      <c r="M711" s="686">
        <f t="shared" si="15849"/>
        <v>0</v>
      </c>
      <c r="N711" s="567">
        <f t="shared" ref="N711:O711" si="15850">SUM(N712:N716)</f>
        <v>0</v>
      </c>
      <c r="O711" s="686">
        <f t="shared" si="15850"/>
        <v>0</v>
      </c>
      <c r="P711" s="567">
        <f t="shared" ref="P711:Q711" si="15851">SUM(P712:P716)</f>
        <v>0</v>
      </c>
      <c r="Q711" s="686">
        <f t="shared" si="15851"/>
        <v>0</v>
      </c>
      <c r="R711" s="567">
        <f t="shared" ref="R711:S711" si="15852">SUM(R712:R716)</f>
        <v>0</v>
      </c>
      <c r="S711" s="686">
        <f t="shared" si="15852"/>
        <v>0</v>
      </c>
      <c r="T711" s="567">
        <f t="shared" ref="T711:U711" si="15853">SUM(T712:T716)</f>
        <v>201300</v>
      </c>
      <c r="U711" s="686">
        <f t="shared" si="15853"/>
        <v>0</v>
      </c>
      <c r="V711" s="567">
        <f t="shared" ref="V711:W711" si="15854">SUM(V712:V716)</f>
        <v>0</v>
      </c>
      <c r="W711" s="686">
        <f t="shared" si="15854"/>
        <v>0</v>
      </c>
      <c r="X711" s="567">
        <f t="shared" ref="X711:Y711" si="15855">SUM(X712:X716)</f>
        <v>0</v>
      </c>
      <c r="Y711" s="686">
        <f t="shared" si="15855"/>
        <v>0</v>
      </c>
      <c r="Z711" s="567">
        <f t="shared" ref="Z711:AA711" si="15856">SUM(Z712:Z716)</f>
        <v>0</v>
      </c>
      <c r="AA711" s="686">
        <f t="shared" si="15856"/>
        <v>0</v>
      </c>
      <c r="AB711" s="567">
        <f t="shared" ref="AB711:AC711" si="15857">SUM(AB712:AB716)</f>
        <v>0</v>
      </c>
      <c r="AC711" s="686">
        <f t="shared" si="15857"/>
        <v>0</v>
      </c>
      <c r="AD711" s="567">
        <f t="shared" ref="AD711:AE711" si="15858">SUM(AD712:AD716)</f>
        <v>0</v>
      </c>
      <c r="AE711" s="686">
        <f t="shared" si="15858"/>
        <v>0</v>
      </c>
      <c r="AF711" s="567">
        <f t="shared" ref="AF711:AG711" si="15859">SUM(AF712:AF716)</f>
        <v>0</v>
      </c>
      <c r="AG711" s="686">
        <f t="shared" si="15859"/>
        <v>0</v>
      </c>
      <c r="AH711" s="567">
        <f t="shared" ref="AH711:AI711" si="15860">SUM(AH712:AH716)</f>
        <v>0</v>
      </c>
      <c r="AI711" s="686">
        <f t="shared" si="15860"/>
        <v>0</v>
      </c>
      <c r="AJ711" s="567">
        <f t="shared" ref="AJ711:AK711" si="15861">SUM(AJ712:AJ716)</f>
        <v>0</v>
      </c>
      <c r="AK711" s="686">
        <f t="shared" si="15861"/>
        <v>0</v>
      </c>
      <c r="AL711" s="567">
        <f t="shared" ref="AL711:AM711" si="15862">SUM(AL712:AL716)</f>
        <v>0</v>
      </c>
      <c r="AM711" s="686">
        <f t="shared" si="15862"/>
        <v>0</v>
      </c>
      <c r="AN711" s="567">
        <f t="shared" ref="AN711:AO711" si="15863">SUM(AN712:AN716)</f>
        <v>0</v>
      </c>
      <c r="AO711" s="686">
        <f t="shared" si="15863"/>
        <v>0</v>
      </c>
      <c r="AP711" s="567">
        <f t="shared" ref="AP711:AQ711" si="15864">SUM(AP712:AP716)</f>
        <v>0</v>
      </c>
      <c r="AQ711" s="686">
        <f t="shared" si="15864"/>
        <v>0</v>
      </c>
      <c r="AR711" s="567">
        <f t="shared" ref="AR711:AS711" si="15865">SUM(AR712:AR716)</f>
        <v>0</v>
      </c>
      <c r="AS711" s="686">
        <f t="shared" si="15865"/>
        <v>0</v>
      </c>
      <c r="AT711" s="567">
        <f t="shared" ref="AT711:AU711" si="15866">SUM(AT712:AT716)</f>
        <v>0</v>
      </c>
      <c r="AU711" s="686">
        <f t="shared" si="15866"/>
        <v>0</v>
      </c>
      <c r="AV711" s="567">
        <f t="shared" ref="AV711:AW711" si="15867">SUM(AV712:AV716)</f>
        <v>0</v>
      </c>
      <c r="AW711" s="686">
        <f t="shared" si="15867"/>
        <v>0</v>
      </c>
      <c r="AX711" s="567">
        <f t="shared" ref="AX711:AY711" si="15868">SUM(AX712:AX716)</f>
        <v>0</v>
      </c>
      <c r="AY711" s="686">
        <f t="shared" si="15868"/>
        <v>0</v>
      </c>
      <c r="AZ711" s="567">
        <f t="shared" ref="AZ711:BO711" si="15869">SUM(AZ712:AZ716)</f>
        <v>0</v>
      </c>
      <c r="BA711" s="686">
        <f t="shared" si="15869"/>
        <v>0</v>
      </c>
      <c r="BB711" s="567">
        <f t="shared" si="15869"/>
        <v>0</v>
      </c>
      <c r="BC711" s="686">
        <f t="shared" si="15869"/>
        <v>0</v>
      </c>
      <c r="BD711" s="567">
        <f t="shared" si="15869"/>
        <v>0</v>
      </c>
      <c r="BE711" s="686">
        <f t="shared" si="15869"/>
        <v>0</v>
      </c>
      <c r="BF711" s="567">
        <f t="shared" si="15869"/>
        <v>0</v>
      </c>
      <c r="BG711" s="686">
        <f t="shared" si="15869"/>
        <v>0</v>
      </c>
      <c r="BH711" s="567">
        <f t="shared" si="15869"/>
        <v>0</v>
      </c>
      <c r="BI711" s="686">
        <f t="shared" si="15869"/>
        <v>0</v>
      </c>
      <c r="BJ711" s="567">
        <f t="shared" si="15869"/>
        <v>0</v>
      </c>
      <c r="BK711" s="686">
        <f t="shared" si="15869"/>
        <v>0</v>
      </c>
      <c r="BL711" s="567">
        <f t="shared" si="15869"/>
        <v>0</v>
      </c>
      <c r="BM711" s="686">
        <f t="shared" si="15869"/>
        <v>0</v>
      </c>
      <c r="BN711" s="567">
        <f t="shared" si="15869"/>
        <v>0</v>
      </c>
      <c r="BO711" s="686">
        <f t="shared" si="15869"/>
        <v>0</v>
      </c>
      <c r="BP711" s="567">
        <f t="shared" ref="BP711:BQ711" si="15870">SUM(BP712:BP716)</f>
        <v>0</v>
      </c>
      <c r="BQ711" s="686">
        <f t="shared" si="15870"/>
        <v>0</v>
      </c>
      <c r="BR711" s="567">
        <f t="shared" ref="BR711:BS711" si="15871">SUM(BR712:BR716)</f>
        <v>0</v>
      </c>
      <c r="BS711" s="686">
        <f t="shared" si="15871"/>
        <v>0</v>
      </c>
      <c r="BT711" s="567">
        <f t="shared" ref="BT711:BU711" si="15872">SUM(BT712:BT716)</f>
        <v>0</v>
      </c>
      <c r="BU711" s="686">
        <f t="shared" si="15872"/>
        <v>0</v>
      </c>
      <c r="BV711" s="567">
        <f t="shared" ref="BV711:BW711" si="15873">SUM(BV712:BV716)</f>
        <v>0</v>
      </c>
      <c r="BW711" s="686">
        <f t="shared" si="15873"/>
        <v>0</v>
      </c>
      <c r="BX711" s="567">
        <f t="shared" ref="BX711:BY711" si="15874">SUM(BX712:BX716)</f>
        <v>0</v>
      </c>
      <c r="BY711" s="686">
        <f t="shared" si="15874"/>
        <v>0</v>
      </c>
      <c r="BZ711" s="567">
        <f t="shared" ref="BZ711:CA711" si="15875">SUM(BZ712:BZ716)</f>
        <v>0</v>
      </c>
      <c r="CA711" s="686">
        <f t="shared" si="15875"/>
        <v>0</v>
      </c>
      <c r="CB711" s="567">
        <f t="shared" ref="CB711:CU711" si="15876">SUM(CB712:CB716)</f>
        <v>0</v>
      </c>
      <c r="CC711" s="686">
        <f t="shared" si="15876"/>
        <v>0</v>
      </c>
      <c r="CD711" s="567">
        <f t="shared" si="15876"/>
        <v>0</v>
      </c>
      <c r="CE711" s="686">
        <f t="shared" si="15876"/>
        <v>0</v>
      </c>
      <c r="CF711" s="567">
        <f t="shared" si="15876"/>
        <v>0</v>
      </c>
      <c r="CG711" s="686">
        <f t="shared" si="15876"/>
        <v>0</v>
      </c>
      <c r="CH711" s="567">
        <f t="shared" si="15876"/>
        <v>0</v>
      </c>
      <c r="CI711" s="686">
        <f t="shared" si="15876"/>
        <v>0</v>
      </c>
      <c r="CJ711" s="567">
        <f t="shared" si="15876"/>
        <v>0</v>
      </c>
      <c r="CK711" s="686">
        <f t="shared" si="15876"/>
        <v>0</v>
      </c>
      <c r="CL711" s="567">
        <f t="shared" si="15876"/>
        <v>0</v>
      </c>
      <c r="CM711" s="686">
        <f t="shared" si="15876"/>
        <v>0</v>
      </c>
      <c r="CN711" s="567">
        <f t="shared" si="15876"/>
        <v>0</v>
      </c>
      <c r="CO711" s="686">
        <f t="shared" si="15876"/>
        <v>0</v>
      </c>
      <c r="CP711" s="567">
        <f t="shared" si="15876"/>
        <v>0</v>
      </c>
      <c r="CQ711" s="686">
        <f t="shared" si="15876"/>
        <v>0</v>
      </c>
      <c r="CR711" s="567">
        <f t="shared" si="15876"/>
        <v>65854</v>
      </c>
      <c r="CS711" s="686">
        <f t="shared" si="15876"/>
        <v>0</v>
      </c>
      <c r="CT711" s="567">
        <f t="shared" si="15876"/>
        <v>0</v>
      </c>
      <c r="CU711" s="686">
        <f t="shared" si="15876"/>
        <v>0</v>
      </c>
      <c r="CV711" s="567">
        <f t="shared" ref="CV711:EA711" si="15877">SUM(CV712:CV716)</f>
        <v>0</v>
      </c>
      <c r="CW711" s="686">
        <f t="shared" si="15877"/>
        <v>0</v>
      </c>
      <c r="CX711" s="567">
        <f t="shared" si="15877"/>
        <v>0</v>
      </c>
      <c r="CY711" s="686">
        <f t="shared" si="15877"/>
        <v>0</v>
      </c>
      <c r="CZ711" s="567">
        <f t="shared" si="15877"/>
        <v>0</v>
      </c>
      <c r="DA711" s="686">
        <f t="shared" si="15877"/>
        <v>0</v>
      </c>
      <c r="DB711" s="567">
        <f t="shared" si="15877"/>
        <v>0</v>
      </c>
      <c r="DC711" s="686">
        <f t="shared" si="15877"/>
        <v>0</v>
      </c>
      <c r="DD711" s="567">
        <f t="shared" si="15877"/>
        <v>0</v>
      </c>
      <c r="DE711" s="686">
        <f t="shared" si="15877"/>
        <v>0</v>
      </c>
      <c r="DF711" s="567">
        <f t="shared" si="15877"/>
        <v>0</v>
      </c>
      <c r="DG711" s="686">
        <f t="shared" si="15877"/>
        <v>0</v>
      </c>
      <c r="DH711" s="567">
        <f t="shared" si="15877"/>
        <v>0</v>
      </c>
      <c r="DI711" s="686">
        <f t="shared" si="15877"/>
        <v>0</v>
      </c>
      <c r="DJ711" s="567">
        <f t="shared" si="15877"/>
        <v>0</v>
      </c>
      <c r="DK711" s="686">
        <f t="shared" si="15877"/>
        <v>0</v>
      </c>
      <c r="DL711" s="567">
        <f t="shared" si="15877"/>
        <v>0</v>
      </c>
      <c r="DM711" s="686">
        <f t="shared" si="15877"/>
        <v>0</v>
      </c>
      <c r="DN711" s="567">
        <f t="shared" si="15877"/>
        <v>0</v>
      </c>
      <c r="DO711" s="686">
        <f t="shared" si="15877"/>
        <v>0</v>
      </c>
      <c r="DP711" s="567">
        <f t="shared" si="15877"/>
        <v>0</v>
      </c>
      <c r="DQ711" s="686">
        <f t="shared" si="15877"/>
        <v>0</v>
      </c>
      <c r="DR711" s="567">
        <f t="shared" si="15877"/>
        <v>0</v>
      </c>
      <c r="DS711" s="686">
        <f t="shared" si="15877"/>
        <v>0</v>
      </c>
      <c r="DT711" s="567">
        <f t="shared" si="15877"/>
        <v>0</v>
      </c>
      <c r="DU711" s="686">
        <f t="shared" si="15877"/>
        <v>0</v>
      </c>
      <c r="DV711" s="567">
        <f t="shared" si="15877"/>
        <v>0</v>
      </c>
      <c r="DW711" s="686">
        <f t="shared" si="15877"/>
        <v>0</v>
      </c>
      <c r="DX711" s="567">
        <f t="shared" si="15877"/>
        <v>0</v>
      </c>
      <c r="DY711" s="686">
        <f t="shared" si="15877"/>
        <v>-65000</v>
      </c>
      <c r="DZ711" s="567">
        <f t="shared" si="15877"/>
        <v>0</v>
      </c>
      <c r="EA711" s="686">
        <f t="shared" si="15877"/>
        <v>0</v>
      </c>
      <c r="EB711" s="567">
        <f t="shared" ref="EB711:FG711" si="15878">SUM(EB712:EB716)</f>
        <v>0</v>
      </c>
      <c r="EC711" s="686">
        <f t="shared" si="15878"/>
        <v>0</v>
      </c>
      <c r="ED711" s="567">
        <f t="shared" si="15878"/>
        <v>0</v>
      </c>
      <c r="EE711" s="686">
        <f t="shared" si="15878"/>
        <v>0</v>
      </c>
      <c r="EF711" s="567">
        <f t="shared" si="15878"/>
        <v>0</v>
      </c>
      <c r="EG711" s="686">
        <f t="shared" si="15878"/>
        <v>0</v>
      </c>
      <c r="EH711" s="567">
        <f t="shared" si="15878"/>
        <v>0</v>
      </c>
      <c r="EI711" s="686">
        <f t="shared" si="15878"/>
        <v>0</v>
      </c>
      <c r="EJ711" s="567">
        <f t="shared" si="15878"/>
        <v>0</v>
      </c>
      <c r="EK711" s="686">
        <f t="shared" si="15878"/>
        <v>0</v>
      </c>
      <c r="EL711" s="567">
        <f t="shared" si="15878"/>
        <v>0</v>
      </c>
      <c r="EM711" s="686">
        <f t="shared" si="15878"/>
        <v>0</v>
      </c>
      <c r="EN711" s="567">
        <f t="shared" si="15878"/>
        <v>0</v>
      </c>
      <c r="EO711" s="686">
        <f t="shared" si="15878"/>
        <v>0</v>
      </c>
      <c r="EP711" s="567">
        <f t="shared" si="15878"/>
        <v>0</v>
      </c>
      <c r="EQ711" s="686">
        <f t="shared" si="15878"/>
        <v>0</v>
      </c>
      <c r="ER711" s="567">
        <f t="shared" si="15878"/>
        <v>0</v>
      </c>
      <c r="ES711" s="686">
        <f t="shared" si="15878"/>
        <v>0</v>
      </c>
      <c r="ET711" s="567">
        <f t="shared" si="15878"/>
        <v>0</v>
      </c>
      <c r="EU711" s="686">
        <f t="shared" si="15878"/>
        <v>0</v>
      </c>
      <c r="EV711" s="567">
        <f t="shared" si="15878"/>
        <v>0</v>
      </c>
      <c r="EW711" s="686">
        <f t="shared" si="15878"/>
        <v>0</v>
      </c>
      <c r="EX711" s="567">
        <f t="shared" si="15878"/>
        <v>0</v>
      </c>
      <c r="EY711" s="686">
        <f t="shared" si="15878"/>
        <v>0</v>
      </c>
      <c r="EZ711" s="567">
        <f t="shared" si="15878"/>
        <v>0</v>
      </c>
      <c r="FA711" s="686">
        <f t="shared" si="15878"/>
        <v>0</v>
      </c>
      <c r="FB711" s="567">
        <f t="shared" si="15878"/>
        <v>0</v>
      </c>
      <c r="FC711" s="686">
        <f t="shared" si="15878"/>
        <v>0</v>
      </c>
      <c r="FD711" s="567">
        <f t="shared" si="15878"/>
        <v>0</v>
      </c>
      <c r="FE711" s="686">
        <f t="shared" si="15878"/>
        <v>0</v>
      </c>
      <c r="FF711" s="567">
        <f t="shared" si="15878"/>
        <v>0</v>
      </c>
      <c r="FG711" s="686">
        <f t="shared" si="15878"/>
        <v>0</v>
      </c>
      <c r="FH711" s="567">
        <f t="shared" ref="FH711:GR711" si="15879">SUM(FH712:FH716)</f>
        <v>0</v>
      </c>
      <c r="FI711" s="686">
        <f t="shared" si="15879"/>
        <v>0</v>
      </c>
      <c r="FJ711" s="567">
        <f t="shared" si="15879"/>
        <v>0</v>
      </c>
      <c r="FK711" s="686">
        <f t="shared" si="15879"/>
        <v>0</v>
      </c>
      <c r="FL711" s="567">
        <f t="shared" si="15879"/>
        <v>0</v>
      </c>
      <c r="FM711" s="686">
        <f t="shared" si="15879"/>
        <v>0</v>
      </c>
      <c r="FN711" s="567">
        <f t="shared" si="15879"/>
        <v>0</v>
      </c>
      <c r="FO711" s="686">
        <f t="shared" si="15879"/>
        <v>-905</v>
      </c>
      <c r="FP711" s="567">
        <f t="shared" si="15879"/>
        <v>0</v>
      </c>
      <c r="FQ711" s="686">
        <f t="shared" si="15879"/>
        <v>0</v>
      </c>
      <c r="FR711" s="567">
        <f t="shared" si="15879"/>
        <v>0</v>
      </c>
      <c r="FS711" s="686">
        <f t="shared" si="15879"/>
        <v>0</v>
      </c>
      <c r="FT711" s="567">
        <f t="shared" si="15879"/>
        <v>0</v>
      </c>
      <c r="FU711" s="686">
        <f t="shared" si="15879"/>
        <v>0</v>
      </c>
      <c r="FV711" s="567">
        <f t="shared" si="15879"/>
        <v>0</v>
      </c>
      <c r="FW711" s="686">
        <f t="shared" si="15879"/>
        <v>0</v>
      </c>
      <c r="FX711" s="567">
        <f t="shared" ref="FX711:GK711" si="15880">SUM(FX712:FX716)</f>
        <v>0</v>
      </c>
      <c r="FY711" s="686">
        <f t="shared" si="15880"/>
        <v>0</v>
      </c>
      <c r="FZ711" s="567">
        <f t="shared" ref="FZ711:GI711" si="15881">SUM(FZ712:FZ716)</f>
        <v>0</v>
      </c>
      <c r="GA711" s="686">
        <f t="shared" si="15881"/>
        <v>0</v>
      </c>
      <c r="GB711" s="567">
        <f t="shared" si="15881"/>
        <v>0</v>
      </c>
      <c r="GC711" s="686">
        <f t="shared" si="15881"/>
        <v>0</v>
      </c>
      <c r="GD711" s="567">
        <f t="shared" si="15881"/>
        <v>0</v>
      </c>
      <c r="GE711" s="686">
        <f t="shared" si="15881"/>
        <v>0</v>
      </c>
      <c r="GF711" s="567">
        <f t="shared" si="15881"/>
        <v>0</v>
      </c>
      <c r="GG711" s="686">
        <f t="shared" si="15881"/>
        <v>0</v>
      </c>
      <c r="GH711" s="567">
        <f t="shared" si="15881"/>
        <v>0</v>
      </c>
      <c r="GI711" s="686">
        <f t="shared" si="15881"/>
        <v>0</v>
      </c>
      <c r="GJ711" s="567">
        <f t="shared" si="15880"/>
        <v>0</v>
      </c>
      <c r="GK711" s="686">
        <f t="shared" si="15880"/>
        <v>0</v>
      </c>
      <c r="GL711" s="567">
        <f t="shared" si="15879"/>
        <v>0</v>
      </c>
      <c r="GM711" s="686">
        <f t="shared" si="15879"/>
        <v>0</v>
      </c>
      <c r="GN711" s="567">
        <f t="shared" ref="GN711:GO711" si="15882">SUM(GN712:GN716)</f>
        <v>0</v>
      </c>
      <c r="GO711" s="686">
        <f t="shared" si="15882"/>
        <v>0</v>
      </c>
      <c r="GP711" s="567">
        <f t="shared" si="15879"/>
        <v>267154</v>
      </c>
      <c r="GQ711" s="686">
        <f t="shared" si="15879"/>
        <v>-65905</v>
      </c>
      <c r="GR711" s="513">
        <f t="shared" si="15879"/>
        <v>263049</v>
      </c>
      <c r="GS711" s="513">
        <f t="shared" ref="GS711:JD711" si="15883">SUM(GS712:GS716)</f>
        <v>263049</v>
      </c>
      <c r="GT711" s="513">
        <f t="shared" si="15883"/>
        <v>263049</v>
      </c>
      <c r="GU711" s="513">
        <f t="shared" si="15883"/>
        <v>12360</v>
      </c>
      <c r="GV711" s="513">
        <f t="shared" si="15883"/>
        <v>49440</v>
      </c>
      <c r="GW711" s="513">
        <f t="shared" si="15883"/>
        <v>0</v>
      </c>
      <c r="GX711" s="513">
        <f t="shared" si="15883"/>
        <v>0</v>
      </c>
      <c r="GY711" s="513">
        <f t="shared" si="15883"/>
        <v>0</v>
      </c>
      <c r="GZ711" s="513">
        <f t="shared" si="15883"/>
        <v>0</v>
      </c>
      <c r="HA711" s="513">
        <f t="shared" si="15883"/>
        <v>0</v>
      </c>
      <c r="HB711" s="513">
        <f t="shared" si="15883"/>
        <v>0</v>
      </c>
      <c r="HC711" s="513">
        <f t="shared" si="15883"/>
        <v>0</v>
      </c>
      <c r="HD711" s="513">
        <f t="shared" si="15883"/>
        <v>0</v>
      </c>
      <c r="HE711" s="513">
        <f t="shared" si="15883"/>
        <v>0</v>
      </c>
      <c r="HF711" s="513">
        <f t="shared" si="15883"/>
        <v>0</v>
      </c>
      <c r="HG711" s="513">
        <f t="shared" si="15883"/>
        <v>263049</v>
      </c>
      <c r="HH711" s="513">
        <f t="shared" ref="HH711:HI711" si="15884">SUM(HH712:HH716)</f>
        <v>0</v>
      </c>
      <c r="HI711" s="573">
        <f t="shared" si="15884"/>
        <v>0</v>
      </c>
      <c r="HJ711" s="513">
        <f t="shared" ref="HJ711:HK711" si="15885">SUM(HJ712:HJ716)</f>
        <v>0</v>
      </c>
      <c r="HK711" s="573">
        <f t="shared" si="15885"/>
        <v>0</v>
      </c>
      <c r="HL711" s="513">
        <f t="shared" ref="HL711:HM711" si="15886">SUM(HL712:HL716)</f>
        <v>0</v>
      </c>
      <c r="HM711" s="573">
        <f t="shared" si="15886"/>
        <v>0</v>
      </c>
      <c r="HN711" s="513">
        <f t="shared" ref="HN711:HO711" si="15887">SUM(HN712:HN716)</f>
        <v>0</v>
      </c>
      <c r="HO711" s="573">
        <f t="shared" si="15887"/>
        <v>61800</v>
      </c>
      <c r="HP711" s="513">
        <f t="shared" ref="HP711:HQ711" si="15888">SUM(HP712:HP716)</f>
        <v>0</v>
      </c>
      <c r="HQ711" s="573">
        <f t="shared" si="15888"/>
        <v>0</v>
      </c>
      <c r="HR711" s="513">
        <f t="shared" ref="HR711:HS711" si="15889">SUM(HR712:HR716)</f>
        <v>0</v>
      </c>
      <c r="HS711" s="573">
        <f t="shared" si="15889"/>
        <v>0</v>
      </c>
      <c r="HT711" s="513">
        <f t="shared" ref="HT711:HU711" si="15890">SUM(HT712:HT716)</f>
        <v>0</v>
      </c>
      <c r="HU711" s="573">
        <f t="shared" si="15890"/>
        <v>0</v>
      </c>
      <c r="HV711" s="513">
        <f t="shared" ref="HV711:HW711" si="15891">SUM(HV712:HV716)</f>
        <v>0</v>
      </c>
      <c r="HW711" s="573">
        <f t="shared" si="15891"/>
        <v>0</v>
      </c>
      <c r="HX711" s="513">
        <f t="shared" ref="HX711:HY711" si="15892">SUM(HX712:HX716)</f>
        <v>0</v>
      </c>
      <c r="HY711" s="573">
        <f t="shared" si="15892"/>
        <v>0</v>
      </c>
      <c r="HZ711" s="513">
        <f t="shared" ref="HZ711:IA711" si="15893">SUM(HZ712:HZ716)</f>
        <v>0</v>
      </c>
      <c r="IA711" s="573">
        <f t="shared" si="15893"/>
        <v>0</v>
      </c>
      <c r="IB711" s="513">
        <f t="shared" ref="IB711:IC711" si="15894">SUM(IB712:IB716)</f>
        <v>0</v>
      </c>
      <c r="IC711" s="573">
        <f t="shared" si="15894"/>
        <v>0</v>
      </c>
      <c r="ID711" s="513">
        <f t="shared" si="15883"/>
        <v>0</v>
      </c>
      <c r="IE711" s="573">
        <f t="shared" si="15883"/>
        <v>0</v>
      </c>
      <c r="IF711" s="839">
        <f t="shared" si="15883"/>
        <v>105219.23</v>
      </c>
      <c r="IG711" s="513">
        <f t="shared" si="15883"/>
        <v>105219.23</v>
      </c>
      <c r="IH711" s="840">
        <f t="shared" si="15883"/>
        <v>105219.23</v>
      </c>
      <c r="II711" s="513">
        <f t="shared" si="15883"/>
        <v>0</v>
      </c>
      <c r="IJ711" s="513">
        <f t="shared" si="15883"/>
        <v>0</v>
      </c>
      <c r="IK711" s="513">
        <f t="shared" si="15883"/>
        <v>0</v>
      </c>
      <c r="IL711" s="513">
        <f t="shared" si="15883"/>
        <v>0</v>
      </c>
      <c r="IM711" s="513">
        <f t="shared" si="15883"/>
        <v>0</v>
      </c>
      <c r="IN711" s="513">
        <f t="shared" si="15883"/>
        <v>0</v>
      </c>
      <c r="IO711" s="513">
        <f t="shared" si="15883"/>
        <v>0</v>
      </c>
      <c r="IP711" s="513">
        <f t="shared" si="15883"/>
        <v>0</v>
      </c>
      <c r="IQ711" s="513">
        <f t="shared" si="15883"/>
        <v>0</v>
      </c>
      <c r="IR711" s="513">
        <f t="shared" si="15883"/>
        <v>105219.23</v>
      </c>
      <c r="IS711" s="513">
        <f t="shared" si="15883"/>
        <v>105219.23</v>
      </c>
      <c r="IT711" s="513">
        <f t="shared" si="15883"/>
        <v>105219.23</v>
      </c>
      <c r="IU711" s="513">
        <f t="shared" si="15883"/>
        <v>0</v>
      </c>
      <c r="IV711" s="513">
        <f t="shared" si="15883"/>
        <v>0</v>
      </c>
      <c r="IW711" s="513">
        <f t="shared" si="15883"/>
        <v>0</v>
      </c>
      <c r="IX711" s="513">
        <f t="shared" si="15883"/>
        <v>0</v>
      </c>
      <c r="IY711" s="513">
        <f t="shared" si="15883"/>
        <v>0</v>
      </c>
      <c r="IZ711" s="513">
        <f t="shared" si="15883"/>
        <v>0</v>
      </c>
      <c r="JA711" s="513">
        <f t="shared" si="15883"/>
        <v>0</v>
      </c>
      <c r="JB711" s="513">
        <f t="shared" si="15883"/>
        <v>0</v>
      </c>
      <c r="JC711" s="513">
        <f t="shared" si="15883"/>
        <v>0</v>
      </c>
      <c r="JD711" s="513">
        <f t="shared" si="15883"/>
        <v>0</v>
      </c>
      <c r="JE711" s="513">
        <f t="shared" ref="JE711:JF711" si="15895">SUM(JE712:JE716)</f>
        <v>0</v>
      </c>
      <c r="JF711" s="513">
        <f t="shared" si="15895"/>
        <v>0</v>
      </c>
      <c r="JG711" s="513">
        <f t="shared" ref="JG711:JI711" si="15896">SUM(JG712:JG716)</f>
        <v>0</v>
      </c>
      <c r="JH711" s="513">
        <f t="shared" si="15896"/>
        <v>0</v>
      </c>
      <c r="JI711" s="513">
        <f t="shared" si="15896"/>
        <v>0</v>
      </c>
      <c r="JJ711" s="513">
        <f t="shared" ref="JJ711:JL711" si="15897">SUM(JJ712:JJ716)</f>
        <v>0</v>
      </c>
      <c r="JK711" s="513">
        <f t="shared" si="15897"/>
        <v>0</v>
      </c>
      <c r="JL711" s="513">
        <f t="shared" si="15897"/>
        <v>0</v>
      </c>
      <c r="JM711" s="513">
        <f t="shared" ref="JM711:JO711" si="15898">SUM(JM712:JM716)</f>
        <v>0</v>
      </c>
      <c r="JN711" s="513">
        <f t="shared" si="15898"/>
        <v>0</v>
      </c>
      <c r="JO711" s="513">
        <f t="shared" si="15898"/>
        <v>0</v>
      </c>
      <c r="JP711" s="513">
        <f t="shared" ref="JP711:JT711" si="15899">SUM(JP712:JP716)</f>
        <v>0</v>
      </c>
      <c r="JQ711" s="513">
        <f t="shared" si="15899"/>
        <v>0</v>
      </c>
      <c r="JR711" s="513">
        <f t="shared" si="15899"/>
        <v>0</v>
      </c>
      <c r="JS711" s="513">
        <f t="shared" si="15899"/>
        <v>157829.77000000002</v>
      </c>
      <c r="JT711" s="513">
        <f t="shared" si="15899"/>
        <v>157829.77000000002</v>
      </c>
      <c r="JU711" s="665"/>
      <c r="JV711" s="524"/>
      <c r="JW711" s="525"/>
      <c r="JX711" s="567">
        <f>SUM(JX712:JX716)</f>
        <v>0</v>
      </c>
      <c r="JY711" s="567">
        <f t="shared" ref="JY711:KB711" si="15900">SUM(JY712:JY716)</f>
        <v>61800</v>
      </c>
      <c r="JZ711" s="567">
        <f t="shared" si="15900"/>
        <v>267154</v>
      </c>
      <c r="KA711" s="567">
        <f t="shared" si="15900"/>
        <v>-65905</v>
      </c>
      <c r="KB711" s="567">
        <f t="shared" si="15900"/>
        <v>263049</v>
      </c>
      <c r="KC711" s="709">
        <f t="shared" si="14739"/>
        <v>0</v>
      </c>
      <c r="KD711" s="491"/>
      <c r="KE711" s="491"/>
      <c r="KF711" s="491"/>
      <c r="KG711" s="491"/>
      <c r="KH711" s="36"/>
      <c r="KI711" s="36"/>
      <c r="KJ711" s="36"/>
      <c r="KK711" s="36"/>
    </row>
    <row r="712" spans="1:297" s="8" customFormat="1" hidden="1">
      <c r="A712" s="612" t="s">
        <v>1224</v>
      </c>
      <c r="B712" s="512" t="s">
        <v>346</v>
      </c>
      <c r="C712" s="74">
        <v>0</v>
      </c>
      <c r="D712" s="549">
        <v>0</v>
      </c>
      <c r="E712" s="675">
        <v>0</v>
      </c>
      <c r="F712" s="549">
        <v>0</v>
      </c>
      <c r="G712" s="675">
        <v>0</v>
      </c>
      <c r="H712" s="549">
        <v>0</v>
      </c>
      <c r="I712" s="675">
        <v>0</v>
      </c>
      <c r="J712" s="549">
        <v>0</v>
      </c>
      <c r="K712" s="675">
        <v>0</v>
      </c>
      <c r="L712" s="549">
        <v>0</v>
      </c>
      <c r="M712" s="675">
        <v>0</v>
      </c>
      <c r="N712" s="549">
        <v>0</v>
      </c>
      <c r="O712" s="675">
        <v>0</v>
      </c>
      <c r="P712" s="549">
        <v>0</v>
      </c>
      <c r="Q712" s="675">
        <v>0</v>
      </c>
      <c r="R712" s="549">
        <v>0</v>
      </c>
      <c r="S712" s="675">
        <v>0</v>
      </c>
      <c r="T712" s="549">
        <v>0</v>
      </c>
      <c r="U712" s="675">
        <v>0</v>
      </c>
      <c r="V712" s="549">
        <v>0</v>
      </c>
      <c r="W712" s="675">
        <v>0</v>
      </c>
      <c r="X712" s="549">
        <v>0</v>
      </c>
      <c r="Y712" s="675">
        <v>0</v>
      </c>
      <c r="Z712" s="549">
        <v>0</v>
      </c>
      <c r="AA712" s="675">
        <v>0</v>
      </c>
      <c r="AB712" s="549">
        <v>0</v>
      </c>
      <c r="AC712" s="675">
        <v>0</v>
      </c>
      <c r="AD712" s="549">
        <v>0</v>
      </c>
      <c r="AE712" s="675">
        <v>0</v>
      </c>
      <c r="AF712" s="549">
        <v>0</v>
      </c>
      <c r="AG712" s="675">
        <v>0</v>
      </c>
      <c r="AH712" s="549">
        <v>0</v>
      </c>
      <c r="AI712" s="675">
        <v>0</v>
      </c>
      <c r="AJ712" s="549">
        <v>0</v>
      </c>
      <c r="AK712" s="675">
        <v>0</v>
      </c>
      <c r="AL712" s="549">
        <v>0</v>
      </c>
      <c r="AM712" s="675">
        <v>0</v>
      </c>
      <c r="AN712" s="549">
        <v>0</v>
      </c>
      <c r="AO712" s="675">
        <v>0</v>
      </c>
      <c r="AP712" s="549">
        <v>0</v>
      </c>
      <c r="AQ712" s="675">
        <v>0</v>
      </c>
      <c r="AR712" s="549">
        <v>0</v>
      </c>
      <c r="AS712" s="675">
        <v>0</v>
      </c>
      <c r="AT712" s="549">
        <v>0</v>
      </c>
      <c r="AU712" s="675">
        <v>0</v>
      </c>
      <c r="AV712" s="549">
        <v>0</v>
      </c>
      <c r="AW712" s="675">
        <v>0</v>
      </c>
      <c r="AX712" s="549">
        <v>0</v>
      </c>
      <c r="AY712" s="675">
        <v>0</v>
      </c>
      <c r="AZ712" s="549">
        <v>0</v>
      </c>
      <c r="BA712" s="675">
        <v>0</v>
      </c>
      <c r="BB712" s="549">
        <v>0</v>
      </c>
      <c r="BC712" s="675">
        <v>0</v>
      </c>
      <c r="BD712" s="549">
        <v>0</v>
      </c>
      <c r="BE712" s="675">
        <v>0</v>
      </c>
      <c r="BF712" s="549">
        <v>0</v>
      </c>
      <c r="BG712" s="675">
        <v>0</v>
      </c>
      <c r="BH712" s="549">
        <v>0</v>
      </c>
      <c r="BI712" s="675">
        <v>0</v>
      </c>
      <c r="BJ712" s="549">
        <v>0</v>
      </c>
      <c r="BK712" s="675">
        <v>0</v>
      </c>
      <c r="BL712" s="549">
        <v>0</v>
      </c>
      <c r="BM712" s="675">
        <v>0</v>
      </c>
      <c r="BN712" s="549">
        <v>0</v>
      </c>
      <c r="BO712" s="675">
        <v>0</v>
      </c>
      <c r="BP712" s="549">
        <v>0</v>
      </c>
      <c r="BQ712" s="675">
        <v>0</v>
      </c>
      <c r="BR712" s="549">
        <v>0</v>
      </c>
      <c r="BS712" s="675">
        <v>0</v>
      </c>
      <c r="BT712" s="549">
        <v>0</v>
      </c>
      <c r="BU712" s="675">
        <v>0</v>
      </c>
      <c r="BV712" s="549">
        <v>0</v>
      </c>
      <c r="BW712" s="675">
        <v>0</v>
      </c>
      <c r="BX712" s="549">
        <v>0</v>
      </c>
      <c r="BY712" s="675">
        <v>0</v>
      </c>
      <c r="BZ712" s="549">
        <v>0</v>
      </c>
      <c r="CA712" s="675">
        <v>0</v>
      </c>
      <c r="CB712" s="549">
        <v>0</v>
      </c>
      <c r="CC712" s="675">
        <v>0</v>
      </c>
      <c r="CD712" s="549">
        <v>0</v>
      </c>
      <c r="CE712" s="675">
        <v>0</v>
      </c>
      <c r="CF712" s="549">
        <v>0</v>
      </c>
      <c r="CG712" s="675">
        <v>0</v>
      </c>
      <c r="CH712" s="549">
        <v>0</v>
      </c>
      <c r="CI712" s="675">
        <v>0</v>
      </c>
      <c r="CJ712" s="549">
        <v>0</v>
      </c>
      <c r="CK712" s="675">
        <v>0</v>
      </c>
      <c r="CL712" s="549">
        <v>0</v>
      </c>
      <c r="CM712" s="675">
        <v>0</v>
      </c>
      <c r="CN712" s="549">
        <v>0</v>
      </c>
      <c r="CO712" s="675">
        <v>0</v>
      </c>
      <c r="CP712" s="549">
        <v>0</v>
      </c>
      <c r="CQ712" s="675">
        <v>0</v>
      </c>
      <c r="CR712" s="549">
        <v>0</v>
      </c>
      <c r="CS712" s="675">
        <v>0</v>
      </c>
      <c r="CT712" s="549">
        <v>0</v>
      </c>
      <c r="CU712" s="675">
        <v>0</v>
      </c>
      <c r="CV712" s="549">
        <v>0</v>
      </c>
      <c r="CW712" s="675">
        <v>0</v>
      </c>
      <c r="CX712" s="549">
        <v>0</v>
      </c>
      <c r="CY712" s="675">
        <v>0</v>
      </c>
      <c r="CZ712" s="549">
        <v>0</v>
      </c>
      <c r="DA712" s="675">
        <v>0</v>
      </c>
      <c r="DB712" s="549">
        <v>0</v>
      </c>
      <c r="DC712" s="675">
        <v>0</v>
      </c>
      <c r="DD712" s="549">
        <v>0</v>
      </c>
      <c r="DE712" s="675">
        <v>0</v>
      </c>
      <c r="DF712" s="549">
        <v>0</v>
      </c>
      <c r="DG712" s="675">
        <v>0</v>
      </c>
      <c r="DH712" s="549">
        <v>0</v>
      </c>
      <c r="DI712" s="675">
        <v>0</v>
      </c>
      <c r="DJ712" s="549">
        <v>0</v>
      </c>
      <c r="DK712" s="675">
        <v>0</v>
      </c>
      <c r="DL712" s="549">
        <v>0</v>
      </c>
      <c r="DM712" s="675">
        <v>0</v>
      </c>
      <c r="DN712" s="549">
        <v>0</v>
      </c>
      <c r="DO712" s="675">
        <v>0</v>
      </c>
      <c r="DP712" s="549">
        <v>0</v>
      </c>
      <c r="DQ712" s="675">
        <v>0</v>
      </c>
      <c r="DR712" s="549">
        <v>0</v>
      </c>
      <c r="DS712" s="675">
        <v>0</v>
      </c>
      <c r="DT712" s="549">
        <v>0</v>
      </c>
      <c r="DU712" s="675">
        <v>0</v>
      </c>
      <c r="DV712" s="549">
        <v>0</v>
      </c>
      <c r="DW712" s="675">
        <v>0</v>
      </c>
      <c r="DX712" s="549">
        <v>0</v>
      </c>
      <c r="DY712" s="675">
        <v>0</v>
      </c>
      <c r="DZ712" s="549">
        <v>0</v>
      </c>
      <c r="EA712" s="675">
        <v>0</v>
      </c>
      <c r="EB712" s="549">
        <v>0</v>
      </c>
      <c r="EC712" s="675">
        <v>0</v>
      </c>
      <c r="ED712" s="549">
        <v>0</v>
      </c>
      <c r="EE712" s="675">
        <v>0</v>
      </c>
      <c r="EF712" s="549">
        <v>0</v>
      </c>
      <c r="EG712" s="675">
        <v>0</v>
      </c>
      <c r="EH712" s="549">
        <v>0</v>
      </c>
      <c r="EI712" s="675">
        <v>0</v>
      </c>
      <c r="EJ712" s="549">
        <v>0</v>
      </c>
      <c r="EK712" s="675">
        <v>0</v>
      </c>
      <c r="EL712" s="549">
        <v>0</v>
      </c>
      <c r="EM712" s="675">
        <v>0</v>
      </c>
      <c r="EN712" s="549">
        <v>0</v>
      </c>
      <c r="EO712" s="675">
        <v>0</v>
      </c>
      <c r="EP712" s="549">
        <v>0</v>
      </c>
      <c r="EQ712" s="675">
        <v>0</v>
      </c>
      <c r="ER712" s="549">
        <v>0</v>
      </c>
      <c r="ES712" s="675">
        <v>0</v>
      </c>
      <c r="ET712" s="549">
        <v>0</v>
      </c>
      <c r="EU712" s="675">
        <v>0</v>
      </c>
      <c r="EV712" s="549">
        <v>0</v>
      </c>
      <c r="EW712" s="675">
        <v>0</v>
      </c>
      <c r="EX712" s="549">
        <v>0</v>
      </c>
      <c r="EY712" s="675">
        <v>0</v>
      </c>
      <c r="EZ712" s="549">
        <v>0</v>
      </c>
      <c r="FA712" s="675">
        <v>0</v>
      </c>
      <c r="FB712" s="549">
        <v>0</v>
      </c>
      <c r="FC712" s="675">
        <v>0</v>
      </c>
      <c r="FD712" s="549">
        <v>0</v>
      </c>
      <c r="FE712" s="675">
        <v>0</v>
      </c>
      <c r="FF712" s="549">
        <v>0</v>
      </c>
      <c r="FG712" s="675">
        <v>0</v>
      </c>
      <c r="FH712" s="549">
        <v>0</v>
      </c>
      <c r="FI712" s="675">
        <v>0</v>
      </c>
      <c r="FJ712" s="549">
        <v>0</v>
      </c>
      <c r="FK712" s="675">
        <v>0</v>
      </c>
      <c r="FL712" s="549">
        <v>0</v>
      </c>
      <c r="FM712" s="675">
        <v>0</v>
      </c>
      <c r="FN712" s="549">
        <v>0</v>
      </c>
      <c r="FO712" s="675">
        <v>0</v>
      </c>
      <c r="FP712" s="549">
        <v>0</v>
      </c>
      <c r="FQ712" s="675">
        <v>0</v>
      </c>
      <c r="FR712" s="549">
        <v>0</v>
      </c>
      <c r="FS712" s="675">
        <v>0</v>
      </c>
      <c r="FT712" s="549">
        <v>0</v>
      </c>
      <c r="FU712" s="675">
        <v>0</v>
      </c>
      <c r="FV712" s="549">
        <v>0</v>
      </c>
      <c r="FW712" s="675">
        <v>0</v>
      </c>
      <c r="FX712" s="549">
        <v>0</v>
      </c>
      <c r="FY712" s="675">
        <v>0</v>
      </c>
      <c r="FZ712" s="549">
        <v>0</v>
      </c>
      <c r="GA712" s="675">
        <v>0</v>
      </c>
      <c r="GB712" s="549">
        <v>0</v>
      </c>
      <c r="GC712" s="675">
        <v>0</v>
      </c>
      <c r="GD712" s="549">
        <v>0</v>
      </c>
      <c r="GE712" s="675">
        <v>0</v>
      </c>
      <c r="GF712" s="549">
        <v>0</v>
      </c>
      <c r="GG712" s="675">
        <v>0</v>
      </c>
      <c r="GH712" s="549">
        <v>0</v>
      </c>
      <c r="GI712" s="675">
        <v>0</v>
      </c>
      <c r="GJ712" s="549">
        <v>0</v>
      </c>
      <c r="GK712" s="675">
        <v>0</v>
      </c>
      <c r="GL712" s="549">
        <v>0</v>
      </c>
      <c r="GM712" s="675">
        <v>0</v>
      </c>
      <c r="GN712" s="549">
        <v>0</v>
      </c>
      <c r="GO712" s="675">
        <v>0</v>
      </c>
      <c r="GP712" s="549">
        <f t="shared" ref="GP712:GP716" si="15901">+D712+F712+H712+J712+L712+N712+P712+R712+T712+V712+X712+Z712+AB712+AF712+AD712+AH712+AJ712+AL712+AN712+AP712+AR712+AT712+AV712+AX712+AZ712+BB712+BD712+BF712+BH712+BJ712+BL712+BN712+BP712+BR712+BT712+BV712+BX712+BZ712+CB712+CD712+CF712+CH712+CJ712+CL712+CN712+CP712+CR712+CT712+CV712+CX712+CZ712+DB712+DD712+DF712+DH712+DT712+EX712+DJ712+DL712+DN712+DP712+DR712+EJ712+EB712+DZ712+DX712+DV712+ED712+EF712+EH712+EL712+EN712+EP712+EV712+ET712+ER712+EZ712+FB712+FD712+GL712+FF712+FJ712+FL712+GJ712+FT712+FR712+FP712+FN712+FH712+GH712+GF712+GD712+GB712+FZ712+FX712+FV712+GN712</f>
        <v>0</v>
      </c>
      <c r="GQ712" s="675">
        <f t="shared" ref="GQ712:GQ716" si="15902">+E712+G712+I712+K712+M712+O712+Q712+S712+U712+W712+Y712+AA712+AC712+AE712+AG712+AI712+AK712+AM712+AO712+AQ712+AS712+AU712+AW712+AY712+BA712+BC712+BE712+BG712+BI712+BK712+BM712+BO712+BQ712+BS712+BU712+BW712+BY712+CA712+CC712+CE712+CG712+CI712+CK712+CM712+CO712+CQ712+CS712+CU712+CW712+CY712+DA712+DC712+DE712+DG712+DI712+DU712+EY712+DK712+DM712+DO712+DQ712+DS712+EK712+EC712+EA712+DY712+DW712+EI712+EG712+EE712+EM712+EO712+EQ712+EW712+EU712+ES712+FA712+FC712+FE712+GM712+FG712+FK712+FM712+FO712+FQ712+FS712+FU712+GK712+FI712+GI712+GG712+GE712+GC712+GA712+FY712+FW712+GO712</f>
        <v>0</v>
      </c>
      <c r="GR712" s="74">
        <f>C712+GP712+GQ712</f>
        <v>0</v>
      </c>
      <c r="GS712" s="74">
        <f t="shared" ref="GS712" si="15903">SUM(GU712:GY712)+GP712+GQ712</f>
        <v>0</v>
      </c>
      <c r="GT712" s="568">
        <f>SUM(GU712:HF712)+GQ712+GP712</f>
        <v>0</v>
      </c>
      <c r="GU712" s="275">
        <v>0</v>
      </c>
      <c r="GV712" s="275"/>
      <c r="GW712" s="588">
        <v>0</v>
      </c>
      <c r="GX712" s="588">
        <f>11460-11460</f>
        <v>0</v>
      </c>
      <c r="GY712" s="275"/>
      <c r="GZ712" s="275"/>
      <c r="HA712" s="275">
        <f>11460-11460</f>
        <v>0</v>
      </c>
      <c r="HB712" s="275"/>
      <c r="HC712" s="275"/>
      <c r="HD712" s="275">
        <f>7640-7640</f>
        <v>0</v>
      </c>
      <c r="HE712" s="275">
        <v>0</v>
      </c>
      <c r="HF712" s="275">
        <v>0</v>
      </c>
      <c r="HG712" s="74">
        <f>SUM(HH712:IE712)+GP712+GQ712</f>
        <v>0</v>
      </c>
      <c r="HH712" s="89">
        <v>0</v>
      </c>
      <c r="HI712" s="817">
        <v>0</v>
      </c>
      <c r="HJ712" s="89">
        <v>0</v>
      </c>
      <c r="HK712" s="817">
        <v>0</v>
      </c>
      <c r="HL712" s="89">
        <v>0</v>
      </c>
      <c r="HM712" s="817">
        <v>0</v>
      </c>
      <c r="HN712" s="89">
        <v>0</v>
      </c>
      <c r="HO712" s="817">
        <v>0</v>
      </c>
      <c r="HP712" s="89">
        <v>0</v>
      </c>
      <c r="HQ712" s="817">
        <v>0</v>
      </c>
      <c r="HR712" s="89">
        <v>0</v>
      </c>
      <c r="HS712" s="817">
        <v>0</v>
      </c>
      <c r="HT712" s="89">
        <v>0</v>
      </c>
      <c r="HU712" s="817">
        <v>0</v>
      </c>
      <c r="HV712" s="89">
        <v>0</v>
      </c>
      <c r="HW712" s="817">
        <v>0</v>
      </c>
      <c r="HX712" s="89">
        <v>0</v>
      </c>
      <c r="HY712" s="817">
        <v>0</v>
      </c>
      <c r="HZ712" s="89">
        <v>0</v>
      </c>
      <c r="IA712" s="817">
        <v>0</v>
      </c>
      <c r="IB712" s="89">
        <v>0</v>
      </c>
      <c r="IC712" s="817">
        <v>0</v>
      </c>
      <c r="ID712" s="89">
        <v>0</v>
      </c>
      <c r="IE712" s="817">
        <v>0</v>
      </c>
      <c r="IF712" s="841">
        <f t="shared" ref="IF712" si="15904">SUM(II712,IL712,IO712,IR712,IU712,IX712,JA712,JD712,JG712,JJ712,JM712,JP712)</f>
        <v>0</v>
      </c>
      <c r="IG712" s="263">
        <f t="shared" ref="IG712" si="15905">SUM(IJ712,IM712,IP712,IS712,IV712,IY712,JB712,JE712,JH712,JK712,JN712,JQ712)</f>
        <v>0</v>
      </c>
      <c r="IH712" s="842">
        <f t="shared" ref="IH712" si="15906">SUM(IK712,IN712,IQ712,IT712,IW712,IZ712,JC712,JF712,JI712,JL712,JO712,JR712)</f>
        <v>0</v>
      </c>
      <c r="II712" s="89">
        <v>0</v>
      </c>
      <c r="IJ712" s="89">
        <f t="shared" ref="IJ712" si="15907">II712</f>
        <v>0</v>
      </c>
      <c r="IK712" s="89">
        <f t="shared" ref="IK712" si="15908">IJ712</f>
        <v>0</v>
      </c>
      <c r="IL712" s="89">
        <v>0</v>
      </c>
      <c r="IM712" s="89">
        <f t="shared" ref="IM712" si="15909">IL712</f>
        <v>0</v>
      </c>
      <c r="IN712" s="89">
        <f t="shared" ref="IN712" si="15910">IM712</f>
        <v>0</v>
      </c>
      <c r="IO712" s="89">
        <v>0</v>
      </c>
      <c r="IP712" s="89">
        <f t="shared" ref="IP712" si="15911">IO712</f>
        <v>0</v>
      </c>
      <c r="IQ712" s="89">
        <f t="shared" ref="IQ712" si="15912">IP712</f>
        <v>0</v>
      </c>
      <c r="IR712" s="89">
        <v>0</v>
      </c>
      <c r="IS712" s="89">
        <f t="shared" ref="IS712" si="15913">IR712</f>
        <v>0</v>
      </c>
      <c r="IT712" s="89">
        <f t="shared" ref="IT712" si="15914">IS712</f>
        <v>0</v>
      </c>
      <c r="IU712" s="89">
        <v>0</v>
      </c>
      <c r="IV712" s="89">
        <f t="shared" ref="IV712" si="15915">IU712</f>
        <v>0</v>
      </c>
      <c r="IW712" s="89">
        <f t="shared" ref="IW712" si="15916">IV712</f>
        <v>0</v>
      </c>
      <c r="IX712" s="89">
        <v>0</v>
      </c>
      <c r="IY712" s="89">
        <f t="shared" ref="IY712" si="15917">IX712</f>
        <v>0</v>
      </c>
      <c r="IZ712" s="89">
        <f t="shared" ref="IZ712" si="15918">IY712</f>
        <v>0</v>
      </c>
      <c r="JA712" s="89">
        <v>0</v>
      </c>
      <c r="JB712" s="89">
        <f t="shared" ref="JB712" si="15919">JA712</f>
        <v>0</v>
      </c>
      <c r="JC712" s="89">
        <f t="shared" ref="JC712" si="15920">JB712</f>
        <v>0</v>
      </c>
      <c r="JD712" s="89">
        <v>0</v>
      </c>
      <c r="JE712" s="89">
        <f t="shared" ref="JE712" si="15921">JD712</f>
        <v>0</v>
      </c>
      <c r="JF712" s="89">
        <f t="shared" ref="JF712" si="15922">JE712</f>
        <v>0</v>
      </c>
      <c r="JG712" s="89">
        <v>0</v>
      </c>
      <c r="JH712" s="89">
        <f t="shared" ref="JH712" si="15923">JG712</f>
        <v>0</v>
      </c>
      <c r="JI712" s="89">
        <f t="shared" ref="JI712" si="15924">JH712</f>
        <v>0</v>
      </c>
      <c r="JJ712" s="89">
        <v>0</v>
      </c>
      <c r="JK712" s="89">
        <f t="shared" ref="JK712" si="15925">JJ712</f>
        <v>0</v>
      </c>
      <c r="JL712" s="89">
        <f t="shared" ref="JL712" si="15926">JK712</f>
        <v>0</v>
      </c>
      <c r="JM712" s="89">
        <v>0</v>
      </c>
      <c r="JN712" s="89">
        <f t="shared" ref="JN712" si="15927">JM712</f>
        <v>0</v>
      </c>
      <c r="JO712" s="89">
        <f t="shared" ref="JO712" si="15928">JN712</f>
        <v>0</v>
      </c>
      <c r="JP712" s="89">
        <v>0</v>
      </c>
      <c r="JQ712" s="89">
        <f t="shared" ref="JQ712:JR712" si="15929">JP712</f>
        <v>0</v>
      </c>
      <c r="JR712" s="89">
        <f t="shared" si="15929"/>
        <v>0</v>
      </c>
      <c r="JS712" s="74">
        <f>HG712-IF712</f>
        <v>0</v>
      </c>
      <c r="JT712" s="382">
        <f>GS712-IF712</f>
        <v>0</v>
      </c>
      <c r="JU712" s="665"/>
      <c r="JV712" s="524"/>
      <c r="JW712" s="525"/>
      <c r="JX712" s="549">
        <f>SUM(HH712,HJ712,HL712,HN712,HP712,HR712,HT712,HV712,HX712,HZ712,IB712,ID712)</f>
        <v>0</v>
      </c>
      <c r="JY712" s="549">
        <f t="shared" ref="JY712:JY713" si="15930">SUM(HI712,HK712,HM712,HO712,HQ712,HS712,HU712,HW712,HY712,IA712,IC712,IE712)</f>
        <v>0</v>
      </c>
      <c r="JZ712" s="581">
        <f t="shared" ref="JZ712:JZ719" si="15931">GP712</f>
        <v>0</v>
      </c>
      <c r="KA712" s="581">
        <f t="shared" ref="KA712:KA719" si="15932">GQ712</f>
        <v>0</v>
      </c>
      <c r="KB712" s="566">
        <f>SUM(JX712:KA712)</f>
        <v>0</v>
      </c>
      <c r="KC712" s="709">
        <f>HG712-KB712</f>
        <v>0</v>
      </c>
      <c r="KD712" s="491"/>
      <c r="KE712" s="491"/>
      <c r="KF712" s="491"/>
      <c r="KG712" s="491"/>
      <c r="KH712" s="36"/>
      <c r="KI712" s="36"/>
      <c r="KJ712" s="36"/>
      <c r="KK712" s="36"/>
    </row>
    <row r="713" spans="1:297" s="8" customFormat="1">
      <c r="A713" s="612" t="s">
        <v>1234</v>
      </c>
      <c r="B713" s="512"/>
      <c r="C713" s="74">
        <v>0</v>
      </c>
      <c r="D713" s="549">
        <v>0</v>
      </c>
      <c r="E713" s="675">
        <v>0</v>
      </c>
      <c r="F713" s="549">
        <v>0</v>
      </c>
      <c r="G713" s="675">
        <v>0</v>
      </c>
      <c r="H713" s="549">
        <v>0</v>
      </c>
      <c r="I713" s="675">
        <v>0</v>
      </c>
      <c r="J713" s="549">
        <v>0</v>
      </c>
      <c r="K713" s="675">
        <v>0</v>
      </c>
      <c r="L713" s="549">
        <v>0</v>
      </c>
      <c r="M713" s="675">
        <v>0</v>
      </c>
      <c r="N713" s="549">
        <v>0</v>
      </c>
      <c r="O713" s="675">
        <v>0</v>
      </c>
      <c r="P713" s="549">
        <v>0</v>
      </c>
      <c r="Q713" s="675">
        <v>0</v>
      </c>
      <c r="R713" s="549">
        <v>0</v>
      </c>
      <c r="S713" s="675">
        <v>0</v>
      </c>
      <c r="T713" s="549">
        <v>8795</v>
      </c>
      <c r="U713" s="675">
        <v>0</v>
      </c>
      <c r="V713" s="549">
        <v>0</v>
      </c>
      <c r="W713" s="675">
        <v>0</v>
      </c>
      <c r="X713" s="549">
        <v>0</v>
      </c>
      <c r="Y713" s="675">
        <v>0</v>
      </c>
      <c r="Z713" s="549">
        <v>0</v>
      </c>
      <c r="AA713" s="675">
        <v>0</v>
      </c>
      <c r="AB713" s="549">
        <v>0</v>
      </c>
      <c r="AC713" s="675">
        <v>0</v>
      </c>
      <c r="AD713" s="549">
        <v>0</v>
      </c>
      <c r="AE713" s="675">
        <v>0</v>
      </c>
      <c r="AF713" s="549">
        <v>0</v>
      </c>
      <c r="AG713" s="675">
        <v>0</v>
      </c>
      <c r="AH713" s="549">
        <v>0</v>
      </c>
      <c r="AI713" s="675">
        <v>0</v>
      </c>
      <c r="AJ713" s="549">
        <v>0</v>
      </c>
      <c r="AK713" s="675">
        <v>0</v>
      </c>
      <c r="AL713" s="549">
        <v>0</v>
      </c>
      <c r="AM713" s="675">
        <v>0</v>
      </c>
      <c r="AN713" s="549">
        <v>0</v>
      </c>
      <c r="AO713" s="675">
        <v>0</v>
      </c>
      <c r="AP713" s="549">
        <v>0</v>
      </c>
      <c r="AQ713" s="675">
        <v>0</v>
      </c>
      <c r="AR713" s="549">
        <v>0</v>
      </c>
      <c r="AS713" s="675">
        <v>0</v>
      </c>
      <c r="AT713" s="549">
        <v>0</v>
      </c>
      <c r="AU713" s="675">
        <v>0</v>
      </c>
      <c r="AV713" s="549">
        <v>0</v>
      </c>
      <c r="AW713" s="675">
        <v>0</v>
      </c>
      <c r="AX713" s="549">
        <v>0</v>
      </c>
      <c r="AY713" s="675">
        <v>0</v>
      </c>
      <c r="AZ713" s="549">
        <v>0</v>
      </c>
      <c r="BA713" s="675">
        <v>0</v>
      </c>
      <c r="BB713" s="549">
        <v>0</v>
      </c>
      <c r="BC713" s="675">
        <v>0</v>
      </c>
      <c r="BD713" s="549">
        <v>0</v>
      </c>
      <c r="BE713" s="675">
        <v>0</v>
      </c>
      <c r="BF713" s="549">
        <v>0</v>
      </c>
      <c r="BG713" s="675">
        <v>0</v>
      </c>
      <c r="BH713" s="549">
        <v>0</v>
      </c>
      <c r="BI713" s="675">
        <v>0</v>
      </c>
      <c r="BJ713" s="549">
        <v>0</v>
      </c>
      <c r="BK713" s="675">
        <v>0</v>
      </c>
      <c r="BL713" s="549">
        <v>0</v>
      </c>
      <c r="BM713" s="675">
        <v>0</v>
      </c>
      <c r="BN713" s="549">
        <v>0</v>
      </c>
      <c r="BO713" s="675">
        <v>0</v>
      </c>
      <c r="BP713" s="549">
        <v>0</v>
      </c>
      <c r="BQ713" s="675">
        <v>0</v>
      </c>
      <c r="BR713" s="549">
        <v>0</v>
      </c>
      <c r="BS713" s="675">
        <v>0</v>
      </c>
      <c r="BT713" s="549">
        <v>0</v>
      </c>
      <c r="BU713" s="675">
        <v>0</v>
      </c>
      <c r="BV713" s="549">
        <v>0</v>
      </c>
      <c r="BW713" s="675">
        <v>0</v>
      </c>
      <c r="BX713" s="549">
        <v>0</v>
      </c>
      <c r="BY713" s="675">
        <v>0</v>
      </c>
      <c r="BZ713" s="549">
        <v>0</v>
      </c>
      <c r="CA713" s="675">
        <v>0</v>
      </c>
      <c r="CB713" s="549">
        <v>0</v>
      </c>
      <c r="CC713" s="675">
        <v>0</v>
      </c>
      <c r="CD713" s="549">
        <v>0</v>
      </c>
      <c r="CE713" s="675">
        <v>0</v>
      </c>
      <c r="CF713" s="549">
        <v>0</v>
      </c>
      <c r="CG713" s="675">
        <v>0</v>
      </c>
      <c r="CH713" s="549">
        <v>0</v>
      </c>
      <c r="CI713" s="675">
        <v>0</v>
      </c>
      <c r="CJ713" s="549">
        <v>0</v>
      </c>
      <c r="CK713" s="675">
        <v>0</v>
      </c>
      <c r="CL713" s="549">
        <v>0</v>
      </c>
      <c r="CM713" s="675">
        <v>0</v>
      </c>
      <c r="CN713" s="549">
        <v>0</v>
      </c>
      <c r="CO713" s="675">
        <v>0</v>
      </c>
      <c r="CP713" s="549">
        <v>0</v>
      </c>
      <c r="CQ713" s="675">
        <v>0</v>
      </c>
      <c r="CR713" s="549">
        <v>0</v>
      </c>
      <c r="CS713" s="675">
        <v>0</v>
      </c>
      <c r="CT713" s="549">
        <v>0</v>
      </c>
      <c r="CU713" s="675">
        <v>0</v>
      </c>
      <c r="CV713" s="549">
        <v>0</v>
      </c>
      <c r="CW713" s="675">
        <v>0</v>
      </c>
      <c r="CX713" s="549">
        <v>0</v>
      </c>
      <c r="CY713" s="675">
        <v>0</v>
      </c>
      <c r="CZ713" s="549">
        <v>0</v>
      </c>
      <c r="DA713" s="675">
        <v>0</v>
      </c>
      <c r="DB713" s="549">
        <v>0</v>
      </c>
      <c r="DC713" s="675">
        <v>0</v>
      </c>
      <c r="DD713" s="549">
        <v>0</v>
      </c>
      <c r="DE713" s="675">
        <v>0</v>
      </c>
      <c r="DF713" s="549">
        <v>0</v>
      </c>
      <c r="DG713" s="675">
        <v>0</v>
      </c>
      <c r="DH713" s="549">
        <v>0</v>
      </c>
      <c r="DI713" s="675">
        <v>0</v>
      </c>
      <c r="DJ713" s="549">
        <v>0</v>
      </c>
      <c r="DK713" s="675">
        <v>0</v>
      </c>
      <c r="DL713" s="549">
        <v>0</v>
      </c>
      <c r="DM713" s="675">
        <v>0</v>
      </c>
      <c r="DN713" s="549">
        <v>0</v>
      </c>
      <c r="DO713" s="675">
        <v>0</v>
      </c>
      <c r="DP713" s="549">
        <v>0</v>
      </c>
      <c r="DQ713" s="675">
        <v>0</v>
      </c>
      <c r="DR713" s="549">
        <v>0</v>
      </c>
      <c r="DS713" s="675">
        <v>0</v>
      </c>
      <c r="DT713" s="549">
        <v>0</v>
      </c>
      <c r="DU713" s="675">
        <v>0</v>
      </c>
      <c r="DV713" s="549">
        <v>0</v>
      </c>
      <c r="DW713" s="675">
        <v>0</v>
      </c>
      <c r="DX713" s="549">
        <v>0</v>
      </c>
      <c r="DY713" s="675">
        <v>0</v>
      </c>
      <c r="DZ713" s="549">
        <v>0</v>
      </c>
      <c r="EA713" s="675">
        <v>0</v>
      </c>
      <c r="EB713" s="549">
        <v>0</v>
      </c>
      <c r="EC713" s="675">
        <v>0</v>
      </c>
      <c r="ED713" s="549">
        <v>0</v>
      </c>
      <c r="EE713" s="675">
        <v>0</v>
      </c>
      <c r="EF713" s="549">
        <v>0</v>
      </c>
      <c r="EG713" s="675">
        <v>0</v>
      </c>
      <c r="EH713" s="549">
        <v>0</v>
      </c>
      <c r="EI713" s="675">
        <v>0</v>
      </c>
      <c r="EJ713" s="549">
        <v>0</v>
      </c>
      <c r="EK713" s="675">
        <v>0</v>
      </c>
      <c r="EL713" s="549">
        <v>0</v>
      </c>
      <c r="EM713" s="675">
        <v>0</v>
      </c>
      <c r="EN713" s="549">
        <v>0</v>
      </c>
      <c r="EO713" s="675">
        <v>0</v>
      </c>
      <c r="EP713" s="549">
        <v>0</v>
      </c>
      <c r="EQ713" s="675">
        <v>0</v>
      </c>
      <c r="ER713" s="549">
        <v>0</v>
      </c>
      <c r="ES713" s="675">
        <v>0</v>
      </c>
      <c r="ET713" s="549">
        <v>0</v>
      </c>
      <c r="EU713" s="675">
        <v>0</v>
      </c>
      <c r="EV713" s="549">
        <v>0</v>
      </c>
      <c r="EW713" s="675">
        <v>0</v>
      </c>
      <c r="EX713" s="549">
        <v>0</v>
      </c>
      <c r="EY713" s="675">
        <v>0</v>
      </c>
      <c r="EZ713" s="549">
        <v>0</v>
      </c>
      <c r="FA713" s="675">
        <v>0</v>
      </c>
      <c r="FB713" s="549">
        <v>0</v>
      </c>
      <c r="FC713" s="675">
        <v>0</v>
      </c>
      <c r="FD713" s="549">
        <v>0</v>
      </c>
      <c r="FE713" s="675">
        <v>0</v>
      </c>
      <c r="FF713" s="549">
        <v>0</v>
      </c>
      <c r="FG713" s="675">
        <v>0</v>
      </c>
      <c r="FH713" s="549">
        <v>0</v>
      </c>
      <c r="FI713" s="675">
        <v>0</v>
      </c>
      <c r="FJ713" s="549">
        <v>0</v>
      </c>
      <c r="FK713" s="675">
        <v>0</v>
      </c>
      <c r="FL713" s="549">
        <v>0</v>
      </c>
      <c r="FM713" s="675">
        <v>0</v>
      </c>
      <c r="FN713" s="549">
        <v>0</v>
      </c>
      <c r="FO713" s="675">
        <v>0</v>
      </c>
      <c r="FP713" s="549">
        <v>0</v>
      </c>
      <c r="FQ713" s="675">
        <v>0</v>
      </c>
      <c r="FR713" s="549">
        <v>0</v>
      </c>
      <c r="FS713" s="675">
        <v>0</v>
      </c>
      <c r="FT713" s="549">
        <v>0</v>
      </c>
      <c r="FU713" s="675">
        <v>0</v>
      </c>
      <c r="FV713" s="549">
        <v>0</v>
      </c>
      <c r="FW713" s="675">
        <v>0</v>
      </c>
      <c r="FX713" s="549">
        <v>0</v>
      </c>
      <c r="FY713" s="675">
        <v>0</v>
      </c>
      <c r="FZ713" s="549">
        <v>0</v>
      </c>
      <c r="GA713" s="675">
        <v>0</v>
      </c>
      <c r="GB713" s="549">
        <v>0</v>
      </c>
      <c r="GC713" s="675">
        <v>0</v>
      </c>
      <c r="GD713" s="549">
        <v>0</v>
      </c>
      <c r="GE713" s="675">
        <v>0</v>
      </c>
      <c r="GF713" s="549">
        <v>0</v>
      </c>
      <c r="GG713" s="675">
        <v>0</v>
      </c>
      <c r="GH713" s="549">
        <v>0</v>
      </c>
      <c r="GI713" s="675">
        <v>0</v>
      </c>
      <c r="GJ713" s="549">
        <v>0</v>
      </c>
      <c r="GK713" s="675">
        <v>0</v>
      </c>
      <c r="GL713" s="549">
        <v>0</v>
      </c>
      <c r="GM713" s="675">
        <v>0</v>
      </c>
      <c r="GN713" s="549">
        <v>0</v>
      </c>
      <c r="GO713" s="675">
        <v>0</v>
      </c>
      <c r="GP713" s="549">
        <f t="shared" si="15901"/>
        <v>8795</v>
      </c>
      <c r="GQ713" s="675">
        <f t="shared" si="15902"/>
        <v>0</v>
      </c>
      <c r="GR713" s="74">
        <f>C713+GP713+GQ713</f>
        <v>8795</v>
      </c>
      <c r="GS713" s="74">
        <f t="shared" ref="GS713:GS716" si="15933">SUM(GU713:HD713)+GP713+GQ713</f>
        <v>8795</v>
      </c>
      <c r="GT713" s="568">
        <f t="shared" ref="GT713:GT715" si="15934">SUM(GU713:HF713)+GQ713+GP713</f>
        <v>8795</v>
      </c>
      <c r="GU713" s="275"/>
      <c r="GV713" s="275"/>
      <c r="GW713" s="588"/>
      <c r="GX713" s="588"/>
      <c r="GY713" s="275"/>
      <c r="GZ713" s="275"/>
      <c r="HA713" s="275"/>
      <c r="HB713" s="275"/>
      <c r="HC713" s="275"/>
      <c r="HD713" s="275"/>
      <c r="HE713" s="275"/>
      <c r="HF713" s="275"/>
      <c r="HG713" s="74">
        <f>SUM(HH713:IE713)+GP713+GQ713</f>
        <v>8795</v>
      </c>
      <c r="HH713" s="89"/>
      <c r="HI713" s="817"/>
      <c r="HJ713" s="89"/>
      <c r="HK713" s="817"/>
      <c r="HL713" s="89"/>
      <c r="HM713" s="817"/>
      <c r="HN713" s="89">
        <v>0</v>
      </c>
      <c r="HO713" s="817">
        <v>0</v>
      </c>
      <c r="HP713" s="89"/>
      <c r="HQ713" s="817"/>
      <c r="HR713" s="89"/>
      <c r="HS713" s="817"/>
      <c r="HT713" s="89"/>
      <c r="HU713" s="817"/>
      <c r="HV713" s="89"/>
      <c r="HW713" s="817"/>
      <c r="HX713" s="89"/>
      <c r="HY713" s="817"/>
      <c r="HZ713" s="89"/>
      <c r="IA713" s="817"/>
      <c r="IB713" s="89"/>
      <c r="IC713" s="817"/>
      <c r="ID713" s="89"/>
      <c r="IE713" s="817"/>
      <c r="IF713" s="841">
        <f t="shared" ref="IF713" si="15935">SUM(II713,IL713,IO713,IR713,IU713,IX713,JA713,JD713,JG713,JJ713,JM713,JP713)</f>
        <v>0</v>
      </c>
      <c r="IG713" s="263">
        <f t="shared" ref="IG713" si="15936">SUM(IJ713,IM713,IP713,IS713,IV713,IY713,JB713,JE713,JH713,JK713,JN713,JQ713)</f>
        <v>0</v>
      </c>
      <c r="IH713" s="842">
        <f t="shared" ref="IH713" si="15937">SUM(IK713,IN713,IQ713,IT713,IW713,IZ713,JC713,JF713,JI713,JL713,JO713,JR713)</f>
        <v>0</v>
      </c>
      <c r="II713" s="89">
        <v>0</v>
      </c>
      <c r="IJ713" s="89">
        <v>0</v>
      </c>
      <c r="IK713" s="89">
        <v>0</v>
      </c>
      <c r="IL713" s="89">
        <v>0</v>
      </c>
      <c r="IM713" s="89">
        <v>0</v>
      </c>
      <c r="IN713" s="89">
        <v>0</v>
      </c>
      <c r="IO713" s="89">
        <v>0</v>
      </c>
      <c r="IP713" s="89">
        <v>0</v>
      </c>
      <c r="IQ713" s="89">
        <v>0</v>
      </c>
      <c r="IR713" s="89">
        <v>0</v>
      </c>
      <c r="IS713" s="89">
        <v>0</v>
      </c>
      <c r="IT713" s="89">
        <v>0</v>
      </c>
      <c r="IU713" s="89">
        <v>0</v>
      </c>
      <c r="IV713" s="89">
        <v>0</v>
      </c>
      <c r="IW713" s="89">
        <v>0</v>
      </c>
      <c r="IX713" s="89">
        <v>0</v>
      </c>
      <c r="IY713" s="89">
        <v>0</v>
      </c>
      <c r="IZ713" s="89">
        <v>0</v>
      </c>
      <c r="JA713" s="89">
        <v>0</v>
      </c>
      <c r="JB713" s="89">
        <v>0</v>
      </c>
      <c r="JC713" s="89">
        <v>0</v>
      </c>
      <c r="JD713" s="89">
        <v>0</v>
      </c>
      <c r="JE713" s="89">
        <v>0</v>
      </c>
      <c r="JF713" s="89">
        <v>0</v>
      </c>
      <c r="JG713" s="89">
        <v>0</v>
      </c>
      <c r="JH713" s="89">
        <v>0</v>
      </c>
      <c r="JI713" s="89">
        <v>0</v>
      </c>
      <c r="JJ713" s="89">
        <v>0</v>
      </c>
      <c r="JK713" s="89">
        <v>0</v>
      </c>
      <c r="JL713" s="89">
        <v>0</v>
      </c>
      <c r="JM713" s="89">
        <v>0</v>
      </c>
      <c r="JN713" s="89">
        <v>0</v>
      </c>
      <c r="JO713" s="89">
        <v>0</v>
      </c>
      <c r="JP713" s="89">
        <v>0</v>
      </c>
      <c r="JQ713" s="89">
        <v>0</v>
      </c>
      <c r="JR713" s="89">
        <v>0</v>
      </c>
      <c r="JS713" s="74">
        <f t="shared" ref="JS713:JS714" si="15938">HG713-IF713</f>
        <v>8795</v>
      </c>
      <c r="JT713" s="382">
        <f t="shared" ref="JT713:JT714" si="15939">GS713-IF713</f>
        <v>8795</v>
      </c>
      <c r="JU713" s="665"/>
      <c r="JV713" s="524"/>
      <c r="JW713" s="525"/>
      <c r="JX713" s="549">
        <f>SUM(HH713,HJ713,HL713,HN713,HP713,HR713,HT713,HV713,HX713,HZ713,IB713,ID713)</f>
        <v>0</v>
      </c>
      <c r="JY713" s="549">
        <f t="shared" si="15930"/>
        <v>0</v>
      </c>
      <c r="JZ713" s="581">
        <f t="shared" si="15931"/>
        <v>8795</v>
      </c>
      <c r="KA713" s="581">
        <f t="shared" si="15932"/>
        <v>0</v>
      </c>
      <c r="KB713" s="566">
        <f t="shared" ref="KB713:KB714" si="15940">SUM(JX713:KA713)</f>
        <v>8795</v>
      </c>
      <c r="KC713" s="709">
        <f>HG713-KB713</f>
        <v>0</v>
      </c>
      <c r="KD713" s="491"/>
      <c r="KE713" s="491"/>
      <c r="KF713" s="491"/>
      <c r="KG713" s="491"/>
      <c r="KH713" s="36"/>
      <c r="KI713" s="36"/>
      <c r="KJ713" s="36"/>
      <c r="KK713" s="36"/>
    </row>
    <row r="714" spans="1:297" s="8" customFormat="1">
      <c r="A714" s="612" t="s">
        <v>1225</v>
      </c>
      <c r="B714" s="512" t="s">
        <v>346</v>
      </c>
      <c r="C714" s="74">
        <v>0</v>
      </c>
      <c r="D714" s="549">
        <v>0</v>
      </c>
      <c r="E714" s="675">
        <v>0</v>
      </c>
      <c r="F714" s="549">
        <v>0</v>
      </c>
      <c r="G714" s="675">
        <v>0</v>
      </c>
      <c r="H714" s="549">
        <v>0</v>
      </c>
      <c r="I714" s="675">
        <v>0</v>
      </c>
      <c r="J714" s="549">
        <v>0</v>
      </c>
      <c r="K714" s="675">
        <v>0</v>
      </c>
      <c r="L714" s="549">
        <v>0</v>
      </c>
      <c r="M714" s="675">
        <v>0</v>
      </c>
      <c r="N714" s="549">
        <v>0</v>
      </c>
      <c r="O714" s="675">
        <v>0</v>
      </c>
      <c r="P714" s="549">
        <v>0</v>
      </c>
      <c r="Q714" s="675">
        <v>0</v>
      </c>
      <c r="R714" s="549">
        <v>0</v>
      </c>
      <c r="S714" s="675">
        <v>0</v>
      </c>
      <c r="T714" s="549">
        <v>75037</v>
      </c>
      <c r="U714" s="675">
        <v>0</v>
      </c>
      <c r="V714" s="549">
        <v>0</v>
      </c>
      <c r="W714" s="675">
        <v>0</v>
      </c>
      <c r="X714" s="549">
        <v>0</v>
      </c>
      <c r="Y714" s="675">
        <v>0</v>
      </c>
      <c r="Z714" s="549">
        <v>0</v>
      </c>
      <c r="AA714" s="675">
        <v>0</v>
      </c>
      <c r="AB714" s="549">
        <v>0</v>
      </c>
      <c r="AC714" s="675">
        <v>0</v>
      </c>
      <c r="AD714" s="549">
        <v>0</v>
      </c>
      <c r="AE714" s="675">
        <v>0</v>
      </c>
      <c r="AF714" s="549">
        <v>0</v>
      </c>
      <c r="AG714" s="675">
        <v>0</v>
      </c>
      <c r="AH714" s="549">
        <v>0</v>
      </c>
      <c r="AI714" s="675">
        <v>0</v>
      </c>
      <c r="AJ714" s="549">
        <v>0</v>
      </c>
      <c r="AK714" s="675">
        <v>0</v>
      </c>
      <c r="AL714" s="549">
        <v>0</v>
      </c>
      <c r="AM714" s="675">
        <v>0</v>
      </c>
      <c r="AN714" s="549">
        <v>0</v>
      </c>
      <c r="AO714" s="675">
        <v>0</v>
      </c>
      <c r="AP714" s="549">
        <v>0</v>
      </c>
      <c r="AQ714" s="675">
        <v>0</v>
      </c>
      <c r="AR714" s="549">
        <v>0</v>
      </c>
      <c r="AS714" s="675">
        <v>0</v>
      </c>
      <c r="AT714" s="549">
        <v>0</v>
      </c>
      <c r="AU714" s="675">
        <v>0</v>
      </c>
      <c r="AV714" s="549">
        <v>0</v>
      </c>
      <c r="AW714" s="675">
        <v>0</v>
      </c>
      <c r="AX714" s="549">
        <v>0</v>
      </c>
      <c r="AY714" s="675">
        <v>0</v>
      </c>
      <c r="AZ714" s="549">
        <v>0</v>
      </c>
      <c r="BA714" s="675">
        <v>0</v>
      </c>
      <c r="BB714" s="549">
        <v>0</v>
      </c>
      <c r="BC714" s="675">
        <v>0</v>
      </c>
      <c r="BD714" s="549">
        <v>0</v>
      </c>
      <c r="BE714" s="675">
        <v>0</v>
      </c>
      <c r="BF714" s="549">
        <v>0</v>
      </c>
      <c r="BG714" s="675">
        <v>0</v>
      </c>
      <c r="BH714" s="549">
        <v>0</v>
      </c>
      <c r="BI714" s="675">
        <v>0</v>
      </c>
      <c r="BJ714" s="549">
        <v>0</v>
      </c>
      <c r="BK714" s="675">
        <v>0</v>
      </c>
      <c r="BL714" s="549">
        <v>0</v>
      </c>
      <c r="BM714" s="675">
        <v>0</v>
      </c>
      <c r="BN714" s="549">
        <v>0</v>
      </c>
      <c r="BO714" s="675">
        <v>0</v>
      </c>
      <c r="BP714" s="549">
        <v>0</v>
      </c>
      <c r="BQ714" s="675">
        <v>0</v>
      </c>
      <c r="BR714" s="549">
        <v>0</v>
      </c>
      <c r="BS714" s="675">
        <v>0</v>
      </c>
      <c r="BT714" s="549">
        <v>0</v>
      </c>
      <c r="BU714" s="675">
        <v>0</v>
      </c>
      <c r="BV714" s="549">
        <v>0</v>
      </c>
      <c r="BW714" s="675">
        <v>0</v>
      </c>
      <c r="BX714" s="549">
        <v>0</v>
      </c>
      <c r="BY714" s="675">
        <v>0</v>
      </c>
      <c r="BZ714" s="549">
        <v>0</v>
      </c>
      <c r="CA714" s="675">
        <v>0</v>
      </c>
      <c r="CB714" s="549">
        <v>0</v>
      </c>
      <c r="CC714" s="675">
        <v>0</v>
      </c>
      <c r="CD714" s="549">
        <v>0</v>
      </c>
      <c r="CE714" s="675">
        <v>0</v>
      </c>
      <c r="CF714" s="549">
        <v>0</v>
      </c>
      <c r="CG714" s="675">
        <v>0</v>
      </c>
      <c r="CH714" s="549">
        <v>0</v>
      </c>
      <c r="CI714" s="675">
        <v>0</v>
      </c>
      <c r="CJ714" s="549">
        <v>0</v>
      </c>
      <c r="CK714" s="675">
        <v>0</v>
      </c>
      <c r="CL714" s="549">
        <v>0</v>
      </c>
      <c r="CM714" s="675">
        <v>0</v>
      </c>
      <c r="CN714" s="549">
        <v>0</v>
      </c>
      <c r="CO714" s="675">
        <v>0</v>
      </c>
      <c r="CP714" s="549">
        <v>0</v>
      </c>
      <c r="CQ714" s="675">
        <v>0</v>
      </c>
      <c r="CR714" s="549">
        <v>0</v>
      </c>
      <c r="CS714" s="675">
        <v>0</v>
      </c>
      <c r="CT714" s="549">
        <v>0</v>
      </c>
      <c r="CU714" s="675">
        <v>0</v>
      </c>
      <c r="CV714" s="549">
        <v>0</v>
      </c>
      <c r="CW714" s="675">
        <v>0</v>
      </c>
      <c r="CX714" s="549">
        <v>0</v>
      </c>
      <c r="CY714" s="675">
        <v>0</v>
      </c>
      <c r="CZ714" s="549">
        <v>0</v>
      </c>
      <c r="DA714" s="675">
        <v>0</v>
      </c>
      <c r="DB714" s="549">
        <v>0</v>
      </c>
      <c r="DC714" s="675">
        <v>0</v>
      </c>
      <c r="DD714" s="549">
        <v>0</v>
      </c>
      <c r="DE714" s="675">
        <v>0</v>
      </c>
      <c r="DF714" s="549">
        <v>0</v>
      </c>
      <c r="DG714" s="675">
        <v>0</v>
      </c>
      <c r="DH714" s="549">
        <v>0</v>
      </c>
      <c r="DI714" s="675">
        <v>0</v>
      </c>
      <c r="DJ714" s="549">
        <v>0</v>
      </c>
      <c r="DK714" s="675">
        <v>0</v>
      </c>
      <c r="DL714" s="549">
        <v>0</v>
      </c>
      <c r="DM714" s="675">
        <v>0</v>
      </c>
      <c r="DN714" s="549">
        <v>0</v>
      </c>
      <c r="DO714" s="675">
        <v>0</v>
      </c>
      <c r="DP714" s="549">
        <v>0</v>
      </c>
      <c r="DQ714" s="675">
        <v>0</v>
      </c>
      <c r="DR714" s="549">
        <v>0</v>
      </c>
      <c r="DS714" s="675">
        <v>0</v>
      </c>
      <c r="DT714" s="549">
        <v>0</v>
      </c>
      <c r="DU714" s="675">
        <v>0</v>
      </c>
      <c r="DV714" s="549">
        <v>0</v>
      </c>
      <c r="DW714" s="675">
        <v>0</v>
      </c>
      <c r="DX714" s="549">
        <v>0</v>
      </c>
      <c r="DY714" s="675">
        <v>0</v>
      </c>
      <c r="DZ714" s="549">
        <v>0</v>
      </c>
      <c r="EA714" s="675">
        <v>0</v>
      </c>
      <c r="EB714" s="549">
        <v>0</v>
      </c>
      <c r="EC714" s="675">
        <v>0</v>
      </c>
      <c r="ED714" s="549">
        <v>0</v>
      </c>
      <c r="EE714" s="675">
        <v>0</v>
      </c>
      <c r="EF714" s="549">
        <v>0</v>
      </c>
      <c r="EG714" s="675">
        <v>0</v>
      </c>
      <c r="EH714" s="549">
        <v>0</v>
      </c>
      <c r="EI714" s="675">
        <v>0</v>
      </c>
      <c r="EJ714" s="549">
        <v>0</v>
      </c>
      <c r="EK714" s="675">
        <v>0</v>
      </c>
      <c r="EL714" s="549">
        <v>0</v>
      </c>
      <c r="EM714" s="675">
        <v>0</v>
      </c>
      <c r="EN714" s="549">
        <v>0</v>
      </c>
      <c r="EO714" s="675">
        <v>0</v>
      </c>
      <c r="EP714" s="549">
        <v>0</v>
      </c>
      <c r="EQ714" s="675">
        <v>0</v>
      </c>
      <c r="ER714" s="549">
        <v>0</v>
      </c>
      <c r="ES714" s="675">
        <v>0</v>
      </c>
      <c r="ET714" s="549">
        <v>0</v>
      </c>
      <c r="EU714" s="675">
        <v>0</v>
      </c>
      <c r="EV714" s="549">
        <v>0</v>
      </c>
      <c r="EW714" s="675">
        <v>0</v>
      </c>
      <c r="EX714" s="549">
        <v>0</v>
      </c>
      <c r="EY714" s="675">
        <v>0</v>
      </c>
      <c r="EZ714" s="549">
        <v>0</v>
      </c>
      <c r="FA714" s="675">
        <v>0</v>
      </c>
      <c r="FB714" s="549">
        <v>0</v>
      </c>
      <c r="FC714" s="675">
        <v>0</v>
      </c>
      <c r="FD714" s="549">
        <v>0</v>
      </c>
      <c r="FE714" s="675">
        <v>0</v>
      </c>
      <c r="FF714" s="549">
        <v>0</v>
      </c>
      <c r="FG714" s="675">
        <v>0</v>
      </c>
      <c r="FH714" s="549">
        <v>0</v>
      </c>
      <c r="FI714" s="675">
        <v>0</v>
      </c>
      <c r="FJ714" s="549">
        <v>0</v>
      </c>
      <c r="FK714" s="675">
        <v>0</v>
      </c>
      <c r="FL714" s="549">
        <v>0</v>
      </c>
      <c r="FM714" s="675">
        <v>0</v>
      </c>
      <c r="FN714" s="549">
        <v>0</v>
      </c>
      <c r="FO714" s="675">
        <v>0</v>
      </c>
      <c r="FP714" s="549">
        <v>0</v>
      </c>
      <c r="FQ714" s="675">
        <v>0</v>
      </c>
      <c r="FR714" s="549">
        <v>0</v>
      </c>
      <c r="FS714" s="675">
        <v>0</v>
      </c>
      <c r="FT714" s="549">
        <v>0</v>
      </c>
      <c r="FU714" s="675">
        <v>0</v>
      </c>
      <c r="FV714" s="549">
        <v>0</v>
      </c>
      <c r="FW714" s="675">
        <v>0</v>
      </c>
      <c r="FX714" s="549">
        <v>0</v>
      </c>
      <c r="FY714" s="675">
        <v>0</v>
      </c>
      <c r="FZ714" s="549">
        <v>0</v>
      </c>
      <c r="GA714" s="675">
        <v>0</v>
      </c>
      <c r="GB714" s="549">
        <v>0</v>
      </c>
      <c r="GC714" s="675">
        <v>0</v>
      </c>
      <c r="GD714" s="549">
        <v>0</v>
      </c>
      <c r="GE714" s="675">
        <v>0</v>
      </c>
      <c r="GF714" s="549">
        <v>0</v>
      </c>
      <c r="GG714" s="675">
        <v>0</v>
      </c>
      <c r="GH714" s="549">
        <v>0</v>
      </c>
      <c r="GI714" s="675">
        <v>0</v>
      </c>
      <c r="GJ714" s="549">
        <v>0</v>
      </c>
      <c r="GK714" s="675">
        <v>0</v>
      </c>
      <c r="GL714" s="549">
        <v>0</v>
      </c>
      <c r="GM714" s="675">
        <v>0</v>
      </c>
      <c r="GN714" s="549">
        <v>0</v>
      </c>
      <c r="GO714" s="675">
        <v>0</v>
      </c>
      <c r="GP714" s="549">
        <f t="shared" si="15901"/>
        <v>75037</v>
      </c>
      <c r="GQ714" s="675">
        <f t="shared" si="15902"/>
        <v>0</v>
      </c>
      <c r="GR714" s="74">
        <f>C714+GP714+GQ714</f>
        <v>75037</v>
      </c>
      <c r="GS714" s="74">
        <f t="shared" si="15933"/>
        <v>75037</v>
      </c>
      <c r="GT714" s="568">
        <f t="shared" si="15934"/>
        <v>75037</v>
      </c>
      <c r="GU714" s="275">
        <v>0</v>
      </c>
      <c r="GV714" s="275"/>
      <c r="GW714" s="588">
        <v>0</v>
      </c>
      <c r="GX714" s="588">
        <f t="shared" ref="GX714:GX715" si="15941">11460-11460</f>
        <v>0</v>
      </c>
      <c r="GY714" s="275"/>
      <c r="GZ714" s="275"/>
      <c r="HA714" s="275">
        <f t="shared" ref="HA714:HA715" si="15942">11460-11460</f>
        <v>0</v>
      </c>
      <c r="HB714" s="275"/>
      <c r="HC714" s="275"/>
      <c r="HD714" s="275">
        <f t="shared" ref="HD714:HD715" si="15943">7640-7640</f>
        <v>0</v>
      </c>
      <c r="HE714" s="275">
        <v>0</v>
      </c>
      <c r="HF714" s="275">
        <v>0</v>
      </c>
      <c r="HG714" s="74">
        <f t="shared" ref="HG714:HG715" si="15944">SUM(HH714:IE714)+GP714+GQ714</f>
        <v>75037</v>
      </c>
      <c r="HH714" s="89">
        <v>0</v>
      </c>
      <c r="HI714" s="817">
        <v>0</v>
      </c>
      <c r="HJ714" s="89">
        <v>0</v>
      </c>
      <c r="HK714" s="817">
        <v>0</v>
      </c>
      <c r="HL714" s="89">
        <v>0</v>
      </c>
      <c r="HM714" s="817">
        <v>0</v>
      </c>
      <c r="HN714" s="89">
        <v>0</v>
      </c>
      <c r="HO714" s="817">
        <v>0</v>
      </c>
      <c r="HP714" s="89">
        <v>0</v>
      </c>
      <c r="HQ714" s="817">
        <v>0</v>
      </c>
      <c r="HR714" s="89">
        <v>0</v>
      </c>
      <c r="HS714" s="817">
        <v>0</v>
      </c>
      <c r="HT714" s="89">
        <v>0</v>
      </c>
      <c r="HU714" s="817">
        <v>0</v>
      </c>
      <c r="HV714" s="89">
        <v>0</v>
      </c>
      <c r="HW714" s="817">
        <v>0</v>
      </c>
      <c r="HX714" s="89">
        <v>0</v>
      </c>
      <c r="HY714" s="817">
        <v>0</v>
      </c>
      <c r="HZ714" s="89">
        <v>0</v>
      </c>
      <c r="IA714" s="817">
        <v>0</v>
      </c>
      <c r="IB714" s="89">
        <v>0</v>
      </c>
      <c r="IC714" s="817">
        <v>0</v>
      </c>
      <c r="ID714" s="89">
        <v>0</v>
      </c>
      <c r="IE714" s="817">
        <v>0</v>
      </c>
      <c r="IF714" s="841">
        <f t="shared" ref="IF714:IF715" si="15945">SUM(II714,IL714,IO714,IR714,IU714,IX714,JA714,JD714,JG714,JJ714,JM714,JP714)</f>
        <v>0</v>
      </c>
      <c r="IG714" s="263">
        <f t="shared" ref="IG714:IG715" si="15946">SUM(IJ714,IM714,IP714,IS714,IV714,IY714,JB714,JE714,JH714,JK714,JN714,JQ714)</f>
        <v>0</v>
      </c>
      <c r="IH714" s="842">
        <f t="shared" ref="IH714:IH715" si="15947">SUM(IK714,IN714,IQ714,IT714,IW714,IZ714,JC714,JF714,JI714,JL714,JO714,JR714)</f>
        <v>0</v>
      </c>
      <c r="II714" s="89">
        <v>0</v>
      </c>
      <c r="IJ714" s="89">
        <f t="shared" ref="IJ714:IJ716" si="15948">II714</f>
        <v>0</v>
      </c>
      <c r="IK714" s="89">
        <f t="shared" ref="IK714:IK716" si="15949">IJ714</f>
        <v>0</v>
      </c>
      <c r="IL714" s="89">
        <v>0</v>
      </c>
      <c r="IM714" s="89">
        <f t="shared" ref="IM714:IM716" si="15950">IL714</f>
        <v>0</v>
      </c>
      <c r="IN714" s="89">
        <f t="shared" ref="IN714:IN716" si="15951">IM714</f>
        <v>0</v>
      </c>
      <c r="IO714" s="89">
        <v>0</v>
      </c>
      <c r="IP714" s="89">
        <f t="shared" ref="IP714:IP716" si="15952">IO714</f>
        <v>0</v>
      </c>
      <c r="IQ714" s="89">
        <f t="shared" ref="IQ714:IQ716" si="15953">IP714</f>
        <v>0</v>
      </c>
      <c r="IR714" s="89">
        <v>0</v>
      </c>
      <c r="IS714" s="89">
        <f t="shared" ref="IS714:IS716" si="15954">IR714</f>
        <v>0</v>
      </c>
      <c r="IT714" s="89">
        <f t="shared" ref="IT714:IT716" si="15955">IS714</f>
        <v>0</v>
      </c>
      <c r="IU714" s="89">
        <v>0</v>
      </c>
      <c r="IV714" s="89">
        <f t="shared" ref="IV714:IV716" si="15956">IU714</f>
        <v>0</v>
      </c>
      <c r="IW714" s="89">
        <f t="shared" ref="IW714:IW716" si="15957">IV714</f>
        <v>0</v>
      </c>
      <c r="IX714" s="89">
        <v>0</v>
      </c>
      <c r="IY714" s="89">
        <f t="shared" ref="IY714:IY716" si="15958">IX714</f>
        <v>0</v>
      </c>
      <c r="IZ714" s="89">
        <f t="shared" ref="IZ714:IZ716" si="15959">IY714</f>
        <v>0</v>
      </c>
      <c r="JA714" s="89">
        <v>0</v>
      </c>
      <c r="JB714" s="89">
        <f t="shared" ref="JB714:JB716" si="15960">JA714</f>
        <v>0</v>
      </c>
      <c r="JC714" s="89">
        <f t="shared" ref="JC714:JC716" si="15961">JB714</f>
        <v>0</v>
      </c>
      <c r="JD714" s="89">
        <v>0</v>
      </c>
      <c r="JE714" s="89">
        <f t="shared" ref="JE714:JE716" si="15962">JD714</f>
        <v>0</v>
      </c>
      <c r="JF714" s="89">
        <f t="shared" ref="JF714:JF716" si="15963">JE714</f>
        <v>0</v>
      </c>
      <c r="JG714" s="89">
        <v>0</v>
      </c>
      <c r="JH714" s="89">
        <f t="shared" ref="JH714:JH716" si="15964">JG714</f>
        <v>0</v>
      </c>
      <c r="JI714" s="89">
        <f t="shared" ref="JI714:JI716" si="15965">JH714</f>
        <v>0</v>
      </c>
      <c r="JJ714" s="89">
        <v>0</v>
      </c>
      <c r="JK714" s="89">
        <f t="shared" ref="JK714:JK716" si="15966">JJ714</f>
        <v>0</v>
      </c>
      <c r="JL714" s="89">
        <f t="shared" ref="JL714:JL716" si="15967">JK714</f>
        <v>0</v>
      </c>
      <c r="JM714" s="89">
        <v>0</v>
      </c>
      <c r="JN714" s="89">
        <f t="shared" ref="JN714:JN716" si="15968">JM714</f>
        <v>0</v>
      </c>
      <c r="JO714" s="89">
        <f t="shared" ref="JO714:JO716" si="15969">JN714</f>
        <v>0</v>
      </c>
      <c r="JP714" s="89">
        <v>0</v>
      </c>
      <c r="JQ714" s="89">
        <f t="shared" ref="JQ714:JQ715" si="15970">JP714</f>
        <v>0</v>
      </c>
      <c r="JR714" s="89">
        <f t="shared" ref="JR714:JR715" si="15971">JQ714</f>
        <v>0</v>
      </c>
      <c r="JS714" s="74">
        <f t="shared" si="15938"/>
        <v>75037</v>
      </c>
      <c r="JT714" s="382">
        <f t="shared" si="15939"/>
        <v>75037</v>
      </c>
      <c r="JU714" s="665"/>
      <c r="JV714" s="524"/>
      <c r="JW714" s="525"/>
      <c r="JX714" s="549">
        <f t="shared" ref="JX714:JX715" si="15972">SUM(HH714,HJ714,HL714,HN714,HP714,HR714,HT714,HV714,HX714,HZ714,IB714,ID714)</f>
        <v>0</v>
      </c>
      <c r="JY714" s="549">
        <f t="shared" ref="JY714:JY715" si="15973">SUM(HI714,HK714,HM714,HO714,HQ714,HS714,HU714,HW714,HY714,IA714,IC714,IE714)</f>
        <v>0</v>
      </c>
      <c r="JZ714" s="581">
        <f t="shared" ref="JZ714:JZ715" si="15974">GP714</f>
        <v>75037</v>
      </c>
      <c r="KA714" s="581">
        <f t="shared" ref="KA714:KA715" si="15975">GQ714</f>
        <v>0</v>
      </c>
      <c r="KB714" s="566">
        <f t="shared" si="15940"/>
        <v>75037</v>
      </c>
      <c r="KC714" s="709">
        <f t="shared" ref="KC714:KC715" si="15976">HG714-KB714</f>
        <v>0</v>
      </c>
      <c r="KD714" s="491"/>
      <c r="KE714" s="491"/>
      <c r="KF714" s="491"/>
      <c r="KG714" s="491"/>
      <c r="KH714" s="36"/>
      <c r="KI714" s="36"/>
      <c r="KJ714" s="36"/>
      <c r="KK714" s="36"/>
    </row>
    <row r="715" spans="1:297" s="8" customFormat="1">
      <c r="A715" s="612" t="s">
        <v>1226</v>
      </c>
      <c r="B715" s="512" t="s">
        <v>346</v>
      </c>
      <c r="C715" s="74">
        <v>0</v>
      </c>
      <c r="D715" s="549">
        <v>0</v>
      </c>
      <c r="E715" s="675">
        <v>0</v>
      </c>
      <c r="F715" s="549">
        <v>0</v>
      </c>
      <c r="G715" s="675">
        <v>0</v>
      </c>
      <c r="H715" s="549">
        <v>0</v>
      </c>
      <c r="I715" s="675">
        <v>0</v>
      </c>
      <c r="J715" s="549">
        <v>0</v>
      </c>
      <c r="K715" s="675">
        <v>0</v>
      </c>
      <c r="L715" s="549">
        <v>0</v>
      </c>
      <c r="M715" s="675">
        <v>0</v>
      </c>
      <c r="N715" s="549">
        <v>0</v>
      </c>
      <c r="O715" s="675">
        <v>0</v>
      </c>
      <c r="P715" s="549">
        <v>0</v>
      </c>
      <c r="Q715" s="675">
        <v>0</v>
      </c>
      <c r="R715" s="549">
        <v>0</v>
      </c>
      <c r="S715" s="675">
        <v>0</v>
      </c>
      <c r="T715" s="549">
        <v>31160</v>
      </c>
      <c r="U715" s="675">
        <v>0</v>
      </c>
      <c r="V715" s="549">
        <v>0</v>
      </c>
      <c r="W715" s="675">
        <v>0</v>
      </c>
      <c r="X715" s="549">
        <v>0</v>
      </c>
      <c r="Y715" s="675">
        <v>0</v>
      </c>
      <c r="Z715" s="549">
        <v>0</v>
      </c>
      <c r="AA715" s="675">
        <v>0</v>
      </c>
      <c r="AB715" s="549">
        <v>0</v>
      </c>
      <c r="AC715" s="675">
        <v>0</v>
      </c>
      <c r="AD715" s="549">
        <v>0</v>
      </c>
      <c r="AE715" s="675">
        <v>0</v>
      </c>
      <c r="AF715" s="549">
        <v>0</v>
      </c>
      <c r="AG715" s="675">
        <v>0</v>
      </c>
      <c r="AH715" s="549">
        <v>0</v>
      </c>
      <c r="AI715" s="675">
        <v>0</v>
      </c>
      <c r="AJ715" s="549">
        <v>0</v>
      </c>
      <c r="AK715" s="675">
        <v>0</v>
      </c>
      <c r="AL715" s="549">
        <v>0</v>
      </c>
      <c r="AM715" s="675">
        <v>0</v>
      </c>
      <c r="AN715" s="549">
        <v>0</v>
      </c>
      <c r="AO715" s="675">
        <v>0</v>
      </c>
      <c r="AP715" s="549">
        <v>0</v>
      </c>
      <c r="AQ715" s="675">
        <v>0</v>
      </c>
      <c r="AR715" s="549">
        <v>0</v>
      </c>
      <c r="AS715" s="675">
        <v>0</v>
      </c>
      <c r="AT715" s="549">
        <v>0</v>
      </c>
      <c r="AU715" s="675">
        <v>0</v>
      </c>
      <c r="AV715" s="549">
        <v>0</v>
      </c>
      <c r="AW715" s="675">
        <v>0</v>
      </c>
      <c r="AX715" s="549">
        <v>0</v>
      </c>
      <c r="AY715" s="675">
        <v>0</v>
      </c>
      <c r="AZ715" s="549">
        <v>0</v>
      </c>
      <c r="BA715" s="675">
        <v>0</v>
      </c>
      <c r="BB715" s="549">
        <v>0</v>
      </c>
      <c r="BC715" s="675">
        <v>0</v>
      </c>
      <c r="BD715" s="549">
        <v>0</v>
      </c>
      <c r="BE715" s="675">
        <v>0</v>
      </c>
      <c r="BF715" s="549">
        <v>0</v>
      </c>
      <c r="BG715" s="675">
        <v>0</v>
      </c>
      <c r="BH715" s="549">
        <v>0</v>
      </c>
      <c r="BI715" s="675">
        <v>0</v>
      </c>
      <c r="BJ715" s="549">
        <v>0</v>
      </c>
      <c r="BK715" s="675">
        <v>0</v>
      </c>
      <c r="BL715" s="549">
        <v>0</v>
      </c>
      <c r="BM715" s="675">
        <v>0</v>
      </c>
      <c r="BN715" s="549">
        <v>0</v>
      </c>
      <c r="BO715" s="675">
        <v>0</v>
      </c>
      <c r="BP715" s="549">
        <v>0</v>
      </c>
      <c r="BQ715" s="675">
        <v>0</v>
      </c>
      <c r="BR715" s="549">
        <v>0</v>
      </c>
      <c r="BS715" s="675">
        <v>0</v>
      </c>
      <c r="BT715" s="549">
        <v>0</v>
      </c>
      <c r="BU715" s="675">
        <v>0</v>
      </c>
      <c r="BV715" s="549">
        <v>0</v>
      </c>
      <c r="BW715" s="675">
        <v>0</v>
      </c>
      <c r="BX715" s="549">
        <v>0</v>
      </c>
      <c r="BY715" s="675">
        <v>0</v>
      </c>
      <c r="BZ715" s="549">
        <v>0</v>
      </c>
      <c r="CA715" s="675">
        <v>0</v>
      </c>
      <c r="CB715" s="549">
        <v>0</v>
      </c>
      <c r="CC715" s="675">
        <v>0</v>
      </c>
      <c r="CD715" s="549">
        <v>0</v>
      </c>
      <c r="CE715" s="675">
        <v>0</v>
      </c>
      <c r="CF715" s="549">
        <v>0</v>
      </c>
      <c r="CG715" s="675">
        <v>0</v>
      </c>
      <c r="CH715" s="549">
        <v>0</v>
      </c>
      <c r="CI715" s="675">
        <v>0</v>
      </c>
      <c r="CJ715" s="549">
        <v>0</v>
      </c>
      <c r="CK715" s="675">
        <v>0</v>
      </c>
      <c r="CL715" s="549">
        <v>0</v>
      </c>
      <c r="CM715" s="675">
        <v>0</v>
      </c>
      <c r="CN715" s="549">
        <v>0</v>
      </c>
      <c r="CO715" s="675">
        <v>0</v>
      </c>
      <c r="CP715" s="549">
        <v>0</v>
      </c>
      <c r="CQ715" s="675">
        <v>0</v>
      </c>
      <c r="CR715" s="549">
        <v>0</v>
      </c>
      <c r="CS715" s="675">
        <v>0</v>
      </c>
      <c r="CT715" s="549">
        <v>0</v>
      </c>
      <c r="CU715" s="675">
        <v>0</v>
      </c>
      <c r="CV715" s="549">
        <v>0</v>
      </c>
      <c r="CW715" s="675">
        <v>0</v>
      </c>
      <c r="CX715" s="549">
        <v>0</v>
      </c>
      <c r="CY715" s="675">
        <v>0</v>
      </c>
      <c r="CZ715" s="549">
        <v>0</v>
      </c>
      <c r="DA715" s="675">
        <v>0</v>
      </c>
      <c r="DB715" s="549">
        <v>0</v>
      </c>
      <c r="DC715" s="675">
        <v>0</v>
      </c>
      <c r="DD715" s="549">
        <v>0</v>
      </c>
      <c r="DE715" s="675">
        <v>0</v>
      </c>
      <c r="DF715" s="549">
        <v>0</v>
      </c>
      <c r="DG715" s="675">
        <v>0</v>
      </c>
      <c r="DH715" s="549">
        <v>0</v>
      </c>
      <c r="DI715" s="675">
        <v>0</v>
      </c>
      <c r="DJ715" s="549">
        <v>0</v>
      </c>
      <c r="DK715" s="675">
        <v>0</v>
      </c>
      <c r="DL715" s="549">
        <v>0</v>
      </c>
      <c r="DM715" s="675">
        <v>0</v>
      </c>
      <c r="DN715" s="549">
        <v>0</v>
      </c>
      <c r="DO715" s="675">
        <v>0</v>
      </c>
      <c r="DP715" s="549">
        <v>0</v>
      </c>
      <c r="DQ715" s="675">
        <v>0</v>
      </c>
      <c r="DR715" s="549">
        <v>0</v>
      </c>
      <c r="DS715" s="675">
        <v>0</v>
      </c>
      <c r="DT715" s="549">
        <v>0</v>
      </c>
      <c r="DU715" s="675">
        <v>0</v>
      </c>
      <c r="DV715" s="549">
        <v>0</v>
      </c>
      <c r="DW715" s="675">
        <v>0</v>
      </c>
      <c r="DX715" s="549">
        <v>0</v>
      </c>
      <c r="DY715" s="675">
        <v>0</v>
      </c>
      <c r="DZ715" s="549">
        <v>0</v>
      </c>
      <c r="EA715" s="675">
        <v>0</v>
      </c>
      <c r="EB715" s="549">
        <v>0</v>
      </c>
      <c r="EC715" s="675">
        <v>0</v>
      </c>
      <c r="ED715" s="549">
        <v>0</v>
      </c>
      <c r="EE715" s="675">
        <v>0</v>
      </c>
      <c r="EF715" s="549">
        <v>0</v>
      </c>
      <c r="EG715" s="675">
        <v>0</v>
      </c>
      <c r="EH715" s="549">
        <v>0</v>
      </c>
      <c r="EI715" s="675">
        <v>0</v>
      </c>
      <c r="EJ715" s="549">
        <v>0</v>
      </c>
      <c r="EK715" s="675">
        <v>0</v>
      </c>
      <c r="EL715" s="549">
        <v>0</v>
      </c>
      <c r="EM715" s="675">
        <v>0</v>
      </c>
      <c r="EN715" s="549">
        <v>0</v>
      </c>
      <c r="EO715" s="675">
        <v>0</v>
      </c>
      <c r="EP715" s="549">
        <v>0</v>
      </c>
      <c r="EQ715" s="675">
        <v>0</v>
      </c>
      <c r="ER715" s="549">
        <v>0</v>
      </c>
      <c r="ES715" s="675">
        <v>0</v>
      </c>
      <c r="ET715" s="549">
        <v>0</v>
      </c>
      <c r="EU715" s="675">
        <v>0</v>
      </c>
      <c r="EV715" s="549">
        <v>0</v>
      </c>
      <c r="EW715" s="675">
        <v>0</v>
      </c>
      <c r="EX715" s="549">
        <v>0</v>
      </c>
      <c r="EY715" s="675">
        <v>0</v>
      </c>
      <c r="EZ715" s="549">
        <v>0</v>
      </c>
      <c r="FA715" s="675">
        <v>0</v>
      </c>
      <c r="FB715" s="549">
        <v>0</v>
      </c>
      <c r="FC715" s="675">
        <v>0</v>
      </c>
      <c r="FD715" s="549">
        <v>0</v>
      </c>
      <c r="FE715" s="675">
        <v>0</v>
      </c>
      <c r="FF715" s="549">
        <v>0</v>
      </c>
      <c r="FG715" s="675">
        <v>0</v>
      </c>
      <c r="FH715" s="549">
        <v>0</v>
      </c>
      <c r="FI715" s="675">
        <v>0</v>
      </c>
      <c r="FJ715" s="549">
        <v>0</v>
      </c>
      <c r="FK715" s="675">
        <v>0</v>
      </c>
      <c r="FL715" s="549">
        <v>0</v>
      </c>
      <c r="FM715" s="675">
        <v>0</v>
      </c>
      <c r="FN715" s="549">
        <v>0</v>
      </c>
      <c r="FO715" s="675">
        <v>0</v>
      </c>
      <c r="FP715" s="549">
        <v>0</v>
      </c>
      <c r="FQ715" s="675">
        <v>0</v>
      </c>
      <c r="FR715" s="549">
        <v>0</v>
      </c>
      <c r="FS715" s="675">
        <v>0</v>
      </c>
      <c r="FT715" s="549">
        <v>0</v>
      </c>
      <c r="FU715" s="675">
        <v>0</v>
      </c>
      <c r="FV715" s="549">
        <v>0</v>
      </c>
      <c r="FW715" s="675">
        <v>0</v>
      </c>
      <c r="FX715" s="549">
        <v>0</v>
      </c>
      <c r="FY715" s="675">
        <v>0</v>
      </c>
      <c r="FZ715" s="549">
        <v>0</v>
      </c>
      <c r="GA715" s="675">
        <v>0</v>
      </c>
      <c r="GB715" s="549">
        <v>0</v>
      </c>
      <c r="GC715" s="675">
        <v>0</v>
      </c>
      <c r="GD715" s="549">
        <v>0</v>
      </c>
      <c r="GE715" s="675">
        <v>0</v>
      </c>
      <c r="GF715" s="549">
        <v>0</v>
      </c>
      <c r="GG715" s="675">
        <v>0</v>
      </c>
      <c r="GH715" s="549">
        <v>0</v>
      </c>
      <c r="GI715" s="675">
        <v>0</v>
      </c>
      <c r="GJ715" s="549">
        <v>0</v>
      </c>
      <c r="GK715" s="675">
        <v>0</v>
      </c>
      <c r="GL715" s="549">
        <v>0</v>
      </c>
      <c r="GM715" s="675">
        <v>0</v>
      </c>
      <c r="GN715" s="549">
        <v>0</v>
      </c>
      <c r="GO715" s="675">
        <v>0</v>
      </c>
      <c r="GP715" s="549">
        <f t="shared" si="15901"/>
        <v>31160</v>
      </c>
      <c r="GQ715" s="675">
        <f t="shared" si="15902"/>
        <v>0</v>
      </c>
      <c r="GR715" s="74">
        <f>C715+GP715+GQ715</f>
        <v>31160</v>
      </c>
      <c r="GS715" s="74">
        <f t="shared" si="15933"/>
        <v>31160</v>
      </c>
      <c r="GT715" s="568">
        <f t="shared" si="15934"/>
        <v>31160</v>
      </c>
      <c r="GU715" s="275">
        <v>0</v>
      </c>
      <c r="GV715" s="275"/>
      <c r="GW715" s="588">
        <v>0</v>
      </c>
      <c r="GX715" s="588">
        <f t="shared" si="15941"/>
        <v>0</v>
      </c>
      <c r="GY715" s="275"/>
      <c r="GZ715" s="275"/>
      <c r="HA715" s="275">
        <f t="shared" si="15942"/>
        <v>0</v>
      </c>
      <c r="HB715" s="275"/>
      <c r="HC715" s="275"/>
      <c r="HD715" s="275">
        <f t="shared" si="15943"/>
        <v>0</v>
      </c>
      <c r="HE715" s="275">
        <v>0</v>
      </c>
      <c r="HF715" s="275">
        <v>0</v>
      </c>
      <c r="HG715" s="74">
        <f t="shared" si="15944"/>
        <v>31160</v>
      </c>
      <c r="HH715" s="89">
        <v>0</v>
      </c>
      <c r="HI715" s="817">
        <v>0</v>
      </c>
      <c r="HJ715" s="89">
        <v>0</v>
      </c>
      <c r="HK715" s="817">
        <v>0</v>
      </c>
      <c r="HL715" s="89">
        <v>0</v>
      </c>
      <c r="HM715" s="817">
        <v>0</v>
      </c>
      <c r="HN715" s="89">
        <v>0</v>
      </c>
      <c r="HO715" s="817">
        <v>0</v>
      </c>
      <c r="HP715" s="89">
        <v>0</v>
      </c>
      <c r="HQ715" s="817">
        <v>0</v>
      </c>
      <c r="HR715" s="89">
        <v>0</v>
      </c>
      <c r="HS715" s="817">
        <v>0</v>
      </c>
      <c r="HT715" s="89">
        <v>0</v>
      </c>
      <c r="HU715" s="817">
        <v>0</v>
      </c>
      <c r="HV715" s="89">
        <v>0</v>
      </c>
      <c r="HW715" s="817">
        <v>0</v>
      </c>
      <c r="HX715" s="89">
        <v>0</v>
      </c>
      <c r="HY715" s="817">
        <v>0</v>
      </c>
      <c r="HZ715" s="89">
        <v>0</v>
      </c>
      <c r="IA715" s="817">
        <v>0</v>
      </c>
      <c r="IB715" s="89">
        <v>0</v>
      </c>
      <c r="IC715" s="817">
        <v>0</v>
      </c>
      <c r="ID715" s="89">
        <v>0</v>
      </c>
      <c r="IE715" s="817">
        <v>0</v>
      </c>
      <c r="IF715" s="841">
        <f t="shared" si="15945"/>
        <v>0</v>
      </c>
      <c r="IG715" s="263">
        <f t="shared" si="15946"/>
        <v>0</v>
      </c>
      <c r="IH715" s="842">
        <f t="shared" si="15947"/>
        <v>0</v>
      </c>
      <c r="II715" s="89">
        <v>0</v>
      </c>
      <c r="IJ715" s="89">
        <f t="shared" si="15948"/>
        <v>0</v>
      </c>
      <c r="IK715" s="89">
        <f t="shared" si="15949"/>
        <v>0</v>
      </c>
      <c r="IL715" s="89">
        <v>0</v>
      </c>
      <c r="IM715" s="89">
        <f t="shared" si="15950"/>
        <v>0</v>
      </c>
      <c r="IN715" s="89">
        <f t="shared" si="15951"/>
        <v>0</v>
      </c>
      <c r="IO715" s="89">
        <v>0</v>
      </c>
      <c r="IP715" s="89">
        <f t="shared" si="15952"/>
        <v>0</v>
      </c>
      <c r="IQ715" s="89">
        <f t="shared" si="15953"/>
        <v>0</v>
      </c>
      <c r="IR715" s="89">
        <v>0</v>
      </c>
      <c r="IS715" s="89">
        <f t="shared" si="15954"/>
        <v>0</v>
      </c>
      <c r="IT715" s="89">
        <f t="shared" si="15955"/>
        <v>0</v>
      </c>
      <c r="IU715" s="89">
        <v>0</v>
      </c>
      <c r="IV715" s="89">
        <f t="shared" si="15956"/>
        <v>0</v>
      </c>
      <c r="IW715" s="89">
        <f t="shared" si="15957"/>
        <v>0</v>
      </c>
      <c r="IX715" s="89">
        <v>0</v>
      </c>
      <c r="IY715" s="89">
        <f t="shared" si="15958"/>
        <v>0</v>
      </c>
      <c r="IZ715" s="89">
        <f t="shared" si="15959"/>
        <v>0</v>
      </c>
      <c r="JA715" s="89">
        <v>0</v>
      </c>
      <c r="JB715" s="89">
        <f t="shared" si="15960"/>
        <v>0</v>
      </c>
      <c r="JC715" s="89">
        <f t="shared" si="15961"/>
        <v>0</v>
      </c>
      <c r="JD715" s="89">
        <v>0</v>
      </c>
      <c r="JE715" s="89">
        <f t="shared" si="15962"/>
        <v>0</v>
      </c>
      <c r="JF715" s="89">
        <f t="shared" si="15963"/>
        <v>0</v>
      </c>
      <c r="JG715" s="89">
        <v>0</v>
      </c>
      <c r="JH715" s="89">
        <f t="shared" si="15964"/>
        <v>0</v>
      </c>
      <c r="JI715" s="89">
        <f t="shared" si="15965"/>
        <v>0</v>
      </c>
      <c r="JJ715" s="89">
        <v>0</v>
      </c>
      <c r="JK715" s="89">
        <f t="shared" si="15966"/>
        <v>0</v>
      </c>
      <c r="JL715" s="89">
        <f t="shared" si="15967"/>
        <v>0</v>
      </c>
      <c r="JM715" s="89">
        <v>0</v>
      </c>
      <c r="JN715" s="89">
        <f t="shared" si="15968"/>
        <v>0</v>
      </c>
      <c r="JO715" s="89">
        <f t="shared" si="15969"/>
        <v>0</v>
      </c>
      <c r="JP715" s="89">
        <v>0</v>
      </c>
      <c r="JQ715" s="89">
        <f t="shared" si="15970"/>
        <v>0</v>
      </c>
      <c r="JR715" s="89">
        <f t="shared" si="15971"/>
        <v>0</v>
      </c>
      <c r="JS715" s="74">
        <f t="shared" ref="JS715" si="15977">HG715-IF715</f>
        <v>31160</v>
      </c>
      <c r="JT715" s="382">
        <f t="shared" ref="JT715" si="15978">GS715-IF715</f>
        <v>31160</v>
      </c>
      <c r="JU715" s="665"/>
      <c r="JV715" s="524"/>
      <c r="JW715" s="525"/>
      <c r="JX715" s="549">
        <f t="shared" si="15972"/>
        <v>0</v>
      </c>
      <c r="JY715" s="549">
        <f t="shared" si="15973"/>
        <v>0</v>
      </c>
      <c r="JZ715" s="581">
        <f t="shared" si="15974"/>
        <v>31160</v>
      </c>
      <c r="KA715" s="581">
        <f t="shared" si="15975"/>
        <v>0</v>
      </c>
      <c r="KB715" s="566">
        <f t="shared" ref="KB715" si="15979">SUM(JX715:KA715)</f>
        <v>31160</v>
      </c>
      <c r="KC715" s="709">
        <f t="shared" si="15976"/>
        <v>0</v>
      </c>
      <c r="KD715" s="491"/>
      <c r="KE715" s="491"/>
      <c r="KF715" s="491"/>
      <c r="KG715" s="491"/>
      <c r="KH715" s="36"/>
      <c r="KI715" s="36"/>
      <c r="KJ715" s="36"/>
      <c r="KK715" s="36"/>
    </row>
    <row r="716" spans="1:297" s="8" customFormat="1">
      <c r="A716" s="612" t="s">
        <v>1169</v>
      </c>
      <c r="B716" s="512" t="s">
        <v>346</v>
      </c>
      <c r="C716" s="74">
        <v>61800</v>
      </c>
      <c r="D716" s="549">
        <v>0</v>
      </c>
      <c r="E716" s="675">
        <v>0</v>
      </c>
      <c r="F716" s="549">
        <v>0</v>
      </c>
      <c r="G716" s="675">
        <v>0</v>
      </c>
      <c r="H716" s="549">
        <v>0</v>
      </c>
      <c r="I716" s="675">
        <v>0</v>
      </c>
      <c r="J716" s="549">
        <v>0</v>
      </c>
      <c r="K716" s="675">
        <v>0</v>
      </c>
      <c r="L716" s="549">
        <v>0</v>
      </c>
      <c r="M716" s="675">
        <v>0</v>
      </c>
      <c r="N716" s="549">
        <v>0</v>
      </c>
      <c r="O716" s="675">
        <v>0</v>
      </c>
      <c r="P716" s="549">
        <v>0</v>
      </c>
      <c r="Q716" s="675">
        <v>0</v>
      </c>
      <c r="R716" s="549">
        <v>0</v>
      </c>
      <c r="S716" s="675">
        <v>0</v>
      </c>
      <c r="T716" s="549">
        <v>86308</v>
      </c>
      <c r="U716" s="675">
        <v>0</v>
      </c>
      <c r="V716" s="549">
        <v>0</v>
      </c>
      <c r="W716" s="675">
        <v>0</v>
      </c>
      <c r="X716" s="549">
        <v>0</v>
      </c>
      <c r="Y716" s="675">
        <v>0</v>
      </c>
      <c r="Z716" s="549">
        <v>0</v>
      </c>
      <c r="AA716" s="675">
        <v>0</v>
      </c>
      <c r="AB716" s="549">
        <v>0</v>
      </c>
      <c r="AC716" s="675">
        <v>0</v>
      </c>
      <c r="AD716" s="549">
        <v>0</v>
      </c>
      <c r="AE716" s="675">
        <v>0</v>
      </c>
      <c r="AF716" s="549">
        <v>0</v>
      </c>
      <c r="AG716" s="675">
        <v>0</v>
      </c>
      <c r="AH716" s="549">
        <v>0</v>
      </c>
      <c r="AI716" s="675">
        <v>0</v>
      </c>
      <c r="AJ716" s="549">
        <v>0</v>
      </c>
      <c r="AK716" s="675">
        <v>0</v>
      </c>
      <c r="AL716" s="549">
        <v>0</v>
      </c>
      <c r="AM716" s="675">
        <v>0</v>
      </c>
      <c r="AN716" s="549">
        <v>0</v>
      </c>
      <c r="AO716" s="675">
        <v>0</v>
      </c>
      <c r="AP716" s="549">
        <v>0</v>
      </c>
      <c r="AQ716" s="675">
        <v>0</v>
      </c>
      <c r="AR716" s="549">
        <v>0</v>
      </c>
      <c r="AS716" s="675">
        <v>0</v>
      </c>
      <c r="AT716" s="549">
        <v>0</v>
      </c>
      <c r="AU716" s="675">
        <v>0</v>
      </c>
      <c r="AV716" s="549">
        <v>0</v>
      </c>
      <c r="AW716" s="675">
        <v>0</v>
      </c>
      <c r="AX716" s="549">
        <v>0</v>
      </c>
      <c r="AY716" s="675">
        <v>0</v>
      </c>
      <c r="AZ716" s="549">
        <v>0</v>
      </c>
      <c r="BA716" s="675">
        <v>0</v>
      </c>
      <c r="BB716" s="549">
        <v>0</v>
      </c>
      <c r="BC716" s="675">
        <v>0</v>
      </c>
      <c r="BD716" s="549">
        <v>0</v>
      </c>
      <c r="BE716" s="675">
        <v>0</v>
      </c>
      <c r="BF716" s="549">
        <v>0</v>
      </c>
      <c r="BG716" s="675">
        <v>0</v>
      </c>
      <c r="BH716" s="549">
        <v>0</v>
      </c>
      <c r="BI716" s="675">
        <v>0</v>
      </c>
      <c r="BJ716" s="549">
        <v>0</v>
      </c>
      <c r="BK716" s="675">
        <v>0</v>
      </c>
      <c r="BL716" s="549">
        <v>0</v>
      </c>
      <c r="BM716" s="675">
        <v>0</v>
      </c>
      <c r="BN716" s="549">
        <v>0</v>
      </c>
      <c r="BO716" s="675">
        <v>0</v>
      </c>
      <c r="BP716" s="549">
        <v>0</v>
      </c>
      <c r="BQ716" s="675">
        <v>0</v>
      </c>
      <c r="BR716" s="549">
        <v>0</v>
      </c>
      <c r="BS716" s="675">
        <v>0</v>
      </c>
      <c r="BT716" s="549">
        <v>0</v>
      </c>
      <c r="BU716" s="675">
        <v>0</v>
      </c>
      <c r="BV716" s="549">
        <v>0</v>
      </c>
      <c r="BW716" s="675">
        <v>0</v>
      </c>
      <c r="BX716" s="549">
        <v>0</v>
      </c>
      <c r="BY716" s="675">
        <v>0</v>
      </c>
      <c r="BZ716" s="549">
        <v>0</v>
      </c>
      <c r="CA716" s="675">
        <v>0</v>
      </c>
      <c r="CB716" s="549">
        <v>0</v>
      </c>
      <c r="CC716" s="675">
        <v>0</v>
      </c>
      <c r="CD716" s="549">
        <v>0</v>
      </c>
      <c r="CE716" s="675">
        <v>0</v>
      </c>
      <c r="CF716" s="549">
        <v>0</v>
      </c>
      <c r="CG716" s="675">
        <v>0</v>
      </c>
      <c r="CH716" s="549">
        <v>0</v>
      </c>
      <c r="CI716" s="675">
        <v>0</v>
      </c>
      <c r="CJ716" s="549">
        <v>0</v>
      </c>
      <c r="CK716" s="675">
        <v>0</v>
      </c>
      <c r="CL716" s="549">
        <v>0</v>
      </c>
      <c r="CM716" s="675">
        <v>0</v>
      </c>
      <c r="CN716" s="549">
        <v>0</v>
      </c>
      <c r="CO716" s="675">
        <v>0</v>
      </c>
      <c r="CP716" s="549">
        <v>0</v>
      </c>
      <c r="CQ716" s="675">
        <v>0</v>
      </c>
      <c r="CR716" s="549">
        <v>65854</v>
      </c>
      <c r="CS716" s="675">
        <v>0</v>
      </c>
      <c r="CT716" s="549">
        <v>0</v>
      </c>
      <c r="CU716" s="675">
        <v>0</v>
      </c>
      <c r="CV716" s="549">
        <v>0</v>
      </c>
      <c r="CW716" s="675">
        <v>0</v>
      </c>
      <c r="CX716" s="549">
        <v>0</v>
      </c>
      <c r="CY716" s="675">
        <v>0</v>
      </c>
      <c r="CZ716" s="549">
        <v>0</v>
      </c>
      <c r="DA716" s="675">
        <v>0</v>
      </c>
      <c r="DB716" s="549">
        <v>0</v>
      </c>
      <c r="DC716" s="675">
        <v>0</v>
      </c>
      <c r="DD716" s="549">
        <v>0</v>
      </c>
      <c r="DE716" s="675">
        <v>0</v>
      </c>
      <c r="DF716" s="549">
        <v>0</v>
      </c>
      <c r="DG716" s="675">
        <v>0</v>
      </c>
      <c r="DH716" s="549">
        <v>0</v>
      </c>
      <c r="DI716" s="675">
        <v>0</v>
      </c>
      <c r="DJ716" s="549">
        <v>0</v>
      </c>
      <c r="DK716" s="675">
        <v>0</v>
      </c>
      <c r="DL716" s="549">
        <v>0</v>
      </c>
      <c r="DM716" s="675">
        <v>0</v>
      </c>
      <c r="DN716" s="549">
        <v>0</v>
      </c>
      <c r="DO716" s="675">
        <v>0</v>
      </c>
      <c r="DP716" s="549">
        <v>0</v>
      </c>
      <c r="DQ716" s="675">
        <v>0</v>
      </c>
      <c r="DR716" s="549">
        <v>0</v>
      </c>
      <c r="DS716" s="675">
        <v>0</v>
      </c>
      <c r="DT716" s="549">
        <v>0</v>
      </c>
      <c r="DU716" s="675">
        <v>0</v>
      </c>
      <c r="DV716" s="549">
        <v>0</v>
      </c>
      <c r="DW716" s="675">
        <v>0</v>
      </c>
      <c r="DX716" s="549">
        <v>0</v>
      </c>
      <c r="DY716" s="675">
        <v>-65000</v>
      </c>
      <c r="DZ716" s="549">
        <v>0</v>
      </c>
      <c r="EA716" s="675">
        <v>0</v>
      </c>
      <c r="EB716" s="549">
        <v>0</v>
      </c>
      <c r="EC716" s="675">
        <v>0</v>
      </c>
      <c r="ED716" s="549">
        <v>0</v>
      </c>
      <c r="EE716" s="675">
        <v>0</v>
      </c>
      <c r="EF716" s="549">
        <v>0</v>
      </c>
      <c r="EG716" s="675">
        <v>0</v>
      </c>
      <c r="EH716" s="549">
        <v>0</v>
      </c>
      <c r="EI716" s="675">
        <v>0</v>
      </c>
      <c r="EJ716" s="549">
        <v>0</v>
      </c>
      <c r="EK716" s="675">
        <v>0</v>
      </c>
      <c r="EL716" s="549">
        <v>0</v>
      </c>
      <c r="EM716" s="675">
        <v>0</v>
      </c>
      <c r="EN716" s="549">
        <v>0</v>
      </c>
      <c r="EO716" s="675">
        <v>0</v>
      </c>
      <c r="EP716" s="549">
        <v>0</v>
      </c>
      <c r="EQ716" s="675">
        <v>0</v>
      </c>
      <c r="ER716" s="549">
        <v>0</v>
      </c>
      <c r="ES716" s="675">
        <v>0</v>
      </c>
      <c r="ET716" s="549">
        <v>0</v>
      </c>
      <c r="EU716" s="675">
        <v>0</v>
      </c>
      <c r="EV716" s="549">
        <v>0</v>
      </c>
      <c r="EW716" s="675">
        <v>0</v>
      </c>
      <c r="EX716" s="549">
        <v>0</v>
      </c>
      <c r="EY716" s="675">
        <v>0</v>
      </c>
      <c r="EZ716" s="549">
        <v>0</v>
      </c>
      <c r="FA716" s="675">
        <v>0</v>
      </c>
      <c r="FB716" s="549">
        <v>0</v>
      </c>
      <c r="FC716" s="675">
        <v>0</v>
      </c>
      <c r="FD716" s="549">
        <v>0</v>
      </c>
      <c r="FE716" s="675">
        <v>0</v>
      </c>
      <c r="FF716" s="549">
        <v>0</v>
      </c>
      <c r="FG716" s="675">
        <v>0</v>
      </c>
      <c r="FH716" s="549">
        <v>0</v>
      </c>
      <c r="FI716" s="675">
        <v>0</v>
      </c>
      <c r="FJ716" s="549">
        <v>0</v>
      </c>
      <c r="FK716" s="675">
        <v>0</v>
      </c>
      <c r="FL716" s="549">
        <v>0</v>
      </c>
      <c r="FM716" s="675">
        <v>0</v>
      </c>
      <c r="FN716" s="549">
        <v>0</v>
      </c>
      <c r="FO716" s="675">
        <v>-905</v>
      </c>
      <c r="FP716" s="549">
        <v>0</v>
      </c>
      <c r="FQ716" s="675">
        <v>0</v>
      </c>
      <c r="FR716" s="549">
        <v>0</v>
      </c>
      <c r="FS716" s="675">
        <v>0</v>
      </c>
      <c r="FT716" s="549">
        <v>0</v>
      </c>
      <c r="FU716" s="675">
        <v>0</v>
      </c>
      <c r="FV716" s="549">
        <v>0</v>
      </c>
      <c r="FW716" s="675">
        <v>0</v>
      </c>
      <c r="FX716" s="549">
        <v>0</v>
      </c>
      <c r="FY716" s="675">
        <v>0</v>
      </c>
      <c r="FZ716" s="549">
        <v>0</v>
      </c>
      <c r="GA716" s="675">
        <v>0</v>
      </c>
      <c r="GB716" s="549">
        <v>0</v>
      </c>
      <c r="GC716" s="675">
        <v>0</v>
      </c>
      <c r="GD716" s="549">
        <v>0</v>
      </c>
      <c r="GE716" s="675">
        <v>0</v>
      </c>
      <c r="GF716" s="549">
        <v>0</v>
      </c>
      <c r="GG716" s="675">
        <v>0</v>
      </c>
      <c r="GH716" s="549">
        <v>0</v>
      </c>
      <c r="GI716" s="675">
        <v>0</v>
      </c>
      <c r="GJ716" s="549">
        <v>0</v>
      </c>
      <c r="GK716" s="675">
        <v>0</v>
      </c>
      <c r="GL716" s="549">
        <v>0</v>
      </c>
      <c r="GM716" s="675">
        <v>0</v>
      </c>
      <c r="GN716" s="549">
        <v>0</v>
      </c>
      <c r="GO716" s="675">
        <v>0</v>
      </c>
      <c r="GP716" s="549">
        <f t="shared" si="15901"/>
        <v>152162</v>
      </c>
      <c r="GQ716" s="675">
        <f t="shared" si="15902"/>
        <v>-65905</v>
      </c>
      <c r="GR716" s="74">
        <f>C716+GP716+GQ716</f>
        <v>148057</v>
      </c>
      <c r="GS716" s="74">
        <f t="shared" si="15933"/>
        <v>148057</v>
      </c>
      <c r="GT716" s="568">
        <f>SUM(GU716:HF716)+GQ716+GP716</f>
        <v>148057</v>
      </c>
      <c r="GU716" s="275">
        <v>12360</v>
      </c>
      <c r="GV716" s="275">
        <v>49440</v>
      </c>
      <c r="GW716" s="588"/>
      <c r="GX716" s="588">
        <f>18540-18540</f>
        <v>0</v>
      </c>
      <c r="GY716" s="275"/>
      <c r="GZ716" s="275"/>
      <c r="HA716" s="275">
        <f>18540-18540</f>
        <v>0</v>
      </c>
      <c r="HB716" s="275"/>
      <c r="HC716" s="275"/>
      <c r="HD716" s="275">
        <f>12360-12360</f>
        <v>0</v>
      </c>
      <c r="HE716" s="275">
        <v>0</v>
      </c>
      <c r="HF716" s="275">
        <v>0</v>
      </c>
      <c r="HG716" s="74">
        <f>SUM(HH716:IE716)+GP716+GQ716</f>
        <v>148057</v>
      </c>
      <c r="HH716" s="89">
        <v>0</v>
      </c>
      <c r="HI716" s="817">
        <v>0</v>
      </c>
      <c r="HJ716" s="89">
        <v>0</v>
      </c>
      <c r="HK716" s="817">
        <v>0</v>
      </c>
      <c r="HL716" s="89">
        <v>0</v>
      </c>
      <c r="HM716" s="817">
        <v>0</v>
      </c>
      <c r="HN716" s="89">
        <v>0</v>
      </c>
      <c r="HO716" s="817">
        <f>42888.77+18911.23</f>
        <v>61800</v>
      </c>
      <c r="HP716" s="89">
        <v>0</v>
      </c>
      <c r="HQ716" s="817">
        <v>0</v>
      </c>
      <c r="HR716" s="89">
        <v>0</v>
      </c>
      <c r="HS716" s="817">
        <v>0</v>
      </c>
      <c r="HT716" s="89">
        <v>0</v>
      </c>
      <c r="HU716" s="817">
        <v>0</v>
      </c>
      <c r="HV716" s="89">
        <v>0</v>
      </c>
      <c r="HW716" s="817">
        <v>0</v>
      </c>
      <c r="HX716" s="89">
        <v>0</v>
      </c>
      <c r="HY716" s="817">
        <v>0</v>
      </c>
      <c r="HZ716" s="89">
        <v>0</v>
      </c>
      <c r="IA716" s="817">
        <v>0</v>
      </c>
      <c r="IB716" s="89">
        <v>0</v>
      </c>
      <c r="IC716" s="817">
        <v>0</v>
      </c>
      <c r="ID716" s="89">
        <v>0</v>
      </c>
      <c r="IE716" s="817">
        <v>0</v>
      </c>
      <c r="IF716" s="841">
        <f t="shared" ref="IF716" si="15980">SUM(II716,IL716,IO716,IR716,IU716,IX716,JA716,JD716,JG716,JJ716,JM716,JP716)</f>
        <v>105219.23</v>
      </c>
      <c r="IG716" s="263">
        <f t="shared" ref="IG716" si="15981">SUM(IJ716,IM716,IP716,IS716,IV716,IY716,JB716,JE716,JH716,JK716,JN716,JQ716)</f>
        <v>105219.23</v>
      </c>
      <c r="IH716" s="842">
        <f t="shared" ref="IH716" si="15982">SUM(IK716,IN716,IQ716,IT716,IW716,IZ716,JC716,JF716,JI716,JL716,JO716,JR716)</f>
        <v>105219.23</v>
      </c>
      <c r="II716" s="89">
        <v>0</v>
      </c>
      <c r="IJ716" s="89">
        <f t="shared" si="15948"/>
        <v>0</v>
      </c>
      <c r="IK716" s="89">
        <f t="shared" si="15949"/>
        <v>0</v>
      </c>
      <c r="IL716" s="89">
        <v>0</v>
      </c>
      <c r="IM716" s="89">
        <f t="shared" si="15950"/>
        <v>0</v>
      </c>
      <c r="IN716" s="89">
        <f t="shared" si="15951"/>
        <v>0</v>
      </c>
      <c r="IO716" s="89">
        <v>0</v>
      </c>
      <c r="IP716" s="89">
        <f t="shared" si="15952"/>
        <v>0</v>
      </c>
      <c r="IQ716" s="89">
        <f t="shared" si="15953"/>
        <v>0</v>
      </c>
      <c r="IR716" s="89">
        <v>105219.23</v>
      </c>
      <c r="IS716" s="89">
        <f t="shared" si="15954"/>
        <v>105219.23</v>
      </c>
      <c r="IT716" s="89">
        <f t="shared" si="15955"/>
        <v>105219.23</v>
      </c>
      <c r="IU716" s="89">
        <v>0</v>
      </c>
      <c r="IV716" s="89">
        <f t="shared" si="15956"/>
        <v>0</v>
      </c>
      <c r="IW716" s="89">
        <f t="shared" si="15957"/>
        <v>0</v>
      </c>
      <c r="IX716" s="89">
        <v>0</v>
      </c>
      <c r="IY716" s="89">
        <f t="shared" si="15958"/>
        <v>0</v>
      </c>
      <c r="IZ716" s="89">
        <f t="shared" si="15959"/>
        <v>0</v>
      </c>
      <c r="JA716" s="89">
        <f>105219.23-105219.23</f>
        <v>0</v>
      </c>
      <c r="JB716" s="89">
        <f t="shared" si="15960"/>
        <v>0</v>
      </c>
      <c r="JC716" s="89">
        <f t="shared" si="15961"/>
        <v>0</v>
      </c>
      <c r="JD716" s="89">
        <v>0</v>
      </c>
      <c r="JE716" s="89">
        <f t="shared" si="15962"/>
        <v>0</v>
      </c>
      <c r="JF716" s="89">
        <f t="shared" si="15963"/>
        <v>0</v>
      </c>
      <c r="JG716" s="89">
        <v>0</v>
      </c>
      <c r="JH716" s="89">
        <f t="shared" si="15964"/>
        <v>0</v>
      </c>
      <c r="JI716" s="89">
        <f t="shared" si="15965"/>
        <v>0</v>
      </c>
      <c r="JJ716" s="89">
        <v>0</v>
      </c>
      <c r="JK716" s="89">
        <f t="shared" si="15966"/>
        <v>0</v>
      </c>
      <c r="JL716" s="89">
        <f t="shared" si="15967"/>
        <v>0</v>
      </c>
      <c r="JM716" s="89">
        <v>0</v>
      </c>
      <c r="JN716" s="89">
        <f t="shared" si="15968"/>
        <v>0</v>
      </c>
      <c r="JO716" s="89">
        <f t="shared" si="15969"/>
        <v>0</v>
      </c>
      <c r="JP716" s="89">
        <v>0</v>
      </c>
      <c r="JQ716" s="89">
        <f t="shared" ref="JQ716" si="15983">JP716</f>
        <v>0</v>
      </c>
      <c r="JR716" s="89">
        <f t="shared" ref="JR716" si="15984">JQ716</f>
        <v>0</v>
      </c>
      <c r="JS716" s="74">
        <f>HG716-IF716</f>
        <v>42837.770000000004</v>
      </c>
      <c r="JT716" s="382">
        <f>GS716-IF716</f>
        <v>42837.770000000004</v>
      </c>
      <c r="JU716" s="665"/>
      <c r="JV716" s="524"/>
      <c r="JW716" s="525"/>
      <c r="JX716" s="549">
        <f>SUM(HH716,HJ716,HL716,HN716,HP716,HR716,HT716,HV716,HX716,HZ716,IB716,ID716)</f>
        <v>0</v>
      </c>
      <c r="JY716" s="549">
        <f t="shared" ref="JY716" si="15985">SUM(HI716,HK716,HM716,HO716,HQ716,HS716,HU716,HW716,HY716,IA716,IC716,IE716)</f>
        <v>61800</v>
      </c>
      <c r="JZ716" s="581">
        <f t="shared" ref="JZ716" si="15986">GP716</f>
        <v>152162</v>
      </c>
      <c r="KA716" s="581">
        <f t="shared" ref="KA716" si="15987">GQ716</f>
        <v>-65905</v>
      </c>
      <c r="KB716" s="566">
        <f>SUM(JX716:KA716)</f>
        <v>148057</v>
      </c>
      <c r="KC716" s="709">
        <f>HG716-KB716</f>
        <v>0</v>
      </c>
      <c r="KD716" s="491"/>
      <c r="KE716" s="491"/>
      <c r="KF716" s="491"/>
      <c r="KG716" s="491"/>
      <c r="KH716" s="36"/>
      <c r="KI716" s="36"/>
      <c r="KJ716" s="36"/>
      <c r="KK716" s="36"/>
    </row>
    <row r="717" spans="1:297" s="8" customFormat="1">
      <c r="A717" s="612"/>
      <c r="B717" s="512"/>
      <c r="C717" s="74"/>
      <c r="D717" s="549"/>
      <c r="E717" s="675"/>
      <c r="F717" s="549"/>
      <c r="G717" s="675"/>
      <c r="H717" s="549"/>
      <c r="I717" s="675"/>
      <c r="J717" s="549"/>
      <c r="K717" s="675"/>
      <c r="L717" s="549"/>
      <c r="M717" s="675"/>
      <c r="N717" s="549"/>
      <c r="O717" s="675"/>
      <c r="P717" s="549"/>
      <c r="Q717" s="675"/>
      <c r="R717" s="549"/>
      <c r="S717" s="675"/>
      <c r="T717" s="549"/>
      <c r="U717" s="675"/>
      <c r="V717" s="549"/>
      <c r="W717" s="675"/>
      <c r="X717" s="549"/>
      <c r="Y717" s="675"/>
      <c r="Z717" s="549"/>
      <c r="AA717" s="675"/>
      <c r="AB717" s="549"/>
      <c r="AC717" s="675"/>
      <c r="AD717" s="549"/>
      <c r="AE717" s="675"/>
      <c r="AF717" s="549"/>
      <c r="AG717" s="675"/>
      <c r="AH717" s="549"/>
      <c r="AI717" s="675"/>
      <c r="AJ717" s="549"/>
      <c r="AK717" s="675"/>
      <c r="AL717" s="549"/>
      <c r="AM717" s="675"/>
      <c r="AN717" s="549"/>
      <c r="AO717" s="675"/>
      <c r="AP717" s="549"/>
      <c r="AQ717" s="675"/>
      <c r="AR717" s="549"/>
      <c r="AS717" s="675"/>
      <c r="AT717" s="549"/>
      <c r="AU717" s="675"/>
      <c r="AV717" s="549"/>
      <c r="AW717" s="675"/>
      <c r="AX717" s="549"/>
      <c r="AY717" s="675"/>
      <c r="AZ717" s="549"/>
      <c r="BA717" s="675"/>
      <c r="BB717" s="549"/>
      <c r="BC717" s="675"/>
      <c r="BD717" s="549"/>
      <c r="BE717" s="675"/>
      <c r="BF717" s="549"/>
      <c r="BG717" s="675"/>
      <c r="BH717" s="549"/>
      <c r="BI717" s="675"/>
      <c r="BJ717" s="549"/>
      <c r="BK717" s="675"/>
      <c r="BL717" s="549"/>
      <c r="BM717" s="675"/>
      <c r="BN717" s="549"/>
      <c r="BO717" s="675"/>
      <c r="BP717" s="549"/>
      <c r="BQ717" s="675"/>
      <c r="BR717" s="549"/>
      <c r="BS717" s="675"/>
      <c r="BT717" s="549"/>
      <c r="BU717" s="675"/>
      <c r="BV717" s="549"/>
      <c r="BW717" s="675"/>
      <c r="BX717" s="549"/>
      <c r="BY717" s="675"/>
      <c r="BZ717" s="549"/>
      <c r="CA717" s="675"/>
      <c r="CB717" s="549"/>
      <c r="CC717" s="675"/>
      <c r="CD717" s="549"/>
      <c r="CE717" s="675"/>
      <c r="CF717" s="549"/>
      <c r="CG717" s="675"/>
      <c r="CH717" s="549"/>
      <c r="CI717" s="675"/>
      <c r="CJ717" s="549"/>
      <c r="CK717" s="675"/>
      <c r="CL717" s="549"/>
      <c r="CM717" s="675"/>
      <c r="CN717" s="549"/>
      <c r="CO717" s="675"/>
      <c r="CP717" s="549"/>
      <c r="CQ717" s="675"/>
      <c r="CR717" s="549"/>
      <c r="CS717" s="675"/>
      <c r="CT717" s="549"/>
      <c r="CU717" s="675"/>
      <c r="CV717" s="549"/>
      <c r="CW717" s="675"/>
      <c r="CX717" s="549"/>
      <c r="CY717" s="675"/>
      <c r="CZ717" s="549"/>
      <c r="DA717" s="675"/>
      <c r="DB717" s="549"/>
      <c r="DC717" s="675"/>
      <c r="DD717" s="549"/>
      <c r="DE717" s="675"/>
      <c r="DF717" s="549"/>
      <c r="DG717" s="675"/>
      <c r="DH717" s="549"/>
      <c r="DI717" s="675"/>
      <c r="DJ717" s="549"/>
      <c r="DK717" s="675"/>
      <c r="DL717" s="549"/>
      <c r="DM717" s="675"/>
      <c r="DN717" s="549"/>
      <c r="DO717" s="675"/>
      <c r="DP717" s="549"/>
      <c r="DQ717" s="675"/>
      <c r="DR717" s="549"/>
      <c r="DS717" s="675"/>
      <c r="DT717" s="549"/>
      <c r="DU717" s="675"/>
      <c r="DV717" s="549"/>
      <c r="DW717" s="675"/>
      <c r="DX717" s="549"/>
      <c r="DY717" s="675"/>
      <c r="DZ717" s="549"/>
      <c r="EA717" s="675"/>
      <c r="EB717" s="549"/>
      <c r="EC717" s="675"/>
      <c r="ED717" s="549"/>
      <c r="EE717" s="675"/>
      <c r="EF717" s="549"/>
      <c r="EG717" s="675"/>
      <c r="EH717" s="549"/>
      <c r="EI717" s="675"/>
      <c r="EJ717" s="549"/>
      <c r="EK717" s="675"/>
      <c r="EL717" s="549"/>
      <c r="EM717" s="675"/>
      <c r="EN717" s="549"/>
      <c r="EO717" s="675"/>
      <c r="EP717" s="549"/>
      <c r="EQ717" s="675"/>
      <c r="ER717" s="549"/>
      <c r="ES717" s="675"/>
      <c r="ET717" s="549"/>
      <c r="EU717" s="675"/>
      <c r="EV717" s="549"/>
      <c r="EW717" s="675"/>
      <c r="EX717" s="549"/>
      <c r="EY717" s="675"/>
      <c r="EZ717" s="549"/>
      <c r="FA717" s="675"/>
      <c r="FB717" s="549"/>
      <c r="FC717" s="675"/>
      <c r="FD717" s="549"/>
      <c r="FE717" s="675"/>
      <c r="FF717" s="549"/>
      <c r="FG717" s="675"/>
      <c r="FH717" s="549"/>
      <c r="FI717" s="675"/>
      <c r="FJ717" s="549"/>
      <c r="FK717" s="675"/>
      <c r="FL717" s="549"/>
      <c r="FM717" s="675"/>
      <c r="FN717" s="549"/>
      <c r="FO717" s="675"/>
      <c r="FP717" s="549"/>
      <c r="FQ717" s="675"/>
      <c r="FR717" s="549"/>
      <c r="FS717" s="675"/>
      <c r="FT717" s="549"/>
      <c r="FU717" s="675"/>
      <c r="FV717" s="549"/>
      <c r="FW717" s="675"/>
      <c r="FX717" s="549"/>
      <c r="FY717" s="675"/>
      <c r="FZ717" s="549"/>
      <c r="GA717" s="675"/>
      <c r="GB717" s="549"/>
      <c r="GC717" s="675"/>
      <c r="GD717" s="549"/>
      <c r="GE717" s="675"/>
      <c r="GF717" s="549"/>
      <c r="GG717" s="675"/>
      <c r="GH717" s="549"/>
      <c r="GI717" s="675"/>
      <c r="GJ717" s="549"/>
      <c r="GK717" s="675"/>
      <c r="GL717" s="549"/>
      <c r="GM717" s="675"/>
      <c r="GN717" s="549"/>
      <c r="GO717" s="675"/>
      <c r="GP717" s="549"/>
      <c r="GQ717" s="675"/>
      <c r="GR717" s="74"/>
      <c r="GS717" s="74"/>
      <c r="GT717" s="568"/>
      <c r="GU717" s="275"/>
      <c r="GV717" s="275"/>
      <c r="GW717" s="588"/>
      <c r="GX717" s="588"/>
      <c r="GY717" s="275"/>
      <c r="GZ717" s="275"/>
      <c r="HA717" s="275"/>
      <c r="HB717" s="275"/>
      <c r="HC717" s="275"/>
      <c r="HD717" s="275"/>
      <c r="HE717" s="275"/>
      <c r="HF717" s="275"/>
      <c r="HG717" s="74"/>
      <c r="HH717" s="89"/>
      <c r="HI717" s="817"/>
      <c r="HJ717" s="89"/>
      <c r="HK717" s="817"/>
      <c r="HL717" s="89"/>
      <c r="HM717" s="817"/>
      <c r="HN717" s="89"/>
      <c r="HO717" s="817"/>
      <c r="HP717" s="89"/>
      <c r="HQ717" s="817"/>
      <c r="HR717" s="89"/>
      <c r="HS717" s="817"/>
      <c r="HT717" s="89"/>
      <c r="HU717" s="817"/>
      <c r="HV717" s="89"/>
      <c r="HW717" s="817"/>
      <c r="HX717" s="89"/>
      <c r="HY717" s="817"/>
      <c r="HZ717" s="89"/>
      <c r="IA717" s="817"/>
      <c r="IB717" s="89"/>
      <c r="IC717" s="817"/>
      <c r="ID717" s="89"/>
      <c r="IE717" s="817"/>
      <c r="IF717" s="841"/>
      <c r="IG717" s="263"/>
      <c r="IH717" s="842"/>
      <c r="II717" s="89"/>
      <c r="IJ717" s="89"/>
      <c r="IK717" s="89"/>
      <c r="IL717" s="89"/>
      <c r="IM717" s="89"/>
      <c r="IN717" s="89"/>
      <c r="IO717" s="89"/>
      <c r="IP717" s="89"/>
      <c r="IQ717" s="89"/>
      <c r="IR717" s="89"/>
      <c r="IS717" s="89"/>
      <c r="IT717" s="89"/>
      <c r="IU717" s="89"/>
      <c r="IV717" s="89"/>
      <c r="IW717" s="89"/>
      <c r="IX717" s="89"/>
      <c r="IY717" s="89"/>
      <c r="IZ717" s="89"/>
      <c r="JA717" s="89"/>
      <c r="JB717" s="89"/>
      <c r="JC717" s="89"/>
      <c r="JD717" s="89"/>
      <c r="JE717" s="89"/>
      <c r="JF717" s="89"/>
      <c r="JG717" s="89"/>
      <c r="JH717" s="89"/>
      <c r="JI717" s="89"/>
      <c r="JJ717" s="89"/>
      <c r="JK717" s="89"/>
      <c r="JL717" s="89"/>
      <c r="JM717" s="89"/>
      <c r="JN717" s="89"/>
      <c r="JO717" s="89"/>
      <c r="JP717" s="89"/>
      <c r="JQ717" s="89"/>
      <c r="JR717" s="89"/>
      <c r="JS717" s="74"/>
      <c r="JT717" s="382"/>
      <c r="JU717" s="665"/>
      <c r="JV717" s="524"/>
      <c r="JW717" s="525"/>
      <c r="JX717" s="549"/>
      <c r="JY717" s="549"/>
      <c r="JZ717" s="581"/>
      <c r="KA717" s="581"/>
      <c r="KB717" s="566"/>
      <c r="KC717" s="709">
        <f t="shared" ref="KC717:KC718" si="15988">HG717-KB717</f>
        <v>0</v>
      </c>
      <c r="KD717" s="491"/>
      <c r="KE717" s="491"/>
      <c r="KF717" s="491"/>
      <c r="KG717" s="491"/>
      <c r="KH717" s="36"/>
      <c r="KI717" s="36"/>
      <c r="KJ717" s="36"/>
      <c r="KK717" s="36"/>
    </row>
    <row r="718" spans="1:297" s="8" customFormat="1" ht="12.75" customHeight="1">
      <c r="A718" s="613" t="s">
        <v>1357</v>
      </c>
      <c r="B718" s="512"/>
      <c r="C718" s="74">
        <f>C719</f>
        <v>0</v>
      </c>
      <c r="D718" s="567">
        <f t="shared" ref="D718:CC718" si="15989">D719</f>
        <v>0</v>
      </c>
      <c r="E718" s="686">
        <f t="shared" si="15989"/>
        <v>0</v>
      </c>
      <c r="F718" s="567">
        <f t="shared" si="15989"/>
        <v>0</v>
      </c>
      <c r="G718" s="686">
        <f t="shared" si="15989"/>
        <v>0</v>
      </c>
      <c r="H718" s="567">
        <f t="shared" si="15989"/>
        <v>0</v>
      </c>
      <c r="I718" s="686">
        <f t="shared" si="15989"/>
        <v>0</v>
      </c>
      <c r="J718" s="567">
        <f t="shared" si="15989"/>
        <v>0</v>
      </c>
      <c r="K718" s="686">
        <f t="shared" si="15989"/>
        <v>0</v>
      </c>
      <c r="L718" s="567">
        <f t="shared" si="15989"/>
        <v>0</v>
      </c>
      <c r="M718" s="686">
        <f t="shared" si="15989"/>
        <v>0</v>
      </c>
      <c r="N718" s="567">
        <f t="shared" si="15989"/>
        <v>0</v>
      </c>
      <c r="O718" s="686">
        <f t="shared" si="15989"/>
        <v>0</v>
      </c>
      <c r="P718" s="567">
        <f t="shared" si="15989"/>
        <v>0</v>
      </c>
      <c r="Q718" s="686">
        <f t="shared" si="15989"/>
        <v>0</v>
      </c>
      <c r="R718" s="567">
        <f t="shared" si="15989"/>
        <v>0</v>
      </c>
      <c r="S718" s="686">
        <f t="shared" si="15989"/>
        <v>0</v>
      </c>
      <c r="T718" s="567">
        <f t="shared" si="15989"/>
        <v>0</v>
      </c>
      <c r="U718" s="686">
        <f t="shared" si="15989"/>
        <v>0</v>
      </c>
      <c r="V718" s="567">
        <f t="shared" si="15989"/>
        <v>0</v>
      </c>
      <c r="W718" s="686">
        <f t="shared" si="15989"/>
        <v>0</v>
      </c>
      <c r="X718" s="567">
        <f t="shared" si="15989"/>
        <v>0</v>
      </c>
      <c r="Y718" s="686">
        <f t="shared" si="15989"/>
        <v>0</v>
      </c>
      <c r="Z718" s="567">
        <f t="shared" si="15989"/>
        <v>0</v>
      </c>
      <c r="AA718" s="686">
        <f t="shared" si="15989"/>
        <v>0</v>
      </c>
      <c r="AB718" s="567">
        <f t="shared" si="15989"/>
        <v>0</v>
      </c>
      <c r="AC718" s="686">
        <f t="shared" si="15989"/>
        <v>0</v>
      </c>
      <c r="AD718" s="567">
        <f t="shared" si="15989"/>
        <v>0</v>
      </c>
      <c r="AE718" s="686">
        <f t="shared" si="15989"/>
        <v>0</v>
      </c>
      <c r="AF718" s="567">
        <f t="shared" si="15989"/>
        <v>0</v>
      </c>
      <c r="AG718" s="686">
        <f t="shared" si="15989"/>
        <v>0</v>
      </c>
      <c r="AH718" s="567">
        <f t="shared" si="15989"/>
        <v>0</v>
      </c>
      <c r="AI718" s="686">
        <f t="shared" si="15989"/>
        <v>0</v>
      </c>
      <c r="AJ718" s="567">
        <f t="shared" si="15989"/>
        <v>0</v>
      </c>
      <c r="AK718" s="686">
        <f t="shared" si="15989"/>
        <v>0</v>
      </c>
      <c r="AL718" s="567">
        <f t="shared" si="15989"/>
        <v>0</v>
      </c>
      <c r="AM718" s="686">
        <f t="shared" si="15989"/>
        <v>0</v>
      </c>
      <c r="AN718" s="567">
        <f t="shared" si="15989"/>
        <v>0</v>
      </c>
      <c r="AO718" s="686">
        <f t="shared" si="15989"/>
        <v>0</v>
      </c>
      <c r="AP718" s="567">
        <f t="shared" si="15989"/>
        <v>0</v>
      </c>
      <c r="AQ718" s="686">
        <f t="shared" si="15989"/>
        <v>0</v>
      </c>
      <c r="AR718" s="567">
        <f t="shared" si="15989"/>
        <v>0</v>
      </c>
      <c r="AS718" s="686">
        <f t="shared" si="15989"/>
        <v>0</v>
      </c>
      <c r="AT718" s="567">
        <f t="shared" si="15989"/>
        <v>0</v>
      </c>
      <c r="AU718" s="686">
        <f t="shared" si="15989"/>
        <v>0</v>
      </c>
      <c r="AV718" s="567">
        <f t="shared" si="15989"/>
        <v>0</v>
      </c>
      <c r="AW718" s="686">
        <f t="shared" si="15989"/>
        <v>0</v>
      </c>
      <c r="AX718" s="567">
        <f t="shared" si="15989"/>
        <v>0</v>
      </c>
      <c r="AY718" s="686">
        <f t="shared" si="15989"/>
        <v>0</v>
      </c>
      <c r="AZ718" s="567">
        <f t="shared" si="15989"/>
        <v>0</v>
      </c>
      <c r="BA718" s="686">
        <f t="shared" si="15989"/>
        <v>0</v>
      </c>
      <c r="BB718" s="567">
        <f t="shared" si="15989"/>
        <v>0</v>
      </c>
      <c r="BC718" s="686">
        <f t="shared" si="15989"/>
        <v>0</v>
      </c>
      <c r="BD718" s="567">
        <f t="shared" si="15989"/>
        <v>0</v>
      </c>
      <c r="BE718" s="686">
        <f t="shared" si="15989"/>
        <v>0</v>
      </c>
      <c r="BF718" s="567">
        <f t="shared" si="15989"/>
        <v>0</v>
      </c>
      <c r="BG718" s="686">
        <f t="shared" si="15989"/>
        <v>0</v>
      </c>
      <c r="BH718" s="567">
        <f t="shared" si="15989"/>
        <v>0</v>
      </c>
      <c r="BI718" s="686">
        <f t="shared" si="15989"/>
        <v>0</v>
      </c>
      <c r="BJ718" s="567">
        <f t="shared" si="15989"/>
        <v>0</v>
      </c>
      <c r="BK718" s="686">
        <f t="shared" si="15989"/>
        <v>0</v>
      </c>
      <c r="BL718" s="567">
        <f t="shared" si="15989"/>
        <v>0</v>
      </c>
      <c r="BM718" s="686">
        <f t="shared" si="15989"/>
        <v>0</v>
      </c>
      <c r="BN718" s="567">
        <f t="shared" si="15989"/>
        <v>0</v>
      </c>
      <c r="BO718" s="686">
        <f t="shared" si="15989"/>
        <v>0</v>
      </c>
      <c r="BP718" s="567">
        <f t="shared" si="15989"/>
        <v>0</v>
      </c>
      <c r="BQ718" s="686">
        <f t="shared" si="15989"/>
        <v>0</v>
      </c>
      <c r="BR718" s="567">
        <f t="shared" si="15989"/>
        <v>0</v>
      </c>
      <c r="BS718" s="686">
        <f t="shared" si="15989"/>
        <v>0</v>
      </c>
      <c r="BT718" s="567">
        <f t="shared" si="15989"/>
        <v>0</v>
      </c>
      <c r="BU718" s="686">
        <f t="shared" si="15989"/>
        <v>0</v>
      </c>
      <c r="BV718" s="567">
        <f t="shared" si="15989"/>
        <v>0</v>
      </c>
      <c r="BW718" s="686">
        <f t="shared" si="15989"/>
        <v>0</v>
      </c>
      <c r="BX718" s="567">
        <f t="shared" si="15989"/>
        <v>0</v>
      </c>
      <c r="BY718" s="686">
        <f t="shared" si="15989"/>
        <v>0</v>
      </c>
      <c r="BZ718" s="567">
        <f t="shared" si="15989"/>
        <v>0</v>
      </c>
      <c r="CA718" s="686">
        <f t="shared" si="15989"/>
        <v>0</v>
      </c>
      <c r="CB718" s="567">
        <f t="shared" si="15989"/>
        <v>0</v>
      </c>
      <c r="CC718" s="686">
        <f t="shared" si="15989"/>
        <v>0</v>
      </c>
      <c r="CD718" s="567">
        <f t="shared" ref="CD718:CE718" si="15990">CD719</f>
        <v>0</v>
      </c>
      <c r="CE718" s="686">
        <f t="shared" si="15990"/>
        <v>0</v>
      </c>
      <c r="CF718" s="567">
        <f t="shared" ref="CF718:CG718" si="15991">CF719</f>
        <v>0</v>
      </c>
      <c r="CG718" s="686">
        <f t="shared" si="15991"/>
        <v>0</v>
      </c>
      <c r="CH718" s="567">
        <f t="shared" ref="CH718:CI718" si="15992">CH719</f>
        <v>0</v>
      </c>
      <c r="CI718" s="686">
        <f t="shared" si="15992"/>
        <v>0</v>
      </c>
      <c r="CJ718" s="567">
        <f t="shared" ref="CJ718:CK718" si="15993">CJ719</f>
        <v>0</v>
      </c>
      <c r="CK718" s="686">
        <f t="shared" si="15993"/>
        <v>0</v>
      </c>
      <c r="CL718" s="567">
        <f t="shared" ref="CL718:CM718" si="15994">CL719</f>
        <v>0</v>
      </c>
      <c r="CM718" s="686">
        <f t="shared" si="15994"/>
        <v>0</v>
      </c>
      <c r="CN718" s="567">
        <f t="shared" ref="CN718:CO718" si="15995">CN719</f>
        <v>0</v>
      </c>
      <c r="CO718" s="686">
        <f t="shared" si="15995"/>
        <v>0</v>
      </c>
      <c r="CP718" s="567">
        <f t="shared" ref="CP718:CQ718" si="15996">CP719</f>
        <v>0</v>
      </c>
      <c r="CQ718" s="686">
        <f t="shared" si="15996"/>
        <v>0</v>
      </c>
      <c r="CR718" s="567">
        <f t="shared" ref="CR718:CS718" si="15997">CR719</f>
        <v>0</v>
      </c>
      <c r="CS718" s="686">
        <f t="shared" si="15997"/>
        <v>0</v>
      </c>
      <c r="CT718" s="567">
        <f t="shared" ref="CT718:CU718" si="15998">CT719</f>
        <v>0</v>
      </c>
      <c r="CU718" s="686">
        <f t="shared" si="15998"/>
        <v>0</v>
      </c>
      <c r="CV718" s="567">
        <f t="shared" ref="CV718:CW718" si="15999">CV719</f>
        <v>0</v>
      </c>
      <c r="CW718" s="686">
        <f t="shared" si="15999"/>
        <v>0</v>
      </c>
      <c r="CX718" s="567">
        <f t="shared" ref="CX718:CY718" si="16000">CX719</f>
        <v>100000</v>
      </c>
      <c r="CY718" s="686">
        <f t="shared" si="16000"/>
        <v>0</v>
      </c>
      <c r="CZ718" s="567">
        <f t="shared" ref="CZ718:DA718" si="16001">CZ719</f>
        <v>0</v>
      </c>
      <c r="DA718" s="686">
        <f t="shared" si="16001"/>
        <v>0</v>
      </c>
      <c r="DB718" s="567">
        <f t="shared" ref="DB718:DC718" si="16002">DB719</f>
        <v>0</v>
      </c>
      <c r="DC718" s="686">
        <f t="shared" si="16002"/>
        <v>0</v>
      </c>
      <c r="DD718" s="567">
        <f t="shared" ref="DD718:DE718" si="16003">DD719</f>
        <v>0</v>
      </c>
      <c r="DE718" s="686">
        <f t="shared" si="16003"/>
        <v>0</v>
      </c>
      <c r="DF718" s="567">
        <f t="shared" ref="DF718:DG718" si="16004">DF719</f>
        <v>0</v>
      </c>
      <c r="DG718" s="686">
        <f t="shared" si="16004"/>
        <v>0</v>
      </c>
      <c r="DH718" s="567">
        <f t="shared" ref="DH718:DI718" si="16005">DH719</f>
        <v>0</v>
      </c>
      <c r="DI718" s="686">
        <f t="shared" si="16005"/>
        <v>0</v>
      </c>
      <c r="DJ718" s="567">
        <f t="shared" ref="DJ718:DK718" si="16006">DJ719</f>
        <v>0</v>
      </c>
      <c r="DK718" s="686">
        <f t="shared" si="16006"/>
        <v>0</v>
      </c>
      <c r="DL718" s="567">
        <f t="shared" ref="DL718:DM718" si="16007">DL719</f>
        <v>0</v>
      </c>
      <c r="DM718" s="686">
        <f t="shared" si="16007"/>
        <v>0</v>
      </c>
      <c r="DN718" s="567">
        <f t="shared" ref="DN718:DO718" si="16008">DN719</f>
        <v>0</v>
      </c>
      <c r="DO718" s="686">
        <f t="shared" si="16008"/>
        <v>0</v>
      </c>
      <c r="DP718" s="567">
        <f t="shared" ref="DP718:DQ718" si="16009">DP719</f>
        <v>0</v>
      </c>
      <c r="DQ718" s="686">
        <f t="shared" si="16009"/>
        <v>0</v>
      </c>
      <c r="DR718" s="567">
        <f t="shared" ref="DR718:DS718" si="16010">DR719</f>
        <v>0</v>
      </c>
      <c r="DS718" s="686">
        <f t="shared" si="16010"/>
        <v>0</v>
      </c>
      <c r="DT718" s="567">
        <f t="shared" ref="DT718:DU718" si="16011">DT719</f>
        <v>0</v>
      </c>
      <c r="DU718" s="686">
        <f t="shared" si="16011"/>
        <v>0</v>
      </c>
      <c r="DV718" s="567">
        <f t="shared" ref="DV718:DW718" si="16012">DV719</f>
        <v>0</v>
      </c>
      <c r="DW718" s="686">
        <f t="shared" si="16012"/>
        <v>0</v>
      </c>
      <c r="DX718" s="567">
        <f t="shared" ref="DX718:DY718" si="16013">DX719</f>
        <v>0</v>
      </c>
      <c r="DY718" s="686">
        <f t="shared" si="16013"/>
        <v>0</v>
      </c>
      <c r="DZ718" s="567">
        <f t="shared" ref="DZ718:EA718" si="16014">DZ719</f>
        <v>0</v>
      </c>
      <c r="EA718" s="686">
        <f t="shared" si="16014"/>
        <v>0</v>
      </c>
      <c r="EB718" s="567">
        <f t="shared" ref="EB718:EC718" si="16015">EB719</f>
        <v>0</v>
      </c>
      <c r="EC718" s="686">
        <f t="shared" si="16015"/>
        <v>0</v>
      </c>
      <c r="ED718" s="567">
        <f t="shared" ref="ED718:EE718" si="16016">ED719</f>
        <v>0</v>
      </c>
      <c r="EE718" s="686">
        <f t="shared" si="16016"/>
        <v>0</v>
      </c>
      <c r="EF718" s="567">
        <f t="shared" ref="EF718:EG718" si="16017">EF719</f>
        <v>0</v>
      </c>
      <c r="EG718" s="686">
        <f t="shared" si="16017"/>
        <v>0</v>
      </c>
      <c r="EH718" s="567">
        <f t="shared" ref="EH718:EI718" si="16018">EH719</f>
        <v>0</v>
      </c>
      <c r="EI718" s="686">
        <f t="shared" si="16018"/>
        <v>0</v>
      </c>
      <c r="EJ718" s="567">
        <f t="shared" ref="EJ718:EK718" si="16019">EJ719</f>
        <v>0</v>
      </c>
      <c r="EK718" s="686">
        <f t="shared" si="16019"/>
        <v>0</v>
      </c>
      <c r="EL718" s="567">
        <f t="shared" ref="EL718:EM718" si="16020">EL719</f>
        <v>0</v>
      </c>
      <c r="EM718" s="686">
        <f t="shared" si="16020"/>
        <v>0</v>
      </c>
      <c r="EN718" s="567">
        <f t="shared" ref="EN718:EO718" si="16021">EN719</f>
        <v>0</v>
      </c>
      <c r="EO718" s="686">
        <f t="shared" si="16021"/>
        <v>0</v>
      </c>
      <c r="EP718" s="567">
        <f t="shared" ref="EP718:EQ718" si="16022">EP719</f>
        <v>0</v>
      </c>
      <c r="EQ718" s="686">
        <f t="shared" si="16022"/>
        <v>0</v>
      </c>
      <c r="ER718" s="567">
        <f t="shared" ref="ER718:ES718" si="16023">ER719</f>
        <v>0</v>
      </c>
      <c r="ES718" s="686">
        <f t="shared" si="16023"/>
        <v>0</v>
      </c>
      <c r="ET718" s="567">
        <f t="shared" ref="ET718:HE718" si="16024">ET719</f>
        <v>0</v>
      </c>
      <c r="EU718" s="686">
        <f t="shared" ref="EU718" si="16025">EU719</f>
        <v>0</v>
      </c>
      <c r="EV718" s="567">
        <f t="shared" si="16024"/>
        <v>0</v>
      </c>
      <c r="EW718" s="686">
        <f t="shared" si="16024"/>
        <v>0</v>
      </c>
      <c r="EX718" s="567">
        <f t="shared" si="16024"/>
        <v>0</v>
      </c>
      <c r="EY718" s="686">
        <f t="shared" si="16024"/>
        <v>0</v>
      </c>
      <c r="EZ718" s="567">
        <f t="shared" si="16024"/>
        <v>0</v>
      </c>
      <c r="FA718" s="686">
        <f t="shared" si="16024"/>
        <v>0</v>
      </c>
      <c r="FB718" s="567">
        <f t="shared" si="16024"/>
        <v>0</v>
      </c>
      <c r="FC718" s="686">
        <f t="shared" si="16024"/>
        <v>0</v>
      </c>
      <c r="FD718" s="567">
        <f t="shared" si="16024"/>
        <v>0</v>
      </c>
      <c r="FE718" s="686">
        <f t="shared" si="16024"/>
        <v>0</v>
      </c>
      <c r="FF718" s="567">
        <f t="shared" si="16024"/>
        <v>0</v>
      </c>
      <c r="FG718" s="686">
        <f t="shared" si="16024"/>
        <v>0</v>
      </c>
      <c r="FH718" s="567">
        <f t="shared" si="16024"/>
        <v>0</v>
      </c>
      <c r="FI718" s="686">
        <f t="shared" si="16024"/>
        <v>0</v>
      </c>
      <c r="FJ718" s="567">
        <f t="shared" si="16024"/>
        <v>0</v>
      </c>
      <c r="FK718" s="686">
        <f t="shared" si="16024"/>
        <v>0</v>
      </c>
      <c r="FL718" s="567">
        <f t="shared" si="16024"/>
        <v>0</v>
      </c>
      <c r="FM718" s="686">
        <f t="shared" si="16024"/>
        <v>0</v>
      </c>
      <c r="FN718" s="567">
        <f t="shared" si="16024"/>
        <v>0</v>
      </c>
      <c r="FO718" s="686">
        <f t="shared" si="16024"/>
        <v>0</v>
      </c>
      <c r="FP718" s="567">
        <f t="shared" si="16024"/>
        <v>0</v>
      </c>
      <c r="FQ718" s="686">
        <f t="shared" si="16024"/>
        <v>0</v>
      </c>
      <c r="FR718" s="567">
        <f t="shared" si="16024"/>
        <v>0</v>
      </c>
      <c r="FS718" s="686">
        <f t="shared" si="16024"/>
        <v>0</v>
      </c>
      <c r="FT718" s="567">
        <f t="shared" si="16024"/>
        <v>0</v>
      </c>
      <c r="FU718" s="686">
        <f t="shared" si="16024"/>
        <v>0</v>
      </c>
      <c r="FV718" s="567">
        <f t="shared" si="16024"/>
        <v>0</v>
      </c>
      <c r="FW718" s="686">
        <f t="shared" si="16024"/>
        <v>0</v>
      </c>
      <c r="FX718" s="567">
        <f t="shared" si="16024"/>
        <v>0</v>
      </c>
      <c r="FY718" s="686">
        <f t="shared" si="16024"/>
        <v>0</v>
      </c>
      <c r="FZ718" s="567">
        <f t="shared" si="16024"/>
        <v>0</v>
      </c>
      <c r="GA718" s="686">
        <f t="shared" si="16024"/>
        <v>0</v>
      </c>
      <c r="GB718" s="567">
        <f t="shared" si="16024"/>
        <v>0</v>
      </c>
      <c r="GC718" s="686">
        <f t="shared" si="16024"/>
        <v>0</v>
      </c>
      <c r="GD718" s="567">
        <f t="shared" si="16024"/>
        <v>0</v>
      </c>
      <c r="GE718" s="686">
        <f t="shared" si="16024"/>
        <v>0</v>
      </c>
      <c r="GF718" s="567">
        <f t="shared" si="16024"/>
        <v>0</v>
      </c>
      <c r="GG718" s="686">
        <f t="shared" si="16024"/>
        <v>0</v>
      </c>
      <c r="GH718" s="567">
        <f t="shared" si="16024"/>
        <v>0</v>
      </c>
      <c r="GI718" s="686">
        <f t="shared" si="16024"/>
        <v>0</v>
      </c>
      <c r="GJ718" s="567">
        <f t="shared" si="16024"/>
        <v>0</v>
      </c>
      <c r="GK718" s="686">
        <f t="shared" si="16024"/>
        <v>0</v>
      </c>
      <c r="GL718" s="567">
        <f t="shared" si="16024"/>
        <v>0</v>
      </c>
      <c r="GM718" s="686">
        <f t="shared" si="16024"/>
        <v>0</v>
      </c>
      <c r="GN718" s="567">
        <f t="shared" si="16024"/>
        <v>0</v>
      </c>
      <c r="GO718" s="686">
        <f t="shared" si="16024"/>
        <v>0</v>
      </c>
      <c r="GP718" s="567">
        <f t="shared" si="16024"/>
        <v>100000</v>
      </c>
      <c r="GQ718" s="686">
        <f t="shared" si="16024"/>
        <v>0</v>
      </c>
      <c r="GR718" s="513">
        <f t="shared" si="16024"/>
        <v>100000</v>
      </c>
      <c r="GS718" s="513">
        <f t="shared" si="16024"/>
        <v>100000</v>
      </c>
      <c r="GT718" s="567">
        <f t="shared" si="16024"/>
        <v>100000</v>
      </c>
      <c r="GU718" s="513">
        <f t="shared" si="16024"/>
        <v>0</v>
      </c>
      <c r="GV718" s="513">
        <f t="shared" si="16024"/>
        <v>0</v>
      </c>
      <c r="GW718" s="567">
        <f t="shared" si="16024"/>
        <v>0</v>
      </c>
      <c r="GX718" s="567">
        <f t="shared" si="16024"/>
        <v>0</v>
      </c>
      <c r="GY718" s="513">
        <f t="shared" si="16024"/>
        <v>0</v>
      </c>
      <c r="GZ718" s="513">
        <f t="shared" si="16024"/>
        <v>0</v>
      </c>
      <c r="HA718" s="513">
        <f t="shared" si="16024"/>
        <v>0</v>
      </c>
      <c r="HB718" s="513">
        <f t="shared" si="16024"/>
        <v>0</v>
      </c>
      <c r="HC718" s="513">
        <f t="shared" si="16024"/>
        <v>0</v>
      </c>
      <c r="HD718" s="513">
        <f t="shared" si="16024"/>
        <v>0</v>
      </c>
      <c r="HE718" s="513">
        <f t="shared" si="16024"/>
        <v>0</v>
      </c>
      <c r="HF718" s="513">
        <f t="shared" ref="HF718:IE718" si="16026">HF719</f>
        <v>0</v>
      </c>
      <c r="HG718" s="513">
        <f t="shared" si="16026"/>
        <v>100000</v>
      </c>
      <c r="HH718" s="513">
        <f t="shared" si="16026"/>
        <v>0</v>
      </c>
      <c r="HI718" s="513">
        <f t="shared" si="16026"/>
        <v>0</v>
      </c>
      <c r="HJ718" s="513">
        <f t="shared" si="16026"/>
        <v>0</v>
      </c>
      <c r="HK718" s="513">
        <f t="shared" si="16026"/>
        <v>0</v>
      </c>
      <c r="HL718" s="513">
        <f t="shared" si="16026"/>
        <v>0</v>
      </c>
      <c r="HM718" s="513">
        <f t="shared" si="16026"/>
        <v>0</v>
      </c>
      <c r="HN718" s="513">
        <f t="shared" si="16026"/>
        <v>0</v>
      </c>
      <c r="HO718" s="513">
        <f t="shared" si="16026"/>
        <v>0</v>
      </c>
      <c r="HP718" s="513">
        <f t="shared" si="16026"/>
        <v>0</v>
      </c>
      <c r="HQ718" s="513">
        <f t="shared" si="16026"/>
        <v>0</v>
      </c>
      <c r="HR718" s="513">
        <f t="shared" si="16026"/>
        <v>0</v>
      </c>
      <c r="HS718" s="513">
        <f t="shared" si="16026"/>
        <v>0</v>
      </c>
      <c r="HT718" s="513">
        <f t="shared" si="16026"/>
        <v>0</v>
      </c>
      <c r="HU718" s="513">
        <f t="shared" si="16026"/>
        <v>0</v>
      </c>
      <c r="HV718" s="513">
        <f t="shared" si="16026"/>
        <v>0</v>
      </c>
      <c r="HW718" s="513">
        <f t="shared" si="16026"/>
        <v>0</v>
      </c>
      <c r="HX718" s="513">
        <f t="shared" si="16026"/>
        <v>0</v>
      </c>
      <c r="HY718" s="513">
        <f t="shared" si="16026"/>
        <v>-100000</v>
      </c>
      <c r="HZ718" s="513">
        <f t="shared" si="16026"/>
        <v>0</v>
      </c>
      <c r="IA718" s="513">
        <f t="shared" si="16026"/>
        <v>100000</v>
      </c>
      <c r="IB718" s="513">
        <f t="shared" si="16026"/>
        <v>0</v>
      </c>
      <c r="IC718" s="513">
        <f t="shared" si="16026"/>
        <v>0</v>
      </c>
      <c r="ID718" s="513">
        <f t="shared" si="16026"/>
        <v>0</v>
      </c>
      <c r="IE718" s="513">
        <f t="shared" si="16026"/>
        <v>0</v>
      </c>
      <c r="IF718" s="703">
        <f t="shared" ref="IF718:JT718" si="16027">IF719</f>
        <v>0</v>
      </c>
      <c r="IG718" s="704">
        <f>IG719</f>
        <v>0</v>
      </c>
      <c r="IH718" s="858">
        <f t="shared" si="16027"/>
        <v>0</v>
      </c>
      <c r="II718" s="513">
        <f t="shared" si="16027"/>
        <v>0</v>
      </c>
      <c r="IJ718" s="513">
        <f t="shared" si="16027"/>
        <v>0</v>
      </c>
      <c r="IK718" s="513">
        <f t="shared" si="16027"/>
        <v>0</v>
      </c>
      <c r="IL718" s="513">
        <f t="shared" si="16027"/>
        <v>0</v>
      </c>
      <c r="IM718" s="513">
        <f t="shared" si="16027"/>
        <v>0</v>
      </c>
      <c r="IN718" s="513">
        <f t="shared" si="16027"/>
        <v>0</v>
      </c>
      <c r="IO718" s="513">
        <f t="shared" si="16027"/>
        <v>0</v>
      </c>
      <c r="IP718" s="513">
        <f t="shared" si="16027"/>
        <v>0</v>
      </c>
      <c r="IQ718" s="513">
        <f t="shared" si="16027"/>
        <v>0</v>
      </c>
      <c r="IR718" s="513">
        <f t="shared" si="16027"/>
        <v>0</v>
      </c>
      <c r="IS718" s="513">
        <f t="shared" si="16027"/>
        <v>0</v>
      </c>
      <c r="IT718" s="513">
        <f t="shared" si="16027"/>
        <v>0</v>
      </c>
      <c r="IU718" s="513">
        <f t="shared" si="16027"/>
        <v>0</v>
      </c>
      <c r="IV718" s="513">
        <f t="shared" si="16027"/>
        <v>0</v>
      </c>
      <c r="IW718" s="513">
        <f t="shared" si="16027"/>
        <v>0</v>
      </c>
      <c r="IX718" s="513">
        <f t="shared" si="16027"/>
        <v>0</v>
      </c>
      <c r="IY718" s="513">
        <f t="shared" si="16027"/>
        <v>0</v>
      </c>
      <c r="IZ718" s="513">
        <f t="shared" si="16027"/>
        <v>0</v>
      </c>
      <c r="JA718" s="513">
        <f t="shared" si="16027"/>
        <v>0</v>
      </c>
      <c r="JB718" s="513">
        <f t="shared" si="16027"/>
        <v>0</v>
      </c>
      <c r="JC718" s="513">
        <f t="shared" si="16027"/>
        <v>0</v>
      </c>
      <c r="JD718" s="513">
        <f t="shared" si="16027"/>
        <v>0</v>
      </c>
      <c r="JE718" s="513">
        <f t="shared" si="16027"/>
        <v>0</v>
      </c>
      <c r="JF718" s="513">
        <f t="shared" si="16027"/>
        <v>0</v>
      </c>
      <c r="JG718" s="513">
        <f t="shared" si="16027"/>
        <v>0</v>
      </c>
      <c r="JH718" s="513">
        <f t="shared" si="16027"/>
        <v>0</v>
      </c>
      <c r="JI718" s="513">
        <f t="shared" si="16027"/>
        <v>0</v>
      </c>
      <c r="JJ718" s="513">
        <f t="shared" si="16027"/>
        <v>0</v>
      </c>
      <c r="JK718" s="513">
        <f t="shared" si="16027"/>
        <v>0</v>
      </c>
      <c r="JL718" s="513">
        <f t="shared" si="16027"/>
        <v>0</v>
      </c>
      <c r="JM718" s="513">
        <f t="shared" si="16027"/>
        <v>0</v>
      </c>
      <c r="JN718" s="513">
        <f t="shared" si="16027"/>
        <v>0</v>
      </c>
      <c r="JO718" s="513">
        <f t="shared" si="16027"/>
        <v>0</v>
      </c>
      <c r="JP718" s="513">
        <f t="shared" si="16027"/>
        <v>0</v>
      </c>
      <c r="JQ718" s="513">
        <f t="shared" si="16027"/>
        <v>0</v>
      </c>
      <c r="JR718" s="513">
        <f t="shared" si="16027"/>
        <v>0</v>
      </c>
      <c r="JS718" s="513">
        <f t="shared" si="16027"/>
        <v>100000</v>
      </c>
      <c r="JT718" s="573">
        <f t="shared" si="16027"/>
        <v>100000</v>
      </c>
      <c r="JU718" s="665"/>
      <c r="JV718" s="524"/>
      <c r="JW718" s="525"/>
      <c r="JX718" s="549">
        <f>JX719</f>
        <v>0</v>
      </c>
      <c r="JY718" s="549">
        <f>JY719</f>
        <v>0</v>
      </c>
      <c r="JZ718" s="581">
        <f>JZ719</f>
        <v>100000</v>
      </c>
      <c r="KA718" s="581">
        <f>KA719</f>
        <v>0</v>
      </c>
      <c r="KB718" s="566">
        <f>KB719</f>
        <v>100000</v>
      </c>
      <c r="KC718" s="709">
        <f t="shared" si="15988"/>
        <v>0</v>
      </c>
      <c r="KD718" s="491"/>
      <c r="KE718" s="491"/>
      <c r="KF718" s="491"/>
      <c r="KG718" s="491"/>
      <c r="KH718" s="36"/>
      <c r="KI718" s="36"/>
      <c r="KJ718" s="36"/>
      <c r="KK718" s="36"/>
    </row>
    <row r="719" spans="1:297" s="8" customFormat="1" ht="12.75" customHeight="1">
      <c r="A719" s="612" t="s">
        <v>1358</v>
      </c>
      <c r="B719" s="512"/>
      <c r="C719" s="74">
        <v>0</v>
      </c>
      <c r="D719" s="549">
        <v>0</v>
      </c>
      <c r="E719" s="675">
        <v>0</v>
      </c>
      <c r="F719" s="549">
        <v>0</v>
      </c>
      <c r="G719" s="675">
        <v>0</v>
      </c>
      <c r="H719" s="549">
        <v>0</v>
      </c>
      <c r="I719" s="675">
        <v>0</v>
      </c>
      <c r="J719" s="549">
        <v>0</v>
      </c>
      <c r="K719" s="675">
        <v>0</v>
      </c>
      <c r="L719" s="549">
        <v>0</v>
      </c>
      <c r="M719" s="675">
        <v>0</v>
      </c>
      <c r="N719" s="549">
        <v>0</v>
      </c>
      <c r="O719" s="675">
        <v>0</v>
      </c>
      <c r="P719" s="549">
        <v>0</v>
      </c>
      <c r="Q719" s="675">
        <v>0</v>
      </c>
      <c r="R719" s="549">
        <v>0</v>
      </c>
      <c r="S719" s="675">
        <v>0</v>
      </c>
      <c r="T719" s="549">
        <v>0</v>
      </c>
      <c r="U719" s="675">
        <v>0</v>
      </c>
      <c r="V719" s="549">
        <v>0</v>
      </c>
      <c r="W719" s="675">
        <v>0</v>
      </c>
      <c r="X719" s="549">
        <v>0</v>
      </c>
      <c r="Y719" s="675">
        <v>0</v>
      </c>
      <c r="Z719" s="549">
        <v>0</v>
      </c>
      <c r="AA719" s="675">
        <v>0</v>
      </c>
      <c r="AB719" s="549">
        <v>0</v>
      </c>
      <c r="AC719" s="675">
        <v>0</v>
      </c>
      <c r="AD719" s="549">
        <v>0</v>
      </c>
      <c r="AE719" s="675">
        <v>0</v>
      </c>
      <c r="AF719" s="549">
        <v>0</v>
      </c>
      <c r="AG719" s="675">
        <v>0</v>
      </c>
      <c r="AH719" s="549">
        <v>0</v>
      </c>
      <c r="AI719" s="675">
        <v>0</v>
      </c>
      <c r="AJ719" s="549">
        <v>0</v>
      </c>
      <c r="AK719" s="675">
        <v>0</v>
      </c>
      <c r="AL719" s="549">
        <v>0</v>
      </c>
      <c r="AM719" s="675">
        <v>0</v>
      </c>
      <c r="AN719" s="549">
        <v>0</v>
      </c>
      <c r="AO719" s="675">
        <v>0</v>
      </c>
      <c r="AP719" s="549">
        <v>0</v>
      </c>
      <c r="AQ719" s="675">
        <v>0</v>
      </c>
      <c r="AR719" s="549">
        <v>0</v>
      </c>
      <c r="AS719" s="675">
        <v>0</v>
      </c>
      <c r="AT719" s="549">
        <v>0</v>
      </c>
      <c r="AU719" s="675">
        <v>0</v>
      </c>
      <c r="AV719" s="549">
        <v>0</v>
      </c>
      <c r="AW719" s="675">
        <v>0</v>
      </c>
      <c r="AX719" s="549">
        <v>0</v>
      </c>
      <c r="AY719" s="675">
        <v>0</v>
      </c>
      <c r="AZ719" s="549">
        <v>0</v>
      </c>
      <c r="BA719" s="675">
        <v>0</v>
      </c>
      <c r="BB719" s="549">
        <v>0</v>
      </c>
      <c r="BC719" s="675">
        <v>0</v>
      </c>
      <c r="BD719" s="549">
        <v>0</v>
      </c>
      <c r="BE719" s="675">
        <v>0</v>
      </c>
      <c r="BF719" s="549">
        <v>0</v>
      </c>
      <c r="BG719" s="675">
        <v>0</v>
      </c>
      <c r="BH719" s="549">
        <v>0</v>
      </c>
      <c r="BI719" s="675">
        <v>0</v>
      </c>
      <c r="BJ719" s="549">
        <v>0</v>
      </c>
      <c r="BK719" s="675">
        <v>0</v>
      </c>
      <c r="BL719" s="549">
        <v>0</v>
      </c>
      <c r="BM719" s="675">
        <v>0</v>
      </c>
      <c r="BN719" s="549">
        <v>0</v>
      </c>
      <c r="BO719" s="675">
        <v>0</v>
      </c>
      <c r="BP719" s="549">
        <v>0</v>
      </c>
      <c r="BQ719" s="675">
        <v>0</v>
      </c>
      <c r="BR719" s="549">
        <v>0</v>
      </c>
      <c r="BS719" s="675">
        <v>0</v>
      </c>
      <c r="BT719" s="549">
        <v>0</v>
      </c>
      <c r="BU719" s="675">
        <v>0</v>
      </c>
      <c r="BV719" s="549">
        <v>0</v>
      </c>
      <c r="BW719" s="675">
        <v>0</v>
      </c>
      <c r="BX719" s="549">
        <v>0</v>
      </c>
      <c r="BY719" s="675">
        <v>0</v>
      </c>
      <c r="BZ719" s="549">
        <v>0</v>
      </c>
      <c r="CA719" s="675">
        <v>0</v>
      </c>
      <c r="CB719" s="549">
        <v>0</v>
      </c>
      <c r="CC719" s="675">
        <v>0</v>
      </c>
      <c r="CD719" s="549">
        <v>0</v>
      </c>
      <c r="CE719" s="675">
        <v>0</v>
      </c>
      <c r="CF719" s="549">
        <v>0</v>
      </c>
      <c r="CG719" s="675">
        <v>0</v>
      </c>
      <c r="CH719" s="549">
        <v>0</v>
      </c>
      <c r="CI719" s="675">
        <v>0</v>
      </c>
      <c r="CJ719" s="549">
        <v>0</v>
      </c>
      <c r="CK719" s="675">
        <v>0</v>
      </c>
      <c r="CL719" s="549">
        <v>0</v>
      </c>
      <c r="CM719" s="675">
        <v>0</v>
      </c>
      <c r="CN719" s="549">
        <v>0</v>
      </c>
      <c r="CO719" s="675">
        <v>0</v>
      </c>
      <c r="CP719" s="549">
        <v>0</v>
      </c>
      <c r="CQ719" s="675">
        <v>0</v>
      </c>
      <c r="CR719" s="549">
        <v>0</v>
      </c>
      <c r="CS719" s="675">
        <v>0</v>
      </c>
      <c r="CT719" s="549">
        <v>0</v>
      </c>
      <c r="CU719" s="675">
        <v>0</v>
      </c>
      <c r="CV719" s="549">
        <v>0</v>
      </c>
      <c r="CW719" s="675">
        <v>0</v>
      </c>
      <c r="CX719" s="549">
        <v>100000</v>
      </c>
      <c r="CY719" s="675">
        <v>0</v>
      </c>
      <c r="CZ719" s="549">
        <v>0</v>
      </c>
      <c r="DA719" s="675">
        <v>0</v>
      </c>
      <c r="DB719" s="549">
        <v>0</v>
      </c>
      <c r="DC719" s="675">
        <v>0</v>
      </c>
      <c r="DD719" s="549">
        <v>0</v>
      </c>
      <c r="DE719" s="675">
        <v>0</v>
      </c>
      <c r="DF719" s="549">
        <v>0</v>
      </c>
      <c r="DG719" s="675">
        <v>0</v>
      </c>
      <c r="DH719" s="549">
        <v>0</v>
      </c>
      <c r="DI719" s="675">
        <v>0</v>
      </c>
      <c r="DJ719" s="549">
        <v>0</v>
      </c>
      <c r="DK719" s="675">
        <v>0</v>
      </c>
      <c r="DL719" s="549">
        <v>0</v>
      </c>
      <c r="DM719" s="675">
        <v>0</v>
      </c>
      <c r="DN719" s="549">
        <v>0</v>
      </c>
      <c r="DO719" s="675">
        <v>0</v>
      </c>
      <c r="DP719" s="549">
        <v>0</v>
      </c>
      <c r="DQ719" s="675">
        <v>0</v>
      </c>
      <c r="DR719" s="549">
        <v>0</v>
      </c>
      <c r="DS719" s="675">
        <v>0</v>
      </c>
      <c r="DT719" s="549">
        <v>0</v>
      </c>
      <c r="DU719" s="675">
        <v>0</v>
      </c>
      <c r="DV719" s="549">
        <v>0</v>
      </c>
      <c r="DW719" s="675">
        <v>0</v>
      </c>
      <c r="DX719" s="549">
        <v>0</v>
      </c>
      <c r="DY719" s="675">
        <v>0</v>
      </c>
      <c r="DZ719" s="549">
        <v>0</v>
      </c>
      <c r="EA719" s="675">
        <v>0</v>
      </c>
      <c r="EB719" s="549">
        <v>0</v>
      </c>
      <c r="EC719" s="675">
        <v>0</v>
      </c>
      <c r="ED719" s="549">
        <v>0</v>
      </c>
      <c r="EE719" s="675">
        <v>0</v>
      </c>
      <c r="EF719" s="549">
        <v>0</v>
      </c>
      <c r="EG719" s="675">
        <v>0</v>
      </c>
      <c r="EH719" s="549">
        <v>0</v>
      </c>
      <c r="EI719" s="675">
        <v>0</v>
      </c>
      <c r="EJ719" s="549">
        <v>0</v>
      </c>
      <c r="EK719" s="675">
        <v>0</v>
      </c>
      <c r="EL719" s="549">
        <v>0</v>
      </c>
      <c r="EM719" s="675">
        <v>0</v>
      </c>
      <c r="EN719" s="549">
        <v>0</v>
      </c>
      <c r="EO719" s="675">
        <v>0</v>
      </c>
      <c r="EP719" s="549">
        <v>0</v>
      </c>
      <c r="EQ719" s="675">
        <v>0</v>
      </c>
      <c r="ER719" s="549">
        <v>0</v>
      </c>
      <c r="ES719" s="675">
        <v>0</v>
      </c>
      <c r="ET719" s="549">
        <v>0</v>
      </c>
      <c r="EU719" s="675">
        <v>0</v>
      </c>
      <c r="EV719" s="549">
        <v>0</v>
      </c>
      <c r="EW719" s="675">
        <v>0</v>
      </c>
      <c r="EX719" s="549">
        <v>0</v>
      </c>
      <c r="EY719" s="675">
        <v>0</v>
      </c>
      <c r="EZ719" s="549">
        <v>0</v>
      </c>
      <c r="FA719" s="675">
        <v>0</v>
      </c>
      <c r="FB719" s="549">
        <v>0</v>
      </c>
      <c r="FC719" s="675">
        <v>0</v>
      </c>
      <c r="FD719" s="549">
        <v>0</v>
      </c>
      <c r="FE719" s="675">
        <v>0</v>
      </c>
      <c r="FF719" s="549">
        <v>0</v>
      </c>
      <c r="FG719" s="675">
        <v>0</v>
      </c>
      <c r="FH719" s="549">
        <v>0</v>
      </c>
      <c r="FI719" s="675">
        <v>0</v>
      </c>
      <c r="FJ719" s="549">
        <v>0</v>
      </c>
      <c r="FK719" s="675">
        <v>0</v>
      </c>
      <c r="FL719" s="549">
        <v>0</v>
      </c>
      <c r="FM719" s="675">
        <v>0</v>
      </c>
      <c r="FN719" s="549">
        <v>0</v>
      </c>
      <c r="FO719" s="675">
        <v>0</v>
      </c>
      <c r="FP719" s="549">
        <v>0</v>
      </c>
      <c r="FQ719" s="675">
        <v>0</v>
      </c>
      <c r="FR719" s="549">
        <v>0</v>
      </c>
      <c r="FS719" s="675">
        <v>0</v>
      </c>
      <c r="FT719" s="549">
        <v>0</v>
      </c>
      <c r="FU719" s="675">
        <v>0</v>
      </c>
      <c r="FV719" s="549">
        <v>0</v>
      </c>
      <c r="FW719" s="675">
        <v>0</v>
      </c>
      <c r="FX719" s="549">
        <v>0</v>
      </c>
      <c r="FY719" s="675">
        <v>0</v>
      </c>
      <c r="FZ719" s="549">
        <v>0</v>
      </c>
      <c r="GA719" s="675">
        <v>0</v>
      </c>
      <c r="GB719" s="549">
        <v>0</v>
      </c>
      <c r="GC719" s="675">
        <v>0</v>
      </c>
      <c r="GD719" s="549">
        <v>0</v>
      </c>
      <c r="GE719" s="675">
        <v>0</v>
      </c>
      <c r="GF719" s="549">
        <v>0</v>
      </c>
      <c r="GG719" s="675">
        <v>0</v>
      </c>
      <c r="GH719" s="549">
        <v>0</v>
      </c>
      <c r="GI719" s="675">
        <v>0</v>
      </c>
      <c r="GJ719" s="549">
        <v>0</v>
      </c>
      <c r="GK719" s="675">
        <v>0</v>
      </c>
      <c r="GL719" s="549">
        <v>0</v>
      </c>
      <c r="GM719" s="675">
        <v>0</v>
      </c>
      <c r="GN719" s="549">
        <v>0</v>
      </c>
      <c r="GO719" s="675">
        <v>0</v>
      </c>
      <c r="GP719" s="549">
        <f>+D719+F719+H719+J719+L719+N719+P719+R719+T719+V719+X719+Z719+AB719+AD719+AH719+AJ719+AL719+AN719+AP719+AR719+AT719+AV719+AX719+AZ719+BB719+BD719+BF719+BH719+BJ719+BL719+BN719+BP719+BR719+BT719+BV719+BX719+BZ719+CB719+CD719+CF719+CH719+CJ719+CL719+CN719+CP719+CR719+CT719+CV719+CX719+CZ719+DB719+DD719+DF719+DH719+DT719+EX719+DJ719+DL719+DN719+DP719+DR719+EJ719+EB719+DZ719+DX719+DV719+ED719+EF719+EH719+EL719+EN719+EP719+EV719+ET719+ER719+EZ719+FB719+FD719+GL719+FF719+FJ719+FL719+GJ719+FT719+FR719+FP719+FN719+FH719</f>
        <v>100000</v>
      </c>
      <c r="GQ719" s="675">
        <f>+E719+G719+I719+K719+M719+O719+Q719+S719+U719+W719+Y719+AA719+AC719+AE719+AI719+AK719+AM719+AO719+AQ719+AS719+AU719+AW719+AY719+BA719+BC719+BE719+BG719+BI719+BK719+BM719+BO719+BQ719+BS719+BU719+BW719+BY719+CA719+CC719+CE719+CG719+CI719+CK719+CM719+CO719+CQ719+CS719+CU719+CW719+CY719+DA719+DC719+DE719+DG719+DI719+DU719+EY719+DK719+DM719+DO719+DQ719+DS719+EK719+EC719+EA719+DY719+DW719+EI719+EG719+EE719+EM719+EO719+EQ719+EW719+EU719+ES719+FA719+FC719+FE719+GM719+FG719+FK719+FM719+FO719+FQ719+FS719+FU719+GK719+FI719</f>
        <v>0</v>
      </c>
      <c r="GR719" s="74">
        <f>C719+GP719+GQ719</f>
        <v>100000</v>
      </c>
      <c r="GS719" s="74">
        <f>SUM(GU719:HD719)+GP719+GQ719</f>
        <v>100000</v>
      </c>
      <c r="GT719" s="568">
        <f>SUM(GU719:HF719)+GQ719+GP719</f>
        <v>100000</v>
      </c>
      <c r="GU719" s="275">
        <v>0</v>
      </c>
      <c r="GV719" s="275"/>
      <c r="GW719" s="588"/>
      <c r="GX719" s="588">
        <v>0</v>
      </c>
      <c r="GY719" s="275"/>
      <c r="GZ719" s="275"/>
      <c r="HA719" s="275">
        <v>0</v>
      </c>
      <c r="HB719" s="275"/>
      <c r="HC719" s="275"/>
      <c r="HD719" s="275">
        <v>0</v>
      </c>
      <c r="HE719" s="275">
        <v>0</v>
      </c>
      <c r="HF719" s="275">
        <v>0</v>
      </c>
      <c r="HG719" s="74">
        <f>SUM(HH719:IE719)+GP719+GQ719</f>
        <v>100000</v>
      </c>
      <c r="HH719" s="89"/>
      <c r="HI719" s="817"/>
      <c r="HJ719" s="89"/>
      <c r="HK719" s="817"/>
      <c r="HL719" s="89"/>
      <c r="HM719" s="817"/>
      <c r="HN719" s="89"/>
      <c r="HO719" s="817"/>
      <c r="HP719" s="89"/>
      <c r="HQ719" s="817"/>
      <c r="HR719" s="89"/>
      <c r="HS719" s="817"/>
      <c r="HT719" s="89">
        <v>0</v>
      </c>
      <c r="HU719" s="817">
        <v>0</v>
      </c>
      <c r="HV719" s="89"/>
      <c r="HW719" s="817"/>
      <c r="HX719" s="89"/>
      <c r="HY719" s="817">
        <v>-100000</v>
      </c>
      <c r="HZ719" s="89">
        <v>0</v>
      </c>
      <c r="IA719" s="817">
        <v>100000</v>
      </c>
      <c r="IB719" s="89"/>
      <c r="IC719" s="817"/>
      <c r="ID719" s="89"/>
      <c r="IE719" s="817"/>
      <c r="IF719" s="841">
        <f t="shared" ref="IF719" si="16028">SUM(II719,IL719,IO719,IR719,IU719,IX719,JA719,JD719,JG719,JJ719,JM719,JP719)</f>
        <v>0</v>
      </c>
      <c r="IG719" s="263">
        <f t="shared" ref="IG719" si="16029">SUM(IJ719,IM719,IP719,IS719,IV719,IY719,JB719,JE719,JH719,JK719,JN719,JQ719)</f>
        <v>0</v>
      </c>
      <c r="IH719" s="842">
        <f t="shared" ref="IH719" si="16030">SUM(IK719,IN719,IQ719,IT719,IW719,IZ719,JC719,JF719,JI719,JL719,JO719,JR719)</f>
        <v>0</v>
      </c>
      <c r="II719" s="89">
        <v>0</v>
      </c>
      <c r="IJ719" s="89">
        <v>0</v>
      </c>
      <c r="IK719" s="89">
        <v>0</v>
      </c>
      <c r="IL719" s="89">
        <v>0</v>
      </c>
      <c r="IM719" s="89">
        <v>0</v>
      </c>
      <c r="IN719" s="89">
        <v>0</v>
      </c>
      <c r="IO719" s="89">
        <v>0</v>
      </c>
      <c r="IP719" s="89">
        <v>0</v>
      </c>
      <c r="IQ719" s="89">
        <v>0</v>
      </c>
      <c r="IR719" s="89">
        <v>0</v>
      </c>
      <c r="IS719" s="89">
        <v>0</v>
      </c>
      <c r="IT719" s="89">
        <v>0</v>
      </c>
      <c r="IU719" s="89">
        <v>0</v>
      </c>
      <c r="IV719" s="89">
        <v>0</v>
      </c>
      <c r="IW719" s="89">
        <v>0</v>
      </c>
      <c r="IX719" s="89">
        <v>0</v>
      </c>
      <c r="IY719" s="89">
        <v>0</v>
      </c>
      <c r="IZ719" s="89">
        <v>0</v>
      </c>
      <c r="JA719" s="89">
        <v>0</v>
      </c>
      <c r="JB719" s="89">
        <v>0</v>
      </c>
      <c r="JC719" s="89">
        <v>0</v>
      </c>
      <c r="JD719" s="89">
        <v>0</v>
      </c>
      <c r="JE719" s="89">
        <v>0</v>
      </c>
      <c r="JF719" s="89">
        <v>0</v>
      </c>
      <c r="JG719" s="89">
        <v>0</v>
      </c>
      <c r="JH719" s="89">
        <v>0</v>
      </c>
      <c r="JI719" s="89">
        <v>0</v>
      </c>
      <c r="JJ719" s="89">
        <v>0</v>
      </c>
      <c r="JK719" s="89">
        <v>0</v>
      </c>
      <c r="JL719" s="89">
        <v>0</v>
      </c>
      <c r="JM719" s="89">
        <v>0</v>
      </c>
      <c r="JN719" s="89">
        <v>0</v>
      </c>
      <c r="JO719" s="89">
        <v>0</v>
      </c>
      <c r="JP719" s="89">
        <v>0</v>
      </c>
      <c r="JQ719" s="89">
        <v>0</v>
      </c>
      <c r="JR719" s="89">
        <v>0</v>
      </c>
      <c r="JS719" s="74">
        <f>HG719-IF719</f>
        <v>100000</v>
      </c>
      <c r="JT719" s="382">
        <f>GS719-IF719</f>
        <v>100000</v>
      </c>
      <c r="JU719" s="665"/>
      <c r="JV719" s="524"/>
      <c r="JW719" s="525"/>
      <c r="JX719" s="549">
        <f t="shared" ref="JX719" si="16031">SUM(HH719,HJ719,HL719,HN719,HP719,HR719,HT719,HV719,HX719,HZ719,IB719,ID719)</f>
        <v>0</v>
      </c>
      <c r="JY719" s="549">
        <f t="shared" si="15767"/>
        <v>0</v>
      </c>
      <c r="JZ719" s="581">
        <f t="shared" si="15931"/>
        <v>100000</v>
      </c>
      <c r="KA719" s="581">
        <f t="shared" si="15932"/>
        <v>0</v>
      </c>
      <c r="KB719" s="566">
        <f>SUM(JX719:KA719)</f>
        <v>100000</v>
      </c>
      <c r="KC719" s="709">
        <f t="shared" ref="KC719" si="16032">HG719-KB719</f>
        <v>0</v>
      </c>
      <c r="KD719" s="491"/>
      <c r="KE719" s="491"/>
      <c r="KF719" s="491"/>
      <c r="KG719" s="491"/>
      <c r="KH719" s="36"/>
      <c r="KI719" s="36"/>
      <c r="KJ719" s="36"/>
      <c r="KK719" s="36"/>
    </row>
    <row r="720" spans="1:297" s="8" customFormat="1" ht="12.75" customHeight="1">
      <c r="A720" s="612"/>
      <c r="B720" s="512"/>
      <c r="C720" s="513"/>
      <c r="D720" s="553"/>
      <c r="E720" s="687"/>
      <c r="F720" s="553"/>
      <c r="G720" s="687"/>
      <c r="H720" s="553"/>
      <c r="I720" s="687"/>
      <c r="J720" s="553"/>
      <c r="K720" s="687"/>
      <c r="L720" s="553"/>
      <c r="M720" s="687"/>
      <c r="N720" s="553"/>
      <c r="O720" s="687"/>
      <c r="P720" s="553"/>
      <c r="Q720" s="687"/>
      <c r="R720" s="553"/>
      <c r="S720" s="687"/>
      <c r="T720" s="553"/>
      <c r="U720" s="687"/>
      <c r="V720" s="553"/>
      <c r="W720" s="687"/>
      <c r="X720" s="553"/>
      <c r="Y720" s="687"/>
      <c r="Z720" s="553"/>
      <c r="AA720" s="687"/>
      <c r="AB720" s="553"/>
      <c r="AC720" s="687"/>
      <c r="AD720" s="553"/>
      <c r="AE720" s="687"/>
      <c r="AF720" s="553"/>
      <c r="AG720" s="687"/>
      <c r="AH720" s="553"/>
      <c r="AI720" s="687"/>
      <c r="AJ720" s="553"/>
      <c r="AK720" s="687"/>
      <c r="AL720" s="553"/>
      <c r="AM720" s="687"/>
      <c r="AN720" s="553"/>
      <c r="AO720" s="687"/>
      <c r="AP720" s="553"/>
      <c r="AQ720" s="687"/>
      <c r="AR720" s="553"/>
      <c r="AS720" s="687"/>
      <c r="AT720" s="553"/>
      <c r="AU720" s="687"/>
      <c r="AV720" s="553"/>
      <c r="AW720" s="687"/>
      <c r="AX720" s="553"/>
      <c r="AY720" s="687"/>
      <c r="AZ720" s="553"/>
      <c r="BA720" s="687"/>
      <c r="BB720" s="553"/>
      <c r="BC720" s="687"/>
      <c r="BD720" s="553"/>
      <c r="BE720" s="687"/>
      <c r="BF720" s="553"/>
      <c r="BG720" s="687"/>
      <c r="BH720" s="553"/>
      <c r="BI720" s="687"/>
      <c r="BJ720" s="553"/>
      <c r="BK720" s="687"/>
      <c r="BL720" s="553"/>
      <c r="BM720" s="687"/>
      <c r="BN720" s="553"/>
      <c r="BO720" s="687"/>
      <c r="BP720" s="553"/>
      <c r="BQ720" s="687"/>
      <c r="BR720" s="553"/>
      <c r="BS720" s="687"/>
      <c r="BT720" s="553"/>
      <c r="BU720" s="687"/>
      <c r="BV720" s="553"/>
      <c r="BW720" s="687"/>
      <c r="BX720" s="553"/>
      <c r="BY720" s="687"/>
      <c r="BZ720" s="553"/>
      <c r="CA720" s="687"/>
      <c r="CB720" s="553"/>
      <c r="CC720" s="687"/>
      <c r="CD720" s="553"/>
      <c r="CE720" s="687"/>
      <c r="CF720" s="553"/>
      <c r="CG720" s="687"/>
      <c r="CH720" s="553"/>
      <c r="CI720" s="687"/>
      <c r="CJ720" s="553"/>
      <c r="CK720" s="687"/>
      <c r="CL720" s="553"/>
      <c r="CM720" s="687"/>
      <c r="CN720" s="553"/>
      <c r="CO720" s="687"/>
      <c r="CP720" s="553"/>
      <c r="CQ720" s="687"/>
      <c r="CR720" s="553"/>
      <c r="CS720" s="687"/>
      <c r="CT720" s="553"/>
      <c r="CU720" s="687"/>
      <c r="CV720" s="553"/>
      <c r="CW720" s="687"/>
      <c r="CX720" s="553"/>
      <c r="CY720" s="687"/>
      <c r="CZ720" s="553"/>
      <c r="DA720" s="687"/>
      <c r="DB720" s="553"/>
      <c r="DC720" s="687"/>
      <c r="DD720" s="553"/>
      <c r="DE720" s="687"/>
      <c r="DF720" s="553"/>
      <c r="DG720" s="687"/>
      <c r="DH720" s="553"/>
      <c r="DI720" s="687"/>
      <c r="DJ720" s="553"/>
      <c r="DK720" s="687"/>
      <c r="DL720" s="553"/>
      <c r="DM720" s="687"/>
      <c r="DN720" s="553"/>
      <c r="DO720" s="687"/>
      <c r="DP720" s="553"/>
      <c r="DQ720" s="687"/>
      <c r="DR720" s="553"/>
      <c r="DS720" s="687"/>
      <c r="DT720" s="553"/>
      <c r="DU720" s="687"/>
      <c r="DV720" s="553"/>
      <c r="DW720" s="687"/>
      <c r="DX720" s="553"/>
      <c r="DY720" s="687"/>
      <c r="DZ720" s="553"/>
      <c r="EA720" s="687"/>
      <c r="EB720" s="553"/>
      <c r="EC720" s="687"/>
      <c r="ED720" s="553"/>
      <c r="EE720" s="687"/>
      <c r="EF720" s="553"/>
      <c r="EG720" s="687"/>
      <c r="EH720" s="553"/>
      <c r="EI720" s="687"/>
      <c r="EJ720" s="553"/>
      <c r="EK720" s="687"/>
      <c r="EL720" s="553"/>
      <c r="EM720" s="687"/>
      <c r="EN720" s="553"/>
      <c r="EO720" s="687"/>
      <c r="EP720" s="553"/>
      <c r="EQ720" s="687"/>
      <c r="ER720" s="553"/>
      <c r="ES720" s="687"/>
      <c r="ET720" s="553"/>
      <c r="EU720" s="687"/>
      <c r="EV720" s="553"/>
      <c r="EW720" s="687"/>
      <c r="EX720" s="553"/>
      <c r="EY720" s="687"/>
      <c r="EZ720" s="553"/>
      <c r="FA720" s="687"/>
      <c r="FB720" s="553"/>
      <c r="FC720" s="687"/>
      <c r="FD720" s="553"/>
      <c r="FE720" s="687"/>
      <c r="FF720" s="553"/>
      <c r="FG720" s="687"/>
      <c r="FH720" s="553"/>
      <c r="FI720" s="687"/>
      <c r="FJ720" s="553"/>
      <c r="FK720" s="687"/>
      <c r="FL720" s="553"/>
      <c r="FM720" s="687"/>
      <c r="FN720" s="553"/>
      <c r="FO720" s="687"/>
      <c r="FP720" s="553"/>
      <c r="FQ720" s="687"/>
      <c r="FR720" s="553"/>
      <c r="FS720" s="687"/>
      <c r="FT720" s="553"/>
      <c r="FU720" s="687"/>
      <c r="FV720" s="553"/>
      <c r="FW720" s="687"/>
      <c r="FX720" s="553"/>
      <c r="FY720" s="687"/>
      <c r="FZ720" s="553"/>
      <c r="GA720" s="687"/>
      <c r="GB720" s="553"/>
      <c r="GC720" s="687"/>
      <c r="GD720" s="553"/>
      <c r="GE720" s="687"/>
      <c r="GF720" s="553"/>
      <c r="GG720" s="687"/>
      <c r="GH720" s="553"/>
      <c r="GI720" s="687"/>
      <c r="GJ720" s="553"/>
      <c r="GK720" s="687"/>
      <c r="GL720" s="553"/>
      <c r="GM720" s="687"/>
      <c r="GN720" s="553"/>
      <c r="GO720" s="687"/>
      <c r="GP720" s="553"/>
      <c r="GQ720" s="687"/>
      <c r="GR720" s="487"/>
      <c r="GS720" s="487"/>
      <c r="GT720" s="553"/>
      <c r="GU720" s="487"/>
      <c r="GV720" s="487"/>
      <c r="GW720" s="553"/>
      <c r="GX720" s="553"/>
      <c r="GY720" s="487"/>
      <c r="GZ720" s="487"/>
      <c r="HA720" s="487"/>
      <c r="HB720" s="487"/>
      <c r="HC720" s="487"/>
      <c r="HD720" s="487"/>
      <c r="HE720" s="487"/>
      <c r="HF720" s="487"/>
      <c r="HG720" s="487"/>
      <c r="HH720" s="487"/>
      <c r="HI720" s="828"/>
      <c r="HJ720" s="487"/>
      <c r="HK720" s="828"/>
      <c r="HL720" s="487"/>
      <c r="HM720" s="828"/>
      <c r="HN720" s="487"/>
      <c r="HO720" s="828"/>
      <c r="HP720" s="487"/>
      <c r="HQ720" s="828"/>
      <c r="HR720" s="487"/>
      <c r="HS720" s="828"/>
      <c r="HT720" s="487"/>
      <c r="HU720" s="828"/>
      <c r="HV720" s="487"/>
      <c r="HW720" s="828"/>
      <c r="HX720" s="487"/>
      <c r="HY720" s="828"/>
      <c r="HZ720" s="487"/>
      <c r="IA720" s="828"/>
      <c r="IB720" s="487"/>
      <c r="IC720" s="828"/>
      <c r="ID720" s="487"/>
      <c r="IE720" s="828"/>
      <c r="IF720" s="871"/>
      <c r="IG720" s="486"/>
      <c r="IH720" s="872"/>
      <c r="II720" s="487"/>
      <c r="IJ720" s="487"/>
      <c r="IK720" s="487"/>
      <c r="IL720" s="487"/>
      <c r="IM720" s="487"/>
      <c r="IN720" s="487"/>
      <c r="IO720" s="487"/>
      <c r="IP720" s="487"/>
      <c r="IQ720" s="487"/>
      <c r="IR720" s="487"/>
      <c r="IS720" s="487"/>
      <c r="IT720" s="487"/>
      <c r="IU720" s="487"/>
      <c r="IV720" s="487"/>
      <c r="IW720" s="487"/>
      <c r="IX720" s="487"/>
      <c r="IY720" s="487"/>
      <c r="IZ720" s="487"/>
      <c r="JA720" s="487"/>
      <c r="JB720" s="487"/>
      <c r="JC720" s="487"/>
      <c r="JD720" s="487"/>
      <c r="JE720" s="487"/>
      <c r="JF720" s="487"/>
      <c r="JG720" s="487"/>
      <c r="JH720" s="487"/>
      <c r="JI720" s="487"/>
      <c r="JJ720" s="487"/>
      <c r="JK720" s="487"/>
      <c r="JL720" s="487"/>
      <c r="JM720" s="487"/>
      <c r="JN720" s="487"/>
      <c r="JO720" s="487"/>
      <c r="JP720" s="487"/>
      <c r="JQ720" s="487"/>
      <c r="JR720" s="487"/>
      <c r="JS720" s="487"/>
      <c r="JT720" s="662"/>
      <c r="JU720" s="665"/>
      <c r="JV720" s="524"/>
      <c r="JW720" s="525"/>
      <c r="JX720" s="553"/>
      <c r="JY720" s="549">
        <f t="shared" si="15767"/>
        <v>0</v>
      </c>
      <c r="JZ720" s="581">
        <f t="shared" si="14740"/>
        <v>0</v>
      </c>
      <c r="KA720" s="581">
        <f t="shared" si="14741"/>
        <v>0</v>
      </c>
      <c r="KB720" s="566">
        <f t="shared" si="15406"/>
        <v>0</v>
      </c>
      <c r="KC720" s="709">
        <f t="shared" si="14739"/>
        <v>0</v>
      </c>
      <c r="KD720" s="491"/>
      <c r="KE720" s="491"/>
      <c r="KF720" s="491"/>
      <c r="KG720" s="491"/>
      <c r="KH720" s="36"/>
      <c r="KI720" s="36"/>
      <c r="KJ720" s="36"/>
      <c r="KK720" s="36"/>
    </row>
    <row r="721" spans="1:297" s="10" customFormat="1">
      <c r="A721" s="610" t="s">
        <v>956</v>
      </c>
      <c r="B721" s="510" t="s">
        <v>957</v>
      </c>
      <c r="C721" s="511">
        <f>+C723</f>
        <v>288100</v>
      </c>
      <c r="D721" s="566">
        <f t="shared" ref="D721:E721" si="16033">+D723</f>
        <v>0</v>
      </c>
      <c r="E721" s="684">
        <f t="shared" si="16033"/>
        <v>0</v>
      </c>
      <c r="F721" s="566">
        <f t="shared" ref="F721:G721" si="16034">+F723</f>
        <v>0</v>
      </c>
      <c r="G721" s="684">
        <f t="shared" si="16034"/>
        <v>0</v>
      </c>
      <c r="H721" s="566">
        <f t="shared" ref="H721:AM721" si="16035">+H723</f>
        <v>0</v>
      </c>
      <c r="I721" s="684">
        <f t="shared" si="16035"/>
        <v>0</v>
      </c>
      <c r="J721" s="566">
        <f t="shared" si="16035"/>
        <v>0</v>
      </c>
      <c r="K721" s="684">
        <f t="shared" si="16035"/>
        <v>0</v>
      </c>
      <c r="L721" s="566">
        <f t="shared" si="16035"/>
        <v>0</v>
      </c>
      <c r="M721" s="684">
        <f t="shared" si="16035"/>
        <v>0</v>
      </c>
      <c r="N721" s="566">
        <f t="shared" si="16035"/>
        <v>0</v>
      </c>
      <c r="O721" s="684">
        <f t="shared" si="16035"/>
        <v>0</v>
      </c>
      <c r="P721" s="566">
        <f t="shared" si="16035"/>
        <v>0</v>
      </c>
      <c r="Q721" s="684">
        <f t="shared" si="16035"/>
        <v>0</v>
      </c>
      <c r="R721" s="566">
        <f t="shared" si="16035"/>
        <v>0</v>
      </c>
      <c r="S721" s="684">
        <f t="shared" si="16035"/>
        <v>0</v>
      </c>
      <c r="T721" s="566">
        <f t="shared" si="16035"/>
        <v>0</v>
      </c>
      <c r="U721" s="684">
        <f t="shared" si="16035"/>
        <v>0</v>
      </c>
      <c r="V721" s="566">
        <f t="shared" si="16035"/>
        <v>0</v>
      </c>
      <c r="W721" s="684">
        <f t="shared" si="16035"/>
        <v>0</v>
      </c>
      <c r="X721" s="566">
        <f t="shared" si="16035"/>
        <v>0</v>
      </c>
      <c r="Y721" s="684">
        <f t="shared" si="16035"/>
        <v>0</v>
      </c>
      <c r="Z721" s="566">
        <f t="shared" si="16035"/>
        <v>0</v>
      </c>
      <c r="AA721" s="684">
        <f t="shared" si="16035"/>
        <v>0</v>
      </c>
      <c r="AB721" s="566">
        <f t="shared" si="16035"/>
        <v>0</v>
      </c>
      <c r="AC721" s="684">
        <f t="shared" si="16035"/>
        <v>0</v>
      </c>
      <c r="AD721" s="566">
        <f t="shared" ref="AD721:AK721" si="16036">+AD723</f>
        <v>0</v>
      </c>
      <c r="AE721" s="684">
        <f t="shared" si="16036"/>
        <v>0</v>
      </c>
      <c r="AF721" s="566">
        <f t="shared" si="16036"/>
        <v>0</v>
      </c>
      <c r="AG721" s="684">
        <f t="shared" si="16036"/>
        <v>0</v>
      </c>
      <c r="AH721" s="566">
        <f t="shared" si="16036"/>
        <v>0</v>
      </c>
      <c r="AI721" s="684">
        <f t="shared" si="16036"/>
        <v>0</v>
      </c>
      <c r="AJ721" s="566">
        <f t="shared" si="16036"/>
        <v>0</v>
      </c>
      <c r="AK721" s="684">
        <f t="shared" si="16036"/>
        <v>0</v>
      </c>
      <c r="AL721" s="566">
        <f t="shared" si="16035"/>
        <v>0</v>
      </c>
      <c r="AM721" s="684">
        <f t="shared" si="16035"/>
        <v>0</v>
      </c>
      <c r="AN721" s="566">
        <f t="shared" ref="AN721:AS721" si="16037">+AN723</f>
        <v>0</v>
      </c>
      <c r="AO721" s="684">
        <f t="shared" si="16037"/>
        <v>0</v>
      </c>
      <c r="AP721" s="566">
        <f t="shared" si="16037"/>
        <v>0</v>
      </c>
      <c r="AQ721" s="684">
        <f t="shared" si="16037"/>
        <v>-92000</v>
      </c>
      <c r="AR721" s="566">
        <f t="shared" si="16037"/>
        <v>0</v>
      </c>
      <c r="AS721" s="684">
        <f t="shared" si="16037"/>
        <v>0</v>
      </c>
      <c r="AT721" s="566">
        <f t="shared" ref="AT721:AU721" si="16038">+AT723</f>
        <v>0</v>
      </c>
      <c r="AU721" s="684">
        <f t="shared" si="16038"/>
        <v>0</v>
      </c>
      <c r="AV721" s="566">
        <f t="shared" ref="AV721:AW721" si="16039">+AV723</f>
        <v>0</v>
      </c>
      <c r="AW721" s="684">
        <f t="shared" si="16039"/>
        <v>0</v>
      </c>
      <c r="AX721" s="566">
        <f t="shared" ref="AX721:AY721" si="16040">+AX723</f>
        <v>0</v>
      </c>
      <c r="AY721" s="684">
        <f t="shared" si="16040"/>
        <v>-97000</v>
      </c>
      <c r="AZ721" s="566">
        <f t="shared" ref="AZ721:BA721" si="16041">+AZ723</f>
        <v>0</v>
      </c>
      <c r="BA721" s="684">
        <f t="shared" si="16041"/>
        <v>0</v>
      </c>
      <c r="BB721" s="566">
        <f t="shared" ref="BB721:BC721" si="16042">+BB723</f>
        <v>0</v>
      </c>
      <c r="BC721" s="684">
        <f t="shared" si="16042"/>
        <v>0</v>
      </c>
      <c r="BD721" s="566">
        <f t="shared" ref="BD721:BE721" si="16043">+BD723</f>
        <v>0</v>
      </c>
      <c r="BE721" s="684">
        <f t="shared" si="16043"/>
        <v>0</v>
      </c>
      <c r="BF721" s="566">
        <f t="shared" ref="BF721:BG721" si="16044">+BF723</f>
        <v>0</v>
      </c>
      <c r="BG721" s="684">
        <f t="shared" si="16044"/>
        <v>0</v>
      </c>
      <c r="BH721" s="566">
        <f t="shared" ref="BH721:BI721" si="16045">+BH723</f>
        <v>0</v>
      </c>
      <c r="BI721" s="684">
        <f t="shared" si="16045"/>
        <v>0</v>
      </c>
      <c r="BJ721" s="566">
        <f t="shared" ref="BJ721:BK721" si="16046">+BJ723</f>
        <v>0</v>
      </c>
      <c r="BK721" s="684">
        <f t="shared" si="16046"/>
        <v>0</v>
      </c>
      <c r="BL721" s="566">
        <f t="shared" ref="BL721:BS721" si="16047">+BL723</f>
        <v>0</v>
      </c>
      <c r="BM721" s="684">
        <f t="shared" si="16047"/>
        <v>0</v>
      </c>
      <c r="BN721" s="566">
        <f t="shared" si="16047"/>
        <v>0</v>
      </c>
      <c r="BO721" s="684">
        <f t="shared" si="16047"/>
        <v>0</v>
      </c>
      <c r="BP721" s="566">
        <f t="shared" si="16047"/>
        <v>0</v>
      </c>
      <c r="BQ721" s="684">
        <f t="shared" si="16047"/>
        <v>0</v>
      </c>
      <c r="BR721" s="566">
        <f t="shared" si="16047"/>
        <v>0</v>
      </c>
      <c r="BS721" s="684">
        <f t="shared" si="16047"/>
        <v>0</v>
      </c>
      <c r="BT721" s="566">
        <f t="shared" ref="BT721:BU721" si="16048">+BT723</f>
        <v>0</v>
      </c>
      <c r="BU721" s="684">
        <f t="shared" si="16048"/>
        <v>-99100</v>
      </c>
      <c r="BV721" s="566">
        <f t="shared" ref="BV721:BW721" si="16049">+BV723</f>
        <v>0</v>
      </c>
      <c r="BW721" s="684">
        <f t="shared" si="16049"/>
        <v>0</v>
      </c>
      <c r="BX721" s="566">
        <f t="shared" ref="BX721:BY721" si="16050">+BX723</f>
        <v>0</v>
      </c>
      <c r="BY721" s="684">
        <f t="shared" si="16050"/>
        <v>0</v>
      </c>
      <c r="BZ721" s="566">
        <f t="shared" ref="BZ721:CA721" si="16051">+BZ723</f>
        <v>0</v>
      </c>
      <c r="CA721" s="684">
        <f t="shared" si="16051"/>
        <v>0</v>
      </c>
      <c r="CB721" s="566">
        <f t="shared" ref="CB721:CE721" si="16052">+CB723</f>
        <v>0</v>
      </c>
      <c r="CC721" s="684">
        <f t="shared" si="16052"/>
        <v>0</v>
      </c>
      <c r="CD721" s="566">
        <f t="shared" si="16052"/>
        <v>0</v>
      </c>
      <c r="CE721" s="684">
        <f t="shared" si="16052"/>
        <v>0</v>
      </c>
      <c r="CF721" s="566">
        <f t="shared" ref="CF721:CQ721" si="16053">+CF723</f>
        <v>0</v>
      </c>
      <c r="CG721" s="684">
        <f t="shared" si="16053"/>
        <v>0</v>
      </c>
      <c r="CH721" s="566">
        <f t="shared" si="16053"/>
        <v>0</v>
      </c>
      <c r="CI721" s="684">
        <f t="shared" si="16053"/>
        <v>0</v>
      </c>
      <c r="CJ721" s="566">
        <f t="shared" si="16053"/>
        <v>0</v>
      </c>
      <c r="CK721" s="684">
        <f t="shared" si="16053"/>
        <v>0</v>
      </c>
      <c r="CL721" s="566">
        <f t="shared" si="16053"/>
        <v>0</v>
      </c>
      <c r="CM721" s="684">
        <f t="shared" si="16053"/>
        <v>0</v>
      </c>
      <c r="CN721" s="566">
        <f t="shared" si="16053"/>
        <v>0</v>
      </c>
      <c r="CO721" s="684">
        <f t="shared" si="16053"/>
        <v>0</v>
      </c>
      <c r="CP721" s="566">
        <f t="shared" si="16053"/>
        <v>0</v>
      </c>
      <c r="CQ721" s="684">
        <f t="shared" si="16053"/>
        <v>0</v>
      </c>
      <c r="CR721" s="566">
        <f t="shared" ref="CR721:CY721" si="16054">+CR723</f>
        <v>0</v>
      </c>
      <c r="CS721" s="684">
        <f t="shared" si="16054"/>
        <v>0</v>
      </c>
      <c r="CT721" s="566">
        <f t="shared" si="16054"/>
        <v>0</v>
      </c>
      <c r="CU721" s="684">
        <f t="shared" si="16054"/>
        <v>0</v>
      </c>
      <c r="CV721" s="566">
        <f t="shared" si="16054"/>
        <v>0</v>
      </c>
      <c r="CW721" s="684">
        <f t="shared" si="16054"/>
        <v>0</v>
      </c>
      <c r="CX721" s="566">
        <f t="shared" si="16054"/>
        <v>0</v>
      </c>
      <c r="CY721" s="684">
        <f t="shared" si="16054"/>
        <v>0</v>
      </c>
      <c r="CZ721" s="566">
        <f t="shared" ref="CZ721:DG721" si="16055">+CZ723</f>
        <v>0</v>
      </c>
      <c r="DA721" s="684">
        <f t="shared" si="16055"/>
        <v>0</v>
      </c>
      <c r="DB721" s="566">
        <f t="shared" si="16055"/>
        <v>33000</v>
      </c>
      <c r="DC721" s="684">
        <f t="shared" si="16055"/>
        <v>0</v>
      </c>
      <c r="DD721" s="566">
        <f t="shared" si="16055"/>
        <v>0</v>
      </c>
      <c r="DE721" s="684">
        <f t="shared" si="16055"/>
        <v>0</v>
      </c>
      <c r="DF721" s="566">
        <f t="shared" si="16055"/>
        <v>0</v>
      </c>
      <c r="DG721" s="684">
        <f t="shared" si="16055"/>
        <v>0</v>
      </c>
      <c r="DH721" s="566">
        <f t="shared" ref="DH721:DY721" si="16056">+DH723</f>
        <v>0</v>
      </c>
      <c r="DI721" s="684">
        <f t="shared" si="16056"/>
        <v>0</v>
      </c>
      <c r="DJ721" s="566">
        <f t="shared" si="16056"/>
        <v>0</v>
      </c>
      <c r="DK721" s="684">
        <f t="shared" si="16056"/>
        <v>0</v>
      </c>
      <c r="DL721" s="566">
        <f t="shared" si="16056"/>
        <v>15400</v>
      </c>
      <c r="DM721" s="684">
        <f t="shared" si="16056"/>
        <v>0</v>
      </c>
      <c r="DN721" s="566">
        <f t="shared" si="16056"/>
        <v>185937</v>
      </c>
      <c r="DO721" s="684">
        <f t="shared" si="16056"/>
        <v>0</v>
      </c>
      <c r="DP721" s="566">
        <f t="shared" si="16056"/>
        <v>0</v>
      </c>
      <c r="DQ721" s="684">
        <f t="shared" si="16056"/>
        <v>0</v>
      </c>
      <c r="DR721" s="566">
        <f t="shared" si="16056"/>
        <v>0</v>
      </c>
      <c r="DS721" s="684">
        <f t="shared" si="16056"/>
        <v>0</v>
      </c>
      <c r="DT721" s="566">
        <f t="shared" si="16056"/>
        <v>0</v>
      </c>
      <c r="DU721" s="684">
        <f t="shared" si="16056"/>
        <v>0</v>
      </c>
      <c r="DV721" s="566">
        <f t="shared" si="16056"/>
        <v>44000</v>
      </c>
      <c r="DW721" s="684">
        <f t="shared" si="16056"/>
        <v>-22000</v>
      </c>
      <c r="DX721" s="566">
        <f t="shared" si="16056"/>
        <v>0</v>
      </c>
      <c r="DY721" s="684">
        <f t="shared" si="16056"/>
        <v>0</v>
      </c>
      <c r="DZ721" s="566">
        <f t="shared" ref="DZ721:FA721" si="16057">+DZ723</f>
        <v>25843</v>
      </c>
      <c r="EA721" s="684">
        <f t="shared" si="16057"/>
        <v>0</v>
      </c>
      <c r="EB721" s="566">
        <f t="shared" si="16057"/>
        <v>0</v>
      </c>
      <c r="EC721" s="684">
        <f t="shared" si="16057"/>
        <v>0</v>
      </c>
      <c r="ED721" s="566">
        <f t="shared" si="16057"/>
        <v>0</v>
      </c>
      <c r="EE721" s="684">
        <f t="shared" si="16057"/>
        <v>0</v>
      </c>
      <c r="EF721" s="566">
        <f t="shared" si="16057"/>
        <v>0</v>
      </c>
      <c r="EG721" s="684">
        <f t="shared" si="16057"/>
        <v>0</v>
      </c>
      <c r="EH721" s="566">
        <f t="shared" ref="EH721:EM721" si="16058">+EH723</f>
        <v>0</v>
      </c>
      <c r="EI721" s="684">
        <f t="shared" si="16058"/>
        <v>0</v>
      </c>
      <c r="EJ721" s="566">
        <f t="shared" si="16058"/>
        <v>0</v>
      </c>
      <c r="EK721" s="684">
        <f t="shared" si="16058"/>
        <v>0</v>
      </c>
      <c r="EL721" s="566">
        <f t="shared" si="16058"/>
        <v>0</v>
      </c>
      <c r="EM721" s="684">
        <f t="shared" si="16058"/>
        <v>0</v>
      </c>
      <c r="EN721" s="566">
        <f t="shared" si="16057"/>
        <v>0</v>
      </c>
      <c r="EO721" s="684">
        <f t="shared" si="16057"/>
        <v>0</v>
      </c>
      <c r="EP721" s="566">
        <f t="shared" si="16057"/>
        <v>0</v>
      </c>
      <c r="EQ721" s="684">
        <f t="shared" si="16057"/>
        <v>0</v>
      </c>
      <c r="ER721" s="566">
        <f t="shared" si="16057"/>
        <v>49219</v>
      </c>
      <c r="ES721" s="684">
        <f t="shared" si="16057"/>
        <v>0</v>
      </c>
      <c r="ET721" s="566">
        <f t="shared" si="16057"/>
        <v>0</v>
      </c>
      <c r="EU721" s="684">
        <f t="shared" si="16057"/>
        <v>0</v>
      </c>
      <c r="EV721" s="566">
        <f t="shared" ref="EV721:EW721" si="16059">+EV723</f>
        <v>0</v>
      </c>
      <c r="EW721" s="684">
        <f t="shared" si="16059"/>
        <v>0</v>
      </c>
      <c r="EX721" s="566">
        <f t="shared" si="16057"/>
        <v>0</v>
      </c>
      <c r="EY721" s="684">
        <f t="shared" si="16057"/>
        <v>0</v>
      </c>
      <c r="EZ721" s="566">
        <f t="shared" si="16057"/>
        <v>0</v>
      </c>
      <c r="FA721" s="684">
        <f t="shared" si="16057"/>
        <v>0</v>
      </c>
      <c r="FB721" s="566">
        <f t="shared" ref="FB721:FC721" si="16060">+FB723</f>
        <v>0</v>
      </c>
      <c r="FC721" s="684">
        <f t="shared" si="16060"/>
        <v>0</v>
      </c>
      <c r="FD721" s="566">
        <f t="shared" ref="FD721:FE721" si="16061">+FD723</f>
        <v>0</v>
      </c>
      <c r="FE721" s="684">
        <f t="shared" si="16061"/>
        <v>0</v>
      </c>
      <c r="FF721" s="566">
        <f t="shared" ref="FF721:FG721" si="16062">+FF723</f>
        <v>0</v>
      </c>
      <c r="FG721" s="684">
        <f t="shared" si="16062"/>
        <v>0</v>
      </c>
      <c r="FH721" s="566">
        <f t="shared" ref="FH721:FI721" si="16063">+FH723</f>
        <v>0</v>
      </c>
      <c r="FI721" s="684">
        <f t="shared" si="16063"/>
        <v>0</v>
      </c>
      <c r="FJ721" s="566">
        <f t="shared" ref="FJ721:FK721" si="16064">+FJ723</f>
        <v>0</v>
      </c>
      <c r="FK721" s="684">
        <f t="shared" si="16064"/>
        <v>0</v>
      </c>
      <c r="FL721" s="566">
        <f t="shared" ref="FL721:FM721" si="16065">+FL723</f>
        <v>0</v>
      </c>
      <c r="FM721" s="684">
        <f t="shared" si="16065"/>
        <v>0</v>
      </c>
      <c r="FN721" s="566">
        <f t="shared" ref="FN721:FO721" si="16066">+FN723</f>
        <v>78166</v>
      </c>
      <c r="FO721" s="684">
        <f t="shared" si="16066"/>
        <v>-30698</v>
      </c>
      <c r="FP721" s="566">
        <f t="shared" ref="FP721:FQ721" si="16067">+FP723</f>
        <v>0</v>
      </c>
      <c r="FQ721" s="684">
        <f t="shared" si="16067"/>
        <v>0</v>
      </c>
      <c r="FR721" s="566">
        <f t="shared" ref="FR721:FS721" si="16068">+FR723</f>
        <v>0</v>
      </c>
      <c r="FS721" s="684">
        <f t="shared" si="16068"/>
        <v>0</v>
      </c>
      <c r="FT721" s="566">
        <f t="shared" ref="FT721:FU721" si="16069">+FT723</f>
        <v>0</v>
      </c>
      <c r="FU721" s="684">
        <f t="shared" si="16069"/>
        <v>0</v>
      </c>
      <c r="FV721" s="566">
        <f t="shared" ref="FV721:GK721" si="16070">+FV723</f>
        <v>0</v>
      </c>
      <c r="FW721" s="684">
        <f t="shared" si="16070"/>
        <v>0</v>
      </c>
      <c r="FX721" s="566">
        <f t="shared" si="16070"/>
        <v>0</v>
      </c>
      <c r="FY721" s="684">
        <f t="shared" si="16070"/>
        <v>0</v>
      </c>
      <c r="FZ721" s="566">
        <f t="shared" ref="FZ721:GI721" si="16071">+FZ723</f>
        <v>299000</v>
      </c>
      <c r="GA721" s="684">
        <f t="shared" si="16071"/>
        <v>0</v>
      </c>
      <c r="GB721" s="566">
        <f t="shared" si="16071"/>
        <v>0</v>
      </c>
      <c r="GC721" s="684">
        <f t="shared" si="16071"/>
        <v>0</v>
      </c>
      <c r="GD721" s="566">
        <f t="shared" si="16071"/>
        <v>0</v>
      </c>
      <c r="GE721" s="684">
        <f t="shared" si="16071"/>
        <v>0</v>
      </c>
      <c r="GF721" s="566">
        <f t="shared" si="16071"/>
        <v>0</v>
      </c>
      <c r="GG721" s="684">
        <f t="shared" si="16071"/>
        <v>0</v>
      </c>
      <c r="GH721" s="566">
        <f t="shared" si="16071"/>
        <v>0</v>
      </c>
      <c r="GI721" s="684">
        <f t="shared" si="16071"/>
        <v>0</v>
      </c>
      <c r="GJ721" s="566">
        <f t="shared" si="16070"/>
        <v>0</v>
      </c>
      <c r="GK721" s="684">
        <f t="shared" si="16070"/>
        <v>0</v>
      </c>
      <c r="GL721" s="566">
        <f t="shared" ref="GL721:GQ721" si="16072">+GL723</f>
        <v>0</v>
      </c>
      <c r="GM721" s="684">
        <f t="shared" si="16072"/>
        <v>0</v>
      </c>
      <c r="GN721" s="566">
        <f t="shared" ref="GN721:GO721" si="16073">+GN723</f>
        <v>0</v>
      </c>
      <c r="GO721" s="684">
        <f t="shared" si="16073"/>
        <v>0</v>
      </c>
      <c r="GP721" s="566">
        <f t="shared" si="16072"/>
        <v>730565</v>
      </c>
      <c r="GQ721" s="684">
        <f t="shared" si="16072"/>
        <v>-340798</v>
      </c>
      <c r="GR721" s="511">
        <f t="shared" ref="GR721:JC721" si="16074">+GR723</f>
        <v>677867</v>
      </c>
      <c r="GS721" s="511">
        <f t="shared" si="16074"/>
        <v>677867</v>
      </c>
      <c r="GT721" s="566">
        <f>+GT723</f>
        <v>677867</v>
      </c>
      <c r="GU721" s="511">
        <f t="shared" si="16074"/>
        <v>57620</v>
      </c>
      <c r="GV721" s="511">
        <f t="shared" si="16074"/>
        <v>0</v>
      </c>
      <c r="GW721" s="566">
        <f t="shared" si="16074"/>
        <v>0</v>
      </c>
      <c r="GX721" s="566">
        <f t="shared" si="16074"/>
        <v>86430</v>
      </c>
      <c r="GY721" s="511">
        <f t="shared" si="16074"/>
        <v>144050</v>
      </c>
      <c r="GZ721" s="511">
        <f t="shared" si="16074"/>
        <v>0</v>
      </c>
      <c r="HA721" s="511">
        <f t="shared" si="16074"/>
        <v>0</v>
      </c>
      <c r="HB721" s="511">
        <f t="shared" si="16074"/>
        <v>0</v>
      </c>
      <c r="HC721" s="511">
        <f t="shared" si="16074"/>
        <v>0</v>
      </c>
      <c r="HD721" s="511">
        <f t="shared" si="16074"/>
        <v>0</v>
      </c>
      <c r="HE721" s="511">
        <f t="shared" si="16074"/>
        <v>0</v>
      </c>
      <c r="HF721" s="511">
        <f t="shared" si="16074"/>
        <v>0</v>
      </c>
      <c r="HG721" s="511">
        <f>+HG723</f>
        <v>677867</v>
      </c>
      <c r="HH721" s="511">
        <f t="shared" ref="HH721:HI721" si="16075">+HH723</f>
        <v>0</v>
      </c>
      <c r="HI721" s="825">
        <f t="shared" si="16075"/>
        <v>0</v>
      </c>
      <c r="HJ721" s="511">
        <f t="shared" ref="HJ721:HK721" si="16076">+HJ723</f>
        <v>0</v>
      </c>
      <c r="HK721" s="825">
        <f t="shared" si="16076"/>
        <v>0</v>
      </c>
      <c r="HL721" s="511">
        <f t="shared" ref="HL721:HM721" si="16077">+HL723</f>
        <v>0</v>
      </c>
      <c r="HM721" s="825">
        <f t="shared" si="16077"/>
        <v>0</v>
      </c>
      <c r="HN721" s="511">
        <f t="shared" ref="HN721:HO721" si="16078">+HN723</f>
        <v>0</v>
      </c>
      <c r="HO721" s="825">
        <f t="shared" si="16078"/>
        <v>144050</v>
      </c>
      <c r="HP721" s="511">
        <f t="shared" ref="HP721:HQ721" si="16079">+HP723</f>
        <v>0</v>
      </c>
      <c r="HQ721" s="825">
        <f t="shared" si="16079"/>
        <v>94500</v>
      </c>
      <c r="HR721" s="511">
        <f t="shared" ref="HR721:HS721" si="16080">+HR723</f>
        <v>0</v>
      </c>
      <c r="HS721" s="825">
        <f t="shared" si="16080"/>
        <v>49550</v>
      </c>
      <c r="HT721" s="511">
        <f t="shared" ref="HT721:HU721" si="16081">+HT723</f>
        <v>0</v>
      </c>
      <c r="HU721" s="825">
        <f t="shared" si="16081"/>
        <v>0</v>
      </c>
      <c r="HV721" s="511">
        <f t="shared" ref="HV721:HW721" si="16082">+HV723</f>
        <v>0</v>
      </c>
      <c r="HW721" s="825">
        <f t="shared" si="16082"/>
        <v>0</v>
      </c>
      <c r="HX721" s="511">
        <f t="shared" ref="HX721:HY721" si="16083">+HX723</f>
        <v>0</v>
      </c>
      <c r="HY721" s="825">
        <f t="shared" si="16083"/>
        <v>0</v>
      </c>
      <c r="HZ721" s="511">
        <f t="shared" ref="HZ721:IA721" si="16084">+HZ723</f>
        <v>0</v>
      </c>
      <c r="IA721" s="825">
        <f t="shared" si="16084"/>
        <v>0</v>
      </c>
      <c r="IB721" s="511">
        <f t="shared" ref="IB721:IC721" si="16085">+IB723</f>
        <v>0</v>
      </c>
      <c r="IC721" s="825">
        <f t="shared" si="16085"/>
        <v>0</v>
      </c>
      <c r="ID721" s="511">
        <f t="shared" si="16074"/>
        <v>0</v>
      </c>
      <c r="IE721" s="825">
        <f t="shared" si="16074"/>
        <v>0</v>
      </c>
      <c r="IF721" s="873">
        <f t="shared" si="16074"/>
        <v>96307.69</v>
      </c>
      <c r="IG721" s="702">
        <f t="shared" si="16074"/>
        <v>96307.69</v>
      </c>
      <c r="IH721" s="874">
        <f t="shared" si="16074"/>
        <v>96307.69</v>
      </c>
      <c r="II721" s="511">
        <f t="shared" si="16074"/>
        <v>0</v>
      </c>
      <c r="IJ721" s="511">
        <f t="shared" si="16074"/>
        <v>0</v>
      </c>
      <c r="IK721" s="511">
        <f t="shared" si="16074"/>
        <v>0</v>
      </c>
      <c r="IL721" s="511">
        <f t="shared" si="16074"/>
        <v>0</v>
      </c>
      <c r="IM721" s="511">
        <f t="shared" si="16074"/>
        <v>0</v>
      </c>
      <c r="IN721" s="511">
        <f t="shared" si="16074"/>
        <v>0</v>
      </c>
      <c r="IO721" s="511">
        <f t="shared" si="16074"/>
        <v>0</v>
      </c>
      <c r="IP721" s="511">
        <f t="shared" si="16074"/>
        <v>0</v>
      </c>
      <c r="IQ721" s="511">
        <f t="shared" si="16074"/>
        <v>0</v>
      </c>
      <c r="IR721" s="511">
        <f t="shared" si="16074"/>
        <v>0</v>
      </c>
      <c r="IS721" s="511">
        <f t="shared" si="16074"/>
        <v>0</v>
      </c>
      <c r="IT721" s="511">
        <f t="shared" si="16074"/>
        <v>0</v>
      </c>
      <c r="IU721" s="511">
        <f t="shared" si="16074"/>
        <v>0</v>
      </c>
      <c r="IV721" s="511">
        <f t="shared" si="16074"/>
        <v>0</v>
      </c>
      <c r="IW721" s="511">
        <f t="shared" si="16074"/>
        <v>0</v>
      </c>
      <c r="IX721" s="511">
        <f t="shared" si="16074"/>
        <v>0</v>
      </c>
      <c r="IY721" s="511">
        <f t="shared" si="16074"/>
        <v>0</v>
      </c>
      <c r="IZ721" s="511">
        <f t="shared" si="16074"/>
        <v>0</v>
      </c>
      <c r="JA721" s="511">
        <f t="shared" si="16074"/>
        <v>0</v>
      </c>
      <c r="JB721" s="511">
        <f t="shared" si="16074"/>
        <v>0</v>
      </c>
      <c r="JC721" s="511">
        <f t="shared" si="16074"/>
        <v>0</v>
      </c>
      <c r="JD721" s="511">
        <f t="shared" ref="JD721:JF721" si="16086">+JD723</f>
        <v>0</v>
      </c>
      <c r="JE721" s="511">
        <f t="shared" si="16086"/>
        <v>0</v>
      </c>
      <c r="JF721" s="511">
        <f t="shared" si="16086"/>
        <v>0</v>
      </c>
      <c r="JG721" s="511">
        <f t="shared" ref="JG721:JI721" si="16087">+JG723</f>
        <v>20710.89</v>
      </c>
      <c r="JH721" s="511">
        <f t="shared" si="16087"/>
        <v>20710.89</v>
      </c>
      <c r="JI721" s="511">
        <f t="shared" si="16087"/>
        <v>20710.89</v>
      </c>
      <c r="JJ721" s="511">
        <f t="shared" ref="JJ721:JL721" si="16088">+JJ723</f>
        <v>75596.800000000003</v>
      </c>
      <c r="JK721" s="511">
        <f t="shared" si="16088"/>
        <v>75596.800000000003</v>
      </c>
      <c r="JL721" s="511">
        <f t="shared" si="16088"/>
        <v>75596.800000000003</v>
      </c>
      <c r="JM721" s="511">
        <f t="shared" ref="JM721:JO721" si="16089">+JM723</f>
        <v>0</v>
      </c>
      <c r="JN721" s="511">
        <f t="shared" si="16089"/>
        <v>0</v>
      </c>
      <c r="JO721" s="511">
        <f t="shared" si="16089"/>
        <v>0</v>
      </c>
      <c r="JP721" s="511">
        <f t="shared" ref="JP721:JT721" si="16090">+JP723</f>
        <v>0</v>
      </c>
      <c r="JQ721" s="511">
        <f t="shared" si="16090"/>
        <v>0</v>
      </c>
      <c r="JR721" s="511">
        <f t="shared" si="16090"/>
        <v>0</v>
      </c>
      <c r="JS721" s="511">
        <f t="shared" si="16090"/>
        <v>581559.30999999994</v>
      </c>
      <c r="JT721" s="572">
        <f t="shared" si="16090"/>
        <v>581559.30999999994</v>
      </c>
      <c r="JU721" s="665"/>
      <c r="JV721" s="524"/>
      <c r="JW721" s="525"/>
      <c r="JX721" s="566">
        <f>+JX723</f>
        <v>0</v>
      </c>
      <c r="JY721" s="549">
        <f t="shared" si="15767"/>
        <v>288100</v>
      </c>
      <c r="JZ721" s="581">
        <f t="shared" si="14740"/>
        <v>730565</v>
      </c>
      <c r="KA721" s="581">
        <f t="shared" si="14741"/>
        <v>-340798</v>
      </c>
      <c r="KB721" s="566">
        <f t="shared" si="15406"/>
        <v>677867</v>
      </c>
      <c r="KC721" s="709">
        <f t="shared" si="14739"/>
        <v>0</v>
      </c>
      <c r="KD721" s="491"/>
      <c r="KE721" s="491"/>
      <c r="KF721" s="491"/>
      <c r="KG721" s="491"/>
      <c r="KH721" s="36"/>
      <c r="KI721" s="36"/>
      <c r="KJ721" s="36"/>
      <c r="KK721" s="36"/>
    </row>
    <row r="722" spans="1:297" s="10" customFormat="1">
      <c r="A722" s="612"/>
      <c r="B722" s="512"/>
      <c r="C722" s="513"/>
      <c r="D722" s="567"/>
      <c r="E722" s="686"/>
      <c r="F722" s="567"/>
      <c r="G722" s="686"/>
      <c r="H722" s="567"/>
      <c r="I722" s="686"/>
      <c r="J722" s="567"/>
      <c r="K722" s="686"/>
      <c r="L722" s="567"/>
      <c r="M722" s="686"/>
      <c r="N722" s="567"/>
      <c r="O722" s="686"/>
      <c r="P722" s="567"/>
      <c r="Q722" s="686"/>
      <c r="R722" s="567"/>
      <c r="S722" s="686"/>
      <c r="T722" s="567"/>
      <c r="U722" s="686"/>
      <c r="V722" s="567"/>
      <c r="W722" s="686"/>
      <c r="X722" s="567"/>
      <c r="Y722" s="686"/>
      <c r="Z722" s="567"/>
      <c r="AA722" s="686"/>
      <c r="AB722" s="567"/>
      <c r="AC722" s="686"/>
      <c r="AD722" s="567"/>
      <c r="AE722" s="686"/>
      <c r="AF722" s="567"/>
      <c r="AG722" s="686"/>
      <c r="AH722" s="567"/>
      <c r="AI722" s="686"/>
      <c r="AJ722" s="567"/>
      <c r="AK722" s="686"/>
      <c r="AL722" s="567"/>
      <c r="AM722" s="686"/>
      <c r="AN722" s="567"/>
      <c r="AO722" s="686"/>
      <c r="AP722" s="567"/>
      <c r="AQ722" s="686"/>
      <c r="AR722" s="567"/>
      <c r="AS722" s="686"/>
      <c r="AT722" s="567"/>
      <c r="AU722" s="686"/>
      <c r="AV722" s="567"/>
      <c r="AW722" s="686"/>
      <c r="AX722" s="567"/>
      <c r="AY722" s="686"/>
      <c r="AZ722" s="567"/>
      <c r="BA722" s="686"/>
      <c r="BB722" s="567"/>
      <c r="BC722" s="686"/>
      <c r="BD722" s="567"/>
      <c r="BE722" s="686"/>
      <c r="BF722" s="567"/>
      <c r="BG722" s="686"/>
      <c r="BH722" s="567"/>
      <c r="BI722" s="686"/>
      <c r="BJ722" s="567"/>
      <c r="BK722" s="686"/>
      <c r="BL722" s="567"/>
      <c r="BM722" s="686"/>
      <c r="BN722" s="567"/>
      <c r="BO722" s="686"/>
      <c r="BP722" s="567"/>
      <c r="BQ722" s="686"/>
      <c r="BR722" s="567"/>
      <c r="BS722" s="686"/>
      <c r="BT722" s="567"/>
      <c r="BU722" s="686"/>
      <c r="BV722" s="567"/>
      <c r="BW722" s="686"/>
      <c r="BX722" s="567"/>
      <c r="BY722" s="686"/>
      <c r="BZ722" s="567"/>
      <c r="CA722" s="686"/>
      <c r="CB722" s="567"/>
      <c r="CC722" s="686"/>
      <c r="CD722" s="567"/>
      <c r="CE722" s="686"/>
      <c r="CF722" s="567"/>
      <c r="CG722" s="686"/>
      <c r="CH722" s="567"/>
      <c r="CI722" s="686"/>
      <c r="CJ722" s="567"/>
      <c r="CK722" s="686"/>
      <c r="CL722" s="567"/>
      <c r="CM722" s="686"/>
      <c r="CN722" s="567"/>
      <c r="CO722" s="686"/>
      <c r="CP722" s="567"/>
      <c r="CQ722" s="686"/>
      <c r="CR722" s="567"/>
      <c r="CS722" s="686"/>
      <c r="CT722" s="567"/>
      <c r="CU722" s="686"/>
      <c r="CV722" s="567"/>
      <c r="CW722" s="686"/>
      <c r="CX722" s="567"/>
      <c r="CY722" s="686"/>
      <c r="CZ722" s="567"/>
      <c r="DA722" s="686"/>
      <c r="DB722" s="567"/>
      <c r="DC722" s="686"/>
      <c r="DD722" s="567"/>
      <c r="DE722" s="686"/>
      <c r="DF722" s="567"/>
      <c r="DG722" s="686"/>
      <c r="DH722" s="567"/>
      <c r="DI722" s="686"/>
      <c r="DJ722" s="567"/>
      <c r="DK722" s="686"/>
      <c r="DL722" s="567"/>
      <c r="DM722" s="686"/>
      <c r="DN722" s="567"/>
      <c r="DO722" s="686"/>
      <c r="DP722" s="567"/>
      <c r="DQ722" s="686"/>
      <c r="DR722" s="567"/>
      <c r="DS722" s="686"/>
      <c r="DT722" s="567"/>
      <c r="DU722" s="686"/>
      <c r="DV722" s="567"/>
      <c r="DW722" s="686"/>
      <c r="DX722" s="567"/>
      <c r="DY722" s="686"/>
      <c r="DZ722" s="567"/>
      <c r="EA722" s="686"/>
      <c r="EB722" s="567"/>
      <c r="EC722" s="686"/>
      <c r="ED722" s="567"/>
      <c r="EE722" s="686"/>
      <c r="EF722" s="567"/>
      <c r="EG722" s="686"/>
      <c r="EH722" s="567"/>
      <c r="EI722" s="686"/>
      <c r="EJ722" s="567"/>
      <c r="EK722" s="686"/>
      <c r="EL722" s="567"/>
      <c r="EM722" s="686"/>
      <c r="EN722" s="567"/>
      <c r="EO722" s="686"/>
      <c r="EP722" s="567"/>
      <c r="EQ722" s="686"/>
      <c r="ER722" s="567"/>
      <c r="ES722" s="686"/>
      <c r="ET722" s="567"/>
      <c r="EU722" s="686"/>
      <c r="EV722" s="567"/>
      <c r="EW722" s="686"/>
      <c r="EX722" s="567"/>
      <c r="EY722" s="686"/>
      <c r="EZ722" s="567"/>
      <c r="FA722" s="686"/>
      <c r="FB722" s="567"/>
      <c r="FC722" s="686"/>
      <c r="FD722" s="567"/>
      <c r="FE722" s="686"/>
      <c r="FF722" s="567"/>
      <c r="FG722" s="686"/>
      <c r="FH722" s="567"/>
      <c r="FI722" s="686"/>
      <c r="FJ722" s="567"/>
      <c r="FK722" s="686"/>
      <c r="FL722" s="567"/>
      <c r="FM722" s="686"/>
      <c r="FN722" s="567"/>
      <c r="FO722" s="686"/>
      <c r="FP722" s="567"/>
      <c r="FQ722" s="686"/>
      <c r="FR722" s="567"/>
      <c r="FS722" s="686"/>
      <c r="FT722" s="567"/>
      <c r="FU722" s="686"/>
      <c r="FV722" s="567"/>
      <c r="FW722" s="686"/>
      <c r="FX722" s="567"/>
      <c r="FY722" s="686"/>
      <c r="FZ722" s="567"/>
      <c r="GA722" s="686"/>
      <c r="GB722" s="567"/>
      <c r="GC722" s="686"/>
      <c r="GD722" s="567"/>
      <c r="GE722" s="686"/>
      <c r="GF722" s="567"/>
      <c r="GG722" s="686"/>
      <c r="GH722" s="567"/>
      <c r="GI722" s="686"/>
      <c r="GJ722" s="567"/>
      <c r="GK722" s="686"/>
      <c r="GL722" s="567"/>
      <c r="GM722" s="686"/>
      <c r="GN722" s="567"/>
      <c r="GO722" s="686"/>
      <c r="GP722" s="567"/>
      <c r="GQ722" s="686"/>
      <c r="GR722" s="513"/>
      <c r="GS722" s="513"/>
      <c r="GT722" s="567"/>
      <c r="GU722" s="513"/>
      <c r="GV722" s="513"/>
      <c r="GW722" s="567"/>
      <c r="GX722" s="567"/>
      <c r="GY722" s="513"/>
      <c r="GZ722" s="513"/>
      <c r="HA722" s="513"/>
      <c r="HB722" s="513"/>
      <c r="HC722" s="513"/>
      <c r="HD722" s="513"/>
      <c r="HE722" s="513"/>
      <c r="HF722" s="513"/>
      <c r="HG722" s="513"/>
      <c r="HH722" s="513"/>
      <c r="HI722" s="827"/>
      <c r="HJ722" s="513"/>
      <c r="HK722" s="827"/>
      <c r="HL722" s="513"/>
      <c r="HM722" s="827"/>
      <c r="HN722" s="513"/>
      <c r="HO722" s="827"/>
      <c r="HP722" s="513"/>
      <c r="HQ722" s="827"/>
      <c r="HR722" s="513"/>
      <c r="HS722" s="827"/>
      <c r="HT722" s="513"/>
      <c r="HU722" s="827"/>
      <c r="HV722" s="513"/>
      <c r="HW722" s="827"/>
      <c r="HX722" s="513"/>
      <c r="HY722" s="827"/>
      <c r="HZ722" s="513"/>
      <c r="IA722" s="827"/>
      <c r="IB722" s="513"/>
      <c r="IC722" s="827"/>
      <c r="ID722" s="513"/>
      <c r="IE722" s="827"/>
      <c r="IF722" s="703"/>
      <c r="IG722" s="704"/>
      <c r="IH722" s="858"/>
      <c r="II722" s="513"/>
      <c r="IJ722" s="513"/>
      <c r="IK722" s="513"/>
      <c r="IL722" s="513"/>
      <c r="IM722" s="513"/>
      <c r="IN722" s="513"/>
      <c r="IO722" s="513"/>
      <c r="IP722" s="513"/>
      <c r="IQ722" s="513"/>
      <c r="IR722" s="513"/>
      <c r="IS722" s="513"/>
      <c r="IT722" s="513"/>
      <c r="IU722" s="513"/>
      <c r="IV722" s="513"/>
      <c r="IW722" s="513"/>
      <c r="IX722" s="513"/>
      <c r="IY722" s="513"/>
      <c r="IZ722" s="513"/>
      <c r="JA722" s="513"/>
      <c r="JB722" s="513"/>
      <c r="JC722" s="513"/>
      <c r="JD722" s="513"/>
      <c r="JE722" s="513"/>
      <c r="JF722" s="513"/>
      <c r="JG722" s="513"/>
      <c r="JH722" s="513"/>
      <c r="JI722" s="513"/>
      <c r="JJ722" s="513"/>
      <c r="JK722" s="513"/>
      <c r="JL722" s="513"/>
      <c r="JM722" s="513"/>
      <c r="JN722" s="513"/>
      <c r="JO722" s="513"/>
      <c r="JP722" s="513"/>
      <c r="JQ722" s="513"/>
      <c r="JR722" s="513"/>
      <c r="JS722" s="513"/>
      <c r="JT722" s="573"/>
      <c r="JU722" s="665"/>
      <c r="JV722" s="524"/>
      <c r="JW722" s="525"/>
      <c r="JX722" s="567"/>
      <c r="JY722" s="549">
        <f t="shared" si="15767"/>
        <v>0</v>
      </c>
      <c r="JZ722" s="581">
        <f t="shared" si="14740"/>
        <v>0</v>
      </c>
      <c r="KA722" s="581">
        <f t="shared" si="14741"/>
        <v>0</v>
      </c>
      <c r="KB722" s="566">
        <f t="shared" si="15406"/>
        <v>0</v>
      </c>
      <c r="KC722" s="709">
        <f t="shared" si="14739"/>
        <v>0</v>
      </c>
      <c r="KD722" s="491"/>
      <c r="KE722" s="491"/>
      <c r="KF722" s="491"/>
      <c r="KG722" s="491"/>
      <c r="KH722" s="36"/>
      <c r="KI722" s="36"/>
      <c r="KJ722" s="36"/>
      <c r="KK722" s="36"/>
    </row>
    <row r="723" spans="1:297" s="10" customFormat="1">
      <c r="A723" s="610" t="s">
        <v>958</v>
      </c>
      <c r="B723" s="510" t="s">
        <v>959</v>
      </c>
      <c r="C723" s="511">
        <f>+C725+C728+C742+C738+C750</f>
        <v>288100</v>
      </c>
      <c r="D723" s="566">
        <f t="shared" ref="D723:E723" si="16091">+D725+D728+D742+D738</f>
        <v>0</v>
      </c>
      <c r="E723" s="684">
        <f t="shared" si="16091"/>
        <v>0</v>
      </c>
      <c r="F723" s="566">
        <f t="shared" ref="F723:G723" si="16092">+F725+F728+F742+F738</f>
        <v>0</v>
      </c>
      <c r="G723" s="684">
        <f t="shared" si="16092"/>
        <v>0</v>
      </c>
      <c r="H723" s="566">
        <f t="shared" ref="H723:I723" si="16093">+H725+H728+H742+H738</f>
        <v>0</v>
      </c>
      <c r="I723" s="684">
        <f t="shared" si="16093"/>
        <v>0</v>
      </c>
      <c r="J723" s="566">
        <f t="shared" ref="J723:K723" si="16094">+J725+J728+J742+J738</f>
        <v>0</v>
      </c>
      <c r="K723" s="684">
        <f t="shared" si="16094"/>
        <v>0</v>
      </c>
      <c r="L723" s="566">
        <f t="shared" ref="L723:M723" si="16095">+L725+L728+L742+L738</f>
        <v>0</v>
      </c>
      <c r="M723" s="684">
        <f t="shared" si="16095"/>
        <v>0</v>
      </c>
      <c r="N723" s="566">
        <f t="shared" ref="N723:O723" si="16096">+N725+N728+N742+N738</f>
        <v>0</v>
      </c>
      <c r="O723" s="684">
        <f t="shared" si="16096"/>
        <v>0</v>
      </c>
      <c r="P723" s="566">
        <f t="shared" ref="P723:Q723" si="16097">+P725+P728+P742+P738</f>
        <v>0</v>
      </c>
      <c r="Q723" s="684">
        <f t="shared" si="16097"/>
        <v>0</v>
      </c>
      <c r="R723" s="566">
        <f t="shared" ref="R723:S723" si="16098">+R725+R728+R742+R738</f>
        <v>0</v>
      </c>
      <c r="S723" s="684">
        <f t="shared" si="16098"/>
        <v>0</v>
      </c>
      <c r="T723" s="566">
        <f t="shared" ref="T723:U723" si="16099">+T725+T728+T742+T738</f>
        <v>0</v>
      </c>
      <c r="U723" s="684">
        <f t="shared" si="16099"/>
        <v>0</v>
      </c>
      <c r="V723" s="566">
        <f t="shared" ref="V723:W723" si="16100">+V725+V728+V742+V738</f>
        <v>0</v>
      </c>
      <c r="W723" s="684">
        <f t="shared" si="16100"/>
        <v>0</v>
      </c>
      <c r="X723" s="566">
        <f t="shared" ref="X723:Y723" si="16101">+X725+X728+X742+X738</f>
        <v>0</v>
      </c>
      <c r="Y723" s="684">
        <f t="shared" si="16101"/>
        <v>0</v>
      </c>
      <c r="Z723" s="566">
        <f t="shared" ref="Z723:AA723" si="16102">+Z725+Z728+Z742+Z738</f>
        <v>0</v>
      </c>
      <c r="AA723" s="684">
        <f t="shared" si="16102"/>
        <v>0</v>
      </c>
      <c r="AB723" s="566">
        <f t="shared" ref="AB723:AC723" si="16103">+AB725+AB728+AB742+AB738</f>
        <v>0</v>
      </c>
      <c r="AC723" s="684">
        <f t="shared" si="16103"/>
        <v>0</v>
      </c>
      <c r="AD723" s="566">
        <f t="shared" ref="AD723:AE723" si="16104">+AD725+AD728+AD742+AD738</f>
        <v>0</v>
      </c>
      <c r="AE723" s="684">
        <f t="shared" si="16104"/>
        <v>0</v>
      </c>
      <c r="AF723" s="566">
        <f t="shared" ref="AF723:AG723" si="16105">+AF725+AF728+AF742+AF738</f>
        <v>0</v>
      </c>
      <c r="AG723" s="684">
        <f t="shared" si="16105"/>
        <v>0</v>
      </c>
      <c r="AH723" s="566">
        <f t="shared" ref="AH723:AI723" si="16106">+AH725+AH728+AH742+AH738</f>
        <v>0</v>
      </c>
      <c r="AI723" s="684">
        <f t="shared" si="16106"/>
        <v>0</v>
      </c>
      <c r="AJ723" s="566">
        <f t="shared" ref="AJ723:AK723" si="16107">+AJ725+AJ728+AJ742+AJ738</f>
        <v>0</v>
      </c>
      <c r="AK723" s="684">
        <f t="shared" si="16107"/>
        <v>0</v>
      </c>
      <c r="AL723" s="566">
        <f t="shared" ref="AL723:AM723" si="16108">+AL725+AL728+AL742+AL738</f>
        <v>0</v>
      </c>
      <c r="AM723" s="684">
        <f t="shared" si="16108"/>
        <v>0</v>
      </c>
      <c r="AN723" s="566">
        <f t="shared" ref="AN723:AO723" si="16109">+AN725+AN728+AN742+AN738</f>
        <v>0</v>
      </c>
      <c r="AO723" s="684">
        <f t="shared" si="16109"/>
        <v>0</v>
      </c>
      <c r="AP723" s="566">
        <f t="shared" ref="AP723:AQ723" si="16110">+AP725+AP728+AP742+AP738</f>
        <v>0</v>
      </c>
      <c r="AQ723" s="684">
        <f t="shared" si="16110"/>
        <v>-92000</v>
      </c>
      <c r="AR723" s="566">
        <f t="shared" ref="AR723:AS723" si="16111">+AR725+AR728+AR742+AR738</f>
        <v>0</v>
      </c>
      <c r="AS723" s="684">
        <f t="shared" si="16111"/>
        <v>0</v>
      </c>
      <c r="AT723" s="566">
        <f t="shared" ref="AT723:AU723" si="16112">+AT725+AT728+AT742+AT738</f>
        <v>0</v>
      </c>
      <c r="AU723" s="684">
        <f t="shared" si="16112"/>
        <v>0</v>
      </c>
      <c r="AV723" s="566">
        <f t="shared" ref="AV723:AW723" si="16113">+AV725+AV728+AV742+AV738</f>
        <v>0</v>
      </c>
      <c r="AW723" s="684">
        <f t="shared" si="16113"/>
        <v>0</v>
      </c>
      <c r="AX723" s="566">
        <f t="shared" ref="AX723:AY723" si="16114">+AX725+AX728+AX742+AX738</f>
        <v>0</v>
      </c>
      <c r="AY723" s="684">
        <f t="shared" si="16114"/>
        <v>-97000</v>
      </c>
      <c r="AZ723" s="566">
        <f t="shared" ref="AZ723:BM723" si="16115">+AZ725+AZ728+AZ742+AZ738</f>
        <v>0</v>
      </c>
      <c r="BA723" s="684">
        <f t="shared" si="16115"/>
        <v>0</v>
      </c>
      <c r="BB723" s="566">
        <f t="shared" si="16115"/>
        <v>0</v>
      </c>
      <c r="BC723" s="684">
        <f t="shared" si="16115"/>
        <v>0</v>
      </c>
      <c r="BD723" s="566">
        <f t="shared" si="16115"/>
        <v>0</v>
      </c>
      <c r="BE723" s="684">
        <f t="shared" si="16115"/>
        <v>0</v>
      </c>
      <c r="BF723" s="566">
        <f t="shared" si="16115"/>
        <v>0</v>
      </c>
      <c r="BG723" s="684">
        <f t="shared" si="16115"/>
        <v>0</v>
      </c>
      <c r="BH723" s="566">
        <f t="shared" si="16115"/>
        <v>0</v>
      </c>
      <c r="BI723" s="684">
        <f t="shared" si="16115"/>
        <v>0</v>
      </c>
      <c r="BJ723" s="566">
        <f t="shared" si="16115"/>
        <v>0</v>
      </c>
      <c r="BK723" s="684">
        <f t="shared" si="16115"/>
        <v>0</v>
      </c>
      <c r="BL723" s="566">
        <f t="shared" si="16115"/>
        <v>0</v>
      </c>
      <c r="BM723" s="684">
        <f t="shared" si="16115"/>
        <v>0</v>
      </c>
      <c r="BN723" s="566">
        <f t="shared" ref="BN723:BO723" si="16116">+BN725+BN728+BN742+BN738</f>
        <v>0</v>
      </c>
      <c r="BO723" s="684">
        <f t="shared" si="16116"/>
        <v>0</v>
      </c>
      <c r="BP723" s="566">
        <f t="shared" ref="BP723:BQ723" si="16117">+BP725+BP728+BP742+BP738</f>
        <v>0</v>
      </c>
      <c r="BQ723" s="684">
        <f t="shared" si="16117"/>
        <v>0</v>
      </c>
      <c r="BR723" s="566">
        <f t="shared" ref="BR723:BS723" si="16118">+BR725+BR728+BR742+BR738</f>
        <v>0</v>
      </c>
      <c r="BS723" s="684">
        <f t="shared" si="16118"/>
        <v>0</v>
      </c>
      <c r="BT723" s="566">
        <f t="shared" ref="BT723:BU723" si="16119">+BT725+BT728+BT742+BT738</f>
        <v>0</v>
      </c>
      <c r="BU723" s="684">
        <f t="shared" si="16119"/>
        <v>-99100</v>
      </c>
      <c r="BV723" s="566">
        <f t="shared" ref="BV723:BW723" si="16120">+BV725+BV728+BV742+BV738</f>
        <v>0</v>
      </c>
      <c r="BW723" s="684">
        <f t="shared" si="16120"/>
        <v>0</v>
      </c>
      <c r="BX723" s="566">
        <f t="shared" ref="BX723:BY723" si="16121">+BX725+BX728+BX742+BX738</f>
        <v>0</v>
      </c>
      <c r="BY723" s="684">
        <f t="shared" si="16121"/>
        <v>0</v>
      </c>
      <c r="BZ723" s="566">
        <f t="shared" ref="BZ723:CA723" si="16122">+BZ725+BZ728+BZ742+BZ738</f>
        <v>0</v>
      </c>
      <c r="CA723" s="684">
        <f t="shared" si="16122"/>
        <v>0</v>
      </c>
      <c r="CB723" s="566">
        <f t="shared" ref="CB723:CS723" si="16123">+CB725+CB728+CB742+CB738</f>
        <v>0</v>
      </c>
      <c r="CC723" s="684">
        <f t="shared" si="16123"/>
        <v>0</v>
      </c>
      <c r="CD723" s="566">
        <f t="shared" si="16123"/>
        <v>0</v>
      </c>
      <c r="CE723" s="684">
        <f t="shared" si="16123"/>
        <v>0</v>
      </c>
      <c r="CF723" s="566">
        <f t="shared" si="16123"/>
        <v>0</v>
      </c>
      <c r="CG723" s="684">
        <f t="shared" si="16123"/>
        <v>0</v>
      </c>
      <c r="CH723" s="566">
        <f t="shared" si="16123"/>
        <v>0</v>
      </c>
      <c r="CI723" s="684">
        <f t="shared" si="16123"/>
        <v>0</v>
      </c>
      <c r="CJ723" s="566">
        <f t="shared" si="16123"/>
        <v>0</v>
      </c>
      <c r="CK723" s="684">
        <f t="shared" si="16123"/>
        <v>0</v>
      </c>
      <c r="CL723" s="566">
        <f t="shared" si="16123"/>
        <v>0</v>
      </c>
      <c r="CM723" s="684">
        <f t="shared" si="16123"/>
        <v>0</v>
      </c>
      <c r="CN723" s="566">
        <f t="shared" si="16123"/>
        <v>0</v>
      </c>
      <c r="CO723" s="684">
        <f t="shared" si="16123"/>
        <v>0</v>
      </c>
      <c r="CP723" s="566">
        <f t="shared" si="16123"/>
        <v>0</v>
      </c>
      <c r="CQ723" s="684">
        <f t="shared" si="16123"/>
        <v>0</v>
      </c>
      <c r="CR723" s="566">
        <f t="shared" si="16123"/>
        <v>0</v>
      </c>
      <c r="CS723" s="684">
        <f t="shared" si="16123"/>
        <v>0</v>
      </c>
      <c r="CT723" s="566">
        <f t="shared" ref="CT723:DY723" si="16124">+CT725+CT728+CT742+CT738+CT750</f>
        <v>0</v>
      </c>
      <c r="CU723" s="684">
        <f t="shared" si="16124"/>
        <v>0</v>
      </c>
      <c r="CV723" s="566">
        <f t="shared" si="16124"/>
        <v>0</v>
      </c>
      <c r="CW723" s="684">
        <f t="shared" si="16124"/>
        <v>0</v>
      </c>
      <c r="CX723" s="566">
        <f t="shared" si="16124"/>
        <v>0</v>
      </c>
      <c r="CY723" s="684">
        <f t="shared" si="16124"/>
        <v>0</v>
      </c>
      <c r="CZ723" s="566">
        <f t="shared" si="16124"/>
        <v>0</v>
      </c>
      <c r="DA723" s="684">
        <f t="shared" si="16124"/>
        <v>0</v>
      </c>
      <c r="DB723" s="566">
        <f t="shared" si="16124"/>
        <v>33000</v>
      </c>
      <c r="DC723" s="684">
        <f t="shared" si="16124"/>
        <v>0</v>
      </c>
      <c r="DD723" s="566">
        <f t="shared" si="16124"/>
        <v>0</v>
      </c>
      <c r="DE723" s="684">
        <f t="shared" si="16124"/>
        <v>0</v>
      </c>
      <c r="DF723" s="566">
        <f t="shared" si="16124"/>
        <v>0</v>
      </c>
      <c r="DG723" s="684">
        <f t="shared" si="16124"/>
        <v>0</v>
      </c>
      <c r="DH723" s="566">
        <f t="shared" si="16124"/>
        <v>0</v>
      </c>
      <c r="DI723" s="684">
        <f t="shared" si="16124"/>
        <v>0</v>
      </c>
      <c r="DJ723" s="566">
        <f t="shared" si="16124"/>
        <v>0</v>
      </c>
      <c r="DK723" s="684">
        <f t="shared" si="16124"/>
        <v>0</v>
      </c>
      <c r="DL723" s="566">
        <f t="shared" si="16124"/>
        <v>15400</v>
      </c>
      <c r="DM723" s="684">
        <f t="shared" si="16124"/>
        <v>0</v>
      </c>
      <c r="DN723" s="566">
        <f t="shared" si="16124"/>
        <v>185937</v>
      </c>
      <c r="DO723" s="684">
        <f t="shared" si="16124"/>
        <v>0</v>
      </c>
      <c r="DP723" s="566">
        <f t="shared" si="16124"/>
        <v>0</v>
      </c>
      <c r="DQ723" s="684">
        <f t="shared" si="16124"/>
        <v>0</v>
      </c>
      <c r="DR723" s="566">
        <f t="shared" si="16124"/>
        <v>0</v>
      </c>
      <c r="DS723" s="684">
        <f t="shared" si="16124"/>
        <v>0</v>
      </c>
      <c r="DT723" s="566">
        <f t="shared" si="16124"/>
        <v>0</v>
      </c>
      <c r="DU723" s="684">
        <f t="shared" si="16124"/>
        <v>0</v>
      </c>
      <c r="DV723" s="566">
        <f t="shared" si="16124"/>
        <v>44000</v>
      </c>
      <c r="DW723" s="684">
        <f t="shared" si="16124"/>
        <v>-22000</v>
      </c>
      <c r="DX723" s="566">
        <f t="shared" si="16124"/>
        <v>0</v>
      </c>
      <c r="DY723" s="684">
        <f t="shared" si="16124"/>
        <v>0</v>
      </c>
      <c r="DZ723" s="566">
        <f t="shared" ref="DZ723:FE723" si="16125">+DZ725+DZ728+DZ742+DZ738+DZ750</f>
        <v>25843</v>
      </c>
      <c r="EA723" s="684">
        <f t="shared" si="16125"/>
        <v>0</v>
      </c>
      <c r="EB723" s="566">
        <f t="shared" si="16125"/>
        <v>0</v>
      </c>
      <c r="EC723" s="684">
        <f t="shared" si="16125"/>
        <v>0</v>
      </c>
      <c r="ED723" s="566">
        <f t="shared" si="16125"/>
        <v>0</v>
      </c>
      <c r="EE723" s="684">
        <f t="shared" si="16125"/>
        <v>0</v>
      </c>
      <c r="EF723" s="566">
        <f t="shared" si="16125"/>
        <v>0</v>
      </c>
      <c r="EG723" s="684">
        <f t="shared" si="16125"/>
        <v>0</v>
      </c>
      <c r="EH723" s="566">
        <f t="shared" si="16125"/>
        <v>0</v>
      </c>
      <c r="EI723" s="684">
        <f t="shared" si="16125"/>
        <v>0</v>
      </c>
      <c r="EJ723" s="566">
        <f t="shared" si="16125"/>
        <v>0</v>
      </c>
      <c r="EK723" s="684">
        <f t="shared" si="16125"/>
        <v>0</v>
      </c>
      <c r="EL723" s="566">
        <f t="shared" si="16125"/>
        <v>0</v>
      </c>
      <c r="EM723" s="684">
        <f t="shared" si="16125"/>
        <v>0</v>
      </c>
      <c r="EN723" s="566">
        <f t="shared" si="16125"/>
        <v>0</v>
      </c>
      <c r="EO723" s="684">
        <f t="shared" si="16125"/>
        <v>0</v>
      </c>
      <c r="EP723" s="566">
        <f t="shared" si="16125"/>
        <v>0</v>
      </c>
      <c r="EQ723" s="684">
        <f t="shared" si="16125"/>
        <v>0</v>
      </c>
      <c r="ER723" s="566">
        <f t="shared" si="16125"/>
        <v>49219</v>
      </c>
      <c r="ES723" s="684">
        <f t="shared" si="16125"/>
        <v>0</v>
      </c>
      <c r="ET723" s="566">
        <f t="shared" si="16125"/>
        <v>0</v>
      </c>
      <c r="EU723" s="684">
        <f t="shared" si="16125"/>
        <v>0</v>
      </c>
      <c r="EV723" s="566">
        <f t="shared" si="16125"/>
        <v>0</v>
      </c>
      <c r="EW723" s="684">
        <f t="shared" si="16125"/>
        <v>0</v>
      </c>
      <c r="EX723" s="566">
        <f t="shared" si="16125"/>
        <v>0</v>
      </c>
      <c r="EY723" s="684">
        <f t="shared" si="16125"/>
        <v>0</v>
      </c>
      <c r="EZ723" s="566">
        <f t="shared" si="16125"/>
        <v>0</v>
      </c>
      <c r="FA723" s="684">
        <f t="shared" si="16125"/>
        <v>0</v>
      </c>
      <c r="FB723" s="566">
        <f t="shared" si="16125"/>
        <v>0</v>
      </c>
      <c r="FC723" s="684">
        <f t="shared" si="16125"/>
        <v>0</v>
      </c>
      <c r="FD723" s="566">
        <f t="shared" si="16125"/>
        <v>0</v>
      </c>
      <c r="FE723" s="684">
        <f t="shared" si="16125"/>
        <v>0</v>
      </c>
      <c r="FF723" s="566">
        <f t="shared" ref="FF723:GK723" si="16126">+FF725+FF728+FF742+FF738+FF750</f>
        <v>0</v>
      </c>
      <c r="FG723" s="684">
        <f t="shared" si="16126"/>
        <v>0</v>
      </c>
      <c r="FH723" s="566">
        <f t="shared" si="16126"/>
        <v>0</v>
      </c>
      <c r="FI723" s="684">
        <f t="shared" si="16126"/>
        <v>0</v>
      </c>
      <c r="FJ723" s="566">
        <f t="shared" si="16126"/>
        <v>0</v>
      </c>
      <c r="FK723" s="684">
        <f t="shared" si="16126"/>
        <v>0</v>
      </c>
      <c r="FL723" s="566">
        <f t="shared" si="16126"/>
        <v>0</v>
      </c>
      <c r="FM723" s="684">
        <f t="shared" si="16126"/>
        <v>0</v>
      </c>
      <c r="FN723" s="566">
        <f t="shared" si="16126"/>
        <v>78166</v>
      </c>
      <c r="FO723" s="684">
        <f t="shared" si="16126"/>
        <v>-30698</v>
      </c>
      <c r="FP723" s="566">
        <f t="shared" si="16126"/>
        <v>0</v>
      </c>
      <c r="FQ723" s="684">
        <f t="shared" si="16126"/>
        <v>0</v>
      </c>
      <c r="FR723" s="566">
        <f t="shared" si="16126"/>
        <v>0</v>
      </c>
      <c r="FS723" s="684">
        <f t="shared" si="16126"/>
        <v>0</v>
      </c>
      <c r="FT723" s="566">
        <f t="shared" si="16126"/>
        <v>0</v>
      </c>
      <c r="FU723" s="684">
        <f t="shared" si="16126"/>
        <v>0</v>
      </c>
      <c r="FV723" s="566">
        <f t="shared" si="16126"/>
        <v>0</v>
      </c>
      <c r="FW723" s="684">
        <f t="shared" si="16126"/>
        <v>0</v>
      </c>
      <c r="FX723" s="566">
        <f t="shared" si="16126"/>
        <v>0</v>
      </c>
      <c r="FY723" s="684">
        <f t="shared" si="16126"/>
        <v>0</v>
      </c>
      <c r="FZ723" s="566">
        <f t="shared" si="16126"/>
        <v>299000</v>
      </c>
      <c r="GA723" s="684">
        <f t="shared" si="16126"/>
        <v>0</v>
      </c>
      <c r="GB723" s="566">
        <f t="shared" si="16126"/>
        <v>0</v>
      </c>
      <c r="GC723" s="684">
        <f t="shared" si="16126"/>
        <v>0</v>
      </c>
      <c r="GD723" s="566">
        <f t="shared" si="16126"/>
        <v>0</v>
      </c>
      <c r="GE723" s="684">
        <f t="shared" si="16126"/>
        <v>0</v>
      </c>
      <c r="GF723" s="566">
        <f t="shared" si="16126"/>
        <v>0</v>
      </c>
      <c r="GG723" s="684">
        <f t="shared" si="16126"/>
        <v>0</v>
      </c>
      <c r="GH723" s="566">
        <f t="shared" si="16126"/>
        <v>0</v>
      </c>
      <c r="GI723" s="684">
        <f t="shared" si="16126"/>
        <v>0</v>
      </c>
      <c r="GJ723" s="566">
        <f t="shared" si="16126"/>
        <v>0</v>
      </c>
      <c r="GK723" s="684">
        <f t="shared" si="16126"/>
        <v>0</v>
      </c>
      <c r="GL723" s="566">
        <f t="shared" ref="GL723:GR723" si="16127">+GL725+GL728+GL742+GL738+GL750</f>
        <v>0</v>
      </c>
      <c r="GM723" s="684">
        <f t="shared" si="16127"/>
        <v>0</v>
      </c>
      <c r="GN723" s="566">
        <f t="shared" si="16127"/>
        <v>0</v>
      </c>
      <c r="GO723" s="684">
        <f t="shared" si="16127"/>
        <v>0</v>
      </c>
      <c r="GP723" s="566">
        <f t="shared" si="16127"/>
        <v>730565</v>
      </c>
      <c r="GQ723" s="684">
        <f t="shared" si="16127"/>
        <v>-340798</v>
      </c>
      <c r="GR723" s="511">
        <f t="shared" si="16127"/>
        <v>677867</v>
      </c>
      <c r="GS723" s="511">
        <f t="shared" ref="GS723:JD723" si="16128">+GS725+GS728+GS742+GS738+GS750</f>
        <v>677867</v>
      </c>
      <c r="GT723" s="566">
        <f t="shared" si="16128"/>
        <v>677867</v>
      </c>
      <c r="GU723" s="511">
        <f t="shared" si="16128"/>
        <v>57620</v>
      </c>
      <c r="GV723" s="511">
        <f t="shared" si="16128"/>
        <v>0</v>
      </c>
      <c r="GW723" s="566">
        <f t="shared" si="16128"/>
        <v>0</v>
      </c>
      <c r="GX723" s="566">
        <f t="shared" si="16128"/>
        <v>86430</v>
      </c>
      <c r="GY723" s="511">
        <f t="shared" si="16128"/>
        <v>144050</v>
      </c>
      <c r="GZ723" s="511">
        <f t="shared" si="16128"/>
        <v>0</v>
      </c>
      <c r="HA723" s="511">
        <f t="shared" si="16128"/>
        <v>0</v>
      </c>
      <c r="HB723" s="511">
        <f t="shared" si="16128"/>
        <v>0</v>
      </c>
      <c r="HC723" s="511">
        <f t="shared" si="16128"/>
        <v>0</v>
      </c>
      <c r="HD723" s="511">
        <f t="shared" si="16128"/>
        <v>0</v>
      </c>
      <c r="HE723" s="511">
        <f t="shared" si="16128"/>
        <v>0</v>
      </c>
      <c r="HF723" s="511">
        <f t="shared" si="16128"/>
        <v>0</v>
      </c>
      <c r="HG723" s="511">
        <f t="shared" si="16128"/>
        <v>677867</v>
      </c>
      <c r="HH723" s="511">
        <f t="shared" si="16128"/>
        <v>0</v>
      </c>
      <c r="HI723" s="825">
        <f t="shared" si="16128"/>
        <v>0</v>
      </c>
      <c r="HJ723" s="511">
        <f t="shared" si="16128"/>
        <v>0</v>
      </c>
      <c r="HK723" s="825">
        <f t="shared" si="16128"/>
        <v>0</v>
      </c>
      <c r="HL723" s="511">
        <f t="shared" si="16128"/>
        <v>0</v>
      </c>
      <c r="HM723" s="825">
        <f t="shared" si="16128"/>
        <v>0</v>
      </c>
      <c r="HN723" s="511">
        <f t="shared" si="16128"/>
        <v>0</v>
      </c>
      <c r="HO723" s="825">
        <f t="shared" si="16128"/>
        <v>144050</v>
      </c>
      <c r="HP723" s="511">
        <f t="shared" si="16128"/>
        <v>0</v>
      </c>
      <c r="HQ723" s="825">
        <f t="shared" si="16128"/>
        <v>94500</v>
      </c>
      <c r="HR723" s="511">
        <f t="shared" si="16128"/>
        <v>0</v>
      </c>
      <c r="HS723" s="825">
        <f t="shared" si="16128"/>
        <v>49550</v>
      </c>
      <c r="HT723" s="511">
        <f t="shared" si="16128"/>
        <v>0</v>
      </c>
      <c r="HU723" s="825">
        <f t="shared" si="16128"/>
        <v>0</v>
      </c>
      <c r="HV723" s="511">
        <f t="shared" si="16128"/>
        <v>0</v>
      </c>
      <c r="HW723" s="825">
        <f t="shared" si="16128"/>
        <v>0</v>
      </c>
      <c r="HX723" s="511">
        <f t="shared" si="16128"/>
        <v>0</v>
      </c>
      <c r="HY723" s="825">
        <f t="shared" si="16128"/>
        <v>0</v>
      </c>
      <c r="HZ723" s="511">
        <f t="shared" si="16128"/>
        <v>0</v>
      </c>
      <c r="IA723" s="825">
        <f t="shared" si="16128"/>
        <v>0</v>
      </c>
      <c r="IB723" s="511">
        <f t="shared" si="16128"/>
        <v>0</v>
      </c>
      <c r="IC723" s="825">
        <f t="shared" si="16128"/>
        <v>0</v>
      </c>
      <c r="ID723" s="511">
        <f t="shared" si="16128"/>
        <v>0</v>
      </c>
      <c r="IE723" s="825">
        <f t="shared" si="16128"/>
        <v>0</v>
      </c>
      <c r="IF723" s="873">
        <f t="shared" si="16128"/>
        <v>96307.69</v>
      </c>
      <c r="IG723" s="702">
        <f t="shared" si="16128"/>
        <v>96307.69</v>
      </c>
      <c r="IH723" s="874">
        <f t="shared" si="16128"/>
        <v>96307.69</v>
      </c>
      <c r="II723" s="511">
        <f t="shared" si="16128"/>
        <v>0</v>
      </c>
      <c r="IJ723" s="511">
        <f t="shared" si="16128"/>
        <v>0</v>
      </c>
      <c r="IK723" s="511">
        <f t="shared" si="16128"/>
        <v>0</v>
      </c>
      <c r="IL723" s="511">
        <f t="shared" si="16128"/>
        <v>0</v>
      </c>
      <c r="IM723" s="511">
        <f t="shared" si="16128"/>
        <v>0</v>
      </c>
      <c r="IN723" s="511">
        <f t="shared" si="16128"/>
        <v>0</v>
      </c>
      <c r="IO723" s="511">
        <f t="shared" si="16128"/>
        <v>0</v>
      </c>
      <c r="IP723" s="511">
        <f t="shared" si="16128"/>
        <v>0</v>
      </c>
      <c r="IQ723" s="511">
        <f t="shared" si="16128"/>
        <v>0</v>
      </c>
      <c r="IR723" s="511">
        <f t="shared" si="16128"/>
        <v>0</v>
      </c>
      <c r="IS723" s="511">
        <f t="shared" si="16128"/>
        <v>0</v>
      </c>
      <c r="IT723" s="511">
        <f t="shared" si="16128"/>
        <v>0</v>
      </c>
      <c r="IU723" s="511">
        <f t="shared" si="16128"/>
        <v>0</v>
      </c>
      <c r="IV723" s="511">
        <f t="shared" si="16128"/>
        <v>0</v>
      </c>
      <c r="IW723" s="511">
        <f t="shared" si="16128"/>
        <v>0</v>
      </c>
      <c r="IX723" s="511">
        <f t="shared" si="16128"/>
        <v>0</v>
      </c>
      <c r="IY723" s="511">
        <f t="shared" si="16128"/>
        <v>0</v>
      </c>
      <c r="IZ723" s="511">
        <f t="shared" si="16128"/>
        <v>0</v>
      </c>
      <c r="JA723" s="511">
        <f t="shared" si="16128"/>
        <v>0</v>
      </c>
      <c r="JB723" s="511">
        <f t="shared" si="16128"/>
        <v>0</v>
      </c>
      <c r="JC723" s="511">
        <f t="shared" si="16128"/>
        <v>0</v>
      </c>
      <c r="JD723" s="511">
        <f t="shared" si="16128"/>
        <v>0</v>
      </c>
      <c r="JE723" s="511">
        <f t="shared" ref="JE723:JT723" si="16129">+JE725+JE728+JE742+JE738+JE750</f>
        <v>0</v>
      </c>
      <c r="JF723" s="511">
        <f t="shared" si="16129"/>
        <v>0</v>
      </c>
      <c r="JG723" s="511">
        <f t="shared" si="16129"/>
        <v>20710.89</v>
      </c>
      <c r="JH723" s="511">
        <f t="shared" si="16129"/>
        <v>20710.89</v>
      </c>
      <c r="JI723" s="511">
        <f t="shared" si="16129"/>
        <v>20710.89</v>
      </c>
      <c r="JJ723" s="511">
        <f t="shared" si="16129"/>
        <v>75596.800000000003</v>
      </c>
      <c r="JK723" s="511">
        <f t="shared" si="16129"/>
        <v>75596.800000000003</v>
      </c>
      <c r="JL723" s="511">
        <f t="shared" si="16129"/>
        <v>75596.800000000003</v>
      </c>
      <c r="JM723" s="511">
        <f t="shared" si="16129"/>
        <v>0</v>
      </c>
      <c r="JN723" s="511">
        <f t="shared" si="16129"/>
        <v>0</v>
      </c>
      <c r="JO723" s="511">
        <f t="shared" si="16129"/>
        <v>0</v>
      </c>
      <c r="JP723" s="511">
        <f t="shared" si="16129"/>
        <v>0</v>
      </c>
      <c r="JQ723" s="511">
        <f t="shared" si="16129"/>
        <v>0</v>
      </c>
      <c r="JR723" s="511">
        <f t="shared" si="16129"/>
        <v>0</v>
      </c>
      <c r="JS723" s="511">
        <f t="shared" si="16129"/>
        <v>581559.30999999994</v>
      </c>
      <c r="JT723" s="572">
        <f t="shared" si="16129"/>
        <v>581559.30999999994</v>
      </c>
      <c r="JU723" s="665"/>
      <c r="JV723" s="524"/>
      <c r="JW723" s="525"/>
      <c r="JX723" s="566">
        <f>+JX728+JX738+JX742+JX750</f>
        <v>0</v>
      </c>
      <c r="JY723" s="549">
        <f>+JY728+JY738+JY742+JY750</f>
        <v>288100</v>
      </c>
      <c r="JZ723" s="581">
        <f>+JZ728+JZ738+JZ742+JZ750</f>
        <v>730565</v>
      </c>
      <c r="KA723" s="581">
        <f>+KA728+KA738+KA742+KA750</f>
        <v>-340798</v>
      </c>
      <c r="KB723" s="566">
        <f>+KB728+KB738+KB742+KB750</f>
        <v>677867</v>
      </c>
      <c r="KC723" s="709">
        <f t="shared" si="14739"/>
        <v>0</v>
      </c>
      <c r="KD723" s="491"/>
      <c r="KE723" s="491"/>
      <c r="KF723" s="491"/>
      <c r="KG723" s="491"/>
      <c r="KH723" s="36"/>
      <c r="KI723" s="36"/>
      <c r="KJ723" s="36"/>
      <c r="KK723" s="36"/>
    </row>
    <row r="724" spans="1:297" s="8" customFormat="1">
      <c r="A724" s="612"/>
      <c r="B724" s="512"/>
      <c r="C724" s="513"/>
      <c r="D724" s="567"/>
      <c r="E724" s="686"/>
      <c r="F724" s="567"/>
      <c r="G724" s="686"/>
      <c r="H724" s="567"/>
      <c r="I724" s="686"/>
      <c r="J724" s="567"/>
      <c r="K724" s="686"/>
      <c r="L724" s="567"/>
      <c r="M724" s="686"/>
      <c r="N724" s="567"/>
      <c r="O724" s="686"/>
      <c r="P724" s="567"/>
      <c r="Q724" s="686"/>
      <c r="R724" s="567"/>
      <c r="S724" s="686"/>
      <c r="T724" s="567"/>
      <c r="U724" s="686"/>
      <c r="V724" s="567"/>
      <c r="W724" s="686"/>
      <c r="X724" s="567"/>
      <c r="Y724" s="686"/>
      <c r="Z724" s="567"/>
      <c r="AA724" s="686"/>
      <c r="AB724" s="567"/>
      <c r="AC724" s="686"/>
      <c r="AD724" s="567"/>
      <c r="AE724" s="686"/>
      <c r="AF724" s="567"/>
      <c r="AG724" s="686"/>
      <c r="AH724" s="567"/>
      <c r="AI724" s="686"/>
      <c r="AJ724" s="567"/>
      <c r="AK724" s="686"/>
      <c r="AL724" s="567"/>
      <c r="AM724" s="686"/>
      <c r="AN724" s="567"/>
      <c r="AO724" s="686"/>
      <c r="AP724" s="567"/>
      <c r="AQ724" s="686"/>
      <c r="AR724" s="567"/>
      <c r="AS724" s="686"/>
      <c r="AT724" s="567"/>
      <c r="AU724" s="686"/>
      <c r="AV724" s="567"/>
      <c r="AW724" s="686"/>
      <c r="AX724" s="567"/>
      <c r="AY724" s="686"/>
      <c r="AZ724" s="567"/>
      <c r="BA724" s="686"/>
      <c r="BB724" s="567"/>
      <c r="BC724" s="686"/>
      <c r="BD724" s="567"/>
      <c r="BE724" s="686"/>
      <c r="BF724" s="567"/>
      <c r="BG724" s="686"/>
      <c r="BH724" s="567"/>
      <c r="BI724" s="686"/>
      <c r="BJ724" s="567"/>
      <c r="BK724" s="686"/>
      <c r="BL724" s="567"/>
      <c r="BM724" s="686"/>
      <c r="BN724" s="567"/>
      <c r="BO724" s="686"/>
      <c r="BP724" s="567"/>
      <c r="BQ724" s="686"/>
      <c r="BR724" s="567"/>
      <c r="BS724" s="686"/>
      <c r="BT724" s="567"/>
      <c r="BU724" s="686"/>
      <c r="BV724" s="567"/>
      <c r="BW724" s="686"/>
      <c r="BX724" s="567"/>
      <c r="BY724" s="686"/>
      <c r="BZ724" s="567"/>
      <c r="CA724" s="686"/>
      <c r="CB724" s="567"/>
      <c r="CC724" s="686"/>
      <c r="CD724" s="567"/>
      <c r="CE724" s="686"/>
      <c r="CF724" s="567"/>
      <c r="CG724" s="686"/>
      <c r="CH724" s="567"/>
      <c r="CI724" s="686"/>
      <c r="CJ724" s="567"/>
      <c r="CK724" s="686"/>
      <c r="CL724" s="567"/>
      <c r="CM724" s="686"/>
      <c r="CN724" s="567"/>
      <c r="CO724" s="686"/>
      <c r="CP724" s="567"/>
      <c r="CQ724" s="686"/>
      <c r="CR724" s="567"/>
      <c r="CS724" s="686"/>
      <c r="CT724" s="567"/>
      <c r="CU724" s="686"/>
      <c r="CV724" s="567"/>
      <c r="CW724" s="686"/>
      <c r="CX724" s="567"/>
      <c r="CY724" s="686"/>
      <c r="CZ724" s="567"/>
      <c r="DA724" s="686"/>
      <c r="DB724" s="567"/>
      <c r="DC724" s="686"/>
      <c r="DD724" s="567"/>
      <c r="DE724" s="686"/>
      <c r="DF724" s="567"/>
      <c r="DG724" s="686"/>
      <c r="DH724" s="567"/>
      <c r="DI724" s="686"/>
      <c r="DJ724" s="567"/>
      <c r="DK724" s="686"/>
      <c r="DL724" s="567"/>
      <c r="DM724" s="686"/>
      <c r="DN724" s="567"/>
      <c r="DO724" s="686"/>
      <c r="DP724" s="567"/>
      <c r="DQ724" s="686"/>
      <c r="DR724" s="567"/>
      <c r="DS724" s="686"/>
      <c r="DT724" s="567"/>
      <c r="DU724" s="686"/>
      <c r="DV724" s="567"/>
      <c r="DW724" s="686"/>
      <c r="DX724" s="567"/>
      <c r="DY724" s="686"/>
      <c r="DZ724" s="567"/>
      <c r="EA724" s="686"/>
      <c r="EB724" s="567"/>
      <c r="EC724" s="686"/>
      <c r="ED724" s="567"/>
      <c r="EE724" s="686"/>
      <c r="EF724" s="567"/>
      <c r="EG724" s="686"/>
      <c r="EH724" s="567"/>
      <c r="EI724" s="686"/>
      <c r="EJ724" s="567"/>
      <c r="EK724" s="686"/>
      <c r="EL724" s="567"/>
      <c r="EM724" s="686"/>
      <c r="EN724" s="567"/>
      <c r="EO724" s="686"/>
      <c r="EP724" s="567"/>
      <c r="EQ724" s="686"/>
      <c r="ER724" s="567"/>
      <c r="ES724" s="686"/>
      <c r="ET724" s="567"/>
      <c r="EU724" s="686"/>
      <c r="EV724" s="567"/>
      <c r="EW724" s="686"/>
      <c r="EX724" s="567"/>
      <c r="EY724" s="686"/>
      <c r="EZ724" s="567"/>
      <c r="FA724" s="686"/>
      <c r="FB724" s="567"/>
      <c r="FC724" s="686"/>
      <c r="FD724" s="567"/>
      <c r="FE724" s="686"/>
      <c r="FF724" s="567"/>
      <c r="FG724" s="686"/>
      <c r="FH724" s="567"/>
      <c r="FI724" s="686"/>
      <c r="FJ724" s="567"/>
      <c r="FK724" s="686"/>
      <c r="FL724" s="567"/>
      <c r="FM724" s="686"/>
      <c r="FN724" s="567"/>
      <c r="FO724" s="686"/>
      <c r="FP724" s="567"/>
      <c r="FQ724" s="686"/>
      <c r="FR724" s="567"/>
      <c r="FS724" s="686"/>
      <c r="FT724" s="567"/>
      <c r="FU724" s="686"/>
      <c r="FV724" s="567"/>
      <c r="FW724" s="686"/>
      <c r="FX724" s="567"/>
      <c r="FY724" s="686"/>
      <c r="FZ724" s="567"/>
      <c r="GA724" s="686"/>
      <c r="GB724" s="567"/>
      <c r="GC724" s="686"/>
      <c r="GD724" s="567"/>
      <c r="GE724" s="686"/>
      <c r="GF724" s="567"/>
      <c r="GG724" s="686"/>
      <c r="GH724" s="567"/>
      <c r="GI724" s="686"/>
      <c r="GJ724" s="567"/>
      <c r="GK724" s="686"/>
      <c r="GL724" s="567"/>
      <c r="GM724" s="686"/>
      <c r="GN724" s="567"/>
      <c r="GO724" s="686"/>
      <c r="GP724" s="567"/>
      <c r="GQ724" s="686"/>
      <c r="GR724" s="513"/>
      <c r="GS724" s="513"/>
      <c r="GT724" s="567"/>
      <c r="GU724" s="513"/>
      <c r="GV724" s="513"/>
      <c r="GW724" s="567"/>
      <c r="GX724" s="567"/>
      <c r="GY724" s="513"/>
      <c r="GZ724" s="513"/>
      <c r="HA724" s="513"/>
      <c r="HB724" s="513"/>
      <c r="HC724" s="513"/>
      <c r="HD724" s="513"/>
      <c r="HE724" s="513"/>
      <c r="HF724" s="513"/>
      <c r="HG724" s="513"/>
      <c r="HH724" s="513"/>
      <c r="HI724" s="827"/>
      <c r="HJ724" s="513"/>
      <c r="HK724" s="827"/>
      <c r="HL724" s="513"/>
      <c r="HM724" s="827"/>
      <c r="HN724" s="513"/>
      <c r="HO724" s="827"/>
      <c r="HP724" s="513"/>
      <c r="HQ724" s="827"/>
      <c r="HR724" s="513"/>
      <c r="HS724" s="827"/>
      <c r="HT724" s="513"/>
      <c r="HU724" s="827"/>
      <c r="HV724" s="513"/>
      <c r="HW724" s="827"/>
      <c r="HX724" s="513"/>
      <c r="HY724" s="827"/>
      <c r="HZ724" s="513"/>
      <c r="IA724" s="827"/>
      <c r="IB724" s="513"/>
      <c r="IC724" s="827"/>
      <c r="ID724" s="513"/>
      <c r="IE724" s="827"/>
      <c r="IF724" s="715"/>
      <c r="IG724" s="704"/>
      <c r="IH724" s="716"/>
      <c r="II724" s="513"/>
      <c r="IJ724" s="513"/>
      <c r="IK724" s="513"/>
      <c r="IL724" s="513"/>
      <c r="IM724" s="513"/>
      <c r="IN724" s="513"/>
      <c r="IO724" s="513"/>
      <c r="IP724" s="513"/>
      <c r="IQ724" s="513"/>
      <c r="IR724" s="513"/>
      <c r="IS724" s="513"/>
      <c r="IT724" s="513"/>
      <c r="IU724" s="513"/>
      <c r="IV724" s="513"/>
      <c r="IW724" s="513"/>
      <c r="IX724" s="513"/>
      <c r="IY724" s="513"/>
      <c r="IZ724" s="513"/>
      <c r="JA724" s="513"/>
      <c r="JB724" s="513"/>
      <c r="JC724" s="513"/>
      <c r="JD724" s="513"/>
      <c r="JE724" s="513"/>
      <c r="JF724" s="513"/>
      <c r="JG724" s="513"/>
      <c r="JH724" s="513"/>
      <c r="JI724" s="513"/>
      <c r="JJ724" s="513"/>
      <c r="JK724" s="513"/>
      <c r="JL724" s="513"/>
      <c r="JM724" s="513"/>
      <c r="JN724" s="513"/>
      <c r="JO724" s="513"/>
      <c r="JP724" s="513"/>
      <c r="JQ724" s="513"/>
      <c r="JR724" s="513"/>
      <c r="JS724" s="513"/>
      <c r="JT724" s="573"/>
      <c r="JU724" s="665"/>
      <c r="JV724" s="524"/>
      <c r="JW724" s="525"/>
      <c r="JX724" s="567"/>
      <c r="JY724" s="549">
        <f t="shared" si="15767"/>
        <v>0</v>
      </c>
      <c r="JZ724" s="581">
        <f t="shared" si="14740"/>
        <v>0</v>
      </c>
      <c r="KA724" s="581">
        <f t="shared" si="14741"/>
        <v>0</v>
      </c>
      <c r="KB724" s="566">
        <f t="shared" si="15406"/>
        <v>0</v>
      </c>
      <c r="KC724" s="709">
        <f t="shared" si="14739"/>
        <v>0</v>
      </c>
      <c r="KD724" s="491"/>
      <c r="KE724" s="491"/>
      <c r="KF724" s="491"/>
      <c r="KG724" s="491"/>
      <c r="KH724" s="36"/>
      <c r="KI724" s="36"/>
      <c r="KJ724" s="36"/>
      <c r="KK724" s="36"/>
    </row>
    <row r="725" spans="1:297" s="10" customFormat="1" ht="12.75" hidden="1" customHeight="1">
      <c r="A725" s="613" t="s">
        <v>960</v>
      </c>
      <c r="B725" s="514" t="s">
        <v>961</v>
      </c>
      <c r="C725" s="513">
        <f>C726</f>
        <v>0</v>
      </c>
      <c r="D725" s="567">
        <f t="shared" ref="D725:E725" si="16130">D726</f>
        <v>0</v>
      </c>
      <c r="E725" s="686">
        <f t="shared" si="16130"/>
        <v>0</v>
      </c>
      <c r="F725" s="567">
        <f t="shared" ref="F725:IZ725" si="16131">F726</f>
        <v>0</v>
      </c>
      <c r="G725" s="686">
        <f t="shared" si="16131"/>
        <v>0</v>
      </c>
      <c r="H725" s="567">
        <f t="shared" si="16131"/>
        <v>0</v>
      </c>
      <c r="I725" s="686">
        <f t="shared" si="16131"/>
        <v>0</v>
      </c>
      <c r="J725" s="567">
        <f t="shared" si="16131"/>
        <v>0</v>
      </c>
      <c r="K725" s="686">
        <f t="shared" si="16131"/>
        <v>0</v>
      </c>
      <c r="L725" s="567">
        <f t="shared" si="16131"/>
        <v>0</v>
      </c>
      <c r="M725" s="686">
        <f t="shared" si="16131"/>
        <v>0</v>
      </c>
      <c r="N725" s="567">
        <f t="shared" si="16131"/>
        <v>0</v>
      </c>
      <c r="O725" s="686">
        <f t="shared" si="16131"/>
        <v>0</v>
      </c>
      <c r="P725" s="567">
        <f t="shared" si="16131"/>
        <v>0</v>
      </c>
      <c r="Q725" s="686">
        <f t="shared" si="16131"/>
        <v>0</v>
      </c>
      <c r="R725" s="567">
        <f t="shared" si="16131"/>
        <v>0</v>
      </c>
      <c r="S725" s="686">
        <f t="shared" si="16131"/>
        <v>0</v>
      </c>
      <c r="T725" s="567">
        <f t="shared" si="16131"/>
        <v>0</v>
      </c>
      <c r="U725" s="686">
        <f t="shared" si="16131"/>
        <v>0</v>
      </c>
      <c r="V725" s="567">
        <f t="shared" si="16131"/>
        <v>0</v>
      </c>
      <c r="W725" s="686">
        <f t="shared" si="16131"/>
        <v>0</v>
      </c>
      <c r="X725" s="567">
        <f t="shared" si="16131"/>
        <v>0</v>
      </c>
      <c r="Y725" s="686">
        <f t="shared" si="16131"/>
        <v>0</v>
      </c>
      <c r="Z725" s="567">
        <f t="shared" si="16131"/>
        <v>0</v>
      </c>
      <c r="AA725" s="686">
        <f t="shared" si="16131"/>
        <v>0</v>
      </c>
      <c r="AB725" s="567">
        <f t="shared" si="16131"/>
        <v>0</v>
      </c>
      <c r="AC725" s="686">
        <f t="shared" si="16131"/>
        <v>0</v>
      </c>
      <c r="AD725" s="567">
        <f t="shared" si="16131"/>
        <v>0</v>
      </c>
      <c r="AE725" s="686">
        <f t="shared" si="16131"/>
        <v>0</v>
      </c>
      <c r="AF725" s="567">
        <f t="shared" si="16131"/>
        <v>0</v>
      </c>
      <c r="AG725" s="686">
        <f t="shared" si="16131"/>
        <v>0</v>
      </c>
      <c r="AH725" s="567">
        <f t="shared" si="16131"/>
        <v>0</v>
      </c>
      <c r="AI725" s="686">
        <f t="shared" si="16131"/>
        <v>0</v>
      </c>
      <c r="AJ725" s="567">
        <f t="shared" si="16131"/>
        <v>0</v>
      </c>
      <c r="AK725" s="686">
        <f t="shared" si="16131"/>
        <v>0</v>
      </c>
      <c r="AL725" s="567">
        <f t="shared" si="16131"/>
        <v>0</v>
      </c>
      <c r="AM725" s="686">
        <f t="shared" si="16131"/>
        <v>0</v>
      </c>
      <c r="AN725" s="567">
        <f t="shared" si="16131"/>
        <v>0</v>
      </c>
      <c r="AO725" s="686">
        <f t="shared" si="16131"/>
        <v>0</v>
      </c>
      <c r="AP725" s="567">
        <f t="shared" si="16131"/>
        <v>0</v>
      </c>
      <c r="AQ725" s="686">
        <f t="shared" si="16131"/>
        <v>0</v>
      </c>
      <c r="AR725" s="567">
        <f t="shared" si="16131"/>
        <v>0</v>
      </c>
      <c r="AS725" s="686">
        <f t="shared" si="16131"/>
        <v>0</v>
      </c>
      <c r="AT725" s="567">
        <f t="shared" si="16131"/>
        <v>0</v>
      </c>
      <c r="AU725" s="686">
        <f t="shared" si="16131"/>
        <v>0</v>
      </c>
      <c r="AV725" s="567">
        <f t="shared" si="16131"/>
        <v>0</v>
      </c>
      <c r="AW725" s="686">
        <f t="shared" si="16131"/>
        <v>0</v>
      </c>
      <c r="AX725" s="567">
        <f t="shared" si="16131"/>
        <v>0</v>
      </c>
      <c r="AY725" s="686">
        <f t="shared" si="16131"/>
        <v>0</v>
      </c>
      <c r="AZ725" s="567">
        <f t="shared" si="16131"/>
        <v>0</v>
      </c>
      <c r="BA725" s="686">
        <f t="shared" si="16131"/>
        <v>0</v>
      </c>
      <c r="BB725" s="567">
        <f t="shared" si="16131"/>
        <v>0</v>
      </c>
      <c r="BC725" s="686">
        <f t="shared" si="16131"/>
        <v>0</v>
      </c>
      <c r="BD725" s="567">
        <f t="shared" si="16131"/>
        <v>0</v>
      </c>
      <c r="BE725" s="686">
        <f t="shared" si="16131"/>
        <v>0</v>
      </c>
      <c r="BF725" s="567">
        <f t="shared" si="16131"/>
        <v>0</v>
      </c>
      <c r="BG725" s="686">
        <f t="shared" si="16131"/>
        <v>0</v>
      </c>
      <c r="BH725" s="567">
        <f t="shared" si="16131"/>
        <v>0</v>
      </c>
      <c r="BI725" s="686">
        <f t="shared" si="16131"/>
        <v>0</v>
      </c>
      <c r="BJ725" s="567">
        <f t="shared" si="16131"/>
        <v>0</v>
      </c>
      <c r="BK725" s="686">
        <f t="shared" si="16131"/>
        <v>0</v>
      </c>
      <c r="BL725" s="567">
        <f t="shared" si="16131"/>
        <v>0</v>
      </c>
      <c r="BM725" s="686">
        <f t="shared" si="16131"/>
        <v>0</v>
      </c>
      <c r="BN725" s="567">
        <f t="shared" si="16131"/>
        <v>0</v>
      </c>
      <c r="BO725" s="686">
        <f t="shared" si="16131"/>
        <v>0</v>
      </c>
      <c r="BP725" s="567">
        <f t="shared" si="16131"/>
        <v>0</v>
      </c>
      <c r="BQ725" s="686">
        <f t="shared" si="16131"/>
        <v>0</v>
      </c>
      <c r="BR725" s="567">
        <f t="shared" si="16131"/>
        <v>0</v>
      </c>
      <c r="BS725" s="686">
        <f t="shared" si="16131"/>
        <v>0</v>
      </c>
      <c r="BT725" s="567">
        <f t="shared" si="16131"/>
        <v>0</v>
      </c>
      <c r="BU725" s="686">
        <f t="shared" si="16131"/>
        <v>0</v>
      </c>
      <c r="BV725" s="567">
        <f t="shared" si="16131"/>
        <v>0</v>
      </c>
      <c r="BW725" s="686">
        <f t="shared" si="16131"/>
        <v>0</v>
      </c>
      <c r="BX725" s="567">
        <f t="shared" si="16131"/>
        <v>0</v>
      </c>
      <c r="BY725" s="686">
        <f t="shared" si="16131"/>
        <v>0</v>
      </c>
      <c r="BZ725" s="567">
        <f t="shared" si="16131"/>
        <v>0</v>
      </c>
      <c r="CA725" s="686">
        <f t="shared" si="16131"/>
        <v>0</v>
      </c>
      <c r="CB725" s="567">
        <f t="shared" si="16131"/>
        <v>0</v>
      </c>
      <c r="CC725" s="686">
        <f t="shared" si="16131"/>
        <v>0</v>
      </c>
      <c r="CD725" s="567">
        <f t="shared" si="16131"/>
        <v>0</v>
      </c>
      <c r="CE725" s="686">
        <f t="shared" si="16131"/>
        <v>0</v>
      </c>
      <c r="CF725" s="567">
        <f t="shared" si="16131"/>
        <v>0</v>
      </c>
      <c r="CG725" s="686">
        <f t="shared" si="16131"/>
        <v>0</v>
      </c>
      <c r="CH725" s="567">
        <f t="shared" si="16131"/>
        <v>0</v>
      </c>
      <c r="CI725" s="686">
        <f t="shared" si="16131"/>
        <v>0</v>
      </c>
      <c r="CJ725" s="567">
        <f t="shared" si="16131"/>
        <v>0</v>
      </c>
      <c r="CK725" s="686">
        <f t="shared" si="16131"/>
        <v>0</v>
      </c>
      <c r="CL725" s="567">
        <f t="shared" si="16131"/>
        <v>0</v>
      </c>
      <c r="CM725" s="686">
        <f t="shared" si="16131"/>
        <v>0</v>
      </c>
      <c r="CN725" s="567">
        <f t="shared" si="16131"/>
        <v>0</v>
      </c>
      <c r="CO725" s="686">
        <f t="shared" si="16131"/>
        <v>0</v>
      </c>
      <c r="CP725" s="567">
        <f t="shared" si="16131"/>
        <v>0</v>
      </c>
      <c r="CQ725" s="686">
        <f t="shared" si="16131"/>
        <v>0</v>
      </c>
      <c r="CR725" s="567">
        <f t="shared" si="16131"/>
        <v>0</v>
      </c>
      <c r="CS725" s="686">
        <f t="shared" si="16131"/>
        <v>0</v>
      </c>
      <c r="CT725" s="567">
        <f t="shared" si="16131"/>
        <v>0</v>
      </c>
      <c r="CU725" s="686">
        <f t="shared" si="16131"/>
        <v>0</v>
      </c>
      <c r="CV725" s="567">
        <f t="shared" si="16131"/>
        <v>0</v>
      </c>
      <c r="CW725" s="686">
        <f t="shared" si="16131"/>
        <v>0</v>
      </c>
      <c r="CX725" s="567">
        <f t="shared" si="16131"/>
        <v>0</v>
      </c>
      <c r="CY725" s="686">
        <f t="shared" si="16131"/>
        <v>0</v>
      </c>
      <c r="CZ725" s="567">
        <f t="shared" si="16131"/>
        <v>0</v>
      </c>
      <c r="DA725" s="686">
        <f t="shared" si="16131"/>
        <v>0</v>
      </c>
      <c r="DB725" s="567">
        <f t="shared" si="16131"/>
        <v>0</v>
      </c>
      <c r="DC725" s="686">
        <f t="shared" si="16131"/>
        <v>0</v>
      </c>
      <c r="DD725" s="567">
        <f t="shared" si="16131"/>
        <v>0</v>
      </c>
      <c r="DE725" s="686">
        <f t="shared" si="16131"/>
        <v>0</v>
      </c>
      <c r="DF725" s="567">
        <f t="shared" si="16131"/>
        <v>0</v>
      </c>
      <c r="DG725" s="686">
        <f t="shared" si="16131"/>
        <v>0</v>
      </c>
      <c r="DH725" s="567">
        <f t="shared" si="16131"/>
        <v>0</v>
      </c>
      <c r="DI725" s="686">
        <f t="shared" si="16131"/>
        <v>0</v>
      </c>
      <c r="DJ725" s="567">
        <f t="shared" si="16131"/>
        <v>0</v>
      </c>
      <c r="DK725" s="686">
        <f t="shared" si="16131"/>
        <v>0</v>
      </c>
      <c r="DL725" s="567">
        <f t="shared" si="16131"/>
        <v>0</v>
      </c>
      <c r="DM725" s="686">
        <f t="shared" si="16131"/>
        <v>0</v>
      </c>
      <c r="DN725" s="567">
        <f t="shared" si="16131"/>
        <v>0</v>
      </c>
      <c r="DO725" s="686">
        <f t="shared" si="16131"/>
        <v>0</v>
      </c>
      <c r="DP725" s="567">
        <f t="shared" si="16131"/>
        <v>0</v>
      </c>
      <c r="DQ725" s="686">
        <f t="shared" si="16131"/>
        <v>0</v>
      </c>
      <c r="DR725" s="567">
        <f t="shared" si="16131"/>
        <v>0</v>
      </c>
      <c r="DS725" s="686">
        <f t="shared" si="16131"/>
        <v>0</v>
      </c>
      <c r="DT725" s="567">
        <f t="shared" si="16131"/>
        <v>0</v>
      </c>
      <c r="DU725" s="686">
        <f t="shared" si="16131"/>
        <v>0</v>
      </c>
      <c r="DV725" s="567">
        <f t="shared" si="16131"/>
        <v>0</v>
      </c>
      <c r="DW725" s="686">
        <f t="shared" si="16131"/>
        <v>0</v>
      </c>
      <c r="DX725" s="567">
        <f t="shared" si="16131"/>
        <v>0</v>
      </c>
      <c r="DY725" s="686">
        <f t="shared" si="16131"/>
        <v>0</v>
      </c>
      <c r="DZ725" s="567">
        <f t="shared" si="16131"/>
        <v>0</v>
      </c>
      <c r="EA725" s="686">
        <f t="shared" si="16131"/>
        <v>0</v>
      </c>
      <c r="EB725" s="567">
        <f t="shared" si="16131"/>
        <v>0</v>
      </c>
      <c r="EC725" s="686">
        <f t="shared" si="16131"/>
        <v>0</v>
      </c>
      <c r="ED725" s="567">
        <f t="shared" si="16131"/>
        <v>0</v>
      </c>
      <c r="EE725" s="686">
        <f t="shared" si="16131"/>
        <v>0</v>
      </c>
      <c r="EF725" s="567">
        <f t="shared" si="16131"/>
        <v>0</v>
      </c>
      <c r="EG725" s="686">
        <f t="shared" si="16131"/>
        <v>0</v>
      </c>
      <c r="EH725" s="567">
        <f t="shared" si="16131"/>
        <v>0</v>
      </c>
      <c r="EI725" s="686">
        <f t="shared" si="16131"/>
        <v>0</v>
      </c>
      <c r="EJ725" s="567">
        <f t="shared" si="16131"/>
        <v>0</v>
      </c>
      <c r="EK725" s="686">
        <f t="shared" si="16131"/>
        <v>0</v>
      </c>
      <c r="EL725" s="567">
        <f t="shared" si="16131"/>
        <v>0</v>
      </c>
      <c r="EM725" s="686">
        <f t="shared" si="16131"/>
        <v>0</v>
      </c>
      <c r="EN725" s="567">
        <f t="shared" si="16131"/>
        <v>0</v>
      </c>
      <c r="EO725" s="686">
        <f t="shared" si="16131"/>
        <v>0</v>
      </c>
      <c r="EP725" s="567">
        <f t="shared" si="16131"/>
        <v>0</v>
      </c>
      <c r="EQ725" s="686">
        <f t="shared" si="16131"/>
        <v>0</v>
      </c>
      <c r="ER725" s="567">
        <f t="shared" si="16131"/>
        <v>0</v>
      </c>
      <c r="ES725" s="686">
        <f t="shared" si="16131"/>
        <v>0</v>
      </c>
      <c r="ET725" s="567">
        <f t="shared" si="16131"/>
        <v>0</v>
      </c>
      <c r="EU725" s="686">
        <f t="shared" si="16131"/>
        <v>0</v>
      </c>
      <c r="EV725" s="567">
        <f t="shared" si="16131"/>
        <v>0</v>
      </c>
      <c r="EW725" s="686">
        <f t="shared" si="16131"/>
        <v>0</v>
      </c>
      <c r="EX725" s="567">
        <f t="shared" si="16131"/>
        <v>0</v>
      </c>
      <c r="EY725" s="686">
        <f t="shared" si="16131"/>
        <v>0</v>
      </c>
      <c r="EZ725" s="567">
        <f t="shared" si="16131"/>
        <v>0</v>
      </c>
      <c r="FA725" s="686">
        <f t="shared" si="16131"/>
        <v>0</v>
      </c>
      <c r="FB725" s="567">
        <f t="shared" si="16131"/>
        <v>0</v>
      </c>
      <c r="FC725" s="686">
        <f t="shared" si="16131"/>
        <v>0</v>
      </c>
      <c r="FD725" s="567">
        <f t="shared" si="16131"/>
        <v>0</v>
      </c>
      <c r="FE725" s="686">
        <f t="shared" si="16131"/>
        <v>0</v>
      </c>
      <c r="FF725" s="567">
        <f t="shared" si="16131"/>
        <v>0</v>
      </c>
      <c r="FG725" s="686">
        <f t="shared" si="16131"/>
        <v>0</v>
      </c>
      <c r="FH725" s="567">
        <f t="shared" si="16131"/>
        <v>0</v>
      </c>
      <c r="FI725" s="686">
        <f t="shared" si="16131"/>
        <v>0</v>
      </c>
      <c r="FJ725" s="567">
        <f t="shared" si="16131"/>
        <v>0</v>
      </c>
      <c r="FK725" s="686">
        <f t="shared" si="16131"/>
        <v>0</v>
      </c>
      <c r="FL725" s="567">
        <f t="shared" si="16131"/>
        <v>0</v>
      </c>
      <c r="FM725" s="686">
        <f t="shared" si="16131"/>
        <v>0</v>
      </c>
      <c r="FN725" s="567">
        <f t="shared" si="16131"/>
        <v>0</v>
      </c>
      <c r="FO725" s="686">
        <f t="shared" si="16131"/>
        <v>0</v>
      </c>
      <c r="FP725" s="567">
        <f t="shared" si="16131"/>
        <v>0</v>
      </c>
      <c r="FQ725" s="686">
        <f t="shared" si="16131"/>
        <v>0</v>
      </c>
      <c r="FR725" s="567">
        <f t="shared" si="16131"/>
        <v>0</v>
      </c>
      <c r="FS725" s="686">
        <f t="shared" si="16131"/>
        <v>0</v>
      </c>
      <c r="FT725" s="567">
        <f t="shared" si="16131"/>
        <v>0</v>
      </c>
      <c r="FU725" s="686">
        <f t="shared" si="16131"/>
        <v>0</v>
      </c>
      <c r="FV725" s="567">
        <f t="shared" si="16131"/>
        <v>0</v>
      </c>
      <c r="FW725" s="686">
        <f t="shared" si="16131"/>
        <v>0</v>
      </c>
      <c r="FX725" s="567">
        <f t="shared" si="16131"/>
        <v>0</v>
      </c>
      <c r="FY725" s="686">
        <f t="shared" si="16131"/>
        <v>0</v>
      </c>
      <c r="FZ725" s="567">
        <f t="shared" si="16131"/>
        <v>0</v>
      </c>
      <c r="GA725" s="686">
        <f t="shared" si="16131"/>
        <v>0</v>
      </c>
      <c r="GB725" s="567">
        <f t="shared" si="16131"/>
        <v>0</v>
      </c>
      <c r="GC725" s="686">
        <f t="shared" si="16131"/>
        <v>0</v>
      </c>
      <c r="GD725" s="567">
        <f t="shared" si="16131"/>
        <v>0</v>
      </c>
      <c r="GE725" s="686">
        <f t="shared" si="16131"/>
        <v>0</v>
      </c>
      <c r="GF725" s="567">
        <f t="shared" si="16131"/>
        <v>0</v>
      </c>
      <c r="GG725" s="686">
        <f t="shared" si="16131"/>
        <v>0</v>
      </c>
      <c r="GH725" s="567">
        <f t="shared" si="16131"/>
        <v>0</v>
      </c>
      <c r="GI725" s="686">
        <f t="shared" si="16131"/>
        <v>0</v>
      </c>
      <c r="GJ725" s="567">
        <f t="shared" si="16131"/>
        <v>0</v>
      </c>
      <c r="GK725" s="686">
        <f t="shared" si="16131"/>
        <v>0</v>
      </c>
      <c r="GL725" s="567">
        <f t="shared" si="16131"/>
        <v>0</v>
      </c>
      <c r="GM725" s="686">
        <f t="shared" si="16131"/>
        <v>0</v>
      </c>
      <c r="GN725" s="567">
        <f t="shared" si="16131"/>
        <v>0</v>
      </c>
      <c r="GO725" s="686">
        <f t="shared" si="16131"/>
        <v>0</v>
      </c>
      <c r="GP725" s="567">
        <f t="shared" si="16131"/>
        <v>0</v>
      </c>
      <c r="GQ725" s="686">
        <f t="shared" si="16131"/>
        <v>0</v>
      </c>
      <c r="GR725" s="513">
        <f t="shared" si="16131"/>
        <v>0</v>
      </c>
      <c r="GS725" s="513">
        <f t="shared" si="16131"/>
        <v>0</v>
      </c>
      <c r="GT725" s="567">
        <f t="shared" si="16131"/>
        <v>0</v>
      </c>
      <c r="GU725" s="513">
        <f t="shared" si="16131"/>
        <v>0</v>
      </c>
      <c r="GV725" s="513">
        <f t="shared" si="16131"/>
        <v>0</v>
      </c>
      <c r="GW725" s="567">
        <f t="shared" si="16131"/>
        <v>0</v>
      </c>
      <c r="GX725" s="567">
        <f t="shared" si="16131"/>
        <v>0</v>
      </c>
      <c r="GY725" s="513">
        <f t="shared" si="16131"/>
        <v>0</v>
      </c>
      <c r="GZ725" s="513">
        <f t="shared" si="16131"/>
        <v>0</v>
      </c>
      <c r="HA725" s="513">
        <f t="shared" si="16131"/>
        <v>0</v>
      </c>
      <c r="HB725" s="513">
        <f t="shared" si="16131"/>
        <v>0</v>
      </c>
      <c r="HC725" s="513">
        <f t="shared" si="16131"/>
        <v>0</v>
      </c>
      <c r="HD725" s="513">
        <f t="shared" si="16131"/>
        <v>0</v>
      </c>
      <c r="HE725" s="513">
        <f t="shared" si="16131"/>
        <v>0</v>
      </c>
      <c r="HF725" s="513">
        <f t="shared" si="16131"/>
        <v>0</v>
      </c>
      <c r="HG725" s="513">
        <f t="shared" si="16131"/>
        <v>0</v>
      </c>
      <c r="HH725" s="513">
        <f t="shared" ref="HH725:HI725" si="16132">HH726</f>
        <v>0</v>
      </c>
      <c r="HI725" s="827">
        <f t="shared" si="16132"/>
        <v>0</v>
      </c>
      <c r="HJ725" s="513">
        <f t="shared" ref="HJ725:HK725" si="16133">HJ726</f>
        <v>0</v>
      </c>
      <c r="HK725" s="827">
        <f t="shared" si="16133"/>
        <v>0</v>
      </c>
      <c r="HL725" s="513">
        <f t="shared" ref="HL725:HM725" si="16134">HL726</f>
        <v>0</v>
      </c>
      <c r="HM725" s="827">
        <f t="shared" si="16134"/>
        <v>0</v>
      </c>
      <c r="HN725" s="513">
        <f t="shared" ref="HN725:HO725" si="16135">HN726</f>
        <v>0</v>
      </c>
      <c r="HO725" s="827">
        <f t="shared" si="16135"/>
        <v>0</v>
      </c>
      <c r="HP725" s="513">
        <f t="shared" ref="HP725:HQ725" si="16136">HP726</f>
        <v>0</v>
      </c>
      <c r="HQ725" s="827">
        <f t="shared" si="16136"/>
        <v>0</v>
      </c>
      <c r="HR725" s="513">
        <f t="shared" ref="HR725:HS725" si="16137">HR726</f>
        <v>0</v>
      </c>
      <c r="HS725" s="827">
        <f t="shared" si="16137"/>
        <v>0</v>
      </c>
      <c r="HT725" s="513">
        <f t="shared" ref="HT725:HU725" si="16138">HT726</f>
        <v>0</v>
      </c>
      <c r="HU725" s="827">
        <f t="shared" si="16138"/>
        <v>0</v>
      </c>
      <c r="HV725" s="513">
        <f t="shared" ref="HV725:HW725" si="16139">HV726</f>
        <v>0</v>
      </c>
      <c r="HW725" s="827">
        <f t="shared" si="16139"/>
        <v>0</v>
      </c>
      <c r="HX725" s="513">
        <f t="shared" ref="HX725:HY725" si="16140">HX726</f>
        <v>0</v>
      </c>
      <c r="HY725" s="827">
        <f t="shared" si="16140"/>
        <v>0</v>
      </c>
      <c r="HZ725" s="513">
        <f t="shared" ref="HZ725:IA725" si="16141">HZ726</f>
        <v>0</v>
      </c>
      <c r="IA725" s="827">
        <f t="shared" si="16141"/>
        <v>0</v>
      </c>
      <c r="IB725" s="513">
        <f t="shared" ref="IB725:IC725" si="16142">IB726</f>
        <v>0</v>
      </c>
      <c r="IC725" s="827">
        <f t="shared" si="16142"/>
        <v>0</v>
      </c>
      <c r="ID725" s="513">
        <f t="shared" si="16131"/>
        <v>0</v>
      </c>
      <c r="IE725" s="827">
        <f t="shared" si="16131"/>
        <v>0</v>
      </c>
      <c r="IF725" s="715">
        <f t="shared" si="16131"/>
        <v>0</v>
      </c>
      <c r="IG725" s="704">
        <f t="shared" si="16131"/>
        <v>0</v>
      </c>
      <c r="IH725" s="716">
        <f t="shared" si="16131"/>
        <v>0</v>
      </c>
      <c r="II725" s="513">
        <f t="shared" si="16131"/>
        <v>0</v>
      </c>
      <c r="IJ725" s="513">
        <f t="shared" si="16131"/>
        <v>0</v>
      </c>
      <c r="IK725" s="513">
        <f t="shared" si="16131"/>
        <v>0</v>
      </c>
      <c r="IL725" s="513">
        <f t="shared" si="16131"/>
        <v>0</v>
      </c>
      <c r="IM725" s="513">
        <f t="shared" si="16131"/>
        <v>0</v>
      </c>
      <c r="IN725" s="513">
        <f t="shared" si="16131"/>
        <v>0</v>
      </c>
      <c r="IO725" s="513">
        <f t="shared" si="16131"/>
        <v>0</v>
      </c>
      <c r="IP725" s="513">
        <f t="shared" si="16131"/>
        <v>0</v>
      </c>
      <c r="IQ725" s="513">
        <f t="shared" si="16131"/>
        <v>0</v>
      </c>
      <c r="IR725" s="513">
        <f t="shared" si="16131"/>
        <v>0</v>
      </c>
      <c r="IS725" s="513">
        <f t="shared" si="16131"/>
        <v>0</v>
      </c>
      <c r="IT725" s="513">
        <f t="shared" si="16131"/>
        <v>0</v>
      </c>
      <c r="IU725" s="513">
        <f t="shared" si="16131"/>
        <v>0</v>
      </c>
      <c r="IV725" s="513">
        <f t="shared" si="16131"/>
        <v>0</v>
      </c>
      <c r="IW725" s="513">
        <f t="shared" si="16131"/>
        <v>0</v>
      </c>
      <c r="IX725" s="513">
        <f t="shared" si="16131"/>
        <v>0</v>
      </c>
      <c r="IY725" s="513">
        <f t="shared" si="16131"/>
        <v>0</v>
      </c>
      <c r="IZ725" s="513">
        <f t="shared" si="16131"/>
        <v>0</v>
      </c>
      <c r="JA725" s="513">
        <f t="shared" ref="JA725:JX725" si="16143">JA726</f>
        <v>0</v>
      </c>
      <c r="JB725" s="513">
        <f t="shared" si="16143"/>
        <v>0</v>
      </c>
      <c r="JC725" s="513">
        <f t="shared" si="16143"/>
        <v>0</v>
      </c>
      <c r="JD725" s="513">
        <f t="shared" si="16143"/>
        <v>0</v>
      </c>
      <c r="JE725" s="513">
        <f t="shared" si="16143"/>
        <v>0</v>
      </c>
      <c r="JF725" s="513">
        <f t="shared" si="16143"/>
        <v>0</v>
      </c>
      <c r="JG725" s="513">
        <f t="shared" si="16143"/>
        <v>0</v>
      </c>
      <c r="JH725" s="513">
        <f t="shared" si="16143"/>
        <v>0</v>
      </c>
      <c r="JI725" s="513">
        <f t="shared" si="16143"/>
        <v>0</v>
      </c>
      <c r="JJ725" s="513">
        <f t="shared" si="16143"/>
        <v>0</v>
      </c>
      <c r="JK725" s="513">
        <f t="shared" si="16143"/>
        <v>0</v>
      </c>
      <c r="JL725" s="513">
        <f t="shared" si="16143"/>
        <v>0</v>
      </c>
      <c r="JM725" s="513">
        <f t="shared" si="16143"/>
        <v>0</v>
      </c>
      <c r="JN725" s="513">
        <f t="shared" si="16143"/>
        <v>0</v>
      </c>
      <c r="JO725" s="513">
        <f t="shared" si="16143"/>
        <v>0</v>
      </c>
      <c r="JP725" s="513">
        <f t="shared" si="16143"/>
        <v>0</v>
      </c>
      <c r="JQ725" s="513">
        <f t="shared" si="16143"/>
        <v>0</v>
      </c>
      <c r="JR725" s="513">
        <f t="shared" si="16143"/>
        <v>0</v>
      </c>
      <c r="JS725" s="513">
        <f t="shared" si="16143"/>
        <v>0</v>
      </c>
      <c r="JT725" s="573">
        <f t="shared" si="16143"/>
        <v>0</v>
      </c>
      <c r="JU725" s="665"/>
      <c r="JV725" s="524"/>
      <c r="JW725" s="525"/>
      <c r="JX725" s="567">
        <f t="shared" si="16143"/>
        <v>0</v>
      </c>
      <c r="JY725" s="549">
        <f t="shared" si="15767"/>
        <v>0</v>
      </c>
      <c r="JZ725" s="581">
        <f t="shared" si="14740"/>
        <v>0</v>
      </c>
      <c r="KA725" s="581">
        <f t="shared" si="14741"/>
        <v>0</v>
      </c>
      <c r="KB725" s="566">
        <f t="shared" si="15406"/>
        <v>0</v>
      </c>
      <c r="KC725" s="709">
        <f t="shared" si="14739"/>
        <v>0</v>
      </c>
      <c r="KD725" s="491"/>
      <c r="KE725" s="491"/>
      <c r="KF725" s="491"/>
      <c r="KG725" s="491"/>
      <c r="KH725" s="36"/>
      <c r="KI725" s="36"/>
      <c r="KJ725" s="36"/>
      <c r="KK725" s="36"/>
    </row>
    <row r="726" spans="1:297" s="10" customFormat="1" ht="12.75" hidden="1" customHeight="1">
      <c r="A726" s="612" t="s">
        <v>962</v>
      </c>
      <c r="B726" s="512" t="s">
        <v>963</v>
      </c>
      <c r="C726" s="74">
        <v>0</v>
      </c>
      <c r="D726" s="549">
        <v>0</v>
      </c>
      <c r="E726" s="675">
        <v>0</v>
      </c>
      <c r="F726" s="549">
        <v>0</v>
      </c>
      <c r="G726" s="675">
        <v>0</v>
      </c>
      <c r="H726" s="549">
        <v>0</v>
      </c>
      <c r="I726" s="675">
        <v>0</v>
      </c>
      <c r="J726" s="549">
        <v>0</v>
      </c>
      <c r="K726" s="675">
        <v>0</v>
      </c>
      <c r="L726" s="549">
        <v>0</v>
      </c>
      <c r="M726" s="675">
        <v>0</v>
      </c>
      <c r="N726" s="549">
        <v>0</v>
      </c>
      <c r="O726" s="675">
        <v>0</v>
      </c>
      <c r="P726" s="549">
        <v>0</v>
      </c>
      <c r="Q726" s="675">
        <v>0</v>
      </c>
      <c r="R726" s="549">
        <v>0</v>
      </c>
      <c r="S726" s="675">
        <v>0</v>
      </c>
      <c r="T726" s="549">
        <v>0</v>
      </c>
      <c r="U726" s="675">
        <v>0</v>
      </c>
      <c r="V726" s="549">
        <v>0</v>
      </c>
      <c r="W726" s="675">
        <v>0</v>
      </c>
      <c r="X726" s="549">
        <v>0</v>
      </c>
      <c r="Y726" s="675">
        <v>0</v>
      </c>
      <c r="Z726" s="549">
        <v>0</v>
      </c>
      <c r="AA726" s="675">
        <v>0</v>
      </c>
      <c r="AB726" s="549">
        <v>0</v>
      </c>
      <c r="AC726" s="675">
        <v>0</v>
      </c>
      <c r="AD726" s="549">
        <v>0</v>
      </c>
      <c r="AE726" s="675">
        <v>0</v>
      </c>
      <c r="AF726" s="549">
        <v>0</v>
      </c>
      <c r="AG726" s="675">
        <v>0</v>
      </c>
      <c r="AH726" s="549">
        <v>0</v>
      </c>
      <c r="AI726" s="675">
        <v>0</v>
      </c>
      <c r="AJ726" s="549">
        <v>0</v>
      </c>
      <c r="AK726" s="675">
        <v>0</v>
      </c>
      <c r="AL726" s="549">
        <v>0</v>
      </c>
      <c r="AM726" s="675">
        <v>0</v>
      </c>
      <c r="AN726" s="549">
        <v>0</v>
      </c>
      <c r="AO726" s="675">
        <v>0</v>
      </c>
      <c r="AP726" s="549">
        <v>0</v>
      </c>
      <c r="AQ726" s="675">
        <v>0</v>
      </c>
      <c r="AR726" s="549">
        <v>0</v>
      </c>
      <c r="AS726" s="675">
        <v>0</v>
      </c>
      <c r="AT726" s="549">
        <v>0</v>
      </c>
      <c r="AU726" s="675">
        <v>0</v>
      </c>
      <c r="AV726" s="549">
        <v>0</v>
      </c>
      <c r="AW726" s="675">
        <v>0</v>
      </c>
      <c r="AX726" s="549">
        <v>0</v>
      </c>
      <c r="AY726" s="675">
        <v>0</v>
      </c>
      <c r="AZ726" s="549">
        <v>0</v>
      </c>
      <c r="BA726" s="675">
        <v>0</v>
      </c>
      <c r="BB726" s="549">
        <v>0</v>
      </c>
      <c r="BC726" s="675">
        <v>0</v>
      </c>
      <c r="BD726" s="549">
        <v>0</v>
      </c>
      <c r="BE726" s="675">
        <v>0</v>
      </c>
      <c r="BF726" s="549">
        <v>0</v>
      </c>
      <c r="BG726" s="675">
        <v>0</v>
      </c>
      <c r="BH726" s="549">
        <v>0</v>
      </c>
      <c r="BI726" s="675">
        <v>0</v>
      </c>
      <c r="BJ726" s="549">
        <v>0</v>
      </c>
      <c r="BK726" s="675">
        <v>0</v>
      </c>
      <c r="BL726" s="549">
        <v>0</v>
      </c>
      <c r="BM726" s="675">
        <v>0</v>
      </c>
      <c r="BN726" s="549">
        <v>0</v>
      </c>
      <c r="BO726" s="675">
        <v>0</v>
      </c>
      <c r="BP726" s="549">
        <v>0</v>
      </c>
      <c r="BQ726" s="675">
        <v>0</v>
      </c>
      <c r="BR726" s="549">
        <v>0</v>
      </c>
      <c r="BS726" s="675">
        <v>0</v>
      </c>
      <c r="BT726" s="549">
        <v>0</v>
      </c>
      <c r="BU726" s="675">
        <v>0</v>
      </c>
      <c r="BV726" s="549">
        <v>0</v>
      </c>
      <c r="BW726" s="675">
        <v>0</v>
      </c>
      <c r="BX726" s="549">
        <v>0</v>
      </c>
      <c r="BY726" s="675">
        <v>0</v>
      </c>
      <c r="BZ726" s="549">
        <v>0</v>
      </c>
      <c r="CA726" s="675">
        <v>0</v>
      </c>
      <c r="CB726" s="549">
        <v>0</v>
      </c>
      <c r="CC726" s="675">
        <v>0</v>
      </c>
      <c r="CD726" s="549">
        <v>0</v>
      </c>
      <c r="CE726" s="675">
        <v>0</v>
      </c>
      <c r="CF726" s="549">
        <v>0</v>
      </c>
      <c r="CG726" s="675">
        <v>0</v>
      </c>
      <c r="CH726" s="549">
        <v>0</v>
      </c>
      <c r="CI726" s="675">
        <v>0</v>
      </c>
      <c r="CJ726" s="549">
        <v>0</v>
      </c>
      <c r="CK726" s="675">
        <v>0</v>
      </c>
      <c r="CL726" s="549">
        <v>0</v>
      </c>
      <c r="CM726" s="675">
        <v>0</v>
      </c>
      <c r="CN726" s="549">
        <v>0</v>
      </c>
      <c r="CO726" s="675">
        <v>0</v>
      </c>
      <c r="CP726" s="549">
        <v>0</v>
      </c>
      <c r="CQ726" s="675">
        <v>0</v>
      </c>
      <c r="CR726" s="549">
        <v>0</v>
      </c>
      <c r="CS726" s="675">
        <v>0</v>
      </c>
      <c r="CT726" s="549">
        <v>0</v>
      </c>
      <c r="CU726" s="675">
        <v>0</v>
      </c>
      <c r="CV726" s="549">
        <v>0</v>
      </c>
      <c r="CW726" s="675">
        <v>0</v>
      </c>
      <c r="CX726" s="549">
        <v>0</v>
      </c>
      <c r="CY726" s="675">
        <v>0</v>
      </c>
      <c r="CZ726" s="549">
        <v>0</v>
      </c>
      <c r="DA726" s="675">
        <v>0</v>
      </c>
      <c r="DB726" s="549">
        <v>0</v>
      </c>
      <c r="DC726" s="675">
        <v>0</v>
      </c>
      <c r="DD726" s="549">
        <v>0</v>
      </c>
      <c r="DE726" s="675">
        <v>0</v>
      </c>
      <c r="DF726" s="549">
        <v>0</v>
      </c>
      <c r="DG726" s="675">
        <v>0</v>
      </c>
      <c r="DH726" s="549">
        <v>0</v>
      </c>
      <c r="DI726" s="675">
        <v>0</v>
      </c>
      <c r="DJ726" s="549">
        <v>0</v>
      </c>
      <c r="DK726" s="675">
        <v>0</v>
      </c>
      <c r="DL726" s="549">
        <v>0</v>
      </c>
      <c r="DM726" s="675">
        <v>0</v>
      </c>
      <c r="DN726" s="549">
        <v>0</v>
      </c>
      <c r="DO726" s="675">
        <v>0</v>
      </c>
      <c r="DP726" s="549">
        <v>0</v>
      </c>
      <c r="DQ726" s="675">
        <v>0</v>
      </c>
      <c r="DR726" s="549">
        <v>0</v>
      </c>
      <c r="DS726" s="675">
        <v>0</v>
      </c>
      <c r="DT726" s="549">
        <v>0</v>
      </c>
      <c r="DU726" s="675">
        <v>0</v>
      </c>
      <c r="DV726" s="549">
        <v>0</v>
      </c>
      <c r="DW726" s="675">
        <v>0</v>
      </c>
      <c r="DX726" s="549">
        <v>0</v>
      </c>
      <c r="DY726" s="675">
        <v>0</v>
      </c>
      <c r="DZ726" s="549">
        <v>0</v>
      </c>
      <c r="EA726" s="675">
        <v>0</v>
      </c>
      <c r="EB726" s="549">
        <v>0</v>
      </c>
      <c r="EC726" s="675">
        <v>0</v>
      </c>
      <c r="ED726" s="549">
        <v>0</v>
      </c>
      <c r="EE726" s="675">
        <v>0</v>
      </c>
      <c r="EF726" s="549">
        <v>0</v>
      </c>
      <c r="EG726" s="675">
        <v>0</v>
      </c>
      <c r="EH726" s="549">
        <v>0</v>
      </c>
      <c r="EI726" s="675">
        <v>0</v>
      </c>
      <c r="EJ726" s="549">
        <v>0</v>
      </c>
      <c r="EK726" s="675">
        <v>0</v>
      </c>
      <c r="EL726" s="549">
        <v>0</v>
      </c>
      <c r="EM726" s="675">
        <v>0</v>
      </c>
      <c r="EN726" s="549">
        <v>0</v>
      </c>
      <c r="EO726" s="675">
        <v>0</v>
      </c>
      <c r="EP726" s="549">
        <v>0</v>
      </c>
      <c r="EQ726" s="675">
        <v>0</v>
      </c>
      <c r="ER726" s="549">
        <v>0</v>
      </c>
      <c r="ES726" s="675">
        <v>0</v>
      </c>
      <c r="ET726" s="549">
        <v>0</v>
      </c>
      <c r="EU726" s="675">
        <v>0</v>
      </c>
      <c r="EV726" s="549">
        <v>0</v>
      </c>
      <c r="EW726" s="675">
        <v>0</v>
      </c>
      <c r="EX726" s="549">
        <v>0</v>
      </c>
      <c r="EY726" s="675">
        <v>0</v>
      </c>
      <c r="EZ726" s="549">
        <v>0</v>
      </c>
      <c r="FA726" s="675">
        <v>0</v>
      </c>
      <c r="FB726" s="549">
        <v>0</v>
      </c>
      <c r="FC726" s="675">
        <v>0</v>
      </c>
      <c r="FD726" s="549">
        <v>0</v>
      </c>
      <c r="FE726" s="675">
        <v>0</v>
      </c>
      <c r="FF726" s="549">
        <v>0</v>
      </c>
      <c r="FG726" s="675">
        <v>0</v>
      </c>
      <c r="FH726" s="549">
        <v>0</v>
      </c>
      <c r="FI726" s="675">
        <v>0</v>
      </c>
      <c r="FJ726" s="549">
        <v>0</v>
      </c>
      <c r="FK726" s="675">
        <v>0</v>
      </c>
      <c r="FL726" s="549">
        <v>0</v>
      </c>
      <c r="FM726" s="675">
        <v>0</v>
      </c>
      <c r="FN726" s="549">
        <v>0</v>
      </c>
      <c r="FO726" s="675">
        <v>0</v>
      </c>
      <c r="FP726" s="549">
        <v>0</v>
      </c>
      <c r="FQ726" s="675">
        <v>0</v>
      </c>
      <c r="FR726" s="549">
        <v>0</v>
      </c>
      <c r="FS726" s="675">
        <v>0</v>
      </c>
      <c r="FT726" s="549">
        <v>0</v>
      </c>
      <c r="FU726" s="675">
        <v>0</v>
      </c>
      <c r="FV726" s="549">
        <v>0</v>
      </c>
      <c r="FW726" s="675">
        <v>0</v>
      </c>
      <c r="FX726" s="549">
        <v>0</v>
      </c>
      <c r="FY726" s="675">
        <v>0</v>
      </c>
      <c r="FZ726" s="549">
        <v>0</v>
      </c>
      <c r="GA726" s="675">
        <v>0</v>
      </c>
      <c r="GB726" s="549">
        <v>0</v>
      </c>
      <c r="GC726" s="675">
        <v>0</v>
      </c>
      <c r="GD726" s="549">
        <v>0</v>
      </c>
      <c r="GE726" s="675">
        <v>0</v>
      </c>
      <c r="GF726" s="549">
        <v>0</v>
      </c>
      <c r="GG726" s="675">
        <v>0</v>
      </c>
      <c r="GH726" s="549">
        <v>0</v>
      </c>
      <c r="GI726" s="675">
        <v>0</v>
      </c>
      <c r="GJ726" s="549">
        <v>0</v>
      </c>
      <c r="GK726" s="675">
        <v>0</v>
      </c>
      <c r="GL726" s="549">
        <v>0</v>
      </c>
      <c r="GM726" s="675">
        <v>0</v>
      </c>
      <c r="GN726" s="549">
        <v>0</v>
      </c>
      <c r="GO726" s="675">
        <v>0</v>
      </c>
      <c r="GP726" s="549">
        <f>+D726+F726+H726+J726+L726+N726+P726+R726+T726+V726+X726+Z726+AB726+AD726+AH726+AJ726+AL726+AN726+AP726+AR726+AT726+AV726+AX726+AZ726+BB726+BD726+BF726+BH726+BJ726+BL726+BN726+BP726+BR726+BT726+BV726+BX726+BZ726+CB726+CD726+CF726+CH726+CJ726+CL726+CN726+CP726+CR726+CT726+CV726+CX726+CZ726+DB726+DD726+DF726+DH726+DT726+EX726+DJ726+DL726+DN726+DP726+DR726+EJ726+EB726+DZ726+DX726+DV726+ED726+EF726+EH726+EL726+EN726+EP726+EV726+ET726+ER726+EZ726+FB726+FD726+GL726</f>
        <v>0</v>
      </c>
      <c r="GQ726" s="675">
        <f>+E726+G726+I726+K726+M726+O726+Q726+S726+U726+W726+Y726+AA726+AC726+AE726+AI726+AK726+AM726+AO726+AQ726+AS726+AU726+AW726+AY726+BA726+BC726+BE726+BG726+BI726+BK726+BM726+BO726+BQ726+BS726+BU726+BW726+BY726+CA726+CC726+CE726+CG726+CI726+CK726+CM726+CO726+CQ726+CS726+CU726+CW726+CY726+DA726+DC726+DE726+DG726+DI726+DU726+EY726+DK726+DM726+DO726+DQ726+DS726+EK726+EC726+EA726+DY726+DW726+EI726+EG726+EE726+EM726+EO726+EQ726+EW726+EU726+ES726+FA726+FC726+FE726+GM726</f>
        <v>0</v>
      </c>
      <c r="GR726" s="74">
        <f>C726+GP726+GQ726</f>
        <v>0</v>
      </c>
      <c r="GS726" s="74">
        <f>SUM(GU726:HF726)+GP726+GQ726</f>
        <v>0</v>
      </c>
      <c r="GT726" s="568">
        <f>SUM(GU726:HF726)+GQ726+GP726</f>
        <v>0</v>
      </c>
      <c r="GU726" s="275">
        <v>0</v>
      </c>
      <c r="GV726" s="275"/>
      <c r="GW726" s="588"/>
      <c r="GX726" s="588">
        <v>0</v>
      </c>
      <c r="GY726" s="275"/>
      <c r="GZ726" s="275"/>
      <c r="HA726" s="275">
        <v>0</v>
      </c>
      <c r="HB726" s="275"/>
      <c r="HC726" s="275"/>
      <c r="HD726" s="275">
        <v>0</v>
      </c>
      <c r="HE726" s="275">
        <v>0</v>
      </c>
      <c r="HF726" s="275">
        <v>0</v>
      </c>
      <c r="HG726" s="74">
        <f>SUM(HH726:IE726)</f>
        <v>0</v>
      </c>
      <c r="HH726" s="89">
        <v>0</v>
      </c>
      <c r="HI726" s="817">
        <v>0</v>
      </c>
      <c r="HJ726" s="89">
        <v>0</v>
      </c>
      <c r="HK726" s="817">
        <v>0</v>
      </c>
      <c r="HL726" s="89">
        <v>0</v>
      </c>
      <c r="HM726" s="817">
        <v>0</v>
      </c>
      <c r="HN726" s="89">
        <v>0</v>
      </c>
      <c r="HO726" s="817">
        <v>0</v>
      </c>
      <c r="HP726" s="89">
        <v>0</v>
      </c>
      <c r="HQ726" s="817">
        <v>0</v>
      </c>
      <c r="HR726" s="89">
        <v>0</v>
      </c>
      <c r="HS726" s="817">
        <v>0</v>
      </c>
      <c r="HT726" s="89">
        <v>0</v>
      </c>
      <c r="HU726" s="817">
        <v>0</v>
      </c>
      <c r="HV726" s="89">
        <v>0</v>
      </c>
      <c r="HW726" s="817">
        <v>0</v>
      </c>
      <c r="HX726" s="89">
        <v>0</v>
      </c>
      <c r="HY726" s="817">
        <v>0</v>
      </c>
      <c r="HZ726" s="89">
        <v>0</v>
      </c>
      <c r="IA726" s="817">
        <v>0</v>
      </c>
      <c r="IB726" s="89">
        <v>0</v>
      </c>
      <c r="IC726" s="817">
        <v>0</v>
      </c>
      <c r="ID726" s="89">
        <v>0</v>
      </c>
      <c r="IE726" s="817">
        <v>0</v>
      </c>
      <c r="IF726" s="717">
        <f t="shared" ref="IF726" si="16144">SUM(II726,IL726,IO726,IR726,IU726,IX726,JA726,JD726,JG726,JJ726,JM726,JP726)</f>
        <v>0</v>
      </c>
      <c r="IG726" s="263">
        <f t="shared" ref="IG726" si="16145">SUM(IJ726,IM726,IP726,IS726,IV726,IY726,JB726,JE726,JH726,JK726,JN726,JQ726)</f>
        <v>0</v>
      </c>
      <c r="IH726" s="718">
        <f t="shared" ref="IH726" si="16146">SUM(IK726,IN726,IQ726,IT726,IW726,IZ726,JC726,JF726,JI726,JL726,JO726,JR726)</f>
        <v>0</v>
      </c>
      <c r="II726" s="89">
        <v>0</v>
      </c>
      <c r="IJ726" s="89">
        <v>0</v>
      </c>
      <c r="IK726" s="89">
        <v>0</v>
      </c>
      <c r="IL726" s="89">
        <v>0</v>
      </c>
      <c r="IM726" s="89">
        <v>0</v>
      </c>
      <c r="IN726" s="89">
        <v>0</v>
      </c>
      <c r="IO726" s="89">
        <v>0</v>
      </c>
      <c r="IP726" s="89">
        <v>0</v>
      </c>
      <c r="IQ726" s="89">
        <v>0</v>
      </c>
      <c r="IR726" s="89">
        <v>0</v>
      </c>
      <c r="IS726" s="89">
        <v>0</v>
      </c>
      <c r="IT726" s="89">
        <v>0</v>
      </c>
      <c r="IU726" s="89">
        <v>0</v>
      </c>
      <c r="IV726" s="89">
        <v>0</v>
      </c>
      <c r="IW726" s="89">
        <v>0</v>
      </c>
      <c r="IX726" s="89">
        <v>0</v>
      </c>
      <c r="IY726" s="89">
        <v>0</v>
      </c>
      <c r="IZ726" s="89">
        <v>0</v>
      </c>
      <c r="JA726" s="89">
        <v>0</v>
      </c>
      <c r="JB726" s="89">
        <v>0</v>
      </c>
      <c r="JC726" s="89">
        <v>0</v>
      </c>
      <c r="JD726" s="89">
        <v>0</v>
      </c>
      <c r="JE726" s="89">
        <v>0</v>
      </c>
      <c r="JF726" s="89">
        <v>0</v>
      </c>
      <c r="JG726" s="89">
        <v>0</v>
      </c>
      <c r="JH726" s="89">
        <v>0</v>
      </c>
      <c r="JI726" s="89">
        <v>0</v>
      </c>
      <c r="JJ726" s="89">
        <v>0</v>
      </c>
      <c r="JK726" s="89">
        <v>0</v>
      </c>
      <c r="JL726" s="89">
        <v>0</v>
      </c>
      <c r="JM726" s="89">
        <v>0</v>
      </c>
      <c r="JN726" s="89">
        <v>0</v>
      </c>
      <c r="JO726" s="89">
        <v>0</v>
      </c>
      <c r="JP726" s="89">
        <v>0</v>
      </c>
      <c r="JQ726" s="89">
        <v>0</v>
      </c>
      <c r="JR726" s="89">
        <v>0</v>
      </c>
      <c r="JS726" s="74">
        <f>HG726-IF726</f>
        <v>0</v>
      </c>
      <c r="JT726" s="382">
        <f>GS726-IF726</f>
        <v>0</v>
      </c>
      <c r="JU726" s="665"/>
      <c r="JV726" s="524"/>
      <c r="JW726" s="525"/>
      <c r="JX726" s="549">
        <f>SUM(HH726,HJ726,HL726,HN726,HP726,HR726,HT726,HV726,HX726,HZ726,IB726,ID726)</f>
        <v>0</v>
      </c>
      <c r="JY726" s="549">
        <f t="shared" si="15767"/>
        <v>0</v>
      </c>
      <c r="JZ726" s="581">
        <f t="shared" si="14740"/>
        <v>0</v>
      </c>
      <c r="KA726" s="581">
        <f t="shared" si="14741"/>
        <v>0</v>
      </c>
      <c r="KB726" s="566">
        <f t="shared" si="15406"/>
        <v>0</v>
      </c>
      <c r="KC726" s="709">
        <f t="shared" si="14739"/>
        <v>0</v>
      </c>
      <c r="KD726" s="491"/>
      <c r="KE726" s="491"/>
      <c r="KF726" s="491"/>
      <c r="KG726" s="491"/>
      <c r="KH726" s="36"/>
      <c r="KI726" s="36"/>
      <c r="KJ726" s="36"/>
      <c r="KK726" s="36"/>
    </row>
    <row r="727" spans="1:297" s="8" customFormat="1" ht="12.75" hidden="1" customHeight="1">
      <c r="A727" s="612"/>
      <c r="B727" s="512"/>
      <c r="C727" s="513"/>
      <c r="D727" s="553"/>
      <c r="E727" s="687"/>
      <c r="F727" s="553"/>
      <c r="G727" s="687"/>
      <c r="H727" s="553"/>
      <c r="I727" s="687"/>
      <c r="J727" s="553"/>
      <c r="K727" s="687"/>
      <c r="L727" s="553"/>
      <c r="M727" s="687"/>
      <c r="N727" s="553"/>
      <c r="O727" s="687"/>
      <c r="P727" s="553"/>
      <c r="Q727" s="687"/>
      <c r="R727" s="553"/>
      <c r="S727" s="687"/>
      <c r="T727" s="553"/>
      <c r="U727" s="687"/>
      <c r="V727" s="553"/>
      <c r="W727" s="687"/>
      <c r="X727" s="553"/>
      <c r="Y727" s="687"/>
      <c r="Z727" s="553"/>
      <c r="AA727" s="687"/>
      <c r="AB727" s="553"/>
      <c r="AC727" s="687"/>
      <c r="AD727" s="553"/>
      <c r="AE727" s="687"/>
      <c r="AF727" s="553"/>
      <c r="AG727" s="687"/>
      <c r="AH727" s="553"/>
      <c r="AI727" s="687"/>
      <c r="AJ727" s="553"/>
      <c r="AK727" s="687"/>
      <c r="AL727" s="553"/>
      <c r="AM727" s="687"/>
      <c r="AN727" s="553"/>
      <c r="AO727" s="687"/>
      <c r="AP727" s="553"/>
      <c r="AQ727" s="687"/>
      <c r="AR727" s="553"/>
      <c r="AS727" s="687"/>
      <c r="AT727" s="553"/>
      <c r="AU727" s="687"/>
      <c r="AV727" s="553"/>
      <c r="AW727" s="687"/>
      <c r="AX727" s="553"/>
      <c r="AY727" s="687"/>
      <c r="AZ727" s="553"/>
      <c r="BA727" s="687"/>
      <c r="BB727" s="553"/>
      <c r="BC727" s="687"/>
      <c r="BD727" s="553"/>
      <c r="BE727" s="687"/>
      <c r="BF727" s="553"/>
      <c r="BG727" s="687"/>
      <c r="BH727" s="553"/>
      <c r="BI727" s="687"/>
      <c r="BJ727" s="553"/>
      <c r="BK727" s="687"/>
      <c r="BL727" s="553"/>
      <c r="BM727" s="687"/>
      <c r="BN727" s="553"/>
      <c r="BO727" s="687"/>
      <c r="BP727" s="553"/>
      <c r="BQ727" s="687"/>
      <c r="BR727" s="553"/>
      <c r="BS727" s="687"/>
      <c r="BT727" s="553"/>
      <c r="BU727" s="687"/>
      <c r="BV727" s="553"/>
      <c r="BW727" s="687"/>
      <c r="BX727" s="553"/>
      <c r="BY727" s="687"/>
      <c r="BZ727" s="553"/>
      <c r="CA727" s="687"/>
      <c r="CB727" s="553"/>
      <c r="CC727" s="687"/>
      <c r="CD727" s="553"/>
      <c r="CE727" s="687"/>
      <c r="CF727" s="553"/>
      <c r="CG727" s="687"/>
      <c r="CH727" s="553"/>
      <c r="CI727" s="687"/>
      <c r="CJ727" s="553"/>
      <c r="CK727" s="687"/>
      <c r="CL727" s="553"/>
      <c r="CM727" s="687"/>
      <c r="CN727" s="553"/>
      <c r="CO727" s="687"/>
      <c r="CP727" s="553"/>
      <c r="CQ727" s="687"/>
      <c r="CR727" s="553"/>
      <c r="CS727" s="687"/>
      <c r="CT727" s="553"/>
      <c r="CU727" s="687"/>
      <c r="CV727" s="553"/>
      <c r="CW727" s="687"/>
      <c r="CX727" s="553"/>
      <c r="CY727" s="687"/>
      <c r="CZ727" s="553"/>
      <c r="DA727" s="687"/>
      <c r="DB727" s="553"/>
      <c r="DC727" s="687"/>
      <c r="DD727" s="553"/>
      <c r="DE727" s="687"/>
      <c r="DF727" s="553"/>
      <c r="DG727" s="687"/>
      <c r="DH727" s="553"/>
      <c r="DI727" s="687"/>
      <c r="DJ727" s="553"/>
      <c r="DK727" s="687"/>
      <c r="DL727" s="553"/>
      <c r="DM727" s="687"/>
      <c r="DN727" s="553"/>
      <c r="DO727" s="687"/>
      <c r="DP727" s="553"/>
      <c r="DQ727" s="687"/>
      <c r="DR727" s="553"/>
      <c r="DS727" s="687"/>
      <c r="DT727" s="553"/>
      <c r="DU727" s="687"/>
      <c r="DV727" s="553"/>
      <c r="DW727" s="687"/>
      <c r="DX727" s="553"/>
      <c r="DY727" s="687"/>
      <c r="DZ727" s="553"/>
      <c r="EA727" s="687"/>
      <c r="EB727" s="553"/>
      <c r="EC727" s="687"/>
      <c r="ED727" s="553"/>
      <c r="EE727" s="687"/>
      <c r="EF727" s="553"/>
      <c r="EG727" s="687"/>
      <c r="EH727" s="553"/>
      <c r="EI727" s="687"/>
      <c r="EJ727" s="553"/>
      <c r="EK727" s="687"/>
      <c r="EL727" s="553"/>
      <c r="EM727" s="687"/>
      <c r="EN727" s="553"/>
      <c r="EO727" s="687"/>
      <c r="EP727" s="553"/>
      <c r="EQ727" s="687"/>
      <c r="ER727" s="553"/>
      <c r="ES727" s="687"/>
      <c r="ET727" s="553"/>
      <c r="EU727" s="687"/>
      <c r="EV727" s="553"/>
      <c r="EW727" s="687"/>
      <c r="EX727" s="553"/>
      <c r="EY727" s="687"/>
      <c r="EZ727" s="553"/>
      <c r="FA727" s="687"/>
      <c r="FB727" s="553"/>
      <c r="FC727" s="687"/>
      <c r="FD727" s="553"/>
      <c r="FE727" s="687"/>
      <c r="FF727" s="553"/>
      <c r="FG727" s="687"/>
      <c r="FH727" s="553"/>
      <c r="FI727" s="687"/>
      <c r="FJ727" s="553"/>
      <c r="FK727" s="687"/>
      <c r="FL727" s="553"/>
      <c r="FM727" s="687"/>
      <c r="FN727" s="553"/>
      <c r="FO727" s="687"/>
      <c r="FP727" s="553"/>
      <c r="FQ727" s="687"/>
      <c r="FR727" s="553"/>
      <c r="FS727" s="687"/>
      <c r="FT727" s="553"/>
      <c r="FU727" s="687"/>
      <c r="FV727" s="553"/>
      <c r="FW727" s="687"/>
      <c r="FX727" s="553"/>
      <c r="FY727" s="687"/>
      <c r="FZ727" s="553"/>
      <c r="GA727" s="687"/>
      <c r="GB727" s="553"/>
      <c r="GC727" s="687"/>
      <c r="GD727" s="553"/>
      <c r="GE727" s="687"/>
      <c r="GF727" s="553"/>
      <c r="GG727" s="687"/>
      <c r="GH727" s="553"/>
      <c r="GI727" s="687"/>
      <c r="GJ727" s="553"/>
      <c r="GK727" s="687"/>
      <c r="GL727" s="553"/>
      <c r="GM727" s="687"/>
      <c r="GN727" s="553"/>
      <c r="GO727" s="687"/>
      <c r="GP727" s="553"/>
      <c r="GQ727" s="687"/>
      <c r="GR727" s="487"/>
      <c r="GS727" s="487"/>
      <c r="GT727" s="553"/>
      <c r="GU727" s="487"/>
      <c r="GV727" s="487"/>
      <c r="GW727" s="553"/>
      <c r="GX727" s="553"/>
      <c r="GY727" s="487"/>
      <c r="GZ727" s="487"/>
      <c r="HA727" s="487"/>
      <c r="HB727" s="487"/>
      <c r="HC727" s="487"/>
      <c r="HD727" s="487"/>
      <c r="HE727" s="487"/>
      <c r="HF727" s="487"/>
      <c r="HG727" s="487"/>
      <c r="HH727" s="487"/>
      <c r="HI727" s="828"/>
      <c r="HJ727" s="487"/>
      <c r="HK727" s="828"/>
      <c r="HL727" s="487"/>
      <c r="HM727" s="828"/>
      <c r="HN727" s="487"/>
      <c r="HO727" s="828"/>
      <c r="HP727" s="487"/>
      <c r="HQ727" s="828"/>
      <c r="HR727" s="487"/>
      <c r="HS727" s="828"/>
      <c r="HT727" s="487"/>
      <c r="HU727" s="828"/>
      <c r="HV727" s="487"/>
      <c r="HW727" s="828"/>
      <c r="HX727" s="487"/>
      <c r="HY727" s="828"/>
      <c r="HZ727" s="487"/>
      <c r="IA727" s="828"/>
      <c r="IB727" s="487"/>
      <c r="IC727" s="828"/>
      <c r="ID727" s="487"/>
      <c r="IE727" s="828"/>
      <c r="IF727" s="719"/>
      <c r="IG727" s="486"/>
      <c r="IH727" s="720"/>
      <c r="II727" s="487"/>
      <c r="IJ727" s="487"/>
      <c r="IK727" s="487"/>
      <c r="IL727" s="487"/>
      <c r="IM727" s="487"/>
      <c r="IN727" s="487"/>
      <c r="IO727" s="487"/>
      <c r="IP727" s="487"/>
      <c r="IQ727" s="487"/>
      <c r="IR727" s="487"/>
      <c r="IS727" s="487"/>
      <c r="IT727" s="487"/>
      <c r="IU727" s="487"/>
      <c r="IV727" s="487"/>
      <c r="IW727" s="487"/>
      <c r="IX727" s="487"/>
      <c r="IY727" s="487"/>
      <c r="IZ727" s="487"/>
      <c r="JA727" s="487"/>
      <c r="JB727" s="487"/>
      <c r="JC727" s="487"/>
      <c r="JD727" s="487"/>
      <c r="JE727" s="487"/>
      <c r="JF727" s="487"/>
      <c r="JG727" s="487"/>
      <c r="JH727" s="487"/>
      <c r="JI727" s="487"/>
      <c r="JJ727" s="487"/>
      <c r="JK727" s="487"/>
      <c r="JL727" s="487"/>
      <c r="JM727" s="487"/>
      <c r="JN727" s="487"/>
      <c r="JO727" s="487"/>
      <c r="JP727" s="487"/>
      <c r="JQ727" s="487"/>
      <c r="JR727" s="487"/>
      <c r="JS727" s="487"/>
      <c r="JT727" s="662"/>
      <c r="JU727" s="665"/>
      <c r="JV727" s="524"/>
      <c r="JW727" s="525"/>
      <c r="JX727" s="553"/>
      <c r="JY727" s="549">
        <f t="shared" si="15767"/>
        <v>0</v>
      </c>
      <c r="JZ727" s="581">
        <f t="shared" si="14740"/>
        <v>0</v>
      </c>
      <c r="KA727" s="581">
        <f t="shared" si="14741"/>
        <v>0</v>
      </c>
      <c r="KB727" s="566">
        <f t="shared" si="15406"/>
        <v>0</v>
      </c>
      <c r="KC727" s="709">
        <f t="shared" si="14739"/>
        <v>0</v>
      </c>
      <c r="KD727" s="491"/>
      <c r="KE727" s="491"/>
      <c r="KF727" s="491"/>
      <c r="KG727" s="491"/>
      <c r="KH727" s="36"/>
      <c r="KI727" s="36"/>
      <c r="KJ727" s="36"/>
      <c r="KK727" s="36"/>
    </row>
    <row r="728" spans="1:297" s="10" customFormat="1">
      <c r="A728" s="613" t="s">
        <v>964</v>
      </c>
      <c r="B728" s="514" t="s">
        <v>965</v>
      </c>
      <c r="C728" s="513">
        <f t="shared" ref="C728" si="16147">SUM(C729:C736)</f>
        <v>195200</v>
      </c>
      <c r="D728" s="567">
        <f t="shared" ref="D728:E728" si="16148">SUM(D729:D736)</f>
        <v>0</v>
      </c>
      <c r="E728" s="686">
        <f t="shared" si="16148"/>
        <v>0</v>
      </c>
      <c r="F728" s="567">
        <f t="shared" ref="F728:G728" si="16149">SUM(F729:F736)</f>
        <v>0</v>
      </c>
      <c r="G728" s="686">
        <f t="shared" si="16149"/>
        <v>0</v>
      </c>
      <c r="H728" s="567">
        <f t="shared" ref="H728:I728" si="16150">SUM(H729:H736)</f>
        <v>0</v>
      </c>
      <c r="I728" s="686">
        <f t="shared" si="16150"/>
        <v>0</v>
      </c>
      <c r="J728" s="567">
        <f t="shared" ref="J728:K728" si="16151">SUM(J729:J736)</f>
        <v>0</v>
      </c>
      <c r="K728" s="686">
        <f t="shared" si="16151"/>
        <v>0</v>
      </c>
      <c r="L728" s="567">
        <f t="shared" ref="L728:M728" si="16152">SUM(L729:L736)</f>
        <v>0</v>
      </c>
      <c r="M728" s="686">
        <f t="shared" si="16152"/>
        <v>0</v>
      </c>
      <c r="N728" s="567">
        <f t="shared" ref="N728:O728" si="16153">SUM(N729:N736)</f>
        <v>0</v>
      </c>
      <c r="O728" s="686">
        <f t="shared" si="16153"/>
        <v>0</v>
      </c>
      <c r="P728" s="567">
        <f t="shared" ref="P728:Q728" si="16154">SUM(P729:P736)</f>
        <v>0</v>
      </c>
      <c r="Q728" s="686">
        <f t="shared" si="16154"/>
        <v>0</v>
      </c>
      <c r="R728" s="567">
        <f t="shared" ref="R728:S728" si="16155">SUM(R729:R736)</f>
        <v>0</v>
      </c>
      <c r="S728" s="686">
        <f t="shared" si="16155"/>
        <v>0</v>
      </c>
      <c r="T728" s="567">
        <f t="shared" ref="T728:U728" si="16156">SUM(T729:T736)</f>
        <v>0</v>
      </c>
      <c r="U728" s="686">
        <f t="shared" si="16156"/>
        <v>0</v>
      </c>
      <c r="V728" s="567">
        <f t="shared" ref="V728:W728" si="16157">SUM(V729:V736)</f>
        <v>0</v>
      </c>
      <c r="W728" s="686">
        <f t="shared" si="16157"/>
        <v>0</v>
      </c>
      <c r="X728" s="567">
        <f t="shared" ref="X728:Y728" si="16158">SUM(X729:X736)</f>
        <v>0</v>
      </c>
      <c r="Y728" s="686">
        <f t="shared" si="16158"/>
        <v>0</v>
      </c>
      <c r="Z728" s="567">
        <f t="shared" ref="Z728:AA728" si="16159">SUM(Z729:Z736)</f>
        <v>0</v>
      </c>
      <c r="AA728" s="686">
        <f t="shared" si="16159"/>
        <v>0</v>
      </c>
      <c r="AB728" s="567">
        <f t="shared" ref="AB728:AC728" si="16160">SUM(AB729:AB736)</f>
        <v>0</v>
      </c>
      <c r="AC728" s="686">
        <f t="shared" si="16160"/>
        <v>0</v>
      </c>
      <c r="AD728" s="567">
        <f t="shared" ref="AD728:AE728" si="16161">SUM(AD729:AD736)</f>
        <v>0</v>
      </c>
      <c r="AE728" s="686">
        <f t="shared" si="16161"/>
        <v>0</v>
      </c>
      <c r="AF728" s="567">
        <f t="shared" ref="AF728:AI728" si="16162">SUM(AF729:AF736)</f>
        <v>0</v>
      </c>
      <c r="AG728" s="686">
        <f t="shared" si="16162"/>
        <v>0</v>
      </c>
      <c r="AH728" s="567">
        <f t="shared" si="16162"/>
        <v>0</v>
      </c>
      <c r="AI728" s="686">
        <f t="shared" si="16162"/>
        <v>0</v>
      </c>
      <c r="AJ728" s="567">
        <f t="shared" ref="AJ728:AK728" si="16163">SUM(AJ729:AJ736)</f>
        <v>0</v>
      </c>
      <c r="AK728" s="686">
        <f t="shared" si="16163"/>
        <v>0</v>
      </c>
      <c r="AL728" s="567">
        <f t="shared" ref="AL728:AM728" si="16164">SUM(AL729:AL736)</f>
        <v>0</v>
      </c>
      <c r="AM728" s="686">
        <f t="shared" si="16164"/>
        <v>0</v>
      </c>
      <c r="AN728" s="567">
        <f t="shared" ref="AN728:AO728" si="16165">SUM(AN729:AN736)</f>
        <v>0</v>
      </c>
      <c r="AO728" s="686">
        <f t="shared" si="16165"/>
        <v>0</v>
      </c>
      <c r="AP728" s="567">
        <f t="shared" ref="AP728:AQ728" si="16166">SUM(AP729:AP736)</f>
        <v>0</v>
      </c>
      <c r="AQ728" s="686">
        <f t="shared" si="16166"/>
        <v>-92000</v>
      </c>
      <c r="AR728" s="567">
        <f t="shared" ref="AR728:AS728" si="16167">SUM(AR729:AR736)</f>
        <v>0</v>
      </c>
      <c r="AS728" s="686">
        <f t="shared" si="16167"/>
        <v>0</v>
      </c>
      <c r="AT728" s="567">
        <f t="shared" ref="AT728:AU728" si="16168">SUM(AT729:AT736)</f>
        <v>0</v>
      </c>
      <c r="AU728" s="686">
        <f t="shared" si="16168"/>
        <v>0</v>
      </c>
      <c r="AV728" s="567">
        <f t="shared" ref="AV728:AW728" si="16169">SUM(AV729:AV736)</f>
        <v>0</v>
      </c>
      <c r="AW728" s="686">
        <f t="shared" si="16169"/>
        <v>0</v>
      </c>
      <c r="AX728" s="567">
        <f t="shared" ref="AX728:AY728" si="16170">SUM(AX729:AX736)</f>
        <v>0</v>
      </c>
      <c r="AY728" s="686">
        <f t="shared" si="16170"/>
        <v>-97000</v>
      </c>
      <c r="AZ728" s="567">
        <f t="shared" ref="AZ728:BA728" si="16171">SUM(AZ729:AZ736)</f>
        <v>0</v>
      </c>
      <c r="BA728" s="686">
        <f t="shared" si="16171"/>
        <v>0</v>
      </c>
      <c r="BB728" s="567">
        <f t="shared" ref="BB728:BC728" si="16172">SUM(BB729:BB736)</f>
        <v>0</v>
      </c>
      <c r="BC728" s="686">
        <f t="shared" si="16172"/>
        <v>0</v>
      </c>
      <c r="BD728" s="567">
        <f t="shared" ref="BD728:BE728" si="16173">SUM(BD729:BD736)</f>
        <v>0</v>
      </c>
      <c r="BE728" s="686">
        <f t="shared" si="16173"/>
        <v>0</v>
      </c>
      <c r="BF728" s="567">
        <f t="shared" ref="BF728:BG728" si="16174">SUM(BF729:BF736)</f>
        <v>0</v>
      </c>
      <c r="BG728" s="686">
        <f t="shared" si="16174"/>
        <v>0</v>
      </c>
      <c r="BH728" s="567">
        <f t="shared" ref="BH728:BI728" si="16175">SUM(BH729:BH736)</f>
        <v>0</v>
      </c>
      <c r="BI728" s="686">
        <f t="shared" si="16175"/>
        <v>0</v>
      </c>
      <c r="BJ728" s="567">
        <f t="shared" ref="BJ728:BK728" si="16176">SUM(BJ729:BJ736)</f>
        <v>0</v>
      </c>
      <c r="BK728" s="686">
        <f t="shared" si="16176"/>
        <v>0</v>
      </c>
      <c r="BL728" s="567">
        <f t="shared" ref="BL728:BS728" si="16177">SUM(BL729:BL736)</f>
        <v>0</v>
      </c>
      <c r="BM728" s="686">
        <f t="shared" si="16177"/>
        <v>0</v>
      </c>
      <c r="BN728" s="567">
        <f t="shared" si="16177"/>
        <v>0</v>
      </c>
      <c r="BO728" s="686">
        <f t="shared" si="16177"/>
        <v>0</v>
      </c>
      <c r="BP728" s="567">
        <f t="shared" si="16177"/>
        <v>0</v>
      </c>
      <c r="BQ728" s="686">
        <f t="shared" si="16177"/>
        <v>0</v>
      </c>
      <c r="BR728" s="567">
        <f t="shared" si="16177"/>
        <v>0</v>
      </c>
      <c r="BS728" s="686">
        <f t="shared" si="16177"/>
        <v>0</v>
      </c>
      <c r="BT728" s="567">
        <f t="shared" ref="BT728:BU728" si="16178">SUM(BT729:BT736)</f>
        <v>0</v>
      </c>
      <c r="BU728" s="686">
        <f t="shared" si="16178"/>
        <v>-6200</v>
      </c>
      <c r="BV728" s="567">
        <f t="shared" ref="BV728:BW728" si="16179">SUM(BV729:BV736)</f>
        <v>0</v>
      </c>
      <c r="BW728" s="686">
        <f t="shared" si="16179"/>
        <v>0</v>
      </c>
      <c r="BX728" s="567">
        <f t="shared" ref="BX728:BY728" si="16180">SUM(BX729:BX736)</f>
        <v>0</v>
      </c>
      <c r="BY728" s="686">
        <f t="shared" si="16180"/>
        <v>0</v>
      </c>
      <c r="BZ728" s="567">
        <f t="shared" ref="BZ728:CA728" si="16181">SUM(BZ729:BZ736)</f>
        <v>0</v>
      </c>
      <c r="CA728" s="686">
        <f t="shared" si="16181"/>
        <v>0</v>
      </c>
      <c r="CB728" s="567">
        <f t="shared" ref="CB728:CE728" si="16182">SUM(CB729:CB736)</f>
        <v>0</v>
      </c>
      <c r="CC728" s="686">
        <f t="shared" si="16182"/>
        <v>0</v>
      </c>
      <c r="CD728" s="567">
        <f t="shared" si="16182"/>
        <v>0</v>
      </c>
      <c r="CE728" s="686">
        <f t="shared" si="16182"/>
        <v>0</v>
      </c>
      <c r="CF728" s="567">
        <f t="shared" ref="CF728:CQ728" si="16183">SUM(CF729:CF736)</f>
        <v>0</v>
      </c>
      <c r="CG728" s="686">
        <f t="shared" si="16183"/>
        <v>0</v>
      </c>
      <c r="CH728" s="567">
        <f t="shared" si="16183"/>
        <v>0</v>
      </c>
      <c r="CI728" s="686">
        <f t="shared" si="16183"/>
        <v>0</v>
      </c>
      <c r="CJ728" s="567">
        <f t="shared" si="16183"/>
        <v>0</v>
      </c>
      <c r="CK728" s="686">
        <f t="shared" si="16183"/>
        <v>0</v>
      </c>
      <c r="CL728" s="567">
        <f t="shared" si="16183"/>
        <v>0</v>
      </c>
      <c r="CM728" s="686">
        <f t="shared" si="16183"/>
        <v>0</v>
      </c>
      <c r="CN728" s="567">
        <f t="shared" si="16183"/>
        <v>0</v>
      </c>
      <c r="CO728" s="686">
        <f t="shared" si="16183"/>
        <v>0</v>
      </c>
      <c r="CP728" s="567">
        <f t="shared" si="16183"/>
        <v>0</v>
      </c>
      <c r="CQ728" s="686">
        <f t="shared" si="16183"/>
        <v>0</v>
      </c>
      <c r="CR728" s="567">
        <f t="shared" ref="CR728:CY728" si="16184">SUM(CR729:CR736)</f>
        <v>0</v>
      </c>
      <c r="CS728" s="686">
        <f t="shared" si="16184"/>
        <v>0</v>
      </c>
      <c r="CT728" s="567">
        <f t="shared" si="16184"/>
        <v>0</v>
      </c>
      <c r="CU728" s="686">
        <f t="shared" si="16184"/>
        <v>0</v>
      </c>
      <c r="CV728" s="567">
        <f t="shared" si="16184"/>
        <v>0</v>
      </c>
      <c r="CW728" s="686">
        <f t="shared" si="16184"/>
        <v>0</v>
      </c>
      <c r="CX728" s="567">
        <f t="shared" si="16184"/>
        <v>0</v>
      </c>
      <c r="CY728" s="686">
        <f t="shared" si="16184"/>
        <v>0</v>
      </c>
      <c r="CZ728" s="567">
        <f t="shared" ref="CZ728:DI728" si="16185">SUM(CZ729:CZ736)</f>
        <v>0</v>
      </c>
      <c r="DA728" s="686">
        <f t="shared" si="16185"/>
        <v>0</v>
      </c>
      <c r="DB728" s="567">
        <f t="shared" si="16185"/>
        <v>0</v>
      </c>
      <c r="DC728" s="686">
        <f t="shared" si="16185"/>
        <v>0</v>
      </c>
      <c r="DD728" s="567">
        <f t="shared" si="16185"/>
        <v>0</v>
      </c>
      <c r="DE728" s="686">
        <f t="shared" si="16185"/>
        <v>0</v>
      </c>
      <c r="DF728" s="567">
        <f t="shared" si="16185"/>
        <v>0</v>
      </c>
      <c r="DG728" s="686">
        <f t="shared" si="16185"/>
        <v>0</v>
      </c>
      <c r="DH728" s="567">
        <f t="shared" si="16185"/>
        <v>0</v>
      </c>
      <c r="DI728" s="686">
        <f t="shared" si="16185"/>
        <v>0</v>
      </c>
      <c r="DJ728" s="567">
        <f t="shared" ref="DJ728:DY728" si="16186">SUM(DJ729:DJ736)</f>
        <v>0</v>
      </c>
      <c r="DK728" s="686">
        <f t="shared" si="16186"/>
        <v>0</v>
      </c>
      <c r="DL728" s="567">
        <f t="shared" si="16186"/>
        <v>0</v>
      </c>
      <c r="DM728" s="686">
        <f t="shared" si="16186"/>
        <v>0</v>
      </c>
      <c r="DN728" s="567">
        <f t="shared" si="16186"/>
        <v>0</v>
      </c>
      <c r="DO728" s="686">
        <f t="shared" si="16186"/>
        <v>0</v>
      </c>
      <c r="DP728" s="567">
        <f t="shared" si="16186"/>
        <v>0</v>
      </c>
      <c r="DQ728" s="686">
        <f t="shared" si="16186"/>
        <v>0</v>
      </c>
      <c r="DR728" s="567">
        <f t="shared" si="16186"/>
        <v>0</v>
      </c>
      <c r="DS728" s="686">
        <f t="shared" si="16186"/>
        <v>0</v>
      </c>
      <c r="DT728" s="567">
        <f t="shared" si="16186"/>
        <v>0</v>
      </c>
      <c r="DU728" s="686">
        <f t="shared" si="16186"/>
        <v>0</v>
      </c>
      <c r="DV728" s="567">
        <f t="shared" si="16186"/>
        <v>0</v>
      </c>
      <c r="DW728" s="686">
        <f t="shared" si="16186"/>
        <v>0</v>
      </c>
      <c r="DX728" s="567">
        <f t="shared" si="16186"/>
        <v>0</v>
      </c>
      <c r="DY728" s="686">
        <f t="shared" si="16186"/>
        <v>0</v>
      </c>
      <c r="DZ728" s="567">
        <f t="shared" ref="DZ728:EU728" si="16187">SUM(DZ729:DZ736)</f>
        <v>0</v>
      </c>
      <c r="EA728" s="686">
        <f t="shared" si="16187"/>
        <v>0</v>
      </c>
      <c r="EB728" s="567">
        <f t="shared" si="16187"/>
        <v>0</v>
      </c>
      <c r="EC728" s="686">
        <f t="shared" si="16187"/>
        <v>0</v>
      </c>
      <c r="ED728" s="567">
        <f t="shared" si="16187"/>
        <v>0</v>
      </c>
      <c r="EE728" s="686">
        <f t="shared" si="16187"/>
        <v>0</v>
      </c>
      <c r="EF728" s="567">
        <f t="shared" si="16187"/>
        <v>0</v>
      </c>
      <c r="EG728" s="686">
        <f t="shared" si="16187"/>
        <v>0</v>
      </c>
      <c r="EH728" s="567">
        <f t="shared" ref="EH728:EM728" si="16188">SUM(EH729:EH736)</f>
        <v>0</v>
      </c>
      <c r="EI728" s="686">
        <f t="shared" si="16188"/>
        <v>0</v>
      </c>
      <c r="EJ728" s="567">
        <f t="shared" si="16188"/>
        <v>0</v>
      </c>
      <c r="EK728" s="686">
        <f t="shared" si="16188"/>
        <v>0</v>
      </c>
      <c r="EL728" s="567">
        <f t="shared" si="16188"/>
        <v>0</v>
      </c>
      <c r="EM728" s="686">
        <f t="shared" si="16188"/>
        <v>0</v>
      </c>
      <c r="EN728" s="567">
        <f t="shared" si="16187"/>
        <v>0</v>
      </c>
      <c r="EO728" s="686">
        <f t="shared" si="16187"/>
        <v>0</v>
      </c>
      <c r="EP728" s="567">
        <f t="shared" si="16187"/>
        <v>0</v>
      </c>
      <c r="EQ728" s="686">
        <f t="shared" si="16187"/>
        <v>0</v>
      </c>
      <c r="ER728" s="567">
        <f t="shared" si="16187"/>
        <v>0</v>
      </c>
      <c r="ES728" s="686">
        <f t="shared" si="16187"/>
        <v>0</v>
      </c>
      <c r="ET728" s="567">
        <f t="shared" si="16187"/>
        <v>0</v>
      </c>
      <c r="EU728" s="686">
        <f t="shared" si="16187"/>
        <v>0</v>
      </c>
      <c r="EV728" s="567">
        <f t="shared" ref="EV728:FE728" si="16189">SUM(EV729:EV736)</f>
        <v>0</v>
      </c>
      <c r="EW728" s="686">
        <f t="shared" si="16189"/>
        <v>0</v>
      </c>
      <c r="EX728" s="567">
        <f t="shared" si="16189"/>
        <v>0</v>
      </c>
      <c r="EY728" s="686">
        <f t="shared" si="16189"/>
        <v>0</v>
      </c>
      <c r="EZ728" s="567">
        <f t="shared" si="16189"/>
        <v>0</v>
      </c>
      <c r="FA728" s="686">
        <f t="shared" si="16189"/>
        <v>0</v>
      </c>
      <c r="FB728" s="567">
        <f t="shared" si="16189"/>
        <v>0</v>
      </c>
      <c r="FC728" s="686">
        <f t="shared" si="16189"/>
        <v>0</v>
      </c>
      <c r="FD728" s="567">
        <f t="shared" si="16189"/>
        <v>0</v>
      </c>
      <c r="FE728" s="686">
        <f t="shared" si="16189"/>
        <v>0</v>
      </c>
      <c r="FF728" s="567">
        <f t="shared" ref="FF728:FG728" si="16190">SUM(FF729:FF736)</f>
        <v>0</v>
      </c>
      <c r="FG728" s="686">
        <f t="shared" si="16190"/>
        <v>0</v>
      </c>
      <c r="FH728" s="567">
        <f t="shared" ref="FH728:FI728" si="16191">SUM(FH729:FH736)</f>
        <v>0</v>
      </c>
      <c r="FI728" s="686">
        <f t="shared" si="16191"/>
        <v>0</v>
      </c>
      <c r="FJ728" s="567">
        <f t="shared" ref="FJ728:FK728" si="16192">SUM(FJ729:FJ736)</f>
        <v>0</v>
      </c>
      <c r="FK728" s="686">
        <f t="shared" si="16192"/>
        <v>0</v>
      </c>
      <c r="FL728" s="567">
        <f t="shared" ref="FL728:FM728" si="16193">SUM(FL729:FL736)</f>
        <v>0</v>
      </c>
      <c r="FM728" s="686">
        <f t="shared" si="16193"/>
        <v>0</v>
      </c>
      <c r="FN728" s="567">
        <f t="shared" ref="FN728:FO728" si="16194">SUM(FN729:FN736)</f>
        <v>0</v>
      </c>
      <c r="FO728" s="686">
        <f t="shared" si="16194"/>
        <v>0</v>
      </c>
      <c r="FP728" s="567">
        <f t="shared" ref="FP728:FQ728" si="16195">SUM(FP729:FP736)</f>
        <v>0</v>
      </c>
      <c r="FQ728" s="686">
        <f t="shared" si="16195"/>
        <v>0</v>
      </c>
      <c r="FR728" s="567">
        <f t="shared" ref="FR728:FS728" si="16196">SUM(FR729:FR736)</f>
        <v>0</v>
      </c>
      <c r="FS728" s="686">
        <f t="shared" si="16196"/>
        <v>0</v>
      </c>
      <c r="FT728" s="567">
        <f t="shared" ref="FT728:FU728" si="16197">SUM(FT729:FT736)</f>
        <v>0</v>
      </c>
      <c r="FU728" s="686">
        <f t="shared" si="16197"/>
        <v>0</v>
      </c>
      <c r="FV728" s="567">
        <f t="shared" ref="FV728:GK728" si="16198">SUM(FV729:FV736)</f>
        <v>0</v>
      </c>
      <c r="FW728" s="686">
        <f t="shared" si="16198"/>
        <v>0</v>
      </c>
      <c r="FX728" s="567">
        <f t="shared" si="16198"/>
        <v>0</v>
      </c>
      <c r="FY728" s="686">
        <f t="shared" si="16198"/>
        <v>0</v>
      </c>
      <c r="FZ728" s="567">
        <f t="shared" ref="FZ728:GI728" si="16199">SUM(FZ729:FZ736)</f>
        <v>0</v>
      </c>
      <c r="GA728" s="686">
        <f t="shared" si="16199"/>
        <v>0</v>
      </c>
      <c r="GB728" s="567">
        <f t="shared" si="16199"/>
        <v>0</v>
      </c>
      <c r="GC728" s="686">
        <f t="shared" si="16199"/>
        <v>0</v>
      </c>
      <c r="GD728" s="567">
        <f t="shared" si="16199"/>
        <v>0</v>
      </c>
      <c r="GE728" s="686">
        <f t="shared" si="16199"/>
        <v>0</v>
      </c>
      <c r="GF728" s="567">
        <f t="shared" si="16199"/>
        <v>0</v>
      </c>
      <c r="GG728" s="686">
        <f t="shared" si="16199"/>
        <v>0</v>
      </c>
      <c r="GH728" s="567">
        <f t="shared" si="16199"/>
        <v>0</v>
      </c>
      <c r="GI728" s="686">
        <f t="shared" si="16199"/>
        <v>0</v>
      </c>
      <c r="GJ728" s="567">
        <f t="shared" si="16198"/>
        <v>0</v>
      </c>
      <c r="GK728" s="686">
        <f t="shared" si="16198"/>
        <v>0</v>
      </c>
      <c r="GL728" s="567">
        <f t="shared" ref="GL728:GM728" si="16200">SUM(GL729:GL736)</f>
        <v>0</v>
      </c>
      <c r="GM728" s="686">
        <f t="shared" si="16200"/>
        <v>0</v>
      </c>
      <c r="GN728" s="567">
        <f t="shared" ref="GN728:GO728" si="16201">SUM(GN729:GN736)</f>
        <v>0</v>
      </c>
      <c r="GO728" s="686">
        <f t="shared" si="16201"/>
        <v>0</v>
      </c>
      <c r="GP728" s="567">
        <f t="shared" ref="GP728:HM728" si="16202">SUM(GP729:GP736)</f>
        <v>0</v>
      </c>
      <c r="GQ728" s="686">
        <f t="shared" si="16202"/>
        <v>-195200</v>
      </c>
      <c r="GR728" s="513">
        <f t="shared" si="16202"/>
        <v>0</v>
      </c>
      <c r="GS728" s="513">
        <f t="shared" si="16202"/>
        <v>0</v>
      </c>
      <c r="GT728" s="567">
        <f t="shared" si="16202"/>
        <v>0</v>
      </c>
      <c r="GU728" s="513">
        <f t="shared" si="16202"/>
        <v>39040</v>
      </c>
      <c r="GV728" s="513">
        <f t="shared" si="16202"/>
        <v>0</v>
      </c>
      <c r="GW728" s="567">
        <f t="shared" si="16202"/>
        <v>0</v>
      </c>
      <c r="GX728" s="567">
        <f t="shared" si="16202"/>
        <v>58560</v>
      </c>
      <c r="GY728" s="513">
        <f t="shared" si="16202"/>
        <v>97600</v>
      </c>
      <c r="GZ728" s="513">
        <f t="shared" si="16202"/>
        <v>0</v>
      </c>
      <c r="HA728" s="513">
        <f t="shared" si="16202"/>
        <v>0</v>
      </c>
      <c r="HB728" s="513">
        <f t="shared" si="16202"/>
        <v>0</v>
      </c>
      <c r="HC728" s="513">
        <f t="shared" si="16202"/>
        <v>0</v>
      </c>
      <c r="HD728" s="513">
        <f t="shared" si="16202"/>
        <v>0</v>
      </c>
      <c r="HE728" s="513">
        <f t="shared" si="16202"/>
        <v>0</v>
      </c>
      <c r="HF728" s="513">
        <f t="shared" si="16202"/>
        <v>0</v>
      </c>
      <c r="HG728" s="513">
        <f t="shared" si="16202"/>
        <v>0</v>
      </c>
      <c r="HH728" s="513">
        <f t="shared" si="16202"/>
        <v>0</v>
      </c>
      <c r="HI728" s="827">
        <f t="shared" si="16202"/>
        <v>0</v>
      </c>
      <c r="HJ728" s="513">
        <f t="shared" si="16202"/>
        <v>0</v>
      </c>
      <c r="HK728" s="827">
        <f t="shared" si="16202"/>
        <v>0</v>
      </c>
      <c r="HL728" s="513">
        <f t="shared" si="16202"/>
        <v>0</v>
      </c>
      <c r="HM728" s="827">
        <f t="shared" si="16202"/>
        <v>0</v>
      </c>
      <c r="HN728" s="513">
        <f t="shared" ref="HN728:HO728" si="16203">SUM(HN729:HN736)</f>
        <v>0</v>
      </c>
      <c r="HO728" s="827">
        <f t="shared" si="16203"/>
        <v>97600</v>
      </c>
      <c r="HP728" s="513">
        <f t="shared" ref="HP728:HQ728" si="16204">SUM(HP729:HP736)</f>
        <v>0</v>
      </c>
      <c r="HQ728" s="827">
        <f t="shared" si="16204"/>
        <v>94500</v>
      </c>
      <c r="HR728" s="513">
        <f t="shared" ref="HR728:HS728" si="16205">SUM(HR729:HR736)</f>
        <v>0</v>
      </c>
      <c r="HS728" s="827">
        <f t="shared" si="16205"/>
        <v>3100</v>
      </c>
      <c r="HT728" s="513">
        <f t="shared" ref="HT728:HU728" si="16206">SUM(HT729:HT736)</f>
        <v>0</v>
      </c>
      <c r="HU728" s="827">
        <f t="shared" si="16206"/>
        <v>0</v>
      </c>
      <c r="HV728" s="513">
        <f t="shared" ref="HV728:HW728" si="16207">SUM(HV729:HV736)</f>
        <v>0</v>
      </c>
      <c r="HW728" s="827">
        <f t="shared" si="16207"/>
        <v>0</v>
      </c>
      <c r="HX728" s="513">
        <f t="shared" ref="HX728:HY728" si="16208">SUM(HX729:HX736)</f>
        <v>0</v>
      </c>
      <c r="HY728" s="827">
        <f t="shared" si="16208"/>
        <v>0</v>
      </c>
      <c r="HZ728" s="513">
        <f t="shared" ref="HZ728:IA728" si="16209">SUM(HZ729:HZ736)</f>
        <v>0</v>
      </c>
      <c r="IA728" s="827">
        <f t="shared" si="16209"/>
        <v>0</v>
      </c>
      <c r="IB728" s="513">
        <f t="shared" ref="IB728:IC728" si="16210">SUM(IB729:IB736)</f>
        <v>0</v>
      </c>
      <c r="IC728" s="827">
        <f t="shared" si="16210"/>
        <v>0</v>
      </c>
      <c r="ID728" s="513">
        <f t="shared" ref="ID728:JR728" si="16211">SUM(ID729:ID736)</f>
        <v>0</v>
      </c>
      <c r="IE728" s="827">
        <f t="shared" si="16211"/>
        <v>0</v>
      </c>
      <c r="IF728" s="715">
        <f>SUM(IF729:IF736)</f>
        <v>0</v>
      </c>
      <c r="IG728" s="704">
        <f t="shared" si="16211"/>
        <v>0</v>
      </c>
      <c r="IH728" s="716">
        <f t="shared" si="16211"/>
        <v>0</v>
      </c>
      <c r="II728" s="513">
        <f t="shared" ref="II728:IK728" si="16212">SUM(II729:II736)</f>
        <v>0</v>
      </c>
      <c r="IJ728" s="513">
        <f t="shared" si="16212"/>
        <v>0</v>
      </c>
      <c r="IK728" s="513">
        <f t="shared" si="16212"/>
        <v>0</v>
      </c>
      <c r="IL728" s="513">
        <f t="shared" ref="IL728:IN728" si="16213">SUM(IL729:IL736)</f>
        <v>0</v>
      </c>
      <c r="IM728" s="513">
        <f t="shared" si="16213"/>
        <v>0</v>
      </c>
      <c r="IN728" s="513">
        <f t="shared" si="16213"/>
        <v>0</v>
      </c>
      <c r="IO728" s="513">
        <f t="shared" ref="IO728:IQ728" si="16214">SUM(IO729:IO736)</f>
        <v>0</v>
      </c>
      <c r="IP728" s="513">
        <f t="shared" si="16214"/>
        <v>0</v>
      </c>
      <c r="IQ728" s="513">
        <f t="shared" si="16214"/>
        <v>0</v>
      </c>
      <c r="IR728" s="513">
        <f t="shared" ref="IR728:IT728" si="16215">SUM(IR729:IR736)</f>
        <v>0</v>
      </c>
      <c r="IS728" s="513">
        <f t="shared" si="16215"/>
        <v>0</v>
      </c>
      <c r="IT728" s="513">
        <f t="shared" si="16215"/>
        <v>0</v>
      </c>
      <c r="IU728" s="513">
        <f t="shared" ref="IU728:IW728" si="16216">SUM(IU729:IU736)</f>
        <v>0</v>
      </c>
      <c r="IV728" s="513">
        <f t="shared" si="16216"/>
        <v>0</v>
      </c>
      <c r="IW728" s="513">
        <f t="shared" si="16216"/>
        <v>0</v>
      </c>
      <c r="IX728" s="513">
        <f t="shared" ref="IX728:IZ728" si="16217">SUM(IX729:IX736)</f>
        <v>0</v>
      </c>
      <c r="IY728" s="513">
        <f t="shared" si="16217"/>
        <v>0</v>
      </c>
      <c r="IZ728" s="513">
        <f t="shared" si="16217"/>
        <v>0</v>
      </c>
      <c r="JA728" s="513">
        <f t="shared" ref="JA728:JC728" si="16218">SUM(JA729:JA736)</f>
        <v>0</v>
      </c>
      <c r="JB728" s="513">
        <f t="shared" si="16218"/>
        <v>0</v>
      </c>
      <c r="JC728" s="513">
        <f t="shared" si="16218"/>
        <v>0</v>
      </c>
      <c r="JD728" s="513">
        <f t="shared" ref="JD728:JF728" si="16219">SUM(JD729:JD736)</f>
        <v>0</v>
      </c>
      <c r="JE728" s="513">
        <f t="shared" si="16219"/>
        <v>0</v>
      </c>
      <c r="JF728" s="513">
        <f t="shared" si="16219"/>
        <v>0</v>
      </c>
      <c r="JG728" s="513">
        <f t="shared" ref="JG728:JI728" si="16220">SUM(JG729:JG736)</f>
        <v>0</v>
      </c>
      <c r="JH728" s="513">
        <f t="shared" si="16220"/>
        <v>0</v>
      </c>
      <c r="JI728" s="513">
        <f t="shared" si="16220"/>
        <v>0</v>
      </c>
      <c r="JJ728" s="513">
        <f t="shared" ref="JJ728:JL728" si="16221">SUM(JJ729:JJ736)</f>
        <v>0</v>
      </c>
      <c r="JK728" s="513">
        <f t="shared" si="16221"/>
        <v>0</v>
      </c>
      <c r="JL728" s="513">
        <f t="shared" si="16221"/>
        <v>0</v>
      </c>
      <c r="JM728" s="513">
        <f t="shared" ref="JM728:JO728" si="16222">SUM(JM729:JM736)</f>
        <v>0</v>
      </c>
      <c r="JN728" s="513">
        <f t="shared" si="16222"/>
        <v>0</v>
      </c>
      <c r="JO728" s="513">
        <f t="shared" si="16222"/>
        <v>0</v>
      </c>
      <c r="JP728" s="513">
        <f t="shared" si="16211"/>
        <v>0</v>
      </c>
      <c r="JQ728" s="513">
        <f t="shared" si="16211"/>
        <v>0</v>
      </c>
      <c r="JR728" s="513">
        <f t="shared" si="16211"/>
        <v>0</v>
      </c>
      <c r="JS728" s="513">
        <f>SUM(JS729:JS736)</f>
        <v>0</v>
      </c>
      <c r="JT728" s="573">
        <f>SUM(JT729:JT736)</f>
        <v>0</v>
      </c>
      <c r="JU728" s="665"/>
      <c r="JV728" s="524"/>
      <c r="JW728" s="525"/>
      <c r="JX728" s="567">
        <f>SUM(JX729:JX736)</f>
        <v>0</v>
      </c>
      <c r="JY728" s="567">
        <f t="shared" ref="JY728:KB728" si="16223">SUM(JY729:JY736)</f>
        <v>195200</v>
      </c>
      <c r="JZ728" s="567">
        <f t="shared" si="16223"/>
        <v>0</v>
      </c>
      <c r="KA728" s="567">
        <f t="shared" si="16223"/>
        <v>-195200</v>
      </c>
      <c r="KB728" s="567">
        <f t="shared" si="16223"/>
        <v>0</v>
      </c>
      <c r="KC728" s="709">
        <f>HG728-KB728</f>
        <v>0</v>
      </c>
      <c r="KD728" s="491"/>
      <c r="KE728" s="491"/>
      <c r="KF728" s="491"/>
      <c r="KG728" s="491"/>
      <c r="KH728" s="36"/>
      <c r="KI728" s="36"/>
      <c r="KJ728" s="36"/>
      <c r="KK728" s="36"/>
    </row>
    <row r="729" spans="1:297" s="10" customFormat="1" ht="12.75" hidden="1" customHeight="1">
      <c r="A729" s="612" t="s">
        <v>1066</v>
      </c>
      <c r="B729" s="512" t="s">
        <v>967</v>
      </c>
      <c r="C729" s="74">
        <v>0</v>
      </c>
      <c r="D729" s="549">
        <v>0</v>
      </c>
      <c r="E729" s="675">
        <v>0</v>
      </c>
      <c r="F729" s="549">
        <v>0</v>
      </c>
      <c r="G729" s="675">
        <v>0</v>
      </c>
      <c r="H729" s="549">
        <v>0</v>
      </c>
      <c r="I729" s="675">
        <v>0</v>
      </c>
      <c r="J729" s="549">
        <v>0</v>
      </c>
      <c r="K729" s="675">
        <v>0</v>
      </c>
      <c r="L729" s="549">
        <v>0</v>
      </c>
      <c r="M729" s="675">
        <v>0</v>
      </c>
      <c r="N729" s="549">
        <v>0</v>
      </c>
      <c r="O729" s="675">
        <v>0</v>
      </c>
      <c r="P729" s="549">
        <v>0</v>
      </c>
      <c r="Q729" s="675">
        <v>0</v>
      </c>
      <c r="R729" s="549">
        <v>0</v>
      </c>
      <c r="S729" s="675">
        <v>0</v>
      </c>
      <c r="T729" s="549">
        <v>0</v>
      </c>
      <c r="U729" s="675">
        <v>0</v>
      </c>
      <c r="V729" s="549">
        <v>0</v>
      </c>
      <c r="W729" s="675">
        <v>0</v>
      </c>
      <c r="X729" s="549">
        <v>0</v>
      </c>
      <c r="Y729" s="675">
        <v>0</v>
      </c>
      <c r="Z729" s="549">
        <v>0</v>
      </c>
      <c r="AA729" s="675">
        <v>0</v>
      </c>
      <c r="AB729" s="549">
        <v>0</v>
      </c>
      <c r="AC729" s="675">
        <v>0</v>
      </c>
      <c r="AD729" s="549">
        <v>0</v>
      </c>
      <c r="AE729" s="675">
        <v>0</v>
      </c>
      <c r="AF729" s="549">
        <v>0</v>
      </c>
      <c r="AG729" s="675">
        <v>0</v>
      </c>
      <c r="AH729" s="549">
        <v>0</v>
      </c>
      <c r="AI729" s="675">
        <v>0</v>
      </c>
      <c r="AJ729" s="549">
        <v>0</v>
      </c>
      <c r="AK729" s="675">
        <v>0</v>
      </c>
      <c r="AL729" s="549">
        <v>0</v>
      </c>
      <c r="AM729" s="675">
        <v>0</v>
      </c>
      <c r="AN729" s="549">
        <v>0</v>
      </c>
      <c r="AO729" s="675">
        <v>0</v>
      </c>
      <c r="AP729" s="549">
        <v>0</v>
      </c>
      <c r="AQ729" s="675">
        <v>0</v>
      </c>
      <c r="AR729" s="549">
        <v>0</v>
      </c>
      <c r="AS729" s="675">
        <v>0</v>
      </c>
      <c r="AT729" s="549">
        <v>0</v>
      </c>
      <c r="AU729" s="675">
        <v>0</v>
      </c>
      <c r="AV729" s="549">
        <v>0</v>
      </c>
      <c r="AW729" s="675">
        <v>0</v>
      </c>
      <c r="AX729" s="549">
        <v>0</v>
      </c>
      <c r="AY729" s="675">
        <v>0</v>
      </c>
      <c r="AZ729" s="549">
        <v>0</v>
      </c>
      <c r="BA729" s="675">
        <v>0</v>
      </c>
      <c r="BB729" s="549">
        <v>0</v>
      </c>
      <c r="BC729" s="675">
        <v>0</v>
      </c>
      <c r="BD729" s="549">
        <v>0</v>
      </c>
      <c r="BE729" s="675">
        <v>0</v>
      </c>
      <c r="BF729" s="549">
        <v>0</v>
      </c>
      <c r="BG729" s="675">
        <v>0</v>
      </c>
      <c r="BH729" s="549">
        <v>0</v>
      </c>
      <c r="BI729" s="675">
        <v>0</v>
      </c>
      <c r="BJ729" s="549">
        <v>0</v>
      </c>
      <c r="BK729" s="675">
        <v>0</v>
      </c>
      <c r="BL729" s="549">
        <v>0</v>
      </c>
      <c r="BM729" s="675">
        <v>0</v>
      </c>
      <c r="BN729" s="549">
        <v>0</v>
      </c>
      <c r="BO729" s="675">
        <v>0</v>
      </c>
      <c r="BP729" s="549">
        <v>0</v>
      </c>
      <c r="BQ729" s="675">
        <v>0</v>
      </c>
      <c r="BR729" s="549">
        <v>0</v>
      </c>
      <c r="BS729" s="675">
        <v>0</v>
      </c>
      <c r="BT729" s="549">
        <v>0</v>
      </c>
      <c r="BU729" s="675">
        <v>0</v>
      </c>
      <c r="BV729" s="549">
        <v>0</v>
      </c>
      <c r="BW729" s="675">
        <v>0</v>
      </c>
      <c r="BX729" s="549">
        <v>0</v>
      </c>
      <c r="BY729" s="675">
        <v>0</v>
      </c>
      <c r="BZ729" s="549">
        <v>0</v>
      </c>
      <c r="CA729" s="675">
        <v>0</v>
      </c>
      <c r="CB729" s="549">
        <v>0</v>
      </c>
      <c r="CC729" s="675">
        <v>0</v>
      </c>
      <c r="CD729" s="549">
        <v>0</v>
      </c>
      <c r="CE729" s="675">
        <v>0</v>
      </c>
      <c r="CF729" s="549">
        <v>0</v>
      </c>
      <c r="CG729" s="675">
        <v>0</v>
      </c>
      <c r="CH729" s="549">
        <v>0</v>
      </c>
      <c r="CI729" s="675">
        <v>0</v>
      </c>
      <c r="CJ729" s="549">
        <v>0</v>
      </c>
      <c r="CK729" s="675">
        <v>0</v>
      </c>
      <c r="CL729" s="549">
        <v>0</v>
      </c>
      <c r="CM729" s="675">
        <v>0</v>
      </c>
      <c r="CN729" s="549">
        <v>0</v>
      </c>
      <c r="CO729" s="675">
        <v>0</v>
      </c>
      <c r="CP729" s="549">
        <v>0</v>
      </c>
      <c r="CQ729" s="675">
        <v>0</v>
      </c>
      <c r="CR729" s="549">
        <v>0</v>
      </c>
      <c r="CS729" s="675">
        <v>0</v>
      </c>
      <c r="CT729" s="549">
        <v>0</v>
      </c>
      <c r="CU729" s="675">
        <v>0</v>
      </c>
      <c r="CV729" s="549">
        <v>0</v>
      </c>
      <c r="CW729" s="675">
        <v>0</v>
      </c>
      <c r="CX729" s="549">
        <v>0</v>
      </c>
      <c r="CY729" s="675">
        <v>0</v>
      </c>
      <c r="CZ729" s="549">
        <v>0</v>
      </c>
      <c r="DA729" s="675">
        <v>0</v>
      </c>
      <c r="DB729" s="549">
        <v>0</v>
      </c>
      <c r="DC729" s="675">
        <v>0</v>
      </c>
      <c r="DD729" s="549">
        <v>0</v>
      </c>
      <c r="DE729" s="675">
        <v>0</v>
      </c>
      <c r="DF729" s="549">
        <v>0</v>
      </c>
      <c r="DG729" s="675">
        <v>0</v>
      </c>
      <c r="DH729" s="549">
        <v>0</v>
      </c>
      <c r="DI729" s="675">
        <v>0</v>
      </c>
      <c r="DJ729" s="549">
        <v>0</v>
      </c>
      <c r="DK729" s="675">
        <v>0</v>
      </c>
      <c r="DL729" s="549">
        <v>0</v>
      </c>
      <c r="DM729" s="675">
        <v>0</v>
      </c>
      <c r="DN729" s="549">
        <v>0</v>
      </c>
      <c r="DO729" s="675">
        <v>0</v>
      </c>
      <c r="DP729" s="549">
        <v>0</v>
      </c>
      <c r="DQ729" s="675">
        <v>0</v>
      </c>
      <c r="DR729" s="549">
        <v>0</v>
      </c>
      <c r="DS729" s="675">
        <v>0</v>
      </c>
      <c r="DT729" s="549">
        <v>0</v>
      </c>
      <c r="DU729" s="675">
        <v>0</v>
      </c>
      <c r="DV729" s="549">
        <v>0</v>
      </c>
      <c r="DW729" s="675">
        <v>0</v>
      </c>
      <c r="DX729" s="549">
        <v>0</v>
      </c>
      <c r="DY729" s="675">
        <v>0</v>
      </c>
      <c r="DZ729" s="549">
        <v>0</v>
      </c>
      <c r="EA729" s="675">
        <v>0</v>
      </c>
      <c r="EB729" s="549">
        <v>0</v>
      </c>
      <c r="EC729" s="675">
        <v>0</v>
      </c>
      <c r="ED729" s="549">
        <v>0</v>
      </c>
      <c r="EE729" s="675">
        <v>0</v>
      </c>
      <c r="EF729" s="549">
        <v>0</v>
      </c>
      <c r="EG729" s="675">
        <v>0</v>
      </c>
      <c r="EH729" s="549">
        <v>0</v>
      </c>
      <c r="EI729" s="675">
        <v>0</v>
      </c>
      <c r="EJ729" s="549">
        <v>0</v>
      </c>
      <c r="EK729" s="675">
        <v>0</v>
      </c>
      <c r="EL729" s="549">
        <v>0</v>
      </c>
      <c r="EM729" s="675">
        <v>0</v>
      </c>
      <c r="EN729" s="549">
        <v>0</v>
      </c>
      <c r="EO729" s="675">
        <v>0</v>
      </c>
      <c r="EP729" s="549">
        <v>0</v>
      </c>
      <c r="EQ729" s="675">
        <v>0</v>
      </c>
      <c r="ER729" s="549">
        <v>0</v>
      </c>
      <c r="ES729" s="675">
        <v>0</v>
      </c>
      <c r="ET729" s="549">
        <v>0</v>
      </c>
      <c r="EU729" s="675">
        <v>0</v>
      </c>
      <c r="EV729" s="549">
        <v>0</v>
      </c>
      <c r="EW729" s="675">
        <v>0</v>
      </c>
      <c r="EX729" s="549">
        <v>0</v>
      </c>
      <c r="EY729" s="675">
        <v>0</v>
      </c>
      <c r="EZ729" s="549">
        <v>0</v>
      </c>
      <c r="FA729" s="675">
        <v>0</v>
      </c>
      <c r="FB729" s="549">
        <v>0</v>
      </c>
      <c r="FC729" s="675">
        <v>0</v>
      </c>
      <c r="FD729" s="549">
        <v>0</v>
      </c>
      <c r="FE729" s="675">
        <v>0</v>
      </c>
      <c r="FF729" s="549">
        <v>0</v>
      </c>
      <c r="FG729" s="675">
        <v>0</v>
      </c>
      <c r="FH729" s="549">
        <v>0</v>
      </c>
      <c r="FI729" s="675">
        <v>0</v>
      </c>
      <c r="FJ729" s="549">
        <v>0</v>
      </c>
      <c r="FK729" s="675">
        <v>0</v>
      </c>
      <c r="FL729" s="549">
        <v>0</v>
      </c>
      <c r="FM729" s="675">
        <v>0</v>
      </c>
      <c r="FN729" s="549">
        <v>0</v>
      </c>
      <c r="FO729" s="675">
        <v>0</v>
      </c>
      <c r="FP729" s="549">
        <v>0</v>
      </c>
      <c r="FQ729" s="675">
        <v>0</v>
      </c>
      <c r="FR729" s="549">
        <v>0</v>
      </c>
      <c r="FS729" s="675">
        <v>0</v>
      </c>
      <c r="FT729" s="549">
        <v>0</v>
      </c>
      <c r="FU729" s="675">
        <v>0</v>
      </c>
      <c r="FV729" s="549">
        <v>0</v>
      </c>
      <c r="FW729" s="675">
        <v>0</v>
      </c>
      <c r="FX729" s="549">
        <v>0</v>
      </c>
      <c r="FY729" s="675">
        <v>0</v>
      </c>
      <c r="FZ729" s="549">
        <v>0</v>
      </c>
      <c r="GA729" s="675">
        <v>0</v>
      </c>
      <c r="GB729" s="549">
        <v>0</v>
      </c>
      <c r="GC729" s="675">
        <v>0</v>
      </c>
      <c r="GD729" s="549">
        <v>0</v>
      </c>
      <c r="GE729" s="675">
        <v>0</v>
      </c>
      <c r="GF729" s="549">
        <v>0</v>
      </c>
      <c r="GG729" s="675">
        <v>0</v>
      </c>
      <c r="GH729" s="549">
        <v>0</v>
      </c>
      <c r="GI729" s="675">
        <v>0</v>
      </c>
      <c r="GJ729" s="549">
        <v>0</v>
      </c>
      <c r="GK729" s="675">
        <v>0</v>
      </c>
      <c r="GL729" s="549">
        <v>0</v>
      </c>
      <c r="GM729" s="675">
        <v>0</v>
      </c>
      <c r="GN729" s="549">
        <v>0</v>
      </c>
      <c r="GO729" s="675">
        <v>0</v>
      </c>
      <c r="GP729" s="549">
        <f t="shared" ref="GP729:GP736" si="16224">+D729+F729+H729+J729+L729+N729+P729+R729+T729+V729+X729+Z729+AB729+AF729+AD729+AH729+AJ729+AL729+AN729+AP729+AR729+AT729+AV729+AX729+AZ729+BB729+BD729+BF729+BH729+BJ729+BL729+BN729+BP729+BR729+BT729+BV729+BX729+BZ729+CB729+CD729+CF729+CH729+CJ729+CL729+CN729+CP729+CR729+CT729+CV729+CX729+CZ729+DB729+DD729+DF729+DH729+DT729+EX729+DJ729+DL729+DN729+DP729+DR729+EJ729+EB729+DZ729+DX729+DV729+ED729+EF729+EH729+EL729+EN729+EP729+EV729+ET729+ER729+EZ729+FB729+FD729+GL729+FF729+FJ729+FL729+GJ729+FT729+FR729+FP729+FN729+FH729+GH729+GF729+GD729+GB729+FZ729+FX729+FV729+GN729</f>
        <v>0</v>
      </c>
      <c r="GQ729" s="675">
        <f t="shared" ref="GQ729:GQ736" si="16225">+E729+G729+I729+K729+M729+O729+Q729+S729+U729+W729+Y729+AA729+AC729+AE729+AG729+AI729+AK729+AM729+AO729+AQ729+AS729+AU729+AW729+AY729+BA729+BC729+BE729+BG729+BI729+BK729+BM729+BO729+BQ729+BS729+BU729+BW729+BY729+CA729+CC729+CE729+CG729+CI729+CK729+CM729+CO729+CQ729+CS729+CU729+CW729+CY729+DA729+DC729+DE729+DG729+DI729+DU729+EY729+DK729+DM729+DO729+DQ729+DS729+EK729+EC729+EA729+DY729+DW729+EI729+EG729+EE729+EM729+EO729+EQ729+EW729+EU729+ES729+FA729+FC729+FE729+GM729+FG729+FK729+FM729+FO729+FQ729+FS729+FU729+GK729+FI729+GI729+GG729+GE729+GC729+GA729+FY729+FW729+GO729</f>
        <v>0</v>
      </c>
      <c r="GR729" s="74">
        <f t="shared" ref="GR729:GR736" si="16226">C729+GP729+GQ729</f>
        <v>0</v>
      </c>
      <c r="GS729" s="74">
        <f t="shared" ref="GS729:GS733" si="16227">SUM(GU729:GV729)+GP729+GQ729+GW729+GX729+GY729+GZ729+HA729+HB729+HC729+HD729+HE729+HF729</f>
        <v>0</v>
      </c>
      <c r="GT729" s="568">
        <f t="shared" ref="GT729:GT736" si="16228">SUM(GU729:HF729)+GQ729+GP729</f>
        <v>0</v>
      </c>
      <c r="GU729" s="275">
        <v>0</v>
      </c>
      <c r="GV729" s="275"/>
      <c r="GW729" s="588"/>
      <c r="GX729" s="588">
        <v>0</v>
      </c>
      <c r="GY729" s="275"/>
      <c r="GZ729" s="275"/>
      <c r="HA729" s="275">
        <v>0</v>
      </c>
      <c r="HB729" s="275"/>
      <c r="HC729" s="275"/>
      <c r="HD729" s="275">
        <v>0</v>
      </c>
      <c r="HE729" s="275">
        <v>0</v>
      </c>
      <c r="HF729" s="275">
        <v>0</v>
      </c>
      <c r="HG729" s="74">
        <f t="shared" ref="HG729:HG736" si="16229">SUM(HH729:IE729)+GP729+GQ729</f>
        <v>0</v>
      </c>
      <c r="HH729" s="89">
        <v>0</v>
      </c>
      <c r="HI729" s="817">
        <v>0</v>
      </c>
      <c r="HJ729" s="89">
        <v>0</v>
      </c>
      <c r="HK729" s="817">
        <v>0</v>
      </c>
      <c r="HL729" s="89">
        <v>0</v>
      </c>
      <c r="HM729" s="817">
        <v>0</v>
      </c>
      <c r="HN729" s="89">
        <v>0</v>
      </c>
      <c r="HO729" s="817">
        <v>0</v>
      </c>
      <c r="HP729" s="89">
        <v>0</v>
      </c>
      <c r="HQ729" s="817">
        <v>0</v>
      </c>
      <c r="HR729" s="89">
        <v>0</v>
      </c>
      <c r="HS729" s="817">
        <v>0</v>
      </c>
      <c r="HT729" s="89">
        <v>0</v>
      </c>
      <c r="HU729" s="817">
        <v>0</v>
      </c>
      <c r="HV729" s="89">
        <v>0</v>
      </c>
      <c r="HW729" s="817">
        <v>0</v>
      </c>
      <c r="HX729" s="89">
        <v>0</v>
      </c>
      <c r="HY729" s="817">
        <v>0</v>
      </c>
      <c r="HZ729" s="89">
        <v>0</v>
      </c>
      <c r="IA729" s="817">
        <v>0</v>
      </c>
      <c r="IB729" s="89">
        <v>0</v>
      </c>
      <c r="IC729" s="817">
        <v>0</v>
      </c>
      <c r="ID729" s="89">
        <v>0</v>
      </c>
      <c r="IE729" s="817">
        <v>0</v>
      </c>
      <c r="IF729" s="717">
        <f t="shared" ref="IF729:IF736" si="16230">SUM(II729,IL729,IO729,IR729,IU729,IX729,JA729,JD729,JG729,JJ729,JM729,JP729)</f>
        <v>0</v>
      </c>
      <c r="IG729" s="263">
        <f t="shared" ref="IG729:IG736" si="16231">SUM(IJ729,IM729,IP729,IS729,IV729,IY729,JB729,JE729,JH729,JK729,JN729,JQ729)</f>
        <v>0</v>
      </c>
      <c r="IH729" s="718">
        <f t="shared" ref="IH729:IH736" si="16232">SUM(IK729,IN729,IQ729,IT729,IW729,IZ729,JC729,JF729,JI729,JL729,JO729,JR729)</f>
        <v>0</v>
      </c>
      <c r="II729" s="89">
        <v>0</v>
      </c>
      <c r="IJ729" s="89">
        <f t="shared" ref="IJ729:IJ736" si="16233">II729</f>
        <v>0</v>
      </c>
      <c r="IK729" s="89">
        <f t="shared" ref="IK729:IK736" si="16234">IJ729</f>
        <v>0</v>
      </c>
      <c r="IL729" s="89">
        <v>0</v>
      </c>
      <c r="IM729" s="89">
        <f t="shared" ref="IM729:IM736" si="16235">IL729</f>
        <v>0</v>
      </c>
      <c r="IN729" s="89">
        <f t="shared" ref="IN729:IN736" si="16236">IM729</f>
        <v>0</v>
      </c>
      <c r="IO729" s="89">
        <v>0</v>
      </c>
      <c r="IP729" s="89">
        <f t="shared" ref="IP729:IP736" si="16237">IO729</f>
        <v>0</v>
      </c>
      <c r="IQ729" s="89">
        <f t="shared" ref="IQ729:IQ736" si="16238">IP729</f>
        <v>0</v>
      </c>
      <c r="IR729" s="89">
        <v>0</v>
      </c>
      <c r="IS729" s="89">
        <f t="shared" ref="IS729:IS736" si="16239">IR729</f>
        <v>0</v>
      </c>
      <c r="IT729" s="89">
        <f t="shared" ref="IT729:IT736" si="16240">IS729</f>
        <v>0</v>
      </c>
      <c r="IU729" s="89">
        <v>0</v>
      </c>
      <c r="IV729" s="89">
        <f t="shared" ref="IV729:IV736" si="16241">IU729</f>
        <v>0</v>
      </c>
      <c r="IW729" s="89">
        <f t="shared" ref="IW729:IW736" si="16242">IV729</f>
        <v>0</v>
      </c>
      <c r="IX729" s="89">
        <v>0</v>
      </c>
      <c r="IY729" s="89">
        <f t="shared" ref="IY729:IY736" si="16243">IX729</f>
        <v>0</v>
      </c>
      <c r="IZ729" s="89">
        <f t="shared" ref="IZ729:IZ736" si="16244">IY729</f>
        <v>0</v>
      </c>
      <c r="JA729" s="89">
        <v>0</v>
      </c>
      <c r="JB729" s="89">
        <f t="shared" ref="JB729:JB736" si="16245">JA729</f>
        <v>0</v>
      </c>
      <c r="JC729" s="89">
        <f t="shared" ref="JC729:JC736" si="16246">JB729</f>
        <v>0</v>
      </c>
      <c r="JD729" s="89">
        <v>0</v>
      </c>
      <c r="JE729" s="89">
        <f t="shared" ref="JE729:JE736" si="16247">JD729</f>
        <v>0</v>
      </c>
      <c r="JF729" s="89">
        <f t="shared" ref="JF729:JF736" si="16248">JE729</f>
        <v>0</v>
      </c>
      <c r="JG729" s="89">
        <v>0</v>
      </c>
      <c r="JH729" s="89">
        <f t="shared" ref="JH729:JH736" si="16249">JG729</f>
        <v>0</v>
      </c>
      <c r="JI729" s="89">
        <f t="shared" ref="JI729:JI736" si="16250">JH729</f>
        <v>0</v>
      </c>
      <c r="JJ729" s="89">
        <v>0</v>
      </c>
      <c r="JK729" s="89">
        <f t="shared" ref="JK729:JK736" si="16251">JJ729</f>
        <v>0</v>
      </c>
      <c r="JL729" s="89">
        <f t="shared" ref="JL729:JL736" si="16252">JK729</f>
        <v>0</v>
      </c>
      <c r="JM729" s="89">
        <v>0</v>
      </c>
      <c r="JN729" s="89">
        <f t="shared" ref="JN729:JN736" si="16253">JM729</f>
        <v>0</v>
      </c>
      <c r="JO729" s="89">
        <f t="shared" ref="JO729:JO736" si="16254">JN729</f>
        <v>0</v>
      </c>
      <c r="JP729" s="89">
        <v>0</v>
      </c>
      <c r="JQ729" s="89">
        <f t="shared" ref="JQ729" si="16255">JP729</f>
        <v>0</v>
      </c>
      <c r="JR729" s="89">
        <f t="shared" ref="JR729" si="16256">JQ729</f>
        <v>0</v>
      </c>
      <c r="JS729" s="74">
        <f t="shared" ref="JS729:JS736" si="16257">HG729-IF729</f>
        <v>0</v>
      </c>
      <c r="JT729" s="382">
        <f t="shared" ref="JT729:JT736" si="16258">GS729-IF729</f>
        <v>0</v>
      </c>
      <c r="JU729" s="665"/>
      <c r="JV729" s="524"/>
      <c r="JW729" s="525"/>
      <c r="JX729" s="549">
        <f t="shared" ref="JX729:JX735" si="16259">SUM(HH729,HJ729,HL729,HN729,HP729,HR729,HT729,HV729,HX729,HZ729,IB729,ID729)</f>
        <v>0</v>
      </c>
      <c r="JY729" s="549">
        <f t="shared" si="15767"/>
        <v>0</v>
      </c>
      <c r="JZ729" s="581">
        <f t="shared" si="14741"/>
        <v>0</v>
      </c>
      <c r="KA729" s="581">
        <f t="shared" si="14741"/>
        <v>0</v>
      </c>
      <c r="KB729" s="566">
        <f t="shared" si="15406"/>
        <v>0</v>
      </c>
      <c r="KC729" s="709">
        <f t="shared" si="14739"/>
        <v>0</v>
      </c>
      <c r="KD729" s="491"/>
      <c r="KE729" s="491"/>
      <c r="KF729" s="491"/>
      <c r="KG729" s="491"/>
      <c r="KH729" s="36"/>
      <c r="KI729" s="36"/>
      <c r="KJ729" s="36"/>
      <c r="KK729" s="36"/>
    </row>
    <row r="730" spans="1:297" s="10" customFormat="1" hidden="1">
      <c r="A730" s="612" t="s">
        <v>966</v>
      </c>
      <c r="B730" s="512" t="s">
        <v>967</v>
      </c>
      <c r="C730" s="74">
        <v>0</v>
      </c>
      <c r="D730" s="549">
        <v>0</v>
      </c>
      <c r="E730" s="675">
        <v>0</v>
      </c>
      <c r="F730" s="549">
        <v>0</v>
      </c>
      <c r="G730" s="675">
        <v>0</v>
      </c>
      <c r="H730" s="549">
        <v>0</v>
      </c>
      <c r="I730" s="675">
        <v>0</v>
      </c>
      <c r="J730" s="549">
        <v>0</v>
      </c>
      <c r="K730" s="675">
        <v>0</v>
      </c>
      <c r="L730" s="549">
        <v>0</v>
      </c>
      <c r="M730" s="675">
        <v>0</v>
      </c>
      <c r="N730" s="549">
        <v>0</v>
      </c>
      <c r="O730" s="675">
        <v>0</v>
      </c>
      <c r="P730" s="549">
        <v>0</v>
      </c>
      <c r="Q730" s="675">
        <v>0</v>
      </c>
      <c r="R730" s="549">
        <v>0</v>
      </c>
      <c r="S730" s="675">
        <v>0</v>
      </c>
      <c r="T730" s="549">
        <v>0</v>
      </c>
      <c r="U730" s="675">
        <v>0</v>
      </c>
      <c r="V730" s="549">
        <v>0</v>
      </c>
      <c r="W730" s="675">
        <v>0</v>
      </c>
      <c r="X730" s="549">
        <v>0</v>
      </c>
      <c r="Y730" s="675">
        <v>0</v>
      </c>
      <c r="Z730" s="549">
        <v>0</v>
      </c>
      <c r="AA730" s="675">
        <v>0</v>
      </c>
      <c r="AB730" s="549">
        <v>0</v>
      </c>
      <c r="AC730" s="675">
        <v>0</v>
      </c>
      <c r="AD730" s="549">
        <v>0</v>
      </c>
      <c r="AE730" s="675">
        <v>0</v>
      </c>
      <c r="AF730" s="549">
        <v>0</v>
      </c>
      <c r="AG730" s="675">
        <v>0</v>
      </c>
      <c r="AH730" s="549">
        <v>0</v>
      </c>
      <c r="AI730" s="675">
        <v>0</v>
      </c>
      <c r="AJ730" s="549">
        <v>0</v>
      </c>
      <c r="AK730" s="675">
        <v>0</v>
      </c>
      <c r="AL730" s="549">
        <v>0</v>
      </c>
      <c r="AM730" s="675">
        <v>0</v>
      </c>
      <c r="AN730" s="549">
        <v>0</v>
      </c>
      <c r="AO730" s="675">
        <v>0</v>
      </c>
      <c r="AP730" s="549">
        <v>0</v>
      </c>
      <c r="AQ730" s="675">
        <v>0</v>
      </c>
      <c r="AR730" s="549">
        <v>0</v>
      </c>
      <c r="AS730" s="675">
        <v>0</v>
      </c>
      <c r="AT730" s="549">
        <v>0</v>
      </c>
      <c r="AU730" s="675">
        <v>0</v>
      </c>
      <c r="AV730" s="549">
        <v>0</v>
      </c>
      <c r="AW730" s="675">
        <v>0</v>
      </c>
      <c r="AX730" s="549">
        <v>0</v>
      </c>
      <c r="AY730" s="675">
        <v>0</v>
      </c>
      <c r="AZ730" s="549">
        <v>0</v>
      </c>
      <c r="BA730" s="675">
        <v>0</v>
      </c>
      <c r="BB730" s="549">
        <v>0</v>
      </c>
      <c r="BC730" s="675">
        <v>0</v>
      </c>
      <c r="BD730" s="549">
        <v>0</v>
      </c>
      <c r="BE730" s="675">
        <v>0</v>
      </c>
      <c r="BF730" s="549">
        <v>0</v>
      </c>
      <c r="BG730" s="675">
        <v>0</v>
      </c>
      <c r="BH730" s="549">
        <v>0</v>
      </c>
      <c r="BI730" s="675">
        <v>0</v>
      </c>
      <c r="BJ730" s="549">
        <v>0</v>
      </c>
      <c r="BK730" s="675">
        <v>0</v>
      </c>
      <c r="BL730" s="549">
        <v>0</v>
      </c>
      <c r="BM730" s="675">
        <v>0</v>
      </c>
      <c r="BN730" s="549">
        <v>0</v>
      </c>
      <c r="BO730" s="675">
        <v>0</v>
      </c>
      <c r="BP730" s="549">
        <v>0</v>
      </c>
      <c r="BQ730" s="675">
        <v>0</v>
      </c>
      <c r="BR730" s="549">
        <v>0</v>
      </c>
      <c r="BS730" s="675">
        <v>0</v>
      </c>
      <c r="BT730" s="549">
        <v>0</v>
      </c>
      <c r="BU730" s="675">
        <v>0</v>
      </c>
      <c r="BV730" s="549">
        <v>0</v>
      </c>
      <c r="BW730" s="675">
        <v>0</v>
      </c>
      <c r="BX730" s="549">
        <v>0</v>
      </c>
      <c r="BY730" s="675">
        <v>0</v>
      </c>
      <c r="BZ730" s="549">
        <v>0</v>
      </c>
      <c r="CA730" s="675">
        <v>0</v>
      </c>
      <c r="CB730" s="549">
        <v>0</v>
      </c>
      <c r="CC730" s="675">
        <v>0</v>
      </c>
      <c r="CD730" s="549">
        <v>0</v>
      </c>
      <c r="CE730" s="675">
        <v>0</v>
      </c>
      <c r="CF730" s="549">
        <v>0</v>
      </c>
      <c r="CG730" s="675">
        <v>0</v>
      </c>
      <c r="CH730" s="549">
        <v>0</v>
      </c>
      <c r="CI730" s="675">
        <v>0</v>
      </c>
      <c r="CJ730" s="549">
        <v>0</v>
      </c>
      <c r="CK730" s="675">
        <v>0</v>
      </c>
      <c r="CL730" s="549">
        <v>0</v>
      </c>
      <c r="CM730" s="675">
        <v>0</v>
      </c>
      <c r="CN730" s="549">
        <v>0</v>
      </c>
      <c r="CO730" s="675">
        <v>0</v>
      </c>
      <c r="CP730" s="549">
        <v>0</v>
      </c>
      <c r="CQ730" s="675">
        <v>0</v>
      </c>
      <c r="CR730" s="549">
        <v>0</v>
      </c>
      <c r="CS730" s="675">
        <v>0</v>
      </c>
      <c r="CT730" s="549">
        <v>0</v>
      </c>
      <c r="CU730" s="675">
        <v>0</v>
      </c>
      <c r="CV730" s="549">
        <v>0</v>
      </c>
      <c r="CW730" s="675">
        <v>0</v>
      </c>
      <c r="CX730" s="549">
        <v>0</v>
      </c>
      <c r="CY730" s="675">
        <v>0</v>
      </c>
      <c r="CZ730" s="549">
        <v>0</v>
      </c>
      <c r="DA730" s="675">
        <v>0</v>
      </c>
      <c r="DB730" s="549">
        <v>0</v>
      </c>
      <c r="DC730" s="675">
        <v>0</v>
      </c>
      <c r="DD730" s="549">
        <v>0</v>
      </c>
      <c r="DE730" s="675">
        <v>0</v>
      </c>
      <c r="DF730" s="549">
        <v>0</v>
      </c>
      <c r="DG730" s="675">
        <v>0</v>
      </c>
      <c r="DH730" s="549">
        <v>0</v>
      </c>
      <c r="DI730" s="675">
        <v>0</v>
      </c>
      <c r="DJ730" s="549">
        <v>0</v>
      </c>
      <c r="DK730" s="675">
        <v>0</v>
      </c>
      <c r="DL730" s="549">
        <v>0</v>
      </c>
      <c r="DM730" s="675">
        <v>0</v>
      </c>
      <c r="DN730" s="549">
        <v>0</v>
      </c>
      <c r="DO730" s="675">
        <v>0</v>
      </c>
      <c r="DP730" s="549">
        <v>0</v>
      </c>
      <c r="DQ730" s="675">
        <v>0</v>
      </c>
      <c r="DR730" s="549">
        <v>0</v>
      </c>
      <c r="DS730" s="675">
        <v>0</v>
      </c>
      <c r="DT730" s="549">
        <v>0</v>
      </c>
      <c r="DU730" s="675">
        <v>0</v>
      </c>
      <c r="DV730" s="549">
        <v>0</v>
      </c>
      <c r="DW730" s="675">
        <v>0</v>
      </c>
      <c r="DX730" s="549">
        <v>0</v>
      </c>
      <c r="DY730" s="675">
        <v>0</v>
      </c>
      <c r="DZ730" s="549">
        <v>0</v>
      </c>
      <c r="EA730" s="675">
        <v>0</v>
      </c>
      <c r="EB730" s="549">
        <v>0</v>
      </c>
      <c r="EC730" s="675">
        <v>0</v>
      </c>
      <c r="ED730" s="549">
        <v>0</v>
      </c>
      <c r="EE730" s="675">
        <v>0</v>
      </c>
      <c r="EF730" s="549">
        <v>0</v>
      </c>
      <c r="EG730" s="675">
        <v>0</v>
      </c>
      <c r="EH730" s="549">
        <v>0</v>
      </c>
      <c r="EI730" s="675">
        <v>0</v>
      </c>
      <c r="EJ730" s="549">
        <v>0</v>
      </c>
      <c r="EK730" s="675">
        <v>0</v>
      </c>
      <c r="EL730" s="549">
        <v>0</v>
      </c>
      <c r="EM730" s="675">
        <v>0</v>
      </c>
      <c r="EN730" s="549">
        <v>0</v>
      </c>
      <c r="EO730" s="675">
        <v>0</v>
      </c>
      <c r="EP730" s="549">
        <v>0</v>
      </c>
      <c r="EQ730" s="675">
        <v>0</v>
      </c>
      <c r="ER730" s="549">
        <v>0</v>
      </c>
      <c r="ES730" s="675">
        <v>0</v>
      </c>
      <c r="ET730" s="549">
        <v>0</v>
      </c>
      <c r="EU730" s="675">
        <v>0</v>
      </c>
      <c r="EV730" s="549">
        <v>0</v>
      </c>
      <c r="EW730" s="675">
        <v>0</v>
      </c>
      <c r="EX730" s="549">
        <v>0</v>
      </c>
      <c r="EY730" s="675">
        <v>0</v>
      </c>
      <c r="EZ730" s="549">
        <v>0</v>
      </c>
      <c r="FA730" s="675">
        <v>0</v>
      </c>
      <c r="FB730" s="549">
        <v>0</v>
      </c>
      <c r="FC730" s="675">
        <v>0</v>
      </c>
      <c r="FD730" s="549">
        <v>0</v>
      </c>
      <c r="FE730" s="675">
        <v>0</v>
      </c>
      <c r="FF730" s="549">
        <v>0</v>
      </c>
      <c r="FG730" s="675">
        <v>0</v>
      </c>
      <c r="FH730" s="549">
        <v>0</v>
      </c>
      <c r="FI730" s="675">
        <v>0</v>
      </c>
      <c r="FJ730" s="549">
        <v>0</v>
      </c>
      <c r="FK730" s="675">
        <v>0</v>
      </c>
      <c r="FL730" s="549">
        <v>0</v>
      </c>
      <c r="FM730" s="675">
        <v>0</v>
      </c>
      <c r="FN730" s="549">
        <v>0</v>
      </c>
      <c r="FO730" s="675">
        <v>0</v>
      </c>
      <c r="FP730" s="549">
        <v>0</v>
      </c>
      <c r="FQ730" s="675">
        <v>0</v>
      </c>
      <c r="FR730" s="549">
        <v>0</v>
      </c>
      <c r="FS730" s="675">
        <v>0</v>
      </c>
      <c r="FT730" s="549">
        <v>0</v>
      </c>
      <c r="FU730" s="675">
        <v>0</v>
      </c>
      <c r="FV730" s="549">
        <v>0</v>
      </c>
      <c r="FW730" s="675">
        <v>0</v>
      </c>
      <c r="FX730" s="549">
        <v>0</v>
      </c>
      <c r="FY730" s="675">
        <v>0</v>
      </c>
      <c r="FZ730" s="549">
        <v>0</v>
      </c>
      <c r="GA730" s="675">
        <v>0</v>
      </c>
      <c r="GB730" s="549">
        <v>0</v>
      </c>
      <c r="GC730" s="675">
        <v>0</v>
      </c>
      <c r="GD730" s="549">
        <v>0</v>
      </c>
      <c r="GE730" s="675">
        <v>0</v>
      </c>
      <c r="GF730" s="549">
        <v>0</v>
      </c>
      <c r="GG730" s="675">
        <v>0</v>
      </c>
      <c r="GH730" s="549">
        <v>0</v>
      </c>
      <c r="GI730" s="675">
        <v>0</v>
      </c>
      <c r="GJ730" s="549">
        <v>0</v>
      </c>
      <c r="GK730" s="675">
        <v>0</v>
      </c>
      <c r="GL730" s="549">
        <v>0</v>
      </c>
      <c r="GM730" s="675">
        <v>0</v>
      </c>
      <c r="GN730" s="549">
        <v>0</v>
      </c>
      <c r="GO730" s="675">
        <v>0</v>
      </c>
      <c r="GP730" s="549">
        <f t="shared" si="16224"/>
        <v>0</v>
      </c>
      <c r="GQ730" s="675">
        <f t="shared" si="16225"/>
        <v>0</v>
      </c>
      <c r="GR730" s="74">
        <f t="shared" si="16226"/>
        <v>0</v>
      </c>
      <c r="GS730" s="74">
        <f t="shared" si="16227"/>
        <v>0</v>
      </c>
      <c r="GT730" s="568">
        <f t="shared" si="16228"/>
        <v>0</v>
      </c>
      <c r="GU730" s="275">
        <v>0</v>
      </c>
      <c r="GV730" s="275"/>
      <c r="GW730" s="588"/>
      <c r="GX730" s="275">
        <v>0</v>
      </c>
      <c r="GY730" s="275"/>
      <c r="GZ730" s="275"/>
      <c r="HA730" s="275">
        <v>0</v>
      </c>
      <c r="HB730" s="275"/>
      <c r="HC730" s="275"/>
      <c r="HD730" s="275">
        <v>0</v>
      </c>
      <c r="HE730" s="275">
        <v>0</v>
      </c>
      <c r="HF730" s="275">
        <v>0</v>
      </c>
      <c r="HG730" s="74">
        <f t="shared" si="16229"/>
        <v>0</v>
      </c>
      <c r="HH730" s="89">
        <v>0</v>
      </c>
      <c r="HI730" s="817">
        <v>0</v>
      </c>
      <c r="HJ730" s="89">
        <v>0</v>
      </c>
      <c r="HK730" s="817">
        <v>0</v>
      </c>
      <c r="HL730" s="89">
        <v>0</v>
      </c>
      <c r="HM730" s="817">
        <v>0</v>
      </c>
      <c r="HN730" s="89">
        <v>0</v>
      </c>
      <c r="HO730" s="817">
        <v>0</v>
      </c>
      <c r="HP730" s="89">
        <v>0</v>
      </c>
      <c r="HQ730" s="817">
        <v>0</v>
      </c>
      <c r="HR730" s="89">
        <v>0</v>
      </c>
      <c r="HS730" s="817">
        <v>0</v>
      </c>
      <c r="HT730" s="89">
        <v>0</v>
      </c>
      <c r="HU730" s="817">
        <v>0</v>
      </c>
      <c r="HV730" s="89">
        <v>0</v>
      </c>
      <c r="HW730" s="817">
        <v>0</v>
      </c>
      <c r="HX730" s="89">
        <v>0</v>
      </c>
      <c r="HY730" s="817">
        <v>0</v>
      </c>
      <c r="HZ730" s="89">
        <v>0</v>
      </c>
      <c r="IA730" s="817">
        <v>0</v>
      </c>
      <c r="IB730" s="89">
        <v>0</v>
      </c>
      <c r="IC730" s="817">
        <v>0</v>
      </c>
      <c r="ID730" s="89">
        <v>0</v>
      </c>
      <c r="IE730" s="817">
        <v>0</v>
      </c>
      <c r="IF730" s="717">
        <f t="shared" si="16230"/>
        <v>0</v>
      </c>
      <c r="IG730" s="263">
        <f t="shared" si="16231"/>
        <v>0</v>
      </c>
      <c r="IH730" s="718">
        <f t="shared" si="16232"/>
        <v>0</v>
      </c>
      <c r="II730" s="89">
        <v>0</v>
      </c>
      <c r="IJ730" s="89">
        <f t="shared" si="16233"/>
        <v>0</v>
      </c>
      <c r="IK730" s="89">
        <f t="shared" si="16234"/>
        <v>0</v>
      </c>
      <c r="IL730" s="89">
        <v>0</v>
      </c>
      <c r="IM730" s="89">
        <f t="shared" si="16235"/>
        <v>0</v>
      </c>
      <c r="IN730" s="89">
        <f t="shared" si="16236"/>
        <v>0</v>
      </c>
      <c r="IO730" s="89">
        <v>0</v>
      </c>
      <c r="IP730" s="89">
        <f t="shared" si="16237"/>
        <v>0</v>
      </c>
      <c r="IQ730" s="89">
        <f t="shared" si="16238"/>
        <v>0</v>
      </c>
      <c r="IR730" s="89">
        <v>0</v>
      </c>
      <c r="IS730" s="89">
        <f t="shared" si="16239"/>
        <v>0</v>
      </c>
      <c r="IT730" s="89">
        <f t="shared" si="16240"/>
        <v>0</v>
      </c>
      <c r="IU730" s="89">
        <v>0</v>
      </c>
      <c r="IV730" s="89">
        <f t="shared" si="16241"/>
        <v>0</v>
      </c>
      <c r="IW730" s="89">
        <f t="shared" si="16242"/>
        <v>0</v>
      </c>
      <c r="IX730" s="89">
        <v>0</v>
      </c>
      <c r="IY730" s="89">
        <f t="shared" si="16243"/>
        <v>0</v>
      </c>
      <c r="IZ730" s="89">
        <f t="shared" si="16244"/>
        <v>0</v>
      </c>
      <c r="JA730" s="89">
        <v>0</v>
      </c>
      <c r="JB730" s="89">
        <f t="shared" si="16245"/>
        <v>0</v>
      </c>
      <c r="JC730" s="89">
        <f t="shared" si="16246"/>
        <v>0</v>
      </c>
      <c r="JD730" s="89">
        <v>0</v>
      </c>
      <c r="JE730" s="89">
        <f t="shared" si="16247"/>
        <v>0</v>
      </c>
      <c r="JF730" s="89">
        <f t="shared" si="16248"/>
        <v>0</v>
      </c>
      <c r="JG730" s="89">
        <v>0</v>
      </c>
      <c r="JH730" s="89">
        <f t="shared" si="16249"/>
        <v>0</v>
      </c>
      <c r="JI730" s="89">
        <f t="shared" si="16250"/>
        <v>0</v>
      </c>
      <c r="JJ730" s="89">
        <v>0</v>
      </c>
      <c r="JK730" s="89">
        <f t="shared" si="16251"/>
        <v>0</v>
      </c>
      <c r="JL730" s="89">
        <f t="shared" si="16252"/>
        <v>0</v>
      </c>
      <c r="JM730" s="89">
        <v>0</v>
      </c>
      <c r="JN730" s="89">
        <f t="shared" si="16253"/>
        <v>0</v>
      </c>
      <c r="JO730" s="89">
        <f t="shared" si="16254"/>
        <v>0</v>
      </c>
      <c r="JP730" s="89">
        <v>0</v>
      </c>
      <c r="JQ730" s="89">
        <f t="shared" ref="JQ730:JR730" si="16260">JP730</f>
        <v>0</v>
      </c>
      <c r="JR730" s="89">
        <f t="shared" si="16260"/>
        <v>0</v>
      </c>
      <c r="JS730" s="74">
        <f t="shared" si="16257"/>
        <v>0</v>
      </c>
      <c r="JT730" s="382">
        <f t="shared" si="16258"/>
        <v>0</v>
      </c>
      <c r="JU730" s="665"/>
      <c r="JV730" s="524"/>
      <c r="JW730" s="525"/>
      <c r="JX730" s="549">
        <f>SUM(HH730,HJ730,HL730,HN730,HP730,HR730,HT730,HV730,HX730,HZ730,IB730,ID730)</f>
        <v>0</v>
      </c>
      <c r="JY730" s="549">
        <f t="shared" si="15767"/>
        <v>0</v>
      </c>
      <c r="JZ730" s="581">
        <f t="shared" si="14741"/>
        <v>0</v>
      </c>
      <c r="KA730" s="581">
        <f t="shared" si="14741"/>
        <v>0</v>
      </c>
      <c r="KB730" s="566">
        <f t="shared" si="15406"/>
        <v>0</v>
      </c>
      <c r="KC730" s="709">
        <f t="shared" si="14739"/>
        <v>0</v>
      </c>
      <c r="KD730" s="491"/>
      <c r="KE730" s="491"/>
      <c r="KF730" s="491"/>
      <c r="KG730" s="491"/>
      <c r="KH730" s="36"/>
      <c r="KI730" s="36"/>
      <c r="KJ730" s="36"/>
      <c r="KK730" s="36"/>
    </row>
    <row r="731" spans="1:297" s="10" customFormat="1" ht="12.75" hidden="1" customHeight="1">
      <c r="A731" s="612" t="s">
        <v>1094</v>
      </c>
      <c r="B731" s="512"/>
      <c r="C731" s="74">
        <v>0</v>
      </c>
      <c r="D731" s="549">
        <v>0</v>
      </c>
      <c r="E731" s="675">
        <v>0</v>
      </c>
      <c r="F731" s="549">
        <v>0</v>
      </c>
      <c r="G731" s="675">
        <v>0</v>
      </c>
      <c r="H731" s="549">
        <v>0</v>
      </c>
      <c r="I731" s="675">
        <v>0</v>
      </c>
      <c r="J731" s="549">
        <v>0</v>
      </c>
      <c r="K731" s="675">
        <v>0</v>
      </c>
      <c r="L731" s="549">
        <v>0</v>
      </c>
      <c r="M731" s="675">
        <v>0</v>
      </c>
      <c r="N731" s="549">
        <v>0</v>
      </c>
      <c r="O731" s="675">
        <v>0</v>
      </c>
      <c r="P731" s="549">
        <v>0</v>
      </c>
      <c r="Q731" s="675">
        <v>0</v>
      </c>
      <c r="R731" s="549">
        <v>0</v>
      </c>
      <c r="S731" s="675">
        <v>0</v>
      </c>
      <c r="T731" s="549">
        <v>0</v>
      </c>
      <c r="U731" s="675">
        <v>0</v>
      </c>
      <c r="V731" s="549">
        <v>0</v>
      </c>
      <c r="W731" s="675">
        <v>0</v>
      </c>
      <c r="X731" s="549">
        <v>0</v>
      </c>
      <c r="Y731" s="675">
        <v>0</v>
      </c>
      <c r="Z731" s="549">
        <v>0</v>
      </c>
      <c r="AA731" s="675">
        <v>0</v>
      </c>
      <c r="AB731" s="549">
        <v>0</v>
      </c>
      <c r="AC731" s="675">
        <v>0</v>
      </c>
      <c r="AD731" s="549">
        <v>0</v>
      </c>
      <c r="AE731" s="675">
        <v>0</v>
      </c>
      <c r="AF731" s="549">
        <v>0</v>
      </c>
      <c r="AG731" s="675">
        <v>0</v>
      </c>
      <c r="AH731" s="549">
        <v>0</v>
      </c>
      <c r="AI731" s="675">
        <v>0</v>
      </c>
      <c r="AJ731" s="549">
        <v>0</v>
      </c>
      <c r="AK731" s="675">
        <v>0</v>
      </c>
      <c r="AL731" s="549">
        <v>0</v>
      </c>
      <c r="AM731" s="675">
        <v>0</v>
      </c>
      <c r="AN731" s="549">
        <v>0</v>
      </c>
      <c r="AO731" s="675">
        <v>0</v>
      </c>
      <c r="AP731" s="549">
        <v>0</v>
      </c>
      <c r="AQ731" s="675">
        <v>0</v>
      </c>
      <c r="AR731" s="549">
        <v>0</v>
      </c>
      <c r="AS731" s="675">
        <v>0</v>
      </c>
      <c r="AT731" s="549">
        <v>0</v>
      </c>
      <c r="AU731" s="675">
        <v>0</v>
      </c>
      <c r="AV731" s="549">
        <v>0</v>
      </c>
      <c r="AW731" s="675">
        <v>0</v>
      </c>
      <c r="AX731" s="549">
        <v>0</v>
      </c>
      <c r="AY731" s="675">
        <v>0</v>
      </c>
      <c r="AZ731" s="549">
        <v>0</v>
      </c>
      <c r="BA731" s="675">
        <v>0</v>
      </c>
      <c r="BB731" s="549">
        <v>0</v>
      </c>
      <c r="BC731" s="675">
        <v>0</v>
      </c>
      <c r="BD731" s="549">
        <v>0</v>
      </c>
      <c r="BE731" s="675">
        <v>0</v>
      </c>
      <c r="BF731" s="549">
        <v>0</v>
      </c>
      <c r="BG731" s="675">
        <v>0</v>
      </c>
      <c r="BH731" s="549">
        <v>0</v>
      </c>
      <c r="BI731" s="675">
        <v>0</v>
      </c>
      <c r="BJ731" s="549">
        <v>0</v>
      </c>
      <c r="BK731" s="675">
        <v>0</v>
      </c>
      <c r="BL731" s="549">
        <v>0</v>
      </c>
      <c r="BM731" s="675">
        <v>0</v>
      </c>
      <c r="BN731" s="549">
        <v>0</v>
      </c>
      <c r="BO731" s="675">
        <v>0</v>
      </c>
      <c r="BP731" s="549">
        <v>0</v>
      </c>
      <c r="BQ731" s="675">
        <v>0</v>
      </c>
      <c r="BR731" s="549">
        <v>0</v>
      </c>
      <c r="BS731" s="675">
        <v>0</v>
      </c>
      <c r="BT731" s="549">
        <v>0</v>
      </c>
      <c r="BU731" s="675">
        <v>0</v>
      </c>
      <c r="BV731" s="549">
        <v>0</v>
      </c>
      <c r="BW731" s="675">
        <v>0</v>
      </c>
      <c r="BX731" s="549">
        <v>0</v>
      </c>
      <c r="BY731" s="675">
        <v>0</v>
      </c>
      <c r="BZ731" s="549">
        <v>0</v>
      </c>
      <c r="CA731" s="675">
        <v>0</v>
      </c>
      <c r="CB731" s="549">
        <v>0</v>
      </c>
      <c r="CC731" s="675">
        <v>0</v>
      </c>
      <c r="CD731" s="549">
        <v>0</v>
      </c>
      <c r="CE731" s="675">
        <v>0</v>
      </c>
      <c r="CF731" s="549">
        <v>0</v>
      </c>
      <c r="CG731" s="675">
        <v>0</v>
      </c>
      <c r="CH731" s="549">
        <v>0</v>
      </c>
      <c r="CI731" s="675">
        <v>0</v>
      </c>
      <c r="CJ731" s="549">
        <v>0</v>
      </c>
      <c r="CK731" s="675">
        <v>0</v>
      </c>
      <c r="CL731" s="549">
        <v>0</v>
      </c>
      <c r="CM731" s="675">
        <v>0</v>
      </c>
      <c r="CN731" s="549">
        <v>0</v>
      </c>
      <c r="CO731" s="675">
        <v>0</v>
      </c>
      <c r="CP731" s="549">
        <v>0</v>
      </c>
      <c r="CQ731" s="675">
        <v>0</v>
      </c>
      <c r="CR731" s="549">
        <v>0</v>
      </c>
      <c r="CS731" s="675">
        <v>0</v>
      </c>
      <c r="CT731" s="549">
        <v>0</v>
      </c>
      <c r="CU731" s="675">
        <v>0</v>
      </c>
      <c r="CV731" s="549">
        <v>0</v>
      </c>
      <c r="CW731" s="675">
        <v>0</v>
      </c>
      <c r="CX731" s="549">
        <v>0</v>
      </c>
      <c r="CY731" s="675">
        <v>0</v>
      </c>
      <c r="CZ731" s="549">
        <v>0</v>
      </c>
      <c r="DA731" s="675">
        <v>0</v>
      </c>
      <c r="DB731" s="549">
        <v>0</v>
      </c>
      <c r="DC731" s="675">
        <v>0</v>
      </c>
      <c r="DD731" s="549">
        <v>0</v>
      </c>
      <c r="DE731" s="675">
        <v>0</v>
      </c>
      <c r="DF731" s="549">
        <v>0</v>
      </c>
      <c r="DG731" s="675">
        <v>0</v>
      </c>
      <c r="DH731" s="549">
        <v>0</v>
      </c>
      <c r="DI731" s="675">
        <v>0</v>
      </c>
      <c r="DJ731" s="549">
        <v>0</v>
      </c>
      <c r="DK731" s="675">
        <v>0</v>
      </c>
      <c r="DL731" s="549">
        <v>0</v>
      </c>
      <c r="DM731" s="675">
        <v>0</v>
      </c>
      <c r="DN731" s="549">
        <v>0</v>
      </c>
      <c r="DO731" s="675">
        <v>0</v>
      </c>
      <c r="DP731" s="549">
        <v>0</v>
      </c>
      <c r="DQ731" s="675">
        <v>0</v>
      </c>
      <c r="DR731" s="549">
        <v>0</v>
      </c>
      <c r="DS731" s="675">
        <v>0</v>
      </c>
      <c r="DT731" s="549">
        <v>0</v>
      </c>
      <c r="DU731" s="675">
        <v>0</v>
      </c>
      <c r="DV731" s="549">
        <v>0</v>
      </c>
      <c r="DW731" s="675">
        <v>0</v>
      </c>
      <c r="DX731" s="549">
        <v>0</v>
      </c>
      <c r="DY731" s="675">
        <v>0</v>
      </c>
      <c r="DZ731" s="549">
        <v>0</v>
      </c>
      <c r="EA731" s="675">
        <v>0</v>
      </c>
      <c r="EB731" s="549">
        <v>0</v>
      </c>
      <c r="EC731" s="675">
        <v>0</v>
      </c>
      <c r="ED731" s="549">
        <v>0</v>
      </c>
      <c r="EE731" s="675">
        <v>0</v>
      </c>
      <c r="EF731" s="549">
        <v>0</v>
      </c>
      <c r="EG731" s="675">
        <v>0</v>
      </c>
      <c r="EH731" s="549">
        <v>0</v>
      </c>
      <c r="EI731" s="675">
        <v>0</v>
      </c>
      <c r="EJ731" s="549">
        <v>0</v>
      </c>
      <c r="EK731" s="675">
        <v>0</v>
      </c>
      <c r="EL731" s="549">
        <v>0</v>
      </c>
      <c r="EM731" s="675">
        <v>0</v>
      </c>
      <c r="EN731" s="549">
        <v>0</v>
      </c>
      <c r="EO731" s="675">
        <v>0</v>
      </c>
      <c r="EP731" s="549">
        <v>0</v>
      </c>
      <c r="EQ731" s="675">
        <v>0</v>
      </c>
      <c r="ER731" s="549">
        <v>0</v>
      </c>
      <c r="ES731" s="675">
        <v>0</v>
      </c>
      <c r="ET731" s="549">
        <v>0</v>
      </c>
      <c r="EU731" s="675">
        <v>0</v>
      </c>
      <c r="EV731" s="549">
        <v>0</v>
      </c>
      <c r="EW731" s="675">
        <v>0</v>
      </c>
      <c r="EX731" s="549">
        <v>0</v>
      </c>
      <c r="EY731" s="675">
        <v>0</v>
      </c>
      <c r="EZ731" s="549">
        <v>0</v>
      </c>
      <c r="FA731" s="675">
        <v>0</v>
      </c>
      <c r="FB731" s="549">
        <v>0</v>
      </c>
      <c r="FC731" s="675">
        <v>0</v>
      </c>
      <c r="FD731" s="549">
        <v>0</v>
      </c>
      <c r="FE731" s="675">
        <v>0</v>
      </c>
      <c r="FF731" s="549">
        <v>0</v>
      </c>
      <c r="FG731" s="675">
        <v>0</v>
      </c>
      <c r="FH731" s="549">
        <v>0</v>
      </c>
      <c r="FI731" s="675">
        <v>0</v>
      </c>
      <c r="FJ731" s="549">
        <v>0</v>
      </c>
      <c r="FK731" s="675">
        <v>0</v>
      </c>
      <c r="FL731" s="549">
        <v>0</v>
      </c>
      <c r="FM731" s="675">
        <v>0</v>
      </c>
      <c r="FN731" s="549">
        <v>0</v>
      </c>
      <c r="FO731" s="675">
        <v>0</v>
      </c>
      <c r="FP731" s="549">
        <v>0</v>
      </c>
      <c r="FQ731" s="675">
        <v>0</v>
      </c>
      <c r="FR731" s="549">
        <v>0</v>
      </c>
      <c r="FS731" s="675">
        <v>0</v>
      </c>
      <c r="FT731" s="549">
        <v>0</v>
      </c>
      <c r="FU731" s="675">
        <v>0</v>
      </c>
      <c r="FV731" s="549">
        <v>0</v>
      </c>
      <c r="FW731" s="675">
        <v>0</v>
      </c>
      <c r="FX731" s="549">
        <v>0</v>
      </c>
      <c r="FY731" s="675">
        <v>0</v>
      </c>
      <c r="FZ731" s="549">
        <v>0</v>
      </c>
      <c r="GA731" s="675">
        <v>0</v>
      </c>
      <c r="GB731" s="549">
        <v>0</v>
      </c>
      <c r="GC731" s="675">
        <v>0</v>
      </c>
      <c r="GD731" s="549">
        <v>0</v>
      </c>
      <c r="GE731" s="675">
        <v>0</v>
      </c>
      <c r="GF731" s="549">
        <v>0</v>
      </c>
      <c r="GG731" s="675">
        <v>0</v>
      </c>
      <c r="GH731" s="549">
        <v>0</v>
      </c>
      <c r="GI731" s="675">
        <v>0</v>
      </c>
      <c r="GJ731" s="549">
        <v>0</v>
      </c>
      <c r="GK731" s="675">
        <v>0</v>
      </c>
      <c r="GL731" s="549">
        <v>0</v>
      </c>
      <c r="GM731" s="675">
        <v>0</v>
      </c>
      <c r="GN731" s="549">
        <v>0</v>
      </c>
      <c r="GO731" s="675">
        <v>0</v>
      </c>
      <c r="GP731" s="549">
        <f t="shared" si="16224"/>
        <v>0</v>
      </c>
      <c r="GQ731" s="675">
        <f t="shared" si="16225"/>
        <v>0</v>
      </c>
      <c r="GR731" s="74">
        <f t="shared" si="16226"/>
        <v>0</v>
      </c>
      <c r="GS731" s="74">
        <f t="shared" si="16227"/>
        <v>0</v>
      </c>
      <c r="GT731" s="568">
        <f t="shared" si="16228"/>
        <v>0</v>
      </c>
      <c r="GU731" s="275">
        <v>0</v>
      </c>
      <c r="GV731" s="275"/>
      <c r="GW731" s="588"/>
      <c r="GX731" s="275">
        <v>0</v>
      </c>
      <c r="GY731" s="275"/>
      <c r="GZ731" s="275"/>
      <c r="HA731" s="275">
        <v>0</v>
      </c>
      <c r="HB731" s="275"/>
      <c r="HC731" s="275"/>
      <c r="HD731" s="275">
        <v>0</v>
      </c>
      <c r="HE731" s="275"/>
      <c r="HF731" s="275"/>
      <c r="HG731" s="74">
        <f t="shared" si="16229"/>
        <v>0</v>
      </c>
      <c r="HH731" s="89">
        <v>0</v>
      </c>
      <c r="HI731" s="817">
        <v>0</v>
      </c>
      <c r="HJ731" s="89">
        <v>0</v>
      </c>
      <c r="HK731" s="817">
        <v>0</v>
      </c>
      <c r="HL731" s="89">
        <v>0</v>
      </c>
      <c r="HM731" s="817">
        <v>0</v>
      </c>
      <c r="HN731" s="89">
        <v>0</v>
      </c>
      <c r="HO731" s="817">
        <v>0</v>
      </c>
      <c r="HP731" s="89">
        <v>0</v>
      </c>
      <c r="HQ731" s="817">
        <v>0</v>
      </c>
      <c r="HR731" s="89">
        <v>0</v>
      </c>
      <c r="HS731" s="817">
        <v>0</v>
      </c>
      <c r="HT731" s="89">
        <v>0</v>
      </c>
      <c r="HU731" s="817">
        <v>0</v>
      </c>
      <c r="HV731" s="89">
        <v>0</v>
      </c>
      <c r="HW731" s="817">
        <v>0</v>
      </c>
      <c r="HX731" s="89">
        <v>0</v>
      </c>
      <c r="HY731" s="817">
        <v>0</v>
      </c>
      <c r="HZ731" s="89">
        <v>0</v>
      </c>
      <c r="IA731" s="817">
        <v>0</v>
      </c>
      <c r="IB731" s="89">
        <v>0</v>
      </c>
      <c r="IC731" s="817">
        <v>0</v>
      </c>
      <c r="ID731" s="89">
        <v>0</v>
      </c>
      <c r="IE731" s="817">
        <v>0</v>
      </c>
      <c r="IF731" s="717">
        <f t="shared" si="16230"/>
        <v>0</v>
      </c>
      <c r="IG731" s="263">
        <f t="shared" si="16231"/>
        <v>0</v>
      </c>
      <c r="IH731" s="718">
        <f t="shared" si="16232"/>
        <v>0</v>
      </c>
      <c r="II731" s="89">
        <v>0</v>
      </c>
      <c r="IJ731" s="89">
        <f t="shared" si="16233"/>
        <v>0</v>
      </c>
      <c r="IK731" s="89">
        <f t="shared" si="16234"/>
        <v>0</v>
      </c>
      <c r="IL731" s="89">
        <v>0</v>
      </c>
      <c r="IM731" s="89">
        <f t="shared" si="16235"/>
        <v>0</v>
      </c>
      <c r="IN731" s="89">
        <f t="shared" si="16236"/>
        <v>0</v>
      </c>
      <c r="IO731" s="89">
        <v>0</v>
      </c>
      <c r="IP731" s="89">
        <f t="shared" si="16237"/>
        <v>0</v>
      </c>
      <c r="IQ731" s="89">
        <f t="shared" si="16238"/>
        <v>0</v>
      </c>
      <c r="IR731" s="89">
        <v>0</v>
      </c>
      <c r="IS731" s="89">
        <f t="shared" si="16239"/>
        <v>0</v>
      </c>
      <c r="IT731" s="89">
        <f t="shared" si="16240"/>
        <v>0</v>
      </c>
      <c r="IU731" s="89">
        <v>0</v>
      </c>
      <c r="IV731" s="89">
        <f t="shared" si="16241"/>
        <v>0</v>
      </c>
      <c r="IW731" s="89">
        <f t="shared" si="16242"/>
        <v>0</v>
      </c>
      <c r="IX731" s="89">
        <v>0</v>
      </c>
      <c r="IY731" s="89">
        <f t="shared" si="16243"/>
        <v>0</v>
      </c>
      <c r="IZ731" s="89">
        <f t="shared" si="16244"/>
        <v>0</v>
      </c>
      <c r="JA731" s="89">
        <v>0</v>
      </c>
      <c r="JB731" s="89">
        <f t="shared" si="16245"/>
        <v>0</v>
      </c>
      <c r="JC731" s="89">
        <f t="shared" si="16246"/>
        <v>0</v>
      </c>
      <c r="JD731" s="89">
        <v>0</v>
      </c>
      <c r="JE731" s="89">
        <f t="shared" si="16247"/>
        <v>0</v>
      </c>
      <c r="JF731" s="89">
        <f t="shared" si="16248"/>
        <v>0</v>
      </c>
      <c r="JG731" s="89">
        <v>0</v>
      </c>
      <c r="JH731" s="89">
        <f t="shared" si="16249"/>
        <v>0</v>
      </c>
      <c r="JI731" s="89">
        <f t="shared" si="16250"/>
        <v>0</v>
      </c>
      <c r="JJ731" s="89">
        <v>0</v>
      </c>
      <c r="JK731" s="89">
        <f t="shared" si="16251"/>
        <v>0</v>
      </c>
      <c r="JL731" s="89">
        <f t="shared" si="16252"/>
        <v>0</v>
      </c>
      <c r="JM731" s="89">
        <v>0</v>
      </c>
      <c r="JN731" s="89">
        <f t="shared" si="16253"/>
        <v>0</v>
      </c>
      <c r="JO731" s="89">
        <f t="shared" si="16254"/>
        <v>0</v>
      </c>
      <c r="JP731" s="89">
        <v>0</v>
      </c>
      <c r="JQ731" s="89">
        <f t="shared" ref="JQ731:JR731" si="16261">JP731</f>
        <v>0</v>
      </c>
      <c r="JR731" s="89">
        <f t="shared" si="16261"/>
        <v>0</v>
      </c>
      <c r="JS731" s="74">
        <f t="shared" si="16257"/>
        <v>0</v>
      </c>
      <c r="JT731" s="382">
        <f t="shared" si="16258"/>
        <v>0</v>
      </c>
      <c r="JU731" s="665"/>
      <c r="JV731" s="524"/>
      <c r="JW731" s="525"/>
      <c r="JX731" s="549"/>
      <c r="JY731" s="549">
        <f t="shared" si="15767"/>
        <v>0</v>
      </c>
      <c r="JZ731" s="581">
        <f t="shared" si="14741"/>
        <v>0</v>
      </c>
      <c r="KA731" s="581">
        <f t="shared" si="14741"/>
        <v>0</v>
      </c>
      <c r="KB731" s="566">
        <f t="shared" si="15406"/>
        <v>0</v>
      </c>
      <c r="KC731" s="709">
        <f t="shared" si="14739"/>
        <v>0</v>
      </c>
      <c r="KD731" s="491"/>
      <c r="KE731" s="491"/>
      <c r="KF731" s="491"/>
      <c r="KG731" s="491"/>
      <c r="KH731" s="36"/>
      <c r="KI731" s="36"/>
      <c r="KJ731" s="36"/>
      <c r="KK731" s="36"/>
    </row>
    <row r="732" spans="1:297" s="10" customFormat="1" ht="12.75" hidden="1" customHeight="1">
      <c r="A732" s="612" t="s">
        <v>1071</v>
      </c>
      <c r="B732" s="512"/>
      <c r="C732" s="74">
        <v>0</v>
      </c>
      <c r="D732" s="549">
        <v>0</v>
      </c>
      <c r="E732" s="675">
        <v>0</v>
      </c>
      <c r="F732" s="549">
        <v>0</v>
      </c>
      <c r="G732" s="675">
        <v>0</v>
      </c>
      <c r="H732" s="549">
        <v>0</v>
      </c>
      <c r="I732" s="675">
        <v>0</v>
      </c>
      <c r="J732" s="549">
        <v>0</v>
      </c>
      <c r="K732" s="675">
        <v>0</v>
      </c>
      <c r="L732" s="549">
        <v>0</v>
      </c>
      <c r="M732" s="675">
        <v>0</v>
      </c>
      <c r="N732" s="549">
        <v>0</v>
      </c>
      <c r="O732" s="675">
        <v>0</v>
      </c>
      <c r="P732" s="549">
        <v>0</v>
      </c>
      <c r="Q732" s="675">
        <v>0</v>
      </c>
      <c r="R732" s="549">
        <v>0</v>
      </c>
      <c r="S732" s="675">
        <v>0</v>
      </c>
      <c r="T732" s="549">
        <v>0</v>
      </c>
      <c r="U732" s="675">
        <v>0</v>
      </c>
      <c r="V732" s="549">
        <v>0</v>
      </c>
      <c r="W732" s="675">
        <v>0</v>
      </c>
      <c r="X732" s="549">
        <v>0</v>
      </c>
      <c r="Y732" s="675">
        <v>0</v>
      </c>
      <c r="Z732" s="549">
        <v>0</v>
      </c>
      <c r="AA732" s="675">
        <v>0</v>
      </c>
      <c r="AB732" s="549">
        <v>0</v>
      </c>
      <c r="AC732" s="675">
        <v>0</v>
      </c>
      <c r="AD732" s="549">
        <v>0</v>
      </c>
      <c r="AE732" s="675">
        <v>0</v>
      </c>
      <c r="AF732" s="549">
        <v>0</v>
      </c>
      <c r="AG732" s="675">
        <v>0</v>
      </c>
      <c r="AH732" s="549">
        <v>0</v>
      </c>
      <c r="AI732" s="675">
        <v>0</v>
      </c>
      <c r="AJ732" s="549">
        <v>0</v>
      </c>
      <c r="AK732" s="675">
        <v>0</v>
      </c>
      <c r="AL732" s="549">
        <v>0</v>
      </c>
      <c r="AM732" s="675">
        <v>0</v>
      </c>
      <c r="AN732" s="549">
        <v>0</v>
      </c>
      <c r="AO732" s="675">
        <v>0</v>
      </c>
      <c r="AP732" s="549">
        <v>0</v>
      </c>
      <c r="AQ732" s="675">
        <v>0</v>
      </c>
      <c r="AR732" s="549">
        <v>0</v>
      </c>
      <c r="AS732" s="675">
        <v>0</v>
      </c>
      <c r="AT732" s="549">
        <v>0</v>
      </c>
      <c r="AU732" s="675">
        <v>0</v>
      </c>
      <c r="AV732" s="549">
        <v>0</v>
      </c>
      <c r="AW732" s="675">
        <v>0</v>
      </c>
      <c r="AX732" s="549">
        <v>0</v>
      </c>
      <c r="AY732" s="675">
        <v>0</v>
      </c>
      <c r="AZ732" s="549">
        <v>0</v>
      </c>
      <c r="BA732" s="675">
        <v>0</v>
      </c>
      <c r="BB732" s="549">
        <v>0</v>
      </c>
      <c r="BC732" s="675">
        <v>0</v>
      </c>
      <c r="BD732" s="549">
        <v>0</v>
      </c>
      <c r="BE732" s="675">
        <v>0</v>
      </c>
      <c r="BF732" s="549">
        <v>0</v>
      </c>
      <c r="BG732" s="675">
        <v>0</v>
      </c>
      <c r="BH732" s="549">
        <v>0</v>
      </c>
      <c r="BI732" s="675">
        <v>0</v>
      </c>
      <c r="BJ732" s="549">
        <v>0</v>
      </c>
      <c r="BK732" s="675">
        <v>0</v>
      </c>
      <c r="BL732" s="549">
        <v>0</v>
      </c>
      <c r="BM732" s="675">
        <v>0</v>
      </c>
      <c r="BN732" s="549">
        <v>0</v>
      </c>
      <c r="BO732" s="675">
        <v>0</v>
      </c>
      <c r="BP732" s="549">
        <v>0</v>
      </c>
      <c r="BQ732" s="675">
        <v>0</v>
      </c>
      <c r="BR732" s="549">
        <v>0</v>
      </c>
      <c r="BS732" s="675">
        <v>0</v>
      </c>
      <c r="BT732" s="549">
        <v>0</v>
      </c>
      <c r="BU732" s="675">
        <v>0</v>
      </c>
      <c r="BV732" s="549">
        <v>0</v>
      </c>
      <c r="BW732" s="675">
        <v>0</v>
      </c>
      <c r="BX732" s="549">
        <v>0</v>
      </c>
      <c r="BY732" s="675">
        <v>0</v>
      </c>
      <c r="BZ732" s="549">
        <v>0</v>
      </c>
      <c r="CA732" s="675">
        <v>0</v>
      </c>
      <c r="CB732" s="549">
        <v>0</v>
      </c>
      <c r="CC732" s="675">
        <v>0</v>
      </c>
      <c r="CD732" s="549">
        <v>0</v>
      </c>
      <c r="CE732" s="675">
        <v>0</v>
      </c>
      <c r="CF732" s="549">
        <v>0</v>
      </c>
      <c r="CG732" s="675">
        <v>0</v>
      </c>
      <c r="CH732" s="549">
        <v>0</v>
      </c>
      <c r="CI732" s="675">
        <v>0</v>
      </c>
      <c r="CJ732" s="549">
        <v>0</v>
      </c>
      <c r="CK732" s="675">
        <v>0</v>
      </c>
      <c r="CL732" s="549">
        <v>0</v>
      </c>
      <c r="CM732" s="675">
        <v>0</v>
      </c>
      <c r="CN732" s="549">
        <v>0</v>
      </c>
      <c r="CO732" s="675">
        <v>0</v>
      </c>
      <c r="CP732" s="549">
        <v>0</v>
      </c>
      <c r="CQ732" s="675">
        <v>0</v>
      </c>
      <c r="CR732" s="549">
        <v>0</v>
      </c>
      <c r="CS732" s="675">
        <v>0</v>
      </c>
      <c r="CT732" s="549">
        <v>0</v>
      </c>
      <c r="CU732" s="675">
        <v>0</v>
      </c>
      <c r="CV732" s="549">
        <v>0</v>
      </c>
      <c r="CW732" s="675">
        <v>0</v>
      </c>
      <c r="CX732" s="549">
        <v>0</v>
      </c>
      <c r="CY732" s="675">
        <v>0</v>
      </c>
      <c r="CZ732" s="549">
        <v>0</v>
      </c>
      <c r="DA732" s="675">
        <v>0</v>
      </c>
      <c r="DB732" s="549">
        <v>0</v>
      </c>
      <c r="DC732" s="675">
        <v>0</v>
      </c>
      <c r="DD732" s="549">
        <v>0</v>
      </c>
      <c r="DE732" s="675">
        <v>0</v>
      </c>
      <c r="DF732" s="549">
        <v>0</v>
      </c>
      <c r="DG732" s="675">
        <v>0</v>
      </c>
      <c r="DH732" s="549">
        <v>0</v>
      </c>
      <c r="DI732" s="675">
        <v>0</v>
      </c>
      <c r="DJ732" s="549">
        <v>0</v>
      </c>
      <c r="DK732" s="675">
        <v>0</v>
      </c>
      <c r="DL732" s="549">
        <v>0</v>
      </c>
      <c r="DM732" s="675">
        <v>0</v>
      </c>
      <c r="DN732" s="549">
        <v>0</v>
      </c>
      <c r="DO732" s="675">
        <v>0</v>
      </c>
      <c r="DP732" s="549">
        <v>0</v>
      </c>
      <c r="DQ732" s="675">
        <v>0</v>
      </c>
      <c r="DR732" s="549">
        <v>0</v>
      </c>
      <c r="DS732" s="675">
        <v>0</v>
      </c>
      <c r="DT732" s="549">
        <v>0</v>
      </c>
      <c r="DU732" s="675">
        <v>0</v>
      </c>
      <c r="DV732" s="549">
        <v>0</v>
      </c>
      <c r="DW732" s="675">
        <v>0</v>
      </c>
      <c r="DX732" s="549">
        <v>0</v>
      </c>
      <c r="DY732" s="675">
        <v>0</v>
      </c>
      <c r="DZ732" s="549">
        <v>0</v>
      </c>
      <c r="EA732" s="675">
        <v>0</v>
      </c>
      <c r="EB732" s="549">
        <v>0</v>
      </c>
      <c r="EC732" s="675">
        <v>0</v>
      </c>
      <c r="ED732" s="549">
        <v>0</v>
      </c>
      <c r="EE732" s="675">
        <v>0</v>
      </c>
      <c r="EF732" s="549">
        <v>0</v>
      </c>
      <c r="EG732" s="675">
        <v>0</v>
      </c>
      <c r="EH732" s="549">
        <v>0</v>
      </c>
      <c r="EI732" s="675">
        <v>0</v>
      </c>
      <c r="EJ732" s="549">
        <v>0</v>
      </c>
      <c r="EK732" s="675">
        <v>0</v>
      </c>
      <c r="EL732" s="549">
        <v>0</v>
      </c>
      <c r="EM732" s="675">
        <v>0</v>
      </c>
      <c r="EN732" s="549">
        <v>0</v>
      </c>
      <c r="EO732" s="675">
        <v>0</v>
      </c>
      <c r="EP732" s="549">
        <v>0</v>
      </c>
      <c r="EQ732" s="675">
        <v>0</v>
      </c>
      <c r="ER732" s="549">
        <v>0</v>
      </c>
      <c r="ES732" s="675">
        <v>0</v>
      </c>
      <c r="ET732" s="549">
        <v>0</v>
      </c>
      <c r="EU732" s="675">
        <v>0</v>
      </c>
      <c r="EV732" s="549">
        <v>0</v>
      </c>
      <c r="EW732" s="675">
        <v>0</v>
      </c>
      <c r="EX732" s="549">
        <v>0</v>
      </c>
      <c r="EY732" s="675">
        <v>0</v>
      </c>
      <c r="EZ732" s="549">
        <v>0</v>
      </c>
      <c r="FA732" s="675">
        <v>0</v>
      </c>
      <c r="FB732" s="549">
        <v>0</v>
      </c>
      <c r="FC732" s="675">
        <v>0</v>
      </c>
      <c r="FD732" s="549">
        <v>0</v>
      </c>
      <c r="FE732" s="675">
        <v>0</v>
      </c>
      <c r="FF732" s="549">
        <v>0</v>
      </c>
      <c r="FG732" s="675">
        <v>0</v>
      </c>
      <c r="FH732" s="549">
        <v>0</v>
      </c>
      <c r="FI732" s="675">
        <v>0</v>
      </c>
      <c r="FJ732" s="549">
        <v>0</v>
      </c>
      <c r="FK732" s="675">
        <v>0</v>
      </c>
      <c r="FL732" s="549">
        <v>0</v>
      </c>
      <c r="FM732" s="675">
        <v>0</v>
      </c>
      <c r="FN732" s="549">
        <v>0</v>
      </c>
      <c r="FO732" s="675">
        <v>0</v>
      </c>
      <c r="FP732" s="549">
        <v>0</v>
      </c>
      <c r="FQ732" s="675">
        <v>0</v>
      </c>
      <c r="FR732" s="549">
        <v>0</v>
      </c>
      <c r="FS732" s="675">
        <v>0</v>
      </c>
      <c r="FT732" s="549">
        <v>0</v>
      </c>
      <c r="FU732" s="675">
        <v>0</v>
      </c>
      <c r="FV732" s="549">
        <v>0</v>
      </c>
      <c r="FW732" s="675">
        <v>0</v>
      </c>
      <c r="FX732" s="549">
        <v>0</v>
      </c>
      <c r="FY732" s="675">
        <v>0</v>
      </c>
      <c r="FZ732" s="549">
        <v>0</v>
      </c>
      <c r="GA732" s="675">
        <v>0</v>
      </c>
      <c r="GB732" s="549">
        <v>0</v>
      </c>
      <c r="GC732" s="675">
        <v>0</v>
      </c>
      <c r="GD732" s="549">
        <v>0</v>
      </c>
      <c r="GE732" s="675">
        <v>0</v>
      </c>
      <c r="GF732" s="549">
        <v>0</v>
      </c>
      <c r="GG732" s="675">
        <v>0</v>
      </c>
      <c r="GH732" s="549">
        <v>0</v>
      </c>
      <c r="GI732" s="675">
        <v>0</v>
      </c>
      <c r="GJ732" s="549">
        <v>0</v>
      </c>
      <c r="GK732" s="675">
        <v>0</v>
      </c>
      <c r="GL732" s="549">
        <v>0</v>
      </c>
      <c r="GM732" s="675">
        <v>0</v>
      </c>
      <c r="GN732" s="549">
        <v>0</v>
      </c>
      <c r="GO732" s="675">
        <v>0</v>
      </c>
      <c r="GP732" s="549">
        <f t="shared" si="16224"/>
        <v>0</v>
      </c>
      <c r="GQ732" s="675">
        <f t="shared" si="16225"/>
        <v>0</v>
      </c>
      <c r="GR732" s="74">
        <f t="shared" si="16226"/>
        <v>0</v>
      </c>
      <c r="GS732" s="74">
        <f t="shared" si="16227"/>
        <v>0</v>
      </c>
      <c r="GT732" s="568">
        <f t="shared" si="16228"/>
        <v>0</v>
      </c>
      <c r="GU732" s="275">
        <v>0</v>
      </c>
      <c r="GV732" s="275"/>
      <c r="GW732" s="588"/>
      <c r="GX732" s="275">
        <v>0</v>
      </c>
      <c r="GY732" s="275"/>
      <c r="GZ732" s="275"/>
      <c r="HA732" s="275">
        <v>0</v>
      </c>
      <c r="HB732" s="275"/>
      <c r="HC732" s="275"/>
      <c r="HD732" s="275">
        <v>0</v>
      </c>
      <c r="HE732" s="275"/>
      <c r="HF732" s="275"/>
      <c r="HG732" s="74">
        <f t="shared" si="16229"/>
        <v>0</v>
      </c>
      <c r="HH732" s="89">
        <v>0</v>
      </c>
      <c r="HI732" s="817">
        <v>0</v>
      </c>
      <c r="HJ732" s="89">
        <v>0</v>
      </c>
      <c r="HK732" s="817">
        <v>0</v>
      </c>
      <c r="HL732" s="89">
        <v>0</v>
      </c>
      <c r="HM732" s="817">
        <v>0</v>
      </c>
      <c r="HN732" s="89">
        <v>0</v>
      </c>
      <c r="HO732" s="817">
        <v>0</v>
      </c>
      <c r="HP732" s="89">
        <v>0</v>
      </c>
      <c r="HQ732" s="817">
        <v>0</v>
      </c>
      <c r="HR732" s="89">
        <v>0</v>
      </c>
      <c r="HS732" s="817">
        <v>0</v>
      </c>
      <c r="HT732" s="89">
        <v>0</v>
      </c>
      <c r="HU732" s="817">
        <v>0</v>
      </c>
      <c r="HV732" s="89">
        <v>0</v>
      </c>
      <c r="HW732" s="817">
        <v>0</v>
      </c>
      <c r="HX732" s="89">
        <v>0</v>
      </c>
      <c r="HY732" s="817">
        <v>0</v>
      </c>
      <c r="HZ732" s="89">
        <v>0</v>
      </c>
      <c r="IA732" s="817">
        <v>0</v>
      </c>
      <c r="IB732" s="89">
        <v>0</v>
      </c>
      <c r="IC732" s="817">
        <v>0</v>
      </c>
      <c r="ID732" s="89">
        <v>0</v>
      </c>
      <c r="IE732" s="817">
        <v>0</v>
      </c>
      <c r="IF732" s="717">
        <f t="shared" si="16230"/>
        <v>0</v>
      </c>
      <c r="IG732" s="263">
        <f t="shared" si="16231"/>
        <v>0</v>
      </c>
      <c r="IH732" s="718">
        <f t="shared" si="16232"/>
        <v>0</v>
      </c>
      <c r="II732" s="89">
        <v>0</v>
      </c>
      <c r="IJ732" s="89">
        <f t="shared" si="16233"/>
        <v>0</v>
      </c>
      <c r="IK732" s="89">
        <f t="shared" si="16234"/>
        <v>0</v>
      </c>
      <c r="IL732" s="89">
        <v>0</v>
      </c>
      <c r="IM732" s="89">
        <f t="shared" si="16235"/>
        <v>0</v>
      </c>
      <c r="IN732" s="89">
        <f t="shared" si="16236"/>
        <v>0</v>
      </c>
      <c r="IO732" s="89">
        <v>0</v>
      </c>
      <c r="IP732" s="89">
        <f t="shared" si="16237"/>
        <v>0</v>
      </c>
      <c r="IQ732" s="89">
        <f t="shared" si="16238"/>
        <v>0</v>
      </c>
      <c r="IR732" s="89">
        <v>0</v>
      </c>
      <c r="IS732" s="89">
        <f t="shared" si="16239"/>
        <v>0</v>
      </c>
      <c r="IT732" s="89">
        <f t="shared" si="16240"/>
        <v>0</v>
      </c>
      <c r="IU732" s="89">
        <v>0</v>
      </c>
      <c r="IV732" s="89">
        <f t="shared" si="16241"/>
        <v>0</v>
      </c>
      <c r="IW732" s="89">
        <f t="shared" si="16242"/>
        <v>0</v>
      </c>
      <c r="IX732" s="89">
        <v>0</v>
      </c>
      <c r="IY732" s="89">
        <f t="shared" si="16243"/>
        <v>0</v>
      </c>
      <c r="IZ732" s="89">
        <f t="shared" si="16244"/>
        <v>0</v>
      </c>
      <c r="JA732" s="89">
        <v>0</v>
      </c>
      <c r="JB732" s="89">
        <f t="shared" si="16245"/>
        <v>0</v>
      </c>
      <c r="JC732" s="89">
        <f t="shared" si="16246"/>
        <v>0</v>
      </c>
      <c r="JD732" s="89">
        <v>0</v>
      </c>
      <c r="JE732" s="89">
        <f t="shared" si="16247"/>
        <v>0</v>
      </c>
      <c r="JF732" s="89">
        <f t="shared" si="16248"/>
        <v>0</v>
      </c>
      <c r="JG732" s="89">
        <v>0</v>
      </c>
      <c r="JH732" s="89">
        <f t="shared" si="16249"/>
        <v>0</v>
      </c>
      <c r="JI732" s="89">
        <f t="shared" si="16250"/>
        <v>0</v>
      </c>
      <c r="JJ732" s="89">
        <v>0</v>
      </c>
      <c r="JK732" s="89">
        <f t="shared" si="16251"/>
        <v>0</v>
      </c>
      <c r="JL732" s="89">
        <f t="shared" si="16252"/>
        <v>0</v>
      </c>
      <c r="JM732" s="89">
        <v>0</v>
      </c>
      <c r="JN732" s="89">
        <f t="shared" si="16253"/>
        <v>0</v>
      </c>
      <c r="JO732" s="89">
        <f t="shared" si="16254"/>
        <v>0</v>
      </c>
      <c r="JP732" s="89">
        <v>0</v>
      </c>
      <c r="JQ732" s="89">
        <f t="shared" ref="JQ732:JR732" si="16262">JP732</f>
        <v>0</v>
      </c>
      <c r="JR732" s="89">
        <f t="shared" si="16262"/>
        <v>0</v>
      </c>
      <c r="JS732" s="74">
        <f t="shared" si="16257"/>
        <v>0</v>
      </c>
      <c r="JT732" s="382">
        <f t="shared" si="16258"/>
        <v>0</v>
      </c>
      <c r="JU732" s="665"/>
      <c r="JV732" s="524"/>
      <c r="JW732" s="525"/>
      <c r="JX732" s="549">
        <f>SUM(HH732,HJ732,HL732,HN732,HP732,HR732,HT732,HV732,HX732,HZ732,IB732,ID732)</f>
        <v>0</v>
      </c>
      <c r="JY732" s="549">
        <f t="shared" si="15767"/>
        <v>0</v>
      </c>
      <c r="JZ732" s="581">
        <f t="shared" si="14741"/>
        <v>0</v>
      </c>
      <c r="KA732" s="581">
        <f t="shared" si="14741"/>
        <v>0</v>
      </c>
      <c r="KB732" s="566">
        <f t="shared" si="15406"/>
        <v>0</v>
      </c>
      <c r="KC732" s="709">
        <f t="shared" si="14739"/>
        <v>0</v>
      </c>
      <c r="KD732" s="491"/>
      <c r="KE732" s="491"/>
      <c r="KF732" s="491"/>
      <c r="KG732" s="491"/>
      <c r="KH732" s="36"/>
      <c r="KI732" s="36"/>
      <c r="KJ732" s="36"/>
      <c r="KK732" s="36"/>
    </row>
    <row r="733" spans="1:297" s="8" customFormat="1" hidden="1">
      <c r="A733" s="612" t="s">
        <v>1222</v>
      </c>
      <c r="B733" s="512" t="s">
        <v>968</v>
      </c>
      <c r="C733" s="74">
        <v>0</v>
      </c>
      <c r="D733" s="549">
        <v>0</v>
      </c>
      <c r="E733" s="675">
        <v>0</v>
      </c>
      <c r="F733" s="549">
        <v>0</v>
      </c>
      <c r="G733" s="675">
        <v>0</v>
      </c>
      <c r="H733" s="549">
        <v>0</v>
      </c>
      <c r="I733" s="675">
        <v>0</v>
      </c>
      <c r="J733" s="549">
        <v>0</v>
      </c>
      <c r="K733" s="675">
        <v>0</v>
      </c>
      <c r="L733" s="549">
        <v>0</v>
      </c>
      <c r="M733" s="675">
        <v>0</v>
      </c>
      <c r="N733" s="549">
        <v>0</v>
      </c>
      <c r="O733" s="675">
        <v>0</v>
      </c>
      <c r="P733" s="549">
        <v>0</v>
      </c>
      <c r="Q733" s="675">
        <v>0</v>
      </c>
      <c r="R733" s="549">
        <v>0</v>
      </c>
      <c r="S733" s="675">
        <v>0</v>
      </c>
      <c r="T733" s="549">
        <v>0</v>
      </c>
      <c r="U733" s="675">
        <v>0</v>
      </c>
      <c r="V733" s="549">
        <v>0</v>
      </c>
      <c r="W733" s="675">
        <v>0</v>
      </c>
      <c r="X733" s="549">
        <v>0</v>
      </c>
      <c r="Y733" s="675">
        <v>0</v>
      </c>
      <c r="Z733" s="549">
        <v>0</v>
      </c>
      <c r="AA733" s="675">
        <v>0</v>
      </c>
      <c r="AB733" s="549">
        <v>0</v>
      </c>
      <c r="AC733" s="675">
        <v>0</v>
      </c>
      <c r="AD733" s="549">
        <v>0</v>
      </c>
      <c r="AE733" s="675">
        <v>0</v>
      </c>
      <c r="AF733" s="549">
        <v>0</v>
      </c>
      <c r="AG733" s="675">
        <v>0</v>
      </c>
      <c r="AH733" s="549">
        <v>0</v>
      </c>
      <c r="AI733" s="675">
        <v>0</v>
      </c>
      <c r="AJ733" s="549">
        <v>0</v>
      </c>
      <c r="AK733" s="675">
        <v>0</v>
      </c>
      <c r="AL733" s="549">
        <v>0</v>
      </c>
      <c r="AM733" s="675">
        <v>0</v>
      </c>
      <c r="AN733" s="549">
        <v>0</v>
      </c>
      <c r="AO733" s="675">
        <v>0</v>
      </c>
      <c r="AP733" s="549">
        <v>0</v>
      </c>
      <c r="AQ733" s="675">
        <v>0</v>
      </c>
      <c r="AR733" s="549">
        <v>0</v>
      </c>
      <c r="AS733" s="675">
        <v>0</v>
      </c>
      <c r="AT733" s="549">
        <v>0</v>
      </c>
      <c r="AU733" s="675">
        <v>0</v>
      </c>
      <c r="AV733" s="549">
        <v>0</v>
      </c>
      <c r="AW733" s="675">
        <v>0</v>
      </c>
      <c r="AX733" s="549">
        <v>0</v>
      </c>
      <c r="AY733" s="675">
        <v>0</v>
      </c>
      <c r="AZ733" s="549">
        <v>0</v>
      </c>
      <c r="BA733" s="675">
        <v>0</v>
      </c>
      <c r="BB733" s="549">
        <v>0</v>
      </c>
      <c r="BC733" s="675">
        <v>0</v>
      </c>
      <c r="BD733" s="549">
        <v>0</v>
      </c>
      <c r="BE733" s="675">
        <v>0</v>
      </c>
      <c r="BF733" s="549">
        <v>0</v>
      </c>
      <c r="BG733" s="675">
        <v>0</v>
      </c>
      <c r="BH733" s="549">
        <v>0</v>
      </c>
      <c r="BI733" s="675">
        <v>0</v>
      </c>
      <c r="BJ733" s="549">
        <v>0</v>
      </c>
      <c r="BK733" s="675">
        <v>0</v>
      </c>
      <c r="BL733" s="549">
        <v>0</v>
      </c>
      <c r="BM733" s="675">
        <v>0</v>
      </c>
      <c r="BN733" s="549">
        <v>0</v>
      </c>
      <c r="BO733" s="675">
        <v>0</v>
      </c>
      <c r="BP733" s="549">
        <v>0</v>
      </c>
      <c r="BQ733" s="675">
        <v>0</v>
      </c>
      <c r="BR733" s="549">
        <v>0</v>
      </c>
      <c r="BS733" s="675">
        <v>0</v>
      </c>
      <c r="BT733" s="549">
        <v>0</v>
      </c>
      <c r="BU733" s="675">
        <v>0</v>
      </c>
      <c r="BV733" s="549">
        <v>0</v>
      </c>
      <c r="BW733" s="675">
        <v>0</v>
      </c>
      <c r="BX733" s="549">
        <v>0</v>
      </c>
      <c r="BY733" s="675">
        <v>0</v>
      </c>
      <c r="BZ733" s="549">
        <v>0</v>
      </c>
      <c r="CA733" s="675">
        <v>0</v>
      </c>
      <c r="CB733" s="549">
        <v>0</v>
      </c>
      <c r="CC733" s="675">
        <v>0</v>
      </c>
      <c r="CD733" s="549">
        <v>0</v>
      </c>
      <c r="CE733" s="675">
        <v>0</v>
      </c>
      <c r="CF733" s="549">
        <v>0</v>
      </c>
      <c r="CG733" s="675">
        <v>0</v>
      </c>
      <c r="CH733" s="549">
        <v>0</v>
      </c>
      <c r="CI733" s="675">
        <v>0</v>
      </c>
      <c r="CJ733" s="549">
        <v>0</v>
      </c>
      <c r="CK733" s="675">
        <v>0</v>
      </c>
      <c r="CL733" s="549">
        <v>0</v>
      </c>
      <c r="CM733" s="675">
        <v>0</v>
      </c>
      <c r="CN733" s="549">
        <v>0</v>
      </c>
      <c r="CO733" s="675">
        <v>0</v>
      </c>
      <c r="CP733" s="549">
        <v>0</v>
      </c>
      <c r="CQ733" s="675">
        <v>0</v>
      </c>
      <c r="CR733" s="549">
        <v>0</v>
      </c>
      <c r="CS733" s="675">
        <v>0</v>
      </c>
      <c r="CT733" s="549">
        <v>0</v>
      </c>
      <c r="CU733" s="675">
        <v>0</v>
      </c>
      <c r="CV733" s="549">
        <v>0</v>
      </c>
      <c r="CW733" s="675">
        <v>0</v>
      </c>
      <c r="CX733" s="549">
        <v>0</v>
      </c>
      <c r="CY733" s="675">
        <v>0</v>
      </c>
      <c r="CZ733" s="549">
        <v>0</v>
      </c>
      <c r="DA733" s="675">
        <v>0</v>
      </c>
      <c r="DB733" s="549">
        <v>0</v>
      </c>
      <c r="DC733" s="675">
        <v>0</v>
      </c>
      <c r="DD733" s="549">
        <v>0</v>
      </c>
      <c r="DE733" s="675">
        <v>0</v>
      </c>
      <c r="DF733" s="549">
        <v>0</v>
      </c>
      <c r="DG733" s="675">
        <v>0</v>
      </c>
      <c r="DH733" s="549">
        <v>0</v>
      </c>
      <c r="DI733" s="675">
        <v>0</v>
      </c>
      <c r="DJ733" s="549">
        <v>0</v>
      </c>
      <c r="DK733" s="675">
        <v>0</v>
      </c>
      <c r="DL733" s="549">
        <v>0</v>
      </c>
      <c r="DM733" s="675">
        <v>0</v>
      </c>
      <c r="DN733" s="549">
        <v>0</v>
      </c>
      <c r="DO733" s="675">
        <v>0</v>
      </c>
      <c r="DP733" s="549">
        <v>0</v>
      </c>
      <c r="DQ733" s="675">
        <v>0</v>
      </c>
      <c r="DR733" s="549">
        <v>0</v>
      </c>
      <c r="DS733" s="675">
        <v>0</v>
      </c>
      <c r="DT733" s="549">
        <v>0</v>
      </c>
      <c r="DU733" s="675">
        <v>0</v>
      </c>
      <c r="DV733" s="549">
        <v>0</v>
      </c>
      <c r="DW733" s="675">
        <v>0</v>
      </c>
      <c r="DX733" s="549">
        <v>0</v>
      </c>
      <c r="DY733" s="675">
        <v>0</v>
      </c>
      <c r="DZ733" s="549">
        <v>0</v>
      </c>
      <c r="EA733" s="675">
        <v>0</v>
      </c>
      <c r="EB733" s="549">
        <v>0</v>
      </c>
      <c r="EC733" s="675">
        <v>0</v>
      </c>
      <c r="ED733" s="549">
        <v>0</v>
      </c>
      <c r="EE733" s="675">
        <v>0</v>
      </c>
      <c r="EF733" s="549">
        <v>0</v>
      </c>
      <c r="EG733" s="675">
        <v>0</v>
      </c>
      <c r="EH733" s="549">
        <v>0</v>
      </c>
      <c r="EI733" s="675">
        <v>0</v>
      </c>
      <c r="EJ733" s="549">
        <v>0</v>
      </c>
      <c r="EK733" s="675">
        <v>0</v>
      </c>
      <c r="EL733" s="549">
        <v>0</v>
      </c>
      <c r="EM733" s="675">
        <v>0</v>
      </c>
      <c r="EN733" s="549">
        <v>0</v>
      </c>
      <c r="EO733" s="675">
        <v>0</v>
      </c>
      <c r="EP733" s="549">
        <v>0</v>
      </c>
      <c r="EQ733" s="675">
        <v>0</v>
      </c>
      <c r="ER733" s="549">
        <v>0</v>
      </c>
      <c r="ES733" s="675">
        <v>0</v>
      </c>
      <c r="ET733" s="549">
        <v>0</v>
      </c>
      <c r="EU733" s="675">
        <v>0</v>
      </c>
      <c r="EV733" s="549">
        <v>0</v>
      </c>
      <c r="EW733" s="675">
        <v>0</v>
      </c>
      <c r="EX733" s="549">
        <v>0</v>
      </c>
      <c r="EY733" s="675">
        <v>0</v>
      </c>
      <c r="EZ733" s="549">
        <v>0</v>
      </c>
      <c r="FA733" s="675">
        <v>0</v>
      </c>
      <c r="FB733" s="549">
        <v>0</v>
      </c>
      <c r="FC733" s="675">
        <v>0</v>
      </c>
      <c r="FD733" s="549">
        <v>0</v>
      </c>
      <c r="FE733" s="675">
        <v>0</v>
      </c>
      <c r="FF733" s="549">
        <v>0</v>
      </c>
      <c r="FG733" s="675">
        <v>0</v>
      </c>
      <c r="FH733" s="549">
        <v>0</v>
      </c>
      <c r="FI733" s="675">
        <v>0</v>
      </c>
      <c r="FJ733" s="549">
        <v>0</v>
      </c>
      <c r="FK733" s="675">
        <v>0</v>
      </c>
      <c r="FL733" s="549">
        <v>0</v>
      </c>
      <c r="FM733" s="675">
        <v>0</v>
      </c>
      <c r="FN733" s="549">
        <v>0</v>
      </c>
      <c r="FO733" s="675">
        <v>0</v>
      </c>
      <c r="FP733" s="549">
        <v>0</v>
      </c>
      <c r="FQ733" s="675">
        <v>0</v>
      </c>
      <c r="FR733" s="549">
        <v>0</v>
      </c>
      <c r="FS733" s="675">
        <v>0</v>
      </c>
      <c r="FT733" s="549">
        <v>0</v>
      </c>
      <c r="FU733" s="675">
        <v>0</v>
      </c>
      <c r="FV733" s="549">
        <v>0</v>
      </c>
      <c r="FW733" s="675">
        <v>0</v>
      </c>
      <c r="FX733" s="549">
        <v>0</v>
      </c>
      <c r="FY733" s="675">
        <v>0</v>
      </c>
      <c r="FZ733" s="549">
        <v>0</v>
      </c>
      <c r="GA733" s="675">
        <v>0</v>
      </c>
      <c r="GB733" s="549">
        <v>0</v>
      </c>
      <c r="GC733" s="675">
        <v>0</v>
      </c>
      <c r="GD733" s="549">
        <v>0</v>
      </c>
      <c r="GE733" s="675">
        <v>0</v>
      </c>
      <c r="GF733" s="549">
        <v>0</v>
      </c>
      <c r="GG733" s="675">
        <v>0</v>
      </c>
      <c r="GH733" s="549">
        <v>0</v>
      </c>
      <c r="GI733" s="675">
        <v>0</v>
      </c>
      <c r="GJ733" s="549">
        <v>0</v>
      </c>
      <c r="GK733" s="675">
        <v>0</v>
      </c>
      <c r="GL733" s="549">
        <v>0</v>
      </c>
      <c r="GM733" s="675">
        <v>0</v>
      </c>
      <c r="GN733" s="549">
        <v>0</v>
      </c>
      <c r="GO733" s="675">
        <v>0</v>
      </c>
      <c r="GP733" s="549">
        <f t="shared" si="16224"/>
        <v>0</v>
      </c>
      <c r="GQ733" s="675">
        <f t="shared" si="16225"/>
        <v>0</v>
      </c>
      <c r="GR733" s="74">
        <f t="shared" si="16226"/>
        <v>0</v>
      </c>
      <c r="GS733" s="74">
        <f t="shared" si="16227"/>
        <v>0</v>
      </c>
      <c r="GT733" s="568">
        <f t="shared" si="16228"/>
        <v>0</v>
      </c>
      <c r="GU733" s="275">
        <v>0</v>
      </c>
      <c r="GV733" s="275"/>
      <c r="GW733" s="588"/>
      <c r="GX733" s="275">
        <v>0</v>
      </c>
      <c r="GY733" s="275"/>
      <c r="GZ733" s="275"/>
      <c r="HA733" s="275">
        <v>0</v>
      </c>
      <c r="HB733" s="275"/>
      <c r="HC733" s="275"/>
      <c r="HD733" s="275">
        <v>0</v>
      </c>
      <c r="HE733" s="275">
        <v>0</v>
      </c>
      <c r="HF733" s="275">
        <v>0</v>
      </c>
      <c r="HG733" s="74">
        <f t="shared" si="16229"/>
        <v>0</v>
      </c>
      <c r="HH733" s="89">
        <v>0</v>
      </c>
      <c r="HI733" s="817">
        <v>0</v>
      </c>
      <c r="HJ733" s="89">
        <v>0</v>
      </c>
      <c r="HK733" s="817">
        <v>0</v>
      </c>
      <c r="HL733" s="89">
        <v>0</v>
      </c>
      <c r="HM733" s="817">
        <v>0</v>
      </c>
      <c r="HN733" s="89">
        <v>0</v>
      </c>
      <c r="HO733" s="817">
        <v>0</v>
      </c>
      <c r="HP733" s="89">
        <v>0</v>
      </c>
      <c r="HQ733" s="817">
        <v>0</v>
      </c>
      <c r="HR733" s="89">
        <v>0</v>
      </c>
      <c r="HS733" s="817">
        <v>0</v>
      </c>
      <c r="HT733" s="89">
        <v>0</v>
      </c>
      <c r="HU733" s="817">
        <v>0</v>
      </c>
      <c r="HV733" s="89">
        <v>0</v>
      </c>
      <c r="HW733" s="817">
        <v>0</v>
      </c>
      <c r="HX733" s="89">
        <v>0</v>
      </c>
      <c r="HY733" s="817">
        <v>0</v>
      </c>
      <c r="HZ733" s="89">
        <v>0</v>
      </c>
      <c r="IA733" s="817">
        <v>0</v>
      </c>
      <c r="IB733" s="89">
        <v>0</v>
      </c>
      <c r="IC733" s="817">
        <v>0</v>
      </c>
      <c r="ID733" s="89">
        <v>0</v>
      </c>
      <c r="IE733" s="817">
        <v>0</v>
      </c>
      <c r="IF733" s="717">
        <f t="shared" si="16230"/>
        <v>0</v>
      </c>
      <c r="IG733" s="263">
        <f t="shared" si="16231"/>
        <v>0</v>
      </c>
      <c r="IH733" s="718">
        <f t="shared" si="16232"/>
        <v>0</v>
      </c>
      <c r="II733" s="89">
        <v>0</v>
      </c>
      <c r="IJ733" s="89">
        <f t="shared" si="16233"/>
        <v>0</v>
      </c>
      <c r="IK733" s="89">
        <f t="shared" si="16234"/>
        <v>0</v>
      </c>
      <c r="IL733" s="89">
        <v>0</v>
      </c>
      <c r="IM733" s="89">
        <f t="shared" si="16235"/>
        <v>0</v>
      </c>
      <c r="IN733" s="89">
        <f t="shared" si="16236"/>
        <v>0</v>
      </c>
      <c r="IO733" s="89">
        <v>0</v>
      </c>
      <c r="IP733" s="89">
        <f t="shared" si="16237"/>
        <v>0</v>
      </c>
      <c r="IQ733" s="89">
        <f t="shared" si="16238"/>
        <v>0</v>
      </c>
      <c r="IR733" s="89">
        <v>0</v>
      </c>
      <c r="IS733" s="89">
        <f t="shared" si="16239"/>
        <v>0</v>
      </c>
      <c r="IT733" s="89">
        <f t="shared" si="16240"/>
        <v>0</v>
      </c>
      <c r="IU733" s="89">
        <v>0</v>
      </c>
      <c r="IV733" s="89">
        <f t="shared" si="16241"/>
        <v>0</v>
      </c>
      <c r="IW733" s="89">
        <f t="shared" si="16242"/>
        <v>0</v>
      </c>
      <c r="IX733" s="89">
        <v>0</v>
      </c>
      <c r="IY733" s="89">
        <f t="shared" si="16243"/>
        <v>0</v>
      </c>
      <c r="IZ733" s="89">
        <f t="shared" si="16244"/>
        <v>0</v>
      </c>
      <c r="JA733" s="89">
        <v>0</v>
      </c>
      <c r="JB733" s="89">
        <f t="shared" si="16245"/>
        <v>0</v>
      </c>
      <c r="JC733" s="89">
        <f t="shared" si="16246"/>
        <v>0</v>
      </c>
      <c r="JD733" s="89">
        <v>0</v>
      </c>
      <c r="JE733" s="89">
        <f t="shared" si="16247"/>
        <v>0</v>
      </c>
      <c r="JF733" s="89">
        <f t="shared" si="16248"/>
        <v>0</v>
      </c>
      <c r="JG733" s="89">
        <v>0</v>
      </c>
      <c r="JH733" s="89">
        <f t="shared" si="16249"/>
        <v>0</v>
      </c>
      <c r="JI733" s="89">
        <f t="shared" si="16250"/>
        <v>0</v>
      </c>
      <c r="JJ733" s="89">
        <v>0</v>
      </c>
      <c r="JK733" s="89">
        <f t="shared" si="16251"/>
        <v>0</v>
      </c>
      <c r="JL733" s="89">
        <f t="shared" si="16252"/>
        <v>0</v>
      </c>
      <c r="JM733" s="89">
        <v>0</v>
      </c>
      <c r="JN733" s="89">
        <f t="shared" si="16253"/>
        <v>0</v>
      </c>
      <c r="JO733" s="89">
        <f t="shared" si="16254"/>
        <v>0</v>
      </c>
      <c r="JP733" s="89">
        <v>0</v>
      </c>
      <c r="JQ733" s="89">
        <f t="shared" ref="JQ733:JR733" si="16263">JP733</f>
        <v>0</v>
      </c>
      <c r="JR733" s="89">
        <f t="shared" si="16263"/>
        <v>0</v>
      </c>
      <c r="JS733" s="74">
        <f t="shared" si="16257"/>
        <v>0</v>
      </c>
      <c r="JT733" s="382">
        <f t="shared" si="16258"/>
        <v>0</v>
      </c>
      <c r="JU733" s="665"/>
      <c r="JV733" s="524"/>
      <c r="JW733" s="525"/>
      <c r="JX733" s="549">
        <f t="shared" si="16259"/>
        <v>0</v>
      </c>
      <c r="JY733" s="549">
        <f t="shared" si="15767"/>
        <v>0</v>
      </c>
      <c r="JZ733" s="581">
        <f t="shared" si="14741"/>
        <v>0</v>
      </c>
      <c r="KA733" s="581">
        <f t="shared" si="14741"/>
        <v>0</v>
      </c>
      <c r="KB733" s="566">
        <f t="shared" si="15406"/>
        <v>0</v>
      </c>
      <c r="KC733" s="709">
        <f t="shared" si="14739"/>
        <v>0</v>
      </c>
      <c r="KD733" s="491"/>
      <c r="KE733" s="491"/>
      <c r="KF733" s="491"/>
      <c r="KG733" s="491"/>
      <c r="KH733" s="36"/>
      <c r="KI733" s="36"/>
      <c r="KJ733" s="36"/>
      <c r="KK733" s="36"/>
    </row>
    <row r="734" spans="1:297" s="8" customFormat="1" ht="12.75" customHeight="1">
      <c r="A734" s="612" t="s">
        <v>1240</v>
      </c>
      <c r="B734" s="512" t="s">
        <v>1191</v>
      </c>
      <c r="C734" s="74">
        <v>184000</v>
      </c>
      <c r="D734" s="549">
        <v>0</v>
      </c>
      <c r="E734" s="675">
        <v>0</v>
      </c>
      <c r="F734" s="549">
        <v>0</v>
      </c>
      <c r="G734" s="675">
        <v>0</v>
      </c>
      <c r="H734" s="549">
        <v>0</v>
      </c>
      <c r="I734" s="675">
        <v>0</v>
      </c>
      <c r="J734" s="549">
        <v>0</v>
      </c>
      <c r="K734" s="675">
        <v>0</v>
      </c>
      <c r="L734" s="549">
        <v>0</v>
      </c>
      <c r="M734" s="675">
        <v>0</v>
      </c>
      <c r="N734" s="549">
        <v>0</v>
      </c>
      <c r="O734" s="675">
        <v>0</v>
      </c>
      <c r="P734" s="549">
        <v>0</v>
      </c>
      <c r="Q734" s="675">
        <v>0</v>
      </c>
      <c r="R734" s="549">
        <v>0</v>
      </c>
      <c r="S734" s="675">
        <v>0</v>
      </c>
      <c r="T734" s="549">
        <v>0</v>
      </c>
      <c r="U734" s="675">
        <v>0</v>
      </c>
      <c r="V734" s="549">
        <v>0</v>
      </c>
      <c r="W734" s="675">
        <v>0</v>
      </c>
      <c r="X734" s="549">
        <v>0</v>
      </c>
      <c r="Y734" s="675">
        <v>0</v>
      </c>
      <c r="Z734" s="549">
        <v>0</v>
      </c>
      <c r="AA734" s="675">
        <v>0</v>
      </c>
      <c r="AB734" s="549">
        <v>0</v>
      </c>
      <c r="AC734" s="675">
        <v>0</v>
      </c>
      <c r="AD734" s="549">
        <v>0</v>
      </c>
      <c r="AE734" s="675">
        <v>0</v>
      </c>
      <c r="AF734" s="549">
        <v>0</v>
      </c>
      <c r="AG734" s="675">
        <v>0</v>
      </c>
      <c r="AH734" s="549">
        <v>0</v>
      </c>
      <c r="AI734" s="675">
        <v>0</v>
      </c>
      <c r="AJ734" s="549">
        <v>0</v>
      </c>
      <c r="AK734" s="675">
        <v>0</v>
      </c>
      <c r="AL734" s="549">
        <v>0</v>
      </c>
      <c r="AM734" s="675">
        <v>0</v>
      </c>
      <c r="AN734" s="549">
        <v>0</v>
      </c>
      <c r="AO734" s="675">
        <v>0</v>
      </c>
      <c r="AP734" s="549">
        <v>0</v>
      </c>
      <c r="AQ734" s="675">
        <v>-92000</v>
      </c>
      <c r="AR734" s="549">
        <v>0</v>
      </c>
      <c r="AS734" s="675">
        <v>0</v>
      </c>
      <c r="AT734" s="549">
        <v>0</v>
      </c>
      <c r="AU734" s="675">
        <v>0</v>
      </c>
      <c r="AV734" s="549">
        <v>0</v>
      </c>
      <c r="AW734" s="675">
        <v>0</v>
      </c>
      <c r="AX734" s="549">
        <v>0</v>
      </c>
      <c r="AY734" s="675">
        <v>-92000</v>
      </c>
      <c r="AZ734" s="549">
        <v>0</v>
      </c>
      <c r="BA734" s="675">
        <v>0</v>
      </c>
      <c r="BB734" s="549">
        <v>0</v>
      </c>
      <c r="BC734" s="675">
        <v>0</v>
      </c>
      <c r="BD734" s="549">
        <v>0</v>
      </c>
      <c r="BE734" s="675">
        <v>0</v>
      </c>
      <c r="BF734" s="549">
        <v>0</v>
      </c>
      <c r="BG734" s="675">
        <v>0</v>
      </c>
      <c r="BH734" s="549">
        <v>0</v>
      </c>
      <c r="BI734" s="675">
        <v>0</v>
      </c>
      <c r="BJ734" s="549">
        <v>0</v>
      </c>
      <c r="BK734" s="675">
        <v>0</v>
      </c>
      <c r="BL734" s="549">
        <v>0</v>
      </c>
      <c r="BM734" s="675">
        <v>0</v>
      </c>
      <c r="BN734" s="549">
        <v>0</v>
      </c>
      <c r="BO734" s="675">
        <v>0</v>
      </c>
      <c r="BP734" s="549">
        <v>0</v>
      </c>
      <c r="BQ734" s="675">
        <v>0</v>
      </c>
      <c r="BR734" s="549">
        <v>0</v>
      </c>
      <c r="BS734" s="675">
        <v>0</v>
      </c>
      <c r="BT734" s="549">
        <v>0</v>
      </c>
      <c r="BU734" s="675">
        <v>0</v>
      </c>
      <c r="BV734" s="549">
        <v>0</v>
      </c>
      <c r="BW734" s="675">
        <v>0</v>
      </c>
      <c r="BX734" s="549">
        <v>0</v>
      </c>
      <c r="BY734" s="675">
        <v>0</v>
      </c>
      <c r="BZ734" s="549">
        <v>0</v>
      </c>
      <c r="CA734" s="675">
        <v>0</v>
      </c>
      <c r="CB734" s="549">
        <v>0</v>
      </c>
      <c r="CC734" s="675">
        <v>0</v>
      </c>
      <c r="CD734" s="549">
        <v>0</v>
      </c>
      <c r="CE734" s="675">
        <v>0</v>
      </c>
      <c r="CF734" s="549">
        <v>0</v>
      </c>
      <c r="CG734" s="675">
        <v>0</v>
      </c>
      <c r="CH734" s="549">
        <v>0</v>
      </c>
      <c r="CI734" s="675">
        <v>0</v>
      </c>
      <c r="CJ734" s="549">
        <v>0</v>
      </c>
      <c r="CK734" s="675">
        <v>0</v>
      </c>
      <c r="CL734" s="549">
        <v>0</v>
      </c>
      <c r="CM734" s="675">
        <v>0</v>
      </c>
      <c r="CN734" s="549">
        <v>0</v>
      </c>
      <c r="CO734" s="675">
        <v>0</v>
      </c>
      <c r="CP734" s="549">
        <v>0</v>
      </c>
      <c r="CQ734" s="675">
        <v>0</v>
      </c>
      <c r="CR734" s="549">
        <v>0</v>
      </c>
      <c r="CS734" s="675">
        <v>0</v>
      </c>
      <c r="CT734" s="549">
        <v>0</v>
      </c>
      <c r="CU734" s="675">
        <v>0</v>
      </c>
      <c r="CV734" s="549">
        <v>0</v>
      </c>
      <c r="CW734" s="675">
        <v>0</v>
      </c>
      <c r="CX734" s="549">
        <v>0</v>
      </c>
      <c r="CY734" s="675">
        <v>0</v>
      </c>
      <c r="CZ734" s="549">
        <v>0</v>
      </c>
      <c r="DA734" s="675">
        <v>0</v>
      </c>
      <c r="DB734" s="549">
        <v>0</v>
      </c>
      <c r="DC734" s="675">
        <v>0</v>
      </c>
      <c r="DD734" s="549">
        <v>0</v>
      </c>
      <c r="DE734" s="675">
        <v>0</v>
      </c>
      <c r="DF734" s="549">
        <v>0</v>
      </c>
      <c r="DG734" s="675">
        <v>0</v>
      </c>
      <c r="DH734" s="549">
        <v>0</v>
      </c>
      <c r="DI734" s="675">
        <v>0</v>
      </c>
      <c r="DJ734" s="549">
        <v>0</v>
      </c>
      <c r="DK734" s="675">
        <v>0</v>
      </c>
      <c r="DL734" s="549">
        <v>0</v>
      </c>
      <c r="DM734" s="675">
        <v>0</v>
      </c>
      <c r="DN734" s="549">
        <v>0</v>
      </c>
      <c r="DO734" s="675">
        <v>0</v>
      </c>
      <c r="DP734" s="549">
        <v>0</v>
      </c>
      <c r="DQ734" s="675">
        <v>0</v>
      </c>
      <c r="DR734" s="549">
        <v>0</v>
      </c>
      <c r="DS734" s="675">
        <v>0</v>
      </c>
      <c r="DT734" s="549">
        <v>0</v>
      </c>
      <c r="DU734" s="675">
        <v>0</v>
      </c>
      <c r="DV734" s="549">
        <v>0</v>
      </c>
      <c r="DW734" s="675">
        <v>0</v>
      </c>
      <c r="DX734" s="549">
        <v>0</v>
      </c>
      <c r="DY734" s="675">
        <v>0</v>
      </c>
      <c r="DZ734" s="549">
        <v>0</v>
      </c>
      <c r="EA734" s="675">
        <v>0</v>
      </c>
      <c r="EB734" s="549">
        <v>0</v>
      </c>
      <c r="EC734" s="675">
        <v>0</v>
      </c>
      <c r="ED734" s="549">
        <v>0</v>
      </c>
      <c r="EE734" s="675">
        <v>0</v>
      </c>
      <c r="EF734" s="549">
        <v>0</v>
      </c>
      <c r="EG734" s="675">
        <v>0</v>
      </c>
      <c r="EH734" s="549">
        <v>0</v>
      </c>
      <c r="EI734" s="675">
        <v>0</v>
      </c>
      <c r="EJ734" s="549">
        <v>0</v>
      </c>
      <c r="EK734" s="675">
        <v>0</v>
      </c>
      <c r="EL734" s="549">
        <v>0</v>
      </c>
      <c r="EM734" s="675">
        <v>0</v>
      </c>
      <c r="EN734" s="549">
        <v>0</v>
      </c>
      <c r="EO734" s="675">
        <v>0</v>
      </c>
      <c r="EP734" s="549">
        <v>0</v>
      </c>
      <c r="EQ734" s="675">
        <v>0</v>
      </c>
      <c r="ER734" s="549">
        <v>0</v>
      </c>
      <c r="ES734" s="675">
        <v>0</v>
      </c>
      <c r="ET734" s="549">
        <v>0</v>
      </c>
      <c r="EU734" s="675">
        <v>0</v>
      </c>
      <c r="EV734" s="549">
        <v>0</v>
      </c>
      <c r="EW734" s="675">
        <v>0</v>
      </c>
      <c r="EX734" s="549">
        <v>0</v>
      </c>
      <c r="EY734" s="675">
        <v>0</v>
      </c>
      <c r="EZ734" s="549">
        <v>0</v>
      </c>
      <c r="FA734" s="675">
        <v>0</v>
      </c>
      <c r="FB734" s="549">
        <v>0</v>
      </c>
      <c r="FC734" s="675">
        <v>0</v>
      </c>
      <c r="FD734" s="549">
        <v>0</v>
      </c>
      <c r="FE734" s="675">
        <v>0</v>
      </c>
      <c r="FF734" s="549">
        <v>0</v>
      </c>
      <c r="FG734" s="675">
        <v>0</v>
      </c>
      <c r="FH734" s="549">
        <v>0</v>
      </c>
      <c r="FI734" s="675">
        <v>0</v>
      </c>
      <c r="FJ734" s="549">
        <v>0</v>
      </c>
      <c r="FK734" s="675">
        <v>0</v>
      </c>
      <c r="FL734" s="549">
        <v>0</v>
      </c>
      <c r="FM734" s="675">
        <v>0</v>
      </c>
      <c r="FN734" s="549">
        <v>0</v>
      </c>
      <c r="FO734" s="675">
        <v>0</v>
      </c>
      <c r="FP734" s="549">
        <v>0</v>
      </c>
      <c r="FQ734" s="675">
        <v>0</v>
      </c>
      <c r="FR734" s="549">
        <v>0</v>
      </c>
      <c r="FS734" s="675">
        <v>0</v>
      </c>
      <c r="FT734" s="549">
        <v>0</v>
      </c>
      <c r="FU734" s="675">
        <v>0</v>
      </c>
      <c r="FV734" s="549">
        <v>0</v>
      </c>
      <c r="FW734" s="675">
        <v>0</v>
      </c>
      <c r="FX734" s="549">
        <v>0</v>
      </c>
      <c r="FY734" s="675">
        <v>0</v>
      </c>
      <c r="FZ734" s="549">
        <v>0</v>
      </c>
      <c r="GA734" s="675">
        <v>0</v>
      </c>
      <c r="GB734" s="549">
        <v>0</v>
      </c>
      <c r="GC734" s="675">
        <v>0</v>
      </c>
      <c r="GD734" s="549">
        <v>0</v>
      </c>
      <c r="GE734" s="675">
        <v>0</v>
      </c>
      <c r="GF734" s="549">
        <v>0</v>
      </c>
      <c r="GG734" s="675">
        <v>0</v>
      </c>
      <c r="GH734" s="549">
        <v>0</v>
      </c>
      <c r="GI734" s="675">
        <v>0</v>
      </c>
      <c r="GJ734" s="549">
        <v>0</v>
      </c>
      <c r="GK734" s="675">
        <v>0</v>
      </c>
      <c r="GL734" s="549">
        <v>0</v>
      </c>
      <c r="GM734" s="675">
        <v>0</v>
      </c>
      <c r="GN734" s="549">
        <v>0</v>
      </c>
      <c r="GO734" s="675">
        <v>0</v>
      </c>
      <c r="GP734" s="549">
        <f t="shared" si="16224"/>
        <v>0</v>
      </c>
      <c r="GQ734" s="675">
        <f t="shared" si="16225"/>
        <v>-184000</v>
      </c>
      <c r="GR734" s="74">
        <f t="shared" si="16226"/>
        <v>0</v>
      </c>
      <c r="GS734" s="74">
        <f t="shared" ref="GS734:GS736" si="16264">SUM(GU734:HD734)+GP734+GQ734</f>
        <v>0</v>
      </c>
      <c r="GT734" s="568">
        <f t="shared" si="16228"/>
        <v>0</v>
      </c>
      <c r="GU734" s="275">
        <v>36800</v>
      </c>
      <c r="GV734" s="275"/>
      <c r="GW734" s="588"/>
      <c r="GX734" s="275">
        <v>55200</v>
      </c>
      <c r="GY734" s="275">
        <v>92000</v>
      </c>
      <c r="GZ734" s="275"/>
      <c r="HA734" s="275">
        <f>55200-55200</f>
        <v>0</v>
      </c>
      <c r="HB734" s="275"/>
      <c r="HC734" s="275"/>
      <c r="HD734" s="275">
        <f>36800-36800</f>
        <v>0</v>
      </c>
      <c r="HE734" s="275"/>
      <c r="HF734" s="275"/>
      <c r="HG734" s="74">
        <f t="shared" si="16229"/>
        <v>0</v>
      </c>
      <c r="HH734" s="89">
        <v>0</v>
      </c>
      <c r="HI734" s="817">
        <v>0</v>
      </c>
      <c r="HJ734" s="89">
        <v>0</v>
      </c>
      <c r="HK734" s="817">
        <v>0</v>
      </c>
      <c r="HL734" s="89">
        <v>0</v>
      </c>
      <c r="HM734" s="817">
        <v>0</v>
      </c>
      <c r="HN734" s="89">
        <v>0</v>
      </c>
      <c r="HO734" s="817">
        <v>92000</v>
      </c>
      <c r="HP734" s="89">
        <v>0</v>
      </c>
      <c r="HQ734" s="817">
        <v>92000</v>
      </c>
      <c r="HR734" s="89">
        <v>0</v>
      </c>
      <c r="HS734" s="817">
        <v>0</v>
      </c>
      <c r="HT734" s="89">
        <v>0</v>
      </c>
      <c r="HU734" s="817">
        <v>0</v>
      </c>
      <c r="HV734" s="89">
        <v>0</v>
      </c>
      <c r="HW734" s="817">
        <v>0</v>
      </c>
      <c r="HX734" s="89">
        <v>0</v>
      </c>
      <c r="HY734" s="817">
        <v>0</v>
      </c>
      <c r="HZ734" s="89">
        <v>0</v>
      </c>
      <c r="IA734" s="817">
        <v>0</v>
      </c>
      <c r="IB734" s="89">
        <v>0</v>
      </c>
      <c r="IC734" s="817">
        <v>0</v>
      </c>
      <c r="ID734" s="89">
        <v>0</v>
      </c>
      <c r="IE734" s="817">
        <v>0</v>
      </c>
      <c r="IF734" s="717">
        <f t="shared" si="16230"/>
        <v>0</v>
      </c>
      <c r="IG734" s="263">
        <f t="shared" si="16231"/>
        <v>0</v>
      </c>
      <c r="IH734" s="718">
        <f t="shared" si="16232"/>
        <v>0</v>
      </c>
      <c r="II734" s="89">
        <v>0</v>
      </c>
      <c r="IJ734" s="89">
        <f t="shared" si="16233"/>
        <v>0</v>
      </c>
      <c r="IK734" s="89">
        <f t="shared" si="16234"/>
        <v>0</v>
      </c>
      <c r="IL734" s="89">
        <v>0</v>
      </c>
      <c r="IM734" s="89">
        <f t="shared" si="16235"/>
        <v>0</v>
      </c>
      <c r="IN734" s="89">
        <f t="shared" si="16236"/>
        <v>0</v>
      </c>
      <c r="IO734" s="89">
        <v>0</v>
      </c>
      <c r="IP734" s="89">
        <f t="shared" si="16237"/>
        <v>0</v>
      </c>
      <c r="IQ734" s="89">
        <f t="shared" si="16238"/>
        <v>0</v>
      </c>
      <c r="IR734" s="89">
        <v>0</v>
      </c>
      <c r="IS734" s="89">
        <f t="shared" si="16239"/>
        <v>0</v>
      </c>
      <c r="IT734" s="89">
        <f t="shared" si="16240"/>
        <v>0</v>
      </c>
      <c r="IU734" s="89">
        <v>0</v>
      </c>
      <c r="IV734" s="89">
        <f t="shared" si="16241"/>
        <v>0</v>
      </c>
      <c r="IW734" s="89">
        <f t="shared" si="16242"/>
        <v>0</v>
      </c>
      <c r="IX734" s="89">
        <v>0</v>
      </c>
      <c r="IY734" s="89">
        <f t="shared" si="16243"/>
        <v>0</v>
      </c>
      <c r="IZ734" s="89">
        <f t="shared" si="16244"/>
        <v>0</v>
      </c>
      <c r="JA734" s="89">
        <v>0</v>
      </c>
      <c r="JB734" s="89">
        <f t="shared" si="16245"/>
        <v>0</v>
      </c>
      <c r="JC734" s="89">
        <f t="shared" si="16246"/>
        <v>0</v>
      </c>
      <c r="JD734" s="89">
        <v>0</v>
      </c>
      <c r="JE734" s="89">
        <f t="shared" si="16247"/>
        <v>0</v>
      </c>
      <c r="JF734" s="89">
        <f t="shared" si="16248"/>
        <v>0</v>
      </c>
      <c r="JG734" s="89">
        <v>0</v>
      </c>
      <c r="JH734" s="89">
        <f t="shared" si="16249"/>
        <v>0</v>
      </c>
      <c r="JI734" s="89">
        <f t="shared" si="16250"/>
        <v>0</v>
      </c>
      <c r="JJ734" s="89">
        <v>0</v>
      </c>
      <c r="JK734" s="89">
        <f t="shared" si="16251"/>
        <v>0</v>
      </c>
      <c r="JL734" s="89">
        <f t="shared" si="16252"/>
        <v>0</v>
      </c>
      <c r="JM734" s="89">
        <v>0</v>
      </c>
      <c r="JN734" s="89">
        <f t="shared" si="16253"/>
        <v>0</v>
      </c>
      <c r="JO734" s="89">
        <f t="shared" si="16254"/>
        <v>0</v>
      </c>
      <c r="JP734" s="89">
        <v>0</v>
      </c>
      <c r="JQ734" s="89">
        <f t="shared" ref="JQ734:JR734" si="16265">JP734</f>
        <v>0</v>
      </c>
      <c r="JR734" s="89">
        <f t="shared" si="16265"/>
        <v>0</v>
      </c>
      <c r="JS734" s="74">
        <f t="shared" si="16257"/>
        <v>0</v>
      </c>
      <c r="JT734" s="382">
        <f t="shared" si="16258"/>
        <v>0</v>
      </c>
      <c r="JU734" s="665"/>
      <c r="JV734" s="524"/>
      <c r="JW734" s="525"/>
      <c r="JX734" s="549">
        <f t="shared" si="16259"/>
        <v>0</v>
      </c>
      <c r="JY734" s="549">
        <f t="shared" si="15767"/>
        <v>184000</v>
      </c>
      <c r="JZ734" s="581">
        <f t="shared" si="14741"/>
        <v>0</v>
      </c>
      <c r="KA734" s="581">
        <f t="shared" si="14741"/>
        <v>-184000</v>
      </c>
      <c r="KB734" s="566">
        <f t="shared" si="15406"/>
        <v>0</v>
      </c>
      <c r="KC734" s="709">
        <f t="shared" si="14739"/>
        <v>0</v>
      </c>
      <c r="KD734" s="491"/>
      <c r="KE734" s="491"/>
      <c r="KF734" s="491"/>
      <c r="KG734" s="491"/>
      <c r="KH734" s="36"/>
      <c r="KI734" s="36"/>
      <c r="KJ734" s="36"/>
      <c r="KK734" s="36"/>
    </row>
    <row r="735" spans="1:297" s="10" customFormat="1" ht="12.75" customHeight="1">
      <c r="A735" s="612" t="s">
        <v>1241</v>
      </c>
      <c r="B735" s="512" t="s">
        <v>969</v>
      </c>
      <c r="C735" s="74">
        <v>5000</v>
      </c>
      <c r="D735" s="549">
        <v>0</v>
      </c>
      <c r="E735" s="675">
        <v>0</v>
      </c>
      <c r="F735" s="549">
        <v>0</v>
      </c>
      <c r="G735" s="675">
        <v>0</v>
      </c>
      <c r="H735" s="549">
        <v>0</v>
      </c>
      <c r="I735" s="675">
        <v>0</v>
      </c>
      <c r="J735" s="549">
        <v>0</v>
      </c>
      <c r="K735" s="675">
        <v>0</v>
      </c>
      <c r="L735" s="549">
        <v>0</v>
      </c>
      <c r="M735" s="675">
        <v>0</v>
      </c>
      <c r="N735" s="549">
        <v>0</v>
      </c>
      <c r="O735" s="675">
        <v>0</v>
      </c>
      <c r="P735" s="549">
        <v>0</v>
      </c>
      <c r="Q735" s="675">
        <v>0</v>
      </c>
      <c r="R735" s="549">
        <v>0</v>
      </c>
      <c r="S735" s="675">
        <v>0</v>
      </c>
      <c r="T735" s="549">
        <v>0</v>
      </c>
      <c r="U735" s="675">
        <v>0</v>
      </c>
      <c r="V735" s="549">
        <v>0</v>
      </c>
      <c r="W735" s="675">
        <v>0</v>
      </c>
      <c r="X735" s="549">
        <v>0</v>
      </c>
      <c r="Y735" s="675">
        <v>0</v>
      </c>
      <c r="Z735" s="549">
        <v>0</v>
      </c>
      <c r="AA735" s="675">
        <v>0</v>
      </c>
      <c r="AB735" s="549">
        <v>0</v>
      </c>
      <c r="AC735" s="675">
        <v>0</v>
      </c>
      <c r="AD735" s="549">
        <v>0</v>
      </c>
      <c r="AE735" s="675">
        <v>0</v>
      </c>
      <c r="AF735" s="549">
        <v>0</v>
      </c>
      <c r="AG735" s="675">
        <v>0</v>
      </c>
      <c r="AH735" s="549">
        <v>0</v>
      </c>
      <c r="AI735" s="675">
        <v>0</v>
      </c>
      <c r="AJ735" s="549">
        <v>0</v>
      </c>
      <c r="AK735" s="675">
        <v>0</v>
      </c>
      <c r="AL735" s="549">
        <v>0</v>
      </c>
      <c r="AM735" s="675">
        <v>0</v>
      </c>
      <c r="AN735" s="549">
        <v>0</v>
      </c>
      <c r="AO735" s="675">
        <v>0</v>
      </c>
      <c r="AP735" s="549">
        <v>0</v>
      </c>
      <c r="AQ735" s="675">
        <v>0</v>
      </c>
      <c r="AR735" s="549">
        <v>0</v>
      </c>
      <c r="AS735" s="675">
        <v>0</v>
      </c>
      <c r="AT735" s="549">
        <v>0</v>
      </c>
      <c r="AU735" s="675">
        <v>0</v>
      </c>
      <c r="AV735" s="549">
        <v>0</v>
      </c>
      <c r="AW735" s="675">
        <v>0</v>
      </c>
      <c r="AX735" s="549">
        <v>0</v>
      </c>
      <c r="AY735" s="675">
        <v>-5000</v>
      </c>
      <c r="AZ735" s="549">
        <v>0</v>
      </c>
      <c r="BA735" s="675">
        <v>0</v>
      </c>
      <c r="BB735" s="549">
        <v>0</v>
      </c>
      <c r="BC735" s="675">
        <v>0</v>
      </c>
      <c r="BD735" s="549">
        <v>0</v>
      </c>
      <c r="BE735" s="675">
        <v>0</v>
      </c>
      <c r="BF735" s="549">
        <v>0</v>
      </c>
      <c r="BG735" s="675">
        <v>0</v>
      </c>
      <c r="BH735" s="549">
        <v>0</v>
      </c>
      <c r="BI735" s="675">
        <v>0</v>
      </c>
      <c r="BJ735" s="549">
        <v>0</v>
      </c>
      <c r="BK735" s="675">
        <v>0</v>
      </c>
      <c r="BL735" s="549">
        <v>0</v>
      </c>
      <c r="BM735" s="675">
        <v>0</v>
      </c>
      <c r="BN735" s="549">
        <v>0</v>
      </c>
      <c r="BO735" s="675">
        <v>0</v>
      </c>
      <c r="BP735" s="549">
        <v>0</v>
      </c>
      <c r="BQ735" s="675">
        <v>0</v>
      </c>
      <c r="BR735" s="549">
        <v>0</v>
      </c>
      <c r="BS735" s="675">
        <v>0</v>
      </c>
      <c r="BT735" s="549">
        <v>0</v>
      </c>
      <c r="BU735" s="675">
        <v>0</v>
      </c>
      <c r="BV735" s="549">
        <v>0</v>
      </c>
      <c r="BW735" s="675">
        <v>0</v>
      </c>
      <c r="BX735" s="549">
        <v>0</v>
      </c>
      <c r="BY735" s="675">
        <v>0</v>
      </c>
      <c r="BZ735" s="549">
        <v>0</v>
      </c>
      <c r="CA735" s="675">
        <v>0</v>
      </c>
      <c r="CB735" s="549">
        <v>0</v>
      </c>
      <c r="CC735" s="675">
        <v>0</v>
      </c>
      <c r="CD735" s="549">
        <v>0</v>
      </c>
      <c r="CE735" s="675">
        <v>0</v>
      </c>
      <c r="CF735" s="549">
        <v>0</v>
      </c>
      <c r="CG735" s="675">
        <v>0</v>
      </c>
      <c r="CH735" s="549">
        <v>0</v>
      </c>
      <c r="CI735" s="675">
        <v>0</v>
      </c>
      <c r="CJ735" s="549">
        <v>0</v>
      </c>
      <c r="CK735" s="675">
        <v>0</v>
      </c>
      <c r="CL735" s="549">
        <v>0</v>
      </c>
      <c r="CM735" s="675">
        <v>0</v>
      </c>
      <c r="CN735" s="549">
        <v>0</v>
      </c>
      <c r="CO735" s="675">
        <v>0</v>
      </c>
      <c r="CP735" s="549">
        <v>0</v>
      </c>
      <c r="CQ735" s="675">
        <v>0</v>
      </c>
      <c r="CR735" s="549">
        <v>0</v>
      </c>
      <c r="CS735" s="675">
        <v>0</v>
      </c>
      <c r="CT735" s="549">
        <v>0</v>
      </c>
      <c r="CU735" s="675">
        <v>0</v>
      </c>
      <c r="CV735" s="549">
        <v>0</v>
      </c>
      <c r="CW735" s="675">
        <v>0</v>
      </c>
      <c r="CX735" s="549">
        <v>0</v>
      </c>
      <c r="CY735" s="675">
        <v>0</v>
      </c>
      <c r="CZ735" s="549">
        <v>0</v>
      </c>
      <c r="DA735" s="675">
        <v>0</v>
      </c>
      <c r="DB735" s="549">
        <v>0</v>
      </c>
      <c r="DC735" s="675">
        <v>0</v>
      </c>
      <c r="DD735" s="549">
        <v>0</v>
      </c>
      <c r="DE735" s="675">
        <v>0</v>
      </c>
      <c r="DF735" s="549">
        <v>0</v>
      </c>
      <c r="DG735" s="675">
        <v>0</v>
      </c>
      <c r="DH735" s="549">
        <v>0</v>
      </c>
      <c r="DI735" s="675">
        <v>0</v>
      </c>
      <c r="DJ735" s="549">
        <v>0</v>
      </c>
      <c r="DK735" s="675">
        <v>0</v>
      </c>
      <c r="DL735" s="549">
        <v>0</v>
      </c>
      <c r="DM735" s="675">
        <v>0</v>
      </c>
      <c r="DN735" s="549">
        <v>0</v>
      </c>
      <c r="DO735" s="675">
        <v>0</v>
      </c>
      <c r="DP735" s="549">
        <v>0</v>
      </c>
      <c r="DQ735" s="675">
        <v>0</v>
      </c>
      <c r="DR735" s="549">
        <v>0</v>
      </c>
      <c r="DS735" s="675">
        <v>0</v>
      </c>
      <c r="DT735" s="549">
        <v>0</v>
      </c>
      <c r="DU735" s="675">
        <v>0</v>
      </c>
      <c r="DV735" s="549">
        <v>0</v>
      </c>
      <c r="DW735" s="675">
        <v>0</v>
      </c>
      <c r="DX735" s="549">
        <v>0</v>
      </c>
      <c r="DY735" s="675">
        <v>0</v>
      </c>
      <c r="DZ735" s="549">
        <v>0</v>
      </c>
      <c r="EA735" s="675">
        <v>0</v>
      </c>
      <c r="EB735" s="549">
        <v>0</v>
      </c>
      <c r="EC735" s="675">
        <v>0</v>
      </c>
      <c r="ED735" s="549">
        <v>0</v>
      </c>
      <c r="EE735" s="675">
        <v>0</v>
      </c>
      <c r="EF735" s="549">
        <v>0</v>
      </c>
      <c r="EG735" s="675">
        <v>0</v>
      </c>
      <c r="EH735" s="549">
        <v>0</v>
      </c>
      <c r="EI735" s="675">
        <v>0</v>
      </c>
      <c r="EJ735" s="549">
        <v>0</v>
      </c>
      <c r="EK735" s="675">
        <v>0</v>
      </c>
      <c r="EL735" s="549">
        <v>0</v>
      </c>
      <c r="EM735" s="675">
        <v>0</v>
      </c>
      <c r="EN735" s="549">
        <v>0</v>
      </c>
      <c r="EO735" s="675">
        <v>0</v>
      </c>
      <c r="EP735" s="549">
        <v>0</v>
      </c>
      <c r="EQ735" s="675">
        <v>0</v>
      </c>
      <c r="ER735" s="549">
        <v>0</v>
      </c>
      <c r="ES735" s="675">
        <v>0</v>
      </c>
      <c r="ET735" s="549">
        <v>0</v>
      </c>
      <c r="EU735" s="675">
        <v>0</v>
      </c>
      <c r="EV735" s="549">
        <v>0</v>
      </c>
      <c r="EW735" s="675">
        <v>0</v>
      </c>
      <c r="EX735" s="549">
        <v>0</v>
      </c>
      <c r="EY735" s="675">
        <v>0</v>
      </c>
      <c r="EZ735" s="549">
        <v>0</v>
      </c>
      <c r="FA735" s="675">
        <v>0</v>
      </c>
      <c r="FB735" s="549">
        <v>0</v>
      </c>
      <c r="FC735" s="675">
        <v>0</v>
      </c>
      <c r="FD735" s="549">
        <v>0</v>
      </c>
      <c r="FE735" s="675">
        <v>0</v>
      </c>
      <c r="FF735" s="549">
        <v>0</v>
      </c>
      <c r="FG735" s="675">
        <v>0</v>
      </c>
      <c r="FH735" s="549">
        <v>0</v>
      </c>
      <c r="FI735" s="675">
        <v>0</v>
      </c>
      <c r="FJ735" s="549">
        <v>0</v>
      </c>
      <c r="FK735" s="675">
        <v>0</v>
      </c>
      <c r="FL735" s="549">
        <v>0</v>
      </c>
      <c r="FM735" s="675">
        <v>0</v>
      </c>
      <c r="FN735" s="549">
        <v>0</v>
      </c>
      <c r="FO735" s="675">
        <v>0</v>
      </c>
      <c r="FP735" s="549">
        <v>0</v>
      </c>
      <c r="FQ735" s="675">
        <v>0</v>
      </c>
      <c r="FR735" s="549">
        <v>0</v>
      </c>
      <c r="FS735" s="675">
        <v>0</v>
      </c>
      <c r="FT735" s="549">
        <v>0</v>
      </c>
      <c r="FU735" s="675">
        <v>0</v>
      </c>
      <c r="FV735" s="549">
        <v>0</v>
      </c>
      <c r="FW735" s="675">
        <v>0</v>
      </c>
      <c r="FX735" s="549">
        <v>0</v>
      </c>
      <c r="FY735" s="675">
        <v>0</v>
      </c>
      <c r="FZ735" s="549">
        <v>0</v>
      </c>
      <c r="GA735" s="675">
        <v>0</v>
      </c>
      <c r="GB735" s="549">
        <v>0</v>
      </c>
      <c r="GC735" s="675">
        <v>0</v>
      </c>
      <c r="GD735" s="549">
        <v>0</v>
      </c>
      <c r="GE735" s="675">
        <v>0</v>
      </c>
      <c r="GF735" s="549">
        <v>0</v>
      </c>
      <c r="GG735" s="675">
        <v>0</v>
      </c>
      <c r="GH735" s="549">
        <v>0</v>
      </c>
      <c r="GI735" s="675">
        <v>0</v>
      </c>
      <c r="GJ735" s="549">
        <v>0</v>
      </c>
      <c r="GK735" s="675">
        <v>0</v>
      </c>
      <c r="GL735" s="549">
        <v>0</v>
      </c>
      <c r="GM735" s="675">
        <v>0</v>
      </c>
      <c r="GN735" s="549">
        <v>0</v>
      </c>
      <c r="GO735" s="675">
        <v>0</v>
      </c>
      <c r="GP735" s="549">
        <f t="shared" si="16224"/>
        <v>0</v>
      </c>
      <c r="GQ735" s="675">
        <f t="shared" si="16225"/>
        <v>-5000</v>
      </c>
      <c r="GR735" s="74">
        <f t="shared" si="16226"/>
        <v>0</v>
      </c>
      <c r="GS735" s="74">
        <f t="shared" si="16264"/>
        <v>0</v>
      </c>
      <c r="GT735" s="568">
        <f t="shared" si="16228"/>
        <v>0</v>
      </c>
      <c r="GU735" s="275">
        <v>1000</v>
      </c>
      <c r="GV735" s="275"/>
      <c r="GW735" s="588"/>
      <c r="GX735" s="588">
        <v>1500</v>
      </c>
      <c r="GY735" s="275">
        <v>2500</v>
      </c>
      <c r="GZ735" s="275"/>
      <c r="HA735" s="275">
        <f>1500-1500</f>
        <v>0</v>
      </c>
      <c r="HB735" s="275"/>
      <c r="HC735" s="275"/>
      <c r="HD735" s="275">
        <f>1000-1000</f>
        <v>0</v>
      </c>
      <c r="HE735" s="275">
        <v>0</v>
      </c>
      <c r="HF735" s="275">
        <v>0</v>
      </c>
      <c r="HG735" s="74">
        <f t="shared" si="16229"/>
        <v>0</v>
      </c>
      <c r="HH735" s="89">
        <v>0</v>
      </c>
      <c r="HI735" s="817">
        <v>0</v>
      </c>
      <c r="HJ735" s="89">
        <v>0</v>
      </c>
      <c r="HK735" s="817">
        <v>0</v>
      </c>
      <c r="HL735" s="89">
        <v>0</v>
      </c>
      <c r="HM735" s="817">
        <v>0</v>
      </c>
      <c r="HN735" s="89">
        <v>0</v>
      </c>
      <c r="HO735" s="817">
        <v>2500</v>
      </c>
      <c r="HP735" s="89">
        <v>0</v>
      </c>
      <c r="HQ735" s="817">
        <v>2500</v>
      </c>
      <c r="HR735" s="89">
        <v>0</v>
      </c>
      <c r="HS735" s="817">
        <v>0</v>
      </c>
      <c r="HT735" s="89">
        <v>0</v>
      </c>
      <c r="HU735" s="817">
        <v>0</v>
      </c>
      <c r="HV735" s="89">
        <v>0</v>
      </c>
      <c r="HW735" s="817">
        <v>0</v>
      </c>
      <c r="HX735" s="89">
        <v>0</v>
      </c>
      <c r="HY735" s="817">
        <v>0</v>
      </c>
      <c r="HZ735" s="89">
        <v>0</v>
      </c>
      <c r="IA735" s="817">
        <v>0</v>
      </c>
      <c r="IB735" s="89">
        <v>0</v>
      </c>
      <c r="IC735" s="817">
        <v>0</v>
      </c>
      <c r="ID735" s="89">
        <v>0</v>
      </c>
      <c r="IE735" s="817">
        <v>0</v>
      </c>
      <c r="IF735" s="717">
        <f t="shared" si="16230"/>
        <v>0</v>
      </c>
      <c r="IG735" s="263">
        <f t="shared" si="16231"/>
        <v>0</v>
      </c>
      <c r="IH735" s="718">
        <f t="shared" si="16232"/>
        <v>0</v>
      </c>
      <c r="II735" s="89">
        <v>0</v>
      </c>
      <c r="IJ735" s="89">
        <f t="shared" si="16233"/>
        <v>0</v>
      </c>
      <c r="IK735" s="89">
        <f t="shared" si="16234"/>
        <v>0</v>
      </c>
      <c r="IL735" s="89">
        <v>0</v>
      </c>
      <c r="IM735" s="89">
        <f t="shared" si="16235"/>
        <v>0</v>
      </c>
      <c r="IN735" s="89">
        <f t="shared" si="16236"/>
        <v>0</v>
      </c>
      <c r="IO735" s="89">
        <v>0</v>
      </c>
      <c r="IP735" s="89">
        <f t="shared" si="16237"/>
        <v>0</v>
      </c>
      <c r="IQ735" s="89">
        <f t="shared" si="16238"/>
        <v>0</v>
      </c>
      <c r="IR735" s="89">
        <v>0</v>
      </c>
      <c r="IS735" s="89">
        <f t="shared" si="16239"/>
        <v>0</v>
      </c>
      <c r="IT735" s="89">
        <f t="shared" si="16240"/>
        <v>0</v>
      </c>
      <c r="IU735" s="89">
        <v>0</v>
      </c>
      <c r="IV735" s="89">
        <f t="shared" si="16241"/>
        <v>0</v>
      </c>
      <c r="IW735" s="89">
        <f t="shared" si="16242"/>
        <v>0</v>
      </c>
      <c r="IX735" s="89">
        <v>0</v>
      </c>
      <c r="IY735" s="89">
        <f t="shared" si="16243"/>
        <v>0</v>
      </c>
      <c r="IZ735" s="89">
        <f t="shared" si="16244"/>
        <v>0</v>
      </c>
      <c r="JA735" s="89">
        <v>0</v>
      </c>
      <c r="JB735" s="89">
        <f t="shared" si="16245"/>
        <v>0</v>
      </c>
      <c r="JC735" s="89">
        <f t="shared" si="16246"/>
        <v>0</v>
      </c>
      <c r="JD735" s="89">
        <v>0</v>
      </c>
      <c r="JE735" s="89">
        <f t="shared" si="16247"/>
        <v>0</v>
      </c>
      <c r="JF735" s="89">
        <f t="shared" si="16248"/>
        <v>0</v>
      </c>
      <c r="JG735" s="89">
        <v>0</v>
      </c>
      <c r="JH735" s="89">
        <f t="shared" si="16249"/>
        <v>0</v>
      </c>
      <c r="JI735" s="89">
        <f t="shared" si="16250"/>
        <v>0</v>
      </c>
      <c r="JJ735" s="89">
        <v>0</v>
      </c>
      <c r="JK735" s="89">
        <f t="shared" si="16251"/>
        <v>0</v>
      </c>
      <c r="JL735" s="89">
        <f t="shared" si="16252"/>
        <v>0</v>
      </c>
      <c r="JM735" s="89">
        <v>0</v>
      </c>
      <c r="JN735" s="89">
        <f t="shared" si="16253"/>
        <v>0</v>
      </c>
      <c r="JO735" s="89">
        <f t="shared" si="16254"/>
        <v>0</v>
      </c>
      <c r="JP735" s="89">
        <v>0</v>
      </c>
      <c r="JQ735" s="89">
        <f t="shared" ref="JQ735:JR735" si="16266">JP735</f>
        <v>0</v>
      </c>
      <c r="JR735" s="89">
        <f t="shared" si="16266"/>
        <v>0</v>
      </c>
      <c r="JS735" s="74">
        <f t="shared" si="16257"/>
        <v>0</v>
      </c>
      <c r="JT735" s="382">
        <f t="shared" si="16258"/>
        <v>0</v>
      </c>
      <c r="JU735" s="665"/>
      <c r="JV735" s="524"/>
      <c r="JW735" s="525"/>
      <c r="JX735" s="549">
        <f t="shared" si="16259"/>
        <v>0</v>
      </c>
      <c r="JY735" s="549">
        <f t="shared" si="15767"/>
        <v>5000</v>
      </c>
      <c r="JZ735" s="581">
        <f t="shared" si="14741"/>
        <v>0</v>
      </c>
      <c r="KA735" s="581">
        <f t="shared" si="14741"/>
        <v>-5000</v>
      </c>
      <c r="KB735" s="566">
        <f t="shared" si="15406"/>
        <v>0</v>
      </c>
      <c r="KC735" s="709">
        <f t="shared" si="14739"/>
        <v>0</v>
      </c>
      <c r="KD735" s="491"/>
      <c r="KE735" s="491"/>
      <c r="KF735" s="491"/>
      <c r="KG735" s="491"/>
      <c r="KH735" s="36"/>
      <c r="KI735" s="36"/>
      <c r="KJ735" s="36"/>
      <c r="KK735" s="36"/>
    </row>
    <row r="736" spans="1:297" s="10" customFormat="1" ht="12.75" customHeight="1">
      <c r="A736" s="612" t="s">
        <v>1072</v>
      </c>
      <c r="B736" s="512" t="s">
        <v>940</v>
      </c>
      <c r="C736" s="74">
        <v>6200</v>
      </c>
      <c r="D736" s="549">
        <v>0</v>
      </c>
      <c r="E736" s="675">
        <v>0</v>
      </c>
      <c r="F736" s="549">
        <v>0</v>
      </c>
      <c r="G736" s="675">
        <v>0</v>
      </c>
      <c r="H736" s="549">
        <v>0</v>
      </c>
      <c r="I736" s="675">
        <v>0</v>
      </c>
      <c r="J736" s="549">
        <v>0</v>
      </c>
      <c r="K736" s="675">
        <v>0</v>
      </c>
      <c r="L736" s="549">
        <v>0</v>
      </c>
      <c r="M736" s="675">
        <v>0</v>
      </c>
      <c r="N736" s="549">
        <v>0</v>
      </c>
      <c r="O736" s="675">
        <v>0</v>
      </c>
      <c r="P736" s="549">
        <v>0</v>
      </c>
      <c r="Q736" s="675">
        <v>0</v>
      </c>
      <c r="R736" s="549">
        <v>0</v>
      </c>
      <c r="S736" s="675">
        <v>0</v>
      </c>
      <c r="T736" s="549">
        <v>0</v>
      </c>
      <c r="U736" s="675">
        <v>0</v>
      </c>
      <c r="V736" s="549">
        <v>0</v>
      </c>
      <c r="W736" s="675">
        <v>0</v>
      </c>
      <c r="X736" s="549">
        <v>0</v>
      </c>
      <c r="Y736" s="675">
        <v>0</v>
      </c>
      <c r="Z736" s="549">
        <v>0</v>
      </c>
      <c r="AA736" s="675">
        <v>0</v>
      </c>
      <c r="AB736" s="549">
        <v>0</v>
      </c>
      <c r="AC736" s="675">
        <v>0</v>
      </c>
      <c r="AD736" s="549">
        <v>0</v>
      </c>
      <c r="AE736" s="675">
        <v>0</v>
      </c>
      <c r="AF736" s="549">
        <v>0</v>
      </c>
      <c r="AG736" s="675">
        <v>0</v>
      </c>
      <c r="AH736" s="549">
        <v>0</v>
      </c>
      <c r="AI736" s="675">
        <v>0</v>
      </c>
      <c r="AJ736" s="549">
        <v>0</v>
      </c>
      <c r="AK736" s="675">
        <v>0</v>
      </c>
      <c r="AL736" s="549">
        <v>0</v>
      </c>
      <c r="AM736" s="675">
        <v>0</v>
      </c>
      <c r="AN736" s="549">
        <v>0</v>
      </c>
      <c r="AO736" s="675">
        <v>0</v>
      </c>
      <c r="AP736" s="549">
        <v>0</v>
      </c>
      <c r="AQ736" s="675">
        <v>0</v>
      </c>
      <c r="AR736" s="549">
        <v>0</v>
      </c>
      <c r="AS736" s="675">
        <v>0</v>
      </c>
      <c r="AT736" s="549">
        <v>0</v>
      </c>
      <c r="AU736" s="675">
        <v>0</v>
      </c>
      <c r="AV736" s="549">
        <v>0</v>
      </c>
      <c r="AW736" s="675">
        <v>0</v>
      </c>
      <c r="AX736" s="549">
        <v>0</v>
      </c>
      <c r="AY736" s="675">
        <v>0</v>
      </c>
      <c r="AZ736" s="549">
        <v>0</v>
      </c>
      <c r="BA736" s="675">
        <v>0</v>
      </c>
      <c r="BB736" s="549">
        <v>0</v>
      </c>
      <c r="BC736" s="675">
        <v>0</v>
      </c>
      <c r="BD736" s="549">
        <v>0</v>
      </c>
      <c r="BE736" s="675">
        <v>0</v>
      </c>
      <c r="BF736" s="549">
        <v>0</v>
      </c>
      <c r="BG736" s="675">
        <v>0</v>
      </c>
      <c r="BH736" s="549">
        <v>0</v>
      </c>
      <c r="BI736" s="675">
        <v>0</v>
      </c>
      <c r="BJ736" s="549">
        <v>0</v>
      </c>
      <c r="BK736" s="675">
        <v>0</v>
      </c>
      <c r="BL736" s="549">
        <v>0</v>
      </c>
      <c r="BM736" s="675">
        <v>0</v>
      </c>
      <c r="BN736" s="549">
        <v>0</v>
      </c>
      <c r="BO736" s="675">
        <v>0</v>
      </c>
      <c r="BP736" s="549">
        <v>0</v>
      </c>
      <c r="BQ736" s="675">
        <v>0</v>
      </c>
      <c r="BR736" s="549">
        <v>0</v>
      </c>
      <c r="BS736" s="675">
        <v>0</v>
      </c>
      <c r="BT736" s="549">
        <v>0</v>
      </c>
      <c r="BU736" s="675">
        <v>-6200</v>
      </c>
      <c r="BV736" s="549">
        <v>0</v>
      </c>
      <c r="BW736" s="675">
        <v>0</v>
      </c>
      <c r="BX736" s="549">
        <v>0</v>
      </c>
      <c r="BY736" s="675">
        <v>0</v>
      </c>
      <c r="BZ736" s="549">
        <v>0</v>
      </c>
      <c r="CA736" s="675">
        <v>0</v>
      </c>
      <c r="CB736" s="549">
        <v>0</v>
      </c>
      <c r="CC736" s="675">
        <v>0</v>
      </c>
      <c r="CD736" s="549">
        <v>0</v>
      </c>
      <c r="CE736" s="675">
        <v>0</v>
      </c>
      <c r="CF736" s="549">
        <v>0</v>
      </c>
      <c r="CG736" s="675">
        <v>0</v>
      </c>
      <c r="CH736" s="549">
        <v>0</v>
      </c>
      <c r="CI736" s="675">
        <v>0</v>
      </c>
      <c r="CJ736" s="549">
        <v>0</v>
      </c>
      <c r="CK736" s="675">
        <v>0</v>
      </c>
      <c r="CL736" s="549">
        <v>0</v>
      </c>
      <c r="CM736" s="675">
        <v>0</v>
      </c>
      <c r="CN736" s="549">
        <v>0</v>
      </c>
      <c r="CO736" s="675">
        <v>0</v>
      </c>
      <c r="CP736" s="549">
        <v>0</v>
      </c>
      <c r="CQ736" s="675">
        <v>0</v>
      </c>
      <c r="CR736" s="549">
        <v>0</v>
      </c>
      <c r="CS736" s="675">
        <v>0</v>
      </c>
      <c r="CT736" s="549">
        <v>0</v>
      </c>
      <c r="CU736" s="675">
        <v>0</v>
      </c>
      <c r="CV736" s="549">
        <v>0</v>
      </c>
      <c r="CW736" s="675">
        <v>0</v>
      </c>
      <c r="CX736" s="549">
        <v>0</v>
      </c>
      <c r="CY736" s="675">
        <v>0</v>
      </c>
      <c r="CZ736" s="549">
        <v>0</v>
      </c>
      <c r="DA736" s="675">
        <v>0</v>
      </c>
      <c r="DB736" s="549">
        <v>0</v>
      </c>
      <c r="DC736" s="675">
        <v>0</v>
      </c>
      <c r="DD736" s="549">
        <v>0</v>
      </c>
      <c r="DE736" s="675">
        <v>0</v>
      </c>
      <c r="DF736" s="549">
        <v>0</v>
      </c>
      <c r="DG736" s="675">
        <v>0</v>
      </c>
      <c r="DH736" s="549">
        <v>0</v>
      </c>
      <c r="DI736" s="675">
        <v>0</v>
      </c>
      <c r="DJ736" s="549">
        <v>0</v>
      </c>
      <c r="DK736" s="675">
        <v>0</v>
      </c>
      <c r="DL736" s="549">
        <v>0</v>
      </c>
      <c r="DM736" s="675">
        <v>0</v>
      </c>
      <c r="DN736" s="549">
        <v>0</v>
      </c>
      <c r="DO736" s="675">
        <v>0</v>
      </c>
      <c r="DP736" s="549">
        <v>0</v>
      </c>
      <c r="DQ736" s="675">
        <v>0</v>
      </c>
      <c r="DR736" s="549">
        <v>0</v>
      </c>
      <c r="DS736" s="675">
        <v>0</v>
      </c>
      <c r="DT736" s="549">
        <v>0</v>
      </c>
      <c r="DU736" s="675">
        <v>0</v>
      </c>
      <c r="DV736" s="549">
        <v>0</v>
      </c>
      <c r="DW736" s="675">
        <v>0</v>
      </c>
      <c r="DX736" s="549">
        <v>0</v>
      </c>
      <c r="DY736" s="675">
        <v>0</v>
      </c>
      <c r="DZ736" s="549">
        <v>0</v>
      </c>
      <c r="EA736" s="675">
        <v>0</v>
      </c>
      <c r="EB736" s="549">
        <v>0</v>
      </c>
      <c r="EC736" s="675">
        <v>0</v>
      </c>
      <c r="ED736" s="549">
        <v>0</v>
      </c>
      <c r="EE736" s="675">
        <v>0</v>
      </c>
      <c r="EF736" s="549">
        <v>0</v>
      </c>
      <c r="EG736" s="675">
        <v>0</v>
      </c>
      <c r="EH736" s="549">
        <v>0</v>
      </c>
      <c r="EI736" s="675">
        <v>0</v>
      </c>
      <c r="EJ736" s="549">
        <v>0</v>
      </c>
      <c r="EK736" s="675">
        <v>0</v>
      </c>
      <c r="EL736" s="549">
        <v>0</v>
      </c>
      <c r="EM736" s="675">
        <v>0</v>
      </c>
      <c r="EN736" s="549">
        <v>0</v>
      </c>
      <c r="EO736" s="675">
        <v>0</v>
      </c>
      <c r="EP736" s="549">
        <v>0</v>
      </c>
      <c r="EQ736" s="675">
        <v>0</v>
      </c>
      <c r="ER736" s="549">
        <v>0</v>
      </c>
      <c r="ES736" s="675">
        <v>0</v>
      </c>
      <c r="ET736" s="549">
        <v>0</v>
      </c>
      <c r="EU736" s="675">
        <v>0</v>
      </c>
      <c r="EV736" s="549">
        <v>0</v>
      </c>
      <c r="EW736" s="675">
        <v>0</v>
      </c>
      <c r="EX736" s="549">
        <v>0</v>
      </c>
      <c r="EY736" s="675">
        <v>0</v>
      </c>
      <c r="EZ736" s="549">
        <v>0</v>
      </c>
      <c r="FA736" s="675">
        <v>0</v>
      </c>
      <c r="FB736" s="549">
        <v>0</v>
      </c>
      <c r="FC736" s="675">
        <v>0</v>
      </c>
      <c r="FD736" s="549">
        <v>0</v>
      </c>
      <c r="FE736" s="675">
        <v>0</v>
      </c>
      <c r="FF736" s="549">
        <v>0</v>
      </c>
      <c r="FG736" s="675">
        <v>0</v>
      </c>
      <c r="FH736" s="549">
        <v>0</v>
      </c>
      <c r="FI736" s="675">
        <v>0</v>
      </c>
      <c r="FJ736" s="549">
        <v>0</v>
      </c>
      <c r="FK736" s="675">
        <v>0</v>
      </c>
      <c r="FL736" s="549">
        <v>0</v>
      </c>
      <c r="FM736" s="675">
        <v>0</v>
      </c>
      <c r="FN736" s="549">
        <v>0</v>
      </c>
      <c r="FO736" s="675">
        <v>0</v>
      </c>
      <c r="FP736" s="549">
        <v>0</v>
      </c>
      <c r="FQ736" s="675">
        <v>0</v>
      </c>
      <c r="FR736" s="549">
        <v>0</v>
      </c>
      <c r="FS736" s="675">
        <v>0</v>
      </c>
      <c r="FT736" s="549">
        <v>0</v>
      </c>
      <c r="FU736" s="675">
        <v>0</v>
      </c>
      <c r="FV736" s="549">
        <v>0</v>
      </c>
      <c r="FW736" s="675">
        <v>0</v>
      </c>
      <c r="FX736" s="549">
        <v>0</v>
      </c>
      <c r="FY736" s="675">
        <v>0</v>
      </c>
      <c r="FZ736" s="549">
        <v>0</v>
      </c>
      <c r="GA736" s="675">
        <v>0</v>
      </c>
      <c r="GB736" s="549">
        <v>0</v>
      </c>
      <c r="GC736" s="675">
        <v>0</v>
      </c>
      <c r="GD736" s="549">
        <v>0</v>
      </c>
      <c r="GE736" s="675">
        <v>0</v>
      </c>
      <c r="GF736" s="549">
        <v>0</v>
      </c>
      <c r="GG736" s="675">
        <v>0</v>
      </c>
      <c r="GH736" s="549">
        <v>0</v>
      </c>
      <c r="GI736" s="675">
        <v>0</v>
      </c>
      <c r="GJ736" s="549">
        <v>0</v>
      </c>
      <c r="GK736" s="675">
        <v>0</v>
      </c>
      <c r="GL736" s="549">
        <v>0</v>
      </c>
      <c r="GM736" s="675">
        <v>0</v>
      </c>
      <c r="GN736" s="549">
        <v>0</v>
      </c>
      <c r="GO736" s="675">
        <v>0</v>
      </c>
      <c r="GP736" s="549">
        <f t="shared" si="16224"/>
        <v>0</v>
      </c>
      <c r="GQ736" s="675">
        <f t="shared" si="16225"/>
        <v>-6200</v>
      </c>
      <c r="GR736" s="74">
        <f t="shared" si="16226"/>
        <v>0</v>
      </c>
      <c r="GS736" s="74">
        <f t="shared" si="16264"/>
        <v>0</v>
      </c>
      <c r="GT736" s="568">
        <f t="shared" si="16228"/>
        <v>0</v>
      </c>
      <c r="GU736" s="275">
        <v>1240</v>
      </c>
      <c r="GV736" s="275"/>
      <c r="GW736" s="588"/>
      <c r="GX736" s="275">
        <v>1860</v>
      </c>
      <c r="GY736" s="275">
        <v>3100</v>
      </c>
      <c r="GZ736" s="275"/>
      <c r="HA736" s="275">
        <f>1860-1860</f>
        <v>0</v>
      </c>
      <c r="HB736" s="275"/>
      <c r="HC736" s="275"/>
      <c r="HD736" s="275">
        <f>1240-1240</f>
        <v>0</v>
      </c>
      <c r="HE736" s="275"/>
      <c r="HF736" s="275"/>
      <c r="HG736" s="74">
        <f t="shared" si="16229"/>
        <v>0</v>
      </c>
      <c r="HH736" s="89">
        <v>0</v>
      </c>
      <c r="HI736" s="817">
        <v>0</v>
      </c>
      <c r="HJ736" s="89">
        <v>0</v>
      </c>
      <c r="HK736" s="817">
        <v>0</v>
      </c>
      <c r="HL736" s="89">
        <v>0</v>
      </c>
      <c r="HM736" s="817">
        <v>0</v>
      </c>
      <c r="HN736" s="89">
        <v>0</v>
      </c>
      <c r="HO736" s="817">
        <v>3100</v>
      </c>
      <c r="HP736" s="89">
        <v>0</v>
      </c>
      <c r="HQ736" s="817">
        <v>0</v>
      </c>
      <c r="HR736" s="89">
        <v>0</v>
      </c>
      <c r="HS736" s="817">
        <v>3100</v>
      </c>
      <c r="HT736" s="89">
        <v>0</v>
      </c>
      <c r="HU736" s="817">
        <v>0</v>
      </c>
      <c r="HV736" s="89">
        <v>0</v>
      </c>
      <c r="HW736" s="817">
        <v>0</v>
      </c>
      <c r="HX736" s="89">
        <v>0</v>
      </c>
      <c r="HY736" s="817">
        <v>0</v>
      </c>
      <c r="HZ736" s="89">
        <v>0</v>
      </c>
      <c r="IA736" s="817">
        <v>0</v>
      </c>
      <c r="IB736" s="89">
        <v>0</v>
      </c>
      <c r="IC736" s="817">
        <v>0</v>
      </c>
      <c r="ID736" s="89">
        <v>0</v>
      </c>
      <c r="IE736" s="817">
        <v>0</v>
      </c>
      <c r="IF736" s="717">
        <f t="shared" si="16230"/>
        <v>0</v>
      </c>
      <c r="IG736" s="263">
        <f t="shared" si="16231"/>
        <v>0</v>
      </c>
      <c r="IH736" s="718">
        <f t="shared" si="16232"/>
        <v>0</v>
      </c>
      <c r="II736" s="89">
        <v>0</v>
      </c>
      <c r="IJ736" s="89">
        <f t="shared" si="16233"/>
        <v>0</v>
      </c>
      <c r="IK736" s="89">
        <f t="shared" si="16234"/>
        <v>0</v>
      </c>
      <c r="IL736" s="89">
        <v>0</v>
      </c>
      <c r="IM736" s="89">
        <f t="shared" si="16235"/>
        <v>0</v>
      </c>
      <c r="IN736" s="89">
        <f t="shared" si="16236"/>
        <v>0</v>
      </c>
      <c r="IO736" s="89">
        <v>0</v>
      </c>
      <c r="IP736" s="89">
        <f t="shared" si="16237"/>
        <v>0</v>
      </c>
      <c r="IQ736" s="89">
        <f t="shared" si="16238"/>
        <v>0</v>
      </c>
      <c r="IR736" s="89">
        <v>0</v>
      </c>
      <c r="IS736" s="89">
        <f t="shared" si="16239"/>
        <v>0</v>
      </c>
      <c r="IT736" s="89">
        <f t="shared" si="16240"/>
        <v>0</v>
      </c>
      <c r="IU736" s="89">
        <v>0</v>
      </c>
      <c r="IV736" s="89">
        <f t="shared" si="16241"/>
        <v>0</v>
      </c>
      <c r="IW736" s="89">
        <f t="shared" si="16242"/>
        <v>0</v>
      </c>
      <c r="IX736" s="89">
        <v>0</v>
      </c>
      <c r="IY736" s="89">
        <f t="shared" si="16243"/>
        <v>0</v>
      </c>
      <c r="IZ736" s="89">
        <f t="shared" si="16244"/>
        <v>0</v>
      </c>
      <c r="JA736" s="89">
        <v>0</v>
      </c>
      <c r="JB736" s="89">
        <f t="shared" si="16245"/>
        <v>0</v>
      </c>
      <c r="JC736" s="89">
        <f t="shared" si="16246"/>
        <v>0</v>
      </c>
      <c r="JD736" s="89">
        <v>0</v>
      </c>
      <c r="JE736" s="89">
        <f t="shared" si="16247"/>
        <v>0</v>
      </c>
      <c r="JF736" s="89">
        <f t="shared" si="16248"/>
        <v>0</v>
      </c>
      <c r="JG736" s="89">
        <v>0</v>
      </c>
      <c r="JH736" s="89">
        <f t="shared" si="16249"/>
        <v>0</v>
      </c>
      <c r="JI736" s="89">
        <f t="shared" si="16250"/>
        <v>0</v>
      </c>
      <c r="JJ736" s="89">
        <v>0</v>
      </c>
      <c r="JK736" s="89">
        <f t="shared" si="16251"/>
        <v>0</v>
      </c>
      <c r="JL736" s="89">
        <f t="shared" si="16252"/>
        <v>0</v>
      </c>
      <c r="JM736" s="89">
        <v>0</v>
      </c>
      <c r="JN736" s="89">
        <f t="shared" si="16253"/>
        <v>0</v>
      </c>
      <c r="JO736" s="89">
        <f t="shared" si="16254"/>
        <v>0</v>
      </c>
      <c r="JP736" s="89">
        <v>0</v>
      </c>
      <c r="JQ736" s="89">
        <f t="shared" ref="JQ736:JR736" si="16267">JP736</f>
        <v>0</v>
      </c>
      <c r="JR736" s="89">
        <f t="shared" si="16267"/>
        <v>0</v>
      </c>
      <c r="JS736" s="74">
        <f t="shared" si="16257"/>
        <v>0</v>
      </c>
      <c r="JT736" s="382">
        <f t="shared" si="16258"/>
        <v>0</v>
      </c>
      <c r="JU736" s="665"/>
      <c r="JV736" s="524"/>
      <c r="JW736" s="525"/>
      <c r="JX736" s="549">
        <f>SUM(HH736,HJ736,HL736,HN736,HP736,HR736,HT736,HV736,HX736,HZ736,IB736,ID736)</f>
        <v>0</v>
      </c>
      <c r="JY736" s="549">
        <f t="shared" si="15767"/>
        <v>6200</v>
      </c>
      <c r="JZ736" s="581">
        <f t="shared" si="14741"/>
        <v>0</v>
      </c>
      <c r="KA736" s="581">
        <f t="shared" si="14741"/>
        <v>-6200</v>
      </c>
      <c r="KB736" s="566">
        <f t="shared" si="15406"/>
        <v>0</v>
      </c>
      <c r="KC736" s="709">
        <f t="shared" si="14739"/>
        <v>0</v>
      </c>
      <c r="KD736" s="491"/>
      <c r="KE736" s="491"/>
      <c r="KF736" s="491"/>
      <c r="KG736" s="491"/>
      <c r="KH736" s="36"/>
      <c r="KI736" s="36"/>
      <c r="KJ736" s="36"/>
      <c r="KK736" s="36"/>
    </row>
    <row r="737" spans="1:297" s="10" customFormat="1" ht="12.75" customHeight="1">
      <c r="A737" s="612"/>
      <c r="B737" s="512"/>
      <c r="C737" s="513"/>
      <c r="D737" s="553"/>
      <c r="E737" s="687"/>
      <c r="F737" s="553"/>
      <c r="G737" s="687"/>
      <c r="H737" s="553"/>
      <c r="I737" s="687"/>
      <c r="J737" s="553"/>
      <c r="K737" s="687"/>
      <c r="L737" s="553"/>
      <c r="M737" s="687"/>
      <c r="N737" s="553"/>
      <c r="O737" s="687"/>
      <c r="P737" s="553"/>
      <c r="Q737" s="687"/>
      <c r="R737" s="553"/>
      <c r="S737" s="687"/>
      <c r="T737" s="553"/>
      <c r="U737" s="687"/>
      <c r="V737" s="553"/>
      <c r="W737" s="687"/>
      <c r="X737" s="553"/>
      <c r="Y737" s="687"/>
      <c r="Z737" s="553"/>
      <c r="AA737" s="687"/>
      <c r="AB737" s="553"/>
      <c r="AC737" s="687"/>
      <c r="AD737" s="553"/>
      <c r="AE737" s="687"/>
      <c r="AF737" s="553"/>
      <c r="AG737" s="687"/>
      <c r="AH737" s="553"/>
      <c r="AI737" s="687"/>
      <c r="AJ737" s="553"/>
      <c r="AK737" s="687"/>
      <c r="AL737" s="553"/>
      <c r="AM737" s="687"/>
      <c r="AN737" s="553"/>
      <c r="AO737" s="687"/>
      <c r="AP737" s="553"/>
      <c r="AQ737" s="687"/>
      <c r="AR737" s="553"/>
      <c r="AS737" s="687"/>
      <c r="AT737" s="553"/>
      <c r="AU737" s="687"/>
      <c r="AV737" s="553"/>
      <c r="AW737" s="687"/>
      <c r="AX737" s="553"/>
      <c r="AY737" s="687"/>
      <c r="AZ737" s="553"/>
      <c r="BA737" s="687"/>
      <c r="BB737" s="553"/>
      <c r="BC737" s="687"/>
      <c r="BD737" s="553"/>
      <c r="BE737" s="687"/>
      <c r="BF737" s="553"/>
      <c r="BG737" s="687"/>
      <c r="BH737" s="553"/>
      <c r="BI737" s="687"/>
      <c r="BJ737" s="553"/>
      <c r="BK737" s="687"/>
      <c r="BL737" s="553"/>
      <c r="BM737" s="687"/>
      <c r="BN737" s="553"/>
      <c r="BO737" s="687"/>
      <c r="BP737" s="553"/>
      <c r="BQ737" s="687"/>
      <c r="BR737" s="553"/>
      <c r="BS737" s="687"/>
      <c r="BT737" s="553"/>
      <c r="BU737" s="687"/>
      <c r="BV737" s="553"/>
      <c r="BW737" s="687"/>
      <c r="BX737" s="553"/>
      <c r="BY737" s="687"/>
      <c r="BZ737" s="553"/>
      <c r="CA737" s="687"/>
      <c r="CB737" s="553"/>
      <c r="CC737" s="687"/>
      <c r="CD737" s="553"/>
      <c r="CE737" s="687"/>
      <c r="CF737" s="553"/>
      <c r="CG737" s="687"/>
      <c r="CH737" s="553"/>
      <c r="CI737" s="687"/>
      <c r="CJ737" s="553"/>
      <c r="CK737" s="687"/>
      <c r="CL737" s="553"/>
      <c r="CM737" s="687"/>
      <c r="CN737" s="553"/>
      <c r="CO737" s="687"/>
      <c r="CP737" s="553"/>
      <c r="CQ737" s="687"/>
      <c r="CR737" s="553"/>
      <c r="CS737" s="687"/>
      <c r="CT737" s="553"/>
      <c r="CU737" s="687"/>
      <c r="CV737" s="553"/>
      <c r="CW737" s="687"/>
      <c r="CX737" s="553"/>
      <c r="CY737" s="687"/>
      <c r="CZ737" s="553"/>
      <c r="DA737" s="687"/>
      <c r="DB737" s="553"/>
      <c r="DC737" s="687"/>
      <c r="DD737" s="553"/>
      <c r="DE737" s="687"/>
      <c r="DF737" s="553"/>
      <c r="DG737" s="687"/>
      <c r="DH737" s="553"/>
      <c r="DI737" s="687"/>
      <c r="DJ737" s="553"/>
      <c r="DK737" s="687"/>
      <c r="DL737" s="553"/>
      <c r="DM737" s="687"/>
      <c r="DN737" s="553"/>
      <c r="DO737" s="687"/>
      <c r="DP737" s="553"/>
      <c r="DQ737" s="687"/>
      <c r="DR737" s="553"/>
      <c r="DS737" s="687"/>
      <c r="DT737" s="553"/>
      <c r="DU737" s="687"/>
      <c r="DV737" s="553"/>
      <c r="DW737" s="687"/>
      <c r="DX737" s="553"/>
      <c r="DY737" s="687"/>
      <c r="DZ737" s="553"/>
      <c r="EA737" s="687"/>
      <c r="EB737" s="553"/>
      <c r="EC737" s="687"/>
      <c r="ED737" s="553"/>
      <c r="EE737" s="687"/>
      <c r="EF737" s="553"/>
      <c r="EG737" s="687"/>
      <c r="EH737" s="553"/>
      <c r="EI737" s="687"/>
      <c r="EJ737" s="553"/>
      <c r="EK737" s="687"/>
      <c r="EL737" s="553"/>
      <c r="EM737" s="687"/>
      <c r="EN737" s="553"/>
      <c r="EO737" s="687"/>
      <c r="EP737" s="553"/>
      <c r="EQ737" s="687"/>
      <c r="ER737" s="553"/>
      <c r="ES737" s="687"/>
      <c r="ET737" s="553"/>
      <c r="EU737" s="687"/>
      <c r="EV737" s="553"/>
      <c r="EW737" s="687"/>
      <c r="EX737" s="553"/>
      <c r="EY737" s="687"/>
      <c r="EZ737" s="553"/>
      <c r="FA737" s="687"/>
      <c r="FB737" s="553"/>
      <c r="FC737" s="687"/>
      <c r="FD737" s="553"/>
      <c r="FE737" s="687"/>
      <c r="FF737" s="553"/>
      <c r="FG737" s="687"/>
      <c r="FH737" s="553"/>
      <c r="FI737" s="687"/>
      <c r="FJ737" s="553"/>
      <c r="FK737" s="687"/>
      <c r="FL737" s="553"/>
      <c r="FM737" s="687"/>
      <c r="FN737" s="553"/>
      <c r="FO737" s="687"/>
      <c r="FP737" s="553"/>
      <c r="FQ737" s="687"/>
      <c r="FR737" s="553"/>
      <c r="FS737" s="687"/>
      <c r="FT737" s="553"/>
      <c r="FU737" s="687"/>
      <c r="FV737" s="553"/>
      <c r="FW737" s="687"/>
      <c r="FX737" s="553"/>
      <c r="FY737" s="687"/>
      <c r="FZ737" s="553"/>
      <c r="GA737" s="687"/>
      <c r="GB737" s="553"/>
      <c r="GC737" s="687"/>
      <c r="GD737" s="553"/>
      <c r="GE737" s="687"/>
      <c r="GF737" s="553"/>
      <c r="GG737" s="687"/>
      <c r="GH737" s="553"/>
      <c r="GI737" s="687"/>
      <c r="GJ737" s="553"/>
      <c r="GK737" s="687"/>
      <c r="GL737" s="553"/>
      <c r="GM737" s="687"/>
      <c r="GN737" s="553"/>
      <c r="GO737" s="687"/>
      <c r="GP737" s="553"/>
      <c r="GQ737" s="687"/>
      <c r="GR737" s="74"/>
      <c r="GS737" s="74"/>
      <c r="GT737" s="567"/>
      <c r="GU737" s="493"/>
      <c r="GV737" s="493"/>
      <c r="GW737" s="589"/>
      <c r="GX737" s="589"/>
      <c r="GY737" s="493"/>
      <c r="GZ737" s="493"/>
      <c r="HA737" s="493"/>
      <c r="HB737" s="493"/>
      <c r="HC737" s="493"/>
      <c r="HD737" s="493"/>
      <c r="HE737" s="493"/>
      <c r="HF737" s="493"/>
      <c r="HG737" s="487"/>
      <c r="HH737" s="488"/>
      <c r="HI737" s="829"/>
      <c r="HJ737" s="488"/>
      <c r="HK737" s="829"/>
      <c r="HL737" s="488"/>
      <c r="HM737" s="829"/>
      <c r="HN737" s="488"/>
      <c r="HO737" s="829"/>
      <c r="HP737" s="488"/>
      <c r="HQ737" s="829"/>
      <c r="HR737" s="488"/>
      <c r="HS737" s="829"/>
      <c r="HT737" s="488"/>
      <c r="HU737" s="829"/>
      <c r="HV737" s="488"/>
      <c r="HW737" s="829"/>
      <c r="HX737" s="488"/>
      <c r="HY737" s="829"/>
      <c r="HZ737" s="488"/>
      <c r="IA737" s="829"/>
      <c r="IB737" s="488"/>
      <c r="IC737" s="829"/>
      <c r="ID737" s="488"/>
      <c r="IE737" s="829"/>
      <c r="IF737" s="719"/>
      <c r="IG737" s="486"/>
      <c r="IH737" s="720"/>
      <c r="II737" s="488"/>
      <c r="IJ737" s="488"/>
      <c r="IK737" s="488"/>
      <c r="IL737" s="488"/>
      <c r="IM737" s="488"/>
      <c r="IN737" s="488"/>
      <c r="IO737" s="488"/>
      <c r="IP737" s="488"/>
      <c r="IQ737" s="488"/>
      <c r="IR737" s="488"/>
      <c r="IS737" s="488"/>
      <c r="IT737" s="488"/>
      <c r="IU737" s="488"/>
      <c r="IV737" s="488"/>
      <c r="IW737" s="488"/>
      <c r="IX737" s="488"/>
      <c r="IY737" s="488"/>
      <c r="IZ737" s="488"/>
      <c r="JA737" s="488"/>
      <c r="JB737" s="488"/>
      <c r="JC737" s="488"/>
      <c r="JD737" s="488"/>
      <c r="JE737" s="488"/>
      <c r="JF737" s="488"/>
      <c r="JG737" s="488"/>
      <c r="JH737" s="488"/>
      <c r="JI737" s="488"/>
      <c r="JJ737" s="488"/>
      <c r="JK737" s="488"/>
      <c r="JL737" s="488"/>
      <c r="JM737" s="488"/>
      <c r="JN737" s="488"/>
      <c r="JO737" s="488"/>
      <c r="JP737" s="488"/>
      <c r="JQ737" s="488"/>
      <c r="JR737" s="488"/>
      <c r="JS737" s="487"/>
      <c r="JT737" s="662"/>
      <c r="JU737" s="665"/>
      <c r="JV737" s="524"/>
      <c r="JW737" s="525"/>
      <c r="JX737" s="553"/>
      <c r="JY737" s="549">
        <f t="shared" si="15767"/>
        <v>0</v>
      </c>
      <c r="JZ737" s="581">
        <f t="shared" si="14740"/>
        <v>0</v>
      </c>
      <c r="KA737" s="581">
        <f t="shared" si="14741"/>
        <v>0</v>
      </c>
      <c r="KB737" s="566">
        <f t="shared" si="15406"/>
        <v>0</v>
      </c>
      <c r="KC737" s="709">
        <f t="shared" si="14739"/>
        <v>0</v>
      </c>
      <c r="KD737" s="494"/>
      <c r="KE737" s="494"/>
      <c r="KF737" s="494"/>
      <c r="KG737" s="494"/>
      <c r="KH737" s="57"/>
      <c r="KI737" s="57"/>
      <c r="KJ737" s="57"/>
      <c r="KK737" s="57"/>
    </row>
    <row r="738" spans="1:297" s="10" customFormat="1">
      <c r="A738" s="613" t="s">
        <v>1200</v>
      </c>
      <c r="B738" s="514" t="s">
        <v>1203</v>
      </c>
      <c r="C738" s="513">
        <f>SUM(C740)</f>
        <v>87500</v>
      </c>
      <c r="D738" s="567">
        <f t="shared" ref="D738:E738" si="16268">SUM(D739:D740)</f>
        <v>0</v>
      </c>
      <c r="E738" s="686">
        <f t="shared" si="16268"/>
        <v>0</v>
      </c>
      <c r="F738" s="567">
        <f t="shared" ref="F738:G738" si="16269">SUM(F739:F740)</f>
        <v>0</v>
      </c>
      <c r="G738" s="686">
        <f t="shared" si="16269"/>
        <v>0</v>
      </c>
      <c r="H738" s="567">
        <f t="shared" ref="H738:I738" si="16270">SUM(H739:H740)</f>
        <v>0</v>
      </c>
      <c r="I738" s="686">
        <f t="shared" si="16270"/>
        <v>0</v>
      </c>
      <c r="J738" s="567">
        <f t="shared" ref="J738:K738" si="16271">SUM(J739:J740)</f>
        <v>0</v>
      </c>
      <c r="K738" s="686">
        <f t="shared" si="16271"/>
        <v>0</v>
      </c>
      <c r="L738" s="567">
        <f t="shared" ref="L738:M738" si="16272">SUM(L739:L740)</f>
        <v>0</v>
      </c>
      <c r="M738" s="686">
        <f t="shared" si="16272"/>
        <v>0</v>
      </c>
      <c r="N738" s="567">
        <f t="shared" ref="N738:O738" si="16273">SUM(N739:N740)</f>
        <v>0</v>
      </c>
      <c r="O738" s="686">
        <f t="shared" si="16273"/>
        <v>0</v>
      </c>
      <c r="P738" s="567">
        <f t="shared" ref="P738:Q738" si="16274">SUM(P739:P740)</f>
        <v>0</v>
      </c>
      <c r="Q738" s="686">
        <f t="shared" si="16274"/>
        <v>0</v>
      </c>
      <c r="R738" s="567">
        <f t="shared" ref="R738:S738" si="16275">SUM(R739:R740)</f>
        <v>0</v>
      </c>
      <c r="S738" s="686">
        <f t="shared" si="16275"/>
        <v>0</v>
      </c>
      <c r="T738" s="567">
        <f t="shared" ref="T738:U738" si="16276">SUM(T739:T740)</f>
        <v>0</v>
      </c>
      <c r="U738" s="686">
        <f t="shared" si="16276"/>
        <v>0</v>
      </c>
      <c r="V738" s="567">
        <f t="shared" ref="V738:W738" si="16277">SUM(V739:V740)</f>
        <v>0</v>
      </c>
      <c r="W738" s="686">
        <f t="shared" si="16277"/>
        <v>0</v>
      </c>
      <c r="X738" s="567">
        <f t="shared" ref="X738:Y738" si="16278">SUM(X739:X740)</f>
        <v>0</v>
      </c>
      <c r="Y738" s="686">
        <f t="shared" si="16278"/>
        <v>0</v>
      </c>
      <c r="Z738" s="567">
        <f t="shared" ref="Z738:AA738" si="16279">SUM(Z739:Z740)</f>
        <v>0</v>
      </c>
      <c r="AA738" s="686">
        <f t="shared" si="16279"/>
        <v>0</v>
      </c>
      <c r="AB738" s="567">
        <f t="shared" ref="AB738:AC738" si="16280">SUM(AB739:AB740)</f>
        <v>0</v>
      </c>
      <c r="AC738" s="686">
        <f t="shared" si="16280"/>
        <v>0</v>
      </c>
      <c r="AD738" s="567">
        <f t="shared" ref="AD738:AE738" si="16281">SUM(AD739:AD740)</f>
        <v>0</v>
      </c>
      <c r="AE738" s="686">
        <f t="shared" si="16281"/>
        <v>0</v>
      </c>
      <c r="AF738" s="567">
        <f t="shared" ref="AF738:AG738" si="16282">SUM(AF739:AF740)</f>
        <v>0</v>
      </c>
      <c r="AG738" s="686">
        <f t="shared" si="16282"/>
        <v>0</v>
      </c>
      <c r="AH738" s="567">
        <f t="shared" ref="AH738:AI738" si="16283">SUM(AH739:AH740)</f>
        <v>0</v>
      </c>
      <c r="AI738" s="686">
        <f t="shared" si="16283"/>
        <v>0</v>
      </c>
      <c r="AJ738" s="567">
        <f t="shared" ref="AJ738:AK738" si="16284">SUM(AJ739:AJ740)</f>
        <v>0</v>
      </c>
      <c r="AK738" s="686">
        <f t="shared" si="16284"/>
        <v>0</v>
      </c>
      <c r="AL738" s="567">
        <f t="shared" ref="AL738:AM738" si="16285">SUM(AL739:AL740)</f>
        <v>0</v>
      </c>
      <c r="AM738" s="686">
        <f t="shared" si="16285"/>
        <v>0</v>
      </c>
      <c r="AN738" s="567">
        <f t="shared" ref="AN738:AO738" si="16286">SUM(AN739:AN740)</f>
        <v>0</v>
      </c>
      <c r="AO738" s="686">
        <f t="shared" si="16286"/>
        <v>0</v>
      </c>
      <c r="AP738" s="567">
        <f t="shared" ref="AP738:AQ738" si="16287">SUM(AP739:AP740)</f>
        <v>0</v>
      </c>
      <c r="AQ738" s="686">
        <f t="shared" si="16287"/>
        <v>0</v>
      </c>
      <c r="AR738" s="567">
        <f t="shared" ref="AR738:AS738" si="16288">SUM(AR739:AR740)</f>
        <v>0</v>
      </c>
      <c r="AS738" s="686">
        <f t="shared" si="16288"/>
        <v>0</v>
      </c>
      <c r="AT738" s="567">
        <f t="shared" ref="AT738:AU738" si="16289">SUM(AT739:AT740)</f>
        <v>0</v>
      </c>
      <c r="AU738" s="686">
        <f t="shared" si="16289"/>
        <v>0</v>
      </c>
      <c r="AV738" s="567">
        <f t="shared" ref="AV738:AW738" si="16290">SUM(AV739:AV740)</f>
        <v>0</v>
      </c>
      <c r="AW738" s="686">
        <f t="shared" si="16290"/>
        <v>0</v>
      </c>
      <c r="AX738" s="567">
        <f t="shared" ref="AX738:AY738" si="16291">SUM(AX739:AX740)</f>
        <v>0</v>
      </c>
      <c r="AY738" s="686">
        <f t="shared" si="16291"/>
        <v>0</v>
      </c>
      <c r="AZ738" s="567">
        <f t="shared" ref="AZ738:BS738" si="16292">SUM(AZ739:AZ740)</f>
        <v>0</v>
      </c>
      <c r="BA738" s="686">
        <f t="shared" si="16292"/>
        <v>0</v>
      </c>
      <c r="BB738" s="567">
        <f t="shared" si="16292"/>
        <v>0</v>
      </c>
      <c r="BC738" s="686">
        <f t="shared" si="16292"/>
        <v>0</v>
      </c>
      <c r="BD738" s="567">
        <f t="shared" si="16292"/>
        <v>0</v>
      </c>
      <c r="BE738" s="686">
        <f t="shared" si="16292"/>
        <v>0</v>
      </c>
      <c r="BF738" s="567">
        <f t="shared" si="16292"/>
        <v>0</v>
      </c>
      <c r="BG738" s="686">
        <f t="shared" si="16292"/>
        <v>0</v>
      </c>
      <c r="BH738" s="567">
        <f t="shared" si="16292"/>
        <v>0</v>
      </c>
      <c r="BI738" s="686">
        <f t="shared" si="16292"/>
        <v>0</v>
      </c>
      <c r="BJ738" s="567">
        <f t="shared" si="16292"/>
        <v>0</v>
      </c>
      <c r="BK738" s="686">
        <f t="shared" si="16292"/>
        <v>0</v>
      </c>
      <c r="BL738" s="567">
        <f t="shared" si="16292"/>
        <v>0</v>
      </c>
      <c r="BM738" s="686">
        <f t="shared" si="16292"/>
        <v>0</v>
      </c>
      <c r="BN738" s="567">
        <f t="shared" si="16292"/>
        <v>0</v>
      </c>
      <c r="BO738" s="686">
        <f t="shared" si="16292"/>
        <v>0</v>
      </c>
      <c r="BP738" s="567">
        <f t="shared" si="16292"/>
        <v>0</v>
      </c>
      <c r="BQ738" s="686">
        <f t="shared" si="16292"/>
        <v>0</v>
      </c>
      <c r="BR738" s="567">
        <f t="shared" si="16292"/>
        <v>0</v>
      </c>
      <c r="BS738" s="686">
        <f t="shared" si="16292"/>
        <v>0</v>
      </c>
      <c r="BT738" s="567">
        <f t="shared" ref="BT738:BU738" si="16293">SUM(BT739:BT740)</f>
        <v>0</v>
      </c>
      <c r="BU738" s="686">
        <f t="shared" si="16293"/>
        <v>-87500</v>
      </c>
      <c r="BV738" s="567">
        <f t="shared" ref="BV738:BW738" si="16294">SUM(BV739:BV740)</f>
        <v>0</v>
      </c>
      <c r="BW738" s="686">
        <f t="shared" si="16294"/>
        <v>0</v>
      </c>
      <c r="BX738" s="567">
        <f t="shared" ref="BX738:BY738" si="16295">SUM(BX739:BX740)</f>
        <v>0</v>
      </c>
      <c r="BY738" s="686">
        <f t="shared" si="16295"/>
        <v>0</v>
      </c>
      <c r="BZ738" s="567">
        <f t="shared" ref="BZ738:CA738" si="16296">SUM(BZ739:BZ740)</f>
        <v>0</v>
      </c>
      <c r="CA738" s="686">
        <f t="shared" si="16296"/>
        <v>0</v>
      </c>
      <c r="CB738" s="567">
        <f t="shared" ref="CB738:CY738" si="16297">SUM(CB739:CB740)</f>
        <v>0</v>
      </c>
      <c r="CC738" s="686">
        <f t="shared" si="16297"/>
        <v>0</v>
      </c>
      <c r="CD738" s="567">
        <f t="shared" si="16297"/>
        <v>0</v>
      </c>
      <c r="CE738" s="686">
        <f t="shared" si="16297"/>
        <v>0</v>
      </c>
      <c r="CF738" s="567">
        <f t="shared" si="16297"/>
        <v>0</v>
      </c>
      <c r="CG738" s="686">
        <f t="shared" si="16297"/>
        <v>0</v>
      </c>
      <c r="CH738" s="567">
        <f t="shared" si="16297"/>
        <v>0</v>
      </c>
      <c r="CI738" s="686">
        <f t="shared" si="16297"/>
        <v>0</v>
      </c>
      <c r="CJ738" s="567">
        <f t="shared" si="16297"/>
        <v>0</v>
      </c>
      <c r="CK738" s="686">
        <f t="shared" si="16297"/>
        <v>0</v>
      </c>
      <c r="CL738" s="567">
        <f t="shared" si="16297"/>
        <v>0</v>
      </c>
      <c r="CM738" s="686">
        <f t="shared" si="16297"/>
        <v>0</v>
      </c>
      <c r="CN738" s="567">
        <f t="shared" si="16297"/>
        <v>0</v>
      </c>
      <c r="CO738" s="686">
        <f t="shared" si="16297"/>
        <v>0</v>
      </c>
      <c r="CP738" s="567">
        <f t="shared" si="16297"/>
        <v>0</v>
      </c>
      <c r="CQ738" s="686">
        <f t="shared" si="16297"/>
        <v>0</v>
      </c>
      <c r="CR738" s="567">
        <f t="shared" si="16297"/>
        <v>0</v>
      </c>
      <c r="CS738" s="686">
        <f t="shared" si="16297"/>
        <v>0</v>
      </c>
      <c r="CT738" s="567">
        <f t="shared" si="16297"/>
        <v>0</v>
      </c>
      <c r="CU738" s="686">
        <f t="shared" si="16297"/>
        <v>0</v>
      </c>
      <c r="CV738" s="567">
        <f t="shared" si="16297"/>
        <v>0</v>
      </c>
      <c r="CW738" s="686">
        <f t="shared" si="16297"/>
        <v>0</v>
      </c>
      <c r="CX738" s="567">
        <f t="shared" si="16297"/>
        <v>0</v>
      </c>
      <c r="CY738" s="686">
        <f t="shared" si="16297"/>
        <v>0</v>
      </c>
      <c r="CZ738" s="567">
        <f t="shared" ref="CZ738:EE738" si="16298">SUM(CZ739:CZ740)</f>
        <v>0</v>
      </c>
      <c r="DA738" s="686">
        <f t="shared" si="16298"/>
        <v>0</v>
      </c>
      <c r="DB738" s="567">
        <f t="shared" si="16298"/>
        <v>0</v>
      </c>
      <c r="DC738" s="686">
        <f t="shared" si="16298"/>
        <v>0</v>
      </c>
      <c r="DD738" s="567">
        <f t="shared" si="16298"/>
        <v>0</v>
      </c>
      <c r="DE738" s="686">
        <f t="shared" si="16298"/>
        <v>0</v>
      </c>
      <c r="DF738" s="567">
        <f t="shared" si="16298"/>
        <v>0</v>
      </c>
      <c r="DG738" s="686">
        <f t="shared" si="16298"/>
        <v>0</v>
      </c>
      <c r="DH738" s="567">
        <f t="shared" si="16298"/>
        <v>0</v>
      </c>
      <c r="DI738" s="686">
        <f t="shared" si="16298"/>
        <v>0</v>
      </c>
      <c r="DJ738" s="567">
        <f t="shared" si="16298"/>
        <v>0</v>
      </c>
      <c r="DK738" s="686">
        <f t="shared" si="16298"/>
        <v>0</v>
      </c>
      <c r="DL738" s="567">
        <f t="shared" si="16298"/>
        <v>0</v>
      </c>
      <c r="DM738" s="686">
        <f t="shared" si="16298"/>
        <v>0</v>
      </c>
      <c r="DN738" s="567">
        <f t="shared" si="16298"/>
        <v>0</v>
      </c>
      <c r="DO738" s="686">
        <f t="shared" si="16298"/>
        <v>0</v>
      </c>
      <c r="DP738" s="567">
        <f t="shared" si="16298"/>
        <v>0</v>
      </c>
      <c r="DQ738" s="686">
        <f t="shared" si="16298"/>
        <v>0</v>
      </c>
      <c r="DR738" s="567">
        <f t="shared" si="16298"/>
        <v>0</v>
      </c>
      <c r="DS738" s="686">
        <f t="shared" si="16298"/>
        <v>0</v>
      </c>
      <c r="DT738" s="567">
        <f t="shared" si="16298"/>
        <v>0</v>
      </c>
      <c r="DU738" s="686">
        <f t="shared" si="16298"/>
        <v>0</v>
      </c>
      <c r="DV738" s="567">
        <f t="shared" si="16298"/>
        <v>0</v>
      </c>
      <c r="DW738" s="686">
        <f t="shared" si="16298"/>
        <v>0</v>
      </c>
      <c r="DX738" s="567">
        <f t="shared" si="16298"/>
        <v>0</v>
      </c>
      <c r="DY738" s="686">
        <f t="shared" si="16298"/>
        <v>0</v>
      </c>
      <c r="DZ738" s="567">
        <f t="shared" si="16298"/>
        <v>0</v>
      </c>
      <c r="EA738" s="686">
        <f t="shared" si="16298"/>
        <v>0</v>
      </c>
      <c r="EB738" s="567">
        <f t="shared" si="16298"/>
        <v>0</v>
      </c>
      <c r="EC738" s="686">
        <f t="shared" si="16298"/>
        <v>0</v>
      </c>
      <c r="ED738" s="567">
        <f t="shared" si="16298"/>
        <v>0</v>
      </c>
      <c r="EE738" s="686">
        <f t="shared" si="16298"/>
        <v>0</v>
      </c>
      <c r="EF738" s="567">
        <f t="shared" ref="EF738:FK738" si="16299">SUM(EF739:EF740)</f>
        <v>0</v>
      </c>
      <c r="EG738" s="686">
        <f t="shared" si="16299"/>
        <v>0</v>
      </c>
      <c r="EH738" s="567">
        <f t="shared" si="16299"/>
        <v>0</v>
      </c>
      <c r="EI738" s="686">
        <f t="shared" si="16299"/>
        <v>0</v>
      </c>
      <c r="EJ738" s="567">
        <f t="shared" si="16299"/>
        <v>0</v>
      </c>
      <c r="EK738" s="686">
        <f t="shared" si="16299"/>
        <v>0</v>
      </c>
      <c r="EL738" s="567">
        <f t="shared" si="16299"/>
        <v>0</v>
      </c>
      <c r="EM738" s="686">
        <f t="shared" si="16299"/>
        <v>0</v>
      </c>
      <c r="EN738" s="567">
        <f t="shared" si="16299"/>
        <v>0</v>
      </c>
      <c r="EO738" s="686">
        <f t="shared" si="16299"/>
        <v>0</v>
      </c>
      <c r="EP738" s="567">
        <f t="shared" si="16299"/>
        <v>0</v>
      </c>
      <c r="EQ738" s="686">
        <f t="shared" si="16299"/>
        <v>0</v>
      </c>
      <c r="ER738" s="567">
        <f t="shared" si="16299"/>
        <v>0</v>
      </c>
      <c r="ES738" s="686">
        <f t="shared" si="16299"/>
        <v>0</v>
      </c>
      <c r="ET738" s="567">
        <f t="shared" si="16299"/>
        <v>0</v>
      </c>
      <c r="EU738" s="686">
        <f t="shared" si="16299"/>
        <v>0</v>
      </c>
      <c r="EV738" s="567">
        <f t="shared" si="16299"/>
        <v>0</v>
      </c>
      <c r="EW738" s="686">
        <f t="shared" si="16299"/>
        <v>0</v>
      </c>
      <c r="EX738" s="567">
        <f t="shared" si="16299"/>
        <v>0</v>
      </c>
      <c r="EY738" s="686">
        <f t="shared" si="16299"/>
        <v>0</v>
      </c>
      <c r="EZ738" s="567">
        <f t="shared" si="16299"/>
        <v>0</v>
      </c>
      <c r="FA738" s="686">
        <f t="shared" si="16299"/>
        <v>0</v>
      </c>
      <c r="FB738" s="567">
        <f t="shared" si="16299"/>
        <v>0</v>
      </c>
      <c r="FC738" s="686">
        <f t="shared" si="16299"/>
        <v>0</v>
      </c>
      <c r="FD738" s="567">
        <f t="shared" si="16299"/>
        <v>0</v>
      </c>
      <c r="FE738" s="686">
        <f t="shared" si="16299"/>
        <v>0</v>
      </c>
      <c r="FF738" s="567">
        <f t="shared" si="16299"/>
        <v>0</v>
      </c>
      <c r="FG738" s="686">
        <f t="shared" si="16299"/>
        <v>0</v>
      </c>
      <c r="FH738" s="567">
        <f t="shared" si="16299"/>
        <v>0</v>
      </c>
      <c r="FI738" s="686">
        <f t="shared" si="16299"/>
        <v>0</v>
      </c>
      <c r="FJ738" s="567">
        <f t="shared" si="16299"/>
        <v>0</v>
      </c>
      <c r="FK738" s="686">
        <f t="shared" si="16299"/>
        <v>0</v>
      </c>
      <c r="FL738" s="567">
        <f t="shared" ref="FL738:GR738" si="16300">SUM(FL739:FL740)</f>
        <v>0</v>
      </c>
      <c r="FM738" s="686">
        <f t="shared" si="16300"/>
        <v>0</v>
      </c>
      <c r="FN738" s="567">
        <f t="shared" si="16300"/>
        <v>0</v>
      </c>
      <c r="FO738" s="686">
        <f t="shared" si="16300"/>
        <v>0</v>
      </c>
      <c r="FP738" s="567">
        <f t="shared" si="16300"/>
        <v>0</v>
      </c>
      <c r="FQ738" s="686">
        <f t="shared" si="16300"/>
        <v>0</v>
      </c>
      <c r="FR738" s="567">
        <f t="shared" si="16300"/>
        <v>0</v>
      </c>
      <c r="FS738" s="686">
        <f t="shared" si="16300"/>
        <v>0</v>
      </c>
      <c r="FT738" s="567">
        <f t="shared" si="16300"/>
        <v>0</v>
      </c>
      <c r="FU738" s="686">
        <f t="shared" si="16300"/>
        <v>0</v>
      </c>
      <c r="FV738" s="567">
        <f t="shared" si="16300"/>
        <v>0</v>
      </c>
      <c r="FW738" s="686">
        <f t="shared" si="16300"/>
        <v>0</v>
      </c>
      <c r="FX738" s="567">
        <f t="shared" ref="FX738:GK738" si="16301">SUM(FX739:FX740)</f>
        <v>0</v>
      </c>
      <c r="FY738" s="686">
        <f t="shared" si="16301"/>
        <v>0</v>
      </c>
      <c r="FZ738" s="567">
        <f t="shared" ref="FZ738:GI738" si="16302">SUM(FZ739:FZ740)</f>
        <v>0</v>
      </c>
      <c r="GA738" s="686">
        <f t="shared" si="16302"/>
        <v>0</v>
      </c>
      <c r="GB738" s="567">
        <f t="shared" si="16302"/>
        <v>0</v>
      </c>
      <c r="GC738" s="686">
        <f t="shared" si="16302"/>
        <v>0</v>
      </c>
      <c r="GD738" s="567">
        <f t="shared" si="16302"/>
        <v>0</v>
      </c>
      <c r="GE738" s="686">
        <f t="shared" si="16302"/>
        <v>0</v>
      </c>
      <c r="GF738" s="567">
        <f t="shared" si="16302"/>
        <v>0</v>
      </c>
      <c r="GG738" s="686">
        <f t="shared" si="16302"/>
        <v>0</v>
      </c>
      <c r="GH738" s="567">
        <f t="shared" si="16302"/>
        <v>0</v>
      </c>
      <c r="GI738" s="686">
        <f t="shared" si="16302"/>
        <v>0</v>
      </c>
      <c r="GJ738" s="567">
        <f t="shared" si="16301"/>
        <v>0</v>
      </c>
      <c r="GK738" s="686">
        <f t="shared" si="16301"/>
        <v>0</v>
      </c>
      <c r="GL738" s="567">
        <f t="shared" si="16300"/>
        <v>0</v>
      </c>
      <c r="GM738" s="686">
        <f t="shared" si="16300"/>
        <v>0</v>
      </c>
      <c r="GN738" s="567">
        <f t="shared" ref="GN738:GO738" si="16303">SUM(GN739:GN740)</f>
        <v>0</v>
      </c>
      <c r="GO738" s="686">
        <f t="shared" si="16303"/>
        <v>0</v>
      </c>
      <c r="GP738" s="567">
        <f t="shared" si="16300"/>
        <v>0</v>
      </c>
      <c r="GQ738" s="686">
        <f t="shared" si="16300"/>
        <v>-87500</v>
      </c>
      <c r="GR738" s="513">
        <f t="shared" si="16300"/>
        <v>0</v>
      </c>
      <c r="GS738" s="513">
        <f t="shared" ref="GS738:HG738" si="16304">SUM(GS739:GS740)</f>
        <v>0</v>
      </c>
      <c r="GT738" s="567">
        <f t="shared" si="16304"/>
        <v>0</v>
      </c>
      <c r="GU738" s="513">
        <f t="shared" si="16304"/>
        <v>17500</v>
      </c>
      <c r="GV738" s="513">
        <f t="shared" si="16304"/>
        <v>0</v>
      </c>
      <c r="GW738" s="567">
        <f t="shared" si="16304"/>
        <v>0</v>
      </c>
      <c r="GX738" s="567">
        <f t="shared" si="16304"/>
        <v>26250</v>
      </c>
      <c r="GY738" s="513">
        <f t="shared" si="16304"/>
        <v>43750</v>
      </c>
      <c r="GZ738" s="513">
        <f t="shared" si="16304"/>
        <v>0</v>
      </c>
      <c r="HA738" s="513">
        <f t="shared" si="16304"/>
        <v>0</v>
      </c>
      <c r="HB738" s="513">
        <f t="shared" si="16304"/>
        <v>0</v>
      </c>
      <c r="HC738" s="513">
        <f t="shared" si="16304"/>
        <v>0</v>
      </c>
      <c r="HD738" s="513">
        <f t="shared" si="16304"/>
        <v>0</v>
      </c>
      <c r="HE738" s="513">
        <f t="shared" si="16304"/>
        <v>0</v>
      </c>
      <c r="HF738" s="513">
        <f t="shared" si="16304"/>
        <v>0</v>
      </c>
      <c r="HG738" s="513">
        <f t="shared" si="16304"/>
        <v>0</v>
      </c>
      <c r="HH738" s="513">
        <f t="shared" ref="HH738:HI738" si="16305">SUM(HH740)</f>
        <v>0</v>
      </c>
      <c r="HI738" s="827">
        <f t="shared" si="16305"/>
        <v>0</v>
      </c>
      <c r="HJ738" s="513">
        <f t="shared" ref="HJ738:HK738" si="16306">SUM(HJ740)</f>
        <v>0</v>
      </c>
      <c r="HK738" s="827">
        <f t="shared" si="16306"/>
        <v>0</v>
      </c>
      <c r="HL738" s="513">
        <f t="shared" ref="HL738:HM738" si="16307">SUM(HL740)</f>
        <v>0</v>
      </c>
      <c r="HM738" s="827">
        <f t="shared" si="16307"/>
        <v>0</v>
      </c>
      <c r="HN738" s="513">
        <f t="shared" ref="HN738:HO738" si="16308">SUM(HN740)</f>
        <v>0</v>
      </c>
      <c r="HO738" s="827">
        <f t="shared" si="16308"/>
        <v>43750</v>
      </c>
      <c r="HP738" s="513">
        <f t="shared" ref="HP738:HQ738" si="16309">SUM(HP740)</f>
        <v>0</v>
      </c>
      <c r="HQ738" s="827">
        <f t="shared" si="16309"/>
        <v>0</v>
      </c>
      <c r="HR738" s="513">
        <f t="shared" ref="HR738:HS738" si="16310">SUM(HR740)</f>
        <v>0</v>
      </c>
      <c r="HS738" s="827">
        <f t="shared" si="16310"/>
        <v>43750</v>
      </c>
      <c r="HT738" s="513">
        <f t="shared" ref="HT738:HU738" si="16311">SUM(HT740)</f>
        <v>0</v>
      </c>
      <c r="HU738" s="827">
        <f t="shared" si="16311"/>
        <v>0</v>
      </c>
      <c r="HV738" s="513">
        <f t="shared" ref="HV738:HW738" si="16312">SUM(HV740)</f>
        <v>0</v>
      </c>
      <c r="HW738" s="827">
        <f t="shared" si="16312"/>
        <v>0</v>
      </c>
      <c r="HX738" s="513">
        <f t="shared" ref="HX738:HY738" si="16313">SUM(HX740)</f>
        <v>0</v>
      </c>
      <c r="HY738" s="827">
        <f t="shared" si="16313"/>
        <v>0</v>
      </c>
      <c r="HZ738" s="513">
        <f t="shared" ref="HZ738:IA738" si="16314">SUM(HZ740)</f>
        <v>0</v>
      </c>
      <c r="IA738" s="827">
        <f t="shared" si="16314"/>
        <v>0</v>
      </c>
      <c r="IB738" s="513">
        <f t="shared" ref="IB738:IC738" si="16315">SUM(IB740)</f>
        <v>0</v>
      </c>
      <c r="IC738" s="827">
        <f t="shared" si="16315"/>
        <v>0</v>
      </c>
      <c r="ID738" s="513">
        <f t="shared" ref="ID738:IE738" si="16316">SUM(ID740)</f>
        <v>0</v>
      </c>
      <c r="IE738" s="827">
        <f t="shared" si="16316"/>
        <v>0</v>
      </c>
      <c r="IF738" s="715">
        <f>SUM(IF739:IF740)</f>
        <v>0</v>
      </c>
      <c r="IG738" s="704">
        <f t="shared" ref="IG738:IK738" si="16317">SUM(IG739:IG740)</f>
        <v>0</v>
      </c>
      <c r="IH738" s="716">
        <f t="shared" si="16317"/>
        <v>0</v>
      </c>
      <c r="II738" s="513">
        <f t="shared" si="16317"/>
        <v>0</v>
      </c>
      <c r="IJ738" s="513">
        <f t="shared" si="16317"/>
        <v>0</v>
      </c>
      <c r="IK738" s="513">
        <f t="shared" si="16317"/>
        <v>0</v>
      </c>
      <c r="IL738" s="513">
        <f t="shared" ref="IL738:IN738" si="16318">SUM(IL739:IL740)</f>
        <v>0</v>
      </c>
      <c r="IM738" s="513">
        <f t="shared" si="16318"/>
        <v>0</v>
      </c>
      <c r="IN738" s="513">
        <f t="shared" si="16318"/>
        <v>0</v>
      </c>
      <c r="IO738" s="513">
        <f t="shared" ref="IO738:IQ738" si="16319">SUM(IO739:IO740)</f>
        <v>0</v>
      </c>
      <c r="IP738" s="513">
        <f t="shared" si="16319"/>
        <v>0</v>
      </c>
      <c r="IQ738" s="513">
        <f t="shared" si="16319"/>
        <v>0</v>
      </c>
      <c r="IR738" s="513">
        <f t="shared" ref="IR738:IT738" si="16320">SUM(IR739:IR740)</f>
        <v>0</v>
      </c>
      <c r="IS738" s="513">
        <f t="shared" si="16320"/>
        <v>0</v>
      </c>
      <c r="IT738" s="513">
        <f t="shared" si="16320"/>
        <v>0</v>
      </c>
      <c r="IU738" s="513">
        <f t="shared" ref="IU738:IW738" si="16321">SUM(IU739:IU740)</f>
        <v>0</v>
      </c>
      <c r="IV738" s="513">
        <f t="shared" si="16321"/>
        <v>0</v>
      </c>
      <c r="IW738" s="513">
        <f t="shared" si="16321"/>
        <v>0</v>
      </c>
      <c r="IX738" s="513">
        <f t="shared" ref="IX738:IZ738" si="16322">SUM(IX739:IX740)</f>
        <v>0</v>
      </c>
      <c r="IY738" s="513">
        <f t="shared" si="16322"/>
        <v>0</v>
      </c>
      <c r="IZ738" s="513">
        <f t="shared" si="16322"/>
        <v>0</v>
      </c>
      <c r="JA738" s="513">
        <f t="shared" ref="JA738:JC738" si="16323">SUM(JA739:JA740)</f>
        <v>0</v>
      </c>
      <c r="JB738" s="513">
        <f t="shared" si="16323"/>
        <v>0</v>
      </c>
      <c r="JC738" s="513">
        <f t="shared" si="16323"/>
        <v>0</v>
      </c>
      <c r="JD738" s="513">
        <f t="shared" ref="JD738:JF738" si="16324">SUM(JD739:JD740)</f>
        <v>0</v>
      </c>
      <c r="JE738" s="513">
        <f t="shared" si="16324"/>
        <v>0</v>
      </c>
      <c r="JF738" s="513">
        <f t="shared" si="16324"/>
        <v>0</v>
      </c>
      <c r="JG738" s="513">
        <f t="shared" ref="JG738:JI738" si="16325">SUM(JG739:JG740)</f>
        <v>0</v>
      </c>
      <c r="JH738" s="513">
        <f t="shared" si="16325"/>
        <v>0</v>
      </c>
      <c r="JI738" s="513">
        <f t="shared" si="16325"/>
        <v>0</v>
      </c>
      <c r="JJ738" s="513">
        <f t="shared" ref="JJ738:JL738" si="16326">SUM(JJ739:JJ740)</f>
        <v>0</v>
      </c>
      <c r="JK738" s="513">
        <f t="shared" si="16326"/>
        <v>0</v>
      </c>
      <c r="JL738" s="513">
        <f t="shared" si="16326"/>
        <v>0</v>
      </c>
      <c r="JM738" s="513">
        <f t="shared" ref="JM738:JO738" si="16327">SUM(JM739:JM740)</f>
        <v>0</v>
      </c>
      <c r="JN738" s="513">
        <f t="shared" si="16327"/>
        <v>0</v>
      </c>
      <c r="JO738" s="513">
        <f t="shared" si="16327"/>
        <v>0</v>
      </c>
      <c r="JP738" s="513">
        <f t="shared" ref="JP738:JT738" si="16328">SUM(JP739:JP740)</f>
        <v>0</v>
      </c>
      <c r="JQ738" s="513">
        <f t="shared" si="16328"/>
        <v>0</v>
      </c>
      <c r="JR738" s="513">
        <f t="shared" si="16328"/>
        <v>0</v>
      </c>
      <c r="JS738" s="513">
        <f t="shared" si="16328"/>
        <v>0</v>
      </c>
      <c r="JT738" s="573">
        <f t="shared" si="16328"/>
        <v>0</v>
      </c>
      <c r="JU738" s="665"/>
      <c r="JV738" s="524"/>
      <c r="JW738" s="525"/>
      <c r="JX738" s="567">
        <f>SUM(JX739:JX740)</f>
        <v>0</v>
      </c>
      <c r="JY738" s="513">
        <f>SUM(HI738,HK738,HM738,HO738,HQ738,HS738,HU738,HW738,HY738,IA738,IC738,IE738)</f>
        <v>87500</v>
      </c>
      <c r="JZ738" s="513">
        <f>GP738</f>
        <v>0</v>
      </c>
      <c r="KA738" s="513">
        <f>GQ738</f>
        <v>-87500</v>
      </c>
      <c r="KB738" s="513">
        <f>SUM(JX738:KA738)</f>
        <v>0</v>
      </c>
      <c r="KC738" s="709">
        <f t="shared" ref="KC738:KC740" si="16329">HG738-KB738</f>
        <v>0</v>
      </c>
      <c r="KD738" s="491"/>
      <c r="KE738" s="491"/>
      <c r="KF738" s="491"/>
      <c r="KG738" s="491"/>
      <c r="KH738" s="36"/>
      <c r="KI738" s="36"/>
      <c r="KJ738" s="36"/>
      <c r="KK738" s="36"/>
    </row>
    <row r="739" spans="1:297" s="10" customFormat="1" hidden="1">
      <c r="A739" s="612" t="s">
        <v>1211</v>
      </c>
      <c r="B739" s="514"/>
      <c r="C739" s="513">
        <v>0</v>
      </c>
      <c r="D739" s="549">
        <v>0</v>
      </c>
      <c r="E739" s="675">
        <v>0</v>
      </c>
      <c r="F739" s="549">
        <v>0</v>
      </c>
      <c r="G739" s="675">
        <v>0</v>
      </c>
      <c r="H739" s="549">
        <v>0</v>
      </c>
      <c r="I739" s="675">
        <v>0</v>
      </c>
      <c r="J739" s="549">
        <v>0</v>
      </c>
      <c r="K739" s="675">
        <v>0</v>
      </c>
      <c r="L739" s="549">
        <v>0</v>
      </c>
      <c r="M739" s="675">
        <v>0</v>
      </c>
      <c r="N739" s="549">
        <v>0</v>
      </c>
      <c r="O739" s="675">
        <v>0</v>
      </c>
      <c r="P739" s="549">
        <v>0</v>
      </c>
      <c r="Q739" s="675">
        <v>0</v>
      </c>
      <c r="R739" s="549">
        <v>0</v>
      </c>
      <c r="S739" s="675">
        <v>0</v>
      </c>
      <c r="T739" s="549">
        <v>0</v>
      </c>
      <c r="U739" s="675">
        <v>0</v>
      </c>
      <c r="V739" s="549">
        <v>0</v>
      </c>
      <c r="W739" s="675">
        <v>0</v>
      </c>
      <c r="X739" s="549">
        <v>0</v>
      </c>
      <c r="Y739" s="675">
        <v>0</v>
      </c>
      <c r="Z739" s="549">
        <v>0</v>
      </c>
      <c r="AA739" s="675">
        <v>0</v>
      </c>
      <c r="AB739" s="549">
        <v>0</v>
      </c>
      <c r="AC739" s="675">
        <v>0</v>
      </c>
      <c r="AD739" s="549">
        <v>0</v>
      </c>
      <c r="AE739" s="675">
        <v>0</v>
      </c>
      <c r="AF739" s="549">
        <v>0</v>
      </c>
      <c r="AG739" s="675">
        <v>0</v>
      </c>
      <c r="AH739" s="549">
        <v>0</v>
      </c>
      <c r="AI739" s="675">
        <v>0</v>
      </c>
      <c r="AJ739" s="549">
        <v>0</v>
      </c>
      <c r="AK739" s="675">
        <v>0</v>
      </c>
      <c r="AL739" s="549">
        <v>0</v>
      </c>
      <c r="AM739" s="675">
        <v>0</v>
      </c>
      <c r="AN739" s="549">
        <v>0</v>
      </c>
      <c r="AO739" s="675">
        <v>0</v>
      </c>
      <c r="AP739" s="549">
        <v>0</v>
      </c>
      <c r="AQ739" s="675">
        <v>0</v>
      </c>
      <c r="AR739" s="549">
        <v>0</v>
      </c>
      <c r="AS739" s="675">
        <v>0</v>
      </c>
      <c r="AT739" s="549">
        <v>0</v>
      </c>
      <c r="AU739" s="675">
        <v>0</v>
      </c>
      <c r="AV739" s="549">
        <v>0</v>
      </c>
      <c r="AW739" s="675">
        <v>0</v>
      </c>
      <c r="AX739" s="549">
        <v>0</v>
      </c>
      <c r="AY739" s="675">
        <v>0</v>
      </c>
      <c r="AZ739" s="549">
        <v>0</v>
      </c>
      <c r="BA739" s="675">
        <v>0</v>
      </c>
      <c r="BB739" s="549">
        <v>0</v>
      </c>
      <c r="BC739" s="675">
        <v>0</v>
      </c>
      <c r="BD739" s="549">
        <v>0</v>
      </c>
      <c r="BE739" s="675">
        <v>0</v>
      </c>
      <c r="BF739" s="549">
        <v>0</v>
      </c>
      <c r="BG739" s="675">
        <v>0</v>
      </c>
      <c r="BH739" s="549">
        <v>0</v>
      </c>
      <c r="BI739" s="675">
        <v>0</v>
      </c>
      <c r="BJ739" s="549">
        <v>0</v>
      </c>
      <c r="BK739" s="675">
        <v>0</v>
      </c>
      <c r="BL739" s="549">
        <v>0</v>
      </c>
      <c r="BM739" s="675">
        <v>0</v>
      </c>
      <c r="BN739" s="549">
        <v>0</v>
      </c>
      <c r="BO739" s="675">
        <v>0</v>
      </c>
      <c r="BP739" s="549">
        <v>0</v>
      </c>
      <c r="BQ739" s="675">
        <v>0</v>
      </c>
      <c r="BR739" s="549">
        <v>0</v>
      </c>
      <c r="BS739" s="675">
        <v>0</v>
      </c>
      <c r="BT739" s="549">
        <v>0</v>
      </c>
      <c r="BU739" s="675">
        <v>0</v>
      </c>
      <c r="BV739" s="549">
        <v>0</v>
      </c>
      <c r="BW739" s="675">
        <v>0</v>
      </c>
      <c r="BX739" s="549">
        <v>0</v>
      </c>
      <c r="BY739" s="675">
        <v>0</v>
      </c>
      <c r="BZ739" s="549">
        <v>0</v>
      </c>
      <c r="CA739" s="675">
        <v>0</v>
      </c>
      <c r="CB739" s="549">
        <v>0</v>
      </c>
      <c r="CC739" s="675">
        <v>0</v>
      </c>
      <c r="CD739" s="549">
        <v>0</v>
      </c>
      <c r="CE739" s="675">
        <v>0</v>
      </c>
      <c r="CF739" s="549">
        <v>0</v>
      </c>
      <c r="CG739" s="675">
        <v>0</v>
      </c>
      <c r="CH739" s="549">
        <v>0</v>
      </c>
      <c r="CI739" s="675">
        <v>0</v>
      </c>
      <c r="CJ739" s="549">
        <v>0</v>
      </c>
      <c r="CK739" s="675">
        <v>0</v>
      </c>
      <c r="CL739" s="549">
        <v>0</v>
      </c>
      <c r="CM739" s="675">
        <v>0</v>
      </c>
      <c r="CN739" s="549">
        <v>0</v>
      </c>
      <c r="CO739" s="675">
        <v>0</v>
      </c>
      <c r="CP739" s="549">
        <v>0</v>
      </c>
      <c r="CQ739" s="675">
        <v>0</v>
      </c>
      <c r="CR739" s="549">
        <v>0</v>
      </c>
      <c r="CS739" s="675">
        <v>0</v>
      </c>
      <c r="CT739" s="549">
        <v>0</v>
      </c>
      <c r="CU739" s="675">
        <v>0</v>
      </c>
      <c r="CV739" s="549">
        <v>0</v>
      </c>
      <c r="CW739" s="675">
        <v>0</v>
      </c>
      <c r="CX739" s="549">
        <v>0</v>
      </c>
      <c r="CY739" s="675">
        <v>0</v>
      </c>
      <c r="CZ739" s="549">
        <v>0</v>
      </c>
      <c r="DA739" s="675">
        <v>0</v>
      </c>
      <c r="DB739" s="549">
        <v>0</v>
      </c>
      <c r="DC739" s="675">
        <v>0</v>
      </c>
      <c r="DD739" s="549">
        <v>0</v>
      </c>
      <c r="DE739" s="675">
        <v>0</v>
      </c>
      <c r="DF739" s="549">
        <v>0</v>
      </c>
      <c r="DG739" s="675">
        <v>0</v>
      </c>
      <c r="DH739" s="549">
        <v>0</v>
      </c>
      <c r="DI739" s="675">
        <v>0</v>
      </c>
      <c r="DJ739" s="549">
        <v>0</v>
      </c>
      <c r="DK739" s="675">
        <v>0</v>
      </c>
      <c r="DL739" s="549">
        <v>0</v>
      </c>
      <c r="DM739" s="675">
        <v>0</v>
      </c>
      <c r="DN739" s="549">
        <v>0</v>
      </c>
      <c r="DO739" s="675">
        <v>0</v>
      </c>
      <c r="DP739" s="549">
        <v>0</v>
      </c>
      <c r="DQ739" s="675">
        <v>0</v>
      </c>
      <c r="DR739" s="549">
        <v>0</v>
      </c>
      <c r="DS739" s="675">
        <v>0</v>
      </c>
      <c r="DT739" s="549">
        <v>0</v>
      </c>
      <c r="DU739" s="675">
        <v>0</v>
      </c>
      <c r="DV739" s="549">
        <v>0</v>
      </c>
      <c r="DW739" s="675">
        <v>0</v>
      </c>
      <c r="DX739" s="549">
        <v>0</v>
      </c>
      <c r="DY739" s="675">
        <v>0</v>
      </c>
      <c r="DZ739" s="549">
        <v>0</v>
      </c>
      <c r="EA739" s="675">
        <v>0</v>
      </c>
      <c r="EB739" s="549">
        <v>0</v>
      </c>
      <c r="EC739" s="675">
        <v>0</v>
      </c>
      <c r="ED739" s="549">
        <v>0</v>
      </c>
      <c r="EE739" s="675">
        <v>0</v>
      </c>
      <c r="EF739" s="549">
        <v>0</v>
      </c>
      <c r="EG739" s="675">
        <v>0</v>
      </c>
      <c r="EH739" s="549">
        <v>0</v>
      </c>
      <c r="EI739" s="675">
        <v>0</v>
      </c>
      <c r="EJ739" s="549">
        <v>0</v>
      </c>
      <c r="EK739" s="675">
        <v>0</v>
      </c>
      <c r="EL739" s="549">
        <v>0</v>
      </c>
      <c r="EM739" s="675">
        <v>0</v>
      </c>
      <c r="EN739" s="549">
        <v>0</v>
      </c>
      <c r="EO739" s="675">
        <v>0</v>
      </c>
      <c r="EP739" s="549">
        <v>0</v>
      </c>
      <c r="EQ739" s="675">
        <v>0</v>
      </c>
      <c r="ER739" s="549">
        <v>0</v>
      </c>
      <c r="ES739" s="675">
        <v>0</v>
      </c>
      <c r="ET739" s="549">
        <v>0</v>
      </c>
      <c r="EU739" s="675">
        <v>0</v>
      </c>
      <c r="EV739" s="549">
        <v>0</v>
      </c>
      <c r="EW739" s="675">
        <v>0</v>
      </c>
      <c r="EX739" s="549">
        <v>0</v>
      </c>
      <c r="EY739" s="675">
        <v>0</v>
      </c>
      <c r="EZ739" s="549">
        <v>0</v>
      </c>
      <c r="FA739" s="675">
        <v>0</v>
      </c>
      <c r="FB739" s="549">
        <v>0</v>
      </c>
      <c r="FC739" s="675">
        <v>0</v>
      </c>
      <c r="FD739" s="549">
        <v>0</v>
      </c>
      <c r="FE739" s="675">
        <v>0</v>
      </c>
      <c r="FF739" s="549">
        <v>0</v>
      </c>
      <c r="FG739" s="675">
        <v>0</v>
      </c>
      <c r="FH739" s="549">
        <v>0</v>
      </c>
      <c r="FI739" s="675">
        <v>0</v>
      </c>
      <c r="FJ739" s="549">
        <v>0</v>
      </c>
      <c r="FK739" s="675">
        <v>0</v>
      </c>
      <c r="FL739" s="549">
        <v>0</v>
      </c>
      <c r="FM739" s="675">
        <v>0</v>
      </c>
      <c r="FN739" s="549">
        <v>0</v>
      </c>
      <c r="FO739" s="675">
        <v>0</v>
      </c>
      <c r="FP739" s="549">
        <v>0</v>
      </c>
      <c r="FQ739" s="675">
        <v>0</v>
      </c>
      <c r="FR739" s="549">
        <v>0</v>
      </c>
      <c r="FS739" s="675">
        <v>0</v>
      </c>
      <c r="FT739" s="549">
        <v>0</v>
      </c>
      <c r="FU739" s="675">
        <v>0</v>
      </c>
      <c r="FV739" s="549">
        <v>0</v>
      </c>
      <c r="FW739" s="675">
        <v>0</v>
      </c>
      <c r="FX739" s="549">
        <v>0</v>
      </c>
      <c r="FY739" s="675">
        <v>0</v>
      </c>
      <c r="FZ739" s="549">
        <v>0</v>
      </c>
      <c r="GA739" s="675">
        <v>0</v>
      </c>
      <c r="GB739" s="549">
        <v>0</v>
      </c>
      <c r="GC739" s="675">
        <v>0</v>
      </c>
      <c r="GD739" s="549">
        <v>0</v>
      </c>
      <c r="GE739" s="675">
        <v>0</v>
      </c>
      <c r="GF739" s="549">
        <v>0</v>
      </c>
      <c r="GG739" s="675">
        <v>0</v>
      </c>
      <c r="GH739" s="549">
        <v>0</v>
      </c>
      <c r="GI739" s="675">
        <v>0</v>
      </c>
      <c r="GJ739" s="549">
        <v>0</v>
      </c>
      <c r="GK739" s="675">
        <v>0</v>
      </c>
      <c r="GL739" s="549">
        <v>0</v>
      </c>
      <c r="GM739" s="675">
        <v>0</v>
      </c>
      <c r="GN739" s="549">
        <v>0</v>
      </c>
      <c r="GO739" s="675">
        <v>0</v>
      </c>
      <c r="GP739" s="549">
        <f t="shared" ref="GP739:GP740" si="16330">+D739+F739+H739+J739+L739+N739+P739+R739+T739+V739+X739+Z739+AB739+AF739+AD739+AH739+AJ739+AL739+AN739+AP739+AR739+AT739+AV739+AX739+AZ739+BB739+BD739+BF739+BH739+BJ739+BL739+BN739+BP739+BR739+BT739+BV739+BX739+BZ739+CB739+CD739+CF739+CH739+CJ739+CL739+CN739+CP739+CR739+CT739+CV739+CX739+CZ739+DB739+DD739+DF739+DH739+DT739+EX739+DJ739+DL739+DN739+DP739+DR739+EJ739+EB739+DZ739+DX739+DV739+ED739+EF739+EH739+EL739+EN739+EP739+EV739+ET739+ER739+EZ739+FB739+FD739+GL739+FF739+FJ739+FL739+GJ739+FT739+FR739+FP739+FN739+FH739+GH739+GF739+GD739+GB739+FZ739+FX739+FV739+GN739</f>
        <v>0</v>
      </c>
      <c r="GQ739" s="675">
        <f t="shared" ref="GQ739:GQ740" si="16331">+E739+G739+I739+K739+M739+O739+Q739+S739+U739+W739+Y739+AA739+AC739+AE739+AG739+AI739+AK739+AM739+AO739+AQ739+AS739+AU739+AW739+AY739+BA739+BC739+BE739+BG739+BI739+BK739+BM739+BO739+BQ739+BS739+BU739+BW739+BY739+CA739+CC739+CE739+CG739+CI739+CK739+CM739+CO739+CQ739+CS739+CU739+CW739+CY739+DA739+DC739+DE739+DG739+DI739+DU739+EY739+DK739+DM739+DO739+DQ739+DS739+EK739+EC739+EA739+DY739+DW739+EI739+EG739+EE739+EM739+EO739+EQ739+EW739+EU739+ES739+FA739+FC739+FE739+GM739+FG739+FK739+FM739+FO739+FQ739+FS739+FU739+GK739+FI739+GI739+GG739+GE739+GC739+GA739+FY739+FW739+GO739</f>
        <v>0</v>
      </c>
      <c r="GR739" s="74">
        <f>C739+GP739+GQ739</f>
        <v>0</v>
      </c>
      <c r="GS739" s="74">
        <f t="shared" ref="GS739" si="16332">SUM(GU739:GV739)+GP739+GQ739+GW739+GX739+GY739+GZ739+HA739+HB739+HC739+HD739+HE739+HF739</f>
        <v>0</v>
      </c>
      <c r="GT739" s="567"/>
      <c r="GU739" s="513"/>
      <c r="GV739" s="513"/>
      <c r="GW739" s="567"/>
      <c r="GX739" s="567"/>
      <c r="GY739" s="513"/>
      <c r="GZ739" s="513"/>
      <c r="HA739" s="513"/>
      <c r="HB739" s="513"/>
      <c r="HC739" s="513"/>
      <c r="HD739" s="513"/>
      <c r="HE739" s="513"/>
      <c r="HF739" s="513"/>
      <c r="HG739" s="74">
        <f t="shared" ref="HG739" si="16333">SUM(HH739:IE739)+GP739+GQ739</f>
        <v>0</v>
      </c>
      <c r="HH739" s="513"/>
      <c r="HI739" s="827"/>
      <c r="HJ739" s="513"/>
      <c r="HK739" s="827"/>
      <c r="HL739" s="513"/>
      <c r="HM739" s="827"/>
      <c r="HN739" s="513"/>
      <c r="HO739" s="827"/>
      <c r="HP739" s="513"/>
      <c r="HQ739" s="827"/>
      <c r="HR739" s="513"/>
      <c r="HS739" s="827"/>
      <c r="HT739" s="513"/>
      <c r="HU739" s="827"/>
      <c r="HV739" s="513"/>
      <c r="HW739" s="827"/>
      <c r="HX739" s="513"/>
      <c r="HY739" s="827"/>
      <c r="HZ739" s="513"/>
      <c r="IA739" s="827"/>
      <c r="IB739" s="513"/>
      <c r="IC739" s="827"/>
      <c r="ID739" s="513"/>
      <c r="IE739" s="827"/>
      <c r="IF739" s="717">
        <f>SUM(II739,IL739,IO739,IR739,IU739,IX739,JA739,JD739,JG739,JJ739,JM739,JP739)</f>
        <v>0</v>
      </c>
      <c r="IG739" s="263">
        <f t="shared" ref="IG739:IG740" si="16334">SUM(IJ739,IM739,IP739,IS739,IV739,IY739,JB739,JE739,JH739,JK739,JN739,JQ739)</f>
        <v>0</v>
      </c>
      <c r="IH739" s="718">
        <f t="shared" ref="IH739:IH740" si="16335">SUM(IK739,IN739,IQ739,IT739,IW739,IZ739,JC739,JF739,JI739,JL739,JO739,JR739)</f>
        <v>0</v>
      </c>
      <c r="II739" s="799">
        <v>0</v>
      </c>
      <c r="IJ739" s="799">
        <v>0</v>
      </c>
      <c r="IK739" s="799">
        <v>0</v>
      </c>
      <c r="IL739" s="799">
        <v>0</v>
      </c>
      <c r="IM739" s="799">
        <v>0</v>
      </c>
      <c r="IN739" s="799">
        <v>0</v>
      </c>
      <c r="IO739" s="799">
        <v>0</v>
      </c>
      <c r="IP739" s="799">
        <v>0</v>
      </c>
      <c r="IQ739" s="799">
        <v>0</v>
      </c>
      <c r="IR739" s="799">
        <v>0</v>
      </c>
      <c r="IS739" s="799">
        <v>0</v>
      </c>
      <c r="IT739" s="799">
        <v>0</v>
      </c>
      <c r="IU739" s="799">
        <v>0</v>
      </c>
      <c r="IV739" s="799">
        <v>0</v>
      </c>
      <c r="IW739" s="799">
        <v>0</v>
      </c>
      <c r="IX739" s="799">
        <v>0</v>
      </c>
      <c r="IY739" s="799">
        <v>0</v>
      </c>
      <c r="IZ739" s="799">
        <v>0</v>
      </c>
      <c r="JA739" s="799">
        <v>0</v>
      </c>
      <c r="JB739" s="799">
        <v>0</v>
      </c>
      <c r="JC739" s="799">
        <v>0</v>
      </c>
      <c r="JD739" s="799">
        <v>0</v>
      </c>
      <c r="JE739" s="799">
        <v>0</v>
      </c>
      <c r="JF739" s="799">
        <v>0</v>
      </c>
      <c r="JG739" s="799">
        <v>0</v>
      </c>
      <c r="JH739" s="799">
        <v>0</v>
      </c>
      <c r="JI739" s="799">
        <v>0</v>
      </c>
      <c r="JJ739" s="799">
        <v>0</v>
      </c>
      <c r="JK739" s="799">
        <v>0</v>
      </c>
      <c r="JL739" s="799">
        <v>0</v>
      </c>
      <c r="JM739" s="799">
        <v>0</v>
      </c>
      <c r="JN739" s="799">
        <v>0</v>
      </c>
      <c r="JO739" s="799">
        <v>0</v>
      </c>
      <c r="JP739" s="799">
        <v>0</v>
      </c>
      <c r="JQ739" s="799">
        <v>0</v>
      </c>
      <c r="JR739" s="799">
        <v>0</v>
      </c>
      <c r="JS739" s="74">
        <f>HG739-IF739</f>
        <v>0</v>
      </c>
      <c r="JT739" s="382">
        <f>GS739-IF739</f>
        <v>0</v>
      </c>
      <c r="JU739" s="665"/>
      <c r="JV739" s="524"/>
      <c r="JW739" s="525"/>
      <c r="JX739" s="549">
        <f>SUM(HH739,HJ739,HL739,HN739,HP739,HR739,HT739,HV739,HX739,HZ739,IB739,ID739)</f>
        <v>0</v>
      </c>
      <c r="JY739" s="549">
        <f t="shared" ref="JY739:JY740" si="16336">SUM(HI739,HK739,HM739,HO739,HQ739,HS739,HU739,HW739,HY739,IA739,IC739,IE739)</f>
        <v>0</v>
      </c>
      <c r="JZ739" s="581">
        <f t="shared" ref="JZ739:JZ740" si="16337">GP739</f>
        <v>0</v>
      </c>
      <c r="KA739" s="581">
        <f t="shared" ref="KA739:KA740" si="16338">GQ739</f>
        <v>0</v>
      </c>
      <c r="KB739" s="566">
        <f t="shared" ref="KB739:KB740" si="16339">SUM(JX739:KA739)</f>
        <v>0</v>
      </c>
      <c r="KC739" s="709"/>
      <c r="KD739" s="491"/>
      <c r="KE739" s="491"/>
      <c r="KF739" s="491"/>
      <c r="KG739" s="491"/>
      <c r="KH739" s="36"/>
      <c r="KI739" s="36"/>
      <c r="KJ739" s="36"/>
      <c r="KK739" s="36"/>
    </row>
    <row r="740" spans="1:297" s="8" customFormat="1" ht="12.75" customHeight="1">
      <c r="A740" s="612" t="s">
        <v>1201</v>
      </c>
      <c r="B740" s="512" t="s">
        <v>1202</v>
      </c>
      <c r="C740" s="74">
        <v>87500</v>
      </c>
      <c r="D740" s="549">
        <v>0</v>
      </c>
      <c r="E740" s="675">
        <v>0</v>
      </c>
      <c r="F740" s="549">
        <v>0</v>
      </c>
      <c r="G740" s="675">
        <v>0</v>
      </c>
      <c r="H740" s="549">
        <v>0</v>
      </c>
      <c r="I740" s="675">
        <v>0</v>
      </c>
      <c r="J740" s="549">
        <v>0</v>
      </c>
      <c r="K740" s="675">
        <v>0</v>
      </c>
      <c r="L740" s="549">
        <v>0</v>
      </c>
      <c r="M740" s="675">
        <v>0</v>
      </c>
      <c r="N740" s="549">
        <v>0</v>
      </c>
      <c r="O740" s="675">
        <v>0</v>
      </c>
      <c r="P740" s="549">
        <v>0</v>
      </c>
      <c r="Q740" s="675">
        <v>0</v>
      </c>
      <c r="R740" s="549">
        <v>0</v>
      </c>
      <c r="S740" s="675">
        <v>0</v>
      </c>
      <c r="T740" s="549">
        <v>0</v>
      </c>
      <c r="U740" s="675">
        <v>0</v>
      </c>
      <c r="V740" s="549">
        <v>0</v>
      </c>
      <c r="W740" s="675">
        <v>0</v>
      </c>
      <c r="X740" s="549">
        <v>0</v>
      </c>
      <c r="Y740" s="675">
        <v>0</v>
      </c>
      <c r="Z740" s="549">
        <v>0</v>
      </c>
      <c r="AA740" s="675">
        <v>0</v>
      </c>
      <c r="AB740" s="549">
        <v>0</v>
      </c>
      <c r="AC740" s="675">
        <v>0</v>
      </c>
      <c r="AD740" s="549">
        <v>0</v>
      </c>
      <c r="AE740" s="675">
        <v>0</v>
      </c>
      <c r="AF740" s="549">
        <v>0</v>
      </c>
      <c r="AG740" s="675">
        <v>0</v>
      </c>
      <c r="AH740" s="549">
        <v>0</v>
      </c>
      <c r="AI740" s="675">
        <v>0</v>
      </c>
      <c r="AJ740" s="549">
        <v>0</v>
      </c>
      <c r="AK740" s="675">
        <v>0</v>
      </c>
      <c r="AL740" s="549">
        <v>0</v>
      </c>
      <c r="AM740" s="675">
        <v>0</v>
      </c>
      <c r="AN740" s="549">
        <v>0</v>
      </c>
      <c r="AO740" s="675">
        <v>0</v>
      </c>
      <c r="AP740" s="549">
        <v>0</v>
      </c>
      <c r="AQ740" s="675">
        <v>0</v>
      </c>
      <c r="AR740" s="549">
        <v>0</v>
      </c>
      <c r="AS740" s="675">
        <v>0</v>
      </c>
      <c r="AT740" s="549">
        <v>0</v>
      </c>
      <c r="AU740" s="675">
        <v>0</v>
      </c>
      <c r="AV740" s="549">
        <v>0</v>
      </c>
      <c r="AW740" s="675">
        <v>0</v>
      </c>
      <c r="AX740" s="549">
        <v>0</v>
      </c>
      <c r="AY740" s="675">
        <v>0</v>
      </c>
      <c r="AZ740" s="549">
        <v>0</v>
      </c>
      <c r="BA740" s="675">
        <v>0</v>
      </c>
      <c r="BB740" s="549">
        <v>0</v>
      </c>
      <c r="BC740" s="675">
        <v>0</v>
      </c>
      <c r="BD740" s="549">
        <v>0</v>
      </c>
      <c r="BE740" s="675">
        <v>0</v>
      </c>
      <c r="BF740" s="549">
        <v>0</v>
      </c>
      <c r="BG740" s="675">
        <v>0</v>
      </c>
      <c r="BH740" s="549">
        <v>0</v>
      </c>
      <c r="BI740" s="675">
        <v>0</v>
      </c>
      <c r="BJ740" s="549">
        <v>0</v>
      </c>
      <c r="BK740" s="675">
        <v>0</v>
      </c>
      <c r="BL740" s="549">
        <v>0</v>
      </c>
      <c r="BM740" s="675">
        <v>0</v>
      </c>
      <c r="BN740" s="549">
        <v>0</v>
      </c>
      <c r="BO740" s="675">
        <v>0</v>
      </c>
      <c r="BP740" s="549">
        <v>0</v>
      </c>
      <c r="BQ740" s="675">
        <v>0</v>
      </c>
      <c r="BR740" s="549">
        <v>0</v>
      </c>
      <c r="BS740" s="675">
        <v>0</v>
      </c>
      <c r="BT740" s="549">
        <v>0</v>
      </c>
      <c r="BU740" s="675">
        <v>-87500</v>
      </c>
      <c r="BV740" s="549">
        <v>0</v>
      </c>
      <c r="BW740" s="675">
        <v>0</v>
      </c>
      <c r="BX740" s="549">
        <v>0</v>
      </c>
      <c r="BY740" s="675">
        <v>0</v>
      </c>
      <c r="BZ740" s="549">
        <v>0</v>
      </c>
      <c r="CA740" s="675">
        <v>0</v>
      </c>
      <c r="CB740" s="549">
        <v>0</v>
      </c>
      <c r="CC740" s="675">
        <v>0</v>
      </c>
      <c r="CD740" s="549">
        <v>0</v>
      </c>
      <c r="CE740" s="675">
        <v>0</v>
      </c>
      <c r="CF740" s="549">
        <v>0</v>
      </c>
      <c r="CG740" s="675">
        <v>0</v>
      </c>
      <c r="CH740" s="549">
        <v>0</v>
      </c>
      <c r="CI740" s="675">
        <v>0</v>
      </c>
      <c r="CJ740" s="549">
        <v>0</v>
      </c>
      <c r="CK740" s="675">
        <v>0</v>
      </c>
      <c r="CL740" s="549">
        <v>0</v>
      </c>
      <c r="CM740" s="675">
        <v>0</v>
      </c>
      <c r="CN740" s="549">
        <v>0</v>
      </c>
      <c r="CO740" s="675">
        <v>0</v>
      </c>
      <c r="CP740" s="549">
        <v>0</v>
      </c>
      <c r="CQ740" s="675">
        <v>0</v>
      </c>
      <c r="CR740" s="549">
        <v>0</v>
      </c>
      <c r="CS740" s="675">
        <v>0</v>
      </c>
      <c r="CT740" s="549">
        <v>0</v>
      </c>
      <c r="CU740" s="675">
        <v>0</v>
      </c>
      <c r="CV740" s="549">
        <v>0</v>
      </c>
      <c r="CW740" s="675">
        <v>0</v>
      </c>
      <c r="CX740" s="549">
        <v>0</v>
      </c>
      <c r="CY740" s="675">
        <v>0</v>
      </c>
      <c r="CZ740" s="549">
        <v>0</v>
      </c>
      <c r="DA740" s="675">
        <v>0</v>
      </c>
      <c r="DB740" s="549">
        <v>0</v>
      </c>
      <c r="DC740" s="675">
        <v>0</v>
      </c>
      <c r="DD740" s="549">
        <v>0</v>
      </c>
      <c r="DE740" s="675">
        <v>0</v>
      </c>
      <c r="DF740" s="549">
        <v>0</v>
      </c>
      <c r="DG740" s="675">
        <v>0</v>
      </c>
      <c r="DH740" s="549">
        <v>0</v>
      </c>
      <c r="DI740" s="675">
        <v>0</v>
      </c>
      <c r="DJ740" s="549">
        <v>0</v>
      </c>
      <c r="DK740" s="675">
        <v>0</v>
      </c>
      <c r="DL740" s="549">
        <v>0</v>
      </c>
      <c r="DM740" s="675">
        <v>0</v>
      </c>
      <c r="DN740" s="549">
        <v>0</v>
      </c>
      <c r="DO740" s="675">
        <v>0</v>
      </c>
      <c r="DP740" s="549">
        <v>0</v>
      </c>
      <c r="DQ740" s="675">
        <v>0</v>
      </c>
      <c r="DR740" s="549">
        <v>0</v>
      </c>
      <c r="DS740" s="675">
        <v>0</v>
      </c>
      <c r="DT740" s="549">
        <v>0</v>
      </c>
      <c r="DU740" s="675">
        <v>0</v>
      </c>
      <c r="DV740" s="549">
        <v>0</v>
      </c>
      <c r="DW740" s="675">
        <v>0</v>
      </c>
      <c r="DX740" s="549">
        <v>0</v>
      </c>
      <c r="DY740" s="675">
        <v>0</v>
      </c>
      <c r="DZ740" s="549">
        <v>0</v>
      </c>
      <c r="EA740" s="675">
        <v>0</v>
      </c>
      <c r="EB740" s="549">
        <v>0</v>
      </c>
      <c r="EC740" s="675">
        <v>0</v>
      </c>
      <c r="ED740" s="549">
        <v>0</v>
      </c>
      <c r="EE740" s="675">
        <v>0</v>
      </c>
      <c r="EF740" s="549">
        <v>0</v>
      </c>
      <c r="EG740" s="675">
        <v>0</v>
      </c>
      <c r="EH740" s="549">
        <v>0</v>
      </c>
      <c r="EI740" s="675">
        <v>0</v>
      </c>
      <c r="EJ740" s="549">
        <v>0</v>
      </c>
      <c r="EK740" s="675">
        <v>0</v>
      </c>
      <c r="EL740" s="549">
        <v>0</v>
      </c>
      <c r="EM740" s="675">
        <v>0</v>
      </c>
      <c r="EN740" s="549">
        <v>0</v>
      </c>
      <c r="EO740" s="675">
        <v>0</v>
      </c>
      <c r="EP740" s="549">
        <v>0</v>
      </c>
      <c r="EQ740" s="675">
        <v>0</v>
      </c>
      <c r="ER740" s="549">
        <v>0</v>
      </c>
      <c r="ES740" s="675">
        <v>0</v>
      </c>
      <c r="ET740" s="549">
        <v>0</v>
      </c>
      <c r="EU740" s="675">
        <v>0</v>
      </c>
      <c r="EV740" s="549">
        <v>0</v>
      </c>
      <c r="EW740" s="675">
        <v>0</v>
      </c>
      <c r="EX740" s="549">
        <v>0</v>
      </c>
      <c r="EY740" s="675">
        <v>0</v>
      </c>
      <c r="EZ740" s="549">
        <v>0</v>
      </c>
      <c r="FA740" s="675">
        <v>0</v>
      </c>
      <c r="FB740" s="549">
        <v>0</v>
      </c>
      <c r="FC740" s="675">
        <v>0</v>
      </c>
      <c r="FD740" s="549">
        <v>0</v>
      </c>
      <c r="FE740" s="675">
        <v>0</v>
      </c>
      <c r="FF740" s="549">
        <v>0</v>
      </c>
      <c r="FG740" s="675">
        <v>0</v>
      </c>
      <c r="FH740" s="549">
        <v>0</v>
      </c>
      <c r="FI740" s="675">
        <v>0</v>
      </c>
      <c r="FJ740" s="549">
        <v>0</v>
      </c>
      <c r="FK740" s="675">
        <v>0</v>
      </c>
      <c r="FL740" s="549">
        <v>0</v>
      </c>
      <c r="FM740" s="675">
        <v>0</v>
      </c>
      <c r="FN740" s="549">
        <v>0</v>
      </c>
      <c r="FO740" s="675">
        <v>0</v>
      </c>
      <c r="FP740" s="549">
        <v>0</v>
      </c>
      <c r="FQ740" s="675">
        <v>0</v>
      </c>
      <c r="FR740" s="549">
        <v>0</v>
      </c>
      <c r="FS740" s="675">
        <v>0</v>
      </c>
      <c r="FT740" s="549">
        <v>0</v>
      </c>
      <c r="FU740" s="675">
        <v>0</v>
      </c>
      <c r="FV740" s="549">
        <v>0</v>
      </c>
      <c r="FW740" s="675">
        <v>0</v>
      </c>
      <c r="FX740" s="549">
        <v>0</v>
      </c>
      <c r="FY740" s="675">
        <v>0</v>
      </c>
      <c r="FZ740" s="549">
        <v>0</v>
      </c>
      <c r="GA740" s="675">
        <v>0</v>
      </c>
      <c r="GB740" s="549">
        <v>0</v>
      </c>
      <c r="GC740" s="675">
        <v>0</v>
      </c>
      <c r="GD740" s="549">
        <v>0</v>
      </c>
      <c r="GE740" s="675">
        <v>0</v>
      </c>
      <c r="GF740" s="549">
        <v>0</v>
      </c>
      <c r="GG740" s="675">
        <v>0</v>
      </c>
      <c r="GH740" s="549">
        <v>0</v>
      </c>
      <c r="GI740" s="675">
        <v>0</v>
      </c>
      <c r="GJ740" s="549">
        <v>0</v>
      </c>
      <c r="GK740" s="675">
        <v>0</v>
      </c>
      <c r="GL740" s="549">
        <v>0</v>
      </c>
      <c r="GM740" s="675">
        <v>0</v>
      </c>
      <c r="GN740" s="549">
        <v>0</v>
      </c>
      <c r="GO740" s="675">
        <v>0</v>
      </c>
      <c r="GP740" s="549">
        <f t="shared" si="16330"/>
        <v>0</v>
      </c>
      <c r="GQ740" s="675">
        <f t="shared" si="16331"/>
        <v>-87500</v>
      </c>
      <c r="GR740" s="74">
        <f>C740+GP740+GQ740</f>
        <v>0</v>
      </c>
      <c r="GS740" s="74">
        <f>SUM(GU740:HD740)+GP740+GQ740</f>
        <v>0</v>
      </c>
      <c r="GT740" s="568">
        <f>SUM(GU740:HF740)+GQ740+GP740</f>
        <v>0</v>
      </c>
      <c r="GU740" s="275">
        <v>17500</v>
      </c>
      <c r="GV740" s="275"/>
      <c r="GW740" s="588"/>
      <c r="GX740" s="275">
        <v>26250</v>
      </c>
      <c r="GY740" s="275">
        <v>43750</v>
      </c>
      <c r="GZ740" s="275"/>
      <c r="HA740" s="275">
        <f>26250-26250</f>
        <v>0</v>
      </c>
      <c r="HB740" s="275"/>
      <c r="HC740" s="275"/>
      <c r="HD740" s="275">
        <f>17500-17500</f>
        <v>0</v>
      </c>
      <c r="HE740" s="275"/>
      <c r="HF740" s="275">
        <v>0</v>
      </c>
      <c r="HG740" s="74">
        <f>SUM(HH740:IE740)+GP740+GQ740</f>
        <v>0</v>
      </c>
      <c r="HH740" s="89">
        <v>0</v>
      </c>
      <c r="HI740" s="157">
        <v>0</v>
      </c>
      <c r="HJ740" s="89">
        <v>0</v>
      </c>
      <c r="HK740" s="157">
        <v>0</v>
      </c>
      <c r="HL740" s="89">
        <v>0</v>
      </c>
      <c r="HM740" s="157">
        <v>0</v>
      </c>
      <c r="HN740" s="89">
        <v>0</v>
      </c>
      <c r="HO740" s="157">
        <v>43750</v>
      </c>
      <c r="HP740" s="89">
        <v>0</v>
      </c>
      <c r="HQ740" s="157">
        <v>0</v>
      </c>
      <c r="HR740" s="89">
        <v>0</v>
      </c>
      <c r="HS740" s="157">
        <v>43750</v>
      </c>
      <c r="HT740" s="89">
        <v>0</v>
      </c>
      <c r="HU740" s="157">
        <v>0</v>
      </c>
      <c r="HV740" s="89">
        <v>0</v>
      </c>
      <c r="HW740" s="157">
        <v>0</v>
      </c>
      <c r="HX740" s="89">
        <v>0</v>
      </c>
      <c r="HY740" s="157">
        <v>0</v>
      </c>
      <c r="HZ740" s="89">
        <v>0</v>
      </c>
      <c r="IA740" s="157">
        <v>0</v>
      </c>
      <c r="IB740" s="89">
        <v>0</v>
      </c>
      <c r="IC740" s="157">
        <v>0</v>
      </c>
      <c r="ID740" s="89">
        <v>0</v>
      </c>
      <c r="IE740" s="157">
        <v>0</v>
      </c>
      <c r="IF740" s="717">
        <f>SUM(II740,IL740,IO740,IR740,IU740,IX740,JA740,JD740,JG740,JJ740,JM740,JP740)</f>
        <v>0</v>
      </c>
      <c r="IG740" s="263">
        <f t="shared" si="16334"/>
        <v>0</v>
      </c>
      <c r="IH740" s="718">
        <f t="shared" si="16335"/>
        <v>0</v>
      </c>
      <c r="II740" s="89">
        <v>0</v>
      </c>
      <c r="IJ740" s="89">
        <f t="shared" ref="IJ740" si="16340">II740</f>
        <v>0</v>
      </c>
      <c r="IK740" s="89">
        <f t="shared" ref="IK740" si="16341">IJ740</f>
        <v>0</v>
      </c>
      <c r="IL740" s="89">
        <v>0</v>
      </c>
      <c r="IM740" s="89">
        <f t="shared" ref="IM740" si="16342">IL740</f>
        <v>0</v>
      </c>
      <c r="IN740" s="89">
        <f t="shared" ref="IN740" si="16343">IM740</f>
        <v>0</v>
      </c>
      <c r="IO740" s="89">
        <v>0</v>
      </c>
      <c r="IP740" s="89">
        <f t="shared" ref="IP740" si="16344">IO740</f>
        <v>0</v>
      </c>
      <c r="IQ740" s="89">
        <f t="shared" ref="IQ740" si="16345">IP740</f>
        <v>0</v>
      </c>
      <c r="IR740" s="89">
        <v>0</v>
      </c>
      <c r="IS740" s="89">
        <f t="shared" ref="IS740" si="16346">IR740</f>
        <v>0</v>
      </c>
      <c r="IT740" s="89">
        <f t="shared" ref="IT740" si="16347">IS740</f>
        <v>0</v>
      </c>
      <c r="IU740" s="89">
        <v>0</v>
      </c>
      <c r="IV740" s="89">
        <f t="shared" ref="IV740" si="16348">IU740</f>
        <v>0</v>
      </c>
      <c r="IW740" s="89">
        <f t="shared" ref="IW740" si="16349">IV740</f>
        <v>0</v>
      </c>
      <c r="IX740" s="89">
        <v>0</v>
      </c>
      <c r="IY740" s="89">
        <f t="shared" ref="IY740" si="16350">IX740</f>
        <v>0</v>
      </c>
      <c r="IZ740" s="89">
        <f t="shared" ref="IZ740" si="16351">IY740</f>
        <v>0</v>
      </c>
      <c r="JA740" s="89">
        <v>0</v>
      </c>
      <c r="JB740" s="89">
        <f t="shared" ref="JB740" si="16352">JA740</f>
        <v>0</v>
      </c>
      <c r="JC740" s="89">
        <f t="shared" ref="JC740" si="16353">JB740</f>
        <v>0</v>
      </c>
      <c r="JD740" s="89">
        <v>0</v>
      </c>
      <c r="JE740" s="89">
        <f t="shared" ref="JE740" si="16354">JD740</f>
        <v>0</v>
      </c>
      <c r="JF740" s="89">
        <f t="shared" ref="JF740" si="16355">JE740</f>
        <v>0</v>
      </c>
      <c r="JG740" s="89">
        <v>0</v>
      </c>
      <c r="JH740" s="89">
        <f t="shared" ref="JH740" si="16356">JG740</f>
        <v>0</v>
      </c>
      <c r="JI740" s="89">
        <f t="shared" ref="JI740" si="16357">JH740</f>
        <v>0</v>
      </c>
      <c r="JJ740" s="89">
        <v>0</v>
      </c>
      <c r="JK740" s="89">
        <f t="shared" ref="JK740" si="16358">JJ740</f>
        <v>0</v>
      </c>
      <c r="JL740" s="89">
        <f t="shared" ref="JL740" si="16359">JK740</f>
        <v>0</v>
      </c>
      <c r="JM740" s="89">
        <v>0</v>
      </c>
      <c r="JN740" s="89">
        <f t="shared" ref="JN740" si="16360">JM740</f>
        <v>0</v>
      </c>
      <c r="JO740" s="89">
        <f t="shared" ref="JO740" si="16361">JN740</f>
        <v>0</v>
      </c>
      <c r="JP740" s="89">
        <v>0</v>
      </c>
      <c r="JQ740" s="89">
        <f t="shared" ref="JQ740:JR740" si="16362">JP740</f>
        <v>0</v>
      </c>
      <c r="JR740" s="89">
        <f t="shared" si="16362"/>
        <v>0</v>
      </c>
      <c r="JS740" s="74">
        <f>HG740-IF740</f>
        <v>0</v>
      </c>
      <c r="JT740" s="382">
        <f>GS740-IF740</f>
        <v>0</v>
      </c>
      <c r="JU740" s="665"/>
      <c r="JV740" s="524"/>
      <c r="JW740" s="525"/>
      <c r="JX740" s="549">
        <f>SUM(HH740,HJ740,HL740,HN740,HP740,HR740,HT740,HV740,HX740,HZ740,IB740,ID740)</f>
        <v>0</v>
      </c>
      <c r="JY740" s="549">
        <f t="shared" si="16336"/>
        <v>87500</v>
      </c>
      <c r="JZ740" s="581">
        <f t="shared" si="16337"/>
        <v>0</v>
      </c>
      <c r="KA740" s="581">
        <f t="shared" si="16338"/>
        <v>-87500</v>
      </c>
      <c r="KB740" s="566">
        <f t="shared" si="16339"/>
        <v>0</v>
      </c>
      <c r="KC740" s="709">
        <f t="shared" si="16329"/>
        <v>0</v>
      </c>
      <c r="KD740" s="494"/>
      <c r="KE740" s="494"/>
      <c r="KF740" s="494"/>
      <c r="KG740" s="494"/>
      <c r="KH740" s="57"/>
      <c r="KI740" s="57"/>
      <c r="KJ740" s="57"/>
      <c r="KK740" s="57"/>
    </row>
    <row r="741" spans="1:297" s="10" customFormat="1" ht="12.75" customHeight="1">
      <c r="A741" s="612"/>
      <c r="B741" s="512"/>
      <c r="C741" s="513"/>
      <c r="D741" s="553"/>
      <c r="E741" s="687"/>
      <c r="F741" s="553"/>
      <c r="G741" s="687"/>
      <c r="H741" s="553"/>
      <c r="I741" s="687"/>
      <c r="J741" s="553"/>
      <c r="K741" s="687"/>
      <c r="L741" s="553"/>
      <c r="M741" s="687"/>
      <c r="N741" s="553"/>
      <c r="O741" s="687"/>
      <c r="P741" s="553"/>
      <c r="Q741" s="687"/>
      <c r="R741" s="553"/>
      <c r="S741" s="687"/>
      <c r="T741" s="553"/>
      <c r="U741" s="687"/>
      <c r="V741" s="553"/>
      <c r="W741" s="687"/>
      <c r="X741" s="553"/>
      <c r="Y741" s="687"/>
      <c r="Z741" s="553"/>
      <c r="AA741" s="687"/>
      <c r="AB741" s="553"/>
      <c r="AC741" s="687"/>
      <c r="AD741" s="553"/>
      <c r="AE741" s="687"/>
      <c r="AF741" s="553"/>
      <c r="AG741" s="687"/>
      <c r="AH741" s="553"/>
      <c r="AI741" s="687"/>
      <c r="AJ741" s="553"/>
      <c r="AK741" s="687"/>
      <c r="AL741" s="553"/>
      <c r="AM741" s="687"/>
      <c r="AN741" s="553"/>
      <c r="AO741" s="687"/>
      <c r="AP741" s="553"/>
      <c r="AQ741" s="687"/>
      <c r="AR741" s="553"/>
      <c r="AS741" s="687"/>
      <c r="AT741" s="553"/>
      <c r="AU741" s="687"/>
      <c r="AV741" s="553"/>
      <c r="AW741" s="687"/>
      <c r="AX741" s="553"/>
      <c r="AY741" s="687"/>
      <c r="AZ741" s="553"/>
      <c r="BA741" s="687"/>
      <c r="BB741" s="553"/>
      <c r="BC741" s="687"/>
      <c r="BD741" s="553"/>
      <c r="BE741" s="687"/>
      <c r="BF741" s="553"/>
      <c r="BG741" s="687"/>
      <c r="BH741" s="553"/>
      <c r="BI741" s="687"/>
      <c r="BJ741" s="553"/>
      <c r="BK741" s="687"/>
      <c r="BL741" s="553"/>
      <c r="BM741" s="687"/>
      <c r="BN741" s="553"/>
      <c r="BO741" s="687"/>
      <c r="BP741" s="553"/>
      <c r="BQ741" s="687"/>
      <c r="BR741" s="553"/>
      <c r="BS741" s="687"/>
      <c r="BT741" s="553"/>
      <c r="BU741" s="687"/>
      <c r="BV741" s="553"/>
      <c r="BW741" s="687"/>
      <c r="BX741" s="553"/>
      <c r="BY741" s="687"/>
      <c r="BZ741" s="553"/>
      <c r="CA741" s="687"/>
      <c r="CB741" s="553"/>
      <c r="CC741" s="687"/>
      <c r="CD741" s="553"/>
      <c r="CE741" s="687"/>
      <c r="CF741" s="553"/>
      <c r="CG741" s="687"/>
      <c r="CH741" s="553"/>
      <c r="CI741" s="687"/>
      <c r="CJ741" s="553"/>
      <c r="CK741" s="687"/>
      <c r="CL741" s="553"/>
      <c r="CM741" s="687"/>
      <c r="CN741" s="553"/>
      <c r="CO741" s="687"/>
      <c r="CP741" s="553"/>
      <c r="CQ741" s="687"/>
      <c r="CR741" s="553"/>
      <c r="CS741" s="687"/>
      <c r="CT741" s="553"/>
      <c r="CU741" s="687"/>
      <c r="CV741" s="553"/>
      <c r="CW741" s="687"/>
      <c r="CX741" s="553"/>
      <c r="CY741" s="687"/>
      <c r="CZ741" s="553"/>
      <c r="DA741" s="687"/>
      <c r="DB741" s="553"/>
      <c r="DC741" s="687"/>
      <c r="DD741" s="553"/>
      <c r="DE741" s="687"/>
      <c r="DF741" s="553"/>
      <c r="DG741" s="687"/>
      <c r="DH741" s="553"/>
      <c r="DI741" s="687"/>
      <c r="DJ741" s="553"/>
      <c r="DK741" s="687"/>
      <c r="DL741" s="553"/>
      <c r="DM741" s="687"/>
      <c r="DN741" s="553"/>
      <c r="DO741" s="687"/>
      <c r="DP741" s="553"/>
      <c r="DQ741" s="687"/>
      <c r="DR741" s="553"/>
      <c r="DS741" s="687"/>
      <c r="DT741" s="553"/>
      <c r="DU741" s="687"/>
      <c r="DV741" s="553"/>
      <c r="DW741" s="687"/>
      <c r="DX741" s="553"/>
      <c r="DY741" s="687"/>
      <c r="DZ741" s="553"/>
      <c r="EA741" s="687"/>
      <c r="EB741" s="553"/>
      <c r="EC741" s="687"/>
      <c r="ED741" s="553"/>
      <c r="EE741" s="687"/>
      <c r="EF741" s="553"/>
      <c r="EG741" s="687"/>
      <c r="EH741" s="553"/>
      <c r="EI741" s="687"/>
      <c r="EJ741" s="553"/>
      <c r="EK741" s="687"/>
      <c r="EL741" s="553"/>
      <c r="EM741" s="687"/>
      <c r="EN741" s="553"/>
      <c r="EO741" s="687"/>
      <c r="EP741" s="553"/>
      <c r="EQ741" s="687"/>
      <c r="ER741" s="553"/>
      <c r="ES741" s="687"/>
      <c r="ET741" s="553"/>
      <c r="EU741" s="687"/>
      <c r="EV741" s="553"/>
      <c r="EW741" s="687"/>
      <c r="EX741" s="553"/>
      <c r="EY741" s="687"/>
      <c r="EZ741" s="553"/>
      <c r="FA741" s="687"/>
      <c r="FB741" s="553"/>
      <c r="FC741" s="687"/>
      <c r="FD741" s="553"/>
      <c r="FE741" s="687"/>
      <c r="FF741" s="553"/>
      <c r="FG741" s="687"/>
      <c r="FH741" s="553"/>
      <c r="FI741" s="687"/>
      <c r="FJ741" s="553"/>
      <c r="FK741" s="687"/>
      <c r="FL741" s="553"/>
      <c r="FM741" s="687"/>
      <c r="FN741" s="553"/>
      <c r="FO741" s="687"/>
      <c r="FP741" s="553"/>
      <c r="FQ741" s="687"/>
      <c r="FR741" s="553"/>
      <c r="FS741" s="687"/>
      <c r="FT741" s="553"/>
      <c r="FU741" s="687"/>
      <c r="FV741" s="553"/>
      <c r="FW741" s="687"/>
      <c r="FX741" s="553"/>
      <c r="FY741" s="687"/>
      <c r="FZ741" s="553"/>
      <c r="GA741" s="687"/>
      <c r="GB741" s="553"/>
      <c r="GC741" s="687"/>
      <c r="GD741" s="553"/>
      <c r="GE741" s="687"/>
      <c r="GF741" s="553"/>
      <c r="GG741" s="687"/>
      <c r="GH741" s="553"/>
      <c r="GI741" s="687"/>
      <c r="GJ741" s="553"/>
      <c r="GK741" s="687"/>
      <c r="GL741" s="553"/>
      <c r="GM741" s="687"/>
      <c r="GN741" s="553"/>
      <c r="GO741" s="687"/>
      <c r="GP741" s="553"/>
      <c r="GQ741" s="687"/>
      <c r="GR741" s="74"/>
      <c r="GS741" s="74"/>
      <c r="GT741" s="567"/>
      <c r="GU741" s="493"/>
      <c r="GV741" s="493"/>
      <c r="GW741" s="589"/>
      <c r="GX741" s="589"/>
      <c r="GY741" s="493"/>
      <c r="GZ741" s="493"/>
      <c r="HA741" s="493"/>
      <c r="HB741" s="493"/>
      <c r="HC741" s="493"/>
      <c r="HD741" s="493"/>
      <c r="HE741" s="493"/>
      <c r="HF741" s="493"/>
      <c r="HG741" s="487"/>
      <c r="HH741" s="488"/>
      <c r="HI741" s="829"/>
      <c r="HJ741" s="488"/>
      <c r="HK741" s="829"/>
      <c r="HL741" s="488"/>
      <c r="HM741" s="829"/>
      <c r="HN741" s="488"/>
      <c r="HO741" s="829"/>
      <c r="HP741" s="488"/>
      <c r="HQ741" s="829"/>
      <c r="HR741" s="488"/>
      <c r="HS741" s="829"/>
      <c r="HT741" s="488"/>
      <c r="HU741" s="829"/>
      <c r="HV741" s="488"/>
      <c r="HW741" s="829"/>
      <c r="HX741" s="488"/>
      <c r="HY741" s="829"/>
      <c r="HZ741" s="488"/>
      <c r="IA741" s="829"/>
      <c r="IB741" s="488"/>
      <c r="IC741" s="829"/>
      <c r="ID741" s="488"/>
      <c r="IE741" s="829"/>
      <c r="IF741" s="719"/>
      <c r="IG741" s="486"/>
      <c r="IH741" s="720"/>
      <c r="II741" s="488"/>
      <c r="IJ741" s="488"/>
      <c r="IK741" s="488"/>
      <c r="IL741" s="488"/>
      <c r="IM741" s="488"/>
      <c r="IN741" s="488"/>
      <c r="IO741" s="488"/>
      <c r="IP741" s="488"/>
      <c r="IQ741" s="488"/>
      <c r="IR741" s="488"/>
      <c r="IS741" s="488"/>
      <c r="IT741" s="488"/>
      <c r="IU741" s="488"/>
      <c r="IV741" s="488"/>
      <c r="IW741" s="488"/>
      <c r="IX741" s="488"/>
      <c r="IY741" s="488"/>
      <c r="IZ741" s="488"/>
      <c r="JA741" s="488"/>
      <c r="JB741" s="488"/>
      <c r="JC741" s="488"/>
      <c r="JD741" s="488"/>
      <c r="JE741" s="488"/>
      <c r="JF741" s="488"/>
      <c r="JG741" s="488"/>
      <c r="JH741" s="488"/>
      <c r="JI741" s="488"/>
      <c r="JJ741" s="488"/>
      <c r="JK741" s="488"/>
      <c r="JL741" s="488"/>
      <c r="JM741" s="488"/>
      <c r="JN741" s="488"/>
      <c r="JO741" s="488"/>
      <c r="JP741" s="488"/>
      <c r="JQ741" s="488"/>
      <c r="JR741" s="488"/>
      <c r="JS741" s="487"/>
      <c r="JT741" s="662"/>
      <c r="JU741" s="665"/>
      <c r="JV741" s="524"/>
      <c r="JW741" s="525"/>
      <c r="JX741" s="553"/>
      <c r="JY741" s="549"/>
      <c r="JZ741" s="581"/>
      <c r="KA741" s="581"/>
      <c r="KB741" s="566"/>
      <c r="KC741" s="709"/>
      <c r="KD741" s="494"/>
      <c r="KE741" s="494"/>
      <c r="KF741" s="494"/>
      <c r="KG741" s="494"/>
      <c r="KH741" s="57"/>
      <c r="KI741" s="57"/>
      <c r="KJ741" s="57"/>
      <c r="KK741" s="57"/>
    </row>
    <row r="742" spans="1:297" s="8" customFormat="1" ht="12.75" customHeight="1">
      <c r="A742" s="613" t="s">
        <v>1192</v>
      </c>
      <c r="B742" s="514" t="s">
        <v>1209</v>
      </c>
      <c r="C742" s="513">
        <f t="shared" ref="C742" si="16363">SUM(C743:C748)</f>
        <v>5400</v>
      </c>
      <c r="D742" s="567">
        <f t="shared" ref="D742:E742" si="16364">SUM(D743:D748)</f>
        <v>0</v>
      </c>
      <c r="E742" s="686">
        <f t="shared" si="16364"/>
        <v>0</v>
      </c>
      <c r="F742" s="567">
        <f t="shared" ref="F742:G742" si="16365">SUM(F743:F748)</f>
        <v>0</v>
      </c>
      <c r="G742" s="686">
        <f t="shared" si="16365"/>
        <v>0</v>
      </c>
      <c r="H742" s="567">
        <f t="shared" ref="H742:I742" si="16366">SUM(H743:H748)</f>
        <v>0</v>
      </c>
      <c r="I742" s="686">
        <f t="shared" si="16366"/>
        <v>0</v>
      </c>
      <c r="J742" s="567">
        <f t="shared" ref="J742:K742" si="16367">SUM(J743:J748)</f>
        <v>0</v>
      </c>
      <c r="K742" s="686">
        <f t="shared" si="16367"/>
        <v>0</v>
      </c>
      <c r="L742" s="567">
        <f t="shared" ref="L742:M742" si="16368">SUM(L743:L748)</f>
        <v>0</v>
      </c>
      <c r="M742" s="686">
        <f t="shared" si="16368"/>
        <v>0</v>
      </c>
      <c r="N742" s="567">
        <f t="shared" ref="N742:O742" si="16369">SUM(N743:N748)</f>
        <v>0</v>
      </c>
      <c r="O742" s="686">
        <f t="shared" si="16369"/>
        <v>0</v>
      </c>
      <c r="P742" s="567">
        <f t="shared" ref="P742:Q742" si="16370">SUM(P743:P748)</f>
        <v>0</v>
      </c>
      <c r="Q742" s="686">
        <f t="shared" si="16370"/>
        <v>0</v>
      </c>
      <c r="R742" s="567">
        <f t="shared" ref="R742:S742" si="16371">SUM(R743:R748)</f>
        <v>0</v>
      </c>
      <c r="S742" s="686">
        <f t="shared" si="16371"/>
        <v>0</v>
      </c>
      <c r="T742" s="567">
        <f t="shared" ref="T742:U742" si="16372">SUM(T743:T748)</f>
        <v>0</v>
      </c>
      <c r="U742" s="686">
        <f t="shared" si="16372"/>
        <v>0</v>
      </c>
      <c r="V742" s="567">
        <f t="shared" ref="V742:W742" si="16373">SUM(V743:V748)</f>
        <v>0</v>
      </c>
      <c r="W742" s="686">
        <f t="shared" si="16373"/>
        <v>0</v>
      </c>
      <c r="X742" s="567">
        <f t="shared" ref="X742:Y742" si="16374">SUM(X743:X748)</f>
        <v>0</v>
      </c>
      <c r="Y742" s="686">
        <f t="shared" si="16374"/>
        <v>0</v>
      </c>
      <c r="Z742" s="567">
        <f t="shared" ref="Z742:AA742" si="16375">SUM(Z743:Z748)</f>
        <v>0</v>
      </c>
      <c r="AA742" s="686">
        <f t="shared" si="16375"/>
        <v>0</v>
      </c>
      <c r="AB742" s="567">
        <f t="shared" ref="AB742:AC742" si="16376">SUM(AB743:AB748)</f>
        <v>0</v>
      </c>
      <c r="AC742" s="686">
        <f t="shared" si="16376"/>
        <v>0</v>
      </c>
      <c r="AD742" s="567">
        <f t="shared" ref="AD742:AE742" si="16377">SUM(AD743:AD748)</f>
        <v>0</v>
      </c>
      <c r="AE742" s="686">
        <f t="shared" si="16377"/>
        <v>0</v>
      </c>
      <c r="AF742" s="567">
        <f t="shared" ref="AF742:AI742" si="16378">SUM(AF743:AF748)</f>
        <v>0</v>
      </c>
      <c r="AG742" s="686">
        <f t="shared" si="16378"/>
        <v>0</v>
      </c>
      <c r="AH742" s="567">
        <f t="shared" si="16378"/>
        <v>0</v>
      </c>
      <c r="AI742" s="686">
        <f t="shared" si="16378"/>
        <v>0</v>
      </c>
      <c r="AJ742" s="567">
        <f t="shared" ref="AJ742:AK742" si="16379">SUM(AJ743:AJ748)</f>
        <v>0</v>
      </c>
      <c r="AK742" s="686">
        <f t="shared" si="16379"/>
        <v>0</v>
      </c>
      <c r="AL742" s="567">
        <f t="shared" ref="AL742:AM742" si="16380">SUM(AL743:AL748)</f>
        <v>0</v>
      </c>
      <c r="AM742" s="686">
        <f t="shared" si="16380"/>
        <v>0</v>
      </c>
      <c r="AN742" s="567">
        <f t="shared" ref="AN742:AO742" si="16381">SUM(AN743:AN748)</f>
        <v>0</v>
      </c>
      <c r="AO742" s="686">
        <f t="shared" si="16381"/>
        <v>0</v>
      </c>
      <c r="AP742" s="567">
        <f t="shared" ref="AP742:AQ742" si="16382">SUM(AP743:AP748)</f>
        <v>0</v>
      </c>
      <c r="AQ742" s="686">
        <f t="shared" si="16382"/>
        <v>0</v>
      </c>
      <c r="AR742" s="567">
        <f t="shared" ref="AR742:AS742" si="16383">SUM(AR743:AR748)</f>
        <v>0</v>
      </c>
      <c r="AS742" s="686">
        <f t="shared" si="16383"/>
        <v>0</v>
      </c>
      <c r="AT742" s="567">
        <f t="shared" ref="AT742:AU742" si="16384">SUM(AT743:AT748)</f>
        <v>0</v>
      </c>
      <c r="AU742" s="686">
        <f t="shared" si="16384"/>
        <v>0</v>
      </c>
      <c r="AV742" s="567">
        <f t="shared" ref="AV742:AW742" si="16385">SUM(AV743:AV748)</f>
        <v>0</v>
      </c>
      <c r="AW742" s="686">
        <f t="shared" si="16385"/>
        <v>0</v>
      </c>
      <c r="AX742" s="567">
        <f t="shared" ref="AX742:AY742" si="16386">SUM(AX743:AX748)</f>
        <v>0</v>
      </c>
      <c r="AY742" s="686">
        <f t="shared" si="16386"/>
        <v>0</v>
      </c>
      <c r="AZ742" s="567">
        <f t="shared" ref="AZ742:BA742" si="16387">SUM(AZ743:AZ748)</f>
        <v>0</v>
      </c>
      <c r="BA742" s="686">
        <f t="shared" si="16387"/>
        <v>0</v>
      </c>
      <c r="BB742" s="567">
        <f t="shared" ref="BB742:BC742" si="16388">SUM(BB743:BB748)</f>
        <v>0</v>
      </c>
      <c r="BC742" s="686">
        <f t="shared" si="16388"/>
        <v>0</v>
      </c>
      <c r="BD742" s="567">
        <f t="shared" ref="BD742:BE742" si="16389">SUM(BD743:BD748)</f>
        <v>0</v>
      </c>
      <c r="BE742" s="686">
        <f t="shared" si="16389"/>
        <v>0</v>
      </c>
      <c r="BF742" s="567">
        <f t="shared" ref="BF742:BG742" si="16390">SUM(BF743:BF748)</f>
        <v>0</v>
      </c>
      <c r="BG742" s="686">
        <f t="shared" si="16390"/>
        <v>0</v>
      </c>
      <c r="BH742" s="567">
        <f t="shared" ref="BH742:BI742" si="16391">SUM(BH743:BH748)</f>
        <v>0</v>
      </c>
      <c r="BI742" s="686">
        <f t="shared" si="16391"/>
        <v>0</v>
      </c>
      <c r="BJ742" s="567">
        <f t="shared" ref="BJ742:BK742" si="16392">SUM(BJ743:BJ748)</f>
        <v>0</v>
      </c>
      <c r="BK742" s="686">
        <f t="shared" si="16392"/>
        <v>0</v>
      </c>
      <c r="BL742" s="567">
        <f t="shared" ref="BL742:BS742" si="16393">SUM(BL743:BL748)</f>
        <v>0</v>
      </c>
      <c r="BM742" s="686">
        <f t="shared" si="16393"/>
        <v>0</v>
      </c>
      <c r="BN742" s="567">
        <f t="shared" si="16393"/>
        <v>0</v>
      </c>
      <c r="BO742" s="686">
        <f t="shared" si="16393"/>
        <v>0</v>
      </c>
      <c r="BP742" s="567">
        <f t="shared" si="16393"/>
        <v>0</v>
      </c>
      <c r="BQ742" s="686">
        <f t="shared" si="16393"/>
        <v>0</v>
      </c>
      <c r="BR742" s="567">
        <f t="shared" si="16393"/>
        <v>0</v>
      </c>
      <c r="BS742" s="686">
        <f t="shared" si="16393"/>
        <v>0</v>
      </c>
      <c r="BT742" s="567">
        <f t="shared" ref="BT742:BU742" si="16394">SUM(BT743:BT748)</f>
        <v>0</v>
      </c>
      <c r="BU742" s="686">
        <f t="shared" si="16394"/>
        <v>-5400</v>
      </c>
      <c r="BV742" s="567">
        <f t="shared" ref="BV742:BW742" si="16395">SUM(BV743:BV748)</f>
        <v>0</v>
      </c>
      <c r="BW742" s="686">
        <f t="shared" si="16395"/>
        <v>0</v>
      </c>
      <c r="BX742" s="567">
        <f t="shared" ref="BX742:BY742" si="16396">SUM(BX743:BX748)</f>
        <v>0</v>
      </c>
      <c r="BY742" s="686">
        <f t="shared" si="16396"/>
        <v>0</v>
      </c>
      <c r="BZ742" s="567">
        <f t="shared" ref="BZ742:CA742" si="16397">SUM(BZ743:BZ748)</f>
        <v>0</v>
      </c>
      <c r="CA742" s="686">
        <f t="shared" si="16397"/>
        <v>0</v>
      </c>
      <c r="CB742" s="567">
        <f t="shared" ref="CB742:CE742" si="16398">SUM(CB743:CB748)</f>
        <v>0</v>
      </c>
      <c r="CC742" s="686">
        <f t="shared" si="16398"/>
        <v>0</v>
      </c>
      <c r="CD742" s="567">
        <f t="shared" si="16398"/>
        <v>0</v>
      </c>
      <c r="CE742" s="686">
        <f t="shared" si="16398"/>
        <v>0</v>
      </c>
      <c r="CF742" s="567">
        <f t="shared" ref="CF742:CG742" si="16399">SUM(CF743:CF748)</f>
        <v>0</v>
      </c>
      <c r="CG742" s="686">
        <f t="shared" si="16399"/>
        <v>0</v>
      </c>
      <c r="CH742" s="567">
        <f t="shared" ref="CH742:CQ742" si="16400">SUM(CH743:CH748)</f>
        <v>0</v>
      </c>
      <c r="CI742" s="686">
        <f t="shared" si="16400"/>
        <v>0</v>
      </c>
      <c r="CJ742" s="567">
        <f t="shared" si="16400"/>
        <v>0</v>
      </c>
      <c r="CK742" s="686">
        <f t="shared" si="16400"/>
        <v>0</v>
      </c>
      <c r="CL742" s="567">
        <f t="shared" si="16400"/>
        <v>0</v>
      </c>
      <c r="CM742" s="686">
        <f t="shared" si="16400"/>
        <v>0</v>
      </c>
      <c r="CN742" s="567">
        <f t="shared" si="16400"/>
        <v>0</v>
      </c>
      <c r="CO742" s="686">
        <f t="shared" si="16400"/>
        <v>0</v>
      </c>
      <c r="CP742" s="567">
        <f t="shared" si="16400"/>
        <v>0</v>
      </c>
      <c r="CQ742" s="686">
        <f t="shared" si="16400"/>
        <v>0</v>
      </c>
      <c r="CR742" s="567">
        <f t="shared" ref="CR742:CY742" si="16401">SUM(CR743:CR748)</f>
        <v>0</v>
      </c>
      <c r="CS742" s="686">
        <f t="shared" si="16401"/>
        <v>0</v>
      </c>
      <c r="CT742" s="567">
        <f t="shared" si="16401"/>
        <v>0</v>
      </c>
      <c r="CU742" s="686">
        <f t="shared" si="16401"/>
        <v>0</v>
      </c>
      <c r="CV742" s="567">
        <f t="shared" si="16401"/>
        <v>0</v>
      </c>
      <c r="CW742" s="686">
        <f t="shared" si="16401"/>
        <v>0</v>
      </c>
      <c r="CX742" s="567">
        <f t="shared" si="16401"/>
        <v>0</v>
      </c>
      <c r="CY742" s="686">
        <f t="shared" si="16401"/>
        <v>0</v>
      </c>
      <c r="CZ742" s="567">
        <f t="shared" ref="CZ742:DI742" si="16402">SUM(CZ743:CZ748)</f>
        <v>0</v>
      </c>
      <c r="DA742" s="686">
        <f t="shared" si="16402"/>
        <v>0</v>
      </c>
      <c r="DB742" s="567">
        <f t="shared" si="16402"/>
        <v>0</v>
      </c>
      <c r="DC742" s="686">
        <f t="shared" si="16402"/>
        <v>0</v>
      </c>
      <c r="DD742" s="567">
        <f t="shared" si="16402"/>
        <v>0</v>
      </c>
      <c r="DE742" s="686">
        <f t="shared" si="16402"/>
        <v>0</v>
      </c>
      <c r="DF742" s="567">
        <f t="shared" si="16402"/>
        <v>0</v>
      </c>
      <c r="DG742" s="686">
        <f t="shared" si="16402"/>
        <v>0</v>
      </c>
      <c r="DH742" s="567">
        <f t="shared" si="16402"/>
        <v>0</v>
      </c>
      <c r="DI742" s="686">
        <f t="shared" si="16402"/>
        <v>0</v>
      </c>
      <c r="DJ742" s="567">
        <f t="shared" ref="DJ742:DY742" si="16403">SUM(DJ743:DJ748)</f>
        <v>0</v>
      </c>
      <c r="DK742" s="686">
        <f t="shared" si="16403"/>
        <v>0</v>
      </c>
      <c r="DL742" s="567">
        <f t="shared" si="16403"/>
        <v>0</v>
      </c>
      <c r="DM742" s="686">
        <f t="shared" si="16403"/>
        <v>0</v>
      </c>
      <c r="DN742" s="567">
        <f t="shared" si="16403"/>
        <v>0</v>
      </c>
      <c r="DO742" s="686">
        <f t="shared" si="16403"/>
        <v>0</v>
      </c>
      <c r="DP742" s="567">
        <f t="shared" si="16403"/>
        <v>0</v>
      </c>
      <c r="DQ742" s="686">
        <f t="shared" si="16403"/>
        <v>0</v>
      </c>
      <c r="DR742" s="567">
        <f t="shared" si="16403"/>
        <v>0</v>
      </c>
      <c r="DS742" s="686">
        <f t="shared" si="16403"/>
        <v>0</v>
      </c>
      <c r="DT742" s="567">
        <f t="shared" si="16403"/>
        <v>0</v>
      </c>
      <c r="DU742" s="686">
        <f t="shared" si="16403"/>
        <v>0</v>
      </c>
      <c r="DV742" s="567">
        <f t="shared" si="16403"/>
        <v>0</v>
      </c>
      <c r="DW742" s="686">
        <f t="shared" si="16403"/>
        <v>0</v>
      </c>
      <c r="DX742" s="567">
        <f t="shared" si="16403"/>
        <v>0</v>
      </c>
      <c r="DY742" s="686">
        <f t="shared" si="16403"/>
        <v>0</v>
      </c>
      <c r="DZ742" s="567">
        <f t="shared" ref="DZ742:EU742" si="16404">SUM(DZ743:DZ748)</f>
        <v>0</v>
      </c>
      <c r="EA742" s="686">
        <f t="shared" si="16404"/>
        <v>0</v>
      </c>
      <c r="EB742" s="567">
        <f t="shared" si="16404"/>
        <v>0</v>
      </c>
      <c r="EC742" s="686">
        <f t="shared" si="16404"/>
        <v>0</v>
      </c>
      <c r="ED742" s="567">
        <f t="shared" si="16404"/>
        <v>0</v>
      </c>
      <c r="EE742" s="686">
        <f t="shared" si="16404"/>
        <v>0</v>
      </c>
      <c r="EF742" s="567">
        <f t="shared" si="16404"/>
        <v>0</v>
      </c>
      <c r="EG742" s="686">
        <f t="shared" si="16404"/>
        <v>0</v>
      </c>
      <c r="EH742" s="567">
        <f t="shared" ref="EH742:EM742" si="16405">SUM(EH743:EH748)</f>
        <v>0</v>
      </c>
      <c r="EI742" s="686">
        <f t="shared" si="16405"/>
        <v>0</v>
      </c>
      <c r="EJ742" s="567">
        <f t="shared" si="16405"/>
        <v>0</v>
      </c>
      <c r="EK742" s="686">
        <f t="shared" si="16405"/>
        <v>0</v>
      </c>
      <c r="EL742" s="567">
        <f t="shared" si="16405"/>
        <v>0</v>
      </c>
      <c r="EM742" s="686">
        <f t="shared" si="16405"/>
        <v>0</v>
      </c>
      <c r="EN742" s="567">
        <f t="shared" si="16404"/>
        <v>0</v>
      </c>
      <c r="EO742" s="686">
        <f t="shared" si="16404"/>
        <v>0</v>
      </c>
      <c r="EP742" s="567">
        <f t="shared" si="16404"/>
        <v>0</v>
      </c>
      <c r="EQ742" s="686">
        <f t="shared" si="16404"/>
        <v>0</v>
      </c>
      <c r="ER742" s="567">
        <f t="shared" si="16404"/>
        <v>0</v>
      </c>
      <c r="ES742" s="686">
        <f t="shared" si="16404"/>
        <v>0</v>
      </c>
      <c r="ET742" s="567">
        <f t="shared" si="16404"/>
        <v>0</v>
      </c>
      <c r="EU742" s="686">
        <f t="shared" si="16404"/>
        <v>0</v>
      </c>
      <c r="EV742" s="567">
        <f t="shared" ref="EV742:FE742" si="16406">SUM(EV743:EV748)</f>
        <v>0</v>
      </c>
      <c r="EW742" s="686">
        <f t="shared" si="16406"/>
        <v>0</v>
      </c>
      <c r="EX742" s="567">
        <f t="shared" si="16406"/>
        <v>0</v>
      </c>
      <c r="EY742" s="686">
        <f t="shared" si="16406"/>
        <v>0</v>
      </c>
      <c r="EZ742" s="567">
        <f t="shared" si="16406"/>
        <v>0</v>
      </c>
      <c r="FA742" s="686">
        <f t="shared" si="16406"/>
        <v>0</v>
      </c>
      <c r="FB742" s="567">
        <f t="shared" si="16406"/>
        <v>0</v>
      </c>
      <c r="FC742" s="686">
        <f t="shared" si="16406"/>
        <v>0</v>
      </c>
      <c r="FD742" s="567">
        <f t="shared" si="16406"/>
        <v>0</v>
      </c>
      <c r="FE742" s="686">
        <f t="shared" si="16406"/>
        <v>0</v>
      </c>
      <c r="FF742" s="567">
        <f t="shared" ref="FF742:FG742" si="16407">SUM(FF743:FF748)</f>
        <v>0</v>
      </c>
      <c r="FG742" s="686">
        <f t="shared" si="16407"/>
        <v>0</v>
      </c>
      <c r="FH742" s="567">
        <f t="shared" ref="FH742:FI742" si="16408">SUM(FH743:FH748)</f>
        <v>0</v>
      </c>
      <c r="FI742" s="686">
        <f t="shared" si="16408"/>
        <v>0</v>
      </c>
      <c r="FJ742" s="567">
        <f t="shared" ref="FJ742:FK742" si="16409">SUM(FJ743:FJ748)</f>
        <v>0</v>
      </c>
      <c r="FK742" s="686">
        <f t="shared" si="16409"/>
        <v>0</v>
      </c>
      <c r="FL742" s="567">
        <f t="shared" ref="FL742:FM742" si="16410">SUM(FL743:FL748)</f>
        <v>0</v>
      </c>
      <c r="FM742" s="686">
        <f t="shared" si="16410"/>
        <v>0</v>
      </c>
      <c r="FN742" s="567">
        <f t="shared" ref="FN742:FO742" si="16411">SUM(FN743:FN748)</f>
        <v>0</v>
      </c>
      <c r="FO742" s="686">
        <f t="shared" si="16411"/>
        <v>0</v>
      </c>
      <c r="FP742" s="567">
        <f t="shared" ref="FP742:FQ742" si="16412">SUM(FP743:FP748)</f>
        <v>0</v>
      </c>
      <c r="FQ742" s="686">
        <f t="shared" si="16412"/>
        <v>0</v>
      </c>
      <c r="FR742" s="567">
        <f t="shared" ref="FR742:FS742" si="16413">SUM(FR743:FR748)</f>
        <v>0</v>
      </c>
      <c r="FS742" s="686">
        <f t="shared" si="16413"/>
        <v>0</v>
      </c>
      <c r="FT742" s="567">
        <f t="shared" ref="FT742:FU742" si="16414">SUM(FT743:FT748)</f>
        <v>0</v>
      </c>
      <c r="FU742" s="686">
        <f t="shared" si="16414"/>
        <v>0</v>
      </c>
      <c r="FV742" s="567">
        <f t="shared" ref="FV742:GK742" si="16415">SUM(FV743:FV748)</f>
        <v>0</v>
      </c>
      <c r="FW742" s="686">
        <f t="shared" si="16415"/>
        <v>0</v>
      </c>
      <c r="FX742" s="567">
        <f t="shared" si="16415"/>
        <v>0</v>
      </c>
      <c r="FY742" s="686">
        <f t="shared" si="16415"/>
        <v>0</v>
      </c>
      <c r="FZ742" s="567">
        <f t="shared" ref="FZ742:GI742" si="16416">SUM(FZ743:FZ748)</f>
        <v>0</v>
      </c>
      <c r="GA742" s="686">
        <f t="shared" si="16416"/>
        <v>0</v>
      </c>
      <c r="GB742" s="567">
        <f t="shared" si="16416"/>
        <v>0</v>
      </c>
      <c r="GC742" s="686">
        <f t="shared" si="16416"/>
        <v>0</v>
      </c>
      <c r="GD742" s="567">
        <f t="shared" si="16416"/>
        <v>0</v>
      </c>
      <c r="GE742" s="686">
        <f t="shared" si="16416"/>
        <v>0</v>
      </c>
      <c r="GF742" s="567">
        <f t="shared" si="16416"/>
        <v>0</v>
      </c>
      <c r="GG742" s="686">
        <f t="shared" si="16416"/>
        <v>0</v>
      </c>
      <c r="GH742" s="567">
        <f t="shared" si="16416"/>
        <v>0</v>
      </c>
      <c r="GI742" s="686">
        <f t="shared" si="16416"/>
        <v>0</v>
      </c>
      <c r="GJ742" s="567">
        <f t="shared" si="16415"/>
        <v>0</v>
      </c>
      <c r="GK742" s="686">
        <f t="shared" si="16415"/>
        <v>0</v>
      </c>
      <c r="GL742" s="567">
        <f t="shared" ref="GL742:GM742" si="16417">SUM(GL743:GL748)</f>
        <v>0</v>
      </c>
      <c r="GM742" s="686">
        <f t="shared" si="16417"/>
        <v>0</v>
      </c>
      <c r="GN742" s="567">
        <f t="shared" ref="GN742:GO742" si="16418">SUM(GN743:GN748)</f>
        <v>0</v>
      </c>
      <c r="GO742" s="686">
        <f t="shared" si="16418"/>
        <v>0</v>
      </c>
      <c r="GP742" s="567">
        <f t="shared" ref="GP742:HW742" si="16419">SUM(GP743:GP748)</f>
        <v>0</v>
      </c>
      <c r="GQ742" s="686">
        <f t="shared" si="16419"/>
        <v>-5400</v>
      </c>
      <c r="GR742" s="513">
        <f>SUM(GR743:GR748)</f>
        <v>0</v>
      </c>
      <c r="GS742" s="513">
        <f t="shared" si="16419"/>
        <v>0</v>
      </c>
      <c r="GT742" s="567">
        <f>SUM(GT743:GT748)</f>
        <v>0</v>
      </c>
      <c r="GU742" s="513">
        <f t="shared" si="16419"/>
        <v>1080</v>
      </c>
      <c r="GV742" s="513">
        <f t="shared" si="16419"/>
        <v>0</v>
      </c>
      <c r="GW742" s="567">
        <f t="shared" si="16419"/>
        <v>0</v>
      </c>
      <c r="GX742" s="567">
        <f t="shared" si="16419"/>
        <v>1620</v>
      </c>
      <c r="GY742" s="513">
        <f t="shared" si="16419"/>
        <v>2700</v>
      </c>
      <c r="GZ742" s="513">
        <f t="shared" si="16419"/>
        <v>0</v>
      </c>
      <c r="HA742" s="513">
        <f>SUM(HA743:HA748)</f>
        <v>0</v>
      </c>
      <c r="HB742" s="513">
        <f t="shared" si="16419"/>
        <v>0</v>
      </c>
      <c r="HC742" s="513">
        <f t="shared" si="16419"/>
        <v>0</v>
      </c>
      <c r="HD742" s="513">
        <f t="shared" si="16419"/>
        <v>0</v>
      </c>
      <c r="HE742" s="513">
        <f t="shared" si="16419"/>
        <v>0</v>
      </c>
      <c r="HF742" s="513">
        <f t="shared" si="16419"/>
        <v>0</v>
      </c>
      <c r="HG742" s="513">
        <f>SUM(HG743:HG748)</f>
        <v>0</v>
      </c>
      <c r="HH742" s="513">
        <f t="shared" ref="HH742:HI742" si="16420">SUM(HH743:HH748)</f>
        <v>0</v>
      </c>
      <c r="HI742" s="827">
        <f t="shared" si="16420"/>
        <v>0</v>
      </c>
      <c r="HJ742" s="513">
        <f t="shared" si="16419"/>
        <v>0</v>
      </c>
      <c r="HK742" s="827">
        <f t="shared" si="16419"/>
        <v>0</v>
      </c>
      <c r="HL742" s="513">
        <f t="shared" si="16419"/>
        <v>0</v>
      </c>
      <c r="HM742" s="827">
        <f t="shared" si="16419"/>
        <v>0</v>
      </c>
      <c r="HN742" s="513">
        <f t="shared" si="16419"/>
        <v>0</v>
      </c>
      <c r="HO742" s="827">
        <f t="shared" si="16419"/>
        <v>2700</v>
      </c>
      <c r="HP742" s="513">
        <f t="shared" si="16419"/>
        <v>0</v>
      </c>
      <c r="HQ742" s="827">
        <f t="shared" si="16419"/>
        <v>0</v>
      </c>
      <c r="HR742" s="513">
        <f t="shared" si="16419"/>
        <v>0</v>
      </c>
      <c r="HS742" s="827">
        <f t="shared" si="16419"/>
        <v>2700</v>
      </c>
      <c r="HT742" s="513">
        <f t="shared" si="16419"/>
        <v>0</v>
      </c>
      <c r="HU742" s="827">
        <f t="shared" si="16419"/>
        <v>0</v>
      </c>
      <c r="HV742" s="513">
        <f t="shared" si="16419"/>
        <v>0</v>
      </c>
      <c r="HW742" s="827">
        <f t="shared" si="16419"/>
        <v>0</v>
      </c>
      <c r="HX742" s="513">
        <f t="shared" ref="HX742:HY742" si="16421">SUM(HX743:HX748)</f>
        <v>0</v>
      </c>
      <c r="HY742" s="827">
        <f t="shared" si="16421"/>
        <v>0</v>
      </c>
      <c r="HZ742" s="513">
        <f t="shared" ref="HZ742:IA742" si="16422">SUM(HZ743:HZ748)</f>
        <v>0</v>
      </c>
      <c r="IA742" s="827">
        <f t="shared" si="16422"/>
        <v>0</v>
      </c>
      <c r="IB742" s="513">
        <f t="shared" ref="IB742:IC742" si="16423">SUM(IB743:IB748)</f>
        <v>0</v>
      </c>
      <c r="IC742" s="827">
        <f t="shared" si="16423"/>
        <v>0</v>
      </c>
      <c r="ID742" s="513">
        <f t="shared" ref="ID742:JC742" si="16424">SUM(ID743:ID748)</f>
        <v>0</v>
      </c>
      <c r="IE742" s="827">
        <f t="shared" si="16424"/>
        <v>0</v>
      </c>
      <c r="IF742" s="715">
        <f>SUM(IF743:IF748)</f>
        <v>0</v>
      </c>
      <c r="IG742" s="704">
        <f t="shared" si="16424"/>
        <v>0</v>
      </c>
      <c r="IH742" s="716">
        <f t="shared" si="16424"/>
        <v>0</v>
      </c>
      <c r="II742" s="513">
        <f t="shared" si="16424"/>
        <v>0</v>
      </c>
      <c r="IJ742" s="513">
        <f t="shared" si="16424"/>
        <v>0</v>
      </c>
      <c r="IK742" s="513">
        <f t="shared" si="16424"/>
        <v>0</v>
      </c>
      <c r="IL742" s="513">
        <f t="shared" si="16424"/>
        <v>0</v>
      </c>
      <c r="IM742" s="513">
        <f t="shared" si="16424"/>
        <v>0</v>
      </c>
      <c r="IN742" s="513">
        <f t="shared" si="16424"/>
        <v>0</v>
      </c>
      <c r="IO742" s="513">
        <f t="shared" si="16424"/>
        <v>0</v>
      </c>
      <c r="IP742" s="513">
        <f t="shared" si="16424"/>
        <v>0</v>
      </c>
      <c r="IQ742" s="513">
        <f t="shared" si="16424"/>
        <v>0</v>
      </c>
      <c r="IR742" s="513">
        <f t="shared" si="16424"/>
        <v>0</v>
      </c>
      <c r="IS742" s="513">
        <f t="shared" si="16424"/>
        <v>0</v>
      </c>
      <c r="IT742" s="513">
        <f t="shared" si="16424"/>
        <v>0</v>
      </c>
      <c r="IU742" s="513">
        <f t="shared" si="16424"/>
        <v>0</v>
      </c>
      <c r="IV742" s="513">
        <f t="shared" si="16424"/>
        <v>0</v>
      </c>
      <c r="IW742" s="513">
        <f t="shared" si="16424"/>
        <v>0</v>
      </c>
      <c r="IX742" s="513">
        <f t="shared" si="16424"/>
        <v>0</v>
      </c>
      <c r="IY742" s="513">
        <f t="shared" si="16424"/>
        <v>0</v>
      </c>
      <c r="IZ742" s="513">
        <f t="shared" si="16424"/>
        <v>0</v>
      </c>
      <c r="JA742" s="513">
        <f t="shared" si="16424"/>
        <v>0</v>
      </c>
      <c r="JB742" s="513">
        <f t="shared" si="16424"/>
        <v>0</v>
      </c>
      <c r="JC742" s="513">
        <f t="shared" si="16424"/>
        <v>0</v>
      </c>
      <c r="JD742" s="513">
        <f t="shared" ref="JD742:JF742" si="16425">SUM(JD743:JD748)</f>
        <v>0</v>
      </c>
      <c r="JE742" s="513">
        <f t="shared" si="16425"/>
        <v>0</v>
      </c>
      <c r="JF742" s="513">
        <f t="shared" si="16425"/>
        <v>0</v>
      </c>
      <c r="JG742" s="513">
        <f t="shared" ref="JG742:JI742" si="16426">SUM(JG743:JG748)</f>
        <v>0</v>
      </c>
      <c r="JH742" s="513">
        <f t="shared" si="16426"/>
        <v>0</v>
      </c>
      <c r="JI742" s="513">
        <f t="shared" si="16426"/>
        <v>0</v>
      </c>
      <c r="JJ742" s="513">
        <f t="shared" ref="JJ742:JL742" si="16427">SUM(JJ743:JJ748)</f>
        <v>0</v>
      </c>
      <c r="JK742" s="513">
        <f t="shared" si="16427"/>
        <v>0</v>
      </c>
      <c r="JL742" s="513">
        <f t="shared" si="16427"/>
        <v>0</v>
      </c>
      <c r="JM742" s="513">
        <f t="shared" ref="JM742:JO742" si="16428">SUM(JM743:JM748)</f>
        <v>0</v>
      </c>
      <c r="JN742" s="513">
        <f t="shared" si="16428"/>
        <v>0</v>
      </c>
      <c r="JO742" s="513">
        <f t="shared" si="16428"/>
        <v>0</v>
      </c>
      <c r="JP742" s="513">
        <f t="shared" ref="JP742:JR742" si="16429">SUM(JP743:JP748)</f>
        <v>0</v>
      </c>
      <c r="JQ742" s="513">
        <f t="shared" si="16429"/>
        <v>0</v>
      </c>
      <c r="JR742" s="513">
        <f t="shared" si="16429"/>
        <v>0</v>
      </c>
      <c r="JS742" s="513">
        <f>SUM(JS743:JS748)</f>
        <v>0</v>
      </c>
      <c r="JT742" s="573">
        <f>SUM(JT743:JT748)</f>
        <v>0</v>
      </c>
      <c r="JU742" s="665"/>
      <c r="JV742" s="524"/>
      <c r="JW742" s="525"/>
      <c r="JX742" s="567">
        <f>SUM(JX743:JX748)</f>
        <v>0</v>
      </c>
      <c r="JY742" s="549">
        <f>SUM(JY743:JY748)</f>
        <v>5400</v>
      </c>
      <c r="JZ742" s="581">
        <f>GP742</f>
        <v>0</v>
      </c>
      <c r="KA742" s="581">
        <f t="shared" si="14741"/>
        <v>-5400</v>
      </c>
      <c r="KB742" s="566">
        <f>SUM(JX742:KA742)</f>
        <v>0</v>
      </c>
      <c r="KC742" s="709">
        <f t="shared" si="14739"/>
        <v>0</v>
      </c>
      <c r="KD742" s="494"/>
      <c r="KE742" s="494"/>
      <c r="KF742" s="494"/>
      <c r="KG742" s="494"/>
      <c r="KH742" s="57"/>
      <c r="KI742" s="57"/>
      <c r="KJ742" s="57"/>
      <c r="KK742" s="57"/>
    </row>
    <row r="743" spans="1:297" s="8" customFormat="1" ht="12.75" hidden="1" customHeight="1">
      <c r="A743" s="612" t="s">
        <v>1193</v>
      </c>
      <c r="B743" s="512" t="s">
        <v>134</v>
      </c>
      <c r="C743" s="74">
        <v>0</v>
      </c>
      <c r="D743" s="549">
        <v>0</v>
      </c>
      <c r="E743" s="675">
        <v>0</v>
      </c>
      <c r="F743" s="549">
        <v>0</v>
      </c>
      <c r="G743" s="675">
        <v>0</v>
      </c>
      <c r="H743" s="549">
        <v>0</v>
      </c>
      <c r="I743" s="675">
        <v>0</v>
      </c>
      <c r="J743" s="549">
        <v>0</v>
      </c>
      <c r="K743" s="675">
        <v>0</v>
      </c>
      <c r="L743" s="549">
        <v>0</v>
      </c>
      <c r="M743" s="675">
        <v>0</v>
      </c>
      <c r="N743" s="549">
        <v>0</v>
      </c>
      <c r="O743" s="675">
        <v>0</v>
      </c>
      <c r="P743" s="549">
        <v>0</v>
      </c>
      <c r="Q743" s="675">
        <v>0</v>
      </c>
      <c r="R743" s="549">
        <v>0</v>
      </c>
      <c r="S743" s="675">
        <v>0</v>
      </c>
      <c r="T743" s="549">
        <v>0</v>
      </c>
      <c r="U743" s="675">
        <v>0</v>
      </c>
      <c r="V743" s="549">
        <v>0</v>
      </c>
      <c r="W743" s="675">
        <v>0</v>
      </c>
      <c r="X743" s="549">
        <v>0</v>
      </c>
      <c r="Y743" s="675">
        <v>0</v>
      </c>
      <c r="Z743" s="549">
        <v>0</v>
      </c>
      <c r="AA743" s="675">
        <v>0</v>
      </c>
      <c r="AB743" s="549">
        <v>0</v>
      </c>
      <c r="AC743" s="675">
        <v>0</v>
      </c>
      <c r="AD743" s="549">
        <v>0</v>
      </c>
      <c r="AE743" s="675">
        <v>0</v>
      </c>
      <c r="AF743" s="549">
        <v>0</v>
      </c>
      <c r="AG743" s="675">
        <v>0</v>
      </c>
      <c r="AH743" s="549">
        <v>0</v>
      </c>
      <c r="AI743" s="675">
        <v>0</v>
      </c>
      <c r="AJ743" s="549">
        <v>0</v>
      </c>
      <c r="AK743" s="675">
        <v>0</v>
      </c>
      <c r="AL743" s="549">
        <v>0</v>
      </c>
      <c r="AM743" s="675">
        <v>0</v>
      </c>
      <c r="AN743" s="549">
        <v>0</v>
      </c>
      <c r="AO743" s="675">
        <v>0</v>
      </c>
      <c r="AP743" s="549">
        <v>0</v>
      </c>
      <c r="AQ743" s="675">
        <v>0</v>
      </c>
      <c r="AR743" s="549">
        <v>0</v>
      </c>
      <c r="AS743" s="675">
        <v>0</v>
      </c>
      <c r="AT743" s="549">
        <v>0</v>
      </c>
      <c r="AU743" s="675">
        <v>0</v>
      </c>
      <c r="AV743" s="549">
        <v>0</v>
      </c>
      <c r="AW743" s="675">
        <v>0</v>
      </c>
      <c r="AX743" s="549">
        <v>0</v>
      </c>
      <c r="AY743" s="675">
        <v>0</v>
      </c>
      <c r="AZ743" s="549">
        <v>0</v>
      </c>
      <c r="BA743" s="675">
        <v>0</v>
      </c>
      <c r="BB743" s="549">
        <v>0</v>
      </c>
      <c r="BC743" s="675">
        <v>0</v>
      </c>
      <c r="BD743" s="549">
        <v>0</v>
      </c>
      <c r="BE743" s="675">
        <v>0</v>
      </c>
      <c r="BF743" s="549">
        <v>0</v>
      </c>
      <c r="BG743" s="675">
        <v>0</v>
      </c>
      <c r="BH743" s="549">
        <v>0</v>
      </c>
      <c r="BI743" s="675">
        <v>0</v>
      </c>
      <c r="BJ743" s="549">
        <v>0</v>
      </c>
      <c r="BK743" s="675">
        <v>0</v>
      </c>
      <c r="BL743" s="549">
        <v>0</v>
      </c>
      <c r="BM743" s="675">
        <v>0</v>
      </c>
      <c r="BN743" s="549">
        <v>0</v>
      </c>
      <c r="BO743" s="675">
        <v>0</v>
      </c>
      <c r="BP743" s="549">
        <v>0</v>
      </c>
      <c r="BQ743" s="675">
        <v>0</v>
      </c>
      <c r="BR743" s="549">
        <v>0</v>
      </c>
      <c r="BS743" s="675">
        <v>0</v>
      </c>
      <c r="BT743" s="549">
        <v>0</v>
      </c>
      <c r="BU743" s="675">
        <v>0</v>
      </c>
      <c r="BV743" s="549">
        <v>0</v>
      </c>
      <c r="BW743" s="675">
        <v>0</v>
      </c>
      <c r="BX743" s="549">
        <v>0</v>
      </c>
      <c r="BY743" s="675">
        <v>0</v>
      </c>
      <c r="BZ743" s="549">
        <v>0</v>
      </c>
      <c r="CA743" s="675">
        <v>0</v>
      </c>
      <c r="CB743" s="549">
        <v>0</v>
      </c>
      <c r="CC743" s="675">
        <v>0</v>
      </c>
      <c r="CD743" s="549">
        <v>0</v>
      </c>
      <c r="CE743" s="675">
        <v>0</v>
      </c>
      <c r="CF743" s="549">
        <v>0</v>
      </c>
      <c r="CG743" s="675">
        <v>0</v>
      </c>
      <c r="CH743" s="549">
        <v>0</v>
      </c>
      <c r="CI743" s="675">
        <v>0</v>
      </c>
      <c r="CJ743" s="549">
        <v>0</v>
      </c>
      <c r="CK743" s="675">
        <v>0</v>
      </c>
      <c r="CL743" s="549">
        <v>0</v>
      </c>
      <c r="CM743" s="675">
        <v>0</v>
      </c>
      <c r="CN743" s="549">
        <v>0</v>
      </c>
      <c r="CO743" s="675">
        <v>0</v>
      </c>
      <c r="CP743" s="549">
        <v>0</v>
      </c>
      <c r="CQ743" s="675">
        <v>0</v>
      </c>
      <c r="CR743" s="549">
        <v>0</v>
      </c>
      <c r="CS743" s="675">
        <v>0</v>
      </c>
      <c r="CT743" s="549">
        <v>0</v>
      </c>
      <c r="CU743" s="675">
        <v>0</v>
      </c>
      <c r="CV743" s="549">
        <v>0</v>
      </c>
      <c r="CW743" s="675">
        <v>0</v>
      </c>
      <c r="CX743" s="549">
        <v>0</v>
      </c>
      <c r="CY743" s="675">
        <v>0</v>
      </c>
      <c r="CZ743" s="549">
        <v>0</v>
      </c>
      <c r="DA743" s="675">
        <v>0</v>
      </c>
      <c r="DB743" s="549">
        <v>0</v>
      </c>
      <c r="DC743" s="675">
        <v>0</v>
      </c>
      <c r="DD743" s="549">
        <v>0</v>
      </c>
      <c r="DE743" s="675">
        <v>0</v>
      </c>
      <c r="DF743" s="549">
        <v>0</v>
      </c>
      <c r="DG743" s="675">
        <v>0</v>
      </c>
      <c r="DH743" s="549">
        <v>0</v>
      </c>
      <c r="DI743" s="675">
        <v>0</v>
      </c>
      <c r="DJ743" s="549">
        <v>0</v>
      </c>
      <c r="DK743" s="675">
        <v>0</v>
      </c>
      <c r="DL743" s="549">
        <v>0</v>
      </c>
      <c r="DM743" s="675">
        <v>0</v>
      </c>
      <c r="DN743" s="549">
        <v>0</v>
      </c>
      <c r="DO743" s="675">
        <v>0</v>
      </c>
      <c r="DP743" s="549">
        <v>0</v>
      </c>
      <c r="DQ743" s="675">
        <v>0</v>
      </c>
      <c r="DR743" s="549">
        <v>0</v>
      </c>
      <c r="DS743" s="675">
        <v>0</v>
      </c>
      <c r="DT743" s="549">
        <v>0</v>
      </c>
      <c r="DU743" s="675">
        <v>0</v>
      </c>
      <c r="DV743" s="549">
        <v>0</v>
      </c>
      <c r="DW743" s="675">
        <v>0</v>
      </c>
      <c r="DX743" s="549">
        <v>0</v>
      </c>
      <c r="DY743" s="675">
        <v>0</v>
      </c>
      <c r="DZ743" s="549">
        <v>0</v>
      </c>
      <c r="EA743" s="675">
        <v>0</v>
      </c>
      <c r="EB743" s="549">
        <v>0</v>
      </c>
      <c r="EC743" s="675">
        <v>0</v>
      </c>
      <c r="ED743" s="549">
        <v>0</v>
      </c>
      <c r="EE743" s="675">
        <v>0</v>
      </c>
      <c r="EF743" s="549">
        <v>0</v>
      </c>
      <c r="EG743" s="675">
        <v>0</v>
      </c>
      <c r="EH743" s="549">
        <v>0</v>
      </c>
      <c r="EI743" s="675">
        <v>0</v>
      </c>
      <c r="EJ743" s="549">
        <v>0</v>
      </c>
      <c r="EK743" s="675">
        <v>0</v>
      </c>
      <c r="EL743" s="549">
        <v>0</v>
      </c>
      <c r="EM743" s="675">
        <v>0</v>
      </c>
      <c r="EN743" s="549">
        <v>0</v>
      </c>
      <c r="EO743" s="675">
        <v>0</v>
      </c>
      <c r="EP743" s="549">
        <v>0</v>
      </c>
      <c r="EQ743" s="675">
        <v>0</v>
      </c>
      <c r="ER743" s="549">
        <v>0</v>
      </c>
      <c r="ES743" s="675">
        <v>0</v>
      </c>
      <c r="ET743" s="549">
        <v>0</v>
      </c>
      <c r="EU743" s="675">
        <v>0</v>
      </c>
      <c r="EV743" s="549">
        <v>0</v>
      </c>
      <c r="EW743" s="675">
        <v>0</v>
      </c>
      <c r="EX743" s="549">
        <v>0</v>
      </c>
      <c r="EY743" s="675">
        <v>0</v>
      </c>
      <c r="EZ743" s="549">
        <v>0</v>
      </c>
      <c r="FA743" s="675">
        <v>0</v>
      </c>
      <c r="FB743" s="549">
        <v>0</v>
      </c>
      <c r="FC743" s="675">
        <v>0</v>
      </c>
      <c r="FD743" s="549">
        <v>0</v>
      </c>
      <c r="FE743" s="675">
        <v>0</v>
      </c>
      <c r="FF743" s="549">
        <v>0</v>
      </c>
      <c r="FG743" s="675">
        <v>0</v>
      </c>
      <c r="FH743" s="549">
        <v>0</v>
      </c>
      <c r="FI743" s="675">
        <v>0</v>
      </c>
      <c r="FJ743" s="549">
        <v>0</v>
      </c>
      <c r="FK743" s="675">
        <v>0</v>
      </c>
      <c r="FL743" s="549">
        <v>0</v>
      </c>
      <c r="FM743" s="675">
        <v>0</v>
      </c>
      <c r="FN743" s="549">
        <v>0</v>
      </c>
      <c r="FO743" s="675">
        <v>0</v>
      </c>
      <c r="FP743" s="549">
        <v>0</v>
      </c>
      <c r="FQ743" s="675">
        <v>0</v>
      </c>
      <c r="FR743" s="549">
        <v>0</v>
      </c>
      <c r="FS743" s="675">
        <v>0</v>
      </c>
      <c r="FT743" s="549">
        <v>0</v>
      </c>
      <c r="FU743" s="675">
        <v>0</v>
      </c>
      <c r="FV743" s="549">
        <v>0</v>
      </c>
      <c r="FW743" s="675">
        <v>0</v>
      </c>
      <c r="FX743" s="549">
        <v>0</v>
      </c>
      <c r="FY743" s="675">
        <v>0</v>
      </c>
      <c r="FZ743" s="549">
        <v>0</v>
      </c>
      <c r="GA743" s="675">
        <v>0</v>
      </c>
      <c r="GB743" s="549">
        <v>0</v>
      </c>
      <c r="GC743" s="675">
        <v>0</v>
      </c>
      <c r="GD743" s="549">
        <v>0</v>
      </c>
      <c r="GE743" s="675">
        <v>0</v>
      </c>
      <c r="GF743" s="549">
        <v>0</v>
      </c>
      <c r="GG743" s="675">
        <v>0</v>
      </c>
      <c r="GH743" s="549">
        <v>0</v>
      </c>
      <c r="GI743" s="675">
        <v>0</v>
      </c>
      <c r="GJ743" s="549">
        <v>0</v>
      </c>
      <c r="GK743" s="675">
        <v>0</v>
      </c>
      <c r="GL743" s="549">
        <v>0</v>
      </c>
      <c r="GM743" s="675">
        <v>0</v>
      </c>
      <c r="GN743" s="549">
        <v>0</v>
      </c>
      <c r="GO743" s="675">
        <v>0</v>
      </c>
      <c r="GP743" s="549">
        <f t="shared" ref="GP743:GP748" si="16430">+D743+F743+H743+J743+L743+N743+P743+R743+T743+V743+X743+Z743+AB743+AF743+AD743+AH743+AJ743+AL743+AN743+AP743+AR743+AT743+AV743+AX743+AZ743+BB743+BD743+BF743+BH743+BJ743+BL743+BN743+BP743+BR743+BT743+BV743+BX743+BZ743+CB743+CD743+CF743+CH743+CJ743+CL743+CN743+CP743+CR743+CT743+CV743+CX743+CZ743+DB743+DD743+DF743+DH743+DT743+EX743+DJ743+DL743+DN743+DP743+DR743+EJ743+EB743+DZ743+DX743+DV743+ED743+EF743+EH743+EL743+EN743+EP743+EV743+ET743+ER743+EZ743+FB743+FD743+GL743+FF743+FJ743+FL743+GJ743+FT743+FR743+FP743+FN743+FH743+GH743+GF743+GD743+GB743+FZ743+FX743+FV743+GN743</f>
        <v>0</v>
      </c>
      <c r="GQ743" s="675">
        <f t="shared" ref="GQ743:GQ748" si="16431">+E743+G743+I743+K743+M743+O743+Q743+S743+U743+W743+Y743+AA743+AC743+AE743+AG743+AI743+AK743+AM743+AO743+AQ743+AS743+AU743+AW743+AY743+BA743+BC743+BE743+BG743+BI743+BK743+BM743+BO743+BQ743+BS743+BU743+BW743+BY743+CA743+CC743+CE743+CG743+CI743+CK743+CM743+CO743+CQ743+CS743+CU743+CW743+CY743+DA743+DC743+DE743+DG743+DI743+DU743+EY743+DK743+DM743+DO743+DQ743+DS743+EK743+EC743+EA743+DY743+DW743+EI743+EG743+EE743+EM743+EO743+EQ743+EW743+EU743+ES743+FA743+FC743+FE743+GM743+FG743+FK743+FM743+FO743+FQ743+FS743+FU743+GK743+FI743+GI743+GG743+GE743+GC743+GA743+FY743+FW743+GO743</f>
        <v>0</v>
      </c>
      <c r="GR743" s="74">
        <f t="shared" ref="GR743:GR748" si="16432">C743+GP743+GQ743</f>
        <v>0</v>
      </c>
      <c r="GS743" s="74">
        <f t="shared" ref="GS743:GS748" si="16433">SUM(GU743:GV743)+GP743+GQ743+GW743+GX743+GY743+GZ743+HA743+HB743+HC743+HD743+HE743+HF743</f>
        <v>0</v>
      </c>
      <c r="GT743" s="568">
        <f>SUM(GU743:HF743)+GQ743+GP743</f>
        <v>0</v>
      </c>
      <c r="GU743" s="275"/>
      <c r="GV743" s="275"/>
      <c r="GW743" s="588"/>
      <c r="GX743" s="275">
        <f>375-375</f>
        <v>0</v>
      </c>
      <c r="GY743" s="275"/>
      <c r="GZ743" s="275"/>
      <c r="HA743" s="275">
        <f>375-375</f>
        <v>0</v>
      </c>
      <c r="HB743" s="275"/>
      <c r="HC743" s="275"/>
      <c r="HD743" s="275">
        <f>250-250</f>
        <v>0</v>
      </c>
      <c r="HE743" s="275"/>
      <c r="HF743" s="275">
        <v>0</v>
      </c>
      <c r="HG743" s="74">
        <f t="shared" ref="HG743:HG748" si="16434">SUM(HH743:IE743)+GP743+GQ743</f>
        <v>0</v>
      </c>
      <c r="HH743" s="89">
        <v>0</v>
      </c>
      <c r="HI743" s="157">
        <v>0</v>
      </c>
      <c r="HJ743" s="89">
        <v>0</v>
      </c>
      <c r="HK743" s="157">
        <v>0</v>
      </c>
      <c r="HL743" s="89">
        <v>0</v>
      </c>
      <c r="HM743" s="157">
        <v>0</v>
      </c>
      <c r="HN743" s="89">
        <v>0</v>
      </c>
      <c r="HO743" s="157">
        <v>0</v>
      </c>
      <c r="HP743" s="89">
        <v>0</v>
      </c>
      <c r="HQ743" s="157">
        <v>0</v>
      </c>
      <c r="HR743" s="89">
        <v>0</v>
      </c>
      <c r="HS743" s="157">
        <v>0</v>
      </c>
      <c r="HT743" s="89">
        <v>0</v>
      </c>
      <c r="HU743" s="157">
        <v>0</v>
      </c>
      <c r="HV743" s="89">
        <v>0</v>
      </c>
      <c r="HW743" s="157">
        <v>0</v>
      </c>
      <c r="HX743" s="89">
        <v>0</v>
      </c>
      <c r="HY743" s="157">
        <v>0</v>
      </c>
      <c r="HZ743" s="89">
        <v>0</v>
      </c>
      <c r="IA743" s="157">
        <v>0</v>
      </c>
      <c r="IB743" s="89">
        <v>0</v>
      </c>
      <c r="IC743" s="157">
        <v>0</v>
      </c>
      <c r="ID743" s="89">
        <v>0</v>
      </c>
      <c r="IE743" s="157">
        <v>0</v>
      </c>
      <c r="IF743" s="717">
        <f t="shared" ref="IF743:IF748" si="16435">SUM(II743,IL743,IO743,IR743,IU743,IX743,JA743,JD743,JG743,JJ743,JM743,JP743)</f>
        <v>0</v>
      </c>
      <c r="IG743" s="263">
        <f t="shared" ref="IG743:IG748" si="16436">SUM(IJ743,IM743,IP743,IS743,IV743,IY743,JB743,JE743,JH743,JK743,JN743,JQ743)</f>
        <v>0</v>
      </c>
      <c r="IH743" s="718">
        <f t="shared" ref="IH743:IH748" si="16437">SUM(IK743,IN743,IQ743,IT743,IW743,IZ743,JC743,JF743,JI743,JL743,JO743,JR743)</f>
        <v>0</v>
      </c>
      <c r="II743" s="89">
        <v>0</v>
      </c>
      <c r="IJ743" s="89">
        <f t="shared" ref="IJ743:IJ748" si="16438">II743</f>
        <v>0</v>
      </c>
      <c r="IK743" s="89">
        <f t="shared" ref="IK743:IK748" si="16439">IJ743</f>
        <v>0</v>
      </c>
      <c r="IL743" s="89">
        <v>0</v>
      </c>
      <c r="IM743" s="89">
        <f t="shared" ref="IM743:IM748" si="16440">IL743</f>
        <v>0</v>
      </c>
      <c r="IN743" s="89">
        <f t="shared" ref="IN743:IN748" si="16441">IM743</f>
        <v>0</v>
      </c>
      <c r="IO743" s="89">
        <v>0</v>
      </c>
      <c r="IP743" s="89">
        <f t="shared" ref="IP743:IP748" si="16442">IO743</f>
        <v>0</v>
      </c>
      <c r="IQ743" s="89">
        <f t="shared" ref="IQ743:IQ748" si="16443">IP743</f>
        <v>0</v>
      </c>
      <c r="IR743" s="89">
        <v>0</v>
      </c>
      <c r="IS743" s="89">
        <f t="shared" ref="IS743:IS748" si="16444">IR743</f>
        <v>0</v>
      </c>
      <c r="IT743" s="89">
        <f t="shared" ref="IT743:IT748" si="16445">IS743</f>
        <v>0</v>
      </c>
      <c r="IU743" s="89">
        <v>0</v>
      </c>
      <c r="IV743" s="89">
        <f t="shared" ref="IV743:IV748" si="16446">IU743</f>
        <v>0</v>
      </c>
      <c r="IW743" s="89">
        <f t="shared" ref="IW743:IW748" si="16447">IV743</f>
        <v>0</v>
      </c>
      <c r="IX743" s="89">
        <v>0</v>
      </c>
      <c r="IY743" s="89">
        <f t="shared" ref="IY743:IY748" si="16448">IX743</f>
        <v>0</v>
      </c>
      <c r="IZ743" s="89">
        <f t="shared" ref="IZ743:IZ748" si="16449">IY743</f>
        <v>0</v>
      </c>
      <c r="JA743" s="89">
        <v>0</v>
      </c>
      <c r="JB743" s="89">
        <f t="shared" ref="JB743:JB748" si="16450">JA743</f>
        <v>0</v>
      </c>
      <c r="JC743" s="89">
        <f t="shared" ref="JC743:JC748" si="16451">JB743</f>
        <v>0</v>
      </c>
      <c r="JD743" s="89">
        <v>0</v>
      </c>
      <c r="JE743" s="89">
        <f t="shared" ref="JE743:JE748" si="16452">JD743</f>
        <v>0</v>
      </c>
      <c r="JF743" s="89">
        <f t="shared" ref="JF743:JF748" si="16453">JE743</f>
        <v>0</v>
      </c>
      <c r="JG743" s="89">
        <v>0</v>
      </c>
      <c r="JH743" s="89">
        <f t="shared" ref="JH743:JH748" si="16454">JG743</f>
        <v>0</v>
      </c>
      <c r="JI743" s="89">
        <f t="shared" ref="JI743:JI748" si="16455">JH743</f>
        <v>0</v>
      </c>
      <c r="JJ743" s="89">
        <v>0</v>
      </c>
      <c r="JK743" s="89">
        <f t="shared" ref="JK743:JK748" si="16456">JJ743</f>
        <v>0</v>
      </c>
      <c r="JL743" s="89">
        <f t="shared" ref="JL743:JL748" si="16457">JK743</f>
        <v>0</v>
      </c>
      <c r="JM743" s="89">
        <v>0</v>
      </c>
      <c r="JN743" s="89">
        <f t="shared" ref="JN743:JN748" si="16458">JM743</f>
        <v>0</v>
      </c>
      <c r="JO743" s="89">
        <f t="shared" ref="JO743:JO748" si="16459">JN743</f>
        <v>0</v>
      </c>
      <c r="JP743" s="89">
        <v>0</v>
      </c>
      <c r="JQ743" s="89">
        <f t="shared" ref="JQ743:JR743" si="16460">JP743</f>
        <v>0</v>
      </c>
      <c r="JR743" s="89">
        <f t="shared" si="16460"/>
        <v>0</v>
      </c>
      <c r="JS743" s="74">
        <f>HG743-IF743</f>
        <v>0</v>
      </c>
      <c r="JT743" s="382">
        <f>GS743-IF743</f>
        <v>0</v>
      </c>
      <c r="JU743" s="665"/>
      <c r="JV743" s="524"/>
      <c r="JW743" s="525"/>
      <c r="JX743" s="549">
        <f t="shared" ref="JX743:JX748" si="16461">SUM(HH743,HJ743,HL743,HN743,HP743,HR743,HT743,HV743,HX743,HZ743,IB743,ID743)</f>
        <v>0</v>
      </c>
      <c r="JY743" s="549">
        <f t="shared" si="15767"/>
        <v>0</v>
      </c>
      <c r="JZ743" s="581">
        <f t="shared" si="14740"/>
        <v>0</v>
      </c>
      <c r="KA743" s="581">
        <f t="shared" si="14741"/>
        <v>0</v>
      </c>
      <c r="KB743" s="566">
        <f t="shared" si="15406"/>
        <v>0</v>
      </c>
      <c r="KC743" s="709">
        <f t="shared" si="14739"/>
        <v>0</v>
      </c>
      <c r="KD743" s="494"/>
      <c r="KE743" s="494"/>
      <c r="KF743" s="494"/>
      <c r="KG743" s="494"/>
      <c r="KH743" s="57"/>
      <c r="KI743" s="57"/>
      <c r="KJ743" s="57"/>
      <c r="KK743" s="57"/>
    </row>
    <row r="744" spans="1:297" s="10" customFormat="1" ht="12.75" hidden="1" customHeight="1">
      <c r="A744" s="612" t="s">
        <v>1194</v>
      </c>
      <c r="B744" s="512" t="s">
        <v>1199</v>
      </c>
      <c r="C744" s="74">
        <v>0</v>
      </c>
      <c r="D744" s="549">
        <v>0</v>
      </c>
      <c r="E744" s="675">
        <v>0</v>
      </c>
      <c r="F744" s="549">
        <v>0</v>
      </c>
      <c r="G744" s="675">
        <v>0</v>
      </c>
      <c r="H744" s="549">
        <v>0</v>
      </c>
      <c r="I744" s="675">
        <v>0</v>
      </c>
      <c r="J744" s="549">
        <v>0</v>
      </c>
      <c r="K744" s="675">
        <v>0</v>
      </c>
      <c r="L744" s="549">
        <v>0</v>
      </c>
      <c r="M744" s="675">
        <v>0</v>
      </c>
      <c r="N744" s="549">
        <v>0</v>
      </c>
      <c r="O744" s="675">
        <v>0</v>
      </c>
      <c r="P744" s="549">
        <v>0</v>
      </c>
      <c r="Q744" s="675">
        <v>0</v>
      </c>
      <c r="R744" s="549">
        <v>0</v>
      </c>
      <c r="S744" s="675">
        <v>0</v>
      </c>
      <c r="T744" s="549">
        <v>0</v>
      </c>
      <c r="U744" s="675">
        <v>0</v>
      </c>
      <c r="V744" s="549">
        <v>0</v>
      </c>
      <c r="W744" s="675">
        <v>0</v>
      </c>
      <c r="X744" s="549">
        <v>0</v>
      </c>
      <c r="Y744" s="675">
        <v>0</v>
      </c>
      <c r="Z744" s="549">
        <v>0</v>
      </c>
      <c r="AA744" s="675">
        <v>0</v>
      </c>
      <c r="AB744" s="549">
        <v>0</v>
      </c>
      <c r="AC744" s="675">
        <v>0</v>
      </c>
      <c r="AD744" s="549">
        <v>0</v>
      </c>
      <c r="AE744" s="675">
        <v>0</v>
      </c>
      <c r="AF744" s="549">
        <v>0</v>
      </c>
      <c r="AG744" s="675">
        <v>0</v>
      </c>
      <c r="AH744" s="549">
        <v>0</v>
      </c>
      <c r="AI744" s="675">
        <v>0</v>
      </c>
      <c r="AJ744" s="549">
        <v>0</v>
      </c>
      <c r="AK744" s="675">
        <v>0</v>
      </c>
      <c r="AL744" s="549">
        <v>0</v>
      </c>
      <c r="AM744" s="675">
        <v>0</v>
      </c>
      <c r="AN744" s="549">
        <v>0</v>
      </c>
      <c r="AO744" s="675">
        <v>0</v>
      </c>
      <c r="AP744" s="549">
        <v>0</v>
      </c>
      <c r="AQ744" s="675">
        <v>0</v>
      </c>
      <c r="AR744" s="549">
        <v>0</v>
      </c>
      <c r="AS744" s="675">
        <v>0</v>
      </c>
      <c r="AT744" s="549">
        <v>0</v>
      </c>
      <c r="AU744" s="675">
        <v>0</v>
      </c>
      <c r="AV744" s="549">
        <v>0</v>
      </c>
      <c r="AW744" s="675">
        <v>0</v>
      </c>
      <c r="AX744" s="549">
        <v>0</v>
      </c>
      <c r="AY744" s="675">
        <v>0</v>
      </c>
      <c r="AZ744" s="549">
        <v>0</v>
      </c>
      <c r="BA744" s="675">
        <v>0</v>
      </c>
      <c r="BB744" s="549">
        <v>0</v>
      </c>
      <c r="BC744" s="675">
        <v>0</v>
      </c>
      <c r="BD744" s="549">
        <v>0</v>
      </c>
      <c r="BE744" s="675">
        <v>0</v>
      </c>
      <c r="BF744" s="549">
        <v>0</v>
      </c>
      <c r="BG744" s="675">
        <v>0</v>
      </c>
      <c r="BH744" s="549">
        <v>0</v>
      </c>
      <c r="BI744" s="675">
        <v>0</v>
      </c>
      <c r="BJ744" s="549">
        <v>0</v>
      </c>
      <c r="BK744" s="675">
        <v>0</v>
      </c>
      <c r="BL744" s="549">
        <v>0</v>
      </c>
      <c r="BM744" s="675">
        <v>0</v>
      </c>
      <c r="BN744" s="549">
        <v>0</v>
      </c>
      <c r="BO744" s="675">
        <v>0</v>
      </c>
      <c r="BP744" s="549">
        <v>0</v>
      </c>
      <c r="BQ744" s="675">
        <v>0</v>
      </c>
      <c r="BR744" s="549">
        <v>0</v>
      </c>
      <c r="BS744" s="675">
        <v>0</v>
      </c>
      <c r="BT744" s="549">
        <v>0</v>
      </c>
      <c r="BU744" s="675">
        <v>0</v>
      </c>
      <c r="BV744" s="549">
        <v>0</v>
      </c>
      <c r="BW744" s="675">
        <v>0</v>
      </c>
      <c r="BX744" s="549">
        <v>0</v>
      </c>
      <c r="BY744" s="675">
        <v>0</v>
      </c>
      <c r="BZ744" s="549">
        <v>0</v>
      </c>
      <c r="CA744" s="675">
        <v>0</v>
      </c>
      <c r="CB744" s="549">
        <v>0</v>
      </c>
      <c r="CC744" s="675">
        <v>0</v>
      </c>
      <c r="CD744" s="549">
        <v>0</v>
      </c>
      <c r="CE744" s="675">
        <v>0</v>
      </c>
      <c r="CF744" s="549">
        <v>0</v>
      </c>
      <c r="CG744" s="675">
        <v>0</v>
      </c>
      <c r="CH744" s="549">
        <v>0</v>
      </c>
      <c r="CI744" s="675">
        <v>0</v>
      </c>
      <c r="CJ744" s="549">
        <v>0</v>
      </c>
      <c r="CK744" s="675">
        <v>0</v>
      </c>
      <c r="CL744" s="549">
        <v>0</v>
      </c>
      <c r="CM744" s="675">
        <v>0</v>
      </c>
      <c r="CN744" s="549">
        <v>0</v>
      </c>
      <c r="CO744" s="675">
        <v>0</v>
      </c>
      <c r="CP744" s="549">
        <v>0</v>
      </c>
      <c r="CQ744" s="675">
        <v>0</v>
      </c>
      <c r="CR744" s="549">
        <v>0</v>
      </c>
      <c r="CS744" s="675">
        <v>0</v>
      </c>
      <c r="CT744" s="549">
        <v>0</v>
      </c>
      <c r="CU744" s="675">
        <v>0</v>
      </c>
      <c r="CV744" s="549">
        <v>0</v>
      </c>
      <c r="CW744" s="675">
        <v>0</v>
      </c>
      <c r="CX744" s="549">
        <v>0</v>
      </c>
      <c r="CY744" s="675">
        <v>0</v>
      </c>
      <c r="CZ744" s="549">
        <v>0</v>
      </c>
      <c r="DA744" s="675">
        <v>0</v>
      </c>
      <c r="DB744" s="549">
        <v>0</v>
      </c>
      <c r="DC744" s="675">
        <v>0</v>
      </c>
      <c r="DD744" s="549">
        <v>0</v>
      </c>
      <c r="DE744" s="675">
        <v>0</v>
      </c>
      <c r="DF744" s="549">
        <v>0</v>
      </c>
      <c r="DG744" s="675">
        <v>0</v>
      </c>
      <c r="DH744" s="549">
        <v>0</v>
      </c>
      <c r="DI744" s="675">
        <v>0</v>
      </c>
      <c r="DJ744" s="549">
        <v>0</v>
      </c>
      <c r="DK744" s="675">
        <v>0</v>
      </c>
      <c r="DL744" s="549">
        <v>0</v>
      </c>
      <c r="DM744" s="675">
        <v>0</v>
      </c>
      <c r="DN744" s="549">
        <v>0</v>
      </c>
      <c r="DO744" s="675">
        <v>0</v>
      </c>
      <c r="DP744" s="549">
        <v>0</v>
      </c>
      <c r="DQ744" s="675">
        <v>0</v>
      </c>
      <c r="DR744" s="549">
        <v>0</v>
      </c>
      <c r="DS744" s="675">
        <v>0</v>
      </c>
      <c r="DT744" s="549">
        <v>0</v>
      </c>
      <c r="DU744" s="675">
        <v>0</v>
      </c>
      <c r="DV744" s="549">
        <v>0</v>
      </c>
      <c r="DW744" s="675">
        <v>0</v>
      </c>
      <c r="DX744" s="549">
        <v>0</v>
      </c>
      <c r="DY744" s="675">
        <v>0</v>
      </c>
      <c r="DZ744" s="549">
        <v>0</v>
      </c>
      <c r="EA744" s="675">
        <v>0</v>
      </c>
      <c r="EB744" s="549">
        <v>0</v>
      </c>
      <c r="EC744" s="675">
        <v>0</v>
      </c>
      <c r="ED744" s="549">
        <v>0</v>
      </c>
      <c r="EE744" s="675">
        <v>0</v>
      </c>
      <c r="EF744" s="549">
        <v>0</v>
      </c>
      <c r="EG744" s="675">
        <v>0</v>
      </c>
      <c r="EH744" s="549">
        <v>0</v>
      </c>
      <c r="EI744" s="675">
        <v>0</v>
      </c>
      <c r="EJ744" s="549">
        <v>0</v>
      </c>
      <c r="EK744" s="675">
        <v>0</v>
      </c>
      <c r="EL744" s="549">
        <v>0</v>
      </c>
      <c r="EM744" s="675">
        <v>0</v>
      </c>
      <c r="EN744" s="549">
        <v>0</v>
      </c>
      <c r="EO744" s="675">
        <v>0</v>
      </c>
      <c r="EP744" s="549">
        <v>0</v>
      </c>
      <c r="EQ744" s="675">
        <v>0</v>
      </c>
      <c r="ER744" s="549">
        <v>0</v>
      </c>
      <c r="ES744" s="675">
        <v>0</v>
      </c>
      <c r="ET744" s="549">
        <v>0</v>
      </c>
      <c r="EU744" s="675">
        <v>0</v>
      </c>
      <c r="EV744" s="549">
        <v>0</v>
      </c>
      <c r="EW744" s="675">
        <v>0</v>
      </c>
      <c r="EX744" s="549">
        <v>0</v>
      </c>
      <c r="EY744" s="675">
        <v>0</v>
      </c>
      <c r="EZ744" s="549">
        <v>0</v>
      </c>
      <c r="FA744" s="675">
        <v>0</v>
      </c>
      <c r="FB744" s="549">
        <v>0</v>
      </c>
      <c r="FC744" s="675">
        <v>0</v>
      </c>
      <c r="FD744" s="549">
        <v>0</v>
      </c>
      <c r="FE744" s="675">
        <v>0</v>
      </c>
      <c r="FF744" s="549">
        <v>0</v>
      </c>
      <c r="FG744" s="675">
        <v>0</v>
      </c>
      <c r="FH744" s="549">
        <v>0</v>
      </c>
      <c r="FI744" s="675">
        <v>0</v>
      </c>
      <c r="FJ744" s="549">
        <v>0</v>
      </c>
      <c r="FK744" s="675">
        <v>0</v>
      </c>
      <c r="FL744" s="549">
        <v>0</v>
      </c>
      <c r="FM744" s="675">
        <v>0</v>
      </c>
      <c r="FN744" s="549">
        <v>0</v>
      </c>
      <c r="FO744" s="675">
        <v>0</v>
      </c>
      <c r="FP744" s="549">
        <v>0</v>
      </c>
      <c r="FQ744" s="675">
        <v>0</v>
      </c>
      <c r="FR744" s="549">
        <v>0</v>
      </c>
      <c r="FS744" s="675">
        <v>0</v>
      </c>
      <c r="FT744" s="549">
        <v>0</v>
      </c>
      <c r="FU744" s="675">
        <v>0</v>
      </c>
      <c r="FV744" s="549">
        <v>0</v>
      </c>
      <c r="FW744" s="675">
        <v>0</v>
      </c>
      <c r="FX744" s="549">
        <v>0</v>
      </c>
      <c r="FY744" s="675">
        <v>0</v>
      </c>
      <c r="FZ744" s="549">
        <v>0</v>
      </c>
      <c r="GA744" s="675">
        <v>0</v>
      </c>
      <c r="GB744" s="549">
        <v>0</v>
      </c>
      <c r="GC744" s="675">
        <v>0</v>
      </c>
      <c r="GD744" s="549">
        <v>0</v>
      </c>
      <c r="GE744" s="675">
        <v>0</v>
      </c>
      <c r="GF744" s="549">
        <v>0</v>
      </c>
      <c r="GG744" s="675">
        <v>0</v>
      </c>
      <c r="GH744" s="549">
        <v>0</v>
      </c>
      <c r="GI744" s="675">
        <v>0</v>
      </c>
      <c r="GJ744" s="549">
        <v>0</v>
      </c>
      <c r="GK744" s="675">
        <v>0</v>
      </c>
      <c r="GL744" s="549">
        <v>0</v>
      </c>
      <c r="GM744" s="675">
        <v>0</v>
      </c>
      <c r="GN744" s="549">
        <v>0</v>
      </c>
      <c r="GO744" s="675">
        <v>0</v>
      </c>
      <c r="GP744" s="549">
        <f t="shared" si="16430"/>
        <v>0</v>
      </c>
      <c r="GQ744" s="675">
        <f t="shared" si="16431"/>
        <v>0</v>
      </c>
      <c r="GR744" s="74">
        <f t="shared" si="16432"/>
        <v>0</v>
      </c>
      <c r="GS744" s="74">
        <f t="shared" si="16433"/>
        <v>0</v>
      </c>
      <c r="GT744" s="568">
        <f>SUM(GU744:HF744)+GQ744+GP744</f>
        <v>0</v>
      </c>
      <c r="GU744" s="275"/>
      <c r="GV744" s="275"/>
      <c r="GW744" s="588"/>
      <c r="GX744" s="275">
        <f>240-240</f>
        <v>0</v>
      </c>
      <c r="GY744" s="275"/>
      <c r="GZ744" s="275"/>
      <c r="HA744" s="275">
        <f>240-240</f>
        <v>0</v>
      </c>
      <c r="HB744" s="275"/>
      <c r="HC744" s="275"/>
      <c r="HD744" s="275">
        <f>160-160</f>
        <v>0</v>
      </c>
      <c r="HE744" s="275"/>
      <c r="HF744" s="275">
        <v>0</v>
      </c>
      <c r="HG744" s="74">
        <f t="shared" si="16434"/>
        <v>0</v>
      </c>
      <c r="HH744" s="89">
        <v>0</v>
      </c>
      <c r="HI744" s="157">
        <v>0</v>
      </c>
      <c r="HJ744" s="89">
        <v>0</v>
      </c>
      <c r="HK744" s="157">
        <v>0</v>
      </c>
      <c r="HL744" s="89">
        <v>0</v>
      </c>
      <c r="HM744" s="157">
        <v>0</v>
      </c>
      <c r="HN744" s="89">
        <v>0</v>
      </c>
      <c r="HO744" s="157">
        <v>0</v>
      </c>
      <c r="HP744" s="89">
        <v>0</v>
      </c>
      <c r="HQ744" s="157">
        <v>0</v>
      </c>
      <c r="HR744" s="89">
        <v>0</v>
      </c>
      <c r="HS744" s="157">
        <v>0</v>
      </c>
      <c r="HT744" s="89">
        <v>0</v>
      </c>
      <c r="HU744" s="157">
        <v>0</v>
      </c>
      <c r="HV744" s="89">
        <v>0</v>
      </c>
      <c r="HW744" s="157">
        <v>0</v>
      </c>
      <c r="HX744" s="89">
        <v>0</v>
      </c>
      <c r="HY744" s="157">
        <v>0</v>
      </c>
      <c r="HZ744" s="89">
        <v>0</v>
      </c>
      <c r="IA744" s="157">
        <v>0</v>
      </c>
      <c r="IB744" s="89">
        <v>0</v>
      </c>
      <c r="IC744" s="157">
        <v>0</v>
      </c>
      <c r="ID744" s="89">
        <v>0</v>
      </c>
      <c r="IE744" s="157">
        <v>0</v>
      </c>
      <c r="IF744" s="717">
        <f t="shared" si="16435"/>
        <v>0</v>
      </c>
      <c r="IG744" s="263">
        <f t="shared" si="16436"/>
        <v>0</v>
      </c>
      <c r="IH744" s="718">
        <f t="shared" si="16437"/>
        <v>0</v>
      </c>
      <c r="II744" s="89">
        <v>0</v>
      </c>
      <c r="IJ744" s="89">
        <f t="shared" si="16438"/>
        <v>0</v>
      </c>
      <c r="IK744" s="89">
        <f t="shared" si="16439"/>
        <v>0</v>
      </c>
      <c r="IL744" s="89">
        <v>0</v>
      </c>
      <c r="IM744" s="89">
        <f t="shared" si="16440"/>
        <v>0</v>
      </c>
      <c r="IN744" s="89">
        <f t="shared" si="16441"/>
        <v>0</v>
      </c>
      <c r="IO744" s="89">
        <v>0</v>
      </c>
      <c r="IP744" s="89">
        <f t="shared" si="16442"/>
        <v>0</v>
      </c>
      <c r="IQ744" s="89">
        <f t="shared" si="16443"/>
        <v>0</v>
      </c>
      <c r="IR744" s="89">
        <v>0</v>
      </c>
      <c r="IS744" s="89">
        <f t="shared" si="16444"/>
        <v>0</v>
      </c>
      <c r="IT744" s="89">
        <f t="shared" si="16445"/>
        <v>0</v>
      </c>
      <c r="IU744" s="89">
        <v>0</v>
      </c>
      <c r="IV744" s="89">
        <f t="shared" si="16446"/>
        <v>0</v>
      </c>
      <c r="IW744" s="89">
        <f t="shared" si="16447"/>
        <v>0</v>
      </c>
      <c r="IX744" s="89">
        <v>0</v>
      </c>
      <c r="IY744" s="89">
        <f t="shared" si="16448"/>
        <v>0</v>
      </c>
      <c r="IZ744" s="89">
        <f t="shared" si="16449"/>
        <v>0</v>
      </c>
      <c r="JA744" s="89">
        <v>0</v>
      </c>
      <c r="JB744" s="89">
        <f t="shared" si="16450"/>
        <v>0</v>
      </c>
      <c r="JC744" s="89">
        <f t="shared" si="16451"/>
        <v>0</v>
      </c>
      <c r="JD744" s="89">
        <v>0</v>
      </c>
      <c r="JE744" s="89">
        <f t="shared" si="16452"/>
        <v>0</v>
      </c>
      <c r="JF744" s="89">
        <f t="shared" si="16453"/>
        <v>0</v>
      </c>
      <c r="JG744" s="89">
        <v>0</v>
      </c>
      <c r="JH744" s="89">
        <f t="shared" si="16454"/>
        <v>0</v>
      </c>
      <c r="JI744" s="89">
        <f t="shared" si="16455"/>
        <v>0</v>
      </c>
      <c r="JJ744" s="89">
        <v>0</v>
      </c>
      <c r="JK744" s="89">
        <f t="shared" si="16456"/>
        <v>0</v>
      </c>
      <c r="JL744" s="89">
        <f t="shared" si="16457"/>
        <v>0</v>
      </c>
      <c r="JM744" s="89">
        <v>0</v>
      </c>
      <c r="JN744" s="89">
        <f t="shared" si="16458"/>
        <v>0</v>
      </c>
      <c r="JO744" s="89">
        <f t="shared" si="16459"/>
        <v>0</v>
      </c>
      <c r="JP744" s="89">
        <v>0</v>
      </c>
      <c r="JQ744" s="89">
        <f t="shared" ref="JQ744:JR744" si="16462">JP744</f>
        <v>0</v>
      </c>
      <c r="JR744" s="89">
        <f t="shared" si="16462"/>
        <v>0</v>
      </c>
      <c r="JS744" s="74">
        <f>HG744-IF744</f>
        <v>0</v>
      </c>
      <c r="JT744" s="382">
        <f>GS744-IF744</f>
        <v>0</v>
      </c>
      <c r="JU744" s="665"/>
      <c r="JV744" s="524"/>
      <c r="JW744" s="525"/>
      <c r="JX744" s="549">
        <f t="shared" si="16461"/>
        <v>0</v>
      </c>
      <c r="JY744" s="549">
        <f t="shared" si="15767"/>
        <v>0</v>
      </c>
      <c r="JZ744" s="581">
        <f t="shared" si="14740"/>
        <v>0</v>
      </c>
      <c r="KA744" s="581">
        <f t="shared" si="14741"/>
        <v>0</v>
      </c>
      <c r="KB744" s="566">
        <f t="shared" si="15406"/>
        <v>0</v>
      </c>
      <c r="KC744" s="709">
        <f t="shared" si="14739"/>
        <v>0</v>
      </c>
      <c r="KD744" s="491"/>
      <c r="KE744" s="491"/>
      <c r="KF744" s="491"/>
      <c r="KG744" s="491"/>
      <c r="KH744" s="36"/>
      <c r="KI744" s="36"/>
      <c r="KJ744" s="36"/>
      <c r="KK744" s="36"/>
    </row>
    <row r="745" spans="1:297" s="10" customFormat="1" ht="12.75" hidden="1" customHeight="1">
      <c r="A745" s="612" t="s">
        <v>1195</v>
      </c>
      <c r="B745" s="512" t="s">
        <v>963</v>
      </c>
      <c r="C745" s="74">
        <v>0</v>
      </c>
      <c r="D745" s="549">
        <v>0</v>
      </c>
      <c r="E745" s="675">
        <v>0</v>
      </c>
      <c r="F745" s="549">
        <v>0</v>
      </c>
      <c r="G745" s="675">
        <v>0</v>
      </c>
      <c r="H745" s="549">
        <v>0</v>
      </c>
      <c r="I745" s="675">
        <v>0</v>
      </c>
      <c r="J745" s="549">
        <v>0</v>
      </c>
      <c r="K745" s="675">
        <v>0</v>
      </c>
      <c r="L745" s="549">
        <v>0</v>
      </c>
      <c r="M745" s="675">
        <v>0</v>
      </c>
      <c r="N745" s="549">
        <v>0</v>
      </c>
      <c r="O745" s="675">
        <v>0</v>
      </c>
      <c r="P745" s="549">
        <v>0</v>
      </c>
      <c r="Q745" s="675">
        <v>0</v>
      </c>
      <c r="R745" s="549">
        <v>0</v>
      </c>
      <c r="S745" s="675">
        <v>0</v>
      </c>
      <c r="T745" s="549">
        <v>0</v>
      </c>
      <c r="U745" s="675">
        <v>0</v>
      </c>
      <c r="V745" s="549">
        <v>0</v>
      </c>
      <c r="W745" s="675">
        <v>0</v>
      </c>
      <c r="X745" s="549">
        <v>0</v>
      </c>
      <c r="Y745" s="675">
        <v>0</v>
      </c>
      <c r="Z745" s="549">
        <v>0</v>
      </c>
      <c r="AA745" s="675">
        <v>0</v>
      </c>
      <c r="AB745" s="549">
        <v>0</v>
      </c>
      <c r="AC745" s="675">
        <v>0</v>
      </c>
      <c r="AD745" s="549">
        <v>0</v>
      </c>
      <c r="AE745" s="675">
        <v>0</v>
      </c>
      <c r="AF745" s="549">
        <v>0</v>
      </c>
      <c r="AG745" s="675">
        <v>0</v>
      </c>
      <c r="AH745" s="549">
        <v>0</v>
      </c>
      <c r="AI745" s="675">
        <v>0</v>
      </c>
      <c r="AJ745" s="549">
        <v>0</v>
      </c>
      <c r="AK745" s="675">
        <v>0</v>
      </c>
      <c r="AL745" s="549">
        <v>0</v>
      </c>
      <c r="AM745" s="675">
        <v>0</v>
      </c>
      <c r="AN745" s="549">
        <v>0</v>
      </c>
      <c r="AO745" s="675">
        <v>0</v>
      </c>
      <c r="AP745" s="549">
        <v>0</v>
      </c>
      <c r="AQ745" s="675">
        <v>0</v>
      </c>
      <c r="AR745" s="549">
        <v>0</v>
      </c>
      <c r="AS745" s="675">
        <v>0</v>
      </c>
      <c r="AT745" s="549">
        <v>0</v>
      </c>
      <c r="AU745" s="675">
        <v>0</v>
      </c>
      <c r="AV745" s="549">
        <v>0</v>
      </c>
      <c r="AW745" s="675">
        <v>0</v>
      </c>
      <c r="AX745" s="549">
        <v>0</v>
      </c>
      <c r="AY745" s="675">
        <v>0</v>
      </c>
      <c r="AZ745" s="549">
        <v>0</v>
      </c>
      <c r="BA745" s="675">
        <v>0</v>
      </c>
      <c r="BB745" s="549">
        <v>0</v>
      </c>
      <c r="BC745" s="675">
        <v>0</v>
      </c>
      <c r="BD745" s="549">
        <v>0</v>
      </c>
      <c r="BE745" s="675">
        <v>0</v>
      </c>
      <c r="BF745" s="549">
        <v>0</v>
      </c>
      <c r="BG745" s="675">
        <v>0</v>
      </c>
      <c r="BH745" s="549">
        <v>0</v>
      </c>
      <c r="BI745" s="675">
        <v>0</v>
      </c>
      <c r="BJ745" s="549">
        <v>0</v>
      </c>
      <c r="BK745" s="675">
        <v>0</v>
      </c>
      <c r="BL745" s="549">
        <v>0</v>
      </c>
      <c r="BM745" s="675">
        <v>0</v>
      </c>
      <c r="BN745" s="549">
        <v>0</v>
      </c>
      <c r="BO745" s="675">
        <v>0</v>
      </c>
      <c r="BP745" s="549">
        <v>0</v>
      </c>
      <c r="BQ745" s="675">
        <v>0</v>
      </c>
      <c r="BR745" s="549">
        <v>0</v>
      </c>
      <c r="BS745" s="675">
        <v>0</v>
      </c>
      <c r="BT745" s="549">
        <v>0</v>
      </c>
      <c r="BU745" s="675">
        <v>0</v>
      </c>
      <c r="BV745" s="549">
        <v>0</v>
      </c>
      <c r="BW745" s="675">
        <v>0</v>
      </c>
      <c r="BX745" s="549">
        <v>0</v>
      </c>
      <c r="BY745" s="675">
        <v>0</v>
      </c>
      <c r="BZ745" s="549">
        <v>0</v>
      </c>
      <c r="CA745" s="675">
        <v>0</v>
      </c>
      <c r="CB745" s="549">
        <v>0</v>
      </c>
      <c r="CC745" s="675">
        <v>0</v>
      </c>
      <c r="CD745" s="549">
        <v>0</v>
      </c>
      <c r="CE745" s="675">
        <v>0</v>
      </c>
      <c r="CF745" s="549">
        <v>0</v>
      </c>
      <c r="CG745" s="675">
        <v>0</v>
      </c>
      <c r="CH745" s="549">
        <v>0</v>
      </c>
      <c r="CI745" s="675">
        <v>0</v>
      </c>
      <c r="CJ745" s="549">
        <v>0</v>
      </c>
      <c r="CK745" s="675">
        <v>0</v>
      </c>
      <c r="CL745" s="549">
        <v>0</v>
      </c>
      <c r="CM745" s="675">
        <v>0</v>
      </c>
      <c r="CN745" s="549">
        <v>0</v>
      </c>
      <c r="CO745" s="675">
        <v>0</v>
      </c>
      <c r="CP745" s="549">
        <v>0</v>
      </c>
      <c r="CQ745" s="675">
        <v>0</v>
      </c>
      <c r="CR745" s="549">
        <v>0</v>
      </c>
      <c r="CS745" s="675">
        <v>0</v>
      </c>
      <c r="CT745" s="549">
        <v>0</v>
      </c>
      <c r="CU745" s="675">
        <v>0</v>
      </c>
      <c r="CV745" s="549">
        <v>0</v>
      </c>
      <c r="CW745" s="675">
        <v>0</v>
      </c>
      <c r="CX745" s="549">
        <v>0</v>
      </c>
      <c r="CY745" s="675">
        <v>0</v>
      </c>
      <c r="CZ745" s="549">
        <v>0</v>
      </c>
      <c r="DA745" s="675">
        <v>0</v>
      </c>
      <c r="DB745" s="549">
        <v>0</v>
      </c>
      <c r="DC745" s="675">
        <v>0</v>
      </c>
      <c r="DD745" s="549">
        <v>0</v>
      </c>
      <c r="DE745" s="675">
        <v>0</v>
      </c>
      <c r="DF745" s="549">
        <v>0</v>
      </c>
      <c r="DG745" s="675">
        <v>0</v>
      </c>
      <c r="DH745" s="549">
        <v>0</v>
      </c>
      <c r="DI745" s="675">
        <v>0</v>
      </c>
      <c r="DJ745" s="549">
        <v>0</v>
      </c>
      <c r="DK745" s="675">
        <v>0</v>
      </c>
      <c r="DL745" s="549">
        <v>0</v>
      </c>
      <c r="DM745" s="675">
        <v>0</v>
      </c>
      <c r="DN745" s="549">
        <v>0</v>
      </c>
      <c r="DO745" s="675">
        <v>0</v>
      </c>
      <c r="DP745" s="549">
        <v>0</v>
      </c>
      <c r="DQ745" s="675">
        <v>0</v>
      </c>
      <c r="DR745" s="549">
        <v>0</v>
      </c>
      <c r="DS745" s="675">
        <v>0</v>
      </c>
      <c r="DT745" s="549">
        <v>0</v>
      </c>
      <c r="DU745" s="675">
        <v>0</v>
      </c>
      <c r="DV745" s="549">
        <v>0</v>
      </c>
      <c r="DW745" s="675">
        <v>0</v>
      </c>
      <c r="DX745" s="549">
        <v>0</v>
      </c>
      <c r="DY745" s="675">
        <v>0</v>
      </c>
      <c r="DZ745" s="549">
        <v>0</v>
      </c>
      <c r="EA745" s="675">
        <v>0</v>
      </c>
      <c r="EB745" s="549">
        <v>0</v>
      </c>
      <c r="EC745" s="675">
        <v>0</v>
      </c>
      <c r="ED745" s="549">
        <v>0</v>
      </c>
      <c r="EE745" s="675">
        <v>0</v>
      </c>
      <c r="EF745" s="549">
        <v>0</v>
      </c>
      <c r="EG745" s="675">
        <v>0</v>
      </c>
      <c r="EH745" s="549">
        <v>0</v>
      </c>
      <c r="EI745" s="675">
        <v>0</v>
      </c>
      <c r="EJ745" s="549">
        <v>0</v>
      </c>
      <c r="EK745" s="675">
        <v>0</v>
      </c>
      <c r="EL745" s="549">
        <v>0</v>
      </c>
      <c r="EM745" s="675">
        <v>0</v>
      </c>
      <c r="EN745" s="549">
        <v>0</v>
      </c>
      <c r="EO745" s="675">
        <v>0</v>
      </c>
      <c r="EP745" s="549">
        <v>0</v>
      </c>
      <c r="EQ745" s="675">
        <v>0</v>
      </c>
      <c r="ER745" s="549">
        <v>0</v>
      </c>
      <c r="ES745" s="675">
        <v>0</v>
      </c>
      <c r="ET745" s="549">
        <v>0</v>
      </c>
      <c r="EU745" s="675">
        <v>0</v>
      </c>
      <c r="EV745" s="549">
        <v>0</v>
      </c>
      <c r="EW745" s="675">
        <v>0</v>
      </c>
      <c r="EX745" s="549">
        <v>0</v>
      </c>
      <c r="EY745" s="675">
        <v>0</v>
      </c>
      <c r="EZ745" s="549">
        <v>0</v>
      </c>
      <c r="FA745" s="675">
        <v>0</v>
      </c>
      <c r="FB745" s="549">
        <v>0</v>
      </c>
      <c r="FC745" s="675">
        <v>0</v>
      </c>
      <c r="FD745" s="549">
        <v>0</v>
      </c>
      <c r="FE745" s="675">
        <v>0</v>
      </c>
      <c r="FF745" s="549">
        <v>0</v>
      </c>
      <c r="FG745" s="675">
        <v>0</v>
      </c>
      <c r="FH745" s="549">
        <v>0</v>
      </c>
      <c r="FI745" s="675">
        <v>0</v>
      </c>
      <c r="FJ745" s="549">
        <v>0</v>
      </c>
      <c r="FK745" s="675">
        <v>0</v>
      </c>
      <c r="FL745" s="549">
        <v>0</v>
      </c>
      <c r="FM745" s="675">
        <v>0</v>
      </c>
      <c r="FN745" s="549">
        <v>0</v>
      </c>
      <c r="FO745" s="675">
        <v>0</v>
      </c>
      <c r="FP745" s="549">
        <v>0</v>
      </c>
      <c r="FQ745" s="675">
        <v>0</v>
      </c>
      <c r="FR745" s="549">
        <v>0</v>
      </c>
      <c r="FS745" s="675">
        <v>0</v>
      </c>
      <c r="FT745" s="549">
        <v>0</v>
      </c>
      <c r="FU745" s="675">
        <v>0</v>
      </c>
      <c r="FV745" s="549">
        <v>0</v>
      </c>
      <c r="FW745" s="675">
        <v>0</v>
      </c>
      <c r="FX745" s="549">
        <v>0</v>
      </c>
      <c r="FY745" s="675">
        <v>0</v>
      </c>
      <c r="FZ745" s="549">
        <v>0</v>
      </c>
      <c r="GA745" s="675">
        <v>0</v>
      </c>
      <c r="GB745" s="549">
        <v>0</v>
      </c>
      <c r="GC745" s="675">
        <v>0</v>
      </c>
      <c r="GD745" s="549">
        <v>0</v>
      </c>
      <c r="GE745" s="675">
        <v>0</v>
      </c>
      <c r="GF745" s="549">
        <v>0</v>
      </c>
      <c r="GG745" s="675">
        <v>0</v>
      </c>
      <c r="GH745" s="549">
        <v>0</v>
      </c>
      <c r="GI745" s="675">
        <v>0</v>
      </c>
      <c r="GJ745" s="549">
        <v>0</v>
      </c>
      <c r="GK745" s="675">
        <v>0</v>
      </c>
      <c r="GL745" s="549">
        <v>0</v>
      </c>
      <c r="GM745" s="675">
        <v>0</v>
      </c>
      <c r="GN745" s="549">
        <v>0</v>
      </c>
      <c r="GO745" s="675">
        <v>0</v>
      </c>
      <c r="GP745" s="549">
        <f t="shared" si="16430"/>
        <v>0</v>
      </c>
      <c r="GQ745" s="675">
        <f t="shared" si="16431"/>
        <v>0</v>
      </c>
      <c r="GR745" s="74">
        <f t="shared" si="16432"/>
        <v>0</v>
      </c>
      <c r="GS745" s="74">
        <f t="shared" si="16433"/>
        <v>0</v>
      </c>
      <c r="GT745" s="568">
        <f>SUM(GU745:HF745)+GQ745+GP745</f>
        <v>0</v>
      </c>
      <c r="GU745" s="275"/>
      <c r="GV745" s="275"/>
      <c r="GW745" s="588"/>
      <c r="GX745" s="275">
        <f>3360-3360</f>
        <v>0</v>
      </c>
      <c r="GY745" s="275"/>
      <c r="GZ745" s="275"/>
      <c r="HA745" s="275">
        <f>3360-3360</f>
        <v>0</v>
      </c>
      <c r="HB745" s="275"/>
      <c r="HC745" s="275"/>
      <c r="HD745" s="275">
        <f>2240-2240</f>
        <v>0</v>
      </c>
      <c r="HE745" s="275"/>
      <c r="HF745" s="275">
        <v>0</v>
      </c>
      <c r="HG745" s="74">
        <f t="shared" si="16434"/>
        <v>0</v>
      </c>
      <c r="HH745" s="89">
        <v>0</v>
      </c>
      <c r="HI745" s="157">
        <v>0</v>
      </c>
      <c r="HJ745" s="89">
        <v>0</v>
      </c>
      <c r="HK745" s="157">
        <v>0</v>
      </c>
      <c r="HL745" s="89">
        <v>0</v>
      </c>
      <c r="HM745" s="157">
        <v>0</v>
      </c>
      <c r="HN745" s="89">
        <v>0</v>
      </c>
      <c r="HO745" s="157">
        <v>0</v>
      </c>
      <c r="HP745" s="89">
        <v>0</v>
      </c>
      <c r="HQ745" s="157">
        <v>0</v>
      </c>
      <c r="HR745" s="89">
        <v>0</v>
      </c>
      <c r="HS745" s="157">
        <v>0</v>
      </c>
      <c r="HT745" s="89">
        <v>0</v>
      </c>
      <c r="HU745" s="157">
        <v>0</v>
      </c>
      <c r="HV745" s="89">
        <v>0</v>
      </c>
      <c r="HW745" s="157">
        <v>0</v>
      </c>
      <c r="HX745" s="89">
        <v>0</v>
      </c>
      <c r="HY745" s="157">
        <v>0</v>
      </c>
      <c r="HZ745" s="89">
        <v>0</v>
      </c>
      <c r="IA745" s="157">
        <v>0</v>
      </c>
      <c r="IB745" s="89">
        <v>0</v>
      </c>
      <c r="IC745" s="157">
        <v>0</v>
      </c>
      <c r="ID745" s="89">
        <v>0</v>
      </c>
      <c r="IE745" s="157">
        <v>0</v>
      </c>
      <c r="IF745" s="717">
        <f t="shared" si="16435"/>
        <v>0</v>
      </c>
      <c r="IG745" s="263">
        <f t="shared" si="16436"/>
        <v>0</v>
      </c>
      <c r="IH745" s="718">
        <f t="shared" si="16437"/>
        <v>0</v>
      </c>
      <c r="II745" s="89">
        <v>0</v>
      </c>
      <c r="IJ745" s="89">
        <f t="shared" si="16438"/>
        <v>0</v>
      </c>
      <c r="IK745" s="89">
        <f t="shared" si="16439"/>
        <v>0</v>
      </c>
      <c r="IL745" s="89">
        <v>0</v>
      </c>
      <c r="IM745" s="89">
        <f t="shared" si="16440"/>
        <v>0</v>
      </c>
      <c r="IN745" s="89">
        <f t="shared" si="16441"/>
        <v>0</v>
      </c>
      <c r="IO745" s="89">
        <v>0</v>
      </c>
      <c r="IP745" s="89">
        <f t="shared" si="16442"/>
        <v>0</v>
      </c>
      <c r="IQ745" s="89">
        <f t="shared" si="16443"/>
        <v>0</v>
      </c>
      <c r="IR745" s="89">
        <v>0</v>
      </c>
      <c r="IS745" s="89">
        <f t="shared" si="16444"/>
        <v>0</v>
      </c>
      <c r="IT745" s="89">
        <f t="shared" si="16445"/>
        <v>0</v>
      </c>
      <c r="IU745" s="89">
        <v>0</v>
      </c>
      <c r="IV745" s="89">
        <f t="shared" si="16446"/>
        <v>0</v>
      </c>
      <c r="IW745" s="89">
        <f t="shared" si="16447"/>
        <v>0</v>
      </c>
      <c r="IX745" s="89">
        <v>0</v>
      </c>
      <c r="IY745" s="89">
        <f t="shared" si="16448"/>
        <v>0</v>
      </c>
      <c r="IZ745" s="89">
        <f t="shared" si="16449"/>
        <v>0</v>
      </c>
      <c r="JA745" s="89">
        <v>0</v>
      </c>
      <c r="JB745" s="89">
        <f t="shared" si="16450"/>
        <v>0</v>
      </c>
      <c r="JC745" s="89">
        <f t="shared" si="16451"/>
        <v>0</v>
      </c>
      <c r="JD745" s="89">
        <v>0</v>
      </c>
      <c r="JE745" s="89">
        <f t="shared" si="16452"/>
        <v>0</v>
      </c>
      <c r="JF745" s="89">
        <f t="shared" si="16453"/>
        <v>0</v>
      </c>
      <c r="JG745" s="89">
        <v>0</v>
      </c>
      <c r="JH745" s="89">
        <f t="shared" si="16454"/>
        <v>0</v>
      </c>
      <c r="JI745" s="89">
        <f t="shared" si="16455"/>
        <v>0</v>
      </c>
      <c r="JJ745" s="89">
        <v>0</v>
      </c>
      <c r="JK745" s="89">
        <f t="shared" si="16456"/>
        <v>0</v>
      </c>
      <c r="JL745" s="89">
        <f t="shared" si="16457"/>
        <v>0</v>
      </c>
      <c r="JM745" s="89">
        <v>0</v>
      </c>
      <c r="JN745" s="89">
        <f t="shared" si="16458"/>
        <v>0</v>
      </c>
      <c r="JO745" s="89">
        <f t="shared" si="16459"/>
        <v>0</v>
      </c>
      <c r="JP745" s="89">
        <v>0</v>
      </c>
      <c r="JQ745" s="89">
        <f t="shared" ref="JQ745:JR745" si="16463">JP745</f>
        <v>0</v>
      </c>
      <c r="JR745" s="89">
        <f t="shared" si="16463"/>
        <v>0</v>
      </c>
      <c r="JS745" s="74">
        <f>HG745-IF745</f>
        <v>0</v>
      </c>
      <c r="JT745" s="382">
        <f>GS745-IF745</f>
        <v>0</v>
      </c>
      <c r="JU745" s="665"/>
      <c r="JV745" s="524"/>
      <c r="JW745" s="525"/>
      <c r="JX745" s="549">
        <f t="shared" si="16461"/>
        <v>0</v>
      </c>
      <c r="JY745" s="549">
        <f t="shared" si="15767"/>
        <v>0</v>
      </c>
      <c r="JZ745" s="581">
        <f t="shared" si="14740"/>
        <v>0</v>
      </c>
      <c r="KA745" s="581">
        <f t="shared" si="14741"/>
        <v>0</v>
      </c>
      <c r="KB745" s="566">
        <f t="shared" si="15406"/>
        <v>0</v>
      </c>
      <c r="KC745" s="709">
        <f t="shared" ref="KC745:KC828" si="16464">HG745-KB745</f>
        <v>0</v>
      </c>
      <c r="KD745" s="491"/>
      <c r="KE745" s="491"/>
      <c r="KF745" s="491"/>
      <c r="KG745" s="491"/>
      <c r="KH745" s="272"/>
      <c r="KI745" s="272"/>
      <c r="KJ745" s="272"/>
      <c r="KK745" s="272"/>
    </row>
    <row r="746" spans="1:297" s="8" customFormat="1" ht="12.75" customHeight="1">
      <c r="A746" s="612" t="s">
        <v>1196</v>
      </c>
      <c r="B746" s="512" t="s">
        <v>939</v>
      </c>
      <c r="C746" s="74">
        <v>5400</v>
      </c>
      <c r="D746" s="549">
        <v>0</v>
      </c>
      <c r="E746" s="675">
        <v>0</v>
      </c>
      <c r="F746" s="549">
        <v>0</v>
      </c>
      <c r="G746" s="675">
        <v>0</v>
      </c>
      <c r="H746" s="549">
        <v>0</v>
      </c>
      <c r="I746" s="675">
        <v>0</v>
      </c>
      <c r="J746" s="549">
        <v>0</v>
      </c>
      <c r="K746" s="675">
        <v>0</v>
      </c>
      <c r="L746" s="549">
        <v>0</v>
      </c>
      <c r="M746" s="675">
        <v>0</v>
      </c>
      <c r="N746" s="549">
        <v>0</v>
      </c>
      <c r="O746" s="675">
        <v>0</v>
      </c>
      <c r="P746" s="549">
        <v>0</v>
      </c>
      <c r="Q746" s="675">
        <v>0</v>
      </c>
      <c r="R746" s="549">
        <v>0</v>
      </c>
      <c r="S746" s="675">
        <v>0</v>
      </c>
      <c r="T746" s="549">
        <v>0</v>
      </c>
      <c r="U746" s="675">
        <v>0</v>
      </c>
      <c r="V746" s="549">
        <v>0</v>
      </c>
      <c r="W746" s="675">
        <v>0</v>
      </c>
      <c r="X746" s="549">
        <v>0</v>
      </c>
      <c r="Y746" s="675">
        <v>0</v>
      </c>
      <c r="Z746" s="549">
        <v>0</v>
      </c>
      <c r="AA746" s="675">
        <v>0</v>
      </c>
      <c r="AB746" s="549">
        <v>0</v>
      </c>
      <c r="AC746" s="675">
        <v>0</v>
      </c>
      <c r="AD746" s="549">
        <v>0</v>
      </c>
      <c r="AE746" s="675">
        <v>0</v>
      </c>
      <c r="AF746" s="549">
        <v>0</v>
      </c>
      <c r="AG746" s="675">
        <v>0</v>
      </c>
      <c r="AH746" s="549">
        <v>0</v>
      </c>
      <c r="AI746" s="675">
        <v>0</v>
      </c>
      <c r="AJ746" s="549">
        <v>0</v>
      </c>
      <c r="AK746" s="675">
        <v>0</v>
      </c>
      <c r="AL746" s="549">
        <v>0</v>
      </c>
      <c r="AM746" s="675">
        <v>0</v>
      </c>
      <c r="AN746" s="549">
        <v>0</v>
      </c>
      <c r="AO746" s="675">
        <v>0</v>
      </c>
      <c r="AP746" s="549">
        <v>0</v>
      </c>
      <c r="AQ746" s="675">
        <v>0</v>
      </c>
      <c r="AR746" s="549">
        <v>0</v>
      </c>
      <c r="AS746" s="675">
        <v>0</v>
      </c>
      <c r="AT746" s="549">
        <v>0</v>
      </c>
      <c r="AU746" s="675">
        <v>0</v>
      </c>
      <c r="AV746" s="549">
        <v>0</v>
      </c>
      <c r="AW746" s="675">
        <v>0</v>
      </c>
      <c r="AX746" s="549">
        <v>0</v>
      </c>
      <c r="AY746" s="675">
        <v>0</v>
      </c>
      <c r="AZ746" s="549">
        <v>0</v>
      </c>
      <c r="BA746" s="675">
        <v>0</v>
      </c>
      <c r="BB746" s="549">
        <v>0</v>
      </c>
      <c r="BC746" s="675">
        <v>0</v>
      </c>
      <c r="BD746" s="549">
        <v>0</v>
      </c>
      <c r="BE746" s="675">
        <v>0</v>
      </c>
      <c r="BF746" s="549">
        <v>0</v>
      </c>
      <c r="BG746" s="675">
        <v>0</v>
      </c>
      <c r="BH746" s="549">
        <v>0</v>
      </c>
      <c r="BI746" s="675">
        <v>0</v>
      </c>
      <c r="BJ746" s="549">
        <v>0</v>
      </c>
      <c r="BK746" s="675">
        <v>0</v>
      </c>
      <c r="BL746" s="549">
        <v>0</v>
      </c>
      <c r="BM746" s="675">
        <v>0</v>
      </c>
      <c r="BN746" s="549">
        <v>0</v>
      </c>
      <c r="BO746" s="675">
        <v>0</v>
      </c>
      <c r="BP746" s="549">
        <v>0</v>
      </c>
      <c r="BQ746" s="675">
        <v>0</v>
      </c>
      <c r="BR746" s="549">
        <v>0</v>
      </c>
      <c r="BS746" s="675">
        <v>0</v>
      </c>
      <c r="BT746" s="549">
        <v>0</v>
      </c>
      <c r="BU746" s="675">
        <v>-5400</v>
      </c>
      <c r="BV746" s="549">
        <v>0</v>
      </c>
      <c r="BW746" s="675">
        <v>0</v>
      </c>
      <c r="BX746" s="549">
        <v>0</v>
      </c>
      <c r="BY746" s="675">
        <v>0</v>
      </c>
      <c r="BZ746" s="549">
        <v>0</v>
      </c>
      <c r="CA746" s="675">
        <v>0</v>
      </c>
      <c r="CB746" s="549">
        <v>0</v>
      </c>
      <c r="CC746" s="675">
        <v>0</v>
      </c>
      <c r="CD746" s="549">
        <v>0</v>
      </c>
      <c r="CE746" s="675">
        <v>0</v>
      </c>
      <c r="CF746" s="549">
        <v>0</v>
      </c>
      <c r="CG746" s="675">
        <v>0</v>
      </c>
      <c r="CH746" s="549">
        <v>0</v>
      </c>
      <c r="CI746" s="675">
        <v>0</v>
      </c>
      <c r="CJ746" s="549">
        <v>0</v>
      </c>
      <c r="CK746" s="675">
        <v>0</v>
      </c>
      <c r="CL746" s="549">
        <v>0</v>
      </c>
      <c r="CM746" s="675">
        <v>0</v>
      </c>
      <c r="CN746" s="549">
        <v>0</v>
      </c>
      <c r="CO746" s="675">
        <v>0</v>
      </c>
      <c r="CP746" s="549">
        <v>0</v>
      </c>
      <c r="CQ746" s="675">
        <v>0</v>
      </c>
      <c r="CR746" s="549">
        <v>0</v>
      </c>
      <c r="CS746" s="675">
        <v>0</v>
      </c>
      <c r="CT746" s="549">
        <v>0</v>
      </c>
      <c r="CU746" s="675">
        <v>0</v>
      </c>
      <c r="CV746" s="549">
        <v>0</v>
      </c>
      <c r="CW746" s="675">
        <v>0</v>
      </c>
      <c r="CX746" s="549">
        <v>0</v>
      </c>
      <c r="CY746" s="675">
        <v>0</v>
      </c>
      <c r="CZ746" s="549">
        <v>0</v>
      </c>
      <c r="DA746" s="675">
        <v>0</v>
      </c>
      <c r="DB746" s="549">
        <v>0</v>
      </c>
      <c r="DC746" s="675">
        <v>0</v>
      </c>
      <c r="DD746" s="549">
        <v>0</v>
      </c>
      <c r="DE746" s="675">
        <v>0</v>
      </c>
      <c r="DF746" s="549">
        <v>0</v>
      </c>
      <c r="DG746" s="675">
        <v>0</v>
      </c>
      <c r="DH746" s="549">
        <v>0</v>
      </c>
      <c r="DI746" s="675">
        <v>0</v>
      </c>
      <c r="DJ746" s="549">
        <v>0</v>
      </c>
      <c r="DK746" s="675">
        <v>0</v>
      </c>
      <c r="DL746" s="549">
        <v>0</v>
      </c>
      <c r="DM746" s="675">
        <v>0</v>
      </c>
      <c r="DN746" s="549">
        <v>0</v>
      </c>
      <c r="DO746" s="675">
        <v>0</v>
      </c>
      <c r="DP746" s="549">
        <v>0</v>
      </c>
      <c r="DQ746" s="675">
        <v>0</v>
      </c>
      <c r="DR746" s="549">
        <v>0</v>
      </c>
      <c r="DS746" s="675">
        <v>0</v>
      </c>
      <c r="DT746" s="549">
        <v>0</v>
      </c>
      <c r="DU746" s="675">
        <v>0</v>
      </c>
      <c r="DV746" s="549">
        <v>0</v>
      </c>
      <c r="DW746" s="675">
        <v>0</v>
      </c>
      <c r="DX746" s="549">
        <v>0</v>
      </c>
      <c r="DY746" s="675">
        <v>0</v>
      </c>
      <c r="DZ746" s="549">
        <v>0</v>
      </c>
      <c r="EA746" s="675">
        <v>0</v>
      </c>
      <c r="EB746" s="549">
        <v>0</v>
      </c>
      <c r="EC746" s="675">
        <v>0</v>
      </c>
      <c r="ED746" s="549">
        <v>0</v>
      </c>
      <c r="EE746" s="675">
        <v>0</v>
      </c>
      <c r="EF746" s="549">
        <v>0</v>
      </c>
      <c r="EG746" s="675">
        <v>0</v>
      </c>
      <c r="EH746" s="549">
        <v>0</v>
      </c>
      <c r="EI746" s="675">
        <v>0</v>
      </c>
      <c r="EJ746" s="549">
        <v>0</v>
      </c>
      <c r="EK746" s="675">
        <v>0</v>
      </c>
      <c r="EL746" s="549">
        <v>0</v>
      </c>
      <c r="EM746" s="675">
        <v>0</v>
      </c>
      <c r="EN746" s="549">
        <v>0</v>
      </c>
      <c r="EO746" s="675">
        <v>0</v>
      </c>
      <c r="EP746" s="549">
        <v>0</v>
      </c>
      <c r="EQ746" s="675">
        <v>0</v>
      </c>
      <c r="ER746" s="549">
        <v>0</v>
      </c>
      <c r="ES746" s="675">
        <v>0</v>
      </c>
      <c r="ET746" s="549">
        <v>0</v>
      </c>
      <c r="EU746" s="675">
        <v>0</v>
      </c>
      <c r="EV746" s="549">
        <v>0</v>
      </c>
      <c r="EW746" s="675">
        <v>0</v>
      </c>
      <c r="EX746" s="549">
        <v>0</v>
      </c>
      <c r="EY746" s="675">
        <v>0</v>
      </c>
      <c r="EZ746" s="549">
        <v>0</v>
      </c>
      <c r="FA746" s="675">
        <v>0</v>
      </c>
      <c r="FB746" s="549">
        <v>0</v>
      </c>
      <c r="FC746" s="675">
        <v>0</v>
      </c>
      <c r="FD746" s="549">
        <v>0</v>
      </c>
      <c r="FE746" s="675">
        <v>0</v>
      </c>
      <c r="FF746" s="549">
        <v>0</v>
      </c>
      <c r="FG746" s="675">
        <v>0</v>
      </c>
      <c r="FH746" s="549">
        <v>0</v>
      </c>
      <c r="FI746" s="675">
        <v>0</v>
      </c>
      <c r="FJ746" s="549">
        <v>0</v>
      </c>
      <c r="FK746" s="675">
        <v>0</v>
      </c>
      <c r="FL746" s="549">
        <v>0</v>
      </c>
      <c r="FM746" s="675">
        <v>0</v>
      </c>
      <c r="FN746" s="549">
        <v>0</v>
      </c>
      <c r="FO746" s="675">
        <v>0</v>
      </c>
      <c r="FP746" s="549">
        <v>0</v>
      </c>
      <c r="FQ746" s="675">
        <v>0</v>
      </c>
      <c r="FR746" s="549">
        <v>0</v>
      </c>
      <c r="FS746" s="675">
        <v>0</v>
      </c>
      <c r="FT746" s="549">
        <v>0</v>
      </c>
      <c r="FU746" s="675">
        <v>0</v>
      </c>
      <c r="FV746" s="549">
        <v>0</v>
      </c>
      <c r="FW746" s="675">
        <v>0</v>
      </c>
      <c r="FX746" s="549">
        <v>0</v>
      </c>
      <c r="FY746" s="675">
        <v>0</v>
      </c>
      <c r="FZ746" s="549">
        <v>0</v>
      </c>
      <c r="GA746" s="675">
        <v>0</v>
      </c>
      <c r="GB746" s="549">
        <v>0</v>
      </c>
      <c r="GC746" s="675">
        <v>0</v>
      </c>
      <c r="GD746" s="549">
        <v>0</v>
      </c>
      <c r="GE746" s="675">
        <v>0</v>
      </c>
      <c r="GF746" s="549">
        <v>0</v>
      </c>
      <c r="GG746" s="675">
        <v>0</v>
      </c>
      <c r="GH746" s="549">
        <v>0</v>
      </c>
      <c r="GI746" s="675">
        <v>0</v>
      </c>
      <c r="GJ746" s="549">
        <v>0</v>
      </c>
      <c r="GK746" s="675">
        <v>0</v>
      </c>
      <c r="GL746" s="549">
        <v>0</v>
      </c>
      <c r="GM746" s="675">
        <v>0</v>
      </c>
      <c r="GN746" s="549">
        <v>0</v>
      </c>
      <c r="GO746" s="675">
        <v>0</v>
      </c>
      <c r="GP746" s="549">
        <f t="shared" si="16430"/>
        <v>0</v>
      </c>
      <c r="GQ746" s="675">
        <f t="shared" si="16431"/>
        <v>-5400</v>
      </c>
      <c r="GR746" s="74">
        <f t="shared" si="16432"/>
        <v>0</v>
      </c>
      <c r="GS746" s="74">
        <f>SUM(GU746:HD746)+GP746+GQ746</f>
        <v>0</v>
      </c>
      <c r="GT746" s="568">
        <f>SUM(GU746:HF746)+GQ746+GP746</f>
        <v>0</v>
      </c>
      <c r="GU746" s="275">
        <v>1080</v>
      </c>
      <c r="GV746" s="275"/>
      <c r="GW746" s="588"/>
      <c r="GX746" s="275">
        <v>1620</v>
      </c>
      <c r="GY746" s="275">
        <v>2700</v>
      </c>
      <c r="GZ746" s="275"/>
      <c r="HA746" s="275">
        <f>1620-1620</f>
        <v>0</v>
      </c>
      <c r="HB746" s="275"/>
      <c r="HC746" s="275"/>
      <c r="HD746" s="275">
        <f>1080-1080</f>
        <v>0</v>
      </c>
      <c r="HE746" s="275"/>
      <c r="HF746" s="275">
        <v>0</v>
      </c>
      <c r="HG746" s="74">
        <f t="shared" si="16434"/>
        <v>0</v>
      </c>
      <c r="HH746" s="89">
        <v>0</v>
      </c>
      <c r="HI746" s="157">
        <v>0</v>
      </c>
      <c r="HJ746" s="89">
        <v>0</v>
      </c>
      <c r="HK746" s="157">
        <v>0</v>
      </c>
      <c r="HL746" s="89">
        <v>0</v>
      </c>
      <c r="HM746" s="157">
        <v>0</v>
      </c>
      <c r="HN746" s="89">
        <v>0</v>
      </c>
      <c r="HO746" s="157">
        <v>2700</v>
      </c>
      <c r="HP746" s="89">
        <v>0</v>
      </c>
      <c r="HQ746" s="157">
        <v>0</v>
      </c>
      <c r="HR746" s="89">
        <v>0</v>
      </c>
      <c r="HS746" s="157">
        <v>2700</v>
      </c>
      <c r="HT746" s="89">
        <v>0</v>
      </c>
      <c r="HU746" s="157">
        <v>0</v>
      </c>
      <c r="HV746" s="89">
        <v>0</v>
      </c>
      <c r="HW746" s="157">
        <v>0</v>
      </c>
      <c r="HX746" s="89">
        <v>0</v>
      </c>
      <c r="HY746" s="157">
        <v>0</v>
      </c>
      <c r="HZ746" s="89">
        <v>0</v>
      </c>
      <c r="IA746" s="157">
        <v>0</v>
      </c>
      <c r="IB746" s="89">
        <v>0</v>
      </c>
      <c r="IC746" s="157">
        <v>0</v>
      </c>
      <c r="ID746" s="89">
        <v>0</v>
      </c>
      <c r="IE746" s="157">
        <v>0</v>
      </c>
      <c r="IF746" s="717">
        <f t="shared" si="16435"/>
        <v>0</v>
      </c>
      <c r="IG746" s="263">
        <f t="shared" si="16436"/>
        <v>0</v>
      </c>
      <c r="IH746" s="718">
        <f t="shared" si="16437"/>
        <v>0</v>
      </c>
      <c r="II746" s="89">
        <v>0</v>
      </c>
      <c r="IJ746" s="89">
        <f t="shared" si="16438"/>
        <v>0</v>
      </c>
      <c r="IK746" s="89">
        <f t="shared" si="16439"/>
        <v>0</v>
      </c>
      <c r="IL746" s="89">
        <v>0</v>
      </c>
      <c r="IM746" s="89">
        <f t="shared" si="16440"/>
        <v>0</v>
      </c>
      <c r="IN746" s="89">
        <f t="shared" si="16441"/>
        <v>0</v>
      </c>
      <c r="IO746" s="89">
        <v>0</v>
      </c>
      <c r="IP746" s="89">
        <f t="shared" si="16442"/>
        <v>0</v>
      </c>
      <c r="IQ746" s="89">
        <f t="shared" si="16443"/>
        <v>0</v>
      </c>
      <c r="IR746" s="89">
        <v>0</v>
      </c>
      <c r="IS746" s="89">
        <f t="shared" si="16444"/>
        <v>0</v>
      </c>
      <c r="IT746" s="89">
        <f t="shared" si="16445"/>
        <v>0</v>
      </c>
      <c r="IU746" s="89">
        <v>0</v>
      </c>
      <c r="IV746" s="89">
        <f t="shared" si="16446"/>
        <v>0</v>
      </c>
      <c r="IW746" s="89">
        <f t="shared" si="16447"/>
        <v>0</v>
      </c>
      <c r="IX746" s="89">
        <v>0</v>
      </c>
      <c r="IY746" s="89">
        <f t="shared" si="16448"/>
        <v>0</v>
      </c>
      <c r="IZ746" s="89">
        <f t="shared" si="16449"/>
        <v>0</v>
      </c>
      <c r="JA746" s="89">
        <v>0</v>
      </c>
      <c r="JB746" s="89">
        <f t="shared" si="16450"/>
        <v>0</v>
      </c>
      <c r="JC746" s="89">
        <f t="shared" si="16451"/>
        <v>0</v>
      </c>
      <c r="JD746" s="89">
        <v>0</v>
      </c>
      <c r="JE746" s="89">
        <f t="shared" si="16452"/>
        <v>0</v>
      </c>
      <c r="JF746" s="89">
        <f t="shared" si="16453"/>
        <v>0</v>
      </c>
      <c r="JG746" s="89">
        <v>0</v>
      </c>
      <c r="JH746" s="89">
        <f t="shared" si="16454"/>
        <v>0</v>
      </c>
      <c r="JI746" s="89">
        <f t="shared" si="16455"/>
        <v>0</v>
      </c>
      <c r="JJ746" s="89">
        <v>0</v>
      </c>
      <c r="JK746" s="89">
        <f t="shared" si="16456"/>
        <v>0</v>
      </c>
      <c r="JL746" s="89">
        <f t="shared" si="16457"/>
        <v>0</v>
      </c>
      <c r="JM746" s="89">
        <v>0</v>
      </c>
      <c r="JN746" s="89">
        <f t="shared" si="16458"/>
        <v>0</v>
      </c>
      <c r="JO746" s="89">
        <f t="shared" si="16459"/>
        <v>0</v>
      </c>
      <c r="JP746" s="89">
        <v>0</v>
      </c>
      <c r="JQ746" s="89">
        <f t="shared" ref="JQ746:JR746" si="16465">JP746</f>
        <v>0</v>
      </c>
      <c r="JR746" s="89">
        <f t="shared" si="16465"/>
        <v>0</v>
      </c>
      <c r="JS746" s="74">
        <f>HG746-IF746</f>
        <v>0</v>
      </c>
      <c r="JT746" s="382">
        <f>GS746-IF746</f>
        <v>0</v>
      </c>
      <c r="JU746" s="665"/>
      <c r="JV746" s="524"/>
      <c r="JW746" s="525"/>
      <c r="JX746" s="549">
        <f t="shared" si="16461"/>
        <v>0</v>
      </c>
      <c r="JY746" s="549">
        <f t="shared" si="15767"/>
        <v>5400</v>
      </c>
      <c r="JZ746" s="581">
        <f t="shared" ref="JZ746:JZ836" si="16466">GP746</f>
        <v>0</v>
      </c>
      <c r="KA746" s="581">
        <f t="shared" ref="KA746:KA836" si="16467">GQ746</f>
        <v>-5400</v>
      </c>
      <c r="KB746" s="566">
        <f t="shared" si="15406"/>
        <v>0</v>
      </c>
      <c r="KC746" s="709">
        <f t="shared" si="16464"/>
        <v>0</v>
      </c>
      <c r="KD746" s="494"/>
      <c r="KE746" s="494"/>
      <c r="KF746" s="494"/>
      <c r="KG746" s="494"/>
      <c r="KH746" s="57"/>
      <c r="KI746" s="57"/>
      <c r="KJ746" s="57"/>
      <c r="KK746" s="57"/>
    </row>
    <row r="747" spans="1:297" s="8" customFormat="1" ht="12.75" hidden="1" customHeight="1">
      <c r="A747" s="612" t="s">
        <v>1197</v>
      </c>
      <c r="B747" s="512" t="s">
        <v>969</v>
      </c>
      <c r="C747" s="74">
        <v>0</v>
      </c>
      <c r="D747" s="549"/>
      <c r="E747" s="675"/>
      <c r="F747" s="549"/>
      <c r="G747" s="675"/>
      <c r="H747" s="549"/>
      <c r="I747" s="675"/>
      <c r="J747" s="549"/>
      <c r="K747" s="675"/>
      <c r="L747" s="549"/>
      <c r="M747" s="675"/>
      <c r="N747" s="549"/>
      <c r="O747" s="675"/>
      <c r="P747" s="549"/>
      <c r="Q747" s="675"/>
      <c r="R747" s="549"/>
      <c r="S747" s="675"/>
      <c r="T747" s="549"/>
      <c r="U747" s="675"/>
      <c r="V747" s="549"/>
      <c r="W747" s="675"/>
      <c r="X747" s="549"/>
      <c r="Y747" s="675"/>
      <c r="Z747" s="549"/>
      <c r="AA747" s="675"/>
      <c r="AB747" s="549"/>
      <c r="AC747" s="675"/>
      <c r="AD747" s="549"/>
      <c r="AE747" s="675"/>
      <c r="AF747" s="549"/>
      <c r="AG747" s="675"/>
      <c r="AH747" s="549"/>
      <c r="AI747" s="675"/>
      <c r="AJ747" s="549"/>
      <c r="AK747" s="675"/>
      <c r="AL747" s="549"/>
      <c r="AM747" s="675"/>
      <c r="AN747" s="549"/>
      <c r="AO747" s="675"/>
      <c r="AP747" s="549"/>
      <c r="AQ747" s="675"/>
      <c r="AR747" s="549"/>
      <c r="AS747" s="675"/>
      <c r="AT747" s="549"/>
      <c r="AU747" s="675"/>
      <c r="AV747" s="549"/>
      <c r="AW747" s="675"/>
      <c r="AX747" s="549"/>
      <c r="AY747" s="675"/>
      <c r="AZ747" s="549"/>
      <c r="BA747" s="675"/>
      <c r="BB747" s="549"/>
      <c r="BC747" s="675"/>
      <c r="BD747" s="549"/>
      <c r="BE747" s="675"/>
      <c r="BF747" s="549"/>
      <c r="BG747" s="675"/>
      <c r="BH747" s="549"/>
      <c r="BI747" s="675"/>
      <c r="BJ747" s="549"/>
      <c r="BK747" s="675"/>
      <c r="BL747" s="549"/>
      <c r="BM747" s="675"/>
      <c r="BN747" s="549"/>
      <c r="BO747" s="675"/>
      <c r="BP747" s="549"/>
      <c r="BQ747" s="675"/>
      <c r="BR747" s="549"/>
      <c r="BS747" s="675"/>
      <c r="BT747" s="549"/>
      <c r="BU747" s="675"/>
      <c r="BV747" s="549"/>
      <c r="BW747" s="675"/>
      <c r="BX747" s="549"/>
      <c r="BY747" s="675"/>
      <c r="BZ747" s="549"/>
      <c r="CA747" s="675"/>
      <c r="CB747" s="549"/>
      <c r="CC747" s="675"/>
      <c r="CD747" s="549"/>
      <c r="CE747" s="675"/>
      <c r="CF747" s="549"/>
      <c r="CG747" s="675"/>
      <c r="CH747" s="549"/>
      <c r="CI747" s="675"/>
      <c r="CJ747" s="549"/>
      <c r="CK747" s="675"/>
      <c r="CL747" s="549"/>
      <c r="CM747" s="675"/>
      <c r="CN747" s="549"/>
      <c r="CO747" s="675"/>
      <c r="CP747" s="549"/>
      <c r="CQ747" s="675"/>
      <c r="CR747" s="549"/>
      <c r="CS747" s="675"/>
      <c r="CT747" s="549"/>
      <c r="CU747" s="675"/>
      <c r="CV747" s="549"/>
      <c r="CW747" s="675"/>
      <c r="CX747" s="549"/>
      <c r="CY747" s="675"/>
      <c r="CZ747" s="549"/>
      <c r="DA747" s="675"/>
      <c r="DB747" s="549"/>
      <c r="DC747" s="675"/>
      <c r="DD747" s="549"/>
      <c r="DE747" s="675"/>
      <c r="DF747" s="549"/>
      <c r="DG747" s="675"/>
      <c r="DH747" s="549"/>
      <c r="DI747" s="675"/>
      <c r="DJ747" s="549"/>
      <c r="DK747" s="675"/>
      <c r="DL747" s="549"/>
      <c r="DM747" s="675"/>
      <c r="DN747" s="549"/>
      <c r="DO747" s="675"/>
      <c r="DP747" s="549"/>
      <c r="DQ747" s="675"/>
      <c r="DR747" s="549"/>
      <c r="DS747" s="675"/>
      <c r="DT747" s="549"/>
      <c r="DU747" s="675"/>
      <c r="DV747" s="549"/>
      <c r="DW747" s="675"/>
      <c r="DX747" s="549"/>
      <c r="DY747" s="675"/>
      <c r="DZ747" s="549"/>
      <c r="EA747" s="675"/>
      <c r="EB747" s="549"/>
      <c r="EC747" s="675"/>
      <c r="ED747" s="549"/>
      <c r="EE747" s="675"/>
      <c r="EF747" s="549"/>
      <c r="EG747" s="675"/>
      <c r="EH747" s="549"/>
      <c r="EI747" s="675"/>
      <c r="EJ747" s="549"/>
      <c r="EK747" s="675"/>
      <c r="EL747" s="549"/>
      <c r="EM747" s="675"/>
      <c r="EN747" s="549"/>
      <c r="EO747" s="675"/>
      <c r="EP747" s="549"/>
      <c r="EQ747" s="675"/>
      <c r="ER747" s="549"/>
      <c r="ES747" s="675"/>
      <c r="ET747" s="549"/>
      <c r="EU747" s="675"/>
      <c r="EV747" s="549"/>
      <c r="EW747" s="675"/>
      <c r="EX747" s="549"/>
      <c r="EY747" s="675"/>
      <c r="EZ747" s="549"/>
      <c r="FA747" s="675"/>
      <c r="FB747" s="549"/>
      <c r="FC747" s="675"/>
      <c r="FD747" s="549"/>
      <c r="FE747" s="675"/>
      <c r="FF747" s="549"/>
      <c r="FG747" s="675"/>
      <c r="FH747" s="549"/>
      <c r="FI747" s="675"/>
      <c r="FJ747" s="549"/>
      <c r="FK747" s="675"/>
      <c r="FL747" s="549"/>
      <c r="FM747" s="675"/>
      <c r="FN747" s="549"/>
      <c r="FO747" s="675"/>
      <c r="FP747" s="549"/>
      <c r="FQ747" s="675"/>
      <c r="FR747" s="549"/>
      <c r="FS747" s="675"/>
      <c r="FT747" s="549"/>
      <c r="FU747" s="675"/>
      <c r="FV747" s="549"/>
      <c r="FW747" s="675"/>
      <c r="FX747" s="549"/>
      <c r="FY747" s="675"/>
      <c r="FZ747" s="549"/>
      <c r="GA747" s="675"/>
      <c r="GB747" s="549"/>
      <c r="GC747" s="675"/>
      <c r="GD747" s="549"/>
      <c r="GE747" s="675"/>
      <c r="GF747" s="549"/>
      <c r="GG747" s="675"/>
      <c r="GH747" s="549"/>
      <c r="GI747" s="675"/>
      <c r="GJ747" s="549"/>
      <c r="GK747" s="675"/>
      <c r="GL747" s="549"/>
      <c r="GM747" s="675"/>
      <c r="GN747" s="549"/>
      <c r="GO747" s="675"/>
      <c r="GP747" s="549">
        <f t="shared" si="16430"/>
        <v>0</v>
      </c>
      <c r="GQ747" s="675">
        <f t="shared" si="16431"/>
        <v>0</v>
      </c>
      <c r="GR747" s="74">
        <f t="shared" si="16432"/>
        <v>0</v>
      </c>
      <c r="GS747" s="74">
        <f t="shared" si="16433"/>
        <v>0</v>
      </c>
      <c r="GT747" s="568">
        <f t="shared" ref="GT747:GT748" si="16468">SUM(GU747:HF747)+GQ747+GP747</f>
        <v>0</v>
      </c>
      <c r="GU747" s="275"/>
      <c r="GV747" s="275"/>
      <c r="GW747" s="588"/>
      <c r="GX747" s="275">
        <f>120-120</f>
        <v>0</v>
      </c>
      <c r="GY747" s="275"/>
      <c r="GZ747" s="275"/>
      <c r="HA747" s="275">
        <f>120-120</f>
        <v>0</v>
      </c>
      <c r="HB747" s="275"/>
      <c r="HC747" s="275"/>
      <c r="HD747" s="275">
        <f>80-80</f>
        <v>0</v>
      </c>
      <c r="HE747" s="275"/>
      <c r="HF747" s="275"/>
      <c r="HG747" s="74">
        <f t="shared" si="16434"/>
        <v>0</v>
      </c>
      <c r="HH747" s="89">
        <v>0</v>
      </c>
      <c r="HI747" s="157">
        <v>0</v>
      </c>
      <c r="HJ747" s="89">
        <v>0</v>
      </c>
      <c r="HK747" s="157">
        <v>0</v>
      </c>
      <c r="HL747" s="89">
        <v>0</v>
      </c>
      <c r="HM747" s="157">
        <v>0</v>
      </c>
      <c r="HN747" s="89">
        <v>0</v>
      </c>
      <c r="HO747" s="157">
        <v>0</v>
      </c>
      <c r="HP747" s="89">
        <v>0</v>
      </c>
      <c r="HQ747" s="157">
        <v>0</v>
      </c>
      <c r="HR747" s="89">
        <v>0</v>
      </c>
      <c r="HS747" s="157">
        <v>0</v>
      </c>
      <c r="HT747" s="89">
        <v>0</v>
      </c>
      <c r="HU747" s="157">
        <v>0</v>
      </c>
      <c r="HV747" s="89">
        <v>0</v>
      </c>
      <c r="HW747" s="157">
        <v>0</v>
      </c>
      <c r="HX747" s="89">
        <v>0</v>
      </c>
      <c r="HY747" s="157">
        <v>0</v>
      </c>
      <c r="HZ747" s="89">
        <v>0</v>
      </c>
      <c r="IA747" s="157">
        <v>0</v>
      </c>
      <c r="IB747" s="89">
        <v>0</v>
      </c>
      <c r="IC747" s="157">
        <v>0</v>
      </c>
      <c r="ID747" s="89">
        <v>0</v>
      </c>
      <c r="IE747" s="157">
        <v>0</v>
      </c>
      <c r="IF747" s="717">
        <f t="shared" si="16435"/>
        <v>0</v>
      </c>
      <c r="IG747" s="263">
        <f t="shared" si="16436"/>
        <v>0</v>
      </c>
      <c r="IH747" s="718">
        <f t="shared" si="16437"/>
        <v>0</v>
      </c>
      <c r="II747" s="89">
        <v>0</v>
      </c>
      <c r="IJ747" s="89">
        <f t="shared" si="16438"/>
        <v>0</v>
      </c>
      <c r="IK747" s="89">
        <f t="shared" si="16439"/>
        <v>0</v>
      </c>
      <c r="IL747" s="89">
        <v>0</v>
      </c>
      <c r="IM747" s="89">
        <f t="shared" si="16440"/>
        <v>0</v>
      </c>
      <c r="IN747" s="89">
        <f t="shared" si="16441"/>
        <v>0</v>
      </c>
      <c r="IO747" s="89">
        <v>0</v>
      </c>
      <c r="IP747" s="89">
        <f t="shared" si="16442"/>
        <v>0</v>
      </c>
      <c r="IQ747" s="89">
        <f t="shared" si="16443"/>
        <v>0</v>
      </c>
      <c r="IR747" s="89">
        <v>0</v>
      </c>
      <c r="IS747" s="89">
        <f t="shared" si="16444"/>
        <v>0</v>
      </c>
      <c r="IT747" s="89">
        <f t="shared" si="16445"/>
        <v>0</v>
      </c>
      <c r="IU747" s="89">
        <v>0</v>
      </c>
      <c r="IV747" s="89">
        <f t="shared" si="16446"/>
        <v>0</v>
      </c>
      <c r="IW747" s="89">
        <f t="shared" si="16447"/>
        <v>0</v>
      </c>
      <c r="IX747" s="89">
        <v>0</v>
      </c>
      <c r="IY747" s="89">
        <f t="shared" si="16448"/>
        <v>0</v>
      </c>
      <c r="IZ747" s="89">
        <f t="shared" si="16449"/>
        <v>0</v>
      </c>
      <c r="JA747" s="89">
        <v>0</v>
      </c>
      <c r="JB747" s="89">
        <f t="shared" si="16450"/>
        <v>0</v>
      </c>
      <c r="JC747" s="89">
        <f t="shared" si="16451"/>
        <v>0</v>
      </c>
      <c r="JD747" s="89">
        <v>0</v>
      </c>
      <c r="JE747" s="89">
        <f t="shared" si="16452"/>
        <v>0</v>
      </c>
      <c r="JF747" s="89">
        <f t="shared" si="16453"/>
        <v>0</v>
      </c>
      <c r="JG747" s="89">
        <v>0</v>
      </c>
      <c r="JH747" s="89">
        <f t="shared" si="16454"/>
        <v>0</v>
      </c>
      <c r="JI747" s="89">
        <f t="shared" si="16455"/>
        <v>0</v>
      </c>
      <c r="JJ747" s="89">
        <v>0</v>
      </c>
      <c r="JK747" s="89">
        <f t="shared" si="16456"/>
        <v>0</v>
      </c>
      <c r="JL747" s="89">
        <f t="shared" si="16457"/>
        <v>0</v>
      </c>
      <c r="JM747" s="89">
        <v>0</v>
      </c>
      <c r="JN747" s="89">
        <f t="shared" si="16458"/>
        <v>0</v>
      </c>
      <c r="JO747" s="89">
        <f t="shared" si="16459"/>
        <v>0</v>
      </c>
      <c r="JP747" s="89">
        <v>0</v>
      </c>
      <c r="JQ747" s="89">
        <f t="shared" ref="JQ747:JR747" si="16469">JP747</f>
        <v>0</v>
      </c>
      <c r="JR747" s="89">
        <f t="shared" si="16469"/>
        <v>0</v>
      </c>
      <c r="JS747" s="74">
        <f t="shared" ref="JS747:JS748" si="16470">HG747-IF747</f>
        <v>0</v>
      </c>
      <c r="JT747" s="382">
        <f t="shared" ref="JT747:JT748" si="16471">GS747-IF747</f>
        <v>0</v>
      </c>
      <c r="JU747" s="665"/>
      <c r="JV747" s="524"/>
      <c r="JW747" s="525"/>
      <c r="JX747" s="549">
        <f t="shared" si="16461"/>
        <v>0</v>
      </c>
      <c r="JY747" s="549">
        <f t="shared" ref="JY747" si="16472">SUM(HI747,HK747,HM747,HO747,HQ747,HS747,HU747,HW747,HY747,IA747,IC747,IE747)</f>
        <v>0</v>
      </c>
      <c r="JZ747" s="581">
        <f t="shared" ref="JZ747" si="16473">GP747</f>
        <v>0</v>
      </c>
      <c r="KA747" s="581">
        <f t="shared" ref="KA747" si="16474">GQ747</f>
        <v>0</v>
      </c>
      <c r="KB747" s="566">
        <f t="shared" ref="KB747" si="16475">SUM(JX747:KA747)</f>
        <v>0</v>
      </c>
      <c r="KC747" s="709">
        <f t="shared" si="16464"/>
        <v>0</v>
      </c>
      <c r="KD747" s="494"/>
      <c r="KE747" s="494"/>
      <c r="KF747" s="494"/>
      <c r="KG747" s="494"/>
      <c r="KH747" s="57"/>
      <c r="KI747" s="57"/>
      <c r="KJ747" s="57"/>
      <c r="KK747" s="57"/>
    </row>
    <row r="748" spans="1:297" s="8" customFormat="1" ht="12.75" hidden="1" customHeight="1">
      <c r="A748" s="612" t="s">
        <v>1198</v>
      </c>
      <c r="B748" s="512" t="s">
        <v>940</v>
      </c>
      <c r="C748" s="74">
        <v>0</v>
      </c>
      <c r="D748" s="549">
        <v>0</v>
      </c>
      <c r="E748" s="675">
        <v>0</v>
      </c>
      <c r="F748" s="549">
        <v>0</v>
      </c>
      <c r="G748" s="675">
        <v>0</v>
      </c>
      <c r="H748" s="549">
        <v>0</v>
      </c>
      <c r="I748" s="675">
        <v>0</v>
      </c>
      <c r="J748" s="549">
        <v>0</v>
      </c>
      <c r="K748" s="675">
        <v>0</v>
      </c>
      <c r="L748" s="549">
        <v>0</v>
      </c>
      <c r="M748" s="675">
        <v>0</v>
      </c>
      <c r="N748" s="549">
        <v>0</v>
      </c>
      <c r="O748" s="675">
        <v>0</v>
      </c>
      <c r="P748" s="549">
        <v>0</v>
      </c>
      <c r="Q748" s="675">
        <v>0</v>
      </c>
      <c r="R748" s="549">
        <v>0</v>
      </c>
      <c r="S748" s="675">
        <v>0</v>
      </c>
      <c r="T748" s="549">
        <v>0</v>
      </c>
      <c r="U748" s="675">
        <v>0</v>
      </c>
      <c r="V748" s="549">
        <v>0</v>
      </c>
      <c r="W748" s="675">
        <v>0</v>
      </c>
      <c r="X748" s="549">
        <v>0</v>
      </c>
      <c r="Y748" s="675">
        <v>0</v>
      </c>
      <c r="Z748" s="549">
        <v>0</v>
      </c>
      <c r="AA748" s="675">
        <v>0</v>
      </c>
      <c r="AB748" s="549">
        <v>0</v>
      </c>
      <c r="AC748" s="675">
        <v>0</v>
      </c>
      <c r="AD748" s="549">
        <v>0</v>
      </c>
      <c r="AE748" s="675">
        <v>0</v>
      </c>
      <c r="AF748" s="549">
        <v>0</v>
      </c>
      <c r="AG748" s="675">
        <v>0</v>
      </c>
      <c r="AH748" s="549">
        <v>0</v>
      </c>
      <c r="AI748" s="675">
        <v>0</v>
      </c>
      <c r="AJ748" s="549">
        <v>0</v>
      </c>
      <c r="AK748" s="675">
        <v>0</v>
      </c>
      <c r="AL748" s="549">
        <v>0</v>
      </c>
      <c r="AM748" s="675">
        <v>0</v>
      </c>
      <c r="AN748" s="549">
        <v>0</v>
      </c>
      <c r="AO748" s="675">
        <v>0</v>
      </c>
      <c r="AP748" s="549">
        <v>0</v>
      </c>
      <c r="AQ748" s="675">
        <v>0</v>
      </c>
      <c r="AR748" s="549">
        <v>0</v>
      </c>
      <c r="AS748" s="675">
        <v>0</v>
      </c>
      <c r="AT748" s="549">
        <v>0</v>
      </c>
      <c r="AU748" s="675">
        <v>0</v>
      </c>
      <c r="AV748" s="549">
        <v>0</v>
      </c>
      <c r="AW748" s="675">
        <v>0</v>
      </c>
      <c r="AX748" s="549">
        <v>0</v>
      </c>
      <c r="AY748" s="675">
        <v>0</v>
      </c>
      <c r="AZ748" s="549">
        <v>0</v>
      </c>
      <c r="BA748" s="675">
        <v>0</v>
      </c>
      <c r="BB748" s="549">
        <v>0</v>
      </c>
      <c r="BC748" s="675">
        <v>0</v>
      </c>
      <c r="BD748" s="549">
        <v>0</v>
      </c>
      <c r="BE748" s="675">
        <v>0</v>
      </c>
      <c r="BF748" s="549">
        <v>0</v>
      </c>
      <c r="BG748" s="675">
        <v>0</v>
      </c>
      <c r="BH748" s="549">
        <v>0</v>
      </c>
      <c r="BI748" s="675">
        <v>0</v>
      </c>
      <c r="BJ748" s="549">
        <v>0</v>
      </c>
      <c r="BK748" s="675">
        <v>0</v>
      </c>
      <c r="BL748" s="549">
        <v>0</v>
      </c>
      <c r="BM748" s="675">
        <v>0</v>
      </c>
      <c r="BN748" s="549">
        <v>0</v>
      </c>
      <c r="BO748" s="675">
        <v>0</v>
      </c>
      <c r="BP748" s="549">
        <v>0</v>
      </c>
      <c r="BQ748" s="675">
        <v>0</v>
      </c>
      <c r="BR748" s="549">
        <v>0</v>
      </c>
      <c r="BS748" s="675">
        <v>0</v>
      </c>
      <c r="BT748" s="549">
        <v>0</v>
      </c>
      <c r="BU748" s="675">
        <v>0</v>
      </c>
      <c r="BV748" s="549">
        <v>0</v>
      </c>
      <c r="BW748" s="675">
        <v>0</v>
      </c>
      <c r="BX748" s="549">
        <v>0</v>
      </c>
      <c r="BY748" s="675">
        <v>0</v>
      </c>
      <c r="BZ748" s="549">
        <v>0</v>
      </c>
      <c r="CA748" s="675">
        <v>0</v>
      </c>
      <c r="CB748" s="549">
        <v>0</v>
      </c>
      <c r="CC748" s="675">
        <v>0</v>
      </c>
      <c r="CD748" s="549">
        <v>0</v>
      </c>
      <c r="CE748" s="675">
        <v>0</v>
      </c>
      <c r="CF748" s="549">
        <v>0</v>
      </c>
      <c r="CG748" s="675">
        <v>0</v>
      </c>
      <c r="CH748" s="549">
        <v>0</v>
      </c>
      <c r="CI748" s="675">
        <v>0</v>
      </c>
      <c r="CJ748" s="549">
        <v>0</v>
      </c>
      <c r="CK748" s="675">
        <v>0</v>
      </c>
      <c r="CL748" s="549">
        <v>0</v>
      </c>
      <c r="CM748" s="675">
        <v>0</v>
      </c>
      <c r="CN748" s="549">
        <v>0</v>
      </c>
      <c r="CO748" s="675">
        <v>0</v>
      </c>
      <c r="CP748" s="549">
        <v>0</v>
      </c>
      <c r="CQ748" s="675">
        <v>0</v>
      </c>
      <c r="CR748" s="549">
        <v>0</v>
      </c>
      <c r="CS748" s="675">
        <v>0</v>
      </c>
      <c r="CT748" s="549">
        <v>0</v>
      </c>
      <c r="CU748" s="675">
        <v>0</v>
      </c>
      <c r="CV748" s="549">
        <v>0</v>
      </c>
      <c r="CW748" s="675">
        <v>0</v>
      </c>
      <c r="CX748" s="549">
        <v>0</v>
      </c>
      <c r="CY748" s="675">
        <v>0</v>
      </c>
      <c r="CZ748" s="549">
        <v>0</v>
      </c>
      <c r="DA748" s="675">
        <v>0</v>
      </c>
      <c r="DB748" s="549">
        <v>0</v>
      </c>
      <c r="DC748" s="675">
        <v>0</v>
      </c>
      <c r="DD748" s="549">
        <v>0</v>
      </c>
      <c r="DE748" s="675">
        <v>0</v>
      </c>
      <c r="DF748" s="549">
        <v>0</v>
      </c>
      <c r="DG748" s="675">
        <v>0</v>
      </c>
      <c r="DH748" s="549">
        <v>0</v>
      </c>
      <c r="DI748" s="675">
        <v>0</v>
      </c>
      <c r="DJ748" s="549">
        <v>0</v>
      </c>
      <c r="DK748" s="675">
        <v>0</v>
      </c>
      <c r="DL748" s="549">
        <v>0</v>
      </c>
      <c r="DM748" s="675">
        <v>0</v>
      </c>
      <c r="DN748" s="549">
        <v>0</v>
      </c>
      <c r="DO748" s="675">
        <v>0</v>
      </c>
      <c r="DP748" s="549">
        <v>0</v>
      </c>
      <c r="DQ748" s="675">
        <v>0</v>
      </c>
      <c r="DR748" s="549">
        <v>0</v>
      </c>
      <c r="DS748" s="675">
        <v>0</v>
      </c>
      <c r="DT748" s="549">
        <v>0</v>
      </c>
      <c r="DU748" s="675">
        <v>0</v>
      </c>
      <c r="DV748" s="549">
        <v>0</v>
      </c>
      <c r="DW748" s="675">
        <v>0</v>
      </c>
      <c r="DX748" s="549">
        <v>0</v>
      </c>
      <c r="DY748" s="675">
        <v>0</v>
      </c>
      <c r="DZ748" s="549">
        <v>0</v>
      </c>
      <c r="EA748" s="675">
        <v>0</v>
      </c>
      <c r="EB748" s="549">
        <v>0</v>
      </c>
      <c r="EC748" s="675">
        <v>0</v>
      </c>
      <c r="ED748" s="549">
        <v>0</v>
      </c>
      <c r="EE748" s="675">
        <v>0</v>
      </c>
      <c r="EF748" s="549">
        <v>0</v>
      </c>
      <c r="EG748" s="675">
        <v>0</v>
      </c>
      <c r="EH748" s="549">
        <v>0</v>
      </c>
      <c r="EI748" s="675">
        <v>0</v>
      </c>
      <c r="EJ748" s="549">
        <v>0</v>
      </c>
      <c r="EK748" s="675">
        <v>0</v>
      </c>
      <c r="EL748" s="549">
        <v>0</v>
      </c>
      <c r="EM748" s="675">
        <v>0</v>
      </c>
      <c r="EN748" s="549">
        <v>0</v>
      </c>
      <c r="EO748" s="675">
        <v>0</v>
      </c>
      <c r="EP748" s="549">
        <v>0</v>
      </c>
      <c r="EQ748" s="675">
        <v>0</v>
      </c>
      <c r="ER748" s="549">
        <v>0</v>
      </c>
      <c r="ES748" s="675">
        <v>0</v>
      </c>
      <c r="ET748" s="549">
        <v>0</v>
      </c>
      <c r="EU748" s="675">
        <v>0</v>
      </c>
      <c r="EV748" s="549">
        <v>0</v>
      </c>
      <c r="EW748" s="675">
        <v>0</v>
      </c>
      <c r="EX748" s="549">
        <v>0</v>
      </c>
      <c r="EY748" s="675">
        <v>0</v>
      </c>
      <c r="EZ748" s="549">
        <v>0</v>
      </c>
      <c r="FA748" s="675">
        <v>0</v>
      </c>
      <c r="FB748" s="549">
        <v>0</v>
      </c>
      <c r="FC748" s="675">
        <v>0</v>
      </c>
      <c r="FD748" s="549">
        <v>0</v>
      </c>
      <c r="FE748" s="675">
        <v>0</v>
      </c>
      <c r="FF748" s="549">
        <v>0</v>
      </c>
      <c r="FG748" s="675">
        <v>0</v>
      </c>
      <c r="FH748" s="549">
        <v>0</v>
      </c>
      <c r="FI748" s="675">
        <v>0</v>
      </c>
      <c r="FJ748" s="549">
        <v>0</v>
      </c>
      <c r="FK748" s="675">
        <v>0</v>
      </c>
      <c r="FL748" s="549">
        <v>0</v>
      </c>
      <c r="FM748" s="675">
        <v>0</v>
      </c>
      <c r="FN748" s="549">
        <v>0</v>
      </c>
      <c r="FO748" s="675">
        <v>0</v>
      </c>
      <c r="FP748" s="549">
        <v>0</v>
      </c>
      <c r="FQ748" s="675">
        <v>0</v>
      </c>
      <c r="FR748" s="549">
        <v>0</v>
      </c>
      <c r="FS748" s="675">
        <v>0</v>
      </c>
      <c r="FT748" s="549">
        <v>0</v>
      </c>
      <c r="FU748" s="675">
        <v>0</v>
      </c>
      <c r="FV748" s="549">
        <v>0</v>
      </c>
      <c r="FW748" s="675">
        <v>0</v>
      </c>
      <c r="FX748" s="549">
        <v>0</v>
      </c>
      <c r="FY748" s="675">
        <v>0</v>
      </c>
      <c r="FZ748" s="549">
        <v>0</v>
      </c>
      <c r="GA748" s="675">
        <v>0</v>
      </c>
      <c r="GB748" s="549">
        <v>0</v>
      </c>
      <c r="GC748" s="675">
        <v>0</v>
      </c>
      <c r="GD748" s="549">
        <v>0</v>
      </c>
      <c r="GE748" s="675">
        <v>0</v>
      </c>
      <c r="GF748" s="549">
        <v>0</v>
      </c>
      <c r="GG748" s="675">
        <v>0</v>
      </c>
      <c r="GH748" s="549">
        <v>0</v>
      </c>
      <c r="GI748" s="675">
        <v>0</v>
      </c>
      <c r="GJ748" s="549">
        <v>0</v>
      </c>
      <c r="GK748" s="675">
        <v>0</v>
      </c>
      <c r="GL748" s="549">
        <v>0</v>
      </c>
      <c r="GM748" s="675">
        <v>0</v>
      </c>
      <c r="GN748" s="549">
        <v>0</v>
      </c>
      <c r="GO748" s="675">
        <v>0</v>
      </c>
      <c r="GP748" s="549">
        <f t="shared" si="16430"/>
        <v>0</v>
      </c>
      <c r="GQ748" s="675">
        <f t="shared" si="16431"/>
        <v>0</v>
      </c>
      <c r="GR748" s="74">
        <f t="shared" si="16432"/>
        <v>0</v>
      </c>
      <c r="GS748" s="74">
        <f t="shared" si="16433"/>
        <v>0</v>
      </c>
      <c r="GT748" s="568">
        <f t="shared" si="16468"/>
        <v>0</v>
      </c>
      <c r="GU748" s="275"/>
      <c r="GV748" s="275"/>
      <c r="GW748" s="588"/>
      <c r="GX748" s="275">
        <f>480-480</f>
        <v>0</v>
      </c>
      <c r="GY748" s="275"/>
      <c r="GZ748" s="275"/>
      <c r="HA748" s="275">
        <f>480-480</f>
        <v>0</v>
      </c>
      <c r="HB748" s="275"/>
      <c r="HC748" s="275"/>
      <c r="HD748" s="275">
        <f>320-320</f>
        <v>0</v>
      </c>
      <c r="HE748" s="275"/>
      <c r="HF748" s="275">
        <v>0</v>
      </c>
      <c r="HG748" s="74">
        <f t="shared" si="16434"/>
        <v>0</v>
      </c>
      <c r="HH748" s="89">
        <v>0</v>
      </c>
      <c r="HI748" s="157">
        <v>0</v>
      </c>
      <c r="HJ748" s="89">
        <v>0</v>
      </c>
      <c r="HK748" s="157">
        <v>0</v>
      </c>
      <c r="HL748" s="89">
        <v>0</v>
      </c>
      <c r="HM748" s="157">
        <v>0</v>
      </c>
      <c r="HN748" s="89">
        <v>0</v>
      </c>
      <c r="HO748" s="157">
        <v>0</v>
      </c>
      <c r="HP748" s="89">
        <v>0</v>
      </c>
      <c r="HQ748" s="157">
        <v>0</v>
      </c>
      <c r="HR748" s="89">
        <v>0</v>
      </c>
      <c r="HS748" s="157">
        <v>0</v>
      </c>
      <c r="HT748" s="89">
        <v>0</v>
      </c>
      <c r="HU748" s="157">
        <v>0</v>
      </c>
      <c r="HV748" s="89">
        <v>0</v>
      </c>
      <c r="HW748" s="157">
        <v>0</v>
      </c>
      <c r="HX748" s="89">
        <v>0</v>
      </c>
      <c r="HY748" s="157">
        <v>0</v>
      </c>
      <c r="HZ748" s="89">
        <v>0</v>
      </c>
      <c r="IA748" s="157">
        <v>0</v>
      </c>
      <c r="IB748" s="89">
        <v>0</v>
      </c>
      <c r="IC748" s="157">
        <v>0</v>
      </c>
      <c r="ID748" s="89">
        <v>0</v>
      </c>
      <c r="IE748" s="157">
        <v>0</v>
      </c>
      <c r="IF748" s="717">
        <f t="shared" si="16435"/>
        <v>0</v>
      </c>
      <c r="IG748" s="263">
        <f t="shared" si="16436"/>
        <v>0</v>
      </c>
      <c r="IH748" s="718">
        <f t="shared" si="16437"/>
        <v>0</v>
      </c>
      <c r="II748" s="89">
        <v>0</v>
      </c>
      <c r="IJ748" s="89">
        <f t="shared" si="16438"/>
        <v>0</v>
      </c>
      <c r="IK748" s="89">
        <f t="shared" si="16439"/>
        <v>0</v>
      </c>
      <c r="IL748" s="89">
        <v>0</v>
      </c>
      <c r="IM748" s="89">
        <f t="shared" si="16440"/>
        <v>0</v>
      </c>
      <c r="IN748" s="89">
        <f t="shared" si="16441"/>
        <v>0</v>
      </c>
      <c r="IO748" s="89">
        <v>0</v>
      </c>
      <c r="IP748" s="89">
        <f t="shared" si="16442"/>
        <v>0</v>
      </c>
      <c r="IQ748" s="89">
        <f t="shared" si="16443"/>
        <v>0</v>
      </c>
      <c r="IR748" s="89">
        <v>0</v>
      </c>
      <c r="IS748" s="89">
        <f t="shared" si="16444"/>
        <v>0</v>
      </c>
      <c r="IT748" s="89">
        <f t="shared" si="16445"/>
        <v>0</v>
      </c>
      <c r="IU748" s="89">
        <v>0</v>
      </c>
      <c r="IV748" s="89">
        <f t="shared" si="16446"/>
        <v>0</v>
      </c>
      <c r="IW748" s="89">
        <f t="shared" si="16447"/>
        <v>0</v>
      </c>
      <c r="IX748" s="89">
        <v>0</v>
      </c>
      <c r="IY748" s="89">
        <f t="shared" si="16448"/>
        <v>0</v>
      </c>
      <c r="IZ748" s="89">
        <f t="shared" si="16449"/>
        <v>0</v>
      </c>
      <c r="JA748" s="89">
        <v>0</v>
      </c>
      <c r="JB748" s="89">
        <f t="shared" si="16450"/>
        <v>0</v>
      </c>
      <c r="JC748" s="89">
        <f t="shared" si="16451"/>
        <v>0</v>
      </c>
      <c r="JD748" s="89">
        <v>0</v>
      </c>
      <c r="JE748" s="89">
        <f t="shared" si="16452"/>
        <v>0</v>
      </c>
      <c r="JF748" s="89">
        <f t="shared" si="16453"/>
        <v>0</v>
      </c>
      <c r="JG748" s="89">
        <v>0</v>
      </c>
      <c r="JH748" s="89">
        <f t="shared" si="16454"/>
        <v>0</v>
      </c>
      <c r="JI748" s="89">
        <f t="shared" si="16455"/>
        <v>0</v>
      </c>
      <c r="JJ748" s="89">
        <v>0</v>
      </c>
      <c r="JK748" s="89">
        <f t="shared" si="16456"/>
        <v>0</v>
      </c>
      <c r="JL748" s="89">
        <f t="shared" si="16457"/>
        <v>0</v>
      </c>
      <c r="JM748" s="89">
        <v>0</v>
      </c>
      <c r="JN748" s="89">
        <f t="shared" si="16458"/>
        <v>0</v>
      </c>
      <c r="JO748" s="89">
        <f t="shared" si="16459"/>
        <v>0</v>
      </c>
      <c r="JP748" s="89">
        <v>0</v>
      </c>
      <c r="JQ748" s="89">
        <f t="shared" ref="JQ748:JR748" si="16476">JP748</f>
        <v>0</v>
      </c>
      <c r="JR748" s="89">
        <f t="shared" si="16476"/>
        <v>0</v>
      </c>
      <c r="JS748" s="74">
        <f t="shared" si="16470"/>
        <v>0</v>
      </c>
      <c r="JT748" s="382">
        <f t="shared" si="16471"/>
        <v>0</v>
      </c>
      <c r="JU748" s="665"/>
      <c r="JV748" s="524"/>
      <c r="JW748" s="525"/>
      <c r="JX748" s="549">
        <f t="shared" si="16461"/>
        <v>0</v>
      </c>
      <c r="JY748" s="549">
        <f t="shared" si="15767"/>
        <v>0</v>
      </c>
      <c r="JZ748" s="581">
        <f t="shared" si="16466"/>
        <v>0</v>
      </c>
      <c r="KA748" s="581">
        <f t="shared" si="16467"/>
        <v>0</v>
      </c>
      <c r="KB748" s="566">
        <f t="shared" si="15406"/>
        <v>0</v>
      </c>
      <c r="KC748" s="709">
        <f t="shared" si="16464"/>
        <v>0</v>
      </c>
      <c r="KD748" s="494"/>
      <c r="KE748" s="494"/>
      <c r="KF748" s="494"/>
      <c r="KG748" s="494"/>
      <c r="KH748" s="57"/>
      <c r="KI748" s="57"/>
      <c r="KJ748" s="57"/>
      <c r="KK748" s="57"/>
    </row>
    <row r="749" spans="1:297" s="8" customFormat="1" ht="12.75" customHeight="1">
      <c r="A749" s="612"/>
      <c r="B749" s="512"/>
      <c r="C749" s="74"/>
      <c r="D749" s="549"/>
      <c r="E749" s="675"/>
      <c r="F749" s="549"/>
      <c r="G749" s="675"/>
      <c r="H749" s="549"/>
      <c r="I749" s="675"/>
      <c r="J749" s="549"/>
      <c r="K749" s="675"/>
      <c r="L749" s="549"/>
      <c r="M749" s="675"/>
      <c r="N749" s="549"/>
      <c r="O749" s="675"/>
      <c r="P749" s="549"/>
      <c r="Q749" s="675"/>
      <c r="R749" s="549"/>
      <c r="S749" s="675"/>
      <c r="T749" s="549"/>
      <c r="U749" s="675"/>
      <c r="V749" s="549"/>
      <c r="W749" s="675"/>
      <c r="X749" s="549"/>
      <c r="Y749" s="675"/>
      <c r="Z749" s="549"/>
      <c r="AA749" s="675"/>
      <c r="AB749" s="549"/>
      <c r="AC749" s="675"/>
      <c r="AD749" s="549"/>
      <c r="AE749" s="675"/>
      <c r="AF749" s="549"/>
      <c r="AG749" s="675"/>
      <c r="AH749" s="549"/>
      <c r="AI749" s="675"/>
      <c r="AJ749" s="549"/>
      <c r="AK749" s="675"/>
      <c r="AL749" s="549"/>
      <c r="AM749" s="675"/>
      <c r="AN749" s="549"/>
      <c r="AO749" s="675"/>
      <c r="AP749" s="549"/>
      <c r="AQ749" s="675"/>
      <c r="AR749" s="549"/>
      <c r="AS749" s="675"/>
      <c r="AT749" s="549"/>
      <c r="AU749" s="675"/>
      <c r="AV749" s="549"/>
      <c r="AW749" s="675"/>
      <c r="AX749" s="549"/>
      <c r="AY749" s="675"/>
      <c r="AZ749" s="549"/>
      <c r="BA749" s="675"/>
      <c r="BB749" s="549"/>
      <c r="BC749" s="675"/>
      <c r="BD749" s="549"/>
      <c r="BE749" s="675"/>
      <c r="BF749" s="549"/>
      <c r="BG749" s="675"/>
      <c r="BH749" s="549"/>
      <c r="BI749" s="675"/>
      <c r="BJ749" s="549"/>
      <c r="BK749" s="675"/>
      <c r="BL749" s="549"/>
      <c r="BM749" s="675"/>
      <c r="BN749" s="549"/>
      <c r="BO749" s="675"/>
      <c r="BP749" s="549"/>
      <c r="BQ749" s="675"/>
      <c r="BR749" s="549"/>
      <c r="BS749" s="675"/>
      <c r="BT749" s="549"/>
      <c r="BU749" s="675"/>
      <c r="BV749" s="549"/>
      <c r="BW749" s="675"/>
      <c r="BX749" s="549"/>
      <c r="BY749" s="675"/>
      <c r="BZ749" s="549"/>
      <c r="CA749" s="675"/>
      <c r="CB749" s="549"/>
      <c r="CC749" s="675"/>
      <c r="CD749" s="549"/>
      <c r="CE749" s="675"/>
      <c r="CF749" s="549"/>
      <c r="CG749" s="675"/>
      <c r="CH749" s="549"/>
      <c r="CI749" s="675"/>
      <c r="CJ749" s="549"/>
      <c r="CK749" s="675"/>
      <c r="CL749" s="549"/>
      <c r="CM749" s="675"/>
      <c r="CN749" s="549"/>
      <c r="CO749" s="675"/>
      <c r="CP749" s="549"/>
      <c r="CQ749" s="675"/>
      <c r="CR749" s="549"/>
      <c r="CS749" s="675"/>
      <c r="CT749" s="549"/>
      <c r="CU749" s="675"/>
      <c r="CV749" s="549"/>
      <c r="CW749" s="675"/>
      <c r="CX749" s="549"/>
      <c r="CY749" s="675"/>
      <c r="CZ749" s="549"/>
      <c r="DA749" s="675"/>
      <c r="DB749" s="549"/>
      <c r="DC749" s="675"/>
      <c r="DD749" s="549"/>
      <c r="DE749" s="675"/>
      <c r="DF749" s="549"/>
      <c r="DG749" s="675"/>
      <c r="DH749" s="549"/>
      <c r="DI749" s="675"/>
      <c r="DJ749" s="549"/>
      <c r="DK749" s="675"/>
      <c r="DL749" s="549"/>
      <c r="DM749" s="675"/>
      <c r="DN749" s="549"/>
      <c r="DO749" s="675"/>
      <c r="DP749" s="549"/>
      <c r="DQ749" s="675"/>
      <c r="DR749" s="549"/>
      <c r="DS749" s="675"/>
      <c r="DT749" s="549"/>
      <c r="DU749" s="675"/>
      <c r="DV749" s="549"/>
      <c r="DW749" s="675"/>
      <c r="DX749" s="549"/>
      <c r="DY749" s="675"/>
      <c r="DZ749" s="549"/>
      <c r="EA749" s="675"/>
      <c r="EB749" s="549"/>
      <c r="EC749" s="675"/>
      <c r="ED749" s="549"/>
      <c r="EE749" s="675"/>
      <c r="EF749" s="549"/>
      <c r="EG749" s="675"/>
      <c r="EH749" s="549"/>
      <c r="EI749" s="675"/>
      <c r="EJ749" s="549"/>
      <c r="EK749" s="675"/>
      <c r="EL749" s="549"/>
      <c r="EM749" s="675"/>
      <c r="EN749" s="549"/>
      <c r="EO749" s="675"/>
      <c r="EP749" s="549"/>
      <c r="EQ749" s="675"/>
      <c r="ER749" s="549"/>
      <c r="ES749" s="675"/>
      <c r="ET749" s="549"/>
      <c r="EU749" s="675"/>
      <c r="EV749" s="549"/>
      <c r="EW749" s="675"/>
      <c r="EX749" s="549"/>
      <c r="EY749" s="675"/>
      <c r="EZ749" s="549"/>
      <c r="FA749" s="675"/>
      <c r="FB749" s="549"/>
      <c r="FC749" s="675"/>
      <c r="FD749" s="549"/>
      <c r="FE749" s="675"/>
      <c r="FF749" s="549"/>
      <c r="FG749" s="675"/>
      <c r="FH749" s="549"/>
      <c r="FI749" s="675"/>
      <c r="FJ749" s="549"/>
      <c r="FK749" s="675"/>
      <c r="FL749" s="549"/>
      <c r="FM749" s="675"/>
      <c r="FN749" s="549"/>
      <c r="FO749" s="675"/>
      <c r="FP749" s="549"/>
      <c r="FQ749" s="675"/>
      <c r="FR749" s="549"/>
      <c r="FS749" s="675"/>
      <c r="FT749" s="549"/>
      <c r="FU749" s="675"/>
      <c r="FV749" s="549"/>
      <c r="FW749" s="675"/>
      <c r="FX749" s="549"/>
      <c r="FY749" s="675"/>
      <c r="FZ749" s="549"/>
      <c r="GA749" s="675"/>
      <c r="GB749" s="549"/>
      <c r="GC749" s="675"/>
      <c r="GD749" s="549"/>
      <c r="GE749" s="675"/>
      <c r="GF749" s="549"/>
      <c r="GG749" s="675"/>
      <c r="GH749" s="549"/>
      <c r="GI749" s="675"/>
      <c r="GJ749" s="549"/>
      <c r="GK749" s="675"/>
      <c r="GL749" s="549"/>
      <c r="GM749" s="675"/>
      <c r="GN749" s="549"/>
      <c r="GO749" s="675"/>
      <c r="GP749" s="549"/>
      <c r="GQ749" s="675"/>
      <c r="GR749" s="74"/>
      <c r="GS749" s="74"/>
      <c r="GT749" s="568"/>
      <c r="GU749" s="275"/>
      <c r="GV749" s="275"/>
      <c r="GW749" s="588"/>
      <c r="GX749" s="275"/>
      <c r="GY749" s="275"/>
      <c r="GZ749" s="275"/>
      <c r="HA749" s="275"/>
      <c r="HB749" s="275"/>
      <c r="HC749" s="275"/>
      <c r="HD749" s="275"/>
      <c r="HE749" s="275"/>
      <c r="HF749" s="275"/>
      <c r="HG749" s="74"/>
      <c r="HH749" s="89"/>
      <c r="HI749" s="817"/>
      <c r="HJ749" s="89"/>
      <c r="HK749" s="817"/>
      <c r="HL749" s="89"/>
      <c r="HM749" s="817"/>
      <c r="HN749" s="89"/>
      <c r="HO749" s="817"/>
      <c r="HP749" s="89"/>
      <c r="HQ749" s="817"/>
      <c r="HR749" s="89"/>
      <c r="HS749" s="817"/>
      <c r="HT749" s="89"/>
      <c r="HU749" s="817"/>
      <c r="HV749" s="89"/>
      <c r="HW749" s="817"/>
      <c r="HX749" s="89"/>
      <c r="HY749" s="817"/>
      <c r="HZ749" s="89"/>
      <c r="IA749" s="817"/>
      <c r="IB749" s="89"/>
      <c r="IC749" s="817"/>
      <c r="ID749" s="89"/>
      <c r="IE749" s="817"/>
      <c r="IF749" s="717"/>
      <c r="IG749" s="263"/>
      <c r="IH749" s="718"/>
      <c r="II749" s="89"/>
      <c r="IJ749" s="89"/>
      <c r="IK749" s="89"/>
      <c r="IL749" s="89"/>
      <c r="IM749" s="89"/>
      <c r="IN749" s="89"/>
      <c r="IO749" s="89"/>
      <c r="IP749" s="89"/>
      <c r="IQ749" s="89"/>
      <c r="IR749" s="89"/>
      <c r="IS749" s="89"/>
      <c r="IT749" s="89"/>
      <c r="IU749" s="89"/>
      <c r="IV749" s="89"/>
      <c r="IW749" s="89"/>
      <c r="IX749" s="89"/>
      <c r="IY749" s="89"/>
      <c r="IZ749" s="89"/>
      <c r="JA749" s="89"/>
      <c r="JB749" s="89"/>
      <c r="JC749" s="89"/>
      <c r="JD749" s="89"/>
      <c r="JE749" s="89"/>
      <c r="JF749" s="89"/>
      <c r="JG749" s="89"/>
      <c r="JH749" s="89"/>
      <c r="JI749" s="89"/>
      <c r="JJ749" s="89"/>
      <c r="JK749" s="89"/>
      <c r="JL749" s="89"/>
      <c r="JM749" s="89"/>
      <c r="JN749" s="89"/>
      <c r="JO749" s="89"/>
      <c r="JP749" s="89"/>
      <c r="JQ749" s="89"/>
      <c r="JR749" s="89"/>
      <c r="JS749" s="74"/>
      <c r="JT749" s="382"/>
      <c r="JU749" s="665"/>
      <c r="JV749" s="524"/>
      <c r="JW749" s="525"/>
      <c r="JX749" s="549"/>
      <c r="JY749" s="549"/>
      <c r="JZ749" s="581"/>
      <c r="KA749" s="581"/>
      <c r="KB749" s="566"/>
      <c r="KC749" s="709">
        <f t="shared" si="16464"/>
        <v>0</v>
      </c>
      <c r="KD749" s="494"/>
      <c r="KE749" s="494"/>
      <c r="KF749" s="494"/>
      <c r="KG749" s="494"/>
      <c r="KH749" s="57"/>
      <c r="KI749" s="57"/>
      <c r="KJ749" s="57"/>
      <c r="KK749" s="57"/>
    </row>
    <row r="750" spans="1:297" s="8" customFormat="1" ht="12.75" customHeight="1">
      <c r="A750" s="613" t="s">
        <v>1363</v>
      </c>
      <c r="B750" s="514"/>
      <c r="C750" s="513">
        <f>SUM(C751:C762)</f>
        <v>0</v>
      </c>
      <c r="D750" s="567"/>
      <c r="E750" s="686"/>
      <c r="F750" s="567"/>
      <c r="G750" s="686"/>
      <c r="H750" s="567"/>
      <c r="I750" s="686"/>
      <c r="J750" s="567"/>
      <c r="K750" s="686"/>
      <c r="L750" s="567"/>
      <c r="M750" s="686"/>
      <c r="N750" s="567"/>
      <c r="O750" s="686"/>
      <c r="P750" s="567"/>
      <c r="Q750" s="686"/>
      <c r="R750" s="567"/>
      <c r="S750" s="686"/>
      <c r="T750" s="567"/>
      <c r="U750" s="686"/>
      <c r="V750" s="567"/>
      <c r="W750" s="686"/>
      <c r="X750" s="567"/>
      <c r="Y750" s="686"/>
      <c r="Z750" s="567"/>
      <c r="AA750" s="686"/>
      <c r="AB750" s="567"/>
      <c r="AC750" s="686"/>
      <c r="AD750" s="567"/>
      <c r="AE750" s="686"/>
      <c r="AF750" s="567"/>
      <c r="AG750" s="686"/>
      <c r="AH750" s="567"/>
      <c r="AI750" s="686"/>
      <c r="AJ750" s="567"/>
      <c r="AK750" s="686"/>
      <c r="AL750" s="567"/>
      <c r="AM750" s="686"/>
      <c r="AN750" s="567"/>
      <c r="AO750" s="686"/>
      <c r="AP750" s="567"/>
      <c r="AQ750" s="686"/>
      <c r="AR750" s="567"/>
      <c r="AS750" s="686"/>
      <c r="AT750" s="567"/>
      <c r="AU750" s="686"/>
      <c r="AV750" s="567"/>
      <c r="AW750" s="686"/>
      <c r="AX750" s="567"/>
      <c r="AY750" s="686"/>
      <c r="AZ750" s="567"/>
      <c r="BA750" s="686"/>
      <c r="BB750" s="567"/>
      <c r="BC750" s="686"/>
      <c r="BD750" s="567"/>
      <c r="BE750" s="686"/>
      <c r="BF750" s="567"/>
      <c r="BG750" s="686"/>
      <c r="BH750" s="567"/>
      <c r="BI750" s="686"/>
      <c r="BJ750" s="567"/>
      <c r="BK750" s="686"/>
      <c r="BL750" s="567"/>
      <c r="BM750" s="686"/>
      <c r="BN750" s="567"/>
      <c r="BO750" s="686"/>
      <c r="BP750" s="567"/>
      <c r="BQ750" s="686"/>
      <c r="BR750" s="567"/>
      <c r="BS750" s="686"/>
      <c r="BT750" s="567"/>
      <c r="BU750" s="686"/>
      <c r="BV750" s="567"/>
      <c r="BW750" s="686"/>
      <c r="BX750" s="567"/>
      <c r="BY750" s="686"/>
      <c r="BZ750" s="567"/>
      <c r="CA750" s="686"/>
      <c r="CB750" s="567"/>
      <c r="CC750" s="686"/>
      <c r="CD750" s="567"/>
      <c r="CE750" s="686"/>
      <c r="CF750" s="567"/>
      <c r="CG750" s="686"/>
      <c r="CH750" s="567"/>
      <c r="CI750" s="686"/>
      <c r="CJ750" s="567"/>
      <c r="CK750" s="686"/>
      <c r="CL750" s="567"/>
      <c r="CM750" s="686"/>
      <c r="CN750" s="567"/>
      <c r="CO750" s="686"/>
      <c r="CP750" s="567"/>
      <c r="CQ750" s="686"/>
      <c r="CR750" s="567"/>
      <c r="CS750" s="686"/>
      <c r="CT750" s="567">
        <f t="shared" ref="CT750:DY750" si="16477">SUM(CT751:CT762)</f>
        <v>0</v>
      </c>
      <c r="CU750" s="686">
        <f t="shared" si="16477"/>
        <v>0</v>
      </c>
      <c r="CV750" s="567">
        <f t="shared" si="16477"/>
        <v>0</v>
      </c>
      <c r="CW750" s="686">
        <f t="shared" si="16477"/>
        <v>0</v>
      </c>
      <c r="CX750" s="567">
        <f t="shared" si="16477"/>
        <v>0</v>
      </c>
      <c r="CY750" s="686">
        <f t="shared" si="16477"/>
        <v>0</v>
      </c>
      <c r="CZ750" s="567">
        <f t="shared" si="16477"/>
        <v>0</v>
      </c>
      <c r="DA750" s="686">
        <f t="shared" si="16477"/>
        <v>0</v>
      </c>
      <c r="DB750" s="567">
        <f t="shared" si="16477"/>
        <v>33000</v>
      </c>
      <c r="DC750" s="686">
        <f t="shared" si="16477"/>
        <v>0</v>
      </c>
      <c r="DD750" s="567">
        <f t="shared" si="16477"/>
        <v>0</v>
      </c>
      <c r="DE750" s="686">
        <f t="shared" si="16477"/>
        <v>0</v>
      </c>
      <c r="DF750" s="567">
        <f t="shared" si="16477"/>
        <v>0</v>
      </c>
      <c r="DG750" s="686">
        <f t="shared" si="16477"/>
        <v>0</v>
      </c>
      <c r="DH750" s="567">
        <f t="shared" si="16477"/>
        <v>0</v>
      </c>
      <c r="DI750" s="686">
        <f t="shared" si="16477"/>
        <v>0</v>
      </c>
      <c r="DJ750" s="567">
        <f t="shared" si="16477"/>
        <v>0</v>
      </c>
      <c r="DK750" s="686">
        <f t="shared" si="16477"/>
        <v>0</v>
      </c>
      <c r="DL750" s="567">
        <f t="shared" si="16477"/>
        <v>15400</v>
      </c>
      <c r="DM750" s="686">
        <f t="shared" si="16477"/>
        <v>0</v>
      </c>
      <c r="DN750" s="567">
        <f t="shared" si="16477"/>
        <v>185937</v>
      </c>
      <c r="DO750" s="686">
        <f t="shared" si="16477"/>
        <v>0</v>
      </c>
      <c r="DP750" s="567">
        <f t="shared" si="16477"/>
        <v>0</v>
      </c>
      <c r="DQ750" s="686">
        <f t="shared" si="16477"/>
        <v>0</v>
      </c>
      <c r="DR750" s="567">
        <f t="shared" si="16477"/>
        <v>0</v>
      </c>
      <c r="DS750" s="686">
        <f t="shared" si="16477"/>
        <v>0</v>
      </c>
      <c r="DT750" s="567">
        <f t="shared" si="16477"/>
        <v>0</v>
      </c>
      <c r="DU750" s="686">
        <f t="shared" si="16477"/>
        <v>0</v>
      </c>
      <c r="DV750" s="567">
        <f t="shared" si="16477"/>
        <v>44000</v>
      </c>
      <c r="DW750" s="686">
        <f t="shared" si="16477"/>
        <v>-22000</v>
      </c>
      <c r="DX750" s="567">
        <f t="shared" si="16477"/>
        <v>0</v>
      </c>
      <c r="DY750" s="686">
        <f t="shared" si="16477"/>
        <v>0</v>
      </c>
      <c r="DZ750" s="567">
        <f t="shared" ref="DZ750:FE750" si="16478">SUM(DZ751:DZ762)</f>
        <v>25843</v>
      </c>
      <c r="EA750" s="686">
        <f t="shared" si="16478"/>
        <v>0</v>
      </c>
      <c r="EB750" s="567">
        <f t="shared" si="16478"/>
        <v>0</v>
      </c>
      <c r="EC750" s="686">
        <f t="shared" si="16478"/>
        <v>0</v>
      </c>
      <c r="ED750" s="567">
        <f t="shared" si="16478"/>
        <v>0</v>
      </c>
      <c r="EE750" s="686">
        <f t="shared" si="16478"/>
        <v>0</v>
      </c>
      <c r="EF750" s="567">
        <f t="shared" si="16478"/>
        <v>0</v>
      </c>
      <c r="EG750" s="686">
        <f t="shared" si="16478"/>
        <v>0</v>
      </c>
      <c r="EH750" s="567">
        <f t="shared" si="16478"/>
        <v>0</v>
      </c>
      <c r="EI750" s="686">
        <f t="shared" si="16478"/>
        <v>0</v>
      </c>
      <c r="EJ750" s="567">
        <f t="shared" si="16478"/>
        <v>0</v>
      </c>
      <c r="EK750" s="686">
        <f t="shared" si="16478"/>
        <v>0</v>
      </c>
      <c r="EL750" s="567">
        <f t="shared" si="16478"/>
        <v>0</v>
      </c>
      <c r="EM750" s="686">
        <f t="shared" si="16478"/>
        <v>0</v>
      </c>
      <c r="EN750" s="567">
        <f t="shared" si="16478"/>
        <v>0</v>
      </c>
      <c r="EO750" s="686">
        <f t="shared" si="16478"/>
        <v>0</v>
      </c>
      <c r="EP750" s="567">
        <f t="shared" si="16478"/>
        <v>0</v>
      </c>
      <c r="EQ750" s="686">
        <f t="shared" si="16478"/>
        <v>0</v>
      </c>
      <c r="ER750" s="567">
        <f t="shared" si="16478"/>
        <v>49219</v>
      </c>
      <c r="ES750" s="686">
        <f t="shared" si="16478"/>
        <v>0</v>
      </c>
      <c r="ET750" s="567">
        <f t="shared" si="16478"/>
        <v>0</v>
      </c>
      <c r="EU750" s="686">
        <f t="shared" si="16478"/>
        <v>0</v>
      </c>
      <c r="EV750" s="567">
        <f t="shared" si="16478"/>
        <v>0</v>
      </c>
      <c r="EW750" s="686">
        <f t="shared" si="16478"/>
        <v>0</v>
      </c>
      <c r="EX750" s="567">
        <f t="shared" si="16478"/>
        <v>0</v>
      </c>
      <c r="EY750" s="686">
        <f t="shared" si="16478"/>
        <v>0</v>
      </c>
      <c r="EZ750" s="567">
        <f t="shared" si="16478"/>
        <v>0</v>
      </c>
      <c r="FA750" s="686">
        <f t="shared" si="16478"/>
        <v>0</v>
      </c>
      <c r="FB750" s="567">
        <f t="shared" si="16478"/>
        <v>0</v>
      </c>
      <c r="FC750" s="686">
        <f t="shared" si="16478"/>
        <v>0</v>
      </c>
      <c r="FD750" s="567">
        <f t="shared" si="16478"/>
        <v>0</v>
      </c>
      <c r="FE750" s="686">
        <f t="shared" si="16478"/>
        <v>0</v>
      </c>
      <c r="FF750" s="567">
        <f t="shared" ref="FF750:GK750" si="16479">SUM(FF751:FF762)</f>
        <v>0</v>
      </c>
      <c r="FG750" s="686">
        <f t="shared" si="16479"/>
        <v>0</v>
      </c>
      <c r="FH750" s="567">
        <f t="shared" si="16479"/>
        <v>0</v>
      </c>
      <c r="FI750" s="686">
        <f t="shared" si="16479"/>
        <v>0</v>
      </c>
      <c r="FJ750" s="567">
        <f t="shared" si="16479"/>
        <v>0</v>
      </c>
      <c r="FK750" s="686">
        <f t="shared" si="16479"/>
        <v>0</v>
      </c>
      <c r="FL750" s="567">
        <f t="shared" si="16479"/>
        <v>0</v>
      </c>
      <c r="FM750" s="686">
        <f t="shared" si="16479"/>
        <v>0</v>
      </c>
      <c r="FN750" s="567">
        <f t="shared" si="16479"/>
        <v>78166</v>
      </c>
      <c r="FO750" s="686">
        <f t="shared" si="16479"/>
        <v>-30698</v>
      </c>
      <c r="FP750" s="567">
        <f t="shared" si="16479"/>
        <v>0</v>
      </c>
      <c r="FQ750" s="686">
        <f t="shared" si="16479"/>
        <v>0</v>
      </c>
      <c r="FR750" s="567">
        <f t="shared" si="16479"/>
        <v>0</v>
      </c>
      <c r="FS750" s="686">
        <f t="shared" si="16479"/>
        <v>0</v>
      </c>
      <c r="FT750" s="567">
        <f t="shared" si="16479"/>
        <v>0</v>
      </c>
      <c r="FU750" s="686">
        <f t="shared" si="16479"/>
        <v>0</v>
      </c>
      <c r="FV750" s="567">
        <f t="shared" si="16479"/>
        <v>0</v>
      </c>
      <c r="FW750" s="686">
        <f t="shared" si="16479"/>
        <v>0</v>
      </c>
      <c r="FX750" s="567">
        <f t="shared" si="16479"/>
        <v>0</v>
      </c>
      <c r="FY750" s="686">
        <f t="shared" si="16479"/>
        <v>0</v>
      </c>
      <c r="FZ750" s="567">
        <f t="shared" si="16479"/>
        <v>299000</v>
      </c>
      <c r="GA750" s="686">
        <f t="shared" si="16479"/>
        <v>0</v>
      </c>
      <c r="GB750" s="567">
        <f t="shared" si="16479"/>
        <v>0</v>
      </c>
      <c r="GC750" s="686">
        <f t="shared" si="16479"/>
        <v>0</v>
      </c>
      <c r="GD750" s="567">
        <f t="shared" si="16479"/>
        <v>0</v>
      </c>
      <c r="GE750" s="686">
        <f t="shared" si="16479"/>
        <v>0</v>
      </c>
      <c r="GF750" s="567">
        <f t="shared" si="16479"/>
        <v>0</v>
      </c>
      <c r="GG750" s="686">
        <f t="shared" si="16479"/>
        <v>0</v>
      </c>
      <c r="GH750" s="567">
        <f t="shared" si="16479"/>
        <v>0</v>
      </c>
      <c r="GI750" s="686">
        <f t="shared" si="16479"/>
        <v>0</v>
      </c>
      <c r="GJ750" s="567">
        <f t="shared" si="16479"/>
        <v>0</v>
      </c>
      <c r="GK750" s="686">
        <f t="shared" si="16479"/>
        <v>0</v>
      </c>
      <c r="GL750" s="567">
        <f t="shared" ref="GL750:GR750" si="16480">SUM(GL751:GL762)</f>
        <v>0</v>
      </c>
      <c r="GM750" s="686">
        <f t="shared" si="16480"/>
        <v>0</v>
      </c>
      <c r="GN750" s="567">
        <f t="shared" si="16480"/>
        <v>0</v>
      </c>
      <c r="GO750" s="686">
        <f t="shared" si="16480"/>
        <v>0</v>
      </c>
      <c r="GP750" s="567">
        <f t="shared" si="16480"/>
        <v>730565</v>
      </c>
      <c r="GQ750" s="686">
        <f t="shared" si="16480"/>
        <v>-52698</v>
      </c>
      <c r="GR750" s="513">
        <f t="shared" si="16480"/>
        <v>677867</v>
      </c>
      <c r="GS750" s="513">
        <f t="shared" ref="GS750:JD750" si="16481">SUM(GS751:GS762)</f>
        <v>677867</v>
      </c>
      <c r="GT750" s="567">
        <f t="shared" si="16481"/>
        <v>677867</v>
      </c>
      <c r="GU750" s="513">
        <f t="shared" si="16481"/>
        <v>0</v>
      </c>
      <c r="GV750" s="513">
        <f t="shared" si="16481"/>
        <v>0</v>
      </c>
      <c r="GW750" s="567">
        <f t="shared" si="16481"/>
        <v>0</v>
      </c>
      <c r="GX750" s="567">
        <f t="shared" si="16481"/>
        <v>0</v>
      </c>
      <c r="GY750" s="513">
        <f t="shared" si="16481"/>
        <v>0</v>
      </c>
      <c r="GZ750" s="513">
        <f t="shared" si="16481"/>
        <v>0</v>
      </c>
      <c r="HA750" s="513">
        <f t="shared" si="16481"/>
        <v>0</v>
      </c>
      <c r="HB750" s="513">
        <f t="shared" si="16481"/>
        <v>0</v>
      </c>
      <c r="HC750" s="513">
        <f t="shared" si="16481"/>
        <v>0</v>
      </c>
      <c r="HD750" s="513">
        <f t="shared" si="16481"/>
        <v>0</v>
      </c>
      <c r="HE750" s="513">
        <f t="shared" si="16481"/>
        <v>0</v>
      </c>
      <c r="HF750" s="513">
        <f t="shared" si="16481"/>
        <v>0</v>
      </c>
      <c r="HG750" s="513">
        <f t="shared" si="16481"/>
        <v>677867</v>
      </c>
      <c r="HH750" s="513">
        <f t="shared" si="16481"/>
        <v>0</v>
      </c>
      <c r="HI750" s="827">
        <f t="shared" si="16481"/>
        <v>0</v>
      </c>
      <c r="HJ750" s="513">
        <f t="shared" si="16481"/>
        <v>0</v>
      </c>
      <c r="HK750" s="827">
        <f t="shared" si="16481"/>
        <v>0</v>
      </c>
      <c r="HL750" s="513">
        <f t="shared" si="16481"/>
        <v>0</v>
      </c>
      <c r="HM750" s="827">
        <f t="shared" si="16481"/>
        <v>0</v>
      </c>
      <c r="HN750" s="513">
        <f t="shared" si="16481"/>
        <v>0</v>
      </c>
      <c r="HO750" s="827">
        <f t="shared" si="16481"/>
        <v>0</v>
      </c>
      <c r="HP750" s="513">
        <f t="shared" si="16481"/>
        <v>0</v>
      </c>
      <c r="HQ750" s="827">
        <f t="shared" si="16481"/>
        <v>0</v>
      </c>
      <c r="HR750" s="513">
        <f t="shared" si="16481"/>
        <v>0</v>
      </c>
      <c r="HS750" s="827">
        <f t="shared" si="16481"/>
        <v>0</v>
      </c>
      <c r="HT750" s="513">
        <f t="shared" si="16481"/>
        <v>0</v>
      </c>
      <c r="HU750" s="827">
        <f t="shared" si="16481"/>
        <v>0</v>
      </c>
      <c r="HV750" s="513">
        <f t="shared" si="16481"/>
        <v>0</v>
      </c>
      <c r="HW750" s="827">
        <f t="shared" si="16481"/>
        <v>0</v>
      </c>
      <c r="HX750" s="513">
        <f t="shared" si="16481"/>
        <v>0</v>
      </c>
      <c r="HY750" s="827">
        <f t="shared" si="16481"/>
        <v>0</v>
      </c>
      <c r="HZ750" s="513">
        <f t="shared" si="16481"/>
        <v>0</v>
      </c>
      <c r="IA750" s="827">
        <f t="shared" si="16481"/>
        <v>0</v>
      </c>
      <c r="IB750" s="513">
        <f t="shared" si="16481"/>
        <v>0</v>
      </c>
      <c r="IC750" s="827">
        <f t="shared" si="16481"/>
        <v>0</v>
      </c>
      <c r="ID750" s="513">
        <f t="shared" si="16481"/>
        <v>0</v>
      </c>
      <c r="IE750" s="827">
        <f t="shared" si="16481"/>
        <v>0</v>
      </c>
      <c r="IF750" s="715">
        <f t="shared" si="16481"/>
        <v>96307.69</v>
      </c>
      <c r="IG750" s="704">
        <f t="shared" si="16481"/>
        <v>96307.69</v>
      </c>
      <c r="IH750" s="716">
        <f t="shared" si="16481"/>
        <v>96307.69</v>
      </c>
      <c r="II750" s="513">
        <f t="shared" si="16481"/>
        <v>0</v>
      </c>
      <c r="IJ750" s="513">
        <f t="shared" si="16481"/>
        <v>0</v>
      </c>
      <c r="IK750" s="513">
        <f t="shared" si="16481"/>
        <v>0</v>
      </c>
      <c r="IL750" s="513">
        <f t="shared" si="16481"/>
        <v>0</v>
      </c>
      <c r="IM750" s="513">
        <f t="shared" si="16481"/>
        <v>0</v>
      </c>
      <c r="IN750" s="513">
        <f t="shared" si="16481"/>
        <v>0</v>
      </c>
      <c r="IO750" s="513">
        <f t="shared" si="16481"/>
        <v>0</v>
      </c>
      <c r="IP750" s="513">
        <f t="shared" si="16481"/>
        <v>0</v>
      </c>
      <c r="IQ750" s="513">
        <f t="shared" si="16481"/>
        <v>0</v>
      </c>
      <c r="IR750" s="513">
        <f t="shared" si="16481"/>
        <v>0</v>
      </c>
      <c r="IS750" s="513">
        <f t="shared" si="16481"/>
        <v>0</v>
      </c>
      <c r="IT750" s="513">
        <f t="shared" si="16481"/>
        <v>0</v>
      </c>
      <c r="IU750" s="513">
        <f t="shared" si="16481"/>
        <v>0</v>
      </c>
      <c r="IV750" s="513">
        <f t="shared" si="16481"/>
        <v>0</v>
      </c>
      <c r="IW750" s="513">
        <f t="shared" si="16481"/>
        <v>0</v>
      </c>
      <c r="IX750" s="513">
        <f t="shared" si="16481"/>
        <v>0</v>
      </c>
      <c r="IY750" s="513">
        <f t="shared" si="16481"/>
        <v>0</v>
      </c>
      <c r="IZ750" s="513">
        <f t="shared" si="16481"/>
        <v>0</v>
      </c>
      <c r="JA750" s="513">
        <f t="shared" si="16481"/>
        <v>0</v>
      </c>
      <c r="JB750" s="513">
        <f t="shared" si="16481"/>
        <v>0</v>
      </c>
      <c r="JC750" s="513">
        <f t="shared" si="16481"/>
        <v>0</v>
      </c>
      <c r="JD750" s="513">
        <f t="shared" si="16481"/>
        <v>0</v>
      </c>
      <c r="JE750" s="513">
        <f t="shared" ref="JE750:JT750" si="16482">SUM(JE751:JE762)</f>
        <v>0</v>
      </c>
      <c r="JF750" s="513">
        <f t="shared" si="16482"/>
        <v>0</v>
      </c>
      <c r="JG750" s="513">
        <f t="shared" si="16482"/>
        <v>20710.89</v>
      </c>
      <c r="JH750" s="513">
        <f t="shared" si="16482"/>
        <v>20710.89</v>
      </c>
      <c r="JI750" s="513">
        <f t="shared" si="16482"/>
        <v>20710.89</v>
      </c>
      <c r="JJ750" s="513">
        <f t="shared" si="16482"/>
        <v>75596.800000000003</v>
      </c>
      <c r="JK750" s="513">
        <f t="shared" si="16482"/>
        <v>75596.800000000003</v>
      </c>
      <c r="JL750" s="513">
        <f t="shared" si="16482"/>
        <v>75596.800000000003</v>
      </c>
      <c r="JM750" s="513">
        <f t="shared" si="16482"/>
        <v>0</v>
      </c>
      <c r="JN750" s="513">
        <f t="shared" si="16482"/>
        <v>0</v>
      </c>
      <c r="JO750" s="513">
        <f t="shared" si="16482"/>
        <v>0</v>
      </c>
      <c r="JP750" s="513">
        <f t="shared" si="16482"/>
        <v>0</v>
      </c>
      <c r="JQ750" s="513">
        <f t="shared" si="16482"/>
        <v>0</v>
      </c>
      <c r="JR750" s="513">
        <f t="shared" si="16482"/>
        <v>0</v>
      </c>
      <c r="JS750" s="513">
        <f t="shared" si="16482"/>
        <v>581559.30999999994</v>
      </c>
      <c r="JT750" s="573">
        <f t="shared" si="16482"/>
        <v>581559.30999999994</v>
      </c>
      <c r="JU750" s="665"/>
      <c r="JV750" s="524"/>
      <c r="JW750" s="525"/>
      <c r="JX750" s="567">
        <f>SUM(JX751:JX762)</f>
        <v>0</v>
      </c>
      <c r="JY750" s="549">
        <f t="shared" ref="JY750:KB750" si="16483">SUM(JY751:JY762)</f>
        <v>0</v>
      </c>
      <c r="JZ750" s="581">
        <f t="shared" si="16483"/>
        <v>730565</v>
      </c>
      <c r="KA750" s="581">
        <f t="shared" si="16483"/>
        <v>-52698</v>
      </c>
      <c r="KB750" s="566">
        <f t="shared" si="16483"/>
        <v>677867</v>
      </c>
      <c r="KC750" s="709">
        <f t="shared" si="16464"/>
        <v>0</v>
      </c>
      <c r="KD750" s="494"/>
      <c r="KE750" s="494"/>
      <c r="KF750" s="494"/>
      <c r="KG750" s="494"/>
      <c r="KH750" s="57"/>
      <c r="KI750" s="57"/>
      <c r="KJ750" s="57"/>
      <c r="KK750" s="57"/>
    </row>
    <row r="751" spans="1:297" s="8" customFormat="1" ht="12.75" customHeight="1">
      <c r="A751" s="612" t="s">
        <v>1391</v>
      </c>
      <c r="B751" s="512"/>
      <c r="C751" s="74">
        <v>0</v>
      </c>
      <c r="D751" s="549"/>
      <c r="E751" s="675"/>
      <c r="F751" s="549"/>
      <c r="G751" s="675"/>
      <c r="H751" s="549"/>
      <c r="I751" s="675"/>
      <c r="J751" s="549"/>
      <c r="K751" s="675"/>
      <c r="L751" s="549"/>
      <c r="M751" s="675"/>
      <c r="N751" s="549"/>
      <c r="O751" s="675"/>
      <c r="P751" s="549"/>
      <c r="Q751" s="675"/>
      <c r="R751" s="549"/>
      <c r="S751" s="675"/>
      <c r="T751" s="549"/>
      <c r="U751" s="675"/>
      <c r="V751" s="549"/>
      <c r="W751" s="675"/>
      <c r="X751" s="549"/>
      <c r="Y751" s="675"/>
      <c r="Z751" s="549"/>
      <c r="AA751" s="675"/>
      <c r="AB751" s="549"/>
      <c r="AC751" s="675"/>
      <c r="AD751" s="549"/>
      <c r="AE751" s="675"/>
      <c r="AF751" s="549"/>
      <c r="AG751" s="675"/>
      <c r="AH751" s="549"/>
      <c r="AI751" s="675"/>
      <c r="AJ751" s="549"/>
      <c r="AK751" s="675"/>
      <c r="AL751" s="549"/>
      <c r="AM751" s="675"/>
      <c r="AN751" s="549"/>
      <c r="AO751" s="675"/>
      <c r="AP751" s="549"/>
      <c r="AQ751" s="675"/>
      <c r="AR751" s="549"/>
      <c r="AS751" s="675"/>
      <c r="AT751" s="549"/>
      <c r="AU751" s="675"/>
      <c r="AV751" s="549"/>
      <c r="AW751" s="675"/>
      <c r="AX751" s="549"/>
      <c r="AY751" s="675"/>
      <c r="AZ751" s="549"/>
      <c r="BA751" s="675"/>
      <c r="BB751" s="549"/>
      <c r="BC751" s="675"/>
      <c r="BD751" s="549"/>
      <c r="BE751" s="675"/>
      <c r="BF751" s="549"/>
      <c r="BG751" s="675"/>
      <c r="BH751" s="549"/>
      <c r="BI751" s="675"/>
      <c r="BJ751" s="549"/>
      <c r="BK751" s="675"/>
      <c r="BL751" s="549"/>
      <c r="BM751" s="675"/>
      <c r="BN751" s="549"/>
      <c r="BO751" s="675"/>
      <c r="BP751" s="549"/>
      <c r="BQ751" s="675"/>
      <c r="BR751" s="549"/>
      <c r="BS751" s="675"/>
      <c r="BT751" s="549"/>
      <c r="BU751" s="675"/>
      <c r="BV751" s="549"/>
      <c r="BW751" s="675"/>
      <c r="BX751" s="549"/>
      <c r="BY751" s="675"/>
      <c r="BZ751" s="549"/>
      <c r="CA751" s="675"/>
      <c r="CB751" s="549"/>
      <c r="CC751" s="675"/>
      <c r="CD751" s="549"/>
      <c r="CE751" s="675"/>
      <c r="CF751" s="549"/>
      <c r="CG751" s="675"/>
      <c r="CH751" s="549"/>
      <c r="CI751" s="675"/>
      <c r="CJ751" s="549"/>
      <c r="CK751" s="675"/>
      <c r="CL751" s="549"/>
      <c r="CM751" s="675"/>
      <c r="CN751" s="549"/>
      <c r="CO751" s="675"/>
      <c r="CP751" s="549"/>
      <c r="CQ751" s="675"/>
      <c r="CR751" s="549"/>
      <c r="CS751" s="675"/>
      <c r="CT751" s="549">
        <v>0</v>
      </c>
      <c r="CU751" s="675">
        <v>0</v>
      </c>
      <c r="CV751" s="549">
        <v>0</v>
      </c>
      <c r="CW751" s="675">
        <v>0</v>
      </c>
      <c r="CX751" s="549">
        <v>0</v>
      </c>
      <c r="CY751" s="675">
        <v>0</v>
      </c>
      <c r="CZ751" s="549">
        <v>0</v>
      </c>
      <c r="DA751" s="675">
        <v>0</v>
      </c>
      <c r="DB751" s="549">
        <v>0</v>
      </c>
      <c r="DC751" s="675">
        <v>0</v>
      </c>
      <c r="DD751" s="549">
        <v>0</v>
      </c>
      <c r="DE751" s="675">
        <v>0</v>
      </c>
      <c r="DF751" s="549">
        <v>0</v>
      </c>
      <c r="DG751" s="675">
        <v>0</v>
      </c>
      <c r="DH751" s="549">
        <v>0</v>
      </c>
      <c r="DI751" s="675">
        <v>0</v>
      </c>
      <c r="DJ751" s="549">
        <v>0</v>
      </c>
      <c r="DK751" s="675">
        <v>0</v>
      </c>
      <c r="DL751" s="549">
        <v>0</v>
      </c>
      <c r="DM751" s="675">
        <v>0</v>
      </c>
      <c r="DN751" s="549">
        <v>0</v>
      </c>
      <c r="DO751" s="675">
        <v>0</v>
      </c>
      <c r="DP751" s="549">
        <v>0</v>
      </c>
      <c r="DQ751" s="675">
        <v>0</v>
      </c>
      <c r="DR751" s="549">
        <v>0</v>
      </c>
      <c r="DS751" s="675">
        <v>0</v>
      </c>
      <c r="DT751" s="549">
        <v>0</v>
      </c>
      <c r="DU751" s="675">
        <v>0</v>
      </c>
      <c r="DV751" s="549">
        <v>6400</v>
      </c>
      <c r="DW751" s="675">
        <v>0</v>
      </c>
      <c r="DX751" s="549">
        <v>0</v>
      </c>
      <c r="DY751" s="675">
        <v>0</v>
      </c>
      <c r="DZ751" s="549">
        <v>0</v>
      </c>
      <c r="EA751" s="675">
        <v>0</v>
      </c>
      <c r="EB751" s="549">
        <v>0</v>
      </c>
      <c r="EC751" s="675">
        <v>0</v>
      </c>
      <c r="ED751" s="549">
        <v>0</v>
      </c>
      <c r="EE751" s="675">
        <v>0</v>
      </c>
      <c r="EF751" s="549">
        <v>0</v>
      </c>
      <c r="EG751" s="675">
        <v>0</v>
      </c>
      <c r="EH751" s="549">
        <v>0</v>
      </c>
      <c r="EI751" s="675">
        <v>0</v>
      </c>
      <c r="EJ751" s="549">
        <v>0</v>
      </c>
      <c r="EK751" s="675">
        <v>0</v>
      </c>
      <c r="EL751" s="549">
        <v>0</v>
      </c>
      <c r="EM751" s="675">
        <v>0</v>
      </c>
      <c r="EN751" s="549">
        <v>0</v>
      </c>
      <c r="EO751" s="675">
        <v>0</v>
      </c>
      <c r="EP751" s="549">
        <v>0</v>
      </c>
      <c r="EQ751" s="675">
        <v>0</v>
      </c>
      <c r="ER751" s="549">
        <v>0</v>
      </c>
      <c r="ES751" s="675">
        <v>0</v>
      </c>
      <c r="ET751" s="549">
        <v>0</v>
      </c>
      <c r="EU751" s="675">
        <v>0</v>
      </c>
      <c r="EV751" s="549">
        <v>0</v>
      </c>
      <c r="EW751" s="675">
        <v>0</v>
      </c>
      <c r="EX751" s="549">
        <v>0</v>
      </c>
      <c r="EY751" s="675">
        <v>0</v>
      </c>
      <c r="EZ751" s="549">
        <v>0</v>
      </c>
      <c r="FA751" s="675">
        <v>0</v>
      </c>
      <c r="FB751" s="549">
        <v>0</v>
      </c>
      <c r="FC751" s="675">
        <v>0</v>
      </c>
      <c r="FD751" s="549">
        <v>0</v>
      </c>
      <c r="FE751" s="675">
        <v>0</v>
      </c>
      <c r="FF751" s="549">
        <v>0</v>
      </c>
      <c r="FG751" s="675">
        <v>0</v>
      </c>
      <c r="FH751" s="549">
        <v>0</v>
      </c>
      <c r="FI751" s="675">
        <v>0</v>
      </c>
      <c r="FJ751" s="549">
        <v>0</v>
      </c>
      <c r="FK751" s="675">
        <v>0</v>
      </c>
      <c r="FL751" s="549">
        <v>0</v>
      </c>
      <c r="FM751" s="675">
        <v>0</v>
      </c>
      <c r="FN751" s="549">
        <v>0</v>
      </c>
      <c r="FO751" s="675">
        <v>0</v>
      </c>
      <c r="FP751" s="549">
        <v>0</v>
      </c>
      <c r="FQ751" s="675">
        <v>0</v>
      </c>
      <c r="FR751" s="549">
        <v>0</v>
      </c>
      <c r="FS751" s="675">
        <v>0</v>
      </c>
      <c r="FT751" s="549">
        <v>0</v>
      </c>
      <c r="FU751" s="675">
        <v>0</v>
      </c>
      <c r="FV751" s="549">
        <v>0</v>
      </c>
      <c r="FW751" s="675">
        <v>0</v>
      </c>
      <c r="FX751" s="549">
        <v>0</v>
      </c>
      <c r="FY751" s="675">
        <v>0</v>
      </c>
      <c r="FZ751" s="549">
        <v>0</v>
      </c>
      <c r="GA751" s="675">
        <v>0</v>
      </c>
      <c r="GB751" s="549">
        <v>0</v>
      </c>
      <c r="GC751" s="675">
        <v>0</v>
      </c>
      <c r="GD751" s="549">
        <v>0</v>
      </c>
      <c r="GE751" s="675">
        <v>0</v>
      </c>
      <c r="GF751" s="549">
        <v>0</v>
      </c>
      <c r="GG751" s="675">
        <v>0</v>
      </c>
      <c r="GH751" s="549">
        <v>0</v>
      </c>
      <c r="GI751" s="675">
        <v>0</v>
      </c>
      <c r="GJ751" s="549">
        <v>0</v>
      </c>
      <c r="GK751" s="675">
        <v>0</v>
      </c>
      <c r="GL751" s="549">
        <v>0</v>
      </c>
      <c r="GM751" s="675">
        <v>0</v>
      </c>
      <c r="GN751" s="549">
        <v>0</v>
      </c>
      <c r="GO751" s="675">
        <v>0</v>
      </c>
      <c r="GP751" s="549">
        <f t="shared" ref="GP751:GP762" si="16484">+D751+F751+H751+J751+L751+N751+P751+R751+T751+V751+X751+Z751+AB751+AF751+AD751+AH751+AJ751+AL751+AN751+AP751+AR751+AT751+AV751+AX751+AZ751+BB751+BD751+BF751+BH751+BJ751+BL751+BN751+BP751+BR751+BT751+BV751+BX751+BZ751+CB751+CD751+CF751+CH751+CJ751+CL751+CN751+CP751+CR751+CT751+CV751+CX751+CZ751+DB751+DD751+DF751+DH751+DT751+EX751+DJ751+DL751+DN751+DP751+DR751+EJ751+EB751+DZ751+DX751+DV751+ED751+EF751+EH751+EL751+EN751+EP751+EV751+ET751+ER751+EZ751+FB751+FD751+GL751+FF751+FJ751+FL751+GJ751+FT751+FR751+FP751+FN751+FH751+GH751+GF751+GD751+GB751+FZ751+FX751+FV751+GN751</f>
        <v>6400</v>
      </c>
      <c r="GQ751" s="675">
        <f t="shared" ref="GQ751:GQ762" si="16485">+E751+G751+I751+K751+M751+O751+Q751+S751+U751+W751+Y751+AA751+AC751+AE751+AG751+AI751+AK751+AM751+AO751+AQ751+AS751+AU751+AW751+AY751+BA751+BC751+BE751+BG751+BI751+BK751+BM751+BO751+BQ751+BS751+BU751+BW751+BY751+CA751+CC751+CE751+CG751+CI751+CK751+CM751+CO751+CQ751+CS751+CU751+CW751+CY751+DA751+DC751+DE751+DG751+DI751+DU751+EY751+DK751+DM751+DO751+DQ751+DS751+EK751+EC751+EA751+DY751+DW751+EI751+EG751+EE751+EM751+EO751+EQ751+EW751+EU751+ES751+FA751+FC751+FE751+GM751+FG751+FK751+FM751+FO751+FQ751+FS751+FU751+GK751+FI751+GI751+GG751+GE751+GC751+GA751+FY751+FW751+GO751</f>
        <v>0</v>
      </c>
      <c r="GR751" s="74">
        <f t="shared" ref="GR751:GR762" si="16486">C751+GP751+GQ751</f>
        <v>6400</v>
      </c>
      <c r="GS751" s="74">
        <f t="shared" ref="GS751:GS762" si="16487">SUM(GU751:HD751)+GP751+GQ751</f>
        <v>6400</v>
      </c>
      <c r="GT751" s="568">
        <f t="shared" ref="GT751:GT762" si="16488">SUM(GU751:HF751)+GQ751+GP751</f>
        <v>6400</v>
      </c>
      <c r="GU751" s="275">
        <v>0</v>
      </c>
      <c r="GV751" s="275"/>
      <c r="GW751" s="588"/>
      <c r="GX751" s="275">
        <v>0</v>
      </c>
      <c r="GY751" s="275">
        <v>0</v>
      </c>
      <c r="GZ751" s="275"/>
      <c r="HA751" s="275">
        <f t="shared" ref="HA751:HA762" si="16489">1620-1620</f>
        <v>0</v>
      </c>
      <c r="HB751" s="275"/>
      <c r="HC751" s="275"/>
      <c r="HD751" s="275">
        <f t="shared" ref="HD751:HD762" si="16490">1080-1080</f>
        <v>0</v>
      </c>
      <c r="HE751" s="275"/>
      <c r="HF751" s="275">
        <v>0</v>
      </c>
      <c r="HG751" s="74">
        <f t="shared" ref="HG751:HG762" si="16491">SUM(HH751:IE751)+GP751+GQ751</f>
        <v>6400</v>
      </c>
      <c r="HH751" s="89">
        <v>0</v>
      </c>
      <c r="HI751" s="157">
        <v>0</v>
      </c>
      <c r="HJ751" s="89">
        <v>0</v>
      </c>
      <c r="HK751" s="157">
        <v>0</v>
      </c>
      <c r="HL751" s="89">
        <v>0</v>
      </c>
      <c r="HM751" s="157">
        <v>0</v>
      </c>
      <c r="HN751" s="89">
        <v>0</v>
      </c>
      <c r="HO751" s="157">
        <v>0</v>
      </c>
      <c r="HP751" s="89">
        <v>0</v>
      </c>
      <c r="HQ751" s="157">
        <v>0</v>
      </c>
      <c r="HR751" s="89">
        <v>0</v>
      </c>
      <c r="HS751" s="157">
        <v>0</v>
      </c>
      <c r="HT751" s="89">
        <v>0</v>
      </c>
      <c r="HU751" s="157">
        <v>0</v>
      </c>
      <c r="HV751" s="89">
        <v>0</v>
      </c>
      <c r="HW751" s="157">
        <v>0</v>
      </c>
      <c r="HX751" s="89">
        <v>0</v>
      </c>
      <c r="HY751" s="157">
        <v>0</v>
      </c>
      <c r="HZ751" s="89">
        <v>0</v>
      </c>
      <c r="IA751" s="157">
        <v>0</v>
      </c>
      <c r="IB751" s="89">
        <v>0</v>
      </c>
      <c r="IC751" s="157">
        <v>0</v>
      </c>
      <c r="ID751" s="89">
        <v>0</v>
      </c>
      <c r="IE751" s="157">
        <v>0</v>
      </c>
      <c r="IF751" s="717">
        <f t="shared" ref="IF751:IF762" si="16492">SUM(II751,IL751,IO751,IR751,IU751,IX751,JA751,JD751,JG751,JJ751,JM751,JP751)</f>
        <v>0</v>
      </c>
      <c r="IG751" s="263">
        <f t="shared" ref="IG751:IG762" si="16493">SUM(IJ751,IM751,IP751,IS751,IV751,IY751,JB751,JE751,JH751,JK751,JN751,JQ751)</f>
        <v>0</v>
      </c>
      <c r="IH751" s="718">
        <f t="shared" ref="IH751:IH762" si="16494">SUM(IK751,IN751,IQ751,IT751,IW751,IZ751,JC751,JF751,JI751,JL751,JO751,JR751)</f>
        <v>0</v>
      </c>
      <c r="II751" s="89">
        <v>0</v>
      </c>
      <c r="IJ751" s="89">
        <f t="shared" ref="IJ751:IJ762" si="16495">II751</f>
        <v>0</v>
      </c>
      <c r="IK751" s="89">
        <f t="shared" ref="IK751:IK762" si="16496">IJ751</f>
        <v>0</v>
      </c>
      <c r="IL751" s="89">
        <v>0</v>
      </c>
      <c r="IM751" s="89">
        <f t="shared" ref="IM751:IM762" si="16497">IL751</f>
        <v>0</v>
      </c>
      <c r="IN751" s="89">
        <f t="shared" ref="IN751:IN762" si="16498">IM751</f>
        <v>0</v>
      </c>
      <c r="IO751" s="89">
        <v>0</v>
      </c>
      <c r="IP751" s="89">
        <f t="shared" ref="IP751:IP762" si="16499">IO751</f>
        <v>0</v>
      </c>
      <c r="IQ751" s="89">
        <f t="shared" ref="IQ751:IQ762" si="16500">IP751</f>
        <v>0</v>
      </c>
      <c r="IR751" s="89">
        <v>0</v>
      </c>
      <c r="IS751" s="89">
        <f t="shared" ref="IS751:IS762" si="16501">IR751</f>
        <v>0</v>
      </c>
      <c r="IT751" s="89">
        <f t="shared" ref="IT751:IT762" si="16502">IS751</f>
        <v>0</v>
      </c>
      <c r="IU751" s="89">
        <v>0</v>
      </c>
      <c r="IV751" s="89">
        <f t="shared" ref="IV751:IV762" si="16503">IU751</f>
        <v>0</v>
      </c>
      <c r="IW751" s="89">
        <f t="shared" ref="IW751:IW762" si="16504">IV751</f>
        <v>0</v>
      </c>
      <c r="IX751" s="89">
        <v>0</v>
      </c>
      <c r="IY751" s="89">
        <f t="shared" ref="IY751:IY762" si="16505">IX751</f>
        <v>0</v>
      </c>
      <c r="IZ751" s="89">
        <f t="shared" ref="IZ751:IZ762" si="16506">IY751</f>
        <v>0</v>
      </c>
      <c r="JA751" s="89">
        <v>0</v>
      </c>
      <c r="JB751" s="89">
        <f t="shared" ref="JB751:JB762" si="16507">JA751</f>
        <v>0</v>
      </c>
      <c r="JC751" s="89">
        <f t="shared" ref="JC751:JC762" si="16508">JB751</f>
        <v>0</v>
      </c>
      <c r="JD751" s="89">
        <v>0</v>
      </c>
      <c r="JE751" s="89">
        <f t="shared" ref="JE751:JE762" si="16509">JD751</f>
        <v>0</v>
      </c>
      <c r="JF751" s="89">
        <f t="shared" ref="JF751:JF762" si="16510">JE751</f>
        <v>0</v>
      </c>
      <c r="JG751" s="89">
        <v>0</v>
      </c>
      <c r="JH751" s="89">
        <f t="shared" ref="JH751:JH762" si="16511">JG751</f>
        <v>0</v>
      </c>
      <c r="JI751" s="89">
        <f t="shared" ref="JI751:JI762" si="16512">JH751</f>
        <v>0</v>
      </c>
      <c r="JJ751" s="89">
        <v>0</v>
      </c>
      <c r="JK751" s="89">
        <f t="shared" ref="JK751:JK762" si="16513">JJ751</f>
        <v>0</v>
      </c>
      <c r="JL751" s="89">
        <f t="shared" ref="JL751:JL762" si="16514">JK751</f>
        <v>0</v>
      </c>
      <c r="JM751" s="89">
        <v>0</v>
      </c>
      <c r="JN751" s="89">
        <f t="shared" ref="JN751:JN762" si="16515">JM751</f>
        <v>0</v>
      </c>
      <c r="JO751" s="89">
        <f t="shared" ref="JO751:JO762" si="16516">JN751</f>
        <v>0</v>
      </c>
      <c r="JP751" s="89">
        <v>0</v>
      </c>
      <c r="JQ751" s="89">
        <f t="shared" ref="JQ751:JQ762" si="16517">JP751</f>
        <v>0</v>
      </c>
      <c r="JR751" s="89">
        <f t="shared" ref="JR751:JR762" si="16518">JQ751</f>
        <v>0</v>
      </c>
      <c r="JS751" s="74">
        <f t="shared" ref="JS751:JS762" si="16519">HG751-IF751</f>
        <v>6400</v>
      </c>
      <c r="JT751" s="382">
        <f t="shared" ref="JT751:JT762" si="16520">GS751-IF751</f>
        <v>6400</v>
      </c>
      <c r="JU751" s="665"/>
      <c r="JV751" s="524"/>
      <c r="JW751" s="525"/>
      <c r="JX751" s="549">
        <f t="shared" ref="JX751:JX762" si="16521">SUM(HH751,HJ751,HL751,HN751,HP751,HR751,HT751,HV751,HX751,HZ751,IB751,ID751)</f>
        <v>0</v>
      </c>
      <c r="JY751" s="549">
        <f t="shared" ref="JY751:JY762" si="16522">SUM(HI751,HK751,HM751,HO751,HQ751,HS751,HU751,HW751,HY751,IA751,IC751,IE751)</f>
        <v>0</v>
      </c>
      <c r="JZ751" s="581">
        <f t="shared" ref="JZ751:JZ762" si="16523">GP751</f>
        <v>6400</v>
      </c>
      <c r="KA751" s="581">
        <f t="shared" ref="KA751:KA762" si="16524">GQ751</f>
        <v>0</v>
      </c>
      <c r="KB751" s="566">
        <f t="shared" ref="KB751:KB762" si="16525">SUM(JX751:KA751)</f>
        <v>6400</v>
      </c>
      <c r="KC751" s="709">
        <f t="shared" si="16464"/>
        <v>0</v>
      </c>
      <c r="KD751" s="494"/>
      <c r="KE751" s="494"/>
      <c r="KF751" s="494"/>
      <c r="KG751" s="494"/>
      <c r="KH751" s="57"/>
      <c r="KI751" s="57"/>
      <c r="KJ751" s="57"/>
      <c r="KK751" s="57"/>
    </row>
    <row r="752" spans="1:297" s="8" customFormat="1" ht="12.75" customHeight="1">
      <c r="A752" s="612" t="s">
        <v>1375</v>
      </c>
      <c r="B752" s="512"/>
      <c r="C752" s="74">
        <v>0</v>
      </c>
      <c r="D752" s="549"/>
      <c r="E752" s="675"/>
      <c r="F752" s="549"/>
      <c r="G752" s="675"/>
      <c r="H752" s="549"/>
      <c r="I752" s="675"/>
      <c r="J752" s="549"/>
      <c r="K752" s="675"/>
      <c r="L752" s="549"/>
      <c r="M752" s="675"/>
      <c r="N752" s="549"/>
      <c r="O752" s="675"/>
      <c r="P752" s="549"/>
      <c r="Q752" s="675"/>
      <c r="R752" s="549"/>
      <c r="S752" s="675"/>
      <c r="T752" s="549"/>
      <c r="U752" s="675"/>
      <c r="V752" s="549"/>
      <c r="W752" s="675"/>
      <c r="X752" s="549"/>
      <c r="Y752" s="675"/>
      <c r="Z752" s="549"/>
      <c r="AA752" s="675"/>
      <c r="AB752" s="549"/>
      <c r="AC752" s="675"/>
      <c r="AD752" s="549"/>
      <c r="AE752" s="675"/>
      <c r="AF752" s="549"/>
      <c r="AG752" s="675"/>
      <c r="AH752" s="549"/>
      <c r="AI752" s="675"/>
      <c r="AJ752" s="549"/>
      <c r="AK752" s="675"/>
      <c r="AL752" s="549"/>
      <c r="AM752" s="675"/>
      <c r="AN752" s="549"/>
      <c r="AO752" s="675"/>
      <c r="AP752" s="549"/>
      <c r="AQ752" s="675"/>
      <c r="AR752" s="549"/>
      <c r="AS752" s="675"/>
      <c r="AT752" s="549"/>
      <c r="AU752" s="675"/>
      <c r="AV752" s="549"/>
      <c r="AW752" s="675"/>
      <c r="AX752" s="549"/>
      <c r="AY752" s="675"/>
      <c r="AZ752" s="549"/>
      <c r="BA752" s="675"/>
      <c r="BB752" s="549"/>
      <c r="BC752" s="675"/>
      <c r="BD752" s="549"/>
      <c r="BE752" s="675"/>
      <c r="BF752" s="549"/>
      <c r="BG752" s="675"/>
      <c r="BH752" s="549"/>
      <c r="BI752" s="675"/>
      <c r="BJ752" s="549"/>
      <c r="BK752" s="675"/>
      <c r="BL752" s="549"/>
      <c r="BM752" s="675"/>
      <c r="BN752" s="549"/>
      <c r="BO752" s="675"/>
      <c r="BP752" s="549"/>
      <c r="BQ752" s="675"/>
      <c r="BR752" s="549"/>
      <c r="BS752" s="675"/>
      <c r="BT752" s="549"/>
      <c r="BU752" s="675"/>
      <c r="BV752" s="549"/>
      <c r="BW752" s="675"/>
      <c r="BX752" s="549"/>
      <c r="BY752" s="675"/>
      <c r="BZ752" s="549"/>
      <c r="CA752" s="675"/>
      <c r="CB752" s="549"/>
      <c r="CC752" s="675"/>
      <c r="CD752" s="549"/>
      <c r="CE752" s="675"/>
      <c r="CF752" s="549"/>
      <c r="CG752" s="675"/>
      <c r="CH752" s="549"/>
      <c r="CI752" s="675"/>
      <c r="CJ752" s="549"/>
      <c r="CK752" s="675"/>
      <c r="CL752" s="549"/>
      <c r="CM752" s="675"/>
      <c r="CN752" s="549"/>
      <c r="CO752" s="675"/>
      <c r="CP752" s="549"/>
      <c r="CQ752" s="675"/>
      <c r="CR752" s="549"/>
      <c r="CS752" s="675"/>
      <c r="CT752" s="549">
        <v>0</v>
      </c>
      <c r="CU752" s="675">
        <v>0</v>
      </c>
      <c r="CV752" s="549">
        <v>0</v>
      </c>
      <c r="CW752" s="675">
        <v>0</v>
      </c>
      <c r="CX752" s="549">
        <v>0</v>
      </c>
      <c r="CY752" s="675">
        <v>0</v>
      </c>
      <c r="CZ752" s="549">
        <v>0</v>
      </c>
      <c r="DA752" s="675">
        <v>0</v>
      </c>
      <c r="DB752" s="549">
        <v>0</v>
      </c>
      <c r="DC752" s="675">
        <v>0</v>
      </c>
      <c r="DD752" s="549">
        <v>0</v>
      </c>
      <c r="DE752" s="675">
        <v>0</v>
      </c>
      <c r="DF752" s="549">
        <v>0</v>
      </c>
      <c r="DG752" s="675">
        <v>0</v>
      </c>
      <c r="DH752" s="549">
        <v>0</v>
      </c>
      <c r="DI752" s="675">
        <v>0</v>
      </c>
      <c r="DJ752" s="549">
        <v>0</v>
      </c>
      <c r="DK752" s="675">
        <v>0</v>
      </c>
      <c r="DL752" s="549">
        <v>1900</v>
      </c>
      <c r="DM752" s="675">
        <v>0</v>
      </c>
      <c r="DN752" s="549">
        <v>60000</v>
      </c>
      <c r="DO752" s="675">
        <v>0</v>
      </c>
      <c r="DP752" s="549">
        <v>0</v>
      </c>
      <c r="DQ752" s="675">
        <v>0</v>
      </c>
      <c r="DR752" s="549">
        <v>0</v>
      </c>
      <c r="DS752" s="675">
        <v>0</v>
      </c>
      <c r="DT752" s="549">
        <v>0</v>
      </c>
      <c r="DU752" s="675">
        <v>0</v>
      </c>
      <c r="DV752" s="549">
        <v>0</v>
      </c>
      <c r="DW752" s="675">
        <v>0</v>
      </c>
      <c r="DX752" s="549">
        <v>0</v>
      </c>
      <c r="DY752" s="675">
        <v>0</v>
      </c>
      <c r="DZ752" s="549">
        <v>0</v>
      </c>
      <c r="EA752" s="675">
        <v>0</v>
      </c>
      <c r="EB752" s="549">
        <v>0</v>
      </c>
      <c r="EC752" s="675">
        <v>0</v>
      </c>
      <c r="ED752" s="549">
        <v>0</v>
      </c>
      <c r="EE752" s="675">
        <v>0</v>
      </c>
      <c r="EF752" s="549">
        <v>0</v>
      </c>
      <c r="EG752" s="675">
        <v>0</v>
      </c>
      <c r="EH752" s="549">
        <v>0</v>
      </c>
      <c r="EI752" s="675">
        <v>0</v>
      </c>
      <c r="EJ752" s="549">
        <v>0</v>
      </c>
      <c r="EK752" s="675">
        <v>0</v>
      </c>
      <c r="EL752" s="549">
        <v>0</v>
      </c>
      <c r="EM752" s="675">
        <v>0</v>
      </c>
      <c r="EN752" s="549">
        <v>0</v>
      </c>
      <c r="EO752" s="675">
        <v>0</v>
      </c>
      <c r="EP752" s="549">
        <v>0</v>
      </c>
      <c r="EQ752" s="675">
        <v>0</v>
      </c>
      <c r="ER752" s="549">
        <v>0</v>
      </c>
      <c r="ES752" s="675">
        <v>0</v>
      </c>
      <c r="ET752" s="549">
        <v>0</v>
      </c>
      <c r="EU752" s="675">
        <v>0</v>
      </c>
      <c r="EV752" s="549">
        <v>0</v>
      </c>
      <c r="EW752" s="675">
        <v>0</v>
      </c>
      <c r="EX752" s="549">
        <v>0</v>
      </c>
      <c r="EY752" s="675">
        <v>0</v>
      </c>
      <c r="EZ752" s="549">
        <v>0</v>
      </c>
      <c r="FA752" s="675">
        <v>0</v>
      </c>
      <c r="FB752" s="549">
        <v>0</v>
      </c>
      <c r="FC752" s="675">
        <v>0</v>
      </c>
      <c r="FD752" s="549">
        <v>0</v>
      </c>
      <c r="FE752" s="675">
        <v>0</v>
      </c>
      <c r="FF752" s="549">
        <v>0</v>
      </c>
      <c r="FG752" s="675">
        <v>0</v>
      </c>
      <c r="FH752" s="549">
        <v>0</v>
      </c>
      <c r="FI752" s="675">
        <v>0</v>
      </c>
      <c r="FJ752" s="549">
        <v>0</v>
      </c>
      <c r="FK752" s="675">
        <v>0</v>
      </c>
      <c r="FL752" s="549">
        <v>0</v>
      </c>
      <c r="FM752" s="675">
        <v>0</v>
      </c>
      <c r="FN752" s="549">
        <v>0</v>
      </c>
      <c r="FO752" s="675">
        <v>-7990</v>
      </c>
      <c r="FP752" s="549">
        <v>0</v>
      </c>
      <c r="FQ752" s="675">
        <v>0</v>
      </c>
      <c r="FR752" s="549">
        <v>0</v>
      </c>
      <c r="FS752" s="675">
        <v>0</v>
      </c>
      <c r="FT752" s="549">
        <v>0</v>
      </c>
      <c r="FU752" s="675">
        <v>0</v>
      </c>
      <c r="FV752" s="549">
        <v>0</v>
      </c>
      <c r="FW752" s="675">
        <v>0</v>
      </c>
      <c r="FX752" s="549">
        <v>0</v>
      </c>
      <c r="FY752" s="675">
        <v>0</v>
      </c>
      <c r="FZ752" s="549">
        <v>0</v>
      </c>
      <c r="GA752" s="675">
        <v>0</v>
      </c>
      <c r="GB752" s="549">
        <v>0</v>
      </c>
      <c r="GC752" s="675">
        <v>0</v>
      </c>
      <c r="GD752" s="549">
        <v>0</v>
      </c>
      <c r="GE752" s="675">
        <v>0</v>
      </c>
      <c r="GF752" s="549">
        <v>0</v>
      </c>
      <c r="GG752" s="675">
        <v>0</v>
      </c>
      <c r="GH752" s="549">
        <v>0</v>
      </c>
      <c r="GI752" s="675">
        <v>0</v>
      </c>
      <c r="GJ752" s="549">
        <v>0</v>
      </c>
      <c r="GK752" s="675">
        <v>0</v>
      </c>
      <c r="GL752" s="549">
        <v>0</v>
      </c>
      <c r="GM752" s="675">
        <v>0</v>
      </c>
      <c r="GN752" s="549">
        <v>0</v>
      </c>
      <c r="GO752" s="675">
        <v>0</v>
      </c>
      <c r="GP752" s="549">
        <f t="shared" ref="GP752" si="16526">+D752+F752+H752+J752+L752+N752+P752+R752+T752+V752+X752+Z752+AB752+AF752+AD752+AH752+AJ752+AL752+AN752+AP752+AR752+AT752+AV752+AX752+AZ752+BB752+BD752+BF752+BH752+BJ752+BL752+BN752+BP752+BR752+BT752+BV752+BX752+BZ752+CB752+CD752+CF752+CH752+CJ752+CL752+CN752+CP752+CR752+CT752+CV752+CX752+CZ752+DB752+DD752+DF752+DH752+DT752+EX752+DJ752+DL752+DN752+DP752+DR752+EJ752+EB752+DZ752+DX752+DV752+ED752+EF752+EH752+EL752+EN752+EP752+EV752+ET752+ER752+EZ752+FB752+FD752+GL752+FF752+FJ752+FL752+GJ752+FT752+FR752+FP752+FN752+FH752+GH752+GF752+GD752+GB752+FZ752+FX752+FV752+GN752</f>
        <v>61900</v>
      </c>
      <c r="GQ752" s="675">
        <f t="shared" ref="GQ752" si="16527">+E752+G752+I752+K752+M752+O752+Q752+S752+U752+W752+Y752+AA752+AC752+AE752+AG752+AI752+AK752+AM752+AO752+AQ752+AS752+AU752+AW752+AY752+BA752+BC752+BE752+BG752+BI752+BK752+BM752+BO752+BQ752+BS752+BU752+BW752+BY752+CA752+CC752+CE752+CG752+CI752+CK752+CM752+CO752+CQ752+CS752+CU752+CW752+CY752+DA752+DC752+DE752+DG752+DI752+DU752+EY752+DK752+DM752+DO752+DQ752+DS752+EK752+EC752+EA752+DY752+DW752+EI752+EG752+EE752+EM752+EO752+EQ752+EW752+EU752+ES752+FA752+FC752+FE752+GM752+FG752+FK752+FM752+FO752+FQ752+FS752+FU752+GK752+FI752+GI752+GG752+GE752+GC752+GA752+FY752+FW752+GO752</f>
        <v>-7990</v>
      </c>
      <c r="GR752" s="74">
        <f t="shared" ref="GR752" si="16528">C752+GP752+GQ752</f>
        <v>53910</v>
      </c>
      <c r="GS752" s="74">
        <f t="shared" si="16487"/>
        <v>53910</v>
      </c>
      <c r="GT752" s="568">
        <f t="shared" ref="GT752" si="16529">SUM(GU752:HF752)+GQ752+GP752</f>
        <v>53910</v>
      </c>
      <c r="GU752" s="275">
        <v>0</v>
      </c>
      <c r="GV752" s="275"/>
      <c r="GW752" s="588"/>
      <c r="GX752" s="275">
        <v>0</v>
      </c>
      <c r="GY752" s="275">
        <v>0</v>
      </c>
      <c r="GZ752" s="275"/>
      <c r="HA752" s="275">
        <f t="shared" si="16489"/>
        <v>0</v>
      </c>
      <c r="HB752" s="275"/>
      <c r="HC752" s="275"/>
      <c r="HD752" s="275">
        <f t="shared" si="16490"/>
        <v>0</v>
      </c>
      <c r="HE752" s="275"/>
      <c r="HF752" s="275">
        <v>0</v>
      </c>
      <c r="HG752" s="74">
        <f t="shared" ref="HG752" si="16530">SUM(HH752:IE752)+GP752+GQ752</f>
        <v>53910</v>
      </c>
      <c r="HH752" s="89">
        <v>0</v>
      </c>
      <c r="HI752" s="157">
        <v>0</v>
      </c>
      <c r="HJ752" s="89">
        <v>0</v>
      </c>
      <c r="HK752" s="157">
        <v>0</v>
      </c>
      <c r="HL752" s="89">
        <v>0</v>
      </c>
      <c r="HM752" s="157">
        <v>0</v>
      </c>
      <c r="HN752" s="89">
        <v>0</v>
      </c>
      <c r="HO752" s="157">
        <v>0</v>
      </c>
      <c r="HP752" s="89">
        <v>0</v>
      </c>
      <c r="HQ752" s="157">
        <v>0</v>
      </c>
      <c r="HR752" s="89">
        <v>0</v>
      </c>
      <c r="HS752" s="157">
        <v>0</v>
      </c>
      <c r="HT752" s="89">
        <v>0</v>
      </c>
      <c r="HU752" s="157">
        <v>0</v>
      </c>
      <c r="HV752" s="89">
        <v>0</v>
      </c>
      <c r="HW752" s="157">
        <v>0</v>
      </c>
      <c r="HX752" s="89">
        <v>0</v>
      </c>
      <c r="HY752" s="157">
        <v>0</v>
      </c>
      <c r="HZ752" s="89">
        <v>0</v>
      </c>
      <c r="IA752" s="157">
        <v>0</v>
      </c>
      <c r="IB752" s="89">
        <v>0</v>
      </c>
      <c r="IC752" s="157">
        <v>0</v>
      </c>
      <c r="ID752" s="89">
        <v>0</v>
      </c>
      <c r="IE752" s="157">
        <v>0</v>
      </c>
      <c r="IF752" s="717">
        <f t="shared" ref="IF752" si="16531">SUM(II752,IL752,IO752,IR752,IU752,IX752,JA752,JD752,JG752,JJ752,JM752,JP752)</f>
        <v>22357.3</v>
      </c>
      <c r="IG752" s="263">
        <f t="shared" ref="IG752" si="16532">SUM(IJ752,IM752,IP752,IS752,IV752,IY752,JB752,JE752,JH752,JK752,JN752,JQ752)</f>
        <v>22357.3</v>
      </c>
      <c r="IH752" s="718">
        <f t="shared" ref="IH752" si="16533">SUM(IK752,IN752,IQ752,IT752,IW752,IZ752,JC752,JF752,JI752,JL752,JO752,JR752)</f>
        <v>22357.3</v>
      </c>
      <c r="II752" s="89">
        <v>0</v>
      </c>
      <c r="IJ752" s="89">
        <f t="shared" ref="IJ752" si="16534">II752</f>
        <v>0</v>
      </c>
      <c r="IK752" s="89">
        <f t="shared" ref="IK752" si="16535">IJ752</f>
        <v>0</v>
      </c>
      <c r="IL752" s="89">
        <v>0</v>
      </c>
      <c r="IM752" s="89">
        <f t="shared" ref="IM752" si="16536">IL752</f>
        <v>0</v>
      </c>
      <c r="IN752" s="89">
        <f t="shared" ref="IN752" si="16537">IM752</f>
        <v>0</v>
      </c>
      <c r="IO752" s="89">
        <v>0</v>
      </c>
      <c r="IP752" s="89">
        <f t="shared" ref="IP752" si="16538">IO752</f>
        <v>0</v>
      </c>
      <c r="IQ752" s="89">
        <f t="shared" ref="IQ752" si="16539">IP752</f>
        <v>0</v>
      </c>
      <c r="IR752" s="89">
        <v>0</v>
      </c>
      <c r="IS752" s="89">
        <f t="shared" ref="IS752" si="16540">IR752</f>
        <v>0</v>
      </c>
      <c r="IT752" s="89">
        <f t="shared" ref="IT752" si="16541">IS752</f>
        <v>0</v>
      </c>
      <c r="IU752" s="89">
        <v>0</v>
      </c>
      <c r="IV752" s="89">
        <f t="shared" ref="IV752" si="16542">IU752</f>
        <v>0</v>
      </c>
      <c r="IW752" s="89">
        <f t="shared" ref="IW752" si="16543">IV752</f>
        <v>0</v>
      </c>
      <c r="IX752" s="89">
        <v>0</v>
      </c>
      <c r="IY752" s="89">
        <f t="shared" ref="IY752" si="16544">IX752</f>
        <v>0</v>
      </c>
      <c r="IZ752" s="89">
        <f t="shared" ref="IZ752" si="16545">IY752</f>
        <v>0</v>
      </c>
      <c r="JA752" s="89">
        <v>0</v>
      </c>
      <c r="JB752" s="89">
        <f t="shared" ref="JB752" si="16546">JA752</f>
        <v>0</v>
      </c>
      <c r="JC752" s="89">
        <f t="shared" ref="JC752" si="16547">JB752</f>
        <v>0</v>
      </c>
      <c r="JD752" s="89">
        <v>0</v>
      </c>
      <c r="JE752" s="89">
        <f t="shared" ref="JE752" si="16548">JD752</f>
        <v>0</v>
      </c>
      <c r="JF752" s="89">
        <f t="shared" ref="JF752" si="16549">JE752</f>
        <v>0</v>
      </c>
      <c r="JG752" s="89">
        <v>0</v>
      </c>
      <c r="JH752" s="89">
        <f t="shared" ref="JH752" si="16550">JG752</f>
        <v>0</v>
      </c>
      <c r="JI752" s="89">
        <f t="shared" ref="JI752" si="16551">JH752</f>
        <v>0</v>
      </c>
      <c r="JJ752" s="89">
        <v>22357.3</v>
      </c>
      <c r="JK752" s="89">
        <f t="shared" ref="JK752" si="16552">JJ752</f>
        <v>22357.3</v>
      </c>
      <c r="JL752" s="89">
        <f t="shared" ref="JL752" si="16553">JK752</f>
        <v>22357.3</v>
      </c>
      <c r="JM752" s="89">
        <v>0</v>
      </c>
      <c r="JN752" s="89">
        <f t="shared" ref="JN752" si="16554">JM752</f>
        <v>0</v>
      </c>
      <c r="JO752" s="89">
        <f t="shared" ref="JO752" si="16555">JN752</f>
        <v>0</v>
      </c>
      <c r="JP752" s="89">
        <v>0</v>
      </c>
      <c r="JQ752" s="89">
        <f t="shared" ref="JQ752" si="16556">JP752</f>
        <v>0</v>
      </c>
      <c r="JR752" s="89">
        <f t="shared" ref="JR752" si="16557">JQ752</f>
        <v>0</v>
      </c>
      <c r="JS752" s="74">
        <f t="shared" ref="JS752" si="16558">HG752-IF752</f>
        <v>31552.7</v>
      </c>
      <c r="JT752" s="382">
        <f t="shared" ref="JT752" si="16559">GS752-IF752</f>
        <v>31552.7</v>
      </c>
      <c r="JU752" s="665"/>
      <c r="JV752" s="524"/>
      <c r="JW752" s="525"/>
      <c r="JX752" s="549">
        <f t="shared" ref="JX752" si="16560">SUM(HH752,HJ752,HL752,HN752,HP752,HR752,HT752,HV752,HX752,HZ752,IB752,ID752)</f>
        <v>0</v>
      </c>
      <c r="JY752" s="549">
        <f t="shared" ref="JY752" si="16561">SUM(HI752,HK752,HM752,HO752,HQ752,HS752,HU752,HW752,HY752,IA752,IC752,IE752)</f>
        <v>0</v>
      </c>
      <c r="JZ752" s="581">
        <f t="shared" ref="JZ752" si="16562">GP752</f>
        <v>61900</v>
      </c>
      <c r="KA752" s="581">
        <f t="shared" ref="KA752" si="16563">GQ752</f>
        <v>-7990</v>
      </c>
      <c r="KB752" s="566">
        <f t="shared" ref="KB752" si="16564">SUM(JX752:KA752)</f>
        <v>53910</v>
      </c>
      <c r="KC752" s="709">
        <f t="shared" ref="KC752" si="16565">HG752-KB752</f>
        <v>0</v>
      </c>
      <c r="KD752" s="494"/>
      <c r="KE752" s="494"/>
      <c r="KF752" s="494"/>
      <c r="KG752" s="494"/>
      <c r="KH752" s="57"/>
      <c r="KI752" s="57"/>
      <c r="KJ752" s="57"/>
      <c r="KK752" s="57"/>
    </row>
    <row r="753" spans="1:297" s="8" customFormat="1" ht="12.75" customHeight="1">
      <c r="A753" s="612" t="s">
        <v>1385</v>
      </c>
      <c r="B753" s="512"/>
      <c r="C753" s="74">
        <v>0</v>
      </c>
      <c r="D753" s="549"/>
      <c r="E753" s="675"/>
      <c r="F753" s="549"/>
      <c r="G753" s="675"/>
      <c r="H753" s="549"/>
      <c r="I753" s="675"/>
      <c r="J753" s="549"/>
      <c r="K753" s="675"/>
      <c r="L753" s="549"/>
      <c r="M753" s="675"/>
      <c r="N753" s="549"/>
      <c r="O753" s="675"/>
      <c r="P753" s="549"/>
      <c r="Q753" s="675"/>
      <c r="R753" s="549"/>
      <c r="S753" s="675"/>
      <c r="T753" s="549"/>
      <c r="U753" s="675"/>
      <c r="V753" s="549"/>
      <c r="W753" s="675"/>
      <c r="X753" s="549"/>
      <c r="Y753" s="675"/>
      <c r="Z753" s="549"/>
      <c r="AA753" s="675"/>
      <c r="AB753" s="549"/>
      <c r="AC753" s="675"/>
      <c r="AD753" s="549"/>
      <c r="AE753" s="675"/>
      <c r="AF753" s="549"/>
      <c r="AG753" s="675"/>
      <c r="AH753" s="549"/>
      <c r="AI753" s="675"/>
      <c r="AJ753" s="549"/>
      <c r="AK753" s="675"/>
      <c r="AL753" s="549"/>
      <c r="AM753" s="675"/>
      <c r="AN753" s="549"/>
      <c r="AO753" s="675"/>
      <c r="AP753" s="549"/>
      <c r="AQ753" s="675"/>
      <c r="AR753" s="549"/>
      <c r="AS753" s="675"/>
      <c r="AT753" s="549"/>
      <c r="AU753" s="675"/>
      <c r="AV753" s="549"/>
      <c r="AW753" s="675"/>
      <c r="AX753" s="549"/>
      <c r="AY753" s="675"/>
      <c r="AZ753" s="549"/>
      <c r="BA753" s="675"/>
      <c r="BB753" s="549"/>
      <c r="BC753" s="675"/>
      <c r="BD753" s="549"/>
      <c r="BE753" s="675"/>
      <c r="BF753" s="549"/>
      <c r="BG753" s="675"/>
      <c r="BH753" s="549"/>
      <c r="BI753" s="675"/>
      <c r="BJ753" s="549"/>
      <c r="BK753" s="675"/>
      <c r="BL753" s="549"/>
      <c r="BM753" s="675"/>
      <c r="BN753" s="549"/>
      <c r="BO753" s="675"/>
      <c r="BP753" s="549"/>
      <c r="BQ753" s="675"/>
      <c r="BR753" s="549"/>
      <c r="BS753" s="675"/>
      <c r="BT753" s="549"/>
      <c r="BU753" s="675"/>
      <c r="BV753" s="549"/>
      <c r="BW753" s="675"/>
      <c r="BX753" s="549"/>
      <c r="BY753" s="675"/>
      <c r="BZ753" s="549"/>
      <c r="CA753" s="675"/>
      <c r="CB753" s="549"/>
      <c r="CC753" s="675"/>
      <c r="CD753" s="549"/>
      <c r="CE753" s="675"/>
      <c r="CF753" s="549"/>
      <c r="CG753" s="675"/>
      <c r="CH753" s="549"/>
      <c r="CI753" s="675"/>
      <c r="CJ753" s="549"/>
      <c r="CK753" s="675"/>
      <c r="CL753" s="549"/>
      <c r="CM753" s="675"/>
      <c r="CN753" s="549"/>
      <c r="CO753" s="675"/>
      <c r="CP753" s="549"/>
      <c r="CQ753" s="675"/>
      <c r="CR753" s="549"/>
      <c r="CS753" s="675"/>
      <c r="CT753" s="549"/>
      <c r="CU753" s="675"/>
      <c r="CV753" s="549"/>
      <c r="CW753" s="675"/>
      <c r="CX753" s="549"/>
      <c r="CY753" s="675"/>
      <c r="CZ753" s="549"/>
      <c r="DA753" s="675"/>
      <c r="DB753" s="549"/>
      <c r="DC753" s="675"/>
      <c r="DD753" s="549"/>
      <c r="DE753" s="675"/>
      <c r="DF753" s="549"/>
      <c r="DG753" s="675"/>
      <c r="DH753" s="549"/>
      <c r="DI753" s="675"/>
      <c r="DJ753" s="549"/>
      <c r="DK753" s="675"/>
      <c r="DL753" s="549"/>
      <c r="DM753" s="675"/>
      <c r="DN753" s="549">
        <v>15000</v>
      </c>
      <c r="DO753" s="675">
        <v>0</v>
      </c>
      <c r="DP753" s="549">
        <v>0</v>
      </c>
      <c r="DQ753" s="675">
        <v>0</v>
      </c>
      <c r="DR753" s="549">
        <v>0</v>
      </c>
      <c r="DS753" s="675">
        <v>0</v>
      </c>
      <c r="DT753" s="549">
        <v>0</v>
      </c>
      <c r="DU753" s="675">
        <v>0</v>
      </c>
      <c r="DV753" s="549">
        <v>0</v>
      </c>
      <c r="DW753" s="675">
        <v>0</v>
      </c>
      <c r="DX753" s="549">
        <v>0</v>
      </c>
      <c r="DY753" s="675">
        <v>0</v>
      </c>
      <c r="DZ753" s="549">
        <v>0</v>
      </c>
      <c r="EA753" s="675">
        <v>0</v>
      </c>
      <c r="EB753" s="549">
        <v>0</v>
      </c>
      <c r="EC753" s="675">
        <v>0</v>
      </c>
      <c r="ED753" s="549">
        <v>0</v>
      </c>
      <c r="EE753" s="675">
        <v>0</v>
      </c>
      <c r="EF753" s="549">
        <v>0</v>
      </c>
      <c r="EG753" s="675">
        <v>0</v>
      </c>
      <c r="EH753" s="549">
        <v>0</v>
      </c>
      <c r="EI753" s="675">
        <v>0</v>
      </c>
      <c r="EJ753" s="549">
        <v>0</v>
      </c>
      <c r="EK753" s="675">
        <v>0</v>
      </c>
      <c r="EL753" s="549">
        <v>0</v>
      </c>
      <c r="EM753" s="675">
        <v>0</v>
      </c>
      <c r="EN753" s="549">
        <v>0</v>
      </c>
      <c r="EO753" s="675">
        <v>0</v>
      </c>
      <c r="EP753" s="549">
        <v>0</v>
      </c>
      <c r="EQ753" s="675">
        <v>0</v>
      </c>
      <c r="ER753" s="549">
        <v>0</v>
      </c>
      <c r="ES753" s="675">
        <v>0</v>
      </c>
      <c r="ET753" s="549">
        <v>0</v>
      </c>
      <c r="EU753" s="675">
        <v>0</v>
      </c>
      <c r="EV753" s="549">
        <v>0</v>
      </c>
      <c r="EW753" s="675">
        <v>0</v>
      </c>
      <c r="EX753" s="549">
        <v>0</v>
      </c>
      <c r="EY753" s="675">
        <v>0</v>
      </c>
      <c r="EZ753" s="549">
        <v>0</v>
      </c>
      <c r="FA753" s="675">
        <v>0</v>
      </c>
      <c r="FB753" s="549">
        <v>0</v>
      </c>
      <c r="FC753" s="675">
        <v>0</v>
      </c>
      <c r="FD753" s="549">
        <v>0</v>
      </c>
      <c r="FE753" s="675">
        <v>0</v>
      </c>
      <c r="FF753" s="549">
        <v>0</v>
      </c>
      <c r="FG753" s="675">
        <v>0</v>
      </c>
      <c r="FH753" s="549">
        <v>0</v>
      </c>
      <c r="FI753" s="675">
        <v>0</v>
      </c>
      <c r="FJ753" s="549">
        <v>0</v>
      </c>
      <c r="FK753" s="675">
        <v>0</v>
      </c>
      <c r="FL753" s="549">
        <v>0</v>
      </c>
      <c r="FM753" s="675">
        <v>0</v>
      </c>
      <c r="FN753" s="549">
        <v>0</v>
      </c>
      <c r="FO753" s="675">
        <v>0</v>
      </c>
      <c r="FP753" s="549">
        <v>0</v>
      </c>
      <c r="FQ753" s="675">
        <v>0</v>
      </c>
      <c r="FR753" s="549">
        <v>0</v>
      </c>
      <c r="FS753" s="675">
        <v>0</v>
      </c>
      <c r="FT753" s="549">
        <v>0</v>
      </c>
      <c r="FU753" s="675">
        <v>0</v>
      </c>
      <c r="FV753" s="549">
        <v>0</v>
      </c>
      <c r="FW753" s="675">
        <v>0</v>
      </c>
      <c r="FX753" s="549">
        <v>0</v>
      </c>
      <c r="FY753" s="675">
        <v>0</v>
      </c>
      <c r="FZ753" s="549">
        <v>0</v>
      </c>
      <c r="GA753" s="675">
        <v>0</v>
      </c>
      <c r="GB753" s="549">
        <v>0</v>
      </c>
      <c r="GC753" s="675">
        <v>0</v>
      </c>
      <c r="GD753" s="549">
        <v>0</v>
      </c>
      <c r="GE753" s="675">
        <v>0</v>
      </c>
      <c r="GF753" s="549">
        <v>0</v>
      </c>
      <c r="GG753" s="675">
        <v>0</v>
      </c>
      <c r="GH753" s="549">
        <v>0</v>
      </c>
      <c r="GI753" s="675">
        <v>0</v>
      </c>
      <c r="GJ753" s="549">
        <v>0</v>
      </c>
      <c r="GK753" s="675">
        <v>0</v>
      </c>
      <c r="GL753" s="549">
        <v>0</v>
      </c>
      <c r="GM753" s="675">
        <v>0</v>
      </c>
      <c r="GN753" s="549">
        <v>0</v>
      </c>
      <c r="GO753" s="675">
        <v>0</v>
      </c>
      <c r="GP753" s="549">
        <f t="shared" ref="GP753:GP755" si="16566">+D753+F753+H753+J753+L753+N753+P753+R753+T753+V753+X753+Z753+AB753+AF753+AD753+AH753+AJ753+AL753+AN753+AP753+AR753+AT753+AV753+AX753+AZ753+BB753+BD753+BF753+BH753+BJ753+BL753+BN753+BP753+BR753+BT753+BV753+BX753+BZ753+CB753+CD753+CF753+CH753+CJ753+CL753+CN753+CP753+CR753+CT753+CV753+CX753+CZ753+DB753+DD753+DF753+DH753+DT753+EX753+DJ753+DL753+DN753+DP753+DR753+EJ753+EB753+DZ753+DX753+DV753+ED753+EF753+EH753+EL753+EN753+EP753+EV753+ET753+ER753+EZ753+FB753+FD753+GL753+FF753+FJ753+FL753+GJ753+FT753+FR753+FP753+FN753+FH753+GH753+GF753+GD753+GB753+FZ753+FX753+FV753+GN753</f>
        <v>15000</v>
      </c>
      <c r="GQ753" s="675">
        <f t="shared" ref="GQ753:GQ755" si="16567">+E753+G753+I753+K753+M753+O753+Q753+S753+U753+W753+Y753+AA753+AC753+AE753+AG753+AI753+AK753+AM753+AO753+AQ753+AS753+AU753+AW753+AY753+BA753+BC753+BE753+BG753+BI753+BK753+BM753+BO753+BQ753+BS753+BU753+BW753+BY753+CA753+CC753+CE753+CG753+CI753+CK753+CM753+CO753+CQ753+CS753+CU753+CW753+CY753+DA753+DC753+DE753+DG753+DI753+DU753+EY753+DK753+DM753+DO753+DQ753+DS753+EK753+EC753+EA753+DY753+DW753+EI753+EG753+EE753+EM753+EO753+EQ753+EW753+EU753+ES753+FA753+FC753+FE753+GM753+FG753+FK753+FM753+FO753+FQ753+FS753+FU753+GK753+FI753+GI753+GG753+GE753+GC753+GA753+FY753+FW753+GO753</f>
        <v>0</v>
      </c>
      <c r="GR753" s="74">
        <f t="shared" ref="GR753:GR755" si="16568">C753+GP753+GQ753</f>
        <v>15000</v>
      </c>
      <c r="GS753" s="74">
        <f t="shared" si="16487"/>
        <v>15000</v>
      </c>
      <c r="GT753" s="568">
        <f t="shared" ref="GT753:GT754" si="16569">SUM(GU753:HF753)+GQ753+GP753</f>
        <v>15000</v>
      </c>
      <c r="GU753" s="275">
        <v>0</v>
      </c>
      <c r="GV753" s="275"/>
      <c r="GW753" s="588"/>
      <c r="GX753" s="275">
        <v>0</v>
      </c>
      <c r="GY753" s="275">
        <v>0</v>
      </c>
      <c r="GZ753" s="275"/>
      <c r="HA753" s="275">
        <f t="shared" si="16489"/>
        <v>0</v>
      </c>
      <c r="HB753" s="275"/>
      <c r="HC753" s="275"/>
      <c r="HD753" s="275">
        <f t="shared" si="16490"/>
        <v>0</v>
      </c>
      <c r="HE753" s="275"/>
      <c r="HF753" s="275">
        <v>0</v>
      </c>
      <c r="HG753" s="74">
        <f t="shared" ref="HG753:HG754" si="16570">SUM(HH753:IE753)+GP753+GQ753</f>
        <v>15000</v>
      </c>
      <c r="HH753" s="89">
        <v>0</v>
      </c>
      <c r="HI753" s="157">
        <v>0</v>
      </c>
      <c r="HJ753" s="89">
        <v>0</v>
      </c>
      <c r="HK753" s="157">
        <v>0</v>
      </c>
      <c r="HL753" s="89">
        <v>0</v>
      </c>
      <c r="HM753" s="157">
        <v>0</v>
      </c>
      <c r="HN753" s="89">
        <v>0</v>
      </c>
      <c r="HO753" s="157">
        <v>0</v>
      </c>
      <c r="HP753" s="89">
        <v>0</v>
      </c>
      <c r="HQ753" s="157">
        <v>0</v>
      </c>
      <c r="HR753" s="89">
        <v>0</v>
      </c>
      <c r="HS753" s="157">
        <v>0</v>
      </c>
      <c r="HT753" s="89">
        <v>0</v>
      </c>
      <c r="HU753" s="157">
        <v>0</v>
      </c>
      <c r="HV753" s="89">
        <v>0</v>
      </c>
      <c r="HW753" s="157">
        <v>0</v>
      </c>
      <c r="HX753" s="89">
        <v>0</v>
      </c>
      <c r="HY753" s="157">
        <v>0</v>
      </c>
      <c r="HZ753" s="89">
        <v>0</v>
      </c>
      <c r="IA753" s="157">
        <v>0</v>
      </c>
      <c r="IB753" s="89">
        <v>0</v>
      </c>
      <c r="IC753" s="157">
        <v>0</v>
      </c>
      <c r="ID753" s="89">
        <v>0</v>
      </c>
      <c r="IE753" s="157">
        <v>0</v>
      </c>
      <c r="IF753" s="717">
        <f t="shared" ref="IF753:IF755" si="16571">SUM(II753,IL753,IO753,IR753,IU753,IX753,JA753,JD753,JG753,JJ753,JM753,JP753)</f>
        <v>0</v>
      </c>
      <c r="IG753" s="263">
        <f t="shared" ref="IG753:IG755" si="16572">SUM(IJ753,IM753,IP753,IS753,IV753,IY753,JB753,JE753,JH753,JK753,JN753,JQ753)</f>
        <v>0</v>
      </c>
      <c r="IH753" s="718">
        <f t="shared" ref="IH753:IH755" si="16573">SUM(IK753,IN753,IQ753,IT753,IW753,IZ753,JC753,JF753,JI753,JL753,JO753,JR753)</f>
        <v>0</v>
      </c>
      <c r="II753" s="89">
        <v>0</v>
      </c>
      <c r="IJ753" s="89">
        <f t="shared" ref="IJ753:IJ755" si="16574">II753</f>
        <v>0</v>
      </c>
      <c r="IK753" s="89">
        <f t="shared" ref="IK753:IK755" si="16575">IJ753</f>
        <v>0</v>
      </c>
      <c r="IL753" s="89">
        <v>0</v>
      </c>
      <c r="IM753" s="89">
        <f t="shared" ref="IM753:IM755" si="16576">IL753</f>
        <v>0</v>
      </c>
      <c r="IN753" s="89">
        <f t="shared" ref="IN753:IN755" si="16577">IM753</f>
        <v>0</v>
      </c>
      <c r="IO753" s="89">
        <v>0</v>
      </c>
      <c r="IP753" s="89">
        <f t="shared" ref="IP753:IP755" si="16578">IO753</f>
        <v>0</v>
      </c>
      <c r="IQ753" s="89">
        <f t="shared" ref="IQ753:IQ755" si="16579">IP753</f>
        <v>0</v>
      </c>
      <c r="IR753" s="89">
        <v>0</v>
      </c>
      <c r="IS753" s="89">
        <f t="shared" ref="IS753:IS755" si="16580">IR753</f>
        <v>0</v>
      </c>
      <c r="IT753" s="89">
        <f t="shared" ref="IT753:IT755" si="16581">IS753</f>
        <v>0</v>
      </c>
      <c r="IU753" s="89">
        <v>0</v>
      </c>
      <c r="IV753" s="89">
        <f t="shared" ref="IV753:IV755" si="16582">IU753</f>
        <v>0</v>
      </c>
      <c r="IW753" s="89">
        <f t="shared" ref="IW753:IW755" si="16583">IV753</f>
        <v>0</v>
      </c>
      <c r="IX753" s="89">
        <v>0</v>
      </c>
      <c r="IY753" s="89">
        <f t="shared" ref="IY753:IY755" si="16584">IX753</f>
        <v>0</v>
      </c>
      <c r="IZ753" s="89">
        <f t="shared" ref="IZ753:IZ755" si="16585">IY753</f>
        <v>0</v>
      </c>
      <c r="JA753" s="89">
        <v>0</v>
      </c>
      <c r="JB753" s="89">
        <f t="shared" ref="JB753:JB755" si="16586">JA753</f>
        <v>0</v>
      </c>
      <c r="JC753" s="89">
        <f t="shared" ref="JC753:JC755" si="16587">JB753</f>
        <v>0</v>
      </c>
      <c r="JD753" s="89">
        <v>0</v>
      </c>
      <c r="JE753" s="89">
        <f t="shared" ref="JE753:JE755" si="16588">JD753</f>
        <v>0</v>
      </c>
      <c r="JF753" s="89">
        <f t="shared" ref="JF753:JF755" si="16589">JE753</f>
        <v>0</v>
      </c>
      <c r="JG753" s="89">
        <v>0</v>
      </c>
      <c r="JH753" s="89">
        <f t="shared" ref="JH753:JH755" si="16590">JG753</f>
        <v>0</v>
      </c>
      <c r="JI753" s="89">
        <f t="shared" ref="JI753:JI755" si="16591">JH753</f>
        <v>0</v>
      </c>
      <c r="JJ753" s="89">
        <v>0</v>
      </c>
      <c r="JK753" s="89">
        <f t="shared" ref="JK753:JK755" si="16592">JJ753</f>
        <v>0</v>
      </c>
      <c r="JL753" s="89">
        <f t="shared" ref="JL753:JL755" si="16593">JK753</f>
        <v>0</v>
      </c>
      <c r="JM753" s="89">
        <v>0</v>
      </c>
      <c r="JN753" s="89">
        <f t="shared" ref="JN753:JN755" si="16594">JM753</f>
        <v>0</v>
      </c>
      <c r="JO753" s="89">
        <f t="shared" ref="JO753:JO755" si="16595">JN753</f>
        <v>0</v>
      </c>
      <c r="JP753" s="89">
        <v>0</v>
      </c>
      <c r="JQ753" s="89">
        <f t="shared" ref="JQ753:JQ755" si="16596">JP753</f>
        <v>0</v>
      </c>
      <c r="JR753" s="89">
        <f t="shared" ref="JR753:JR755" si="16597">JQ753</f>
        <v>0</v>
      </c>
      <c r="JS753" s="74">
        <f t="shared" ref="JS753:JS755" si="16598">HG753-IF753</f>
        <v>15000</v>
      </c>
      <c r="JT753" s="382">
        <f t="shared" ref="JT753:JT755" si="16599">GS753-IF753</f>
        <v>15000</v>
      </c>
      <c r="JU753" s="665"/>
      <c r="JV753" s="524"/>
      <c r="JW753" s="525"/>
      <c r="JX753" s="549">
        <f t="shared" ref="JX753:JX755" si="16600">SUM(HH753,HJ753,HL753,HN753,HP753,HR753,HT753,HV753,HX753,HZ753,IB753,ID753)</f>
        <v>0</v>
      </c>
      <c r="JY753" s="549">
        <f t="shared" ref="JY753:JY755" si="16601">SUM(HI753,HK753,HM753,HO753,HQ753,HS753,HU753,HW753,HY753,IA753,IC753,IE753)</f>
        <v>0</v>
      </c>
      <c r="JZ753" s="581">
        <f t="shared" ref="JZ753:JZ755" si="16602">GP753</f>
        <v>15000</v>
      </c>
      <c r="KA753" s="581">
        <f t="shared" ref="KA753:KA755" si="16603">GQ753</f>
        <v>0</v>
      </c>
      <c r="KB753" s="566">
        <f t="shared" ref="KB753:KB755" si="16604">SUM(JX753:KA753)</f>
        <v>15000</v>
      </c>
      <c r="KC753" s="709"/>
      <c r="KD753" s="494"/>
      <c r="KE753" s="494"/>
      <c r="KF753" s="494"/>
      <c r="KG753" s="494"/>
      <c r="KH753" s="57"/>
      <c r="KI753" s="57"/>
      <c r="KJ753" s="57"/>
      <c r="KK753" s="57"/>
    </row>
    <row r="754" spans="1:297" s="8" customFormat="1" ht="12.75" customHeight="1">
      <c r="A754" s="612" t="s">
        <v>1386</v>
      </c>
      <c r="B754" s="512"/>
      <c r="C754" s="74">
        <v>0</v>
      </c>
      <c r="D754" s="549"/>
      <c r="E754" s="675"/>
      <c r="F754" s="549"/>
      <c r="G754" s="675"/>
      <c r="H754" s="549"/>
      <c r="I754" s="675"/>
      <c r="J754" s="549"/>
      <c r="K754" s="675"/>
      <c r="L754" s="549"/>
      <c r="M754" s="675"/>
      <c r="N754" s="549"/>
      <c r="O754" s="675"/>
      <c r="P754" s="549"/>
      <c r="Q754" s="675"/>
      <c r="R754" s="549"/>
      <c r="S754" s="675"/>
      <c r="T754" s="549"/>
      <c r="U754" s="675"/>
      <c r="V754" s="549"/>
      <c r="W754" s="675"/>
      <c r="X754" s="549"/>
      <c r="Y754" s="675"/>
      <c r="Z754" s="549"/>
      <c r="AA754" s="675"/>
      <c r="AB754" s="549"/>
      <c r="AC754" s="675"/>
      <c r="AD754" s="549"/>
      <c r="AE754" s="675"/>
      <c r="AF754" s="549"/>
      <c r="AG754" s="675"/>
      <c r="AH754" s="549"/>
      <c r="AI754" s="675"/>
      <c r="AJ754" s="549"/>
      <c r="AK754" s="675"/>
      <c r="AL754" s="549"/>
      <c r="AM754" s="675"/>
      <c r="AN754" s="549"/>
      <c r="AO754" s="675"/>
      <c r="AP754" s="549"/>
      <c r="AQ754" s="675"/>
      <c r="AR754" s="549"/>
      <c r="AS754" s="675"/>
      <c r="AT754" s="549"/>
      <c r="AU754" s="675"/>
      <c r="AV754" s="549"/>
      <c r="AW754" s="675"/>
      <c r="AX754" s="549"/>
      <c r="AY754" s="675"/>
      <c r="AZ754" s="549"/>
      <c r="BA754" s="675"/>
      <c r="BB754" s="549"/>
      <c r="BC754" s="675"/>
      <c r="BD754" s="549"/>
      <c r="BE754" s="675"/>
      <c r="BF754" s="549"/>
      <c r="BG754" s="675"/>
      <c r="BH754" s="549"/>
      <c r="BI754" s="675"/>
      <c r="BJ754" s="549"/>
      <c r="BK754" s="675"/>
      <c r="BL754" s="549"/>
      <c r="BM754" s="675"/>
      <c r="BN754" s="549"/>
      <c r="BO754" s="675"/>
      <c r="BP754" s="549"/>
      <c r="BQ754" s="675"/>
      <c r="BR754" s="549"/>
      <c r="BS754" s="675"/>
      <c r="BT754" s="549"/>
      <c r="BU754" s="675"/>
      <c r="BV754" s="549"/>
      <c r="BW754" s="675"/>
      <c r="BX754" s="549"/>
      <c r="BY754" s="675"/>
      <c r="BZ754" s="549"/>
      <c r="CA754" s="675"/>
      <c r="CB754" s="549"/>
      <c r="CC754" s="675"/>
      <c r="CD754" s="549"/>
      <c r="CE754" s="675"/>
      <c r="CF754" s="549"/>
      <c r="CG754" s="675"/>
      <c r="CH754" s="549"/>
      <c r="CI754" s="675"/>
      <c r="CJ754" s="549"/>
      <c r="CK754" s="675"/>
      <c r="CL754" s="549"/>
      <c r="CM754" s="675"/>
      <c r="CN754" s="549"/>
      <c r="CO754" s="675"/>
      <c r="CP754" s="549"/>
      <c r="CQ754" s="675"/>
      <c r="CR754" s="549"/>
      <c r="CS754" s="675"/>
      <c r="CT754" s="549"/>
      <c r="CU754" s="675"/>
      <c r="CV754" s="549"/>
      <c r="CW754" s="675"/>
      <c r="CX754" s="549"/>
      <c r="CY754" s="675"/>
      <c r="CZ754" s="549"/>
      <c r="DA754" s="675"/>
      <c r="DB754" s="549"/>
      <c r="DC754" s="675"/>
      <c r="DD754" s="549"/>
      <c r="DE754" s="675"/>
      <c r="DF754" s="549"/>
      <c r="DG754" s="675"/>
      <c r="DH754" s="549"/>
      <c r="DI754" s="675"/>
      <c r="DJ754" s="549"/>
      <c r="DK754" s="675"/>
      <c r="DL754" s="549"/>
      <c r="DM754" s="675"/>
      <c r="DN754" s="549">
        <v>30000</v>
      </c>
      <c r="DO754" s="675">
        <v>0</v>
      </c>
      <c r="DP754" s="549">
        <v>0</v>
      </c>
      <c r="DQ754" s="675">
        <v>0</v>
      </c>
      <c r="DR754" s="549">
        <v>0</v>
      </c>
      <c r="DS754" s="675">
        <v>0</v>
      </c>
      <c r="DT754" s="549">
        <v>0</v>
      </c>
      <c r="DU754" s="675">
        <v>0</v>
      </c>
      <c r="DV754" s="549">
        <v>0</v>
      </c>
      <c r="DW754" s="675">
        <v>0</v>
      </c>
      <c r="DX754" s="549">
        <v>0</v>
      </c>
      <c r="DY754" s="675">
        <v>0</v>
      </c>
      <c r="DZ754" s="549">
        <v>25843</v>
      </c>
      <c r="EA754" s="675">
        <v>0</v>
      </c>
      <c r="EB754" s="549">
        <v>0</v>
      </c>
      <c r="EC754" s="675">
        <v>0</v>
      </c>
      <c r="ED754" s="549">
        <v>0</v>
      </c>
      <c r="EE754" s="675">
        <v>0</v>
      </c>
      <c r="EF754" s="549">
        <v>0</v>
      </c>
      <c r="EG754" s="675">
        <v>0</v>
      </c>
      <c r="EH754" s="549">
        <v>0</v>
      </c>
      <c r="EI754" s="675">
        <v>0</v>
      </c>
      <c r="EJ754" s="549">
        <v>0</v>
      </c>
      <c r="EK754" s="675">
        <v>0</v>
      </c>
      <c r="EL754" s="549">
        <v>0</v>
      </c>
      <c r="EM754" s="675">
        <v>0</v>
      </c>
      <c r="EN754" s="549">
        <v>0</v>
      </c>
      <c r="EO754" s="675">
        <v>0</v>
      </c>
      <c r="EP754" s="549">
        <v>0</v>
      </c>
      <c r="EQ754" s="675">
        <v>0</v>
      </c>
      <c r="ER754" s="549">
        <v>0</v>
      </c>
      <c r="ES754" s="675">
        <v>0</v>
      </c>
      <c r="ET754" s="549">
        <v>0</v>
      </c>
      <c r="EU754" s="675">
        <v>0</v>
      </c>
      <c r="EV754" s="549">
        <v>0</v>
      </c>
      <c r="EW754" s="675">
        <v>0</v>
      </c>
      <c r="EX754" s="549">
        <v>0</v>
      </c>
      <c r="EY754" s="675">
        <v>0</v>
      </c>
      <c r="EZ754" s="549">
        <v>0</v>
      </c>
      <c r="FA754" s="675">
        <v>0</v>
      </c>
      <c r="FB754" s="549">
        <v>0</v>
      </c>
      <c r="FC754" s="675">
        <v>0</v>
      </c>
      <c r="FD754" s="549">
        <v>0</v>
      </c>
      <c r="FE754" s="675">
        <v>0</v>
      </c>
      <c r="FF754" s="549">
        <v>0</v>
      </c>
      <c r="FG754" s="675">
        <v>0</v>
      </c>
      <c r="FH754" s="549">
        <v>0</v>
      </c>
      <c r="FI754" s="675">
        <v>0</v>
      </c>
      <c r="FJ754" s="549">
        <v>0</v>
      </c>
      <c r="FK754" s="675">
        <v>0</v>
      </c>
      <c r="FL754" s="549">
        <v>0</v>
      </c>
      <c r="FM754" s="675">
        <v>0</v>
      </c>
      <c r="FN754" s="549">
        <v>0</v>
      </c>
      <c r="FO754" s="675">
        <v>-22708</v>
      </c>
      <c r="FP754" s="549">
        <v>0</v>
      </c>
      <c r="FQ754" s="675">
        <v>0</v>
      </c>
      <c r="FR754" s="549">
        <v>0</v>
      </c>
      <c r="FS754" s="675">
        <v>0</v>
      </c>
      <c r="FT754" s="549">
        <v>0</v>
      </c>
      <c r="FU754" s="675">
        <v>0</v>
      </c>
      <c r="FV754" s="549">
        <v>0</v>
      </c>
      <c r="FW754" s="675">
        <v>0</v>
      </c>
      <c r="FX754" s="549">
        <v>0</v>
      </c>
      <c r="FY754" s="675">
        <v>0</v>
      </c>
      <c r="FZ754" s="549">
        <v>23000</v>
      </c>
      <c r="GA754" s="675">
        <v>0</v>
      </c>
      <c r="GB754" s="549">
        <v>0</v>
      </c>
      <c r="GC754" s="675">
        <v>0</v>
      </c>
      <c r="GD754" s="549">
        <v>0</v>
      </c>
      <c r="GE754" s="675">
        <v>0</v>
      </c>
      <c r="GF754" s="549">
        <v>0</v>
      </c>
      <c r="GG754" s="675">
        <v>0</v>
      </c>
      <c r="GH754" s="549">
        <v>0</v>
      </c>
      <c r="GI754" s="675">
        <v>0</v>
      </c>
      <c r="GJ754" s="549">
        <v>0</v>
      </c>
      <c r="GK754" s="675">
        <v>0</v>
      </c>
      <c r="GL754" s="549">
        <v>0</v>
      </c>
      <c r="GM754" s="675">
        <v>0</v>
      </c>
      <c r="GN754" s="549">
        <v>0</v>
      </c>
      <c r="GO754" s="675">
        <v>0</v>
      </c>
      <c r="GP754" s="549">
        <f t="shared" si="16566"/>
        <v>78843</v>
      </c>
      <c r="GQ754" s="675">
        <f t="shared" si="16567"/>
        <v>-22708</v>
      </c>
      <c r="GR754" s="74">
        <f t="shared" si="16568"/>
        <v>56135</v>
      </c>
      <c r="GS754" s="74">
        <f t="shared" si="16487"/>
        <v>56135</v>
      </c>
      <c r="GT754" s="568">
        <f t="shared" si="16569"/>
        <v>56135</v>
      </c>
      <c r="GU754" s="275">
        <v>0</v>
      </c>
      <c r="GV754" s="275"/>
      <c r="GW754" s="588"/>
      <c r="GX754" s="275">
        <v>0</v>
      </c>
      <c r="GY754" s="275">
        <v>0</v>
      </c>
      <c r="GZ754" s="275"/>
      <c r="HA754" s="275">
        <f t="shared" si="16489"/>
        <v>0</v>
      </c>
      <c r="HB754" s="275"/>
      <c r="HC754" s="275"/>
      <c r="HD754" s="275">
        <f t="shared" si="16490"/>
        <v>0</v>
      </c>
      <c r="HE754" s="275"/>
      <c r="HF754" s="275">
        <v>0</v>
      </c>
      <c r="HG754" s="74">
        <f t="shared" si="16570"/>
        <v>56135</v>
      </c>
      <c r="HH754" s="89">
        <v>0</v>
      </c>
      <c r="HI754" s="157">
        <v>0</v>
      </c>
      <c r="HJ754" s="89">
        <v>0</v>
      </c>
      <c r="HK754" s="157">
        <v>0</v>
      </c>
      <c r="HL754" s="89">
        <v>0</v>
      </c>
      <c r="HM754" s="157">
        <v>0</v>
      </c>
      <c r="HN754" s="89">
        <v>0</v>
      </c>
      <c r="HO754" s="157">
        <v>0</v>
      </c>
      <c r="HP754" s="89">
        <v>0</v>
      </c>
      <c r="HQ754" s="157">
        <v>0</v>
      </c>
      <c r="HR754" s="89">
        <v>0</v>
      </c>
      <c r="HS754" s="157">
        <v>0</v>
      </c>
      <c r="HT754" s="89">
        <v>0</v>
      </c>
      <c r="HU754" s="157">
        <v>0</v>
      </c>
      <c r="HV754" s="89">
        <v>0</v>
      </c>
      <c r="HW754" s="157">
        <v>0</v>
      </c>
      <c r="HX754" s="89">
        <v>0</v>
      </c>
      <c r="HY754" s="157">
        <v>0</v>
      </c>
      <c r="HZ754" s="89">
        <v>0</v>
      </c>
      <c r="IA754" s="157">
        <v>0</v>
      </c>
      <c r="IB754" s="89">
        <v>0</v>
      </c>
      <c r="IC754" s="157">
        <v>0</v>
      </c>
      <c r="ID754" s="89">
        <v>0</v>
      </c>
      <c r="IE754" s="157">
        <v>0</v>
      </c>
      <c r="IF754" s="717">
        <f t="shared" si="16571"/>
        <v>19612.96</v>
      </c>
      <c r="IG754" s="263">
        <f t="shared" si="16572"/>
        <v>19612.96</v>
      </c>
      <c r="IH754" s="718">
        <f t="shared" si="16573"/>
        <v>19612.96</v>
      </c>
      <c r="II754" s="89">
        <v>0</v>
      </c>
      <c r="IJ754" s="89">
        <f t="shared" si="16574"/>
        <v>0</v>
      </c>
      <c r="IK754" s="89">
        <f t="shared" si="16575"/>
        <v>0</v>
      </c>
      <c r="IL754" s="89">
        <v>0</v>
      </c>
      <c r="IM754" s="89">
        <f t="shared" si="16576"/>
        <v>0</v>
      </c>
      <c r="IN754" s="89">
        <f t="shared" si="16577"/>
        <v>0</v>
      </c>
      <c r="IO754" s="89">
        <v>0</v>
      </c>
      <c r="IP754" s="89">
        <f t="shared" si="16578"/>
        <v>0</v>
      </c>
      <c r="IQ754" s="89">
        <f t="shared" si="16579"/>
        <v>0</v>
      </c>
      <c r="IR754" s="89">
        <v>0</v>
      </c>
      <c r="IS754" s="89">
        <f t="shared" si="16580"/>
        <v>0</v>
      </c>
      <c r="IT754" s="89">
        <f t="shared" si="16581"/>
        <v>0</v>
      </c>
      <c r="IU754" s="89">
        <v>0</v>
      </c>
      <c r="IV754" s="89">
        <f t="shared" si="16582"/>
        <v>0</v>
      </c>
      <c r="IW754" s="89">
        <f t="shared" si="16583"/>
        <v>0</v>
      </c>
      <c r="IX754" s="89">
        <v>0</v>
      </c>
      <c r="IY754" s="89">
        <f t="shared" si="16584"/>
        <v>0</v>
      </c>
      <c r="IZ754" s="89">
        <f t="shared" si="16585"/>
        <v>0</v>
      </c>
      <c r="JA754" s="89">
        <v>0</v>
      </c>
      <c r="JB754" s="89">
        <f t="shared" si="16586"/>
        <v>0</v>
      </c>
      <c r="JC754" s="89">
        <f t="shared" si="16587"/>
        <v>0</v>
      </c>
      <c r="JD754" s="89">
        <v>0</v>
      </c>
      <c r="JE754" s="89">
        <f t="shared" si="16588"/>
        <v>0</v>
      </c>
      <c r="JF754" s="89">
        <f t="shared" si="16589"/>
        <v>0</v>
      </c>
      <c r="JG754" s="89">
        <v>5313.9</v>
      </c>
      <c r="JH754" s="89">
        <f t="shared" si="16590"/>
        <v>5313.9</v>
      </c>
      <c r="JI754" s="89">
        <f t="shared" si="16591"/>
        <v>5313.9</v>
      </c>
      <c r="JJ754" s="89">
        <f>19612.96-5313.9</f>
        <v>14299.06</v>
      </c>
      <c r="JK754" s="89">
        <f t="shared" si="16592"/>
        <v>14299.06</v>
      </c>
      <c r="JL754" s="89">
        <f t="shared" si="16593"/>
        <v>14299.06</v>
      </c>
      <c r="JM754" s="89">
        <v>0</v>
      </c>
      <c r="JN754" s="89">
        <f t="shared" si="16594"/>
        <v>0</v>
      </c>
      <c r="JO754" s="89">
        <f t="shared" si="16595"/>
        <v>0</v>
      </c>
      <c r="JP754" s="89">
        <v>0</v>
      </c>
      <c r="JQ754" s="89">
        <f t="shared" si="16596"/>
        <v>0</v>
      </c>
      <c r="JR754" s="89">
        <f t="shared" si="16597"/>
        <v>0</v>
      </c>
      <c r="JS754" s="74">
        <f t="shared" si="16598"/>
        <v>36522.04</v>
      </c>
      <c r="JT754" s="382">
        <f t="shared" si="16599"/>
        <v>36522.04</v>
      </c>
      <c r="JU754" s="665"/>
      <c r="JV754" s="524"/>
      <c r="JW754" s="525"/>
      <c r="JX754" s="549">
        <f t="shared" si="16600"/>
        <v>0</v>
      </c>
      <c r="JY754" s="549">
        <f t="shared" si="16601"/>
        <v>0</v>
      </c>
      <c r="JZ754" s="581">
        <f t="shared" si="16602"/>
        <v>78843</v>
      </c>
      <c r="KA754" s="581">
        <f t="shared" si="16603"/>
        <v>-22708</v>
      </c>
      <c r="KB754" s="566">
        <f t="shared" si="16604"/>
        <v>56135</v>
      </c>
      <c r="KC754" s="709"/>
      <c r="KD754" s="494"/>
      <c r="KE754" s="494"/>
      <c r="KF754" s="494"/>
      <c r="KG754" s="494"/>
      <c r="KH754" s="57"/>
      <c r="KI754" s="57"/>
      <c r="KJ754" s="57"/>
      <c r="KK754" s="57"/>
    </row>
    <row r="755" spans="1:297" s="8" customFormat="1" ht="12.75" customHeight="1">
      <c r="A755" s="612" t="s">
        <v>1392</v>
      </c>
      <c r="B755" s="512"/>
      <c r="C755" s="74">
        <v>0</v>
      </c>
      <c r="D755" s="549"/>
      <c r="E755" s="675"/>
      <c r="F755" s="549"/>
      <c r="G755" s="675"/>
      <c r="H755" s="549"/>
      <c r="I755" s="675"/>
      <c r="J755" s="549"/>
      <c r="K755" s="675"/>
      <c r="L755" s="549"/>
      <c r="M755" s="675"/>
      <c r="N755" s="549"/>
      <c r="O755" s="675"/>
      <c r="P755" s="549"/>
      <c r="Q755" s="675"/>
      <c r="R755" s="549"/>
      <c r="S755" s="675"/>
      <c r="T755" s="549"/>
      <c r="U755" s="675"/>
      <c r="V755" s="549"/>
      <c r="W755" s="675"/>
      <c r="X755" s="549"/>
      <c r="Y755" s="675"/>
      <c r="Z755" s="549"/>
      <c r="AA755" s="675"/>
      <c r="AB755" s="549"/>
      <c r="AC755" s="675"/>
      <c r="AD755" s="549"/>
      <c r="AE755" s="675"/>
      <c r="AF755" s="549"/>
      <c r="AG755" s="675"/>
      <c r="AH755" s="549"/>
      <c r="AI755" s="675"/>
      <c r="AJ755" s="549"/>
      <c r="AK755" s="675"/>
      <c r="AL755" s="549"/>
      <c r="AM755" s="675"/>
      <c r="AN755" s="549"/>
      <c r="AO755" s="675"/>
      <c r="AP755" s="549"/>
      <c r="AQ755" s="675"/>
      <c r="AR755" s="549"/>
      <c r="AS755" s="675"/>
      <c r="AT755" s="549"/>
      <c r="AU755" s="675"/>
      <c r="AV755" s="549"/>
      <c r="AW755" s="675"/>
      <c r="AX755" s="549"/>
      <c r="AY755" s="675"/>
      <c r="AZ755" s="549"/>
      <c r="BA755" s="675"/>
      <c r="BB755" s="549"/>
      <c r="BC755" s="675"/>
      <c r="BD755" s="549"/>
      <c r="BE755" s="675"/>
      <c r="BF755" s="549"/>
      <c r="BG755" s="675"/>
      <c r="BH755" s="549"/>
      <c r="BI755" s="675"/>
      <c r="BJ755" s="549"/>
      <c r="BK755" s="675"/>
      <c r="BL755" s="549"/>
      <c r="BM755" s="675"/>
      <c r="BN755" s="549"/>
      <c r="BO755" s="675"/>
      <c r="BP755" s="549"/>
      <c r="BQ755" s="675"/>
      <c r="BR755" s="549"/>
      <c r="BS755" s="675"/>
      <c r="BT755" s="549"/>
      <c r="BU755" s="675"/>
      <c r="BV755" s="549"/>
      <c r="BW755" s="675"/>
      <c r="BX755" s="549"/>
      <c r="BY755" s="675"/>
      <c r="BZ755" s="549"/>
      <c r="CA755" s="675"/>
      <c r="CB755" s="549"/>
      <c r="CC755" s="675"/>
      <c r="CD755" s="549"/>
      <c r="CE755" s="675"/>
      <c r="CF755" s="549"/>
      <c r="CG755" s="675"/>
      <c r="CH755" s="549"/>
      <c r="CI755" s="675"/>
      <c r="CJ755" s="549"/>
      <c r="CK755" s="675"/>
      <c r="CL755" s="549"/>
      <c r="CM755" s="675"/>
      <c r="CN755" s="549"/>
      <c r="CO755" s="675"/>
      <c r="CP755" s="549"/>
      <c r="CQ755" s="675"/>
      <c r="CR755" s="549"/>
      <c r="CS755" s="675"/>
      <c r="CT755" s="549">
        <v>0</v>
      </c>
      <c r="CU755" s="675">
        <v>0</v>
      </c>
      <c r="CV755" s="549">
        <v>0</v>
      </c>
      <c r="CW755" s="675">
        <v>0</v>
      </c>
      <c r="CX755" s="549">
        <v>0</v>
      </c>
      <c r="CY755" s="675">
        <v>0</v>
      </c>
      <c r="CZ755" s="549">
        <v>0</v>
      </c>
      <c r="DA755" s="675">
        <v>0</v>
      </c>
      <c r="DB755" s="549">
        <v>0</v>
      </c>
      <c r="DC755" s="675">
        <v>0</v>
      </c>
      <c r="DD755" s="549">
        <v>0</v>
      </c>
      <c r="DE755" s="675">
        <v>0</v>
      </c>
      <c r="DF755" s="549">
        <v>0</v>
      </c>
      <c r="DG755" s="675">
        <v>0</v>
      </c>
      <c r="DH755" s="549">
        <v>0</v>
      </c>
      <c r="DI755" s="675">
        <v>0</v>
      </c>
      <c r="DJ755" s="549">
        <v>0</v>
      </c>
      <c r="DK755" s="675">
        <v>0</v>
      </c>
      <c r="DL755" s="549">
        <v>0</v>
      </c>
      <c r="DM755" s="675">
        <v>0</v>
      </c>
      <c r="DN755" s="549">
        <v>0</v>
      </c>
      <c r="DO755" s="675">
        <v>0</v>
      </c>
      <c r="DP755" s="549">
        <v>0</v>
      </c>
      <c r="DQ755" s="675">
        <v>0</v>
      </c>
      <c r="DR755" s="549">
        <v>0</v>
      </c>
      <c r="DS755" s="675">
        <v>0</v>
      </c>
      <c r="DT755" s="549">
        <v>0</v>
      </c>
      <c r="DU755" s="675">
        <v>0</v>
      </c>
      <c r="DV755" s="549">
        <v>18900</v>
      </c>
      <c r="DW755" s="675">
        <v>0</v>
      </c>
      <c r="DX755" s="549">
        <v>0</v>
      </c>
      <c r="DY755" s="675">
        <v>0</v>
      </c>
      <c r="DZ755" s="549">
        <v>0</v>
      </c>
      <c r="EA755" s="675">
        <v>0</v>
      </c>
      <c r="EB755" s="549">
        <v>0</v>
      </c>
      <c r="EC755" s="675">
        <v>0</v>
      </c>
      <c r="ED755" s="549">
        <v>0</v>
      </c>
      <c r="EE755" s="675">
        <v>0</v>
      </c>
      <c r="EF755" s="549">
        <v>0</v>
      </c>
      <c r="EG755" s="675">
        <v>0</v>
      </c>
      <c r="EH755" s="549">
        <v>0</v>
      </c>
      <c r="EI755" s="675">
        <v>0</v>
      </c>
      <c r="EJ755" s="549">
        <v>0</v>
      </c>
      <c r="EK755" s="675">
        <v>0</v>
      </c>
      <c r="EL755" s="549">
        <v>0</v>
      </c>
      <c r="EM755" s="675">
        <v>0</v>
      </c>
      <c r="EN755" s="549">
        <v>0</v>
      </c>
      <c r="EO755" s="675">
        <v>0</v>
      </c>
      <c r="EP755" s="549">
        <v>0</v>
      </c>
      <c r="EQ755" s="675">
        <v>0</v>
      </c>
      <c r="ER755" s="549">
        <v>49219</v>
      </c>
      <c r="ES755" s="675">
        <v>0</v>
      </c>
      <c r="ET755" s="549">
        <v>0</v>
      </c>
      <c r="EU755" s="675">
        <v>0</v>
      </c>
      <c r="EV755" s="549">
        <v>0</v>
      </c>
      <c r="EW755" s="675">
        <v>0</v>
      </c>
      <c r="EX755" s="549">
        <v>0</v>
      </c>
      <c r="EY755" s="675">
        <v>0</v>
      </c>
      <c r="EZ755" s="549">
        <v>0</v>
      </c>
      <c r="FA755" s="675">
        <v>0</v>
      </c>
      <c r="FB755" s="549">
        <v>0</v>
      </c>
      <c r="FC755" s="675">
        <v>0</v>
      </c>
      <c r="FD755" s="549">
        <v>0</v>
      </c>
      <c r="FE755" s="675">
        <v>0</v>
      </c>
      <c r="FF755" s="549">
        <v>0</v>
      </c>
      <c r="FG755" s="675">
        <v>0</v>
      </c>
      <c r="FH755" s="549">
        <v>0</v>
      </c>
      <c r="FI755" s="675">
        <v>0</v>
      </c>
      <c r="FJ755" s="549">
        <v>0</v>
      </c>
      <c r="FK755" s="675">
        <v>0</v>
      </c>
      <c r="FL755" s="549">
        <v>0</v>
      </c>
      <c r="FM755" s="675">
        <v>0</v>
      </c>
      <c r="FN755" s="549">
        <v>0</v>
      </c>
      <c r="FO755" s="675">
        <v>0</v>
      </c>
      <c r="FP755" s="549">
        <v>0</v>
      </c>
      <c r="FQ755" s="675">
        <v>0</v>
      </c>
      <c r="FR755" s="549">
        <v>0</v>
      </c>
      <c r="FS755" s="675">
        <v>0</v>
      </c>
      <c r="FT755" s="549">
        <v>0</v>
      </c>
      <c r="FU755" s="675">
        <v>0</v>
      </c>
      <c r="FV755" s="549">
        <v>0</v>
      </c>
      <c r="FW755" s="675">
        <v>0</v>
      </c>
      <c r="FX755" s="549">
        <v>0</v>
      </c>
      <c r="FY755" s="675">
        <v>0</v>
      </c>
      <c r="FZ755" s="549">
        <v>0</v>
      </c>
      <c r="GA755" s="675">
        <v>0</v>
      </c>
      <c r="GB755" s="549">
        <v>0</v>
      </c>
      <c r="GC755" s="675">
        <v>0</v>
      </c>
      <c r="GD755" s="549">
        <v>0</v>
      </c>
      <c r="GE755" s="675">
        <v>0</v>
      </c>
      <c r="GF755" s="549">
        <v>0</v>
      </c>
      <c r="GG755" s="675">
        <v>0</v>
      </c>
      <c r="GH755" s="549">
        <v>0</v>
      </c>
      <c r="GI755" s="675">
        <v>0</v>
      </c>
      <c r="GJ755" s="549">
        <v>0</v>
      </c>
      <c r="GK755" s="675">
        <v>0</v>
      </c>
      <c r="GL755" s="549">
        <v>0</v>
      </c>
      <c r="GM755" s="675">
        <v>0</v>
      </c>
      <c r="GN755" s="549">
        <v>0</v>
      </c>
      <c r="GO755" s="675">
        <v>0</v>
      </c>
      <c r="GP755" s="549">
        <f t="shared" si="16566"/>
        <v>68119</v>
      </c>
      <c r="GQ755" s="675">
        <f t="shared" si="16567"/>
        <v>0</v>
      </c>
      <c r="GR755" s="74">
        <f t="shared" si="16568"/>
        <v>68119</v>
      </c>
      <c r="GS755" s="74">
        <f t="shared" si="16487"/>
        <v>68119</v>
      </c>
      <c r="GT755" s="568">
        <f t="shared" ref="GT755" si="16605">SUM(GU755:HF755)+GQ755+GP755</f>
        <v>68119</v>
      </c>
      <c r="GU755" s="275">
        <v>0</v>
      </c>
      <c r="GV755" s="275"/>
      <c r="GW755" s="588"/>
      <c r="GX755" s="275">
        <v>0</v>
      </c>
      <c r="GY755" s="275">
        <v>0</v>
      </c>
      <c r="GZ755" s="275"/>
      <c r="HA755" s="275">
        <f t="shared" si="16489"/>
        <v>0</v>
      </c>
      <c r="HB755" s="275"/>
      <c r="HC755" s="275"/>
      <c r="HD755" s="275">
        <f t="shared" si="16490"/>
        <v>0</v>
      </c>
      <c r="HE755" s="275"/>
      <c r="HF755" s="275">
        <v>0</v>
      </c>
      <c r="HG755" s="74">
        <f t="shared" ref="HG755" si="16606">SUM(HH755:IE755)+GP755+GQ755</f>
        <v>68119</v>
      </c>
      <c r="HH755" s="89">
        <v>0</v>
      </c>
      <c r="HI755" s="157">
        <v>0</v>
      </c>
      <c r="HJ755" s="89">
        <v>0</v>
      </c>
      <c r="HK755" s="157">
        <v>0</v>
      </c>
      <c r="HL755" s="89">
        <v>0</v>
      </c>
      <c r="HM755" s="157">
        <v>0</v>
      </c>
      <c r="HN755" s="89">
        <v>0</v>
      </c>
      <c r="HO755" s="157">
        <v>0</v>
      </c>
      <c r="HP755" s="89">
        <v>0</v>
      </c>
      <c r="HQ755" s="157">
        <v>0</v>
      </c>
      <c r="HR755" s="89">
        <v>0</v>
      </c>
      <c r="HS755" s="157">
        <v>0</v>
      </c>
      <c r="HT755" s="89">
        <v>0</v>
      </c>
      <c r="HU755" s="157">
        <v>0</v>
      </c>
      <c r="HV755" s="89">
        <v>0</v>
      </c>
      <c r="HW755" s="157">
        <v>0</v>
      </c>
      <c r="HX755" s="89">
        <v>0</v>
      </c>
      <c r="HY755" s="157">
        <v>0</v>
      </c>
      <c r="HZ755" s="89">
        <v>0</v>
      </c>
      <c r="IA755" s="157">
        <v>0</v>
      </c>
      <c r="IB755" s="89">
        <v>0</v>
      </c>
      <c r="IC755" s="157">
        <v>0</v>
      </c>
      <c r="ID755" s="89">
        <v>0</v>
      </c>
      <c r="IE755" s="157">
        <v>0</v>
      </c>
      <c r="IF755" s="717">
        <f t="shared" si="16571"/>
        <v>0</v>
      </c>
      <c r="IG755" s="263">
        <f t="shared" si="16572"/>
        <v>0</v>
      </c>
      <c r="IH755" s="718">
        <f t="shared" si="16573"/>
        <v>0</v>
      </c>
      <c r="II755" s="89">
        <v>0</v>
      </c>
      <c r="IJ755" s="89">
        <f t="shared" si="16574"/>
        <v>0</v>
      </c>
      <c r="IK755" s="89">
        <f t="shared" si="16575"/>
        <v>0</v>
      </c>
      <c r="IL755" s="89">
        <v>0</v>
      </c>
      <c r="IM755" s="89">
        <f t="shared" si="16576"/>
        <v>0</v>
      </c>
      <c r="IN755" s="89">
        <f t="shared" si="16577"/>
        <v>0</v>
      </c>
      <c r="IO755" s="89">
        <v>0</v>
      </c>
      <c r="IP755" s="89">
        <f t="shared" si="16578"/>
        <v>0</v>
      </c>
      <c r="IQ755" s="89">
        <f t="shared" si="16579"/>
        <v>0</v>
      </c>
      <c r="IR755" s="89">
        <v>0</v>
      </c>
      <c r="IS755" s="89">
        <f t="shared" si="16580"/>
        <v>0</v>
      </c>
      <c r="IT755" s="89">
        <f t="shared" si="16581"/>
        <v>0</v>
      </c>
      <c r="IU755" s="89">
        <v>0</v>
      </c>
      <c r="IV755" s="89">
        <f t="shared" si="16582"/>
        <v>0</v>
      </c>
      <c r="IW755" s="89">
        <f t="shared" si="16583"/>
        <v>0</v>
      </c>
      <c r="IX755" s="89">
        <v>0</v>
      </c>
      <c r="IY755" s="89">
        <f t="shared" si="16584"/>
        <v>0</v>
      </c>
      <c r="IZ755" s="89">
        <f t="shared" si="16585"/>
        <v>0</v>
      </c>
      <c r="JA755" s="89">
        <v>0</v>
      </c>
      <c r="JB755" s="89">
        <f t="shared" si="16586"/>
        <v>0</v>
      </c>
      <c r="JC755" s="89">
        <f t="shared" si="16587"/>
        <v>0</v>
      </c>
      <c r="JD755" s="89">
        <v>0</v>
      </c>
      <c r="JE755" s="89">
        <f t="shared" si="16588"/>
        <v>0</v>
      </c>
      <c r="JF755" s="89">
        <f t="shared" si="16589"/>
        <v>0</v>
      </c>
      <c r="JG755" s="89">
        <v>0</v>
      </c>
      <c r="JH755" s="89">
        <f t="shared" si="16590"/>
        <v>0</v>
      </c>
      <c r="JI755" s="89">
        <f t="shared" si="16591"/>
        <v>0</v>
      </c>
      <c r="JJ755" s="89">
        <v>0</v>
      </c>
      <c r="JK755" s="89">
        <f t="shared" si="16592"/>
        <v>0</v>
      </c>
      <c r="JL755" s="89">
        <f t="shared" si="16593"/>
        <v>0</v>
      </c>
      <c r="JM755" s="89">
        <v>0</v>
      </c>
      <c r="JN755" s="89">
        <f t="shared" si="16594"/>
        <v>0</v>
      </c>
      <c r="JO755" s="89">
        <f t="shared" si="16595"/>
        <v>0</v>
      </c>
      <c r="JP755" s="89">
        <v>0</v>
      </c>
      <c r="JQ755" s="89">
        <f t="shared" si="16596"/>
        <v>0</v>
      </c>
      <c r="JR755" s="89">
        <f t="shared" si="16597"/>
        <v>0</v>
      </c>
      <c r="JS755" s="74">
        <f t="shared" si="16598"/>
        <v>68119</v>
      </c>
      <c r="JT755" s="382">
        <f t="shared" si="16599"/>
        <v>68119</v>
      </c>
      <c r="JU755" s="665"/>
      <c r="JV755" s="524"/>
      <c r="JW755" s="525"/>
      <c r="JX755" s="549">
        <f t="shared" si="16600"/>
        <v>0</v>
      </c>
      <c r="JY755" s="549">
        <f t="shared" si="16601"/>
        <v>0</v>
      </c>
      <c r="JZ755" s="581">
        <f t="shared" si="16602"/>
        <v>68119</v>
      </c>
      <c r="KA755" s="581">
        <f t="shared" si="16603"/>
        <v>0</v>
      </c>
      <c r="KB755" s="566">
        <f t="shared" si="16604"/>
        <v>68119</v>
      </c>
      <c r="KC755" s="709">
        <f t="shared" ref="KC755" si="16607">HG755-KB755</f>
        <v>0</v>
      </c>
      <c r="KD755" s="494"/>
      <c r="KE755" s="494"/>
      <c r="KF755" s="494"/>
      <c r="KG755" s="494"/>
      <c r="KH755" s="57"/>
      <c r="KI755" s="57"/>
      <c r="KJ755" s="57"/>
      <c r="KK755" s="57"/>
    </row>
    <row r="756" spans="1:297" s="8" customFormat="1" ht="12.75" customHeight="1">
      <c r="A756" s="612" t="s">
        <v>1433</v>
      </c>
      <c r="B756" s="512"/>
      <c r="C756" s="74">
        <v>0</v>
      </c>
      <c r="D756" s="549"/>
      <c r="E756" s="675"/>
      <c r="F756" s="549"/>
      <c r="G756" s="675"/>
      <c r="H756" s="549"/>
      <c r="I756" s="675"/>
      <c r="J756" s="549"/>
      <c r="K756" s="675"/>
      <c r="L756" s="549"/>
      <c r="M756" s="675"/>
      <c r="N756" s="549"/>
      <c r="O756" s="675"/>
      <c r="P756" s="549"/>
      <c r="Q756" s="675"/>
      <c r="R756" s="549"/>
      <c r="S756" s="675"/>
      <c r="T756" s="549"/>
      <c r="U756" s="675"/>
      <c r="V756" s="549"/>
      <c r="W756" s="675"/>
      <c r="X756" s="549"/>
      <c r="Y756" s="675"/>
      <c r="Z756" s="549"/>
      <c r="AA756" s="675"/>
      <c r="AB756" s="549"/>
      <c r="AC756" s="675"/>
      <c r="AD756" s="549"/>
      <c r="AE756" s="675"/>
      <c r="AF756" s="549"/>
      <c r="AG756" s="675"/>
      <c r="AH756" s="549"/>
      <c r="AI756" s="675"/>
      <c r="AJ756" s="549"/>
      <c r="AK756" s="675"/>
      <c r="AL756" s="549"/>
      <c r="AM756" s="675"/>
      <c r="AN756" s="549"/>
      <c r="AO756" s="675"/>
      <c r="AP756" s="549"/>
      <c r="AQ756" s="675"/>
      <c r="AR756" s="549"/>
      <c r="AS756" s="675"/>
      <c r="AT756" s="549"/>
      <c r="AU756" s="675"/>
      <c r="AV756" s="549"/>
      <c r="AW756" s="675"/>
      <c r="AX756" s="549"/>
      <c r="AY756" s="675"/>
      <c r="AZ756" s="549"/>
      <c r="BA756" s="675"/>
      <c r="BB756" s="549"/>
      <c r="BC756" s="675"/>
      <c r="BD756" s="549"/>
      <c r="BE756" s="675"/>
      <c r="BF756" s="549"/>
      <c r="BG756" s="675"/>
      <c r="BH756" s="549"/>
      <c r="BI756" s="675"/>
      <c r="BJ756" s="549"/>
      <c r="BK756" s="675"/>
      <c r="BL756" s="549"/>
      <c r="BM756" s="675"/>
      <c r="BN756" s="549"/>
      <c r="BO756" s="675"/>
      <c r="BP756" s="549"/>
      <c r="BQ756" s="675"/>
      <c r="BR756" s="549"/>
      <c r="BS756" s="675"/>
      <c r="BT756" s="549"/>
      <c r="BU756" s="675"/>
      <c r="BV756" s="549"/>
      <c r="BW756" s="675"/>
      <c r="BX756" s="549"/>
      <c r="BY756" s="675"/>
      <c r="BZ756" s="549"/>
      <c r="CA756" s="675"/>
      <c r="CB756" s="549"/>
      <c r="CC756" s="675"/>
      <c r="CD756" s="549"/>
      <c r="CE756" s="675"/>
      <c r="CF756" s="549"/>
      <c r="CG756" s="675"/>
      <c r="CH756" s="549"/>
      <c r="CI756" s="675"/>
      <c r="CJ756" s="549"/>
      <c r="CK756" s="675"/>
      <c r="CL756" s="549"/>
      <c r="CM756" s="675"/>
      <c r="CN756" s="549"/>
      <c r="CO756" s="675"/>
      <c r="CP756" s="549"/>
      <c r="CQ756" s="675"/>
      <c r="CR756" s="549"/>
      <c r="CS756" s="675"/>
      <c r="CT756" s="549"/>
      <c r="CU756" s="675"/>
      <c r="CV756" s="549"/>
      <c r="CW756" s="675"/>
      <c r="CX756" s="549"/>
      <c r="CY756" s="675"/>
      <c r="CZ756" s="549"/>
      <c r="DA756" s="675"/>
      <c r="DB756" s="549"/>
      <c r="DC756" s="675"/>
      <c r="DD756" s="549"/>
      <c r="DE756" s="675"/>
      <c r="DF756" s="549"/>
      <c r="DG756" s="675"/>
      <c r="DH756" s="549"/>
      <c r="DI756" s="675"/>
      <c r="DJ756" s="549"/>
      <c r="DK756" s="675"/>
      <c r="DL756" s="549"/>
      <c r="DM756" s="675"/>
      <c r="DN756" s="549"/>
      <c r="DO756" s="675"/>
      <c r="DP756" s="549"/>
      <c r="DQ756" s="675"/>
      <c r="DR756" s="549"/>
      <c r="DS756" s="675"/>
      <c r="DT756" s="549"/>
      <c r="DU756" s="675"/>
      <c r="DV756" s="549"/>
      <c r="DW756" s="675"/>
      <c r="DX756" s="549"/>
      <c r="DY756" s="675"/>
      <c r="DZ756" s="549"/>
      <c r="EA756" s="675"/>
      <c r="EB756" s="549"/>
      <c r="EC756" s="675"/>
      <c r="ED756" s="549"/>
      <c r="EE756" s="675"/>
      <c r="EF756" s="549"/>
      <c r="EG756" s="675"/>
      <c r="EH756" s="549"/>
      <c r="EI756" s="675"/>
      <c r="EJ756" s="549"/>
      <c r="EK756" s="675"/>
      <c r="EL756" s="549"/>
      <c r="EM756" s="675"/>
      <c r="EN756" s="549"/>
      <c r="EO756" s="675"/>
      <c r="EP756" s="549"/>
      <c r="EQ756" s="675"/>
      <c r="ER756" s="549"/>
      <c r="ES756" s="675"/>
      <c r="ET756" s="549"/>
      <c r="EU756" s="675"/>
      <c r="EV756" s="549"/>
      <c r="EW756" s="675"/>
      <c r="EX756" s="549"/>
      <c r="EY756" s="675"/>
      <c r="EZ756" s="549"/>
      <c r="FA756" s="675"/>
      <c r="FB756" s="549"/>
      <c r="FC756" s="675"/>
      <c r="FD756" s="549"/>
      <c r="FE756" s="675"/>
      <c r="FF756" s="549"/>
      <c r="FG756" s="675"/>
      <c r="FH756" s="549"/>
      <c r="FI756" s="675"/>
      <c r="FJ756" s="549"/>
      <c r="FK756" s="675"/>
      <c r="FL756" s="549"/>
      <c r="FM756" s="675"/>
      <c r="FN756" s="549"/>
      <c r="FO756" s="675"/>
      <c r="FP756" s="549"/>
      <c r="FQ756" s="675"/>
      <c r="FR756" s="549"/>
      <c r="FS756" s="675"/>
      <c r="FT756" s="549"/>
      <c r="FU756" s="675"/>
      <c r="FV756" s="549"/>
      <c r="FW756" s="675"/>
      <c r="FX756" s="549"/>
      <c r="FY756" s="675"/>
      <c r="FZ756" s="549">
        <v>70000</v>
      </c>
      <c r="GA756" s="675">
        <v>0</v>
      </c>
      <c r="GB756" s="549">
        <v>0</v>
      </c>
      <c r="GC756" s="675">
        <v>0</v>
      </c>
      <c r="GD756" s="549">
        <v>0</v>
      </c>
      <c r="GE756" s="675">
        <v>0</v>
      </c>
      <c r="GF756" s="549">
        <v>0</v>
      </c>
      <c r="GG756" s="675">
        <v>0</v>
      </c>
      <c r="GH756" s="549">
        <v>0</v>
      </c>
      <c r="GI756" s="675">
        <v>0</v>
      </c>
      <c r="GJ756" s="549">
        <v>0</v>
      </c>
      <c r="GK756" s="675">
        <v>0</v>
      </c>
      <c r="GL756" s="549">
        <v>0</v>
      </c>
      <c r="GM756" s="675">
        <v>0</v>
      </c>
      <c r="GN756" s="549">
        <v>0</v>
      </c>
      <c r="GO756" s="675">
        <v>0</v>
      </c>
      <c r="GP756" s="549">
        <f t="shared" ref="GP756" si="16608">+D756+F756+H756+J756+L756+N756+P756+R756+T756+V756+X756+Z756+AB756+AF756+AD756+AH756+AJ756+AL756+AN756+AP756+AR756+AT756+AV756+AX756+AZ756+BB756+BD756+BF756+BH756+BJ756+BL756+BN756+BP756+BR756+BT756+BV756+BX756+BZ756+CB756+CD756+CF756+CH756+CJ756+CL756+CN756+CP756+CR756+CT756+CV756+CX756+CZ756+DB756+DD756+DF756+DH756+DT756+EX756+DJ756+DL756+DN756+DP756+DR756+EJ756+EB756+DZ756+DX756+DV756+ED756+EF756+EH756+EL756+EN756+EP756+EV756+ET756+ER756+EZ756+FB756+FD756+GL756+FF756+FJ756+FL756+GJ756+FT756+FR756+FP756+FN756+FH756+GH756+GF756+GD756+GB756+FZ756+FX756+FV756+GN756</f>
        <v>70000</v>
      </c>
      <c r="GQ756" s="675">
        <f t="shared" ref="GQ756" si="16609">+E756+G756+I756+K756+M756+O756+Q756+S756+U756+W756+Y756+AA756+AC756+AE756+AG756+AI756+AK756+AM756+AO756+AQ756+AS756+AU756+AW756+AY756+BA756+BC756+BE756+BG756+BI756+BK756+BM756+BO756+BQ756+BS756+BU756+BW756+BY756+CA756+CC756+CE756+CG756+CI756+CK756+CM756+CO756+CQ756+CS756+CU756+CW756+CY756+DA756+DC756+DE756+DG756+DI756+DU756+EY756+DK756+DM756+DO756+DQ756+DS756+EK756+EC756+EA756+DY756+DW756+EI756+EG756+EE756+EM756+EO756+EQ756+EW756+EU756+ES756+FA756+FC756+FE756+GM756+FG756+FK756+FM756+FO756+FQ756+FS756+FU756+GK756+FI756+GI756+GG756+GE756+GC756+GA756+FY756+FW756+GO756</f>
        <v>0</v>
      </c>
      <c r="GR756" s="74">
        <f t="shared" ref="GR756" si="16610">C756+GP756+GQ756</f>
        <v>70000</v>
      </c>
      <c r="GS756" s="74">
        <f t="shared" ref="GS756" si="16611">SUM(GU756:HD756)+GP756+GQ756</f>
        <v>70000</v>
      </c>
      <c r="GT756" s="568">
        <f t="shared" ref="GT756" si="16612">SUM(GU756:HF756)+GQ756+GP756</f>
        <v>70000</v>
      </c>
      <c r="GU756" s="275">
        <v>0</v>
      </c>
      <c r="GV756" s="275"/>
      <c r="GW756" s="588"/>
      <c r="GX756" s="275">
        <v>0</v>
      </c>
      <c r="GY756" s="275">
        <v>0</v>
      </c>
      <c r="GZ756" s="275"/>
      <c r="HA756" s="275">
        <f t="shared" si="16489"/>
        <v>0</v>
      </c>
      <c r="HB756" s="275"/>
      <c r="HC756" s="275"/>
      <c r="HD756" s="275">
        <f t="shared" si="16490"/>
        <v>0</v>
      </c>
      <c r="HE756" s="275"/>
      <c r="HF756" s="275">
        <v>0</v>
      </c>
      <c r="HG756" s="74">
        <f t="shared" ref="HG756" si="16613">SUM(HH756:IE756)+GP756+GQ756</f>
        <v>70000</v>
      </c>
      <c r="HH756" s="89">
        <v>0</v>
      </c>
      <c r="HI756" s="157">
        <v>0</v>
      </c>
      <c r="HJ756" s="89">
        <v>0</v>
      </c>
      <c r="HK756" s="157">
        <v>0</v>
      </c>
      <c r="HL756" s="89">
        <v>0</v>
      </c>
      <c r="HM756" s="157">
        <v>0</v>
      </c>
      <c r="HN756" s="89">
        <v>0</v>
      </c>
      <c r="HO756" s="157">
        <v>0</v>
      </c>
      <c r="HP756" s="89">
        <v>0</v>
      </c>
      <c r="HQ756" s="157">
        <v>0</v>
      </c>
      <c r="HR756" s="89">
        <v>0</v>
      </c>
      <c r="HS756" s="157">
        <v>0</v>
      </c>
      <c r="HT756" s="89">
        <v>0</v>
      </c>
      <c r="HU756" s="157">
        <v>0</v>
      </c>
      <c r="HV756" s="89">
        <v>0</v>
      </c>
      <c r="HW756" s="157">
        <v>0</v>
      </c>
      <c r="HX756" s="89">
        <v>0</v>
      </c>
      <c r="HY756" s="157">
        <v>0</v>
      </c>
      <c r="HZ756" s="89">
        <v>0</v>
      </c>
      <c r="IA756" s="157">
        <v>0</v>
      </c>
      <c r="IB756" s="89">
        <v>0</v>
      </c>
      <c r="IC756" s="157">
        <v>0</v>
      </c>
      <c r="ID756" s="89">
        <v>0</v>
      </c>
      <c r="IE756" s="157">
        <v>0</v>
      </c>
      <c r="IF756" s="717">
        <f t="shared" ref="IF756" si="16614">SUM(II756,IL756,IO756,IR756,IU756,IX756,JA756,JD756,JG756,JJ756,JM756,JP756)</f>
        <v>0</v>
      </c>
      <c r="IG756" s="263">
        <f t="shared" ref="IG756" si="16615">SUM(IJ756,IM756,IP756,IS756,IV756,IY756,JB756,JE756,JH756,JK756,JN756,JQ756)</f>
        <v>0</v>
      </c>
      <c r="IH756" s="718">
        <f t="shared" ref="IH756" si="16616">SUM(IK756,IN756,IQ756,IT756,IW756,IZ756,JC756,JF756,JI756,JL756,JO756,JR756)</f>
        <v>0</v>
      </c>
      <c r="II756" s="89">
        <v>0</v>
      </c>
      <c r="IJ756" s="89">
        <f t="shared" ref="IJ756" si="16617">II756</f>
        <v>0</v>
      </c>
      <c r="IK756" s="89">
        <f t="shared" ref="IK756" si="16618">IJ756</f>
        <v>0</v>
      </c>
      <c r="IL756" s="89">
        <v>0</v>
      </c>
      <c r="IM756" s="89">
        <f t="shared" ref="IM756" si="16619">IL756</f>
        <v>0</v>
      </c>
      <c r="IN756" s="89">
        <f t="shared" ref="IN756" si="16620">IM756</f>
        <v>0</v>
      </c>
      <c r="IO756" s="89">
        <v>0</v>
      </c>
      <c r="IP756" s="89">
        <f t="shared" ref="IP756" si="16621">IO756</f>
        <v>0</v>
      </c>
      <c r="IQ756" s="89">
        <f t="shared" ref="IQ756" si="16622">IP756</f>
        <v>0</v>
      </c>
      <c r="IR756" s="89">
        <v>0</v>
      </c>
      <c r="IS756" s="89">
        <f t="shared" ref="IS756" si="16623">IR756</f>
        <v>0</v>
      </c>
      <c r="IT756" s="89">
        <f t="shared" ref="IT756" si="16624">IS756</f>
        <v>0</v>
      </c>
      <c r="IU756" s="89">
        <v>0</v>
      </c>
      <c r="IV756" s="89">
        <f t="shared" ref="IV756" si="16625">IU756</f>
        <v>0</v>
      </c>
      <c r="IW756" s="89">
        <f t="shared" ref="IW756" si="16626">IV756</f>
        <v>0</v>
      </c>
      <c r="IX756" s="89">
        <v>0</v>
      </c>
      <c r="IY756" s="89">
        <f t="shared" ref="IY756" si="16627">IX756</f>
        <v>0</v>
      </c>
      <c r="IZ756" s="89">
        <f t="shared" ref="IZ756" si="16628">IY756</f>
        <v>0</v>
      </c>
      <c r="JA756" s="89">
        <v>0</v>
      </c>
      <c r="JB756" s="89">
        <f t="shared" ref="JB756" si="16629">JA756</f>
        <v>0</v>
      </c>
      <c r="JC756" s="89">
        <f t="shared" ref="JC756" si="16630">JB756</f>
        <v>0</v>
      </c>
      <c r="JD756" s="89">
        <v>0</v>
      </c>
      <c r="JE756" s="89">
        <f t="shared" ref="JE756" si="16631">JD756</f>
        <v>0</v>
      </c>
      <c r="JF756" s="89">
        <f t="shared" ref="JF756" si="16632">JE756</f>
        <v>0</v>
      </c>
      <c r="JG756" s="89">
        <v>0</v>
      </c>
      <c r="JH756" s="89">
        <f t="shared" ref="JH756" si="16633">JG756</f>
        <v>0</v>
      </c>
      <c r="JI756" s="89">
        <f t="shared" ref="JI756" si="16634">JH756</f>
        <v>0</v>
      </c>
      <c r="JJ756" s="89">
        <v>0</v>
      </c>
      <c r="JK756" s="89">
        <f t="shared" ref="JK756" si="16635">JJ756</f>
        <v>0</v>
      </c>
      <c r="JL756" s="89">
        <f t="shared" ref="JL756" si="16636">JK756</f>
        <v>0</v>
      </c>
      <c r="JM756" s="89">
        <v>0</v>
      </c>
      <c r="JN756" s="89">
        <f t="shared" ref="JN756" si="16637">JM756</f>
        <v>0</v>
      </c>
      <c r="JO756" s="89">
        <f t="shared" ref="JO756" si="16638">JN756</f>
        <v>0</v>
      </c>
      <c r="JP756" s="89">
        <v>0</v>
      </c>
      <c r="JQ756" s="89">
        <f t="shared" ref="JQ756" si="16639">JP756</f>
        <v>0</v>
      </c>
      <c r="JR756" s="89">
        <f t="shared" ref="JR756" si="16640">JQ756</f>
        <v>0</v>
      </c>
      <c r="JS756" s="74">
        <f t="shared" ref="JS756" si="16641">HG756-IF756</f>
        <v>70000</v>
      </c>
      <c r="JT756" s="382">
        <f t="shared" ref="JT756" si="16642">GS756-IF756</f>
        <v>70000</v>
      </c>
      <c r="JU756" s="665"/>
      <c r="JV756" s="524"/>
      <c r="JW756" s="525"/>
      <c r="JX756" s="549">
        <f t="shared" ref="JX756" si="16643">SUM(HH756,HJ756,HL756,HN756,HP756,HR756,HT756,HV756,HX756,HZ756,IB756,ID756)</f>
        <v>0</v>
      </c>
      <c r="JY756" s="549">
        <f t="shared" ref="JY756" si="16644">SUM(HI756,HK756,HM756,HO756,HQ756,HS756,HU756,HW756,HY756,IA756,IC756,IE756)</f>
        <v>0</v>
      </c>
      <c r="JZ756" s="581">
        <f t="shared" ref="JZ756" si="16645">GP756</f>
        <v>70000</v>
      </c>
      <c r="KA756" s="581">
        <f t="shared" ref="KA756" si="16646">GQ756</f>
        <v>0</v>
      </c>
      <c r="KB756" s="566">
        <f t="shared" ref="KB756" si="16647">SUM(JX756:KA756)</f>
        <v>70000</v>
      </c>
      <c r="KC756" s="709">
        <f t="shared" ref="KC756" si="16648">HG756-KB756</f>
        <v>0</v>
      </c>
      <c r="KD756" s="494"/>
      <c r="KE756" s="494"/>
      <c r="KF756" s="494"/>
      <c r="KG756" s="494"/>
      <c r="KH756" s="57"/>
      <c r="KI756" s="57"/>
      <c r="KJ756" s="57"/>
      <c r="KK756" s="57"/>
    </row>
    <row r="757" spans="1:297" s="8" customFormat="1" ht="12.75" customHeight="1">
      <c r="A757" s="612" t="s">
        <v>1365</v>
      </c>
      <c r="B757" s="512"/>
      <c r="C757" s="74">
        <v>0</v>
      </c>
      <c r="D757" s="549"/>
      <c r="E757" s="675"/>
      <c r="F757" s="549"/>
      <c r="G757" s="675"/>
      <c r="H757" s="549"/>
      <c r="I757" s="675"/>
      <c r="J757" s="549"/>
      <c r="K757" s="675"/>
      <c r="L757" s="549"/>
      <c r="M757" s="675"/>
      <c r="N757" s="549"/>
      <c r="O757" s="675"/>
      <c r="P757" s="549"/>
      <c r="Q757" s="675"/>
      <c r="R757" s="549"/>
      <c r="S757" s="675"/>
      <c r="T757" s="549"/>
      <c r="U757" s="675"/>
      <c r="V757" s="549"/>
      <c r="W757" s="675"/>
      <c r="X757" s="549"/>
      <c r="Y757" s="675"/>
      <c r="Z757" s="549"/>
      <c r="AA757" s="675"/>
      <c r="AB757" s="549"/>
      <c r="AC757" s="675"/>
      <c r="AD757" s="549"/>
      <c r="AE757" s="675"/>
      <c r="AF757" s="549"/>
      <c r="AG757" s="675"/>
      <c r="AH757" s="549"/>
      <c r="AI757" s="675"/>
      <c r="AJ757" s="549"/>
      <c r="AK757" s="675"/>
      <c r="AL757" s="549"/>
      <c r="AM757" s="675"/>
      <c r="AN757" s="549"/>
      <c r="AO757" s="675"/>
      <c r="AP757" s="549"/>
      <c r="AQ757" s="675"/>
      <c r="AR757" s="549"/>
      <c r="AS757" s="675"/>
      <c r="AT757" s="549"/>
      <c r="AU757" s="675"/>
      <c r="AV757" s="549"/>
      <c r="AW757" s="675"/>
      <c r="AX757" s="549"/>
      <c r="AY757" s="675"/>
      <c r="AZ757" s="549"/>
      <c r="BA757" s="675"/>
      <c r="BB757" s="549"/>
      <c r="BC757" s="675"/>
      <c r="BD757" s="549"/>
      <c r="BE757" s="675"/>
      <c r="BF757" s="549"/>
      <c r="BG757" s="675"/>
      <c r="BH757" s="549"/>
      <c r="BI757" s="675"/>
      <c r="BJ757" s="549"/>
      <c r="BK757" s="675"/>
      <c r="BL757" s="549"/>
      <c r="BM757" s="675"/>
      <c r="BN757" s="549"/>
      <c r="BO757" s="675"/>
      <c r="BP757" s="549"/>
      <c r="BQ757" s="675"/>
      <c r="BR757" s="549"/>
      <c r="BS757" s="675"/>
      <c r="BT757" s="549"/>
      <c r="BU757" s="675"/>
      <c r="BV757" s="549"/>
      <c r="BW757" s="675"/>
      <c r="BX757" s="549"/>
      <c r="BY757" s="675"/>
      <c r="BZ757" s="549"/>
      <c r="CA757" s="675"/>
      <c r="CB757" s="549"/>
      <c r="CC757" s="675"/>
      <c r="CD757" s="549"/>
      <c r="CE757" s="675"/>
      <c r="CF757" s="549"/>
      <c r="CG757" s="675"/>
      <c r="CH757" s="549"/>
      <c r="CI757" s="675"/>
      <c r="CJ757" s="549"/>
      <c r="CK757" s="675"/>
      <c r="CL757" s="549"/>
      <c r="CM757" s="675"/>
      <c r="CN757" s="549"/>
      <c r="CO757" s="675"/>
      <c r="CP757" s="549"/>
      <c r="CQ757" s="675"/>
      <c r="CR757" s="549"/>
      <c r="CS757" s="675"/>
      <c r="CT757" s="549">
        <v>0</v>
      </c>
      <c r="CU757" s="675">
        <v>0</v>
      </c>
      <c r="CV757" s="549">
        <v>0</v>
      </c>
      <c r="CW757" s="675">
        <v>0</v>
      </c>
      <c r="CX757" s="549">
        <v>0</v>
      </c>
      <c r="CY757" s="675">
        <v>0</v>
      </c>
      <c r="CZ757" s="549">
        <v>0</v>
      </c>
      <c r="DA757" s="675">
        <v>0</v>
      </c>
      <c r="DB757" s="549">
        <v>0</v>
      </c>
      <c r="DC757" s="675">
        <v>0</v>
      </c>
      <c r="DD757" s="549">
        <v>0</v>
      </c>
      <c r="DE757" s="675">
        <v>0</v>
      </c>
      <c r="DF757" s="549">
        <v>0</v>
      </c>
      <c r="DG757" s="675">
        <v>0</v>
      </c>
      <c r="DH757" s="549">
        <v>0</v>
      </c>
      <c r="DI757" s="675">
        <v>0</v>
      </c>
      <c r="DJ757" s="549">
        <v>0</v>
      </c>
      <c r="DK757" s="675">
        <v>0</v>
      </c>
      <c r="DL757" s="549">
        <v>13500</v>
      </c>
      <c r="DM757" s="675">
        <v>0</v>
      </c>
      <c r="DN757" s="549">
        <v>15000</v>
      </c>
      <c r="DO757" s="675">
        <v>0</v>
      </c>
      <c r="DP757" s="549">
        <v>0</v>
      </c>
      <c r="DQ757" s="675">
        <v>0</v>
      </c>
      <c r="DR757" s="549">
        <v>0</v>
      </c>
      <c r="DS757" s="675">
        <v>0</v>
      </c>
      <c r="DT757" s="549">
        <v>0</v>
      </c>
      <c r="DU757" s="675">
        <v>0</v>
      </c>
      <c r="DV757" s="549">
        <v>0</v>
      </c>
      <c r="DW757" s="675">
        <v>0</v>
      </c>
      <c r="DX757" s="549">
        <v>0</v>
      </c>
      <c r="DY757" s="675">
        <v>0</v>
      </c>
      <c r="DZ757" s="549">
        <v>0</v>
      </c>
      <c r="EA757" s="675">
        <v>0</v>
      </c>
      <c r="EB757" s="549">
        <v>0</v>
      </c>
      <c r="EC757" s="675">
        <v>0</v>
      </c>
      <c r="ED757" s="549">
        <v>0</v>
      </c>
      <c r="EE757" s="675">
        <v>0</v>
      </c>
      <c r="EF757" s="549">
        <v>0</v>
      </c>
      <c r="EG757" s="675">
        <v>0</v>
      </c>
      <c r="EH757" s="549">
        <v>0</v>
      </c>
      <c r="EI757" s="675">
        <v>0</v>
      </c>
      <c r="EJ757" s="549">
        <v>0</v>
      </c>
      <c r="EK757" s="675">
        <v>0</v>
      </c>
      <c r="EL757" s="549">
        <v>0</v>
      </c>
      <c r="EM757" s="675">
        <v>0</v>
      </c>
      <c r="EN757" s="549">
        <v>0</v>
      </c>
      <c r="EO757" s="675">
        <v>0</v>
      </c>
      <c r="EP757" s="549">
        <v>0</v>
      </c>
      <c r="EQ757" s="675">
        <v>0</v>
      </c>
      <c r="ER757" s="549">
        <v>0</v>
      </c>
      <c r="ES757" s="675">
        <v>0</v>
      </c>
      <c r="ET757" s="549">
        <v>0</v>
      </c>
      <c r="EU757" s="675">
        <v>0</v>
      </c>
      <c r="EV757" s="549">
        <v>0</v>
      </c>
      <c r="EW757" s="675">
        <v>0</v>
      </c>
      <c r="EX757" s="549">
        <v>0</v>
      </c>
      <c r="EY757" s="675">
        <v>0</v>
      </c>
      <c r="EZ757" s="549">
        <v>0</v>
      </c>
      <c r="FA757" s="675">
        <v>0</v>
      </c>
      <c r="FB757" s="549">
        <v>0</v>
      </c>
      <c r="FC757" s="675">
        <v>0</v>
      </c>
      <c r="FD757" s="549">
        <v>0</v>
      </c>
      <c r="FE757" s="675">
        <v>0</v>
      </c>
      <c r="FF757" s="549">
        <v>0</v>
      </c>
      <c r="FG757" s="675">
        <v>0</v>
      </c>
      <c r="FH757" s="549">
        <v>0</v>
      </c>
      <c r="FI757" s="675">
        <v>0</v>
      </c>
      <c r="FJ757" s="549">
        <v>0</v>
      </c>
      <c r="FK757" s="675">
        <v>0</v>
      </c>
      <c r="FL757" s="549">
        <v>0</v>
      </c>
      <c r="FM757" s="675">
        <v>0</v>
      </c>
      <c r="FN757" s="549">
        <v>10000</v>
      </c>
      <c r="FO757" s="675">
        <v>0</v>
      </c>
      <c r="FP757" s="549">
        <v>0</v>
      </c>
      <c r="FQ757" s="675">
        <v>0</v>
      </c>
      <c r="FR757" s="549">
        <v>0</v>
      </c>
      <c r="FS757" s="675">
        <v>0</v>
      </c>
      <c r="FT757" s="549">
        <v>0</v>
      </c>
      <c r="FU757" s="675">
        <v>0</v>
      </c>
      <c r="FV757" s="549">
        <v>0</v>
      </c>
      <c r="FW757" s="675">
        <v>0</v>
      </c>
      <c r="FX757" s="549">
        <v>0</v>
      </c>
      <c r="FY757" s="675">
        <v>0</v>
      </c>
      <c r="FZ757" s="549">
        <v>13000</v>
      </c>
      <c r="GA757" s="675">
        <v>0</v>
      </c>
      <c r="GB757" s="549">
        <v>0</v>
      </c>
      <c r="GC757" s="675">
        <v>0</v>
      </c>
      <c r="GD757" s="549">
        <v>0</v>
      </c>
      <c r="GE757" s="675">
        <v>0</v>
      </c>
      <c r="GF757" s="549">
        <v>0</v>
      </c>
      <c r="GG757" s="675">
        <v>0</v>
      </c>
      <c r="GH757" s="549">
        <v>0</v>
      </c>
      <c r="GI757" s="675">
        <v>0</v>
      </c>
      <c r="GJ757" s="549">
        <v>0</v>
      </c>
      <c r="GK757" s="675">
        <v>0</v>
      </c>
      <c r="GL757" s="549">
        <v>0</v>
      </c>
      <c r="GM757" s="675">
        <v>0</v>
      </c>
      <c r="GN757" s="549">
        <v>0</v>
      </c>
      <c r="GO757" s="675">
        <v>0</v>
      </c>
      <c r="GP757" s="549">
        <f t="shared" ref="GP757:GP761" si="16649">+D757+F757+H757+J757+L757+N757+P757+R757+T757+V757+X757+Z757+AB757+AF757+AD757+AH757+AJ757+AL757+AN757+AP757+AR757+AT757+AV757+AX757+AZ757+BB757+BD757+BF757+BH757+BJ757+BL757+BN757+BP757+BR757+BT757+BV757+BX757+BZ757+CB757+CD757+CF757+CH757+CJ757+CL757+CN757+CP757+CR757+CT757+CV757+CX757+CZ757+DB757+DD757+DF757+DH757+DT757+EX757+DJ757+DL757+DN757+DP757+DR757+EJ757+EB757+DZ757+DX757+DV757+ED757+EF757+EH757+EL757+EN757+EP757+EV757+ET757+ER757+EZ757+FB757+FD757+GL757+FF757+FJ757+FL757+GJ757+FT757+FR757+FP757+FN757+FH757+GH757+GF757+GD757+GB757+FZ757+FX757+FV757+GN757</f>
        <v>51500</v>
      </c>
      <c r="GQ757" s="675">
        <f t="shared" ref="GQ757:GQ761" si="16650">+E757+G757+I757+K757+M757+O757+Q757+S757+U757+W757+Y757+AA757+AC757+AE757+AG757+AI757+AK757+AM757+AO757+AQ757+AS757+AU757+AW757+AY757+BA757+BC757+BE757+BG757+BI757+BK757+BM757+BO757+BQ757+BS757+BU757+BW757+BY757+CA757+CC757+CE757+CG757+CI757+CK757+CM757+CO757+CQ757+CS757+CU757+CW757+CY757+DA757+DC757+DE757+DG757+DI757+DU757+EY757+DK757+DM757+DO757+DQ757+DS757+EK757+EC757+EA757+DY757+DW757+EI757+EG757+EE757+EM757+EO757+EQ757+EW757+EU757+ES757+FA757+FC757+FE757+GM757+FG757+FK757+FM757+FO757+FQ757+FS757+FU757+GK757+FI757+GI757+GG757+GE757+GC757+GA757+FY757+FW757+GO757</f>
        <v>0</v>
      </c>
      <c r="GR757" s="74">
        <f t="shared" ref="GR757:GR761" si="16651">C757+GP757+GQ757</f>
        <v>51500</v>
      </c>
      <c r="GS757" s="74">
        <f t="shared" si="16487"/>
        <v>51500</v>
      </c>
      <c r="GT757" s="568">
        <f t="shared" ref="GT757:GT760" si="16652">SUM(GU757:HF757)+GQ757+GP757</f>
        <v>51500</v>
      </c>
      <c r="GU757" s="275">
        <v>0</v>
      </c>
      <c r="GV757" s="275"/>
      <c r="GW757" s="588"/>
      <c r="GX757" s="275">
        <v>0</v>
      </c>
      <c r="GY757" s="275">
        <v>0</v>
      </c>
      <c r="GZ757" s="275"/>
      <c r="HA757" s="275">
        <f t="shared" si="16489"/>
        <v>0</v>
      </c>
      <c r="HB757" s="275"/>
      <c r="HC757" s="275"/>
      <c r="HD757" s="275">
        <f t="shared" si="16490"/>
        <v>0</v>
      </c>
      <c r="HE757" s="275"/>
      <c r="HF757" s="275">
        <v>0</v>
      </c>
      <c r="HG757" s="74">
        <f t="shared" ref="HG757:HG760" si="16653">SUM(HH757:IE757)+GP757+GQ757</f>
        <v>51500</v>
      </c>
      <c r="HH757" s="89">
        <v>0</v>
      </c>
      <c r="HI757" s="157">
        <v>0</v>
      </c>
      <c r="HJ757" s="89">
        <v>0</v>
      </c>
      <c r="HK757" s="157">
        <v>0</v>
      </c>
      <c r="HL757" s="89">
        <v>0</v>
      </c>
      <c r="HM757" s="157">
        <v>0</v>
      </c>
      <c r="HN757" s="89">
        <v>0</v>
      </c>
      <c r="HO757" s="157">
        <v>0</v>
      </c>
      <c r="HP757" s="89">
        <v>0</v>
      </c>
      <c r="HQ757" s="157">
        <v>0</v>
      </c>
      <c r="HR757" s="89">
        <v>0</v>
      </c>
      <c r="HS757" s="157">
        <v>0</v>
      </c>
      <c r="HT757" s="89">
        <v>0</v>
      </c>
      <c r="HU757" s="157">
        <v>0</v>
      </c>
      <c r="HV757" s="89">
        <v>0</v>
      </c>
      <c r="HW757" s="157">
        <v>0</v>
      </c>
      <c r="HX757" s="89">
        <v>0</v>
      </c>
      <c r="HY757" s="157">
        <v>0</v>
      </c>
      <c r="HZ757" s="89">
        <v>0</v>
      </c>
      <c r="IA757" s="157">
        <v>0</v>
      </c>
      <c r="IB757" s="89">
        <v>0</v>
      </c>
      <c r="IC757" s="157">
        <v>0</v>
      </c>
      <c r="ID757" s="89">
        <v>0</v>
      </c>
      <c r="IE757" s="157">
        <v>0</v>
      </c>
      <c r="IF757" s="717">
        <f t="shared" ref="IF757:IF761" si="16654">SUM(II757,IL757,IO757,IR757,IU757,IX757,JA757,JD757,JG757,JJ757,JM757,JP757)</f>
        <v>16513.939999999999</v>
      </c>
      <c r="IG757" s="263">
        <f t="shared" ref="IG757:IG761" si="16655">SUM(IJ757,IM757,IP757,IS757,IV757,IY757,JB757,JE757,JH757,JK757,JN757,JQ757)</f>
        <v>16513.939999999999</v>
      </c>
      <c r="IH757" s="718">
        <f t="shared" ref="IH757:IH761" si="16656">SUM(IK757,IN757,IQ757,IT757,IW757,IZ757,JC757,JF757,JI757,JL757,JO757,JR757)</f>
        <v>16513.939999999999</v>
      </c>
      <c r="II757" s="89">
        <v>0</v>
      </c>
      <c r="IJ757" s="89">
        <f t="shared" ref="IJ757:IJ761" si="16657">II757</f>
        <v>0</v>
      </c>
      <c r="IK757" s="89">
        <f t="shared" ref="IK757:IK761" si="16658">IJ757</f>
        <v>0</v>
      </c>
      <c r="IL757" s="89">
        <v>0</v>
      </c>
      <c r="IM757" s="89">
        <f t="shared" ref="IM757:IM761" si="16659">IL757</f>
        <v>0</v>
      </c>
      <c r="IN757" s="89">
        <f t="shared" ref="IN757:IN761" si="16660">IM757</f>
        <v>0</v>
      </c>
      <c r="IO757" s="89">
        <v>0</v>
      </c>
      <c r="IP757" s="89">
        <f t="shared" ref="IP757:IP761" si="16661">IO757</f>
        <v>0</v>
      </c>
      <c r="IQ757" s="89">
        <f t="shared" ref="IQ757:IQ761" si="16662">IP757</f>
        <v>0</v>
      </c>
      <c r="IR757" s="89">
        <v>0</v>
      </c>
      <c r="IS757" s="89">
        <f t="shared" ref="IS757:IS761" si="16663">IR757</f>
        <v>0</v>
      </c>
      <c r="IT757" s="89">
        <f t="shared" ref="IT757:IT761" si="16664">IS757</f>
        <v>0</v>
      </c>
      <c r="IU757" s="89">
        <v>0</v>
      </c>
      <c r="IV757" s="89">
        <f t="shared" ref="IV757:IV761" si="16665">IU757</f>
        <v>0</v>
      </c>
      <c r="IW757" s="89">
        <f t="shared" ref="IW757:IW761" si="16666">IV757</f>
        <v>0</v>
      </c>
      <c r="IX757" s="89">
        <v>0</v>
      </c>
      <c r="IY757" s="89">
        <f t="shared" ref="IY757:IY761" si="16667">IX757</f>
        <v>0</v>
      </c>
      <c r="IZ757" s="89">
        <f t="shared" ref="IZ757:IZ761" si="16668">IY757</f>
        <v>0</v>
      </c>
      <c r="JA757" s="89">
        <v>0</v>
      </c>
      <c r="JB757" s="89">
        <f t="shared" ref="JB757:JB761" si="16669">JA757</f>
        <v>0</v>
      </c>
      <c r="JC757" s="89">
        <f t="shared" ref="JC757:JC761" si="16670">JB757</f>
        <v>0</v>
      </c>
      <c r="JD757" s="89">
        <v>0</v>
      </c>
      <c r="JE757" s="89">
        <f t="shared" ref="JE757:JE761" si="16671">JD757</f>
        <v>0</v>
      </c>
      <c r="JF757" s="89">
        <f t="shared" ref="JF757:JF761" si="16672">JE757</f>
        <v>0</v>
      </c>
      <c r="JG757" s="89">
        <v>0</v>
      </c>
      <c r="JH757" s="89">
        <f t="shared" ref="JH757:JH761" si="16673">JG757</f>
        <v>0</v>
      </c>
      <c r="JI757" s="89">
        <f t="shared" ref="JI757:JI761" si="16674">JH757</f>
        <v>0</v>
      </c>
      <c r="JJ757" s="89">
        <v>16513.939999999999</v>
      </c>
      <c r="JK757" s="89">
        <f t="shared" ref="JK757:JK761" si="16675">JJ757</f>
        <v>16513.939999999999</v>
      </c>
      <c r="JL757" s="89">
        <f t="shared" ref="JL757:JL761" si="16676">JK757</f>
        <v>16513.939999999999</v>
      </c>
      <c r="JM757" s="89">
        <v>0</v>
      </c>
      <c r="JN757" s="89">
        <f t="shared" ref="JN757:JN761" si="16677">JM757</f>
        <v>0</v>
      </c>
      <c r="JO757" s="89">
        <f t="shared" ref="JO757:JO761" si="16678">JN757</f>
        <v>0</v>
      </c>
      <c r="JP757" s="89">
        <v>0</v>
      </c>
      <c r="JQ757" s="89">
        <f t="shared" ref="JQ757:JQ761" si="16679">JP757</f>
        <v>0</v>
      </c>
      <c r="JR757" s="89">
        <f t="shared" ref="JR757:JR761" si="16680">JQ757</f>
        <v>0</v>
      </c>
      <c r="JS757" s="74">
        <f t="shared" ref="JS757:JS761" si="16681">HG757-IF757</f>
        <v>34986.06</v>
      </c>
      <c r="JT757" s="382">
        <f t="shared" ref="JT757:JT761" si="16682">GS757-IF757</f>
        <v>34986.06</v>
      </c>
      <c r="JU757" s="665"/>
      <c r="JV757" s="524"/>
      <c r="JW757" s="525"/>
      <c r="JX757" s="549">
        <f t="shared" ref="JX757:JX761" si="16683">SUM(HH757,HJ757,HL757,HN757,HP757,HR757,HT757,HV757,HX757,HZ757,IB757,ID757)</f>
        <v>0</v>
      </c>
      <c r="JY757" s="549">
        <f t="shared" ref="JY757:JY761" si="16684">SUM(HI757,HK757,HM757,HO757,HQ757,HS757,HU757,HW757,HY757,IA757,IC757,IE757)</f>
        <v>0</v>
      </c>
      <c r="JZ757" s="581">
        <f t="shared" ref="JZ757:JZ761" si="16685">GP757</f>
        <v>51500</v>
      </c>
      <c r="KA757" s="581">
        <f t="shared" ref="KA757:KA761" si="16686">GQ757</f>
        <v>0</v>
      </c>
      <c r="KB757" s="566">
        <f t="shared" ref="KB757:KB761" si="16687">SUM(JX757:KA757)</f>
        <v>51500</v>
      </c>
      <c r="KC757" s="709">
        <f t="shared" ref="KC757:KC761" si="16688">HG757-KB757</f>
        <v>0</v>
      </c>
      <c r="KD757" s="494"/>
      <c r="KE757" s="494"/>
      <c r="KF757" s="494"/>
      <c r="KG757" s="494"/>
      <c r="KH757" s="57"/>
      <c r="KI757" s="57"/>
      <c r="KJ757" s="57"/>
      <c r="KK757" s="57"/>
    </row>
    <row r="758" spans="1:297" s="8" customFormat="1" ht="12.75" customHeight="1">
      <c r="A758" s="612" t="s">
        <v>1425</v>
      </c>
      <c r="B758" s="512"/>
      <c r="C758" s="74">
        <v>0</v>
      </c>
      <c r="D758" s="549"/>
      <c r="E758" s="675"/>
      <c r="F758" s="549"/>
      <c r="G758" s="675"/>
      <c r="H758" s="549"/>
      <c r="I758" s="675"/>
      <c r="J758" s="549"/>
      <c r="K758" s="675"/>
      <c r="L758" s="549"/>
      <c r="M758" s="675"/>
      <c r="N758" s="549"/>
      <c r="O758" s="675"/>
      <c r="P758" s="549"/>
      <c r="Q758" s="675"/>
      <c r="R758" s="549"/>
      <c r="S758" s="675"/>
      <c r="T758" s="549"/>
      <c r="U758" s="675"/>
      <c r="V758" s="549"/>
      <c r="W758" s="675"/>
      <c r="X758" s="549"/>
      <c r="Y758" s="675"/>
      <c r="Z758" s="549"/>
      <c r="AA758" s="675"/>
      <c r="AB758" s="549"/>
      <c r="AC758" s="675"/>
      <c r="AD758" s="549"/>
      <c r="AE758" s="675"/>
      <c r="AF758" s="549"/>
      <c r="AG758" s="675"/>
      <c r="AH758" s="549"/>
      <c r="AI758" s="675"/>
      <c r="AJ758" s="549"/>
      <c r="AK758" s="675"/>
      <c r="AL758" s="549"/>
      <c r="AM758" s="675"/>
      <c r="AN758" s="549"/>
      <c r="AO758" s="675"/>
      <c r="AP758" s="549"/>
      <c r="AQ758" s="675"/>
      <c r="AR758" s="549"/>
      <c r="AS758" s="675"/>
      <c r="AT758" s="549"/>
      <c r="AU758" s="675"/>
      <c r="AV758" s="549"/>
      <c r="AW758" s="675"/>
      <c r="AX758" s="549"/>
      <c r="AY758" s="675"/>
      <c r="AZ758" s="549"/>
      <c r="BA758" s="675"/>
      <c r="BB758" s="549"/>
      <c r="BC758" s="675"/>
      <c r="BD758" s="549"/>
      <c r="BE758" s="675"/>
      <c r="BF758" s="549"/>
      <c r="BG758" s="675"/>
      <c r="BH758" s="549"/>
      <c r="BI758" s="675"/>
      <c r="BJ758" s="549"/>
      <c r="BK758" s="675"/>
      <c r="BL758" s="549"/>
      <c r="BM758" s="675"/>
      <c r="BN758" s="549"/>
      <c r="BO758" s="675"/>
      <c r="BP758" s="549"/>
      <c r="BQ758" s="675"/>
      <c r="BR758" s="549"/>
      <c r="BS758" s="675"/>
      <c r="BT758" s="549"/>
      <c r="BU758" s="675"/>
      <c r="BV758" s="549"/>
      <c r="BW758" s="675"/>
      <c r="BX758" s="549"/>
      <c r="BY758" s="675"/>
      <c r="BZ758" s="549"/>
      <c r="CA758" s="675"/>
      <c r="CB758" s="549"/>
      <c r="CC758" s="675"/>
      <c r="CD758" s="549"/>
      <c r="CE758" s="675"/>
      <c r="CF758" s="549"/>
      <c r="CG758" s="675"/>
      <c r="CH758" s="549"/>
      <c r="CI758" s="675"/>
      <c r="CJ758" s="549"/>
      <c r="CK758" s="675"/>
      <c r="CL758" s="549"/>
      <c r="CM758" s="675"/>
      <c r="CN758" s="549"/>
      <c r="CO758" s="675"/>
      <c r="CP758" s="549"/>
      <c r="CQ758" s="675"/>
      <c r="CR758" s="549"/>
      <c r="CS758" s="675"/>
      <c r="CT758" s="549">
        <v>0</v>
      </c>
      <c r="CU758" s="675">
        <v>0</v>
      </c>
      <c r="CV758" s="549">
        <v>0</v>
      </c>
      <c r="CW758" s="675">
        <v>0</v>
      </c>
      <c r="CX758" s="549">
        <v>0</v>
      </c>
      <c r="CY758" s="675">
        <v>0</v>
      </c>
      <c r="CZ758" s="549">
        <v>0</v>
      </c>
      <c r="DA758" s="675">
        <v>0</v>
      </c>
      <c r="DB758" s="549">
        <v>0</v>
      </c>
      <c r="DC758" s="675">
        <v>0</v>
      </c>
      <c r="DD758" s="549">
        <v>0</v>
      </c>
      <c r="DE758" s="675">
        <v>0</v>
      </c>
      <c r="DF758" s="549">
        <v>0</v>
      </c>
      <c r="DG758" s="675">
        <v>0</v>
      </c>
      <c r="DH758" s="549">
        <v>0</v>
      </c>
      <c r="DI758" s="675">
        <v>0</v>
      </c>
      <c r="DJ758" s="549">
        <v>0</v>
      </c>
      <c r="DK758" s="675">
        <v>0</v>
      </c>
      <c r="DL758" s="549">
        <v>0</v>
      </c>
      <c r="DM758" s="675">
        <v>0</v>
      </c>
      <c r="DN758" s="549">
        <v>0</v>
      </c>
      <c r="DO758" s="675">
        <v>0</v>
      </c>
      <c r="DP758" s="549">
        <v>0</v>
      </c>
      <c r="DQ758" s="675">
        <v>0</v>
      </c>
      <c r="DR758" s="549">
        <v>0</v>
      </c>
      <c r="DS758" s="675">
        <v>0</v>
      </c>
      <c r="DT758" s="549">
        <v>0</v>
      </c>
      <c r="DU758" s="675">
        <v>0</v>
      </c>
      <c r="DV758" s="549">
        <v>0</v>
      </c>
      <c r="DW758" s="675">
        <v>0</v>
      </c>
      <c r="DX758" s="549">
        <v>0</v>
      </c>
      <c r="DY758" s="675">
        <v>0</v>
      </c>
      <c r="DZ758" s="549">
        <v>0</v>
      </c>
      <c r="EA758" s="675">
        <v>0</v>
      </c>
      <c r="EB758" s="549">
        <v>0</v>
      </c>
      <c r="EC758" s="675">
        <v>0</v>
      </c>
      <c r="ED758" s="549">
        <v>0</v>
      </c>
      <c r="EE758" s="675">
        <v>0</v>
      </c>
      <c r="EF758" s="549">
        <v>0</v>
      </c>
      <c r="EG758" s="675">
        <v>0</v>
      </c>
      <c r="EH758" s="549">
        <v>0</v>
      </c>
      <c r="EI758" s="675">
        <v>0</v>
      </c>
      <c r="EJ758" s="549">
        <v>0</v>
      </c>
      <c r="EK758" s="675">
        <v>0</v>
      </c>
      <c r="EL758" s="549">
        <v>0</v>
      </c>
      <c r="EM758" s="675">
        <v>0</v>
      </c>
      <c r="EN758" s="549">
        <v>0</v>
      </c>
      <c r="EO758" s="675">
        <v>0</v>
      </c>
      <c r="EP758" s="549">
        <v>0</v>
      </c>
      <c r="EQ758" s="675">
        <v>0</v>
      </c>
      <c r="ER758" s="549">
        <v>0</v>
      </c>
      <c r="ES758" s="675">
        <v>0</v>
      </c>
      <c r="ET758" s="549">
        <v>0</v>
      </c>
      <c r="EU758" s="675">
        <v>0</v>
      </c>
      <c r="EV758" s="549">
        <v>0</v>
      </c>
      <c r="EW758" s="675">
        <v>0</v>
      </c>
      <c r="EX758" s="549">
        <v>0</v>
      </c>
      <c r="EY758" s="675">
        <v>0</v>
      </c>
      <c r="EZ758" s="549">
        <v>0</v>
      </c>
      <c r="FA758" s="675">
        <v>0</v>
      </c>
      <c r="FB758" s="549">
        <v>0</v>
      </c>
      <c r="FC758" s="675">
        <v>0</v>
      </c>
      <c r="FD758" s="549">
        <v>0</v>
      </c>
      <c r="FE758" s="675">
        <v>0</v>
      </c>
      <c r="FF758" s="549">
        <v>0</v>
      </c>
      <c r="FG758" s="675">
        <v>0</v>
      </c>
      <c r="FH758" s="549">
        <v>0</v>
      </c>
      <c r="FI758" s="675">
        <v>0</v>
      </c>
      <c r="FJ758" s="549">
        <v>0</v>
      </c>
      <c r="FK758" s="675">
        <v>0</v>
      </c>
      <c r="FL758" s="549">
        <v>0</v>
      </c>
      <c r="FM758" s="675">
        <v>0</v>
      </c>
      <c r="FN758" s="549">
        <v>14000</v>
      </c>
      <c r="FO758" s="675">
        <v>0</v>
      </c>
      <c r="FP758" s="549">
        <v>0</v>
      </c>
      <c r="FQ758" s="675">
        <v>0</v>
      </c>
      <c r="FR758" s="549">
        <v>0</v>
      </c>
      <c r="FS758" s="675">
        <v>0</v>
      </c>
      <c r="FT758" s="549">
        <v>0</v>
      </c>
      <c r="FU758" s="675">
        <v>0</v>
      </c>
      <c r="FV758" s="549">
        <v>0</v>
      </c>
      <c r="FW758" s="675">
        <v>0</v>
      </c>
      <c r="FX758" s="549">
        <v>0</v>
      </c>
      <c r="FY758" s="675">
        <v>0</v>
      </c>
      <c r="FZ758" s="549">
        <v>11000</v>
      </c>
      <c r="GA758" s="675">
        <v>0</v>
      </c>
      <c r="GB758" s="549">
        <v>0</v>
      </c>
      <c r="GC758" s="675">
        <v>0</v>
      </c>
      <c r="GD758" s="549">
        <v>0</v>
      </c>
      <c r="GE758" s="675">
        <v>0</v>
      </c>
      <c r="GF758" s="549">
        <v>0</v>
      </c>
      <c r="GG758" s="675">
        <v>0</v>
      </c>
      <c r="GH758" s="549">
        <v>0</v>
      </c>
      <c r="GI758" s="675">
        <v>0</v>
      </c>
      <c r="GJ758" s="549">
        <v>0</v>
      </c>
      <c r="GK758" s="675">
        <v>0</v>
      </c>
      <c r="GL758" s="549">
        <v>0</v>
      </c>
      <c r="GM758" s="675">
        <v>0</v>
      </c>
      <c r="GN758" s="549">
        <v>0</v>
      </c>
      <c r="GO758" s="675">
        <v>0</v>
      </c>
      <c r="GP758" s="549">
        <f t="shared" si="16649"/>
        <v>25000</v>
      </c>
      <c r="GQ758" s="675">
        <f t="shared" si="16650"/>
        <v>0</v>
      </c>
      <c r="GR758" s="74">
        <f t="shared" si="16651"/>
        <v>25000</v>
      </c>
      <c r="GS758" s="74">
        <f t="shared" ref="GS758" si="16689">SUM(GU758:HD758)+GP758+GQ758</f>
        <v>25000</v>
      </c>
      <c r="GT758" s="568">
        <f t="shared" si="16652"/>
        <v>25000</v>
      </c>
      <c r="GU758" s="275">
        <v>0</v>
      </c>
      <c r="GV758" s="275"/>
      <c r="GW758" s="588"/>
      <c r="GX758" s="275">
        <v>0</v>
      </c>
      <c r="GY758" s="275">
        <v>0</v>
      </c>
      <c r="GZ758" s="275"/>
      <c r="HA758" s="275">
        <f t="shared" si="16489"/>
        <v>0</v>
      </c>
      <c r="HB758" s="275"/>
      <c r="HC758" s="275"/>
      <c r="HD758" s="275">
        <f t="shared" si="16490"/>
        <v>0</v>
      </c>
      <c r="HE758" s="275"/>
      <c r="HF758" s="275">
        <v>0</v>
      </c>
      <c r="HG758" s="74">
        <f t="shared" si="16653"/>
        <v>25000</v>
      </c>
      <c r="HH758" s="89">
        <v>0</v>
      </c>
      <c r="HI758" s="157">
        <v>0</v>
      </c>
      <c r="HJ758" s="89">
        <v>0</v>
      </c>
      <c r="HK758" s="157">
        <v>0</v>
      </c>
      <c r="HL758" s="89">
        <v>0</v>
      </c>
      <c r="HM758" s="157">
        <v>0</v>
      </c>
      <c r="HN758" s="89">
        <v>0</v>
      </c>
      <c r="HO758" s="157">
        <v>0</v>
      </c>
      <c r="HP758" s="89">
        <v>0</v>
      </c>
      <c r="HQ758" s="157">
        <v>0</v>
      </c>
      <c r="HR758" s="89">
        <v>0</v>
      </c>
      <c r="HS758" s="157">
        <v>0</v>
      </c>
      <c r="HT758" s="89">
        <v>0</v>
      </c>
      <c r="HU758" s="157">
        <v>0</v>
      </c>
      <c r="HV758" s="89">
        <v>0</v>
      </c>
      <c r="HW758" s="157">
        <v>0</v>
      </c>
      <c r="HX758" s="89">
        <v>0</v>
      </c>
      <c r="HY758" s="157">
        <v>0</v>
      </c>
      <c r="HZ758" s="89">
        <v>0</v>
      </c>
      <c r="IA758" s="157">
        <v>0</v>
      </c>
      <c r="IB758" s="89">
        <v>0</v>
      </c>
      <c r="IC758" s="157">
        <v>0</v>
      </c>
      <c r="ID758" s="89">
        <v>0</v>
      </c>
      <c r="IE758" s="157">
        <v>0</v>
      </c>
      <c r="IF758" s="717">
        <f t="shared" si="16654"/>
        <v>12994</v>
      </c>
      <c r="IG758" s="263">
        <f t="shared" si="16655"/>
        <v>12994</v>
      </c>
      <c r="IH758" s="718">
        <f t="shared" si="16656"/>
        <v>12994</v>
      </c>
      <c r="II758" s="89">
        <v>0</v>
      </c>
      <c r="IJ758" s="89">
        <f t="shared" si="16657"/>
        <v>0</v>
      </c>
      <c r="IK758" s="89">
        <f t="shared" si="16658"/>
        <v>0</v>
      </c>
      <c r="IL758" s="89">
        <v>0</v>
      </c>
      <c r="IM758" s="89">
        <f t="shared" si="16659"/>
        <v>0</v>
      </c>
      <c r="IN758" s="89">
        <f t="shared" si="16660"/>
        <v>0</v>
      </c>
      <c r="IO758" s="89">
        <v>0</v>
      </c>
      <c r="IP758" s="89">
        <f t="shared" si="16661"/>
        <v>0</v>
      </c>
      <c r="IQ758" s="89">
        <f t="shared" si="16662"/>
        <v>0</v>
      </c>
      <c r="IR758" s="89">
        <v>0</v>
      </c>
      <c r="IS758" s="89">
        <f t="shared" si="16663"/>
        <v>0</v>
      </c>
      <c r="IT758" s="89">
        <f t="shared" si="16664"/>
        <v>0</v>
      </c>
      <c r="IU758" s="89">
        <v>0</v>
      </c>
      <c r="IV758" s="89">
        <f t="shared" si="16665"/>
        <v>0</v>
      </c>
      <c r="IW758" s="89">
        <f t="shared" si="16666"/>
        <v>0</v>
      </c>
      <c r="IX758" s="89">
        <v>0</v>
      </c>
      <c r="IY758" s="89">
        <f t="shared" si="16667"/>
        <v>0</v>
      </c>
      <c r="IZ758" s="89">
        <f t="shared" si="16668"/>
        <v>0</v>
      </c>
      <c r="JA758" s="89">
        <v>0</v>
      </c>
      <c r="JB758" s="89">
        <f t="shared" si="16669"/>
        <v>0</v>
      </c>
      <c r="JC758" s="89">
        <f t="shared" si="16670"/>
        <v>0</v>
      </c>
      <c r="JD758" s="89">
        <v>0</v>
      </c>
      <c r="JE758" s="89">
        <f t="shared" si="16671"/>
        <v>0</v>
      </c>
      <c r="JF758" s="89">
        <f t="shared" si="16672"/>
        <v>0</v>
      </c>
      <c r="JG758" s="89">
        <v>0</v>
      </c>
      <c r="JH758" s="89">
        <f t="shared" si="16673"/>
        <v>0</v>
      </c>
      <c r="JI758" s="89">
        <f t="shared" si="16674"/>
        <v>0</v>
      </c>
      <c r="JJ758" s="89">
        <v>12994</v>
      </c>
      <c r="JK758" s="89">
        <f t="shared" si="16675"/>
        <v>12994</v>
      </c>
      <c r="JL758" s="89">
        <f t="shared" si="16676"/>
        <v>12994</v>
      </c>
      <c r="JM758" s="89">
        <v>0</v>
      </c>
      <c r="JN758" s="89">
        <f t="shared" si="16677"/>
        <v>0</v>
      </c>
      <c r="JO758" s="89">
        <f t="shared" si="16678"/>
        <v>0</v>
      </c>
      <c r="JP758" s="89">
        <v>0</v>
      </c>
      <c r="JQ758" s="89">
        <f t="shared" si="16679"/>
        <v>0</v>
      </c>
      <c r="JR758" s="89">
        <f t="shared" si="16680"/>
        <v>0</v>
      </c>
      <c r="JS758" s="74">
        <f t="shared" si="16681"/>
        <v>12006</v>
      </c>
      <c r="JT758" s="382">
        <f t="shared" si="16682"/>
        <v>12006</v>
      </c>
      <c r="JU758" s="665"/>
      <c r="JV758" s="524"/>
      <c r="JW758" s="525"/>
      <c r="JX758" s="549">
        <f t="shared" si="16683"/>
        <v>0</v>
      </c>
      <c r="JY758" s="549">
        <f t="shared" si="16684"/>
        <v>0</v>
      </c>
      <c r="JZ758" s="581">
        <f t="shared" si="16685"/>
        <v>25000</v>
      </c>
      <c r="KA758" s="581">
        <f t="shared" si="16686"/>
        <v>0</v>
      </c>
      <c r="KB758" s="566">
        <f t="shared" si="16687"/>
        <v>25000</v>
      </c>
      <c r="KC758" s="709">
        <f t="shared" si="16688"/>
        <v>0</v>
      </c>
      <c r="KD758" s="494"/>
      <c r="KE758" s="494"/>
      <c r="KF758" s="494"/>
      <c r="KG758" s="494"/>
      <c r="KH758" s="57"/>
      <c r="KI758" s="57"/>
      <c r="KJ758" s="57"/>
      <c r="KK758" s="57"/>
    </row>
    <row r="759" spans="1:297" s="8" customFormat="1" ht="12.75" customHeight="1">
      <c r="A759" s="612" t="s">
        <v>1387</v>
      </c>
      <c r="B759" s="512"/>
      <c r="C759" s="74">
        <v>0</v>
      </c>
      <c r="D759" s="549"/>
      <c r="E759" s="675"/>
      <c r="F759" s="549"/>
      <c r="G759" s="675"/>
      <c r="H759" s="549"/>
      <c r="I759" s="675"/>
      <c r="J759" s="549"/>
      <c r="K759" s="675"/>
      <c r="L759" s="549"/>
      <c r="M759" s="675"/>
      <c r="N759" s="549"/>
      <c r="O759" s="675"/>
      <c r="P759" s="549"/>
      <c r="Q759" s="675"/>
      <c r="R759" s="549"/>
      <c r="S759" s="675"/>
      <c r="T759" s="549"/>
      <c r="U759" s="675"/>
      <c r="V759" s="549"/>
      <c r="W759" s="675"/>
      <c r="X759" s="549"/>
      <c r="Y759" s="675"/>
      <c r="Z759" s="549"/>
      <c r="AA759" s="675"/>
      <c r="AB759" s="549"/>
      <c r="AC759" s="675"/>
      <c r="AD759" s="549"/>
      <c r="AE759" s="675"/>
      <c r="AF759" s="549"/>
      <c r="AG759" s="675"/>
      <c r="AH759" s="549"/>
      <c r="AI759" s="675"/>
      <c r="AJ759" s="549"/>
      <c r="AK759" s="675"/>
      <c r="AL759" s="549"/>
      <c r="AM759" s="675"/>
      <c r="AN759" s="549"/>
      <c r="AO759" s="675"/>
      <c r="AP759" s="549"/>
      <c r="AQ759" s="675"/>
      <c r="AR759" s="549"/>
      <c r="AS759" s="675"/>
      <c r="AT759" s="549"/>
      <c r="AU759" s="675"/>
      <c r="AV759" s="549"/>
      <c r="AW759" s="675"/>
      <c r="AX759" s="549"/>
      <c r="AY759" s="675"/>
      <c r="AZ759" s="549"/>
      <c r="BA759" s="675"/>
      <c r="BB759" s="549"/>
      <c r="BC759" s="675"/>
      <c r="BD759" s="549"/>
      <c r="BE759" s="675"/>
      <c r="BF759" s="549"/>
      <c r="BG759" s="675"/>
      <c r="BH759" s="549"/>
      <c r="BI759" s="675"/>
      <c r="BJ759" s="549"/>
      <c r="BK759" s="675"/>
      <c r="BL759" s="549"/>
      <c r="BM759" s="675"/>
      <c r="BN759" s="549"/>
      <c r="BO759" s="675"/>
      <c r="BP759" s="549"/>
      <c r="BQ759" s="675"/>
      <c r="BR759" s="549"/>
      <c r="BS759" s="675"/>
      <c r="BT759" s="549"/>
      <c r="BU759" s="675"/>
      <c r="BV759" s="549"/>
      <c r="BW759" s="675"/>
      <c r="BX759" s="549"/>
      <c r="BY759" s="675"/>
      <c r="BZ759" s="549"/>
      <c r="CA759" s="675"/>
      <c r="CB759" s="549"/>
      <c r="CC759" s="675"/>
      <c r="CD759" s="549"/>
      <c r="CE759" s="675"/>
      <c r="CF759" s="549"/>
      <c r="CG759" s="675"/>
      <c r="CH759" s="549"/>
      <c r="CI759" s="675"/>
      <c r="CJ759" s="549"/>
      <c r="CK759" s="675"/>
      <c r="CL759" s="549"/>
      <c r="CM759" s="675"/>
      <c r="CN759" s="549"/>
      <c r="CO759" s="675"/>
      <c r="CP759" s="549"/>
      <c r="CQ759" s="675"/>
      <c r="CR759" s="549"/>
      <c r="CS759" s="675"/>
      <c r="CT759" s="549">
        <v>0</v>
      </c>
      <c r="CU759" s="675">
        <v>0</v>
      </c>
      <c r="CV759" s="549">
        <v>0</v>
      </c>
      <c r="CW759" s="675">
        <v>0</v>
      </c>
      <c r="CX759" s="549">
        <v>0</v>
      </c>
      <c r="CY759" s="675">
        <v>0</v>
      </c>
      <c r="CZ759" s="549">
        <v>0</v>
      </c>
      <c r="DA759" s="675">
        <v>0</v>
      </c>
      <c r="DB759" s="549">
        <v>0</v>
      </c>
      <c r="DC759" s="675">
        <v>0</v>
      </c>
      <c r="DD759" s="549">
        <v>0</v>
      </c>
      <c r="DE759" s="675">
        <v>0</v>
      </c>
      <c r="DF759" s="549">
        <v>0</v>
      </c>
      <c r="DG759" s="675">
        <v>0</v>
      </c>
      <c r="DH759" s="549">
        <v>0</v>
      </c>
      <c r="DI759" s="675">
        <v>0</v>
      </c>
      <c r="DJ759" s="549">
        <v>0</v>
      </c>
      <c r="DK759" s="675">
        <v>0</v>
      </c>
      <c r="DL759" s="549">
        <v>0</v>
      </c>
      <c r="DM759" s="675">
        <v>0</v>
      </c>
      <c r="DN759" s="549">
        <v>10000</v>
      </c>
      <c r="DO759" s="675">
        <v>0</v>
      </c>
      <c r="DP759" s="549">
        <v>0</v>
      </c>
      <c r="DQ759" s="675">
        <v>0</v>
      </c>
      <c r="DR759" s="549">
        <v>0</v>
      </c>
      <c r="DS759" s="675">
        <v>0</v>
      </c>
      <c r="DT759" s="549">
        <v>0</v>
      </c>
      <c r="DU759" s="675">
        <v>0</v>
      </c>
      <c r="DV759" s="549">
        <v>0</v>
      </c>
      <c r="DW759" s="675">
        <v>0</v>
      </c>
      <c r="DX759" s="549">
        <v>0</v>
      </c>
      <c r="DY759" s="675">
        <v>0</v>
      </c>
      <c r="DZ759" s="549">
        <v>0</v>
      </c>
      <c r="EA759" s="675">
        <v>0</v>
      </c>
      <c r="EB759" s="549">
        <v>0</v>
      </c>
      <c r="EC759" s="675">
        <v>0</v>
      </c>
      <c r="ED759" s="549">
        <v>0</v>
      </c>
      <c r="EE759" s="675">
        <v>0</v>
      </c>
      <c r="EF759" s="549">
        <v>0</v>
      </c>
      <c r="EG759" s="675">
        <v>0</v>
      </c>
      <c r="EH759" s="549">
        <v>0</v>
      </c>
      <c r="EI759" s="675">
        <v>0</v>
      </c>
      <c r="EJ759" s="549">
        <v>0</v>
      </c>
      <c r="EK759" s="675">
        <v>0</v>
      </c>
      <c r="EL759" s="549">
        <v>0</v>
      </c>
      <c r="EM759" s="675">
        <v>0</v>
      </c>
      <c r="EN759" s="549">
        <v>0</v>
      </c>
      <c r="EO759" s="675">
        <v>0</v>
      </c>
      <c r="EP759" s="549">
        <v>0</v>
      </c>
      <c r="EQ759" s="675">
        <v>0</v>
      </c>
      <c r="ER759" s="549">
        <v>0</v>
      </c>
      <c r="ES759" s="675">
        <v>0</v>
      </c>
      <c r="ET759" s="549">
        <v>0</v>
      </c>
      <c r="EU759" s="675">
        <v>0</v>
      </c>
      <c r="EV759" s="549">
        <v>0</v>
      </c>
      <c r="EW759" s="675">
        <v>0</v>
      </c>
      <c r="EX759" s="549">
        <v>0</v>
      </c>
      <c r="EY759" s="675">
        <v>0</v>
      </c>
      <c r="EZ759" s="549">
        <v>0</v>
      </c>
      <c r="FA759" s="675">
        <v>0</v>
      </c>
      <c r="FB759" s="549">
        <v>0</v>
      </c>
      <c r="FC759" s="675">
        <v>0</v>
      </c>
      <c r="FD759" s="549">
        <v>0</v>
      </c>
      <c r="FE759" s="675">
        <v>0</v>
      </c>
      <c r="FF759" s="549">
        <v>0</v>
      </c>
      <c r="FG759" s="675">
        <v>0</v>
      </c>
      <c r="FH759" s="549">
        <v>0</v>
      </c>
      <c r="FI759" s="675">
        <v>0</v>
      </c>
      <c r="FJ759" s="549">
        <v>0</v>
      </c>
      <c r="FK759" s="675">
        <v>0</v>
      </c>
      <c r="FL759" s="549">
        <v>0</v>
      </c>
      <c r="FM759" s="675">
        <v>0</v>
      </c>
      <c r="FN759" s="549">
        <v>4166</v>
      </c>
      <c r="FO759" s="675">
        <v>0</v>
      </c>
      <c r="FP759" s="549">
        <v>0</v>
      </c>
      <c r="FQ759" s="675">
        <v>0</v>
      </c>
      <c r="FR759" s="549">
        <v>0</v>
      </c>
      <c r="FS759" s="675">
        <v>0</v>
      </c>
      <c r="FT759" s="549">
        <v>0</v>
      </c>
      <c r="FU759" s="675">
        <v>0</v>
      </c>
      <c r="FV759" s="549">
        <v>0</v>
      </c>
      <c r="FW759" s="675">
        <v>0</v>
      </c>
      <c r="FX759" s="549">
        <v>0</v>
      </c>
      <c r="FY759" s="675">
        <v>0</v>
      </c>
      <c r="FZ759" s="549">
        <v>24000</v>
      </c>
      <c r="GA759" s="675">
        <v>0</v>
      </c>
      <c r="GB759" s="549">
        <v>0</v>
      </c>
      <c r="GC759" s="675">
        <v>0</v>
      </c>
      <c r="GD759" s="549">
        <v>0</v>
      </c>
      <c r="GE759" s="675">
        <v>0</v>
      </c>
      <c r="GF759" s="549">
        <v>0</v>
      </c>
      <c r="GG759" s="675">
        <v>0</v>
      </c>
      <c r="GH759" s="549">
        <v>0</v>
      </c>
      <c r="GI759" s="675">
        <v>0</v>
      </c>
      <c r="GJ759" s="549">
        <v>0</v>
      </c>
      <c r="GK759" s="675">
        <v>0</v>
      </c>
      <c r="GL759" s="549">
        <v>0</v>
      </c>
      <c r="GM759" s="675">
        <v>0</v>
      </c>
      <c r="GN759" s="549">
        <v>0</v>
      </c>
      <c r="GO759" s="675">
        <v>0</v>
      </c>
      <c r="GP759" s="549">
        <f t="shared" ref="GP759" si="16690">+D759+F759+H759+J759+L759+N759+P759+R759+T759+V759+X759+Z759+AB759+AF759+AD759+AH759+AJ759+AL759+AN759+AP759+AR759+AT759+AV759+AX759+AZ759+BB759+BD759+BF759+BH759+BJ759+BL759+BN759+BP759+BR759+BT759+BV759+BX759+BZ759+CB759+CD759+CF759+CH759+CJ759+CL759+CN759+CP759+CR759+CT759+CV759+CX759+CZ759+DB759+DD759+DF759+DH759+DT759+EX759+DJ759+DL759+DN759+DP759+DR759+EJ759+EB759+DZ759+DX759+DV759+ED759+EF759+EH759+EL759+EN759+EP759+EV759+ET759+ER759+EZ759+FB759+FD759+GL759+FF759+FJ759+FL759+GJ759+FT759+FR759+FP759+FN759+FH759+GH759+GF759+GD759+GB759+FZ759+FX759+FV759+GN759</f>
        <v>38166</v>
      </c>
      <c r="GQ759" s="675">
        <f t="shared" ref="GQ759" si="16691">+E759+G759+I759+K759+M759+O759+Q759+S759+U759+W759+Y759+AA759+AC759+AE759+AG759+AI759+AK759+AM759+AO759+AQ759+AS759+AU759+AW759+AY759+BA759+BC759+BE759+BG759+BI759+BK759+BM759+BO759+BQ759+BS759+BU759+BW759+BY759+CA759+CC759+CE759+CG759+CI759+CK759+CM759+CO759+CQ759+CS759+CU759+CW759+CY759+DA759+DC759+DE759+DG759+DI759+DU759+EY759+DK759+DM759+DO759+DQ759+DS759+EK759+EC759+EA759+DY759+DW759+EI759+EG759+EE759+EM759+EO759+EQ759+EW759+EU759+ES759+FA759+FC759+FE759+GM759+FG759+FK759+FM759+FO759+FQ759+FS759+FU759+GK759+FI759+GI759+GG759+GE759+GC759+GA759+FY759+FW759+GO759</f>
        <v>0</v>
      </c>
      <c r="GR759" s="74">
        <f t="shared" ref="GR759" si="16692">C759+GP759+GQ759</f>
        <v>38166</v>
      </c>
      <c r="GS759" s="74">
        <f t="shared" si="16487"/>
        <v>38166</v>
      </c>
      <c r="GT759" s="568">
        <f t="shared" ref="GT759" si="16693">SUM(GU759:HF759)+GQ759+GP759</f>
        <v>38166</v>
      </c>
      <c r="GU759" s="275">
        <v>0</v>
      </c>
      <c r="GV759" s="275"/>
      <c r="GW759" s="588"/>
      <c r="GX759" s="275">
        <v>0</v>
      </c>
      <c r="GY759" s="275">
        <v>0</v>
      </c>
      <c r="GZ759" s="275"/>
      <c r="HA759" s="275">
        <f t="shared" si="16489"/>
        <v>0</v>
      </c>
      <c r="HB759" s="275"/>
      <c r="HC759" s="275"/>
      <c r="HD759" s="275">
        <f t="shared" si="16490"/>
        <v>0</v>
      </c>
      <c r="HE759" s="275"/>
      <c r="HF759" s="275">
        <v>0</v>
      </c>
      <c r="HG759" s="74">
        <f t="shared" ref="HG759" si="16694">SUM(HH759:IE759)+GP759+GQ759</f>
        <v>38166</v>
      </c>
      <c r="HH759" s="89">
        <v>0</v>
      </c>
      <c r="HI759" s="157">
        <v>0</v>
      </c>
      <c r="HJ759" s="89">
        <v>0</v>
      </c>
      <c r="HK759" s="157">
        <v>0</v>
      </c>
      <c r="HL759" s="89">
        <v>0</v>
      </c>
      <c r="HM759" s="157">
        <v>0</v>
      </c>
      <c r="HN759" s="89">
        <v>0</v>
      </c>
      <c r="HO759" s="157">
        <v>0</v>
      </c>
      <c r="HP759" s="89">
        <v>0</v>
      </c>
      <c r="HQ759" s="157">
        <v>0</v>
      </c>
      <c r="HR759" s="89">
        <v>0</v>
      </c>
      <c r="HS759" s="157">
        <v>0</v>
      </c>
      <c r="HT759" s="89">
        <v>0</v>
      </c>
      <c r="HU759" s="157">
        <v>0</v>
      </c>
      <c r="HV759" s="89">
        <v>0</v>
      </c>
      <c r="HW759" s="157">
        <v>0</v>
      </c>
      <c r="HX759" s="89">
        <v>0</v>
      </c>
      <c r="HY759" s="157">
        <v>0</v>
      </c>
      <c r="HZ759" s="89">
        <v>0</v>
      </c>
      <c r="IA759" s="157">
        <v>0</v>
      </c>
      <c r="IB759" s="89">
        <v>0</v>
      </c>
      <c r="IC759" s="157">
        <v>0</v>
      </c>
      <c r="ID759" s="89">
        <v>0</v>
      </c>
      <c r="IE759" s="157">
        <v>0</v>
      </c>
      <c r="IF759" s="717">
        <f t="shared" ref="IF759" si="16695">SUM(II759,IL759,IO759,IR759,IU759,IX759,JA759,JD759,JG759,JJ759,JM759,JP759)</f>
        <v>5714.58</v>
      </c>
      <c r="IG759" s="263">
        <f t="shared" ref="IG759" si="16696">SUM(IJ759,IM759,IP759,IS759,IV759,IY759,JB759,JE759,JH759,JK759,JN759,JQ759)</f>
        <v>5714.58</v>
      </c>
      <c r="IH759" s="718">
        <f t="shared" ref="IH759" si="16697">SUM(IK759,IN759,IQ759,IT759,IW759,IZ759,JC759,JF759,JI759,JL759,JO759,JR759)</f>
        <v>5714.58</v>
      </c>
      <c r="II759" s="89">
        <v>0</v>
      </c>
      <c r="IJ759" s="89">
        <f t="shared" ref="IJ759" si="16698">II759</f>
        <v>0</v>
      </c>
      <c r="IK759" s="89">
        <f t="shared" ref="IK759" si="16699">IJ759</f>
        <v>0</v>
      </c>
      <c r="IL759" s="89">
        <v>0</v>
      </c>
      <c r="IM759" s="89">
        <f t="shared" ref="IM759" si="16700">IL759</f>
        <v>0</v>
      </c>
      <c r="IN759" s="89">
        <f t="shared" ref="IN759" si="16701">IM759</f>
        <v>0</v>
      </c>
      <c r="IO759" s="89">
        <v>0</v>
      </c>
      <c r="IP759" s="89">
        <f t="shared" ref="IP759" si="16702">IO759</f>
        <v>0</v>
      </c>
      <c r="IQ759" s="89">
        <f t="shared" ref="IQ759" si="16703">IP759</f>
        <v>0</v>
      </c>
      <c r="IR759" s="89">
        <v>0</v>
      </c>
      <c r="IS759" s="89">
        <f t="shared" ref="IS759" si="16704">IR759</f>
        <v>0</v>
      </c>
      <c r="IT759" s="89">
        <f t="shared" ref="IT759" si="16705">IS759</f>
        <v>0</v>
      </c>
      <c r="IU759" s="89">
        <v>0</v>
      </c>
      <c r="IV759" s="89">
        <f t="shared" ref="IV759" si="16706">IU759</f>
        <v>0</v>
      </c>
      <c r="IW759" s="89">
        <f t="shared" ref="IW759" si="16707">IV759</f>
        <v>0</v>
      </c>
      <c r="IX759" s="89">
        <v>0</v>
      </c>
      <c r="IY759" s="89">
        <f t="shared" ref="IY759" si="16708">IX759</f>
        <v>0</v>
      </c>
      <c r="IZ759" s="89">
        <f t="shared" ref="IZ759" si="16709">IY759</f>
        <v>0</v>
      </c>
      <c r="JA759" s="89">
        <v>0</v>
      </c>
      <c r="JB759" s="89">
        <f t="shared" ref="JB759" si="16710">JA759</f>
        <v>0</v>
      </c>
      <c r="JC759" s="89">
        <f t="shared" ref="JC759" si="16711">JB759</f>
        <v>0</v>
      </c>
      <c r="JD759" s="89">
        <v>0</v>
      </c>
      <c r="JE759" s="89">
        <f t="shared" ref="JE759" si="16712">JD759</f>
        <v>0</v>
      </c>
      <c r="JF759" s="89">
        <f t="shared" ref="JF759" si="16713">JE759</f>
        <v>0</v>
      </c>
      <c r="JG759" s="89">
        <v>0</v>
      </c>
      <c r="JH759" s="89">
        <f t="shared" ref="JH759" si="16714">JG759</f>
        <v>0</v>
      </c>
      <c r="JI759" s="89">
        <f t="shared" ref="JI759" si="16715">JH759</f>
        <v>0</v>
      </c>
      <c r="JJ759" s="89">
        <v>5714.58</v>
      </c>
      <c r="JK759" s="89">
        <f t="shared" ref="JK759" si="16716">JJ759</f>
        <v>5714.58</v>
      </c>
      <c r="JL759" s="89">
        <f t="shared" ref="JL759" si="16717">JK759</f>
        <v>5714.58</v>
      </c>
      <c r="JM759" s="89">
        <v>0</v>
      </c>
      <c r="JN759" s="89">
        <f t="shared" ref="JN759" si="16718">JM759</f>
        <v>0</v>
      </c>
      <c r="JO759" s="89">
        <f t="shared" ref="JO759" si="16719">JN759</f>
        <v>0</v>
      </c>
      <c r="JP759" s="89">
        <v>0</v>
      </c>
      <c r="JQ759" s="89">
        <f t="shared" ref="JQ759" si="16720">JP759</f>
        <v>0</v>
      </c>
      <c r="JR759" s="89">
        <f t="shared" ref="JR759" si="16721">JQ759</f>
        <v>0</v>
      </c>
      <c r="JS759" s="74">
        <f t="shared" ref="JS759" si="16722">HG759-IF759</f>
        <v>32451.42</v>
      </c>
      <c r="JT759" s="382">
        <f t="shared" ref="JT759" si="16723">GS759-IF759</f>
        <v>32451.42</v>
      </c>
      <c r="JU759" s="665"/>
      <c r="JV759" s="524"/>
      <c r="JW759" s="525"/>
      <c r="JX759" s="549">
        <f t="shared" ref="JX759" si="16724">SUM(HH759,HJ759,HL759,HN759,HP759,HR759,HT759,HV759,HX759,HZ759,IB759,ID759)</f>
        <v>0</v>
      </c>
      <c r="JY759" s="549">
        <f t="shared" ref="JY759" si="16725">SUM(HI759,HK759,HM759,HO759,HQ759,HS759,HU759,HW759,HY759,IA759,IC759,IE759)</f>
        <v>0</v>
      </c>
      <c r="JZ759" s="581">
        <f t="shared" ref="JZ759" si="16726">GP759</f>
        <v>38166</v>
      </c>
      <c r="KA759" s="581">
        <f t="shared" ref="KA759" si="16727">GQ759</f>
        <v>0</v>
      </c>
      <c r="KB759" s="566">
        <f t="shared" ref="KB759" si="16728">SUM(JX759:KA759)</f>
        <v>38166</v>
      </c>
      <c r="KC759" s="709">
        <f t="shared" ref="KC759" si="16729">HG759-KB759</f>
        <v>0</v>
      </c>
      <c r="KD759" s="494"/>
      <c r="KE759" s="494"/>
      <c r="KF759" s="494"/>
      <c r="KG759" s="494"/>
      <c r="KH759" s="57"/>
      <c r="KI759" s="57"/>
      <c r="KJ759" s="57"/>
      <c r="KK759" s="57"/>
    </row>
    <row r="760" spans="1:297" s="8" customFormat="1" ht="12.75" customHeight="1">
      <c r="A760" s="612" t="s">
        <v>1364</v>
      </c>
      <c r="B760" s="512"/>
      <c r="C760" s="74">
        <v>0</v>
      </c>
      <c r="D760" s="549"/>
      <c r="E760" s="675"/>
      <c r="F760" s="549"/>
      <c r="G760" s="675"/>
      <c r="H760" s="549"/>
      <c r="I760" s="675"/>
      <c r="J760" s="549"/>
      <c r="K760" s="675"/>
      <c r="L760" s="549"/>
      <c r="M760" s="675"/>
      <c r="N760" s="549"/>
      <c r="O760" s="675"/>
      <c r="P760" s="549"/>
      <c r="Q760" s="675"/>
      <c r="R760" s="549"/>
      <c r="S760" s="675"/>
      <c r="T760" s="549"/>
      <c r="U760" s="675"/>
      <c r="V760" s="549"/>
      <c r="W760" s="675"/>
      <c r="X760" s="549"/>
      <c r="Y760" s="675"/>
      <c r="Z760" s="549"/>
      <c r="AA760" s="675"/>
      <c r="AB760" s="549"/>
      <c r="AC760" s="675"/>
      <c r="AD760" s="549"/>
      <c r="AE760" s="675"/>
      <c r="AF760" s="549"/>
      <c r="AG760" s="675"/>
      <c r="AH760" s="549"/>
      <c r="AI760" s="675"/>
      <c r="AJ760" s="549"/>
      <c r="AK760" s="675"/>
      <c r="AL760" s="549"/>
      <c r="AM760" s="675"/>
      <c r="AN760" s="549"/>
      <c r="AO760" s="675"/>
      <c r="AP760" s="549"/>
      <c r="AQ760" s="675"/>
      <c r="AR760" s="549"/>
      <c r="AS760" s="675"/>
      <c r="AT760" s="549"/>
      <c r="AU760" s="675"/>
      <c r="AV760" s="549"/>
      <c r="AW760" s="675"/>
      <c r="AX760" s="549"/>
      <c r="AY760" s="675"/>
      <c r="AZ760" s="549"/>
      <c r="BA760" s="675"/>
      <c r="BB760" s="549"/>
      <c r="BC760" s="675"/>
      <c r="BD760" s="549"/>
      <c r="BE760" s="675"/>
      <c r="BF760" s="549"/>
      <c r="BG760" s="675"/>
      <c r="BH760" s="549"/>
      <c r="BI760" s="675"/>
      <c r="BJ760" s="549"/>
      <c r="BK760" s="675"/>
      <c r="BL760" s="549"/>
      <c r="BM760" s="675"/>
      <c r="BN760" s="549"/>
      <c r="BO760" s="675"/>
      <c r="BP760" s="549"/>
      <c r="BQ760" s="675"/>
      <c r="BR760" s="549"/>
      <c r="BS760" s="675"/>
      <c r="BT760" s="549"/>
      <c r="BU760" s="675"/>
      <c r="BV760" s="549"/>
      <c r="BW760" s="675"/>
      <c r="BX760" s="549"/>
      <c r="BY760" s="675"/>
      <c r="BZ760" s="549"/>
      <c r="CA760" s="675"/>
      <c r="CB760" s="549"/>
      <c r="CC760" s="675"/>
      <c r="CD760" s="549"/>
      <c r="CE760" s="675"/>
      <c r="CF760" s="549"/>
      <c r="CG760" s="675"/>
      <c r="CH760" s="549"/>
      <c r="CI760" s="675"/>
      <c r="CJ760" s="549"/>
      <c r="CK760" s="675"/>
      <c r="CL760" s="549"/>
      <c r="CM760" s="675"/>
      <c r="CN760" s="549"/>
      <c r="CO760" s="675"/>
      <c r="CP760" s="549"/>
      <c r="CQ760" s="675"/>
      <c r="CR760" s="549"/>
      <c r="CS760" s="675"/>
      <c r="CT760" s="549">
        <v>0</v>
      </c>
      <c r="CU760" s="675">
        <v>0</v>
      </c>
      <c r="CV760" s="549">
        <v>0</v>
      </c>
      <c r="CW760" s="675">
        <v>0</v>
      </c>
      <c r="CX760" s="549">
        <v>0</v>
      </c>
      <c r="CY760" s="675">
        <v>0</v>
      </c>
      <c r="CZ760" s="549">
        <v>0</v>
      </c>
      <c r="DA760" s="675">
        <v>0</v>
      </c>
      <c r="DB760" s="549">
        <v>33000</v>
      </c>
      <c r="DC760" s="675">
        <v>0</v>
      </c>
      <c r="DD760" s="549">
        <v>0</v>
      </c>
      <c r="DE760" s="675">
        <v>0</v>
      </c>
      <c r="DF760" s="549">
        <v>0</v>
      </c>
      <c r="DG760" s="675">
        <v>0</v>
      </c>
      <c r="DH760" s="549">
        <v>0</v>
      </c>
      <c r="DI760" s="675">
        <v>0</v>
      </c>
      <c r="DJ760" s="549">
        <v>0</v>
      </c>
      <c r="DK760" s="675">
        <v>0</v>
      </c>
      <c r="DL760" s="549">
        <v>0</v>
      </c>
      <c r="DM760" s="675">
        <v>0</v>
      </c>
      <c r="DN760" s="549">
        <v>0</v>
      </c>
      <c r="DO760" s="675">
        <v>0</v>
      </c>
      <c r="DP760" s="549">
        <v>0</v>
      </c>
      <c r="DQ760" s="675">
        <v>0</v>
      </c>
      <c r="DR760" s="549">
        <v>0</v>
      </c>
      <c r="DS760" s="675">
        <v>0</v>
      </c>
      <c r="DT760" s="549">
        <v>0</v>
      </c>
      <c r="DU760" s="675">
        <v>0</v>
      </c>
      <c r="DV760" s="549">
        <v>0</v>
      </c>
      <c r="DW760" s="675">
        <v>-22000</v>
      </c>
      <c r="DX760" s="549">
        <v>0</v>
      </c>
      <c r="DY760" s="675">
        <v>0</v>
      </c>
      <c r="DZ760" s="549">
        <v>0</v>
      </c>
      <c r="EA760" s="675">
        <v>0</v>
      </c>
      <c r="EB760" s="549">
        <v>0</v>
      </c>
      <c r="EC760" s="675">
        <v>0</v>
      </c>
      <c r="ED760" s="549">
        <v>0</v>
      </c>
      <c r="EE760" s="675">
        <v>0</v>
      </c>
      <c r="EF760" s="549">
        <v>0</v>
      </c>
      <c r="EG760" s="675">
        <v>0</v>
      </c>
      <c r="EH760" s="549">
        <v>0</v>
      </c>
      <c r="EI760" s="675">
        <v>0</v>
      </c>
      <c r="EJ760" s="549">
        <v>0</v>
      </c>
      <c r="EK760" s="675">
        <v>0</v>
      </c>
      <c r="EL760" s="549">
        <v>0</v>
      </c>
      <c r="EM760" s="675">
        <v>0</v>
      </c>
      <c r="EN760" s="549">
        <v>0</v>
      </c>
      <c r="EO760" s="675">
        <v>0</v>
      </c>
      <c r="EP760" s="549">
        <v>0</v>
      </c>
      <c r="EQ760" s="675">
        <v>0</v>
      </c>
      <c r="ER760" s="549">
        <v>0</v>
      </c>
      <c r="ES760" s="675">
        <v>0</v>
      </c>
      <c r="ET760" s="549">
        <v>0</v>
      </c>
      <c r="EU760" s="675">
        <v>0</v>
      </c>
      <c r="EV760" s="549">
        <v>0</v>
      </c>
      <c r="EW760" s="675">
        <v>0</v>
      </c>
      <c r="EX760" s="549">
        <v>0</v>
      </c>
      <c r="EY760" s="675">
        <v>0</v>
      </c>
      <c r="EZ760" s="549">
        <v>0</v>
      </c>
      <c r="FA760" s="675">
        <v>0</v>
      </c>
      <c r="FB760" s="549">
        <v>0</v>
      </c>
      <c r="FC760" s="675">
        <v>0</v>
      </c>
      <c r="FD760" s="549">
        <v>0</v>
      </c>
      <c r="FE760" s="675">
        <v>0</v>
      </c>
      <c r="FF760" s="549">
        <v>0</v>
      </c>
      <c r="FG760" s="675">
        <v>0</v>
      </c>
      <c r="FH760" s="549">
        <v>0</v>
      </c>
      <c r="FI760" s="675">
        <v>0</v>
      </c>
      <c r="FJ760" s="549">
        <v>0</v>
      </c>
      <c r="FK760" s="675">
        <v>0</v>
      </c>
      <c r="FL760" s="549">
        <v>0</v>
      </c>
      <c r="FM760" s="675">
        <v>0</v>
      </c>
      <c r="FN760" s="549">
        <v>20000</v>
      </c>
      <c r="FO760" s="675">
        <v>0</v>
      </c>
      <c r="FP760" s="549">
        <v>0</v>
      </c>
      <c r="FQ760" s="675">
        <v>0</v>
      </c>
      <c r="FR760" s="549">
        <v>0</v>
      </c>
      <c r="FS760" s="675">
        <v>0</v>
      </c>
      <c r="FT760" s="549">
        <v>0</v>
      </c>
      <c r="FU760" s="675">
        <v>0</v>
      </c>
      <c r="FV760" s="549">
        <v>0</v>
      </c>
      <c r="FW760" s="675">
        <v>0</v>
      </c>
      <c r="FX760" s="549">
        <v>0</v>
      </c>
      <c r="FY760" s="675">
        <v>0</v>
      </c>
      <c r="FZ760" s="549">
        <v>47000</v>
      </c>
      <c r="GA760" s="675">
        <v>0</v>
      </c>
      <c r="GB760" s="549">
        <v>0</v>
      </c>
      <c r="GC760" s="675">
        <v>0</v>
      </c>
      <c r="GD760" s="549">
        <v>0</v>
      </c>
      <c r="GE760" s="675">
        <v>0</v>
      </c>
      <c r="GF760" s="549">
        <v>0</v>
      </c>
      <c r="GG760" s="675">
        <v>0</v>
      </c>
      <c r="GH760" s="549">
        <v>0</v>
      </c>
      <c r="GI760" s="675">
        <v>0</v>
      </c>
      <c r="GJ760" s="549">
        <v>0</v>
      </c>
      <c r="GK760" s="675">
        <v>0</v>
      </c>
      <c r="GL760" s="549">
        <v>0</v>
      </c>
      <c r="GM760" s="675">
        <v>0</v>
      </c>
      <c r="GN760" s="549">
        <v>0</v>
      </c>
      <c r="GO760" s="675">
        <v>0</v>
      </c>
      <c r="GP760" s="549">
        <f t="shared" si="16649"/>
        <v>100000</v>
      </c>
      <c r="GQ760" s="675">
        <f t="shared" si="16650"/>
        <v>-22000</v>
      </c>
      <c r="GR760" s="74">
        <f t="shared" si="16651"/>
        <v>78000</v>
      </c>
      <c r="GS760" s="74">
        <f t="shared" si="16487"/>
        <v>78000</v>
      </c>
      <c r="GT760" s="568">
        <f t="shared" si="16652"/>
        <v>78000</v>
      </c>
      <c r="GU760" s="275">
        <v>0</v>
      </c>
      <c r="GV760" s="275"/>
      <c r="GW760" s="588"/>
      <c r="GX760" s="275">
        <v>0</v>
      </c>
      <c r="GY760" s="275">
        <v>0</v>
      </c>
      <c r="GZ760" s="275"/>
      <c r="HA760" s="275">
        <f t="shared" si="16489"/>
        <v>0</v>
      </c>
      <c r="HB760" s="275"/>
      <c r="HC760" s="275"/>
      <c r="HD760" s="275">
        <f t="shared" si="16490"/>
        <v>0</v>
      </c>
      <c r="HE760" s="275"/>
      <c r="HF760" s="275">
        <v>0</v>
      </c>
      <c r="HG760" s="74">
        <f t="shared" si="16653"/>
        <v>78000</v>
      </c>
      <c r="HH760" s="89">
        <v>0</v>
      </c>
      <c r="HI760" s="157">
        <v>0</v>
      </c>
      <c r="HJ760" s="89">
        <v>0</v>
      </c>
      <c r="HK760" s="157">
        <v>0</v>
      </c>
      <c r="HL760" s="89">
        <v>0</v>
      </c>
      <c r="HM760" s="157">
        <v>0</v>
      </c>
      <c r="HN760" s="89">
        <v>0</v>
      </c>
      <c r="HO760" s="157">
        <v>0</v>
      </c>
      <c r="HP760" s="89">
        <v>0</v>
      </c>
      <c r="HQ760" s="157">
        <v>0</v>
      </c>
      <c r="HR760" s="89">
        <v>0</v>
      </c>
      <c r="HS760" s="157">
        <v>0</v>
      </c>
      <c r="HT760" s="89">
        <v>0</v>
      </c>
      <c r="HU760" s="157">
        <v>0</v>
      </c>
      <c r="HV760" s="89">
        <v>0</v>
      </c>
      <c r="HW760" s="157">
        <v>0</v>
      </c>
      <c r="HX760" s="89">
        <v>0</v>
      </c>
      <c r="HY760" s="157">
        <v>0</v>
      </c>
      <c r="HZ760" s="89">
        <v>0</v>
      </c>
      <c r="IA760" s="157">
        <v>0</v>
      </c>
      <c r="IB760" s="89">
        <v>0</v>
      </c>
      <c r="IC760" s="157">
        <v>0</v>
      </c>
      <c r="ID760" s="89">
        <v>0</v>
      </c>
      <c r="IE760" s="157">
        <v>0</v>
      </c>
      <c r="IF760" s="717">
        <f t="shared" si="16654"/>
        <v>1160.45</v>
      </c>
      <c r="IG760" s="263">
        <f t="shared" si="16655"/>
        <v>1160.45</v>
      </c>
      <c r="IH760" s="718">
        <f t="shared" si="16656"/>
        <v>1160.45</v>
      </c>
      <c r="II760" s="89">
        <v>0</v>
      </c>
      <c r="IJ760" s="89">
        <f t="shared" si="16657"/>
        <v>0</v>
      </c>
      <c r="IK760" s="89">
        <f t="shared" si="16658"/>
        <v>0</v>
      </c>
      <c r="IL760" s="89">
        <v>0</v>
      </c>
      <c r="IM760" s="89">
        <f t="shared" si="16659"/>
        <v>0</v>
      </c>
      <c r="IN760" s="89">
        <f t="shared" si="16660"/>
        <v>0</v>
      </c>
      <c r="IO760" s="89">
        <v>0</v>
      </c>
      <c r="IP760" s="89">
        <f t="shared" si="16661"/>
        <v>0</v>
      </c>
      <c r="IQ760" s="89">
        <f t="shared" si="16662"/>
        <v>0</v>
      </c>
      <c r="IR760" s="89">
        <v>0</v>
      </c>
      <c r="IS760" s="89">
        <f t="shared" si="16663"/>
        <v>0</v>
      </c>
      <c r="IT760" s="89">
        <f t="shared" si="16664"/>
        <v>0</v>
      </c>
      <c r="IU760" s="89">
        <v>0</v>
      </c>
      <c r="IV760" s="89">
        <f t="shared" si="16665"/>
        <v>0</v>
      </c>
      <c r="IW760" s="89">
        <f t="shared" si="16666"/>
        <v>0</v>
      </c>
      <c r="IX760" s="89">
        <v>0</v>
      </c>
      <c r="IY760" s="89">
        <f t="shared" si="16667"/>
        <v>0</v>
      </c>
      <c r="IZ760" s="89">
        <f t="shared" si="16668"/>
        <v>0</v>
      </c>
      <c r="JA760" s="89">
        <v>0</v>
      </c>
      <c r="JB760" s="89">
        <f t="shared" si="16669"/>
        <v>0</v>
      </c>
      <c r="JC760" s="89">
        <f t="shared" si="16670"/>
        <v>0</v>
      </c>
      <c r="JD760" s="89">
        <v>0</v>
      </c>
      <c r="JE760" s="89">
        <f t="shared" si="16671"/>
        <v>0</v>
      </c>
      <c r="JF760" s="89">
        <f t="shared" si="16672"/>
        <v>0</v>
      </c>
      <c r="JG760" s="89">
        <v>0</v>
      </c>
      <c r="JH760" s="89">
        <f t="shared" si="16673"/>
        <v>0</v>
      </c>
      <c r="JI760" s="89">
        <f t="shared" si="16674"/>
        <v>0</v>
      </c>
      <c r="JJ760" s="89">
        <v>1160.45</v>
      </c>
      <c r="JK760" s="89">
        <f t="shared" si="16675"/>
        <v>1160.45</v>
      </c>
      <c r="JL760" s="89">
        <f t="shared" si="16676"/>
        <v>1160.45</v>
      </c>
      <c r="JM760" s="89">
        <v>0</v>
      </c>
      <c r="JN760" s="89">
        <f t="shared" si="16677"/>
        <v>0</v>
      </c>
      <c r="JO760" s="89">
        <f t="shared" si="16678"/>
        <v>0</v>
      </c>
      <c r="JP760" s="89">
        <v>0</v>
      </c>
      <c r="JQ760" s="89">
        <f t="shared" si="16679"/>
        <v>0</v>
      </c>
      <c r="JR760" s="89">
        <f t="shared" si="16680"/>
        <v>0</v>
      </c>
      <c r="JS760" s="74">
        <f t="shared" si="16681"/>
        <v>76839.55</v>
      </c>
      <c r="JT760" s="382">
        <f t="shared" si="16682"/>
        <v>76839.55</v>
      </c>
      <c r="JU760" s="665"/>
      <c r="JV760" s="524"/>
      <c r="JW760" s="525"/>
      <c r="JX760" s="549">
        <f t="shared" si="16683"/>
        <v>0</v>
      </c>
      <c r="JY760" s="549">
        <f t="shared" si="16684"/>
        <v>0</v>
      </c>
      <c r="JZ760" s="581">
        <f t="shared" si="16685"/>
        <v>100000</v>
      </c>
      <c r="KA760" s="581">
        <f t="shared" si="16686"/>
        <v>-22000</v>
      </c>
      <c r="KB760" s="566">
        <f t="shared" si="16687"/>
        <v>78000</v>
      </c>
      <c r="KC760" s="709">
        <f t="shared" si="16688"/>
        <v>0</v>
      </c>
      <c r="KD760" s="494"/>
      <c r="KE760" s="494"/>
      <c r="KF760" s="494"/>
      <c r="KG760" s="494"/>
      <c r="KH760" s="57"/>
      <c r="KI760" s="57"/>
      <c r="KJ760" s="57"/>
      <c r="KK760" s="57"/>
    </row>
    <row r="761" spans="1:297" s="8" customFormat="1" ht="12.75" customHeight="1">
      <c r="A761" s="612" t="s">
        <v>1388</v>
      </c>
      <c r="B761" s="512"/>
      <c r="C761" s="74">
        <v>0</v>
      </c>
      <c r="D761" s="549"/>
      <c r="E761" s="675"/>
      <c r="F761" s="549"/>
      <c r="G761" s="675"/>
      <c r="H761" s="549"/>
      <c r="I761" s="675"/>
      <c r="J761" s="549"/>
      <c r="K761" s="675"/>
      <c r="L761" s="549"/>
      <c r="M761" s="675"/>
      <c r="N761" s="549"/>
      <c r="O761" s="675"/>
      <c r="P761" s="549"/>
      <c r="Q761" s="675"/>
      <c r="R761" s="549"/>
      <c r="S761" s="675"/>
      <c r="T761" s="549"/>
      <c r="U761" s="675"/>
      <c r="V761" s="549"/>
      <c r="W761" s="675"/>
      <c r="X761" s="549"/>
      <c r="Y761" s="675"/>
      <c r="Z761" s="549"/>
      <c r="AA761" s="675"/>
      <c r="AB761" s="549"/>
      <c r="AC761" s="675"/>
      <c r="AD761" s="549"/>
      <c r="AE761" s="675"/>
      <c r="AF761" s="549"/>
      <c r="AG761" s="675"/>
      <c r="AH761" s="549"/>
      <c r="AI761" s="675"/>
      <c r="AJ761" s="549"/>
      <c r="AK761" s="675"/>
      <c r="AL761" s="549"/>
      <c r="AM761" s="675"/>
      <c r="AN761" s="549"/>
      <c r="AO761" s="675"/>
      <c r="AP761" s="549"/>
      <c r="AQ761" s="675"/>
      <c r="AR761" s="549"/>
      <c r="AS761" s="675"/>
      <c r="AT761" s="549"/>
      <c r="AU761" s="675"/>
      <c r="AV761" s="549"/>
      <c r="AW761" s="675"/>
      <c r="AX761" s="549"/>
      <c r="AY761" s="675"/>
      <c r="AZ761" s="549"/>
      <c r="BA761" s="675"/>
      <c r="BB761" s="549"/>
      <c r="BC761" s="675"/>
      <c r="BD761" s="549"/>
      <c r="BE761" s="675"/>
      <c r="BF761" s="549"/>
      <c r="BG761" s="675"/>
      <c r="BH761" s="549"/>
      <c r="BI761" s="675"/>
      <c r="BJ761" s="549"/>
      <c r="BK761" s="675"/>
      <c r="BL761" s="549"/>
      <c r="BM761" s="675"/>
      <c r="BN761" s="549"/>
      <c r="BO761" s="675"/>
      <c r="BP761" s="549"/>
      <c r="BQ761" s="675"/>
      <c r="BR761" s="549"/>
      <c r="BS761" s="675"/>
      <c r="BT761" s="549"/>
      <c r="BU761" s="675"/>
      <c r="BV761" s="549"/>
      <c r="BW761" s="675"/>
      <c r="BX761" s="549"/>
      <c r="BY761" s="675"/>
      <c r="BZ761" s="549"/>
      <c r="CA761" s="675"/>
      <c r="CB761" s="549"/>
      <c r="CC761" s="675"/>
      <c r="CD761" s="549"/>
      <c r="CE761" s="675"/>
      <c r="CF761" s="549"/>
      <c r="CG761" s="675"/>
      <c r="CH761" s="549"/>
      <c r="CI761" s="675"/>
      <c r="CJ761" s="549"/>
      <c r="CK761" s="675"/>
      <c r="CL761" s="549"/>
      <c r="CM761" s="675"/>
      <c r="CN761" s="549"/>
      <c r="CO761" s="675"/>
      <c r="CP761" s="549"/>
      <c r="CQ761" s="675"/>
      <c r="CR761" s="549"/>
      <c r="CS761" s="675"/>
      <c r="CT761" s="549">
        <v>0</v>
      </c>
      <c r="CU761" s="675">
        <v>0</v>
      </c>
      <c r="CV761" s="549">
        <v>0</v>
      </c>
      <c r="CW761" s="675">
        <v>0</v>
      </c>
      <c r="CX761" s="549">
        <v>0</v>
      </c>
      <c r="CY761" s="675">
        <v>0</v>
      </c>
      <c r="CZ761" s="549">
        <v>0</v>
      </c>
      <c r="DA761" s="675">
        <v>0</v>
      </c>
      <c r="DB761" s="549">
        <v>0</v>
      </c>
      <c r="DC761" s="675">
        <v>0</v>
      </c>
      <c r="DD761" s="549">
        <v>0</v>
      </c>
      <c r="DE761" s="675">
        <v>0</v>
      </c>
      <c r="DF761" s="549">
        <v>0</v>
      </c>
      <c r="DG761" s="675">
        <v>0</v>
      </c>
      <c r="DH761" s="549">
        <v>0</v>
      </c>
      <c r="DI761" s="675">
        <v>0</v>
      </c>
      <c r="DJ761" s="549">
        <v>0</v>
      </c>
      <c r="DK761" s="675">
        <v>0</v>
      </c>
      <c r="DL761" s="549">
        <v>0</v>
      </c>
      <c r="DM761" s="675">
        <v>0</v>
      </c>
      <c r="DN761" s="549">
        <v>55937</v>
      </c>
      <c r="DO761" s="675">
        <v>0</v>
      </c>
      <c r="DP761" s="549">
        <v>0</v>
      </c>
      <c r="DQ761" s="675">
        <v>0</v>
      </c>
      <c r="DR761" s="549">
        <v>0</v>
      </c>
      <c r="DS761" s="675">
        <v>0</v>
      </c>
      <c r="DT761" s="549">
        <v>0</v>
      </c>
      <c r="DU761" s="675">
        <v>0</v>
      </c>
      <c r="DV761" s="549">
        <v>0</v>
      </c>
      <c r="DW761" s="675">
        <v>0</v>
      </c>
      <c r="DX761" s="549">
        <v>0</v>
      </c>
      <c r="DY761" s="675">
        <v>0</v>
      </c>
      <c r="DZ761" s="549">
        <v>0</v>
      </c>
      <c r="EA761" s="675">
        <v>0</v>
      </c>
      <c r="EB761" s="549">
        <v>0</v>
      </c>
      <c r="EC761" s="675">
        <v>0</v>
      </c>
      <c r="ED761" s="549">
        <v>0</v>
      </c>
      <c r="EE761" s="675">
        <v>0</v>
      </c>
      <c r="EF761" s="549">
        <v>0</v>
      </c>
      <c r="EG761" s="675">
        <v>0</v>
      </c>
      <c r="EH761" s="549">
        <v>0</v>
      </c>
      <c r="EI761" s="675">
        <v>0</v>
      </c>
      <c r="EJ761" s="549">
        <v>0</v>
      </c>
      <c r="EK761" s="675">
        <v>0</v>
      </c>
      <c r="EL761" s="549">
        <v>0</v>
      </c>
      <c r="EM761" s="675">
        <v>0</v>
      </c>
      <c r="EN761" s="549">
        <v>0</v>
      </c>
      <c r="EO761" s="675">
        <v>0</v>
      </c>
      <c r="EP761" s="549">
        <v>0</v>
      </c>
      <c r="EQ761" s="675">
        <v>0</v>
      </c>
      <c r="ER761" s="549">
        <v>0</v>
      </c>
      <c r="ES761" s="675">
        <v>0</v>
      </c>
      <c r="ET761" s="549">
        <v>0</v>
      </c>
      <c r="EU761" s="675">
        <v>0</v>
      </c>
      <c r="EV761" s="549">
        <v>0</v>
      </c>
      <c r="EW761" s="675">
        <v>0</v>
      </c>
      <c r="EX761" s="549">
        <v>0</v>
      </c>
      <c r="EY761" s="675">
        <v>0</v>
      </c>
      <c r="EZ761" s="549">
        <v>0</v>
      </c>
      <c r="FA761" s="675">
        <v>0</v>
      </c>
      <c r="FB761" s="549">
        <v>0</v>
      </c>
      <c r="FC761" s="675">
        <v>0</v>
      </c>
      <c r="FD761" s="549">
        <v>0</v>
      </c>
      <c r="FE761" s="675">
        <v>0</v>
      </c>
      <c r="FF761" s="549">
        <v>0</v>
      </c>
      <c r="FG761" s="675">
        <v>0</v>
      </c>
      <c r="FH761" s="549">
        <v>0</v>
      </c>
      <c r="FI761" s="675">
        <v>0</v>
      </c>
      <c r="FJ761" s="549">
        <v>0</v>
      </c>
      <c r="FK761" s="675">
        <v>0</v>
      </c>
      <c r="FL761" s="549">
        <v>0</v>
      </c>
      <c r="FM761" s="675">
        <v>0</v>
      </c>
      <c r="FN761" s="549">
        <v>30000</v>
      </c>
      <c r="FO761" s="675">
        <v>0</v>
      </c>
      <c r="FP761" s="549">
        <v>0</v>
      </c>
      <c r="FQ761" s="675">
        <v>0</v>
      </c>
      <c r="FR761" s="549">
        <v>0</v>
      </c>
      <c r="FS761" s="675">
        <v>0</v>
      </c>
      <c r="FT761" s="549">
        <v>0</v>
      </c>
      <c r="FU761" s="675">
        <v>0</v>
      </c>
      <c r="FV761" s="549">
        <v>0</v>
      </c>
      <c r="FW761" s="675">
        <v>0</v>
      </c>
      <c r="FX761" s="549">
        <v>0</v>
      </c>
      <c r="FY761" s="675">
        <v>0</v>
      </c>
      <c r="FZ761" s="549">
        <v>111000</v>
      </c>
      <c r="GA761" s="675">
        <v>0</v>
      </c>
      <c r="GB761" s="549">
        <v>0</v>
      </c>
      <c r="GC761" s="675">
        <v>0</v>
      </c>
      <c r="GD761" s="549">
        <v>0</v>
      </c>
      <c r="GE761" s="675">
        <v>0</v>
      </c>
      <c r="GF761" s="549">
        <v>0</v>
      </c>
      <c r="GG761" s="675">
        <v>0</v>
      </c>
      <c r="GH761" s="549">
        <v>0</v>
      </c>
      <c r="GI761" s="675">
        <v>0</v>
      </c>
      <c r="GJ761" s="549">
        <v>0</v>
      </c>
      <c r="GK761" s="675">
        <v>0</v>
      </c>
      <c r="GL761" s="549">
        <v>0</v>
      </c>
      <c r="GM761" s="675">
        <v>0</v>
      </c>
      <c r="GN761" s="549">
        <v>0</v>
      </c>
      <c r="GO761" s="675">
        <v>0</v>
      </c>
      <c r="GP761" s="549">
        <f t="shared" si="16649"/>
        <v>196937</v>
      </c>
      <c r="GQ761" s="675">
        <f t="shared" si="16650"/>
        <v>0</v>
      </c>
      <c r="GR761" s="74">
        <f t="shared" si="16651"/>
        <v>196937</v>
      </c>
      <c r="GS761" s="74">
        <f t="shared" si="16487"/>
        <v>196937</v>
      </c>
      <c r="GT761" s="568">
        <f t="shared" ref="GT761" si="16730">SUM(GU761:HF761)+GQ761+GP761</f>
        <v>196937</v>
      </c>
      <c r="GU761" s="275">
        <v>0</v>
      </c>
      <c r="GV761" s="275"/>
      <c r="GW761" s="588"/>
      <c r="GX761" s="275">
        <v>0</v>
      </c>
      <c r="GY761" s="275">
        <v>0</v>
      </c>
      <c r="GZ761" s="275"/>
      <c r="HA761" s="275">
        <f t="shared" si="16489"/>
        <v>0</v>
      </c>
      <c r="HB761" s="275"/>
      <c r="HC761" s="275"/>
      <c r="HD761" s="275">
        <f t="shared" si="16490"/>
        <v>0</v>
      </c>
      <c r="HE761" s="275"/>
      <c r="HF761" s="275">
        <v>0</v>
      </c>
      <c r="HG761" s="74">
        <f t="shared" ref="HG761" si="16731">SUM(HH761:IE761)+GP761+GQ761</f>
        <v>196937</v>
      </c>
      <c r="HH761" s="89">
        <v>0</v>
      </c>
      <c r="HI761" s="157">
        <v>0</v>
      </c>
      <c r="HJ761" s="89">
        <v>0</v>
      </c>
      <c r="HK761" s="157">
        <v>0</v>
      </c>
      <c r="HL761" s="89">
        <v>0</v>
      </c>
      <c r="HM761" s="157">
        <v>0</v>
      </c>
      <c r="HN761" s="89">
        <v>0</v>
      </c>
      <c r="HO761" s="157">
        <v>0</v>
      </c>
      <c r="HP761" s="89">
        <v>0</v>
      </c>
      <c r="HQ761" s="157">
        <v>0</v>
      </c>
      <c r="HR761" s="89">
        <v>0</v>
      </c>
      <c r="HS761" s="157">
        <v>0</v>
      </c>
      <c r="HT761" s="89">
        <v>0</v>
      </c>
      <c r="HU761" s="157">
        <v>0</v>
      </c>
      <c r="HV761" s="89">
        <v>0</v>
      </c>
      <c r="HW761" s="157">
        <v>0</v>
      </c>
      <c r="HX761" s="89">
        <v>0</v>
      </c>
      <c r="HY761" s="157">
        <v>0</v>
      </c>
      <c r="HZ761" s="89">
        <v>0</v>
      </c>
      <c r="IA761" s="157">
        <v>0</v>
      </c>
      <c r="IB761" s="89">
        <v>0</v>
      </c>
      <c r="IC761" s="157">
        <v>0</v>
      </c>
      <c r="ID761" s="89">
        <v>0</v>
      </c>
      <c r="IE761" s="157">
        <v>0</v>
      </c>
      <c r="IF761" s="717">
        <f t="shared" si="16654"/>
        <v>17954.46</v>
      </c>
      <c r="IG761" s="263">
        <f t="shared" si="16655"/>
        <v>17954.46</v>
      </c>
      <c r="IH761" s="718">
        <f t="shared" si="16656"/>
        <v>17954.46</v>
      </c>
      <c r="II761" s="89">
        <v>0</v>
      </c>
      <c r="IJ761" s="89">
        <f t="shared" si="16657"/>
        <v>0</v>
      </c>
      <c r="IK761" s="89">
        <f t="shared" si="16658"/>
        <v>0</v>
      </c>
      <c r="IL761" s="89">
        <v>0</v>
      </c>
      <c r="IM761" s="89">
        <f t="shared" si="16659"/>
        <v>0</v>
      </c>
      <c r="IN761" s="89">
        <f t="shared" si="16660"/>
        <v>0</v>
      </c>
      <c r="IO761" s="89">
        <v>0</v>
      </c>
      <c r="IP761" s="89">
        <f t="shared" si="16661"/>
        <v>0</v>
      </c>
      <c r="IQ761" s="89">
        <f t="shared" si="16662"/>
        <v>0</v>
      </c>
      <c r="IR761" s="89">
        <v>0</v>
      </c>
      <c r="IS761" s="89">
        <f t="shared" si="16663"/>
        <v>0</v>
      </c>
      <c r="IT761" s="89">
        <f t="shared" si="16664"/>
        <v>0</v>
      </c>
      <c r="IU761" s="89">
        <v>0</v>
      </c>
      <c r="IV761" s="89">
        <f t="shared" si="16665"/>
        <v>0</v>
      </c>
      <c r="IW761" s="89">
        <f t="shared" si="16666"/>
        <v>0</v>
      </c>
      <c r="IX761" s="89">
        <v>0</v>
      </c>
      <c r="IY761" s="89">
        <f t="shared" si="16667"/>
        <v>0</v>
      </c>
      <c r="IZ761" s="89">
        <f t="shared" si="16668"/>
        <v>0</v>
      </c>
      <c r="JA761" s="89">
        <v>0</v>
      </c>
      <c r="JB761" s="89">
        <f t="shared" si="16669"/>
        <v>0</v>
      </c>
      <c r="JC761" s="89">
        <f t="shared" si="16670"/>
        <v>0</v>
      </c>
      <c r="JD761" s="89">
        <v>0</v>
      </c>
      <c r="JE761" s="89">
        <f t="shared" si="16671"/>
        <v>0</v>
      </c>
      <c r="JF761" s="89">
        <f t="shared" si="16672"/>
        <v>0</v>
      </c>
      <c r="JG761" s="89">
        <v>15396.99</v>
      </c>
      <c r="JH761" s="89">
        <f t="shared" si="16673"/>
        <v>15396.99</v>
      </c>
      <c r="JI761" s="89">
        <f t="shared" si="16674"/>
        <v>15396.99</v>
      </c>
      <c r="JJ761" s="89">
        <f>17954.46-15396.99</f>
        <v>2557.4699999999993</v>
      </c>
      <c r="JK761" s="89">
        <f t="shared" si="16675"/>
        <v>2557.4699999999993</v>
      </c>
      <c r="JL761" s="89">
        <f t="shared" si="16676"/>
        <v>2557.4699999999993</v>
      </c>
      <c r="JM761" s="89">
        <v>0</v>
      </c>
      <c r="JN761" s="89">
        <f t="shared" si="16677"/>
        <v>0</v>
      </c>
      <c r="JO761" s="89">
        <f t="shared" si="16678"/>
        <v>0</v>
      </c>
      <c r="JP761" s="89">
        <v>0</v>
      </c>
      <c r="JQ761" s="89">
        <f t="shared" si="16679"/>
        <v>0</v>
      </c>
      <c r="JR761" s="89">
        <f t="shared" si="16680"/>
        <v>0</v>
      </c>
      <c r="JS761" s="74">
        <f t="shared" si="16681"/>
        <v>178982.54</v>
      </c>
      <c r="JT761" s="382">
        <f t="shared" si="16682"/>
        <v>178982.54</v>
      </c>
      <c r="JU761" s="665"/>
      <c r="JV761" s="524"/>
      <c r="JW761" s="525"/>
      <c r="JX761" s="549">
        <f t="shared" si="16683"/>
        <v>0</v>
      </c>
      <c r="JY761" s="549">
        <f t="shared" si="16684"/>
        <v>0</v>
      </c>
      <c r="JZ761" s="581">
        <f t="shared" si="16685"/>
        <v>196937</v>
      </c>
      <c r="KA761" s="581">
        <f t="shared" si="16686"/>
        <v>0</v>
      </c>
      <c r="KB761" s="566">
        <f t="shared" si="16687"/>
        <v>196937</v>
      </c>
      <c r="KC761" s="709">
        <f t="shared" si="16688"/>
        <v>0</v>
      </c>
      <c r="KD761" s="494"/>
      <c r="KE761" s="494"/>
      <c r="KF761" s="494"/>
      <c r="KG761" s="494"/>
      <c r="KH761" s="57"/>
      <c r="KI761" s="57"/>
      <c r="KJ761" s="57"/>
      <c r="KK761" s="57"/>
    </row>
    <row r="762" spans="1:297" s="8" customFormat="1" ht="12.75" customHeight="1">
      <c r="A762" s="612" t="s">
        <v>1393</v>
      </c>
      <c r="B762" s="512"/>
      <c r="C762" s="74">
        <v>0</v>
      </c>
      <c r="D762" s="549"/>
      <c r="E762" s="675"/>
      <c r="F762" s="549"/>
      <c r="G762" s="675"/>
      <c r="H762" s="549"/>
      <c r="I762" s="675"/>
      <c r="J762" s="549"/>
      <c r="K762" s="675"/>
      <c r="L762" s="549"/>
      <c r="M762" s="675"/>
      <c r="N762" s="549"/>
      <c r="O762" s="675"/>
      <c r="P762" s="549"/>
      <c r="Q762" s="675"/>
      <c r="R762" s="549"/>
      <c r="S762" s="675"/>
      <c r="T762" s="549"/>
      <c r="U762" s="675"/>
      <c r="V762" s="549"/>
      <c r="W762" s="675"/>
      <c r="X762" s="549"/>
      <c r="Y762" s="675"/>
      <c r="Z762" s="549"/>
      <c r="AA762" s="675"/>
      <c r="AB762" s="549"/>
      <c r="AC762" s="675"/>
      <c r="AD762" s="549"/>
      <c r="AE762" s="675"/>
      <c r="AF762" s="549"/>
      <c r="AG762" s="675"/>
      <c r="AH762" s="549"/>
      <c r="AI762" s="675"/>
      <c r="AJ762" s="549"/>
      <c r="AK762" s="675"/>
      <c r="AL762" s="549"/>
      <c r="AM762" s="675"/>
      <c r="AN762" s="549"/>
      <c r="AO762" s="675"/>
      <c r="AP762" s="549"/>
      <c r="AQ762" s="675"/>
      <c r="AR762" s="549"/>
      <c r="AS762" s="675"/>
      <c r="AT762" s="549"/>
      <c r="AU762" s="675"/>
      <c r="AV762" s="549"/>
      <c r="AW762" s="675"/>
      <c r="AX762" s="549"/>
      <c r="AY762" s="675"/>
      <c r="AZ762" s="549"/>
      <c r="BA762" s="675"/>
      <c r="BB762" s="549"/>
      <c r="BC762" s="675"/>
      <c r="BD762" s="549"/>
      <c r="BE762" s="675"/>
      <c r="BF762" s="549"/>
      <c r="BG762" s="675"/>
      <c r="BH762" s="549"/>
      <c r="BI762" s="675"/>
      <c r="BJ762" s="549"/>
      <c r="BK762" s="675"/>
      <c r="BL762" s="549"/>
      <c r="BM762" s="675"/>
      <c r="BN762" s="549"/>
      <c r="BO762" s="675"/>
      <c r="BP762" s="549"/>
      <c r="BQ762" s="675"/>
      <c r="BR762" s="549"/>
      <c r="BS762" s="675"/>
      <c r="BT762" s="549"/>
      <c r="BU762" s="675"/>
      <c r="BV762" s="549"/>
      <c r="BW762" s="675"/>
      <c r="BX762" s="549"/>
      <c r="BY762" s="675"/>
      <c r="BZ762" s="549"/>
      <c r="CA762" s="675"/>
      <c r="CB762" s="549"/>
      <c r="CC762" s="675"/>
      <c r="CD762" s="549"/>
      <c r="CE762" s="675"/>
      <c r="CF762" s="549"/>
      <c r="CG762" s="675"/>
      <c r="CH762" s="549"/>
      <c r="CI762" s="675"/>
      <c r="CJ762" s="549"/>
      <c r="CK762" s="675"/>
      <c r="CL762" s="549"/>
      <c r="CM762" s="675"/>
      <c r="CN762" s="549"/>
      <c r="CO762" s="675"/>
      <c r="CP762" s="549"/>
      <c r="CQ762" s="675"/>
      <c r="CR762" s="549"/>
      <c r="CS762" s="675"/>
      <c r="CT762" s="549">
        <v>0</v>
      </c>
      <c r="CU762" s="675">
        <v>0</v>
      </c>
      <c r="CV762" s="549">
        <v>0</v>
      </c>
      <c r="CW762" s="675">
        <v>0</v>
      </c>
      <c r="CX762" s="549">
        <v>0</v>
      </c>
      <c r="CY762" s="675">
        <v>0</v>
      </c>
      <c r="CZ762" s="549">
        <v>0</v>
      </c>
      <c r="DA762" s="675">
        <v>0</v>
      </c>
      <c r="DB762" s="549">
        <v>0</v>
      </c>
      <c r="DC762" s="675">
        <v>0</v>
      </c>
      <c r="DD762" s="549">
        <v>0</v>
      </c>
      <c r="DE762" s="675">
        <v>0</v>
      </c>
      <c r="DF762" s="549">
        <v>0</v>
      </c>
      <c r="DG762" s="675">
        <v>0</v>
      </c>
      <c r="DH762" s="549">
        <v>0</v>
      </c>
      <c r="DI762" s="675">
        <v>0</v>
      </c>
      <c r="DJ762" s="549">
        <v>0</v>
      </c>
      <c r="DK762" s="675">
        <v>0</v>
      </c>
      <c r="DL762" s="549">
        <v>0</v>
      </c>
      <c r="DM762" s="675">
        <v>0</v>
      </c>
      <c r="DN762" s="549">
        <v>0</v>
      </c>
      <c r="DO762" s="675">
        <v>0</v>
      </c>
      <c r="DP762" s="549">
        <v>0</v>
      </c>
      <c r="DQ762" s="675">
        <v>0</v>
      </c>
      <c r="DR762" s="549">
        <v>0</v>
      </c>
      <c r="DS762" s="675">
        <v>0</v>
      </c>
      <c r="DT762" s="549">
        <v>0</v>
      </c>
      <c r="DU762" s="675">
        <v>0</v>
      </c>
      <c r="DV762" s="549">
        <v>18700</v>
      </c>
      <c r="DW762" s="675">
        <v>0</v>
      </c>
      <c r="DX762" s="549">
        <v>0</v>
      </c>
      <c r="DY762" s="675">
        <v>0</v>
      </c>
      <c r="DZ762" s="549">
        <v>0</v>
      </c>
      <c r="EA762" s="675">
        <v>0</v>
      </c>
      <c r="EB762" s="549">
        <v>0</v>
      </c>
      <c r="EC762" s="675">
        <v>0</v>
      </c>
      <c r="ED762" s="549">
        <v>0</v>
      </c>
      <c r="EE762" s="675">
        <v>0</v>
      </c>
      <c r="EF762" s="549">
        <v>0</v>
      </c>
      <c r="EG762" s="675">
        <v>0</v>
      </c>
      <c r="EH762" s="549">
        <v>0</v>
      </c>
      <c r="EI762" s="675">
        <v>0</v>
      </c>
      <c r="EJ762" s="549">
        <v>0</v>
      </c>
      <c r="EK762" s="675">
        <v>0</v>
      </c>
      <c r="EL762" s="549">
        <v>0</v>
      </c>
      <c r="EM762" s="675">
        <v>0</v>
      </c>
      <c r="EN762" s="549">
        <v>0</v>
      </c>
      <c r="EO762" s="675">
        <v>0</v>
      </c>
      <c r="EP762" s="549">
        <v>0</v>
      </c>
      <c r="EQ762" s="675">
        <v>0</v>
      </c>
      <c r="ER762" s="549">
        <v>0</v>
      </c>
      <c r="ES762" s="675">
        <v>0</v>
      </c>
      <c r="ET762" s="549">
        <v>0</v>
      </c>
      <c r="EU762" s="675">
        <v>0</v>
      </c>
      <c r="EV762" s="549">
        <v>0</v>
      </c>
      <c r="EW762" s="675">
        <v>0</v>
      </c>
      <c r="EX762" s="549">
        <v>0</v>
      </c>
      <c r="EY762" s="675">
        <v>0</v>
      </c>
      <c r="EZ762" s="549">
        <v>0</v>
      </c>
      <c r="FA762" s="675">
        <v>0</v>
      </c>
      <c r="FB762" s="549">
        <v>0</v>
      </c>
      <c r="FC762" s="675">
        <v>0</v>
      </c>
      <c r="FD762" s="549">
        <v>0</v>
      </c>
      <c r="FE762" s="675">
        <v>0</v>
      </c>
      <c r="FF762" s="549">
        <v>0</v>
      </c>
      <c r="FG762" s="675">
        <v>0</v>
      </c>
      <c r="FH762" s="549">
        <v>0</v>
      </c>
      <c r="FI762" s="675">
        <v>0</v>
      </c>
      <c r="FJ762" s="549">
        <v>0</v>
      </c>
      <c r="FK762" s="675">
        <v>0</v>
      </c>
      <c r="FL762" s="549">
        <v>0</v>
      </c>
      <c r="FM762" s="675">
        <v>0</v>
      </c>
      <c r="FN762" s="549">
        <v>0</v>
      </c>
      <c r="FO762" s="675">
        <v>0</v>
      </c>
      <c r="FP762" s="549">
        <v>0</v>
      </c>
      <c r="FQ762" s="675">
        <v>0</v>
      </c>
      <c r="FR762" s="549">
        <v>0</v>
      </c>
      <c r="FS762" s="675">
        <v>0</v>
      </c>
      <c r="FT762" s="549">
        <v>0</v>
      </c>
      <c r="FU762" s="675">
        <v>0</v>
      </c>
      <c r="FV762" s="549">
        <v>0</v>
      </c>
      <c r="FW762" s="675">
        <v>0</v>
      </c>
      <c r="FX762" s="549">
        <v>0</v>
      </c>
      <c r="FY762" s="675">
        <v>0</v>
      </c>
      <c r="FZ762" s="549">
        <v>0</v>
      </c>
      <c r="GA762" s="675">
        <v>0</v>
      </c>
      <c r="GB762" s="549">
        <v>0</v>
      </c>
      <c r="GC762" s="675">
        <v>0</v>
      </c>
      <c r="GD762" s="549">
        <v>0</v>
      </c>
      <c r="GE762" s="675">
        <v>0</v>
      </c>
      <c r="GF762" s="549">
        <v>0</v>
      </c>
      <c r="GG762" s="675">
        <v>0</v>
      </c>
      <c r="GH762" s="549">
        <v>0</v>
      </c>
      <c r="GI762" s="675">
        <v>0</v>
      </c>
      <c r="GJ762" s="549">
        <v>0</v>
      </c>
      <c r="GK762" s="675">
        <v>0</v>
      </c>
      <c r="GL762" s="549">
        <v>0</v>
      </c>
      <c r="GM762" s="675">
        <v>0</v>
      </c>
      <c r="GN762" s="549">
        <v>0</v>
      </c>
      <c r="GO762" s="675">
        <v>0</v>
      </c>
      <c r="GP762" s="549">
        <f t="shared" si="16484"/>
        <v>18700</v>
      </c>
      <c r="GQ762" s="675">
        <f t="shared" si="16485"/>
        <v>0</v>
      </c>
      <c r="GR762" s="74">
        <f t="shared" si="16486"/>
        <v>18700</v>
      </c>
      <c r="GS762" s="74">
        <f t="shared" si="16487"/>
        <v>18700</v>
      </c>
      <c r="GT762" s="568">
        <f t="shared" si="16488"/>
        <v>18700</v>
      </c>
      <c r="GU762" s="275">
        <v>0</v>
      </c>
      <c r="GV762" s="275"/>
      <c r="GW762" s="588"/>
      <c r="GX762" s="275">
        <v>0</v>
      </c>
      <c r="GY762" s="275">
        <v>0</v>
      </c>
      <c r="GZ762" s="275"/>
      <c r="HA762" s="275">
        <f t="shared" si="16489"/>
        <v>0</v>
      </c>
      <c r="HB762" s="275"/>
      <c r="HC762" s="275"/>
      <c r="HD762" s="275">
        <f t="shared" si="16490"/>
        <v>0</v>
      </c>
      <c r="HE762" s="275"/>
      <c r="HF762" s="275">
        <v>0</v>
      </c>
      <c r="HG762" s="74">
        <f t="shared" si="16491"/>
        <v>18700</v>
      </c>
      <c r="HH762" s="89">
        <v>0</v>
      </c>
      <c r="HI762" s="157">
        <v>0</v>
      </c>
      <c r="HJ762" s="89">
        <v>0</v>
      </c>
      <c r="HK762" s="157">
        <v>0</v>
      </c>
      <c r="HL762" s="89">
        <v>0</v>
      </c>
      <c r="HM762" s="157">
        <v>0</v>
      </c>
      <c r="HN762" s="89">
        <v>0</v>
      </c>
      <c r="HO762" s="157">
        <v>0</v>
      </c>
      <c r="HP762" s="89">
        <v>0</v>
      </c>
      <c r="HQ762" s="157">
        <v>0</v>
      </c>
      <c r="HR762" s="89">
        <v>0</v>
      </c>
      <c r="HS762" s="157">
        <v>0</v>
      </c>
      <c r="HT762" s="89">
        <v>0</v>
      </c>
      <c r="HU762" s="157">
        <v>0</v>
      </c>
      <c r="HV762" s="89">
        <v>0</v>
      </c>
      <c r="HW762" s="157">
        <v>0</v>
      </c>
      <c r="HX762" s="89">
        <v>0</v>
      </c>
      <c r="HY762" s="157">
        <v>0</v>
      </c>
      <c r="HZ762" s="89">
        <v>0</v>
      </c>
      <c r="IA762" s="157">
        <v>0</v>
      </c>
      <c r="IB762" s="89">
        <v>0</v>
      </c>
      <c r="IC762" s="157">
        <v>0</v>
      </c>
      <c r="ID762" s="89">
        <v>0</v>
      </c>
      <c r="IE762" s="157">
        <v>0</v>
      </c>
      <c r="IF762" s="717">
        <f t="shared" si="16492"/>
        <v>0</v>
      </c>
      <c r="IG762" s="263">
        <f t="shared" si="16493"/>
        <v>0</v>
      </c>
      <c r="IH762" s="718">
        <f t="shared" si="16494"/>
        <v>0</v>
      </c>
      <c r="II762" s="89">
        <v>0</v>
      </c>
      <c r="IJ762" s="89">
        <f t="shared" si="16495"/>
        <v>0</v>
      </c>
      <c r="IK762" s="89">
        <f t="shared" si="16496"/>
        <v>0</v>
      </c>
      <c r="IL762" s="89">
        <v>0</v>
      </c>
      <c r="IM762" s="89">
        <f t="shared" si="16497"/>
        <v>0</v>
      </c>
      <c r="IN762" s="89">
        <f t="shared" si="16498"/>
        <v>0</v>
      </c>
      <c r="IO762" s="89">
        <v>0</v>
      </c>
      <c r="IP762" s="89">
        <f t="shared" si="16499"/>
        <v>0</v>
      </c>
      <c r="IQ762" s="89">
        <f t="shared" si="16500"/>
        <v>0</v>
      </c>
      <c r="IR762" s="89">
        <v>0</v>
      </c>
      <c r="IS762" s="89">
        <f t="shared" si="16501"/>
        <v>0</v>
      </c>
      <c r="IT762" s="89">
        <f t="shared" si="16502"/>
        <v>0</v>
      </c>
      <c r="IU762" s="89">
        <v>0</v>
      </c>
      <c r="IV762" s="89">
        <f t="shared" si="16503"/>
        <v>0</v>
      </c>
      <c r="IW762" s="89">
        <f t="shared" si="16504"/>
        <v>0</v>
      </c>
      <c r="IX762" s="89">
        <v>0</v>
      </c>
      <c r="IY762" s="89">
        <f t="shared" si="16505"/>
        <v>0</v>
      </c>
      <c r="IZ762" s="89">
        <f t="shared" si="16506"/>
        <v>0</v>
      </c>
      <c r="JA762" s="89">
        <v>0</v>
      </c>
      <c r="JB762" s="89">
        <f t="shared" si="16507"/>
        <v>0</v>
      </c>
      <c r="JC762" s="89">
        <f t="shared" si="16508"/>
        <v>0</v>
      </c>
      <c r="JD762" s="89">
        <v>0</v>
      </c>
      <c r="JE762" s="89">
        <f t="shared" si="16509"/>
        <v>0</v>
      </c>
      <c r="JF762" s="89">
        <f t="shared" si="16510"/>
        <v>0</v>
      </c>
      <c r="JG762" s="89">
        <v>0</v>
      </c>
      <c r="JH762" s="89">
        <f t="shared" si="16511"/>
        <v>0</v>
      </c>
      <c r="JI762" s="89">
        <f t="shared" si="16512"/>
        <v>0</v>
      </c>
      <c r="JJ762" s="89">
        <v>0</v>
      </c>
      <c r="JK762" s="89">
        <f t="shared" si="16513"/>
        <v>0</v>
      </c>
      <c r="JL762" s="89">
        <f t="shared" si="16514"/>
        <v>0</v>
      </c>
      <c r="JM762" s="89">
        <v>0</v>
      </c>
      <c r="JN762" s="89">
        <f t="shared" si="16515"/>
        <v>0</v>
      </c>
      <c r="JO762" s="89">
        <f t="shared" si="16516"/>
        <v>0</v>
      </c>
      <c r="JP762" s="89">
        <v>0</v>
      </c>
      <c r="JQ762" s="89">
        <f t="shared" si="16517"/>
        <v>0</v>
      </c>
      <c r="JR762" s="89">
        <f t="shared" si="16518"/>
        <v>0</v>
      </c>
      <c r="JS762" s="74">
        <f t="shared" si="16519"/>
        <v>18700</v>
      </c>
      <c r="JT762" s="382">
        <f t="shared" si="16520"/>
        <v>18700</v>
      </c>
      <c r="JU762" s="665"/>
      <c r="JV762" s="524"/>
      <c r="JW762" s="525"/>
      <c r="JX762" s="549">
        <f t="shared" si="16521"/>
        <v>0</v>
      </c>
      <c r="JY762" s="549">
        <f t="shared" si="16522"/>
        <v>0</v>
      </c>
      <c r="JZ762" s="581">
        <f t="shared" si="16523"/>
        <v>18700</v>
      </c>
      <c r="KA762" s="581">
        <f t="shared" si="16524"/>
        <v>0</v>
      </c>
      <c r="KB762" s="566">
        <f t="shared" si="16525"/>
        <v>18700</v>
      </c>
      <c r="KC762" s="709">
        <f t="shared" ref="KC762" si="16732">HG762-KB762</f>
        <v>0</v>
      </c>
      <c r="KD762" s="494"/>
      <c r="KE762" s="494"/>
      <c r="KF762" s="494"/>
      <c r="KG762" s="494"/>
      <c r="KH762" s="57"/>
      <c r="KI762" s="57"/>
      <c r="KJ762" s="57"/>
      <c r="KK762" s="57"/>
    </row>
    <row r="763" spans="1:297" s="10" customFormat="1">
      <c r="A763" s="612"/>
      <c r="B763" s="512"/>
      <c r="C763" s="513"/>
      <c r="D763" s="553"/>
      <c r="E763" s="687"/>
      <c r="F763" s="553"/>
      <c r="G763" s="687"/>
      <c r="H763" s="553"/>
      <c r="I763" s="687"/>
      <c r="J763" s="553"/>
      <c r="K763" s="687"/>
      <c r="L763" s="553"/>
      <c r="M763" s="687"/>
      <c r="N763" s="553"/>
      <c r="O763" s="687"/>
      <c r="P763" s="553"/>
      <c r="Q763" s="687"/>
      <c r="R763" s="553"/>
      <c r="S763" s="687"/>
      <c r="T763" s="553"/>
      <c r="U763" s="687"/>
      <c r="V763" s="553"/>
      <c r="W763" s="687"/>
      <c r="X763" s="553"/>
      <c r="Y763" s="687"/>
      <c r="Z763" s="553"/>
      <c r="AA763" s="687"/>
      <c r="AB763" s="553"/>
      <c r="AC763" s="687"/>
      <c r="AD763" s="553"/>
      <c r="AE763" s="687"/>
      <c r="AF763" s="553"/>
      <c r="AG763" s="687"/>
      <c r="AH763" s="553"/>
      <c r="AI763" s="687"/>
      <c r="AJ763" s="553"/>
      <c r="AK763" s="687"/>
      <c r="AL763" s="553"/>
      <c r="AM763" s="687"/>
      <c r="AN763" s="553"/>
      <c r="AO763" s="687"/>
      <c r="AP763" s="553"/>
      <c r="AQ763" s="687"/>
      <c r="AR763" s="553"/>
      <c r="AS763" s="687"/>
      <c r="AT763" s="553"/>
      <c r="AU763" s="687"/>
      <c r="AV763" s="553"/>
      <c r="AW763" s="687"/>
      <c r="AX763" s="553"/>
      <c r="AY763" s="687"/>
      <c r="AZ763" s="553"/>
      <c r="BA763" s="687"/>
      <c r="BB763" s="553"/>
      <c r="BC763" s="687"/>
      <c r="BD763" s="553"/>
      <c r="BE763" s="687"/>
      <c r="BF763" s="553"/>
      <c r="BG763" s="687"/>
      <c r="BH763" s="553"/>
      <c r="BI763" s="687"/>
      <c r="BJ763" s="553"/>
      <c r="BK763" s="687"/>
      <c r="BL763" s="553"/>
      <c r="BM763" s="687"/>
      <c r="BN763" s="553"/>
      <c r="BO763" s="687"/>
      <c r="BP763" s="553"/>
      <c r="BQ763" s="687"/>
      <c r="BR763" s="553"/>
      <c r="BS763" s="687"/>
      <c r="BT763" s="553"/>
      <c r="BU763" s="687"/>
      <c r="BV763" s="553"/>
      <c r="BW763" s="687"/>
      <c r="BX763" s="553"/>
      <c r="BY763" s="687"/>
      <c r="BZ763" s="553"/>
      <c r="CA763" s="687"/>
      <c r="CB763" s="553"/>
      <c r="CC763" s="687"/>
      <c r="CD763" s="553"/>
      <c r="CE763" s="687"/>
      <c r="CF763" s="553"/>
      <c r="CG763" s="687"/>
      <c r="CH763" s="553"/>
      <c r="CI763" s="687"/>
      <c r="CJ763" s="553"/>
      <c r="CK763" s="687"/>
      <c r="CL763" s="553"/>
      <c r="CM763" s="687"/>
      <c r="CN763" s="553"/>
      <c r="CO763" s="687"/>
      <c r="CP763" s="553"/>
      <c r="CQ763" s="687"/>
      <c r="CR763" s="553"/>
      <c r="CS763" s="687"/>
      <c r="CT763" s="553"/>
      <c r="CU763" s="687"/>
      <c r="CV763" s="553"/>
      <c r="CW763" s="687"/>
      <c r="CX763" s="553"/>
      <c r="CY763" s="687"/>
      <c r="CZ763" s="553"/>
      <c r="DA763" s="687"/>
      <c r="DB763" s="553"/>
      <c r="DC763" s="687"/>
      <c r="DD763" s="553"/>
      <c r="DE763" s="687"/>
      <c r="DF763" s="553"/>
      <c r="DG763" s="687"/>
      <c r="DH763" s="553"/>
      <c r="DI763" s="687"/>
      <c r="DJ763" s="553"/>
      <c r="DK763" s="687"/>
      <c r="DL763" s="553"/>
      <c r="DM763" s="687"/>
      <c r="DN763" s="553"/>
      <c r="DO763" s="687"/>
      <c r="DP763" s="553"/>
      <c r="DQ763" s="687"/>
      <c r="DR763" s="553"/>
      <c r="DS763" s="687"/>
      <c r="DT763" s="553"/>
      <c r="DU763" s="687"/>
      <c r="DV763" s="553"/>
      <c r="DW763" s="687"/>
      <c r="DX763" s="553"/>
      <c r="DY763" s="687"/>
      <c r="DZ763" s="553"/>
      <c r="EA763" s="687"/>
      <c r="EB763" s="553"/>
      <c r="EC763" s="687"/>
      <c r="ED763" s="553"/>
      <c r="EE763" s="687"/>
      <c r="EF763" s="553"/>
      <c r="EG763" s="687"/>
      <c r="EH763" s="553"/>
      <c r="EI763" s="687"/>
      <c r="EJ763" s="553"/>
      <c r="EK763" s="687"/>
      <c r="EL763" s="553"/>
      <c r="EM763" s="687"/>
      <c r="EN763" s="553"/>
      <c r="EO763" s="687"/>
      <c r="EP763" s="553"/>
      <c r="EQ763" s="687"/>
      <c r="ER763" s="553"/>
      <c r="ES763" s="687"/>
      <c r="ET763" s="553"/>
      <c r="EU763" s="687"/>
      <c r="EV763" s="553"/>
      <c r="EW763" s="687"/>
      <c r="EX763" s="553"/>
      <c r="EY763" s="687"/>
      <c r="EZ763" s="553"/>
      <c r="FA763" s="687"/>
      <c r="FB763" s="553"/>
      <c r="FC763" s="687"/>
      <c r="FD763" s="553"/>
      <c r="FE763" s="687"/>
      <c r="FF763" s="553"/>
      <c r="FG763" s="687"/>
      <c r="FH763" s="553"/>
      <c r="FI763" s="687"/>
      <c r="FJ763" s="553"/>
      <c r="FK763" s="687"/>
      <c r="FL763" s="553"/>
      <c r="FM763" s="687"/>
      <c r="FN763" s="553"/>
      <c r="FO763" s="687"/>
      <c r="FP763" s="553"/>
      <c r="FQ763" s="687"/>
      <c r="FR763" s="553"/>
      <c r="FS763" s="687"/>
      <c r="FT763" s="553"/>
      <c r="FU763" s="687"/>
      <c r="FV763" s="553"/>
      <c r="FW763" s="687"/>
      <c r="FX763" s="553"/>
      <c r="FY763" s="687"/>
      <c r="FZ763" s="553"/>
      <c r="GA763" s="687"/>
      <c r="GB763" s="553"/>
      <c r="GC763" s="687"/>
      <c r="GD763" s="553"/>
      <c r="GE763" s="687"/>
      <c r="GF763" s="553"/>
      <c r="GG763" s="687"/>
      <c r="GH763" s="553"/>
      <c r="GI763" s="687"/>
      <c r="GJ763" s="553"/>
      <c r="GK763" s="687"/>
      <c r="GL763" s="553"/>
      <c r="GM763" s="687"/>
      <c r="GN763" s="553"/>
      <c r="GO763" s="687"/>
      <c r="GP763" s="553"/>
      <c r="GQ763" s="687"/>
      <c r="GR763" s="487"/>
      <c r="GS763" s="487"/>
      <c r="GT763" s="567"/>
      <c r="GU763" s="493"/>
      <c r="GV763" s="493"/>
      <c r="GW763" s="589"/>
      <c r="GX763" s="589"/>
      <c r="GY763" s="493"/>
      <c r="GZ763" s="493"/>
      <c r="HA763" s="493"/>
      <c r="HB763" s="493"/>
      <c r="HC763" s="493"/>
      <c r="HD763" s="493"/>
      <c r="HE763" s="493"/>
      <c r="HF763" s="493"/>
      <c r="HG763" s="487"/>
      <c r="HH763" s="488"/>
      <c r="HI763" s="829"/>
      <c r="HJ763" s="488"/>
      <c r="HK763" s="829"/>
      <c r="HL763" s="488"/>
      <c r="HM763" s="829"/>
      <c r="HN763" s="488"/>
      <c r="HO763" s="829"/>
      <c r="HP763" s="488"/>
      <c r="HQ763" s="829"/>
      <c r="HR763" s="488"/>
      <c r="HS763" s="829"/>
      <c r="HT763" s="488"/>
      <c r="HU763" s="829"/>
      <c r="HV763" s="488"/>
      <c r="HW763" s="829"/>
      <c r="HX763" s="488"/>
      <c r="HY763" s="829"/>
      <c r="HZ763" s="488"/>
      <c r="IA763" s="829"/>
      <c r="IB763" s="488"/>
      <c r="IC763" s="829"/>
      <c r="ID763" s="488"/>
      <c r="IE763" s="829"/>
      <c r="IF763" s="719"/>
      <c r="IG763" s="486"/>
      <c r="IH763" s="720"/>
      <c r="II763" s="488"/>
      <c r="IJ763" s="488"/>
      <c r="IK763" s="488"/>
      <c r="IL763" s="488"/>
      <c r="IM763" s="488"/>
      <c r="IN763" s="488"/>
      <c r="IO763" s="488"/>
      <c r="IP763" s="488"/>
      <c r="IQ763" s="488"/>
      <c r="IR763" s="488"/>
      <c r="IS763" s="488"/>
      <c r="IT763" s="488"/>
      <c r="IU763" s="488"/>
      <c r="IV763" s="488"/>
      <c r="IW763" s="488"/>
      <c r="IX763" s="488"/>
      <c r="IY763" s="488"/>
      <c r="IZ763" s="488"/>
      <c r="JA763" s="488"/>
      <c r="JB763" s="488"/>
      <c r="JC763" s="488"/>
      <c r="JD763" s="488"/>
      <c r="JE763" s="488"/>
      <c r="JF763" s="488"/>
      <c r="JG763" s="488"/>
      <c r="JH763" s="488"/>
      <c r="JI763" s="488"/>
      <c r="JJ763" s="488"/>
      <c r="JK763" s="488"/>
      <c r="JL763" s="488"/>
      <c r="JM763" s="488"/>
      <c r="JN763" s="488"/>
      <c r="JO763" s="488"/>
      <c r="JP763" s="488"/>
      <c r="JQ763" s="488"/>
      <c r="JR763" s="488"/>
      <c r="JS763" s="487"/>
      <c r="JT763" s="662"/>
      <c r="JU763" s="665"/>
      <c r="JV763" s="524"/>
      <c r="JW763" s="525"/>
      <c r="JX763" s="553"/>
      <c r="JY763" s="549">
        <f t="shared" si="15767"/>
        <v>0</v>
      </c>
      <c r="JZ763" s="581">
        <f t="shared" si="16466"/>
        <v>0</v>
      </c>
      <c r="KA763" s="581">
        <f t="shared" si="16467"/>
        <v>0</v>
      </c>
      <c r="KB763" s="566">
        <f t="shared" si="15406"/>
        <v>0</v>
      </c>
      <c r="KC763" s="709">
        <f t="shared" si="16464"/>
        <v>0</v>
      </c>
      <c r="KD763" s="491"/>
      <c r="KE763" s="491"/>
      <c r="KF763" s="491"/>
      <c r="KG763" s="491"/>
      <c r="KH763" s="36"/>
      <c r="KI763" s="36"/>
      <c r="KJ763" s="36"/>
      <c r="KK763" s="36"/>
    </row>
    <row r="764" spans="1:297" s="10" customFormat="1">
      <c r="A764" s="610" t="s">
        <v>973</v>
      </c>
      <c r="B764" s="510" t="s">
        <v>329</v>
      </c>
      <c r="C764" s="511">
        <f t="shared" ref="C764:AS764" si="16733">C766</f>
        <v>3836800</v>
      </c>
      <c r="D764" s="566">
        <f t="shared" si="16733"/>
        <v>0</v>
      </c>
      <c r="E764" s="684">
        <f t="shared" si="16733"/>
        <v>0</v>
      </c>
      <c r="F764" s="566">
        <f t="shared" si="16733"/>
        <v>0</v>
      </c>
      <c r="G764" s="684">
        <f t="shared" si="16733"/>
        <v>0</v>
      </c>
      <c r="H764" s="566">
        <f t="shared" si="16733"/>
        <v>0</v>
      </c>
      <c r="I764" s="684">
        <f t="shared" si="16733"/>
        <v>0</v>
      </c>
      <c r="J764" s="566">
        <f t="shared" si="16733"/>
        <v>0</v>
      </c>
      <c r="K764" s="684">
        <f t="shared" si="16733"/>
        <v>-227500</v>
      </c>
      <c r="L764" s="566">
        <f t="shared" si="16733"/>
        <v>0</v>
      </c>
      <c r="M764" s="684">
        <f t="shared" si="16733"/>
        <v>0</v>
      </c>
      <c r="N764" s="566">
        <f t="shared" si="16733"/>
        <v>0</v>
      </c>
      <c r="O764" s="684">
        <f t="shared" si="16733"/>
        <v>-113800</v>
      </c>
      <c r="P764" s="566">
        <f t="shared" si="16733"/>
        <v>0</v>
      </c>
      <c r="Q764" s="684">
        <f t="shared" si="16733"/>
        <v>0</v>
      </c>
      <c r="R764" s="566">
        <f t="shared" si="16733"/>
        <v>0</v>
      </c>
      <c r="S764" s="684">
        <f t="shared" si="16733"/>
        <v>0</v>
      </c>
      <c r="T764" s="566">
        <f t="shared" si="16733"/>
        <v>0</v>
      </c>
      <c r="U764" s="684">
        <f t="shared" si="16733"/>
        <v>0</v>
      </c>
      <c r="V764" s="566">
        <f t="shared" si="16733"/>
        <v>0</v>
      </c>
      <c r="W764" s="684">
        <f t="shared" si="16733"/>
        <v>0</v>
      </c>
      <c r="X764" s="566">
        <f t="shared" si="16733"/>
        <v>0</v>
      </c>
      <c r="Y764" s="684">
        <f t="shared" si="16733"/>
        <v>0</v>
      </c>
      <c r="Z764" s="566">
        <f t="shared" si="16733"/>
        <v>0</v>
      </c>
      <c r="AA764" s="684">
        <f t="shared" si="16733"/>
        <v>-258600</v>
      </c>
      <c r="AB764" s="566">
        <f t="shared" si="16733"/>
        <v>0</v>
      </c>
      <c r="AC764" s="684">
        <f t="shared" si="16733"/>
        <v>-128901</v>
      </c>
      <c r="AD764" s="566">
        <f t="shared" si="16733"/>
        <v>0</v>
      </c>
      <c r="AE764" s="684">
        <f t="shared" si="16733"/>
        <v>0</v>
      </c>
      <c r="AF764" s="566">
        <f t="shared" si="16733"/>
        <v>0</v>
      </c>
      <c r="AG764" s="684">
        <f t="shared" si="16733"/>
        <v>0</v>
      </c>
      <c r="AH764" s="566">
        <f t="shared" si="16733"/>
        <v>0</v>
      </c>
      <c r="AI764" s="684">
        <f t="shared" si="16733"/>
        <v>0</v>
      </c>
      <c r="AJ764" s="566">
        <f t="shared" si="16733"/>
        <v>0</v>
      </c>
      <c r="AK764" s="684">
        <f t="shared" si="16733"/>
        <v>0</v>
      </c>
      <c r="AL764" s="566">
        <f t="shared" si="16733"/>
        <v>0</v>
      </c>
      <c r="AM764" s="684">
        <f t="shared" si="16733"/>
        <v>0</v>
      </c>
      <c r="AN764" s="566">
        <f t="shared" si="16733"/>
        <v>0</v>
      </c>
      <c r="AO764" s="684">
        <f t="shared" si="16733"/>
        <v>0</v>
      </c>
      <c r="AP764" s="566">
        <f t="shared" si="16733"/>
        <v>0</v>
      </c>
      <c r="AQ764" s="684">
        <f t="shared" si="16733"/>
        <v>-177095</v>
      </c>
      <c r="AR764" s="566">
        <f t="shared" si="16733"/>
        <v>0</v>
      </c>
      <c r="AS764" s="684">
        <f t="shared" si="16733"/>
        <v>0</v>
      </c>
      <c r="AT764" s="566">
        <f t="shared" ref="AT764:AU764" si="16734">AT766</f>
        <v>0</v>
      </c>
      <c r="AU764" s="684">
        <f t="shared" si="16734"/>
        <v>0</v>
      </c>
      <c r="AV764" s="566">
        <f t="shared" ref="AV764:AW764" si="16735">AV766</f>
        <v>0</v>
      </c>
      <c r="AW764" s="684">
        <f t="shared" si="16735"/>
        <v>0</v>
      </c>
      <c r="AX764" s="566">
        <f t="shared" ref="AX764:AY764" si="16736">AX766</f>
        <v>282000</v>
      </c>
      <c r="AY764" s="684">
        <f t="shared" si="16736"/>
        <v>-201905</v>
      </c>
      <c r="AZ764" s="566">
        <f t="shared" ref="AZ764:BA764" si="16737">AZ766</f>
        <v>0</v>
      </c>
      <c r="BA764" s="684">
        <f t="shared" si="16737"/>
        <v>0</v>
      </c>
      <c r="BB764" s="566">
        <f t="shared" ref="BB764:BC764" si="16738">BB766</f>
        <v>290000</v>
      </c>
      <c r="BC764" s="684">
        <f t="shared" si="16738"/>
        <v>-290000</v>
      </c>
      <c r="BD764" s="566">
        <f t="shared" ref="BD764:BE764" si="16739">BD766</f>
        <v>0</v>
      </c>
      <c r="BE764" s="684">
        <f t="shared" si="16739"/>
        <v>0</v>
      </c>
      <c r="BF764" s="566">
        <f t="shared" ref="BF764:BG764" si="16740">BF766</f>
        <v>0</v>
      </c>
      <c r="BG764" s="684">
        <f t="shared" si="16740"/>
        <v>0</v>
      </c>
      <c r="BH764" s="566">
        <f t="shared" ref="BH764:BI764" si="16741">BH766</f>
        <v>0</v>
      </c>
      <c r="BI764" s="684">
        <f t="shared" si="16741"/>
        <v>0</v>
      </c>
      <c r="BJ764" s="566">
        <f t="shared" ref="BJ764:BK764" si="16742">BJ766</f>
        <v>0</v>
      </c>
      <c r="BK764" s="684">
        <f t="shared" si="16742"/>
        <v>0</v>
      </c>
      <c r="BL764" s="566">
        <f t="shared" ref="BL764:BS764" si="16743">BL766</f>
        <v>0</v>
      </c>
      <c r="BM764" s="684">
        <f t="shared" si="16743"/>
        <v>0</v>
      </c>
      <c r="BN764" s="566">
        <f t="shared" si="16743"/>
        <v>0</v>
      </c>
      <c r="BO764" s="684">
        <f t="shared" si="16743"/>
        <v>0</v>
      </c>
      <c r="BP764" s="566">
        <f t="shared" si="16743"/>
        <v>0</v>
      </c>
      <c r="BQ764" s="684">
        <f t="shared" si="16743"/>
        <v>0</v>
      </c>
      <c r="BR764" s="566">
        <f t="shared" si="16743"/>
        <v>0</v>
      </c>
      <c r="BS764" s="684">
        <f t="shared" si="16743"/>
        <v>-116922</v>
      </c>
      <c r="BT764" s="566">
        <f t="shared" ref="BT764:BU764" si="16744">BT766</f>
        <v>231000</v>
      </c>
      <c r="BU764" s="684">
        <f t="shared" si="16744"/>
        <v>-6900</v>
      </c>
      <c r="BV764" s="566">
        <f t="shared" ref="BV764:BW764" si="16745">BV766</f>
        <v>0</v>
      </c>
      <c r="BW764" s="684">
        <f t="shared" si="16745"/>
        <v>0</v>
      </c>
      <c r="BX764" s="566">
        <f t="shared" ref="BX764:BY764" si="16746">BX766</f>
        <v>0</v>
      </c>
      <c r="BY764" s="684">
        <f t="shared" si="16746"/>
        <v>-12012</v>
      </c>
      <c r="BZ764" s="566">
        <f t="shared" ref="BZ764:CA764" si="16747">BZ766</f>
        <v>0</v>
      </c>
      <c r="CA764" s="684">
        <f t="shared" si="16747"/>
        <v>0</v>
      </c>
      <c r="CB764" s="566">
        <f t="shared" ref="CB764:CE764" si="16748">CB766</f>
        <v>0</v>
      </c>
      <c r="CC764" s="684">
        <f t="shared" si="16748"/>
        <v>0</v>
      </c>
      <c r="CD764" s="566">
        <f t="shared" si="16748"/>
        <v>0</v>
      </c>
      <c r="CE764" s="684">
        <f t="shared" si="16748"/>
        <v>0</v>
      </c>
      <c r="CF764" s="566">
        <f t="shared" ref="CF764:CQ764" si="16749">CF766</f>
        <v>175263</v>
      </c>
      <c r="CG764" s="684">
        <f t="shared" si="16749"/>
        <v>-175263</v>
      </c>
      <c r="CH764" s="566">
        <f t="shared" si="16749"/>
        <v>0</v>
      </c>
      <c r="CI764" s="684">
        <f t="shared" si="16749"/>
        <v>0</v>
      </c>
      <c r="CJ764" s="566">
        <f t="shared" si="16749"/>
        <v>0</v>
      </c>
      <c r="CK764" s="684">
        <f t="shared" si="16749"/>
        <v>0</v>
      </c>
      <c r="CL764" s="566">
        <f t="shared" si="16749"/>
        <v>0</v>
      </c>
      <c r="CM764" s="684">
        <f t="shared" si="16749"/>
        <v>0</v>
      </c>
      <c r="CN764" s="566">
        <f t="shared" si="16749"/>
        <v>0</v>
      </c>
      <c r="CO764" s="684">
        <f t="shared" si="16749"/>
        <v>0</v>
      </c>
      <c r="CP764" s="566">
        <f t="shared" si="16749"/>
        <v>0</v>
      </c>
      <c r="CQ764" s="684">
        <f t="shared" si="16749"/>
        <v>0</v>
      </c>
      <c r="CR764" s="566">
        <f t="shared" ref="CR764:CY764" si="16750">CR766</f>
        <v>0</v>
      </c>
      <c r="CS764" s="684">
        <f t="shared" si="16750"/>
        <v>0</v>
      </c>
      <c r="CT764" s="566">
        <f t="shared" si="16750"/>
        <v>0</v>
      </c>
      <c r="CU764" s="684">
        <f t="shared" si="16750"/>
        <v>0</v>
      </c>
      <c r="CV764" s="566">
        <f t="shared" si="16750"/>
        <v>0</v>
      </c>
      <c r="CW764" s="684">
        <f t="shared" si="16750"/>
        <v>0</v>
      </c>
      <c r="CX764" s="566">
        <f t="shared" si="16750"/>
        <v>0</v>
      </c>
      <c r="CY764" s="684">
        <f t="shared" si="16750"/>
        <v>-100000</v>
      </c>
      <c r="CZ764" s="566">
        <f t="shared" ref="CZ764:DI764" si="16751">CZ766</f>
        <v>0</v>
      </c>
      <c r="DA764" s="684">
        <f t="shared" si="16751"/>
        <v>0</v>
      </c>
      <c r="DB764" s="566">
        <f t="shared" si="16751"/>
        <v>0</v>
      </c>
      <c r="DC764" s="684">
        <f t="shared" si="16751"/>
        <v>-123000</v>
      </c>
      <c r="DD764" s="566">
        <f t="shared" si="16751"/>
        <v>0</v>
      </c>
      <c r="DE764" s="684">
        <f t="shared" si="16751"/>
        <v>-11072</v>
      </c>
      <c r="DF764" s="566">
        <f t="shared" si="16751"/>
        <v>0</v>
      </c>
      <c r="DG764" s="684">
        <f t="shared" si="16751"/>
        <v>0</v>
      </c>
      <c r="DH764" s="566">
        <f t="shared" si="16751"/>
        <v>0</v>
      </c>
      <c r="DI764" s="684">
        <f t="shared" si="16751"/>
        <v>0</v>
      </c>
      <c r="DJ764" s="566">
        <f t="shared" ref="DJ764:DY764" si="16752">DJ766</f>
        <v>0</v>
      </c>
      <c r="DK764" s="684">
        <f t="shared" si="16752"/>
        <v>0</v>
      </c>
      <c r="DL764" s="566">
        <f t="shared" si="16752"/>
        <v>30000</v>
      </c>
      <c r="DM764" s="684">
        <f t="shared" si="16752"/>
        <v>-43500</v>
      </c>
      <c r="DN764" s="566">
        <f t="shared" si="16752"/>
        <v>0</v>
      </c>
      <c r="DO764" s="684">
        <f t="shared" si="16752"/>
        <v>-230937</v>
      </c>
      <c r="DP764" s="566">
        <f t="shared" si="16752"/>
        <v>0</v>
      </c>
      <c r="DQ764" s="684">
        <f t="shared" si="16752"/>
        <v>0</v>
      </c>
      <c r="DR764" s="566">
        <f t="shared" si="16752"/>
        <v>0</v>
      </c>
      <c r="DS764" s="684">
        <f t="shared" si="16752"/>
        <v>-33000</v>
      </c>
      <c r="DT764" s="566">
        <f t="shared" si="16752"/>
        <v>0</v>
      </c>
      <c r="DU764" s="684">
        <f t="shared" si="16752"/>
        <v>0</v>
      </c>
      <c r="DV764" s="566">
        <f t="shared" si="16752"/>
        <v>0</v>
      </c>
      <c r="DW764" s="684">
        <f t="shared" si="16752"/>
        <v>-22000</v>
      </c>
      <c r="DX764" s="566">
        <f t="shared" si="16752"/>
        <v>130371</v>
      </c>
      <c r="DY764" s="684">
        <f t="shared" si="16752"/>
        <v>-38450</v>
      </c>
      <c r="DZ764" s="566">
        <f t="shared" ref="DZ764:EU764" si="16753">DZ766</f>
        <v>0</v>
      </c>
      <c r="EA764" s="684">
        <f t="shared" si="16753"/>
        <v>-18715</v>
      </c>
      <c r="EB764" s="566">
        <f t="shared" si="16753"/>
        <v>0</v>
      </c>
      <c r="EC764" s="684">
        <f t="shared" si="16753"/>
        <v>0</v>
      </c>
      <c r="ED764" s="566">
        <f t="shared" si="16753"/>
        <v>0</v>
      </c>
      <c r="EE764" s="684">
        <f t="shared" si="16753"/>
        <v>0</v>
      </c>
      <c r="EF764" s="566">
        <f t="shared" si="16753"/>
        <v>0</v>
      </c>
      <c r="EG764" s="684">
        <f t="shared" si="16753"/>
        <v>0</v>
      </c>
      <c r="EH764" s="566">
        <f t="shared" ref="EH764:EM764" si="16754">EH766</f>
        <v>0</v>
      </c>
      <c r="EI764" s="684">
        <f t="shared" si="16754"/>
        <v>0</v>
      </c>
      <c r="EJ764" s="566">
        <f t="shared" si="16754"/>
        <v>0</v>
      </c>
      <c r="EK764" s="684">
        <f t="shared" si="16754"/>
        <v>0</v>
      </c>
      <c r="EL764" s="566">
        <f t="shared" si="16754"/>
        <v>0</v>
      </c>
      <c r="EM764" s="684">
        <f t="shared" si="16754"/>
        <v>0</v>
      </c>
      <c r="EN764" s="566">
        <f t="shared" si="16753"/>
        <v>0</v>
      </c>
      <c r="EO764" s="684">
        <f t="shared" si="16753"/>
        <v>-49219</v>
      </c>
      <c r="EP764" s="566">
        <f t="shared" si="16753"/>
        <v>0</v>
      </c>
      <c r="EQ764" s="684">
        <f t="shared" si="16753"/>
        <v>0</v>
      </c>
      <c r="ER764" s="566">
        <f t="shared" si="16753"/>
        <v>0</v>
      </c>
      <c r="ES764" s="684">
        <f t="shared" si="16753"/>
        <v>0</v>
      </c>
      <c r="ET764" s="566">
        <f t="shared" si="16753"/>
        <v>0</v>
      </c>
      <c r="EU764" s="684">
        <f t="shared" si="16753"/>
        <v>0</v>
      </c>
      <c r="EV764" s="566">
        <f t="shared" ref="EV764:FE764" si="16755">EV766</f>
        <v>0</v>
      </c>
      <c r="EW764" s="684">
        <f t="shared" si="16755"/>
        <v>0</v>
      </c>
      <c r="EX764" s="566">
        <f t="shared" si="16755"/>
        <v>0</v>
      </c>
      <c r="EY764" s="684">
        <f t="shared" si="16755"/>
        <v>0</v>
      </c>
      <c r="EZ764" s="566">
        <f t="shared" si="16755"/>
        <v>0</v>
      </c>
      <c r="FA764" s="684">
        <f t="shared" si="16755"/>
        <v>0</v>
      </c>
      <c r="FB764" s="566">
        <f t="shared" si="16755"/>
        <v>0</v>
      </c>
      <c r="FC764" s="684">
        <f t="shared" si="16755"/>
        <v>0</v>
      </c>
      <c r="FD764" s="566">
        <f t="shared" si="16755"/>
        <v>0</v>
      </c>
      <c r="FE764" s="684">
        <f t="shared" si="16755"/>
        <v>0</v>
      </c>
      <c r="FF764" s="566">
        <f t="shared" ref="FF764:FG764" si="16756">FF766</f>
        <v>0</v>
      </c>
      <c r="FG764" s="684">
        <f t="shared" si="16756"/>
        <v>0</v>
      </c>
      <c r="FH764" s="566">
        <f t="shared" ref="FH764:FI764" si="16757">FH766</f>
        <v>0</v>
      </c>
      <c r="FI764" s="684">
        <f t="shared" si="16757"/>
        <v>0</v>
      </c>
      <c r="FJ764" s="566">
        <f t="shared" ref="FJ764:FK764" si="16758">FJ766</f>
        <v>0</v>
      </c>
      <c r="FK764" s="684">
        <f t="shared" si="16758"/>
        <v>0</v>
      </c>
      <c r="FL764" s="566">
        <f t="shared" ref="FL764:FM764" si="16759">FL766</f>
        <v>0</v>
      </c>
      <c r="FM764" s="684">
        <f t="shared" si="16759"/>
        <v>0</v>
      </c>
      <c r="FN764" s="566">
        <f t="shared" ref="FN764:FO764" si="16760">FN766</f>
        <v>0</v>
      </c>
      <c r="FO764" s="684">
        <f t="shared" si="16760"/>
        <v>-14817</v>
      </c>
      <c r="FP764" s="566">
        <f t="shared" ref="FP764:FQ764" si="16761">FP766</f>
        <v>0</v>
      </c>
      <c r="FQ764" s="684">
        <f t="shared" si="16761"/>
        <v>0</v>
      </c>
      <c r="FR764" s="566">
        <f t="shared" ref="FR764:FS764" si="16762">FR766</f>
        <v>0</v>
      </c>
      <c r="FS764" s="684">
        <f t="shared" si="16762"/>
        <v>0</v>
      </c>
      <c r="FT764" s="566">
        <f t="shared" ref="FT764:FU764" si="16763">FT766</f>
        <v>0</v>
      </c>
      <c r="FU764" s="684">
        <f t="shared" si="16763"/>
        <v>0</v>
      </c>
      <c r="FV764" s="566">
        <f t="shared" ref="FV764:GK764" si="16764">FV766</f>
        <v>0</v>
      </c>
      <c r="FW764" s="684">
        <f t="shared" si="16764"/>
        <v>0</v>
      </c>
      <c r="FX764" s="566">
        <f t="shared" si="16764"/>
        <v>0</v>
      </c>
      <c r="FY764" s="684">
        <f t="shared" si="16764"/>
        <v>0</v>
      </c>
      <c r="FZ764" s="566">
        <f t="shared" ref="FZ764:GI764" si="16765">FZ766</f>
        <v>0</v>
      </c>
      <c r="GA764" s="684">
        <f t="shared" si="16765"/>
        <v>-299000</v>
      </c>
      <c r="GB764" s="566">
        <f t="shared" si="16765"/>
        <v>0</v>
      </c>
      <c r="GC764" s="684">
        <f t="shared" si="16765"/>
        <v>0</v>
      </c>
      <c r="GD764" s="566">
        <f t="shared" si="16765"/>
        <v>0</v>
      </c>
      <c r="GE764" s="684">
        <f t="shared" si="16765"/>
        <v>0</v>
      </c>
      <c r="GF764" s="566">
        <f t="shared" si="16765"/>
        <v>0</v>
      </c>
      <c r="GG764" s="684">
        <f t="shared" si="16765"/>
        <v>0</v>
      </c>
      <c r="GH764" s="566">
        <f t="shared" si="16765"/>
        <v>0</v>
      </c>
      <c r="GI764" s="684">
        <f t="shared" si="16765"/>
        <v>0</v>
      </c>
      <c r="GJ764" s="566">
        <f t="shared" si="16764"/>
        <v>0</v>
      </c>
      <c r="GK764" s="684">
        <f t="shared" si="16764"/>
        <v>0</v>
      </c>
      <c r="GL764" s="566">
        <f t="shared" ref="GL764:GM764" si="16766">GL766</f>
        <v>0</v>
      </c>
      <c r="GM764" s="684">
        <f t="shared" si="16766"/>
        <v>0</v>
      </c>
      <c r="GN764" s="566">
        <f t="shared" ref="GN764:GO764" si="16767">GN766</f>
        <v>0</v>
      </c>
      <c r="GO764" s="684">
        <f t="shared" si="16767"/>
        <v>0</v>
      </c>
      <c r="GP764" s="566">
        <f t="shared" ref="GP764:HM764" si="16768">GP766</f>
        <v>1138634</v>
      </c>
      <c r="GQ764" s="684">
        <f t="shared" si="16768"/>
        <v>-2692608</v>
      </c>
      <c r="GR764" s="511">
        <f t="shared" si="16768"/>
        <v>2282826</v>
      </c>
      <c r="GS764" s="511">
        <f t="shared" si="16768"/>
        <v>2282826</v>
      </c>
      <c r="GT764" s="511">
        <f t="shared" si="16768"/>
        <v>2282826</v>
      </c>
      <c r="GU764" s="511">
        <f t="shared" si="16768"/>
        <v>803437</v>
      </c>
      <c r="GV764" s="511">
        <f t="shared" si="16768"/>
        <v>1188880</v>
      </c>
      <c r="GW764" s="511">
        <f t="shared" si="16768"/>
        <v>0</v>
      </c>
      <c r="GX764" s="511">
        <f t="shared" si="16768"/>
        <v>665185</v>
      </c>
      <c r="GY764" s="511">
        <f t="shared" si="16768"/>
        <v>635000</v>
      </c>
      <c r="GZ764" s="511">
        <f t="shared" si="16768"/>
        <v>150000</v>
      </c>
      <c r="HA764" s="511">
        <f t="shared" si="16768"/>
        <v>366659</v>
      </c>
      <c r="HB764" s="511">
        <f t="shared" si="16768"/>
        <v>0</v>
      </c>
      <c r="HC764" s="511">
        <f t="shared" si="16768"/>
        <v>0</v>
      </c>
      <c r="HD764" s="511">
        <f t="shared" si="16768"/>
        <v>27639</v>
      </c>
      <c r="HE764" s="511">
        <f t="shared" si="16768"/>
        <v>0</v>
      </c>
      <c r="HF764" s="511">
        <f t="shared" si="16768"/>
        <v>0</v>
      </c>
      <c r="HG764" s="511">
        <f t="shared" si="16768"/>
        <v>2282826</v>
      </c>
      <c r="HH764" s="511">
        <f t="shared" si="16768"/>
        <v>0</v>
      </c>
      <c r="HI764" s="825">
        <f t="shared" si="16768"/>
        <v>0</v>
      </c>
      <c r="HJ764" s="511">
        <f t="shared" si="16768"/>
        <v>0</v>
      </c>
      <c r="HK764" s="825">
        <f t="shared" si="16768"/>
        <v>341300</v>
      </c>
      <c r="HL764" s="511">
        <f t="shared" si="16768"/>
        <v>0</v>
      </c>
      <c r="HM764" s="825">
        <f t="shared" si="16768"/>
        <v>778169.62</v>
      </c>
      <c r="HN764" s="511">
        <f t="shared" ref="HN764:HO764" si="16769">HN766</f>
        <v>0</v>
      </c>
      <c r="HO764" s="825">
        <f t="shared" si="16769"/>
        <v>866977.76</v>
      </c>
      <c r="HP764" s="511">
        <f t="shared" ref="HP764:HQ764" si="16770">HP766</f>
        <v>0</v>
      </c>
      <c r="HQ764" s="825">
        <f t="shared" si="16770"/>
        <v>136500</v>
      </c>
      <c r="HR764" s="511">
        <f t="shared" ref="HR764:HS764" si="16771">HR766</f>
        <v>0</v>
      </c>
      <c r="HS764" s="825">
        <f t="shared" si="16771"/>
        <v>-87050</v>
      </c>
      <c r="HT764" s="511">
        <f t="shared" ref="HT764:HU764" si="16772">HT766</f>
        <v>0</v>
      </c>
      <c r="HU764" s="825">
        <f t="shared" si="16772"/>
        <v>1287269.23</v>
      </c>
      <c r="HV764" s="511">
        <f t="shared" ref="HV764:HW764" si="16773">HV766</f>
        <v>0</v>
      </c>
      <c r="HW764" s="825">
        <f t="shared" si="16773"/>
        <v>0</v>
      </c>
      <c r="HX764" s="511">
        <f t="shared" ref="HX764:HY764" si="16774">HX766</f>
        <v>0</v>
      </c>
      <c r="HY764" s="825">
        <f t="shared" si="16774"/>
        <v>-31000.000000000007</v>
      </c>
      <c r="HZ764" s="511">
        <f t="shared" ref="HZ764:IA764" si="16775">HZ766</f>
        <v>0</v>
      </c>
      <c r="IA764" s="825">
        <f t="shared" si="16775"/>
        <v>544633.39</v>
      </c>
      <c r="IB764" s="511">
        <f t="shared" ref="IB764:IC764" si="16776">IB766</f>
        <v>0</v>
      </c>
      <c r="IC764" s="825">
        <f t="shared" si="16776"/>
        <v>0</v>
      </c>
      <c r="ID764" s="511">
        <f t="shared" ref="ID764:JT764" si="16777">ID766</f>
        <v>0</v>
      </c>
      <c r="IE764" s="825">
        <f t="shared" si="16777"/>
        <v>0</v>
      </c>
      <c r="IF764" s="727">
        <f t="shared" si="16777"/>
        <v>746428.86</v>
      </c>
      <c r="IG764" s="702">
        <f t="shared" si="16777"/>
        <v>746428.86</v>
      </c>
      <c r="IH764" s="728">
        <f t="shared" si="16777"/>
        <v>746428.86</v>
      </c>
      <c r="II764" s="511">
        <f t="shared" ref="II764:IK764" si="16778">II766</f>
        <v>14812</v>
      </c>
      <c r="IJ764" s="511">
        <f t="shared" si="16778"/>
        <v>14812</v>
      </c>
      <c r="IK764" s="511">
        <f t="shared" si="16778"/>
        <v>14812</v>
      </c>
      <c r="IL764" s="511">
        <f t="shared" ref="IL764:IN764" si="16779">IL766</f>
        <v>46109.73</v>
      </c>
      <c r="IM764" s="511">
        <f t="shared" si="16779"/>
        <v>46109.73</v>
      </c>
      <c r="IN764" s="511">
        <f t="shared" si="16779"/>
        <v>46109.73</v>
      </c>
      <c r="IO764" s="511">
        <f t="shared" ref="IO764:IQ764" si="16780">IO766</f>
        <v>179959.04000000001</v>
      </c>
      <c r="IP764" s="511">
        <f t="shared" si="16780"/>
        <v>179959.04000000001</v>
      </c>
      <c r="IQ764" s="511">
        <f t="shared" si="16780"/>
        <v>179959.04000000001</v>
      </c>
      <c r="IR764" s="511">
        <f t="shared" ref="IR764:IT764" si="16781">IR766</f>
        <v>79377.009999999995</v>
      </c>
      <c r="IS764" s="511">
        <f t="shared" si="16781"/>
        <v>79377.009999999995</v>
      </c>
      <c r="IT764" s="511">
        <f t="shared" si="16781"/>
        <v>79377.009999999995</v>
      </c>
      <c r="IU764" s="511">
        <f t="shared" ref="IU764:IW764" si="16782">IU766</f>
        <v>25249.17</v>
      </c>
      <c r="IV764" s="511">
        <f t="shared" si="16782"/>
        <v>25249.17</v>
      </c>
      <c r="IW764" s="511">
        <f t="shared" si="16782"/>
        <v>25249.17</v>
      </c>
      <c r="IX764" s="511">
        <f t="shared" ref="IX764:IZ764" si="16783">IX766</f>
        <v>25178.68</v>
      </c>
      <c r="IY764" s="511">
        <f t="shared" si="16783"/>
        <v>25178.68</v>
      </c>
      <c r="IZ764" s="511">
        <f t="shared" si="16783"/>
        <v>25178.68</v>
      </c>
      <c r="JA764" s="511">
        <f t="shared" ref="JA764:JC764" si="16784">JA766</f>
        <v>235655.17999999996</v>
      </c>
      <c r="JB764" s="511">
        <f t="shared" si="16784"/>
        <v>235655.17999999996</v>
      </c>
      <c r="JC764" s="511">
        <f t="shared" si="16784"/>
        <v>235655.17999999996</v>
      </c>
      <c r="JD764" s="511">
        <f t="shared" ref="JD764:JF764" si="16785">JD766</f>
        <v>33192.430000000008</v>
      </c>
      <c r="JE764" s="511">
        <f t="shared" si="16785"/>
        <v>33192.430000000008</v>
      </c>
      <c r="JF764" s="511">
        <f t="shared" si="16785"/>
        <v>33192.430000000008</v>
      </c>
      <c r="JG764" s="511">
        <f t="shared" ref="JG764:JI764" si="16786">JG766</f>
        <v>31052.539999999994</v>
      </c>
      <c r="JH764" s="511">
        <f t="shared" si="16786"/>
        <v>31052.539999999994</v>
      </c>
      <c r="JI764" s="511">
        <f t="shared" si="16786"/>
        <v>31052.539999999994</v>
      </c>
      <c r="JJ764" s="511">
        <f t="shared" ref="JJ764:JL764" si="16787">JJ766</f>
        <v>75843.08</v>
      </c>
      <c r="JK764" s="511">
        <f t="shared" si="16787"/>
        <v>75843.08</v>
      </c>
      <c r="JL764" s="511">
        <f t="shared" si="16787"/>
        <v>75843.08</v>
      </c>
      <c r="JM764" s="511">
        <f t="shared" ref="JM764:JO764" si="16788">JM766</f>
        <v>0</v>
      </c>
      <c r="JN764" s="511">
        <f t="shared" si="16788"/>
        <v>0</v>
      </c>
      <c r="JO764" s="511">
        <f t="shared" si="16788"/>
        <v>0</v>
      </c>
      <c r="JP764" s="511">
        <f t="shared" si="16777"/>
        <v>0</v>
      </c>
      <c r="JQ764" s="511">
        <f t="shared" si="16777"/>
        <v>0</v>
      </c>
      <c r="JR764" s="511">
        <f t="shared" si="16777"/>
        <v>0</v>
      </c>
      <c r="JS764" s="511">
        <f t="shared" si="16777"/>
        <v>1536397.1400000001</v>
      </c>
      <c r="JT764" s="572">
        <f t="shared" si="16777"/>
        <v>1536397.1400000001</v>
      </c>
      <c r="JU764" s="665"/>
      <c r="JV764" s="524"/>
      <c r="JW764" s="525"/>
      <c r="JX764" s="566">
        <f>JX766</f>
        <v>0</v>
      </c>
      <c r="JY764" s="549">
        <f t="shared" si="15767"/>
        <v>3836800</v>
      </c>
      <c r="JZ764" s="581">
        <f t="shared" si="16466"/>
        <v>1138634</v>
      </c>
      <c r="KA764" s="581">
        <f t="shared" si="16467"/>
        <v>-2692608</v>
      </c>
      <c r="KB764" s="566">
        <f t="shared" si="15406"/>
        <v>2282826</v>
      </c>
      <c r="KC764" s="709">
        <f t="shared" si="16464"/>
        <v>0</v>
      </c>
      <c r="KD764" s="491"/>
      <c r="KE764" s="491"/>
      <c r="KF764" s="491"/>
      <c r="KG764" s="491"/>
      <c r="KH764" s="36"/>
      <c r="KI764" s="36"/>
      <c r="KJ764" s="36"/>
      <c r="KK764" s="36"/>
    </row>
    <row r="765" spans="1:297" s="10" customFormat="1">
      <c r="A765" s="612"/>
      <c r="B765" s="512"/>
      <c r="C765" s="513"/>
      <c r="D765" s="567"/>
      <c r="E765" s="686"/>
      <c r="F765" s="567"/>
      <c r="G765" s="686"/>
      <c r="H765" s="567"/>
      <c r="I765" s="686"/>
      <c r="J765" s="567"/>
      <c r="K765" s="686"/>
      <c r="L765" s="567"/>
      <c r="M765" s="686"/>
      <c r="N765" s="567"/>
      <c r="O765" s="686"/>
      <c r="P765" s="567"/>
      <c r="Q765" s="686"/>
      <c r="R765" s="567"/>
      <c r="S765" s="686"/>
      <c r="T765" s="567"/>
      <c r="U765" s="686"/>
      <c r="V765" s="567"/>
      <c r="W765" s="686"/>
      <c r="X765" s="567"/>
      <c r="Y765" s="686"/>
      <c r="Z765" s="567"/>
      <c r="AA765" s="686"/>
      <c r="AB765" s="567"/>
      <c r="AC765" s="686"/>
      <c r="AD765" s="567"/>
      <c r="AE765" s="686"/>
      <c r="AF765" s="567"/>
      <c r="AG765" s="686"/>
      <c r="AH765" s="567"/>
      <c r="AI765" s="686"/>
      <c r="AJ765" s="567"/>
      <c r="AK765" s="686"/>
      <c r="AL765" s="567"/>
      <c r="AM765" s="686"/>
      <c r="AN765" s="567"/>
      <c r="AO765" s="686"/>
      <c r="AP765" s="567"/>
      <c r="AQ765" s="686"/>
      <c r="AR765" s="567"/>
      <c r="AS765" s="686"/>
      <c r="AT765" s="567"/>
      <c r="AU765" s="686"/>
      <c r="AV765" s="567"/>
      <c r="AW765" s="686"/>
      <c r="AX765" s="567"/>
      <c r="AY765" s="686"/>
      <c r="AZ765" s="567"/>
      <c r="BA765" s="686"/>
      <c r="BB765" s="567"/>
      <c r="BC765" s="686"/>
      <c r="BD765" s="567"/>
      <c r="BE765" s="686"/>
      <c r="BF765" s="567"/>
      <c r="BG765" s="686"/>
      <c r="BH765" s="567"/>
      <c r="BI765" s="686"/>
      <c r="BJ765" s="567"/>
      <c r="BK765" s="686"/>
      <c r="BL765" s="567"/>
      <c r="BM765" s="686"/>
      <c r="BN765" s="567"/>
      <c r="BO765" s="686"/>
      <c r="BP765" s="567"/>
      <c r="BQ765" s="686"/>
      <c r="BR765" s="567"/>
      <c r="BS765" s="686"/>
      <c r="BT765" s="567"/>
      <c r="BU765" s="686"/>
      <c r="BV765" s="567"/>
      <c r="BW765" s="686"/>
      <c r="BX765" s="567"/>
      <c r="BY765" s="686"/>
      <c r="BZ765" s="567"/>
      <c r="CA765" s="686"/>
      <c r="CB765" s="567"/>
      <c r="CC765" s="686"/>
      <c r="CD765" s="567"/>
      <c r="CE765" s="686"/>
      <c r="CF765" s="567"/>
      <c r="CG765" s="686"/>
      <c r="CH765" s="567"/>
      <c r="CI765" s="686"/>
      <c r="CJ765" s="567"/>
      <c r="CK765" s="686"/>
      <c r="CL765" s="567"/>
      <c r="CM765" s="686"/>
      <c r="CN765" s="567"/>
      <c r="CO765" s="686"/>
      <c r="CP765" s="567"/>
      <c r="CQ765" s="686"/>
      <c r="CR765" s="567"/>
      <c r="CS765" s="686"/>
      <c r="CT765" s="567"/>
      <c r="CU765" s="686"/>
      <c r="CV765" s="567"/>
      <c r="CW765" s="686"/>
      <c r="CX765" s="567"/>
      <c r="CY765" s="686"/>
      <c r="CZ765" s="567"/>
      <c r="DA765" s="686"/>
      <c r="DB765" s="567"/>
      <c r="DC765" s="686"/>
      <c r="DD765" s="567"/>
      <c r="DE765" s="686"/>
      <c r="DF765" s="567"/>
      <c r="DG765" s="686"/>
      <c r="DH765" s="567"/>
      <c r="DI765" s="686"/>
      <c r="DJ765" s="567"/>
      <c r="DK765" s="686"/>
      <c r="DL765" s="567"/>
      <c r="DM765" s="686"/>
      <c r="DN765" s="567"/>
      <c r="DO765" s="686"/>
      <c r="DP765" s="567"/>
      <c r="DQ765" s="686"/>
      <c r="DR765" s="567"/>
      <c r="DS765" s="686"/>
      <c r="DT765" s="567"/>
      <c r="DU765" s="686"/>
      <c r="DV765" s="567"/>
      <c r="DW765" s="686"/>
      <c r="DX765" s="567"/>
      <c r="DY765" s="686"/>
      <c r="DZ765" s="567"/>
      <c r="EA765" s="686"/>
      <c r="EB765" s="567"/>
      <c r="EC765" s="686"/>
      <c r="ED765" s="567"/>
      <c r="EE765" s="686"/>
      <c r="EF765" s="567"/>
      <c r="EG765" s="686"/>
      <c r="EH765" s="567"/>
      <c r="EI765" s="686"/>
      <c r="EJ765" s="567"/>
      <c r="EK765" s="686"/>
      <c r="EL765" s="567"/>
      <c r="EM765" s="686"/>
      <c r="EN765" s="567"/>
      <c r="EO765" s="686"/>
      <c r="EP765" s="567"/>
      <c r="EQ765" s="686"/>
      <c r="ER765" s="567"/>
      <c r="ES765" s="686"/>
      <c r="ET765" s="567"/>
      <c r="EU765" s="686"/>
      <c r="EV765" s="567"/>
      <c r="EW765" s="686"/>
      <c r="EX765" s="567"/>
      <c r="EY765" s="686"/>
      <c r="EZ765" s="567"/>
      <c r="FA765" s="686"/>
      <c r="FB765" s="567"/>
      <c r="FC765" s="686"/>
      <c r="FD765" s="567"/>
      <c r="FE765" s="686"/>
      <c r="FF765" s="567"/>
      <c r="FG765" s="686"/>
      <c r="FH765" s="567"/>
      <c r="FI765" s="686"/>
      <c r="FJ765" s="567"/>
      <c r="FK765" s="686"/>
      <c r="FL765" s="567"/>
      <c r="FM765" s="686"/>
      <c r="FN765" s="567"/>
      <c r="FO765" s="686"/>
      <c r="FP765" s="567"/>
      <c r="FQ765" s="686"/>
      <c r="FR765" s="567"/>
      <c r="FS765" s="686"/>
      <c r="FT765" s="567"/>
      <c r="FU765" s="686"/>
      <c r="FV765" s="567"/>
      <c r="FW765" s="686"/>
      <c r="FX765" s="567"/>
      <c r="FY765" s="686"/>
      <c r="FZ765" s="567"/>
      <c r="GA765" s="686"/>
      <c r="GB765" s="567"/>
      <c r="GC765" s="686"/>
      <c r="GD765" s="567"/>
      <c r="GE765" s="686"/>
      <c r="GF765" s="567"/>
      <c r="GG765" s="686"/>
      <c r="GH765" s="567"/>
      <c r="GI765" s="686"/>
      <c r="GJ765" s="567"/>
      <c r="GK765" s="686"/>
      <c r="GL765" s="567"/>
      <c r="GM765" s="686"/>
      <c r="GN765" s="567"/>
      <c r="GO765" s="686"/>
      <c r="GP765" s="567"/>
      <c r="GQ765" s="686"/>
      <c r="GR765" s="513"/>
      <c r="GS765" s="513"/>
      <c r="GT765" s="567"/>
      <c r="GU765" s="513"/>
      <c r="GV765" s="513"/>
      <c r="GW765" s="567"/>
      <c r="GX765" s="567"/>
      <c r="GY765" s="513"/>
      <c r="GZ765" s="513"/>
      <c r="HA765" s="513"/>
      <c r="HB765" s="513"/>
      <c r="HC765" s="513"/>
      <c r="HD765" s="513"/>
      <c r="HE765" s="513"/>
      <c r="HF765" s="513"/>
      <c r="HG765" s="513"/>
      <c r="HH765" s="513"/>
      <c r="HI765" s="827"/>
      <c r="HJ765" s="513"/>
      <c r="HK765" s="827"/>
      <c r="HL765" s="513"/>
      <c r="HM765" s="827"/>
      <c r="HN765" s="513"/>
      <c r="HO765" s="827"/>
      <c r="HP765" s="513"/>
      <c r="HQ765" s="827"/>
      <c r="HR765" s="513"/>
      <c r="HS765" s="827"/>
      <c r="HT765" s="513"/>
      <c r="HU765" s="827"/>
      <c r="HV765" s="513"/>
      <c r="HW765" s="827"/>
      <c r="HX765" s="513"/>
      <c r="HY765" s="827"/>
      <c r="HZ765" s="513"/>
      <c r="IA765" s="827"/>
      <c r="IB765" s="513"/>
      <c r="IC765" s="827"/>
      <c r="ID765" s="513"/>
      <c r="IE765" s="827"/>
      <c r="IF765" s="715"/>
      <c r="IG765" s="704"/>
      <c r="IH765" s="716"/>
      <c r="II765" s="513"/>
      <c r="IJ765" s="513"/>
      <c r="IK765" s="513"/>
      <c r="IL765" s="513"/>
      <c r="IM765" s="513"/>
      <c r="IN765" s="513"/>
      <c r="IO765" s="513"/>
      <c r="IP765" s="513"/>
      <c r="IQ765" s="513"/>
      <c r="IR765" s="513"/>
      <c r="IS765" s="513"/>
      <c r="IT765" s="513"/>
      <c r="IU765" s="513"/>
      <c r="IV765" s="513"/>
      <c r="IW765" s="513"/>
      <c r="IX765" s="513"/>
      <c r="IY765" s="513"/>
      <c r="IZ765" s="513"/>
      <c r="JA765" s="513"/>
      <c r="JB765" s="513"/>
      <c r="JC765" s="513"/>
      <c r="JD765" s="513"/>
      <c r="JE765" s="513"/>
      <c r="JF765" s="513"/>
      <c r="JG765" s="513"/>
      <c r="JH765" s="513"/>
      <c r="JI765" s="513"/>
      <c r="JJ765" s="513"/>
      <c r="JK765" s="513"/>
      <c r="JL765" s="513"/>
      <c r="JM765" s="513"/>
      <c r="JN765" s="513"/>
      <c r="JO765" s="513"/>
      <c r="JP765" s="513"/>
      <c r="JQ765" s="513"/>
      <c r="JR765" s="513"/>
      <c r="JS765" s="513"/>
      <c r="JT765" s="573"/>
      <c r="JU765" s="665"/>
      <c r="JV765" s="524"/>
      <c r="JW765" s="525"/>
      <c r="JX765" s="567"/>
      <c r="JY765" s="549">
        <f t="shared" si="15767"/>
        <v>0</v>
      </c>
      <c r="JZ765" s="581">
        <f t="shared" si="16466"/>
        <v>0</v>
      </c>
      <c r="KA765" s="581">
        <f t="shared" si="16467"/>
        <v>0</v>
      </c>
      <c r="KB765" s="566">
        <f t="shared" si="15406"/>
        <v>0</v>
      </c>
      <c r="KC765" s="709">
        <f t="shared" si="16464"/>
        <v>0</v>
      </c>
      <c r="KD765" s="491"/>
      <c r="KE765" s="491"/>
      <c r="KF765" s="491"/>
      <c r="KG765" s="491"/>
      <c r="KH765" s="36"/>
      <c r="KI765" s="36"/>
      <c r="KJ765" s="36"/>
      <c r="KK765" s="36"/>
    </row>
    <row r="766" spans="1:297" s="10" customFormat="1">
      <c r="A766" s="610" t="s">
        <v>779</v>
      </c>
      <c r="B766" s="510" t="s">
        <v>974</v>
      </c>
      <c r="C766" s="511">
        <f>+C768+C783+C790+C827+C842+C845+C856+C860+C863+C868</f>
        <v>3836800</v>
      </c>
      <c r="D766" s="566">
        <f t="shared" ref="D766:GQ766" si="16789">+D768+D783+D790+D827+D842+D845+D856+D860+D863+D868</f>
        <v>0</v>
      </c>
      <c r="E766" s="684">
        <f t="shared" si="16789"/>
        <v>0</v>
      </c>
      <c r="F766" s="566">
        <f t="shared" si="16789"/>
        <v>0</v>
      </c>
      <c r="G766" s="684">
        <f t="shared" si="16789"/>
        <v>0</v>
      </c>
      <c r="H766" s="566">
        <f t="shared" si="16789"/>
        <v>0</v>
      </c>
      <c r="I766" s="684">
        <f t="shared" si="16789"/>
        <v>0</v>
      </c>
      <c r="J766" s="566">
        <f t="shared" si="16789"/>
        <v>0</v>
      </c>
      <c r="K766" s="684">
        <f t="shared" si="16789"/>
        <v>-227500</v>
      </c>
      <c r="L766" s="566">
        <f t="shared" si="16789"/>
        <v>0</v>
      </c>
      <c r="M766" s="684">
        <f t="shared" si="16789"/>
        <v>0</v>
      </c>
      <c r="N766" s="566">
        <f t="shared" si="16789"/>
        <v>0</v>
      </c>
      <c r="O766" s="684">
        <f t="shared" si="16789"/>
        <v>-113800</v>
      </c>
      <c r="P766" s="566">
        <f t="shared" si="16789"/>
        <v>0</v>
      </c>
      <c r="Q766" s="684">
        <f t="shared" si="16789"/>
        <v>0</v>
      </c>
      <c r="R766" s="566">
        <f t="shared" si="16789"/>
        <v>0</v>
      </c>
      <c r="S766" s="684">
        <f t="shared" si="16789"/>
        <v>0</v>
      </c>
      <c r="T766" s="566">
        <f t="shared" si="16789"/>
        <v>0</v>
      </c>
      <c r="U766" s="684">
        <f t="shared" si="16789"/>
        <v>0</v>
      </c>
      <c r="V766" s="566">
        <f t="shared" si="16789"/>
        <v>0</v>
      </c>
      <c r="W766" s="684">
        <f t="shared" si="16789"/>
        <v>0</v>
      </c>
      <c r="X766" s="566">
        <f t="shared" si="16789"/>
        <v>0</v>
      </c>
      <c r="Y766" s="684">
        <f t="shared" si="16789"/>
        <v>0</v>
      </c>
      <c r="Z766" s="566">
        <f t="shared" si="16789"/>
        <v>0</v>
      </c>
      <c r="AA766" s="684">
        <f t="shared" si="16789"/>
        <v>-258600</v>
      </c>
      <c r="AB766" s="566">
        <f t="shared" si="16789"/>
        <v>0</v>
      </c>
      <c r="AC766" s="684">
        <f t="shared" si="16789"/>
        <v>-128901</v>
      </c>
      <c r="AD766" s="566">
        <f t="shared" si="16789"/>
        <v>0</v>
      </c>
      <c r="AE766" s="684">
        <f t="shared" si="16789"/>
        <v>0</v>
      </c>
      <c r="AF766" s="566">
        <f t="shared" si="16789"/>
        <v>0</v>
      </c>
      <c r="AG766" s="684">
        <f t="shared" si="16789"/>
        <v>0</v>
      </c>
      <c r="AH766" s="566">
        <f t="shared" si="16789"/>
        <v>0</v>
      </c>
      <c r="AI766" s="684">
        <f t="shared" si="16789"/>
        <v>0</v>
      </c>
      <c r="AJ766" s="566">
        <f t="shared" si="16789"/>
        <v>0</v>
      </c>
      <c r="AK766" s="684">
        <f t="shared" si="16789"/>
        <v>0</v>
      </c>
      <c r="AL766" s="566">
        <f t="shared" si="16789"/>
        <v>0</v>
      </c>
      <c r="AM766" s="684">
        <f t="shared" si="16789"/>
        <v>0</v>
      </c>
      <c r="AN766" s="566">
        <f t="shared" si="16789"/>
        <v>0</v>
      </c>
      <c r="AO766" s="684">
        <f t="shared" si="16789"/>
        <v>0</v>
      </c>
      <c r="AP766" s="566">
        <f t="shared" si="16789"/>
        <v>0</v>
      </c>
      <c r="AQ766" s="684">
        <f t="shared" si="16789"/>
        <v>-177095</v>
      </c>
      <c r="AR766" s="566">
        <f t="shared" si="16789"/>
        <v>0</v>
      </c>
      <c r="AS766" s="684">
        <f t="shared" si="16789"/>
        <v>0</v>
      </c>
      <c r="AT766" s="566">
        <f t="shared" si="16789"/>
        <v>0</v>
      </c>
      <c r="AU766" s="684">
        <f t="shared" si="16789"/>
        <v>0</v>
      </c>
      <c r="AV766" s="566">
        <f t="shared" si="16789"/>
        <v>0</v>
      </c>
      <c r="AW766" s="684">
        <f t="shared" si="16789"/>
        <v>0</v>
      </c>
      <c r="AX766" s="566">
        <f t="shared" si="16789"/>
        <v>282000</v>
      </c>
      <c r="AY766" s="684">
        <f t="shared" si="16789"/>
        <v>-201905</v>
      </c>
      <c r="AZ766" s="566">
        <f>+AZ768+AZ783+AZ790+AZ827+AZ842+AZ845+AZ856+AZ860+AZ863+AZ868</f>
        <v>0</v>
      </c>
      <c r="BA766" s="684">
        <f t="shared" si="16789"/>
        <v>0</v>
      </c>
      <c r="BB766" s="566">
        <f>+BB768+BB783+BB790+BB827+BB842+BB845+BB856+BB860+BB863+BB868</f>
        <v>290000</v>
      </c>
      <c r="BC766" s="684">
        <f t="shared" si="16789"/>
        <v>-290000</v>
      </c>
      <c r="BD766" s="566">
        <f>+BD768+BD783+BD790+BD827+BD842+BD845+BD856+BD860+BD863+BD868</f>
        <v>0</v>
      </c>
      <c r="BE766" s="684">
        <f t="shared" si="16789"/>
        <v>0</v>
      </c>
      <c r="BF766" s="566">
        <f>+BF768+BF783+BF790+BF827+BF842+BF845+BF856+BF860+BF863+BF868</f>
        <v>0</v>
      </c>
      <c r="BG766" s="684">
        <f t="shared" si="16789"/>
        <v>0</v>
      </c>
      <c r="BH766" s="566">
        <f>+BH768+BH783+BH790+BH827+BH842+BH845+BH856+BH860+BH863+BH868</f>
        <v>0</v>
      </c>
      <c r="BI766" s="684">
        <f t="shared" si="16789"/>
        <v>0</v>
      </c>
      <c r="BJ766" s="566">
        <f>+BJ768+BJ783+BJ790+BJ827+BJ842+BJ845+BJ856+BJ860+BJ863+BJ868</f>
        <v>0</v>
      </c>
      <c r="BK766" s="684">
        <f t="shared" si="16789"/>
        <v>0</v>
      </c>
      <c r="BL766" s="566">
        <f>+BL768+BL783+BL790+BL827+BL842+BL845+BL856+BL860+BL863+BL868</f>
        <v>0</v>
      </c>
      <c r="BM766" s="684">
        <f t="shared" si="16789"/>
        <v>0</v>
      </c>
      <c r="BN766" s="566">
        <f>+BN768+BN783+BN790+BN827+BN842+BN845+BN856+BN860+BN863+BN868</f>
        <v>0</v>
      </c>
      <c r="BO766" s="684">
        <f t="shared" si="16789"/>
        <v>0</v>
      </c>
      <c r="BP766" s="566">
        <f>+BP768+BP783+BP790+BP827+BP842+BP845+BP856+BP860+BP863+BP868</f>
        <v>0</v>
      </c>
      <c r="BQ766" s="684">
        <f t="shared" si="16789"/>
        <v>0</v>
      </c>
      <c r="BR766" s="566">
        <f>+BR768+BR783+BR790+BR827+BR842+BR845+BR856+BR860+BR863+BR868</f>
        <v>0</v>
      </c>
      <c r="BS766" s="684">
        <f t="shared" si="16789"/>
        <v>-116922</v>
      </c>
      <c r="BT766" s="566">
        <f>+BT768+BT783+BT790+BT827+BT842+BT845+BT856+BT860+BT863+BT868</f>
        <v>231000</v>
      </c>
      <c r="BU766" s="684">
        <f t="shared" si="16789"/>
        <v>-6900</v>
      </c>
      <c r="BV766" s="566">
        <f>+BV768+BV783+BV790+BV827+BV842+BV845+BV856+BV860+BV863+BV868</f>
        <v>0</v>
      </c>
      <c r="BW766" s="684">
        <f t="shared" si="16789"/>
        <v>0</v>
      </c>
      <c r="BX766" s="566">
        <f>+BX768+BX783+BX790+BX827+BX842+BX845+BX856+BX860+BX863+BX868</f>
        <v>0</v>
      </c>
      <c r="BY766" s="684">
        <f t="shared" si="16789"/>
        <v>-12012</v>
      </c>
      <c r="BZ766" s="566">
        <f>+BZ768+BZ783+BZ790+BZ827+BZ842+BZ845+BZ856+BZ860+BZ863+BZ868</f>
        <v>0</v>
      </c>
      <c r="CA766" s="684">
        <f t="shared" si="16789"/>
        <v>0</v>
      </c>
      <c r="CB766" s="566">
        <f>+CB768+CB783+CB790+CB827+CB842+CB845+CB856+CB860+CB863+CB868</f>
        <v>0</v>
      </c>
      <c r="CC766" s="684">
        <f t="shared" si="16789"/>
        <v>0</v>
      </c>
      <c r="CD766" s="566">
        <f>+CD768+CD783+CD790+CD827+CD842+CD845+CD856+CD860+CD863+CD868</f>
        <v>0</v>
      </c>
      <c r="CE766" s="684">
        <f t="shared" si="16789"/>
        <v>0</v>
      </c>
      <c r="CF766" s="566">
        <f>+CF768+CF783+CF790+CF827+CF842+CF845+CF856+CF860+CF863+CF868</f>
        <v>175263</v>
      </c>
      <c r="CG766" s="684">
        <f t="shared" si="16789"/>
        <v>-175263</v>
      </c>
      <c r="CH766" s="566">
        <f>+CH768+CH783+CH790+CH827+CH842+CH845+CH856+CH860+CH863+CH868</f>
        <v>0</v>
      </c>
      <c r="CI766" s="684">
        <f t="shared" si="16789"/>
        <v>0</v>
      </c>
      <c r="CJ766" s="566">
        <f>+CJ768+CJ783+CJ790+CJ827+CJ842+CJ845+CJ856+CJ860+CJ863+CJ868</f>
        <v>0</v>
      </c>
      <c r="CK766" s="684">
        <f t="shared" si="16789"/>
        <v>0</v>
      </c>
      <c r="CL766" s="566">
        <f>+CL768+CL783+CL790+CL827+CL842+CL845+CL856+CL860+CL863+CL868</f>
        <v>0</v>
      </c>
      <c r="CM766" s="684">
        <f t="shared" si="16789"/>
        <v>0</v>
      </c>
      <c r="CN766" s="566">
        <f>+CN768+CN783+CN790+CN827+CN842+CN845+CN856+CN860+CN863+CN868</f>
        <v>0</v>
      </c>
      <c r="CO766" s="684">
        <f t="shared" si="16789"/>
        <v>0</v>
      </c>
      <c r="CP766" s="566">
        <f>+CP768+CP783+CP790+CP827+CP842+CP845+CP856+CP860+CP863+CP868</f>
        <v>0</v>
      </c>
      <c r="CQ766" s="684">
        <f t="shared" si="16789"/>
        <v>0</v>
      </c>
      <c r="CR766" s="566">
        <f>+CR768+CR783+CR790+CR827+CR842+CR845+CR856+CR860+CR863+CR868</f>
        <v>0</v>
      </c>
      <c r="CS766" s="684">
        <f t="shared" si="16789"/>
        <v>0</v>
      </c>
      <c r="CT766" s="566">
        <f>+CT768+CT783+CT790+CT827+CT842+CT845+CT856+CT860+CT863+CT868</f>
        <v>0</v>
      </c>
      <c r="CU766" s="684">
        <f t="shared" si="16789"/>
        <v>0</v>
      </c>
      <c r="CV766" s="566">
        <f>+CV768+CV783+CV790+CV827+CV842+CV845+CV856+CV860+CV863+CV868</f>
        <v>0</v>
      </c>
      <c r="CW766" s="684">
        <f t="shared" si="16789"/>
        <v>0</v>
      </c>
      <c r="CX766" s="566">
        <f>+CX768+CX783+CX790+CX827+CX842+CX845+CX856+CX860+CX863+CX868</f>
        <v>0</v>
      </c>
      <c r="CY766" s="684">
        <f t="shared" si="16789"/>
        <v>-100000</v>
      </c>
      <c r="CZ766" s="566">
        <f>+CZ768+CZ783+CZ790+CZ827+CZ842+CZ845+CZ856+CZ860+CZ863+CZ868</f>
        <v>0</v>
      </c>
      <c r="DA766" s="684">
        <f t="shared" si="16789"/>
        <v>0</v>
      </c>
      <c r="DB766" s="566">
        <f>+DB768+DB783+DB790+DB827+DB842+DB845+DB856+DB860+DB863+DB868</f>
        <v>0</v>
      </c>
      <c r="DC766" s="684">
        <f t="shared" si="16789"/>
        <v>-123000</v>
      </c>
      <c r="DD766" s="566">
        <f>+DD768+DD783+DD790+DD827+DD842+DD845+DD856+DD860+DD863+DD868</f>
        <v>0</v>
      </c>
      <c r="DE766" s="684">
        <f t="shared" si="16789"/>
        <v>-11072</v>
      </c>
      <c r="DF766" s="566">
        <f>+DF768+DF783+DF790+DF827+DF842+DF845+DF856+DF860+DF863+DF868</f>
        <v>0</v>
      </c>
      <c r="DG766" s="684">
        <f t="shared" si="16789"/>
        <v>0</v>
      </c>
      <c r="DH766" s="566">
        <f>+DH768+DH783+DH790+DH827+DH842+DH845+DH856+DH860+DH863+DH868</f>
        <v>0</v>
      </c>
      <c r="DI766" s="684">
        <f t="shared" si="16789"/>
        <v>0</v>
      </c>
      <c r="DJ766" s="566">
        <f>+DJ768+DJ783+DJ790+DJ827+DJ842+DJ845+DJ856+DJ860+DJ863+DJ868</f>
        <v>0</v>
      </c>
      <c r="DK766" s="684">
        <f t="shared" si="16789"/>
        <v>0</v>
      </c>
      <c r="DL766" s="566">
        <f>+DL768+DL783+DL790+DL827+DL842+DL845+DL856+DL860+DL863+DL868</f>
        <v>30000</v>
      </c>
      <c r="DM766" s="684">
        <f t="shared" si="16789"/>
        <v>-43500</v>
      </c>
      <c r="DN766" s="566">
        <f>+DN768+DN783+DN790+DN827+DN842+DN845+DN856+DN860+DN863+DN868</f>
        <v>0</v>
      </c>
      <c r="DO766" s="684">
        <f t="shared" si="16789"/>
        <v>-230937</v>
      </c>
      <c r="DP766" s="566">
        <f>+DP768+DP783+DP790+DP827+DP842+DP845+DP856+DP860+DP863+DP868</f>
        <v>0</v>
      </c>
      <c r="DQ766" s="684">
        <f t="shared" si="16789"/>
        <v>0</v>
      </c>
      <c r="DR766" s="566">
        <f>+DR768+DR783+DR790+DR827+DR842+DR845+DR856+DR860+DR863+DR868</f>
        <v>0</v>
      </c>
      <c r="DS766" s="684">
        <f t="shared" si="16789"/>
        <v>-33000</v>
      </c>
      <c r="DT766" s="566">
        <f>+DT768+DT783+DT790+DT827+DT842+DT845+DT856+DT860+DT863+DT868</f>
        <v>0</v>
      </c>
      <c r="DU766" s="684">
        <f t="shared" si="16789"/>
        <v>0</v>
      </c>
      <c r="DV766" s="566">
        <f>+DV768+DV783+DV790+DV827+DV842+DV845+DV856+DV860+DV863+DV868</f>
        <v>0</v>
      </c>
      <c r="DW766" s="684">
        <f t="shared" si="16789"/>
        <v>-22000</v>
      </c>
      <c r="DX766" s="566">
        <f>+DX768+DX783+DX790+DX827+DX842+DX845+DX856+DX860+DX863+DX868</f>
        <v>130371</v>
      </c>
      <c r="DY766" s="684">
        <f t="shared" si="16789"/>
        <v>-38450</v>
      </c>
      <c r="DZ766" s="566">
        <f>+DZ768+DZ783+DZ790+DZ827+DZ842+DZ845+DZ856+DZ860+DZ863+DZ868</f>
        <v>0</v>
      </c>
      <c r="EA766" s="684">
        <f t="shared" si="16789"/>
        <v>-18715</v>
      </c>
      <c r="EB766" s="566">
        <f>+EB768+EB783+EB790+EB827+EB842+EB845+EB856+EB860+EB863+EB868</f>
        <v>0</v>
      </c>
      <c r="EC766" s="684">
        <f t="shared" si="16789"/>
        <v>0</v>
      </c>
      <c r="ED766" s="566">
        <f>+ED768+ED783+ED790+ED827+ED842+ED845+ED856+ED860+ED863+ED868</f>
        <v>0</v>
      </c>
      <c r="EE766" s="684">
        <f t="shared" si="16789"/>
        <v>0</v>
      </c>
      <c r="EF766" s="566">
        <f>+EF768+EF783+EF790+EF827+EF842+EF845+EF856+EF860+EF863+EF868</f>
        <v>0</v>
      </c>
      <c r="EG766" s="684">
        <f t="shared" si="16789"/>
        <v>0</v>
      </c>
      <c r="EH766" s="566">
        <f>+EH768+EH783+EH790+EH827+EH842+EH845+EH856+EH860+EH863+EH868</f>
        <v>0</v>
      </c>
      <c r="EI766" s="684">
        <f t="shared" si="16789"/>
        <v>0</v>
      </c>
      <c r="EJ766" s="566">
        <f>+EJ768+EJ783+EJ790+EJ827+EJ842+EJ845+EJ856+EJ860+EJ863+EJ868</f>
        <v>0</v>
      </c>
      <c r="EK766" s="684">
        <f t="shared" si="16789"/>
        <v>0</v>
      </c>
      <c r="EL766" s="566">
        <f>+EL768+EL783+EL790+EL827+EL842+EL845+EL856+EL860+EL863+EL868</f>
        <v>0</v>
      </c>
      <c r="EM766" s="684">
        <f t="shared" si="16789"/>
        <v>0</v>
      </c>
      <c r="EN766" s="566">
        <f>+EN768+EN783+EN790+EN827+EN842+EN845+EN856+EN860+EN863+EN868</f>
        <v>0</v>
      </c>
      <c r="EO766" s="684">
        <f t="shared" si="16789"/>
        <v>-49219</v>
      </c>
      <c r="EP766" s="566">
        <f>+EP768+EP783+EP790+EP827+EP842+EP845+EP856+EP860+EP863+EP868</f>
        <v>0</v>
      </c>
      <c r="EQ766" s="684">
        <f t="shared" si="16789"/>
        <v>0</v>
      </c>
      <c r="ER766" s="566">
        <f>+ER768+ER783+ER790+ER827+ER842+ER845+ER856+ER860+ER863+ER868</f>
        <v>0</v>
      </c>
      <c r="ES766" s="684">
        <f t="shared" si="16789"/>
        <v>0</v>
      </c>
      <c r="ET766" s="566">
        <f>+ET768+ET783+ET790+ET827+ET842+ET845+ET856+ET860+ET863+ET868</f>
        <v>0</v>
      </c>
      <c r="EU766" s="684">
        <f t="shared" si="16789"/>
        <v>0</v>
      </c>
      <c r="EV766" s="566">
        <f>+EV768+EV783+EV790+EV827+EV842+EV845+EV856+EV860+EV863+EV868</f>
        <v>0</v>
      </c>
      <c r="EW766" s="684">
        <f t="shared" si="16789"/>
        <v>0</v>
      </c>
      <c r="EX766" s="566">
        <f>+EX768+EX783+EX790+EX827+EX842+EX845+EX856+EX860+EX863+EX868</f>
        <v>0</v>
      </c>
      <c r="EY766" s="684">
        <f t="shared" si="16789"/>
        <v>0</v>
      </c>
      <c r="EZ766" s="566">
        <f>+EZ768+EZ783+EZ790+EZ827+EZ842+EZ845+EZ856+EZ860+EZ863+EZ868</f>
        <v>0</v>
      </c>
      <c r="FA766" s="684">
        <f t="shared" si="16789"/>
        <v>0</v>
      </c>
      <c r="FB766" s="566">
        <f>+FB768+FB783+FB790+FB827+FB842+FB845+FB856+FB860+FB863+FB868</f>
        <v>0</v>
      </c>
      <c r="FC766" s="684">
        <f t="shared" si="16789"/>
        <v>0</v>
      </c>
      <c r="FD766" s="566">
        <f>+FD768+FD783+FD790+FD827+FD842+FD845+FD856+FD860+FD863+FD868</f>
        <v>0</v>
      </c>
      <c r="FE766" s="684">
        <f t="shared" si="16789"/>
        <v>0</v>
      </c>
      <c r="FF766" s="566">
        <f>+FF768+FF783+FF790+FF827+FF842+FF845+FF856+FF860+FF863+FF868</f>
        <v>0</v>
      </c>
      <c r="FG766" s="684">
        <f t="shared" si="16789"/>
        <v>0</v>
      </c>
      <c r="FH766" s="566">
        <f>+FH768+FH783+FH790+FH827+FH842+FH845+FH856+FH860+FH863+FH868</f>
        <v>0</v>
      </c>
      <c r="FI766" s="684">
        <f t="shared" si="16789"/>
        <v>0</v>
      </c>
      <c r="FJ766" s="566">
        <f>+FJ768+FJ783+FJ790+FJ827+FJ842+FJ845+FJ856+FJ860+FJ863+FJ868</f>
        <v>0</v>
      </c>
      <c r="FK766" s="684">
        <f t="shared" si="16789"/>
        <v>0</v>
      </c>
      <c r="FL766" s="566">
        <f>+FL768+FL783+FL790+FL827+FL842+FL845+FL856+FL860+FL863+FL868</f>
        <v>0</v>
      </c>
      <c r="FM766" s="684">
        <f t="shared" si="16789"/>
        <v>0</v>
      </c>
      <c r="FN766" s="566">
        <f>+FN768+FN783+FN790+FN827+FN842+FN845+FN856+FN860+FN863+FN868</f>
        <v>0</v>
      </c>
      <c r="FO766" s="684">
        <f t="shared" si="16789"/>
        <v>-14817</v>
      </c>
      <c r="FP766" s="566">
        <f>+FP768+FP783+FP790+FP827+FP842+FP845+FP856+FP860+FP863+FP868</f>
        <v>0</v>
      </c>
      <c r="FQ766" s="684">
        <f t="shared" si="16789"/>
        <v>0</v>
      </c>
      <c r="FR766" s="566">
        <f>+FR768+FR783+FR790+FR827+FR842+FR845+FR856+FR860+FR863+FR868</f>
        <v>0</v>
      </c>
      <c r="FS766" s="684">
        <f t="shared" si="16789"/>
        <v>0</v>
      </c>
      <c r="FT766" s="566">
        <f>+FT768+FT783+FT790+FT827+FT842+FT845+FT856+FT860+FT863+FT868</f>
        <v>0</v>
      </c>
      <c r="FU766" s="684">
        <f t="shared" si="16789"/>
        <v>0</v>
      </c>
      <c r="FV766" s="566">
        <f>+FV768+FV783+FV790+FV827+FV842+FV845+FV856+FV860+FV863+FV868</f>
        <v>0</v>
      </c>
      <c r="FW766" s="684">
        <f t="shared" si="16789"/>
        <v>0</v>
      </c>
      <c r="FX766" s="566">
        <f>+FX768+FX783+FX790+FX827+FX842+FX845+FX856+FX860+FX863+FX868</f>
        <v>0</v>
      </c>
      <c r="FY766" s="684">
        <f t="shared" si="16789"/>
        <v>0</v>
      </c>
      <c r="FZ766" s="566">
        <f>+FZ768+FZ783+FZ790+FZ827+FZ842+FZ845+FZ856+FZ860+FZ863+FZ868</f>
        <v>0</v>
      </c>
      <c r="GA766" s="684">
        <f t="shared" si="16789"/>
        <v>-299000</v>
      </c>
      <c r="GB766" s="566">
        <f>+GB768+GB783+GB790+GB827+GB842+GB845+GB856+GB860+GB863+GB868</f>
        <v>0</v>
      </c>
      <c r="GC766" s="684">
        <f t="shared" si="16789"/>
        <v>0</v>
      </c>
      <c r="GD766" s="566">
        <f>+GD768+GD783+GD790+GD827+GD842+GD845+GD856+GD860+GD863+GD868</f>
        <v>0</v>
      </c>
      <c r="GE766" s="684">
        <f t="shared" si="16789"/>
        <v>0</v>
      </c>
      <c r="GF766" s="566">
        <f>+GF768+GF783+GF790+GF827+GF842+GF845+GF856+GF860+GF863+GF868</f>
        <v>0</v>
      </c>
      <c r="GG766" s="684">
        <f t="shared" si="16789"/>
        <v>0</v>
      </c>
      <c r="GH766" s="566">
        <f>+GH768+GH783+GH790+GH827+GH842+GH845+GH856+GH860+GH863+GH868</f>
        <v>0</v>
      </c>
      <c r="GI766" s="684">
        <f t="shared" si="16789"/>
        <v>0</v>
      </c>
      <c r="GJ766" s="566">
        <f>+GJ768+GJ783+GJ790+GJ827+GJ842+GJ845+GJ856+GJ860+GJ863+GJ868</f>
        <v>0</v>
      </c>
      <c r="GK766" s="684">
        <f t="shared" si="16789"/>
        <v>0</v>
      </c>
      <c r="GL766" s="566">
        <f>+GL768+GL783+GL790+GL827+GL842+GL845+GL856+GL860+GL863+GL868</f>
        <v>0</v>
      </c>
      <c r="GM766" s="684">
        <f t="shared" si="16789"/>
        <v>0</v>
      </c>
      <c r="GN766" s="566">
        <f>+GN768+GN783+GN790+GN827+GN842+GN845+GN856+GN860+GN863+GN868</f>
        <v>0</v>
      </c>
      <c r="GO766" s="684">
        <f t="shared" si="16789"/>
        <v>0</v>
      </c>
      <c r="GP766" s="566">
        <f>+GP768+GP783+GP790+GP827+GP842+GP845+GP856+GP860+GP863+GP868</f>
        <v>1138634</v>
      </c>
      <c r="GQ766" s="684">
        <f t="shared" si="16789"/>
        <v>-2692608</v>
      </c>
      <c r="GR766" s="511">
        <f>+GR768+GR783+GR790+GR827+GR842+GR845+GR856+GR860+GR863+GR868</f>
        <v>2282826</v>
      </c>
      <c r="GS766" s="511">
        <f t="shared" ref="GS766:JD766" si="16790">+GS768+GS783+GS790+GS827+GS842+GS845+GS856+GS860+GS863+GS868</f>
        <v>2282826</v>
      </c>
      <c r="GT766" s="511">
        <f t="shared" si="16790"/>
        <v>2282826</v>
      </c>
      <c r="GU766" s="511">
        <f t="shared" si="16790"/>
        <v>803437</v>
      </c>
      <c r="GV766" s="511">
        <f t="shared" si="16790"/>
        <v>1188880</v>
      </c>
      <c r="GW766" s="511">
        <f t="shared" si="16790"/>
        <v>0</v>
      </c>
      <c r="GX766" s="511">
        <f t="shared" si="16790"/>
        <v>665185</v>
      </c>
      <c r="GY766" s="511">
        <f t="shared" si="16790"/>
        <v>635000</v>
      </c>
      <c r="GZ766" s="511">
        <f t="shared" si="16790"/>
        <v>150000</v>
      </c>
      <c r="HA766" s="511">
        <f t="shared" si="16790"/>
        <v>366659</v>
      </c>
      <c r="HB766" s="511">
        <f t="shared" si="16790"/>
        <v>0</v>
      </c>
      <c r="HC766" s="511">
        <f t="shared" si="16790"/>
        <v>0</v>
      </c>
      <c r="HD766" s="511">
        <f t="shared" si="16790"/>
        <v>27639</v>
      </c>
      <c r="HE766" s="511">
        <f t="shared" si="16790"/>
        <v>0</v>
      </c>
      <c r="HF766" s="511">
        <f t="shared" si="16790"/>
        <v>0</v>
      </c>
      <c r="HG766" s="511">
        <f>+HG768+HG783+HG790+HG827+HG842+HG845+HG856+HG860+HG863+HG868</f>
        <v>2282826</v>
      </c>
      <c r="HH766" s="511">
        <f t="shared" si="16790"/>
        <v>0</v>
      </c>
      <c r="HI766" s="825">
        <f t="shared" si="16790"/>
        <v>0</v>
      </c>
      <c r="HJ766" s="511">
        <f t="shared" si="16790"/>
        <v>0</v>
      </c>
      <c r="HK766" s="825">
        <f t="shared" si="16790"/>
        <v>341300</v>
      </c>
      <c r="HL766" s="511">
        <f t="shared" si="16790"/>
        <v>0</v>
      </c>
      <c r="HM766" s="825">
        <f t="shared" si="16790"/>
        <v>778169.62</v>
      </c>
      <c r="HN766" s="511">
        <f t="shared" si="16790"/>
        <v>0</v>
      </c>
      <c r="HO766" s="825">
        <f t="shared" si="16790"/>
        <v>866977.76</v>
      </c>
      <c r="HP766" s="511">
        <f t="shared" si="16790"/>
        <v>0</v>
      </c>
      <c r="HQ766" s="825">
        <f t="shared" si="16790"/>
        <v>136500</v>
      </c>
      <c r="HR766" s="511">
        <f t="shared" si="16790"/>
        <v>0</v>
      </c>
      <c r="HS766" s="825">
        <f t="shared" si="16790"/>
        <v>-87050</v>
      </c>
      <c r="HT766" s="511">
        <f t="shared" si="16790"/>
        <v>0</v>
      </c>
      <c r="HU766" s="825">
        <f t="shared" si="16790"/>
        <v>1287269.23</v>
      </c>
      <c r="HV766" s="511">
        <f t="shared" si="16790"/>
        <v>0</v>
      </c>
      <c r="HW766" s="825">
        <f t="shared" si="16790"/>
        <v>0</v>
      </c>
      <c r="HX766" s="511">
        <f t="shared" si="16790"/>
        <v>0</v>
      </c>
      <c r="HY766" s="825">
        <f t="shared" si="16790"/>
        <v>-31000.000000000007</v>
      </c>
      <c r="HZ766" s="511">
        <f t="shared" si="16790"/>
        <v>0</v>
      </c>
      <c r="IA766" s="825">
        <f t="shared" si="16790"/>
        <v>544633.39</v>
      </c>
      <c r="IB766" s="511">
        <f t="shared" si="16790"/>
        <v>0</v>
      </c>
      <c r="IC766" s="825">
        <f t="shared" si="16790"/>
        <v>0</v>
      </c>
      <c r="ID766" s="511">
        <f t="shared" si="16790"/>
        <v>0</v>
      </c>
      <c r="IE766" s="825">
        <f t="shared" si="16790"/>
        <v>0</v>
      </c>
      <c r="IF766" s="727">
        <f t="shared" si="16790"/>
        <v>746428.86</v>
      </c>
      <c r="IG766" s="702">
        <f t="shared" si="16790"/>
        <v>746428.86</v>
      </c>
      <c r="IH766" s="728">
        <f t="shared" si="16790"/>
        <v>746428.86</v>
      </c>
      <c r="II766" s="511">
        <f t="shared" si="16790"/>
        <v>14812</v>
      </c>
      <c r="IJ766" s="511">
        <f t="shared" si="16790"/>
        <v>14812</v>
      </c>
      <c r="IK766" s="511">
        <f t="shared" si="16790"/>
        <v>14812</v>
      </c>
      <c r="IL766" s="511">
        <f t="shared" si="16790"/>
        <v>46109.73</v>
      </c>
      <c r="IM766" s="511">
        <f t="shared" si="16790"/>
        <v>46109.73</v>
      </c>
      <c r="IN766" s="511">
        <f t="shared" si="16790"/>
        <v>46109.73</v>
      </c>
      <c r="IO766" s="511">
        <f t="shared" si="16790"/>
        <v>179959.04000000001</v>
      </c>
      <c r="IP766" s="511">
        <f t="shared" si="16790"/>
        <v>179959.04000000001</v>
      </c>
      <c r="IQ766" s="511">
        <f t="shared" si="16790"/>
        <v>179959.04000000001</v>
      </c>
      <c r="IR766" s="511">
        <f t="shared" si="16790"/>
        <v>79377.009999999995</v>
      </c>
      <c r="IS766" s="511">
        <f t="shared" si="16790"/>
        <v>79377.009999999995</v>
      </c>
      <c r="IT766" s="511">
        <f t="shared" si="16790"/>
        <v>79377.009999999995</v>
      </c>
      <c r="IU766" s="511">
        <f t="shared" si="16790"/>
        <v>25249.17</v>
      </c>
      <c r="IV766" s="511">
        <f t="shared" si="16790"/>
        <v>25249.17</v>
      </c>
      <c r="IW766" s="511">
        <f t="shared" si="16790"/>
        <v>25249.17</v>
      </c>
      <c r="IX766" s="511">
        <f t="shared" si="16790"/>
        <v>25178.68</v>
      </c>
      <c r="IY766" s="511">
        <f t="shared" si="16790"/>
        <v>25178.68</v>
      </c>
      <c r="IZ766" s="511">
        <f t="shared" si="16790"/>
        <v>25178.68</v>
      </c>
      <c r="JA766" s="511">
        <f t="shared" si="16790"/>
        <v>235655.17999999996</v>
      </c>
      <c r="JB766" s="511">
        <f t="shared" si="16790"/>
        <v>235655.17999999996</v>
      </c>
      <c r="JC766" s="511">
        <f t="shared" si="16790"/>
        <v>235655.17999999996</v>
      </c>
      <c r="JD766" s="511">
        <f t="shared" si="16790"/>
        <v>33192.430000000008</v>
      </c>
      <c r="JE766" s="511">
        <f t="shared" ref="JE766:JT766" si="16791">+JE768+JE783+JE790+JE827+JE842+JE845+JE856+JE860+JE863+JE868</f>
        <v>33192.430000000008</v>
      </c>
      <c r="JF766" s="511">
        <f t="shared" si="16791"/>
        <v>33192.430000000008</v>
      </c>
      <c r="JG766" s="511">
        <f t="shared" si="16791"/>
        <v>31052.539999999994</v>
      </c>
      <c r="JH766" s="511">
        <f t="shared" si="16791"/>
        <v>31052.539999999994</v>
      </c>
      <c r="JI766" s="511">
        <f t="shared" si="16791"/>
        <v>31052.539999999994</v>
      </c>
      <c r="JJ766" s="511">
        <f t="shared" si="16791"/>
        <v>75843.08</v>
      </c>
      <c r="JK766" s="511">
        <f t="shared" si="16791"/>
        <v>75843.08</v>
      </c>
      <c r="JL766" s="511">
        <f t="shared" si="16791"/>
        <v>75843.08</v>
      </c>
      <c r="JM766" s="511">
        <f t="shared" si="16791"/>
        <v>0</v>
      </c>
      <c r="JN766" s="511">
        <f t="shared" si="16791"/>
        <v>0</v>
      </c>
      <c r="JO766" s="511">
        <f t="shared" si="16791"/>
        <v>0</v>
      </c>
      <c r="JP766" s="511">
        <f t="shared" si="16791"/>
        <v>0</v>
      </c>
      <c r="JQ766" s="511">
        <f t="shared" si="16791"/>
        <v>0</v>
      </c>
      <c r="JR766" s="511">
        <f t="shared" si="16791"/>
        <v>0</v>
      </c>
      <c r="JS766" s="511">
        <f t="shared" si="16791"/>
        <v>1536397.1400000001</v>
      </c>
      <c r="JT766" s="572">
        <f t="shared" si="16791"/>
        <v>1536397.1400000001</v>
      </c>
      <c r="JU766" s="665"/>
      <c r="JV766" s="524"/>
      <c r="JW766" s="525"/>
      <c r="JX766" s="566">
        <f>+JX768+JX783+JX790+JX827+JX842+JX845+JX856+JX860+JX863+JX868</f>
        <v>0</v>
      </c>
      <c r="JY766" s="549">
        <f t="shared" ref="JY766:KB766" si="16792">+JY768+JY783+JY790+JY827+JY842+JY845+JY856+JY860+JY863+JY868</f>
        <v>3836800</v>
      </c>
      <c r="JZ766" s="581">
        <f t="shared" si="16792"/>
        <v>1138634</v>
      </c>
      <c r="KA766" s="581">
        <f t="shared" si="16792"/>
        <v>-2692608</v>
      </c>
      <c r="KB766" s="566">
        <f t="shared" si="16792"/>
        <v>2282826</v>
      </c>
      <c r="KC766" s="709">
        <f>HG766-KB766</f>
        <v>0</v>
      </c>
      <c r="KD766" s="491"/>
      <c r="KE766" s="491"/>
      <c r="KF766" s="491"/>
      <c r="KG766" s="491"/>
      <c r="KH766" s="36"/>
      <c r="KI766" s="36"/>
      <c r="KJ766" s="36"/>
      <c r="KK766" s="36"/>
    </row>
    <row r="767" spans="1:297" s="8" customFormat="1">
      <c r="A767" s="612"/>
      <c r="B767" s="512"/>
      <c r="C767" s="513"/>
      <c r="D767" s="567"/>
      <c r="E767" s="686"/>
      <c r="F767" s="567"/>
      <c r="G767" s="686"/>
      <c r="H767" s="567"/>
      <c r="I767" s="686"/>
      <c r="J767" s="567"/>
      <c r="K767" s="686"/>
      <c r="L767" s="567"/>
      <c r="M767" s="686"/>
      <c r="N767" s="567"/>
      <c r="O767" s="686"/>
      <c r="P767" s="567"/>
      <c r="Q767" s="686"/>
      <c r="R767" s="567"/>
      <c r="S767" s="686"/>
      <c r="T767" s="567"/>
      <c r="U767" s="686"/>
      <c r="V767" s="567"/>
      <c r="W767" s="686"/>
      <c r="X767" s="567"/>
      <c r="Y767" s="686"/>
      <c r="Z767" s="567"/>
      <c r="AA767" s="686"/>
      <c r="AB767" s="567"/>
      <c r="AC767" s="686"/>
      <c r="AD767" s="567"/>
      <c r="AE767" s="686"/>
      <c r="AF767" s="567"/>
      <c r="AG767" s="686"/>
      <c r="AH767" s="567"/>
      <c r="AI767" s="686"/>
      <c r="AJ767" s="567"/>
      <c r="AK767" s="686"/>
      <c r="AL767" s="567"/>
      <c r="AM767" s="686"/>
      <c r="AN767" s="567"/>
      <c r="AO767" s="686"/>
      <c r="AP767" s="567"/>
      <c r="AQ767" s="686"/>
      <c r="AR767" s="567"/>
      <c r="AS767" s="686"/>
      <c r="AT767" s="567"/>
      <c r="AU767" s="686"/>
      <c r="AV767" s="567"/>
      <c r="AW767" s="686"/>
      <c r="AX767" s="567"/>
      <c r="AY767" s="686"/>
      <c r="AZ767" s="567"/>
      <c r="BA767" s="686"/>
      <c r="BB767" s="567"/>
      <c r="BC767" s="686"/>
      <c r="BD767" s="567"/>
      <c r="BE767" s="686"/>
      <c r="BF767" s="567"/>
      <c r="BG767" s="686"/>
      <c r="BH767" s="567"/>
      <c r="BI767" s="686"/>
      <c r="BJ767" s="567"/>
      <c r="BK767" s="686"/>
      <c r="BL767" s="567"/>
      <c r="BM767" s="686"/>
      <c r="BN767" s="567"/>
      <c r="BO767" s="686"/>
      <c r="BP767" s="567"/>
      <c r="BQ767" s="686"/>
      <c r="BR767" s="567"/>
      <c r="BS767" s="686"/>
      <c r="BT767" s="567"/>
      <c r="BU767" s="686"/>
      <c r="BV767" s="567"/>
      <c r="BW767" s="686"/>
      <c r="BX767" s="567"/>
      <c r="BY767" s="686"/>
      <c r="BZ767" s="567"/>
      <c r="CA767" s="686"/>
      <c r="CB767" s="567"/>
      <c r="CC767" s="686"/>
      <c r="CD767" s="567"/>
      <c r="CE767" s="686"/>
      <c r="CF767" s="567"/>
      <c r="CG767" s="686"/>
      <c r="CH767" s="567"/>
      <c r="CI767" s="686"/>
      <c r="CJ767" s="567"/>
      <c r="CK767" s="686"/>
      <c r="CL767" s="567"/>
      <c r="CM767" s="686"/>
      <c r="CN767" s="567"/>
      <c r="CO767" s="686"/>
      <c r="CP767" s="567"/>
      <c r="CQ767" s="686"/>
      <c r="CR767" s="567"/>
      <c r="CS767" s="686"/>
      <c r="CT767" s="567"/>
      <c r="CU767" s="686"/>
      <c r="CV767" s="567"/>
      <c r="CW767" s="686"/>
      <c r="CX767" s="567"/>
      <c r="CY767" s="686"/>
      <c r="CZ767" s="567"/>
      <c r="DA767" s="686"/>
      <c r="DB767" s="567"/>
      <c r="DC767" s="686"/>
      <c r="DD767" s="567"/>
      <c r="DE767" s="686"/>
      <c r="DF767" s="567"/>
      <c r="DG767" s="686"/>
      <c r="DH767" s="567"/>
      <c r="DI767" s="686"/>
      <c r="DJ767" s="567"/>
      <c r="DK767" s="686"/>
      <c r="DL767" s="567"/>
      <c r="DM767" s="686"/>
      <c r="DN767" s="567"/>
      <c r="DO767" s="686"/>
      <c r="DP767" s="567"/>
      <c r="DQ767" s="686"/>
      <c r="DR767" s="567"/>
      <c r="DS767" s="686"/>
      <c r="DT767" s="567"/>
      <c r="DU767" s="686"/>
      <c r="DV767" s="567"/>
      <c r="DW767" s="686"/>
      <c r="DX767" s="567"/>
      <c r="DY767" s="686"/>
      <c r="DZ767" s="567"/>
      <c r="EA767" s="686"/>
      <c r="EB767" s="567"/>
      <c r="EC767" s="686"/>
      <c r="ED767" s="567"/>
      <c r="EE767" s="686"/>
      <c r="EF767" s="567"/>
      <c r="EG767" s="686"/>
      <c r="EH767" s="567"/>
      <c r="EI767" s="686"/>
      <c r="EJ767" s="567"/>
      <c r="EK767" s="686"/>
      <c r="EL767" s="567"/>
      <c r="EM767" s="686"/>
      <c r="EN767" s="567"/>
      <c r="EO767" s="686"/>
      <c r="EP767" s="567"/>
      <c r="EQ767" s="686"/>
      <c r="ER767" s="567"/>
      <c r="ES767" s="686"/>
      <c r="ET767" s="567"/>
      <c r="EU767" s="686"/>
      <c r="EV767" s="567"/>
      <c r="EW767" s="686"/>
      <c r="EX767" s="567"/>
      <c r="EY767" s="686"/>
      <c r="EZ767" s="567"/>
      <c r="FA767" s="686"/>
      <c r="FB767" s="567"/>
      <c r="FC767" s="686"/>
      <c r="FD767" s="567"/>
      <c r="FE767" s="686"/>
      <c r="FF767" s="567"/>
      <c r="FG767" s="686"/>
      <c r="FH767" s="567"/>
      <c r="FI767" s="686"/>
      <c r="FJ767" s="567"/>
      <c r="FK767" s="686"/>
      <c r="FL767" s="567"/>
      <c r="FM767" s="686"/>
      <c r="FN767" s="567"/>
      <c r="FO767" s="686"/>
      <c r="FP767" s="567"/>
      <c r="FQ767" s="686"/>
      <c r="FR767" s="567"/>
      <c r="FS767" s="686"/>
      <c r="FT767" s="567"/>
      <c r="FU767" s="686"/>
      <c r="FV767" s="567"/>
      <c r="FW767" s="686"/>
      <c r="FX767" s="567"/>
      <c r="FY767" s="686"/>
      <c r="FZ767" s="567"/>
      <c r="GA767" s="686"/>
      <c r="GB767" s="567"/>
      <c r="GC767" s="686"/>
      <c r="GD767" s="567"/>
      <c r="GE767" s="686"/>
      <c r="GF767" s="567"/>
      <c r="GG767" s="686"/>
      <c r="GH767" s="567"/>
      <c r="GI767" s="686"/>
      <c r="GJ767" s="567"/>
      <c r="GK767" s="686"/>
      <c r="GL767" s="567"/>
      <c r="GM767" s="686"/>
      <c r="GN767" s="567"/>
      <c r="GO767" s="686"/>
      <c r="GP767" s="567"/>
      <c r="GQ767" s="686"/>
      <c r="GR767" s="513"/>
      <c r="GS767" s="513"/>
      <c r="GT767" s="567"/>
      <c r="GU767" s="513"/>
      <c r="GV767" s="513"/>
      <c r="GW767" s="567"/>
      <c r="GX767" s="567"/>
      <c r="GY767" s="513"/>
      <c r="GZ767" s="513"/>
      <c r="HA767" s="513"/>
      <c r="HB767" s="513"/>
      <c r="HC767" s="513"/>
      <c r="HD767" s="513"/>
      <c r="HE767" s="513"/>
      <c r="HF767" s="513"/>
      <c r="HG767" s="513"/>
      <c r="HH767" s="513"/>
      <c r="HI767" s="827"/>
      <c r="HJ767" s="513"/>
      <c r="HK767" s="827"/>
      <c r="HL767" s="513"/>
      <c r="HM767" s="827"/>
      <c r="HN767" s="513"/>
      <c r="HO767" s="827"/>
      <c r="HP767" s="513"/>
      <c r="HQ767" s="827"/>
      <c r="HR767" s="513"/>
      <c r="HS767" s="827"/>
      <c r="HT767" s="513"/>
      <c r="HU767" s="827"/>
      <c r="HV767" s="513"/>
      <c r="HW767" s="827"/>
      <c r="HX767" s="513"/>
      <c r="HY767" s="827"/>
      <c r="HZ767" s="513"/>
      <c r="IA767" s="827"/>
      <c r="IB767" s="513"/>
      <c r="IC767" s="827"/>
      <c r="ID767" s="513"/>
      <c r="IE767" s="827"/>
      <c r="IF767" s="715"/>
      <c r="IG767" s="704"/>
      <c r="IH767" s="716"/>
      <c r="II767" s="513"/>
      <c r="IJ767" s="513"/>
      <c r="IK767" s="513"/>
      <c r="IL767" s="513"/>
      <c r="IM767" s="513"/>
      <c r="IN767" s="513"/>
      <c r="IO767" s="513"/>
      <c r="IP767" s="513"/>
      <c r="IQ767" s="513"/>
      <c r="IR767" s="513"/>
      <c r="IS767" s="513"/>
      <c r="IT767" s="513"/>
      <c r="IU767" s="513"/>
      <c r="IV767" s="513"/>
      <c r="IW767" s="513"/>
      <c r="IX767" s="513"/>
      <c r="IY767" s="513"/>
      <c r="IZ767" s="513"/>
      <c r="JA767" s="513"/>
      <c r="JB767" s="513"/>
      <c r="JC767" s="513"/>
      <c r="JD767" s="513"/>
      <c r="JE767" s="513"/>
      <c r="JF767" s="513"/>
      <c r="JG767" s="513"/>
      <c r="JH767" s="513"/>
      <c r="JI767" s="513"/>
      <c r="JJ767" s="513"/>
      <c r="JK767" s="513"/>
      <c r="JL767" s="513"/>
      <c r="JM767" s="513"/>
      <c r="JN767" s="513"/>
      <c r="JO767" s="513"/>
      <c r="JP767" s="513"/>
      <c r="JQ767" s="513"/>
      <c r="JR767" s="513"/>
      <c r="JS767" s="513"/>
      <c r="JT767" s="573"/>
      <c r="JU767" s="665"/>
      <c r="JV767" s="524"/>
      <c r="JW767" s="525"/>
      <c r="JX767" s="567"/>
      <c r="JY767" s="549">
        <f t="shared" si="15767"/>
        <v>0</v>
      </c>
      <c r="JZ767" s="581">
        <f t="shared" si="16466"/>
        <v>0</v>
      </c>
      <c r="KA767" s="581">
        <f t="shared" si="16467"/>
        <v>0</v>
      </c>
      <c r="KB767" s="566">
        <f t="shared" si="15406"/>
        <v>0</v>
      </c>
      <c r="KC767" s="709">
        <f t="shared" si="16464"/>
        <v>0</v>
      </c>
      <c r="KD767" s="494"/>
      <c r="KE767" s="494"/>
      <c r="KF767" s="494"/>
      <c r="KG767" s="494"/>
      <c r="KH767" s="57"/>
      <c r="KI767" s="57"/>
      <c r="KJ767" s="57"/>
      <c r="KK767" s="57"/>
    </row>
    <row r="768" spans="1:297" s="8" customFormat="1">
      <c r="A768" s="613" t="s">
        <v>735</v>
      </c>
      <c r="B768" s="514" t="s">
        <v>975</v>
      </c>
      <c r="C768" s="513">
        <f t="shared" ref="C768" si="16793">SUM(C769:C781)</f>
        <v>1247000</v>
      </c>
      <c r="D768" s="567">
        <f t="shared" ref="D768:E768" si="16794">SUM(D769:D781)</f>
        <v>0</v>
      </c>
      <c r="E768" s="686">
        <f t="shared" si="16794"/>
        <v>0</v>
      </c>
      <c r="F768" s="567">
        <f t="shared" ref="F768:G768" si="16795">SUM(F769:F781)</f>
        <v>0</v>
      </c>
      <c r="G768" s="686">
        <f t="shared" si="16795"/>
        <v>0</v>
      </c>
      <c r="H768" s="567">
        <f t="shared" ref="H768:I768" si="16796">SUM(H769:H781)</f>
        <v>0</v>
      </c>
      <c r="I768" s="686">
        <f t="shared" si="16796"/>
        <v>0</v>
      </c>
      <c r="J768" s="567">
        <f t="shared" ref="J768:K768" si="16797">SUM(J769:J781)</f>
        <v>0</v>
      </c>
      <c r="K768" s="686">
        <f t="shared" si="16797"/>
        <v>0</v>
      </c>
      <c r="L768" s="567">
        <f t="shared" ref="L768:M768" si="16798">SUM(L769:L781)</f>
        <v>0</v>
      </c>
      <c r="M768" s="686">
        <f t="shared" si="16798"/>
        <v>0</v>
      </c>
      <c r="N768" s="567">
        <f t="shared" ref="N768:O768" si="16799">SUM(N769:N781)</f>
        <v>0</v>
      </c>
      <c r="O768" s="686">
        <f t="shared" si="16799"/>
        <v>0</v>
      </c>
      <c r="P768" s="567">
        <f t="shared" ref="P768:Q768" si="16800">SUM(P769:P781)</f>
        <v>0</v>
      </c>
      <c r="Q768" s="686">
        <f t="shared" si="16800"/>
        <v>0</v>
      </c>
      <c r="R768" s="567">
        <f t="shared" ref="R768:S768" si="16801">SUM(R769:R781)</f>
        <v>0</v>
      </c>
      <c r="S768" s="686">
        <f t="shared" si="16801"/>
        <v>0</v>
      </c>
      <c r="T768" s="567">
        <f t="shared" ref="T768:AM768" si="16802">SUM(T769:T781)</f>
        <v>0</v>
      </c>
      <c r="U768" s="686">
        <f t="shared" si="16802"/>
        <v>0</v>
      </c>
      <c r="V768" s="567">
        <f t="shared" si="16802"/>
        <v>0</v>
      </c>
      <c r="W768" s="686">
        <f t="shared" si="16802"/>
        <v>0</v>
      </c>
      <c r="X768" s="567">
        <f t="shared" si="16802"/>
        <v>0</v>
      </c>
      <c r="Y768" s="686">
        <f t="shared" si="16802"/>
        <v>0</v>
      </c>
      <c r="Z768" s="567">
        <f t="shared" si="16802"/>
        <v>0</v>
      </c>
      <c r="AA768" s="686">
        <f t="shared" si="16802"/>
        <v>0</v>
      </c>
      <c r="AB768" s="567">
        <f t="shared" si="16802"/>
        <v>0</v>
      </c>
      <c r="AC768" s="686">
        <f t="shared" si="16802"/>
        <v>0</v>
      </c>
      <c r="AD768" s="567">
        <f t="shared" ref="AD768:AK768" si="16803">SUM(AD769:AD781)</f>
        <v>0</v>
      </c>
      <c r="AE768" s="686">
        <f t="shared" si="16803"/>
        <v>0</v>
      </c>
      <c r="AF768" s="567">
        <f t="shared" si="16803"/>
        <v>0</v>
      </c>
      <c r="AG768" s="686">
        <f t="shared" si="16803"/>
        <v>0</v>
      </c>
      <c r="AH768" s="567">
        <f t="shared" si="16803"/>
        <v>0</v>
      </c>
      <c r="AI768" s="686">
        <f t="shared" si="16803"/>
        <v>0</v>
      </c>
      <c r="AJ768" s="567">
        <f t="shared" si="16803"/>
        <v>0</v>
      </c>
      <c r="AK768" s="686">
        <f t="shared" si="16803"/>
        <v>0</v>
      </c>
      <c r="AL768" s="567">
        <f t="shared" si="16802"/>
        <v>0</v>
      </c>
      <c r="AM768" s="686">
        <f t="shared" si="16802"/>
        <v>0</v>
      </c>
      <c r="AN768" s="567">
        <f t="shared" ref="AN768:AS768" si="16804">SUM(AN769:AN781)</f>
        <v>0</v>
      </c>
      <c r="AO768" s="686">
        <f t="shared" si="16804"/>
        <v>0</v>
      </c>
      <c r="AP768" s="567">
        <f t="shared" si="16804"/>
        <v>0</v>
      </c>
      <c r="AQ768" s="686">
        <f t="shared" si="16804"/>
        <v>0</v>
      </c>
      <c r="AR768" s="567">
        <f t="shared" si="16804"/>
        <v>0</v>
      </c>
      <c r="AS768" s="686">
        <f t="shared" si="16804"/>
        <v>0</v>
      </c>
      <c r="AT768" s="567">
        <f t="shared" ref="AT768:AU768" si="16805">SUM(AT769:AT781)</f>
        <v>0</v>
      </c>
      <c r="AU768" s="686">
        <f t="shared" si="16805"/>
        <v>0</v>
      </c>
      <c r="AV768" s="567">
        <f t="shared" ref="AV768:AW768" si="16806">SUM(AV769:AV781)</f>
        <v>0</v>
      </c>
      <c r="AW768" s="686">
        <f t="shared" si="16806"/>
        <v>0</v>
      </c>
      <c r="AX768" s="567">
        <f t="shared" ref="AX768:AY768" si="16807">SUM(AX769:AX781)</f>
        <v>0</v>
      </c>
      <c r="AY768" s="686">
        <f t="shared" si="16807"/>
        <v>0</v>
      </c>
      <c r="AZ768" s="567">
        <f t="shared" ref="AZ768:BA768" si="16808">SUM(AZ769:AZ781)</f>
        <v>0</v>
      </c>
      <c r="BA768" s="686">
        <f t="shared" si="16808"/>
        <v>0</v>
      </c>
      <c r="BB768" s="567">
        <f t="shared" ref="BB768:BC768" si="16809">SUM(BB769:BB781)</f>
        <v>0</v>
      </c>
      <c r="BC768" s="686">
        <f t="shared" si="16809"/>
        <v>0</v>
      </c>
      <c r="BD768" s="567">
        <f t="shared" ref="BD768:BE768" si="16810">SUM(BD769:BD781)</f>
        <v>0</v>
      </c>
      <c r="BE768" s="686">
        <f t="shared" si="16810"/>
        <v>0</v>
      </c>
      <c r="BF768" s="567">
        <f t="shared" ref="BF768:BG768" si="16811">SUM(BF769:BF781)</f>
        <v>0</v>
      </c>
      <c r="BG768" s="686">
        <f t="shared" si="16811"/>
        <v>0</v>
      </c>
      <c r="BH768" s="567">
        <f t="shared" ref="BH768:BI768" si="16812">SUM(BH769:BH781)</f>
        <v>0</v>
      </c>
      <c r="BI768" s="686">
        <f t="shared" si="16812"/>
        <v>0</v>
      </c>
      <c r="BJ768" s="567">
        <f t="shared" ref="BJ768:BK768" si="16813">SUM(BJ769:BJ781)</f>
        <v>0</v>
      </c>
      <c r="BK768" s="686">
        <f t="shared" si="16813"/>
        <v>0</v>
      </c>
      <c r="BL768" s="567">
        <f t="shared" ref="BL768:BS768" si="16814">SUM(BL769:BL781)</f>
        <v>0</v>
      </c>
      <c r="BM768" s="686">
        <f t="shared" si="16814"/>
        <v>0</v>
      </c>
      <c r="BN768" s="567">
        <f t="shared" si="16814"/>
        <v>0</v>
      </c>
      <c r="BO768" s="686">
        <f t="shared" si="16814"/>
        <v>0</v>
      </c>
      <c r="BP768" s="567">
        <f t="shared" si="16814"/>
        <v>0</v>
      </c>
      <c r="BQ768" s="686">
        <f t="shared" si="16814"/>
        <v>0</v>
      </c>
      <c r="BR768" s="567">
        <f t="shared" si="16814"/>
        <v>0</v>
      </c>
      <c r="BS768" s="686">
        <f t="shared" si="16814"/>
        <v>0</v>
      </c>
      <c r="BT768" s="567">
        <f t="shared" ref="BT768:BU768" si="16815">SUM(BT769:BT781)</f>
        <v>0</v>
      </c>
      <c r="BU768" s="686">
        <f t="shared" si="16815"/>
        <v>0</v>
      </c>
      <c r="BV768" s="567">
        <f t="shared" ref="BV768:BW768" si="16816">SUM(BV769:BV781)</f>
        <v>0</v>
      </c>
      <c r="BW768" s="686">
        <f t="shared" si="16816"/>
        <v>0</v>
      </c>
      <c r="BX768" s="567">
        <f t="shared" ref="BX768:BY768" si="16817">SUM(BX769:BX781)</f>
        <v>0</v>
      </c>
      <c r="BY768" s="686">
        <f t="shared" si="16817"/>
        <v>0</v>
      </c>
      <c r="BZ768" s="567">
        <f t="shared" ref="BZ768:CA768" si="16818">SUM(BZ769:BZ781)</f>
        <v>0</v>
      </c>
      <c r="CA768" s="686">
        <f t="shared" si="16818"/>
        <v>0</v>
      </c>
      <c r="CB768" s="567">
        <f t="shared" ref="CB768:CE768" si="16819">SUM(CB769:CB781)</f>
        <v>0</v>
      </c>
      <c r="CC768" s="686">
        <f t="shared" si="16819"/>
        <v>0</v>
      </c>
      <c r="CD768" s="567">
        <f t="shared" si="16819"/>
        <v>0</v>
      </c>
      <c r="CE768" s="686">
        <f t="shared" si="16819"/>
        <v>0</v>
      </c>
      <c r="CF768" s="567">
        <f t="shared" ref="CF768:CG768" si="16820">SUM(CF769:CF781)</f>
        <v>0</v>
      </c>
      <c r="CG768" s="686">
        <f t="shared" si="16820"/>
        <v>0</v>
      </c>
      <c r="CH768" s="567">
        <f t="shared" ref="CH768:CQ768" si="16821">SUM(CH769:CH781)</f>
        <v>0</v>
      </c>
      <c r="CI768" s="686">
        <f t="shared" si="16821"/>
        <v>0</v>
      </c>
      <c r="CJ768" s="567">
        <f t="shared" si="16821"/>
        <v>0</v>
      </c>
      <c r="CK768" s="686">
        <f t="shared" si="16821"/>
        <v>0</v>
      </c>
      <c r="CL768" s="567">
        <f t="shared" si="16821"/>
        <v>0</v>
      </c>
      <c r="CM768" s="686">
        <f t="shared" si="16821"/>
        <v>0</v>
      </c>
      <c r="CN768" s="567">
        <f t="shared" si="16821"/>
        <v>0</v>
      </c>
      <c r="CO768" s="686">
        <f t="shared" si="16821"/>
        <v>0</v>
      </c>
      <c r="CP768" s="567">
        <f t="shared" si="16821"/>
        <v>0</v>
      </c>
      <c r="CQ768" s="686">
        <f t="shared" si="16821"/>
        <v>0</v>
      </c>
      <c r="CR768" s="567">
        <f t="shared" ref="CR768:CY768" si="16822">SUM(CR769:CR781)</f>
        <v>0</v>
      </c>
      <c r="CS768" s="686">
        <f t="shared" si="16822"/>
        <v>0</v>
      </c>
      <c r="CT768" s="567">
        <f t="shared" si="16822"/>
        <v>0</v>
      </c>
      <c r="CU768" s="686">
        <f t="shared" si="16822"/>
        <v>0</v>
      </c>
      <c r="CV768" s="567">
        <f t="shared" si="16822"/>
        <v>0</v>
      </c>
      <c r="CW768" s="686">
        <f t="shared" si="16822"/>
        <v>0</v>
      </c>
      <c r="CX768" s="567">
        <f t="shared" si="16822"/>
        <v>0</v>
      </c>
      <c r="CY768" s="686">
        <f t="shared" si="16822"/>
        <v>0</v>
      </c>
      <c r="CZ768" s="567">
        <f t="shared" ref="CZ768:DI768" si="16823">SUM(CZ769:CZ781)</f>
        <v>0</v>
      </c>
      <c r="DA768" s="686">
        <f t="shared" si="16823"/>
        <v>0</v>
      </c>
      <c r="DB768" s="567">
        <f t="shared" si="16823"/>
        <v>0</v>
      </c>
      <c r="DC768" s="686">
        <f t="shared" si="16823"/>
        <v>0</v>
      </c>
      <c r="DD768" s="567">
        <f t="shared" si="16823"/>
        <v>0</v>
      </c>
      <c r="DE768" s="686">
        <f t="shared" si="16823"/>
        <v>0</v>
      </c>
      <c r="DF768" s="567">
        <f t="shared" si="16823"/>
        <v>0</v>
      </c>
      <c r="DG768" s="686">
        <f t="shared" si="16823"/>
        <v>0</v>
      </c>
      <c r="DH768" s="567">
        <f t="shared" si="16823"/>
        <v>0</v>
      </c>
      <c r="DI768" s="686">
        <f t="shared" si="16823"/>
        <v>0</v>
      </c>
      <c r="DJ768" s="567">
        <f t="shared" ref="DJ768:HT768" si="16824">SUM(DJ769:DJ781)</f>
        <v>0</v>
      </c>
      <c r="DK768" s="686">
        <f t="shared" si="16824"/>
        <v>0</v>
      </c>
      <c r="DL768" s="567">
        <f t="shared" si="16824"/>
        <v>30000</v>
      </c>
      <c r="DM768" s="686">
        <f t="shared" si="16824"/>
        <v>-30000</v>
      </c>
      <c r="DN768" s="567">
        <f t="shared" ref="DN768:DW768" si="16825">SUM(DN769:DN781)</f>
        <v>0</v>
      </c>
      <c r="DO768" s="686">
        <f t="shared" si="16825"/>
        <v>-214979</v>
      </c>
      <c r="DP768" s="567">
        <f t="shared" si="16825"/>
        <v>0</v>
      </c>
      <c r="DQ768" s="686">
        <f t="shared" si="16825"/>
        <v>0</v>
      </c>
      <c r="DR768" s="567">
        <f t="shared" si="16825"/>
        <v>0</v>
      </c>
      <c r="DS768" s="686">
        <f t="shared" si="16825"/>
        <v>0</v>
      </c>
      <c r="DT768" s="567">
        <f t="shared" si="16825"/>
        <v>0</v>
      </c>
      <c r="DU768" s="686">
        <f t="shared" si="16825"/>
        <v>0</v>
      </c>
      <c r="DV768" s="567">
        <f t="shared" si="16825"/>
        <v>0</v>
      </c>
      <c r="DW768" s="686">
        <f t="shared" si="16825"/>
        <v>-22000</v>
      </c>
      <c r="DX768" s="567">
        <f t="shared" si="16824"/>
        <v>0</v>
      </c>
      <c r="DY768" s="686">
        <f t="shared" si="16824"/>
        <v>0</v>
      </c>
      <c r="DZ768" s="567">
        <f t="shared" ref="DZ768:FA768" si="16826">SUM(DZ769:DZ781)</f>
        <v>0</v>
      </c>
      <c r="EA768" s="686">
        <f t="shared" si="16826"/>
        <v>0</v>
      </c>
      <c r="EB768" s="567">
        <f t="shared" si="16826"/>
        <v>0</v>
      </c>
      <c r="EC768" s="686">
        <f t="shared" si="16826"/>
        <v>0</v>
      </c>
      <c r="ED768" s="567">
        <f t="shared" si="16826"/>
        <v>0</v>
      </c>
      <c r="EE768" s="686">
        <f t="shared" si="16826"/>
        <v>0</v>
      </c>
      <c r="EF768" s="567">
        <f t="shared" si="16826"/>
        <v>0</v>
      </c>
      <c r="EG768" s="686">
        <f t="shared" si="16826"/>
        <v>0</v>
      </c>
      <c r="EH768" s="567">
        <f t="shared" ref="EH768:EM768" si="16827">SUM(EH769:EH781)</f>
        <v>0</v>
      </c>
      <c r="EI768" s="686">
        <f t="shared" si="16827"/>
        <v>0</v>
      </c>
      <c r="EJ768" s="567">
        <f t="shared" si="16827"/>
        <v>0</v>
      </c>
      <c r="EK768" s="686">
        <f t="shared" si="16827"/>
        <v>0</v>
      </c>
      <c r="EL768" s="567">
        <f t="shared" si="16827"/>
        <v>0</v>
      </c>
      <c r="EM768" s="686">
        <f t="shared" si="16827"/>
        <v>0</v>
      </c>
      <c r="EN768" s="567">
        <f t="shared" si="16826"/>
        <v>0</v>
      </c>
      <c r="EO768" s="686">
        <f t="shared" si="16826"/>
        <v>-49219</v>
      </c>
      <c r="EP768" s="567">
        <f t="shared" si="16826"/>
        <v>0</v>
      </c>
      <c r="EQ768" s="686">
        <f t="shared" si="16826"/>
        <v>0</v>
      </c>
      <c r="ER768" s="567">
        <f t="shared" si="16826"/>
        <v>0</v>
      </c>
      <c r="ES768" s="686">
        <f t="shared" si="16826"/>
        <v>0</v>
      </c>
      <c r="ET768" s="567">
        <f t="shared" si="16826"/>
        <v>0</v>
      </c>
      <c r="EU768" s="686">
        <f t="shared" si="16826"/>
        <v>0</v>
      </c>
      <c r="EV768" s="567">
        <f t="shared" ref="EV768:EW768" si="16828">SUM(EV769:EV781)</f>
        <v>0</v>
      </c>
      <c r="EW768" s="686">
        <f t="shared" si="16828"/>
        <v>0</v>
      </c>
      <c r="EX768" s="567">
        <f t="shared" si="16826"/>
        <v>0</v>
      </c>
      <c r="EY768" s="686">
        <f t="shared" si="16826"/>
        <v>0</v>
      </c>
      <c r="EZ768" s="567">
        <f t="shared" si="16826"/>
        <v>0</v>
      </c>
      <c r="FA768" s="686">
        <f t="shared" si="16826"/>
        <v>0</v>
      </c>
      <c r="FB768" s="567">
        <f t="shared" si="16824"/>
        <v>0</v>
      </c>
      <c r="FC768" s="686">
        <f t="shared" si="16824"/>
        <v>0</v>
      </c>
      <c r="FD768" s="567">
        <f t="shared" si="16824"/>
        <v>0</v>
      </c>
      <c r="FE768" s="686">
        <f t="shared" si="16824"/>
        <v>0</v>
      </c>
      <c r="FF768" s="567">
        <f t="shared" ref="FF768:FG768" si="16829">SUM(FF769:FF781)</f>
        <v>0</v>
      </c>
      <c r="FG768" s="686">
        <f t="shared" si="16829"/>
        <v>0</v>
      </c>
      <c r="FH768" s="567">
        <f t="shared" ref="FH768:FI768" si="16830">SUM(FH769:FH781)</f>
        <v>0</v>
      </c>
      <c r="FI768" s="686">
        <f t="shared" si="16830"/>
        <v>0</v>
      </c>
      <c r="FJ768" s="567">
        <f t="shared" ref="FJ768:FK768" si="16831">SUM(FJ769:FJ781)</f>
        <v>0</v>
      </c>
      <c r="FK768" s="686">
        <f t="shared" si="16831"/>
        <v>0</v>
      </c>
      <c r="FL768" s="567">
        <f t="shared" ref="FL768:FM768" si="16832">SUM(FL769:FL781)</f>
        <v>0</v>
      </c>
      <c r="FM768" s="686">
        <f t="shared" si="16832"/>
        <v>0</v>
      </c>
      <c r="FN768" s="567">
        <f t="shared" ref="FN768:FO768" si="16833">SUM(FN769:FN781)</f>
        <v>0</v>
      </c>
      <c r="FO768" s="686">
        <f t="shared" si="16833"/>
        <v>-1511</v>
      </c>
      <c r="FP768" s="567">
        <f t="shared" ref="FP768:FQ768" si="16834">SUM(FP769:FP781)</f>
        <v>0</v>
      </c>
      <c r="FQ768" s="686">
        <f t="shared" si="16834"/>
        <v>0</v>
      </c>
      <c r="FR768" s="567">
        <f t="shared" ref="FR768:FS768" si="16835">SUM(FR769:FR781)</f>
        <v>0</v>
      </c>
      <c r="FS768" s="686">
        <f t="shared" si="16835"/>
        <v>0</v>
      </c>
      <c r="FT768" s="567">
        <f t="shared" ref="FT768:FU768" si="16836">SUM(FT769:FT781)</f>
        <v>0</v>
      </c>
      <c r="FU768" s="686">
        <f t="shared" si="16836"/>
        <v>0</v>
      </c>
      <c r="FV768" s="567">
        <f t="shared" ref="FV768:GK768" si="16837">SUM(FV769:FV781)</f>
        <v>0</v>
      </c>
      <c r="FW768" s="686">
        <f t="shared" si="16837"/>
        <v>0</v>
      </c>
      <c r="FX768" s="567">
        <f t="shared" si="16837"/>
        <v>0</v>
      </c>
      <c r="FY768" s="686">
        <f t="shared" si="16837"/>
        <v>0</v>
      </c>
      <c r="FZ768" s="567">
        <f t="shared" ref="FZ768:GI768" si="16838">SUM(FZ769:FZ781)</f>
        <v>0</v>
      </c>
      <c r="GA768" s="686">
        <f t="shared" si="16838"/>
        <v>0</v>
      </c>
      <c r="GB768" s="567">
        <f t="shared" si="16838"/>
        <v>0</v>
      </c>
      <c r="GC768" s="686">
        <f t="shared" si="16838"/>
        <v>0</v>
      </c>
      <c r="GD768" s="567">
        <f t="shared" si="16838"/>
        <v>0</v>
      </c>
      <c r="GE768" s="686">
        <f t="shared" si="16838"/>
        <v>0</v>
      </c>
      <c r="GF768" s="567">
        <f t="shared" si="16838"/>
        <v>0</v>
      </c>
      <c r="GG768" s="686">
        <f t="shared" si="16838"/>
        <v>0</v>
      </c>
      <c r="GH768" s="567">
        <f t="shared" si="16838"/>
        <v>0</v>
      </c>
      <c r="GI768" s="686">
        <f t="shared" si="16838"/>
        <v>0</v>
      </c>
      <c r="GJ768" s="567">
        <f t="shared" si="16837"/>
        <v>0</v>
      </c>
      <c r="GK768" s="686">
        <f t="shared" si="16837"/>
        <v>0</v>
      </c>
      <c r="GL768" s="567">
        <f t="shared" ref="GL768:GM768" si="16839">SUM(GL769:GL781)</f>
        <v>0</v>
      </c>
      <c r="GM768" s="686">
        <f t="shared" si="16839"/>
        <v>0</v>
      </c>
      <c r="GN768" s="567">
        <f t="shared" ref="GN768:GO768" si="16840">SUM(GN769:GN781)</f>
        <v>0</v>
      </c>
      <c r="GO768" s="686">
        <f t="shared" si="16840"/>
        <v>0</v>
      </c>
      <c r="GP768" s="567">
        <f>SUM(GP769:GP781)</f>
        <v>30000</v>
      </c>
      <c r="GQ768" s="686">
        <f>SUM(GQ769:GQ781)</f>
        <v>-317709</v>
      </c>
      <c r="GR768" s="513">
        <f t="shared" si="16824"/>
        <v>959291</v>
      </c>
      <c r="GS768" s="513">
        <f t="shared" si="16824"/>
        <v>959291</v>
      </c>
      <c r="GT768" s="567">
        <f t="shared" si="16824"/>
        <v>959291</v>
      </c>
      <c r="GU768" s="513">
        <f t="shared" si="16824"/>
        <v>274983</v>
      </c>
      <c r="GV768" s="513">
        <f t="shared" si="16824"/>
        <v>551200</v>
      </c>
      <c r="GW768" s="567">
        <f t="shared" si="16824"/>
        <v>0</v>
      </c>
      <c r="GX768" s="567">
        <f t="shared" si="16824"/>
        <v>139335</v>
      </c>
      <c r="GY768" s="513">
        <f t="shared" si="16824"/>
        <v>0</v>
      </c>
      <c r="GZ768" s="513">
        <f t="shared" si="16824"/>
        <v>0</v>
      </c>
      <c r="HA768" s="513">
        <f t="shared" si="16824"/>
        <v>262276</v>
      </c>
      <c r="HB768" s="513">
        <f t="shared" si="16824"/>
        <v>0</v>
      </c>
      <c r="HC768" s="513">
        <f t="shared" si="16824"/>
        <v>0</v>
      </c>
      <c r="HD768" s="513">
        <f t="shared" si="16824"/>
        <v>19206</v>
      </c>
      <c r="HE768" s="513">
        <f t="shared" si="16824"/>
        <v>0</v>
      </c>
      <c r="HF768" s="513">
        <f t="shared" si="16824"/>
        <v>0</v>
      </c>
      <c r="HG768" s="513">
        <f t="shared" si="16824"/>
        <v>959291</v>
      </c>
      <c r="HH768" s="513">
        <f t="shared" si="16824"/>
        <v>0</v>
      </c>
      <c r="HI768" s="827">
        <f t="shared" si="16824"/>
        <v>0</v>
      </c>
      <c r="HJ768" s="513">
        <f t="shared" si="16824"/>
        <v>0</v>
      </c>
      <c r="HK768" s="827">
        <f t="shared" si="16824"/>
        <v>0</v>
      </c>
      <c r="HL768" s="513">
        <f t="shared" si="16824"/>
        <v>0</v>
      </c>
      <c r="HM768" s="827">
        <f t="shared" si="16824"/>
        <v>221335.62</v>
      </c>
      <c r="HN768" s="513">
        <f t="shared" si="16824"/>
        <v>0</v>
      </c>
      <c r="HO768" s="827">
        <f t="shared" si="16824"/>
        <v>223127.76</v>
      </c>
      <c r="HP768" s="513">
        <f t="shared" si="16824"/>
        <v>0</v>
      </c>
      <c r="HQ768" s="827">
        <f t="shared" si="16824"/>
        <v>0</v>
      </c>
      <c r="HR768" s="513">
        <f t="shared" si="16824"/>
        <v>0</v>
      </c>
      <c r="HS768" s="827">
        <f t="shared" si="16824"/>
        <v>0</v>
      </c>
      <c r="HT768" s="513">
        <f t="shared" si="16824"/>
        <v>0</v>
      </c>
      <c r="HU768" s="827">
        <f t="shared" ref="HU768" si="16841">SUM(HU769:HU781)</f>
        <v>302336.23</v>
      </c>
      <c r="HV768" s="513">
        <f t="shared" ref="HV768:HW768" si="16842">SUM(HV769:HV781)</f>
        <v>0</v>
      </c>
      <c r="HW768" s="827">
        <f t="shared" si="16842"/>
        <v>0</v>
      </c>
      <c r="HX768" s="513">
        <f t="shared" ref="HX768:HY768" si="16843">SUM(HX769:HX781)</f>
        <v>0</v>
      </c>
      <c r="HY768" s="827">
        <f t="shared" si="16843"/>
        <v>61158.77</v>
      </c>
      <c r="HZ768" s="513">
        <f t="shared" ref="HZ768:IA768" si="16844">SUM(HZ769:HZ781)</f>
        <v>0</v>
      </c>
      <c r="IA768" s="827">
        <f t="shared" si="16844"/>
        <v>439041.62</v>
      </c>
      <c r="IB768" s="513">
        <f t="shared" ref="IB768:IC768" si="16845">SUM(IB769:IB781)</f>
        <v>0</v>
      </c>
      <c r="IC768" s="827">
        <f t="shared" si="16845"/>
        <v>0</v>
      </c>
      <c r="ID768" s="513">
        <f t="shared" ref="ID768:IZ768" si="16846">SUM(ID769:ID781)</f>
        <v>0</v>
      </c>
      <c r="IE768" s="827">
        <f t="shared" si="16846"/>
        <v>0</v>
      </c>
      <c r="IF768" s="715">
        <f>SUM(IF769:IF781)</f>
        <v>480056.86000000004</v>
      </c>
      <c r="IG768" s="704">
        <f t="shared" si="16846"/>
        <v>480056.86000000004</v>
      </c>
      <c r="IH768" s="716">
        <f t="shared" si="16846"/>
        <v>480056.86000000004</v>
      </c>
      <c r="II768" s="513">
        <f t="shared" si="16846"/>
        <v>9832.67</v>
      </c>
      <c r="IJ768" s="513">
        <f t="shared" si="16846"/>
        <v>9832.67</v>
      </c>
      <c r="IK768" s="513">
        <f t="shared" si="16846"/>
        <v>9832.67</v>
      </c>
      <c r="IL768" s="513">
        <f t="shared" si="16846"/>
        <v>34540.080000000002</v>
      </c>
      <c r="IM768" s="513">
        <f t="shared" si="16846"/>
        <v>34540.080000000002</v>
      </c>
      <c r="IN768" s="513">
        <f t="shared" si="16846"/>
        <v>34540.080000000002</v>
      </c>
      <c r="IO768" s="513">
        <f t="shared" si="16846"/>
        <v>176962.87</v>
      </c>
      <c r="IP768" s="513">
        <f t="shared" si="16846"/>
        <v>176962.87</v>
      </c>
      <c r="IQ768" s="513">
        <f t="shared" si="16846"/>
        <v>176962.87</v>
      </c>
      <c r="IR768" s="513">
        <f t="shared" si="16846"/>
        <v>60214.509999999995</v>
      </c>
      <c r="IS768" s="513">
        <f t="shared" si="16846"/>
        <v>60214.509999999995</v>
      </c>
      <c r="IT768" s="513">
        <f t="shared" si="16846"/>
        <v>60214.509999999995</v>
      </c>
      <c r="IU768" s="513">
        <f t="shared" si="16846"/>
        <v>21315.5</v>
      </c>
      <c r="IV768" s="513">
        <f t="shared" si="16846"/>
        <v>21315.5</v>
      </c>
      <c r="IW768" s="513">
        <f t="shared" si="16846"/>
        <v>21315.5</v>
      </c>
      <c r="IX768" s="513">
        <f t="shared" si="16846"/>
        <v>20275</v>
      </c>
      <c r="IY768" s="513">
        <f t="shared" si="16846"/>
        <v>20275</v>
      </c>
      <c r="IZ768" s="513">
        <f t="shared" si="16846"/>
        <v>20275</v>
      </c>
      <c r="JA768" s="513">
        <f t="shared" ref="JA768:JC768" si="16847">SUM(JA769:JA781)</f>
        <v>43101.659999999989</v>
      </c>
      <c r="JB768" s="513">
        <f t="shared" si="16847"/>
        <v>43101.659999999989</v>
      </c>
      <c r="JC768" s="513">
        <f t="shared" si="16847"/>
        <v>43101.659999999989</v>
      </c>
      <c r="JD768" s="513">
        <f t="shared" ref="JD768:JF768" si="16848">SUM(JD769:JD781)</f>
        <v>25700.780000000006</v>
      </c>
      <c r="JE768" s="513">
        <f t="shared" si="16848"/>
        <v>25700.780000000006</v>
      </c>
      <c r="JF768" s="513">
        <f t="shared" si="16848"/>
        <v>25700.780000000006</v>
      </c>
      <c r="JG768" s="513">
        <f t="shared" ref="JG768:JI768" si="16849">SUM(JG769:JG781)</f>
        <v>22850.709999999992</v>
      </c>
      <c r="JH768" s="513">
        <f t="shared" si="16849"/>
        <v>22850.709999999992</v>
      </c>
      <c r="JI768" s="513">
        <f t="shared" si="16849"/>
        <v>22850.709999999992</v>
      </c>
      <c r="JJ768" s="513">
        <f t="shared" ref="JJ768:JL768" si="16850">SUM(JJ769:JJ781)</f>
        <v>65263.08</v>
      </c>
      <c r="JK768" s="513">
        <f t="shared" si="16850"/>
        <v>65263.08</v>
      </c>
      <c r="JL768" s="513">
        <f t="shared" si="16850"/>
        <v>65263.08</v>
      </c>
      <c r="JM768" s="513">
        <f t="shared" ref="JM768:JO768" si="16851">SUM(JM769:JM781)</f>
        <v>0</v>
      </c>
      <c r="JN768" s="513">
        <f t="shared" si="16851"/>
        <v>0</v>
      </c>
      <c r="JO768" s="513">
        <f t="shared" si="16851"/>
        <v>0</v>
      </c>
      <c r="JP768" s="513">
        <f t="shared" ref="JP768:KA768" si="16852">SUM(JP769:JP781)</f>
        <v>0</v>
      </c>
      <c r="JQ768" s="513">
        <f t="shared" si="16852"/>
        <v>0</v>
      </c>
      <c r="JR768" s="513">
        <f t="shared" si="16852"/>
        <v>0</v>
      </c>
      <c r="JS768" s="513">
        <f>SUM(JS769:JS781)</f>
        <v>479234.14</v>
      </c>
      <c r="JT768" s="573">
        <f>SUM(JT769:JT781)</f>
        <v>479234.14</v>
      </c>
      <c r="JU768" s="665"/>
      <c r="JV768" s="524"/>
      <c r="JW768" s="525"/>
      <c r="JX768" s="567">
        <f t="shared" si="16852"/>
        <v>0</v>
      </c>
      <c r="JY768" s="513">
        <f t="shared" si="16852"/>
        <v>1247000</v>
      </c>
      <c r="JZ768" s="513">
        <f t="shared" si="16852"/>
        <v>30000</v>
      </c>
      <c r="KA768" s="513">
        <f t="shared" si="16852"/>
        <v>-317709</v>
      </c>
      <c r="KB768" s="513">
        <f>SUM(KB769:KB781)</f>
        <v>959291</v>
      </c>
      <c r="KC768" s="709">
        <f>HG768-KB768</f>
        <v>0</v>
      </c>
      <c r="KD768" s="491"/>
      <c r="KE768" s="491"/>
      <c r="KF768" s="491"/>
      <c r="KG768" s="491"/>
      <c r="KH768" s="36"/>
      <c r="KI768" s="36"/>
      <c r="KJ768" s="36"/>
      <c r="KK768" s="36"/>
    </row>
    <row r="769" spans="1:297" s="10" customFormat="1">
      <c r="A769" s="612" t="s">
        <v>771</v>
      </c>
      <c r="B769" s="512" t="s">
        <v>976</v>
      </c>
      <c r="C769" s="74">
        <v>471900</v>
      </c>
      <c r="D769" s="549">
        <v>0</v>
      </c>
      <c r="E769" s="675">
        <v>0</v>
      </c>
      <c r="F769" s="549">
        <v>0</v>
      </c>
      <c r="G769" s="675">
        <v>0</v>
      </c>
      <c r="H769" s="549">
        <v>0</v>
      </c>
      <c r="I769" s="675">
        <v>0</v>
      </c>
      <c r="J769" s="549">
        <v>0</v>
      </c>
      <c r="K769" s="675">
        <v>0</v>
      </c>
      <c r="L769" s="549">
        <v>0</v>
      </c>
      <c r="M769" s="675">
        <v>0</v>
      </c>
      <c r="N769" s="549">
        <v>0</v>
      </c>
      <c r="O769" s="675">
        <v>0</v>
      </c>
      <c r="P769" s="549">
        <v>0</v>
      </c>
      <c r="Q769" s="675">
        <v>0</v>
      </c>
      <c r="R769" s="549">
        <v>0</v>
      </c>
      <c r="S769" s="675">
        <v>0</v>
      </c>
      <c r="T769" s="549">
        <v>0</v>
      </c>
      <c r="U769" s="675">
        <v>0</v>
      </c>
      <c r="V769" s="549">
        <v>0</v>
      </c>
      <c r="W769" s="675">
        <v>0</v>
      </c>
      <c r="X769" s="549">
        <v>0</v>
      </c>
      <c r="Y769" s="675">
        <v>0</v>
      </c>
      <c r="Z769" s="549">
        <v>0</v>
      </c>
      <c r="AA769" s="675">
        <v>0</v>
      </c>
      <c r="AB769" s="549">
        <v>0</v>
      </c>
      <c r="AC769" s="675">
        <v>0</v>
      </c>
      <c r="AD769" s="549">
        <v>0</v>
      </c>
      <c r="AE769" s="675">
        <v>0</v>
      </c>
      <c r="AF769" s="549">
        <v>0</v>
      </c>
      <c r="AG769" s="675">
        <v>0</v>
      </c>
      <c r="AH769" s="549">
        <v>0</v>
      </c>
      <c r="AI769" s="675">
        <v>0</v>
      </c>
      <c r="AJ769" s="549">
        <v>0</v>
      </c>
      <c r="AK769" s="675">
        <v>0</v>
      </c>
      <c r="AL769" s="549">
        <v>0</v>
      </c>
      <c r="AM769" s="675">
        <v>0</v>
      </c>
      <c r="AN769" s="549">
        <v>0</v>
      </c>
      <c r="AO769" s="675">
        <v>0</v>
      </c>
      <c r="AP769" s="549">
        <v>0</v>
      </c>
      <c r="AQ769" s="675">
        <v>0</v>
      </c>
      <c r="AR769" s="549">
        <v>0</v>
      </c>
      <c r="AS769" s="675">
        <v>0</v>
      </c>
      <c r="AT769" s="549">
        <v>0</v>
      </c>
      <c r="AU769" s="675">
        <v>0</v>
      </c>
      <c r="AV769" s="549">
        <v>0</v>
      </c>
      <c r="AW769" s="675">
        <v>0</v>
      </c>
      <c r="AX769" s="549">
        <v>0</v>
      </c>
      <c r="AY769" s="675">
        <v>0</v>
      </c>
      <c r="AZ769" s="549">
        <v>0</v>
      </c>
      <c r="BA769" s="675">
        <v>0</v>
      </c>
      <c r="BB769" s="549">
        <v>0</v>
      </c>
      <c r="BC769" s="675">
        <v>0</v>
      </c>
      <c r="BD769" s="549">
        <v>0</v>
      </c>
      <c r="BE769" s="675">
        <v>0</v>
      </c>
      <c r="BF769" s="549">
        <v>0</v>
      </c>
      <c r="BG769" s="675">
        <v>0</v>
      </c>
      <c r="BH769" s="549">
        <v>0</v>
      </c>
      <c r="BI769" s="675">
        <v>0</v>
      </c>
      <c r="BJ769" s="549">
        <v>0</v>
      </c>
      <c r="BK769" s="675">
        <v>0</v>
      </c>
      <c r="BL769" s="549">
        <v>0</v>
      </c>
      <c r="BM769" s="675">
        <v>0</v>
      </c>
      <c r="BN769" s="549">
        <v>0</v>
      </c>
      <c r="BO769" s="675">
        <v>0</v>
      </c>
      <c r="BP769" s="549">
        <v>0</v>
      </c>
      <c r="BQ769" s="675">
        <v>0</v>
      </c>
      <c r="BR769" s="549">
        <v>0</v>
      </c>
      <c r="BS769" s="675">
        <v>0</v>
      </c>
      <c r="BT769" s="549">
        <v>0</v>
      </c>
      <c r="BU769" s="675">
        <v>0</v>
      </c>
      <c r="BV769" s="549">
        <v>0</v>
      </c>
      <c r="BW769" s="675">
        <v>0</v>
      </c>
      <c r="BX769" s="549">
        <v>0</v>
      </c>
      <c r="BY769" s="675">
        <v>0</v>
      </c>
      <c r="BZ769" s="549">
        <v>0</v>
      </c>
      <c r="CA769" s="675">
        <v>0</v>
      </c>
      <c r="CB769" s="549">
        <v>0</v>
      </c>
      <c r="CC769" s="675">
        <v>0</v>
      </c>
      <c r="CD769" s="549">
        <v>0</v>
      </c>
      <c r="CE769" s="675">
        <v>0</v>
      </c>
      <c r="CF769" s="549">
        <v>0</v>
      </c>
      <c r="CG769" s="675">
        <v>0</v>
      </c>
      <c r="CH769" s="549">
        <v>0</v>
      </c>
      <c r="CI769" s="675">
        <v>0</v>
      </c>
      <c r="CJ769" s="549">
        <v>0</v>
      </c>
      <c r="CK769" s="675">
        <v>0</v>
      </c>
      <c r="CL769" s="549">
        <v>0</v>
      </c>
      <c r="CM769" s="675">
        <v>0</v>
      </c>
      <c r="CN769" s="549">
        <v>0</v>
      </c>
      <c r="CO769" s="675">
        <v>0</v>
      </c>
      <c r="CP769" s="549">
        <v>0</v>
      </c>
      <c r="CQ769" s="675">
        <v>0</v>
      </c>
      <c r="CR769" s="549">
        <v>0</v>
      </c>
      <c r="CS769" s="675">
        <v>0</v>
      </c>
      <c r="CT769" s="549">
        <v>0</v>
      </c>
      <c r="CU769" s="675">
        <v>0</v>
      </c>
      <c r="CV769" s="549">
        <v>0</v>
      </c>
      <c r="CW769" s="675">
        <v>0</v>
      </c>
      <c r="CX769" s="549">
        <v>0</v>
      </c>
      <c r="CY769" s="675">
        <v>0</v>
      </c>
      <c r="CZ769" s="549">
        <v>0</v>
      </c>
      <c r="DA769" s="675">
        <v>0</v>
      </c>
      <c r="DB769" s="549">
        <v>0</v>
      </c>
      <c r="DC769" s="675">
        <v>0</v>
      </c>
      <c r="DD769" s="549">
        <v>0</v>
      </c>
      <c r="DE769" s="675">
        <v>0</v>
      </c>
      <c r="DF769" s="549">
        <v>0</v>
      </c>
      <c r="DG769" s="675">
        <v>0</v>
      </c>
      <c r="DH769" s="549">
        <v>0</v>
      </c>
      <c r="DI769" s="675">
        <v>0</v>
      </c>
      <c r="DJ769" s="549">
        <v>0</v>
      </c>
      <c r="DK769" s="675">
        <v>0</v>
      </c>
      <c r="DL769" s="549">
        <v>0</v>
      </c>
      <c r="DM769" s="675">
        <v>0</v>
      </c>
      <c r="DN769" s="549">
        <v>0</v>
      </c>
      <c r="DO769" s="675">
        <v>-214979</v>
      </c>
      <c r="DP769" s="549">
        <v>0</v>
      </c>
      <c r="DQ769" s="675">
        <v>0</v>
      </c>
      <c r="DR769" s="549">
        <v>0</v>
      </c>
      <c r="DS769" s="675">
        <v>0</v>
      </c>
      <c r="DT769" s="549">
        <v>0</v>
      </c>
      <c r="DU769" s="675">
        <v>0</v>
      </c>
      <c r="DV769" s="549">
        <v>0</v>
      </c>
      <c r="DW769" s="675">
        <v>0</v>
      </c>
      <c r="DX769" s="549">
        <v>0</v>
      </c>
      <c r="DY769" s="675">
        <v>0</v>
      </c>
      <c r="DZ769" s="549">
        <v>0</v>
      </c>
      <c r="EA769" s="675">
        <v>0</v>
      </c>
      <c r="EB769" s="549">
        <v>0</v>
      </c>
      <c r="EC769" s="675">
        <v>0</v>
      </c>
      <c r="ED769" s="549">
        <v>0</v>
      </c>
      <c r="EE769" s="675">
        <v>0</v>
      </c>
      <c r="EF769" s="549">
        <v>0</v>
      </c>
      <c r="EG769" s="675">
        <v>0</v>
      </c>
      <c r="EH769" s="549">
        <v>0</v>
      </c>
      <c r="EI769" s="675">
        <v>0</v>
      </c>
      <c r="EJ769" s="549">
        <v>0</v>
      </c>
      <c r="EK769" s="675">
        <v>0</v>
      </c>
      <c r="EL769" s="549">
        <v>0</v>
      </c>
      <c r="EM769" s="675">
        <v>0</v>
      </c>
      <c r="EN769" s="549">
        <v>0</v>
      </c>
      <c r="EO769" s="675">
        <v>0</v>
      </c>
      <c r="EP769" s="549">
        <v>0</v>
      </c>
      <c r="EQ769" s="675">
        <v>0</v>
      </c>
      <c r="ER769" s="549">
        <v>0</v>
      </c>
      <c r="ES769" s="675">
        <v>0</v>
      </c>
      <c r="ET769" s="549">
        <v>0</v>
      </c>
      <c r="EU769" s="675">
        <v>0</v>
      </c>
      <c r="EV769" s="549">
        <v>0</v>
      </c>
      <c r="EW769" s="675">
        <v>0</v>
      </c>
      <c r="EX769" s="549">
        <v>0</v>
      </c>
      <c r="EY769" s="675">
        <v>0</v>
      </c>
      <c r="EZ769" s="549">
        <v>0</v>
      </c>
      <c r="FA769" s="675">
        <v>0</v>
      </c>
      <c r="FB769" s="549">
        <v>0</v>
      </c>
      <c r="FC769" s="675">
        <v>0</v>
      </c>
      <c r="FD769" s="549">
        <v>0</v>
      </c>
      <c r="FE769" s="675">
        <v>0</v>
      </c>
      <c r="FF769" s="549">
        <v>0</v>
      </c>
      <c r="FG769" s="675">
        <v>0</v>
      </c>
      <c r="FH769" s="549">
        <v>0</v>
      </c>
      <c r="FI769" s="675">
        <v>0</v>
      </c>
      <c r="FJ769" s="549">
        <v>0</v>
      </c>
      <c r="FK769" s="675">
        <v>0</v>
      </c>
      <c r="FL769" s="549">
        <v>0</v>
      </c>
      <c r="FM769" s="675">
        <v>0</v>
      </c>
      <c r="FN769" s="549">
        <v>0</v>
      </c>
      <c r="FO769" s="675">
        <v>0</v>
      </c>
      <c r="FP769" s="549">
        <v>0</v>
      </c>
      <c r="FQ769" s="675">
        <v>0</v>
      </c>
      <c r="FR769" s="549">
        <v>0</v>
      </c>
      <c r="FS769" s="675">
        <v>0</v>
      </c>
      <c r="FT769" s="549">
        <v>0</v>
      </c>
      <c r="FU769" s="675">
        <v>0</v>
      </c>
      <c r="FV769" s="549">
        <v>0</v>
      </c>
      <c r="FW769" s="675">
        <v>0</v>
      </c>
      <c r="FX769" s="549">
        <v>0</v>
      </c>
      <c r="FY769" s="675">
        <v>0</v>
      </c>
      <c r="FZ769" s="549">
        <v>0</v>
      </c>
      <c r="GA769" s="675">
        <v>0</v>
      </c>
      <c r="GB769" s="549">
        <v>0</v>
      </c>
      <c r="GC769" s="675">
        <v>0</v>
      </c>
      <c r="GD769" s="549">
        <v>0</v>
      </c>
      <c r="GE769" s="675">
        <v>0</v>
      </c>
      <c r="GF769" s="549">
        <v>0</v>
      </c>
      <c r="GG769" s="675">
        <v>0</v>
      </c>
      <c r="GH769" s="549">
        <v>0</v>
      </c>
      <c r="GI769" s="675">
        <v>0</v>
      </c>
      <c r="GJ769" s="549">
        <v>0</v>
      </c>
      <c r="GK769" s="675">
        <v>0</v>
      </c>
      <c r="GL769" s="549">
        <v>0</v>
      </c>
      <c r="GM769" s="675">
        <v>0</v>
      </c>
      <c r="GN769" s="549">
        <v>0</v>
      </c>
      <c r="GO769" s="675">
        <v>0</v>
      </c>
      <c r="GP769" s="549">
        <f t="shared" ref="GP769:GP781" si="16853">+D769+F769+H769+J769+L769+N769+P769+R769+T769+V769+X769+Z769+AB769+AF769+AD769+AH769+AJ769+AL769+AN769+AP769+AR769+AT769+AV769+AX769+AZ769+BB769+BD769+BF769+BH769+BJ769+BL769+BN769+BP769+BR769+BT769+BV769+BX769+BZ769+CB769+CD769+CF769+CH769+CJ769+CL769+CN769+CP769+CR769+CT769+CV769+CX769+CZ769+DB769+DD769+DF769+DH769+DT769+EX769+DJ769+DL769+DN769+DP769+DR769+EJ769+EB769+DZ769+DX769+DV769+ED769+EF769+EH769+EL769+EN769+EP769+EV769+ET769+ER769+EZ769+FB769+FD769+GL769+FF769+FJ769+FL769+GJ769+FT769+FR769+FP769+FN769+FH769+GH769+GF769+GD769+GB769+FZ769+FX769+FV769+GN769</f>
        <v>0</v>
      </c>
      <c r="GQ769" s="675">
        <f t="shared" ref="GQ769:GQ781" si="16854">+E769+G769+I769+K769+M769+O769+Q769+S769+U769+W769+Y769+AA769+AC769+AE769+AG769+AI769+AK769+AM769+AO769+AQ769+AS769+AU769+AW769+AY769+BA769+BC769+BE769+BG769+BI769+BK769+BM769+BO769+BQ769+BS769+BU769+BW769+BY769+CA769+CC769+CE769+CG769+CI769+CK769+CM769+CO769+CQ769+CS769+CU769+CW769+CY769+DA769+DC769+DE769+DG769+DI769+DU769+EY769+DK769+DM769+DO769+DQ769+DS769+EK769+EC769+EA769+DY769+DW769+EI769+EG769+EE769+EM769+EO769+EQ769+EW769+EU769+ES769+FA769+FC769+FE769+GM769+FG769+FK769+FM769+FO769+FQ769+FS769+FU769+GK769+FI769+GI769+GG769+GE769+GC769+GA769+FY769+FW769+GO769</f>
        <v>-214979</v>
      </c>
      <c r="GR769" s="74">
        <f t="shared" ref="GR769:GR781" si="16855">C769+GP769+GQ769</f>
        <v>256921</v>
      </c>
      <c r="GS769" s="74">
        <f t="shared" ref="GS769:GS781" si="16856">SUM(GU769:HD769)+GP769+GQ769</f>
        <v>256921</v>
      </c>
      <c r="GT769" s="568">
        <f t="shared" ref="GT769:GT781" si="16857">SUM(GU769:HF769)+GQ769+GP769</f>
        <v>256921</v>
      </c>
      <c r="GU769" s="275">
        <v>117975</v>
      </c>
      <c r="GV769" s="275"/>
      <c r="GW769" s="588"/>
      <c r="GX769" s="275">
        <v>117975</v>
      </c>
      <c r="GY769" s="275"/>
      <c r="GZ769" s="275"/>
      <c r="HA769" s="275">
        <f>117975+117975</f>
        <v>235950</v>
      </c>
      <c r="HB769" s="275"/>
      <c r="HC769" s="275"/>
      <c r="HD769" s="275">
        <f>117975-117975</f>
        <v>0</v>
      </c>
      <c r="HE769" s="275">
        <v>0</v>
      </c>
      <c r="HF769" s="275">
        <v>0</v>
      </c>
      <c r="HG769" s="74">
        <f t="shared" ref="HG769:HG781" si="16858">SUM(HH769:IE769)+GP769+GQ769</f>
        <v>256921</v>
      </c>
      <c r="HH769" s="89">
        <v>0</v>
      </c>
      <c r="HI769" s="157">
        <v>0</v>
      </c>
      <c r="HJ769" s="89">
        <v>0</v>
      </c>
      <c r="HK769" s="157">
        <v>0</v>
      </c>
      <c r="HL769" s="89">
        <v>0</v>
      </c>
      <c r="HM769" s="157">
        <v>36885.160000000003</v>
      </c>
      <c r="HN769" s="89">
        <v>0</v>
      </c>
      <c r="HO769" s="157">
        <f>159790.33+39274.51</f>
        <v>199064.84</v>
      </c>
      <c r="HP769" s="89">
        <v>0</v>
      </c>
      <c r="HQ769" s="157">
        <v>0</v>
      </c>
      <c r="HR769" s="89">
        <v>0</v>
      </c>
      <c r="HS769" s="157">
        <v>0</v>
      </c>
      <c r="HT769" s="89">
        <v>0</v>
      </c>
      <c r="HU769" s="157">
        <f>331988.17-96038.17</f>
        <v>235950</v>
      </c>
      <c r="HV769" s="89">
        <v>0</v>
      </c>
      <c r="HW769" s="157">
        <v>0</v>
      </c>
      <c r="HX769" s="89">
        <v>0</v>
      </c>
      <c r="HY769" s="157">
        <v>0</v>
      </c>
      <c r="HZ769" s="89">
        <v>0</v>
      </c>
      <c r="IA769" s="157">
        <v>0</v>
      </c>
      <c r="IB769" s="89">
        <v>0</v>
      </c>
      <c r="IC769" s="157">
        <v>0</v>
      </c>
      <c r="ID769" s="89">
        <v>0</v>
      </c>
      <c r="IE769" s="157">
        <v>0</v>
      </c>
      <c r="IF769" s="717">
        <f t="shared" ref="IF769:IF781" si="16859">SUM(II769,IL769,IO769,IR769,IU769,IX769,JA769,JD769,JG769,JJ769,JM769,JP769)</f>
        <v>208856.83</v>
      </c>
      <c r="IG769" s="263">
        <f t="shared" ref="IG769:IG781" si="16860">SUM(IJ769,IM769,IP769,IS769,IV769,IY769,JB769,JE769,JH769,JK769,JN769,JQ769)</f>
        <v>208856.83</v>
      </c>
      <c r="IH769" s="718">
        <f t="shared" ref="IH769:IH781" si="16861">SUM(IK769,IN769,IQ769,IT769,IW769,IZ769,JC769,JF769,JI769,JL769,JO769,JR769)</f>
        <v>208856.83</v>
      </c>
      <c r="II769" s="89">
        <v>9832.67</v>
      </c>
      <c r="IJ769" s="89">
        <f t="shared" ref="IJ769:IJ781" si="16862">II769</f>
        <v>9832.67</v>
      </c>
      <c r="IK769" s="89">
        <f t="shared" ref="IK769:IK781" si="16863">IJ769</f>
        <v>9832.67</v>
      </c>
      <c r="IL769" s="89">
        <f>27867.67-9832.67</f>
        <v>18035</v>
      </c>
      <c r="IM769" s="89">
        <f t="shared" ref="IM769:IM781" si="16864">IL769</f>
        <v>18035</v>
      </c>
      <c r="IN769" s="89">
        <f t="shared" ref="IN769:IN781" si="16865">IM769</f>
        <v>18035</v>
      </c>
      <c r="IO769" s="89">
        <f>36885.16-27867.67</f>
        <v>9017.4900000000052</v>
      </c>
      <c r="IP769" s="89">
        <f t="shared" ref="IP769:IP781" si="16866">IO769</f>
        <v>9017.4900000000052</v>
      </c>
      <c r="IQ769" s="89">
        <f t="shared" ref="IQ769:IQ781" si="16867">IP769</f>
        <v>9017.4900000000052</v>
      </c>
      <c r="IR769" s="89">
        <f>76159.67-36885.16</f>
        <v>39274.509999999995</v>
      </c>
      <c r="IS769" s="89">
        <f t="shared" ref="IS769:IS781" si="16868">IR769</f>
        <v>39274.509999999995</v>
      </c>
      <c r="IT769" s="89">
        <f t="shared" ref="IT769:IT781" si="16869">IS769</f>
        <v>39274.509999999995</v>
      </c>
      <c r="IU769" s="89">
        <f>97475.17-76159.67</f>
        <v>21315.5</v>
      </c>
      <c r="IV769" s="89">
        <f t="shared" ref="IV769:IV781" si="16870">IU769</f>
        <v>21315.5</v>
      </c>
      <c r="IW769" s="89">
        <f t="shared" ref="IW769:IW781" si="16871">IV769</f>
        <v>21315.5</v>
      </c>
      <c r="IX769" s="89">
        <f>117750.17-97475.17</f>
        <v>20275</v>
      </c>
      <c r="IY769" s="89">
        <f t="shared" ref="IY769:IY781" si="16872">IX769</f>
        <v>20275</v>
      </c>
      <c r="IZ769" s="89">
        <f t="shared" ref="IZ769:IZ781" si="16873">IY769</f>
        <v>20275</v>
      </c>
      <c r="JA769" s="89">
        <f>139911.83-117750.17</f>
        <v>22161.659999999989</v>
      </c>
      <c r="JB769" s="89">
        <f t="shared" ref="JB769:JB781" si="16874">JA769</f>
        <v>22161.659999999989</v>
      </c>
      <c r="JC769" s="89">
        <f t="shared" ref="JC769:JC781" si="16875">JB769</f>
        <v>22161.659999999989</v>
      </c>
      <c r="JD769" s="89">
        <f>163191.12-139911.83</f>
        <v>23279.290000000008</v>
      </c>
      <c r="JE769" s="89">
        <f t="shared" ref="JE769:JE781" si="16876">JD769</f>
        <v>23279.290000000008</v>
      </c>
      <c r="JF769" s="89">
        <f t="shared" ref="JF769:JF781" si="16877">JE769</f>
        <v>23279.290000000008</v>
      </c>
      <c r="JG769" s="89">
        <f>186041.83-163191.12</f>
        <v>22850.709999999992</v>
      </c>
      <c r="JH769" s="89">
        <f t="shared" ref="JH769:JH781" si="16878">JG769</f>
        <v>22850.709999999992</v>
      </c>
      <c r="JI769" s="89">
        <f t="shared" ref="JI769:JI781" si="16879">JH769</f>
        <v>22850.709999999992</v>
      </c>
      <c r="JJ769" s="89">
        <f>208856.83-186041.83</f>
        <v>22815</v>
      </c>
      <c r="JK769" s="89">
        <f t="shared" ref="JK769:JK781" si="16880">JJ769</f>
        <v>22815</v>
      </c>
      <c r="JL769" s="89">
        <f t="shared" ref="JL769:JL781" si="16881">JK769</f>
        <v>22815</v>
      </c>
      <c r="JM769" s="89">
        <v>0</v>
      </c>
      <c r="JN769" s="89">
        <f t="shared" ref="JN769:JN781" si="16882">JM769</f>
        <v>0</v>
      </c>
      <c r="JO769" s="89">
        <f t="shared" ref="JO769:JO781" si="16883">JN769</f>
        <v>0</v>
      </c>
      <c r="JP769" s="89">
        <v>0</v>
      </c>
      <c r="JQ769" s="89">
        <f t="shared" ref="JQ769:JR769" si="16884">JP769</f>
        <v>0</v>
      </c>
      <c r="JR769" s="89">
        <f t="shared" si="16884"/>
        <v>0</v>
      </c>
      <c r="JS769" s="74">
        <f t="shared" ref="JS769:JS781" si="16885">HG769-IF769</f>
        <v>48064.170000000013</v>
      </c>
      <c r="JT769" s="382">
        <f t="shared" ref="JT769:JT781" si="16886">GS769-IF769</f>
        <v>48064.170000000013</v>
      </c>
      <c r="JU769" s="665"/>
      <c r="JV769" s="524"/>
      <c r="JW769" s="525"/>
      <c r="JX769" s="549">
        <f t="shared" ref="JX769:JX781" si="16887">SUM(HH769,HJ769,HL769,HN769,HP769,HR769,HT769,HV769,HX769,HZ769,IB769,ID769)</f>
        <v>0</v>
      </c>
      <c r="JY769" s="549">
        <f t="shared" si="15767"/>
        <v>471900</v>
      </c>
      <c r="JZ769" s="581">
        <f t="shared" si="16466"/>
        <v>0</v>
      </c>
      <c r="KA769" s="581">
        <f t="shared" si="16467"/>
        <v>-214979</v>
      </c>
      <c r="KB769" s="566">
        <f t="shared" si="15406"/>
        <v>256921</v>
      </c>
      <c r="KC769" s="709">
        <f t="shared" si="16464"/>
        <v>0</v>
      </c>
      <c r="KD769" s="491"/>
      <c r="KE769" s="491"/>
      <c r="KF769" s="491"/>
      <c r="KG769" s="491"/>
      <c r="KH769" s="36"/>
      <c r="KI769" s="36"/>
      <c r="KJ769" s="36"/>
      <c r="KK769" s="36"/>
    </row>
    <row r="770" spans="1:297" s="10" customFormat="1">
      <c r="A770" s="612" t="s">
        <v>772</v>
      </c>
      <c r="B770" s="512" t="s">
        <v>66</v>
      </c>
      <c r="C770" s="74">
        <v>14900</v>
      </c>
      <c r="D770" s="549">
        <v>0</v>
      </c>
      <c r="E770" s="675">
        <v>0</v>
      </c>
      <c r="F770" s="549">
        <v>0</v>
      </c>
      <c r="G770" s="675">
        <v>0</v>
      </c>
      <c r="H770" s="549">
        <v>0</v>
      </c>
      <c r="I770" s="675">
        <v>0</v>
      </c>
      <c r="J770" s="549">
        <v>0</v>
      </c>
      <c r="K770" s="675">
        <v>0</v>
      </c>
      <c r="L770" s="549">
        <v>0</v>
      </c>
      <c r="M770" s="675">
        <v>0</v>
      </c>
      <c r="N770" s="549">
        <v>0</v>
      </c>
      <c r="O770" s="675">
        <v>0</v>
      </c>
      <c r="P770" s="549">
        <v>0</v>
      </c>
      <c r="Q770" s="675">
        <v>0</v>
      </c>
      <c r="R770" s="549">
        <v>0</v>
      </c>
      <c r="S770" s="675">
        <v>0</v>
      </c>
      <c r="T770" s="549">
        <v>0</v>
      </c>
      <c r="U770" s="675">
        <v>0</v>
      </c>
      <c r="V770" s="549">
        <v>0</v>
      </c>
      <c r="W770" s="675">
        <v>0</v>
      </c>
      <c r="X770" s="549">
        <v>0</v>
      </c>
      <c r="Y770" s="675">
        <v>0</v>
      </c>
      <c r="Z770" s="549">
        <v>0</v>
      </c>
      <c r="AA770" s="675">
        <v>0</v>
      </c>
      <c r="AB770" s="549">
        <v>0</v>
      </c>
      <c r="AC770" s="675">
        <v>0</v>
      </c>
      <c r="AD770" s="549">
        <v>0</v>
      </c>
      <c r="AE770" s="675">
        <v>0</v>
      </c>
      <c r="AF770" s="549">
        <v>0</v>
      </c>
      <c r="AG770" s="675">
        <v>0</v>
      </c>
      <c r="AH770" s="549">
        <v>0</v>
      </c>
      <c r="AI770" s="675">
        <v>0</v>
      </c>
      <c r="AJ770" s="549">
        <v>0</v>
      </c>
      <c r="AK770" s="675">
        <v>0</v>
      </c>
      <c r="AL770" s="549">
        <v>0</v>
      </c>
      <c r="AM770" s="675">
        <v>0</v>
      </c>
      <c r="AN770" s="549">
        <v>0</v>
      </c>
      <c r="AO770" s="675">
        <v>0</v>
      </c>
      <c r="AP770" s="549">
        <v>0</v>
      </c>
      <c r="AQ770" s="675">
        <v>0</v>
      </c>
      <c r="AR770" s="549">
        <v>0</v>
      </c>
      <c r="AS770" s="675">
        <v>0</v>
      </c>
      <c r="AT770" s="549">
        <v>0</v>
      </c>
      <c r="AU770" s="675">
        <v>0</v>
      </c>
      <c r="AV770" s="549">
        <v>0</v>
      </c>
      <c r="AW770" s="675">
        <v>0</v>
      </c>
      <c r="AX770" s="549">
        <v>0</v>
      </c>
      <c r="AY770" s="675">
        <v>0</v>
      </c>
      <c r="AZ770" s="549">
        <v>0</v>
      </c>
      <c r="BA770" s="675">
        <v>0</v>
      </c>
      <c r="BB770" s="549">
        <v>0</v>
      </c>
      <c r="BC770" s="675">
        <v>0</v>
      </c>
      <c r="BD770" s="549">
        <v>0</v>
      </c>
      <c r="BE770" s="675">
        <v>0</v>
      </c>
      <c r="BF770" s="549">
        <v>0</v>
      </c>
      <c r="BG770" s="675">
        <v>0</v>
      </c>
      <c r="BH770" s="549">
        <v>0</v>
      </c>
      <c r="BI770" s="675">
        <v>0</v>
      </c>
      <c r="BJ770" s="549">
        <v>0</v>
      </c>
      <c r="BK770" s="675">
        <v>0</v>
      </c>
      <c r="BL770" s="549">
        <v>0</v>
      </c>
      <c r="BM770" s="675">
        <v>0</v>
      </c>
      <c r="BN770" s="549">
        <v>0</v>
      </c>
      <c r="BO770" s="675">
        <v>0</v>
      </c>
      <c r="BP770" s="549">
        <v>0</v>
      </c>
      <c r="BQ770" s="675">
        <v>0</v>
      </c>
      <c r="BR770" s="549">
        <v>0</v>
      </c>
      <c r="BS770" s="675">
        <v>0</v>
      </c>
      <c r="BT770" s="549">
        <v>0</v>
      </c>
      <c r="BU770" s="675">
        <v>0</v>
      </c>
      <c r="BV770" s="549">
        <v>0</v>
      </c>
      <c r="BW770" s="675">
        <v>0</v>
      </c>
      <c r="BX770" s="549">
        <v>0</v>
      </c>
      <c r="BY770" s="675">
        <v>0</v>
      </c>
      <c r="BZ770" s="549">
        <v>0</v>
      </c>
      <c r="CA770" s="675">
        <v>0</v>
      </c>
      <c r="CB770" s="549">
        <v>0</v>
      </c>
      <c r="CC770" s="675">
        <v>0</v>
      </c>
      <c r="CD770" s="549">
        <v>0</v>
      </c>
      <c r="CE770" s="675">
        <v>0</v>
      </c>
      <c r="CF770" s="549">
        <v>0</v>
      </c>
      <c r="CG770" s="675">
        <v>0</v>
      </c>
      <c r="CH770" s="549">
        <v>0</v>
      </c>
      <c r="CI770" s="675">
        <v>0</v>
      </c>
      <c r="CJ770" s="549">
        <v>0</v>
      </c>
      <c r="CK770" s="675">
        <v>0</v>
      </c>
      <c r="CL770" s="549">
        <v>0</v>
      </c>
      <c r="CM770" s="675">
        <v>0</v>
      </c>
      <c r="CN770" s="549">
        <v>0</v>
      </c>
      <c r="CO770" s="675">
        <v>0</v>
      </c>
      <c r="CP770" s="549">
        <v>0</v>
      </c>
      <c r="CQ770" s="675">
        <v>0</v>
      </c>
      <c r="CR770" s="549">
        <v>0</v>
      </c>
      <c r="CS770" s="675">
        <v>0</v>
      </c>
      <c r="CT770" s="549">
        <v>0</v>
      </c>
      <c r="CU770" s="675">
        <v>0</v>
      </c>
      <c r="CV770" s="549">
        <v>0</v>
      </c>
      <c r="CW770" s="675">
        <v>0</v>
      </c>
      <c r="CX770" s="549">
        <v>0</v>
      </c>
      <c r="CY770" s="675">
        <v>0</v>
      </c>
      <c r="CZ770" s="549">
        <v>0</v>
      </c>
      <c r="DA770" s="675">
        <v>0</v>
      </c>
      <c r="DB770" s="549">
        <v>0</v>
      </c>
      <c r="DC770" s="675">
        <v>0</v>
      </c>
      <c r="DD770" s="549">
        <v>0</v>
      </c>
      <c r="DE770" s="675">
        <v>0</v>
      </c>
      <c r="DF770" s="549">
        <v>0</v>
      </c>
      <c r="DG770" s="675">
        <v>0</v>
      </c>
      <c r="DH770" s="549">
        <v>0</v>
      </c>
      <c r="DI770" s="675">
        <v>0</v>
      </c>
      <c r="DJ770" s="549">
        <v>0</v>
      </c>
      <c r="DK770" s="675">
        <v>0</v>
      </c>
      <c r="DL770" s="549">
        <v>0</v>
      </c>
      <c r="DM770" s="675">
        <v>0</v>
      </c>
      <c r="DN770" s="549">
        <v>0</v>
      </c>
      <c r="DO770" s="675">
        <v>0</v>
      </c>
      <c r="DP770" s="549">
        <v>0</v>
      </c>
      <c r="DQ770" s="675">
        <v>0</v>
      </c>
      <c r="DR770" s="549">
        <v>0</v>
      </c>
      <c r="DS770" s="675">
        <v>0</v>
      </c>
      <c r="DT770" s="549">
        <v>0</v>
      </c>
      <c r="DU770" s="675">
        <v>0</v>
      </c>
      <c r="DV770" s="549">
        <v>0</v>
      </c>
      <c r="DW770" s="675">
        <v>0</v>
      </c>
      <c r="DX770" s="549">
        <v>0</v>
      </c>
      <c r="DY770" s="675">
        <v>0</v>
      </c>
      <c r="DZ770" s="549">
        <v>0</v>
      </c>
      <c r="EA770" s="675">
        <v>0</v>
      </c>
      <c r="EB770" s="549">
        <v>0</v>
      </c>
      <c r="EC770" s="675">
        <v>0</v>
      </c>
      <c r="ED770" s="549">
        <v>0</v>
      </c>
      <c r="EE770" s="675">
        <v>0</v>
      </c>
      <c r="EF770" s="549">
        <v>0</v>
      </c>
      <c r="EG770" s="675">
        <v>0</v>
      </c>
      <c r="EH770" s="549">
        <v>0</v>
      </c>
      <c r="EI770" s="675">
        <v>0</v>
      </c>
      <c r="EJ770" s="549">
        <v>0</v>
      </c>
      <c r="EK770" s="675">
        <v>0</v>
      </c>
      <c r="EL770" s="549">
        <v>0</v>
      </c>
      <c r="EM770" s="675">
        <v>0</v>
      </c>
      <c r="EN770" s="549">
        <v>0</v>
      </c>
      <c r="EO770" s="675">
        <v>0</v>
      </c>
      <c r="EP770" s="549">
        <v>0</v>
      </c>
      <c r="EQ770" s="675">
        <v>0</v>
      </c>
      <c r="ER770" s="549">
        <v>0</v>
      </c>
      <c r="ES770" s="675">
        <v>0</v>
      </c>
      <c r="ET770" s="549">
        <v>0</v>
      </c>
      <c r="EU770" s="675">
        <v>0</v>
      </c>
      <c r="EV770" s="549">
        <v>0</v>
      </c>
      <c r="EW770" s="675">
        <v>0</v>
      </c>
      <c r="EX770" s="549">
        <v>0</v>
      </c>
      <c r="EY770" s="675">
        <v>0</v>
      </c>
      <c r="EZ770" s="549">
        <v>0</v>
      </c>
      <c r="FA770" s="675">
        <v>0</v>
      </c>
      <c r="FB770" s="549">
        <v>0</v>
      </c>
      <c r="FC770" s="675">
        <v>0</v>
      </c>
      <c r="FD770" s="549">
        <v>0</v>
      </c>
      <c r="FE770" s="675">
        <v>0</v>
      </c>
      <c r="FF770" s="549">
        <v>0</v>
      </c>
      <c r="FG770" s="675">
        <v>0</v>
      </c>
      <c r="FH770" s="549">
        <v>0</v>
      </c>
      <c r="FI770" s="675">
        <v>0</v>
      </c>
      <c r="FJ770" s="549">
        <v>0</v>
      </c>
      <c r="FK770" s="675">
        <v>0</v>
      </c>
      <c r="FL770" s="549">
        <v>0</v>
      </c>
      <c r="FM770" s="675">
        <v>0</v>
      </c>
      <c r="FN770" s="549">
        <v>0</v>
      </c>
      <c r="FO770" s="675">
        <v>0</v>
      </c>
      <c r="FP770" s="549">
        <v>0</v>
      </c>
      <c r="FQ770" s="675">
        <v>0</v>
      </c>
      <c r="FR770" s="549">
        <v>0</v>
      </c>
      <c r="FS770" s="675">
        <v>0</v>
      </c>
      <c r="FT770" s="549">
        <v>0</v>
      </c>
      <c r="FU770" s="675">
        <v>0</v>
      </c>
      <c r="FV770" s="549">
        <v>0</v>
      </c>
      <c r="FW770" s="675">
        <v>0</v>
      </c>
      <c r="FX770" s="549">
        <v>0</v>
      </c>
      <c r="FY770" s="675">
        <v>0</v>
      </c>
      <c r="FZ770" s="549">
        <v>0</v>
      </c>
      <c r="GA770" s="675">
        <v>0</v>
      </c>
      <c r="GB770" s="549">
        <v>0</v>
      </c>
      <c r="GC770" s="675">
        <v>0</v>
      </c>
      <c r="GD770" s="549">
        <v>0</v>
      </c>
      <c r="GE770" s="675">
        <v>0</v>
      </c>
      <c r="GF770" s="549">
        <v>0</v>
      </c>
      <c r="GG770" s="675">
        <v>0</v>
      </c>
      <c r="GH770" s="549">
        <v>0</v>
      </c>
      <c r="GI770" s="675">
        <v>0</v>
      </c>
      <c r="GJ770" s="549">
        <v>0</v>
      </c>
      <c r="GK770" s="675">
        <v>0</v>
      </c>
      <c r="GL770" s="549">
        <v>0</v>
      </c>
      <c r="GM770" s="675">
        <v>0</v>
      </c>
      <c r="GN770" s="549">
        <v>0</v>
      </c>
      <c r="GO770" s="675">
        <v>0</v>
      </c>
      <c r="GP770" s="549">
        <f t="shared" si="16853"/>
        <v>0</v>
      </c>
      <c r="GQ770" s="675">
        <f t="shared" si="16854"/>
        <v>0</v>
      </c>
      <c r="GR770" s="74">
        <f t="shared" si="16855"/>
        <v>14900</v>
      </c>
      <c r="GS770" s="74">
        <f t="shared" si="16856"/>
        <v>14900</v>
      </c>
      <c r="GT770" s="568">
        <f t="shared" si="16857"/>
        <v>14900</v>
      </c>
      <c r="GU770" s="275">
        <v>4968</v>
      </c>
      <c r="GV770" s="275"/>
      <c r="GW770" s="588"/>
      <c r="GX770" s="275"/>
      <c r="GY770" s="275"/>
      <c r="GZ770" s="275"/>
      <c r="HA770" s="275">
        <v>4966</v>
      </c>
      <c r="HB770" s="275"/>
      <c r="HC770" s="275"/>
      <c r="HD770" s="275">
        <v>4966</v>
      </c>
      <c r="HE770" s="275">
        <v>0</v>
      </c>
      <c r="HF770" s="275">
        <v>0</v>
      </c>
      <c r="HG770" s="74">
        <f t="shared" si="16858"/>
        <v>14900</v>
      </c>
      <c r="HH770" s="89">
        <v>0</v>
      </c>
      <c r="HI770" s="157">
        <v>0</v>
      </c>
      <c r="HJ770" s="89">
        <v>0</v>
      </c>
      <c r="HK770" s="157">
        <v>0</v>
      </c>
      <c r="HL770" s="89">
        <v>0</v>
      </c>
      <c r="HM770" s="157">
        <v>2545.08</v>
      </c>
      <c r="HN770" s="89">
        <v>0</v>
      </c>
      <c r="HO770" s="157">
        <v>2422.92</v>
      </c>
      <c r="HP770" s="89">
        <v>0</v>
      </c>
      <c r="HQ770" s="157">
        <v>0</v>
      </c>
      <c r="HR770" s="89">
        <v>0</v>
      </c>
      <c r="HS770" s="157">
        <v>0</v>
      </c>
      <c r="HT770" s="89">
        <v>0</v>
      </c>
      <c r="HU770" s="157">
        <f>7388.92-2422.92</f>
        <v>4966</v>
      </c>
      <c r="HV770" s="89">
        <v>0</v>
      </c>
      <c r="HW770" s="157">
        <v>0</v>
      </c>
      <c r="HX770" s="89">
        <v>0</v>
      </c>
      <c r="HY770" s="157">
        <v>0</v>
      </c>
      <c r="HZ770" s="89">
        <v>0</v>
      </c>
      <c r="IA770" s="157">
        <f>14900-9934</f>
        <v>4966</v>
      </c>
      <c r="IB770" s="89">
        <v>0</v>
      </c>
      <c r="IC770" s="157">
        <v>0</v>
      </c>
      <c r="ID770" s="89">
        <v>0</v>
      </c>
      <c r="IE770" s="157">
        <v>0</v>
      </c>
      <c r="IF770" s="717">
        <f t="shared" si="16859"/>
        <v>4966.57</v>
      </c>
      <c r="IG770" s="263">
        <f t="shared" si="16860"/>
        <v>4966.57</v>
      </c>
      <c r="IH770" s="718">
        <f t="shared" si="16861"/>
        <v>4966.57</v>
      </c>
      <c r="II770" s="89">
        <v>0</v>
      </c>
      <c r="IJ770" s="89">
        <f t="shared" si="16862"/>
        <v>0</v>
      </c>
      <c r="IK770" s="89">
        <f t="shared" si="16863"/>
        <v>0</v>
      </c>
      <c r="IL770" s="89">
        <v>2545.08</v>
      </c>
      <c r="IM770" s="89">
        <f t="shared" si="16864"/>
        <v>2545.08</v>
      </c>
      <c r="IN770" s="89">
        <f t="shared" si="16865"/>
        <v>2545.08</v>
      </c>
      <c r="IO770" s="89">
        <v>0</v>
      </c>
      <c r="IP770" s="89">
        <f t="shared" si="16866"/>
        <v>0</v>
      </c>
      <c r="IQ770" s="89">
        <f t="shared" si="16867"/>
        <v>0</v>
      </c>
      <c r="IR770" s="89">
        <v>0</v>
      </c>
      <c r="IS770" s="89">
        <f t="shared" si="16868"/>
        <v>0</v>
      </c>
      <c r="IT770" s="89">
        <f t="shared" si="16869"/>
        <v>0</v>
      </c>
      <c r="IU770" s="89">
        <v>0</v>
      </c>
      <c r="IV770" s="89">
        <f t="shared" si="16870"/>
        <v>0</v>
      </c>
      <c r="IW770" s="89">
        <f t="shared" si="16871"/>
        <v>0</v>
      </c>
      <c r="IX770" s="89">
        <v>0</v>
      </c>
      <c r="IY770" s="89">
        <f t="shared" si="16872"/>
        <v>0</v>
      </c>
      <c r="IZ770" s="89">
        <f t="shared" si="16873"/>
        <v>0</v>
      </c>
      <c r="JA770" s="89">
        <f>2545.08-2545.08</f>
        <v>0</v>
      </c>
      <c r="JB770" s="89">
        <f t="shared" si="16874"/>
        <v>0</v>
      </c>
      <c r="JC770" s="89">
        <f t="shared" si="16875"/>
        <v>0</v>
      </c>
      <c r="JD770" s="89">
        <f>4966.57-2545.08</f>
        <v>2421.4899999999998</v>
      </c>
      <c r="JE770" s="89">
        <f t="shared" si="16876"/>
        <v>2421.4899999999998</v>
      </c>
      <c r="JF770" s="89">
        <f t="shared" si="16877"/>
        <v>2421.4899999999998</v>
      </c>
      <c r="JG770" s="89">
        <v>0</v>
      </c>
      <c r="JH770" s="89">
        <f t="shared" si="16878"/>
        <v>0</v>
      </c>
      <c r="JI770" s="89">
        <f t="shared" si="16879"/>
        <v>0</v>
      </c>
      <c r="JJ770" s="89">
        <v>0</v>
      </c>
      <c r="JK770" s="89">
        <f t="shared" si="16880"/>
        <v>0</v>
      </c>
      <c r="JL770" s="89">
        <f t="shared" si="16881"/>
        <v>0</v>
      </c>
      <c r="JM770" s="89">
        <v>0</v>
      </c>
      <c r="JN770" s="89">
        <f t="shared" si="16882"/>
        <v>0</v>
      </c>
      <c r="JO770" s="89">
        <f t="shared" si="16883"/>
        <v>0</v>
      </c>
      <c r="JP770" s="89">
        <v>0</v>
      </c>
      <c r="JQ770" s="89">
        <f t="shared" ref="JQ770:JR770" si="16888">JP770</f>
        <v>0</v>
      </c>
      <c r="JR770" s="89">
        <f t="shared" si="16888"/>
        <v>0</v>
      </c>
      <c r="JS770" s="74">
        <f t="shared" si="16885"/>
        <v>9933.43</v>
      </c>
      <c r="JT770" s="382">
        <f t="shared" si="16886"/>
        <v>9933.43</v>
      </c>
      <c r="JU770" s="665"/>
      <c r="JV770" s="524"/>
      <c r="JW770" s="525"/>
      <c r="JX770" s="549">
        <f t="shared" si="16887"/>
        <v>0</v>
      </c>
      <c r="JY770" s="549">
        <f t="shared" si="15767"/>
        <v>14900</v>
      </c>
      <c r="JZ770" s="581">
        <f t="shared" si="16466"/>
        <v>0</v>
      </c>
      <c r="KA770" s="581">
        <f t="shared" si="16467"/>
        <v>0</v>
      </c>
      <c r="KB770" s="566">
        <f t="shared" si="15406"/>
        <v>14900</v>
      </c>
      <c r="KC770" s="709">
        <f t="shared" si="16464"/>
        <v>0</v>
      </c>
      <c r="KD770" s="491"/>
      <c r="KE770" s="491"/>
      <c r="KF770" s="491"/>
      <c r="KG770" s="491"/>
      <c r="KH770" s="36"/>
      <c r="KI770" s="36"/>
      <c r="KJ770" s="36"/>
      <c r="KK770" s="36"/>
    </row>
    <row r="771" spans="1:297" s="10" customFormat="1">
      <c r="A771" s="612" t="s">
        <v>773</v>
      </c>
      <c r="B771" s="512" t="s">
        <v>977</v>
      </c>
      <c r="C771" s="74">
        <v>59700</v>
      </c>
      <c r="D771" s="549">
        <v>0</v>
      </c>
      <c r="E771" s="675">
        <v>0</v>
      </c>
      <c r="F771" s="549">
        <v>0</v>
      </c>
      <c r="G771" s="675">
        <v>0</v>
      </c>
      <c r="H771" s="549">
        <v>0</v>
      </c>
      <c r="I771" s="675">
        <v>0</v>
      </c>
      <c r="J771" s="549">
        <v>0</v>
      </c>
      <c r="K771" s="675">
        <v>0</v>
      </c>
      <c r="L771" s="549">
        <v>0</v>
      </c>
      <c r="M771" s="675">
        <v>0</v>
      </c>
      <c r="N771" s="549">
        <v>0</v>
      </c>
      <c r="O771" s="675">
        <v>0</v>
      </c>
      <c r="P771" s="549">
        <v>0</v>
      </c>
      <c r="Q771" s="675">
        <v>0</v>
      </c>
      <c r="R771" s="549">
        <v>0</v>
      </c>
      <c r="S771" s="675">
        <v>0</v>
      </c>
      <c r="T771" s="549">
        <v>0</v>
      </c>
      <c r="U771" s="675">
        <v>0</v>
      </c>
      <c r="V771" s="549">
        <v>0</v>
      </c>
      <c r="W771" s="675">
        <v>0</v>
      </c>
      <c r="X771" s="549">
        <v>0</v>
      </c>
      <c r="Y771" s="675">
        <v>0</v>
      </c>
      <c r="Z771" s="549">
        <v>0</v>
      </c>
      <c r="AA771" s="675">
        <v>0</v>
      </c>
      <c r="AB771" s="549">
        <v>0</v>
      </c>
      <c r="AC771" s="675">
        <v>0</v>
      </c>
      <c r="AD771" s="549">
        <v>0</v>
      </c>
      <c r="AE771" s="675">
        <v>0</v>
      </c>
      <c r="AF771" s="549">
        <v>0</v>
      </c>
      <c r="AG771" s="675">
        <v>0</v>
      </c>
      <c r="AH771" s="549">
        <v>0</v>
      </c>
      <c r="AI771" s="675">
        <v>0</v>
      </c>
      <c r="AJ771" s="549">
        <v>0</v>
      </c>
      <c r="AK771" s="675">
        <v>0</v>
      </c>
      <c r="AL771" s="549">
        <v>0</v>
      </c>
      <c r="AM771" s="675">
        <v>0</v>
      </c>
      <c r="AN771" s="549">
        <v>0</v>
      </c>
      <c r="AO771" s="675">
        <v>0</v>
      </c>
      <c r="AP771" s="549">
        <v>0</v>
      </c>
      <c r="AQ771" s="675">
        <v>0</v>
      </c>
      <c r="AR771" s="549">
        <v>0</v>
      </c>
      <c r="AS771" s="675">
        <v>0</v>
      </c>
      <c r="AT771" s="549">
        <v>0</v>
      </c>
      <c r="AU771" s="675">
        <v>0</v>
      </c>
      <c r="AV771" s="549">
        <v>0</v>
      </c>
      <c r="AW771" s="675">
        <v>0</v>
      </c>
      <c r="AX771" s="549">
        <v>0</v>
      </c>
      <c r="AY771" s="675">
        <v>0</v>
      </c>
      <c r="AZ771" s="549">
        <v>0</v>
      </c>
      <c r="BA771" s="675">
        <v>0</v>
      </c>
      <c r="BB771" s="549">
        <v>0</v>
      </c>
      <c r="BC771" s="675">
        <v>0</v>
      </c>
      <c r="BD771" s="549">
        <v>0</v>
      </c>
      <c r="BE771" s="675">
        <v>0</v>
      </c>
      <c r="BF771" s="549">
        <v>0</v>
      </c>
      <c r="BG771" s="675">
        <v>0</v>
      </c>
      <c r="BH771" s="549">
        <v>0</v>
      </c>
      <c r="BI771" s="675">
        <v>0</v>
      </c>
      <c r="BJ771" s="549">
        <v>0</v>
      </c>
      <c r="BK771" s="675">
        <v>0</v>
      </c>
      <c r="BL771" s="549">
        <v>0</v>
      </c>
      <c r="BM771" s="675">
        <v>0</v>
      </c>
      <c r="BN771" s="549">
        <v>0</v>
      </c>
      <c r="BO771" s="675">
        <v>0</v>
      </c>
      <c r="BP771" s="549">
        <v>0</v>
      </c>
      <c r="BQ771" s="675">
        <v>0</v>
      </c>
      <c r="BR771" s="549">
        <v>0</v>
      </c>
      <c r="BS771" s="675">
        <v>0</v>
      </c>
      <c r="BT771" s="549">
        <v>0</v>
      </c>
      <c r="BU771" s="675">
        <v>0</v>
      </c>
      <c r="BV771" s="549">
        <v>0</v>
      </c>
      <c r="BW771" s="675">
        <v>0</v>
      </c>
      <c r="BX771" s="549">
        <v>0</v>
      </c>
      <c r="BY771" s="675">
        <v>0</v>
      </c>
      <c r="BZ771" s="549">
        <v>0</v>
      </c>
      <c r="CA771" s="675">
        <v>0</v>
      </c>
      <c r="CB771" s="549">
        <v>0</v>
      </c>
      <c r="CC771" s="675">
        <v>0</v>
      </c>
      <c r="CD771" s="549">
        <v>0</v>
      </c>
      <c r="CE771" s="675">
        <v>0</v>
      </c>
      <c r="CF771" s="549">
        <v>0</v>
      </c>
      <c r="CG771" s="675">
        <v>0</v>
      </c>
      <c r="CH771" s="549">
        <v>0</v>
      </c>
      <c r="CI771" s="675">
        <v>0</v>
      </c>
      <c r="CJ771" s="549">
        <v>0</v>
      </c>
      <c r="CK771" s="675">
        <v>0</v>
      </c>
      <c r="CL771" s="549">
        <v>0</v>
      </c>
      <c r="CM771" s="675">
        <v>0</v>
      </c>
      <c r="CN771" s="549">
        <v>0</v>
      </c>
      <c r="CO771" s="675">
        <v>0</v>
      </c>
      <c r="CP771" s="549">
        <v>0</v>
      </c>
      <c r="CQ771" s="675">
        <v>0</v>
      </c>
      <c r="CR771" s="549">
        <v>0</v>
      </c>
      <c r="CS771" s="675">
        <v>0</v>
      </c>
      <c r="CT771" s="549">
        <v>0</v>
      </c>
      <c r="CU771" s="675">
        <v>0</v>
      </c>
      <c r="CV771" s="549">
        <v>0</v>
      </c>
      <c r="CW771" s="675">
        <v>0</v>
      </c>
      <c r="CX771" s="549">
        <v>0</v>
      </c>
      <c r="CY771" s="675">
        <v>0</v>
      </c>
      <c r="CZ771" s="549">
        <v>0</v>
      </c>
      <c r="DA771" s="675">
        <v>0</v>
      </c>
      <c r="DB771" s="549">
        <v>0</v>
      </c>
      <c r="DC771" s="675">
        <v>0</v>
      </c>
      <c r="DD771" s="549">
        <v>0</v>
      </c>
      <c r="DE771" s="675">
        <v>0</v>
      </c>
      <c r="DF771" s="549">
        <v>0</v>
      </c>
      <c r="DG771" s="675">
        <v>0</v>
      </c>
      <c r="DH771" s="549">
        <v>0</v>
      </c>
      <c r="DI771" s="675">
        <v>0</v>
      </c>
      <c r="DJ771" s="549">
        <v>0</v>
      </c>
      <c r="DK771" s="675">
        <v>0</v>
      </c>
      <c r="DL771" s="549">
        <v>0</v>
      </c>
      <c r="DM771" s="675">
        <v>0</v>
      </c>
      <c r="DN771" s="549">
        <v>0</v>
      </c>
      <c r="DO771" s="675">
        <v>0</v>
      </c>
      <c r="DP771" s="549">
        <v>0</v>
      </c>
      <c r="DQ771" s="675">
        <v>0</v>
      </c>
      <c r="DR771" s="549">
        <v>0</v>
      </c>
      <c r="DS771" s="675">
        <v>0</v>
      </c>
      <c r="DT771" s="549">
        <v>0</v>
      </c>
      <c r="DU771" s="675">
        <v>0</v>
      </c>
      <c r="DV771" s="549">
        <v>0</v>
      </c>
      <c r="DW771" s="675">
        <v>0</v>
      </c>
      <c r="DX771" s="549">
        <v>0</v>
      </c>
      <c r="DY771" s="675">
        <v>0</v>
      </c>
      <c r="DZ771" s="549">
        <v>0</v>
      </c>
      <c r="EA771" s="675">
        <v>0</v>
      </c>
      <c r="EB771" s="549">
        <v>0</v>
      </c>
      <c r="EC771" s="675">
        <v>0</v>
      </c>
      <c r="ED771" s="549">
        <v>0</v>
      </c>
      <c r="EE771" s="675">
        <v>0</v>
      </c>
      <c r="EF771" s="549">
        <v>0</v>
      </c>
      <c r="EG771" s="675">
        <v>0</v>
      </c>
      <c r="EH771" s="549">
        <v>0</v>
      </c>
      <c r="EI771" s="675">
        <v>0</v>
      </c>
      <c r="EJ771" s="549">
        <v>0</v>
      </c>
      <c r="EK771" s="675">
        <v>0</v>
      </c>
      <c r="EL771" s="549">
        <v>0</v>
      </c>
      <c r="EM771" s="675">
        <v>0</v>
      </c>
      <c r="EN771" s="549">
        <v>0</v>
      </c>
      <c r="EO771" s="675">
        <v>0</v>
      </c>
      <c r="EP771" s="549">
        <v>0</v>
      </c>
      <c r="EQ771" s="675">
        <v>0</v>
      </c>
      <c r="ER771" s="549">
        <v>0</v>
      </c>
      <c r="ES771" s="675">
        <v>0</v>
      </c>
      <c r="ET771" s="549">
        <v>0</v>
      </c>
      <c r="EU771" s="675">
        <v>0</v>
      </c>
      <c r="EV771" s="549">
        <v>0</v>
      </c>
      <c r="EW771" s="675">
        <v>0</v>
      </c>
      <c r="EX771" s="549">
        <v>0</v>
      </c>
      <c r="EY771" s="675">
        <v>0</v>
      </c>
      <c r="EZ771" s="549">
        <v>0</v>
      </c>
      <c r="FA771" s="675">
        <v>0</v>
      </c>
      <c r="FB771" s="549">
        <v>0</v>
      </c>
      <c r="FC771" s="675">
        <v>0</v>
      </c>
      <c r="FD771" s="549">
        <v>0</v>
      </c>
      <c r="FE771" s="675">
        <v>0</v>
      </c>
      <c r="FF771" s="549">
        <v>0</v>
      </c>
      <c r="FG771" s="675">
        <v>0</v>
      </c>
      <c r="FH771" s="549">
        <v>0</v>
      </c>
      <c r="FI771" s="675">
        <v>0</v>
      </c>
      <c r="FJ771" s="549">
        <v>0</v>
      </c>
      <c r="FK771" s="675">
        <v>0</v>
      </c>
      <c r="FL771" s="549">
        <v>0</v>
      </c>
      <c r="FM771" s="675">
        <v>0</v>
      </c>
      <c r="FN771" s="549">
        <v>0</v>
      </c>
      <c r="FO771" s="675">
        <v>0</v>
      </c>
      <c r="FP771" s="549">
        <v>0</v>
      </c>
      <c r="FQ771" s="675">
        <v>0</v>
      </c>
      <c r="FR771" s="549">
        <v>0</v>
      </c>
      <c r="FS771" s="675">
        <v>0</v>
      </c>
      <c r="FT771" s="549">
        <v>0</v>
      </c>
      <c r="FU771" s="675">
        <v>0</v>
      </c>
      <c r="FV771" s="549">
        <v>0</v>
      </c>
      <c r="FW771" s="675">
        <v>0</v>
      </c>
      <c r="FX771" s="549">
        <v>0</v>
      </c>
      <c r="FY771" s="675">
        <v>0</v>
      </c>
      <c r="FZ771" s="549">
        <v>0</v>
      </c>
      <c r="GA771" s="675">
        <v>0</v>
      </c>
      <c r="GB771" s="549">
        <v>0</v>
      </c>
      <c r="GC771" s="675">
        <v>0</v>
      </c>
      <c r="GD771" s="549">
        <v>0</v>
      </c>
      <c r="GE771" s="675">
        <v>0</v>
      </c>
      <c r="GF771" s="549">
        <v>0</v>
      </c>
      <c r="GG771" s="675">
        <v>0</v>
      </c>
      <c r="GH771" s="549">
        <v>0</v>
      </c>
      <c r="GI771" s="675">
        <v>0</v>
      </c>
      <c r="GJ771" s="549">
        <v>0</v>
      </c>
      <c r="GK771" s="675">
        <v>0</v>
      </c>
      <c r="GL771" s="549">
        <v>0</v>
      </c>
      <c r="GM771" s="675">
        <v>0</v>
      </c>
      <c r="GN771" s="549">
        <v>0</v>
      </c>
      <c r="GO771" s="675">
        <v>0</v>
      </c>
      <c r="GP771" s="549">
        <f t="shared" si="16853"/>
        <v>0</v>
      </c>
      <c r="GQ771" s="675">
        <f t="shared" si="16854"/>
        <v>0</v>
      </c>
      <c r="GR771" s="74">
        <f t="shared" si="16855"/>
        <v>59700</v>
      </c>
      <c r="GS771" s="74">
        <f t="shared" si="16856"/>
        <v>59700</v>
      </c>
      <c r="GT771" s="568">
        <f t="shared" si="16857"/>
        <v>59700</v>
      </c>
      <c r="GU771" s="275">
        <v>11940</v>
      </c>
      <c r="GV771" s="275"/>
      <c r="GW771" s="588"/>
      <c r="GX771" s="275">
        <v>17910</v>
      </c>
      <c r="GY771" s="275"/>
      <c r="GZ771" s="275"/>
      <c r="HA771" s="275">
        <v>17910</v>
      </c>
      <c r="HB771" s="275"/>
      <c r="HC771" s="275"/>
      <c r="HD771" s="275">
        <v>11940</v>
      </c>
      <c r="HE771" s="275">
        <v>0</v>
      </c>
      <c r="HF771" s="275">
        <v>0</v>
      </c>
      <c r="HG771" s="74">
        <f t="shared" si="16858"/>
        <v>59700</v>
      </c>
      <c r="HH771" s="89">
        <v>0</v>
      </c>
      <c r="HI771" s="157">
        <v>0</v>
      </c>
      <c r="HJ771" s="89">
        <v>0</v>
      </c>
      <c r="HK771" s="157">
        <v>0</v>
      </c>
      <c r="HL771" s="89">
        <v>0</v>
      </c>
      <c r="HM771" s="157">
        <v>11940</v>
      </c>
      <c r="HN771" s="89">
        <v>0</v>
      </c>
      <c r="HO771" s="157">
        <v>17910</v>
      </c>
      <c r="HP771" s="89">
        <v>0</v>
      </c>
      <c r="HQ771" s="157">
        <v>0</v>
      </c>
      <c r="HR771" s="89">
        <v>0</v>
      </c>
      <c r="HS771" s="157">
        <v>0</v>
      </c>
      <c r="HT771" s="89">
        <v>0</v>
      </c>
      <c r="HU771" s="157">
        <v>17910</v>
      </c>
      <c r="HV771" s="89">
        <v>0</v>
      </c>
      <c r="HW771" s="157">
        <v>0</v>
      </c>
      <c r="HX771" s="89">
        <v>0</v>
      </c>
      <c r="HY771" s="157">
        <v>0</v>
      </c>
      <c r="HZ771" s="89">
        <v>0</v>
      </c>
      <c r="IA771" s="157">
        <v>11940</v>
      </c>
      <c r="IB771" s="89">
        <v>0</v>
      </c>
      <c r="IC771" s="157">
        <v>0</v>
      </c>
      <c r="ID771" s="89">
        <v>0</v>
      </c>
      <c r="IE771" s="157">
        <v>0</v>
      </c>
      <c r="IF771" s="717">
        <f t="shared" si="16859"/>
        <v>59700</v>
      </c>
      <c r="IG771" s="263">
        <f t="shared" si="16860"/>
        <v>59700</v>
      </c>
      <c r="IH771" s="718">
        <f t="shared" si="16861"/>
        <v>59700</v>
      </c>
      <c r="II771" s="89">
        <v>0</v>
      </c>
      <c r="IJ771" s="89">
        <f t="shared" si="16862"/>
        <v>0</v>
      </c>
      <c r="IK771" s="89">
        <f t="shared" si="16863"/>
        <v>0</v>
      </c>
      <c r="IL771" s="89">
        <v>11940</v>
      </c>
      <c r="IM771" s="89">
        <f t="shared" si="16864"/>
        <v>11940</v>
      </c>
      <c r="IN771" s="89">
        <f t="shared" si="16865"/>
        <v>11940</v>
      </c>
      <c r="IO771" s="89">
        <v>0</v>
      </c>
      <c r="IP771" s="89">
        <f t="shared" si="16866"/>
        <v>0</v>
      </c>
      <c r="IQ771" s="89">
        <f t="shared" si="16867"/>
        <v>0</v>
      </c>
      <c r="IR771" s="89">
        <f>29850-11940</f>
        <v>17910</v>
      </c>
      <c r="IS771" s="89">
        <f t="shared" si="16868"/>
        <v>17910</v>
      </c>
      <c r="IT771" s="89">
        <f t="shared" si="16869"/>
        <v>17910</v>
      </c>
      <c r="IU771" s="89">
        <v>0</v>
      </c>
      <c r="IV771" s="89">
        <f t="shared" si="16870"/>
        <v>0</v>
      </c>
      <c r="IW771" s="89">
        <f t="shared" si="16871"/>
        <v>0</v>
      </c>
      <c r="IX771" s="89">
        <v>0</v>
      </c>
      <c r="IY771" s="89">
        <f t="shared" si="16872"/>
        <v>0</v>
      </c>
      <c r="IZ771" s="89">
        <f t="shared" si="16873"/>
        <v>0</v>
      </c>
      <c r="JA771" s="89">
        <f>47760-29850</f>
        <v>17910</v>
      </c>
      <c r="JB771" s="89">
        <f t="shared" si="16874"/>
        <v>17910</v>
      </c>
      <c r="JC771" s="89">
        <f t="shared" si="16875"/>
        <v>17910</v>
      </c>
      <c r="JD771" s="89">
        <v>0</v>
      </c>
      <c r="JE771" s="89">
        <f t="shared" si="16876"/>
        <v>0</v>
      </c>
      <c r="JF771" s="89">
        <f t="shared" si="16877"/>
        <v>0</v>
      </c>
      <c r="JG771" s="89">
        <v>0</v>
      </c>
      <c r="JH771" s="89">
        <f t="shared" si="16878"/>
        <v>0</v>
      </c>
      <c r="JI771" s="89">
        <f t="shared" si="16879"/>
        <v>0</v>
      </c>
      <c r="JJ771" s="89">
        <f>59700-47760</f>
        <v>11940</v>
      </c>
      <c r="JK771" s="89">
        <f t="shared" si="16880"/>
        <v>11940</v>
      </c>
      <c r="JL771" s="89">
        <f t="shared" si="16881"/>
        <v>11940</v>
      </c>
      <c r="JM771" s="89">
        <v>0</v>
      </c>
      <c r="JN771" s="89">
        <f t="shared" si="16882"/>
        <v>0</v>
      </c>
      <c r="JO771" s="89">
        <f t="shared" si="16883"/>
        <v>0</v>
      </c>
      <c r="JP771" s="89">
        <v>0</v>
      </c>
      <c r="JQ771" s="89">
        <f t="shared" ref="JQ771:JR771" si="16889">JP771</f>
        <v>0</v>
      </c>
      <c r="JR771" s="89">
        <f t="shared" si="16889"/>
        <v>0</v>
      </c>
      <c r="JS771" s="74">
        <f t="shared" si="16885"/>
        <v>0</v>
      </c>
      <c r="JT771" s="382">
        <f t="shared" si="16886"/>
        <v>0</v>
      </c>
      <c r="JU771" s="665"/>
      <c r="JV771" s="524"/>
      <c r="JW771" s="525"/>
      <c r="JX771" s="549">
        <f t="shared" si="16887"/>
        <v>0</v>
      </c>
      <c r="JY771" s="549">
        <f t="shared" si="15767"/>
        <v>59700</v>
      </c>
      <c r="JZ771" s="581">
        <f t="shared" si="16466"/>
        <v>0</v>
      </c>
      <c r="KA771" s="581">
        <f t="shared" si="16467"/>
        <v>0</v>
      </c>
      <c r="KB771" s="566">
        <f t="shared" si="15406"/>
        <v>59700</v>
      </c>
      <c r="KC771" s="709">
        <f t="shared" si="16464"/>
        <v>0</v>
      </c>
      <c r="KD771" s="491"/>
      <c r="KE771" s="491"/>
      <c r="KF771" s="491"/>
      <c r="KG771" s="491"/>
      <c r="KH771" s="36"/>
      <c r="KI771" s="36"/>
      <c r="KJ771" s="36"/>
      <c r="KK771" s="36"/>
    </row>
    <row r="772" spans="1:297" s="10" customFormat="1">
      <c r="A772" s="612" t="s">
        <v>774</v>
      </c>
      <c r="B772" s="512" t="s">
        <v>978</v>
      </c>
      <c r="C772" s="74">
        <v>7100</v>
      </c>
      <c r="D772" s="549">
        <v>0</v>
      </c>
      <c r="E772" s="675">
        <v>0</v>
      </c>
      <c r="F772" s="549">
        <v>0</v>
      </c>
      <c r="G772" s="675">
        <v>0</v>
      </c>
      <c r="H772" s="549">
        <v>0</v>
      </c>
      <c r="I772" s="675">
        <v>0</v>
      </c>
      <c r="J772" s="549">
        <v>0</v>
      </c>
      <c r="K772" s="675">
        <v>0</v>
      </c>
      <c r="L772" s="549">
        <v>0</v>
      </c>
      <c r="M772" s="675">
        <v>0</v>
      </c>
      <c r="N772" s="549">
        <v>0</v>
      </c>
      <c r="O772" s="675">
        <v>0</v>
      </c>
      <c r="P772" s="549">
        <v>0</v>
      </c>
      <c r="Q772" s="675">
        <v>0</v>
      </c>
      <c r="R772" s="549">
        <v>0</v>
      </c>
      <c r="S772" s="675">
        <v>0</v>
      </c>
      <c r="T772" s="549">
        <v>0</v>
      </c>
      <c r="U772" s="675">
        <v>0</v>
      </c>
      <c r="V772" s="549">
        <v>0</v>
      </c>
      <c r="W772" s="675">
        <v>0</v>
      </c>
      <c r="X772" s="549">
        <v>0</v>
      </c>
      <c r="Y772" s="675">
        <v>0</v>
      </c>
      <c r="Z772" s="549">
        <v>0</v>
      </c>
      <c r="AA772" s="675">
        <v>0</v>
      </c>
      <c r="AB772" s="549">
        <v>0</v>
      </c>
      <c r="AC772" s="675">
        <v>0</v>
      </c>
      <c r="AD772" s="549">
        <v>0</v>
      </c>
      <c r="AE772" s="675">
        <v>0</v>
      </c>
      <c r="AF772" s="549">
        <v>0</v>
      </c>
      <c r="AG772" s="675">
        <v>0</v>
      </c>
      <c r="AH772" s="549">
        <v>0</v>
      </c>
      <c r="AI772" s="675">
        <v>0</v>
      </c>
      <c r="AJ772" s="549">
        <v>0</v>
      </c>
      <c r="AK772" s="675">
        <v>0</v>
      </c>
      <c r="AL772" s="549">
        <v>0</v>
      </c>
      <c r="AM772" s="675">
        <v>0</v>
      </c>
      <c r="AN772" s="549">
        <v>0</v>
      </c>
      <c r="AO772" s="675">
        <v>0</v>
      </c>
      <c r="AP772" s="549">
        <v>0</v>
      </c>
      <c r="AQ772" s="675">
        <v>0</v>
      </c>
      <c r="AR772" s="549">
        <v>0</v>
      </c>
      <c r="AS772" s="675">
        <v>0</v>
      </c>
      <c r="AT772" s="549">
        <v>0</v>
      </c>
      <c r="AU772" s="675">
        <v>0</v>
      </c>
      <c r="AV772" s="549">
        <v>0</v>
      </c>
      <c r="AW772" s="675">
        <v>0</v>
      </c>
      <c r="AX772" s="549">
        <v>0</v>
      </c>
      <c r="AY772" s="675">
        <v>0</v>
      </c>
      <c r="AZ772" s="549">
        <v>0</v>
      </c>
      <c r="BA772" s="675">
        <v>0</v>
      </c>
      <c r="BB772" s="549">
        <v>0</v>
      </c>
      <c r="BC772" s="675">
        <v>0</v>
      </c>
      <c r="BD772" s="549">
        <v>0</v>
      </c>
      <c r="BE772" s="675">
        <v>0</v>
      </c>
      <c r="BF772" s="549">
        <v>0</v>
      </c>
      <c r="BG772" s="675">
        <v>0</v>
      </c>
      <c r="BH772" s="549">
        <v>0</v>
      </c>
      <c r="BI772" s="675">
        <v>0</v>
      </c>
      <c r="BJ772" s="549">
        <v>0</v>
      </c>
      <c r="BK772" s="675">
        <v>0</v>
      </c>
      <c r="BL772" s="549">
        <v>0</v>
      </c>
      <c r="BM772" s="675">
        <v>0</v>
      </c>
      <c r="BN772" s="549">
        <v>0</v>
      </c>
      <c r="BO772" s="675">
        <v>0</v>
      </c>
      <c r="BP772" s="549">
        <v>0</v>
      </c>
      <c r="BQ772" s="675">
        <v>0</v>
      </c>
      <c r="BR772" s="549">
        <v>0</v>
      </c>
      <c r="BS772" s="675">
        <v>0</v>
      </c>
      <c r="BT772" s="549">
        <v>0</v>
      </c>
      <c r="BU772" s="675">
        <v>0</v>
      </c>
      <c r="BV772" s="549">
        <v>0</v>
      </c>
      <c r="BW772" s="675">
        <v>0</v>
      </c>
      <c r="BX772" s="549">
        <v>0</v>
      </c>
      <c r="BY772" s="675">
        <v>0</v>
      </c>
      <c r="BZ772" s="549">
        <v>0</v>
      </c>
      <c r="CA772" s="675">
        <v>0</v>
      </c>
      <c r="CB772" s="549">
        <v>0</v>
      </c>
      <c r="CC772" s="675">
        <v>0</v>
      </c>
      <c r="CD772" s="549">
        <v>0</v>
      </c>
      <c r="CE772" s="675">
        <v>0</v>
      </c>
      <c r="CF772" s="549">
        <v>0</v>
      </c>
      <c r="CG772" s="675">
        <v>0</v>
      </c>
      <c r="CH772" s="549">
        <v>0</v>
      </c>
      <c r="CI772" s="675">
        <v>0</v>
      </c>
      <c r="CJ772" s="549">
        <v>0</v>
      </c>
      <c r="CK772" s="675">
        <v>0</v>
      </c>
      <c r="CL772" s="549">
        <v>0</v>
      </c>
      <c r="CM772" s="675">
        <v>0</v>
      </c>
      <c r="CN772" s="549">
        <v>0</v>
      </c>
      <c r="CO772" s="675">
        <v>0</v>
      </c>
      <c r="CP772" s="549">
        <v>0</v>
      </c>
      <c r="CQ772" s="675">
        <v>0</v>
      </c>
      <c r="CR772" s="549">
        <v>0</v>
      </c>
      <c r="CS772" s="675">
        <v>0</v>
      </c>
      <c r="CT772" s="549">
        <v>0</v>
      </c>
      <c r="CU772" s="675">
        <v>0</v>
      </c>
      <c r="CV772" s="549">
        <v>0</v>
      </c>
      <c r="CW772" s="675">
        <v>0</v>
      </c>
      <c r="CX772" s="549">
        <v>0</v>
      </c>
      <c r="CY772" s="675">
        <v>0</v>
      </c>
      <c r="CZ772" s="549">
        <v>0</v>
      </c>
      <c r="DA772" s="675">
        <v>0</v>
      </c>
      <c r="DB772" s="549">
        <v>0</v>
      </c>
      <c r="DC772" s="675">
        <v>0</v>
      </c>
      <c r="DD772" s="549">
        <v>0</v>
      </c>
      <c r="DE772" s="675">
        <v>0</v>
      </c>
      <c r="DF772" s="549">
        <v>0</v>
      </c>
      <c r="DG772" s="675">
        <v>0</v>
      </c>
      <c r="DH772" s="549">
        <v>0</v>
      </c>
      <c r="DI772" s="675">
        <v>0</v>
      </c>
      <c r="DJ772" s="549">
        <v>0</v>
      </c>
      <c r="DK772" s="675">
        <v>0</v>
      </c>
      <c r="DL772" s="549">
        <v>0</v>
      </c>
      <c r="DM772" s="675">
        <v>0</v>
      </c>
      <c r="DN772" s="549">
        <v>0</v>
      </c>
      <c r="DO772" s="675">
        <v>0</v>
      </c>
      <c r="DP772" s="549">
        <v>0</v>
      </c>
      <c r="DQ772" s="675">
        <v>0</v>
      </c>
      <c r="DR772" s="549">
        <v>0</v>
      </c>
      <c r="DS772" s="675">
        <v>0</v>
      </c>
      <c r="DT772" s="549">
        <v>0</v>
      </c>
      <c r="DU772" s="675">
        <v>0</v>
      </c>
      <c r="DV772" s="549">
        <v>0</v>
      </c>
      <c r="DW772" s="675">
        <v>0</v>
      </c>
      <c r="DX772" s="549">
        <v>0</v>
      </c>
      <c r="DY772" s="675">
        <v>0</v>
      </c>
      <c r="DZ772" s="549">
        <v>0</v>
      </c>
      <c r="EA772" s="675">
        <v>0</v>
      </c>
      <c r="EB772" s="549">
        <v>0</v>
      </c>
      <c r="EC772" s="675">
        <v>0</v>
      </c>
      <c r="ED772" s="549">
        <v>0</v>
      </c>
      <c r="EE772" s="675">
        <v>0</v>
      </c>
      <c r="EF772" s="549">
        <v>0</v>
      </c>
      <c r="EG772" s="675">
        <v>0</v>
      </c>
      <c r="EH772" s="549">
        <v>0</v>
      </c>
      <c r="EI772" s="675">
        <v>0</v>
      </c>
      <c r="EJ772" s="549">
        <v>0</v>
      </c>
      <c r="EK772" s="675">
        <v>0</v>
      </c>
      <c r="EL772" s="549">
        <v>0</v>
      </c>
      <c r="EM772" s="675">
        <v>0</v>
      </c>
      <c r="EN772" s="549">
        <v>0</v>
      </c>
      <c r="EO772" s="675">
        <v>0</v>
      </c>
      <c r="EP772" s="549">
        <v>0</v>
      </c>
      <c r="EQ772" s="675">
        <v>0</v>
      </c>
      <c r="ER772" s="549">
        <v>0</v>
      </c>
      <c r="ES772" s="675">
        <v>0</v>
      </c>
      <c r="ET772" s="549">
        <v>0</v>
      </c>
      <c r="EU772" s="675">
        <v>0</v>
      </c>
      <c r="EV772" s="549">
        <v>0</v>
      </c>
      <c r="EW772" s="675">
        <v>0</v>
      </c>
      <c r="EX772" s="549">
        <v>0</v>
      </c>
      <c r="EY772" s="675">
        <v>0</v>
      </c>
      <c r="EZ772" s="549">
        <v>0</v>
      </c>
      <c r="FA772" s="675">
        <v>0</v>
      </c>
      <c r="FB772" s="549">
        <v>0</v>
      </c>
      <c r="FC772" s="675">
        <v>0</v>
      </c>
      <c r="FD772" s="549">
        <v>0</v>
      </c>
      <c r="FE772" s="675">
        <v>0</v>
      </c>
      <c r="FF772" s="549">
        <v>0</v>
      </c>
      <c r="FG772" s="675">
        <v>0</v>
      </c>
      <c r="FH772" s="549">
        <v>0</v>
      </c>
      <c r="FI772" s="675">
        <v>0</v>
      </c>
      <c r="FJ772" s="549">
        <v>0</v>
      </c>
      <c r="FK772" s="675">
        <v>0</v>
      </c>
      <c r="FL772" s="549">
        <v>0</v>
      </c>
      <c r="FM772" s="675">
        <v>0</v>
      </c>
      <c r="FN772" s="549">
        <v>0</v>
      </c>
      <c r="FO772" s="675">
        <v>0</v>
      </c>
      <c r="FP772" s="549">
        <v>0</v>
      </c>
      <c r="FQ772" s="675">
        <v>0</v>
      </c>
      <c r="FR772" s="549">
        <v>0</v>
      </c>
      <c r="FS772" s="675">
        <v>0</v>
      </c>
      <c r="FT772" s="549">
        <v>0</v>
      </c>
      <c r="FU772" s="675">
        <v>0</v>
      </c>
      <c r="FV772" s="549">
        <v>0</v>
      </c>
      <c r="FW772" s="675">
        <v>0</v>
      </c>
      <c r="FX772" s="549">
        <v>0</v>
      </c>
      <c r="FY772" s="675">
        <v>0</v>
      </c>
      <c r="FZ772" s="549">
        <v>0</v>
      </c>
      <c r="GA772" s="675">
        <v>0</v>
      </c>
      <c r="GB772" s="549">
        <v>0</v>
      </c>
      <c r="GC772" s="675">
        <v>0</v>
      </c>
      <c r="GD772" s="549">
        <v>0</v>
      </c>
      <c r="GE772" s="675">
        <v>0</v>
      </c>
      <c r="GF772" s="549">
        <v>0</v>
      </c>
      <c r="GG772" s="675">
        <v>0</v>
      </c>
      <c r="GH772" s="549">
        <v>0</v>
      </c>
      <c r="GI772" s="675">
        <v>0</v>
      </c>
      <c r="GJ772" s="549">
        <v>0</v>
      </c>
      <c r="GK772" s="675">
        <v>0</v>
      </c>
      <c r="GL772" s="549">
        <v>0</v>
      </c>
      <c r="GM772" s="675">
        <v>0</v>
      </c>
      <c r="GN772" s="549">
        <v>0</v>
      </c>
      <c r="GO772" s="675">
        <v>0</v>
      </c>
      <c r="GP772" s="549">
        <f t="shared" si="16853"/>
        <v>0</v>
      </c>
      <c r="GQ772" s="675">
        <f t="shared" si="16854"/>
        <v>0</v>
      </c>
      <c r="GR772" s="74">
        <f t="shared" si="16855"/>
        <v>7100</v>
      </c>
      <c r="GS772" s="74">
        <f t="shared" si="16856"/>
        <v>7100</v>
      </c>
      <c r="GT772" s="568">
        <f t="shared" si="16857"/>
        <v>7100</v>
      </c>
      <c r="GU772" s="275">
        <v>1420</v>
      </c>
      <c r="GV772" s="275"/>
      <c r="GW772" s="588"/>
      <c r="GX772" s="275">
        <v>2130</v>
      </c>
      <c r="GY772" s="275"/>
      <c r="GZ772" s="275"/>
      <c r="HA772" s="275">
        <v>2130</v>
      </c>
      <c r="HB772" s="275"/>
      <c r="HC772" s="275"/>
      <c r="HD772" s="275">
        <v>1420</v>
      </c>
      <c r="HE772" s="275">
        <v>0</v>
      </c>
      <c r="HF772" s="275">
        <v>0</v>
      </c>
      <c r="HG772" s="74">
        <f t="shared" si="16858"/>
        <v>7100</v>
      </c>
      <c r="HH772" s="89">
        <v>0</v>
      </c>
      <c r="HI772" s="157">
        <v>0</v>
      </c>
      <c r="HJ772" s="89">
        <v>0</v>
      </c>
      <c r="HK772" s="157">
        <v>0</v>
      </c>
      <c r="HL772" s="89">
        <v>0</v>
      </c>
      <c r="HM772" s="157">
        <v>1420</v>
      </c>
      <c r="HN772" s="89">
        <v>0</v>
      </c>
      <c r="HO772" s="157">
        <v>2130</v>
      </c>
      <c r="HP772" s="89">
        <v>0</v>
      </c>
      <c r="HQ772" s="157">
        <v>0</v>
      </c>
      <c r="HR772" s="89">
        <v>0</v>
      </c>
      <c r="HS772" s="157">
        <v>0</v>
      </c>
      <c r="HT772" s="89">
        <v>0</v>
      </c>
      <c r="HU772" s="157">
        <v>2130</v>
      </c>
      <c r="HV772" s="89">
        <v>0</v>
      </c>
      <c r="HW772" s="157">
        <v>0</v>
      </c>
      <c r="HX772" s="89">
        <v>0</v>
      </c>
      <c r="HY772" s="157">
        <v>0</v>
      </c>
      <c r="HZ772" s="89">
        <v>0</v>
      </c>
      <c r="IA772" s="157">
        <v>1420</v>
      </c>
      <c r="IB772" s="89">
        <v>0</v>
      </c>
      <c r="IC772" s="157">
        <v>0</v>
      </c>
      <c r="ID772" s="89">
        <v>0</v>
      </c>
      <c r="IE772" s="157">
        <v>0</v>
      </c>
      <c r="IF772" s="717">
        <f t="shared" si="16859"/>
        <v>7100</v>
      </c>
      <c r="IG772" s="263">
        <f t="shared" si="16860"/>
        <v>7100</v>
      </c>
      <c r="IH772" s="718">
        <f t="shared" si="16861"/>
        <v>7100</v>
      </c>
      <c r="II772" s="89">
        <v>0</v>
      </c>
      <c r="IJ772" s="89">
        <f t="shared" si="16862"/>
        <v>0</v>
      </c>
      <c r="IK772" s="89">
        <f t="shared" si="16863"/>
        <v>0</v>
      </c>
      <c r="IL772" s="89">
        <v>1420</v>
      </c>
      <c r="IM772" s="89">
        <f t="shared" si="16864"/>
        <v>1420</v>
      </c>
      <c r="IN772" s="89">
        <f t="shared" si="16865"/>
        <v>1420</v>
      </c>
      <c r="IO772" s="89">
        <v>0</v>
      </c>
      <c r="IP772" s="89">
        <f t="shared" si="16866"/>
        <v>0</v>
      </c>
      <c r="IQ772" s="89">
        <f t="shared" si="16867"/>
        <v>0</v>
      </c>
      <c r="IR772" s="89">
        <f>3550-1420</f>
        <v>2130</v>
      </c>
      <c r="IS772" s="89">
        <f t="shared" si="16868"/>
        <v>2130</v>
      </c>
      <c r="IT772" s="89">
        <f t="shared" si="16869"/>
        <v>2130</v>
      </c>
      <c r="IU772" s="89">
        <v>0</v>
      </c>
      <c r="IV772" s="89">
        <f t="shared" si="16870"/>
        <v>0</v>
      </c>
      <c r="IW772" s="89">
        <f t="shared" si="16871"/>
        <v>0</v>
      </c>
      <c r="IX772" s="89">
        <v>0</v>
      </c>
      <c r="IY772" s="89">
        <f t="shared" si="16872"/>
        <v>0</v>
      </c>
      <c r="IZ772" s="89">
        <f t="shared" si="16873"/>
        <v>0</v>
      </c>
      <c r="JA772" s="89">
        <f>5680-3550</f>
        <v>2130</v>
      </c>
      <c r="JB772" s="89">
        <f t="shared" si="16874"/>
        <v>2130</v>
      </c>
      <c r="JC772" s="89">
        <f t="shared" si="16875"/>
        <v>2130</v>
      </c>
      <c r="JD772" s="89">
        <v>0</v>
      </c>
      <c r="JE772" s="89">
        <f t="shared" si="16876"/>
        <v>0</v>
      </c>
      <c r="JF772" s="89">
        <f t="shared" si="16877"/>
        <v>0</v>
      </c>
      <c r="JG772" s="89">
        <v>0</v>
      </c>
      <c r="JH772" s="89">
        <f t="shared" si="16878"/>
        <v>0</v>
      </c>
      <c r="JI772" s="89">
        <f t="shared" si="16879"/>
        <v>0</v>
      </c>
      <c r="JJ772" s="89">
        <f>7100-5680</f>
        <v>1420</v>
      </c>
      <c r="JK772" s="89">
        <f t="shared" si="16880"/>
        <v>1420</v>
      </c>
      <c r="JL772" s="89">
        <f t="shared" si="16881"/>
        <v>1420</v>
      </c>
      <c r="JM772" s="89">
        <v>0</v>
      </c>
      <c r="JN772" s="89">
        <f t="shared" si="16882"/>
        <v>0</v>
      </c>
      <c r="JO772" s="89">
        <f t="shared" si="16883"/>
        <v>0</v>
      </c>
      <c r="JP772" s="89">
        <v>0</v>
      </c>
      <c r="JQ772" s="89">
        <f t="shared" ref="JQ772:JR772" si="16890">JP772</f>
        <v>0</v>
      </c>
      <c r="JR772" s="89">
        <f t="shared" si="16890"/>
        <v>0</v>
      </c>
      <c r="JS772" s="74">
        <f t="shared" si="16885"/>
        <v>0</v>
      </c>
      <c r="JT772" s="382">
        <f t="shared" si="16886"/>
        <v>0</v>
      </c>
      <c r="JU772" s="665"/>
      <c r="JV772" s="524"/>
      <c r="JW772" s="525"/>
      <c r="JX772" s="549">
        <f t="shared" si="16887"/>
        <v>0</v>
      </c>
      <c r="JY772" s="549">
        <f t="shared" si="15767"/>
        <v>7100</v>
      </c>
      <c r="JZ772" s="581">
        <f t="shared" si="16466"/>
        <v>0</v>
      </c>
      <c r="KA772" s="581">
        <f t="shared" si="16467"/>
        <v>0</v>
      </c>
      <c r="KB772" s="566">
        <f t="shared" si="15406"/>
        <v>7100</v>
      </c>
      <c r="KC772" s="709">
        <f t="shared" si="16464"/>
        <v>0</v>
      </c>
      <c r="KD772" s="491"/>
      <c r="KE772" s="491"/>
      <c r="KF772" s="491"/>
      <c r="KG772" s="491"/>
      <c r="KH772" s="36"/>
      <c r="KI772" s="36"/>
      <c r="KJ772" s="36"/>
      <c r="KK772" s="36"/>
    </row>
    <row r="773" spans="1:297" s="10" customFormat="1">
      <c r="A773" s="612" t="s">
        <v>775</v>
      </c>
      <c r="B773" s="512" t="s">
        <v>979</v>
      </c>
      <c r="C773" s="74">
        <v>3000</v>
      </c>
      <c r="D773" s="549">
        <v>0</v>
      </c>
      <c r="E773" s="675">
        <v>0</v>
      </c>
      <c r="F773" s="549">
        <v>0</v>
      </c>
      <c r="G773" s="675">
        <v>0</v>
      </c>
      <c r="H773" s="549">
        <v>0</v>
      </c>
      <c r="I773" s="675">
        <v>0</v>
      </c>
      <c r="J773" s="549">
        <v>0</v>
      </c>
      <c r="K773" s="675">
        <v>0</v>
      </c>
      <c r="L773" s="549">
        <v>0</v>
      </c>
      <c r="M773" s="675">
        <v>0</v>
      </c>
      <c r="N773" s="549">
        <v>0</v>
      </c>
      <c r="O773" s="675">
        <v>0</v>
      </c>
      <c r="P773" s="549">
        <v>0</v>
      </c>
      <c r="Q773" s="675">
        <v>0</v>
      </c>
      <c r="R773" s="549">
        <v>0</v>
      </c>
      <c r="S773" s="675">
        <v>0</v>
      </c>
      <c r="T773" s="549">
        <v>0</v>
      </c>
      <c r="U773" s="675">
        <v>0</v>
      </c>
      <c r="V773" s="549">
        <v>0</v>
      </c>
      <c r="W773" s="675">
        <v>0</v>
      </c>
      <c r="X773" s="549">
        <v>0</v>
      </c>
      <c r="Y773" s="675">
        <v>0</v>
      </c>
      <c r="Z773" s="549">
        <v>0</v>
      </c>
      <c r="AA773" s="675">
        <v>0</v>
      </c>
      <c r="AB773" s="549">
        <v>0</v>
      </c>
      <c r="AC773" s="675">
        <v>0</v>
      </c>
      <c r="AD773" s="549">
        <v>0</v>
      </c>
      <c r="AE773" s="675">
        <v>0</v>
      </c>
      <c r="AF773" s="549">
        <v>0</v>
      </c>
      <c r="AG773" s="675">
        <v>0</v>
      </c>
      <c r="AH773" s="549">
        <v>0</v>
      </c>
      <c r="AI773" s="675">
        <v>0</v>
      </c>
      <c r="AJ773" s="549">
        <v>0</v>
      </c>
      <c r="AK773" s="675">
        <v>0</v>
      </c>
      <c r="AL773" s="549">
        <v>0</v>
      </c>
      <c r="AM773" s="675">
        <v>0</v>
      </c>
      <c r="AN773" s="549">
        <v>0</v>
      </c>
      <c r="AO773" s="675">
        <v>0</v>
      </c>
      <c r="AP773" s="549">
        <v>0</v>
      </c>
      <c r="AQ773" s="675">
        <v>0</v>
      </c>
      <c r="AR773" s="549">
        <v>0</v>
      </c>
      <c r="AS773" s="675">
        <v>0</v>
      </c>
      <c r="AT773" s="549">
        <v>0</v>
      </c>
      <c r="AU773" s="675">
        <v>0</v>
      </c>
      <c r="AV773" s="549">
        <v>0</v>
      </c>
      <c r="AW773" s="675">
        <v>0</v>
      </c>
      <c r="AX773" s="549">
        <v>0</v>
      </c>
      <c r="AY773" s="675">
        <v>0</v>
      </c>
      <c r="AZ773" s="549">
        <v>0</v>
      </c>
      <c r="BA773" s="675">
        <v>0</v>
      </c>
      <c r="BB773" s="549">
        <v>0</v>
      </c>
      <c r="BC773" s="675">
        <v>0</v>
      </c>
      <c r="BD773" s="549">
        <v>0</v>
      </c>
      <c r="BE773" s="675">
        <v>0</v>
      </c>
      <c r="BF773" s="549">
        <v>0</v>
      </c>
      <c r="BG773" s="675">
        <v>0</v>
      </c>
      <c r="BH773" s="549">
        <v>0</v>
      </c>
      <c r="BI773" s="675">
        <v>0</v>
      </c>
      <c r="BJ773" s="549">
        <v>0</v>
      </c>
      <c r="BK773" s="675">
        <v>0</v>
      </c>
      <c r="BL773" s="549">
        <v>0</v>
      </c>
      <c r="BM773" s="675">
        <v>0</v>
      </c>
      <c r="BN773" s="549">
        <v>0</v>
      </c>
      <c r="BO773" s="675">
        <v>0</v>
      </c>
      <c r="BP773" s="549">
        <v>0</v>
      </c>
      <c r="BQ773" s="675">
        <v>0</v>
      </c>
      <c r="BR773" s="549">
        <v>0</v>
      </c>
      <c r="BS773" s="675">
        <v>0</v>
      </c>
      <c r="BT773" s="549">
        <v>0</v>
      </c>
      <c r="BU773" s="675">
        <v>0</v>
      </c>
      <c r="BV773" s="549">
        <v>0</v>
      </c>
      <c r="BW773" s="675">
        <v>0</v>
      </c>
      <c r="BX773" s="549">
        <v>0</v>
      </c>
      <c r="BY773" s="675">
        <v>0</v>
      </c>
      <c r="BZ773" s="549">
        <v>0</v>
      </c>
      <c r="CA773" s="675">
        <v>0</v>
      </c>
      <c r="CB773" s="549">
        <v>0</v>
      </c>
      <c r="CC773" s="675">
        <v>0</v>
      </c>
      <c r="CD773" s="549">
        <v>0</v>
      </c>
      <c r="CE773" s="675">
        <v>0</v>
      </c>
      <c r="CF773" s="549">
        <v>0</v>
      </c>
      <c r="CG773" s="675">
        <v>0</v>
      </c>
      <c r="CH773" s="549">
        <v>0</v>
      </c>
      <c r="CI773" s="675">
        <v>0</v>
      </c>
      <c r="CJ773" s="549">
        <v>0</v>
      </c>
      <c r="CK773" s="675">
        <v>0</v>
      </c>
      <c r="CL773" s="549">
        <v>0</v>
      </c>
      <c r="CM773" s="675">
        <v>0</v>
      </c>
      <c r="CN773" s="549">
        <v>0</v>
      </c>
      <c r="CO773" s="675">
        <v>0</v>
      </c>
      <c r="CP773" s="549">
        <v>0</v>
      </c>
      <c r="CQ773" s="675">
        <v>0</v>
      </c>
      <c r="CR773" s="549">
        <v>0</v>
      </c>
      <c r="CS773" s="675">
        <v>0</v>
      </c>
      <c r="CT773" s="549">
        <v>0</v>
      </c>
      <c r="CU773" s="675">
        <v>0</v>
      </c>
      <c r="CV773" s="549">
        <v>0</v>
      </c>
      <c r="CW773" s="675">
        <v>0</v>
      </c>
      <c r="CX773" s="549">
        <v>0</v>
      </c>
      <c r="CY773" s="675">
        <v>0</v>
      </c>
      <c r="CZ773" s="549">
        <v>0</v>
      </c>
      <c r="DA773" s="675">
        <v>0</v>
      </c>
      <c r="DB773" s="549">
        <v>0</v>
      </c>
      <c r="DC773" s="675">
        <v>0</v>
      </c>
      <c r="DD773" s="549">
        <v>0</v>
      </c>
      <c r="DE773" s="675">
        <v>0</v>
      </c>
      <c r="DF773" s="549">
        <v>0</v>
      </c>
      <c r="DG773" s="675">
        <v>0</v>
      </c>
      <c r="DH773" s="549">
        <v>0</v>
      </c>
      <c r="DI773" s="675">
        <v>0</v>
      </c>
      <c r="DJ773" s="549">
        <v>0</v>
      </c>
      <c r="DK773" s="675">
        <v>0</v>
      </c>
      <c r="DL773" s="549">
        <v>0</v>
      </c>
      <c r="DM773" s="675">
        <v>0</v>
      </c>
      <c r="DN773" s="549">
        <v>0</v>
      </c>
      <c r="DO773" s="675">
        <v>0</v>
      </c>
      <c r="DP773" s="549">
        <v>0</v>
      </c>
      <c r="DQ773" s="675">
        <v>0</v>
      </c>
      <c r="DR773" s="549">
        <v>0</v>
      </c>
      <c r="DS773" s="675">
        <v>0</v>
      </c>
      <c r="DT773" s="549">
        <v>0</v>
      </c>
      <c r="DU773" s="675">
        <v>0</v>
      </c>
      <c r="DV773" s="549">
        <v>0</v>
      </c>
      <c r="DW773" s="675">
        <v>0</v>
      </c>
      <c r="DX773" s="549">
        <v>0</v>
      </c>
      <c r="DY773" s="675">
        <v>0</v>
      </c>
      <c r="DZ773" s="549">
        <v>0</v>
      </c>
      <c r="EA773" s="675">
        <v>0</v>
      </c>
      <c r="EB773" s="549">
        <v>0</v>
      </c>
      <c r="EC773" s="675">
        <v>0</v>
      </c>
      <c r="ED773" s="549">
        <v>0</v>
      </c>
      <c r="EE773" s="675">
        <v>0</v>
      </c>
      <c r="EF773" s="549">
        <v>0</v>
      </c>
      <c r="EG773" s="675">
        <v>0</v>
      </c>
      <c r="EH773" s="549">
        <v>0</v>
      </c>
      <c r="EI773" s="675">
        <v>0</v>
      </c>
      <c r="EJ773" s="549">
        <v>0</v>
      </c>
      <c r="EK773" s="675">
        <v>0</v>
      </c>
      <c r="EL773" s="549">
        <v>0</v>
      </c>
      <c r="EM773" s="675">
        <v>0</v>
      </c>
      <c r="EN773" s="549">
        <v>0</v>
      </c>
      <c r="EO773" s="675">
        <v>0</v>
      </c>
      <c r="EP773" s="549">
        <v>0</v>
      </c>
      <c r="EQ773" s="675">
        <v>0</v>
      </c>
      <c r="ER773" s="549">
        <v>0</v>
      </c>
      <c r="ES773" s="675">
        <v>0</v>
      </c>
      <c r="ET773" s="549">
        <v>0</v>
      </c>
      <c r="EU773" s="675">
        <v>0</v>
      </c>
      <c r="EV773" s="549">
        <v>0</v>
      </c>
      <c r="EW773" s="675">
        <v>0</v>
      </c>
      <c r="EX773" s="549">
        <v>0</v>
      </c>
      <c r="EY773" s="675">
        <v>0</v>
      </c>
      <c r="EZ773" s="549">
        <v>0</v>
      </c>
      <c r="FA773" s="675">
        <v>0</v>
      </c>
      <c r="FB773" s="549">
        <v>0</v>
      </c>
      <c r="FC773" s="675">
        <v>0</v>
      </c>
      <c r="FD773" s="549">
        <v>0</v>
      </c>
      <c r="FE773" s="675">
        <v>0</v>
      </c>
      <c r="FF773" s="549">
        <v>0</v>
      </c>
      <c r="FG773" s="675">
        <v>0</v>
      </c>
      <c r="FH773" s="549">
        <v>0</v>
      </c>
      <c r="FI773" s="675">
        <v>0</v>
      </c>
      <c r="FJ773" s="549">
        <v>0</v>
      </c>
      <c r="FK773" s="675">
        <v>0</v>
      </c>
      <c r="FL773" s="549">
        <v>0</v>
      </c>
      <c r="FM773" s="675">
        <v>0</v>
      </c>
      <c r="FN773" s="549">
        <v>0</v>
      </c>
      <c r="FO773" s="675">
        <v>0</v>
      </c>
      <c r="FP773" s="549">
        <v>0</v>
      </c>
      <c r="FQ773" s="675">
        <v>0</v>
      </c>
      <c r="FR773" s="549">
        <v>0</v>
      </c>
      <c r="FS773" s="675">
        <v>0</v>
      </c>
      <c r="FT773" s="549">
        <v>0</v>
      </c>
      <c r="FU773" s="675">
        <v>0</v>
      </c>
      <c r="FV773" s="549">
        <v>0</v>
      </c>
      <c r="FW773" s="675">
        <v>0</v>
      </c>
      <c r="FX773" s="549">
        <v>0</v>
      </c>
      <c r="FY773" s="675">
        <v>0</v>
      </c>
      <c r="FZ773" s="549">
        <v>0</v>
      </c>
      <c r="GA773" s="675">
        <v>0</v>
      </c>
      <c r="GB773" s="549">
        <v>0</v>
      </c>
      <c r="GC773" s="675">
        <v>0</v>
      </c>
      <c r="GD773" s="549">
        <v>0</v>
      </c>
      <c r="GE773" s="675">
        <v>0</v>
      </c>
      <c r="GF773" s="549">
        <v>0</v>
      </c>
      <c r="GG773" s="675">
        <v>0</v>
      </c>
      <c r="GH773" s="549">
        <v>0</v>
      </c>
      <c r="GI773" s="675">
        <v>0</v>
      </c>
      <c r="GJ773" s="549">
        <v>0</v>
      </c>
      <c r="GK773" s="675">
        <v>0</v>
      </c>
      <c r="GL773" s="549">
        <v>0</v>
      </c>
      <c r="GM773" s="675">
        <v>0</v>
      </c>
      <c r="GN773" s="549">
        <v>0</v>
      </c>
      <c r="GO773" s="675">
        <v>0</v>
      </c>
      <c r="GP773" s="549">
        <f t="shared" si="16853"/>
        <v>0</v>
      </c>
      <c r="GQ773" s="675">
        <f t="shared" si="16854"/>
        <v>0</v>
      </c>
      <c r="GR773" s="74">
        <f t="shared" si="16855"/>
        <v>3000</v>
      </c>
      <c r="GS773" s="74">
        <f t="shared" si="16856"/>
        <v>3000</v>
      </c>
      <c r="GT773" s="568">
        <f t="shared" si="16857"/>
        <v>3000</v>
      </c>
      <c r="GU773" s="275">
        <v>600</v>
      </c>
      <c r="GV773" s="275"/>
      <c r="GW773" s="588"/>
      <c r="GX773" s="275">
        <v>900</v>
      </c>
      <c r="GY773" s="275"/>
      <c r="GZ773" s="275"/>
      <c r="HA773" s="275">
        <v>900</v>
      </c>
      <c r="HB773" s="275"/>
      <c r="HC773" s="275"/>
      <c r="HD773" s="275">
        <v>600</v>
      </c>
      <c r="HE773" s="275">
        <v>0</v>
      </c>
      <c r="HF773" s="275">
        <v>0</v>
      </c>
      <c r="HG773" s="74">
        <f t="shared" si="16858"/>
        <v>3000</v>
      </c>
      <c r="HH773" s="89">
        <v>0</v>
      </c>
      <c r="HI773" s="157">
        <v>0</v>
      </c>
      <c r="HJ773" s="89">
        <v>0</v>
      </c>
      <c r="HK773" s="157">
        <v>0</v>
      </c>
      <c r="HL773" s="89">
        <v>0</v>
      </c>
      <c r="HM773" s="157">
        <v>600</v>
      </c>
      <c r="HN773" s="89">
        <v>0</v>
      </c>
      <c r="HO773" s="157">
        <v>900</v>
      </c>
      <c r="HP773" s="89">
        <v>0</v>
      </c>
      <c r="HQ773" s="157">
        <v>0</v>
      </c>
      <c r="HR773" s="89">
        <v>0</v>
      </c>
      <c r="HS773" s="157">
        <v>0</v>
      </c>
      <c r="HT773" s="89">
        <v>0</v>
      </c>
      <c r="HU773" s="157">
        <v>900</v>
      </c>
      <c r="HV773" s="89">
        <v>0</v>
      </c>
      <c r="HW773" s="157">
        <v>0</v>
      </c>
      <c r="HX773" s="89">
        <v>0</v>
      </c>
      <c r="HY773" s="157">
        <v>0</v>
      </c>
      <c r="HZ773" s="89">
        <v>0</v>
      </c>
      <c r="IA773" s="157">
        <v>600</v>
      </c>
      <c r="IB773" s="89">
        <v>0</v>
      </c>
      <c r="IC773" s="157">
        <v>0</v>
      </c>
      <c r="ID773" s="89">
        <v>0</v>
      </c>
      <c r="IE773" s="157">
        <v>0</v>
      </c>
      <c r="IF773" s="717">
        <f t="shared" si="16859"/>
        <v>3000</v>
      </c>
      <c r="IG773" s="263">
        <f t="shared" si="16860"/>
        <v>3000</v>
      </c>
      <c r="IH773" s="718">
        <f t="shared" si="16861"/>
        <v>3000</v>
      </c>
      <c r="II773" s="89">
        <v>0</v>
      </c>
      <c r="IJ773" s="89">
        <f t="shared" si="16862"/>
        <v>0</v>
      </c>
      <c r="IK773" s="89">
        <f t="shared" si="16863"/>
        <v>0</v>
      </c>
      <c r="IL773" s="89">
        <v>600</v>
      </c>
      <c r="IM773" s="89">
        <f t="shared" si="16864"/>
        <v>600</v>
      </c>
      <c r="IN773" s="89">
        <f t="shared" si="16865"/>
        <v>600</v>
      </c>
      <c r="IO773" s="89">
        <v>0</v>
      </c>
      <c r="IP773" s="89">
        <f t="shared" si="16866"/>
        <v>0</v>
      </c>
      <c r="IQ773" s="89">
        <f t="shared" si="16867"/>
        <v>0</v>
      </c>
      <c r="IR773" s="89">
        <f>1500-600</f>
        <v>900</v>
      </c>
      <c r="IS773" s="89">
        <f t="shared" si="16868"/>
        <v>900</v>
      </c>
      <c r="IT773" s="89">
        <f t="shared" si="16869"/>
        <v>900</v>
      </c>
      <c r="IU773" s="89">
        <v>0</v>
      </c>
      <c r="IV773" s="89">
        <f t="shared" si="16870"/>
        <v>0</v>
      </c>
      <c r="IW773" s="89">
        <f t="shared" si="16871"/>
        <v>0</v>
      </c>
      <c r="IX773" s="89">
        <v>0</v>
      </c>
      <c r="IY773" s="89">
        <f t="shared" si="16872"/>
        <v>0</v>
      </c>
      <c r="IZ773" s="89">
        <f t="shared" si="16873"/>
        <v>0</v>
      </c>
      <c r="JA773" s="89">
        <f>2400-1500</f>
        <v>900</v>
      </c>
      <c r="JB773" s="89">
        <f t="shared" si="16874"/>
        <v>900</v>
      </c>
      <c r="JC773" s="89">
        <f t="shared" si="16875"/>
        <v>900</v>
      </c>
      <c r="JD773" s="89">
        <v>0</v>
      </c>
      <c r="JE773" s="89">
        <f t="shared" si="16876"/>
        <v>0</v>
      </c>
      <c r="JF773" s="89">
        <f t="shared" si="16877"/>
        <v>0</v>
      </c>
      <c r="JG773" s="89">
        <v>0</v>
      </c>
      <c r="JH773" s="89">
        <f t="shared" si="16878"/>
        <v>0</v>
      </c>
      <c r="JI773" s="89">
        <f t="shared" si="16879"/>
        <v>0</v>
      </c>
      <c r="JJ773" s="89">
        <f>3000-2400</f>
        <v>600</v>
      </c>
      <c r="JK773" s="89">
        <f t="shared" si="16880"/>
        <v>600</v>
      </c>
      <c r="JL773" s="89">
        <f t="shared" si="16881"/>
        <v>600</v>
      </c>
      <c r="JM773" s="89">
        <v>0</v>
      </c>
      <c r="JN773" s="89">
        <f t="shared" si="16882"/>
        <v>0</v>
      </c>
      <c r="JO773" s="89">
        <f t="shared" si="16883"/>
        <v>0</v>
      </c>
      <c r="JP773" s="89">
        <v>0</v>
      </c>
      <c r="JQ773" s="89">
        <f t="shared" ref="JQ773:JR773" si="16891">JP773</f>
        <v>0</v>
      </c>
      <c r="JR773" s="89">
        <f t="shared" si="16891"/>
        <v>0</v>
      </c>
      <c r="JS773" s="74">
        <f t="shared" si="16885"/>
        <v>0</v>
      </c>
      <c r="JT773" s="382">
        <f t="shared" si="16886"/>
        <v>0</v>
      </c>
      <c r="JU773" s="665"/>
      <c r="JV773" s="524"/>
      <c r="JW773" s="525"/>
      <c r="JX773" s="549">
        <f t="shared" si="16887"/>
        <v>0</v>
      </c>
      <c r="JY773" s="549">
        <f t="shared" si="15767"/>
        <v>3000</v>
      </c>
      <c r="JZ773" s="581">
        <f t="shared" si="16466"/>
        <v>0</v>
      </c>
      <c r="KA773" s="581">
        <f t="shared" si="16467"/>
        <v>0</v>
      </c>
      <c r="KB773" s="566">
        <f t="shared" si="15406"/>
        <v>3000</v>
      </c>
      <c r="KC773" s="709">
        <f t="shared" si="16464"/>
        <v>0</v>
      </c>
      <c r="KD773" s="491"/>
      <c r="KE773" s="491"/>
      <c r="KF773" s="491"/>
      <c r="KG773" s="491"/>
      <c r="KH773" s="36"/>
      <c r="KI773" s="36"/>
      <c r="KJ773" s="36"/>
      <c r="KK773" s="36"/>
    </row>
    <row r="774" spans="1:297" s="10" customFormat="1">
      <c r="A774" s="612" t="s">
        <v>776</v>
      </c>
      <c r="B774" s="512" t="s">
        <v>980</v>
      </c>
      <c r="C774" s="74">
        <v>1400</v>
      </c>
      <c r="D774" s="549">
        <v>0</v>
      </c>
      <c r="E774" s="675">
        <v>0</v>
      </c>
      <c r="F774" s="549">
        <v>0</v>
      </c>
      <c r="G774" s="675">
        <v>0</v>
      </c>
      <c r="H774" s="549">
        <v>0</v>
      </c>
      <c r="I774" s="675">
        <v>0</v>
      </c>
      <c r="J774" s="549">
        <v>0</v>
      </c>
      <c r="K774" s="675">
        <v>0</v>
      </c>
      <c r="L774" s="549">
        <v>0</v>
      </c>
      <c r="M774" s="675">
        <v>0</v>
      </c>
      <c r="N774" s="549">
        <v>0</v>
      </c>
      <c r="O774" s="675">
        <v>0</v>
      </c>
      <c r="P774" s="549">
        <v>0</v>
      </c>
      <c r="Q774" s="675">
        <v>0</v>
      </c>
      <c r="R774" s="549">
        <v>0</v>
      </c>
      <c r="S774" s="675">
        <v>0</v>
      </c>
      <c r="T774" s="549">
        <v>0</v>
      </c>
      <c r="U774" s="675">
        <v>0</v>
      </c>
      <c r="V774" s="549">
        <v>0</v>
      </c>
      <c r="W774" s="675">
        <v>0</v>
      </c>
      <c r="X774" s="549">
        <v>0</v>
      </c>
      <c r="Y774" s="675">
        <v>0</v>
      </c>
      <c r="Z774" s="549">
        <v>0</v>
      </c>
      <c r="AA774" s="675">
        <v>0</v>
      </c>
      <c r="AB774" s="549">
        <v>0</v>
      </c>
      <c r="AC774" s="675">
        <v>0</v>
      </c>
      <c r="AD774" s="549">
        <v>0</v>
      </c>
      <c r="AE774" s="675">
        <v>0</v>
      </c>
      <c r="AF774" s="549">
        <v>0</v>
      </c>
      <c r="AG774" s="675">
        <v>0</v>
      </c>
      <c r="AH774" s="549">
        <v>0</v>
      </c>
      <c r="AI774" s="675">
        <v>0</v>
      </c>
      <c r="AJ774" s="549">
        <v>0</v>
      </c>
      <c r="AK774" s="675">
        <v>0</v>
      </c>
      <c r="AL774" s="549">
        <v>0</v>
      </c>
      <c r="AM774" s="675">
        <v>0</v>
      </c>
      <c r="AN774" s="549">
        <v>0</v>
      </c>
      <c r="AO774" s="675">
        <v>0</v>
      </c>
      <c r="AP774" s="549">
        <v>0</v>
      </c>
      <c r="AQ774" s="675">
        <v>0</v>
      </c>
      <c r="AR774" s="549">
        <v>0</v>
      </c>
      <c r="AS774" s="675">
        <v>0</v>
      </c>
      <c r="AT774" s="549">
        <v>0</v>
      </c>
      <c r="AU774" s="675">
        <v>0</v>
      </c>
      <c r="AV774" s="549">
        <v>0</v>
      </c>
      <c r="AW774" s="675">
        <v>0</v>
      </c>
      <c r="AX774" s="549">
        <v>0</v>
      </c>
      <c r="AY774" s="675">
        <v>0</v>
      </c>
      <c r="AZ774" s="549">
        <v>0</v>
      </c>
      <c r="BA774" s="675">
        <v>0</v>
      </c>
      <c r="BB774" s="549">
        <v>0</v>
      </c>
      <c r="BC774" s="675">
        <v>0</v>
      </c>
      <c r="BD774" s="549">
        <v>0</v>
      </c>
      <c r="BE774" s="675">
        <v>0</v>
      </c>
      <c r="BF774" s="549">
        <v>0</v>
      </c>
      <c r="BG774" s="675">
        <v>0</v>
      </c>
      <c r="BH774" s="549">
        <v>0</v>
      </c>
      <c r="BI774" s="675">
        <v>0</v>
      </c>
      <c r="BJ774" s="549">
        <v>0</v>
      </c>
      <c r="BK774" s="675">
        <v>0</v>
      </c>
      <c r="BL774" s="549">
        <v>0</v>
      </c>
      <c r="BM774" s="675">
        <v>0</v>
      </c>
      <c r="BN774" s="549">
        <v>0</v>
      </c>
      <c r="BO774" s="675">
        <v>0</v>
      </c>
      <c r="BP774" s="549">
        <v>0</v>
      </c>
      <c r="BQ774" s="675">
        <v>0</v>
      </c>
      <c r="BR774" s="549">
        <v>0</v>
      </c>
      <c r="BS774" s="675">
        <v>0</v>
      </c>
      <c r="BT774" s="549">
        <v>0</v>
      </c>
      <c r="BU774" s="675">
        <v>0</v>
      </c>
      <c r="BV774" s="549">
        <v>0</v>
      </c>
      <c r="BW774" s="675">
        <v>0</v>
      </c>
      <c r="BX774" s="549">
        <v>0</v>
      </c>
      <c r="BY774" s="675">
        <v>0</v>
      </c>
      <c r="BZ774" s="549">
        <v>0</v>
      </c>
      <c r="CA774" s="675">
        <v>0</v>
      </c>
      <c r="CB774" s="549">
        <v>0</v>
      </c>
      <c r="CC774" s="675">
        <v>0</v>
      </c>
      <c r="CD774" s="549">
        <v>0</v>
      </c>
      <c r="CE774" s="675">
        <v>0</v>
      </c>
      <c r="CF774" s="549">
        <v>0</v>
      </c>
      <c r="CG774" s="675">
        <v>0</v>
      </c>
      <c r="CH774" s="549">
        <v>0</v>
      </c>
      <c r="CI774" s="675">
        <v>0</v>
      </c>
      <c r="CJ774" s="549">
        <v>0</v>
      </c>
      <c r="CK774" s="675">
        <v>0</v>
      </c>
      <c r="CL774" s="549">
        <v>0</v>
      </c>
      <c r="CM774" s="675">
        <v>0</v>
      </c>
      <c r="CN774" s="549">
        <v>0</v>
      </c>
      <c r="CO774" s="675">
        <v>0</v>
      </c>
      <c r="CP774" s="549">
        <v>0</v>
      </c>
      <c r="CQ774" s="675">
        <v>0</v>
      </c>
      <c r="CR774" s="549">
        <v>0</v>
      </c>
      <c r="CS774" s="675">
        <v>0</v>
      </c>
      <c r="CT774" s="549">
        <v>0</v>
      </c>
      <c r="CU774" s="675">
        <v>0</v>
      </c>
      <c r="CV774" s="549">
        <v>0</v>
      </c>
      <c r="CW774" s="675">
        <v>0</v>
      </c>
      <c r="CX774" s="549">
        <v>0</v>
      </c>
      <c r="CY774" s="675">
        <v>0</v>
      </c>
      <c r="CZ774" s="549">
        <v>0</v>
      </c>
      <c r="DA774" s="675">
        <v>0</v>
      </c>
      <c r="DB774" s="549">
        <v>0</v>
      </c>
      <c r="DC774" s="675">
        <v>0</v>
      </c>
      <c r="DD774" s="549">
        <v>0</v>
      </c>
      <c r="DE774" s="675">
        <v>0</v>
      </c>
      <c r="DF774" s="549">
        <v>0</v>
      </c>
      <c r="DG774" s="675">
        <v>0</v>
      </c>
      <c r="DH774" s="549">
        <v>0</v>
      </c>
      <c r="DI774" s="675">
        <v>0</v>
      </c>
      <c r="DJ774" s="549">
        <v>0</v>
      </c>
      <c r="DK774" s="675">
        <v>0</v>
      </c>
      <c r="DL774" s="549">
        <v>0</v>
      </c>
      <c r="DM774" s="675">
        <v>0</v>
      </c>
      <c r="DN774" s="549">
        <v>0</v>
      </c>
      <c r="DO774" s="675">
        <v>0</v>
      </c>
      <c r="DP774" s="549">
        <v>0</v>
      </c>
      <c r="DQ774" s="675">
        <v>0</v>
      </c>
      <c r="DR774" s="549">
        <v>0</v>
      </c>
      <c r="DS774" s="675">
        <v>0</v>
      </c>
      <c r="DT774" s="549">
        <v>0</v>
      </c>
      <c r="DU774" s="675">
        <v>0</v>
      </c>
      <c r="DV774" s="549">
        <v>0</v>
      </c>
      <c r="DW774" s="675">
        <v>0</v>
      </c>
      <c r="DX774" s="549">
        <v>0</v>
      </c>
      <c r="DY774" s="675">
        <v>0</v>
      </c>
      <c r="DZ774" s="549">
        <v>0</v>
      </c>
      <c r="EA774" s="675">
        <v>0</v>
      </c>
      <c r="EB774" s="549">
        <v>0</v>
      </c>
      <c r="EC774" s="675">
        <v>0</v>
      </c>
      <c r="ED774" s="549">
        <v>0</v>
      </c>
      <c r="EE774" s="675">
        <v>0</v>
      </c>
      <c r="EF774" s="549">
        <v>0</v>
      </c>
      <c r="EG774" s="675">
        <v>0</v>
      </c>
      <c r="EH774" s="549">
        <v>0</v>
      </c>
      <c r="EI774" s="675">
        <v>0</v>
      </c>
      <c r="EJ774" s="549">
        <v>0</v>
      </c>
      <c r="EK774" s="675">
        <v>0</v>
      </c>
      <c r="EL774" s="549">
        <v>0</v>
      </c>
      <c r="EM774" s="675">
        <v>0</v>
      </c>
      <c r="EN774" s="549">
        <v>0</v>
      </c>
      <c r="EO774" s="675">
        <v>0</v>
      </c>
      <c r="EP774" s="549">
        <v>0</v>
      </c>
      <c r="EQ774" s="675">
        <v>0</v>
      </c>
      <c r="ER774" s="549">
        <v>0</v>
      </c>
      <c r="ES774" s="675">
        <v>0</v>
      </c>
      <c r="ET774" s="549">
        <v>0</v>
      </c>
      <c r="EU774" s="675">
        <v>0</v>
      </c>
      <c r="EV774" s="549">
        <v>0</v>
      </c>
      <c r="EW774" s="675">
        <v>0</v>
      </c>
      <c r="EX774" s="549">
        <v>0</v>
      </c>
      <c r="EY774" s="675">
        <v>0</v>
      </c>
      <c r="EZ774" s="549">
        <v>0</v>
      </c>
      <c r="FA774" s="675">
        <v>0</v>
      </c>
      <c r="FB774" s="549">
        <v>0</v>
      </c>
      <c r="FC774" s="675">
        <v>0</v>
      </c>
      <c r="FD774" s="549">
        <v>0</v>
      </c>
      <c r="FE774" s="675">
        <v>0</v>
      </c>
      <c r="FF774" s="549">
        <v>0</v>
      </c>
      <c r="FG774" s="675">
        <v>0</v>
      </c>
      <c r="FH774" s="549">
        <v>0</v>
      </c>
      <c r="FI774" s="675">
        <v>0</v>
      </c>
      <c r="FJ774" s="549">
        <v>0</v>
      </c>
      <c r="FK774" s="675">
        <v>0</v>
      </c>
      <c r="FL774" s="549">
        <v>0</v>
      </c>
      <c r="FM774" s="675">
        <v>0</v>
      </c>
      <c r="FN774" s="549">
        <v>0</v>
      </c>
      <c r="FO774" s="675">
        <v>0</v>
      </c>
      <c r="FP774" s="549">
        <v>0</v>
      </c>
      <c r="FQ774" s="675">
        <v>0</v>
      </c>
      <c r="FR774" s="549">
        <v>0</v>
      </c>
      <c r="FS774" s="675">
        <v>0</v>
      </c>
      <c r="FT774" s="549">
        <v>0</v>
      </c>
      <c r="FU774" s="675">
        <v>0</v>
      </c>
      <c r="FV774" s="549">
        <v>0</v>
      </c>
      <c r="FW774" s="675">
        <v>0</v>
      </c>
      <c r="FX774" s="549">
        <v>0</v>
      </c>
      <c r="FY774" s="675">
        <v>0</v>
      </c>
      <c r="FZ774" s="549">
        <v>0</v>
      </c>
      <c r="GA774" s="675">
        <v>0</v>
      </c>
      <c r="GB774" s="549">
        <v>0</v>
      </c>
      <c r="GC774" s="675">
        <v>0</v>
      </c>
      <c r="GD774" s="549">
        <v>0</v>
      </c>
      <c r="GE774" s="675">
        <v>0</v>
      </c>
      <c r="GF774" s="549">
        <v>0</v>
      </c>
      <c r="GG774" s="675">
        <v>0</v>
      </c>
      <c r="GH774" s="549">
        <v>0</v>
      </c>
      <c r="GI774" s="675">
        <v>0</v>
      </c>
      <c r="GJ774" s="549">
        <v>0</v>
      </c>
      <c r="GK774" s="675">
        <v>0</v>
      </c>
      <c r="GL774" s="549">
        <v>0</v>
      </c>
      <c r="GM774" s="675">
        <v>0</v>
      </c>
      <c r="GN774" s="549">
        <v>0</v>
      </c>
      <c r="GO774" s="675">
        <v>0</v>
      </c>
      <c r="GP774" s="549">
        <f t="shared" si="16853"/>
        <v>0</v>
      </c>
      <c r="GQ774" s="675">
        <f t="shared" si="16854"/>
        <v>0</v>
      </c>
      <c r="GR774" s="74">
        <f t="shared" si="16855"/>
        <v>1400</v>
      </c>
      <c r="GS774" s="74">
        <f t="shared" si="16856"/>
        <v>1400</v>
      </c>
      <c r="GT774" s="568">
        <f t="shared" si="16857"/>
        <v>1400</v>
      </c>
      <c r="GU774" s="275">
        <v>280</v>
      </c>
      <c r="GV774" s="275"/>
      <c r="GW774" s="588"/>
      <c r="GX774" s="275">
        <v>420</v>
      </c>
      <c r="GY774" s="275"/>
      <c r="GZ774" s="275"/>
      <c r="HA774" s="275">
        <v>420</v>
      </c>
      <c r="HB774" s="275"/>
      <c r="HC774" s="275"/>
      <c r="HD774" s="275">
        <v>280</v>
      </c>
      <c r="HE774" s="275">
        <v>0</v>
      </c>
      <c r="HF774" s="275">
        <v>0</v>
      </c>
      <c r="HG774" s="74">
        <f t="shared" si="16858"/>
        <v>1400</v>
      </c>
      <c r="HH774" s="89">
        <v>0</v>
      </c>
      <c r="HI774" s="157">
        <v>0</v>
      </c>
      <c r="HJ774" s="89">
        <v>0</v>
      </c>
      <c r="HK774" s="157">
        <v>0</v>
      </c>
      <c r="HL774" s="89">
        <v>0</v>
      </c>
      <c r="HM774" s="157">
        <v>0</v>
      </c>
      <c r="HN774" s="89">
        <v>0</v>
      </c>
      <c r="HO774" s="157">
        <v>700</v>
      </c>
      <c r="HP774" s="89">
        <v>0</v>
      </c>
      <c r="HQ774" s="157">
        <v>0</v>
      </c>
      <c r="HR774" s="89">
        <v>0</v>
      </c>
      <c r="HS774" s="157">
        <v>0</v>
      </c>
      <c r="HT774" s="89">
        <v>0</v>
      </c>
      <c r="HU774" s="157">
        <f>1120-700</f>
        <v>420</v>
      </c>
      <c r="HV774" s="89">
        <v>0</v>
      </c>
      <c r="HW774" s="157">
        <v>0</v>
      </c>
      <c r="HX774" s="89">
        <v>0</v>
      </c>
      <c r="HY774" s="157">
        <v>0</v>
      </c>
      <c r="HZ774" s="89">
        <v>0</v>
      </c>
      <c r="IA774" s="157">
        <f>1400-1120</f>
        <v>280</v>
      </c>
      <c r="IB774" s="89">
        <v>0</v>
      </c>
      <c r="IC774" s="157">
        <v>0</v>
      </c>
      <c r="ID774" s="89">
        <v>0</v>
      </c>
      <c r="IE774" s="157">
        <v>0</v>
      </c>
      <c r="IF774" s="717">
        <f t="shared" si="16859"/>
        <v>0</v>
      </c>
      <c r="IG774" s="263">
        <f t="shared" si="16860"/>
        <v>0</v>
      </c>
      <c r="IH774" s="718">
        <f t="shared" si="16861"/>
        <v>0</v>
      </c>
      <c r="II774" s="89">
        <v>0</v>
      </c>
      <c r="IJ774" s="89">
        <f t="shared" si="16862"/>
        <v>0</v>
      </c>
      <c r="IK774" s="89">
        <f t="shared" si="16863"/>
        <v>0</v>
      </c>
      <c r="IL774" s="89">
        <v>0</v>
      </c>
      <c r="IM774" s="89">
        <f t="shared" si="16864"/>
        <v>0</v>
      </c>
      <c r="IN774" s="89">
        <f t="shared" si="16865"/>
        <v>0</v>
      </c>
      <c r="IO774" s="89">
        <v>0</v>
      </c>
      <c r="IP774" s="89">
        <f t="shared" si="16866"/>
        <v>0</v>
      </c>
      <c r="IQ774" s="89">
        <f t="shared" si="16867"/>
        <v>0</v>
      </c>
      <c r="IR774" s="89">
        <v>0</v>
      </c>
      <c r="IS774" s="89">
        <f t="shared" si="16868"/>
        <v>0</v>
      </c>
      <c r="IT774" s="89">
        <f t="shared" si="16869"/>
        <v>0</v>
      </c>
      <c r="IU774" s="89">
        <v>0</v>
      </c>
      <c r="IV774" s="89">
        <f t="shared" si="16870"/>
        <v>0</v>
      </c>
      <c r="IW774" s="89">
        <f t="shared" si="16871"/>
        <v>0</v>
      </c>
      <c r="IX774" s="89">
        <v>0</v>
      </c>
      <c r="IY774" s="89">
        <f t="shared" si="16872"/>
        <v>0</v>
      </c>
      <c r="IZ774" s="89">
        <f t="shared" si="16873"/>
        <v>0</v>
      </c>
      <c r="JA774" s="89">
        <v>0</v>
      </c>
      <c r="JB774" s="89">
        <f t="shared" si="16874"/>
        <v>0</v>
      </c>
      <c r="JC774" s="89">
        <f t="shared" si="16875"/>
        <v>0</v>
      </c>
      <c r="JD774" s="89">
        <v>0</v>
      </c>
      <c r="JE774" s="89">
        <f t="shared" si="16876"/>
        <v>0</v>
      </c>
      <c r="JF774" s="89">
        <f t="shared" si="16877"/>
        <v>0</v>
      </c>
      <c r="JG774" s="89">
        <v>0</v>
      </c>
      <c r="JH774" s="89">
        <f t="shared" si="16878"/>
        <v>0</v>
      </c>
      <c r="JI774" s="89">
        <f t="shared" si="16879"/>
        <v>0</v>
      </c>
      <c r="JJ774" s="89">
        <v>0</v>
      </c>
      <c r="JK774" s="89">
        <f t="shared" si="16880"/>
        <v>0</v>
      </c>
      <c r="JL774" s="89">
        <f t="shared" si="16881"/>
        <v>0</v>
      </c>
      <c r="JM774" s="89">
        <v>0</v>
      </c>
      <c r="JN774" s="89">
        <f t="shared" si="16882"/>
        <v>0</v>
      </c>
      <c r="JO774" s="89">
        <f t="shared" si="16883"/>
        <v>0</v>
      </c>
      <c r="JP774" s="89">
        <v>0</v>
      </c>
      <c r="JQ774" s="89">
        <f t="shared" ref="JQ774:JR774" si="16892">JP774</f>
        <v>0</v>
      </c>
      <c r="JR774" s="89">
        <f t="shared" si="16892"/>
        <v>0</v>
      </c>
      <c r="JS774" s="74">
        <f t="shared" si="16885"/>
        <v>1400</v>
      </c>
      <c r="JT774" s="382">
        <f t="shared" si="16886"/>
        <v>1400</v>
      </c>
      <c r="JU774" s="665"/>
      <c r="JV774" s="524"/>
      <c r="JW774" s="525"/>
      <c r="JX774" s="549">
        <f t="shared" si="16887"/>
        <v>0</v>
      </c>
      <c r="JY774" s="549">
        <f t="shared" si="15767"/>
        <v>1400</v>
      </c>
      <c r="JZ774" s="581">
        <f t="shared" si="16466"/>
        <v>0</v>
      </c>
      <c r="KA774" s="581">
        <f t="shared" si="16467"/>
        <v>0</v>
      </c>
      <c r="KB774" s="566">
        <f t="shared" si="15406"/>
        <v>1400</v>
      </c>
      <c r="KC774" s="709">
        <f t="shared" si="16464"/>
        <v>0</v>
      </c>
      <c r="KD774" s="491"/>
      <c r="KE774" s="491"/>
      <c r="KF774" s="491"/>
      <c r="KG774" s="491"/>
      <c r="KH774" s="36"/>
      <c r="KI774" s="36"/>
      <c r="KJ774" s="36"/>
      <c r="KK774" s="36"/>
    </row>
    <row r="775" spans="1:297" s="8" customFormat="1" ht="12.75" hidden="1" customHeight="1">
      <c r="A775" s="612" t="s">
        <v>1100</v>
      </c>
      <c r="B775" s="512"/>
      <c r="C775" s="74">
        <v>0</v>
      </c>
      <c r="D775" s="549">
        <v>0</v>
      </c>
      <c r="E775" s="675">
        <v>0</v>
      </c>
      <c r="F775" s="549">
        <v>0</v>
      </c>
      <c r="G775" s="675">
        <v>0</v>
      </c>
      <c r="H775" s="549">
        <v>0</v>
      </c>
      <c r="I775" s="675">
        <v>0</v>
      </c>
      <c r="J775" s="549">
        <v>0</v>
      </c>
      <c r="K775" s="675">
        <v>0</v>
      </c>
      <c r="L775" s="549">
        <v>0</v>
      </c>
      <c r="M775" s="675">
        <v>0</v>
      </c>
      <c r="N775" s="549">
        <v>0</v>
      </c>
      <c r="O775" s="675">
        <v>0</v>
      </c>
      <c r="P775" s="549">
        <v>0</v>
      </c>
      <c r="Q775" s="675">
        <v>0</v>
      </c>
      <c r="R775" s="549">
        <v>0</v>
      </c>
      <c r="S775" s="675">
        <v>0</v>
      </c>
      <c r="T775" s="549">
        <v>0</v>
      </c>
      <c r="U775" s="675">
        <v>0</v>
      </c>
      <c r="V775" s="549">
        <v>0</v>
      </c>
      <c r="W775" s="675">
        <v>0</v>
      </c>
      <c r="X775" s="549">
        <v>0</v>
      </c>
      <c r="Y775" s="675">
        <v>0</v>
      </c>
      <c r="Z775" s="549">
        <v>0</v>
      </c>
      <c r="AA775" s="675">
        <v>0</v>
      </c>
      <c r="AB775" s="549">
        <v>0</v>
      </c>
      <c r="AC775" s="675">
        <v>0</v>
      </c>
      <c r="AD775" s="549">
        <v>0</v>
      </c>
      <c r="AE775" s="675">
        <v>0</v>
      </c>
      <c r="AF775" s="549">
        <v>0</v>
      </c>
      <c r="AG775" s="675">
        <v>0</v>
      </c>
      <c r="AH775" s="549">
        <v>0</v>
      </c>
      <c r="AI775" s="675">
        <v>0</v>
      </c>
      <c r="AJ775" s="549">
        <v>0</v>
      </c>
      <c r="AK775" s="675">
        <v>0</v>
      </c>
      <c r="AL775" s="549">
        <v>0</v>
      </c>
      <c r="AM775" s="675">
        <v>0</v>
      </c>
      <c r="AN775" s="549">
        <v>0</v>
      </c>
      <c r="AO775" s="675">
        <v>0</v>
      </c>
      <c r="AP775" s="549">
        <v>0</v>
      </c>
      <c r="AQ775" s="675">
        <v>0</v>
      </c>
      <c r="AR775" s="549">
        <v>0</v>
      </c>
      <c r="AS775" s="675">
        <v>0</v>
      </c>
      <c r="AT775" s="549">
        <v>0</v>
      </c>
      <c r="AU775" s="675">
        <v>0</v>
      </c>
      <c r="AV775" s="549">
        <v>0</v>
      </c>
      <c r="AW775" s="675">
        <v>0</v>
      </c>
      <c r="AX775" s="549">
        <v>0</v>
      </c>
      <c r="AY775" s="675">
        <v>0</v>
      </c>
      <c r="AZ775" s="549">
        <v>0</v>
      </c>
      <c r="BA775" s="675">
        <v>0</v>
      </c>
      <c r="BB775" s="549">
        <v>0</v>
      </c>
      <c r="BC775" s="675">
        <v>0</v>
      </c>
      <c r="BD775" s="549">
        <v>0</v>
      </c>
      <c r="BE775" s="675">
        <v>0</v>
      </c>
      <c r="BF775" s="549">
        <v>0</v>
      </c>
      <c r="BG775" s="675">
        <v>0</v>
      </c>
      <c r="BH775" s="549">
        <v>0</v>
      </c>
      <c r="BI775" s="675">
        <v>0</v>
      </c>
      <c r="BJ775" s="549">
        <v>0</v>
      </c>
      <c r="BK775" s="675">
        <v>0</v>
      </c>
      <c r="BL775" s="549">
        <v>0</v>
      </c>
      <c r="BM775" s="675">
        <v>0</v>
      </c>
      <c r="BN775" s="549">
        <v>0</v>
      </c>
      <c r="BO775" s="675">
        <v>0</v>
      </c>
      <c r="BP775" s="549">
        <v>0</v>
      </c>
      <c r="BQ775" s="675">
        <v>0</v>
      </c>
      <c r="BR775" s="549">
        <v>0</v>
      </c>
      <c r="BS775" s="675">
        <v>0</v>
      </c>
      <c r="BT775" s="549">
        <v>0</v>
      </c>
      <c r="BU775" s="675">
        <v>0</v>
      </c>
      <c r="BV775" s="549">
        <v>0</v>
      </c>
      <c r="BW775" s="675">
        <v>0</v>
      </c>
      <c r="BX775" s="549">
        <v>0</v>
      </c>
      <c r="BY775" s="675">
        <v>0</v>
      </c>
      <c r="BZ775" s="549">
        <v>0</v>
      </c>
      <c r="CA775" s="675">
        <v>0</v>
      </c>
      <c r="CB775" s="549">
        <v>0</v>
      </c>
      <c r="CC775" s="675">
        <v>0</v>
      </c>
      <c r="CD775" s="549">
        <v>0</v>
      </c>
      <c r="CE775" s="675">
        <v>0</v>
      </c>
      <c r="CF775" s="549">
        <v>0</v>
      </c>
      <c r="CG775" s="675">
        <v>0</v>
      </c>
      <c r="CH775" s="549">
        <v>0</v>
      </c>
      <c r="CI775" s="675">
        <v>0</v>
      </c>
      <c r="CJ775" s="549">
        <v>0</v>
      </c>
      <c r="CK775" s="675">
        <v>0</v>
      </c>
      <c r="CL775" s="549">
        <v>0</v>
      </c>
      <c r="CM775" s="675">
        <v>0</v>
      </c>
      <c r="CN775" s="549">
        <v>0</v>
      </c>
      <c r="CO775" s="675">
        <v>0</v>
      </c>
      <c r="CP775" s="549">
        <v>0</v>
      </c>
      <c r="CQ775" s="675">
        <v>0</v>
      </c>
      <c r="CR775" s="549">
        <v>0</v>
      </c>
      <c r="CS775" s="675">
        <v>0</v>
      </c>
      <c r="CT775" s="549">
        <v>0</v>
      </c>
      <c r="CU775" s="675">
        <v>0</v>
      </c>
      <c r="CV775" s="549">
        <v>0</v>
      </c>
      <c r="CW775" s="675">
        <v>0</v>
      </c>
      <c r="CX775" s="549">
        <v>0</v>
      </c>
      <c r="CY775" s="675">
        <v>0</v>
      </c>
      <c r="CZ775" s="549">
        <v>0</v>
      </c>
      <c r="DA775" s="675">
        <v>0</v>
      </c>
      <c r="DB775" s="549">
        <v>0</v>
      </c>
      <c r="DC775" s="675">
        <v>0</v>
      </c>
      <c r="DD775" s="549">
        <v>0</v>
      </c>
      <c r="DE775" s="675">
        <v>0</v>
      </c>
      <c r="DF775" s="549">
        <v>0</v>
      </c>
      <c r="DG775" s="675">
        <v>0</v>
      </c>
      <c r="DH775" s="549">
        <v>0</v>
      </c>
      <c r="DI775" s="675">
        <v>0</v>
      </c>
      <c r="DJ775" s="549">
        <v>0</v>
      </c>
      <c r="DK775" s="675">
        <v>0</v>
      </c>
      <c r="DL775" s="549">
        <v>0</v>
      </c>
      <c r="DM775" s="675">
        <v>0</v>
      </c>
      <c r="DN775" s="549">
        <v>0</v>
      </c>
      <c r="DO775" s="675">
        <v>0</v>
      </c>
      <c r="DP775" s="549">
        <v>0</v>
      </c>
      <c r="DQ775" s="675">
        <v>0</v>
      </c>
      <c r="DR775" s="549">
        <v>0</v>
      </c>
      <c r="DS775" s="675">
        <v>0</v>
      </c>
      <c r="DT775" s="549">
        <v>0</v>
      </c>
      <c r="DU775" s="675">
        <v>0</v>
      </c>
      <c r="DV775" s="549">
        <v>0</v>
      </c>
      <c r="DW775" s="675">
        <v>0</v>
      </c>
      <c r="DX775" s="549">
        <v>0</v>
      </c>
      <c r="DY775" s="675">
        <v>0</v>
      </c>
      <c r="DZ775" s="549">
        <v>0</v>
      </c>
      <c r="EA775" s="675">
        <v>0</v>
      </c>
      <c r="EB775" s="549">
        <v>0</v>
      </c>
      <c r="EC775" s="675">
        <v>0</v>
      </c>
      <c r="ED775" s="549">
        <v>0</v>
      </c>
      <c r="EE775" s="675">
        <v>0</v>
      </c>
      <c r="EF775" s="549">
        <v>0</v>
      </c>
      <c r="EG775" s="675">
        <v>0</v>
      </c>
      <c r="EH775" s="549">
        <v>0</v>
      </c>
      <c r="EI775" s="675">
        <v>0</v>
      </c>
      <c r="EJ775" s="549">
        <v>0</v>
      </c>
      <c r="EK775" s="675">
        <v>0</v>
      </c>
      <c r="EL775" s="549">
        <v>0</v>
      </c>
      <c r="EM775" s="675">
        <v>0</v>
      </c>
      <c r="EN775" s="549">
        <v>0</v>
      </c>
      <c r="EO775" s="675">
        <v>0</v>
      </c>
      <c r="EP775" s="549">
        <v>0</v>
      </c>
      <c r="EQ775" s="675">
        <v>0</v>
      </c>
      <c r="ER775" s="549">
        <v>0</v>
      </c>
      <c r="ES775" s="675">
        <v>0</v>
      </c>
      <c r="ET775" s="549">
        <v>0</v>
      </c>
      <c r="EU775" s="675">
        <v>0</v>
      </c>
      <c r="EV775" s="549">
        <v>0</v>
      </c>
      <c r="EW775" s="675">
        <v>0</v>
      </c>
      <c r="EX775" s="549">
        <v>0</v>
      </c>
      <c r="EY775" s="675">
        <v>0</v>
      </c>
      <c r="EZ775" s="549">
        <v>0</v>
      </c>
      <c r="FA775" s="675">
        <v>0</v>
      </c>
      <c r="FB775" s="549">
        <v>0</v>
      </c>
      <c r="FC775" s="675">
        <v>0</v>
      </c>
      <c r="FD775" s="549">
        <v>0</v>
      </c>
      <c r="FE775" s="675">
        <v>0</v>
      </c>
      <c r="FF775" s="549">
        <v>0</v>
      </c>
      <c r="FG775" s="675">
        <v>0</v>
      </c>
      <c r="FH775" s="549">
        <v>0</v>
      </c>
      <c r="FI775" s="675">
        <v>0</v>
      </c>
      <c r="FJ775" s="549">
        <v>0</v>
      </c>
      <c r="FK775" s="675">
        <v>0</v>
      </c>
      <c r="FL775" s="549">
        <v>0</v>
      </c>
      <c r="FM775" s="675">
        <v>0</v>
      </c>
      <c r="FN775" s="549">
        <v>0</v>
      </c>
      <c r="FO775" s="675">
        <v>0</v>
      </c>
      <c r="FP775" s="549">
        <v>0</v>
      </c>
      <c r="FQ775" s="675">
        <v>0</v>
      </c>
      <c r="FR775" s="549">
        <v>0</v>
      </c>
      <c r="FS775" s="675">
        <v>0</v>
      </c>
      <c r="FT775" s="549">
        <v>0</v>
      </c>
      <c r="FU775" s="675">
        <v>0</v>
      </c>
      <c r="FV775" s="549">
        <v>0</v>
      </c>
      <c r="FW775" s="675">
        <v>0</v>
      </c>
      <c r="FX775" s="549">
        <v>0</v>
      </c>
      <c r="FY775" s="675">
        <v>0</v>
      </c>
      <c r="FZ775" s="549">
        <v>0</v>
      </c>
      <c r="GA775" s="675">
        <v>0</v>
      </c>
      <c r="GB775" s="549">
        <v>0</v>
      </c>
      <c r="GC775" s="675">
        <v>0</v>
      </c>
      <c r="GD775" s="549">
        <v>0</v>
      </c>
      <c r="GE775" s="675">
        <v>0</v>
      </c>
      <c r="GF775" s="549">
        <v>0</v>
      </c>
      <c r="GG775" s="675">
        <v>0</v>
      </c>
      <c r="GH775" s="549">
        <v>0</v>
      </c>
      <c r="GI775" s="675">
        <v>0</v>
      </c>
      <c r="GJ775" s="549">
        <v>0</v>
      </c>
      <c r="GK775" s="675">
        <v>0</v>
      </c>
      <c r="GL775" s="549">
        <v>0</v>
      </c>
      <c r="GM775" s="675">
        <v>0</v>
      </c>
      <c r="GN775" s="549">
        <v>0</v>
      </c>
      <c r="GO775" s="675">
        <v>0</v>
      </c>
      <c r="GP775" s="549">
        <f t="shared" si="16853"/>
        <v>0</v>
      </c>
      <c r="GQ775" s="675">
        <f t="shared" si="16854"/>
        <v>0</v>
      </c>
      <c r="GR775" s="74">
        <f t="shared" si="16855"/>
        <v>0</v>
      </c>
      <c r="GS775" s="74">
        <f t="shared" si="16856"/>
        <v>0</v>
      </c>
      <c r="GT775" s="568">
        <f t="shared" si="16857"/>
        <v>0</v>
      </c>
      <c r="GU775" s="275"/>
      <c r="GV775" s="275"/>
      <c r="GW775" s="588"/>
      <c r="GX775" s="588"/>
      <c r="GY775" s="275"/>
      <c r="GZ775" s="275"/>
      <c r="HA775" s="275"/>
      <c r="HB775" s="275"/>
      <c r="HC775" s="275"/>
      <c r="HD775" s="275"/>
      <c r="HE775" s="275"/>
      <c r="HF775" s="275"/>
      <c r="HG775" s="74">
        <f t="shared" si="16858"/>
        <v>0</v>
      </c>
      <c r="HH775" s="89">
        <v>0</v>
      </c>
      <c r="HI775" s="157">
        <v>0</v>
      </c>
      <c r="HJ775" s="89">
        <v>0</v>
      </c>
      <c r="HK775" s="157">
        <v>0</v>
      </c>
      <c r="HL775" s="89">
        <v>0</v>
      </c>
      <c r="HM775" s="157">
        <v>0</v>
      </c>
      <c r="HN775" s="89">
        <v>0</v>
      </c>
      <c r="HO775" s="157">
        <v>0</v>
      </c>
      <c r="HP775" s="89">
        <v>0</v>
      </c>
      <c r="HQ775" s="157">
        <v>0</v>
      </c>
      <c r="HR775" s="89">
        <v>0</v>
      </c>
      <c r="HS775" s="157">
        <v>0</v>
      </c>
      <c r="HT775" s="89">
        <v>0</v>
      </c>
      <c r="HU775" s="157">
        <v>0</v>
      </c>
      <c r="HV775" s="89">
        <v>0</v>
      </c>
      <c r="HW775" s="157">
        <v>0</v>
      </c>
      <c r="HX775" s="89">
        <v>0</v>
      </c>
      <c r="HY775" s="157">
        <v>0</v>
      </c>
      <c r="HZ775" s="89">
        <v>0</v>
      </c>
      <c r="IA775" s="157">
        <v>0</v>
      </c>
      <c r="IB775" s="89">
        <v>0</v>
      </c>
      <c r="IC775" s="157">
        <v>0</v>
      </c>
      <c r="ID775" s="89">
        <v>0</v>
      </c>
      <c r="IE775" s="157">
        <v>0</v>
      </c>
      <c r="IF775" s="717">
        <f t="shared" si="16859"/>
        <v>0</v>
      </c>
      <c r="IG775" s="263">
        <f t="shared" si="16860"/>
        <v>0</v>
      </c>
      <c r="IH775" s="718">
        <f t="shared" si="16861"/>
        <v>0</v>
      </c>
      <c r="II775" s="89">
        <v>0</v>
      </c>
      <c r="IJ775" s="89">
        <f t="shared" si="16862"/>
        <v>0</v>
      </c>
      <c r="IK775" s="89">
        <f t="shared" si="16863"/>
        <v>0</v>
      </c>
      <c r="IL775" s="89">
        <v>0</v>
      </c>
      <c r="IM775" s="89">
        <f t="shared" si="16864"/>
        <v>0</v>
      </c>
      <c r="IN775" s="89">
        <f t="shared" si="16865"/>
        <v>0</v>
      </c>
      <c r="IO775" s="89">
        <v>0</v>
      </c>
      <c r="IP775" s="89">
        <f t="shared" si="16866"/>
        <v>0</v>
      </c>
      <c r="IQ775" s="89">
        <f t="shared" si="16867"/>
        <v>0</v>
      </c>
      <c r="IR775" s="89">
        <v>0</v>
      </c>
      <c r="IS775" s="89">
        <f t="shared" si="16868"/>
        <v>0</v>
      </c>
      <c r="IT775" s="89">
        <f t="shared" si="16869"/>
        <v>0</v>
      </c>
      <c r="IU775" s="89">
        <v>0</v>
      </c>
      <c r="IV775" s="89">
        <f t="shared" si="16870"/>
        <v>0</v>
      </c>
      <c r="IW775" s="89">
        <f t="shared" si="16871"/>
        <v>0</v>
      </c>
      <c r="IX775" s="89">
        <v>0</v>
      </c>
      <c r="IY775" s="89">
        <f t="shared" si="16872"/>
        <v>0</v>
      </c>
      <c r="IZ775" s="89">
        <f t="shared" si="16873"/>
        <v>0</v>
      </c>
      <c r="JA775" s="89">
        <v>0</v>
      </c>
      <c r="JB775" s="89">
        <f t="shared" si="16874"/>
        <v>0</v>
      </c>
      <c r="JC775" s="89">
        <f t="shared" si="16875"/>
        <v>0</v>
      </c>
      <c r="JD775" s="89">
        <v>0</v>
      </c>
      <c r="JE775" s="89">
        <f t="shared" si="16876"/>
        <v>0</v>
      </c>
      <c r="JF775" s="89">
        <f t="shared" si="16877"/>
        <v>0</v>
      </c>
      <c r="JG775" s="89">
        <v>0</v>
      </c>
      <c r="JH775" s="89">
        <f t="shared" si="16878"/>
        <v>0</v>
      </c>
      <c r="JI775" s="89">
        <f t="shared" si="16879"/>
        <v>0</v>
      </c>
      <c r="JJ775" s="89">
        <v>0</v>
      </c>
      <c r="JK775" s="89">
        <f t="shared" si="16880"/>
        <v>0</v>
      </c>
      <c r="JL775" s="89">
        <f t="shared" si="16881"/>
        <v>0</v>
      </c>
      <c r="JM775" s="89">
        <v>0</v>
      </c>
      <c r="JN775" s="89">
        <f t="shared" si="16882"/>
        <v>0</v>
      </c>
      <c r="JO775" s="89">
        <f t="shared" si="16883"/>
        <v>0</v>
      </c>
      <c r="JP775" s="89">
        <v>0</v>
      </c>
      <c r="JQ775" s="89">
        <f t="shared" ref="JQ775:JR775" si="16893">JP775</f>
        <v>0</v>
      </c>
      <c r="JR775" s="89">
        <f t="shared" si="16893"/>
        <v>0</v>
      </c>
      <c r="JS775" s="74">
        <f t="shared" si="16885"/>
        <v>0</v>
      </c>
      <c r="JT775" s="382">
        <f t="shared" si="16886"/>
        <v>0</v>
      </c>
      <c r="JU775" s="665"/>
      <c r="JV775" s="524"/>
      <c r="JW775" s="525"/>
      <c r="JX775" s="549">
        <f t="shared" ref="JX775:JY780" si="16894">SUM(HH775,HJ775,HL775,HN775,HP775,HR775,HT775,HV775,HX775,HZ775,IB775,ID775)</f>
        <v>0</v>
      </c>
      <c r="JY775" s="549">
        <f t="shared" si="16894"/>
        <v>0</v>
      </c>
      <c r="JZ775" s="581">
        <f t="shared" ref="JZ775:KA780" si="16895">GP775</f>
        <v>0</v>
      </c>
      <c r="KA775" s="581">
        <f t="shared" si="16895"/>
        <v>0</v>
      </c>
      <c r="KB775" s="566">
        <f t="shared" si="15406"/>
        <v>0</v>
      </c>
      <c r="KC775" s="709">
        <f t="shared" si="16464"/>
        <v>0</v>
      </c>
      <c r="KD775" s="494"/>
      <c r="KE775" s="494"/>
      <c r="KF775" s="494"/>
      <c r="KG775" s="494"/>
      <c r="KH775" s="57"/>
      <c r="KI775" s="57"/>
      <c r="KJ775" s="57"/>
      <c r="KK775" s="57"/>
    </row>
    <row r="776" spans="1:297" s="8" customFormat="1">
      <c r="A776" s="612" t="s">
        <v>1102</v>
      </c>
      <c r="B776" s="512"/>
      <c r="C776" s="74">
        <v>0</v>
      </c>
      <c r="D776" s="549">
        <v>0</v>
      </c>
      <c r="E776" s="675">
        <v>0</v>
      </c>
      <c r="F776" s="549">
        <v>0</v>
      </c>
      <c r="G776" s="675">
        <v>0</v>
      </c>
      <c r="H776" s="549">
        <v>0</v>
      </c>
      <c r="I776" s="675">
        <v>0</v>
      </c>
      <c r="J776" s="549">
        <v>0</v>
      </c>
      <c r="K776" s="675">
        <v>0</v>
      </c>
      <c r="L776" s="549">
        <v>0</v>
      </c>
      <c r="M776" s="675">
        <v>0</v>
      </c>
      <c r="N776" s="549">
        <v>0</v>
      </c>
      <c r="O776" s="675">
        <v>0</v>
      </c>
      <c r="P776" s="549">
        <v>0</v>
      </c>
      <c r="Q776" s="675">
        <v>0</v>
      </c>
      <c r="R776" s="549">
        <v>0</v>
      </c>
      <c r="S776" s="675">
        <v>0</v>
      </c>
      <c r="T776" s="549">
        <v>0</v>
      </c>
      <c r="U776" s="675">
        <v>0</v>
      </c>
      <c r="V776" s="549">
        <v>0</v>
      </c>
      <c r="W776" s="675">
        <v>0</v>
      </c>
      <c r="X776" s="549">
        <v>0</v>
      </c>
      <c r="Y776" s="675">
        <v>0</v>
      </c>
      <c r="Z776" s="549">
        <v>0</v>
      </c>
      <c r="AA776" s="675">
        <v>0</v>
      </c>
      <c r="AB776" s="549">
        <v>0</v>
      </c>
      <c r="AC776" s="675">
        <v>0</v>
      </c>
      <c r="AD776" s="549">
        <v>0</v>
      </c>
      <c r="AE776" s="675">
        <v>0</v>
      </c>
      <c r="AF776" s="549">
        <v>0</v>
      </c>
      <c r="AG776" s="675">
        <v>0</v>
      </c>
      <c r="AH776" s="549">
        <v>0</v>
      </c>
      <c r="AI776" s="675">
        <v>0</v>
      </c>
      <c r="AJ776" s="549">
        <v>0</v>
      </c>
      <c r="AK776" s="675">
        <v>0</v>
      </c>
      <c r="AL776" s="549">
        <v>0</v>
      </c>
      <c r="AM776" s="675">
        <v>0</v>
      </c>
      <c r="AN776" s="549">
        <v>0</v>
      </c>
      <c r="AO776" s="675">
        <v>0</v>
      </c>
      <c r="AP776" s="549">
        <v>0</v>
      </c>
      <c r="AQ776" s="675">
        <v>0</v>
      </c>
      <c r="AR776" s="549">
        <v>0</v>
      </c>
      <c r="AS776" s="675">
        <v>0</v>
      </c>
      <c r="AT776" s="549">
        <v>0</v>
      </c>
      <c r="AU776" s="675">
        <v>0</v>
      </c>
      <c r="AV776" s="549">
        <v>0</v>
      </c>
      <c r="AW776" s="675">
        <v>0</v>
      </c>
      <c r="AX776" s="549">
        <v>0</v>
      </c>
      <c r="AY776" s="675">
        <v>0</v>
      </c>
      <c r="AZ776" s="549">
        <v>0</v>
      </c>
      <c r="BA776" s="675">
        <v>0</v>
      </c>
      <c r="BB776" s="549">
        <v>0</v>
      </c>
      <c r="BC776" s="675">
        <v>0</v>
      </c>
      <c r="BD776" s="549">
        <v>0</v>
      </c>
      <c r="BE776" s="675">
        <v>0</v>
      </c>
      <c r="BF776" s="549">
        <v>0</v>
      </c>
      <c r="BG776" s="675">
        <v>0</v>
      </c>
      <c r="BH776" s="549">
        <v>0</v>
      </c>
      <c r="BI776" s="675">
        <v>0</v>
      </c>
      <c r="BJ776" s="549">
        <v>0</v>
      </c>
      <c r="BK776" s="675">
        <v>0</v>
      </c>
      <c r="BL776" s="549">
        <v>0</v>
      </c>
      <c r="BM776" s="675">
        <v>0</v>
      </c>
      <c r="BN776" s="549">
        <v>0</v>
      </c>
      <c r="BO776" s="675">
        <v>0</v>
      </c>
      <c r="BP776" s="549">
        <v>0</v>
      </c>
      <c r="BQ776" s="675">
        <v>0</v>
      </c>
      <c r="BR776" s="549">
        <v>0</v>
      </c>
      <c r="BS776" s="675">
        <v>0</v>
      </c>
      <c r="BT776" s="549">
        <v>0</v>
      </c>
      <c r="BU776" s="675">
        <v>0</v>
      </c>
      <c r="BV776" s="549">
        <v>0</v>
      </c>
      <c r="BW776" s="675">
        <v>0</v>
      </c>
      <c r="BX776" s="549">
        <v>0</v>
      </c>
      <c r="BY776" s="675">
        <v>0</v>
      </c>
      <c r="BZ776" s="549">
        <v>0</v>
      </c>
      <c r="CA776" s="675">
        <v>0</v>
      </c>
      <c r="CB776" s="549">
        <v>0</v>
      </c>
      <c r="CC776" s="675">
        <v>0</v>
      </c>
      <c r="CD776" s="549">
        <v>0</v>
      </c>
      <c r="CE776" s="675">
        <v>0</v>
      </c>
      <c r="CF776" s="549">
        <v>0</v>
      </c>
      <c r="CG776" s="675">
        <v>0</v>
      </c>
      <c r="CH776" s="549">
        <v>0</v>
      </c>
      <c r="CI776" s="675">
        <v>0</v>
      </c>
      <c r="CJ776" s="549">
        <v>0</v>
      </c>
      <c r="CK776" s="675">
        <v>0</v>
      </c>
      <c r="CL776" s="549">
        <v>0</v>
      </c>
      <c r="CM776" s="675">
        <v>0</v>
      </c>
      <c r="CN776" s="549">
        <v>0</v>
      </c>
      <c r="CO776" s="675">
        <v>0</v>
      </c>
      <c r="CP776" s="549">
        <v>0</v>
      </c>
      <c r="CQ776" s="675">
        <v>0</v>
      </c>
      <c r="CR776" s="549">
        <v>0</v>
      </c>
      <c r="CS776" s="675">
        <v>0</v>
      </c>
      <c r="CT776" s="549">
        <v>0</v>
      </c>
      <c r="CU776" s="675">
        <v>0</v>
      </c>
      <c r="CV776" s="549">
        <v>0</v>
      </c>
      <c r="CW776" s="675">
        <v>0</v>
      </c>
      <c r="CX776" s="549">
        <v>0</v>
      </c>
      <c r="CY776" s="675">
        <v>0</v>
      </c>
      <c r="CZ776" s="549">
        <v>0</v>
      </c>
      <c r="DA776" s="675">
        <v>0</v>
      </c>
      <c r="DB776" s="549">
        <v>0</v>
      </c>
      <c r="DC776" s="675">
        <v>0</v>
      </c>
      <c r="DD776" s="549">
        <v>0</v>
      </c>
      <c r="DE776" s="675">
        <v>0</v>
      </c>
      <c r="DF776" s="549">
        <v>0</v>
      </c>
      <c r="DG776" s="675">
        <v>0</v>
      </c>
      <c r="DH776" s="549">
        <v>0</v>
      </c>
      <c r="DI776" s="675">
        <v>0</v>
      </c>
      <c r="DJ776" s="549">
        <v>0</v>
      </c>
      <c r="DK776" s="675">
        <v>0</v>
      </c>
      <c r="DL776" s="549">
        <v>30000</v>
      </c>
      <c r="DM776" s="675">
        <v>0</v>
      </c>
      <c r="DN776" s="549">
        <v>0</v>
      </c>
      <c r="DO776" s="675">
        <v>0</v>
      </c>
      <c r="DP776" s="549">
        <v>0</v>
      </c>
      <c r="DQ776" s="675">
        <v>0</v>
      </c>
      <c r="DR776" s="549">
        <v>0</v>
      </c>
      <c r="DS776" s="675">
        <v>0</v>
      </c>
      <c r="DT776" s="549">
        <v>0</v>
      </c>
      <c r="DU776" s="675">
        <v>0</v>
      </c>
      <c r="DV776" s="549">
        <v>0</v>
      </c>
      <c r="DW776" s="675">
        <v>0</v>
      </c>
      <c r="DX776" s="549">
        <v>0</v>
      </c>
      <c r="DY776" s="675">
        <v>0</v>
      </c>
      <c r="DZ776" s="549">
        <v>0</v>
      </c>
      <c r="EA776" s="675">
        <v>0</v>
      </c>
      <c r="EB776" s="549">
        <v>0</v>
      </c>
      <c r="EC776" s="675">
        <v>0</v>
      </c>
      <c r="ED776" s="549">
        <v>0</v>
      </c>
      <c r="EE776" s="675">
        <v>0</v>
      </c>
      <c r="EF776" s="549">
        <v>0</v>
      </c>
      <c r="EG776" s="675">
        <v>0</v>
      </c>
      <c r="EH776" s="549">
        <v>0</v>
      </c>
      <c r="EI776" s="675">
        <v>0</v>
      </c>
      <c r="EJ776" s="549">
        <v>0</v>
      </c>
      <c r="EK776" s="675">
        <v>0</v>
      </c>
      <c r="EL776" s="549">
        <v>0</v>
      </c>
      <c r="EM776" s="675">
        <v>0</v>
      </c>
      <c r="EN776" s="549">
        <v>0</v>
      </c>
      <c r="EO776" s="675">
        <v>0</v>
      </c>
      <c r="EP776" s="549">
        <v>0</v>
      </c>
      <c r="EQ776" s="675">
        <v>0</v>
      </c>
      <c r="ER776" s="549">
        <v>0</v>
      </c>
      <c r="ES776" s="675">
        <v>0</v>
      </c>
      <c r="ET776" s="549">
        <v>0</v>
      </c>
      <c r="EU776" s="675">
        <v>0</v>
      </c>
      <c r="EV776" s="549">
        <v>0</v>
      </c>
      <c r="EW776" s="675">
        <v>0</v>
      </c>
      <c r="EX776" s="549">
        <v>0</v>
      </c>
      <c r="EY776" s="675">
        <v>0</v>
      </c>
      <c r="EZ776" s="549">
        <v>0</v>
      </c>
      <c r="FA776" s="675">
        <v>0</v>
      </c>
      <c r="FB776" s="549">
        <v>0</v>
      </c>
      <c r="FC776" s="675">
        <v>0</v>
      </c>
      <c r="FD776" s="549">
        <v>0</v>
      </c>
      <c r="FE776" s="675">
        <v>0</v>
      </c>
      <c r="FF776" s="549">
        <v>0</v>
      </c>
      <c r="FG776" s="675">
        <v>0</v>
      </c>
      <c r="FH776" s="549">
        <v>0</v>
      </c>
      <c r="FI776" s="675">
        <v>0</v>
      </c>
      <c r="FJ776" s="549">
        <v>0</v>
      </c>
      <c r="FK776" s="675">
        <v>0</v>
      </c>
      <c r="FL776" s="549">
        <v>0</v>
      </c>
      <c r="FM776" s="675">
        <v>0</v>
      </c>
      <c r="FN776" s="549">
        <v>0</v>
      </c>
      <c r="FO776" s="675">
        <v>-1511</v>
      </c>
      <c r="FP776" s="549">
        <v>0</v>
      </c>
      <c r="FQ776" s="675">
        <v>0</v>
      </c>
      <c r="FR776" s="549">
        <v>0</v>
      </c>
      <c r="FS776" s="675">
        <v>0</v>
      </c>
      <c r="FT776" s="549">
        <v>0</v>
      </c>
      <c r="FU776" s="675">
        <v>0</v>
      </c>
      <c r="FV776" s="549">
        <v>0</v>
      </c>
      <c r="FW776" s="675">
        <v>0</v>
      </c>
      <c r="FX776" s="549">
        <v>0</v>
      </c>
      <c r="FY776" s="675">
        <v>0</v>
      </c>
      <c r="FZ776" s="549">
        <v>0</v>
      </c>
      <c r="GA776" s="675">
        <v>0</v>
      </c>
      <c r="GB776" s="549">
        <v>0</v>
      </c>
      <c r="GC776" s="675">
        <v>0</v>
      </c>
      <c r="GD776" s="549">
        <v>0</v>
      </c>
      <c r="GE776" s="675">
        <v>0</v>
      </c>
      <c r="GF776" s="549">
        <v>0</v>
      </c>
      <c r="GG776" s="675">
        <v>0</v>
      </c>
      <c r="GH776" s="549">
        <v>0</v>
      </c>
      <c r="GI776" s="675">
        <v>0</v>
      </c>
      <c r="GJ776" s="549">
        <v>0</v>
      </c>
      <c r="GK776" s="675">
        <v>0</v>
      </c>
      <c r="GL776" s="549">
        <v>0</v>
      </c>
      <c r="GM776" s="675">
        <v>0</v>
      </c>
      <c r="GN776" s="549">
        <v>0</v>
      </c>
      <c r="GO776" s="675">
        <v>0</v>
      </c>
      <c r="GP776" s="549">
        <f t="shared" si="16853"/>
        <v>30000</v>
      </c>
      <c r="GQ776" s="675">
        <f t="shared" si="16854"/>
        <v>-1511</v>
      </c>
      <c r="GR776" s="74">
        <f t="shared" si="16855"/>
        <v>28489</v>
      </c>
      <c r="GS776" s="74">
        <f t="shared" si="16856"/>
        <v>28489</v>
      </c>
      <c r="GT776" s="568">
        <f t="shared" si="16857"/>
        <v>28489</v>
      </c>
      <c r="GU776" s="275"/>
      <c r="GV776" s="275"/>
      <c r="GW776" s="588"/>
      <c r="GX776" s="588"/>
      <c r="GY776" s="275"/>
      <c r="GZ776" s="275"/>
      <c r="HA776" s="275"/>
      <c r="HB776" s="275"/>
      <c r="HC776" s="275"/>
      <c r="HD776" s="275"/>
      <c r="HE776" s="275"/>
      <c r="HF776" s="275"/>
      <c r="HG776" s="74">
        <f t="shared" si="16858"/>
        <v>28489</v>
      </c>
      <c r="HH776" s="89">
        <v>0</v>
      </c>
      <c r="HI776" s="157">
        <v>0</v>
      </c>
      <c r="HJ776" s="89">
        <v>0</v>
      </c>
      <c r="HK776" s="157">
        <v>0</v>
      </c>
      <c r="HL776" s="89">
        <v>0</v>
      </c>
      <c r="HM776" s="157">
        <v>0</v>
      </c>
      <c r="HN776" s="89">
        <v>0</v>
      </c>
      <c r="HO776" s="157">
        <v>0</v>
      </c>
      <c r="HP776" s="89">
        <v>0</v>
      </c>
      <c r="HQ776" s="157">
        <v>0</v>
      </c>
      <c r="HR776" s="89">
        <v>0</v>
      </c>
      <c r="HS776" s="157">
        <v>0</v>
      </c>
      <c r="HT776" s="89">
        <v>0</v>
      </c>
      <c r="HU776" s="157">
        <v>0</v>
      </c>
      <c r="HV776" s="89">
        <v>0</v>
      </c>
      <c r="HW776" s="157">
        <v>0</v>
      </c>
      <c r="HX776" s="89">
        <v>0</v>
      </c>
      <c r="HY776" s="157">
        <v>0</v>
      </c>
      <c r="HZ776" s="89">
        <v>0</v>
      </c>
      <c r="IA776" s="157">
        <v>0</v>
      </c>
      <c r="IB776" s="89">
        <v>0</v>
      </c>
      <c r="IC776" s="157">
        <v>0</v>
      </c>
      <c r="ID776" s="89">
        <v>0</v>
      </c>
      <c r="IE776" s="157">
        <v>0</v>
      </c>
      <c r="IF776" s="717">
        <f t="shared" si="16859"/>
        <v>28488.080000000002</v>
      </c>
      <c r="IG776" s="263">
        <f t="shared" si="16860"/>
        <v>28488.080000000002</v>
      </c>
      <c r="IH776" s="718">
        <f t="shared" si="16861"/>
        <v>28488.080000000002</v>
      </c>
      <c r="II776" s="89">
        <v>0</v>
      </c>
      <c r="IJ776" s="89">
        <f t="shared" si="16862"/>
        <v>0</v>
      </c>
      <c r="IK776" s="89">
        <f t="shared" si="16863"/>
        <v>0</v>
      </c>
      <c r="IL776" s="89">
        <v>0</v>
      </c>
      <c r="IM776" s="89">
        <f t="shared" si="16864"/>
        <v>0</v>
      </c>
      <c r="IN776" s="89">
        <f t="shared" si="16865"/>
        <v>0</v>
      </c>
      <c r="IO776" s="89">
        <v>0</v>
      </c>
      <c r="IP776" s="89">
        <f t="shared" si="16866"/>
        <v>0</v>
      </c>
      <c r="IQ776" s="89">
        <f t="shared" si="16867"/>
        <v>0</v>
      </c>
      <c r="IR776" s="89">
        <v>0</v>
      </c>
      <c r="IS776" s="89">
        <f t="shared" si="16868"/>
        <v>0</v>
      </c>
      <c r="IT776" s="89">
        <f t="shared" si="16869"/>
        <v>0</v>
      </c>
      <c r="IU776" s="89">
        <v>0</v>
      </c>
      <c r="IV776" s="89">
        <f t="shared" si="16870"/>
        <v>0</v>
      </c>
      <c r="IW776" s="89">
        <f t="shared" si="16871"/>
        <v>0</v>
      </c>
      <c r="IX776" s="89">
        <v>0</v>
      </c>
      <c r="IY776" s="89">
        <f t="shared" si="16872"/>
        <v>0</v>
      </c>
      <c r="IZ776" s="89">
        <f t="shared" si="16873"/>
        <v>0</v>
      </c>
      <c r="JA776" s="89">
        <v>0</v>
      </c>
      <c r="JB776" s="89">
        <f t="shared" si="16874"/>
        <v>0</v>
      </c>
      <c r="JC776" s="89">
        <f t="shared" si="16875"/>
        <v>0</v>
      </c>
      <c r="JD776" s="89">
        <v>0</v>
      </c>
      <c r="JE776" s="89">
        <f t="shared" si="16876"/>
        <v>0</v>
      </c>
      <c r="JF776" s="89">
        <f t="shared" si="16877"/>
        <v>0</v>
      </c>
      <c r="JG776" s="89">
        <v>0</v>
      </c>
      <c r="JH776" s="89">
        <f t="shared" si="16878"/>
        <v>0</v>
      </c>
      <c r="JI776" s="89">
        <f t="shared" si="16879"/>
        <v>0</v>
      </c>
      <c r="JJ776" s="89">
        <v>28488.080000000002</v>
      </c>
      <c r="JK776" s="89">
        <f t="shared" si="16880"/>
        <v>28488.080000000002</v>
      </c>
      <c r="JL776" s="89">
        <f t="shared" si="16881"/>
        <v>28488.080000000002</v>
      </c>
      <c r="JM776" s="89">
        <v>0</v>
      </c>
      <c r="JN776" s="89">
        <f t="shared" si="16882"/>
        <v>0</v>
      </c>
      <c r="JO776" s="89">
        <f t="shared" si="16883"/>
        <v>0</v>
      </c>
      <c r="JP776" s="89">
        <v>0</v>
      </c>
      <c r="JQ776" s="89">
        <f t="shared" ref="JQ776:JR776" si="16896">JP776</f>
        <v>0</v>
      </c>
      <c r="JR776" s="89">
        <f t="shared" si="16896"/>
        <v>0</v>
      </c>
      <c r="JS776" s="74">
        <f t="shared" si="16885"/>
        <v>0.91999999999825377</v>
      </c>
      <c r="JT776" s="382">
        <f t="shared" si="16886"/>
        <v>0.91999999999825377</v>
      </c>
      <c r="JU776" s="665"/>
      <c r="JV776" s="524"/>
      <c r="JW776" s="525"/>
      <c r="JX776" s="549">
        <f t="shared" si="16894"/>
        <v>0</v>
      </c>
      <c r="JY776" s="549">
        <f t="shared" si="16894"/>
        <v>0</v>
      </c>
      <c r="JZ776" s="581">
        <f t="shared" si="16895"/>
        <v>30000</v>
      </c>
      <c r="KA776" s="581">
        <f t="shared" si="16895"/>
        <v>-1511</v>
      </c>
      <c r="KB776" s="566">
        <f t="shared" si="15406"/>
        <v>28489</v>
      </c>
      <c r="KC776" s="709">
        <f t="shared" si="16464"/>
        <v>0</v>
      </c>
      <c r="KD776" s="494"/>
      <c r="KE776" s="494"/>
      <c r="KF776" s="494"/>
      <c r="KG776" s="494"/>
      <c r="KH776" s="57"/>
      <c r="KI776" s="57"/>
      <c r="KJ776" s="57"/>
      <c r="KK776" s="57"/>
    </row>
    <row r="777" spans="1:297" s="8" customFormat="1" ht="12.75" hidden="1" customHeight="1">
      <c r="A777" s="612" t="s">
        <v>1108</v>
      </c>
      <c r="B777" s="512"/>
      <c r="C777" s="74">
        <v>0</v>
      </c>
      <c r="D777" s="549">
        <v>0</v>
      </c>
      <c r="E777" s="675">
        <v>0</v>
      </c>
      <c r="F777" s="549">
        <v>0</v>
      </c>
      <c r="G777" s="675">
        <v>0</v>
      </c>
      <c r="H777" s="549">
        <v>0</v>
      </c>
      <c r="I777" s="675">
        <v>0</v>
      </c>
      <c r="J777" s="549">
        <v>0</v>
      </c>
      <c r="K777" s="675">
        <v>0</v>
      </c>
      <c r="L777" s="549">
        <v>0</v>
      </c>
      <c r="M777" s="675">
        <v>0</v>
      </c>
      <c r="N777" s="549">
        <v>0</v>
      </c>
      <c r="O777" s="675">
        <v>0</v>
      </c>
      <c r="P777" s="549">
        <v>0</v>
      </c>
      <c r="Q777" s="675">
        <v>0</v>
      </c>
      <c r="R777" s="549">
        <v>0</v>
      </c>
      <c r="S777" s="675">
        <v>0</v>
      </c>
      <c r="T777" s="549">
        <v>0</v>
      </c>
      <c r="U777" s="675">
        <v>0</v>
      </c>
      <c r="V777" s="549">
        <v>0</v>
      </c>
      <c r="W777" s="675">
        <v>0</v>
      </c>
      <c r="X777" s="549">
        <v>0</v>
      </c>
      <c r="Y777" s="675">
        <v>0</v>
      </c>
      <c r="Z777" s="549">
        <v>0</v>
      </c>
      <c r="AA777" s="675">
        <v>0</v>
      </c>
      <c r="AB777" s="549">
        <v>0</v>
      </c>
      <c r="AC777" s="675">
        <v>0</v>
      </c>
      <c r="AD777" s="549">
        <v>0</v>
      </c>
      <c r="AE777" s="675">
        <v>0</v>
      </c>
      <c r="AF777" s="549">
        <v>0</v>
      </c>
      <c r="AG777" s="675">
        <v>0</v>
      </c>
      <c r="AH777" s="549">
        <v>0</v>
      </c>
      <c r="AI777" s="675">
        <v>0</v>
      </c>
      <c r="AJ777" s="549">
        <v>0</v>
      </c>
      <c r="AK777" s="675">
        <v>0</v>
      </c>
      <c r="AL777" s="549">
        <v>0</v>
      </c>
      <c r="AM777" s="675">
        <v>0</v>
      </c>
      <c r="AN777" s="549">
        <v>0</v>
      </c>
      <c r="AO777" s="675">
        <v>0</v>
      </c>
      <c r="AP777" s="549">
        <v>0</v>
      </c>
      <c r="AQ777" s="675">
        <v>0</v>
      </c>
      <c r="AR777" s="549">
        <v>0</v>
      </c>
      <c r="AS777" s="675">
        <v>0</v>
      </c>
      <c r="AT777" s="549">
        <v>0</v>
      </c>
      <c r="AU777" s="675">
        <v>0</v>
      </c>
      <c r="AV777" s="549">
        <v>0</v>
      </c>
      <c r="AW777" s="675">
        <v>0</v>
      </c>
      <c r="AX777" s="549">
        <v>0</v>
      </c>
      <c r="AY777" s="675">
        <v>0</v>
      </c>
      <c r="AZ777" s="549">
        <v>0</v>
      </c>
      <c r="BA777" s="675">
        <v>0</v>
      </c>
      <c r="BB777" s="549">
        <v>0</v>
      </c>
      <c r="BC777" s="675">
        <v>0</v>
      </c>
      <c r="BD777" s="549">
        <v>0</v>
      </c>
      <c r="BE777" s="675">
        <v>0</v>
      </c>
      <c r="BF777" s="549">
        <v>0</v>
      </c>
      <c r="BG777" s="675">
        <v>0</v>
      </c>
      <c r="BH777" s="549">
        <v>0</v>
      </c>
      <c r="BI777" s="675">
        <v>0</v>
      </c>
      <c r="BJ777" s="549">
        <v>0</v>
      </c>
      <c r="BK777" s="675">
        <v>0</v>
      </c>
      <c r="BL777" s="549">
        <v>0</v>
      </c>
      <c r="BM777" s="675">
        <v>0</v>
      </c>
      <c r="BN777" s="549">
        <v>0</v>
      </c>
      <c r="BO777" s="675">
        <v>0</v>
      </c>
      <c r="BP777" s="549">
        <v>0</v>
      </c>
      <c r="BQ777" s="675">
        <v>0</v>
      </c>
      <c r="BR777" s="549">
        <v>0</v>
      </c>
      <c r="BS777" s="675">
        <v>0</v>
      </c>
      <c r="BT777" s="549">
        <v>0</v>
      </c>
      <c r="BU777" s="675">
        <v>0</v>
      </c>
      <c r="BV777" s="549">
        <v>0</v>
      </c>
      <c r="BW777" s="675">
        <v>0</v>
      </c>
      <c r="BX777" s="549">
        <v>0</v>
      </c>
      <c r="BY777" s="675">
        <v>0</v>
      </c>
      <c r="BZ777" s="549">
        <v>0</v>
      </c>
      <c r="CA777" s="675">
        <v>0</v>
      </c>
      <c r="CB777" s="549">
        <v>0</v>
      </c>
      <c r="CC777" s="675">
        <v>0</v>
      </c>
      <c r="CD777" s="549">
        <v>0</v>
      </c>
      <c r="CE777" s="675">
        <v>0</v>
      </c>
      <c r="CF777" s="549">
        <v>0</v>
      </c>
      <c r="CG777" s="675">
        <v>0</v>
      </c>
      <c r="CH777" s="549">
        <v>0</v>
      </c>
      <c r="CI777" s="675">
        <v>0</v>
      </c>
      <c r="CJ777" s="549">
        <v>0</v>
      </c>
      <c r="CK777" s="675">
        <v>0</v>
      </c>
      <c r="CL777" s="549">
        <v>0</v>
      </c>
      <c r="CM777" s="675">
        <v>0</v>
      </c>
      <c r="CN777" s="549">
        <v>0</v>
      </c>
      <c r="CO777" s="675">
        <v>0</v>
      </c>
      <c r="CP777" s="549">
        <v>0</v>
      </c>
      <c r="CQ777" s="675">
        <v>0</v>
      </c>
      <c r="CR777" s="549">
        <v>0</v>
      </c>
      <c r="CS777" s="675">
        <v>0</v>
      </c>
      <c r="CT777" s="549">
        <v>0</v>
      </c>
      <c r="CU777" s="675">
        <v>0</v>
      </c>
      <c r="CV777" s="549">
        <v>0</v>
      </c>
      <c r="CW777" s="675">
        <v>0</v>
      </c>
      <c r="CX777" s="549">
        <v>0</v>
      </c>
      <c r="CY777" s="675">
        <v>0</v>
      </c>
      <c r="CZ777" s="549">
        <v>0</v>
      </c>
      <c r="DA777" s="675">
        <v>0</v>
      </c>
      <c r="DB777" s="549">
        <v>0</v>
      </c>
      <c r="DC777" s="675">
        <v>0</v>
      </c>
      <c r="DD777" s="549">
        <v>0</v>
      </c>
      <c r="DE777" s="675">
        <v>0</v>
      </c>
      <c r="DF777" s="549">
        <v>0</v>
      </c>
      <c r="DG777" s="675">
        <v>0</v>
      </c>
      <c r="DH777" s="549">
        <v>0</v>
      </c>
      <c r="DI777" s="675">
        <v>0</v>
      </c>
      <c r="DJ777" s="549">
        <v>0</v>
      </c>
      <c r="DK777" s="675">
        <v>0</v>
      </c>
      <c r="DL777" s="549">
        <v>0</v>
      </c>
      <c r="DM777" s="675">
        <v>0</v>
      </c>
      <c r="DN777" s="549">
        <v>0</v>
      </c>
      <c r="DO777" s="675">
        <v>0</v>
      </c>
      <c r="DP777" s="549">
        <v>0</v>
      </c>
      <c r="DQ777" s="675">
        <v>0</v>
      </c>
      <c r="DR777" s="549">
        <v>0</v>
      </c>
      <c r="DS777" s="675">
        <v>0</v>
      </c>
      <c r="DT777" s="549">
        <v>0</v>
      </c>
      <c r="DU777" s="675">
        <v>0</v>
      </c>
      <c r="DV777" s="549">
        <v>0</v>
      </c>
      <c r="DW777" s="675">
        <v>0</v>
      </c>
      <c r="DX777" s="549">
        <v>0</v>
      </c>
      <c r="DY777" s="675">
        <v>0</v>
      </c>
      <c r="DZ777" s="549">
        <v>0</v>
      </c>
      <c r="EA777" s="675">
        <v>0</v>
      </c>
      <c r="EB777" s="549">
        <v>0</v>
      </c>
      <c r="EC777" s="675">
        <v>0</v>
      </c>
      <c r="ED777" s="549">
        <v>0</v>
      </c>
      <c r="EE777" s="675">
        <v>0</v>
      </c>
      <c r="EF777" s="549">
        <v>0</v>
      </c>
      <c r="EG777" s="675">
        <v>0</v>
      </c>
      <c r="EH777" s="549">
        <v>0</v>
      </c>
      <c r="EI777" s="675">
        <v>0</v>
      </c>
      <c r="EJ777" s="549">
        <v>0</v>
      </c>
      <c r="EK777" s="675">
        <v>0</v>
      </c>
      <c r="EL777" s="549">
        <v>0</v>
      </c>
      <c r="EM777" s="675">
        <v>0</v>
      </c>
      <c r="EN777" s="549">
        <v>0</v>
      </c>
      <c r="EO777" s="675">
        <v>0</v>
      </c>
      <c r="EP777" s="549">
        <v>0</v>
      </c>
      <c r="EQ777" s="675">
        <v>0</v>
      </c>
      <c r="ER777" s="549">
        <v>0</v>
      </c>
      <c r="ES777" s="675">
        <v>0</v>
      </c>
      <c r="ET777" s="549">
        <v>0</v>
      </c>
      <c r="EU777" s="675">
        <v>0</v>
      </c>
      <c r="EV777" s="549">
        <v>0</v>
      </c>
      <c r="EW777" s="675">
        <v>0</v>
      </c>
      <c r="EX777" s="549">
        <v>0</v>
      </c>
      <c r="EY777" s="675">
        <v>0</v>
      </c>
      <c r="EZ777" s="549">
        <v>0</v>
      </c>
      <c r="FA777" s="675">
        <v>0</v>
      </c>
      <c r="FB777" s="549">
        <v>0</v>
      </c>
      <c r="FC777" s="675">
        <v>0</v>
      </c>
      <c r="FD777" s="549">
        <v>0</v>
      </c>
      <c r="FE777" s="675">
        <v>0</v>
      </c>
      <c r="FF777" s="549">
        <v>0</v>
      </c>
      <c r="FG777" s="675">
        <v>0</v>
      </c>
      <c r="FH777" s="549">
        <v>0</v>
      </c>
      <c r="FI777" s="675">
        <v>0</v>
      </c>
      <c r="FJ777" s="549">
        <v>0</v>
      </c>
      <c r="FK777" s="675">
        <v>0</v>
      </c>
      <c r="FL777" s="549">
        <v>0</v>
      </c>
      <c r="FM777" s="675">
        <v>0</v>
      </c>
      <c r="FN777" s="549">
        <v>0</v>
      </c>
      <c r="FO777" s="675">
        <v>0</v>
      </c>
      <c r="FP777" s="549">
        <v>0</v>
      </c>
      <c r="FQ777" s="675">
        <v>0</v>
      </c>
      <c r="FR777" s="549">
        <v>0</v>
      </c>
      <c r="FS777" s="675">
        <v>0</v>
      </c>
      <c r="FT777" s="549">
        <v>0</v>
      </c>
      <c r="FU777" s="675">
        <v>0</v>
      </c>
      <c r="FV777" s="549">
        <v>0</v>
      </c>
      <c r="FW777" s="675">
        <v>0</v>
      </c>
      <c r="FX777" s="549">
        <v>0</v>
      </c>
      <c r="FY777" s="675">
        <v>0</v>
      </c>
      <c r="FZ777" s="549">
        <v>0</v>
      </c>
      <c r="GA777" s="675">
        <v>0</v>
      </c>
      <c r="GB777" s="549">
        <v>0</v>
      </c>
      <c r="GC777" s="675">
        <v>0</v>
      </c>
      <c r="GD777" s="549">
        <v>0</v>
      </c>
      <c r="GE777" s="675">
        <v>0</v>
      </c>
      <c r="GF777" s="549">
        <v>0</v>
      </c>
      <c r="GG777" s="675">
        <v>0</v>
      </c>
      <c r="GH777" s="549">
        <v>0</v>
      </c>
      <c r="GI777" s="675">
        <v>0</v>
      </c>
      <c r="GJ777" s="549">
        <v>0</v>
      </c>
      <c r="GK777" s="675">
        <v>0</v>
      </c>
      <c r="GL777" s="549">
        <v>0</v>
      </c>
      <c r="GM777" s="675">
        <v>0</v>
      </c>
      <c r="GN777" s="549">
        <v>0</v>
      </c>
      <c r="GO777" s="675">
        <v>0</v>
      </c>
      <c r="GP777" s="549">
        <f t="shared" si="16853"/>
        <v>0</v>
      </c>
      <c r="GQ777" s="675">
        <f t="shared" si="16854"/>
        <v>0</v>
      </c>
      <c r="GR777" s="74">
        <f t="shared" si="16855"/>
        <v>0</v>
      </c>
      <c r="GS777" s="74">
        <f t="shared" si="16856"/>
        <v>0</v>
      </c>
      <c r="GT777" s="568">
        <f t="shared" si="16857"/>
        <v>0</v>
      </c>
      <c r="GU777" s="275"/>
      <c r="GV777" s="275"/>
      <c r="GW777" s="588"/>
      <c r="GX777" s="588"/>
      <c r="GY777" s="275"/>
      <c r="GZ777" s="275"/>
      <c r="HA777" s="275"/>
      <c r="HB777" s="275"/>
      <c r="HC777" s="275"/>
      <c r="HD777" s="275"/>
      <c r="HE777" s="275"/>
      <c r="HF777" s="275"/>
      <c r="HG777" s="74">
        <f t="shared" si="16858"/>
        <v>0</v>
      </c>
      <c r="HH777" s="89">
        <v>0</v>
      </c>
      <c r="HI777" s="157">
        <v>0</v>
      </c>
      <c r="HJ777" s="89">
        <v>0</v>
      </c>
      <c r="HK777" s="157">
        <v>0</v>
      </c>
      <c r="HL777" s="89">
        <v>0</v>
      </c>
      <c r="HM777" s="157">
        <v>0</v>
      </c>
      <c r="HN777" s="89">
        <v>0</v>
      </c>
      <c r="HO777" s="157">
        <v>0</v>
      </c>
      <c r="HP777" s="89">
        <v>0</v>
      </c>
      <c r="HQ777" s="157">
        <v>0</v>
      </c>
      <c r="HR777" s="89">
        <v>0</v>
      </c>
      <c r="HS777" s="157">
        <v>0</v>
      </c>
      <c r="HT777" s="89">
        <v>0</v>
      </c>
      <c r="HU777" s="157">
        <v>0</v>
      </c>
      <c r="HV777" s="89">
        <v>0</v>
      </c>
      <c r="HW777" s="157">
        <v>0</v>
      </c>
      <c r="HX777" s="89">
        <v>0</v>
      </c>
      <c r="HY777" s="157">
        <v>0</v>
      </c>
      <c r="HZ777" s="89">
        <v>0</v>
      </c>
      <c r="IA777" s="157">
        <v>0</v>
      </c>
      <c r="IB777" s="89">
        <v>0</v>
      </c>
      <c r="IC777" s="157">
        <v>0</v>
      </c>
      <c r="ID777" s="89">
        <v>0</v>
      </c>
      <c r="IE777" s="157">
        <v>0</v>
      </c>
      <c r="IF777" s="717">
        <f t="shared" si="16859"/>
        <v>0</v>
      </c>
      <c r="IG777" s="263">
        <f t="shared" si="16860"/>
        <v>0</v>
      </c>
      <c r="IH777" s="718">
        <f t="shared" si="16861"/>
        <v>0</v>
      </c>
      <c r="II777" s="89">
        <v>0</v>
      </c>
      <c r="IJ777" s="89">
        <f t="shared" si="16862"/>
        <v>0</v>
      </c>
      <c r="IK777" s="89">
        <f t="shared" si="16863"/>
        <v>0</v>
      </c>
      <c r="IL777" s="89">
        <v>0</v>
      </c>
      <c r="IM777" s="89">
        <f t="shared" si="16864"/>
        <v>0</v>
      </c>
      <c r="IN777" s="89">
        <f t="shared" si="16865"/>
        <v>0</v>
      </c>
      <c r="IO777" s="89">
        <v>0</v>
      </c>
      <c r="IP777" s="89">
        <f t="shared" si="16866"/>
        <v>0</v>
      </c>
      <c r="IQ777" s="89">
        <f t="shared" si="16867"/>
        <v>0</v>
      </c>
      <c r="IR777" s="89">
        <v>0</v>
      </c>
      <c r="IS777" s="89">
        <f t="shared" si="16868"/>
        <v>0</v>
      </c>
      <c r="IT777" s="89">
        <f t="shared" si="16869"/>
        <v>0</v>
      </c>
      <c r="IU777" s="89">
        <v>0</v>
      </c>
      <c r="IV777" s="89">
        <f t="shared" si="16870"/>
        <v>0</v>
      </c>
      <c r="IW777" s="89">
        <f t="shared" si="16871"/>
        <v>0</v>
      </c>
      <c r="IX777" s="89">
        <v>0</v>
      </c>
      <c r="IY777" s="89">
        <f t="shared" si="16872"/>
        <v>0</v>
      </c>
      <c r="IZ777" s="89">
        <f t="shared" si="16873"/>
        <v>0</v>
      </c>
      <c r="JA777" s="89">
        <v>0</v>
      </c>
      <c r="JB777" s="89">
        <f t="shared" si="16874"/>
        <v>0</v>
      </c>
      <c r="JC777" s="89">
        <f t="shared" si="16875"/>
        <v>0</v>
      </c>
      <c r="JD777" s="89">
        <v>0</v>
      </c>
      <c r="JE777" s="89">
        <f t="shared" si="16876"/>
        <v>0</v>
      </c>
      <c r="JF777" s="89">
        <f t="shared" si="16877"/>
        <v>0</v>
      </c>
      <c r="JG777" s="89">
        <v>0</v>
      </c>
      <c r="JH777" s="89">
        <f t="shared" si="16878"/>
        <v>0</v>
      </c>
      <c r="JI777" s="89">
        <f t="shared" si="16879"/>
        <v>0</v>
      </c>
      <c r="JJ777" s="89">
        <v>0</v>
      </c>
      <c r="JK777" s="89">
        <f t="shared" si="16880"/>
        <v>0</v>
      </c>
      <c r="JL777" s="89">
        <f t="shared" si="16881"/>
        <v>0</v>
      </c>
      <c r="JM777" s="89">
        <v>0</v>
      </c>
      <c r="JN777" s="89">
        <f t="shared" si="16882"/>
        <v>0</v>
      </c>
      <c r="JO777" s="89">
        <f t="shared" si="16883"/>
        <v>0</v>
      </c>
      <c r="JP777" s="89">
        <v>0</v>
      </c>
      <c r="JQ777" s="89">
        <f t="shared" ref="JQ777:JR777" si="16897">JP777</f>
        <v>0</v>
      </c>
      <c r="JR777" s="89">
        <f t="shared" si="16897"/>
        <v>0</v>
      </c>
      <c r="JS777" s="74">
        <f t="shared" si="16885"/>
        <v>0</v>
      </c>
      <c r="JT777" s="382">
        <f t="shared" si="16886"/>
        <v>0</v>
      </c>
      <c r="JU777" s="665"/>
      <c r="JV777" s="524"/>
      <c r="JW777" s="525"/>
      <c r="JX777" s="549">
        <f t="shared" si="16894"/>
        <v>0</v>
      </c>
      <c r="JY777" s="549">
        <f t="shared" si="16894"/>
        <v>0</v>
      </c>
      <c r="JZ777" s="581">
        <f t="shared" si="16895"/>
        <v>0</v>
      </c>
      <c r="KA777" s="581">
        <f t="shared" si="16895"/>
        <v>0</v>
      </c>
      <c r="KB777" s="566">
        <f t="shared" si="15406"/>
        <v>0</v>
      </c>
      <c r="KC777" s="709">
        <f t="shared" si="16464"/>
        <v>0</v>
      </c>
      <c r="KD777" s="494"/>
      <c r="KE777" s="494"/>
      <c r="KF777" s="494"/>
      <c r="KG777" s="494"/>
      <c r="KH777" s="57"/>
      <c r="KI777" s="57"/>
      <c r="KJ777" s="57"/>
      <c r="KK777" s="57"/>
    </row>
    <row r="778" spans="1:297" s="10" customFormat="1" hidden="1">
      <c r="A778" s="612" t="s">
        <v>981</v>
      </c>
      <c r="B778" s="512" t="s">
        <v>982</v>
      </c>
      <c r="C778" s="74">
        <v>0</v>
      </c>
      <c r="D778" s="549">
        <v>0</v>
      </c>
      <c r="E778" s="675">
        <v>0</v>
      </c>
      <c r="F778" s="549">
        <v>0</v>
      </c>
      <c r="G778" s="675">
        <v>0</v>
      </c>
      <c r="H778" s="549">
        <v>0</v>
      </c>
      <c r="I778" s="675">
        <v>0</v>
      </c>
      <c r="J778" s="549">
        <v>0</v>
      </c>
      <c r="K778" s="675">
        <v>0</v>
      </c>
      <c r="L778" s="549">
        <v>0</v>
      </c>
      <c r="M778" s="675">
        <v>0</v>
      </c>
      <c r="N778" s="549">
        <v>0</v>
      </c>
      <c r="O778" s="675">
        <v>0</v>
      </c>
      <c r="P778" s="549">
        <v>0</v>
      </c>
      <c r="Q778" s="675">
        <v>0</v>
      </c>
      <c r="R778" s="549">
        <v>0</v>
      </c>
      <c r="S778" s="675">
        <v>0</v>
      </c>
      <c r="T778" s="549">
        <v>0</v>
      </c>
      <c r="U778" s="675">
        <v>0</v>
      </c>
      <c r="V778" s="549">
        <v>0</v>
      </c>
      <c r="W778" s="675">
        <v>0</v>
      </c>
      <c r="X778" s="549">
        <v>0</v>
      </c>
      <c r="Y778" s="675">
        <v>0</v>
      </c>
      <c r="Z778" s="549">
        <v>0</v>
      </c>
      <c r="AA778" s="675">
        <v>0</v>
      </c>
      <c r="AB778" s="549">
        <v>0</v>
      </c>
      <c r="AC778" s="675">
        <v>0</v>
      </c>
      <c r="AD778" s="549">
        <v>0</v>
      </c>
      <c r="AE778" s="675">
        <v>0</v>
      </c>
      <c r="AF778" s="549">
        <v>0</v>
      </c>
      <c r="AG778" s="675">
        <v>0</v>
      </c>
      <c r="AH778" s="549">
        <v>0</v>
      </c>
      <c r="AI778" s="675">
        <v>0</v>
      </c>
      <c r="AJ778" s="549">
        <v>0</v>
      </c>
      <c r="AK778" s="675">
        <v>0</v>
      </c>
      <c r="AL778" s="549">
        <v>0</v>
      </c>
      <c r="AM778" s="675">
        <v>0</v>
      </c>
      <c r="AN778" s="549">
        <v>0</v>
      </c>
      <c r="AO778" s="675">
        <v>0</v>
      </c>
      <c r="AP778" s="549">
        <v>0</v>
      </c>
      <c r="AQ778" s="675">
        <v>0</v>
      </c>
      <c r="AR778" s="549">
        <v>0</v>
      </c>
      <c r="AS778" s="675">
        <v>0</v>
      </c>
      <c r="AT778" s="549">
        <v>0</v>
      </c>
      <c r="AU778" s="675">
        <v>0</v>
      </c>
      <c r="AV778" s="549">
        <v>0</v>
      </c>
      <c r="AW778" s="675">
        <v>0</v>
      </c>
      <c r="AX778" s="549">
        <v>0</v>
      </c>
      <c r="AY778" s="675">
        <v>0</v>
      </c>
      <c r="AZ778" s="549">
        <v>0</v>
      </c>
      <c r="BA778" s="675">
        <v>0</v>
      </c>
      <c r="BB778" s="549">
        <v>0</v>
      </c>
      <c r="BC778" s="675">
        <v>0</v>
      </c>
      <c r="BD778" s="549">
        <v>0</v>
      </c>
      <c r="BE778" s="675">
        <v>0</v>
      </c>
      <c r="BF778" s="549">
        <v>0</v>
      </c>
      <c r="BG778" s="675">
        <v>0</v>
      </c>
      <c r="BH778" s="549">
        <v>0</v>
      </c>
      <c r="BI778" s="675">
        <v>0</v>
      </c>
      <c r="BJ778" s="549">
        <v>0</v>
      </c>
      <c r="BK778" s="675">
        <v>0</v>
      </c>
      <c r="BL778" s="549">
        <v>0</v>
      </c>
      <c r="BM778" s="675">
        <v>0</v>
      </c>
      <c r="BN778" s="549">
        <v>0</v>
      </c>
      <c r="BO778" s="675">
        <v>0</v>
      </c>
      <c r="BP778" s="549">
        <v>0</v>
      </c>
      <c r="BQ778" s="675">
        <v>0</v>
      </c>
      <c r="BR778" s="549">
        <v>0</v>
      </c>
      <c r="BS778" s="675">
        <v>0</v>
      </c>
      <c r="BT778" s="549">
        <v>0</v>
      </c>
      <c r="BU778" s="675">
        <v>0</v>
      </c>
      <c r="BV778" s="549">
        <v>0</v>
      </c>
      <c r="BW778" s="675">
        <v>0</v>
      </c>
      <c r="BX778" s="549">
        <v>0</v>
      </c>
      <c r="BY778" s="675">
        <v>0</v>
      </c>
      <c r="BZ778" s="549">
        <v>0</v>
      </c>
      <c r="CA778" s="675">
        <v>0</v>
      </c>
      <c r="CB778" s="549">
        <v>0</v>
      </c>
      <c r="CC778" s="675">
        <v>0</v>
      </c>
      <c r="CD778" s="549">
        <v>0</v>
      </c>
      <c r="CE778" s="675">
        <v>0</v>
      </c>
      <c r="CF778" s="549">
        <v>0</v>
      </c>
      <c r="CG778" s="675">
        <v>0</v>
      </c>
      <c r="CH778" s="549">
        <v>0</v>
      </c>
      <c r="CI778" s="675">
        <v>0</v>
      </c>
      <c r="CJ778" s="549">
        <v>0</v>
      </c>
      <c r="CK778" s="675">
        <v>0</v>
      </c>
      <c r="CL778" s="549">
        <v>0</v>
      </c>
      <c r="CM778" s="675">
        <v>0</v>
      </c>
      <c r="CN778" s="549">
        <v>0</v>
      </c>
      <c r="CO778" s="675">
        <v>0</v>
      </c>
      <c r="CP778" s="549">
        <v>0</v>
      </c>
      <c r="CQ778" s="675">
        <v>0</v>
      </c>
      <c r="CR778" s="549">
        <v>0</v>
      </c>
      <c r="CS778" s="675">
        <v>0</v>
      </c>
      <c r="CT778" s="549">
        <v>0</v>
      </c>
      <c r="CU778" s="675">
        <v>0</v>
      </c>
      <c r="CV778" s="549">
        <v>0</v>
      </c>
      <c r="CW778" s="675">
        <v>0</v>
      </c>
      <c r="CX778" s="549">
        <v>0</v>
      </c>
      <c r="CY778" s="675">
        <v>0</v>
      </c>
      <c r="CZ778" s="549">
        <v>0</v>
      </c>
      <c r="DA778" s="675">
        <v>0</v>
      </c>
      <c r="DB778" s="549">
        <v>0</v>
      </c>
      <c r="DC778" s="675">
        <v>0</v>
      </c>
      <c r="DD778" s="549">
        <v>0</v>
      </c>
      <c r="DE778" s="675">
        <v>0</v>
      </c>
      <c r="DF778" s="549">
        <v>0</v>
      </c>
      <c r="DG778" s="675">
        <v>0</v>
      </c>
      <c r="DH778" s="549">
        <v>0</v>
      </c>
      <c r="DI778" s="675">
        <v>0</v>
      </c>
      <c r="DJ778" s="549">
        <v>0</v>
      </c>
      <c r="DK778" s="675">
        <v>0</v>
      </c>
      <c r="DL778" s="549">
        <v>0</v>
      </c>
      <c r="DM778" s="675">
        <v>0</v>
      </c>
      <c r="DN778" s="549">
        <v>0</v>
      </c>
      <c r="DO778" s="675">
        <v>0</v>
      </c>
      <c r="DP778" s="549">
        <v>0</v>
      </c>
      <c r="DQ778" s="675">
        <v>0</v>
      </c>
      <c r="DR778" s="549">
        <v>0</v>
      </c>
      <c r="DS778" s="675">
        <v>0</v>
      </c>
      <c r="DT778" s="549">
        <v>0</v>
      </c>
      <c r="DU778" s="675">
        <v>0</v>
      </c>
      <c r="DV778" s="549">
        <v>0</v>
      </c>
      <c r="DW778" s="675">
        <v>0</v>
      </c>
      <c r="DX778" s="549">
        <v>0</v>
      </c>
      <c r="DY778" s="675">
        <v>0</v>
      </c>
      <c r="DZ778" s="549">
        <v>0</v>
      </c>
      <c r="EA778" s="675">
        <v>0</v>
      </c>
      <c r="EB778" s="549">
        <v>0</v>
      </c>
      <c r="EC778" s="675">
        <v>0</v>
      </c>
      <c r="ED778" s="549">
        <v>0</v>
      </c>
      <c r="EE778" s="675">
        <v>0</v>
      </c>
      <c r="EF778" s="549">
        <v>0</v>
      </c>
      <c r="EG778" s="675">
        <v>0</v>
      </c>
      <c r="EH778" s="549">
        <v>0</v>
      </c>
      <c r="EI778" s="675">
        <v>0</v>
      </c>
      <c r="EJ778" s="549">
        <v>0</v>
      </c>
      <c r="EK778" s="675">
        <v>0</v>
      </c>
      <c r="EL778" s="549">
        <v>0</v>
      </c>
      <c r="EM778" s="675">
        <v>0</v>
      </c>
      <c r="EN778" s="549">
        <v>0</v>
      </c>
      <c r="EO778" s="675">
        <v>0</v>
      </c>
      <c r="EP778" s="549">
        <v>0</v>
      </c>
      <c r="EQ778" s="675">
        <v>0</v>
      </c>
      <c r="ER778" s="549">
        <v>0</v>
      </c>
      <c r="ES778" s="675">
        <v>0</v>
      </c>
      <c r="ET778" s="549">
        <v>0</v>
      </c>
      <c r="EU778" s="675">
        <v>0</v>
      </c>
      <c r="EV778" s="549">
        <v>0</v>
      </c>
      <c r="EW778" s="675">
        <v>0</v>
      </c>
      <c r="EX778" s="549">
        <v>0</v>
      </c>
      <c r="EY778" s="675">
        <v>0</v>
      </c>
      <c r="EZ778" s="549">
        <v>0</v>
      </c>
      <c r="FA778" s="675">
        <v>0</v>
      </c>
      <c r="FB778" s="549">
        <v>0</v>
      </c>
      <c r="FC778" s="675">
        <v>0</v>
      </c>
      <c r="FD778" s="549">
        <v>0</v>
      </c>
      <c r="FE778" s="675">
        <v>0</v>
      </c>
      <c r="FF778" s="549">
        <v>0</v>
      </c>
      <c r="FG778" s="675">
        <v>0</v>
      </c>
      <c r="FH778" s="549">
        <v>0</v>
      </c>
      <c r="FI778" s="675">
        <v>0</v>
      </c>
      <c r="FJ778" s="549">
        <v>0</v>
      </c>
      <c r="FK778" s="675">
        <v>0</v>
      </c>
      <c r="FL778" s="549">
        <v>0</v>
      </c>
      <c r="FM778" s="675">
        <v>0</v>
      </c>
      <c r="FN778" s="549">
        <v>0</v>
      </c>
      <c r="FO778" s="675">
        <v>0</v>
      </c>
      <c r="FP778" s="549">
        <v>0</v>
      </c>
      <c r="FQ778" s="675">
        <v>0</v>
      </c>
      <c r="FR778" s="549">
        <v>0</v>
      </c>
      <c r="FS778" s="675">
        <v>0</v>
      </c>
      <c r="FT778" s="549">
        <v>0</v>
      </c>
      <c r="FU778" s="675">
        <v>0</v>
      </c>
      <c r="FV778" s="549">
        <v>0</v>
      </c>
      <c r="FW778" s="675">
        <v>0</v>
      </c>
      <c r="FX778" s="549">
        <v>0</v>
      </c>
      <c r="FY778" s="675">
        <v>0</v>
      </c>
      <c r="FZ778" s="549">
        <v>0</v>
      </c>
      <c r="GA778" s="675">
        <v>0</v>
      </c>
      <c r="GB778" s="549">
        <v>0</v>
      </c>
      <c r="GC778" s="675">
        <v>0</v>
      </c>
      <c r="GD778" s="549">
        <v>0</v>
      </c>
      <c r="GE778" s="675">
        <v>0</v>
      </c>
      <c r="GF778" s="549">
        <v>0</v>
      </c>
      <c r="GG778" s="675">
        <v>0</v>
      </c>
      <c r="GH778" s="549">
        <v>0</v>
      </c>
      <c r="GI778" s="675">
        <v>0</v>
      </c>
      <c r="GJ778" s="549">
        <v>0</v>
      </c>
      <c r="GK778" s="675">
        <v>0</v>
      </c>
      <c r="GL778" s="549">
        <v>0</v>
      </c>
      <c r="GM778" s="675">
        <v>0</v>
      </c>
      <c r="GN778" s="549">
        <v>0</v>
      </c>
      <c r="GO778" s="675">
        <v>0</v>
      </c>
      <c r="GP778" s="549">
        <f t="shared" si="16853"/>
        <v>0</v>
      </c>
      <c r="GQ778" s="675">
        <f t="shared" si="16854"/>
        <v>0</v>
      </c>
      <c r="GR778" s="74">
        <f t="shared" si="16855"/>
        <v>0</v>
      </c>
      <c r="GS778" s="74">
        <f t="shared" si="16856"/>
        <v>0</v>
      </c>
      <c r="GT778" s="568">
        <f t="shared" si="16857"/>
        <v>0</v>
      </c>
      <c r="GU778" s="275"/>
      <c r="GV778" s="275"/>
      <c r="GW778" s="588"/>
      <c r="GX778" s="275"/>
      <c r="GY778" s="275"/>
      <c r="GZ778" s="275"/>
      <c r="HA778" s="275"/>
      <c r="HB778" s="275"/>
      <c r="HC778" s="275"/>
      <c r="HD778" s="275"/>
      <c r="HE778" s="275">
        <v>0</v>
      </c>
      <c r="HF778" s="275">
        <v>0</v>
      </c>
      <c r="HG778" s="74">
        <f t="shared" si="16858"/>
        <v>0</v>
      </c>
      <c r="HH778" s="89">
        <v>0</v>
      </c>
      <c r="HI778" s="157">
        <v>0</v>
      </c>
      <c r="HJ778" s="89">
        <v>0</v>
      </c>
      <c r="HK778" s="157">
        <v>0</v>
      </c>
      <c r="HL778" s="89">
        <v>0</v>
      </c>
      <c r="HM778" s="157">
        <v>0</v>
      </c>
      <c r="HN778" s="89">
        <v>0</v>
      </c>
      <c r="HO778" s="157">
        <v>0</v>
      </c>
      <c r="HP778" s="89">
        <v>0</v>
      </c>
      <c r="HQ778" s="157">
        <v>0</v>
      </c>
      <c r="HR778" s="89">
        <v>0</v>
      </c>
      <c r="HS778" s="157">
        <v>0</v>
      </c>
      <c r="HT778" s="89">
        <v>0</v>
      </c>
      <c r="HU778" s="157">
        <v>0</v>
      </c>
      <c r="HV778" s="89">
        <v>0</v>
      </c>
      <c r="HW778" s="157">
        <v>0</v>
      </c>
      <c r="HX778" s="89">
        <v>0</v>
      </c>
      <c r="HY778" s="157">
        <v>0</v>
      </c>
      <c r="HZ778" s="89">
        <v>0</v>
      </c>
      <c r="IA778" s="157">
        <v>0</v>
      </c>
      <c r="IB778" s="89">
        <v>0</v>
      </c>
      <c r="IC778" s="157">
        <v>0</v>
      </c>
      <c r="ID778" s="89">
        <v>0</v>
      </c>
      <c r="IE778" s="157">
        <v>0</v>
      </c>
      <c r="IF778" s="717">
        <f t="shared" si="16859"/>
        <v>0</v>
      </c>
      <c r="IG778" s="263">
        <f t="shared" si="16860"/>
        <v>0</v>
      </c>
      <c r="IH778" s="718">
        <f t="shared" si="16861"/>
        <v>0</v>
      </c>
      <c r="II778" s="89">
        <v>0</v>
      </c>
      <c r="IJ778" s="89">
        <f t="shared" si="16862"/>
        <v>0</v>
      </c>
      <c r="IK778" s="89">
        <f t="shared" si="16863"/>
        <v>0</v>
      </c>
      <c r="IL778" s="89">
        <v>0</v>
      </c>
      <c r="IM778" s="89">
        <f t="shared" si="16864"/>
        <v>0</v>
      </c>
      <c r="IN778" s="89">
        <f t="shared" si="16865"/>
        <v>0</v>
      </c>
      <c r="IO778" s="89">
        <v>0</v>
      </c>
      <c r="IP778" s="89">
        <f t="shared" si="16866"/>
        <v>0</v>
      </c>
      <c r="IQ778" s="89">
        <f t="shared" si="16867"/>
        <v>0</v>
      </c>
      <c r="IR778" s="89">
        <v>0</v>
      </c>
      <c r="IS778" s="89">
        <f t="shared" si="16868"/>
        <v>0</v>
      </c>
      <c r="IT778" s="89">
        <f t="shared" si="16869"/>
        <v>0</v>
      </c>
      <c r="IU778" s="89">
        <v>0</v>
      </c>
      <c r="IV778" s="89">
        <f t="shared" si="16870"/>
        <v>0</v>
      </c>
      <c r="IW778" s="89">
        <f t="shared" si="16871"/>
        <v>0</v>
      </c>
      <c r="IX778" s="89">
        <v>0</v>
      </c>
      <c r="IY778" s="89">
        <f t="shared" si="16872"/>
        <v>0</v>
      </c>
      <c r="IZ778" s="89">
        <f t="shared" si="16873"/>
        <v>0</v>
      </c>
      <c r="JA778" s="89">
        <v>0</v>
      </c>
      <c r="JB778" s="89">
        <f t="shared" si="16874"/>
        <v>0</v>
      </c>
      <c r="JC778" s="89">
        <f t="shared" si="16875"/>
        <v>0</v>
      </c>
      <c r="JD778" s="89">
        <v>0</v>
      </c>
      <c r="JE778" s="89">
        <f t="shared" si="16876"/>
        <v>0</v>
      </c>
      <c r="JF778" s="89">
        <f t="shared" si="16877"/>
        <v>0</v>
      </c>
      <c r="JG778" s="89">
        <v>0</v>
      </c>
      <c r="JH778" s="89">
        <f t="shared" si="16878"/>
        <v>0</v>
      </c>
      <c r="JI778" s="89">
        <f t="shared" si="16879"/>
        <v>0</v>
      </c>
      <c r="JJ778" s="89">
        <v>0</v>
      </c>
      <c r="JK778" s="89">
        <f t="shared" si="16880"/>
        <v>0</v>
      </c>
      <c r="JL778" s="89">
        <f t="shared" si="16881"/>
        <v>0</v>
      </c>
      <c r="JM778" s="89">
        <v>0</v>
      </c>
      <c r="JN778" s="89">
        <f t="shared" si="16882"/>
        <v>0</v>
      </c>
      <c r="JO778" s="89">
        <f t="shared" si="16883"/>
        <v>0</v>
      </c>
      <c r="JP778" s="89">
        <v>0</v>
      </c>
      <c r="JQ778" s="89">
        <f t="shared" ref="JQ778:JR778" si="16898">JP778</f>
        <v>0</v>
      </c>
      <c r="JR778" s="89">
        <f t="shared" si="16898"/>
        <v>0</v>
      </c>
      <c r="JS778" s="74">
        <f t="shared" si="16885"/>
        <v>0</v>
      </c>
      <c r="JT778" s="382">
        <f t="shared" si="16886"/>
        <v>0</v>
      </c>
      <c r="JU778" s="665"/>
      <c r="JV778" s="524"/>
      <c r="JW778" s="525"/>
      <c r="JX778" s="549">
        <f t="shared" si="16894"/>
        <v>0</v>
      </c>
      <c r="JY778" s="549">
        <f t="shared" si="16894"/>
        <v>0</v>
      </c>
      <c r="JZ778" s="581">
        <f t="shared" si="16895"/>
        <v>0</v>
      </c>
      <c r="KA778" s="581">
        <f t="shared" si="16895"/>
        <v>0</v>
      </c>
      <c r="KB778" s="566">
        <f t="shared" si="15406"/>
        <v>0</v>
      </c>
      <c r="KC778" s="709">
        <f t="shared" si="16464"/>
        <v>0</v>
      </c>
      <c r="KD778" s="491"/>
      <c r="KE778" s="491"/>
      <c r="KF778" s="491"/>
      <c r="KG778" s="491"/>
      <c r="KH778" s="36"/>
      <c r="KI778" s="36"/>
      <c r="KJ778" s="36"/>
      <c r="KK778" s="36"/>
    </row>
    <row r="779" spans="1:297" s="10" customFormat="1" ht="12.75" hidden="1" customHeight="1">
      <c r="A779" s="612" t="s">
        <v>1101</v>
      </c>
      <c r="B779" s="512"/>
      <c r="C779" s="74">
        <v>0</v>
      </c>
      <c r="D779" s="549">
        <v>0</v>
      </c>
      <c r="E779" s="675">
        <v>0</v>
      </c>
      <c r="F779" s="549">
        <v>0</v>
      </c>
      <c r="G779" s="675">
        <v>0</v>
      </c>
      <c r="H779" s="549">
        <v>0</v>
      </c>
      <c r="I779" s="675">
        <v>0</v>
      </c>
      <c r="J779" s="549">
        <v>0</v>
      </c>
      <c r="K779" s="675">
        <v>0</v>
      </c>
      <c r="L779" s="549">
        <v>0</v>
      </c>
      <c r="M779" s="675">
        <v>0</v>
      </c>
      <c r="N779" s="549">
        <v>0</v>
      </c>
      <c r="O779" s="675">
        <v>0</v>
      </c>
      <c r="P779" s="549">
        <v>0</v>
      </c>
      <c r="Q779" s="675">
        <v>0</v>
      </c>
      <c r="R779" s="549">
        <v>0</v>
      </c>
      <c r="S779" s="675">
        <v>0</v>
      </c>
      <c r="T779" s="549">
        <v>0</v>
      </c>
      <c r="U779" s="675">
        <v>0</v>
      </c>
      <c r="V779" s="549">
        <v>0</v>
      </c>
      <c r="W779" s="675">
        <v>0</v>
      </c>
      <c r="X779" s="549">
        <v>0</v>
      </c>
      <c r="Y779" s="675">
        <v>0</v>
      </c>
      <c r="Z779" s="549">
        <v>0</v>
      </c>
      <c r="AA779" s="675">
        <v>0</v>
      </c>
      <c r="AB779" s="549">
        <v>0</v>
      </c>
      <c r="AC779" s="675">
        <v>0</v>
      </c>
      <c r="AD779" s="549">
        <v>0</v>
      </c>
      <c r="AE779" s="675">
        <v>0</v>
      </c>
      <c r="AF779" s="549">
        <v>0</v>
      </c>
      <c r="AG779" s="675">
        <v>0</v>
      </c>
      <c r="AH779" s="549">
        <v>0</v>
      </c>
      <c r="AI779" s="675">
        <v>0</v>
      </c>
      <c r="AJ779" s="549">
        <v>0</v>
      </c>
      <c r="AK779" s="675">
        <v>0</v>
      </c>
      <c r="AL779" s="549">
        <v>0</v>
      </c>
      <c r="AM779" s="675">
        <v>0</v>
      </c>
      <c r="AN779" s="549">
        <v>0</v>
      </c>
      <c r="AO779" s="675">
        <v>0</v>
      </c>
      <c r="AP779" s="549">
        <v>0</v>
      </c>
      <c r="AQ779" s="675">
        <v>0</v>
      </c>
      <c r="AR779" s="549">
        <v>0</v>
      </c>
      <c r="AS779" s="675">
        <v>0</v>
      </c>
      <c r="AT779" s="549">
        <v>0</v>
      </c>
      <c r="AU779" s="675">
        <v>0</v>
      </c>
      <c r="AV779" s="549">
        <v>0</v>
      </c>
      <c r="AW779" s="675">
        <v>0</v>
      </c>
      <c r="AX779" s="549">
        <v>0</v>
      </c>
      <c r="AY779" s="675">
        <v>0</v>
      </c>
      <c r="AZ779" s="549">
        <v>0</v>
      </c>
      <c r="BA779" s="675">
        <v>0</v>
      </c>
      <c r="BB779" s="549">
        <v>0</v>
      </c>
      <c r="BC779" s="675">
        <v>0</v>
      </c>
      <c r="BD779" s="549">
        <v>0</v>
      </c>
      <c r="BE779" s="675">
        <v>0</v>
      </c>
      <c r="BF779" s="549">
        <v>0</v>
      </c>
      <c r="BG779" s="675">
        <v>0</v>
      </c>
      <c r="BH779" s="549">
        <v>0</v>
      </c>
      <c r="BI779" s="675">
        <v>0</v>
      </c>
      <c r="BJ779" s="549">
        <v>0</v>
      </c>
      <c r="BK779" s="675">
        <v>0</v>
      </c>
      <c r="BL779" s="549">
        <v>0</v>
      </c>
      <c r="BM779" s="675">
        <v>0</v>
      </c>
      <c r="BN779" s="549">
        <v>0</v>
      </c>
      <c r="BO779" s="675">
        <v>0</v>
      </c>
      <c r="BP779" s="549">
        <v>0</v>
      </c>
      <c r="BQ779" s="675">
        <v>0</v>
      </c>
      <c r="BR779" s="549">
        <v>0</v>
      </c>
      <c r="BS779" s="675">
        <v>0</v>
      </c>
      <c r="BT779" s="549">
        <v>0</v>
      </c>
      <c r="BU779" s="675">
        <v>0</v>
      </c>
      <c r="BV779" s="549">
        <v>0</v>
      </c>
      <c r="BW779" s="675">
        <v>0</v>
      </c>
      <c r="BX779" s="549">
        <v>0</v>
      </c>
      <c r="BY779" s="675">
        <v>0</v>
      </c>
      <c r="BZ779" s="549">
        <v>0</v>
      </c>
      <c r="CA779" s="675">
        <v>0</v>
      </c>
      <c r="CB779" s="549">
        <v>0</v>
      </c>
      <c r="CC779" s="675">
        <v>0</v>
      </c>
      <c r="CD779" s="549">
        <v>0</v>
      </c>
      <c r="CE779" s="675">
        <v>0</v>
      </c>
      <c r="CF779" s="549">
        <v>0</v>
      </c>
      <c r="CG779" s="675">
        <v>0</v>
      </c>
      <c r="CH779" s="549">
        <v>0</v>
      </c>
      <c r="CI779" s="675">
        <v>0</v>
      </c>
      <c r="CJ779" s="549">
        <v>0</v>
      </c>
      <c r="CK779" s="675">
        <v>0</v>
      </c>
      <c r="CL779" s="549">
        <v>0</v>
      </c>
      <c r="CM779" s="675">
        <v>0</v>
      </c>
      <c r="CN779" s="549">
        <v>0</v>
      </c>
      <c r="CO779" s="675">
        <v>0</v>
      </c>
      <c r="CP779" s="549">
        <v>0</v>
      </c>
      <c r="CQ779" s="675">
        <v>0</v>
      </c>
      <c r="CR779" s="549">
        <v>0</v>
      </c>
      <c r="CS779" s="675">
        <v>0</v>
      </c>
      <c r="CT779" s="549">
        <v>0</v>
      </c>
      <c r="CU779" s="675">
        <v>0</v>
      </c>
      <c r="CV779" s="549">
        <v>0</v>
      </c>
      <c r="CW779" s="675">
        <v>0</v>
      </c>
      <c r="CX779" s="549">
        <v>0</v>
      </c>
      <c r="CY779" s="675">
        <v>0</v>
      </c>
      <c r="CZ779" s="549">
        <v>0</v>
      </c>
      <c r="DA779" s="675">
        <v>0</v>
      </c>
      <c r="DB779" s="549">
        <v>0</v>
      </c>
      <c r="DC779" s="675">
        <v>0</v>
      </c>
      <c r="DD779" s="549">
        <v>0</v>
      </c>
      <c r="DE779" s="675">
        <v>0</v>
      </c>
      <c r="DF779" s="549">
        <v>0</v>
      </c>
      <c r="DG779" s="675">
        <v>0</v>
      </c>
      <c r="DH779" s="549">
        <v>0</v>
      </c>
      <c r="DI779" s="675">
        <v>0</v>
      </c>
      <c r="DJ779" s="549">
        <v>0</v>
      </c>
      <c r="DK779" s="675">
        <v>0</v>
      </c>
      <c r="DL779" s="549">
        <v>0</v>
      </c>
      <c r="DM779" s="675">
        <v>0</v>
      </c>
      <c r="DN779" s="549">
        <v>0</v>
      </c>
      <c r="DO779" s="675">
        <v>0</v>
      </c>
      <c r="DP779" s="549">
        <v>0</v>
      </c>
      <c r="DQ779" s="675">
        <v>0</v>
      </c>
      <c r="DR779" s="549">
        <v>0</v>
      </c>
      <c r="DS779" s="675">
        <v>0</v>
      </c>
      <c r="DT779" s="549">
        <v>0</v>
      </c>
      <c r="DU779" s="675">
        <v>0</v>
      </c>
      <c r="DV779" s="549">
        <v>0</v>
      </c>
      <c r="DW779" s="675">
        <v>0</v>
      </c>
      <c r="DX779" s="549">
        <v>0</v>
      </c>
      <c r="DY779" s="675">
        <v>0</v>
      </c>
      <c r="DZ779" s="549">
        <v>0</v>
      </c>
      <c r="EA779" s="675">
        <v>0</v>
      </c>
      <c r="EB779" s="549">
        <v>0</v>
      </c>
      <c r="EC779" s="675">
        <v>0</v>
      </c>
      <c r="ED779" s="549">
        <v>0</v>
      </c>
      <c r="EE779" s="675">
        <v>0</v>
      </c>
      <c r="EF779" s="549">
        <v>0</v>
      </c>
      <c r="EG779" s="675">
        <v>0</v>
      </c>
      <c r="EH779" s="549">
        <v>0</v>
      </c>
      <c r="EI779" s="675">
        <v>0</v>
      </c>
      <c r="EJ779" s="549">
        <v>0</v>
      </c>
      <c r="EK779" s="675">
        <v>0</v>
      </c>
      <c r="EL779" s="549">
        <v>0</v>
      </c>
      <c r="EM779" s="675">
        <v>0</v>
      </c>
      <c r="EN779" s="549">
        <v>0</v>
      </c>
      <c r="EO779" s="675">
        <v>0</v>
      </c>
      <c r="EP779" s="549">
        <v>0</v>
      </c>
      <c r="EQ779" s="675">
        <v>0</v>
      </c>
      <c r="ER779" s="549">
        <v>0</v>
      </c>
      <c r="ES779" s="675">
        <v>0</v>
      </c>
      <c r="ET779" s="549">
        <v>0</v>
      </c>
      <c r="EU779" s="675">
        <v>0</v>
      </c>
      <c r="EV779" s="549">
        <v>0</v>
      </c>
      <c r="EW779" s="675">
        <v>0</v>
      </c>
      <c r="EX779" s="549">
        <v>0</v>
      </c>
      <c r="EY779" s="675">
        <v>0</v>
      </c>
      <c r="EZ779" s="549">
        <v>0</v>
      </c>
      <c r="FA779" s="675">
        <v>0</v>
      </c>
      <c r="FB779" s="549">
        <v>0</v>
      </c>
      <c r="FC779" s="675">
        <v>0</v>
      </c>
      <c r="FD779" s="549">
        <v>0</v>
      </c>
      <c r="FE779" s="675">
        <v>0</v>
      </c>
      <c r="FF779" s="549">
        <v>0</v>
      </c>
      <c r="FG779" s="675">
        <v>0</v>
      </c>
      <c r="FH779" s="549">
        <v>0</v>
      </c>
      <c r="FI779" s="675">
        <v>0</v>
      </c>
      <c r="FJ779" s="549">
        <v>0</v>
      </c>
      <c r="FK779" s="675">
        <v>0</v>
      </c>
      <c r="FL779" s="549">
        <v>0</v>
      </c>
      <c r="FM779" s="675">
        <v>0</v>
      </c>
      <c r="FN779" s="549">
        <v>0</v>
      </c>
      <c r="FO779" s="675">
        <v>0</v>
      </c>
      <c r="FP779" s="549">
        <v>0</v>
      </c>
      <c r="FQ779" s="675">
        <v>0</v>
      </c>
      <c r="FR779" s="549">
        <v>0</v>
      </c>
      <c r="FS779" s="675">
        <v>0</v>
      </c>
      <c r="FT779" s="549">
        <v>0</v>
      </c>
      <c r="FU779" s="675">
        <v>0</v>
      </c>
      <c r="FV779" s="549">
        <v>0</v>
      </c>
      <c r="FW779" s="675">
        <v>0</v>
      </c>
      <c r="FX779" s="549">
        <v>0</v>
      </c>
      <c r="FY779" s="675">
        <v>0</v>
      </c>
      <c r="FZ779" s="549">
        <v>0</v>
      </c>
      <c r="GA779" s="675">
        <v>0</v>
      </c>
      <c r="GB779" s="549">
        <v>0</v>
      </c>
      <c r="GC779" s="675">
        <v>0</v>
      </c>
      <c r="GD779" s="549">
        <v>0</v>
      </c>
      <c r="GE779" s="675">
        <v>0</v>
      </c>
      <c r="GF779" s="549">
        <v>0</v>
      </c>
      <c r="GG779" s="675">
        <v>0</v>
      </c>
      <c r="GH779" s="549">
        <v>0</v>
      </c>
      <c r="GI779" s="675">
        <v>0</v>
      </c>
      <c r="GJ779" s="549">
        <v>0</v>
      </c>
      <c r="GK779" s="675">
        <v>0</v>
      </c>
      <c r="GL779" s="549">
        <v>0</v>
      </c>
      <c r="GM779" s="675">
        <v>0</v>
      </c>
      <c r="GN779" s="549">
        <v>0</v>
      </c>
      <c r="GO779" s="675">
        <v>0</v>
      </c>
      <c r="GP779" s="549">
        <f t="shared" si="16853"/>
        <v>0</v>
      </c>
      <c r="GQ779" s="675">
        <f t="shared" si="16854"/>
        <v>0</v>
      </c>
      <c r="GR779" s="74">
        <f t="shared" si="16855"/>
        <v>0</v>
      </c>
      <c r="GS779" s="74">
        <f t="shared" si="16856"/>
        <v>0</v>
      </c>
      <c r="GT779" s="568">
        <f t="shared" si="16857"/>
        <v>0</v>
      </c>
      <c r="GU779" s="275"/>
      <c r="GV779" s="275"/>
      <c r="GW779" s="588"/>
      <c r="GX779" s="588"/>
      <c r="GY779" s="275"/>
      <c r="GZ779" s="275"/>
      <c r="HA779" s="275"/>
      <c r="HB779" s="275"/>
      <c r="HC779" s="275"/>
      <c r="HD779" s="275"/>
      <c r="HE779" s="275"/>
      <c r="HF779" s="275"/>
      <c r="HG779" s="74">
        <f t="shared" si="16858"/>
        <v>0</v>
      </c>
      <c r="HH779" s="89">
        <v>0</v>
      </c>
      <c r="HI779" s="157">
        <v>0</v>
      </c>
      <c r="HJ779" s="89">
        <v>0</v>
      </c>
      <c r="HK779" s="157">
        <v>0</v>
      </c>
      <c r="HL779" s="89">
        <v>0</v>
      </c>
      <c r="HM779" s="157">
        <v>0</v>
      </c>
      <c r="HN779" s="89">
        <v>0</v>
      </c>
      <c r="HO779" s="157">
        <v>0</v>
      </c>
      <c r="HP779" s="89">
        <v>0</v>
      </c>
      <c r="HQ779" s="157">
        <v>0</v>
      </c>
      <c r="HR779" s="89">
        <v>0</v>
      </c>
      <c r="HS779" s="157">
        <v>0</v>
      </c>
      <c r="HT779" s="89">
        <v>0</v>
      </c>
      <c r="HU779" s="157">
        <v>0</v>
      </c>
      <c r="HV779" s="89">
        <v>0</v>
      </c>
      <c r="HW779" s="157">
        <v>0</v>
      </c>
      <c r="HX779" s="89">
        <v>0</v>
      </c>
      <c r="HY779" s="157">
        <v>0</v>
      </c>
      <c r="HZ779" s="89">
        <v>0</v>
      </c>
      <c r="IA779" s="157">
        <v>0</v>
      </c>
      <c r="IB779" s="89">
        <v>0</v>
      </c>
      <c r="IC779" s="157">
        <v>0</v>
      </c>
      <c r="ID779" s="89">
        <v>0</v>
      </c>
      <c r="IE779" s="157">
        <v>0</v>
      </c>
      <c r="IF779" s="717">
        <f t="shared" si="16859"/>
        <v>0</v>
      </c>
      <c r="IG779" s="263">
        <f t="shared" si="16860"/>
        <v>0</v>
      </c>
      <c r="IH779" s="718">
        <f t="shared" si="16861"/>
        <v>0</v>
      </c>
      <c r="II779" s="89">
        <v>0</v>
      </c>
      <c r="IJ779" s="89">
        <f t="shared" si="16862"/>
        <v>0</v>
      </c>
      <c r="IK779" s="89">
        <f t="shared" si="16863"/>
        <v>0</v>
      </c>
      <c r="IL779" s="89">
        <v>0</v>
      </c>
      <c r="IM779" s="89">
        <f t="shared" si="16864"/>
        <v>0</v>
      </c>
      <c r="IN779" s="89">
        <f t="shared" si="16865"/>
        <v>0</v>
      </c>
      <c r="IO779" s="89">
        <v>0</v>
      </c>
      <c r="IP779" s="89">
        <f t="shared" si="16866"/>
        <v>0</v>
      </c>
      <c r="IQ779" s="89">
        <f t="shared" si="16867"/>
        <v>0</v>
      </c>
      <c r="IR779" s="89">
        <v>0</v>
      </c>
      <c r="IS779" s="89">
        <f t="shared" si="16868"/>
        <v>0</v>
      </c>
      <c r="IT779" s="89">
        <f t="shared" si="16869"/>
        <v>0</v>
      </c>
      <c r="IU779" s="89">
        <v>0</v>
      </c>
      <c r="IV779" s="89">
        <f t="shared" si="16870"/>
        <v>0</v>
      </c>
      <c r="IW779" s="89">
        <f t="shared" si="16871"/>
        <v>0</v>
      </c>
      <c r="IX779" s="89">
        <v>0</v>
      </c>
      <c r="IY779" s="89">
        <f t="shared" si="16872"/>
        <v>0</v>
      </c>
      <c r="IZ779" s="89">
        <f t="shared" si="16873"/>
        <v>0</v>
      </c>
      <c r="JA779" s="89">
        <v>0</v>
      </c>
      <c r="JB779" s="89">
        <f t="shared" si="16874"/>
        <v>0</v>
      </c>
      <c r="JC779" s="89">
        <f t="shared" si="16875"/>
        <v>0</v>
      </c>
      <c r="JD779" s="89">
        <v>0</v>
      </c>
      <c r="JE779" s="89">
        <f t="shared" si="16876"/>
        <v>0</v>
      </c>
      <c r="JF779" s="89">
        <f t="shared" si="16877"/>
        <v>0</v>
      </c>
      <c r="JG779" s="89">
        <v>0</v>
      </c>
      <c r="JH779" s="89">
        <f t="shared" si="16878"/>
        <v>0</v>
      </c>
      <c r="JI779" s="89">
        <f t="shared" si="16879"/>
        <v>0</v>
      </c>
      <c r="JJ779" s="89">
        <v>0</v>
      </c>
      <c r="JK779" s="89">
        <f t="shared" si="16880"/>
        <v>0</v>
      </c>
      <c r="JL779" s="89">
        <f t="shared" si="16881"/>
        <v>0</v>
      </c>
      <c r="JM779" s="89">
        <v>0</v>
      </c>
      <c r="JN779" s="89">
        <f t="shared" si="16882"/>
        <v>0</v>
      </c>
      <c r="JO779" s="89">
        <f t="shared" si="16883"/>
        <v>0</v>
      </c>
      <c r="JP779" s="89">
        <v>0</v>
      </c>
      <c r="JQ779" s="89">
        <f t="shared" ref="JQ779:JR779" si="16899">JP779</f>
        <v>0</v>
      </c>
      <c r="JR779" s="89">
        <f t="shared" si="16899"/>
        <v>0</v>
      </c>
      <c r="JS779" s="74">
        <f>HG779-IF779</f>
        <v>0</v>
      </c>
      <c r="JT779" s="382">
        <f>GS779-IF779</f>
        <v>0</v>
      </c>
      <c r="JU779" s="665"/>
      <c r="JV779" s="524"/>
      <c r="JW779" s="525"/>
      <c r="JX779" s="549">
        <f t="shared" si="16894"/>
        <v>0</v>
      </c>
      <c r="JY779" s="549">
        <f t="shared" si="16894"/>
        <v>0</v>
      </c>
      <c r="JZ779" s="581">
        <f t="shared" si="16895"/>
        <v>0</v>
      </c>
      <c r="KA779" s="581">
        <f t="shared" si="16895"/>
        <v>0</v>
      </c>
      <c r="KB779" s="566">
        <f t="shared" si="15406"/>
        <v>0</v>
      </c>
      <c r="KC779" s="709">
        <f t="shared" si="16464"/>
        <v>0</v>
      </c>
      <c r="KD779" s="494"/>
      <c r="KE779" s="494"/>
      <c r="KF779" s="494"/>
      <c r="KG779" s="494"/>
      <c r="KH779" s="271"/>
      <c r="KI779" s="271"/>
      <c r="KJ779" s="271"/>
      <c r="KK779" s="271"/>
    </row>
    <row r="780" spans="1:297" s="10" customFormat="1" ht="12.75" hidden="1" customHeight="1">
      <c r="A780" s="612" t="s">
        <v>1103</v>
      </c>
      <c r="B780" s="512"/>
      <c r="C780" s="74">
        <v>0</v>
      </c>
      <c r="D780" s="549">
        <v>0</v>
      </c>
      <c r="E780" s="675">
        <v>0</v>
      </c>
      <c r="F780" s="549">
        <v>0</v>
      </c>
      <c r="G780" s="675">
        <v>0</v>
      </c>
      <c r="H780" s="549">
        <v>0</v>
      </c>
      <c r="I780" s="675">
        <v>0</v>
      </c>
      <c r="J780" s="549">
        <v>0</v>
      </c>
      <c r="K780" s="675">
        <v>0</v>
      </c>
      <c r="L780" s="549">
        <v>0</v>
      </c>
      <c r="M780" s="675">
        <v>0</v>
      </c>
      <c r="N780" s="549">
        <v>0</v>
      </c>
      <c r="O780" s="675">
        <v>0</v>
      </c>
      <c r="P780" s="549">
        <v>0</v>
      </c>
      <c r="Q780" s="675">
        <v>0</v>
      </c>
      <c r="R780" s="549">
        <v>0</v>
      </c>
      <c r="S780" s="675">
        <v>0</v>
      </c>
      <c r="T780" s="549">
        <v>0</v>
      </c>
      <c r="U780" s="675">
        <v>0</v>
      </c>
      <c r="V780" s="549">
        <v>0</v>
      </c>
      <c r="W780" s="675">
        <v>0</v>
      </c>
      <c r="X780" s="549">
        <v>0</v>
      </c>
      <c r="Y780" s="675">
        <v>0</v>
      </c>
      <c r="Z780" s="549">
        <v>0</v>
      </c>
      <c r="AA780" s="675">
        <v>0</v>
      </c>
      <c r="AB780" s="549">
        <v>0</v>
      </c>
      <c r="AC780" s="675">
        <v>0</v>
      </c>
      <c r="AD780" s="549">
        <v>0</v>
      </c>
      <c r="AE780" s="675">
        <v>0</v>
      </c>
      <c r="AF780" s="549">
        <v>0</v>
      </c>
      <c r="AG780" s="675">
        <v>0</v>
      </c>
      <c r="AH780" s="549">
        <v>0</v>
      </c>
      <c r="AI780" s="675">
        <v>0</v>
      </c>
      <c r="AJ780" s="549">
        <v>0</v>
      </c>
      <c r="AK780" s="675">
        <v>0</v>
      </c>
      <c r="AL780" s="549">
        <v>0</v>
      </c>
      <c r="AM780" s="675">
        <v>0</v>
      </c>
      <c r="AN780" s="549">
        <v>0</v>
      </c>
      <c r="AO780" s="675">
        <v>0</v>
      </c>
      <c r="AP780" s="549">
        <v>0</v>
      </c>
      <c r="AQ780" s="675">
        <v>0</v>
      </c>
      <c r="AR780" s="549">
        <v>0</v>
      </c>
      <c r="AS780" s="675">
        <v>0</v>
      </c>
      <c r="AT780" s="549">
        <v>0</v>
      </c>
      <c r="AU780" s="675">
        <v>0</v>
      </c>
      <c r="AV780" s="549">
        <v>0</v>
      </c>
      <c r="AW780" s="675">
        <v>0</v>
      </c>
      <c r="AX780" s="549">
        <v>0</v>
      </c>
      <c r="AY780" s="675">
        <v>0</v>
      </c>
      <c r="AZ780" s="549">
        <v>0</v>
      </c>
      <c r="BA780" s="675">
        <v>0</v>
      </c>
      <c r="BB780" s="549">
        <v>0</v>
      </c>
      <c r="BC780" s="675">
        <v>0</v>
      </c>
      <c r="BD780" s="549">
        <v>0</v>
      </c>
      <c r="BE780" s="675">
        <v>0</v>
      </c>
      <c r="BF780" s="549">
        <v>0</v>
      </c>
      <c r="BG780" s="675">
        <v>0</v>
      </c>
      <c r="BH780" s="549">
        <v>0</v>
      </c>
      <c r="BI780" s="675">
        <v>0</v>
      </c>
      <c r="BJ780" s="549">
        <v>0</v>
      </c>
      <c r="BK780" s="675">
        <v>0</v>
      </c>
      <c r="BL780" s="549">
        <v>0</v>
      </c>
      <c r="BM780" s="675">
        <v>0</v>
      </c>
      <c r="BN780" s="549">
        <v>0</v>
      </c>
      <c r="BO780" s="675">
        <v>0</v>
      </c>
      <c r="BP780" s="549">
        <v>0</v>
      </c>
      <c r="BQ780" s="675">
        <v>0</v>
      </c>
      <c r="BR780" s="549">
        <v>0</v>
      </c>
      <c r="BS780" s="675">
        <v>0</v>
      </c>
      <c r="BT780" s="549">
        <v>0</v>
      </c>
      <c r="BU780" s="675">
        <v>0</v>
      </c>
      <c r="BV780" s="549">
        <v>0</v>
      </c>
      <c r="BW780" s="675">
        <v>0</v>
      </c>
      <c r="BX780" s="549">
        <v>0</v>
      </c>
      <c r="BY780" s="675">
        <v>0</v>
      </c>
      <c r="BZ780" s="549">
        <v>0</v>
      </c>
      <c r="CA780" s="675">
        <v>0</v>
      </c>
      <c r="CB780" s="549">
        <v>0</v>
      </c>
      <c r="CC780" s="675">
        <v>0</v>
      </c>
      <c r="CD780" s="549">
        <v>0</v>
      </c>
      <c r="CE780" s="675">
        <v>0</v>
      </c>
      <c r="CF780" s="549">
        <v>0</v>
      </c>
      <c r="CG780" s="675">
        <v>0</v>
      </c>
      <c r="CH780" s="549">
        <v>0</v>
      </c>
      <c r="CI780" s="675">
        <v>0</v>
      </c>
      <c r="CJ780" s="549">
        <v>0</v>
      </c>
      <c r="CK780" s="675">
        <v>0</v>
      </c>
      <c r="CL780" s="549">
        <v>0</v>
      </c>
      <c r="CM780" s="675">
        <v>0</v>
      </c>
      <c r="CN780" s="549">
        <v>0</v>
      </c>
      <c r="CO780" s="675">
        <v>0</v>
      </c>
      <c r="CP780" s="549">
        <v>0</v>
      </c>
      <c r="CQ780" s="675">
        <v>0</v>
      </c>
      <c r="CR780" s="549">
        <v>0</v>
      </c>
      <c r="CS780" s="675">
        <v>0</v>
      </c>
      <c r="CT780" s="549">
        <v>0</v>
      </c>
      <c r="CU780" s="675">
        <v>0</v>
      </c>
      <c r="CV780" s="549">
        <v>0</v>
      </c>
      <c r="CW780" s="675">
        <v>0</v>
      </c>
      <c r="CX780" s="549">
        <v>0</v>
      </c>
      <c r="CY780" s="675">
        <v>0</v>
      </c>
      <c r="CZ780" s="549">
        <v>0</v>
      </c>
      <c r="DA780" s="675">
        <v>0</v>
      </c>
      <c r="DB780" s="549">
        <v>0</v>
      </c>
      <c r="DC780" s="675">
        <v>0</v>
      </c>
      <c r="DD780" s="549">
        <v>0</v>
      </c>
      <c r="DE780" s="675">
        <v>0</v>
      </c>
      <c r="DF780" s="549">
        <v>0</v>
      </c>
      <c r="DG780" s="675">
        <v>0</v>
      </c>
      <c r="DH780" s="549">
        <v>0</v>
      </c>
      <c r="DI780" s="675">
        <v>0</v>
      </c>
      <c r="DJ780" s="549">
        <v>0</v>
      </c>
      <c r="DK780" s="675">
        <v>0</v>
      </c>
      <c r="DL780" s="549">
        <v>0</v>
      </c>
      <c r="DM780" s="675">
        <v>0</v>
      </c>
      <c r="DN780" s="549">
        <v>0</v>
      </c>
      <c r="DO780" s="675">
        <v>0</v>
      </c>
      <c r="DP780" s="549">
        <v>0</v>
      </c>
      <c r="DQ780" s="675">
        <v>0</v>
      </c>
      <c r="DR780" s="549">
        <v>0</v>
      </c>
      <c r="DS780" s="675">
        <v>0</v>
      </c>
      <c r="DT780" s="549">
        <v>0</v>
      </c>
      <c r="DU780" s="675">
        <v>0</v>
      </c>
      <c r="DV780" s="549">
        <v>0</v>
      </c>
      <c r="DW780" s="675">
        <v>0</v>
      </c>
      <c r="DX780" s="549">
        <v>0</v>
      </c>
      <c r="DY780" s="675">
        <v>0</v>
      </c>
      <c r="DZ780" s="549">
        <v>0</v>
      </c>
      <c r="EA780" s="675">
        <v>0</v>
      </c>
      <c r="EB780" s="549">
        <v>0</v>
      </c>
      <c r="EC780" s="675">
        <v>0</v>
      </c>
      <c r="ED780" s="549">
        <v>0</v>
      </c>
      <c r="EE780" s="675">
        <v>0</v>
      </c>
      <c r="EF780" s="549">
        <v>0</v>
      </c>
      <c r="EG780" s="675">
        <v>0</v>
      </c>
      <c r="EH780" s="549">
        <v>0</v>
      </c>
      <c r="EI780" s="675">
        <v>0</v>
      </c>
      <c r="EJ780" s="549">
        <v>0</v>
      </c>
      <c r="EK780" s="675">
        <v>0</v>
      </c>
      <c r="EL780" s="549">
        <v>0</v>
      </c>
      <c r="EM780" s="675">
        <v>0</v>
      </c>
      <c r="EN780" s="549">
        <v>0</v>
      </c>
      <c r="EO780" s="675">
        <v>0</v>
      </c>
      <c r="EP780" s="549">
        <v>0</v>
      </c>
      <c r="EQ780" s="675">
        <v>0</v>
      </c>
      <c r="ER780" s="549">
        <v>0</v>
      </c>
      <c r="ES780" s="675">
        <v>0</v>
      </c>
      <c r="ET780" s="549">
        <v>0</v>
      </c>
      <c r="EU780" s="675">
        <v>0</v>
      </c>
      <c r="EV780" s="549">
        <v>0</v>
      </c>
      <c r="EW780" s="675">
        <v>0</v>
      </c>
      <c r="EX780" s="549">
        <v>0</v>
      </c>
      <c r="EY780" s="675">
        <v>0</v>
      </c>
      <c r="EZ780" s="549">
        <v>0</v>
      </c>
      <c r="FA780" s="675">
        <v>0</v>
      </c>
      <c r="FB780" s="549">
        <v>0</v>
      </c>
      <c r="FC780" s="675">
        <v>0</v>
      </c>
      <c r="FD780" s="549">
        <v>0</v>
      </c>
      <c r="FE780" s="675">
        <v>0</v>
      </c>
      <c r="FF780" s="549">
        <v>0</v>
      </c>
      <c r="FG780" s="675">
        <v>0</v>
      </c>
      <c r="FH780" s="549">
        <v>0</v>
      </c>
      <c r="FI780" s="675">
        <v>0</v>
      </c>
      <c r="FJ780" s="549">
        <v>0</v>
      </c>
      <c r="FK780" s="675">
        <v>0</v>
      </c>
      <c r="FL780" s="549">
        <v>0</v>
      </c>
      <c r="FM780" s="675">
        <v>0</v>
      </c>
      <c r="FN780" s="549">
        <v>0</v>
      </c>
      <c r="FO780" s="675">
        <v>0</v>
      </c>
      <c r="FP780" s="549">
        <v>0</v>
      </c>
      <c r="FQ780" s="675">
        <v>0</v>
      </c>
      <c r="FR780" s="549">
        <v>0</v>
      </c>
      <c r="FS780" s="675">
        <v>0</v>
      </c>
      <c r="FT780" s="549">
        <v>0</v>
      </c>
      <c r="FU780" s="675">
        <v>0</v>
      </c>
      <c r="FV780" s="549">
        <v>0</v>
      </c>
      <c r="FW780" s="675">
        <v>0</v>
      </c>
      <c r="FX780" s="549">
        <v>0</v>
      </c>
      <c r="FY780" s="675">
        <v>0</v>
      </c>
      <c r="FZ780" s="549">
        <v>0</v>
      </c>
      <c r="GA780" s="675">
        <v>0</v>
      </c>
      <c r="GB780" s="549">
        <v>0</v>
      </c>
      <c r="GC780" s="675">
        <v>0</v>
      </c>
      <c r="GD780" s="549">
        <v>0</v>
      </c>
      <c r="GE780" s="675">
        <v>0</v>
      </c>
      <c r="GF780" s="549">
        <v>0</v>
      </c>
      <c r="GG780" s="675">
        <v>0</v>
      </c>
      <c r="GH780" s="549">
        <v>0</v>
      </c>
      <c r="GI780" s="675">
        <v>0</v>
      </c>
      <c r="GJ780" s="549">
        <v>0</v>
      </c>
      <c r="GK780" s="675">
        <v>0</v>
      </c>
      <c r="GL780" s="549">
        <v>0</v>
      </c>
      <c r="GM780" s="675">
        <v>0</v>
      </c>
      <c r="GN780" s="549">
        <v>0</v>
      </c>
      <c r="GO780" s="675">
        <v>0</v>
      </c>
      <c r="GP780" s="549">
        <f t="shared" si="16853"/>
        <v>0</v>
      </c>
      <c r="GQ780" s="675">
        <f t="shared" si="16854"/>
        <v>0</v>
      </c>
      <c r="GR780" s="74">
        <f t="shared" si="16855"/>
        <v>0</v>
      </c>
      <c r="GS780" s="74">
        <f t="shared" si="16856"/>
        <v>0</v>
      </c>
      <c r="GT780" s="568">
        <f t="shared" si="16857"/>
        <v>0</v>
      </c>
      <c r="GU780" s="275"/>
      <c r="GV780" s="275"/>
      <c r="GW780" s="588"/>
      <c r="GX780" s="588"/>
      <c r="GY780" s="275"/>
      <c r="GZ780" s="275"/>
      <c r="HA780" s="275"/>
      <c r="HB780" s="275"/>
      <c r="HC780" s="275"/>
      <c r="HD780" s="275"/>
      <c r="HE780" s="275"/>
      <c r="HF780" s="275"/>
      <c r="HG780" s="74">
        <f t="shared" si="16858"/>
        <v>0</v>
      </c>
      <c r="HH780" s="89">
        <v>0</v>
      </c>
      <c r="HI780" s="157">
        <v>0</v>
      </c>
      <c r="HJ780" s="89">
        <v>0</v>
      </c>
      <c r="HK780" s="157">
        <v>0</v>
      </c>
      <c r="HL780" s="89">
        <v>0</v>
      </c>
      <c r="HM780" s="157">
        <v>0</v>
      </c>
      <c r="HN780" s="89">
        <v>0</v>
      </c>
      <c r="HO780" s="157">
        <v>0</v>
      </c>
      <c r="HP780" s="89">
        <v>0</v>
      </c>
      <c r="HQ780" s="157">
        <v>0</v>
      </c>
      <c r="HR780" s="89">
        <v>0</v>
      </c>
      <c r="HS780" s="157">
        <v>0</v>
      </c>
      <c r="HT780" s="89">
        <v>0</v>
      </c>
      <c r="HU780" s="157">
        <v>0</v>
      </c>
      <c r="HV780" s="89">
        <v>0</v>
      </c>
      <c r="HW780" s="157">
        <v>0</v>
      </c>
      <c r="HX780" s="89">
        <v>0</v>
      </c>
      <c r="HY780" s="157">
        <v>0</v>
      </c>
      <c r="HZ780" s="89">
        <v>0</v>
      </c>
      <c r="IA780" s="157">
        <v>0</v>
      </c>
      <c r="IB780" s="89">
        <v>0</v>
      </c>
      <c r="IC780" s="157">
        <v>0</v>
      </c>
      <c r="ID780" s="89">
        <v>0</v>
      </c>
      <c r="IE780" s="157">
        <v>0</v>
      </c>
      <c r="IF780" s="717">
        <f t="shared" si="16859"/>
        <v>0</v>
      </c>
      <c r="IG780" s="263">
        <f t="shared" si="16860"/>
        <v>0</v>
      </c>
      <c r="IH780" s="718">
        <f t="shared" si="16861"/>
        <v>0</v>
      </c>
      <c r="II780" s="89">
        <v>0</v>
      </c>
      <c r="IJ780" s="89">
        <f t="shared" si="16862"/>
        <v>0</v>
      </c>
      <c r="IK780" s="89">
        <f t="shared" si="16863"/>
        <v>0</v>
      </c>
      <c r="IL780" s="89">
        <v>0</v>
      </c>
      <c r="IM780" s="89">
        <f t="shared" si="16864"/>
        <v>0</v>
      </c>
      <c r="IN780" s="89">
        <f t="shared" si="16865"/>
        <v>0</v>
      </c>
      <c r="IO780" s="89">
        <v>0</v>
      </c>
      <c r="IP780" s="89">
        <f t="shared" si="16866"/>
        <v>0</v>
      </c>
      <c r="IQ780" s="89">
        <f t="shared" si="16867"/>
        <v>0</v>
      </c>
      <c r="IR780" s="89">
        <v>0</v>
      </c>
      <c r="IS780" s="89">
        <f t="shared" si="16868"/>
        <v>0</v>
      </c>
      <c r="IT780" s="89">
        <f t="shared" si="16869"/>
        <v>0</v>
      </c>
      <c r="IU780" s="89">
        <v>0</v>
      </c>
      <c r="IV780" s="89">
        <f t="shared" si="16870"/>
        <v>0</v>
      </c>
      <c r="IW780" s="89">
        <f t="shared" si="16871"/>
        <v>0</v>
      </c>
      <c r="IX780" s="89">
        <v>0</v>
      </c>
      <c r="IY780" s="89">
        <f t="shared" si="16872"/>
        <v>0</v>
      </c>
      <c r="IZ780" s="89">
        <f t="shared" si="16873"/>
        <v>0</v>
      </c>
      <c r="JA780" s="89">
        <v>0</v>
      </c>
      <c r="JB780" s="89">
        <f t="shared" si="16874"/>
        <v>0</v>
      </c>
      <c r="JC780" s="89">
        <f t="shared" si="16875"/>
        <v>0</v>
      </c>
      <c r="JD780" s="89">
        <v>0</v>
      </c>
      <c r="JE780" s="89">
        <f t="shared" si="16876"/>
        <v>0</v>
      </c>
      <c r="JF780" s="89">
        <f t="shared" si="16877"/>
        <v>0</v>
      </c>
      <c r="JG780" s="89">
        <v>0</v>
      </c>
      <c r="JH780" s="89">
        <f t="shared" si="16878"/>
        <v>0</v>
      </c>
      <c r="JI780" s="89">
        <f t="shared" si="16879"/>
        <v>0</v>
      </c>
      <c r="JJ780" s="89">
        <v>0</v>
      </c>
      <c r="JK780" s="89">
        <f t="shared" si="16880"/>
        <v>0</v>
      </c>
      <c r="JL780" s="89">
        <f t="shared" si="16881"/>
        <v>0</v>
      </c>
      <c r="JM780" s="89">
        <v>0</v>
      </c>
      <c r="JN780" s="89">
        <f t="shared" si="16882"/>
        <v>0</v>
      </c>
      <c r="JO780" s="89">
        <f t="shared" si="16883"/>
        <v>0</v>
      </c>
      <c r="JP780" s="89">
        <v>0</v>
      </c>
      <c r="JQ780" s="89">
        <f t="shared" ref="JQ780:JR780" si="16900">JP780</f>
        <v>0</v>
      </c>
      <c r="JR780" s="89">
        <f t="shared" si="16900"/>
        <v>0</v>
      </c>
      <c r="JS780" s="74">
        <f>HG780-IF780</f>
        <v>0</v>
      </c>
      <c r="JT780" s="382">
        <f>GS780-IF780</f>
        <v>0</v>
      </c>
      <c r="JU780" s="665"/>
      <c r="JV780" s="524"/>
      <c r="JW780" s="525"/>
      <c r="JX780" s="549">
        <f t="shared" si="16894"/>
        <v>0</v>
      </c>
      <c r="JY780" s="549">
        <f t="shared" si="16894"/>
        <v>0</v>
      </c>
      <c r="JZ780" s="581">
        <f t="shared" si="16895"/>
        <v>0</v>
      </c>
      <c r="KA780" s="581">
        <f t="shared" si="16895"/>
        <v>0</v>
      </c>
      <c r="KB780" s="566">
        <f t="shared" si="15406"/>
        <v>0</v>
      </c>
      <c r="KC780" s="709">
        <f t="shared" si="16464"/>
        <v>0</v>
      </c>
      <c r="KD780" s="494"/>
      <c r="KE780" s="494"/>
      <c r="KF780" s="494"/>
      <c r="KG780" s="494"/>
      <c r="KH780" s="271"/>
      <c r="KI780" s="271"/>
      <c r="KJ780" s="271"/>
      <c r="KK780" s="271"/>
    </row>
    <row r="781" spans="1:297" s="10" customFormat="1">
      <c r="A781" s="612" t="s">
        <v>515</v>
      </c>
      <c r="B781" s="512" t="s">
        <v>970</v>
      </c>
      <c r="C781" s="74">
        <v>689000</v>
      </c>
      <c r="D781" s="549">
        <v>0</v>
      </c>
      <c r="E781" s="675">
        <v>0</v>
      </c>
      <c r="F781" s="549">
        <v>0</v>
      </c>
      <c r="G781" s="675">
        <v>0</v>
      </c>
      <c r="H781" s="549">
        <v>0</v>
      </c>
      <c r="I781" s="675">
        <v>0</v>
      </c>
      <c r="J781" s="549">
        <v>0</v>
      </c>
      <c r="K781" s="675">
        <v>0</v>
      </c>
      <c r="L781" s="549">
        <v>0</v>
      </c>
      <c r="M781" s="675">
        <v>0</v>
      </c>
      <c r="N781" s="549">
        <v>0</v>
      </c>
      <c r="O781" s="675">
        <v>0</v>
      </c>
      <c r="P781" s="549">
        <v>0</v>
      </c>
      <c r="Q781" s="675">
        <v>0</v>
      </c>
      <c r="R781" s="549">
        <v>0</v>
      </c>
      <c r="S781" s="675">
        <v>0</v>
      </c>
      <c r="T781" s="549">
        <v>0</v>
      </c>
      <c r="U781" s="675">
        <v>0</v>
      </c>
      <c r="V781" s="549">
        <v>0</v>
      </c>
      <c r="W781" s="675">
        <v>0</v>
      </c>
      <c r="X781" s="549">
        <v>0</v>
      </c>
      <c r="Y781" s="675">
        <v>0</v>
      </c>
      <c r="Z781" s="549">
        <v>0</v>
      </c>
      <c r="AA781" s="675">
        <v>0</v>
      </c>
      <c r="AB781" s="549">
        <v>0</v>
      </c>
      <c r="AC781" s="675">
        <v>0</v>
      </c>
      <c r="AD781" s="549">
        <v>0</v>
      </c>
      <c r="AE781" s="675">
        <v>0</v>
      </c>
      <c r="AF781" s="549">
        <v>0</v>
      </c>
      <c r="AG781" s="675">
        <v>0</v>
      </c>
      <c r="AH781" s="549">
        <v>0</v>
      </c>
      <c r="AI781" s="675">
        <v>0</v>
      </c>
      <c r="AJ781" s="549">
        <v>0</v>
      </c>
      <c r="AK781" s="675">
        <v>0</v>
      </c>
      <c r="AL781" s="549">
        <v>0</v>
      </c>
      <c r="AM781" s="675">
        <v>0</v>
      </c>
      <c r="AN781" s="549">
        <v>0</v>
      </c>
      <c r="AO781" s="675">
        <v>0</v>
      </c>
      <c r="AP781" s="549">
        <v>0</v>
      </c>
      <c r="AQ781" s="675">
        <v>0</v>
      </c>
      <c r="AR781" s="549">
        <v>0</v>
      </c>
      <c r="AS781" s="675">
        <v>0</v>
      </c>
      <c r="AT781" s="549">
        <v>0</v>
      </c>
      <c r="AU781" s="675">
        <v>0</v>
      </c>
      <c r="AV781" s="549">
        <v>0</v>
      </c>
      <c r="AW781" s="675">
        <v>0</v>
      </c>
      <c r="AX781" s="549">
        <v>0</v>
      </c>
      <c r="AY781" s="675">
        <v>0</v>
      </c>
      <c r="AZ781" s="549">
        <v>0</v>
      </c>
      <c r="BA781" s="675">
        <v>0</v>
      </c>
      <c r="BB781" s="549">
        <v>0</v>
      </c>
      <c r="BC781" s="675">
        <v>0</v>
      </c>
      <c r="BD781" s="549">
        <v>0</v>
      </c>
      <c r="BE781" s="675">
        <v>0</v>
      </c>
      <c r="BF781" s="549">
        <v>0</v>
      </c>
      <c r="BG781" s="675">
        <v>0</v>
      </c>
      <c r="BH781" s="549">
        <v>0</v>
      </c>
      <c r="BI781" s="675">
        <v>0</v>
      </c>
      <c r="BJ781" s="549">
        <v>0</v>
      </c>
      <c r="BK781" s="675">
        <v>0</v>
      </c>
      <c r="BL781" s="549">
        <v>0</v>
      </c>
      <c r="BM781" s="675">
        <v>0</v>
      </c>
      <c r="BN781" s="549">
        <v>0</v>
      </c>
      <c r="BO781" s="675">
        <v>0</v>
      </c>
      <c r="BP781" s="549">
        <v>0</v>
      </c>
      <c r="BQ781" s="675">
        <v>0</v>
      </c>
      <c r="BR781" s="549">
        <v>0</v>
      </c>
      <c r="BS781" s="675">
        <v>0</v>
      </c>
      <c r="BT781" s="549">
        <v>0</v>
      </c>
      <c r="BU781" s="675">
        <v>0</v>
      </c>
      <c r="BV781" s="549">
        <v>0</v>
      </c>
      <c r="BW781" s="675">
        <v>0</v>
      </c>
      <c r="BX781" s="549">
        <v>0</v>
      </c>
      <c r="BY781" s="675">
        <v>0</v>
      </c>
      <c r="BZ781" s="549">
        <v>0</v>
      </c>
      <c r="CA781" s="675">
        <v>0</v>
      </c>
      <c r="CB781" s="549">
        <v>0</v>
      </c>
      <c r="CC781" s="675">
        <v>0</v>
      </c>
      <c r="CD781" s="549">
        <v>0</v>
      </c>
      <c r="CE781" s="675">
        <v>0</v>
      </c>
      <c r="CF781" s="549">
        <v>0</v>
      </c>
      <c r="CG781" s="675">
        <v>0</v>
      </c>
      <c r="CH781" s="549">
        <v>0</v>
      </c>
      <c r="CI781" s="675">
        <v>0</v>
      </c>
      <c r="CJ781" s="549">
        <v>0</v>
      </c>
      <c r="CK781" s="675">
        <v>0</v>
      </c>
      <c r="CL781" s="549">
        <v>0</v>
      </c>
      <c r="CM781" s="675">
        <v>0</v>
      </c>
      <c r="CN781" s="549">
        <v>0</v>
      </c>
      <c r="CO781" s="675">
        <v>0</v>
      </c>
      <c r="CP781" s="549">
        <v>0</v>
      </c>
      <c r="CQ781" s="675">
        <v>0</v>
      </c>
      <c r="CR781" s="549">
        <v>0</v>
      </c>
      <c r="CS781" s="675">
        <v>0</v>
      </c>
      <c r="CT781" s="549">
        <v>0</v>
      </c>
      <c r="CU781" s="675">
        <v>0</v>
      </c>
      <c r="CV781" s="549">
        <v>0</v>
      </c>
      <c r="CW781" s="675">
        <v>0</v>
      </c>
      <c r="CX781" s="549">
        <v>0</v>
      </c>
      <c r="CY781" s="675">
        <v>0</v>
      </c>
      <c r="CZ781" s="549">
        <v>0</v>
      </c>
      <c r="DA781" s="675">
        <v>0</v>
      </c>
      <c r="DB781" s="549">
        <v>0</v>
      </c>
      <c r="DC781" s="675">
        <v>0</v>
      </c>
      <c r="DD781" s="549">
        <v>0</v>
      </c>
      <c r="DE781" s="675">
        <v>0</v>
      </c>
      <c r="DF781" s="549">
        <v>0</v>
      </c>
      <c r="DG781" s="675">
        <v>0</v>
      </c>
      <c r="DH781" s="549">
        <v>0</v>
      </c>
      <c r="DI781" s="675">
        <v>0</v>
      </c>
      <c r="DJ781" s="549">
        <v>0</v>
      </c>
      <c r="DK781" s="675">
        <v>0</v>
      </c>
      <c r="DL781" s="549">
        <v>0</v>
      </c>
      <c r="DM781" s="675">
        <v>-30000</v>
      </c>
      <c r="DN781" s="549">
        <v>0</v>
      </c>
      <c r="DO781" s="675">
        <v>0</v>
      </c>
      <c r="DP781" s="549">
        <v>0</v>
      </c>
      <c r="DQ781" s="675">
        <v>0</v>
      </c>
      <c r="DR781" s="549">
        <v>0</v>
      </c>
      <c r="DS781" s="675">
        <v>0</v>
      </c>
      <c r="DT781" s="549">
        <v>0</v>
      </c>
      <c r="DU781" s="675">
        <v>0</v>
      </c>
      <c r="DV781" s="549">
        <v>0</v>
      </c>
      <c r="DW781" s="675">
        <v>-22000</v>
      </c>
      <c r="DX781" s="549">
        <v>0</v>
      </c>
      <c r="DY781" s="675">
        <v>0</v>
      </c>
      <c r="DZ781" s="549">
        <v>0</v>
      </c>
      <c r="EA781" s="675">
        <v>0</v>
      </c>
      <c r="EB781" s="549">
        <v>0</v>
      </c>
      <c r="EC781" s="675">
        <v>0</v>
      </c>
      <c r="ED781" s="549">
        <v>0</v>
      </c>
      <c r="EE781" s="675">
        <v>0</v>
      </c>
      <c r="EF781" s="549">
        <v>0</v>
      </c>
      <c r="EG781" s="675">
        <v>0</v>
      </c>
      <c r="EH781" s="549">
        <v>0</v>
      </c>
      <c r="EI781" s="675">
        <v>0</v>
      </c>
      <c r="EJ781" s="549">
        <v>0</v>
      </c>
      <c r="EK781" s="675">
        <v>0</v>
      </c>
      <c r="EL781" s="549">
        <v>0</v>
      </c>
      <c r="EM781" s="675">
        <v>0</v>
      </c>
      <c r="EN781" s="549">
        <v>0</v>
      </c>
      <c r="EO781" s="675">
        <v>-49219</v>
      </c>
      <c r="EP781" s="549">
        <v>0</v>
      </c>
      <c r="EQ781" s="675">
        <v>0</v>
      </c>
      <c r="ER781" s="549">
        <v>0</v>
      </c>
      <c r="ES781" s="675">
        <v>0</v>
      </c>
      <c r="ET781" s="549">
        <v>0</v>
      </c>
      <c r="EU781" s="675">
        <v>0</v>
      </c>
      <c r="EV781" s="549">
        <v>0</v>
      </c>
      <c r="EW781" s="675">
        <v>0</v>
      </c>
      <c r="EX781" s="549">
        <v>0</v>
      </c>
      <c r="EY781" s="675">
        <v>0</v>
      </c>
      <c r="EZ781" s="549">
        <v>0</v>
      </c>
      <c r="FA781" s="675">
        <v>0</v>
      </c>
      <c r="FB781" s="549">
        <v>0</v>
      </c>
      <c r="FC781" s="675">
        <v>0</v>
      </c>
      <c r="FD781" s="549">
        <v>0</v>
      </c>
      <c r="FE781" s="675">
        <v>0</v>
      </c>
      <c r="FF781" s="549">
        <v>0</v>
      </c>
      <c r="FG781" s="675">
        <v>0</v>
      </c>
      <c r="FH781" s="549">
        <v>0</v>
      </c>
      <c r="FI781" s="675">
        <v>0</v>
      </c>
      <c r="FJ781" s="549">
        <v>0</v>
      </c>
      <c r="FK781" s="675">
        <v>0</v>
      </c>
      <c r="FL781" s="549">
        <v>0</v>
      </c>
      <c r="FM781" s="675">
        <v>0</v>
      </c>
      <c r="FN781" s="549">
        <v>0</v>
      </c>
      <c r="FO781" s="675">
        <v>0</v>
      </c>
      <c r="FP781" s="549">
        <v>0</v>
      </c>
      <c r="FQ781" s="675">
        <v>0</v>
      </c>
      <c r="FR781" s="549">
        <v>0</v>
      </c>
      <c r="FS781" s="675">
        <v>0</v>
      </c>
      <c r="FT781" s="549">
        <v>0</v>
      </c>
      <c r="FU781" s="675">
        <v>0</v>
      </c>
      <c r="FV781" s="549">
        <v>0</v>
      </c>
      <c r="FW781" s="675">
        <v>0</v>
      </c>
      <c r="FX781" s="549">
        <v>0</v>
      </c>
      <c r="FY781" s="675">
        <v>0</v>
      </c>
      <c r="FZ781" s="549">
        <v>0</v>
      </c>
      <c r="GA781" s="675">
        <v>0</v>
      </c>
      <c r="GB781" s="549">
        <v>0</v>
      </c>
      <c r="GC781" s="675">
        <v>0</v>
      </c>
      <c r="GD781" s="549">
        <v>0</v>
      </c>
      <c r="GE781" s="675">
        <v>0</v>
      </c>
      <c r="GF781" s="549">
        <v>0</v>
      </c>
      <c r="GG781" s="675">
        <v>0</v>
      </c>
      <c r="GH781" s="549">
        <v>0</v>
      </c>
      <c r="GI781" s="675">
        <v>0</v>
      </c>
      <c r="GJ781" s="549">
        <v>0</v>
      </c>
      <c r="GK781" s="675">
        <v>0</v>
      </c>
      <c r="GL781" s="549">
        <v>0</v>
      </c>
      <c r="GM781" s="675">
        <v>0</v>
      </c>
      <c r="GN781" s="549">
        <v>0</v>
      </c>
      <c r="GO781" s="675">
        <v>0</v>
      </c>
      <c r="GP781" s="549">
        <f t="shared" si="16853"/>
        <v>0</v>
      </c>
      <c r="GQ781" s="675">
        <f t="shared" si="16854"/>
        <v>-101219</v>
      </c>
      <c r="GR781" s="74">
        <f t="shared" si="16855"/>
        <v>587781</v>
      </c>
      <c r="GS781" s="74">
        <f t="shared" si="16856"/>
        <v>587781</v>
      </c>
      <c r="GT781" s="568">
        <f t="shared" si="16857"/>
        <v>587781</v>
      </c>
      <c r="GU781" s="275">
        <v>137800</v>
      </c>
      <c r="GV781" s="275">
        <v>551200</v>
      </c>
      <c r="GW781" s="588"/>
      <c r="GX781" s="275">
        <f>206700-206700</f>
        <v>0</v>
      </c>
      <c r="GY781" s="275"/>
      <c r="GZ781" s="275"/>
      <c r="HA781" s="275">
        <f>206700-206700</f>
        <v>0</v>
      </c>
      <c r="HB781" s="275"/>
      <c r="HC781" s="275"/>
      <c r="HD781" s="275">
        <f>137800-137800</f>
        <v>0</v>
      </c>
      <c r="HE781" s="275">
        <v>0</v>
      </c>
      <c r="HF781" s="275">
        <v>0</v>
      </c>
      <c r="HG781" s="74">
        <f t="shared" si="16858"/>
        <v>587781</v>
      </c>
      <c r="HH781" s="89">
        <v>0</v>
      </c>
      <c r="HI781" s="157">
        <v>0</v>
      </c>
      <c r="HJ781" s="89">
        <v>0</v>
      </c>
      <c r="HK781" s="157">
        <v>0</v>
      </c>
      <c r="HL781" s="89">
        <v>0</v>
      </c>
      <c r="HM781" s="157">
        <v>167945.38</v>
      </c>
      <c r="HN781" s="89">
        <v>0</v>
      </c>
      <c r="HO781" s="157">
        <v>0</v>
      </c>
      <c r="HP781" s="89">
        <v>0</v>
      </c>
      <c r="HQ781" s="157">
        <v>0</v>
      </c>
      <c r="HR781" s="89">
        <v>0</v>
      </c>
      <c r="HS781" s="157">
        <v>0</v>
      </c>
      <c r="HT781" s="89">
        <v>0</v>
      </c>
      <c r="HU781" s="938">
        <v>40060.230000000003</v>
      </c>
      <c r="HV781" s="89">
        <v>0</v>
      </c>
      <c r="HW781" s="157">
        <v>0</v>
      </c>
      <c r="HX781" s="89">
        <v>0</v>
      </c>
      <c r="HY781" s="157">
        <v>61158.77</v>
      </c>
      <c r="HZ781" s="89">
        <v>0</v>
      </c>
      <c r="IA781" s="157">
        <v>419835.62</v>
      </c>
      <c r="IB781" s="89">
        <v>0</v>
      </c>
      <c r="IC781" s="157">
        <v>0</v>
      </c>
      <c r="ID781" s="89">
        <v>0</v>
      </c>
      <c r="IE781" s="157">
        <v>0</v>
      </c>
      <c r="IF781" s="717">
        <f t="shared" si="16859"/>
        <v>167945.38</v>
      </c>
      <c r="IG781" s="263">
        <f t="shared" si="16860"/>
        <v>167945.38</v>
      </c>
      <c r="IH781" s="718">
        <f t="shared" si="16861"/>
        <v>167945.38</v>
      </c>
      <c r="II781" s="89">
        <v>0</v>
      </c>
      <c r="IJ781" s="89">
        <f t="shared" si="16862"/>
        <v>0</v>
      </c>
      <c r="IK781" s="89">
        <f t="shared" si="16863"/>
        <v>0</v>
      </c>
      <c r="IL781" s="89">
        <v>0</v>
      </c>
      <c r="IM781" s="89">
        <f t="shared" si="16864"/>
        <v>0</v>
      </c>
      <c r="IN781" s="89">
        <f t="shared" si="16865"/>
        <v>0</v>
      </c>
      <c r="IO781" s="89">
        <v>167945.38</v>
      </c>
      <c r="IP781" s="89">
        <f t="shared" si="16866"/>
        <v>167945.38</v>
      </c>
      <c r="IQ781" s="89">
        <f t="shared" si="16867"/>
        <v>167945.38</v>
      </c>
      <c r="IR781" s="89">
        <v>0</v>
      </c>
      <c r="IS781" s="89">
        <f t="shared" si="16868"/>
        <v>0</v>
      </c>
      <c r="IT781" s="89">
        <f t="shared" si="16869"/>
        <v>0</v>
      </c>
      <c r="IU781" s="89">
        <v>0</v>
      </c>
      <c r="IV781" s="89">
        <f t="shared" si="16870"/>
        <v>0</v>
      </c>
      <c r="IW781" s="89">
        <f t="shared" si="16871"/>
        <v>0</v>
      </c>
      <c r="IX781" s="89">
        <v>0</v>
      </c>
      <c r="IY781" s="89">
        <f t="shared" si="16872"/>
        <v>0</v>
      </c>
      <c r="IZ781" s="89">
        <f t="shared" si="16873"/>
        <v>0</v>
      </c>
      <c r="JA781" s="89">
        <f>167945.38-167945.38</f>
        <v>0</v>
      </c>
      <c r="JB781" s="89">
        <f t="shared" si="16874"/>
        <v>0</v>
      </c>
      <c r="JC781" s="89">
        <f t="shared" si="16875"/>
        <v>0</v>
      </c>
      <c r="JD781" s="89">
        <v>0</v>
      </c>
      <c r="JE781" s="89">
        <f t="shared" si="16876"/>
        <v>0</v>
      </c>
      <c r="JF781" s="89">
        <f t="shared" si="16877"/>
        <v>0</v>
      </c>
      <c r="JG781" s="89">
        <v>0</v>
      </c>
      <c r="JH781" s="89">
        <f t="shared" si="16878"/>
        <v>0</v>
      </c>
      <c r="JI781" s="89">
        <f t="shared" si="16879"/>
        <v>0</v>
      </c>
      <c r="JJ781" s="89">
        <v>0</v>
      </c>
      <c r="JK781" s="89">
        <f t="shared" si="16880"/>
        <v>0</v>
      </c>
      <c r="JL781" s="89">
        <f t="shared" si="16881"/>
        <v>0</v>
      </c>
      <c r="JM781" s="89">
        <v>0</v>
      </c>
      <c r="JN781" s="89">
        <f t="shared" si="16882"/>
        <v>0</v>
      </c>
      <c r="JO781" s="89">
        <f t="shared" si="16883"/>
        <v>0</v>
      </c>
      <c r="JP781" s="89">
        <v>0</v>
      </c>
      <c r="JQ781" s="89">
        <f t="shared" ref="JQ781:JR781" si="16901">JP781</f>
        <v>0</v>
      </c>
      <c r="JR781" s="89">
        <f t="shared" si="16901"/>
        <v>0</v>
      </c>
      <c r="JS781" s="74">
        <f t="shared" si="16885"/>
        <v>419835.62</v>
      </c>
      <c r="JT781" s="382">
        <f t="shared" si="16886"/>
        <v>419835.62</v>
      </c>
      <c r="JU781" s="665"/>
      <c r="JV781" s="524"/>
      <c r="JW781" s="525"/>
      <c r="JX781" s="549">
        <f t="shared" si="16887"/>
        <v>0</v>
      </c>
      <c r="JY781" s="549">
        <f t="shared" si="15767"/>
        <v>689000</v>
      </c>
      <c r="JZ781" s="581">
        <f t="shared" si="16466"/>
        <v>0</v>
      </c>
      <c r="KA781" s="581">
        <f t="shared" si="16467"/>
        <v>-101219</v>
      </c>
      <c r="KB781" s="566">
        <f t="shared" si="15406"/>
        <v>587781</v>
      </c>
      <c r="KC781" s="709">
        <f t="shared" si="16464"/>
        <v>0</v>
      </c>
      <c r="KD781" s="491"/>
      <c r="KE781" s="491"/>
      <c r="KF781" s="491"/>
      <c r="KG781" s="491"/>
      <c r="KH781" s="36"/>
      <c r="KI781" s="36"/>
      <c r="KJ781" s="36"/>
      <c r="KK781" s="36"/>
    </row>
    <row r="782" spans="1:297" s="8" customFormat="1">
      <c r="A782" s="612"/>
      <c r="B782" s="512"/>
      <c r="C782" s="513"/>
      <c r="D782" s="553"/>
      <c r="E782" s="687"/>
      <c r="F782" s="553"/>
      <c r="G782" s="687"/>
      <c r="H782" s="553"/>
      <c r="I782" s="687"/>
      <c r="J782" s="553"/>
      <c r="K782" s="687"/>
      <c r="L782" s="553"/>
      <c r="M782" s="687"/>
      <c r="N782" s="553"/>
      <c r="O782" s="687"/>
      <c r="P782" s="553"/>
      <c r="Q782" s="687"/>
      <c r="R782" s="553"/>
      <c r="S782" s="687"/>
      <c r="T782" s="553"/>
      <c r="U782" s="687"/>
      <c r="V782" s="553"/>
      <c r="W782" s="687"/>
      <c r="X782" s="553"/>
      <c r="Y782" s="687"/>
      <c r="Z782" s="553"/>
      <c r="AA782" s="687"/>
      <c r="AB782" s="553"/>
      <c r="AC782" s="687"/>
      <c r="AD782" s="553"/>
      <c r="AE782" s="687"/>
      <c r="AF782" s="553"/>
      <c r="AG782" s="687"/>
      <c r="AH782" s="553"/>
      <c r="AI782" s="687"/>
      <c r="AJ782" s="553"/>
      <c r="AK782" s="687"/>
      <c r="AL782" s="553"/>
      <c r="AM782" s="687"/>
      <c r="AN782" s="553"/>
      <c r="AO782" s="687"/>
      <c r="AP782" s="553"/>
      <c r="AQ782" s="687"/>
      <c r="AR782" s="553"/>
      <c r="AS782" s="687"/>
      <c r="AT782" s="553"/>
      <c r="AU782" s="687"/>
      <c r="AV782" s="553"/>
      <c r="AW782" s="687"/>
      <c r="AX782" s="553"/>
      <c r="AY782" s="687"/>
      <c r="AZ782" s="553"/>
      <c r="BA782" s="687"/>
      <c r="BB782" s="553"/>
      <c r="BC782" s="687"/>
      <c r="BD782" s="553"/>
      <c r="BE782" s="687"/>
      <c r="BF782" s="553"/>
      <c r="BG782" s="687"/>
      <c r="BH782" s="553"/>
      <c r="BI782" s="687"/>
      <c r="BJ782" s="553"/>
      <c r="BK782" s="687"/>
      <c r="BL782" s="553"/>
      <c r="BM782" s="687"/>
      <c r="BN782" s="553"/>
      <c r="BO782" s="687"/>
      <c r="BP782" s="553"/>
      <c r="BQ782" s="687"/>
      <c r="BR782" s="553"/>
      <c r="BS782" s="687"/>
      <c r="BT782" s="553"/>
      <c r="BU782" s="687"/>
      <c r="BV782" s="553"/>
      <c r="BW782" s="687"/>
      <c r="BX782" s="553"/>
      <c r="BY782" s="687"/>
      <c r="BZ782" s="553"/>
      <c r="CA782" s="687"/>
      <c r="CB782" s="553"/>
      <c r="CC782" s="687"/>
      <c r="CD782" s="553"/>
      <c r="CE782" s="687"/>
      <c r="CF782" s="553"/>
      <c r="CG782" s="687"/>
      <c r="CH782" s="553"/>
      <c r="CI782" s="687"/>
      <c r="CJ782" s="553"/>
      <c r="CK782" s="687"/>
      <c r="CL782" s="553"/>
      <c r="CM782" s="687"/>
      <c r="CN782" s="553"/>
      <c r="CO782" s="687"/>
      <c r="CP782" s="553"/>
      <c r="CQ782" s="687"/>
      <c r="CR782" s="553"/>
      <c r="CS782" s="687"/>
      <c r="CT782" s="553"/>
      <c r="CU782" s="687"/>
      <c r="CV782" s="553"/>
      <c r="CW782" s="687"/>
      <c r="CX782" s="553"/>
      <c r="CY782" s="687"/>
      <c r="CZ782" s="553"/>
      <c r="DA782" s="687"/>
      <c r="DB782" s="553"/>
      <c r="DC782" s="687"/>
      <c r="DD782" s="553"/>
      <c r="DE782" s="687"/>
      <c r="DF782" s="553"/>
      <c r="DG782" s="687"/>
      <c r="DH782" s="553"/>
      <c r="DI782" s="687"/>
      <c r="DJ782" s="553"/>
      <c r="DK782" s="687"/>
      <c r="DL782" s="553"/>
      <c r="DM782" s="687"/>
      <c r="DN782" s="553"/>
      <c r="DO782" s="687"/>
      <c r="DP782" s="553"/>
      <c r="DQ782" s="687"/>
      <c r="DR782" s="553"/>
      <c r="DS782" s="687"/>
      <c r="DT782" s="553"/>
      <c r="DU782" s="687"/>
      <c r="DV782" s="553"/>
      <c r="DW782" s="687"/>
      <c r="DX782" s="553"/>
      <c r="DY782" s="687"/>
      <c r="DZ782" s="553"/>
      <c r="EA782" s="687"/>
      <c r="EB782" s="553"/>
      <c r="EC782" s="687"/>
      <c r="ED782" s="553"/>
      <c r="EE782" s="687"/>
      <c r="EF782" s="553"/>
      <c r="EG782" s="687"/>
      <c r="EH782" s="553"/>
      <c r="EI782" s="687"/>
      <c r="EJ782" s="553"/>
      <c r="EK782" s="687"/>
      <c r="EL782" s="553"/>
      <c r="EM782" s="687"/>
      <c r="EN782" s="553"/>
      <c r="EO782" s="687"/>
      <c r="EP782" s="553"/>
      <c r="EQ782" s="687"/>
      <c r="ER782" s="553"/>
      <c r="ES782" s="687"/>
      <c r="ET782" s="553"/>
      <c r="EU782" s="687"/>
      <c r="EV782" s="553"/>
      <c r="EW782" s="687"/>
      <c r="EX782" s="553"/>
      <c r="EY782" s="687"/>
      <c r="EZ782" s="553"/>
      <c r="FA782" s="687"/>
      <c r="FB782" s="553"/>
      <c r="FC782" s="687"/>
      <c r="FD782" s="553"/>
      <c r="FE782" s="687"/>
      <c r="FF782" s="553"/>
      <c r="FG782" s="687"/>
      <c r="FH782" s="553"/>
      <c r="FI782" s="687"/>
      <c r="FJ782" s="553"/>
      <c r="FK782" s="687"/>
      <c r="FL782" s="553"/>
      <c r="FM782" s="687"/>
      <c r="FN782" s="553"/>
      <c r="FO782" s="687"/>
      <c r="FP782" s="553"/>
      <c r="FQ782" s="687"/>
      <c r="FR782" s="553"/>
      <c r="FS782" s="687"/>
      <c r="FT782" s="553"/>
      <c r="FU782" s="687"/>
      <c r="FV782" s="553"/>
      <c r="FW782" s="687"/>
      <c r="FX782" s="553"/>
      <c r="FY782" s="687"/>
      <c r="FZ782" s="553"/>
      <c r="GA782" s="687"/>
      <c r="GB782" s="553"/>
      <c r="GC782" s="687"/>
      <c r="GD782" s="553"/>
      <c r="GE782" s="687"/>
      <c r="GF782" s="553"/>
      <c r="GG782" s="687"/>
      <c r="GH782" s="553"/>
      <c r="GI782" s="687"/>
      <c r="GJ782" s="553"/>
      <c r="GK782" s="687"/>
      <c r="GL782" s="553"/>
      <c r="GM782" s="687"/>
      <c r="GN782" s="553"/>
      <c r="GO782" s="687"/>
      <c r="GP782" s="553"/>
      <c r="GQ782" s="687"/>
      <c r="GR782" s="487"/>
      <c r="GS782" s="487"/>
      <c r="GT782" s="553"/>
      <c r="GU782" s="487"/>
      <c r="GV782" s="487"/>
      <c r="GW782" s="553"/>
      <c r="GX782" s="553"/>
      <c r="GY782" s="487"/>
      <c r="GZ782" s="487"/>
      <c r="HA782" s="487"/>
      <c r="HB782" s="487"/>
      <c r="HC782" s="487"/>
      <c r="HD782" s="487"/>
      <c r="HE782" s="487"/>
      <c r="HF782" s="487"/>
      <c r="HG782" s="487"/>
      <c r="HH782" s="487"/>
      <c r="HI782" s="828"/>
      <c r="HJ782" s="487"/>
      <c r="HK782" s="828"/>
      <c r="HL782" s="487"/>
      <c r="HM782" s="828"/>
      <c r="HN782" s="487"/>
      <c r="HO782" s="828"/>
      <c r="HP782" s="487"/>
      <c r="HQ782" s="828"/>
      <c r="HR782" s="487"/>
      <c r="HS782" s="828"/>
      <c r="HT782" s="487"/>
      <c r="HU782" s="828"/>
      <c r="HV782" s="487"/>
      <c r="HW782" s="828"/>
      <c r="HX782" s="487"/>
      <c r="HY782" s="828"/>
      <c r="HZ782" s="487"/>
      <c r="IA782" s="828"/>
      <c r="IB782" s="487"/>
      <c r="IC782" s="828"/>
      <c r="ID782" s="487"/>
      <c r="IE782" s="828"/>
      <c r="IF782" s="719"/>
      <c r="IG782" s="486"/>
      <c r="IH782" s="720"/>
      <c r="II782" s="487"/>
      <c r="IJ782" s="487"/>
      <c r="IK782" s="487"/>
      <c r="IL782" s="487"/>
      <c r="IM782" s="487"/>
      <c r="IN782" s="487"/>
      <c r="IO782" s="487"/>
      <c r="IP782" s="487"/>
      <c r="IQ782" s="487"/>
      <c r="IR782" s="487"/>
      <c r="IS782" s="487"/>
      <c r="IT782" s="487"/>
      <c r="IU782" s="487"/>
      <c r="IV782" s="487"/>
      <c r="IW782" s="487"/>
      <c r="IX782" s="487"/>
      <c r="IY782" s="487"/>
      <c r="IZ782" s="487"/>
      <c r="JA782" s="487"/>
      <c r="JB782" s="487"/>
      <c r="JC782" s="487"/>
      <c r="JD782" s="487"/>
      <c r="JE782" s="487"/>
      <c r="JF782" s="487"/>
      <c r="JG782" s="487"/>
      <c r="JH782" s="487"/>
      <c r="JI782" s="487"/>
      <c r="JJ782" s="487"/>
      <c r="JK782" s="487"/>
      <c r="JL782" s="487"/>
      <c r="JM782" s="487"/>
      <c r="JN782" s="487"/>
      <c r="JO782" s="487"/>
      <c r="JP782" s="487"/>
      <c r="JQ782" s="487"/>
      <c r="JR782" s="487"/>
      <c r="JS782" s="487"/>
      <c r="JT782" s="574"/>
      <c r="JU782" s="665"/>
      <c r="JV782" s="524"/>
      <c r="JW782" s="525"/>
      <c r="JX782" s="553"/>
      <c r="JY782" s="549">
        <f t="shared" si="15767"/>
        <v>0</v>
      </c>
      <c r="JZ782" s="581">
        <f t="shared" si="16466"/>
        <v>0</v>
      </c>
      <c r="KA782" s="581">
        <f t="shared" si="16467"/>
        <v>0</v>
      </c>
      <c r="KB782" s="566">
        <f t="shared" si="15406"/>
        <v>0</v>
      </c>
      <c r="KC782" s="709">
        <f t="shared" si="16464"/>
        <v>0</v>
      </c>
      <c r="KD782" s="494"/>
      <c r="KE782" s="494"/>
      <c r="KF782" s="494"/>
      <c r="KG782" s="494"/>
      <c r="KH782" s="57"/>
      <c r="KI782" s="57"/>
      <c r="KJ782" s="57"/>
      <c r="KK782" s="57"/>
    </row>
    <row r="783" spans="1:297" s="8" customFormat="1">
      <c r="A783" s="613" t="s">
        <v>736</v>
      </c>
      <c r="B783" s="514" t="s">
        <v>983</v>
      </c>
      <c r="C783" s="513">
        <f t="shared" ref="C783" si="16902">SUM(C784:C788)</f>
        <v>140000</v>
      </c>
      <c r="D783" s="567">
        <f t="shared" ref="D783:E783" si="16903">SUM(D784:D788)</f>
        <v>0</v>
      </c>
      <c r="E783" s="686">
        <f t="shared" si="16903"/>
        <v>0</v>
      </c>
      <c r="F783" s="567">
        <f t="shared" ref="F783:G783" si="16904">SUM(F784:F788)</f>
        <v>0</v>
      </c>
      <c r="G783" s="686">
        <f t="shared" si="16904"/>
        <v>0</v>
      </c>
      <c r="H783" s="567">
        <f t="shared" ref="H783:I783" si="16905">SUM(H784:H788)</f>
        <v>0</v>
      </c>
      <c r="I783" s="686">
        <f t="shared" si="16905"/>
        <v>0</v>
      </c>
      <c r="J783" s="567">
        <f t="shared" ref="J783:K783" si="16906">SUM(J784:J788)</f>
        <v>0</v>
      </c>
      <c r="K783" s="686">
        <f t="shared" si="16906"/>
        <v>0</v>
      </c>
      <c r="L783" s="567">
        <f t="shared" ref="L783:M783" si="16907">SUM(L784:L788)</f>
        <v>0</v>
      </c>
      <c r="M783" s="686">
        <f t="shared" si="16907"/>
        <v>0</v>
      </c>
      <c r="N783" s="567">
        <f t="shared" ref="N783:O783" si="16908">SUM(N784:N788)</f>
        <v>0</v>
      </c>
      <c r="O783" s="686">
        <f t="shared" si="16908"/>
        <v>0</v>
      </c>
      <c r="P783" s="567">
        <f t="shared" ref="P783:Q783" si="16909">SUM(P784:P788)</f>
        <v>0</v>
      </c>
      <c r="Q783" s="686">
        <f t="shared" si="16909"/>
        <v>0</v>
      </c>
      <c r="R783" s="567">
        <f t="shared" ref="R783:S783" si="16910">SUM(R784:R788)</f>
        <v>0</v>
      </c>
      <c r="S783" s="686">
        <f t="shared" si="16910"/>
        <v>0</v>
      </c>
      <c r="T783" s="567">
        <f t="shared" ref="T783:U783" si="16911">SUM(T784:T788)</f>
        <v>0</v>
      </c>
      <c r="U783" s="686">
        <f t="shared" si="16911"/>
        <v>0</v>
      </c>
      <c r="V783" s="567">
        <f t="shared" ref="V783:W783" si="16912">SUM(V784:V788)</f>
        <v>0</v>
      </c>
      <c r="W783" s="686">
        <f t="shared" si="16912"/>
        <v>0</v>
      </c>
      <c r="X783" s="567">
        <f t="shared" ref="X783:Y783" si="16913">SUM(X784:X788)</f>
        <v>0</v>
      </c>
      <c r="Y783" s="686">
        <f t="shared" si="16913"/>
        <v>0</v>
      </c>
      <c r="Z783" s="567">
        <f t="shared" ref="Z783:AA783" si="16914">SUM(Z784:Z788)</f>
        <v>0</v>
      </c>
      <c r="AA783" s="686">
        <f t="shared" si="16914"/>
        <v>0</v>
      </c>
      <c r="AB783" s="567">
        <f t="shared" ref="AB783:AC783" si="16915">SUM(AB784:AB788)</f>
        <v>0</v>
      </c>
      <c r="AC783" s="686">
        <f t="shared" si="16915"/>
        <v>0</v>
      </c>
      <c r="AD783" s="567">
        <f t="shared" ref="AD783:AE783" si="16916">SUM(AD784:AD788)</f>
        <v>0</v>
      </c>
      <c r="AE783" s="686">
        <f t="shared" si="16916"/>
        <v>0</v>
      </c>
      <c r="AF783" s="567">
        <f t="shared" ref="AF783:AI783" si="16917">SUM(AF784:AF788)</f>
        <v>0</v>
      </c>
      <c r="AG783" s="686">
        <f t="shared" si="16917"/>
        <v>0</v>
      </c>
      <c r="AH783" s="567">
        <f t="shared" si="16917"/>
        <v>0</v>
      </c>
      <c r="AI783" s="686">
        <f t="shared" si="16917"/>
        <v>0</v>
      </c>
      <c r="AJ783" s="567">
        <f t="shared" ref="AJ783:AK783" si="16918">SUM(AJ784:AJ788)</f>
        <v>0</v>
      </c>
      <c r="AK783" s="686">
        <f t="shared" si="16918"/>
        <v>0</v>
      </c>
      <c r="AL783" s="567">
        <f t="shared" ref="AL783:AM783" si="16919">SUM(AL784:AL788)</f>
        <v>0</v>
      </c>
      <c r="AM783" s="686">
        <f t="shared" si="16919"/>
        <v>0</v>
      </c>
      <c r="AN783" s="567">
        <f t="shared" ref="AN783:AO783" si="16920">SUM(AN784:AN788)</f>
        <v>0</v>
      </c>
      <c r="AO783" s="686">
        <f t="shared" si="16920"/>
        <v>0</v>
      </c>
      <c r="AP783" s="567">
        <f t="shared" ref="AP783:AQ783" si="16921">SUM(AP784:AP788)</f>
        <v>0</v>
      </c>
      <c r="AQ783" s="686">
        <f t="shared" si="16921"/>
        <v>0</v>
      </c>
      <c r="AR783" s="567">
        <f t="shared" ref="AR783:AS783" si="16922">SUM(AR784:AR788)</f>
        <v>0</v>
      </c>
      <c r="AS783" s="686">
        <f t="shared" si="16922"/>
        <v>0</v>
      </c>
      <c r="AT783" s="567">
        <f t="shared" ref="AT783:AU783" si="16923">SUM(AT784:AT788)</f>
        <v>0</v>
      </c>
      <c r="AU783" s="686">
        <f t="shared" si="16923"/>
        <v>0</v>
      </c>
      <c r="AV783" s="567">
        <f t="shared" ref="AV783:AW783" si="16924">SUM(AV784:AV788)</f>
        <v>0</v>
      </c>
      <c r="AW783" s="686">
        <f t="shared" si="16924"/>
        <v>0</v>
      </c>
      <c r="AX783" s="567">
        <f t="shared" ref="AX783:AY783" si="16925">SUM(AX784:AX788)</f>
        <v>0</v>
      </c>
      <c r="AY783" s="686">
        <f t="shared" si="16925"/>
        <v>0</v>
      </c>
      <c r="AZ783" s="567">
        <f t="shared" ref="AZ783:BA783" si="16926">SUM(AZ784:AZ788)</f>
        <v>0</v>
      </c>
      <c r="BA783" s="686">
        <f t="shared" si="16926"/>
        <v>0</v>
      </c>
      <c r="BB783" s="567">
        <f t="shared" ref="BB783:BC783" si="16927">SUM(BB784:BB788)</f>
        <v>0</v>
      </c>
      <c r="BC783" s="686">
        <f t="shared" si="16927"/>
        <v>0</v>
      </c>
      <c r="BD783" s="567">
        <f t="shared" ref="BD783:BE783" si="16928">SUM(BD784:BD788)</f>
        <v>0</v>
      </c>
      <c r="BE783" s="686">
        <f t="shared" si="16928"/>
        <v>0</v>
      </c>
      <c r="BF783" s="567">
        <f t="shared" ref="BF783:BG783" si="16929">SUM(BF784:BF788)</f>
        <v>0</v>
      </c>
      <c r="BG783" s="686">
        <f t="shared" si="16929"/>
        <v>0</v>
      </c>
      <c r="BH783" s="567">
        <f t="shared" ref="BH783:BI783" si="16930">SUM(BH784:BH788)</f>
        <v>0</v>
      </c>
      <c r="BI783" s="686">
        <f t="shared" si="16930"/>
        <v>0</v>
      </c>
      <c r="BJ783" s="567">
        <f t="shared" ref="BJ783:BK783" si="16931">SUM(BJ784:BJ788)</f>
        <v>0</v>
      </c>
      <c r="BK783" s="686">
        <f t="shared" si="16931"/>
        <v>0</v>
      </c>
      <c r="BL783" s="567">
        <f t="shared" ref="BL783:BM783" si="16932">SUM(BL784:BL788)</f>
        <v>0</v>
      </c>
      <c r="BM783" s="686">
        <f t="shared" si="16932"/>
        <v>0</v>
      </c>
      <c r="BN783" s="567">
        <f t="shared" ref="BN783:BO783" si="16933">SUM(BN784:BN788)</f>
        <v>0</v>
      </c>
      <c r="BO783" s="686">
        <f t="shared" si="16933"/>
        <v>0</v>
      </c>
      <c r="BP783" s="567">
        <f t="shared" ref="BP783:BQ783" si="16934">SUM(BP784:BP788)</f>
        <v>0</v>
      </c>
      <c r="BQ783" s="686">
        <f t="shared" si="16934"/>
        <v>0</v>
      </c>
      <c r="BR783" s="567">
        <f t="shared" ref="BR783:BS783" si="16935">SUM(BR784:BR788)</f>
        <v>0</v>
      </c>
      <c r="BS783" s="686">
        <f t="shared" si="16935"/>
        <v>-116922</v>
      </c>
      <c r="BT783" s="567">
        <f t="shared" ref="BT783:BU783" si="16936">SUM(BT784:BT788)</f>
        <v>0</v>
      </c>
      <c r="BU783" s="686">
        <f t="shared" si="16936"/>
        <v>-6900</v>
      </c>
      <c r="BV783" s="567">
        <f t="shared" ref="BV783:BW783" si="16937">SUM(BV784:BV788)</f>
        <v>0</v>
      </c>
      <c r="BW783" s="686">
        <f t="shared" si="16937"/>
        <v>0</v>
      </c>
      <c r="BX783" s="567">
        <f t="shared" ref="BX783:BY783" si="16938">SUM(BX784:BX788)</f>
        <v>0</v>
      </c>
      <c r="BY783" s="686">
        <f t="shared" si="16938"/>
        <v>-6178</v>
      </c>
      <c r="BZ783" s="567">
        <f t="shared" ref="BZ783:CA783" si="16939">SUM(BZ784:BZ788)</f>
        <v>0</v>
      </c>
      <c r="CA783" s="686">
        <f t="shared" si="16939"/>
        <v>0</v>
      </c>
      <c r="CB783" s="567">
        <f t="shared" ref="CB783:CC783" si="16940">SUM(CB784:CB788)</f>
        <v>0</v>
      </c>
      <c r="CC783" s="686">
        <f t="shared" si="16940"/>
        <v>0</v>
      </c>
      <c r="CD783" s="567">
        <f t="shared" ref="CD783:CE783" si="16941">SUM(CD784:CD788)</f>
        <v>0</v>
      </c>
      <c r="CE783" s="686">
        <f t="shared" si="16941"/>
        <v>0</v>
      </c>
      <c r="CF783" s="567">
        <f t="shared" ref="CF783:CG783" si="16942">SUM(CF784:CF788)</f>
        <v>0</v>
      </c>
      <c r="CG783" s="686">
        <f t="shared" si="16942"/>
        <v>0</v>
      </c>
      <c r="CH783" s="567">
        <f t="shared" ref="CH783:CI783" si="16943">SUM(CH784:CH788)</f>
        <v>0</v>
      </c>
      <c r="CI783" s="686">
        <f t="shared" si="16943"/>
        <v>0</v>
      </c>
      <c r="CJ783" s="567">
        <f t="shared" ref="CJ783:CK783" si="16944">SUM(CJ784:CJ788)</f>
        <v>0</v>
      </c>
      <c r="CK783" s="686">
        <f t="shared" si="16944"/>
        <v>0</v>
      </c>
      <c r="CL783" s="567">
        <f t="shared" ref="CL783:CM783" si="16945">SUM(CL784:CL788)</f>
        <v>0</v>
      </c>
      <c r="CM783" s="686">
        <f t="shared" si="16945"/>
        <v>0</v>
      </c>
      <c r="CN783" s="567">
        <f t="shared" ref="CN783:CO783" si="16946">SUM(CN784:CN788)</f>
        <v>0</v>
      </c>
      <c r="CO783" s="686">
        <f t="shared" si="16946"/>
        <v>0</v>
      </c>
      <c r="CP783" s="567">
        <f t="shared" ref="CP783:CQ783" si="16947">SUM(CP784:CP788)</f>
        <v>0</v>
      </c>
      <c r="CQ783" s="686">
        <f t="shared" si="16947"/>
        <v>0</v>
      </c>
      <c r="CR783" s="567">
        <f t="shared" ref="CR783:CS783" si="16948">SUM(CR784:CR788)</f>
        <v>0</v>
      </c>
      <c r="CS783" s="686">
        <f t="shared" si="16948"/>
        <v>0</v>
      </c>
      <c r="CT783" s="567">
        <f t="shared" ref="CT783:CU783" si="16949">SUM(CT784:CT788)</f>
        <v>0</v>
      </c>
      <c r="CU783" s="686">
        <f t="shared" si="16949"/>
        <v>0</v>
      </c>
      <c r="CV783" s="567">
        <f t="shared" ref="CV783:CW783" si="16950">SUM(CV784:CV788)</f>
        <v>0</v>
      </c>
      <c r="CW783" s="686">
        <f t="shared" si="16950"/>
        <v>0</v>
      </c>
      <c r="CX783" s="567">
        <f t="shared" ref="CX783:CY783" si="16951">SUM(CX784:CX788)</f>
        <v>0</v>
      </c>
      <c r="CY783" s="686">
        <f t="shared" si="16951"/>
        <v>0</v>
      </c>
      <c r="CZ783" s="567">
        <f t="shared" ref="CZ783:DA783" si="16952">SUM(CZ784:CZ788)</f>
        <v>0</v>
      </c>
      <c r="DA783" s="686">
        <f t="shared" si="16952"/>
        <v>0</v>
      </c>
      <c r="DB783" s="567">
        <f t="shared" ref="DB783:DC783" si="16953">SUM(DB784:DB788)</f>
        <v>0</v>
      </c>
      <c r="DC783" s="686">
        <f t="shared" si="16953"/>
        <v>0</v>
      </c>
      <c r="DD783" s="567">
        <f t="shared" ref="DD783:DE783" si="16954">SUM(DD784:DD788)</f>
        <v>0</v>
      </c>
      <c r="DE783" s="686">
        <f t="shared" si="16954"/>
        <v>0</v>
      </c>
      <c r="DF783" s="567">
        <f t="shared" ref="DF783:DG783" si="16955">SUM(DF784:DF788)</f>
        <v>0</v>
      </c>
      <c r="DG783" s="686">
        <f t="shared" si="16955"/>
        <v>0</v>
      </c>
      <c r="DH783" s="567">
        <f t="shared" ref="DH783:DI783" si="16956">SUM(DH784:DH788)</f>
        <v>0</v>
      </c>
      <c r="DI783" s="686">
        <f t="shared" si="16956"/>
        <v>0</v>
      </c>
      <c r="DJ783" s="567">
        <f t="shared" ref="DJ783:DK783" si="16957">SUM(DJ784:DJ788)</f>
        <v>0</v>
      </c>
      <c r="DK783" s="686">
        <f t="shared" si="16957"/>
        <v>0</v>
      </c>
      <c r="DL783" s="567">
        <f t="shared" ref="DL783:DM783" si="16958">SUM(DL784:DL788)</f>
        <v>0</v>
      </c>
      <c r="DM783" s="686">
        <f t="shared" si="16958"/>
        <v>0</v>
      </c>
      <c r="DN783" s="567">
        <f t="shared" ref="DN783:DW783" si="16959">SUM(DN784:DN788)</f>
        <v>0</v>
      </c>
      <c r="DO783" s="686">
        <f t="shared" si="16959"/>
        <v>0</v>
      </c>
      <c r="DP783" s="567">
        <f t="shared" si="16959"/>
        <v>0</v>
      </c>
      <c r="DQ783" s="686">
        <f t="shared" si="16959"/>
        <v>0</v>
      </c>
      <c r="DR783" s="567">
        <f t="shared" si="16959"/>
        <v>0</v>
      </c>
      <c r="DS783" s="686">
        <f t="shared" si="16959"/>
        <v>0</v>
      </c>
      <c r="DT783" s="567">
        <f t="shared" si="16959"/>
        <v>0</v>
      </c>
      <c r="DU783" s="686">
        <f t="shared" si="16959"/>
        <v>0</v>
      </c>
      <c r="DV783" s="567">
        <f t="shared" si="16959"/>
        <v>0</v>
      </c>
      <c r="DW783" s="686">
        <f t="shared" si="16959"/>
        <v>0</v>
      </c>
      <c r="DX783" s="567">
        <f t="shared" ref="DX783:DY783" si="16960">SUM(DX784:DX788)</f>
        <v>0</v>
      </c>
      <c r="DY783" s="686">
        <f t="shared" si="16960"/>
        <v>0</v>
      </c>
      <c r="DZ783" s="567">
        <f t="shared" ref="DZ783:FA783" si="16961">SUM(DZ784:DZ788)</f>
        <v>0</v>
      </c>
      <c r="EA783" s="686">
        <f t="shared" si="16961"/>
        <v>0</v>
      </c>
      <c r="EB783" s="567">
        <f t="shared" si="16961"/>
        <v>0</v>
      </c>
      <c r="EC783" s="686">
        <f t="shared" si="16961"/>
        <v>0</v>
      </c>
      <c r="ED783" s="567">
        <f t="shared" si="16961"/>
        <v>0</v>
      </c>
      <c r="EE783" s="686">
        <f t="shared" si="16961"/>
        <v>0</v>
      </c>
      <c r="EF783" s="567">
        <f t="shared" si="16961"/>
        <v>0</v>
      </c>
      <c r="EG783" s="686">
        <f t="shared" si="16961"/>
        <v>0</v>
      </c>
      <c r="EH783" s="567">
        <f t="shared" ref="EH783:EM783" si="16962">SUM(EH784:EH788)</f>
        <v>0</v>
      </c>
      <c r="EI783" s="686">
        <f t="shared" si="16962"/>
        <v>0</v>
      </c>
      <c r="EJ783" s="567">
        <f t="shared" si="16962"/>
        <v>0</v>
      </c>
      <c r="EK783" s="686">
        <f t="shared" si="16962"/>
        <v>0</v>
      </c>
      <c r="EL783" s="567">
        <f t="shared" si="16962"/>
        <v>0</v>
      </c>
      <c r="EM783" s="686">
        <f t="shared" si="16962"/>
        <v>0</v>
      </c>
      <c r="EN783" s="567">
        <f t="shared" si="16961"/>
        <v>0</v>
      </c>
      <c r="EO783" s="686">
        <f t="shared" si="16961"/>
        <v>0</v>
      </c>
      <c r="EP783" s="567">
        <f t="shared" si="16961"/>
        <v>0</v>
      </c>
      <c r="EQ783" s="686">
        <f t="shared" si="16961"/>
        <v>0</v>
      </c>
      <c r="ER783" s="567">
        <f t="shared" si="16961"/>
        <v>0</v>
      </c>
      <c r="ES783" s="686">
        <f t="shared" si="16961"/>
        <v>0</v>
      </c>
      <c r="ET783" s="567">
        <f t="shared" si="16961"/>
        <v>0</v>
      </c>
      <c r="EU783" s="686">
        <f t="shared" si="16961"/>
        <v>0</v>
      </c>
      <c r="EV783" s="567">
        <f t="shared" ref="EV783:EW783" si="16963">SUM(EV784:EV788)</f>
        <v>0</v>
      </c>
      <c r="EW783" s="686">
        <f t="shared" si="16963"/>
        <v>0</v>
      </c>
      <c r="EX783" s="567">
        <f t="shared" si="16961"/>
        <v>0</v>
      </c>
      <c r="EY783" s="686">
        <f t="shared" si="16961"/>
        <v>0</v>
      </c>
      <c r="EZ783" s="567">
        <f t="shared" si="16961"/>
        <v>0</v>
      </c>
      <c r="FA783" s="686">
        <f t="shared" si="16961"/>
        <v>0</v>
      </c>
      <c r="FB783" s="567">
        <f t="shared" ref="FB783:FC783" si="16964">SUM(FB784:FB788)</f>
        <v>0</v>
      </c>
      <c r="FC783" s="686">
        <f t="shared" si="16964"/>
        <v>0</v>
      </c>
      <c r="FD783" s="567">
        <f t="shared" ref="FD783:FE783" si="16965">SUM(FD784:FD788)</f>
        <v>0</v>
      </c>
      <c r="FE783" s="686">
        <f t="shared" si="16965"/>
        <v>0</v>
      </c>
      <c r="FF783" s="567">
        <f t="shared" ref="FF783:FG783" si="16966">SUM(FF784:FF788)</f>
        <v>0</v>
      </c>
      <c r="FG783" s="686">
        <f t="shared" si="16966"/>
        <v>0</v>
      </c>
      <c r="FH783" s="567">
        <f t="shared" ref="FH783:FI783" si="16967">SUM(FH784:FH788)</f>
        <v>0</v>
      </c>
      <c r="FI783" s="686">
        <f t="shared" si="16967"/>
        <v>0</v>
      </c>
      <c r="FJ783" s="567">
        <f t="shared" ref="FJ783:FK783" si="16968">SUM(FJ784:FJ788)</f>
        <v>0</v>
      </c>
      <c r="FK783" s="686">
        <f t="shared" si="16968"/>
        <v>0</v>
      </c>
      <c r="FL783" s="567">
        <f t="shared" ref="FL783:FM783" si="16969">SUM(FL784:FL788)</f>
        <v>0</v>
      </c>
      <c r="FM783" s="686">
        <f t="shared" si="16969"/>
        <v>0</v>
      </c>
      <c r="FN783" s="567">
        <f t="shared" ref="FN783:FO783" si="16970">SUM(FN784:FN788)</f>
        <v>0</v>
      </c>
      <c r="FO783" s="686">
        <f t="shared" si="16970"/>
        <v>0</v>
      </c>
      <c r="FP783" s="567">
        <f t="shared" ref="FP783:FQ783" si="16971">SUM(FP784:FP788)</f>
        <v>0</v>
      </c>
      <c r="FQ783" s="686">
        <f t="shared" si="16971"/>
        <v>0</v>
      </c>
      <c r="FR783" s="567">
        <f t="shared" ref="FR783:FS783" si="16972">SUM(FR784:FR788)</f>
        <v>0</v>
      </c>
      <c r="FS783" s="686">
        <f t="shared" si="16972"/>
        <v>0</v>
      </c>
      <c r="FT783" s="567">
        <f t="shared" ref="FT783:FU783" si="16973">SUM(FT784:FT788)</f>
        <v>0</v>
      </c>
      <c r="FU783" s="686">
        <f t="shared" si="16973"/>
        <v>0</v>
      </c>
      <c r="FV783" s="567">
        <f t="shared" ref="FV783:GK783" si="16974">SUM(FV784:FV788)</f>
        <v>0</v>
      </c>
      <c r="FW783" s="686">
        <f t="shared" si="16974"/>
        <v>0</v>
      </c>
      <c r="FX783" s="567">
        <f t="shared" si="16974"/>
        <v>0</v>
      </c>
      <c r="FY783" s="686">
        <f t="shared" si="16974"/>
        <v>0</v>
      </c>
      <c r="FZ783" s="567">
        <f t="shared" ref="FZ783:GI783" si="16975">SUM(FZ784:FZ788)</f>
        <v>0</v>
      </c>
      <c r="GA783" s="686">
        <f t="shared" si="16975"/>
        <v>0</v>
      </c>
      <c r="GB783" s="567">
        <f t="shared" si="16975"/>
        <v>0</v>
      </c>
      <c r="GC783" s="686">
        <f t="shared" si="16975"/>
        <v>0</v>
      </c>
      <c r="GD783" s="567">
        <f t="shared" si="16975"/>
        <v>0</v>
      </c>
      <c r="GE783" s="686">
        <f t="shared" si="16975"/>
        <v>0</v>
      </c>
      <c r="GF783" s="567">
        <f t="shared" si="16975"/>
        <v>0</v>
      </c>
      <c r="GG783" s="686">
        <f t="shared" si="16975"/>
        <v>0</v>
      </c>
      <c r="GH783" s="567">
        <f t="shared" si="16975"/>
        <v>0</v>
      </c>
      <c r="GI783" s="686">
        <f t="shared" si="16975"/>
        <v>0</v>
      </c>
      <c r="GJ783" s="567">
        <f t="shared" si="16974"/>
        <v>0</v>
      </c>
      <c r="GK783" s="686">
        <f t="shared" si="16974"/>
        <v>0</v>
      </c>
      <c r="GL783" s="567">
        <f t="shared" ref="GL783:GM783" si="16976">SUM(GL784:GL788)</f>
        <v>0</v>
      </c>
      <c r="GM783" s="686">
        <f t="shared" si="16976"/>
        <v>0</v>
      </c>
      <c r="GN783" s="567">
        <f t="shared" ref="GN783:GO783" si="16977">SUM(GN784:GN788)</f>
        <v>0</v>
      </c>
      <c r="GO783" s="686">
        <f t="shared" si="16977"/>
        <v>0</v>
      </c>
      <c r="GP783" s="567">
        <f t="shared" ref="GP783:HU783" si="16978">SUM(GP784:GP788)</f>
        <v>0</v>
      </c>
      <c r="GQ783" s="686">
        <f t="shared" si="16978"/>
        <v>-130000</v>
      </c>
      <c r="GR783" s="513">
        <f t="shared" si="16978"/>
        <v>10000</v>
      </c>
      <c r="GS783" s="513">
        <f t="shared" si="16978"/>
        <v>10000</v>
      </c>
      <c r="GT783" s="567">
        <f t="shared" si="16978"/>
        <v>10000</v>
      </c>
      <c r="GU783" s="513">
        <f t="shared" si="16978"/>
        <v>28000</v>
      </c>
      <c r="GV783" s="513">
        <f t="shared" si="16978"/>
        <v>0</v>
      </c>
      <c r="GW783" s="567">
        <f t="shared" si="16978"/>
        <v>0</v>
      </c>
      <c r="GX783" s="567">
        <f t="shared" si="16978"/>
        <v>42000</v>
      </c>
      <c r="GY783" s="513">
        <f t="shared" si="16978"/>
        <v>70000</v>
      </c>
      <c r="GZ783" s="513">
        <f t="shared" si="16978"/>
        <v>0</v>
      </c>
      <c r="HA783" s="513">
        <f t="shared" si="16978"/>
        <v>0</v>
      </c>
      <c r="HB783" s="513">
        <f t="shared" si="16978"/>
        <v>0</v>
      </c>
      <c r="HC783" s="513">
        <f t="shared" si="16978"/>
        <v>0</v>
      </c>
      <c r="HD783" s="513">
        <f t="shared" si="16978"/>
        <v>0</v>
      </c>
      <c r="HE783" s="513">
        <f t="shared" si="16978"/>
        <v>0</v>
      </c>
      <c r="HF783" s="513">
        <f t="shared" si="16978"/>
        <v>0</v>
      </c>
      <c r="HG783" s="513">
        <f t="shared" si="16978"/>
        <v>10000</v>
      </c>
      <c r="HH783" s="513">
        <f t="shared" si="16978"/>
        <v>0</v>
      </c>
      <c r="HI783" s="827">
        <f t="shared" si="16978"/>
        <v>0</v>
      </c>
      <c r="HJ783" s="513">
        <f t="shared" si="16978"/>
        <v>0</v>
      </c>
      <c r="HK783" s="827">
        <f t="shared" si="16978"/>
        <v>0</v>
      </c>
      <c r="HL783" s="513">
        <f t="shared" si="16978"/>
        <v>0</v>
      </c>
      <c r="HM783" s="827">
        <f t="shared" si="16978"/>
        <v>0</v>
      </c>
      <c r="HN783" s="513">
        <f t="shared" si="16978"/>
        <v>0</v>
      </c>
      <c r="HO783" s="827">
        <f t="shared" si="16978"/>
        <v>70000</v>
      </c>
      <c r="HP783" s="513">
        <f t="shared" si="16978"/>
        <v>0</v>
      </c>
      <c r="HQ783" s="827">
        <f t="shared" si="16978"/>
        <v>0</v>
      </c>
      <c r="HR783" s="513">
        <f t="shared" si="16978"/>
        <v>0</v>
      </c>
      <c r="HS783" s="827">
        <f t="shared" si="16978"/>
        <v>65000</v>
      </c>
      <c r="HT783" s="513">
        <f t="shared" si="16978"/>
        <v>0</v>
      </c>
      <c r="HU783" s="827">
        <f t="shared" si="16978"/>
        <v>0</v>
      </c>
      <c r="HV783" s="513">
        <f t="shared" ref="HV783:HW783" si="16979">SUM(HV784:HV788)</f>
        <v>0</v>
      </c>
      <c r="HW783" s="827">
        <f t="shared" si="16979"/>
        <v>0</v>
      </c>
      <c r="HX783" s="513">
        <f t="shared" ref="HX783:HY783" si="16980">SUM(HX784:HX788)</f>
        <v>0</v>
      </c>
      <c r="HY783" s="827">
        <f t="shared" si="16980"/>
        <v>0</v>
      </c>
      <c r="HZ783" s="513">
        <f t="shared" ref="HZ783:IA783" si="16981">SUM(HZ784:HZ788)</f>
        <v>0</v>
      </c>
      <c r="IA783" s="827">
        <f t="shared" si="16981"/>
        <v>5000</v>
      </c>
      <c r="IB783" s="513">
        <f t="shared" ref="IB783:IC783" si="16982">SUM(IB784:IB788)</f>
        <v>0</v>
      </c>
      <c r="IC783" s="827">
        <f t="shared" si="16982"/>
        <v>0</v>
      </c>
      <c r="ID783" s="513">
        <f t="shared" ref="ID783:IZ783" si="16983">SUM(ID784:ID788)</f>
        <v>0</v>
      </c>
      <c r="IE783" s="827">
        <f t="shared" si="16983"/>
        <v>0</v>
      </c>
      <c r="IF783" s="715">
        <f t="shared" si="16983"/>
        <v>0</v>
      </c>
      <c r="IG783" s="704">
        <f t="shared" si="16983"/>
        <v>0</v>
      </c>
      <c r="IH783" s="716">
        <f t="shared" si="16983"/>
        <v>0</v>
      </c>
      <c r="II783" s="513">
        <f t="shared" si="16983"/>
        <v>0</v>
      </c>
      <c r="IJ783" s="513">
        <f t="shared" si="16983"/>
        <v>0</v>
      </c>
      <c r="IK783" s="513">
        <f t="shared" si="16983"/>
        <v>0</v>
      </c>
      <c r="IL783" s="513">
        <f t="shared" si="16983"/>
        <v>0</v>
      </c>
      <c r="IM783" s="513">
        <f t="shared" si="16983"/>
        <v>0</v>
      </c>
      <c r="IN783" s="513">
        <f t="shared" si="16983"/>
        <v>0</v>
      </c>
      <c r="IO783" s="513">
        <f t="shared" si="16983"/>
        <v>0</v>
      </c>
      <c r="IP783" s="513">
        <f t="shared" si="16983"/>
        <v>0</v>
      </c>
      <c r="IQ783" s="513">
        <f t="shared" si="16983"/>
        <v>0</v>
      </c>
      <c r="IR783" s="513">
        <f t="shared" si="16983"/>
        <v>0</v>
      </c>
      <c r="IS783" s="513">
        <f t="shared" si="16983"/>
        <v>0</v>
      </c>
      <c r="IT783" s="513">
        <f t="shared" si="16983"/>
        <v>0</v>
      </c>
      <c r="IU783" s="513">
        <f t="shared" si="16983"/>
        <v>0</v>
      </c>
      <c r="IV783" s="513">
        <f t="shared" si="16983"/>
        <v>0</v>
      </c>
      <c r="IW783" s="513">
        <f t="shared" si="16983"/>
        <v>0</v>
      </c>
      <c r="IX783" s="513">
        <f t="shared" si="16983"/>
        <v>0</v>
      </c>
      <c r="IY783" s="513">
        <f t="shared" si="16983"/>
        <v>0</v>
      </c>
      <c r="IZ783" s="513">
        <f t="shared" si="16983"/>
        <v>0</v>
      </c>
      <c r="JA783" s="513">
        <f t="shared" ref="JA783:JC783" si="16984">SUM(JA784:JA788)</f>
        <v>0</v>
      </c>
      <c r="JB783" s="513">
        <f t="shared" si="16984"/>
        <v>0</v>
      </c>
      <c r="JC783" s="513">
        <f t="shared" si="16984"/>
        <v>0</v>
      </c>
      <c r="JD783" s="513">
        <f t="shared" ref="JD783:JF783" si="16985">SUM(JD784:JD788)</f>
        <v>0</v>
      </c>
      <c r="JE783" s="513">
        <f t="shared" si="16985"/>
        <v>0</v>
      </c>
      <c r="JF783" s="513">
        <f t="shared" si="16985"/>
        <v>0</v>
      </c>
      <c r="JG783" s="513">
        <f t="shared" ref="JG783:JI783" si="16986">SUM(JG784:JG788)</f>
        <v>0</v>
      </c>
      <c r="JH783" s="513">
        <f t="shared" si="16986"/>
        <v>0</v>
      </c>
      <c r="JI783" s="513">
        <f t="shared" si="16986"/>
        <v>0</v>
      </c>
      <c r="JJ783" s="513">
        <f t="shared" ref="JJ783:JL783" si="16987">SUM(JJ784:JJ788)</f>
        <v>0</v>
      </c>
      <c r="JK783" s="513">
        <f t="shared" si="16987"/>
        <v>0</v>
      </c>
      <c r="JL783" s="513">
        <f t="shared" si="16987"/>
        <v>0</v>
      </c>
      <c r="JM783" s="513">
        <f t="shared" ref="JM783:JO783" si="16988">SUM(JM784:JM788)</f>
        <v>0</v>
      </c>
      <c r="JN783" s="513">
        <f t="shared" si="16988"/>
        <v>0</v>
      </c>
      <c r="JO783" s="513">
        <f t="shared" si="16988"/>
        <v>0</v>
      </c>
      <c r="JP783" s="513">
        <f t="shared" ref="JP783:JX783" si="16989">SUM(JP784:JP788)</f>
        <v>0</v>
      </c>
      <c r="JQ783" s="513">
        <f t="shared" si="16989"/>
        <v>0</v>
      </c>
      <c r="JR783" s="513">
        <f t="shared" si="16989"/>
        <v>0</v>
      </c>
      <c r="JS783" s="513">
        <f>SUM(JS784:JS788)</f>
        <v>10000</v>
      </c>
      <c r="JT783" s="573">
        <f t="shared" si="16989"/>
        <v>10000</v>
      </c>
      <c r="JU783" s="665"/>
      <c r="JV783" s="524"/>
      <c r="JW783" s="525"/>
      <c r="JX783" s="567">
        <f t="shared" si="16989"/>
        <v>0</v>
      </c>
      <c r="JY783" s="513">
        <f>SUM(JY784:JY788)</f>
        <v>140000</v>
      </c>
      <c r="JZ783" s="513">
        <f t="shared" ref="JZ783:KB783" si="16990">SUM(JZ784:JZ788)</f>
        <v>0</v>
      </c>
      <c r="KA783" s="513">
        <f t="shared" si="16990"/>
        <v>-130000</v>
      </c>
      <c r="KB783" s="513">
        <f t="shared" si="16990"/>
        <v>10000</v>
      </c>
      <c r="KC783" s="709">
        <f t="shared" si="16464"/>
        <v>0</v>
      </c>
      <c r="KD783" s="491"/>
      <c r="KE783" s="491"/>
      <c r="KF783" s="491"/>
      <c r="KG783" s="491"/>
      <c r="KH783" s="36"/>
      <c r="KI783" s="36"/>
      <c r="KJ783" s="36"/>
      <c r="KK783" s="36"/>
    </row>
    <row r="784" spans="1:297" s="10" customFormat="1">
      <c r="A784" s="612" t="s">
        <v>761</v>
      </c>
      <c r="B784" s="512" t="s">
        <v>984</v>
      </c>
      <c r="C784" s="74">
        <v>10000</v>
      </c>
      <c r="D784" s="549">
        <v>0</v>
      </c>
      <c r="E784" s="675">
        <v>0</v>
      </c>
      <c r="F784" s="549">
        <v>0</v>
      </c>
      <c r="G784" s="675">
        <v>0</v>
      </c>
      <c r="H784" s="549">
        <v>0</v>
      </c>
      <c r="I784" s="675">
        <v>0</v>
      </c>
      <c r="J784" s="549">
        <v>0</v>
      </c>
      <c r="K784" s="675">
        <v>0</v>
      </c>
      <c r="L784" s="549">
        <v>0</v>
      </c>
      <c r="M784" s="675">
        <v>0</v>
      </c>
      <c r="N784" s="549">
        <v>0</v>
      </c>
      <c r="O784" s="675">
        <v>0</v>
      </c>
      <c r="P784" s="549">
        <v>0</v>
      </c>
      <c r="Q784" s="675">
        <v>0</v>
      </c>
      <c r="R784" s="549">
        <v>0</v>
      </c>
      <c r="S784" s="675">
        <v>0</v>
      </c>
      <c r="T784" s="549">
        <v>0</v>
      </c>
      <c r="U784" s="675">
        <v>0</v>
      </c>
      <c r="V784" s="549">
        <v>0</v>
      </c>
      <c r="W784" s="675">
        <v>0</v>
      </c>
      <c r="X784" s="549">
        <v>0</v>
      </c>
      <c r="Y784" s="675">
        <v>0</v>
      </c>
      <c r="Z784" s="549">
        <v>0</v>
      </c>
      <c r="AA784" s="675">
        <v>0</v>
      </c>
      <c r="AB784" s="549">
        <v>0</v>
      </c>
      <c r="AC784" s="675">
        <v>0</v>
      </c>
      <c r="AD784" s="549">
        <v>0</v>
      </c>
      <c r="AE784" s="675">
        <v>0</v>
      </c>
      <c r="AF784" s="549">
        <v>0</v>
      </c>
      <c r="AG784" s="675">
        <v>0</v>
      </c>
      <c r="AH784" s="549">
        <v>0</v>
      </c>
      <c r="AI784" s="675">
        <v>0</v>
      </c>
      <c r="AJ784" s="549">
        <v>0</v>
      </c>
      <c r="AK784" s="675">
        <v>0</v>
      </c>
      <c r="AL784" s="549">
        <v>0</v>
      </c>
      <c r="AM784" s="675">
        <v>0</v>
      </c>
      <c r="AN784" s="549">
        <v>0</v>
      </c>
      <c r="AO784" s="675">
        <v>0</v>
      </c>
      <c r="AP784" s="549">
        <v>0</v>
      </c>
      <c r="AQ784" s="675">
        <v>0</v>
      </c>
      <c r="AR784" s="549">
        <v>0</v>
      </c>
      <c r="AS784" s="675">
        <v>0</v>
      </c>
      <c r="AT784" s="549">
        <v>0</v>
      </c>
      <c r="AU784" s="675">
        <v>0</v>
      </c>
      <c r="AV784" s="549">
        <v>0</v>
      </c>
      <c r="AW784" s="675">
        <v>0</v>
      </c>
      <c r="AX784" s="549">
        <v>0</v>
      </c>
      <c r="AY784" s="675">
        <v>0</v>
      </c>
      <c r="AZ784" s="549">
        <v>0</v>
      </c>
      <c r="BA784" s="675">
        <v>0</v>
      </c>
      <c r="BB784" s="549">
        <v>0</v>
      </c>
      <c r="BC784" s="675">
        <v>0</v>
      </c>
      <c r="BD784" s="549">
        <v>0</v>
      </c>
      <c r="BE784" s="675">
        <v>0</v>
      </c>
      <c r="BF784" s="549">
        <v>0</v>
      </c>
      <c r="BG784" s="675">
        <v>0</v>
      </c>
      <c r="BH784" s="549">
        <v>0</v>
      </c>
      <c r="BI784" s="675">
        <v>0</v>
      </c>
      <c r="BJ784" s="549">
        <v>0</v>
      </c>
      <c r="BK784" s="675">
        <v>0</v>
      </c>
      <c r="BL784" s="549">
        <v>0</v>
      </c>
      <c r="BM784" s="675">
        <v>0</v>
      </c>
      <c r="BN784" s="549">
        <v>0</v>
      </c>
      <c r="BO784" s="675">
        <v>0</v>
      </c>
      <c r="BP784" s="549">
        <v>0</v>
      </c>
      <c r="BQ784" s="675">
        <v>0</v>
      </c>
      <c r="BR784" s="549">
        <v>0</v>
      </c>
      <c r="BS784" s="675">
        <v>0</v>
      </c>
      <c r="BT784" s="549">
        <v>0</v>
      </c>
      <c r="BU784" s="675">
        <v>0</v>
      </c>
      <c r="BV784" s="549">
        <v>0</v>
      </c>
      <c r="BW784" s="675">
        <v>0</v>
      </c>
      <c r="BX784" s="549">
        <v>0</v>
      </c>
      <c r="BY784" s="675">
        <v>0</v>
      </c>
      <c r="BZ784" s="549">
        <v>0</v>
      </c>
      <c r="CA784" s="675">
        <v>0</v>
      </c>
      <c r="CB784" s="549">
        <v>0</v>
      </c>
      <c r="CC784" s="675">
        <v>0</v>
      </c>
      <c r="CD784" s="549">
        <v>0</v>
      </c>
      <c r="CE784" s="675">
        <v>0</v>
      </c>
      <c r="CF784" s="549">
        <v>0</v>
      </c>
      <c r="CG784" s="675">
        <v>0</v>
      </c>
      <c r="CH784" s="549">
        <v>0</v>
      </c>
      <c r="CI784" s="675">
        <v>0</v>
      </c>
      <c r="CJ784" s="549">
        <v>0</v>
      </c>
      <c r="CK784" s="675">
        <v>0</v>
      </c>
      <c r="CL784" s="549">
        <v>0</v>
      </c>
      <c r="CM784" s="675">
        <v>0</v>
      </c>
      <c r="CN784" s="549">
        <v>0</v>
      </c>
      <c r="CO784" s="675">
        <v>0</v>
      </c>
      <c r="CP784" s="549">
        <v>0</v>
      </c>
      <c r="CQ784" s="675">
        <v>0</v>
      </c>
      <c r="CR784" s="549">
        <v>0</v>
      </c>
      <c r="CS784" s="675">
        <v>0</v>
      </c>
      <c r="CT784" s="549">
        <v>0</v>
      </c>
      <c r="CU784" s="675">
        <v>0</v>
      </c>
      <c r="CV784" s="549">
        <v>0</v>
      </c>
      <c r="CW784" s="675">
        <v>0</v>
      </c>
      <c r="CX784" s="549">
        <v>0</v>
      </c>
      <c r="CY784" s="675">
        <v>0</v>
      </c>
      <c r="CZ784" s="549">
        <v>0</v>
      </c>
      <c r="DA784" s="675">
        <v>0</v>
      </c>
      <c r="DB784" s="549">
        <v>0</v>
      </c>
      <c r="DC784" s="675">
        <v>0</v>
      </c>
      <c r="DD784" s="549">
        <v>0</v>
      </c>
      <c r="DE784" s="675">
        <v>0</v>
      </c>
      <c r="DF784" s="549">
        <v>0</v>
      </c>
      <c r="DG784" s="675">
        <v>0</v>
      </c>
      <c r="DH784" s="549">
        <v>0</v>
      </c>
      <c r="DI784" s="675">
        <v>0</v>
      </c>
      <c r="DJ784" s="549">
        <v>0</v>
      </c>
      <c r="DK784" s="675">
        <v>0</v>
      </c>
      <c r="DL784" s="549">
        <v>0</v>
      </c>
      <c r="DM784" s="675">
        <v>0</v>
      </c>
      <c r="DN784" s="549">
        <v>0</v>
      </c>
      <c r="DO784" s="675">
        <v>0</v>
      </c>
      <c r="DP784" s="549">
        <v>0</v>
      </c>
      <c r="DQ784" s="675">
        <v>0</v>
      </c>
      <c r="DR784" s="549">
        <v>0</v>
      </c>
      <c r="DS784" s="675">
        <v>0</v>
      </c>
      <c r="DT784" s="549">
        <v>0</v>
      </c>
      <c r="DU784" s="675">
        <v>0</v>
      </c>
      <c r="DV784" s="549">
        <v>0</v>
      </c>
      <c r="DW784" s="675">
        <v>0</v>
      </c>
      <c r="DX784" s="549">
        <v>0</v>
      </c>
      <c r="DY784" s="675">
        <v>0</v>
      </c>
      <c r="DZ784" s="549">
        <v>0</v>
      </c>
      <c r="EA784" s="675">
        <v>0</v>
      </c>
      <c r="EB784" s="549">
        <v>0</v>
      </c>
      <c r="EC784" s="675">
        <v>0</v>
      </c>
      <c r="ED784" s="549">
        <v>0</v>
      </c>
      <c r="EE784" s="675">
        <v>0</v>
      </c>
      <c r="EF784" s="549">
        <v>0</v>
      </c>
      <c r="EG784" s="675">
        <v>0</v>
      </c>
      <c r="EH784" s="549">
        <v>0</v>
      </c>
      <c r="EI784" s="675">
        <v>0</v>
      </c>
      <c r="EJ784" s="549">
        <v>0</v>
      </c>
      <c r="EK784" s="675">
        <v>0</v>
      </c>
      <c r="EL784" s="549">
        <v>0</v>
      </c>
      <c r="EM784" s="675">
        <v>0</v>
      </c>
      <c r="EN784" s="549">
        <v>0</v>
      </c>
      <c r="EO784" s="675">
        <v>0</v>
      </c>
      <c r="EP784" s="549">
        <v>0</v>
      </c>
      <c r="EQ784" s="675">
        <v>0</v>
      </c>
      <c r="ER784" s="549">
        <v>0</v>
      </c>
      <c r="ES784" s="675">
        <v>0</v>
      </c>
      <c r="ET784" s="549">
        <v>0</v>
      </c>
      <c r="EU784" s="675">
        <v>0</v>
      </c>
      <c r="EV784" s="549">
        <v>0</v>
      </c>
      <c r="EW784" s="675">
        <v>0</v>
      </c>
      <c r="EX784" s="549">
        <v>0</v>
      </c>
      <c r="EY784" s="675">
        <v>0</v>
      </c>
      <c r="EZ784" s="549">
        <v>0</v>
      </c>
      <c r="FA784" s="675">
        <v>0</v>
      </c>
      <c r="FB784" s="549">
        <v>0</v>
      </c>
      <c r="FC784" s="675">
        <v>0</v>
      </c>
      <c r="FD784" s="549">
        <v>0</v>
      </c>
      <c r="FE784" s="675">
        <v>0</v>
      </c>
      <c r="FF784" s="549">
        <v>0</v>
      </c>
      <c r="FG784" s="675">
        <v>0</v>
      </c>
      <c r="FH784" s="549">
        <v>0</v>
      </c>
      <c r="FI784" s="675">
        <v>0</v>
      </c>
      <c r="FJ784" s="549">
        <v>0</v>
      </c>
      <c r="FK784" s="675">
        <v>0</v>
      </c>
      <c r="FL784" s="549">
        <v>0</v>
      </c>
      <c r="FM784" s="675">
        <v>0</v>
      </c>
      <c r="FN784" s="549">
        <v>0</v>
      </c>
      <c r="FO784" s="675">
        <v>0</v>
      </c>
      <c r="FP784" s="549">
        <v>0</v>
      </c>
      <c r="FQ784" s="675">
        <v>0</v>
      </c>
      <c r="FR784" s="549">
        <v>0</v>
      </c>
      <c r="FS784" s="675">
        <v>0</v>
      </c>
      <c r="FT784" s="549">
        <v>0</v>
      </c>
      <c r="FU784" s="675">
        <v>0</v>
      </c>
      <c r="FV784" s="549">
        <v>0</v>
      </c>
      <c r="FW784" s="675">
        <v>0</v>
      </c>
      <c r="FX784" s="549">
        <v>0</v>
      </c>
      <c r="FY784" s="675">
        <v>0</v>
      </c>
      <c r="FZ784" s="549">
        <v>0</v>
      </c>
      <c r="GA784" s="675">
        <v>0</v>
      </c>
      <c r="GB784" s="549">
        <v>0</v>
      </c>
      <c r="GC784" s="675">
        <v>0</v>
      </c>
      <c r="GD784" s="549">
        <v>0</v>
      </c>
      <c r="GE784" s="675">
        <v>0</v>
      </c>
      <c r="GF784" s="549">
        <v>0</v>
      </c>
      <c r="GG784" s="675">
        <v>0</v>
      </c>
      <c r="GH784" s="549">
        <v>0</v>
      </c>
      <c r="GI784" s="675">
        <v>0</v>
      </c>
      <c r="GJ784" s="549">
        <v>0</v>
      </c>
      <c r="GK784" s="675">
        <v>0</v>
      </c>
      <c r="GL784" s="549">
        <v>0</v>
      </c>
      <c r="GM784" s="675">
        <v>0</v>
      </c>
      <c r="GN784" s="549">
        <v>0</v>
      </c>
      <c r="GO784" s="675">
        <v>0</v>
      </c>
      <c r="GP784" s="549">
        <f t="shared" ref="GP784:GP788" si="16991">+D784+F784+H784+J784+L784+N784+P784+R784+T784+V784+X784+Z784+AB784+AF784+AD784+AH784+AJ784+AL784+AN784+AP784+AR784+AT784+AV784+AX784+AZ784+BB784+BD784+BF784+BH784+BJ784+BL784+BN784+BP784+BR784+BT784+BV784+BX784+BZ784+CB784+CD784+CF784+CH784+CJ784+CL784+CN784+CP784+CR784+CT784+CV784+CX784+CZ784+DB784+DD784+DF784+DH784+DT784+EX784+DJ784+DL784+DN784+DP784+DR784+EJ784+EB784+DZ784+DX784+DV784+ED784+EF784+EH784+EL784+EN784+EP784+EV784+ET784+ER784+EZ784+FB784+FD784+GL784+FF784+FJ784+FL784+GJ784+FT784+FR784+FP784+FN784+FH784+GH784+GF784+GD784+GB784+FZ784+FX784+FV784+GN784</f>
        <v>0</v>
      </c>
      <c r="GQ784" s="675">
        <f t="shared" ref="GQ784:GQ788" si="16992">+E784+G784+I784+K784+M784+O784+Q784+S784+U784+W784+Y784+AA784+AC784+AE784+AG784+AI784+AK784+AM784+AO784+AQ784+AS784+AU784+AW784+AY784+BA784+BC784+BE784+BG784+BI784+BK784+BM784+BO784+BQ784+BS784+BU784+BW784+BY784+CA784+CC784+CE784+CG784+CI784+CK784+CM784+CO784+CQ784+CS784+CU784+CW784+CY784+DA784+DC784+DE784+DG784+DI784+DU784+EY784+DK784+DM784+DO784+DQ784+DS784+EK784+EC784+EA784+DY784+DW784+EI784+EG784+EE784+EM784+EO784+EQ784+EW784+EU784+ES784+FA784+FC784+FE784+GM784+FG784+FK784+FM784+FO784+FQ784+FS784+FU784+GK784+FI784+GI784+GG784+GE784+GC784+GA784+FY784+FW784+GO784</f>
        <v>0</v>
      </c>
      <c r="GR784" s="74">
        <f>C784+GP784+GQ784</f>
        <v>10000</v>
      </c>
      <c r="GS784" s="74">
        <f t="shared" ref="GS784:GS788" si="16993">SUM(GU784:HD784)+GP784+GQ784</f>
        <v>10000</v>
      </c>
      <c r="GT784" s="568">
        <f t="shared" ref="GT784:GT788" si="16994">SUM(GU784:HF784)+GQ784+GP784</f>
        <v>10000</v>
      </c>
      <c r="GU784" s="275">
        <v>2000</v>
      </c>
      <c r="GV784" s="275"/>
      <c r="GW784" s="588"/>
      <c r="GX784" s="275">
        <v>3000</v>
      </c>
      <c r="GY784" s="275">
        <v>5000</v>
      </c>
      <c r="GZ784" s="275"/>
      <c r="HA784" s="275">
        <f>3000-3000</f>
        <v>0</v>
      </c>
      <c r="HB784" s="275"/>
      <c r="HC784" s="275"/>
      <c r="HD784" s="275">
        <f>2000-2000</f>
        <v>0</v>
      </c>
      <c r="HE784" s="275">
        <v>0</v>
      </c>
      <c r="HF784" s="275">
        <v>0</v>
      </c>
      <c r="HG784" s="74">
        <f t="shared" ref="HG784:HG788" si="16995">SUM(HH784:IE784)+GP784+GQ784</f>
        <v>10000</v>
      </c>
      <c r="HH784" s="89">
        <v>0</v>
      </c>
      <c r="HI784" s="157">
        <v>0</v>
      </c>
      <c r="HJ784" s="89">
        <v>0</v>
      </c>
      <c r="HK784" s="157">
        <v>0</v>
      </c>
      <c r="HL784" s="89">
        <v>0</v>
      </c>
      <c r="HM784" s="157">
        <v>0</v>
      </c>
      <c r="HN784" s="89">
        <v>0</v>
      </c>
      <c r="HO784" s="157">
        <v>5000</v>
      </c>
      <c r="HP784" s="89">
        <v>0</v>
      </c>
      <c r="HQ784" s="157">
        <v>0</v>
      </c>
      <c r="HR784" s="89">
        <v>0</v>
      </c>
      <c r="HS784" s="157">
        <v>0</v>
      </c>
      <c r="HT784" s="89">
        <v>0</v>
      </c>
      <c r="HU784" s="157">
        <v>0</v>
      </c>
      <c r="HV784" s="89">
        <v>0</v>
      </c>
      <c r="HW784" s="157">
        <v>0</v>
      </c>
      <c r="HX784" s="89">
        <v>0</v>
      </c>
      <c r="HY784" s="157">
        <v>0</v>
      </c>
      <c r="HZ784" s="89">
        <v>0</v>
      </c>
      <c r="IA784" s="157">
        <v>5000</v>
      </c>
      <c r="IB784" s="89">
        <v>0</v>
      </c>
      <c r="IC784" s="157">
        <v>0</v>
      </c>
      <c r="ID784" s="89">
        <v>0</v>
      </c>
      <c r="IE784" s="157">
        <v>0</v>
      </c>
      <c r="IF784" s="717">
        <f t="shared" ref="IF784:IF788" si="16996">SUM(II784,IL784,IO784,IR784,IU784,IX784,JA784,JD784,JG784,JJ784,JM784,JP784)</f>
        <v>0</v>
      </c>
      <c r="IG784" s="263">
        <f t="shared" ref="IG784:IG788" si="16997">SUM(IJ784,IM784,IP784,IS784,IV784,IY784,JB784,JE784,JH784,JK784,JN784,JQ784)</f>
        <v>0</v>
      </c>
      <c r="IH784" s="718">
        <f t="shared" ref="IH784:IH788" si="16998">SUM(IK784,IN784,IQ784,IT784,IW784,IZ784,JC784,JF784,JI784,JL784,JO784,JR784)</f>
        <v>0</v>
      </c>
      <c r="II784" s="89">
        <v>0</v>
      </c>
      <c r="IJ784" s="89">
        <f t="shared" ref="IJ784:IJ788" si="16999">II784</f>
        <v>0</v>
      </c>
      <c r="IK784" s="89">
        <f t="shared" ref="IK784:IK788" si="17000">IJ784</f>
        <v>0</v>
      </c>
      <c r="IL784" s="89">
        <v>0</v>
      </c>
      <c r="IM784" s="89">
        <f t="shared" ref="IM784:IM788" si="17001">IL784</f>
        <v>0</v>
      </c>
      <c r="IN784" s="89">
        <f t="shared" ref="IN784:IN788" si="17002">IM784</f>
        <v>0</v>
      </c>
      <c r="IO784" s="89">
        <v>0</v>
      </c>
      <c r="IP784" s="89">
        <f t="shared" ref="IP784:IP788" si="17003">IO784</f>
        <v>0</v>
      </c>
      <c r="IQ784" s="89">
        <f t="shared" ref="IQ784:IQ788" si="17004">IP784</f>
        <v>0</v>
      </c>
      <c r="IR784" s="89">
        <v>0</v>
      </c>
      <c r="IS784" s="89">
        <f t="shared" ref="IS784:IS788" si="17005">IR784</f>
        <v>0</v>
      </c>
      <c r="IT784" s="89">
        <f t="shared" ref="IT784:IT788" si="17006">IS784</f>
        <v>0</v>
      </c>
      <c r="IU784" s="89">
        <v>0</v>
      </c>
      <c r="IV784" s="89">
        <f t="shared" ref="IV784:IV788" si="17007">IU784</f>
        <v>0</v>
      </c>
      <c r="IW784" s="89">
        <f t="shared" ref="IW784:IW788" si="17008">IV784</f>
        <v>0</v>
      </c>
      <c r="IX784" s="89">
        <v>0</v>
      </c>
      <c r="IY784" s="89">
        <f t="shared" ref="IY784:IY788" si="17009">IX784</f>
        <v>0</v>
      </c>
      <c r="IZ784" s="89">
        <f t="shared" ref="IZ784:IZ788" si="17010">IY784</f>
        <v>0</v>
      </c>
      <c r="JA784" s="89">
        <v>0</v>
      </c>
      <c r="JB784" s="89">
        <f t="shared" ref="JB784:JB788" si="17011">JA784</f>
        <v>0</v>
      </c>
      <c r="JC784" s="89">
        <f t="shared" ref="JC784:JC788" si="17012">JB784</f>
        <v>0</v>
      </c>
      <c r="JD784" s="89">
        <v>0</v>
      </c>
      <c r="JE784" s="89">
        <f t="shared" ref="JE784:JE788" si="17013">JD784</f>
        <v>0</v>
      </c>
      <c r="JF784" s="89">
        <f t="shared" ref="JF784:JF788" si="17014">JE784</f>
        <v>0</v>
      </c>
      <c r="JG784" s="89">
        <v>0</v>
      </c>
      <c r="JH784" s="89">
        <f t="shared" ref="JH784:JH788" si="17015">JG784</f>
        <v>0</v>
      </c>
      <c r="JI784" s="89">
        <f t="shared" ref="JI784:JI788" si="17016">JH784</f>
        <v>0</v>
      </c>
      <c r="JJ784" s="89">
        <v>0</v>
      </c>
      <c r="JK784" s="89">
        <f t="shared" ref="JK784:JK788" si="17017">JJ784</f>
        <v>0</v>
      </c>
      <c r="JL784" s="89">
        <f t="shared" ref="JL784:JL788" si="17018">JK784</f>
        <v>0</v>
      </c>
      <c r="JM784" s="89">
        <v>0</v>
      </c>
      <c r="JN784" s="89">
        <f t="shared" ref="JN784:JN788" si="17019">JM784</f>
        <v>0</v>
      </c>
      <c r="JO784" s="89">
        <f t="shared" ref="JO784:JO788" si="17020">JN784</f>
        <v>0</v>
      </c>
      <c r="JP784" s="89">
        <v>0</v>
      </c>
      <c r="JQ784" s="89">
        <f t="shared" ref="JQ784:JR784" si="17021">JP784</f>
        <v>0</v>
      </c>
      <c r="JR784" s="89">
        <f t="shared" si="17021"/>
        <v>0</v>
      </c>
      <c r="JS784" s="74">
        <f>HG784-IF784</f>
        <v>10000</v>
      </c>
      <c r="JT784" s="382">
        <f>GS784-IF784</f>
        <v>10000</v>
      </c>
      <c r="JU784" s="665"/>
      <c r="JV784" s="524"/>
      <c r="JW784" s="525"/>
      <c r="JX784" s="549">
        <f>SUM(HH784,HJ784,HL784,HN784,HP784,HR784,HT784,HV784,HX784,HZ784,IB784,ID784)</f>
        <v>0</v>
      </c>
      <c r="JY784" s="549">
        <f t="shared" si="15767"/>
        <v>10000</v>
      </c>
      <c r="JZ784" s="581">
        <f t="shared" si="16466"/>
        <v>0</v>
      </c>
      <c r="KA784" s="581">
        <f t="shared" si="16467"/>
        <v>0</v>
      </c>
      <c r="KB784" s="566">
        <f t="shared" si="15406"/>
        <v>10000</v>
      </c>
      <c r="KC784" s="709">
        <f t="shared" si="16464"/>
        <v>0</v>
      </c>
      <c r="KD784" s="491"/>
      <c r="KE784" s="491"/>
      <c r="KF784" s="491"/>
      <c r="KG784" s="491"/>
      <c r="KH784" s="36"/>
      <c r="KI784" s="36"/>
      <c r="KJ784" s="36"/>
      <c r="KK784" s="36"/>
    </row>
    <row r="785" spans="1:297" s="10" customFormat="1" ht="12.75" hidden="1" customHeight="1">
      <c r="A785" s="612" t="s">
        <v>1115</v>
      </c>
      <c r="B785" s="512"/>
      <c r="C785" s="74">
        <v>0</v>
      </c>
      <c r="D785" s="549">
        <v>0</v>
      </c>
      <c r="E785" s="675">
        <v>0</v>
      </c>
      <c r="F785" s="549">
        <v>0</v>
      </c>
      <c r="G785" s="675">
        <v>0</v>
      </c>
      <c r="H785" s="549">
        <v>0</v>
      </c>
      <c r="I785" s="675">
        <v>0</v>
      </c>
      <c r="J785" s="549">
        <v>0</v>
      </c>
      <c r="K785" s="675">
        <v>0</v>
      </c>
      <c r="L785" s="549">
        <v>0</v>
      </c>
      <c r="M785" s="675">
        <v>0</v>
      </c>
      <c r="N785" s="549">
        <v>0</v>
      </c>
      <c r="O785" s="675">
        <v>0</v>
      </c>
      <c r="P785" s="549">
        <v>0</v>
      </c>
      <c r="Q785" s="675">
        <v>0</v>
      </c>
      <c r="R785" s="549">
        <v>0</v>
      </c>
      <c r="S785" s="675">
        <v>0</v>
      </c>
      <c r="T785" s="549">
        <v>0</v>
      </c>
      <c r="U785" s="675">
        <v>0</v>
      </c>
      <c r="V785" s="549">
        <v>0</v>
      </c>
      <c r="W785" s="675">
        <v>0</v>
      </c>
      <c r="X785" s="549">
        <v>0</v>
      </c>
      <c r="Y785" s="675">
        <v>0</v>
      </c>
      <c r="Z785" s="549">
        <v>0</v>
      </c>
      <c r="AA785" s="675">
        <v>0</v>
      </c>
      <c r="AB785" s="549">
        <v>0</v>
      </c>
      <c r="AC785" s="675">
        <v>0</v>
      </c>
      <c r="AD785" s="549">
        <v>0</v>
      </c>
      <c r="AE785" s="675">
        <v>0</v>
      </c>
      <c r="AF785" s="549">
        <v>0</v>
      </c>
      <c r="AG785" s="675">
        <v>0</v>
      </c>
      <c r="AH785" s="549">
        <v>0</v>
      </c>
      <c r="AI785" s="675">
        <v>0</v>
      </c>
      <c r="AJ785" s="549">
        <v>0</v>
      </c>
      <c r="AK785" s="675">
        <v>0</v>
      </c>
      <c r="AL785" s="549">
        <v>0</v>
      </c>
      <c r="AM785" s="675">
        <v>0</v>
      </c>
      <c r="AN785" s="549">
        <v>0</v>
      </c>
      <c r="AO785" s="675">
        <v>0</v>
      </c>
      <c r="AP785" s="549">
        <v>0</v>
      </c>
      <c r="AQ785" s="675">
        <v>0</v>
      </c>
      <c r="AR785" s="549">
        <v>0</v>
      </c>
      <c r="AS785" s="675">
        <v>0</v>
      </c>
      <c r="AT785" s="549">
        <v>0</v>
      </c>
      <c r="AU785" s="675">
        <v>0</v>
      </c>
      <c r="AV785" s="549">
        <v>0</v>
      </c>
      <c r="AW785" s="675">
        <v>0</v>
      </c>
      <c r="AX785" s="549">
        <v>0</v>
      </c>
      <c r="AY785" s="675">
        <v>0</v>
      </c>
      <c r="AZ785" s="549">
        <v>0</v>
      </c>
      <c r="BA785" s="675">
        <v>0</v>
      </c>
      <c r="BB785" s="549">
        <v>0</v>
      </c>
      <c r="BC785" s="675">
        <v>0</v>
      </c>
      <c r="BD785" s="549">
        <v>0</v>
      </c>
      <c r="BE785" s="675">
        <v>0</v>
      </c>
      <c r="BF785" s="549">
        <v>0</v>
      </c>
      <c r="BG785" s="675">
        <v>0</v>
      </c>
      <c r="BH785" s="549">
        <v>0</v>
      </c>
      <c r="BI785" s="675">
        <v>0</v>
      </c>
      <c r="BJ785" s="549">
        <v>0</v>
      </c>
      <c r="BK785" s="675">
        <v>0</v>
      </c>
      <c r="BL785" s="549">
        <v>0</v>
      </c>
      <c r="BM785" s="675">
        <v>0</v>
      </c>
      <c r="BN785" s="549">
        <v>0</v>
      </c>
      <c r="BO785" s="675">
        <v>0</v>
      </c>
      <c r="BP785" s="549">
        <v>0</v>
      </c>
      <c r="BQ785" s="675">
        <v>0</v>
      </c>
      <c r="BR785" s="549">
        <v>0</v>
      </c>
      <c r="BS785" s="675">
        <v>0</v>
      </c>
      <c r="BT785" s="549">
        <v>0</v>
      </c>
      <c r="BU785" s="675">
        <v>0</v>
      </c>
      <c r="BV785" s="549">
        <v>0</v>
      </c>
      <c r="BW785" s="675">
        <v>0</v>
      </c>
      <c r="BX785" s="549">
        <v>0</v>
      </c>
      <c r="BY785" s="675">
        <v>0</v>
      </c>
      <c r="BZ785" s="549">
        <v>0</v>
      </c>
      <c r="CA785" s="675">
        <v>0</v>
      </c>
      <c r="CB785" s="549">
        <v>0</v>
      </c>
      <c r="CC785" s="675">
        <v>0</v>
      </c>
      <c r="CD785" s="549">
        <v>0</v>
      </c>
      <c r="CE785" s="675">
        <v>0</v>
      </c>
      <c r="CF785" s="549">
        <v>0</v>
      </c>
      <c r="CG785" s="675">
        <v>0</v>
      </c>
      <c r="CH785" s="549">
        <v>0</v>
      </c>
      <c r="CI785" s="675">
        <v>0</v>
      </c>
      <c r="CJ785" s="549">
        <v>0</v>
      </c>
      <c r="CK785" s="675">
        <v>0</v>
      </c>
      <c r="CL785" s="549">
        <v>0</v>
      </c>
      <c r="CM785" s="675">
        <v>0</v>
      </c>
      <c r="CN785" s="549">
        <v>0</v>
      </c>
      <c r="CO785" s="675">
        <v>0</v>
      </c>
      <c r="CP785" s="549">
        <v>0</v>
      </c>
      <c r="CQ785" s="675">
        <v>0</v>
      </c>
      <c r="CR785" s="549">
        <v>0</v>
      </c>
      <c r="CS785" s="675">
        <v>0</v>
      </c>
      <c r="CT785" s="549">
        <v>0</v>
      </c>
      <c r="CU785" s="675">
        <v>0</v>
      </c>
      <c r="CV785" s="549">
        <v>0</v>
      </c>
      <c r="CW785" s="675">
        <v>0</v>
      </c>
      <c r="CX785" s="549">
        <v>0</v>
      </c>
      <c r="CY785" s="675">
        <v>0</v>
      </c>
      <c r="CZ785" s="549">
        <v>0</v>
      </c>
      <c r="DA785" s="675">
        <v>0</v>
      </c>
      <c r="DB785" s="549">
        <v>0</v>
      </c>
      <c r="DC785" s="675">
        <v>0</v>
      </c>
      <c r="DD785" s="549">
        <v>0</v>
      </c>
      <c r="DE785" s="675">
        <v>0</v>
      </c>
      <c r="DF785" s="549">
        <v>0</v>
      </c>
      <c r="DG785" s="675">
        <v>0</v>
      </c>
      <c r="DH785" s="549">
        <v>0</v>
      </c>
      <c r="DI785" s="675">
        <v>0</v>
      </c>
      <c r="DJ785" s="549">
        <v>0</v>
      </c>
      <c r="DK785" s="675">
        <v>0</v>
      </c>
      <c r="DL785" s="549">
        <v>0</v>
      </c>
      <c r="DM785" s="675">
        <v>0</v>
      </c>
      <c r="DN785" s="549">
        <v>0</v>
      </c>
      <c r="DO785" s="675">
        <v>0</v>
      </c>
      <c r="DP785" s="549">
        <v>0</v>
      </c>
      <c r="DQ785" s="675">
        <v>0</v>
      </c>
      <c r="DR785" s="549">
        <v>0</v>
      </c>
      <c r="DS785" s="675">
        <v>0</v>
      </c>
      <c r="DT785" s="549">
        <v>0</v>
      </c>
      <c r="DU785" s="675">
        <v>0</v>
      </c>
      <c r="DV785" s="549">
        <v>0</v>
      </c>
      <c r="DW785" s="675">
        <v>0</v>
      </c>
      <c r="DX785" s="549">
        <v>0</v>
      </c>
      <c r="DY785" s="675">
        <v>0</v>
      </c>
      <c r="DZ785" s="549">
        <v>0</v>
      </c>
      <c r="EA785" s="675">
        <v>0</v>
      </c>
      <c r="EB785" s="549">
        <v>0</v>
      </c>
      <c r="EC785" s="675">
        <v>0</v>
      </c>
      <c r="ED785" s="549">
        <v>0</v>
      </c>
      <c r="EE785" s="675">
        <v>0</v>
      </c>
      <c r="EF785" s="549">
        <v>0</v>
      </c>
      <c r="EG785" s="675">
        <v>0</v>
      </c>
      <c r="EH785" s="549">
        <v>0</v>
      </c>
      <c r="EI785" s="675">
        <v>0</v>
      </c>
      <c r="EJ785" s="549">
        <v>0</v>
      </c>
      <c r="EK785" s="675">
        <v>0</v>
      </c>
      <c r="EL785" s="549">
        <v>0</v>
      </c>
      <c r="EM785" s="675">
        <v>0</v>
      </c>
      <c r="EN785" s="549">
        <v>0</v>
      </c>
      <c r="EO785" s="675">
        <v>0</v>
      </c>
      <c r="EP785" s="549">
        <v>0</v>
      </c>
      <c r="EQ785" s="675">
        <v>0</v>
      </c>
      <c r="ER785" s="549">
        <v>0</v>
      </c>
      <c r="ES785" s="675">
        <v>0</v>
      </c>
      <c r="ET785" s="549">
        <v>0</v>
      </c>
      <c r="EU785" s="675">
        <v>0</v>
      </c>
      <c r="EV785" s="549">
        <v>0</v>
      </c>
      <c r="EW785" s="675">
        <v>0</v>
      </c>
      <c r="EX785" s="549">
        <v>0</v>
      </c>
      <c r="EY785" s="675">
        <v>0</v>
      </c>
      <c r="EZ785" s="549">
        <v>0</v>
      </c>
      <c r="FA785" s="675">
        <v>0</v>
      </c>
      <c r="FB785" s="549">
        <v>0</v>
      </c>
      <c r="FC785" s="675">
        <v>0</v>
      </c>
      <c r="FD785" s="549">
        <v>0</v>
      </c>
      <c r="FE785" s="675">
        <v>0</v>
      </c>
      <c r="FF785" s="549">
        <v>0</v>
      </c>
      <c r="FG785" s="675">
        <v>0</v>
      </c>
      <c r="FH785" s="549">
        <v>0</v>
      </c>
      <c r="FI785" s="675">
        <v>0</v>
      </c>
      <c r="FJ785" s="549">
        <v>0</v>
      </c>
      <c r="FK785" s="675">
        <v>0</v>
      </c>
      <c r="FL785" s="549">
        <v>0</v>
      </c>
      <c r="FM785" s="675">
        <v>0</v>
      </c>
      <c r="FN785" s="549">
        <v>0</v>
      </c>
      <c r="FO785" s="675">
        <v>0</v>
      </c>
      <c r="FP785" s="549">
        <v>0</v>
      </c>
      <c r="FQ785" s="675">
        <v>0</v>
      </c>
      <c r="FR785" s="549">
        <v>0</v>
      </c>
      <c r="FS785" s="675">
        <v>0</v>
      </c>
      <c r="FT785" s="549">
        <v>0</v>
      </c>
      <c r="FU785" s="675">
        <v>0</v>
      </c>
      <c r="FV785" s="549">
        <v>0</v>
      </c>
      <c r="FW785" s="675">
        <v>0</v>
      </c>
      <c r="FX785" s="549">
        <v>0</v>
      </c>
      <c r="FY785" s="675">
        <v>0</v>
      </c>
      <c r="FZ785" s="549">
        <v>0</v>
      </c>
      <c r="GA785" s="675">
        <v>0</v>
      </c>
      <c r="GB785" s="549">
        <v>0</v>
      </c>
      <c r="GC785" s="675">
        <v>0</v>
      </c>
      <c r="GD785" s="549">
        <v>0</v>
      </c>
      <c r="GE785" s="675">
        <v>0</v>
      </c>
      <c r="GF785" s="549">
        <v>0</v>
      </c>
      <c r="GG785" s="675">
        <v>0</v>
      </c>
      <c r="GH785" s="549">
        <v>0</v>
      </c>
      <c r="GI785" s="675">
        <v>0</v>
      </c>
      <c r="GJ785" s="549">
        <v>0</v>
      </c>
      <c r="GK785" s="675">
        <v>0</v>
      </c>
      <c r="GL785" s="549">
        <v>0</v>
      </c>
      <c r="GM785" s="675">
        <v>0</v>
      </c>
      <c r="GN785" s="549">
        <v>0</v>
      </c>
      <c r="GO785" s="675">
        <v>0</v>
      </c>
      <c r="GP785" s="549">
        <f t="shared" si="16991"/>
        <v>0</v>
      </c>
      <c r="GQ785" s="675">
        <f t="shared" si="16992"/>
        <v>0</v>
      </c>
      <c r="GR785" s="74">
        <f>C785+GP785+GQ785</f>
        <v>0</v>
      </c>
      <c r="GS785" s="74">
        <f t="shared" si="16993"/>
        <v>0</v>
      </c>
      <c r="GT785" s="568">
        <f t="shared" si="16994"/>
        <v>0</v>
      </c>
      <c r="GU785" s="275"/>
      <c r="GV785" s="275"/>
      <c r="GW785" s="588"/>
      <c r="GX785" s="275"/>
      <c r="GY785" s="275"/>
      <c r="GZ785" s="275"/>
      <c r="HA785" s="275"/>
      <c r="HB785" s="275"/>
      <c r="HC785" s="275"/>
      <c r="HD785" s="275"/>
      <c r="HE785" s="275"/>
      <c r="HF785" s="275"/>
      <c r="HG785" s="74">
        <f t="shared" si="16995"/>
        <v>0</v>
      </c>
      <c r="HH785" s="89">
        <v>0</v>
      </c>
      <c r="HI785" s="157">
        <v>0</v>
      </c>
      <c r="HJ785" s="89">
        <v>0</v>
      </c>
      <c r="HK785" s="157">
        <v>0</v>
      </c>
      <c r="HL785" s="89">
        <v>0</v>
      </c>
      <c r="HM785" s="157">
        <v>0</v>
      </c>
      <c r="HN785" s="89">
        <v>0</v>
      </c>
      <c r="HO785" s="157">
        <v>0</v>
      </c>
      <c r="HP785" s="89">
        <v>0</v>
      </c>
      <c r="HQ785" s="157">
        <v>0</v>
      </c>
      <c r="HR785" s="89">
        <v>0</v>
      </c>
      <c r="HS785" s="157">
        <v>0</v>
      </c>
      <c r="HT785" s="89">
        <v>0</v>
      </c>
      <c r="HU785" s="157">
        <v>0</v>
      </c>
      <c r="HV785" s="89">
        <v>0</v>
      </c>
      <c r="HW785" s="157">
        <v>0</v>
      </c>
      <c r="HX785" s="89">
        <v>0</v>
      </c>
      <c r="HY785" s="157">
        <v>0</v>
      </c>
      <c r="HZ785" s="89">
        <v>0</v>
      </c>
      <c r="IA785" s="157">
        <v>0</v>
      </c>
      <c r="IB785" s="89">
        <v>0</v>
      </c>
      <c r="IC785" s="157">
        <v>0</v>
      </c>
      <c r="ID785" s="89">
        <v>0</v>
      </c>
      <c r="IE785" s="157">
        <v>0</v>
      </c>
      <c r="IF785" s="717">
        <f t="shared" si="16996"/>
        <v>0</v>
      </c>
      <c r="IG785" s="263">
        <f t="shared" si="16997"/>
        <v>0</v>
      </c>
      <c r="IH785" s="718">
        <f t="shared" si="16998"/>
        <v>0</v>
      </c>
      <c r="II785" s="89">
        <v>0</v>
      </c>
      <c r="IJ785" s="89">
        <f t="shared" si="16999"/>
        <v>0</v>
      </c>
      <c r="IK785" s="89">
        <f t="shared" si="17000"/>
        <v>0</v>
      </c>
      <c r="IL785" s="89">
        <v>0</v>
      </c>
      <c r="IM785" s="89">
        <f t="shared" si="17001"/>
        <v>0</v>
      </c>
      <c r="IN785" s="89">
        <f t="shared" si="17002"/>
        <v>0</v>
      </c>
      <c r="IO785" s="89">
        <v>0</v>
      </c>
      <c r="IP785" s="89">
        <f t="shared" si="17003"/>
        <v>0</v>
      </c>
      <c r="IQ785" s="89">
        <f t="shared" si="17004"/>
        <v>0</v>
      </c>
      <c r="IR785" s="89">
        <v>0</v>
      </c>
      <c r="IS785" s="89">
        <f t="shared" si="17005"/>
        <v>0</v>
      </c>
      <c r="IT785" s="89">
        <f t="shared" si="17006"/>
        <v>0</v>
      </c>
      <c r="IU785" s="89">
        <v>0</v>
      </c>
      <c r="IV785" s="89">
        <f t="shared" si="17007"/>
        <v>0</v>
      </c>
      <c r="IW785" s="89">
        <f t="shared" si="17008"/>
        <v>0</v>
      </c>
      <c r="IX785" s="89">
        <v>0</v>
      </c>
      <c r="IY785" s="89">
        <f t="shared" si="17009"/>
        <v>0</v>
      </c>
      <c r="IZ785" s="89">
        <f t="shared" si="17010"/>
        <v>0</v>
      </c>
      <c r="JA785" s="89">
        <v>0</v>
      </c>
      <c r="JB785" s="89">
        <f t="shared" si="17011"/>
        <v>0</v>
      </c>
      <c r="JC785" s="89">
        <f t="shared" si="17012"/>
        <v>0</v>
      </c>
      <c r="JD785" s="89">
        <v>0</v>
      </c>
      <c r="JE785" s="89">
        <f t="shared" si="17013"/>
        <v>0</v>
      </c>
      <c r="JF785" s="89">
        <f t="shared" si="17014"/>
        <v>0</v>
      </c>
      <c r="JG785" s="89">
        <v>0</v>
      </c>
      <c r="JH785" s="89">
        <f t="shared" si="17015"/>
        <v>0</v>
      </c>
      <c r="JI785" s="89">
        <f t="shared" si="17016"/>
        <v>0</v>
      </c>
      <c r="JJ785" s="89">
        <v>0</v>
      </c>
      <c r="JK785" s="89">
        <f t="shared" si="17017"/>
        <v>0</v>
      </c>
      <c r="JL785" s="89">
        <f t="shared" si="17018"/>
        <v>0</v>
      </c>
      <c r="JM785" s="89">
        <v>0</v>
      </c>
      <c r="JN785" s="89">
        <f t="shared" si="17019"/>
        <v>0</v>
      </c>
      <c r="JO785" s="89">
        <f t="shared" si="17020"/>
        <v>0</v>
      </c>
      <c r="JP785" s="89">
        <v>0</v>
      </c>
      <c r="JQ785" s="89">
        <f t="shared" ref="JQ785:JR785" si="17022">JP785</f>
        <v>0</v>
      </c>
      <c r="JR785" s="89">
        <f t="shared" si="17022"/>
        <v>0</v>
      </c>
      <c r="JS785" s="74">
        <f>HG785-IF785</f>
        <v>0</v>
      </c>
      <c r="JT785" s="382">
        <f>GS785-IF785</f>
        <v>0</v>
      </c>
      <c r="JU785" s="665"/>
      <c r="JV785" s="524"/>
      <c r="JW785" s="525"/>
      <c r="JX785" s="549"/>
      <c r="JY785" s="549"/>
      <c r="JZ785" s="581"/>
      <c r="KA785" s="581"/>
      <c r="KB785" s="566">
        <f t="shared" si="15406"/>
        <v>0</v>
      </c>
      <c r="KC785" s="709">
        <f t="shared" si="16464"/>
        <v>0</v>
      </c>
      <c r="KD785" s="491"/>
      <c r="KE785" s="491"/>
      <c r="KF785" s="491"/>
      <c r="KG785" s="491"/>
      <c r="KH785" s="36"/>
      <c r="KI785" s="36"/>
      <c r="KJ785" s="36"/>
      <c r="KK785" s="36"/>
    </row>
    <row r="786" spans="1:297" s="10" customFormat="1">
      <c r="A786" s="612" t="s">
        <v>769</v>
      </c>
      <c r="B786" s="512" t="s">
        <v>985</v>
      </c>
      <c r="C786" s="74">
        <v>60000</v>
      </c>
      <c r="D786" s="549">
        <v>0</v>
      </c>
      <c r="E786" s="675">
        <v>0</v>
      </c>
      <c r="F786" s="549">
        <v>0</v>
      </c>
      <c r="G786" s="675">
        <v>0</v>
      </c>
      <c r="H786" s="549">
        <v>0</v>
      </c>
      <c r="I786" s="675">
        <v>0</v>
      </c>
      <c r="J786" s="549">
        <v>0</v>
      </c>
      <c r="K786" s="675">
        <v>0</v>
      </c>
      <c r="L786" s="549">
        <v>0</v>
      </c>
      <c r="M786" s="675">
        <v>0</v>
      </c>
      <c r="N786" s="549">
        <v>0</v>
      </c>
      <c r="O786" s="675">
        <v>0</v>
      </c>
      <c r="P786" s="549">
        <v>0</v>
      </c>
      <c r="Q786" s="675">
        <v>0</v>
      </c>
      <c r="R786" s="549">
        <v>0</v>
      </c>
      <c r="S786" s="675">
        <v>0</v>
      </c>
      <c r="T786" s="549">
        <v>0</v>
      </c>
      <c r="U786" s="675">
        <v>0</v>
      </c>
      <c r="V786" s="549">
        <v>0</v>
      </c>
      <c r="W786" s="675">
        <v>0</v>
      </c>
      <c r="X786" s="549">
        <v>0</v>
      </c>
      <c r="Y786" s="675">
        <v>0</v>
      </c>
      <c r="Z786" s="549">
        <v>0</v>
      </c>
      <c r="AA786" s="675">
        <v>0</v>
      </c>
      <c r="AB786" s="549">
        <v>0</v>
      </c>
      <c r="AC786" s="675">
        <v>0</v>
      </c>
      <c r="AD786" s="549">
        <v>0</v>
      </c>
      <c r="AE786" s="675">
        <v>0</v>
      </c>
      <c r="AF786" s="549">
        <v>0</v>
      </c>
      <c r="AG786" s="675">
        <v>0</v>
      </c>
      <c r="AH786" s="549">
        <v>0</v>
      </c>
      <c r="AI786" s="675">
        <v>0</v>
      </c>
      <c r="AJ786" s="549">
        <v>0</v>
      </c>
      <c r="AK786" s="675">
        <v>0</v>
      </c>
      <c r="AL786" s="549">
        <v>0</v>
      </c>
      <c r="AM786" s="675">
        <v>0</v>
      </c>
      <c r="AN786" s="549">
        <v>0</v>
      </c>
      <c r="AO786" s="675">
        <v>0</v>
      </c>
      <c r="AP786" s="549">
        <v>0</v>
      </c>
      <c r="AQ786" s="675">
        <v>0</v>
      </c>
      <c r="AR786" s="549">
        <v>0</v>
      </c>
      <c r="AS786" s="675">
        <v>0</v>
      </c>
      <c r="AT786" s="549">
        <v>0</v>
      </c>
      <c r="AU786" s="675">
        <v>0</v>
      </c>
      <c r="AV786" s="549">
        <v>0</v>
      </c>
      <c r="AW786" s="675">
        <v>0</v>
      </c>
      <c r="AX786" s="549">
        <v>0</v>
      </c>
      <c r="AY786" s="675">
        <v>0</v>
      </c>
      <c r="AZ786" s="549">
        <v>0</v>
      </c>
      <c r="BA786" s="675">
        <v>0</v>
      </c>
      <c r="BB786" s="549">
        <v>0</v>
      </c>
      <c r="BC786" s="675">
        <v>0</v>
      </c>
      <c r="BD786" s="549">
        <v>0</v>
      </c>
      <c r="BE786" s="675">
        <v>0</v>
      </c>
      <c r="BF786" s="549">
        <v>0</v>
      </c>
      <c r="BG786" s="675">
        <v>0</v>
      </c>
      <c r="BH786" s="549">
        <v>0</v>
      </c>
      <c r="BI786" s="675">
        <v>0</v>
      </c>
      <c r="BJ786" s="549">
        <v>0</v>
      </c>
      <c r="BK786" s="675">
        <v>0</v>
      </c>
      <c r="BL786" s="549">
        <v>0</v>
      </c>
      <c r="BM786" s="675">
        <v>0</v>
      </c>
      <c r="BN786" s="549">
        <v>0</v>
      </c>
      <c r="BO786" s="675">
        <v>0</v>
      </c>
      <c r="BP786" s="549">
        <v>0</v>
      </c>
      <c r="BQ786" s="675">
        <v>0</v>
      </c>
      <c r="BR786" s="549">
        <v>0</v>
      </c>
      <c r="BS786" s="675">
        <v>-60000</v>
      </c>
      <c r="BT786" s="549">
        <v>0</v>
      </c>
      <c r="BU786" s="675">
        <v>0</v>
      </c>
      <c r="BV786" s="549">
        <v>0</v>
      </c>
      <c r="BW786" s="675">
        <v>0</v>
      </c>
      <c r="BX786" s="549">
        <v>0</v>
      </c>
      <c r="BY786" s="675">
        <v>0</v>
      </c>
      <c r="BZ786" s="549">
        <v>0</v>
      </c>
      <c r="CA786" s="675">
        <v>0</v>
      </c>
      <c r="CB786" s="549">
        <v>0</v>
      </c>
      <c r="CC786" s="675">
        <v>0</v>
      </c>
      <c r="CD786" s="549">
        <v>0</v>
      </c>
      <c r="CE786" s="675">
        <v>0</v>
      </c>
      <c r="CF786" s="549">
        <v>0</v>
      </c>
      <c r="CG786" s="675">
        <v>0</v>
      </c>
      <c r="CH786" s="549">
        <v>0</v>
      </c>
      <c r="CI786" s="675">
        <v>0</v>
      </c>
      <c r="CJ786" s="549">
        <v>0</v>
      </c>
      <c r="CK786" s="675">
        <v>0</v>
      </c>
      <c r="CL786" s="549">
        <v>0</v>
      </c>
      <c r="CM786" s="675">
        <v>0</v>
      </c>
      <c r="CN786" s="549">
        <v>0</v>
      </c>
      <c r="CO786" s="675">
        <v>0</v>
      </c>
      <c r="CP786" s="549">
        <v>0</v>
      </c>
      <c r="CQ786" s="675">
        <v>0</v>
      </c>
      <c r="CR786" s="549">
        <v>0</v>
      </c>
      <c r="CS786" s="675">
        <v>0</v>
      </c>
      <c r="CT786" s="549">
        <v>0</v>
      </c>
      <c r="CU786" s="675">
        <v>0</v>
      </c>
      <c r="CV786" s="549">
        <v>0</v>
      </c>
      <c r="CW786" s="675">
        <v>0</v>
      </c>
      <c r="CX786" s="549">
        <v>0</v>
      </c>
      <c r="CY786" s="675">
        <v>0</v>
      </c>
      <c r="CZ786" s="549">
        <v>0</v>
      </c>
      <c r="DA786" s="675">
        <v>0</v>
      </c>
      <c r="DB786" s="549">
        <v>0</v>
      </c>
      <c r="DC786" s="675">
        <v>0</v>
      </c>
      <c r="DD786" s="549">
        <v>0</v>
      </c>
      <c r="DE786" s="675">
        <v>0</v>
      </c>
      <c r="DF786" s="549">
        <v>0</v>
      </c>
      <c r="DG786" s="675">
        <v>0</v>
      </c>
      <c r="DH786" s="549">
        <v>0</v>
      </c>
      <c r="DI786" s="675">
        <v>0</v>
      </c>
      <c r="DJ786" s="549">
        <v>0</v>
      </c>
      <c r="DK786" s="675">
        <v>0</v>
      </c>
      <c r="DL786" s="549">
        <v>0</v>
      </c>
      <c r="DM786" s="675">
        <v>0</v>
      </c>
      <c r="DN786" s="549">
        <v>0</v>
      </c>
      <c r="DO786" s="675">
        <v>0</v>
      </c>
      <c r="DP786" s="549">
        <v>0</v>
      </c>
      <c r="DQ786" s="675">
        <v>0</v>
      </c>
      <c r="DR786" s="549">
        <v>0</v>
      </c>
      <c r="DS786" s="675">
        <v>0</v>
      </c>
      <c r="DT786" s="549">
        <v>0</v>
      </c>
      <c r="DU786" s="675">
        <v>0</v>
      </c>
      <c r="DV786" s="549">
        <v>0</v>
      </c>
      <c r="DW786" s="675">
        <v>0</v>
      </c>
      <c r="DX786" s="549">
        <v>0</v>
      </c>
      <c r="DY786" s="675">
        <v>0</v>
      </c>
      <c r="DZ786" s="549">
        <v>0</v>
      </c>
      <c r="EA786" s="675">
        <v>0</v>
      </c>
      <c r="EB786" s="549">
        <v>0</v>
      </c>
      <c r="EC786" s="675">
        <v>0</v>
      </c>
      <c r="ED786" s="549">
        <v>0</v>
      </c>
      <c r="EE786" s="675">
        <v>0</v>
      </c>
      <c r="EF786" s="549">
        <v>0</v>
      </c>
      <c r="EG786" s="675">
        <v>0</v>
      </c>
      <c r="EH786" s="549">
        <v>0</v>
      </c>
      <c r="EI786" s="675">
        <v>0</v>
      </c>
      <c r="EJ786" s="549">
        <v>0</v>
      </c>
      <c r="EK786" s="675">
        <v>0</v>
      </c>
      <c r="EL786" s="549">
        <v>0</v>
      </c>
      <c r="EM786" s="675">
        <v>0</v>
      </c>
      <c r="EN786" s="549">
        <v>0</v>
      </c>
      <c r="EO786" s="675">
        <v>0</v>
      </c>
      <c r="EP786" s="549">
        <v>0</v>
      </c>
      <c r="EQ786" s="675">
        <v>0</v>
      </c>
      <c r="ER786" s="549">
        <v>0</v>
      </c>
      <c r="ES786" s="675">
        <v>0</v>
      </c>
      <c r="ET786" s="549">
        <v>0</v>
      </c>
      <c r="EU786" s="675">
        <v>0</v>
      </c>
      <c r="EV786" s="549">
        <v>0</v>
      </c>
      <c r="EW786" s="675">
        <v>0</v>
      </c>
      <c r="EX786" s="549">
        <v>0</v>
      </c>
      <c r="EY786" s="675">
        <v>0</v>
      </c>
      <c r="EZ786" s="549">
        <v>0</v>
      </c>
      <c r="FA786" s="675">
        <v>0</v>
      </c>
      <c r="FB786" s="549">
        <v>0</v>
      </c>
      <c r="FC786" s="675">
        <v>0</v>
      </c>
      <c r="FD786" s="549">
        <v>0</v>
      </c>
      <c r="FE786" s="675">
        <v>0</v>
      </c>
      <c r="FF786" s="549">
        <v>0</v>
      </c>
      <c r="FG786" s="675">
        <v>0</v>
      </c>
      <c r="FH786" s="549">
        <v>0</v>
      </c>
      <c r="FI786" s="675">
        <v>0</v>
      </c>
      <c r="FJ786" s="549">
        <v>0</v>
      </c>
      <c r="FK786" s="675">
        <v>0</v>
      </c>
      <c r="FL786" s="549">
        <v>0</v>
      </c>
      <c r="FM786" s="675">
        <v>0</v>
      </c>
      <c r="FN786" s="549">
        <v>0</v>
      </c>
      <c r="FO786" s="675">
        <v>0</v>
      </c>
      <c r="FP786" s="549">
        <v>0</v>
      </c>
      <c r="FQ786" s="675">
        <v>0</v>
      </c>
      <c r="FR786" s="549">
        <v>0</v>
      </c>
      <c r="FS786" s="675">
        <v>0</v>
      </c>
      <c r="FT786" s="549">
        <v>0</v>
      </c>
      <c r="FU786" s="675">
        <v>0</v>
      </c>
      <c r="FV786" s="549">
        <v>0</v>
      </c>
      <c r="FW786" s="675">
        <v>0</v>
      </c>
      <c r="FX786" s="549">
        <v>0</v>
      </c>
      <c r="FY786" s="675">
        <v>0</v>
      </c>
      <c r="FZ786" s="549">
        <v>0</v>
      </c>
      <c r="GA786" s="675">
        <v>0</v>
      </c>
      <c r="GB786" s="549">
        <v>0</v>
      </c>
      <c r="GC786" s="675">
        <v>0</v>
      </c>
      <c r="GD786" s="549">
        <v>0</v>
      </c>
      <c r="GE786" s="675">
        <v>0</v>
      </c>
      <c r="GF786" s="549">
        <v>0</v>
      </c>
      <c r="GG786" s="675">
        <v>0</v>
      </c>
      <c r="GH786" s="549">
        <v>0</v>
      </c>
      <c r="GI786" s="675">
        <v>0</v>
      </c>
      <c r="GJ786" s="549">
        <v>0</v>
      </c>
      <c r="GK786" s="675">
        <v>0</v>
      </c>
      <c r="GL786" s="549">
        <v>0</v>
      </c>
      <c r="GM786" s="675">
        <v>0</v>
      </c>
      <c r="GN786" s="549">
        <v>0</v>
      </c>
      <c r="GO786" s="675">
        <v>0</v>
      </c>
      <c r="GP786" s="549">
        <f t="shared" si="16991"/>
        <v>0</v>
      </c>
      <c r="GQ786" s="675">
        <f t="shared" si="16992"/>
        <v>-60000</v>
      </c>
      <c r="GR786" s="74">
        <f>C786+GP786+GQ786</f>
        <v>0</v>
      </c>
      <c r="GS786" s="74">
        <f t="shared" si="16993"/>
        <v>0</v>
      </c>
      <c r="GT786" s="568">
        <f t="shared" si="16994"/>
        <v>0</v>
      </c>
      <c r="GU786" s="275">
        <v>12000</v>
      </c>
      <c r="GV786" s="275"/>
      <c r="GW786" s="588"/>
      <c r="GX786" s="275">
        <v>18000</v>
      </c>
      <c r="GY786" s="275">
        <v>30000</v>
      </c>
      <c r="GZ786" s="275"/>
      <c r="HA786" s="275">
        <f>18000-18000</f>
        <v>0</v>
      </c>
      <c r="HB786" s="275"/>
      <c r="HC786" s="275"/>
      <c r="HD786" s="275">
        <f>12000-12000</f>
        <v>0</v>
      </c>
      <c r="HE786" s="275">
        <v>0</v>
      </c>
      <c r="HF786" s="275">
        <v>0</v>
      </c>
      <c r="HG786" s="74">
        <f t="shared" si="16995"/>
        <v>0</v>
      </c>
      <c r="HH786" s="89">
        <v>0</v>
      </c>
      <c r="HI786" s="157">
        <v>0</v>
      </c>
      <c r="HJ786" s="89">
        <v>0</v>
      </c>
      <c r="HK786" s="157">
        <v>0</v>
      </c>
      <c r="HL786" s="89">
        <v>0</v>
      </c>
      <c r="HM786" s="157">
        <v>0</v>
      </c>
      <c r="HN786" s="89">
        <v>0</v>
      </c>
      <c r="HO786" s="157">
        <v>30000</v>
      </c>
      <c r="HP786" s="89">
        <v>0</v>
      </c>
      <c r="HQ786" s="157">
        <v>0</v>
      </c>
      <c r="HR786" s="89">
        <v>0</v>
      </c>
      <c r="HS786" s="157">
        <v>30000</v>
      </c>
      <c r="HT786" s="89">
        <v>0</v>
      </c>
      <c r="HU786" s="157">
        <v>0</v>
      </c>
      <c r="HV786" s="89">
        <v>0</v>
      </c>
      <c r="HW786" s="157">
        <v>0</v>
      </c>
      <c r="HX786" s="89">
        <v>0</v>
      </c>
      <c r="HY786" s="157">
        <v>0</v>
      </c>
      <c r="HZ786" s="89">
        <v>0</v>
      </c>
      <c r="IA786" s="157">
        <v>0</v>
      </c>
      <c r="IB786" s="89">
        <v>0</v>
      </c>
      <c r="IC786" s="157">
        <v>0</v>
      </c>
      <c r="ID786" s="89">
        <v>0</v>
      </c>
      <c r="IE786" s="157">
        <v>0</v>
      </c>
      <c r="IF786" s="717">
        <f t="shared" si="16996"/>
        <v>0</v>
      </c>
      <c r="IG786" s="263">
        <f t="shared" si="16997"/>
        <v>0</v>
      </c>
      <c r="IH786" s="718">
        <f t="shared" si="16998"/>
        <v>0</v>
      </c>
      <c r="II786" s="89">
        <v>0</v>
      </c>
      <c r="IJ786" s="89">
        <f t="shared" si="16999"/>
        <v>0</v>
      </c>
      <c r="IK786" s="89">
        <f t="shared" si="17000"/>
        <v>0</v>
      </c>
      <c r="IL786" s="89">
        <v>0</v>
      </c>
      <c r="IM786" s="89">
        <f t="shared" si="17001"/>
        <v>0</v>
      </c>
      <c r="IN786" s="89">
        <f t="shared" si="17002"/>
        <v>0</v>
      </c>
      <c r="IO786" s="89">
        <v>0</v>
      </c>
      <c r="IP786" s="89">
        <f t="shared" si="17003"/>
        <v>0</v>
      </c>
      <c r="IQ786" s="89">
        <f t="shared" si="17004"/>
        <v>0</v>
      </c>
      <c r="IR786" s="89">
        <v>0</v>
      </c>
      <c r="IS786" s="89">
        <f t="shared" si="17005"/>
        <v>0</v>
      </c>
      <c r="IT786" s="89">
        <f t="shared" si="17006"/>
        <v>0</v>
      </c>
      <c r="IU786" s="89">
        <v>0</v>
      </c>
      <c r="IV786" s="89">
        <f t="shared" si="17007"/>
        <v>0</v>
      </c>
      <c r="IW786" s="89">
        <f t="shared" si="17008"/>
        <v>0</v>
      </c>
      <c r="IX786" s="89">
        <v>0</v>
      </c>
      <c r="IY786" s="89">
        <f t="shared" si="17009"/>
        <v>0</v>
      </c>
      <c r="IZ786" s="89">
        <f t="shared" si="17010"/>
        <v>0</v>
      </c>
      <c r="JA786" s="89">
        <v>0</v>
      </c>
      <c r="JB786" s="89">
        <f t="shared" si="17011"/>
        <v>0</v>
      </c>
      <c r="JC786" s="89">
        <f t="shared" si="17012"/>
        <v>0</v>
      </c>
      <c r="JD786" s="89">
        <v>0</v>
      </c>
      <c r="JE786" s="89">
        <f t="shared" si="17013"/>
        <v>0</v>
      </c>
      <c r="JF786" s="89">
        <f t="shared" si="17014"/>
        <v>0</v>
      </c>
      <c r="JG786" s="89">
        <v>0</v>
      </c>
      <c r="JH786" s="89">
        <f t="shared" si="17015"/>
        <v>0</v>
      </c>
      <c r="JI786" s="89">
        <f t="shared" si="17016"/>
        <v>0</v>
      </c>
      <c r="JJ786" s="89">
        <v>0</v>
      </c>
      <c r="JK786" s="89">
        <f t="shared" si="17017"/>
        <v>0</v>
      </c>
      <c r="JL786" s="89">
        <f t="shared" si="17018"/>
        <v>0</v>
      </c>
      <c r="JM786" s="89">
        <v>0</v>
      </c>
      <c r="JN786" s="89">
        <f t="shared" si="17019"/>
        <v>0</v>
      </c>
      <c r="JO786" s="89">
        <f t="shared" si="17020"/>
        <v>0</v>
      </c>
      <c r="JP786" s="89">
        <v>0</v>
      </c>
      <c r="JQ786" s="89">
        <f t="shared" ref="JQ786:JR786" si="17023">JP786</f>
        <v>0</v>
      </c>
      <c r="JR786" s="89">
        <f t="shared" si="17023"/>
        <v>0</v>
      </c>
      <c r="JS786" s="74">
        <f>HG786-IF786</f>
        <v>0</v>
      </c>
      <c r="JT786" s="382">
        <f>GS786-IF786</f>
        <v>0</v>
      </c>
      <c r="JU786" s="665"/>
      <c r="JV786" s="524"/>
      <c r="JW786" s="525"/>
      <c r="JX786" s="549">
        <f>SUM(HH786,HJ786,HL786,HN786,HP786,HR786,HT786,HV786,HX786,HZ786,IB786,ID786)</f>
        <v>0</v>
      </c>
      <c r="JY786" s="549">
        <f t="shared" si="15767"/>
        <v>60000</v>
      </c>
      <c r="JZ786" s="581">
        <f t="shared" si="16466"/>
        <v>0</v>
      </c>
      <c r="KA786" s="581">
        <f t="shared" si="16467"/>
        <v>-60000</v>
      </c>
      <c r="KB786" s="566">
        <f t="shared" si="15406"/>
        <v>0</v>
      </c>
      <c r="KC786" s="709">
        <f t="shared" si="16464"/>
        <v>0</v>
      </c>
      <c r="KD786" s="491"/>
      <c r="KE786" s="491"/>
      <c r="KF786" s="491"/>
      <c r="KG786" s="491"/>
      <c r="KH786" s="36"/>
      <c r="KI786" s="36"/>
      <c r="KJ786" s="36"/>
      <c r="KK786" s="36"/>
    </row>
    <row r="787" spans="1:297" s="10" customFormat="1" hidden="1">
      <c r="A787" s="612" t="s">
        <v>1210</v>
      </c>
      <c r="B787" s="512"/>
      <c r="C787" s="74">
        <v>0</v>
      </c>
      <c r="D787" s="549">
        <v>0</v>
      </c>
      <c r="E787" s="675">
        <v>0</v>
      </c>
      <c r="F787" s="549">
        <v>0</v>
      </c>
      <c r="G787" s="675">
        <v>0</v>
      </c>
      <c r="H787" s="549">
        <v>0</v>
      </c>
      <c r="I787" s="675">
        <v>0</v>
      </c>
      <c r="J787" s="549">
        <v>0</v>
      </c>
      <c r="K787" s="675">
        <v>0</v>
      </c>
      <c r="L787" s="549">
        <v>0</v>
      </c>
      <c r="M787" s="675">
        <v>0</v>
      </c>
      <c r="N787" s="549">
        <v>0</v>
      </c>
      <c r="O787" s="675">
        <v>0</v>
      </c>
      <c r="P787" s="549">
        <v>0</v>
      </c>
      <c r="Q787" s="675">
        <v>0</v>
      </c>
      <c r="R787" s="549">
        <v>0</v>
      </c>
      <c r="S787" s="675">
        <v>0</v>
      </c>
      <c r="T787" s="549">
        <v>0</v>
      </c>
      <c r="U787" s="675">
        <v>0</v>
      </c>
      <c r="V787" s="549">
        <v>0</v>
      </c>
      <c r="W787" s="675">
        <v>0</v>
      </c>
      <c r="X787" s="549">
        <v>0</v>
      </c>
      <c r="Y787" s="675">
        <v>0</v>
      </c>
      <c r="Z787" s="549">
        <v>0</v>
      </c>
      <c r="AA787" s="675">
        <v>0</v>
      </c>
      <c r="AB787" s="549">
        <v>0</v>
      </c>
      <c r="AC787" s="675">
        <v>0</v>
      </c>
      <c r="AD787" s="549">
        <v>0</v>
      </c>
      <c r="AE787" s="675">
        <v>0</v>
      </c>
      <c r="AF787" s="549">
        <v>0</v>
      </c>
      <c r="AG787" s="675">
        <v>0</v>
      </c>
      <c r="AH787" s="549">
        <v>0</v>
      </c>
      <c r="AI787" s="675">
        <v>0</v>
      </c>
      <c r="AJ787" s="549">
        <v>0</v>
      </c>
      <c r="AK787" s="675">
        <v>0</v>
      </c>
      <c r="AL787" s="549">
        <v>0</v>
      </c>
      <c r="AM787" s="675">
        <v>0</v>
      </c>
      <c r="AN787" s="549">
        <v>0</v>
      </c>
      <c r="AO787" s="675">
        <v>0</v>
      </c>
      <c r="AP787" s="549">
        <v>0</v>
      </c>
      <c r="AQ787" s="675">
        <v>0</v>
      </c>
      <c r="AR787" s="549">
        <v>0</v>
      </c>
      <c r="AS787" s="675">
        <v>0</v>
      </c>
      <c r="AT787" s="549">
        <v>0</v>
      </c>
      <c r="AU787" s="675">
        <v>0</v>
      </c>
      <c r="AV787" s="549">
        <v>0</v>
      </c>
      <c r="AW787" s="675">
        <v>0</v>
      </c>
      <c r="AX787" s="549">
        <v>0</v>
      </c>
      <c r="AY787" s="675">
        <v>0</v>
      </c>
      <c r="AZ787" s="549">
        <v>0</v>
      </c>
      <c r="BA787" s="675">
        <v>0</v>
      </c>
      <c r="BB787" s="549">
        <v>0</v>
      </c>
      <c r="BC787" s="675">
        <v>0</v>
      </c>
      <c r="BD787" s="549">
        <v>0</v>
      </c>
      <c r="BE787" s="675">
        <v>0</v>
      </c>
      <c r="BF787" s="549">
        <v>0</v>
      </c>
      <c r="BG787" s="675">
        <v>0</v>
      </c>
      <c r="BH787" s="549">
        <v>0</v>
      </c>
      <c r="BI787" s="675">
        <v>0</v>
      </c>
      <c r="BJ787" s="549">
        <v>0</v>
      </c>
      <c r="BK787" s="675">
        <v>0</v>
      </c>
      <c r="BL787" s="549">
        <v>0</v>
      </c>
      <c r="BM787" s="675">
        <v>0</v>
      </c>
      <c r="BN787" s="549">
        <v>0</v>
      </c>
      <c r="BO787" s="675">
        <v>0</v>
      </c>
      <c r="BP787" s="549">
        <v>0</v>
      </c>
      <c r="BQ787" s="675">
        <v>0</v>
      </c>
      <c r="BR787" s="549">
        <v>0</v>
      </c>
      <c r="BS787" s="675">
        <v>0</v>
      </c>
      <c r="BT787" s="549">
        <v>0</v>
      </c>
      <c r="BU787" s="675">
        <v>0</v>
      </c>
      <c r="BV787" s="549">
        <v>0</v>
      </c>
      <c r="BW787" s="675">
        <v>0</v>
      </c>
      <c r="BX787" s="549">
        <v>0</v>
      </c>
      <c r="BY787" s="675">
        <v>0</v>
      </c>
      <c r="BZ787" s="549">
        <v>0</v>
      </c>
      <c r="CA787" s="675">
        <v>0</v>
      </c>
      <c r="CB787" s="549">
        <v>0</v>
      </c>
      <c r="CC787" s="675">
        <v>0</v>
      </c>
      <c r="CD787" s="549">
        <v>0</v>
      </c>
      <c r="CE787" s="675">
        <v>0</v>
      </c>
      <c r="CF787" s="549">
        <v>0</v>
      </c>
      <c r="CG787" s="675">
        <v>0</v>
      </c>
      <c r="CH787" s="549">
        <v>0</v>
      </c>
      <c r="CI787" s="675">
        <v>0</v>
      </c>
      <c r="CJ787" s="549">
        <v>0</v>
      </c>
      <c r="CK787" s="675">
        <v>0</v>
      </c>
      <c r="CL787" s="549">
        <v>0</v>
      </c>
      <c r="CM787" s="675">
        <v>0</v>
      </c>
      <c r="CN787" s="549">
        <v>0</v>
      </c>
      <c r="CO787" s="675">
        <v>0</v>
      </c>
      <c r="CP787" s="549">
        <v>0</v>
      </c>
      <c r="CQ787" s="675">
        <v>0</v>
      </c>
      <c r="CR787" s="549">
        <v>0</v>
      </c>
      <c r="CS787" s="675">
        <v>0</v>
      </c>
      <c r="CT787" s="549">
        <v>0</v>
      </c>
      <c r="CU787" s="675">
        <v>0</v>
      </c>
      <c r="CV787" s="549">
        <v>0</v>
      </c>
      <c r="CW787" s="675">
        <v>0</v>
      </c>
      <c r="CX787" s="549">
        <v>0</v>
      </c>
      <c r="CY787" s="675">
        <v>0</v>
      </c>
      <c r="CZ787" s="549">
        <v>0</v>
      </c>
      <c r="DA787" s="675">
        <v>0</v>
      </c>
      <c r="DB787" s="549">
        <v>0</v>
      </c>
      <c r="DC787" s="675">
        <v>0</v>
      </c>
      <c r="DD787" s="549">
        <v>0</v>
      </c>
      <c r="DE787" s="675">
        <v>0</v>
      </c>
      <c r="DF787" s="549">
        <v>0</v>
      </c>
      <c r="DG787" s="675">
        <v>0</v>
      </c>
      <c r="DH787" s="549">
        <v>0</v>
      </c>
      <c r="DI787" s="675">
        <v>0</v>
      </c>
      <c r="DJ787" s="549">
        <v>0</v>
      </c>
      <c r="DK787" s="675">
        <v>0</v>
      </c>
      <c r="DL787" s="549">
        <v>0</v>
      </c>
      <c r="DM787" s="675">
        <v>0</v>
      </c>
      <c r="DN787" s="549">
        <v>0</v>
      </c>
      <c r="DO787" s="675">
        <v>0</v>
      </c>
      <c r="DP787" s="549">
        <v>0</v>
      </c>
      <c r="DQ787" s="675">
        <v>0</v>
      </c>
      <c r="DR787" s="549">
        <v>0</v>
      </c>
      <c r="DS787" s="675">
        <v>0</v>
      </c>
      <c r="DT787" s="549">
        <v>0</v>
      </c>
      <c r="DU787" s="675">
        <v>0</v>
      </c>
      <c r="DV787" s="549">
        <v>0</v>
      </c>
      <c r="DW787" s="675">
        <v>0</v>
      </c>
      <c r="DX787" s="549">
        <v>0</v>
      </c>
      <c r="DY787" s="675">
        <v>0</v>
      </c>
      <c r="DZ787" s="549">
        <v>0</v>
      </c>
      <c r="EA787" s="675">
        <v>0</v>
      </c>
      <c r="EB787" s="549">
        <v>0</v>
      </c>
      <c r="EC787" s="675">
        <v>0</v>
      </c>
      <c r="ED787" s="549">
        <v>0</v>
      </c>
      <c r="EE787" s="675">
        <v>0</v>
      </c>
      <c r="EF787" s="549">
        <v>0</v>
      </c>
      <c r="EG787" s="675">
        <v>0</v>
      </c>
      <c r="EH787" s="549">
        <v>0</v>
      </c>
      <c r="EI787" s="675">
        <v>0</v>
      </c>
      <c r="EJ787" s="549">
        <v>0</v>
      </c>
      <c r="EK787" s="675">
        <v>0</v>
      </c>
      <c r="EL787" s="549">
        <v>0</v>
      </c>
      <c r="EM787" s="675">
        <v>0</v>
      </c>
      <c r="EN787" s="549">
        <v>0</v>
      </c>
      <c r="EO787" s="675">
        <v>0</v>
      </c>
      <c r="EP787" s="549">
        <v>0</v>
      </c>
      <c r="EQ787" s="675">
        <v>0</v>
      </c>
      <c r="ER787" s="549">
        <v>0</v>
      </c>
      <c r="ES787" s="675">
        <v>0</v>
      </c>
      <c r="ET787" s="549">
        <v>0</v>
      </c>
      <c r="EU787" s="675">
        <v>0</v>
      </c>
      <c r="EV787" s="549">
        <v>0</v>
      </c>
      <c r="EW787" s="675">
        <v>0</v>
      </c>
      <c r="EX787" s="549">
        <v>0</v>
      </c>
      <c r="EY787" s="675">
        <v>0</v>
      </c>
      <c r="EZ787" s="549">
        <v>0</v>
      </c>
      <c r="FA787" s="675">
        <v>0</v>
      </c>
      <c r="FB787" s="549">
        <v>0</v>
      </c>
      <c r="FC787" s="675">
        <v>0</v>
      </c>
      <c r="FD787" s="549">
        <v>0</v>
      </c>
      <c r="FE787" s="675">
        <v>0</v>
      </c>
      <c r="FF787" s="549">
        <v>0</v>
      </c>
      <c r="FG787" s="675">
        <v>0</v>
      </c>
      <c r="FH787" s="549">
        <v>0</v>
      </c>
      <c r="FI787" s="675">
        <v>0</v>
      </c>
      <c r="FJ787" s="549">
        <v>0</v>
      </c>
      <c r="FK787" s="675">
        <v>0</v>
      </c>
      <c r="FL787" s="549">
        <v>0</v>
      </c>
      <c r="FM787" s="675">
        <v>0</v>
      </c>
      <c r="FN787" s="549">
        <v>0</v>
      </c>
      <c r="FO787" s="675">
        <v>0</v>
      </c>
      <c r="FP787" s="549">
        <v>0</v>
      </c>
      <c r="FQ787" s="675">
        <v>0</v>
      </c>
      <c r="FR787" s="549">
        <v>0</v>
      </c>
      <c r="FS787" s="675">
        <v>0</v>
      </c>
      <c r="FT787" s="549">
        <v>0</v>
      </c>
      <c r="FU787" s="675">
        <v>0</v>
      </c>
      <c r="FV787" s="549">
        <v>0</v>
      </c>
      <c r="FW787" s="675">
        <v>0</v>
      </c>
      <c r="FX787" s="549">
        <v>0</v>
      </c>
      <c r="FY787" s="675">
        <v>0</v>
      </c>
      <c r="FZ787" s="549">
        <v>0</v>
      </c>
      <c r="GA787" s="675">
        <v>0</v>
      </c>
      <c r="GB787" s="549">
        <v>0</v>
      </c>
      <c r="GC787" s="675">
        <v>0</v>
      </c>
      <c r="GD787" s="549">
        <v>0</v>
      </c>
      <c r="GE787" s="675">
        <v>0</v>
      </c>
      <c r="GF787" s="549">
        <v>0</v>
      </c>
      <c r="GG787" s="675">
        <v>0</v>
      </c>
      <c r="GH787" s="549">
        <v>0</v>
      </c>
      <c r="GI787" s="675">
        <v>0</v>
      </c>
      <c r="GJ787" s="549">
        <v>0</v>
      </c>
      <c r="GK787" s="675">
        <v>0</v>
      </c>
      <c r="GL787" s="549">
        <v>0</v>
      </c>
      <c r="GM787" s="675">
        <v>0</v>
      </c>
      <c r="GN787" s="549">
        <v>0</v>
      </c>
      <c r="GO787" s="675">
        <v>0</v>
      </c>
      <c r="GP787" s="549">
        <f t="shared" si="16991"/>
        <v>0</v>
      </c>
      <c r="GQ787" s="675">
        <f t="shared" si="16992"/>
        <v>0</v>
      </c>
      <c r="GR787" s="74">
        <f>C787+GP787+GQ787</f>
        <v>0</v>
      </c>
      <c r="GS787" s="74">
        <f t="shared" si="16993"/>
        <v>0</v>
      </c>
      <c r="GT787" s="568">
        <f t="shared" ref="GT787" si="17024">SUM(GU787:HF787)+GQ787+GP787</f>
        <v>0</v>
      </c>
      <c r="GU787" s="275"/>
      <c r="GV787" s="275"/>
      <c r="GW787" s="588"/>
      <c r="GX787" s="275"/>
      <c r="GY787" s="275"/>
      <c r="GZ787" s="275"/>
      <c r="HA787" s="275"/>
      <c r="HB787" s="275"/>
      <c r="HC787" s="275"/>
      <c r="HD787" s="275"/>
      <c r="HE787" s="275">
        <v>0</v>
      </c>
      <c r="HF787" s="275">
        <v>0</v>
      </c>
      <c r="HG787" s="74">
        <f t="shared" si="16995"/>
        <v>0</v>
      </c>
      <c r="HH787" s="89">
        <v>0</v>
      </c>
      <c r="HI787" s="157">
        <v>0</v>
      </c>
      <c r="HJ787" s="89">
        <v>0</v>
      </c>
      <c r="HK787" s="157">
        <v>0</v>
      </c>
      <c r="HL787" s="89">
        <v>0</v>
      </c>
      <c r="HM787" s="157">
        <v>0</v>
      </c>
      <c r="HN787" s="89">
        <v>0</v>
      </c>
      <c r="HO787" s="157">
        <v>0</v>
      </c>
      <c r="HP787" s="89">
        <v>0</v>
      </c>
      <c r="HQ787" s="157">
        <v>0</v>
      </c>
      <c r="HR787" s="89">
        <v>0</v>
      </c>
      <c r="HS787" s="157">
        <v>0</v>
      </c>
      <c r="HT787" s="89">
        <v>0</v>
      </c>
      <c r="HU787" s="157">
        <v>0</v>
      </c>
      <c r="HV787" s="89">
        <v>0</v>
      </c>
      <c r="HW787" s="157">
        <v>0</v>
      </c>
      <c r="HX787" s="89">
        <v>0</v>
      </c>
      <c r="HY787" s="157">
        <v>0</v>
      </c>
      <c r="HZ787" s="89">
        <v>0</v>
      </c>
      <c r="IA787" s="157">
        <v>0</v>
      </c>
      <c r="IB787" s="89">
        <v>0</v>
      </c>
      <c r="IC787" s="157">
        <v>0</v>
      </c>
      <c r="ID787" s="89">
        <v>0</v>
      </c>
      <c r="IE787" s="157">
        <v>0</v>
      </c>
      <c r="IF787" s="717">
        <f t="shared" ref="IF787" si="17025">SUM(II787,IL787,IO787,IR787,IU787,IX787,JA787,JD787,JG787,JJ787,JM787,JP787)</f>
        <v>0</v>
      </c>
      <c r="IG787" s="263">
        <f t="shared" ref="IG787" si="17026">SUM(IJ787,IM787,IP787,IS787,IV787,IY787,JB787,JE787,JH787,JK787,JN787,JQ787)</f>
        <v>0</v>
      </c>
      <c r="IH787" s="718">
        <f t="shared" ref="IH787" si="17027">SUM(IK787,IN787,IQ787,IT787,IW787,IZ787,JC787,JF787,JI787,JL787,JO787,JR787)</f>
        <v>0</v>
      </c>
      <c r="II787" s="89">
        <v>0</v>
      </c>
      <c r="IJ787" s="89">
        <f t="shared" si="16999"/>
        <v>0</v>
      </c>
      <c r="IK787" s="89">
        <f t="shared" si="17000"/>
        <v>0</v>
      </c>
      <c r="IL787" s="89">
        <v>0</v>
      </c>
      <c r="IM787" s="89">
        <f t="shared" si="17001"/>
        <v>0</v>
      </c>
      <c r="IN787" s="89">
        <f t="shared" si="17002"/>
        <v>0</v>
      </c>
      <c r="IO787" s="89">
        <v>0</v>
      </c>
      <c r="IP787" s="89">
        <f t="shared" si="17003"/>
        <v>0</v>
      </c>
      <c r="IQ787" s="89">
        <f t="shared" si="17004"/>
        <v>0</v>
      </c>
      <c r="IR787" s="89">
        <v>0</v>
      </c>
      <c r="IS787" s="89">
        <f t="shared" si="17005"/>
        <v>0</v>
      </c>
      <c r="IT787" s="89">
        <f t="shared" si="17006"/>
        <v>0</v>
      </c>
      <c r="IU787" s="89">
        <v>0</v>
      </c>
      <c r="IV787" s="89">
        <f t="shared" si="17007"/>
        <v>0</v>
      </c>
      <c r="IW787" s="89">
        <f t="shared" si="17008"/>
        <v>0</v>
      </c>
      <c r="IX787" s="89">
        <v>0</v>
      </c>
      <c r="IY787" s="89">
        <f t="shared" si="17009"/>
        <v>0</v>
      </c>
      <c r="IZ787" s="89">
        <f t="shared" si="17010"/>
        <v>0</v>
      </c>
      <c r="JA787" s="89">
        <v>0</v>
      </c>
      <c r="JB787" s="89">
        <f t="shared" si="17011"/>
        <v>0</v>
      </c>
      <c r="JC787" s="89">
        <f t="shared" si="17012"/>
        <v>0</v>
      </c>
      <c r="JD787" s="89">
        <v>0</v>
      </c>
      <c r="JE787" s="89">
        <f t="shared" si="17013"/>
        <v>0</v>
      </c>
      <c r="JF787" s="89">
        <f t="shared" si="17014"/>
        <v>0</v>
      </c>
      <c r="JG787" s="89">
        <v>0</v>
      </c>
      <c r="JH787" s="89">
        <f t="shared" si="17015"/>
        <v>0</v>
      </c>
      <c r="JI787" s="89">
        <f t="shared" si="17016"/>
        <v>0</v>
      </c>
      <c r="JJ787" s="89">
        <v>0</v>
      </c>
      <c r="JK787" s="89">
        <f t="shared" si="17017"/>
        <v>0</v>
      </c>
      <c r="JL787" s="89">
        <f t="shared" si="17018"/>
        <v>0</v>
      </c>
      <c r="JM787" s="89">
        <v>0</v>
      </c>
      <c r="JN787" s="89">
        <f t="shared" si="17019"/>
        <v>0</v>
      </c>
      <c r="JO787" s="89">
        <f t="shared" si="17020"/>
        <v>0</v>
      </c>
      <c r="JP787" s="89">
        <v>0</v>
      </c>
      <c r="JQ787" s="89">
        <f t="shared" ref="JQ787" si="17028">JP787</f>
        <v>0</v>
      </c>
      <c r="JR787" s="89">
        <f t="shared" ref="JR787" si="17029">JQ787</f>
        <v>0</v>
      </c>
      <c r="JS787" s="74">
        <f>HG787-IF787</f>
        <v>0</v>
      </c>
      <c r="JT787" s="382">
        <f>GS787-IF787</f>
        <v>0</v>
      </c>
      <c r="JU787" s="665"/>
      <c r="JV787" s="524"/>
      <c r="JW787" s="525"/>
      <c r="JX787" s="549">
        <f>SUM(HH787,HJ787,HL787,HN787,HP787,HR787,HT787,HV787,HX787,HZ787,IB787,ID787)</f>
        <v>0</v>
      </c>
      <c r="JY787" s="549">
        <f t="shared" si="15767"/>
        <v>0</v>
      </c>
      <c r="JZ787" s="581">
        <f t="shared" si="16466"/>
        <v>0</v>
      </c>
      <c r="KA787" s="581">
        <f t="shared" si="16467"/>
        <v>0</v>
      </c>
      <c r="KB787" s="566">
        <f t="shared" si="15406"/>
        <v>0</v>
      </c>
      <c r="KC787" s="709">
        <f t="shared" si="16464"/>
        <v>0</v>
      </c>
      <c r="KD787" s="491"/>
      <c r="KE787" s="491"/>
      <c r="KF787" s="491"/>
      <c r="KG787" s="491"/>
      <c r="KH787" s="36"/>
      <c r="KI787" s="36"/>
      <c r="KJ787" s="36"/>
      <c r="KK787" s="36"/>
    </row>
    <row r="788" spans="1:297" s="10" customFormat="1">
      <c r="A788" s="612" t="s">
        <v>664</v>
      </c>
      <c r="B788" s="512" t="s">
        <v>940</v>
      </c>
      <c r="C788" s="74">
        <v>70000</v>
      </c>
      <c r="D788" s="549">
        <v>0</v>
      </c>
      <c r="E788" s="675">
        <v>0</v>
      </c>
      <c r="F788" s="549">
        <v>0</v>
      </c>
      <c r="G788" s="675">
        <v>0</v>
      </c>
      <c r="H788" s="549">
        <v>0</v>
      </c>
      <c r="I788" s="675">
        <v>0</v>
      </c>
      <c r="J788" s="549">
        <v>0</v>
      </c>
      <c r="K788" s="675">
        <v>0</v>
      </c>
      <c r="L788" s="549">
        <v>0</v>
      </c>
      <c r="M788" s="675">
        <v>0</v>
      </c>
      <c r="N788" s="549">
        <v>0</v>
      </c>
      <c r="O788" s="675">
        <v>0</v>
      </c>
      <c r="P788" s="549">
        <v>0</v>
      </c>
      <c r="Q788" s="675">
        <v>0</v>
      </c>
      <c r="R788" s="549">
        <v>0</v>
      </c>
      <c r="S788" s="675">
        <v>0</v>
      </c>
      <c r="T788" s="549">
        <v>0</v>
      </c>
      <c r="U788" s="675">
        <v>0</v>
      </c>
      <c r="V788" s="549">
        <v>0</v>
      </c>
      <c r="W788" s="675">
        <v>0</v>
      </c>
      <c r="X788" s="549">
        <v>0</v>
      </c>
      <c r="Y788" s="675">
        <v>0</v>
      </c>
      <c r="Z788" s="549">
        <v>0</v>
      </c>
      <c r="AA788" s="675">
        <v>0</v>
      </c>
      <c r="AB788" s="549">
        <v>0</v>
      </c>
      <c r="AC788" s="675">
        <v>0</v>
      </c>
      <c r="AD788" s="549">
        <v>0</v>
      </c>
      <c r="AE788" s="675">
        <v>0</v>
      </c>
      <c r="AF788" s="549">
        <v>0</v>
      </c>
      <c r="AG788" s="675">
        <v>0</v>
      </c>
      <c r="AH788" s="549">
        <v>0</v>
      </c>
      <c r="AI788" s="675">
        <v>0</v>
      </c>
      <c r="AJ788" s="549">
        <v>0</v>
      </c>
      <c r="AK788" s="675">
        <v>0</v>
      </c>
      <c r="AL788" s="549">
        <v>0</v>
      </c>
      <c r="AM788" s="675">
        <v>0</v>
      </c>
      <c r="AN788" s="549">
        <v>0</v>
      </c>
      <c r="AO788" s="675">
        <v>0</v>
      </c>
      <c r="AP788" s="549">
        <v>0</v>
      </c>
      <c r="AQ788" s="675">
        <v>0</v>
      </c>
      <c r="AR788" s="549">
        <v>0</v>
      </c>
      <c r="AS788" s="675">
        <v>0</v>
      </c>
      <c r="AT788" s="549">
        <v>0</v>
      </c>
      <c r="AU788" s="675">
        <v>0</v>
      </c>
      <c r="AV788" s="549">
        <v>0</v>
      </c>
      <c r="AW788" s="675">
        <v>0</v>
      </c>
      <c r="AX788" s="549">
        <v>0</v>
      </c>
      <c r="AY788" s="675">
        <v>0</v>
      </c>
      <c r="AZ788" s="549">
        <v>0</v>
      </c>
      <c r="BA788" s="675">
        <v>0</v>
      </c>
      <c r="BB788" s="549">
        <v>0</v>
      </c>
      <c r="BC788" s="675">
        <v>0</v>
      </c>
      <c r="BD788" s="549">
        <v>0</v>
      </c>
      <c r="BE788" s="675">
        <v>0</v>
      </c>
      <c r="BF788" s="549">
        <v>0</v>
      </c>
      <c r="BG788" s="675">
        <v>0</v>
      </c>
      <c r="BH788" s="549">
        <v>0</v>
      </c>
      <c r="BI788" s="675">
        <v>0</v>
      </c>
      <c r="BJ788" s="549">
        <v>0</v>
      </c>
      <c r="BK788" s="675">
        <v>0</v>
      </c>
      <c r="BL788" s="549">
        <v>0</v>
      </c>
      <c r="BM788" s="675">
        <v>0</v>
      </c>
      <c r="BN788" s="549">
        <v>0</v>
      </c>
      <c r="BO788" s="675">
        <v>0</v>
      </c>
      <c r="BP788" s="549">
        <v>0</v>
      </c>
      <c r="BQ788" s="675">
        <v>0</v>
      </c>
      <c r="BR788" s="549">
        <v>0</v>
      </c>
      <c r="BS788" s="675">
        <v>-56922</v>
      </c>
      <c r="BT788" s="549">
        <v>0</v>
      </c>
      <c r="BU788" s="675">
        <v>-6900</v>
      </c>
      <c r="BV788" s="549">
        <v>0</v>
      </c>
      <c r="BW788" s="675">
        <v>0</v>
      </c>
      <c r="BX788" s="549">
        <v>0</v>
      </c>
      <c r="BY788" s="675">
        <v>-6178</v>
      </c>
      <c r="BZ788" s="549">
        <v>0</v>
      </c>
      <c r="CA788" s="675">
        <v>0</v>
      </c>
      <c r="CB788" s="549">
        <v>0</v>
      </c>
      <c r="CC788" s="675">
        <v>0</v>
      </c>
      <c r="CD788" s="549">
        <v>0</v>
      </c>
      <c r="CE788" s="675">
        <v>0</v>
      </c>
      <c r="CF788" s="549">
        <v>0</v>
      </c>
      <c r="CG788" s="675">
        <v>0</v>
      </c>
      <c r="CH788" s="549">
        <v>0</v>
      </c>
      <c r="CI788" s="675">
        <v>0</v>
      </c>
      <c r="CJ788" s="549">
        <v>0</v>
      </c>
      <c r="CK788" s="675">
        <v>0</v>
      </c>
      <c r="CL788" s="549">
        <v>0</v>
      </c>
      <c r="CM788" s="675">
        <v>0</v>
      </c>
      <c r="CN788" s="549">
        <v>0</v>
      </c>
      <c r="CO788" s="675">
        <v>0</v>
      </c>
      <c r="CP788" s="549">
        <v>0</v>
      </c>
      <c r="CQ788" s="675">
        <v>0</v>
      </c>
      <c r="CR788" s="549">
        <v>0</v>
      </c>
      <c r="CS788" s="675">
        <v>0</v>
      </c>
      <c r="CT788" s="549">
        <v>0</v>
      </c>
      <c r="CU788" s="675">
        <v>0</v>
      </c>
      <c r="CV788" s="549">
        <v>0</v>
      </c>
      <c r="CW788" s="675">
        <v>0</v>
      </c>
      <c r="CX788" s="549">
        <v>0</v>
      </c>
      <c r="CY788" s="675">
        <v>0</v>
      </c>
      <c r="CZ788" s="549">
        <v>0</v>
      </c>
      <c r="DA788" s="675">
        <v>0</v>
      </c>
      <c r="DB788" s="549">
        <v>0</v>
      </c>
      <c r="DC788" s="675">
        <v>0</v>
      </c>
      <c r="DD788" s="549">
        <v>0</v>
      </c>
      <c r="DE788" s="675">
        <v>0</v>
      </c>
      <c r="DF788" s="549">
        <v>0</v>
      </c>
      <c r="DG788" s="675">
        <v>0</v>
      </c>
      <c r="DH788" s="549">
        <v>0</v>
      </c>
      <c r="DI788" s="675">
        <v>0</v>
      </c>
      <c r="DJ788" s="549">
        <v>0</v>
      </c>
      <c r="DK788" s="675">
        <v>0</v>
      </c>
      <c r="DL788" s="549">
        <v>0</v>
      </c>
      <c r="DM788" s="675">
        <v>0</v>
      </c>
      <c r="DN788" s="549">
        <v>0</v>
      </c>
      <c r="DO788" s="675">
        <v>0</v>
      </c>
      <c r="DP788" s="549">
        <v>0</v>
      </c>
      <c r="DQ788" s="675">
        <v>0</v>
      </c>
      <c r="DR788" s="549">
        <v>0</v>
      </c>
      <c r="DS788" s="675">
        <v>0</v>
      </c>
      <c r="DT788" s="549">
        <v>0</v>
      </c>
      <c r="DU788" s="675">
        <v>0</v>
      </c>
      <c r="DV788" s="549">
        <v>0</v>
      </c>
      <c r="DW788" s="675">
        <v>0</v>
      </c>
      <c r="DX788" s="549">
        <v>0</v>
      </c>
      <c r="DY788" s="675">
        <v>0</v>
      </c>
      <c r="DZ788" s="549">
        <v>0</v>
      </c>
      <c r="EA788" s="675">
        <v>0</v>
      </c>
      <c r="EB788" s="549">
        <v>0</v>
      </c>
      <c r="EC788" s="675">
        <v>0</v>
      </c>
      <c r="ED788" s="549">
        <v>0</v>
      </c>
      <c r="EE788" s="675">
        <v>0</v>
      </c>
      <c r="EF788" s="549">
        <v>0</v>
      </c>
      <c r="EG788" s="675">
        <v>0</v>
      </c>
      <c r="EH788" s="549">
        <v>0</v>
      </c>
      <c r="EI788" s="675">
        <v>0</v>
      </c>
      <c r="EJ788" s="549">
        <v>0</v>
      </c>
      <c r="EK788" s="675">
        <v>0</v>
      </c>
      <c r="EL788" s="549">
        <v>0</v>
      </c>
      <c r="EM788" s="675">
        <v>0</v>
      </c>
      <c r="EN788" s="549">
        <v>0</v>
      </c>
      <c r="EO788" s="675">
        <v>0</v>
      </c>
      <c r="EP788" s="549">
        <v>0</v>
      </c>
      <c r="EQ788" s="675">
        <v>0</v>
      </c>
      <c r="ER788" s="549">
        <v>0</v>
      </c>
      <c r="ES788" s="675">
        <v>0</v>
      </c>
      <c r="ET788" s="549">
        <v>0</v>
      </c>
      <c r="EU788" s="675">
        <v>0</v>
      </c>
      <c r="EV788" s="549">
        <v>0</v>
      </c>
      <c r="EW788" s="675">
        <v>0</v>
      </c>
      <c r="EX788" s="549">
        <v>0</v>
      </c>
      <c r="EY788" s="675">
        <v>0</v>
      </c>
      <c r="EZ788" s="549">
        <v>0</v>
      </c>
      <c r="FA788" s="675">
        <v>0</v>
      </c>
      <c r="FB788" s="549">
        <v>0</v>
      </c>
      <c r="FC788" s="675">
        <v>0</v>
      </c>
      <c r="FD788" s="549">
        <v>0</v>
      </c>
      <c r="FE788" s="675">
        <v>0</v>
      </c>
      <c r="FF788" s="549">
        <v>0</v>
      </c>
      <c r="FG788" s="675">
        <v>0</v>
      </c>
      <c r="FH788" s="549">
        <v>0</v>
      </c>
      <c r="FI788" s="675">
        <v>0</v>
      </c>
      <c r="FJ788" s="549">
        <v>0</v>
      </c>
      <c r="FK788" s="675">
        <v>0</v>
      </c>
      <c r="FL788" s="549">
        <v>0</v>
      </c>
      <c r="FM788" s="675">
        <v>0</v>
      </c>
      <c r="FN788" s="549">
        <v>0</v>
      </c>
      <c r="FO788" s="675">
        <v>0</v>
      </c>
      <c r="FP788" s="549">
        <v>0</v>
      </c>
      <c r="FQ788" s="675">
        <v>0</v>
      </c>
      <c r="FR788" s="549">
        <v>0</v>
      </c>
      <c r="FS788" s="675">
        <v>0</v>
      </c>
      <c r="FT788" s="549">
        <v>0</v>
      </c>
      <c r="FU788" s="675">
        <v>0</v>
      </c>
      <c r="FV788" s="549">
        <v>0</v>
      </c>
      <c r="FW788" s="675">
        <v>0</v>
      </c>
      <c r="FX788" s="549">
        <v>0</v>
      </c>
      <c r="FY788" s="675">
        <v>0</v>
      </c>
      <c r="FZ788" s="549">
        <v>0</v>
      </c>
      <c r="GA788" s="675">
        <v>0</v>
      </c>
      <c r="GB788" s="549">
        <v>0</v>
      </c>
      <c r="GC788" s="675">
        <v>0</v>
      </c>
      <c r="GD788" s="549">
        <v>0</v>
      </c>
      <c r="GE788" s="675">
        <v>0</v>
      </c>
      <c r="GF788" s="549">
        <v>0</v>
      </c>
      <c r="GG788" s="675">
        <v>0</v>
      </c>
      <c r="GH788" s="549">
        <v>0</v>
      </c>
      <c r="GI788" s="675">
        <v>0</v>
      </c>
      <c r="GJ788" s="549">
        <v>0</v>
      </c>
      <c r="GK788" s="675">
        <v>0</v>
      </c>
      <c r="GL788" s="549">
        <v>0</v>
      </c>
      <c r="GM788" s="675">
        <v>0</v>
      </c>
      <c r="GN788" s="549">
        <v>0</v>
      </c>
      <c r="GO788" s="675">
        <v>0</v>
      </c>
      <c r="GP788" s="549">
        <f t="shared" si="16991"/>
        <v>0</v>
      </c>
      <c r="GQ788" s="675">
        <f t="shared" si="16992"/>
        <v>-70000</v>
      </c>
      <c r="GR788" s="74">
        <f>C788+GP788+GQ788</f>
        <v>0</v>
      </c>
      <c r="GS788" s="74">
        <f t="shared" si="16993"/>
        <v>0</v>
      </c>
      <c r="GT788" s="568">
        <f t="shared" si="16994"/>
        <v>0</v>
      </c>
      <c r="GU788" s="275">
        <v>14000</v>
      </c>
      <c r="GV788" s="275"/>
      <c r="GW788" s="588"/>
      <c r="GX788" s="275">
        <v>21000</v>
      </c>
      <c r="GY788" s="275">
        <v>35000</v>
      </c>
      <c r="GZ788" s="275"/>
      <c r="HA788" s="275">
        <f>21000-21000</f>
        <v>0</v>
      </c>
      <c r="HB788" s="275"/>
      <c r="HC788" s="275"/>
      <c r="HD788" s="275">
        <f>14000-14000</f>
        <v>0</v>
      </c>
      <c r="HE788" s="275">
        <v>0</v>
      </c>
      <c r="HF788" s="275">
        <v>0</v>
      </c>
      <c r="HG788" s="74">
        <f t="shared" si="16995"/>
        <v>0</v>
      </c>
      <c r="HH788" s="89">
        <v>0</v>
      </c>
      <c r="HI788" s="157">
        <v>0</v>
      </c>
      <c r="HJ788" s="89">
        <v>0</v>
      </c>
      <c r="HK788" s="157">
        <v>0</v>
      </c>
      <c r="HL788" s="89">
        <v>0</v>
      </c>
      <c r="HM788" s="157">
        <v>0</v>
      </c>
      <c r="HN788" s="89">
        <v>0</v>
      </c>
      <c r="HO788" s="157">
        <v>35000</v>
      </c>
      <c r="HP788" s="89">
        <v>0</v>
      </c>
      <c r="HQ788" s="157">
        <v>0</v>
      </c>
      <c r="HR788" s="89">
        <v>0</v>
      </c>
      <c r="HS788" s="157">
        <v>35000</v>
      </c>
      <c r="HT788" s="89">
        <v>0</v>
      </c>
      <c r="HU788" s="157">
        <v>0</v>
      </c>
      <c r="HV788" s="89">
        <v>0</v>
      </c>
      <c r="HW788" s="157">
        <v>0</v>
      </c>
      <c r="HX788" s="89">
        <v>0</v>
      </c>
      <c r="HY788" s="157">
        <v>0</v>
      </c>
      <c r="HZ788" s="89">
        <v>0</v>
      </c>
      <c r="IA788" s="157">
        <v>0</v>
      </c>
      <c r="IB788" s="89">
        <v>0</v>
      </c>
      <c r="IC788" s="157">
        <v>0</v>
      </c>
      <c r="ID788" s="89">
        <v>0</v>
      </c>
      <c r="IE788" s="157">
        <v>0</v>
      </c>
      <c r="IF788" s="717">
        <f t="shared" si="16996"/>
        <v>0</v>
      </c>
      <c r="IG788" s="263">
        <f t="shared" si="16997"/>
        <v>0</v>
      </c>
      <c r="IH788" s="718">
        <f t="shared" si="16998"/>
        <v>0</v>
      </c>
      <c r="II788" s="89">
        <v>0</v>
      </c>
      <c r="IJ788" s="89">
        <f t="shared" si="16999"/>
        <v>0</v>
      </c>
      <c r="IK788" s="89">
        <f t="shared" si="17000"/>
        <v>0</v>
      </c>
      <c r="IL788" s="89">
        <v>0</v>
      </c>
      <c r="IM788" s="89">
        <f t="shared" si="17001"/>
        <v>0</v>
      </c>
      <c r="IN788" s="89">
        <f t="shared" si="17002"/>
        <v>0</v>
      </c>
      <c r="IO788" s="89">
        <v>0</v>
      </c>
      <c r="IP788" s="89">
        <f t="shared" si="17003"/>
        <v>0</v>
      </c>
      <c r="IQ788" s="89">
        <f t="shared" si="17004"/>
        <v>0</v>
      </c>
      <c r="IR788" s="89">
        <v>0</v>
      </c>
      <c r="IS788" s="89">
        <f t="shared" si="17005"/>
        <v>0</v>
      </c>
      <c r="IT788" s="89">
        <f t="shared" si="17006"/>
        <v>0</v>
      </c>
      <c r="IU788" s="89">
        <v>0</v>
      </c>
      <c r="IV788" s="89">
        <f t="shared" si="17007"/>
        <v>0</v>
      </c>
      <c r="IW788" s="89">
        <f t="shared" si="17008"/>
        <v>0</v>
      </c>
      <c r="IX788" s="89">
        <v>0</v>
      </c>
      <c r="IY788" s="89">
        <f t="shared" si="17009"/>
        <v>0</v>
      </c>
      <c r="IZ788" s="89">
        <f t="shared" si="17010"/>
        <v>0</v>
      </c>
      <c r="JA788" s="89">
        <v>0</v>
      </c>
      <c r="JB788" s="89">
        <f t="shared" si="17011"/>
        <v>0</v>
      </c>
      <c r="JC788" s="89">
        <f t="shared" si="17012"/>
        <v>0</v>
      </c>
      <c r="JD788" s="89">
        <v>0</v>
      </c>
      <c r="JE788" s="89">
        <f t="shared" si="17013"/>
        <v>0</v>
      </c>
      <c r="JF788" s="89">
        <f t="shared" si="17014"/>
        <v>0</v>
      </c>
      <c r="JG788" s="89">
        <v>0</v>
      </c>
      <c r="JH788" s="89">
        <f t="shared" si="17015"/>
        <v>0</v>
      </c>
      <c r="JI788" s="89">
        <f t="shared" si="17016"/>
        <v>0</v>
      </c>
      <c r="JJ788" s="89">
        <v>0</v>
      </c>
      <c r="JK788" s="89">
        <f t="shared" si="17017"/>
        <v>0</v>
      </c>
      <c r="JL788" s="89">
        <f t="shared" si="17018"/>
        <v>0</v>
      </c>
      <c r="JM788" s="89">
        <v>0</v>
      </c>
      <c r="JN788" s="89">
        <f t="shared" si="17019"/>
        <v>0</v>
      </c>
      <c r="JO788" s="89">
        <f t="shared" si="17020"/>
        <v>0</v>
      </c>
      <c r="JP788" s="89">
        <v>0</v>
      </c>
      <c r="JQ788" s="89">
        <f t="shared" ref="JQ788:JR788" si="17030">JP788</f>
        <v>0</v>
      </c>
      <c r="JR788" s="89">
        <f t="shared" si="17030"/>
        <v>0</v>
      </c>
      <c r="JS788" s="74">
        <f>HG788-IF788</f>
        <v>0</v>
      </c>
      <c r="JT788" s="382">
        <f>GS788-IF788</f>
        <v>0</v>
      </c>
      <c r="JU788" s="665"/>
      <c r="JV788" s="524"/>
      <c r="JW788" s="525"/>
      <c r="JX788" s="549">
        <f>SUM(HH788,HJ788,HL788,HN788,HP788,HR788,HT788,HV788,HX788,HZ788,IB788,ID788)</f>
        <v>0</v>
      </c>
      <c r="JY788" s="549">
        <f t="shared" si="15767"/>
        <v>70000</v>
      </c>
      <c r="JZ788" s="581">
        <f t="shared" si="16466"/>
        <v>0</v>
      </c>
      <c r="KA788" s="581">
        <f t="shared" si="16467"/>
        <v>-70000</v>
      </c>
      <c r="KB788" s="566">
        <f t="shared" si="15406"/>
        <v>0</v>
      </c>
      <c r="KC788" s="709">
        <f t="shared" si="16464"/>
        <v>0</v>
      </c>
      <c r="KD788" s="491"/>
      <c r="KE788" s="491"/>
      <c r="KF788" s="491"/>
      <c r="KG788" s="491"/>
      <c r="KH788" s="36"/>
      <c r="KI788" s="36"/>
      <c r="KJ788" s="36"/>
      <c r="KK788" s="36"/>
    </row>
    <row r="789" spans="1:297" s="10" customFormat="1">
      <c r="A789" s="612"/>
      <c r="B789" s="512"/>
      <c r="C789" s="513"/>
      <c r="D789" s="553"/>
      <c r="E789" s="687"/>
      <c r="F789" s="553"/>
      <c r="G789" s="687"/>
      <c r="H789" s="553"/>
      <c r="I789" s="687"/>
      <c r="J789" s="553"/>
      <c r="K789" s="687"/>
      <c r="L789" s="553"/>
      <c r="M789" s="687"/>
      <c r="N789" s="553"/>
      <c r="O789" s="687"/>
      <c r="P789" s="553"/>
      <c r="Q789" s="687"/>
      <c r="R789" s="553"/>
      <c r="S789" s="687"/>
      <c r="T789" s="553"/>
      <c r="U789" s="687"/>
      <c r="V789" s="553"/>
      <c r="W789" s="687"/>
      <c r="X789" s="553"/>
      <c r="Y789" s="687"/>
      <c r="Z789" s="553"/>
      <c r="AA789" s="687"/>
      <c r="AB789" s="553"/>
      <c r="AC789" s="687"/>
      <c r="AD789" s="553"/>
      <c r="AE789" s="687"/>
      <c r="AF789" s="553"/>
      <c r="AG789" s="687"/>
      <c r="AH789" s="553"/>
      <c r="AI789" s="687"/>
      <c r="AJ789" s="553"/>
      <c r="AK789" s="687"/>
      <c r="AL789" s="553"/>
      <c r="AM789" s="687"/>
      <c r="AN789" s="553"/>
      <c r="AO789" s="687"/>
      <c r="AP789" s="553"/>
      <c r="AQ789" s="687"/>
      <c r="AR789" s="553"/>
      <c r="AS789" s="687"/>
      <c r="AT789" s="553"/>
      <c r="AU789" s="687"/>
      <c r="AV789" s="553"/>
      <c r="AW789" s="687"/>
      <c r="AX789" s="553"/>
      <c r="AY789" s="687"/>
      <c r="AZ789" s="553"/>
      <c r="BA789" s="687"/>
      <c r="BB789" s="553"/>
      <c r="BC789" s="687"/>
      <c r="BD789" s="553"/>
      <c r="BE789" s="687"/>
      <c r="BF789" s="553"/>
      <c r="BG789" s="687"/>
      <c r="BH789" s="553"/>
      <c r="BI789" s="687"/>
      <c r="BJ789" s="553"/>
      <c r="BK789" s="687"/>
      <c r="BL789" s="553"/>
      <c r="BM789" s="687"/>
      <c r="BN789" s="553"/>
      <c r="BO789" s="687"/>
      <c r="BP789" s="553"/>
      <c r="BQ789" s="687"/>
      <c r="BR789" s="553"/>
      <c r="BS789" s="687"/>
      <c r="BT789" s="553"/>
      <c r="BU789" s="687"/>
      <c r="BV789" s="553"/>
      <c r="BW789" s="687"/>
      <c r="BX789" s="553"/>
      <c r="BY789" s="687"/>
      <c r="BZ789" s="553"/>
      <c r="CA789" s="687"/>
      <c r="CB789" s="553"/>
      <c r="CC789" s="687"/>
      <c r="CD789" s="553"/>
      <c r="CE789" s="687"/>
      <c r="CF789" s="553"/>
      <c r="CG789" s="687"/>
      <c r="CH789" s="553"/>
      <c r="CI789" s="687"/>
      <c r="CJ789" s="553"/>
      <c r="CK789" s="687"/>
      <c r="CL789" s="553"/>
      <c r="CM789" s="687"/>
      <c r="CN789" s="553"/>
      <c r="CO789" s="687"/>
      <c r="CP789" s="553"/>
      <c r="CQ789" s="687"/>
      <c r="CR789" s="553"/>
      <c r="CS789" s="687"/>
      <c r="CT789" s="553"/>
      <c r="CU789" s="687"/>
      <c r="CV789" s="553"/>
      <c r="CW789" s="687"/>
      <c r="CX789" s="553"/>
      <c r="CY789" s="687"/>
      <c r="CZ789" s="553"/>
      <c r="DA789" s="687"/>
      <c r="DB789" s="553"/>
      <c r="DC789" s="687"/>
      <c r="DD789" s="553"/>
      <c r="DE789" s="687"/>
      <c r="DF789" s="553"/>
      <c r="DG789" s="687"/>
      <c r="DH789" s="553"/>
      <c r="DI789" s="687"/>
      <c r="DJ789" s="553"/>
      <c r="DK789" s="687"/>
      <c r="DL789" s="553"/>
      <c r="DM789" s="687"/>
      <c r="DN789" s="553"/>
      <c r="DO789" s="687"/>
      <c r="DP789" s="553"/>
      <c r="DQ789" s="687"/>
      <c r="DR789" s="553"/>
      <c r="DS789" s="687"/>
      <c r="DT789" s="553"/>
      <c r="DU789" s="687"/>
      <c r="DV789" s="553"/>
      <c r="DW789" s="687"/>
      <c r="DX789" s="553"/>
      <c r="DY789" s="687"/>
      <c r="DZ789" s="553"/>
      <c r="EA789" s="687"/>
      <c r="EB789" s="553"/>
      <c r="EC789" s="687"/>
      <c r="ED789" s="553"/>
      <c r="EE789" s="687"/>
      <c r="EF789" s="553"/>
      <c r="EG789" s="687"/>
      <c r="EH789" s="553"/>
      <c r="EI789" s="687"/>
      <c r="EJ789" s="553"/>
      <c r="EK789" s="687"/>
      <c r="EL789" s="553"/>
      <c r="EM789" s="687"/>
      <c r="EN789" s="553"/>
      <c r="EO789" s="687"/>
      <c r="EP789" s="553"/>
      <c r="EQ789" s="687"/>
      <c r="ER789" s="553"/>
      <c r="ES789" s="687"/>
      <c r="ET789" s="553"/>
      <c r="EU789" s="687"/>
      <c r="EV789" s="553"/>
      <c r="EW789" s="687"/>
      <c r="EX789" s="553"/>
      <c r="EY789" s="687"/>
      <c r="EZ789" s="553"/>
      <c r="FA789" s="687"/>
      <c r="FB789" s="553"/>
      <c r="FC789" s="687"/>
      <c r="FD789" s="553"/>
      <c r="FE789" s="687"/>
      <c r="FF789" s="553"/>
      <c r="FG789" s="687"/>
      <c r="FH789" s="553"/>
      <c r="FI789" s="687"/>
      <c r="FJ789" s="553"/>
      <c r="FK789" s="687"/>
      <c r="FL789" s="553"/>
      <c r="FM789" s="687"/>
      <c r="FN789" s="553"/>
      <c r="FO789" s="687"/>
      <c r="FP789" s="553"/>
      <c r="FQ789" s="687"/>
      <c r="FR789" s="553"/>
      <c r="FS789" s="687"/>
      <c r="FT789" s="553"/>
      <c r="FU789" s="687"/>
      <c r="FV789" s="553"/>
      <c r="FW789" s="687"/>
      <c r="FX789" s="553"/>
      <c r="FY789" s="687"/>
      <c r="FZ789" s="553"/>
      <c r="GA789" s="687"/>
      <c r="GB789" s="553"/>
      <c r="GC789" s="687"/>
      <c r="GD789" s="553"/>
      <c r="GE789" s="687"/>
      <c r="GF789" s="553"/>
      <c r="GG789" s="687"/>
      <c r="GH789" s="553"/>
      <c r="GI789" s="687"/>
      <c r="GJ789" s="553"/>
      <c r="GK789" s="687"/>
      <c r="GL789" s="553"/>
      <c r="GM789" s="687"/>
      <c r="GN789" s="553"/>
      <c r="GO789" s="687"/>
      <c r="GP789" s="553"/>
      <c r="GQ789" s="687"/>
      <c r="GR789" s="487"/>
      <c r="GS789" s="487"/>
      <c r="GT789" s="567"/>
      <c r="GU789" s="493"/>
      <c r="GV789" s="493"/>
      <c r="GW789" s="589"/>
      <c r="GX789" s="589"/>
      <c r="GY789" s="493"/>
      <c r="GZ789" s="493"/>
      <c r="HA789" s="493"/>
      <c r="HB789" s="493"/>
      <c r="HC789" s="493"/>
      <c r="HD789" s="493"/>
      <c r="HE789" s="493"/>
      <c r="HF789" s="493"/>
      <c r="HG789" s="487"/>
      <c r="HH789" s="488"/>
      <c r="HI789" s="829"/>
      <c r="HJ789" s="488"/>
      <c r="HK789" s="829"/>
      <c r="HL789" s="488"/>
      <c r="HM789" s="829"/>
      <c r="HN789" s="488"/>
      <c r="HO789" s="829"/>
      <c r="HP789" s="488"/>
      <c r="HQ789" s="829"/>
      <c r="HR789" s="488"/>
      <c r="HS789" s="829"/>
      <c r="HT789" s="488"/>
      <c r="HU789" s="829"/>
      <c r="HV789" s="488"/>
      <c r="HW789" s="829"/>
      <c r="HX789" s="488"/>
      <c r="HY789" s="829"/>
      <c r="HZ789" s="488"/>
      <c r="IA789" s="829"/>
      <c r="IB789" s="488"/>
      <c r="IC789" s="829"/>
      <c r="ID789" s="488"/>
      <c r="IE789" s="829"/>
      <c r="IF789" s="719"/>
      <c r="IG789" s="486"/>
      <c r="IH789" s="720"/>
      <c r="II789" s="488"/>
      <c r="IJ789" s="488"/>
      <c r="IK789" s="488"/>
      <c r="IL789" s="488"/>
      <c r="IM789" s="488"/>
      <c r="IN789" s="488"/>
      <c r="IO789" s="488"/>
      <c r="IP789" s="488"/>
      <c r="IQ789" s="488"/>
      <c r="IR789" s="488"/>
      <c r="IS789" s="488"/>
      <c r="IT789" s="488"/>
      <c r="IU789" s="488"/>
      <c r="IV789" s="488"/>
      <c r="IW789" s="488"/>
      <c r="IX789" s="488"/>
      <c r="IY789" s="488"/>
      <c r="IZ789" s="488"/>
      <c r="JA789" s="488"/>
      <c r="JB789" s="488"/>
      <c r="JC789" s="488"/>
      <c r="JD789" s="488"/>
      <c r="JE789" s="488"/>
      <c r="JF789" s="488"/>
      <c r="JG789" s="488"/>
      <c r="JH789" s="488"/>
      <c r="JI789" s="488"/>
      <c r="JJ789" s="488"/>
      <c r="JK789" s="488"/>
      <c r="JL789" s="488"/>
      <c r="JM789" s="488"/>
      <c r="JN789" s="488"/>
      <c r="JO789" s="488"/>
      <c r="JP789" s="488"/>
      <c r="JQ789" s="488"/>
      <c r="JR789" s="488"/>
      <c r="JS789" s="487"/>
      <c r="JT789" s="662"/>
      <c r="JU789" s="665"/>
      <c r="JV789" s="524"/>
      <c r="JW789" s="525"/>
      <c r="JX789" s="553"/>
      <c r="JY789" s="549">
        <f t="shared" si="15767"/>
        <v>0</v>
      </c>
      <c r="JZ789" s="581">
        <f t="shared" si="16466"/>
        <v>0</v>
      </c>
      <c r="KA789" s="581">
        <f t="shared" si="16467"/>
        <v>0</v>
      </c>
      <c r="KB789" s="566">
        <f t="shared" ref="KB789:KB855" si="17031">SUM(JX789:KA789)</f>
        <v>0</v>
      </c>
      <c r="KC789" s="709">
        <f t="shared" si="16464"/>
        <v>0</v>
      </c>
      <c r="KD789" s="491"/>
      <c r="KE789" s="491"/>
      <c r="KF789" s="491"/>
      <c r="KG789" s="491"/>
      <c r="KH789" s="36"/>
      <c r="KI789" s="36"/>
      <c r="KJ789" s="36"/>
      <c r="KK789" s="36"/>
    </row>
    <row r="790" spans="1:297" s="10" customFormat="1">
      <c r="A790" s="613" t="s">
        <v>737</v>
      </c>
      <c r="B790" s="514" t="s">
        <v>986</v>
      </c>
      <c r="C790" s="513">
        <f t="shared" ref="C790" si="17032">SUM(C791:C823)</f>
        <v>649900</v>
      </c>
      <c r="D790" s="567">
        <f t="shared" ref="D790:E790" si="17033">SUM(D791:D825)</f>
        <v>0</v>
      </c>
      <c r="E790" s="686">
        <f t="shared" si="17033"/>
        <v>0</v>
      </c>
      <c r="F790" s="567">
        <f t="shared" ref="F790:G790" si="17034">SUM(F791:F825)</f>
        <v>0</v>
      </c>
      <c r="G790" s="686">
        <f t="shared" si="17034"/>
        <v>0</v>
      </c>
      <c r="H790" s="567">
        <f t="shared" ref="H790:I790" si="17035">SUM(H791:H825)</f>
        <v>0</v>
      </c>
      <c r="I790" s="686">
        <f t="shared" si="17035"/>
        <v>0</v>
      </c>
      <c r="J790" s="567">
        <f t="shared" ref="J790:K790" si="17036">SUM(J791:J825)</f>
        <v>0</v>
      </c>
      <c r="K790" s="686">
        <f t="shared" si="17036"/>
        <v>0</v>
      </c>
      <c r="L790" s="567">
        <f t="shared" ref="L790:M790" si="17037">SUM(L791:L825)</f>
        <v>0</v>
      </c>
      <c r="M790" s="686">
        <f t="shared" si="17037"/>
        <v>0</v>
      </c>
      <c r="N790" s="567">
        <f t="shared" ref="N790:O790" si="17038">SUM(N791:N825)</f>
        <v>0</v>
      </c>
      <c r="O790" s="686">
        <f t="shared" si="17038"/>
        <v>0</v>
      </c>
      <c r="P790" s="567">
        <f t="shared" ref="P790:Q790" si="17039">SUM(P791:P825)</f>
        <v>0</v>
      </c>
      <c r="Q790" s="686">
        <f t="shared" si="17039"/>
        <v>0</v>
      </c>
      <c r="R790" s="567">
        <f t="shared" ref="R790:S790" si="17040">SUM(R791:R825)</f>
        <v>0</v>
      </c>
      <c r="S790" s="686">
        <f t="shared" si="17040"/>
        <v>0</v>
      </c>
      <c r="T790" s="567">
        <f t="shared" ref="T790:U790" si="17041">SUM(T791:T825)</f>
        <v>0</v>
      </c>
      <c r="U790" s="686">
        <f t="shared" si="17041"/>
        <v>0</v>
      </c>
      <c r="V790" s="567">
        <f t="shared" ref="V790:W790" si="17042">SUM(V791:V825)</f>
        <v>0</v>
      </c>
      <c r="W790" s="686">
        <f t="shared" si="17042"/>
        <v>0</v>
      </c>
      <c r="X790" s="567">
        <f t="shared" ref="X790:Y790" si="17043">SUM(X791:X825)</f>
        <v>0</v>
      </c>
      <c r="Y790" s="686">
        <f t="shared" si="17043"/>
        <v>0</v>
      </c>
      <c r="Z790" s="567">
        <f t="shared" ref="Z790:AA790" si="17044">SUM(Z791:Z825)</f>
        <v>0</v>
      </c>
      <c r="AA790" s="686">
        <f t="shared" si="17044"/>
        <v>0</v>
      </c>
      <c r="AB790" s="567">
        <f t="shared" ref="AB790:AC790" si="17045">SUM(AB791:AB825)</f>
        <v>0</v>
      </c>
      <c r="AC790" s="686">
        <f t="shared" si="17045"/>
        <v>-128901</v>
      </c>
      <c r="AD790" s="567">
        <f t="shared" ref="AD790:AE790" si="17046">SUM(AD791:AD825)</f>
        <v>0</v>
      </c>
      <c r="AE790" s="686">
        <f t="shared" si="17046"/>
        <v>0</v>
      </c>
      <c r="AF790" s="567">
        <f t="shared" ref="AF790:AI790" si="17047">SUM(AF791:AF825)</f>
        <v>0</v>
      </c>
      <c r="AG790" s="686">
        <f t="shared" si="17047"/>
        <v>0</v>
      </c>
      <c r="AH790" s="567">
        <f t="shared" si="17047"/>
        <v>0</v>
      </c>
      <c r="AI790" s="686">
        <f t="shared" si="17047"/>
        <v>0</v>
      </c>
      <c r="AJ790" s="567">
        <f t="shared" ref="AJ790:AK790" si="17048">SUM(AJ791:AJ825)</f>
        <v>0</v>
      </c>
      <c r="AK790" s="686">
        <f t="shared" si="17048"/>
        <v>0</v>
      </c>
      <c r="AL790" s="567">
        <f t="shared" ref="AL790:AM790" si="17049">SUM(AL791:AL825)</f>
        <v>0</v>
      </c>
      <c r="AM790" s="686">
        <f t="shared" si="17049"/>
        <v>0</v>
      </c>
      <c r="AN790" s="567">
        <f t="shared" ref="AN790:AO790" si="17050">SUM(AN791:AN825)</f>
        <v>0</v>
      </c>
      <c r="AO790" s="686">
        <f t="shared" si="17050"/>
        <v>0</v>
      </c>
      <c r="AP790" s="567">
        <f t="shared" ref="AP790:AQ790" si="17051">SUM(AP791:AP825)</f>
        <v>0</v>
      </c>
      <c r="AQ790" s="686">
        <f t="shared" si="17051"/>
        <v>0</v>
      </c>
      <c r="AR790" s="567">
        <f t="shared" ref="AR790:AS790" si="17052">SUM(AR791:AR825)</f>
        <v>0</v>
      </c>
      <c r="AS790" s="686">
        <f t="shared" si="17052"/>
        <v>0</v>
      </c>
      <c r="AT790" s="567">
        <f t="shared" ref="AT790:AU790" si="17053">SUM(AT791:AT825)</f>
        <v>0</v>
      </c>
      <c r="AU790" s="686">
        <f t="shared" si="17053"/>
        <v>0</v>
      </c>
      <c r="AV790" s="567">
        <f t="shared" ref="AV790:AW790" si="17054">SUM(AV791:AV825)</f>
        <v>0</v>
      </c>
      <c r="AW790" s="686">
        <f t="shared" si="17054"/>
        <v>0</v>
      </c>
      <c r="AX790" s="567">
        <f t="shared" ref="AX790:AY790" si="17055">SUM(AX791:AX825)</f>
        <v>0</v>
      </c>
      <c r="AY790" s="686">
        <f t="shared" si="17055"/>
        <v>0</v>
      </c>
      <c r="AZ790" s="567">
        <f t="shared" ref="AZ790:BA790" si="17056">SUM(AZ791:AZ825)</f>
        <v>0</v>
      </c>
      <c r="BA790" s="686">
        <f t="shared" si="17056"/>
        <v>0</v>
      </c>
      <c r="BB790" s="567">
        <f t="shared" ref="BB790:BC790" si="17057">SUM(BB791:BB825)</f>
        <v>0</v>
      </c>
      <c r="BC790" s="686">
        <f t="shared" si="17057"/>
        <v>-169000</v>
      </c>
      <c r="BD790" s="567">
        <f t="shared" ref="BD790:BE790" si="17058">SUM(BD791:BD825)</f>
        <v>0</v>
      </c>
      <c r="BE790" s="686">
        <f t="shared" si="17058"/>
        <v>0</v>
      </c>
      <c r="BF790" s="567">
        <f t="shared" ref="BF790:BG790" si="17059">SUM(BF791:BF825)</f>
        <v>0</v>
      </c>
      <c r="BG790" s="686">
        <f t="shared" si="17059"/>
        <v>0</v>
      </c>
      <c r="BH790" s="567">
        <f t="shared" ref="BH790:BI790" si="17060">SUM(BH791:BH825)</f>
        <v>0</v>
      </c>
      <c r="BI790" s="686">
        <f t="shared" si="17060"/>
        <v>0</v>
      </c>
      <c r="BJ790" s="567">
        <f t="shared" ref="BJ790:BK790" si="17061">SUM(BJ791:BJ825)</f>
        <v>0</v>
      </c>
      <c r="BK790" s="686">
        <f t="shared" si="17061"/>
        <v>0</v>
      </c>
      <c r="BL790" s="567">
        <f t="shared" ref="BL790:BM790" si="17062">SUM(BL791:BL825)</f>
        <v>0</v>
      </c>
      <c r="BM790" s="686">
        <f t="shared" si="17062"/>
        <v>0</v>
      </c>
      <c r="BN790" s="567">
        <f t="shared" ref="BN790:BO790" si="17063">SUM(BN791:BN825)</f>
        <v>0</v>
      </c>
      <c r="BO790" s="686">
        <f t="shared" si="17063"/>
        <v>0</v>
      </c>
      <c r="BP790" s="567">
        <f t="shared" ref="BP790:BQ790" si="17064">SUM(BP791:BP825)</f>
        <v>0</v>
      </c>
      <c r="BQ790" s="686">
        <f t="shared" si="17064"/>
        <v>0</v>
      </c>
      <c r="BR790" s="567">
        <f t="shared" ref="BR790:BS790" si="17065">SUM(BR791:BR825)</f>
        <v>0</v>
      </c>
      <c r="BS790" s="686">
        <f t="shared" si="17065"/>
        <v>0</v>
      </c>
      <c r="BT790" s="567">
        <f t="shared" ref="BT790:BU790" si="17066">SUM(BT791:BT825)</f>
        <v>0</v>
      </c>
      <c r="BU790" s="686">
        <f t="shared" si="17066"/>
        <v>0</v>
      </c>
      <c r="BV790" s="567">
        <f t="shared" ref="BV790:BW790" si="17067">SUM(BV791:BV825)</f>
        <v>0</v>
      </c>
      <c r="BW790" s="686">
        <f t="shared" si="17067"/>
        <v>0</v>
      </c>
      <c r="BX790" s="567">
        <f t="shared" ref="BX790:BY790" si="17068">SUM(BX791:BX825)</f>
        <v>0</v>
      </c>
      <c r="BY790" s="686">
        <f t="shared" si="17068"/>
        <v>-5834</v>
      </c>
      <c r="BZ790" s="567">
        <f t="shared" ref="BZ790:CA790" si="17069">SUM(BZ791:BZ825)</f>
        <v>0</v>
      </c>
      <c r="CA790" s="686">
        <f t="shared" si="17069"/>
        <v>0</v>
      </c>
      <c r="CB790" s="567">
        <f t="shared" ref="CB790:DE790" si="17070">SUM(CB791:CB825)</f>
        <v>0</v>
      </c>
      <c r="CC790" s="686">
        <f t="shared" si="17070"/>
        <v>0</v>
      </c>
      <c r="CD790" s="567">
        <f t="shared" si="17070"/>
        <v>0</v>
      </c>
      <c r="CE790" s="686">
        <f t="shared" si="17070"/>
        <v>0</v>
      </c>
      <c r="CF790" s="567">
        <f t="shared" si="17070"/>
        <v>0</v>
      </c>
      <c r="CG790" s="686">
        <f t="shared" si="17070"/>
        <v>0</v>
      </c>
      <c r="CH790" s="567">
        <f t="shared" si="17070"/>
        <v>0</v>
      </c>
      <c r="CI790" s="686">
        <f t="shared" si="17070"/>
        <v>0</v>
      </c>
      <c r="CJ790" s="567">
        <f t="shared" si="17070"/>
        <v>0</v>
      </c>
      <c r="CK790" s="686">
        <f t="shared" si="17070"/>
        <v>0</v>
      </c>
      <c r="CL790" s="567">
        <f t="shared" si="17070"/>
        <v>0</v>
      </c>
      <c r="CM790" s="686">
        <f t="shared" si="17070"/>
        <v>0</v>
      </c>
      <c r="CN790" s="567">
        <f t="shared" si="17070"/>
        <v>0</v>
      </c>
      <c r="CO790" s="686">
        <f t="shared" si="17070"/>
        <v>0</v>
      </c>
      <c r="CP790" s="567">
        <f t="shared" si="17070"/>
        <v>0</v>
      </c>
      <c r="CQ790" s="686">
        <f t="shared" si="17070"/>
        <v>0</v>
      </c>
      <c r="CR790" s="567">
        <f t="shared" si="17070"/>
        <v>0</v>
      </c>
      <c r="CS790" s="686">
        <f t="shared" si="17070"/>
        <v>0</v>
      </c>
      <c r="CT790" s="567">
        <f t="shared" si="17070"/>
        <v>0</v>
      </c>
      <c r="CU790" s="686">
        <f t="shared" si="17070"/>
        <v>0</v>
      </c>
      <c r="CV790" s="567">
        <f t="shared" si="17070"/>
        <v>0</v>
      </c>
      <c r="CW790" s="686">
        <f t="shared" si="17070"/>
        <v>0</v>
      </c>
      <c r="CX790" s="567">
        <f t="shared" si="17070"/>
        <v>0</v>
      </c>
      <c r="CY790" s="686">
        <f t="shared" si="17070"/>
        <v>-100000</v>
      </c>
      <c r="CZ790" s="567">
        <f t="shared" si="17070"/>
        <v>0</v>
      </c>
      <c r="DA790" s="686">
        <f t="shared" si="17070"/>
        <v>0</v>
      </c>
      <c r="DB790" s="567">
        <f t="shared" si="17070"/>
        <v>0</v>
      </c>
      <c r="DC790" s="686">
        <f t="shared" si="17070"/>
        <v>-123000</v>
      </c>
      <c r="DD790" s="567">
        <f t="shared" si="17070"/>
        <v>0</v>
      </c>
      <c r="DE790" s="686">
        <f t="shared" si="17070"/>
        <v>0</v>
      </c>
      <c r="DF790" s="567">
        <f t="shared" ref="DF790:EK790" si="17071">SUM(DF791:DF825)</f>
        <v>0</v>
      </c>
      <c r="DG790" s="686">
        <f t="shared" si="17071"/>
        <v>0</v>
      </c>
      <c r="DH790" s="567">
        <f t="shared" si="17071"/>
        <v>0</v>
      </c>
      <c r="DI790" s="686">
        <f t="shared" si="17071"/>
        <v>0</v>
      </c>
      <c r="DJ790" s="567">
        <f t="shared" si="17071"/>
        <v>0</v>
      </c>
      <c r="DK790" s="686">
        <f t="shared" si="17071"/>
        <v>0</v>
      </c>
      <c r="DL790" s="567">
        <f t="shared" si="17071"/>
        <v>0</v>
      </c>
      <c r="DM790" s="686">
        <f t="shared" si="17071"/>
        <v>0</v>
      </c>
      <c r="DN790" s="567">
        <f t="shared" si="17071"/>
        <v>0</v>
      </c>
      <c r="DO790" s="686">
        <f t="shared" si="17071"/>
        <v>-15958</v>
      </c>
      <c r="DP790" s="567">
        <f t="shared" si="17071"/>
        <v>0</v>
      </c>
      <c r="DQ790" s="686">
        <f t="shared" si="17071"/>
        <v>0</v>
      </c>
      <c r="DR790" s="567">
        <f t="shared" si="17071"/>
        <v>0</v>
      </c>
      <c r="DS790" s="686">
        <f t="shared" si="17071"/>
        <v>0</v>
      </c>
      <c r="DT790" s="567">
        <f t="shared" si="17071"/>
        <v>0</v>
      </c>
      <c r="DU790" s="686">
        <f t="shared" si="17071"/>
        <v>0</v>
      </c>
      <c r="DV790" s="567">
        <f t="shared" si="17071"/>
        <v>0</v>
      </c>
      <c r="DW790" s="686">
        <f t="shared" si="17071"/>
        <v>0</v>
      </c>
      <c r="DX790" s="567">
        <f t="shared" si="17071"/>
        <v>0</v>
      </c>
      <c r="DY790" s="686">
        <f t="shared" si="17071"/>
        <v>0</v>
      </c>
      <c r="DZ790" s="567">
        <f t="shared" si="17071"/>
        <v>0</v>
      </c>
      <c r="EA790" s="686">
        <f t="shared" si="17071"/>
        <v>0</v>
      </c>
      <c r="EB790" s="567">
        <f t="shared" si="17071"/>
        <v>0</v>
      </c>
      <c r="EC790" s="686">
        <f t="shared" si="17071"/>
        <v>0</v>
      </c>
      <c r="ED790" s="567">
        <f t="shared" si="17071"/>
        <v>0</v>
      </c>
      <c r="EE790" s="686">
        <f t="shared" si="17071"/>
        <v>0</v>
      </c>
      <c r="EF790" s="567">
        <f t="shared" si="17071"/>
        <v>0</v>
      </c>
      <c r="EG790" s="686">
        <f t="shared" si="17071"/>
        <v>0</v>
      </c>
      <c r="EH790" s="567">
        <f t="shared" si="17071"/>
        <v>0</v>
      </c>
      <c r="EI790" s="686">
        <f t="shared" si="17071"/>
        <v>0</v>
      </c>
      <c r="EJ790" s="567">
        <f t="shared" si="17071"/>
        <v>0</v>
      </c>
      <c r="EK790" s="686">
        <f t="shared" si="17071"/>
        <v>0</v>
      </c>
      <c r="EL790" s="567">
        <f t="shared" ref="EL790:FQ790" si="17072">SUM(EL791:EL825)</f>
        <v>0</v>
      </c>
      <c r="EM790" s="686">
        <f t="shared" si="17072"/>
        <v>0</v>
      </c>
      <c r="EN790" s="567">
        <f t="shared" si="17072"/>
        <v>0</v>
      </c>
      <c r="EO790" s="686">
        <f t="shared" si="17072"/>
        <v>0</v>
      </c>
      <c r="EP790" s="567">
        <f t="shared" si="17072"/>
        <v>0</v>
      </c>
      <c r="EQ790" s="686">
        <f t="shared" si="17072"/>
        <v>0</v>
      </c>
      <c r="ER790" s="567">
        <f t="shared" si="17072"/>
        <v>0</v>
      </c>
      <c r="ES790" s="686">
        <f t="shared" si="17072"/>
        <v>0</v>
      </c>
      <c r="ET790" s="567">
        <f t="shared" si="17072"/>
        <v>0</v>
      </c>
      <c r="EU790" s="686">
        <f t="shared" si="17072"/>
        <v>0</v>
      </c>
      <c r="EV790" s="567">
        <f t="shared" si="17072"/>
        <v>0</v>
      </c>
      <c r="EW790" s="686">
        <f t="shared" si="17072"/>
        <v>0</v>
      </c>
      <c r="EX790" s="567">
        <f t="shared" si="17072"/>
        <v>0</v>
      </c>
      <c r="EY790" s="686">
        <f t="shared" si="17072"/>
        <v>0</v>
      </c>
      <c r="EZ790" s="567">
        <f t="shared" si="17072"/>
        <v>0</v>
      </c>
      <c r="FA790" s="686">
        <f t="shared" si="17072"/>
        <v>0</v>
      </c>
      <c r="FB790" s="567">
        <f t="shared" si="17072"/>
        <v>0</v>
      </c>
      <c r="FC790" s="686">
        <f t="shared" si="17072"/>
        <v>0</v>
      </c>
      <c r="FD790" s="567">
        <f t="shared" si="17072"/>
        <v>0</v>
      </c>
      <c r="FE790" s="686">
        <f t="shared" si="17072"/>
        <v>0</v>
      </c>
      <c r="FF790" s="567">
        <f t="shared" si="17072"/>
        <v>0</v>
      </c>
      <c r="FG790" s="686">
        <f t="shared" si="17072"/>
        <v>0</v>
      </c>
      <c r="FH790" s="567">
        <f t="shared" si="17072"/>
        <v>0</v>
      </c>
      <c r="FI790" s="686">
        <f t="shared" si="17072"/>
        <v>0</v>
      </c>
      <c r="FJ790" s="567">
        <f t="shared" si="17072"/>
        <v>0</v>
      </c>
      <c r="FK790" s="686">
        <f t="shared" si="17072"/>
        <v>0</v>
      </c>
      <c r="FL790" s="567">
        <f t="shared" si="17072"/>
        <v>0</v>
      </c>
      <c r="FM790" s="686">
        <f t="shared" si="17072"/>
        <v>0</v>
      </c>
      <c r="FN790" s="567">
        <f t="shared" si="17072"/>
        <v>0</v>
      </c>
      <c r="FO790" s="686">
        <f t="shared" si="17072"/>
        <v>-465</v>
      </c>
      <c r="FP790" s="567">
        <f t="shared" si="17072"/>
        <v>0</v>
      </c>
      <c r="FQ790" s="686">
        <f t="shared" si="17072"/>
        <v>0</v>
      </c>
      <c r="FR790" s="567">
        <f t="shared" ref="FR790:FS790" si="17073">SUM(FR791:FR825)</f>
        <v>0</v>
      </c>
      <c r="FS790" s="686">
        <f t="shared" si="17073"/>
        <v>0</v>
      </c>
      <c r="FT790" s="567">
        <f t="shared" ref="FT790:FU790" si="17074">SUM(FT791:FT825)</f>
        <v>0</v>
      </c>
      <c r="FU790" s="686">
        <f t="shared" si="17074"/>
        <v>0</v>
      </c>
      <c r="FV790" s="567">
        <f t="shared" ref="FV790:GK790" si="17075">SUM(FV791:FV825)</f>
        <v>0</v>
      </c>
      <c r="FW790" s="686">
        <f t="shared" si="17075"/>
        <v>0</v>
      </c>
      <c r="FX790" s="567">
        <f t="shared" si="17075"/>
        <v>0</v>
      </c>
      <c r="FY790" s="686">
        <f t="shared" si="17075"/>
        <v>0</v>
      </c>
      <c r="FZ790" s="567">
        <f t="shared" ref="FZ790:GI790" si="17076">SUM(FZ791:FZ825)</f>
        <v>0</v>
      </c>
      <c r="GA790" s="686">
        <f t="shared" si="17076"/>
        <v>0</v>
      </c>
      <c r="GB790" s="567">
        <f t="shared" si="17076"/>
        <v>0</v>
      </c>
      <c r="GC790" s="686">
        <f t="shared" si="17076"/>
        <v>0</v>
      </c>
      <c r="GD790" s="567">
        <f t="shared" si="17076"/>
        <v>0</v>
      </c>
      <c r="GE790" s="686">
        <f t="shared" si="17076"/>
        <v>0</v>
      </c>
      <c r="GF790" s="567">
        <f t="shared" si="17076"/>
        <v>0</v>
      </c>
      <c r="GG790" s="686">
        <f t="shared" si="17076"/>
        <v>0</v>
      </c>
      <c r="GH790" s="567">
        <f t="shared" si="17076"/>
        <v>0</v>
      </c>
      <c r="GI790" s="686">
        <f t="shared" si="17076"/>
        <v>0</v>
      </c>
      <c r="GJ790" s="567">
        <f t="shared" si="17075"/>
        <v>0</v>
      </c>
      <c r="GK790" s="686">
        <f t="shared" si="17075"/>
        <v>0</v>
      </c>
      <c r="GL790" s="567">
        <f t="shared" ref="GL790:GT790" si="17077">SUM(GL791:GL825)</f>
        <v>0</v>
      </c>
      <c r="GM790" s="686">
        <f t="shared" si="17077"/>
        <v>0</v>
      </c>
      <c r="GN790" s="567">
        <f t="shared" ref="GN790:GO790" si="17078">SUM(GN791:GN825)</f>
        <v>0</v>
      </c>
      <c r="GO790" s="686">
        <f t="shared" si="17078"/>
        <v>0</v>
      </c>
      <c r="GP790" s="567">
        <f t="shared" si="17077"/>
        <v>0</v>
      </c>
      <c r="GQ790" s="686">
        <f t="shared" si="17077"/>
        <v>-543158</v>
      </c>
      <c r="GR790" s="513">
        <f t="shared" si="17077"/>
        <v>106742</v>
      </c>
      <c r="GS790" s="513">
        <f>SUM(GS791:GS825)</f>
        <v>106742</v>
      </c>
      <c r="GT790" s="567">
        <f t="shared" si="17077"/>
        <v>106742</v>
      </c>
      <c r="GU790" s="513">
        <f t="shared" ref="GU790:HF790" si="17079">SUM(GU791:GU823)</f>
        <v>140474</v>
      </c>
      <c r="GV790" s="513">
        <f t="shared" si="17079"/>
        <v>157760</v>
      </c>
      <c r="GW790" s="567">
        <f t="shared" si="17079"/>
        <v>0</v>
      </c>
      <c r="GX790" s="567">
        <f t="shared" si="17079"/>
        <v>123850</v>
      </c>
      <c r="GY790" s="513">
        <f t="shared" si="17079"/>
        <v>115000</v>
      </c>
      <c r="GZ790" s="513">
        <f t="shared" si="17079"/>
        <v>0</v>
      </c>
      <c r="HA790" s="513">
        <f t="shared" si="17079"/>
        <v>104383</v>
      </c>
      <c r="HB790" s="513">
        <f t="shared" si="17079"/>
        <v>0</v>
      </c>
      <c r="HC790" s="513">
        <f t="shared" si="17079"/>
        <v>0</v>
      </c>
      <c r="HD790" s="513">
        <f t="shared" si="17079"/>
        <v>8433</v>
      </c>
      <c r="HE790" s="513">
        <f t="shared" si="17079"/>
        <v>0</v>
      </c>
      <c r="HF790" s="513">
        <f t="shared" si="17079"/>
        <v>0</v>
      </c>
      <c r="HG790" s="513">
        <f>SUM(HG791:HG825)</f>
        <v>106742</v>
      </c>
      <c r="HH790" s="513">
        <f t="shared" ref="HH790:HI790" si="17080">SUM(HH791:HH825)</f>
        <v>0</v>
      </c>
      <c r="HI790" s="827">
        <f t="shared" si="17080"/>
        <v>0</v>
      </c>
      <c r="HJ790" s="513">
        <f t="shared" ref="HJ790:HK790" si="17081">SUM(HJ791:HJ825)</f>
        <v>0</v>
      </c>
      <c r="HK790" s="827">
        <f t="shared" si="17081"/>
        <v>0</v>
      </c>
      <c r="HL790" s="513">
        <f t="shared" ref="HL790:HM790" si="17082">SUM(HL791:HL825)</f>
        <v>0</v>
      </c>
      <c r="HM790" s="827">
        <f t="shared" si="17082"/>
        <v>298234</v>
      </c>
      <c r="HN790" s="513">
        <f t="shared" ref="HN790:HO790" si="17083">SUM(HN791:HN825)</f>
        <v>0</v>
      </c>
      <c r="HO790" s="827">
        <f t="shared" si="17083"/>
        <v>123850</v>
      </c>
      <c r="HP790" s="513">
        <f t="shared" ref="HP790:HQ790" si="17084">SUM(HP791:HP825)</f>
        <v>0</v>
      </c>
      <c r="HQ790" s="827">
        <f t="shared" si="17084"/>
        <v>0</v>
      </c>
      <c r="HR790" s="513">
        <f t="shared" ref="HR790:HS790" si="17085">SUM(HR791:HR825)</f>
        <v>0</v>
      </c>
      <c r="HS790" s="827">
        <f t="shared" si="17085"/>
        <v>834</v>
      </c>
      <c r="HT790" s="513">
        <f t="shared" ref="HT790:HU790" si="17086">SUM(HT791:HT825)</f>
        <v>0</v>
      </c>
      <c r="HU790" s="827">
        <f t="shared" si="17086"/>
        <v>218549</v>
      </c>
      <c r="HV790" s="513">
        <f t="shared" ref="HV790:HW790" si="17087">SUM(HV791:HV825)</f>
        <v>0</v>
      </c>
      <c r="HW790" s="827">
        <f t="shared" si="17087"/>
        <v>0</v>
      </c>
      <c r="HX790" s="513">
        <f t="shared" ref="HX790:HY790" si="17088">SUM(HX791:HX825)</f>
        <v>0</v>
      </c>
      <c r="HY790" s="827">
        <f t="shared" si="17088"/>
        <v>0</v>
      </c>
      <c r="HZ790" s="513">
        <f t="shared" ref="HZ790:IA790" si="17089">SUM(HZ791:HZ825)</f>
        <v>0</v>
      </c>
      <c r="IA790" s="827">
        <f t="shared" si="17089"/>
        <v>8433</v>
      </c>
      <c r="IB790" s="513">
        <f t="shared" ref="IB790:IC790" si="17090">SUM(IB791:IB825)</f>
        <v>0</v>
      </c>
      <c r="IC790" s="827">
        <f t="shared" si="17090"/>
        <v>0</v>
      </c>
      <c r="ID790" s="513">
        <f t="shared" ref="ID790:IK790" si="17091">SUM(ID791:ID825)</f>
        <v>0</v>
      </c>
      <c r="IE790" s="827">
        <f t="shared" si="17091"/>
        <v>0</v>
      </c>
      <c r="IF790" s="717">
        <f t="shared" si="17091"/>
        <v>85914.8</v>
      </c>
      <c r="IG790" s="263">
        <f t="shared" si="17091"/>
        <v>85914.8</v>
      </c>
      <c r="IH790" s="718">
        <f t="shared" si="17091"/>
        <v>85914.8</v>
      </c>
      <c r="II790" s="513">
        <f t="shared" si="17091"/>
        <v>4979.33</v>
      </c>
      <c r="IJ790" s="513">
        <f t="shared" si="17091"/>
        <v>4979.33</v>
      </c>
      <c r="IK790" s="513">
        <f t="shared" si="17091"/>
        <v>4979.33</v>
      </c>
      <c r="IL790" s="513">
        <f t="shared" ref="IL790:IN790" si="17092">SUM(IL791:IL825)</f>
        <v>11569.65</v>
      </c>
      <c r="IM790" s="513">
        <f t="shared" si="17092"/>
        <v>11569.65</v>
      </c>
      <c r="IN790" s="513">
        <f t="shared" si="17092"/>
        <v>11569.65</v>
      </c>
      <c r="IO790" s="513">
        <f t="shared" ref="IO790:IQ790" si="17093">SUM(IO791:IO825)</f>
        <v>2996.17</v>
      </c>
      <c r="IP790" s="513">
        <f t="shared" si="17093"/>
        <v>2996.17</v>
      </c>
      <c r="IQ790" s="513">
        <f t="shared" si="17093"/>
        <v>2996.17</v>
      </c>
      <c r="IR790" s="513">
        <f t="shared" ref="IR790:IT790" si="17094">SUM(IR791:IR825)</f>
        <v>19162.5</v>
      </c>
      <c r="IS790" s="513">
        <f t="shared" si="17094"/>
        <v>19162.5</v>
      </c>
      <c r="IT790" s="513">
        <f t="shared" si="17094"/>
        <v>19162.5</v>
      </c>
      <c r="IU790" s="513">
        <f t="shared" ref="IU790:IW790" si="17095">SUM(IU791:IU825)</f>
        <v>3933.6699999999983</v>
      </c>
      <c r="IV790" s="513">
        <f t="shared" si="17095"/>
        <v>3933.6699999999983</v>
      </c>
      <c r="IW790" s="513">
        <f t="shared" si="17095"/>
        <v>3933.6699999999983</v>
      </c>
      <c r="IX790" s="513">
        <f t="shared" ref="IX790:IZ790" si="17096">SUM(IX791:IX825)</f>
        <v>4903.68</v>
      </c>
      <c r="IY790" s="513">
        <f t="shared" si="17096"/>
        <v>4903.68</v>
      </c>
      <c r="IZ790" s="513">
        <f t="shared" si="17096"/>
        <v>4903.68</v>
      </c>
      <c r="JA790" s="513">
        <f t="shared" ref="JA790:JC790" si="17097">SUM(JA791:JA825)</f>
        <v>15196.32</v>
      </c>
      <c r="JB790" s="513">
        <f t="shared" si="17097"/>
        <v>15196.32</v>
      </c>
      <c r="JC790" s="513">
        <f t="shared" si="17097"/>
        <v>15196.32</v>
      </c>
      <c r="JD790" s="513">
        <f t="shared" ref="JD790:JF790" si="17098">SUM(JD791:JD825)</f>
        <v>4391.6499999999996</v>
      </c>
      <c r="JE790" s="513">
        <f t="shared" si="17098"/>
        <v>4391.6499999999996</v>
      </c>
      <c r="JF790" s="513">
        <f t="shared" si="17098"/>
        <v>4391.6499999999996</v>
      </c>
      <c r="JG790" s="513">
        <f t="shared" ref="JG790:JI790" si="17099">SUM(JG791:JG825)</f>
        <v>8201.8300000000017</v>
      </c>
      <c r="JH790" s="513">
        <f t="shared" si="17099"/>
        <v>8201.8300000000017</v>
      </c>
      <c r="JI790" s="513">
        <f t="shared" si="17099"/>
        <v>8201.8300000000017</v>
      </c>
      <c r="JJ790" s="513">
        <f t="shared" ref="JJ790:JL790" si="17100">SUM(JJ791:JJ825)</f>
        <v>10580</v>
      </c>
      <c r="JK790" s="513">
        <f t="shared" si="17100"/>
        <v>10580</v>
      </c>
      <c r="JL790" s="513">
        <f t="shared" si="17100"/>
        <v>10580</v>
      </c>
      <c r="JM790" s="513">
        <f t="shared" ref="JM790:JO790" si="17101">SUM(JM791:JM825)</f>
        <v>0</v>
      </c>
      <c r="JN790" s="513">
        <f t="shared" si="17101"/>
        <v>0</v>
      </c>
      <c r="JO790" s="513">
        <f t="shared" si="17101"/>
        <v>0</v>
      </c>
      <c r="JP790" s="513">
        <f t="shared" ref="JP790:JT790" si="17102">SUM(JP791:JP825)</f>
        <v>0</v>
      </c>
      <c r="JQ790" s="513">
        <f t="shared" si="17102"/>
        <v>0</v>
      </c>
      <c r="JR790" s="513">
        <f t="shared" si="17102"/>
        <v>0</v>
      </c>
      <c r="JS790" s="513">
        <f t="shared" si="17102"/>
        <v>20827.2</v>
      </c>
      <c r="JT790" s="573">
        <f t="shared" si="17102"/>
        <v>20827.2</v>
      </c>
      <c r="JU790" s="665"/>
      <c r="JV790" s="524"/>
      <c r="JW790" s="525"/>
      <c r="JX790" s="513">
        <f t="shared" ref="JX790:KC790" si="17103">SUM(JX791:JX825)</f>
        <v>0</v>
      </c>
      <c r="JY790" s="513">
        <f t="shared" si="17103"/>
        <v>649900</v>
      </c>
      <c r="JZ790" s="513">
        <f t="shared" si="17103"/>
        <v>0</v>
      </c>
      <c r="KA790" s="513">
        <f t="shared" si="17103"/>
        <v>-543158</v>
      </c>
      <c r="KB790" s="513">
        <f t="shared" si="17103"/>
        <v>106742</v>
      </c>
      <c r="KC790" s="709">
        <f t="shared" si="17103"/>
        <v>0</v>
      </c>
      <c r="KD790" s="491"/>
      <c r="KE790" s="491"/>
      <c r="KF790" s="491"/>
      <c r="KG790" s="491"/>
      <c r="KH790" s="36"/>
      <c r="KI790" s="36"/>
      <c r="KJ790" s="36"/>
      <c r="KK790" s="36"/>
    </row>
    <row r="791" spans="1:297" s="10" customFormat="1">
      <c r="A791" s="612" t="s">
        <v>690</v>
      </c>
      <c r="B791" s="512" t="s">
        <v>976</v>
      </c>
      <c r="C791" s="74">
        <v>186400</v>
      </c>
      <c r="D791" s="549">
        <v>0</v>
      </c>
      <c r="E791" s="675">
        <v>0</v>
      </c>
      <c r="F791" s="549">
        <v>0</v>
      </c>
      <c r="G791" s="675">
        <v>0</v>
      </c>
      <c r="H791" s="549">
        <v>0</v>
      </c>
      <c r="I791" s="675">
        <v>0</v>
      </c>
      <c r="J791" s="549">
        <v>0</v>
      </c>
      <c r="K791" s="675">
        <v>0</v>
      </c>
      <c r="L791" s="549">
        <v>0</v>
      </c>
      <c r="M791" s="675">
        <v>0</v>
      </c>
      <c r="N791" s="549">
        <v>0</v>
      </c>
      <c r="O791" s="675">
        <v>0</v>
      </c>
      <c r="P791" s="549">
        <v>0</v>
      </c>
      <c r="Q791" s="675">
        <v>0</v>
      </c>
      <c r="R791" s="549">
        <v>0</v>
      </c>
      <c r="S791" s="675">
        <v>0</v>
      </c>
      <c r="T791" s="549">
        <v>0</v>
      </c>
      <c r="U791" s="675">
        <v>0</v>
      </c>
      <c r="V791" s="549">
        <v>0</v>
      </c>
      <c r="W791" s="675">
        <v>0</v>
      </c>
      <c r="X791" s="549">
        <v>0</v>
      </c>
      <c r="Y791" s="675">
        <v>0</v>
      </c>
      <c r="Z791" s="549">
        <v>0</v>
      </c>
      <c r="AA791" s="675">
        <v>0</v>
      </c>
      <c r="AB791" s="549">
        <v>0</v>
      </c>
      <c r="AC791" s="675">
        <v>0</v>
      </c>
      <c r="AD791" s="549">
        <v>0</v>
      </c>
      <c r="AE791" s="675">
        <v>0</v>
      </c>
      <c r="AF791" s="549">
        <v>0</v>
      </c>
      <c r="AG791" s="675">
        <v>0</v>
      </c>
      <c r="AH791" s="549">
        <v>0</v>
      </c>
      <c r="AI791" s="675">
        <v>0</v>
      </c>
      <c r="AJ791" s="549">
        <v>0</v>
      </c>
      <c r="AK791" s="675">
        <v>0</v>
      </c>
      <c r="AL791" s="549">
        <v>0</v>
      </c>
      <c r="AM791" s="675">
        <v>0</v>
      </c>
      <c r="AN791" s="549">
        <v>0</v>
      </c>
      <c r="AO791" s="675">
        <v>0</v>
      </c>
      <c r="AP791" s="549">
        <v>0</v>
      </c>
      <c r="AQ791" s="675">
        <v>0</v>
      </c>
      <c r="AR791" s="549">
        <v>0</v>
      </c>
      <c r="AS791" s="675">
        <v>0</v>
      </c>
      <c r="AT791" s="549">
        <v>0</v>
      </c>
      <c r="AU791" s="675">
        <v>0</v>
      </c>
      <c r="AV791" s="549">
        <v>0</v>
      </c>
      <c r="AW791" s="675">
        <v>0</v>
      </c>
      <c r="AX791" s="549">
        <v>0</v>
      </c>
      <c r="AY791" s="675">
        <v>0</v>
      </c>
      <c r="AZ791" s="549">
        <v>0</v>
      </c>
      <c r="BA791" s="675">
        <v>0</v>
      </c>
      <c r="BB791" s="549">
        <v>0</v>
      </c>
      <c r="BC791" s="675">
        <v>0</v>
      </c>
      <c r="BD791" s="549">
        <v>0</v>
      </c>
      <c r="BE791" s="675">
        <v>0</v>
      </c>
      <c r="BF791" s="549">
        <v>0</v>
      </c>
      <c r="BG791" s="675">
        <v>0</v>
      </c>
      <c r="BH791" s="549">
        <v>0</v>
      </c>
      <c r="BI791" s="675">
        <v>0</v>
      </c>
      <c r="BJ791" s="549">
        <v>0</v>
      </c>
      <c r="BK791" s="675">
        <v>0</v>
      </c>
      <c r="BL791" s="549">
        <v>0</v>
      </c>
      <c r="BM791" s="675">
        <v>0</v>
      </c>
      <c r="BN791" s="549">
        <v>0</v>
      </c>
      <c r="BO791" s="675">
        <v>0</v>
      </c>
      <c r="BP791" s="549">
        <v>0</v>
      </c>
      <c r="BQ791" s="675">
        <v>0</v>
      </c>
      <c r="BR791" s="549">
        <v>0</v>
      </c>
      <c r="BS791" s="675">
        <v>0</v>
      </c>
      <c r="BT791" s="549">
        <v>0</v>
      </c>
      <c r="BU791" s="675">
        <v>0</v>
      </c>
      <c r="BV791" s="549">
        <v>0</v>
      </c>
      <c r="BW791" s="675">
        <v>0</v>
      </c>
      <c r="BX791" s="549">
        <v>0</v>
      </c>
      <c r="BY791" s="675">
        <v>0</v>
      </c>
      <c r="BZ791" s="549">
        <v>0</v>
      </c>
      <c r="CA791" s="675">
        <v>0</v>
      </c>
      <c r="CB791" s="549">
        <v>0</v>
      </c>
      <c r="CC791" s="675">
        <v>0</v>
      </c>
      <c r="CD791" s="549">
        <v>0</v>
      </c>
      <c r="CE791" s="675">
        <v>0</v>
      </c>
      <c r="CF791" s="549">
        <v>0</v>
      </c>
      <c r="CG791" s="675">
        <v>0</v>
      </c>
      <c r="CH791" s="549">
        <v>0</v>
      </c>
      <c r="CI791" s="675">
        <v>0</v>
      </c>
      <c r="CJ791" s="549">
        <v>0</v>
      </c>
      <c r="CK791" s="675">
        <v>0</v>
      </c>
      <c r="CL791" s="549">
        <v>0</v>
      </c>
      <c r="CM791" s="675">
        <v>0</v>
      </c>
      <c r="CN791" s="549">
        <v>0</v>
      </c>
      <c r="CO791" s="675">
        <v>0</v>
      </c>
      <c r="CP791" s="549">
        <v>0</v>
      </c>
      <c r="CQ791" s="675">
        <v>0</v>
      </c>
      <c r="CR791" s="549">
        <v>0</v>
      </c>
      <c r="CS791" s="675">
        <v>0</v>
      </c>
      <c r="CT791" s="549">
        <v>0</v>
      </c>
      <c r="CU791" s="675">
        <v>0</v>
      </c>
      <c r="CV791" s="549">
        <v>0</v>
      </c>
      <c r="CW791" s="675">
        <v>0</v>
      </c>
      <c r="CX791" s="549">
        <v>0</v>
      </c>
      <c r="CY791" s="675">
        <v>-100000</v>
      </c>
      <c r="CZ791" s="549">
        <v>0</v>
      </c>
      <c r="DA791" s="675">
        <v>0</v>
      </c>
      <c r="DB791" s="549">
        <v>0</v>
      </c>
      <c r="DC791" s="675">
        <v>0</v>
      </c>
      <c r="DD791" s="549">
        <v>0</v>
      </c>
      <c r="DE791" s="675">
        <v>0</v>
      </c>
      <c r="DF791" s="549">
        <v>0</v>
      </c>
      <c r="DG791" s="675">
        <v>0</v>
      </c>
      <c r="DH791" s="549">
        <v>0</v>
      </c>
      <c r="DI791" s="675">
        <v>0</v>
      </c>
      <c r="DJ791" s="549">
        <v>0</v>
      </c>
      <c r="DK791" s="675">
        <v>0</v>
      </c>
      <c r="DL791" s="549">
        <v>0</v>
      </c>
      <c r="DM791" s="675">
        <v>0</v>
      </c>
      <c r="DN791" s="549">
        <v>0</v>
      </c>
      <c r="DO791" s="675">
        <v>-15958</v>
      </c>
      <c r="DP791" s="549">
        <v>0</v>
      </c>
      <c r="DQ791" s="675">
        <v>0</v>
      </c>
      <c r="DR791" s="549">
        <v>0</v>
      </c>
      <c r="DS791" s="675">
        <v>0</v>
      </c>
      <c r="DT791" s="549">
        <v>0</v>
      </c>
      <c r="DU791" s="675">
        <v>0</v>
      </c>
      <c r="DV791" s="549">
        <v>0</v>
      </c>
      <c r="DW791" s="675">
        <v>0</v>
      </c>
      <c r="DX791" s="549">
        <v>0</v>
      </c>
      <c r="DY791" s="675">
        <v>0</v>
      </c>
      <c r="DZ791" s="549">
        <v>0</v>
      </c>
      <c r="EA791" s="675">
        <v>0</v>
      </c>
      <c r="EB791" s="549">
        <v>0</v>
      </c>
      <c r="EC791" s="675">
        <v>0</v>
      </c>
      <c r="ED791" s="549">
        <v>0</v>
      </c>
      <c r="EE791" s="675">
        <v>0</v>
      </c>
      <c r="EF791" s="549">
        <v>0</v>
      </c>
      <c r="EG791" s="675">
        <v>0</v>
      </c>
      <c r="EH791" s="549">
        <v>0</v>
      </c>
      <c r="EI791" s="675">
        <v>0</v>
      </c>
      <c r="EJ791" s="549">
        <v>0</v>
      </c>
      <c r="EK791" s="675">
        <v>0</v>
      </c>
      <c r="EL791" s="549">
        <v>0</v>
      </c>
      <c r="EM791" s="675">
        <v>0</v>
      </c>
      <c r="EN791" s="549">
        <v>0</v>
      </c>
      <c r="EO791" s="675">
        <v>0</v>
      </c>
      <c r="EP791" s="549">
        <v>0</v>
      </c>
      <c r="EQ791" s="675">
        <v>0</v>
      </c>
      <c r="ER791" s="549">
        <v>0</v>
      </c>
      <c r="ES791" s="675">
        <v>0</v>
      </c>
      <c r="ET791" s="549">
        <v>0</v>
      </c>
      <c r="EU791" s="675">
        <v>0</v>
      </c>
      <c r="EV791" s="549">
        <v>0</v>
      </c>
      <c r="EW791" s="675">
        <v>0</v>
      </c>
      <c r="EX791" s="549">
        <v>0</v>
      </c>
      <c r="EY791" s="675">
        <v>0</v>
      </c>
      <c r="EZ791" s="549">
        <v>0</v>
      </c>
      <c r="FA791" s="675">
        <v>0</v>
      </c>
      <c r="FB791" s="549">
        <v>0</v>
      </c>
      <c r="FC791" s="675">
        <v>0</v>
      </c>
      <c r="FD791" s="549">
        <v>0</v>
      </c>
      <c r="FE791" s="675">
        <v>0</v>
      </c>
      <c r="FF791" s="549">
        <v>0</v>
      </c>
      <c r="FG791" s="675">
        <v>0</v>
      </c>
      <c r="FH791" s="549">
        <v>0</v>
      </c>
      <c r="FI791" s="675">
        <v>0</v>
      </c>
      <c r="FJ791" s="549">
        <v>0</v>
      </c>
      <c r="FK791" s="675">
        <v>0</v>
      </c>
      <c r="FL791" s="549">
        <v>0</v>
      </c>
      <c r="FM791" s="675">
        <v>0</v>
      </c>
      <c r="FN791" s="549">
        <v>0</v>
      </c>
      <c r="FO791" s="675">
        <v>0</v>
      </c>
      <c r="FP791" s="549">
        <v>0</v>
      </c>
      <c r="FQ791" s="675">
        <v>0</v>
      </c>
      <c r="FR791" s="549">
        <v>0</v>
      </c>
      <c r="FS791" s="675">
        <v>0</v>
      </c>
      <c r="FT791" s="549">
        <v>0</v>
      </c>
      <c r="FU791" s="675">
        <v>0</v>
      </c>
      <c r="FV791" s="549">
        <v>0</v>
      </c>
      <c r="FW791" s="675">
        <v>0</v>
      </c>
      <c r="FX791" s="549">
        <v>0</v>
      </c>
      <c r="FY791" s="675">
        <v>0</v>
      </c>
      <c r="FZ791" s="549">
        <v>0</v>
      </c>
      <c r="GA791" s="675">
        <v>0</v>
      </c>
      <c r="GB791" s="549">
        <v>0</v>
      </c>
      <c r="GC791" s="675">
        <v>0</v>
      </c>
      <c r="GD791" s="549">
        <v>0</v>
      </c>
      <c r="GE791" s="675">
        <v>0</v>
      </c>
      <c r="GF791" s="549">
        <v>0</v>
      </c>
      <c r="GG791" s="675">
        <v>0</v>
      </c>
      <c r="GH791" s="549">
        <v>0</v>
      </c>
      <c r="GI791" s="675">
        <v>0</v>
      </c>
      <c r="GJ791" s="549">
        <v>0</v>
      </c>
      <c r="GK791" s="675">
        <v>0</v>
      </c>
      <c r="GL791" s="549">
        <v>0</v>
      </c>
      <c r="GM791" s="675">
        <v>0</v>
      </c>
      <c r="GN791" s="549">
        <v>0</v>
      </c>
      <c r="GO791" s="675">
        <v>0</v>
      </c>
      <c r="GP791" s="549">
        <f t="shared" ref="GP791:GP823" si="17104">+D791+F791+H791+J791+L791+N791+P791+R791+T791+V791+X791+Z791+AB791+AF791+AD791+AH791+AJ791+AL791+AN791+AP791+AR791+AT791+AV791+AX791+AZ791+BB791+BD791+BF791+BH791+BJ791+BL791+BN791+BP791+BR791+BT791+BV791+BX791+BZ791+CB791+CD791+CF791+CH791+CJ791+CL791+CN791+CP791+CR791+CT791+CV791+CX791+CZ791+DB791+DD791+DF791+DH791+DT791+EX791+DJ791+DL791+DN791+DP791+DR791+EJ791+EB791+DZ791+DX791+DV791+ED791+EF791+EH791+EL791+EN791+EP791+EV791+ET791+ER791+EZ791+FB791+FD791+GL791+FF791+FJ791+FL791+GJ791+FT791+FR791+FP791+FN791+FH791+GH791+GF791+GD791+GB791+FZ791+FX791+FV791+GN791</f>
        <v>0</v>
      </c>
      <c r="GQ791" s="675">
        <f t="shared" ref="GQ791:GQ823" si="17105">+E791+G791+I791+K791+M791+O791+Q791+S791+U791+W791+Y791+AA791+AC791+AE791+AG791+AI791+AK791+AM791+AO791+AQ791+AS791+AU791+AW791+AY791+BA791+BC791+BE791+BG791+BI791+BK791+BM791+BO791+BQ791+BS791+BU791+BW791+BY791+CA791+CC791+CE791+CG791+CI791+CK791+CM791+CO791+CQ791+CS791+CU791+CW791+CY791+DA791+DC791+DE791+DG791+DI791+DU791+EY791+DK791+DM791+DO791+DQ791+DS791+EK791+EC791+EA791+DY791+DW791+EI791+EG791+EE791+EM791+EO791+EQ791+EW791+EU791+ES791+FA791+FC791+FE791+GM791+FG791+FK791+FM791+FO791+FQ791+FS791+FU791+GK791+FI791+GI791+GG791+GE791+GC791+GA791+FY791+FW791+GO791</f>
        <v>-115958</v>
      </c>
      <c r="GR791" s="74">
        <f t="shared" ref="GR791:GR825" si="17106">C791+GP791+GQ791</f>
        <v>70442</v>
      </c>
      <c r="GS791" s="74">
        <f t="shared" ref="GS791:GS823" si="17107">SUM(GU791:HD791)+GP791+GQ791</f>
        <v>70442</v>
      </c>
      <c r="GT791" s="568">
        <f t="shared" ref="GT791:GT825" si="17108">SUM(GU791:HF791)+GQ791+GP791</f>
        <v>70442</v>
      </c>
      <c r="GU791" s="275">
        <v>46600</v>
      </c>
      <c r="GV791" s="275"/>
      <c r="GW791" s="588"/>
      <c r="GX791" s="275">
        <v>46600</v>
      </c>
      <c r="GY791" s="275"/>
      <c r="GZ791" s="275"/>
      <c r="HA791" s="275">
        <f>46600+46600</f>
        <v>93200</v>
      </c>
      <c r="HB791" s="275"/>
      <c r="HC791" s="275"/>
      <c r="HD791" s="275">
        <f>46600-46600</f>
        <v>0</v>
      </c>
      <c r="HE791" s="275">
        <v>0</v>
      </c>
      <c r="HF791" s="275">
        <v>0</v>
      </c>
      <c r="HG791" s="74">
        <f t="shared" ref="HG791:HG823" si="17109">SUM(HH791:IE791)+GP791+GQ791</f>
        <v>70442</v>
      </c>
      <c r="HH791" s="89">
        <v>0</v>
      </c>
      <c r="HI791" s="157">
        <v>0</v>
      </c>
      <c r="HJ791" s="89">
        <v>0</v>
      </c>
      <c r="HK791" s="157">
        <v>0</v>
      </c>
      <c r="HL791" s="89">
        <v>0</v>
      </c>
      <c r="HM791" s="157">
        <f>13310.5+33289.5</f>
        <v>46600</v>
      </c>
      <c r="HN791" s="89">
        <v>0</v>
      </c>
      <c r="HO791" s="157">
        <f>68797-22197</f>
        <v>46600</v>
      </c>
      <c r="HP791" s="89">
        <v>0</v>
      </c>
      <c r="HQ791" s="157">
        <v>0</v>
      </c>
      <c r="HR791" s="89">
        <v>0</v>
      </c>
      <c r="HS791" s="157">
        <v>0</v>
      </c>
      <c r="HT791" s="89">
        <v>0</v>
      </c>
      <c r="HU791" s="157">
        <f>47166.67+46033.33</f>
        <v>93200</v>
      </c>
      <c r="HV791" s="89">
        <v>0</v>
      </c>
      <c r="HW791" s="157">
        <v>0</v>
      </c>
      <c r="HX791" s="89">
        <v>0</v>
      </c>
      <c r="HY791" s="157">
        <v>0</v>
      </c>
      <c r="HZ791" s="89">
        <v>0</v>
      </c>
      <c r="IA791" s="157">
        <v>0</v>
      </c>
      <c r="IB791" s="89">
        <v>0</v>
      </c>
      <c r="IC791" s="157">
        <v>0</v>
      </c>
      <c r="ID791" s="89">
        <v>0</v>
      </c>
      <c r="IE791" s="157">
        <v>0</v>
      </c>
      <c r="IF791" s="717">
        <f t="shared" ref="IF791:IF825" si="17110">SUM(II791,IL791,IO791,IR791,IU791,IX791,JA791,JD791,JG791,JJ791,JM791,JP791)</f>
        <v>57243.5</v>
      </c>
      <c r="IG791" s="263">
        <f t="shared" ref="IG791:IG825" si="17111">SUM(IJ791,IM791,IP791,IS791,IV791,IY791,JB791,JE791,JH791,JK791,JN791,JQ791)</f>
        <v>57243.5</v>
      </c>
      <c r="IH791" s="718">
        <f t="shared" ref="IH791:IH825" si="17112">SUM(IK791,IN791,IQ791,IT791,IW791,IZ791,JC791,JF791,JI791,JL791,JO791,JR791)</f>
        <v>57243.5</v>
      </c>
      <c r="II791" s="89">
        <v>4979.33</v>
      </c>
      <c r="IJ791" s="89">
        <f t="shared" ref="IJ791:IJ825" si="17113">II791</f>
        <v>4979.33</v>
      </c>
      <c r="IK791" s="89">
        <f t="shared" ref="IK791:IK825" si="17114">IJ791</f>
        <v>4979.33</v>
      </c>
      <c r="IL791" s="89">
        <f>10314.33-4979.33</f>
        <v>5335</v>
      </c>
      <c r="IM791" s="89">
        <f t="shared" ref="IM791:IM825" si="17115">IL791</f>
        <v>5335</v>
      </c>
      <c r="IN791" s="89">
        <f t="shared" ref="IN791:IN825" si="17116">IM791</f>
        <v>5335</v>
      </c>
      <c r="IO791" s="89">
        <f>13310.5-10314.33</f>
        <v>2996.17</v>
      </c>
      <c r="IP791" s="89">
        <f t="shared" ref="IP791:IP825" si="17117">IO791</f>
        <v>2996.17</v>
      </c>
      <c r="IQ791" s="89">
        <f t="shared" ref="IQ791:IQ825" si="17118">IP791</f>
        <v>2996.17</v>
      </c>
      <c r="IR791" s="89">
        <f>24403-13310.5</f>
        <v>11092.5</v>
      </c>
      <c r="IS791" s="89">
        <f t="shared" ref="IS791:IS825" si="17119">IR791</f>
        <v>11092.5</v>
      </c>
      <c r="IT791" s="89">
        <f t="shared" ref="IT791:IT825" si="17120">IS791</f>
        <v>11092.5</v>
      </c>
      <c r="IU791" s="89">
        <f>28336.67-24403</f>
        <v>3933.6699999999983</v>
      </c>
      <c r="IV791" s="89">
        <f t="shared" ref="IV791:IV825" si="17121">IU791</f>
        <v>3933.6699999999983</v>
      </c>
      <c r="IW791" s="89">
        <f t="shared" ref="IW791:IW825" si="17122">IV791</f>
        <v>3933.6699999999983</v>
      </c>
      <c r="IX791" s="89">
        <f>33240.35-28336.67</f>
        <v>4903.68</v>
      </c>
      <c r="IY791" s="89">
        <f t="shared" ref="IY791:IY825" si="17123">IX791</f>
        <v>4903.68</v>
      </c>
      <c r="IZ791" s="89">
        <f t="shared" ref="IZ791:IZ825" si="17124">IY791</f>
        <v>4903.68</v>
      </c>
      <c r="JA791" s="89">
        <f>40366.67-33240.35</f>
        <v>7126.32</v>
      </c>
      <c r="JB791" s="89">
        <f t="shared" ref="JB791:JB825" si="17125">JA791</f>
        <v>7126.32</v>
      </c>
      <c r="JC791" s="89">
        <f t="shared" ref="JC791:JC825" si="17126">JB791</f>
        <v>7126.32</v>
      </c>
      <c r="JD791" s="89">
        <f>43841.67-40366.67</f>
        <v>3475</v>
      </c>
      <c r="JE791" s="89">
        <f t="shared" ref="JE791:JE825" si="17127">JD791</f>
        <v>3475</v>
      </c>
      <c r="JF791" s="89">
        <f t="shared" ref="JF791:JF825" si="17128">JE791</f>
        <v>3475</v>
      </c>
      <c r="JG791" s="89">
        <f>52043.5-43841.67</f>
        <v>8201.8300000000017</v>
      </c>
      <c r="JH791" s="89">
        <f t="shared" ref="JH791:JH825" si="17129">JG791</f>
        <v>8201.8300000000017</v>
      </c>
      <c r="JI791" s="89">
        <f t="shared" ref="JI791:JI825" si="17130">JH791</f>
        <v>8201.8300000000017</v>
      </c>
      <c r="JJ791" s="89">
        <f>57243.5-52043.5</f>
        <v>5200</v>
      </c>
      <c r="JK791" s="89">
        <f t="shared" ref="JK791:JK825" si="17131">JJ791</f>
        <v>5200</v>
      </c>
      <c r="JL791" s="89">
        <f t="shared" ref="JL791:JL825" si="17132">JK791</f>
        <v>5200</v>
      </c>
      <c r="JM791" s="89">
        <v>0</v>
      </c>
      <c r="JN791" s="89">
        <f t="shared" ref="JN791:JN825" si="17133">JM791</f>
        <v>0</v>
      </c>
      <c r="JO791" s="89">
        <f t="shared" ref="JO791:JO825" si="17134">JN791</f>
        <v>0</v>
      </c>
      <c r="JP791" s="89">
        <v>0</v>
      </c>
      <c r="JQ791" s="89">
        <f t="shared" ref="JQ791:JR791" si="17135">JP791</f>
        <v>0</v>
      </c>
      <c r="JR791" s="89">
        <f t="shared" si="17135"/>
        <v>0</v>
      </c>
      <c r="JS791" s="74">
        <f t="shared" ref="JS791:JS825" si="17136">HG791-IF791</f>
        <v>13198.5</v>
      </c>
      <c r="JT791" s="382">
        <f t="shared" ref="JT791:JT825" si="17137">GS791-IF791</f>
        <v>13198.5</v>
      </c>
      <c r="JU791" s="665"/>
      <c r="JV791" s="524"/>
      <c r="JW791" s="525"/>
      <c r="JX791" s="549">
        <f t="shared" ref="JX791:JY824" si="17138">SUM(HH791,HJ791,HL791,HN791,HP791,HR791,HT791,HV791,HX791,HZ791,IB791,ID791)</f>
        <v>0</v>
      </c>
      <c r="JY791" s="549">
        <f t="shared" si="15767"/>
        <v>186400</v>
      </c>
      <c r="JZ791" s="581">
        <f t="shared" si="16466"/>
        <v>0</v>
      </c>
      <c r="KA791" s="581">
        <f t="shared" si="16467"/>
        <v>-115958</v>
      </c>
      <c r="KB791" s="566">
        <f t="shared" si="17031"/>
        <v>70442</v>
      </c>
      <c r="KC791" s="709">
        <f t="shared" si="16464"/>
        <v>0</v>
      </c>
      <c r="KD791" s="491"/>
      <c r="KE791" s="491"/>
      <c r="KF791" s="491"/>
      <c r="KG791" s="491"/>
      <c r="KH791" s="36"/>
      <c r="KI791" s="36"/>
      <c r="KJ791" s="36"/>
      <c r="KK791" s="36"/>
    </row>
    <row r="792" spans="1:297" s="10" customFormat="1">
      <c r="A792" s="612" t="s">
        <v>691</v>
      </c>
      <c r="B792" s="512" t="s">
        <v>66</v>
      </c>
      <c r="C792" s="74">
        <v>8800</v>
      </c>
      <c r="D792" s="549">
        <v>0</v>
      </c>
      <c r="E792" s="675">
        <v>0</v>
      </c>
      <c r="F792" s="549">
        <v>0</v>
      </c>
      <c r="G792" s="675">
        <v>0</v>
      </c>
      <c r="H792" s="549">
        <v>0</v>
      </c>
      <c r="I792" s="675">
        <v>0</v>
      </c>
      <c r="J792" s="549">
        <v>0</v>
      </c>
      <c r="K792" s="675">
        <v>0</v>
      </c>
      <c r="L792" s="549">
        <v>0</v>
      </c>
      <c r="M792" s="675">
        <v>0</v>
      </c>
      <c r="N792" s="549">
        <v>0</v>
      </c>
      <c r="O792" s="675">
        <v>0</v>
      </c>
      <c r="P792" s="549">
        <v>0</v>
      </c>
      <c r="Q792" s="675">
        <v>0</v>
      </c>
      <c r="R792" s="549">
        <v>0</v>
      </c>
      <c r="S792" s="675">
        <v>0</v>
      </c>
      <c r="T792" s="549">
        <v>0</v>
      </c>
      <c r="U792" s="675">
        <v>0</v>
      </c>
      <c r="V792" s="549">
        <v>0</v>
      </c>
      <c r="W792" s="675">
        <v>0</v>
      </c>
      <c r="X792" s="549">
        <v>0</v>
      </c>
      <c r="Y792" s="675">
        <v>0</v>
      </c>
      <c r="Z792" s="549">
        <v>0</v>
      </c>
      <c r="AA792" s="675">
        <v>0</v>
      </c>
      <c r="AB792" s="549">
        <v>0</v>
      </c>
      <c r="AC792" s="675">
        <v>0</v>
      </c>
      <c r="AD792" s="549">
        <v>0</v>
      </c>
      <c r="AE792" s="675">
        <v>0</v>
      </c>
      <c r="AF792" s="549">
        <v>0</v>
      </c>
      <c r="AG792" s="675">
        <v>0</v>
      </c>
      <c r="AH792" s="549">
        <v>0</v>
      </c>
      <c r="AI792" s="675">
        <v>0</v>
      </c>
      <c r="AJ792" s="549">
        <v>0</v>
      </c>
      <c r="AK792" s="675">
        <v>0</v>
      </c>
      <c r="AL792" s="549">
        <v>0</v>
      </c>
      <c r="AM792" s="675">
        <v>0</v>
      </c>
      <c r="AN792" s="549">
        <v>0</v>
      </c>
      <c r="AO792" s="675">
        <v>0</v>
      </c>
      <c r="AP792" s="549">
        <v>0</v>
      </c>
      <c r="AQ792" s="675">
        <v>0</v>
      </c>
      <c r="AR792" s="549">
        <v>0</v>
      </c>
      <c r="AS792" s="675">
        <v>0</v>
      </c>
      <c r="AT792" s="549">
        <v>0</v>
      </c>
      <c r="AU792" s="675">
        <v>0</v>
      </c>
      <c r="AV792" s="549">
        <v>0</v>
      </c>
      <c r="AW792" s="675">
        <v>0</v>
      </c>
      <c r="AX792" s="549">
        <v>0</v>
      </c>
      <c r="AY792" s="675">
        <v>0</v>
      </c>
      <c r="AZ792" s="549">
        <v>0</v>
      </c>
      <c r="BA792" s="675">
        <v>0</v>
      </c>
      <c r="BB792" s="549">
        <v>0</v>
      </c>
      <c r="BC792" s="675">
        <v>0</v>
      </c>
      <c r="BD792" s="549">
        <v>0</v>
      </c>
      <c r="BE792" s="675">
        <v>0</v>
      </c>
      <c r="BF792" s="549">
        <v>0</v>
      </c>
      <c r="BG792" s="675">
        <v>0</v>
      </c>
      <c r="BH792" s="549">
        <v>0</v>
      </c>
      <c r="BI792" s="675">
        <v>0</v>
      </c>
      <c r="BJ792" s="549">
        <v>0</v>
      </c>
      <c r="BK792" s="675">
        <v>0</v>
      </c>
      <c r="BL792" s="549">
        <v>0</v>
      </c>
      <c r="BM792" s="675">
        <v>0</v>
      </c>
      <c r="BN792" s="549">
        <v>0</v>
      </c>
      <c r="BO792" s="675">
        <v>0</v>
      </c>
      <c r="BP792" s="549">
        <v>0</v>
      </c>
      <c r="BQ792" s="675">
        <v>0</v>
      </c>
      <c r="BR792" s="549">
        <v>0</v>
      </c>
      <c r="BS792" s="675">
        <v>0</v>
      </c>
      <c r="BT792" s="549">
        <v>0</v>
      </c>
      <c r="BU792" s="675">
        <v>0</v>
      </c>
      <c r="BV792" s="549">
        <v>0</v>
      </c>
      <c r="BW792" s="675">
        <v>0</v>
      </c>
      <c r="BX792" s="549">
        <v>0</v>
      </c>
      <c r="BY792" s="675">
        <v>0</v>
      </c>
      <c r="BZ792" s="549">
        <v>0</v>
      </c>
      <c r="CA792" s="675">
        <v>0</v>
      </c>
      <c r="CB792" s="549">
        <v>0</v>
      </c>
      <c r="CC792" s="675">
        <v>0</v>
      </c>
      <c r="CD792" s="549">
        <v>0</v>
      </c>
      <c r="CE792" s="675">
        <v>0</v>
      </c>
      <c r="CF792" s="549">
        <v>0</v>
      </c>
      <c r="CG792" s="675">
        <v>0</v>
      </c>
      <c r="CH792" s="549">
        <v>0</v>
      </c>
      <c r="CI792" s="675">
        <v>0</v>
      </c>
      <c r="CJ792" s="549">
        <v>0</v>
      </c>
      <c r="CK792" s="675">
        <v>0</v>
      </c>
      <c r="CL792" s="549">
        <v>0</v>
      </c>
      <c r="CM792" s="675">
        <v>0</v>
      </c>
      <c r="CN792" s="549">
        <v>0</v>
      </c>
      <c r="CO792" s="675">
        <v>0</v>
      </c>
      <c r="CP792" s="549">
        <v>0</v>
      </c>
      <c r="CQ792" s="675">
        <v>0</v>
      </c>
      <c r="CR792" s="549">
        <v>0</v>
      </c>
      <c r="CS792" s="675">
        <v>0</v>
      </c>
      <c r="CT792" s="549">
        <v>0</v>
      </c>
      <c r="CU792" s="675">
        <v>0</v>
      </c>
      <c r="CV792" s="549">
        <v>0</v>
      </c>
      <c r="CW792" s="675">
        <v>0</v>
      </c>
      <c r="CX792" s="549">
        <v>0</v>
      </c>
      <c r="CY792" s="675">
        <v>0</v>
      </c>
      <c r="CZ792" s="549">
        <v>0</v>
      </c>
      <c r="DA792" s="675">
        <v>0</v>
      </c>
      <c r="DB792" s="549">
        <v>0</v>
      </c>
      <c r="DC792" s="675">
        <v>0</v>
      </c>
      <c r="DD792" s="549">
        <v>0</v>
      </c>
      <c r="DE792" s="675">
        <v>0</v>
      </c>
      <c r="DF792" s="549">
        <v>0</v>
      </c>
      <c r="DG792" s="675">
        <v>0</v>
      </c>
      <c r="DH792" s="549">
        <v>0</v>
      </c>
      <c r="DI792" s="675">
        <v>0</v>
      </c>
      <c r="DJ792" s="549">
        <v>0</v>
      </c>
      <c r="DK792" s="675">
        <v>0</v>
      </c>
      <c r="DL792" s="549">
        <v>0</v>
      </c>
      <c r="DM792" s="675">
        <v>0</v>
      </c>
      <c r="DN792" s="549">
        <v>0</v>
      </c>
      <c r="DO792" s="675">
        <v>0</v>
      </c>
      <c r="DP792" s="549">
        <v>0</v>
      </c>
      <c r="DQ792" s="675">
        <v>0</v>
      </c>
      <c r="DR792" s="549">
        <v>0</v>
      </c>
      <c r="DS792" s="675">
        <v>0</v>
      </c>
      <c r="DT792" s="549">
        <v>0</v>
      </c>
      <c r="DU792" s="675">
        <v>0</v>
      </c>
      <c r="DV792" s="549">
        <v>0</v>
      </c>
      <c r="DW792" s="675">
        <v>0</v>
      </c>
      <c r="DX792" s="549">
        <v>0</v>
      </c>
      <c r="DY792" s="675">
        <v>0</v>
      </c>
      <c r="DZ792" s="549">
        <v>0</v>
      </c>
      <c r="EA792" s="675">
        <v>0</v>
      </c>
      <c r="EB792" s="549">
        <v>0</v>
      </c>
      <c r="EC792" s="675">
        <v>0</v>
      </c>
      <c r="ED792" s="549">
        <v>0</v>
      </c>
      <c r="EE792" s="675">
        <v>0</v>
      </c>
      <c r="EF792" s="549">
        <v>0</v>
      </c>
      <c r="EG792" s="675">
        <v>0</v>
      </c>
      <c r="EH792" s="549">
        <v>0</v>
      </c>
      <c r="EI792" s="675">
        <v>0</v>
      </c>
      <c r="EJ792" s="549">
        <v>0</v>
      </c>
      <c r="EK792" s="675">
        <v>0</v>
      </c>
      <c r="EL792" s="549">
        <v>0</v>
      </c>
      <c r="EM792" s="675">
        <v>0</v>
      </c>
      <c r="EN792" s="549">
        <v>0</v>
      </c>
      <c r="EO792" s="675">
        <v>0</v>
      </c>
      <c r="EP792" s="549">
        <v>0</v>
      </c>
      <c r="EQ792" s="675">
        <v>0</v>
      </c>
      <c r="ER792" s="549">
        <v>0</v>
      </c>
      <c r="ES792" s="675">
        <v>0</v>
      </c>
      <c r="ET792" s="549">
        <v>0</v>
      </c>
      <c r="EU792" s="675">
        <v>0</v>
      </c>
      <c r="EV792" s="549">
        <v>0</v>
      </c>
      <c r="EW792" s="675">
        <v>0</v>
      </c>
      <c r="EX792" s="549">
        <v>0</v>
      </c>
      <c r="EY792" s="675">
        <v>0</v>
      </c>
      <c r="EZ792" s="549">
        <v>0</v>
      </c>
      <c r="FA792" s="675">
        <v>0</v>
      </c>
      <c r="FB792" s="549">
        <v>0</v>
      </c>
      <c r="FC792" s="675">
        <v>0</v>
      </c>
      <c r="FD792" s="549">
        <v>0</v>
      </c>
      <c r="FE792" s="675">
        <v>0</v>
      </c>
      <c r="FF792" s="549">
        <v>0</v>
      </c>
      <c r="FG792" s="675">
        <v>0</v>
      </c>
      <c r="FH792" s="549">
        <v>0</v>
      </c>
      <c r="FI792" s="675">
        <v>0</v>
      </c>
      <c r="FJ792" s="549">
        <v>0</v>
      </c>
      <c r="FK792" s="675">
        <v>0</v>
      </c>
      <c r="FL792" s="549">
        <v>0</v>
      </c>
      <c r="FM792" s="675">
        <v>0</v>
      </c>
      <c r="FN792" s="549">
        <v>0</v>
      </c>
      <c r="FO792" s="675">
        <v>0</v>
      </c>
      <c r="FP792" s="549">
        <v>0</v>
      </c>
      <c r="FQ792" s="675">
        <v>0</v>
      </c>
      <c r="FR792" s="549">
        <v>0</v>
      </c>
      <c r="FS792" s="675">
        <v>0</v>
      </c>
      <c r="FT792" s="549">
        <v>0</v>
      </c>
      <c r="FU792" s="675">
        <v>0</v>
      </c>
      <c r="FV792" s="549">
        <v>0</v>
      </c>
      <c r="FW792" s="675">
        <v>0</v>
      </c>
      <c r="FX792" s="549">
        <v>0</v>
      </c>
      <c r="FY792" s="675">
        <v>0</v>
      </c>
      <c r="FZ792" s="549">
        <v>0</v>
      </c>
      <c r="GA792" s="675">
        <v>0</v>
      </c>
      <c r="GB792" s="549">
        <v>0</v>
      </c>
      <c r="GC792" s="675">
        <v>0</v>
      </c>
      <c r="GD792" s="549">
        <v>0</v>
      </c>
      <c r="GE792" s="675">
        <v>0</v>
      </c>
      <c r="GF792" s="549">
        <v>0</v>
      </c>
      <c r="GG792" s="675">
        <v>0</v>
      </c>
      <c r="GH792" s="549">
        <v>0</v>
      </c>
      <c r="GI792" s="675">
        <v>0</v>
      </c>
      <c r="GJ792" s="549">
        <v>0</v>
      </c>
      <c r="GK792" s="675">
        <v>0</v>
      </c>
      <c r="GL792" s="549">
        <v>0</v>
      </c>
      <c r="GM792" s="675">
        <v>0</v>
      </c>
      <c r="GN792" s="549">
        <v>0</v>
      </c>
      <c r="GO792" s="675">
        <v>0</v>
      </c>
      <c r="GP792" s="549">
        <f t="shared" si="17104"/>
        <v>0</v>
      </c>
      <c r="GQ792" s="675">
        <f t="shared" si="17105"/>
        <v>0</v>
      </c>
      <c r="GR792" s="74">
        <f t="shared" si="17106"/>
        <v>8800</v>
      </c>
      <c r="GS792" s="74">
        <f t="shared" si="17107"/>
        <v>8800</v>
      </c>
      <c r="GT792" s="568">
        <f t="shared" si="17108"/>
        <v>8800</v>
      </c>
      <c r="GU792" s="275">
        <v>2934</v>
      </c>
      <c r="GV792" s="275"/>
      <c r="GW792" s="588"/>
      <c r="GX792" s="275"/>
      <c r="GY792" s="275"/>
      <c r="GZ792" s="275"/>
      <c r="HA792" s="275">
        <v>2933</v>
      </c>
      <c r="HB792" s="275"/>
      <c r="HC792" s="275"/>
      <c r="HD792" s="275">
        <v>2933</v>
      </c>
      <c r="HE792" s="275">
        <v>0</v>
      </c>
      <c r="HF792" s="275">
        <v>0</v>
      </c>
      <c r="HG792" s="74">
        <f t="shared" si="17109"/>
        <v>8800</v>
      </c>
      <c r="HH792" s="89">
        <v>0</v>
      </c>
      <c r="HI792" s="157">
        <v>0</v>
      </c>
      <c r="HJ792" s="89">
        <v>0</v>
      </c>
      <c r="HK792" s="157">
        <v>0</v>
      </c>
      <c r="HL792" s="89">
        <v>0</v>
      </c>
      <c r="HM792" s="157">
        <f>854.65+2079.35</f>
        <v>2934</v>
      </c>
      <c r="HN792" s="89">
        <v>0</v>
      </c>
      <c r="HO792" s="157">
        <v>0</v>
      </c>
      <c r="HP792" s="89">
        <v>0</v>
      </c>
      <c r="HQ792" s="157">
        <v>0</v>
      </c>
      <c r="HR792" s="89">
        <v>0</v>
      </c>
      <c r="HS792" s="157">
        <v>0</v>
      </c>
      <c r="HT792" s="89">
        <v>0</v>
      </c>
      <c r="HU792" s="157">
        <f>5012.35-2079.35</f>
        <v>2933.0000000000005</v>
      </c>
      <c r="HV792" s="89">
        <v>0</v>
      </c>
      <c r="HW792" s="157">
        <v>0</v>
      </c>
      <c r="HX792" s="89">
        <v>0</v>
      </c>
      <c r="HY792" s="157">
        <v>0</v>
      </c>
      <c r="HZ792" s="89">
        <v>0</v>
      </c>
      <c r="IA792" s="157">
        <f>8800-5867</f>
        <v>2933</v>
      </c>
      <c r="IB792" s="89">
        <v>0</v>
      </c>
      <c r="IC792" s="157">
        <v>0</v>
      </c>
      <c r="ID792" s="89">
        <v>0</v>
      </c>
      <c r="IE792" s="157">
        <v>0</v>
      </c>
      <c r="IF792" s="717">
        <f t="shared" si="17110"/>
        <v>1771.3</v>
      </c>
      <c r="IG792" s="263">
        <f t="shared" si="17111"/>
        <v>1771.3</v>
      </c>
      <c r="IH792" s="718">
        <f t="shared" si="17112"/>
        <v>1771.3</v>
      </c>
      <c r="II792" s="89">
        <v>0</v>
      </c>
      <c r="IJ792" s="89">
        <f t="shared" si="17113"/>
        <v>0</v>
      </c>
      <c r="IK792" s="89">
        <f t="shared" si="17114"/>
        <v>0</v>
      </c>
      <c r="IL792" s="89">
        <v>854.65</v>
      </c>
      <c r="IM792" s="89">
        <f t="shared" si="17115"/>
        <v>854.65</v>
      </c>
      <c r="IN792" s="89">
        <f t="shared" si="17116"/>
        <v>854.65</v>
      </c>
      <c r="IO792" s="89">
        <v>0</v>
      </c>
      <c r="IP792" s="89">
        <f t="shared" si="17117"/>
        <v>0</v>
      </c>
      <c r="IQ792" s="89">
        <f t="shared" si="17118"/>
        <v>0</v>
      </c>
      <c r="IR792" s="89">
        <v>0</v>
      </c>
      <c r="IS792" s="89">
        <f t="shared" si="17119"/>
        <v>0</v>
      </c>
      <c r="IT792" s="89">
        <f t="shared" si="17120"/>
        <v>0</v>
      </c>
      <c r="IU792" s="89">
        <v>0</v>
      </c>
      <c r="IV792" s="89">
        <f t="shared" si="17121"/>
        <v>0</v>
      </c>
      <c r="IW792" s="89">
        <f t="shared" si="17122"/>
        <v>0</v>
      </c>
      <c r="IX792" s="89">
        <v>0</v>
      </c>
      <c r="IY792" s="89">
        <f t="shared" si="17123"/>
        <v>0</v>
      </c>
      <c r="IZ792" s="89">
        <f t="shared" si="17124"/>
        <v>0</v>
      </c>
      <c r="JA792" s="89">
        <f>854.65-854.65</f>
        <v>0</v>
      </c>
      <c r="JB792" s="89">
        <f t="shared" si="17125"/>
        <v>0</v>
      </c>
      <c r="JC792" s="89">
        <f t="shared" si="17126"/>
        <v>0</v>
      </c>
      <c r="JD792" s="89">
        <f>1771.3-854.65</f>
        <v>916.65</v>
      </c>
      <c r="JE792" s="89">
        <f t="shared" si="17127"/>
        <v>916.65</v>
      </c>
      <c r="JF792" s="89">
        <f t="shared" si="17128"/>
        <v>916.65</v>
      </c>
      <c r="JG792" s="89">
        <v>0</v>
      </c>
      <c r="JH792" s="89">
        <f t="shared" si="17129"/>
        <v>0</v>
      </c>
      <c r="JI792" s="89">
        <f t="shared" si="17130"/>
        <v>0</v>
      </c>
      <c r="JJ792" s="89">
        <v>0</v>
      </c>
      <c r="JK792" s="89">
        <f t="shared" si="17131"/>
        <v>0</v>
      </c>
      <c r="JL792" s="89">
        <f t="shared" si="17132"/>
        <v>0</v>
      </c>
      <c r="JM792" s="89">
        <v>0</v>
      </c>
      <c r="JN792" s="89">
        <f t="shared" si="17133"/>
        <v>0</v>
      </c>
      <c r="JO792" s="89">
        <f t="shared" si="17134"/>
        <v>0</v>
      </c>
      <c r="JP792" s="89">
        <v>0</v>
      </c>
      <c r="JQ792" s="89">
        <f t="shared" ref="JQ792:JR792" si="17139">JP792</f>
        <v>0</v>
      </c>
      <c r="JR792" s="89">
        <f t="shared" si="17139"/>
        <v>0</v>
      </c>
      <c r="JS792" s="74">
        <f t="shared" si="17136"/>
        <v>7028.7</v>
      </c>
      <c r="JT792" s="382">
        <f t="shared" si="17137"/>
        <v>7028.7</v>
      </c>
      <c r="JU792" s="665"/>
      <c r="JV792" s="524"/>
      <c r="JW792" s="525"/>
      <c r="JX792" s="549">
        <f t="shared" si="17138"/>
        <v>0</v>
      </c>
      <c r="JY792" s="549">
        <f t="shared" si="15767"/>
        <v>8800</v>
      </c>
      <c r="JZ792" s="581">
        <f t="shared" si="16466"/>
        <v>0</v>
      </c>
      <c r="KA792" s="581">
        <f t="shared" si="16467"/>
        <v>0</v>
      </c>
      <c r="KB792" s="566">
        <f t="shared" si="17031"/>
        <v>8800</v>
      </c>
      <c r="KC792" s="709">
        <f t="shared" si="16464"/>
        <v>0</v>
      </c>
      <c r="KD792" s="491"/>
      <c r="KE792" s="491"/>
      <c r="KF792" s="491"/>
      <c r="KG792" s="491"/>
      <c r="KH792" s="36"/>
      <c r="KI792" s="36"/>
      <c r="KJ792" s="36"/>
      <c r="KK792" s="36"/>
    </row>
    <row r="793" spans="1:297" s="10" customFormat="1">
      <c r="A793" s="612" t="s">
        <v>692</v>
      </c>
      <c r="B793" s="512" t="s">
        <v>977</v>
      </c>
      <c r="C793" s="74">
        <v>22900</v>
      </c>
      <c r="D793" s="549">
        <v>0</v>
      </c>
      <c r="E793" s="675">
        <v>0</v>
      </c>
      <c r="F793" s="549">
        <v>0</v>
      </c>
      <c r="G793" s="675">
        <v>0</v>
      </c>
      <c r="H793" s="549">
        <v>0</v>
      </c>
      <c r="I793" s="675">
        <v>0</v>
      </c>
      <c r="J793" s="549">
        <v>0</v>
      </c>
      <c r="K793" s="675">
        <v>0</v>
      </c>
      <c r="L793" s="549">
        <v>0</v>
      </c>
      <c r="M793" s="675">
        <v>0</v>
      </c>
      <c r="N793" s="549">
        <v>0</v>
      </c>
      <c r="O793" s="675">
        <v>0</v>
      </c>
      <c r="P793" s="549">
        <v>0</v>
      </c>
      <c r="Q793" s="675">
        <v>0</v>
      </c>
      <c r="R793" s="549">
        <v>0</v>
      </c>
      <c r="S793" s="675">
        <v>0</v>
      </c>
      <c r="T793" s="549">
        <v>0</v>
      </c>
      <c r="U793" s="675">
        <v>0</v>
      </c>
      <c r="V793" s="549">
        <v>0</v>
      </c>
      <c r="W793" s="675">
        <v>0</v>
      </c>
      <c r="X793" s="549">
        <v>0</v>
      </c>
      <c r="Y793" s="675">
        <v>0</v>
      </c>
      <c r="Z793" s="549">
        <v>0</v>
      </c>
      <c r="AA793" s="675">
        <v>0</v>
      </c>
      <c r="AB793" s="549">
        <v>0</v>
      </c>
      <c r="AC793" s="675">
        <v>0</v>
      </c>
      <c r="AD793" s="549">
        <v>0</v>
      </c>
      <c r="AE793" s="675">
        <v>0</v>
      </c>
      <c r="AF793" s="549">
        <v>0</v>
      </c>
      <c r="AG793" s="675">
        <v>0</v>
      </c>
      <c r="AH793" s="549">
        <v>0</v>
      </c>
      <c r="AI793" s="675">
        <v>0</v>
      </c>
      <c r="AJ793" s="549">
        <v>0</v>
      </c>
      <c r="AK793" s="675">
        <v>0</v>
      </c>
      <c r="AL793" s="549">
        <v>0</v>
      </c>
      <c r="AM793" s="675">
        <v>0</v>
      </c>
      <c r="AN793" s="549">
        <v>0</v>
      </c>
      <c r="AO793" s="675">
        <v>0</v>
      </c>
      <c r="AP793" s="549">
        <v>0</v>
      </c>
      <c r="AQ793" s="675">
        <v>0</v>
      </c>
      <c r="AR793" s="549">
        <v>0</v>
      </c>
      <c r="AS793" s="675">
        <v>0</v>
      </c>
      <c r="AT793" s="549">
        <v>0</v>
      </c>
      <c r="AU793" s="675">
        <v>0</v>
      </c>
      <c r="AV793" s="549">
        <v>0</v>
      </c>
      <c r="AW793" s="675">
        <v>0</v>
      </c>
      <c r="AX793" s="549">
        <v>0</v>
      </c>
      <c r="AY793" s="675">
        <v>0</v>
      </c>
      <c r="AZ793" s="549">
        <v>0</v>
      </c>
      <c r="BA793" s="675">
        <v>0</v>
      </c>
      <c r="BB793" s="549">
        <v>0</v>
      </c>
      <c r="BC793" s="675">
        <v>0</v>
      </c>
      <c r="BD793" s="549">
        <v>0</v>
      </c>
      <c r="BE793" s="675">
        <v>0</v>
      </c>
      <c r="BF793" s="549">
        <v>0</v>
      </c>
      <c r="BG793" s="675">
        <v>0</v>
      </c>
      <c r="BH793" s="549">
        <v>0</v>
      </c>
      <c r="BI793" s="675">
        <v>0</v>
      </c>
      <c r="BJ793" s="549">
        <v>0</v>
      </c>
      <c r="BK793" s="675">
        <v>0</v>
      </c>
      <c r="BL793" s="549">
        <v>0</v>
      </c>
      <c r="BM793" s="675">
        <v>0</v>
      </c>
      <c r="BN793" s="549">
        <v>0</v>
      </c>
      <c r="BO793" s="675">
        <v>0</v>
      </c>
      <c r="BP793" s="549">
        <v>0</v>
      </c>
      <c r="BQ793" s="675">
        <v>0</v>
      </c>
      <c r="BR793" s="549">
        <v>0</v>
      </c>
      <c r="BS793" s="675">
        <v>0</v>
      </c>
      <c r="BT793" s="549">
        <v>0</v>
      </c>
      <c r="BU793" s="675">
        <v>0</v>
      </c>
      <c r="BV793" s="549">
        <v>0</v>
      </c>
      <c r="BW793" s="675">
        <v>0</v>
      </c>
      <c r="BX793" s="549">
        <v>0</v>
      </c>
      <c r="BY793" s="675">
        <v>0</v>
      </c>
      <c r="BZ793" s="549">
        <v>0</v>
      </c>
      <c r="CA793" s="675">
        <v>0</v>
      </c>
      <c r="CB793" s="549">
        <v>0</v>
      </c>
      <c r="CC793" s="675">
        <v>0</v>
      </c>
      <c r="CD793" s="549">
        <v>0</v>
      </c>
      <c r="CE793" s="675">
        <v>0</v>
      </c>
      <c r="CF793" s="549">
        <v>0</v>
      </c>
      <c r="CG793" s="675">
        <v>0</v>
      </c>
      <c r="CH793" s="549">
        <v>0</v>
      </c>
      <c r="CI793" s="675">
        <v>0</v>
      </c>
      <c r="CJ793" s="549">
        <v>0</v>
      </c>
      <c r="CK793" s="675">
        <v>0</v>
      </c>
      <c r="CL793" s="549">
        <v>0</v>
      </c>
      <c r="CM793" s="675">
        <v>0</v>
      </c>
      <c r="CN793" s="549">
        <v>0</v>
      </c>
      <c r="CO793" s="675">
        <v>0</v>
      </c>
      <c r="CP793" s="549">
        <v>0</v>
      </c>
      <c r="CQ793" s="675">
        <v>0</v>
      </c>
      <c r="CR793" s="549">
        <v>0</v>
      </c>
      <c r="CS793" s="675">
        <v>0</v>
      </c>
      <c r="CT793" s="549">
        <v>0</v>
      </c>
      <c r="CU793" s="675">
        <v>0</v>
      </c>
      <c r="CV793" s="549">
        <v>0</v>
      </c>
      <c r="CW793" s="675">
        <v>0</v>
      </c>
      <c r="CX793" s="549">
        <v>0</v>
      </c>
      <c r="CY793" s="675">
        <v>0</v>
      </c>
      <c r="CZ793" s="549">
        <v>0</v>
      </c>
      <c r="DA793" s="675">
        <v>0</v>
      </c>
      <c r="DB793" s="549">
        <v>0</v>
      </c>
      <c r="DC793" s="675">
        <v>0</v>
      </c>
      <c r="DD793" s="549">
        <v>0</v>
      </c>
      <c r="DE793" s="675">
        <v>0</v>
      </c>
      <c r="DF793" s="549">
        <v>0</v>
      </c>
      <c r="DG793" s="675">
        <v>0</v>
      </c>
      <c r="DH793" s="549">
        <v>0</v>
      </c>
      <c r="DI793" s="675">
        <v>0</v>
      </c>
      <c r="DJ793" s="549">
        <v>0</v>
      </c>
      <c r="DK793" s="675">
        <v>0</v>
      </c>
      <c r="DL793" s="549">
        <v>0</v>
      </c>
      <c r="DM793" s="675">
        <v>0</v>
      </c>
      <c r="DN793" s="549">
        <v>0</v>
      </c>
      <c r="DO793" s="675">
        <v>0</v>
      </c>
      <c r="DP793" s="549">
        <v>0</v>
      </c>
      <c r="DQ793" s="675">
        <v>0</v>
      </c>
      <c r="DR793" s="549">
        <v>0</v>
      </c>
      <c r="DS793" s="675">
        <v>0</v>
      </c>
      <c r="DT793" s="549">
        <v>0</v>
      </c>
      <c r="DU793" s="675">
        <v>0</v>
      </c>
      <c r="DV793" s="549">
        <v>0</v>
      </c>
      <c r="DW793" s="675">
        <v>0</v>
      </c>
      <c r="DX793" s="549">
        <v>0</v>
      </c>
      <c r="DY793" s="675">
        <v>0</v>
      </c>
      <c r="DZ793" s="549">
        <v>0</v>
      </c>
      <c r="EA793" s="675">
        <v>0</v>
      </c>
      <c r="EB793" s="549">
        <v>0</v>
      </c>
      <c r="EC793" s="675">
        <v>0</v>
      </c>
      <c r="ED793" s="549">
        <v>0</v>
      </c>
      <c r="EE793" s="675">
        <v>0</v>
      </c>
      <c r="EF793" s="549">
        <v>0</v>
      </c>
      <c r="EG793" s="675">
        <v>0</v>
      </c>
      <c r="EH793" s="549">
        <v>0</v>
      </c>
      <c r="EI793" s="675">
        <v>0</v>
      </c>
      <c r="EJ793" s="549">
        <v>0</v>
      </c>
      <c r="EK793" s="675">
        <v>0</v>
      </c>
      <c r="EL793" s="549">
        <v>0</v>
      </c>
      <c r="EM793" s="675">
        <v>0</v>
      </c>
      <c r="EN793" s="549">
        <v>0</v>
      </c>
      <c r="EO793" s="675">
        <v>0</v>
      </c>
      <c r="EP793" s="549">
        <v>0</v>
      </c>
      <c r="EQ793" s="675">
        <v>0</v>
      </c>
      <c r="ER793" s="549">
        <v>0</v>
      </c>
      <c r="ES793" s="675">
        <v>0</v>
      </c>
      <c r="ET793" s="549">
        <v>0</v>
      </c>
      <c r="EU793" s="675">
        <v>0</v>
      </c>
      <c r="EV793" s="549">
        <v>0</v>
      </c>
      <c r="EW793" s="675">
        <v>0</v>
      </c>
      <c r="EX793" s="549">
        <v>0</v>
      </c>
      <c r="EY793" s="675">
        <v>0</v>
      </c>
      <c r="EZ793" s="549">
        <v>0</v>
      </c>
      <c r="FA793" s="675">
        <v>0</v>
      </c>
      <c r="FB793" s="549">
        <v>0</v>
      </c>
      <c r="FC793" s="675">
        <v>0</v>
      </c>
      <c r="FD793" s="549">
        <v>0</v>
      </c>
      <c r="FE793" s="675">
        <v>0</v>
      </c>
      <c r="FF793" s="549">
        <v>0</v>
      </c>
      <c r="FG793" s="675">
        <v>0</v>
      </c>
      <c r="FH793" s="549">
        <v>0</v>
      </c>
      <c r="FI793" s="675">
        <v>0</v>
      </c>
      <c r="FJ793" s="549">
        <v>0</v>
      </c>
      <c r="FK793" s="675">
        <v>0</v>
      </c>
      <c r="FL793" s="549">
        <v>0</v>
      </c>
      <c r="FM793" s="675">
        <v>0</v>
      </c>
      <c r="FN793" s="549">
        <v>0</v>
      </c>
      <c r="FO793" s="675">
        <v>0</v>
      </c>
      <c r="FP793" s="549">
        <v>0</v>
      </c>
      <c r="FQ793" s="675">
        <v>0</v>
      </c>
      <c r="FR793" s="549">
        <v>0</v>
      </c>
      <c r="FS793" s="675">
        <v>0</v>
      </c>
      <c r="FT793" s="549">
        <v>0</v>
      </c>
      <c r="FU793" s="675">
        <v>0</v>
      </c>
      <c r="FV793" s="549">
        <v>0</v>
      </c>
      <c r="FW793" s="675">
        <v>0</v>
      </c>
      <c r="FX793" s="549">
        <v>0</v>
      </c>
      <c r="FY793" s="675">
        <v>0</v>
      </c>
      <c r="FZ793" s="549">
        <v>0</v>
      </c>
      <c r="GA793" s="675">
        <v>0</v>
      </c>
      <c r="GB793" s="549">
        <v>0</v>
      </c>
      <c r="GC793" s="675">
        <v>0</v>
      </c>
      <c r="GD793" s="549">
        <v>0</v>
      </c>
      <c r="GE793" s="675">
        <v>0</v>
      </c>
      <c r="GF793" s="549">
        <v>0</v>
      </c>
      <c r="GG793" s="675">
        <v>0</v>
      </c>
      <c r="GH793" s="549">
        <v>0</v>
      </c>
      <c r="GI793" s="675">
        <v>0</v>
      </c>
      <c r="GJ793" s="549">
        <v>0</v>
      </c>
      <c r="GK793" s="675">
        <v>0</v>
      </c>
      <c r="GL793" s="549">
        <v>0</v>
      </c>
      <c r="GM793" s="675">
        <v>0</v>
      </c>
      <c r="GN793" s="549">
        <v>0</v>
      </c>
      <c r="GO793" s="675">
        <v>0</v>
      </c>
      <c r="GP793" s="549">
        <f t="shared" si="17104"/>
        <v>0</v>
      </c>
      <c r="GQ793" s="675">
        <f t="shared" si="17105"/>
        <v>0</v>
      </c>
      <c r="GR793" s="74">
        <f t="shared" si="17106"/>
        <v>22900</v>
      </c>
      <c r="GS793" s="74">
        <f t="shared" si="17107"/>
        <v>22900</v>
      </c>
      <c r="GT793" s="568">
        <f t="shared" si="17108"/>
        <v>22900</v>
      </c>
      <c r="GU793" s="275">
        <v>4580</v>
      </c>
      <c r="GV793" s="275"/>
      <c r="GW793" s="588"/>
      <c r="GX793" s="275">
        <v>6870</v>
      </c>
      <c r="GY793" s="275"/>
      <c r="GZ793" s="275"/>
      <c r="HA793" s="275">
        <v>6870</v>
      </c>
      <c r="HB793" s="275"/>
      <c r="HC793" s="275"/>
      <c r="HD793" s="275">
        <v>4580</v>
      </c>
      <c r="HE793" s="275">
        <v>0</v>
      </c>
      <c r="HF793" s="275">
        <v>0</v>
      </c>
      <c r="HG793" s="74">
        <f t="shared" si="17109"/>
        <v>22900</v>
      </c>
      <c r="HH793" s="89">
        <v>0</v>
      </c>
      <c r="HI793" s="157">
        <v>0</v>
      </c>
      <c r="HJ793" s="89">
        <v>0</v>
      </c>
      <c r="HK793" s="157">
        <v>0</v>
      </c>
      <c r="HL793" s="89">
        <v>0</v>
      </c>
      <c r="HM793" s="157">
        <v>4580</v>
      </c>
      <c r="HN793" s="89">
        <v>0</v>
      </c>
      <c r="HO793" s="157">
        <v>6870</v>
      </c>
      <c r="HP793" s="89">
        <v>0</v>
      </c>
      <c r="HQ793" s="157">
        <v>0</v>
      </c>
      <c r="HR793" s="89">
        <v>0</v>
      </c>
      <c r="HS793" s="157">
        <v>0</v>
      </c>
      <c r="HT793" s="89">
        <v>0</v>
      </c>
      <c r="HU793" s="157">
        <v>6870</v>
      </c>
      <c r="HV793" s="89">
        <v>0</v>
      </c>
      <c r="HW793" s="157">
        <v>0</v>
      </c>
      <c r="HX793" s="89">
        <v>0</v>
      </c>
      <c r="HY793" s="157">
        <v>0</v>
      </c>
      <c r="HZ793" s="89">
        <v>0</v>
      </c>
      <c r="IA793" s="157">
        <v>4580</v>
      </c>
      <c r="IB793" s="89">
        <v>0</v>
      </c>
      <c r="IC793" s="157">
        <v>0</v>
      </c>
      <c r="ID793" s="89">
        <v>0</v>
      </c>
      <c r="IE793" s="157">
        <v>0</v>
      </c>
      <c r="IF793" s="717">
        <f t="shared" si="17110"/>
        <v>22900</v>
      </c>
      <c r="IG793" s="263">
        <f t="shared" si="17111"/>
        <v>22900</v>
      </c>
      <c r="IH793" s="718">
        <f t="shared" si="17112"/>
        <v>22900</v>
      </c>
      <c r="II793" s="89">
        <v>0</v>
      </c>
      <c r="IJ793" s="89">
        <f t="shared" si="17113"/>
        <v>0</v>
      </c>
      <c r="IK793" s="89">
        <f t="shared" si="17114"/>
        <v>0</v>
      </c>
      <c r="IL793" s="89">
        <v>4580</v>
      </c>
      <c r="IM793" s="89">
        <f t="shared" si="17115"/>
        <v>4580</v>
      </c>
      <c r="IN793" s="89">
        <f t="shared" si="17116"/>
        <v>4580</v>
      </c>
      <c r="IO793" s="89">
        <v>0</v>
      </c>
      <c r="IP793" s="89">
        <f t="shared" si="17117"/>
        <v>0</v>
      </c>
      <c r="IQ793" s="89">
        <f t="shared" si="17118"/>
        <v>0</v>
      </c>
      <c r="IR793" s="89">
        <f>11450-4580</f>
        <v>6870</v>
      </c>
      <c r="IS793" s="89">
        <f t="shared" si="17119"/>
        <v>6870</v>
      </c>
      <c r="IT793" s="89">
        <f t="shared" si="17120"/>
        <v>6870</v>
      </c>
      <c r="IU793" s="89">
        <v>0</v>
      </c>
      <c r="IV793" s="89">
        <f t="shared" si="17121"/>
        <v>0</v>
      </c>
      <c r="IW793" s="89">
        <f t="shared" si="17122"/>
        <v>0</v>
      </c>
      <c r="IX793" s="89">
        <v>0</v>
      </c>
      <c r="IY793" s="89">
        <f t="shared" si="17123"/>
        <v>0</v>
      </c>
      <c r="IZ793" s="89">
        <f t="shared" si="17124"/>
        <v>0</v>
      </c>
      <c r="JA793" s="89">
        <f>18320-11450</f>
        <v>6870</v>
      </c>
      <c r="JB793" s="89">
        <f t="shared" si="17125"/>
        <v>6870</v>
      </c>
      <c r="JC793" s="89">
        <f t="shared" si="17126"/>
        <v>6870</v>
      </c>
      <c r="JD793" s="89">
        <v>0</v>
      </c>
      <c r="JE793" s="89">
        <f t="shared" si="17127"/>
        <v>0</v>
      </c>
      <c r="JF793" s="89">
        <f t="shared" si="17128"/>
        <v>0</v>
      </c>
      <c r="JG793" s="89">
        <v>0</v>
      </c>
      <c r="JH793" s="89">
        <f t="shared" si="17129"/>
        <v>0</v>
      </c>
      <c r="JI793" s="89">
        <f t="shared" si="17130"/>
        <v>0</v>
      </c>
      <c r="JJ793" s="89">
        <f>22900-18320</f>
        <v>4580</v>
      </c>
      <c r="JK793" s="89">
        <f t="shared" si="17131"/>
        <v>4580</v>
      </c>
      <c r="JL793" s="89">
        <f t="shared" si="17132"/>
        <v>4580</v>
      </c>
      <c r="JM793" s="89">
        <v>0</v>
      </c>
      <c r="JN793" s="89">
        <f t="shared" si="17133"/>
        <v>0</v>
      </c>
      <c r="JO793" s="89">
        <f t="shared" si="17134"/>
        <v>0</v>
      </c>
      <c r="JP793" s="89">
        <v>0</v>
      </c>
      <c r="JQ793" s="89">
        <f t="shared" ref="JQ793:JR793" si="17140">JP793</f>
        <v>0</v>
      </c>
      <c r="JR793" s="89">
        <f t="shared" si="17140"/>
        <v>0</v>
      </c>
      <c r="JS793" s="74">
        <f t="shared" si="17136"/>
        <v>0</v>
      </c>
      <c r="JT793" s="382">
        <f t="shared" si="17137"/>
        <v>0</v>
      </c>
      <c r="JU793" s="665"/>
      <c r="JV793" s="524"/>
      <c r="JW793" s="525"/>
      <c r="JX793" s="549">
        <f t="shared" si="17138"/>
        <v>0</v>
      </c>
      <c r="JY793" s="549">
        <f t="shared" si="15767"/>
        <v>22900</v>
      </c>
      <c r="JZ793" s="581">
        <f t="shared" si="16466"/>
        <v>0</v>
      </c>
      <c r="KA793" s="581">
        <f t="shared" si="16467"/>
        <v>0</v>
      </c>
      <c r="KB793" s="566">
        <f t="shared" si="17031"/>
        <v>22900</v>
      </c>
      <c r="KC793" s="709">
        <f t="shared" si="16464"/>
        <v>0</v>
      </c>
      <c r="KD793" s="491"/>
      <c r="KE793" s="491"/>
      <c r="KF793" s="491"/>
      <c r="KG793" s="491"/>
      <c r="KH793" s="36"/>
      <c r="KI793" s="36"/>
      <c r="KJ793" s="36"/>
      <c r="KK793" s="36"/>
    </row>
    <row r="794" spans="1:297" s="10" customFormat="1">
      <c r="A794" s="612" t="s">
        <v>693</v>
      </c>
      <c r="B794" s="512" t="s">
        <v>978</v>
      </c>
      <c r="C794" s="74">
        <v>2800</v>
      </c>
      <c r="D794" s="549">
        <v>0</v>
      </c>
      <c r="E794" s="675">
        <v>0</v>
      </c>
      <c r="F794" s="549">
        <v>0</v>
      </c>
      <c r="G794" s="675">
        <v>0</v>
      </c>
      <c r="H794" s="549">
        <v>0</v>
      </c>
      <c r="I794" s="675">
        <v>0</v>
      </c>
      <c r="J794" s="549">
        <v>0</v>
      </c>
      <c r="K794" s="675">
        <v>0</v>
      </c>
      <c r="L794" s="549">
        <v>0</v>
      </c>
      <c r="M794" s="675">
        <v>0</v>
      </c>
      <c r="N794" s="549">
        <v>0</v>
      </c>
      <c r="O794" s="675">
        <v>0</v>
      </c>
      <c r="P794" s="549">
        <v>0</v>
      </c>
      <c r="Q794" s="675">
        <v>0</v>
      </c>
      <c r="R794" s="549">
        <v>0</v>
      </c>
      <c r="S794" s="675">
        <v>0</v>
      </c>
      <c r="T794" s="549">
        <v>0</v>
      </c>
      <c r="U794" s="675">
        <v>0</v>
      </c>
      <c r="V794" s="549">
        <v>0</v>
      </c>
      <c r="W794" s="675">
        <v>0</v>
      </c>
      <c r="X794" s="549">
        <v>0</v>
      </c>
      <c r="Y794" s="675">
        <v>0</v>
      </c>
      <c r="Z794" s="549">
        <v>0</v>
      </c>
      <c r="AA794" s="675">
        <v>0</v>
      </c>
      <c r="AB794" s="549">
        <v>0</v>
      </c>
      <c r="AC794" s="675">
        <v>0</v>
      </c>
      <c r="AD794" s="549">
        <v>0</v>
      </c>
      <c r="AE794" s="675">
        <v>0</v>
      </c>
      <c r="AF794" s="549">
        <v>0</v>
      </c>
      <c r="AG794" s="675">
        <v>0</v>
      </c>
      <c r="AH794" s="549">
        <v>0</v>
      </c>
      <c r="AI794" s="675">
        <v>0</v>
      </c>
      <c r="AJ794" s="549">
        <v>0</v>
      </c>
      <c r="AK794" s="675">
        <v>0</v>
      </c>
      <c r="AL794" s="549">
        <v>0</v>
      </c>
      <c r="AM794" s="675">
        <v>0</v>
      </c>
      <c r="AN794" s="549">
        <v>0</v>
      </c>
      <c r="AO794" s="675">
        <v>0</v>
      </c>
      <c r="AP794" s="549">
        <v>0</v>
      </c>
      <c r="AQ794" s="675">
        <v>0</v>
      </c>
      <c r="AR794" s="549">
        <v>0</v>
      </c>
      <c r="AS794" s="675">
        <v>0</v>
      </c>
      <c r="AT794" s="549">
        <v>0</v>
      </c>
      <c r="AU794" s="675">
        <v>0</v>
      </c>
      <c r="AV794" s="549">
        <v>0</v>
      </c>
      <c r="AW794" s="675">
        <v>0</v>
      </c>
      <c r="AX794" s="549">
        <v>0</v>
      </c>
      <c r="AY794" s="675">
        <v>0</v>
      </c>
      <c r="AZ794" s="549">
        <v>0</v>
      </c>
      <c r="BA794" s="675">
        <v>0</v>
      </c>
      <c r="BB794" s="549">
        <v>0</v>
      </c>
      <c r="BC794" s="675">
        <v>0</v>
      </c>
      <c r="BD794" s="549">
        <v>0</v>
      </c>
      <c r="BE794" s="675">
        <v>0</v>
      </c>
      <c r="BF794" s="549">
        <v>0</v>
      </c>
      <c r="BG794" s="675">
        <v>0</v>
      </c>
      <c r="BH794" s="549">
        <v>0</v>
      </c>
      <c r="BI794" s="675">
        <v>0</v>
      </c>
      <c r="BJ794" s="549">
        <v>0</v>
      </c>
      <c r="BK794" s="675">
        <v>0</v>
      </c>
      <c r="BL794" s="549">
        <v>0</v>
      </c>
      <c r="BM794" s="675">
        <v>0</v>
      </c>
      <c r="BN794" s="549">
        <v>0</v>
      </c>
      <c r="BO794" s="675">
        <v>0</v>
      </c>
      <c r="BP794" s="549">
        <v>0</v>
      </c>
      <c r="BQ794" s="675">
        <v>0</v>
      </c>
      <c r="BR794" s="549">
        <v>0</v>
      </c>
      <c r="BS794" s="675">
        <v>0</v>
      </c>
      <c r="BT794" s="549">
        <v>0</v>
      </c>
      <c r="BU794" s="675">
        <v>0</v>
      </c>
      <c r="BV794" s="549">
        <v>0</v>
      </c>
      <c r="BW794" s="675">
        <v>0</v>
      </c>
      <c r="BX794" s="549">
        <v>0</v>
      </c>
      <c r="BY794" s="675">
        <v>0</v>
      </c>
      <c r="BZ794" s="549">
        <v>0</v>
      </c>
      <c r="CA794" s="675">
        <v>0</v>
      </c>
      <c r="CB794" s="549">
        <v>0</v>
      </c>
      <c r="CC794" s="675">
        <v>0</v>
      </c>
      <c r="CD794" s="549">
        <v>0</v>
      </c>
      <c r="CE794" s="675">
        <v>0</v>
      </c>
      <c r="CF794" s="549">
        <v>0</v>
      </c>
      <c r="CG794" s="675">
        <v>0</v>
      </c>
      <c r="CH794" s="549">
        <v>0</v>
      </c>
      <c r="CI794" s="675">
        <v>0</v>
      </c>
      <c r="CJ794" s="549">
        <v>0</v>
      </c>
      <c r="CK794" s="675">
        <v>0</v>
      </c>
      <c r="CL794" s="549">
        <v>0</v>
      </c>
      <c r="CM794" s="675">
        <v>0</v>
      </c>
      <c r="CN794" s="549">
        <v>0</v>
      </c>
      <c r="CO794" s="675">
        <v>0</v>
      </c>
      <c r="CP794" s="549">
        <v>0</v>
      </c>
      <c r="CQ794" s="675">
        <v>0</v>
      </c>
      <c r="CR794" s="549">
        <v>0</v>
      </c>
      <c r="CS794" s="675">
        <v>0</v>
      </c>
      <c r="CT794" s="549">
        <v>0</v>
      </c>
      <c r="CU794" s="675">
        <v>0</v>
      </c>
      <c r="CV794" s="549">
        <v>0</v>
      </c>
      <c r="CW794" s="675">
        <v>0</v>
      </c>
      <c r="CX794" s="549">
        <v>0</v>
      </c>
      <c r="CY794" s="675">
        <v>0</v>
      </c>
      <c r="CZ794" s="549">
        <v>0</v>
      </c>
      <c r="DA794" s="675">
        <v>0</v>
      </c>
      <c r="DB794" s="549">
        <v>0</v>
      </c>
      <c r="DC794" s="675">
        <v>0</v>
      </c>
      <c r="DD794" s="549">
        <v>0</v>
      </c>
      <c r="DE794" s="675">
        <v>0</v>
      </c>
      <c r="DF794" s="549">
        <v>0</v>
      </c>
      <c r="DG794" s="675">
        <v>0</v>
      </c>
      <c r="DH794" s="549">
        <v>0</v>
      </c>
      <c r="DI794" s="675">
        <v>0</v>
      </c>
      <c r="DJ794" s="549">
        <v>0</v>
      </c>
      <c r="DK794" s="675">
        <v>0</v>
      </c>
      <c r="DL794" s="549">
        <v>0</v>
      </c>
      <c r="DM794" s="675">
        <v>0</v>
      </c>
      <c r="DN794" s="549">
        <v>0</v>
      </c>
      <c r="DO794" s="675">
        <v>0</v>
      </c>
      <c r="DP794" s="549">
        <v>0</v>
      </c>
      <c r="DQ794" s="675">
        <v>0</v>
      </c>
      <c r="DR794" s="549">
        <v>0</v>
      </c>
      <c r="DS794" s="675">
        <v>0</v>
      </c>
      <c r="DT794" s="549">
        <v>0</v>
      </c>
      <c r="DU794" s="675">
        <v>0</v>
      </c>
      <c r="DV794" s="549">
        <v>0</v>
      </c>
      <c r="DW794" s="675">
        <v>0</v>
      </c>
      <c r="DX794" s="549">
        <v>0</v>
      </c>
      <c r="DY794" s="675">
        <v>0</v>
      </c>
      <c r="DZ794" s="549">
        <v>0</v>
      </c>
      <c r="EA794" s="675">
        <v>0</v>
      </c>
      <c r="EB794" s="549">
        <v>0</v>
      </c>
      <c r="EC794" s="675">
        <v>0</v>
      </c>
      <c r="ED794" s="549">
        <v>0</v>
      </c>
      <c r="EE794" s="675">
        <v>0</v>
      </c>
      <c r="EF794" s="549">
        <v>0</v>
      </c>
      <c r="EG794" s="675">
        <v>0</v>
      </c>
      <c r="EH794" s="549">
        <v>0</v>
      </c>
      <c r="EI794" s="675">
        <v>0</v>
      </c>
      <c r="EJ794" s="549">
        <v>0</v>
      </c>
      <c r="EK794" s="675">
        <v>0</v>
      </c>
      <c r="EL794" s="549">
        <v>0</v>
      </c>
      <c r="EM794" s="675">
        <v>0</v>
      </c>
      <c r="EN794" s="549">
        <v>0</v>
      </c>
      <c r="EO794" s="675">
        <v>0</v>
      </c>
      <c r="EP794" s="549">
        <v>0</v>
      </c>
      <c r="EQ794" s="675">
        <v>0</v>
      </c>
      <c r="ER794" s="549">
        <v>0</v>
      </c>
      <c r="ES794" s="675">
        <v>0</v>
      </c>
      <c r="ET794" s="549">
        <v>0</v>
      </c>
      <c r="EU794" s="675">
        <v>0</v>
      </c>
      <c r="EV794" s="549">
        <v>0</v>
      </c>
      <c r="EW794" s="675">
        <v>0</v>
      </c>
      <c r="EX794" s="549">
        <v>0</v>
      </c>
      <c r="EY794" s="675">
        <v>0</v>
      </c>
      <c r="EZ794" s="549">
        <v>0</v>
      </c>
      <c r="FA794" s="675">
        <v>0</v>
      </c>
      <c r="FB794" s="549">
        <v>0</v>
      </c>
      <c r="FC794" s="675">
        <v>0</v>
      </c>
      <c r="FD794" s="549">
        <v>0</v>
      </c>
      <c r="FE794" s="675">
        <v>0</v>
      </c>
      <c r="FF794" s="549">
        <v>0</v>
      </c>
      <c r="FG794" s="675">
        <v>0</v>
      </c>
      <c r="FH794" s="549">
        <v>0</v>
      </c>
      <c r="FI794" s="675">
        <v>0</v>
      </c>
      <c r="FJ794" s="549">
        <v>0</v>
      </c>
      <c r="FK794" s="675">
        <v>0</v>
      </c>
      <c r="FL794" s="549">
        <v>0</v>
      </c>
      <c r="FM794" s="675">
        <v>0</v>
      </c>
      <c r="FN794" s="549">
        <v>0</v>
      </c>
      <c r="FO794" s="675">
        <v>0</v>
      </c>
      <c r="FP794" s="549">
        <v>0</v>
      </c>
      <c r="FQ794" s="675">
        <v>0</v>
      </c>
      <c r="FR794" s="549">
        <v>0</v>
      </c>
      <c r="FS794" s="675">
        <v>0</v>
      </c>
      <c r="FT794" s="549">
        <v>0</v>
      </c>
      <c r="FU794" s="675">
        <v>0</v>
      </c>
      <c r="FV794" s="549">
        <v>0</v>
      </c>
      <c r="FW794" s="675">
        <v>0</v>
      </c>
      <c r="FX794" s="549">
        <v>0</v>
      </c>
      <c r="FY794" s="675">
        <v>0</v>
      </c>
      <c r="FZ794" s="549">
        <v>0</v>
      </c>
      <c r="GA794" s="675">
        <v>0</v>
      </c>
      <c r="GB794" s="549">
        <v>0</v>
      </c>
      <c r="GC794" s="675">
        <v>0</v>
      </c>
      <c r="GD794" s="549">
        <v>0</v>
      </c>
      <c r="GE794" s="675">
        <v>0</v>
      </c>
      <c r="GF794" s="549">
        <v>0</v>
      </c>
      <c r="GG794" s="675">
        <v>0</v>
      </c>
      <c r="GH794" s="549">
        <v>0</v>
      </c>
      <c r="GI794" s="675">
        <v>0</v>
      </c>
      <c r="GJ794" s="549">
        <v>0</v>
      </c>
      <c r="GK794" s="675">
        <v>0</v>
      </c>
      <c r="GL794" s="549">
        <v>0</v>
      </c>
      <c r="GM794" s="675">
        <v>0</v>
      </c>
      <c r="GN794" s="549">
        <v>0</v>
      </c>
      <c r="GO794" s="675">
        <v>0</v>
      </c>
      <c r="GP794" s="549">
        <f t="shared" si="17104"/>
        <v>0</v>
      </c>
      <c r="GQ794" s="675">
        <f t="shared" si="17105"/>
        <v>0</v>
      </c>
      <c r="GR794" s="74">
        <f t="shared" si="17106"/>
        <v>2800</v>
      </c>
      <c r="GS794" s="74">
        <f t="shared" si="17107"/>
        <v>2800</v>
      </c>
      <c r="GT794" s="568">
        <f t="shared" si="17108"/>
        <v>2800</v>
      </c>
      <c r="GU794" s="275">
        <v>560</v>
      </c>
      <c r="GV794" s="275"/>
      <c r="GW794" s="588"/>
      <c r="GX794" s="275">
        <v>840</v>
      </c>
      <c r="GY794" s="275"/>
      <c r="GZ794" s="275"/>
      <c r="HA794" s="275">
        <v>840</v>
      </c>
      <c r="HB794" s="275"/>
      <c r="HC794" s="275"/>
      <c r="HD794" s="275">
        <v>560</v>
      </c>
      <c r="HE794" s="275">
        <v>0</v>
      </c>
      <c r="HF794" s="275">
        <v>0</v>
      </c>
      <c r="HG794" s="74">
        <f t="shared" si="17109"/>
        <v>2800</v>
      </c>
      <c r="HH794" s="89">
        <v>0</v>
      </c>
      <c r="HI794" s="157">
        <v>0</v>
      </c>
      <c r="HJ794" s="89">
        <v>0</v>
      </c>
      <c r="HK794" s="157">
        <v>0</v>
      </c>
      <c r="HL794" s="89">
        <v>0</v>
      </c>
      <c r="HM794" s="157">
        <v>560</v>
      </c>
      <c r="HN794" s="89">
        <v>0</v>
      </c>
      <c r="HO794" s="157">
        <v>840</v>
      </c>
      <c r="HP794" s="89">
        <v>0</v>
      </c>
      <c r="HQ794" s="157">
        <v>0</v>
      </c>
      <c r="HR794" s="89">
        <v>0</v>
      </c>
      <c r="HS794" s="157">
        <v>0</v>
      </c>
      <c r="HT794" s="89">
        <v>0</v>
      </c>
      <c r="HU794" s="157">
        <v>840</v>
      </c>
      <c r="HV794" s="89">
        <v>0</v>
      </c>
      <c r="HW794" s="157">
        <v>0</v>
      </c>
      <c r="HX794" s="89">
        <v>0</v>
      </c>
      <c r="HY794" s="157">
        <v>0</v>
      </c>
      <c r="HZ794" s="89">
        <v>0</v>
      </c>
      <c r="IA794" s="157">
        <v>560</v>
      </c>
      <c r="IB794" s="89">
        <v>0</v>
      </c>
      <c r="IC794" s="157">
        <v>0</v>
      </c>
      <c r="ID794" s="89">
        <v>0</v>
      </c>
      <c r="IE794" s="157">
        <v>0</v>
      </c>
      <c r="IF794" s="717">
        <f t="shared" si="17110"/>
        <v>2800</v>
      </c>
      <c r="IG794" s="263">
        <f t="shared" si="17111"/>
        <v>2800</v>
      </c>
      <c r="IH794" s="718">
        <f t="shared" si="17112"/>
        <v>2800</v>
      </c>
      <c r="II794" s="89">
        <v>0</v>
      </c>
      <c r="IJ794" s="89">
        <f t="shared" si="17113"/>
        <v>0</v>
      </c>
      <c r="IK794" s="89">
        <f t="shared" si="17114"/>
        <v>0</v>
      </c>
      <c r="IL794" s="89">
        <v>560</v>
      </c>
      <c r="IM794" s="89">
        <f t="shared" si="17115"/>
        <v>560</v>
      </c>
      <c r="IN794" s="89">
        <f t="shared" si="17116"/>
        <v>560</v>
      </c>
      <c r="IO794" s="89">
        <v>0</v>
      </c>
      <c r="IP794" s="89">
        <f t="shared" si="17117"/>
        <v>0</v>
      </c>
      <c r="IQ794" s="89">
        <f t="shared" si="17118"/>
        <v>0</v>
      </c>
      <c r="IR794" s="89">
        <f>1400-560</f>
        <v>840</v>
      </c>
      <c r="IS794" s="89">
        <f t="shared" si="17119"/>
        <v>840</v>
      </c>
      <c r="IT794" s="89">
        <f t="shared" si="17120"/>
        <v>840</v>
      </c>
      <c r="IU794" s="89">
        <v>0</v>
      </c>
      <c r="IV794" s="89">
        <f t="shared" si="17121"/>
        <v>0</v>
      </c>
      <c r="IW794" s="89">
        <f t="shared" si="17122"/>
        <v>0</v>
      </c>
      <c r="IX794" s="89">
        <v>0</v>
      </c>
      <c r="IY794" s="89">
        <f t="shared" si="17123"/>
        <v>0</v>
      </c>
      <c r="IZ794" s="89">
        <f t="shared" si="17124"/>
        <v>0</v>
      </c>
      <c r="JA794" s="89">
        <f>2240-1400</f>
        <v>840</v>
      </c>
      <c r="JB794" s="89">
        <f t="shared" si="17125"/>
        <v>840</v>
      </c>
      <c r="JC794" s="89">
        <f t="shared" si="17126"/>
        <v>840</v>
      </c>
      <c r="JD794" s="89">
        <v>0</v>
      </c>
      <c r="JE794" s="89">
        <f t="shared" si="17127"/>
        <v>0</v>
      </c>
      <c r="JF794" s="89">
        <f t="shared" si="17128"/>
        <v>0</v>
      </c>
      <c r="JG794" s="89">
        <v>0</v>
      </c>
      <c r="JH794" s="89">
        <f t="shared" si="17129"/>
        <v>0</v>
      </c>
      <c r="JI794" s="89">
        <f t="shared" si="17130"/>
        <v>0</v>
      </c>
      <c r="JJ794" s="89">
        <f>2800-2240</f>
        <v>560</v>
      </c>
      <c r="JK794" s="89">
        <f t="shared" si="17131"/>
        <v>560</v>
      </c>
      <c r="JL794" s="89">
        <f t="shared" si="17132"/>
        <v>560</v>
      </c>
      <c r="JM794" s="89">
        <v>0</v>
      </c>
      <c r="JN794" s="89">
        <f t="shared" si="17133"/>
        <v>0</v>
      </c>
      <c r="JO794" s="89">
        <f t="shared" si="17134"/>
        <v>0</v>
      </c>
      <c r="JP794" s="89">
        <v>0</v>
      </c>
      <c r="JQ794" s="89">
        <f t="shared" ref="JQ794:JR794" si="17141">JP794</f>
        <v>0</v>
      </c>
      <c r="JR794" s="89">
        <f t="shared" si="17141"/>
        <v>0</v>
      </c>
      <c r="JS794" s="74">
        <f t="shared" si="17136"/>
        <v>0</v>
      </c>
      <c r="JT794" s="382">
        <f t="shared" si="17137"/>
        <v>0</v>
      </c>
      <c r="JU794" s="665"/>
      <c r="JV794" s="524"/>
      <c r="JW794" s="525"/>
      <c r="JX794" s="549">
        <f t="shared" si="17138"/>
        <v>0</v>
      </c>
      <c r="JY794" s="549">
        <f t="shared" si="15767"/>
        <v>2800</v>
      </c>
      <c r="JZ794" s="581">
        <f t="shared" si="16466"/>
        <v>0</v>
      </c>
      <c r="KA794" s="581">
        <f t="shared" si="16467"/>
        <v>0</v>
      </c>
      <c r="KB794" s="566">
        <f t="shared" si="17031"/>
        <v>2800</v>
      </c>
      <c r="KC794" s="709">
        <f t="shared" si="16464"/>
        <v>0</v>
      </c>
      <c r="KD794" s="491"/>
      <c r="KE794" s="491"/>
      <c r="KF794" s="491"/>
      <c r="KG794" s="491"/>
      <c r="KH794" s="36"/>
      <c r="KI794" s="36"/>
      <c r="KJ794" s="36"/>
      <c r="KK794" s="36"/>
    </row>
    <row r="795" spans="1:297" s="10" customFormat="1">
      <c r="A795" s="612" t="s">
        <v>694</v>
      </c>
      <c r="B795" s="512" t="s">
        <v>979</v>
      </c>
      <c r="C795" s="74">
        <v>1200</v>
      </c>
      <c r="D795" s="549">
        <v>0</v>
      </c>
      <c r="E795" s="675">
        <v>0</v>
      </c>
      <c r="F795" s="549">
        <v>0</v>
      </c>
      <c r="G795" s="675">
        <v>0</v>
      </c>
      <c r="H795" s="549">
        <v>0</v>
      </c>
      <c r="I795" s="675">
        <v>0</v>
      </c>
      <c r="J795" s="549">
        <v>0</v>
      </c>
      <c r="K795" s="675">
        <v>0</v>
      </c>
      <c r="L795" s="549">
        <v>0</v>
      </c>
      <c r="M795" s="675">
        <v>0</v>
      </c>
      <c r="N795" s="549">
        <v>0</v>
      </c>
      <c r="O795" s="675">
        <v>0</v>
      </c>
      <c r="P795" s="549">
        <v>0</v>
      </c>
      <c r="Q795" s="675">
        <v>0</v>
      </c>
      <c r="R795" s="549">
        <v>0</v>
      </c>
      <c r="S795" s="675">
        <v>0</v>
      </c>
      <c r="T795" s="549">
        <v>0</v>
      </c>
      <c r="U795" s="675">
        <v>0</v>
      </c>
      <c r="V795" s="549">
        <v>0</v>
      </c>
      <c r="W795" s="675">
        <v>0</v>
      </c>
      <c r="X795" s="549">
        <v>0</v>
      </c>
      <c r="Y795" s="675">
        <v>0</v>
      </c>
      <c r="Z795" s="549">
        <v>0</v>
      </c>
      <c r="AA795" s="675">
        <v>0</v>
      </c>
      <c r="AB795" s="549">
        <v>0</v>
      </c>
      <c r="AC795" s="675">
        <v>0</v>
      </c>
      <c r="AD795" s="549">
        <v>0</v>
      </c>
      <c r="AE795" s="675">
        <v>0</v>
      </c>
      <c r="AF795" s="549">
        <v>0</v>
      </c>
      <c r="AG795" s="675">
        <v>0</v>
      </c>
      <c r="AH795" s="549">
        <v>0</v>
      </c>
      <c r="AI795" s="675">
        <v>0</v>
      </c>
      <c r="AJ795" s="549">
        <v>0</v>
      </c>
      <c r="AK795" s="675">
        <v>0</v>
      </c>
      <c r="AL795" s="549">
        <v>0</v>
      </c>
      <c r="AM795" s="675">
        <v>0</v>
      </c>
      <c r="AN795" s="549">
        <v>0</v>
      </c>
      <c r="AO795" s="675">
        <v>0</v>
      </c>
      <c r="AP795" s="549">
        <v>0</v>
      </c>
      <c r="AQ795" s="675">
        <v>0</v>
      </c>
      <c r="AR795" s="549">
        <v>0</v>
      </c>
      <c r="AS795" s="675">
        <v>0</v>
      </c>
      <c r="AT795" s="549">
        <v>0</v>
      </c>
      <c r="AU795" s="675">
        <v>0</v>
      </c>
      <c r="AV795" s="549">
        <v>0</v>
      </c>
      <c r="AW795" s="675">
        <v>0</v>
      </c>
      <c r="AX795" s="549">
        <v>0</v>
      </c>
      <c r="AY795" s="675">
        <v>0</v>
      </c>
      <c r="AZ795" s="549">
        <v>0</v>
      </c>
      <c r="BA795" s="675">
        <v>0</v>
      </c>
      <c r="BB795" s="549">
        <v>0</v>
      </c>
      <c r="BC795" s="675">
        <v>0</v>
      </c>
      <c r="BD795" s="549">
        <v>0</v>
      </c>
      <c r="BE795" s="675">
        <v>0</v>
      </c>
      <c r="BF795" s="549">
        <v>0</v>
      </c>
      <c r="BG795" s="675">
        <v>0</v>
      </c>
      <c r="BH795" s="549">
        <v>0</v>
      </c>
      <c r="BI795" s="675">
        <v>0</v>
      </c>
      <c r="BJ795" s="549">
        <v>0</v>
      </c>
      <c r="BK795" s="675">
        <v>0</v>
      </c>
      <c r="BL795" s="549">
        <v>0</v>
      </c>
      <c r="BM795" s="675">
        <v>0</v>
      </c>
      <c r="BN795" s="549">
        <v>0</v>
      </c>
      <c r="BO795" s="675">
        <v>0</v>
      </c>
      <c r="BP795" s="549">
        <v>0</v>
      </c>
      <c r="BQ795" s="675">
        <v>0</v>
      </c>
      <c r="BR795" s="549">
        <v>0</v>
      </c>
      <c r="BS795" s="675">
        <v>0</v>
      </c>
      <c r="BT795" s="549">
        <v>0</v>
      </c>
      <c r="BU795" s="675">
        <v>0</v>
      </c>
      <c r="BV795" s="549">
        <v>0</v>
      </c>
      <c r="BW795" s="675">
        <v>0</v>
      </c>
      <c r="BX795" s="549">
        <v>0</v>
      </c>
      <c r="BY795" s="675">
        <v>0</v>
      </c>
      <c r="BZ795" s="549">
        <v>0</v>
      </c>
      <c r="CA795" s="675">
        <v>0</v>
      </c>
      <c r="CB795" s="549">
        <v>0</v>
      </c>
      <c r="CC795" s="675">
        <v>0</v>
      </c>
      <c r="CD795" s="549">
        <v>0</v>
      </c>
      <c r="CE795" s="675">
        <v>0</v>
      </c>
      <c r="CF795" s="549">
        <v>0</v>
      </c>
      <c r="CG795" s="675">
        <v>0</v>
      </c>
      <c r="CH795" s="549">
        <v>0</v>
      </c>
      <c r="CI795" s="675">
        <v>0</v>
      </c>
      <c r="CJ795" s="549">
        <v>0</v>
      </c>
      <c r="CK795" s="675">
        <v>0</v>
      </c>
      <c r="CL795" s="549">
        <v>0</v>
      </c>
      <c r="CM795" s="675">
        <v>0</v>
      </c>
      <c r="CN795" s="549">
        <v>0</v>
      </c>
      <c r="CO795" s="675">
        <v>0</v>
      </c>
      <c r="CP795" s="549">
        <v>0</v>
      </c>
      <c r="CQ795" s="675">
        <v>0</v>
      </c>
      <c r="CR795" s="549">
        <v>0</v>
      </c>
      <c r="CS795" s="675">
        <v>0</v>
      </c>
      <c r="CT795" s="549">
        <v>0</v>
      </c>
      <c r="CU795" s="675">
        <v>0</v>
      </c>
      <c r="CV795" s="549">
        <v>0</v>
      </c>
      <c r="CW795" s="675">
        <v>0</v>
      </c>
      <c r="CX795" s="549">
        <v>0</v>
      </c>
      <c r="CY795" s="675">
        <v>0</v>
      </c>
      <c r="CZ795" s="549">
        <v>0</v>
      </c>
      <c r="DA795" s="675">
        <v>0</v>
      </c>
      <c r="DB795" s="549">
        <v>0</v>
      </c>
      <c r="DC795" s="675">
        <v>0</v>
      </c>
      <c r="DD795" s="549">
        <v>0</v>
      </c>
      <c r="DE795" s="675">
        <v>0</v>
      </c>
      <c r="DF795" s="549">
        <v>0</v>
      </c>
      <c r="DG795" s="675">
        <v>0</v>
      </c>
      <c r="DH795" s="549">
        <v>0</v>
      </c>
      <c r="DI795" s="675">
        <v>0</v>
      </c>
      <c r="DJ795" s="549">
        <v>0</v>
      </c>
      <c r="DK795" s="675">
        <v>0</v>
      </c>
      <c r="DL795" s="549">
        <v>0</v>
      </c>
      <c r="DM795" s="675">
        <v>0</v>
      </c>
      <c r="DN795" s="549">
        <v>0</v>
      </c>
      <c r="DO795" s="675">
        <v>0</v>
      </c>
      <c r="DP795" s="549">
        <v>0</v>
      </c>
      <c r="DQ795" s="675">
        <v>0</v>
      </c>
      <c r="DR795" s="549">
        <v>0</v>
      </c>
      <c r="DS795" s="675">
        <v>0</v>
      </c>
      <c r="DT795" s="549">
        <v>0</v>
      </c>
      <c r="DU795" s="675">
        <v>0</v>
      </c>
      <c r="DV795" s="549">
        <v>0</v>
      </c>
      <c r="DW795" s="675">
        <v>0</v>
      </c>
      <c r="DX795" s="549">
        <v>0</v>
      </c>
      <c r="DY795" s="675">
        <v>0</v>
      </c>
      <c r="DZ795" s="549">
        <v>0</v>
      </c>
      <c r="EA795" s="675">
        <v>0</v>
      </c>
      <c r="EB795" s="549">
        <v>0</v>
      </c>
      <c r="EC795" s="675">
        <v>0</v>
      </c>
      <c r="ED795" s="549">
        <v>0</v>
      </c>
      <c r="EE795" s="675">
        <v>0</v>
      </c>
      <c r="EF795" s="549">
        <v>0</v>
      </c>
      <c r="EG795" s="675">
        <v>0</v>
      </c>
      <c r="EH795" s="549">
        <v>0</v>
      </c>
      <c r="EI795" s="675">
        <v>0</v>
      </c>
      <c r="EJ795" s="549">
        <v>0</v>
      </c>
      <c r="EK795" s="675">
        <v>0</v>
      </c>
      <c r="EL795" s="549">
        <v>0</v>
      </c>
      <c r="EM795" s="675">
        <v>0</v>
      </c>
      <c r="EN795" s="549">
        <v>0</v>
      </c>
      <c r="EO795" s="675">
        <v>0</v>
      </c>
      <c r="EP795" s="549">
        <v>0</v>
      </c>
      <c r="EQ795" s="675">
        <v>0</v>
      </c>
      <c r="ER795" s="549">
        <v>0</v>
      </c>
      <c r="ES795" s="675">
        <v>0</v>
      </c>
      <c r="ET795" s="549">
        <v>0</v>
      </c>
      <c r="EU795" s="675">
        <v>0</v>
      </c>
      <c r="EV795" s="549">
        <v>0</v>
      </c>
      <c r="EW795" s="675">
        <v>0</v>
      </c>
      <c r="EX795" s="549">
        <v>0</v>
      </c>
      <c r="EY795" s="675">
        <v>0</v>
      </c>
      <c r="EZ795" s="549">
        <v>0</v>
      </c>
      <c r="FA795" s="675">
        <v>0</v>
      </c>
      <c r="FB795" s="549">
        <v>0</v>
      </c>
      <c r="FC795" s="675">
        <v>0</v>
      </c>
      <c r="FD795" s="549">
        <v>0</v>
      </c>
      <c r="FE795" s="675">
        <v>0</v>
      </c>
      <c r="FF795" s="549">
        <v>0</v>
      </c>
      <c r="FG795" s="675">
        <v>0</v>
      </c>
      <c r="FH795" s="549">
        <v>0</v>
      </c>
      <c r="FI795" s="675">
        <v>0</v>
      </c>
      <c r="FJ795" s="549">
        <v>0</v>
      </c>
      <c r="FK795" s="675">
        <v>0</v>
      </c>
      <c r="FL795" s="549">
        <v>0</v>
      </c>
      <c r="FM795" s="675">
        <v>0</v>
      </c>
      <c r="FN795" s="549">
        <v>0</v>
      </c>
      <c r="FO795" s="675">
        <v>0</v>
      </c>
      <c r="FP795" s="549">
        <v>0</v>
      </c>
      <c r="FQ795" s="675">
        <v>0</v>
      </c>
      <c r="FR795" s="549">
        <v>0</v>
      </c>
      <c r="FS795" s="675">
        <v>0</v>
      </c>
      <c r="FT795" s="549">
        <v>0</v>
      </c>
      <c r="FU795" s="675">
        <v>0</v>
      </c>
      <c r="FV795" s="549">
        <v>0</v>
      </c>
      <c r="FW795" s="675">
        <v>0</v>
      </c>
      <c r="FX795" s="549">
        <v>0</v>
      </c>
      <c r="FY795" s="675">
        <v>0</v>
      </c>
      <c r="FZ795" s="549">
        <v>0</v>
      </c>
      <c r="GA795" s="675">
        <v>0</v>
      </c>
      <c r="GB795" s="549">
        <v>0</v>
      </c>
      <c r="GC795" s="675">
        <v>0</v>
      </c>
      <c r="GD795" s="549">
        <v>0</v>
      </c>
      <c r="GE795" s="675">
        <v>0</v>
      </c>
      <c r="GF795" s="549">
        <v>0</v>
      </c>
      <c r="GG795" s="675">
        <v>0</v>
      </c>
      <c r="GH795" s="549">
        <v>0</v>
      </c>
      <c r="GI795" s="675">
        <v>0</v>
      </c>
      <c r="GJ795" s="549">
        <v>0</v>
      </c>
      <c r="GK795" s="675">
        <v>0</v>
      </c>
      <c r="GL795" s="549">
        <v>0</v>
      </c>
      <c r="GM795" s="675">
        <v>0</v>
      </c>
      <c r="GN795" s="549">
        <v>0</v>
      </c>
      <c r="GO795" s="675">
        <v>0</v>
      </c>
      <c r="GP795" s="549">
        <f t="shared" si="17104"/>
        <v>0</v>
      </c>
      <c r="GQ795" s="675">
        <f t="shared" si="17105"/>
        <v>0</v>
      </c>
      <c r="GR795" s="74">
        <f t="shared" si="17106"/>
        <v>1200</v>
      </c>
      <c r="GS795" s="74">
        <f t="shared" si="17107"/>
        <v>1200</v>
      </c>
      <c r="GT795" s="568">
        <f t="shared" si="17108"/>
        <v>1200</v>
      </c>
      <c r="GU795" s="275">
        <v>240</v>
      </c>
      <c r="GV795" s="275"/>
      <c r="GW795" s="588"/>
      <c r="GX795" s="275">
        <v>360</v>
      </c>
      <c r="GY795" s="275"/>
      <c r="GZ795" s="275"/>
      <c r="HA795" s="275">
        <v>360</v>
      </c>
      <c r="HB795" s="275"/>
      <c r="HC795" s="275"/>
      <c r="HD795" s="275">
        <v>240</v>
      </c>
      <c r="HE795" s="275">
        <v>0</v>
      </c>
      <c r="HF795" s="275">
        <v>0</v>
      </c>
      <c r="HG795" s="74">
        <f t="shared" si="17109"/>
        <v>1200</v>
      </c>
      <c r="HH795" s="89">
        <v>0</v>
      </c>
      <c r="HI795" s="157">
        <v>0</v>
      </c>
      <c r="HJ795" s="89">
        <v>0</v>
      </c>
      <c r="HK795" s="157">
        <v>0</v>
      </c>
      <c r="HL795" s="89">
        <v>0</v>
      </c>
      <c r="HM795" s="157">
        <v>240</v>
      </c>
      <c r="HN795" s="89">
        <v>0</v>
      </c>
      <c r="HO795" s="157">
        <v>360</v>
      </c>
      <c r="HP795" s="89">
        <v>0</v>
      </c>
      <c r="HQ795" s="157">
        <v>0</v>
      </c>
      <c r="HR795" s="89">
        <v>0</v>
      </c>
      <c r="HS795" s="157">
        <v>0</v>
      </c>
      <c r="HT795" s="89">
        <v>0</v>
      </c>
      <c r="HU795" s="157">
        <v>360</v>
      </c>
      <c r="HV795" s="89">
        <v>0</v>
      </c>
      <c r="HW795" s="157">
        <v>0</v>
      </c>
      <c r="HX795" s="89">
        <v>0</v>
      </c>
      <c r="HY795" s="157">
        <v>0</v>
      </c>
      <c r="HZ795" s="89">
        <v>0</v>
      </c>
      <c r="IA795" s="157">
        <v>240</v>
      </c>
      <c r="IB795" s="89">
        <v>0</v>
      </c>
      <c r="IC795" s="157">
        <v>0</v>
      </c>
      <c r="ID795" s="89">
        <v>0</v>
      </c>
      <c r="IE795" s="157">
        <v>0</v>
      </c>
      <c r="IF795" s="717">
        <f t="shared" si="17110"/>
        <v>1200</v>
      </c>
      <c r="IG795" s="263">
        <f t="shared" si="17111"/>
        <v>1200</v>
      </c>
      <c r="IH795" s="718">
        <f t="shared" si="17112"/>
        <v>1200</v>
      </c>
      <c r="II795" s="89">
        <v>0</v>
      </c>
      <c r="IJ795" s="89">
        <f t="shared" si="17113"/>
        <v>0</v>
      </c>
      <c r="IK795" s="89">
        <f t="shared" si="17114"/>
        <v>0</v>
      </c>
      <c r="IL795" s="89">
        <v>240</v>
      </c>
      <c r="IM795" s="89">
        <f t="shared" si="17115"/>
        <v>240</v>
      </c>
      <c r="IN795" s="89">
        <f t="shared" si="17116"/>
        <v>240</v>
      </c>
      <c r="IO795" s="89">
        <v>0</v>
      </c>
      <c r="IP795" s="89">
        <f t="shared" si="17117"/>
        <v>0</v>
      </c>
      <c r="IQ795" s="89">
        <f t="shared" si="17118"/>
        <v>0</v>
      </c>
      <c r="IR795" s="89">
        <f>600-240</f>
        <v>360</v>
      </c>
      <c r="IS795" s="89">
        <f t="shared" si="17119"/>
        <v>360</v>
      </c>
      <c r="IT795" s="89">
        <f t="shared" si="17120"/>
        <v>360</v>
      </c>
      <c r="IU795" s="89">
        <v>0</v>
      </c>
      <c r="IV795" s="89">
        <f t="shared" si="17121"/>
        <v>0</v>
      </c>
      <c r="IW795" s="89">
        <f t="shared" si="17122"/>
        <v>0</v>
      </c>
      <c r="IX795" s="89">
        <v>0</v>
      </c>
      <c r="IY795" s="89">
        <f t="shared" si="17123"/>
        <v>0</v>
      </c>
      <c r="IZ795" s="89">
        <f t="shared" si="17124"/>
        <v>0</v>
      </c>
      <c r="JA795" s="89">
        <f>960-600</f>
        <v>360</v>
      </c>
      <c r="JB795" s="89">
        <f t="shared" si="17125"/>
        <v>360</v>
      </c>
      <c r="JC795" s="89">
        <f t="shared" si="17126"/>
        <v>360</v>
      </c>
      <c r="JD795" s="89">
        <v>0</v>
      </c>
      <c r="JE795" s="89">
        <f t="shared" si="17127"/>
        <v>0</v>
      </c>
      <c r="JF795" s="89">
        <f t="shared" si="17128"/>
        <v>0</v>
      </c>
      <c r="JG795" s="89">
        <v>0</v>
      </c>
      <c r="JH795" s="89">
        <f t="shared" si="17129"/>
        <v>0</v>
      </c>
      <c r="JI795" s="89">
        <f t="shared" si="17130"/>
        <v>0</v>
      </c>
      <c r="JJ795" s="89">
        <f>1200-960</f>
        <v>240</v>
      </c>
      <c r="JK795" s="89">
        <f t="shared" si="17131"/>
        <v>240</v>
      </c>
      <c r="JL795" s="89">
        <f t="shared" si="17132"/>
        <v>240</v>
      </c>
      <c r="JM795" s="89">
        <v>0</v>
      </c>
      <c r="JN795" s="89">
        <f t="shared" si="17133"/>
        <v>0</v>
      </c>
      <c r="JO795" s="89">
        <f t="shared" si="17134"/>
        <v>0</v>
      </c>
      <c r="JP795" s="89">
        <v>0</v>
      </c>
      <c r="JQ795" s="89">
        <f t="shared" ref="JQ795:JR795" si="17142">JP795</f>
        <v>0</v>
      </c>
      <c r="JR795" s="89">
        <f t="shared" si="17142"/>
        <v>0</v>
      </c>
      <c r="JS795" s="74">
        <f t="shared" si="17136"/>
        <v>0</v>
      </c>
      <c r="JT795" s="382">
        <f t="shared" si="17137"/>
        <v>0</v>
      </c>
      <c r="JU795" s="665"/>
      <c r="JV795" s="524"/>
      <c r="JW795" s="525"/>
      <c r="JX795" s="549">
        <f t="shared" si="17138"/>
        <v>0</v>
      </c>
      <c r="JY795" s="549">
        <f t="shared" si="15767"/>
        <v>1200</v>
      </c>
      <c r="JZ795" s="581">
        <f t="shared" si="16466"/>
        <v>0</v>
      </c>
      <c r="KA795" s="581">
        <f t="shared" si="16467"/>
        <v>0</v>
      </c>
      <c r="KB795" s="566">
        <f t="shared" si="17031"/>
        <v>1200</v>
      </c>
      <c r="KC795" s="709">
        <f t="shared" si="16464"/>
        <v>0</v>
      </c>
      <c r="KD795" s="491"/>
      <c r="KE795" s="491"/>
      <c r="KF795" s="491"/>
      <c r="KG795" s="491"/>
      <c r="KH795" s="36"/>
      <c r="KI795" s="36"/>
      <c r="KJ795" s="36"/>
      <c r="KK795" s="36"/>
    </row>
    <row r="796" spans="1:297" s="10" customFormat="1">
      <c r="A796" s="612" t="s">
        <v>695</v>
      </c>
      <c r="B796" s="512" t="s">
        <v>980</v>
      </c>
      <c r="C796" s="74">
        <v>600</v>
      </c>
      <c r="D796" s="549">
        <v>0</v>
      </c>
      <c r="E796" s="675">
        <v>0</v>
      </c>
      <c r="F796" s="549">
        <v>0</v>
      </c>
      <c r="G796" s="675">
        <v>0</v>
      </c>
      <c r="H796" s="549">
        <v>0</v>
      </c>
      <c r="I796" s="675">
        <v>0</v>
      </c>
      <c r="J796" s="549">
        <v>0</v>
      </c>
      <c r="K796" s="675">
        <v>0</v>
      </c>
      <c r="L796" s="549">
        <v>0</v>
      </c>
      <c r="M796" s="675">
        <v>0</v>
      </c>
      <c r="N796" s="549">
        <v>0</v>
      </c>
      <c r="O796" s="675">
        <v>0</v>
      </c>
      <c r="P796" s="549">
        <v>0</v>
      </c>
      <c r="Q796" s="675">
        <v>0</v>
      </c>
      <c r="R796" s="549">
        <v>0</v>
      </c>
      <c r="S796" s="675">
        <v>0</v>
      </c>
      <c r="T796" s="549">
        <v>0</v>
      </c>
      <c r="U796" s="675">
        <v>0</v>
      </c>
      <c r="V796" s="549">
        <v>0</v>
      </c>
      <c r="W796" s="675">
        <v>0</v>
      </c>
      <c r="X796" s="549">
        <v>0</v>
      </c>
      <c r="Y796" s="675">
        <v>0</v>
      </c>
      <c r="Z796" s="549">
        <v>0</v>
      </c>
      <c r="AA796" s="675">
        <v>0</v>
      </c>
      <c r="AB796" s="549">
        <v>0</v>
      </c>
      <c r="AC796" s="675">
        <v>0</v>
      </c>
      <c r="AD796" s="549">
        <v>0</v>
      </c>
      <c r="AE796" s="675">
        <v>0</v>
      </c>
      <c r="AF796" s="549">
        <v>0</v>
      </c>
      <c r="AG796" s="675">
        <v>0</v>
      </c>
      <c r="AH796" s="549">
        <v>0</v>
      </c>
      <c r="AI796" s="675">
        <v>0</v>
      </c>
      <c r="AJ796" s="549">
        <v>0</v>
      </c>
      <c r="AK796" s="675">
        <v>0</v>
      </c>
      <c r="AL796" s="549">
        <v>0</v>
      </c>
      <c r="AM796" s="675">
        <v>0</v>
      </c>
      <c r="AN796" s="549">
        <v>0</v>
      </c>
      <c r="AO796" s="675">
        <v>0</v>
      </c>
      <c r="AP796" s="549">
        <v>0</v>
      </c>
      <c r="AQ796" s="675">
        <v>0</v>
      </c>
      <c r="AR796" s="549">
        <v>0</v>
      </c>
      <c r="AS796" s="675">
        <v>0</v>
      </c>
      <c r="AT796" s="549">
        <v>0</v>
      </c>
      <c r="AU796" s="675">
        <v>0</v>
      </c>
      <c r="AV796" s="549">
        <v>0</v>
      </c>
      <c r="AW796" s="675">
        <v>0</v>
      </c>
      <c r="AX796" s="549">
        <v>0</v>
      </c>
      <c r="AY796" s="675">
        <v>0</v>
      </c>
      <c r="AZ796" s="549">
        <v>0</v>
      </c>
      <c r="BA796" s="675">
        <v>0</v>
      </c>
      <c r="BB796" s="549">
        <v>0</v>
      </c>
      <c r="BC796" s="675">
        <v>0</v>
      </c>
      <c r="BD796" s="549">
        <v>0</v>
      </c>
      <c r="BE796" s="675">
        <v>0</v>
      </c>
      <c r="BF796" s="549">
        <v>0</v>
      </c>
      <c r="BG796" s="675">
        <v>0</v>
      </c>
      <c r="BH796" s="549">
        <v>0</v>
      </c>
      <c r="BI796" s="675">
        <v>0</v>
      </c>
      <c r="BJ796" s="549">
        <v>0</v>
      </c>
      <c r="BK796" s="675">
        <v>0</v>
      </c>
      <c r="BL796" s="549">
        <v>0</v>
      </c>
      <c r="BM796" s="675">
        <v>0</v>
      </c>
      <c r="BN796" s="549">
        <v>0</v>
      </c>
      <c r="BO796" s="675">
        <v>0</v>
      </c>
      <c r="BP796" s="549">
        <v>0</v>
      </c>
      <c r="BQ796" s="675">
        <v>0</v>
      </c>
      <c r="BR796" s="549">
        <v>0</v>
      </c>
      <c r="BS796" s="675">
        <v>0</v>
      </c>
      <c r="BT796" s="549">
        <v>0</v>
      </c>
      <c r="BU796" s="675">
        <v>0</v>
      </c>
      <c r="BV796" s="549">
        <v>0</v>
      </c>
      <c r="BW796" s="675">
        <v>0</v>
      </c>
      <c r="BX796" s="549">
        <v>0</v>
      </c>
      <c r="BY796" s="675">
        <v>0</v>
      </c>
      <c r="BZ796" s="549">
        <v>0</v>
      </c>
      <c r="CA796" s="675">
        <v>0</v>
      </c>
      <c r="CB796" s="549">
        <v>0</v>
      </c>
      <c r="CC796" s="675">
        <v>0</v>
      </c>
      <c r="CD796" s="549">
        <v>0</v>
      </c>
      <c r="CE796" s="675">
        <v>0</v>
      </c>
      <c r="CF796" s="549">
        <v>0</v>
      </c>
      <c r="CG796" s="675">
        <v>0</v>
      </c>
      <c r="CH796" s="549">
        <v>0</v>
      </c>
      <c r="CI796" s="675">
        <v>0</v>
      </c>
      <c r="CJ796" s="549">
        <v>0</v>
      </c>
      <c r="CK796" s="675">
        <v>0</v>
      </c>
      <c r="CL796" s="549">
        <v>0</v>
      </c>
      <c r="CM796" s="675">
        <v>0</v>
      </c>
      <c r="CN796" s="549">
        <v>0</v>
      </c>
      <c r="CO796" s="675">
        <v>0</v>
      </c>
      <c r="CP796" s="549">
        <v>0</v>
      </c>
      <c r="CQ796" s="675">
        <v>0</v>
      </c>
      <c r="CR796" s="549">
        <v>0</v>
      </c>
      <c r="CS796" s="675">
        <v>0</v>
      </c>
      <c r="CT796" s="549">
        <v>0</v>
      </c>
      <c r="CU796" s="675">
        <v>0</v>
      </c>
      <c r="CV796" s="549">
        <v>0</v>
      </c>
      <c r="CW796" s="675">
        <v>0</v>
      </c>
      <c r="CX796" s="549">
        <v>0</v>
      </c>
      <c r="CY796" s="675">
        <v>0</v>
      </c>
      <c r="CZ796" s="549">
        <v>0</v>
      </c>
      <c r="DA796" s="675">
        <v>0</v>
      </c>
      <c r="DB796" s="549">
        <v>0</v>
      </c>
      <c r="DC796" s="675">
        <v>0</v>
      </c>
      <c r="DD796" s="549">
        <v>0</v>
      </c>
      <c r="DE796" s="675">
        <v>0</v>
      </c>
      <c r="DF796" s="549">
        <v>0</v>
      </c>
      <c r="DG796" s="675">
        <v>0</v>
      </c>
      <c r="DH796" s="549">
        <v>0</v>
      </c>
      <c r="DI796" s="675">
        <v>0</v>
      </c>
      <c r="DJ796" s="549">
        <v>0</v>
      </c>
      <c r="DK796" s="675">
        <v>0</v>
      </c>
      <c r="DL796" s="549">
        <v>0</v>
      </c>
      <c r="DM796" s="675">
        <v>0</v>
      </c>
      <c r="DN796" s="549">
        <v>0</v>
      </c>
      <c r="DO796" s="675">
        <v>0</v>
      </c>
      <c r="DP796" s="549">
        <v>0</v>
      </c>
      <c r="DQ796" s="675">
        <v>0</v>
      </c>
      <c r="DR796" s="549">
        <v>0</v>
      </c>
      <c r="DS796" s="675">
        <v>0</v>
      </c>
      <c r="DT796" s="549">
        <v>0</v>
      </c>
      <c r="DU796" s="675">
        <v>0</v>
      </c>
      <c r="DV796" s="549">
        <v>0</v>
      </c>
      <c r="DW796" s="675">
        <v>0</v>
      </c>
      <c r="DX796" s="549">
        <v>0</v>
      </c>
      <c r="DY796" s="675">
        <v>0</v>
      </c>
      <c r="DZ796" s="549">
        <v>0</v>
      </c>
      <c r="EA796" s="675">
        <v>0</v>
      </c>
      <c r="EB796" s="549">
        <v>0</v>
      </c>
      <c r="EC796" s="675">
        <v>0</v>
      </c>
      <c r="ED796" s="549">
        <v>0</v>
      </c>
      <c r="EE796" s="675">
        <v>0</v>
      </c>
      <c r="EF796" s="549">
        <v>0</v>
      </c>
      <c r="EG796" s="675">
        <v>0</v>
      </c>
      <c r="EH796" s="549">
        <v>0</v>
      </c>
      <c r="EI796" s="675">
        <v>0</v>
      </c>
      <c r="EJ796" s="549">
        <v>0</v>
      </c>
      <c r="EK796" s="675">
        <v>0</v>
      </c>
      <c r="EL796" s="549">
        <v>0</v>
      </c>
      <c r="EM796" s="675">
        <v>0</v>
      </c>
      <c r="EN796" s="549">
        <v>0</v>
      </c>
      <c r="EO796" s="675">
        <v>0</v>
      </c>
      <c r="EP796" s="549">
        <v>0</v>
      </c>
      <c r="EQ796" s="675">
        <v>0</v>
      </c>
      <c r="ER796" s="549">
        <v>0</v>
      </c>
      <c r="ES796" s="675">
        <v>0</v>
      </c>
      <c r="ET796" s="549">
        <v>0</v>
      </c>
      <c r="EU796" s="675">
        <v>0</v>
      </c>
      <c r="EV796" s="549">
        <v>0</v>
      </c>
      <c r="EW796" s="675">
        <v>0</v>
      </c>
      <c r="EX796" s="549">
        <v>0</v>
      </c>
      <c r="EY796" s="675">
        <v>0</v>
      </c>
      <c r="EZ796" s="549">
        <v>0</v>
      </c>
      <c r="FA796" s="675">
        <v>0</v>
      </c>
      <c r="FB796" s="549">
        <v>0</v>
      </c>
      <c r="FC796" s="675">
        <v>0</v>
      </c>
      <c r="FD796" s="549">
        <v>0</v>
      </c>
      <c r="FE796" s="675">
        <v>0</v>
      </c>
      <c r="FF796" s="549">
        <v>0</v>
      </c>
      <c r="FG796" s="675">
        <v>0</v>
      </c>
      <c r="FH796" s="549">
        <v>0</v>
      </c>
      <c r="FI796" s="675">
        <v>0</v>
      </c>
      <c r="FJ796" s="549">
        <v>0</v>
      </c>
      <c r="FK796" s="675">
        <v>0</v>
      </c>
      <c r="FL796" s="549">
        <v>0</v>
      </c>
      <c r="FM796" s="675">
        <v>0</v>
      </c>
      <c r="FN796" s="549">
        <v>0</v>
      </c>
      <c r="FO796" s="675">
        <v>0</v>
      </c>
      <c r="FP796" s="549">
        <v>0</v>
      </c>
      <c r="FQ796" s="675">
        <v>0</v>
      </c>
      <c r="FR796" s="549">
        <v>0</v>
      </c>
      <c r="FS796" s="675">
        <v>0</v>
      </c>
      <c r="FT796" s="549">
        <v>0</v>
      </c>
      <c r="FU796" s="675">
        <v>0</v>
      </c>
      <c r="FV796" s="549">
        <v>0</v>
      </c>
      <c r="FW796" s="675">
        <v>0</v>
      </c>
      <c r="FX796" s="549">
        <v>0</v>
      </c>
      <c r="FY796" s="675">
        <v>0</v>
      </c>
      <c r="FZ796" s="549">
        <v>0</v>
      </c>
      <c r="GA796" s="675">
        <v>0</v>
      </c>
      <c r="GB796" s="549">
        <v>0</v>
      </c>
      <c r="GC796" s="675">
        <v>0</v>
      </c>
      <c r="GD796" s="549">
        <v>0</v>
      </c>
      <c r="GE796" s="675">
        <v>0</v>
      </c>
      <c r="GF796" s="549">
        <v>0</v>
      </c>
      <c r="GG796" s="675">
        <v>0</v>
      </c>
      <c r="GH796" s="549">
        <v>0</v>
      </c>
      <c r="GI796" s="675">
        <v>0</v>
      </c>
      <c r="GJ796" s="549">
        <v>0</v>
      </c>
      <c r="GK796" s="675">
        <v>0</v>
      </c>
      <c r="GL796" s="549">
        <v>0</v>
      </c>
      <c r="GM796" s="675">
        <v>0</v>
      </c>
      <c r="GN796" s="549">
        <v>0</v>
      </c>
      <c r="GO796" s="675">
        <v>0</v>
      </c>
      <c r="GP796" s="549">
        <f t="shared" si="17104"/>
        <v>0</v>
      </c>
      <c r="GQ796" s="675">
        <f t="shared" si="17105"/>
        <v>0</v>
      </c>
      <c r="GR796" s="74">
        <f t="shared" si="17106"/>
        <v>600</v>
      </c>
      <c r="GS796" s="74">
        <f t="shared" si="17107"/>
        <v>600</v>
      </c>
      <c r="GT796" s="568">
        <f t="shared" si="17108"/>
        <v>600</v>
      </c>
      <c r="GU796" s="275">
        <v>120</v>
      </c>
      <c r="GV796" s="275"/>
      <c r="GW796" s="588"/>
      <c r="GX796" s="275">
        <v>180</v>
      </c>
      <c r="GY796" s="275"/>
      <c r="GZ796" s="275"/>
      <c r="HA796" s="275">
        <v>180</v>
      </c>
      <c r="HB796" s="275"/>
      <c r="HC796" s="275"/>
      <c r="HD796" s="275">
        <v>120</v>
      </c>
      <c r="HE796" s="275">
        <v>0</v>
      </c>
      <c r="HF796" s="275">
        <v>0</v>
      </c>
      <c r="HG796" s="74">
        <f t="shared" si="17109"/>
        <v>600</v>
      </c>
      <c r="HH796" s="89">
        <v>0</v>
      </c>
      <c r="HI796" s="157">
        <v>0</v>
      </c>
      <c r="HJ796" s="89">
        <v>0</v>
      </c>
      <c r="HK796" s="157">
        <v>0</v>
      </c>
      <c r="HL796" s="89">
        <v>0</v>
      </c>
      <c r="HM796" s="157">
        <v>120</v>
      </c>
      <c r="HN796" s="89">
        <v>0</v>
      </c>
      <c r="HO796" s="157">
        <f>300-120</f>
        <v>180</v>
      </c>
      <c r="HP796" s="89">
        <v>0</v>
      </c>
      <c r="HQ796" s="157">
        <v>0</v>
      </c>
      <c r="HR796" s="89">
        <v>0</v>
      </c>
      <c r="HS796" s="157">
        <v>0</v>
      </c>
      <c r="HT796" s="89">
        <v>0</v>
      </c>
      <c r="HU796" s="157">
        <f>480-300</f>
        <v>180</v>
      </c>
      <c r="HV796" s="89">
        <v>0</v>
      </c>
      <c r="HW796" s="157">
        <v>0</v>
      </c>
      <c r="HX796" s="89">
        <v>0</v>
      </c>
      <c r="HY796" s="157">
        <v>0</v>
      </c>
      <c r="HZ796" s="89">
        <v>0</v>
      </c>
      <c r="IA796" s="157">
        <v>120</v>
      </c>
      <c r="IB796" s="89">
        <v>0</v>
      </c>
      <c r="IC796" s="157">
        <v>0</v>
      </c>
      <c r="ID796" s="89">
        <v>0</v>
      </c>
      <c r="IE796" s="157">
        <v>0</v>
      </c>
      <c r="IF796" s="717">
        <f t="shared" si="17110"/>
        <v>0</v>
      </c>
      <c r="IG796" s="263">
        <f t="shared" si="17111"/>
        <v>0</v>
      </c>
      <c r="IH796" s="718">
        <f t="shared" si="17112"/>
        <v>0</v>
      </c>
      <c r="II796" s="89">
        <v>0</v>
      </c>
      <c r="IJ796" s="89">
        <f t="shared" si="17113"/>
        <v>0</v>
      </c>
      <c r="IK796" s="89">
        <f t="shared" si="17114"/>
        <v>0</v>
      </c>
      <c r="IL796" s="89">
        <v>0</v>
      </c>
      <c r="IM796" s="89">
        <f t="shared" si="17115"/>
        <v>0</v>
      </c>
      <c r="IN796" s="89">
        <f t="shared" si="17116"/>
        <v>0</v>
      </c>
      <c r="IO796" s="89">
        <v>0</v>
      </c>
      <c r="IP796" s="89">
        <f t="shared" si="17117"/>
        <v>0</v>
      </c>
      <c r="IQ796" s="89">
        <f t="shared" si="17118"/>
        <v>0</v>
      </c>
      <c r="IR796" s="89">
        <v>0</v>
      </c>
      <c r="IS796" s="89">
        <f t="shared" si="17119"/>
        <v>0</v>
      </c>
      <c r="IT796" s="89">
        <f t="shared" si="17120"/>
        <v>0</v>
      </c>
      <c r="IU796" s="89">
        <v>0</v>
      </c>
      <c r="IV796" s="89">
        <f t="shared" si="17121"/>
        <v>0</v>
      </c>
      <c r="IW796" s="89">
        <f t="shared" si="17122"/>
        <v>0</v>
      </c>
      <c r="IX796" s="89">
        <v>0</v>
      </c>
      <c r="IY796" s="89">
        <f t="shared" si="17123"/>
        <v>0</v>
      </c>
      <c r="IZ796" s="89">
        <f t="shared" si="17124"/>
        <v>0</v>
      </c>
      <c r="JA796" s="89">
        <v>0</v>
      </c>
      <c r="JB796" s="89">
        <f t="shared" si="17125"/>
        <v>0</v>
      </c>
      <c r="JC796" s="89">
        <f t="shared" si="17126"/>
        <v>0</v>
      </c>
      <c r="JD796" s="89">
        <v>0</v>
      </c>
      <c r="JE796" s="89">
        <f t="shared" si="17127"/>
        <v>0</v>
      </c>
      <c r="JF796" s="89">
        <f t="shared" si="17128"/>
        <v>0</v>
      </c>
      <c r="JG796" s="89">
        <v>0</v>
      </c>
      <c r="JH796" s="89">
        <f t="shared" si="17129"/>
        <v>0</v>
      </c>
      <c r="JI796" s="89">
        <f t="shared" si="17130"/>
        <v>0</v>
      </c>
      <c r="JJ796" s="89">
        <v>0</v>
      </c>
      <c r="JK796" s="89">
        <f t="shared" si="17131"/>
        <v>0</v>
      </c>
      <c r="JL796" s="89">
        <f t="shared" si="17132"/>
        <v>0</v>
      </c>
      <c r="JM796" s="89">
        <v>0</v>
      </c>
      <c r="JN796" s="89">
        <f t="shared" si="17133"/>
        <v>0</v>
      </c>
      <c r="JO796" s="89">
        <f t="shared" si="17134"/>
        <v>0</v>
      </c>
      <c r="JP796" s="89">
        <v>0</v>
      </c>
      <c r="JQ796" s="89">
        <f t="shared" ref="JQ796:JR796" si="17143">JP796</f>
        <v>0</v>
      </c>
      <c r="JR796" s="89">
        <f t="shared" si="17143"/>
        <v>0</v>
      </c>
      <c r="JS796" s="74">
        <f t="shared" si="17136"/>
        <v>600</v>
      </c>
      <c r="JT796" s="382">
        <f t="shared" si="17137"/>
        <v>600</v>
      </c>
      <c r="JU796" s="665"/>
      <c r="JV796" s="524"/>
      <c r="JW796" s="525"/>
      <c r="JX796" s="549">
        <f t="shared" si="17138"/>
        <v>0</v>
      </c>
      <c r="JY796" s="549">
        <f t="shared" si="15767"/>
        <v>600</v>
      </c>
      <c r="JZ796" s="581">
        <f t="shared" si="16466"/>
        <v>0</v>
      </c>
      <c r="KA796" s="581">
        <f t="shared" si="16467"/>
        <v>0</v>
      </c>
      <c r="KB796" s="566">
        <f t="shared" si="17031"/>
        <v>600</v>
      </c>
      <c r="KC796" s="709">
        <f t="shared" si="16464"/>
        <v>0</v>
      </c>
      <c r="KD796" s="491"/>
      <c r="KE796" s="491"/>
      <c r="KF796" s="491"/>
      <c r="KG796" s="491"/>
      <c r="KH796" s="36"/>
      <c r="KI796" s="36"/>
      <c r="KJ796" s="36"/>
      <c r="KK796" s="36"/>
    </row>
    <row r="797" spans="1:297" s="10" customFormat="1">
      <c r="A797" s="612" t="s">
        <v>665</v>
      </c>
      <c r="B797" s="512" t="s">
        <v>971</v>
      </c>
      <c r="C797" s="74">
        <v>10000</v>
      </c>
      <c r="D797" s="549">
        <v>0</v>
      </c>
      <c r="E797" s="675">
        <v>0</v>
      </c>
      <c r="F797" s="549">
        <v>0</v>
      </c>
      <c r="G797" s="675">
        <v>0</v>
      </c>
      <c r="H797" s="549">
        <v>0</v>
      </c>
      <c r="I797" s="675">
        <v>0</v>
      </c>
      <c r="J797" s="549">
        <v>0</v>
      </c>
      <c r="K797" s="675">
        <v>0</v>
      </c>
      <c r="L797" s="549">
        <v>0</v>
      </c>
      <c r="M797" s="675">
        <v>0</v>
      </c>
      <c r="N797" s="549">
        <v>0</v>
      </c>
      <c r="O797" s="675">
        <v>0</v>
      </c>
      <c r="P797" s="549">
        <v>0</v>
      </c>
      <c r="Q797" s="675">
        <v>0</v>
      </c>
      <c r="R797" s="549">
        <v>0</v>
      </c>
      <c r="S797" s="675">
        <v>0</v>
      </c>
      <c r="T797" s="549">
        <v>0</v>
      </c>
      <c r="U797" s="675">
        <v>0</v>
      </c>
      <c r="V797" s="549">
        <v>0</v>
      </c>
      <c r="W797" s="675">
        <v>0</v>
      </c>
      <c r="X797" s="549">
        <v>0</v>
      </c>
      <c r="Y797" s="675">
        <v>0</v>
      </c>
      <c r="Z797" s="549">
        <v>0</v>
      </c>
      <c r="AA797" s="675">
        <v>0</v>
      </c>
      <c r="AB797" s="549">
        <v>0</v>
      </c>
      <c r="AC797" s="675">
        <v>0</v>
      </c>
      <c r="AD797" s="549">
        <v>0</v>
      </c>
      <c r="AE797" s="675">
        <v>0</v>
      </c>
      <c r="AF797" s="549">
        <v>0</v>
      </c>
      <c r="AG797" s="675">
        <v>0</v>
      </c>
      <c r="AH797" s="549">
        <v>0</v>
      </c>
      <c r="AI797" s="675">
        <v>0</v>
      </c>
      <c r="AJ797" s="549">
        <v>0</v>
      </c>
      <c r="AK797" s="675">
        <v>0</v>
      </c>
      <c r="AL797" s="549">
        <v>0</v>
      </c>
      <c r="AM797" s="675">
        <v>0</v>
      </c>
      <c r="AN797" s="549">
        <v>0</v>
      </c>
      <c r="AO797" s="675">
        <v>0</v>
      </c>
      <c r="AP797" s="549">
        <v>0</v>
      </c>
      <c r="AQ797" s="675">
        <v>0</v>
      </c>
      <c r="AR797" s="549">
        <v>0</v>
      </c>
      <c r="AS797" s="675">
        <v>0</v>
      </c>
      <c r="AT797" s="549">
        <v>0</v>
      </c>
      <c r="AU797" s="675">
        <v>0</v>
      </c>
      <c r="AV797" s="549">
        <v>0</v>
      </c>
      <c r="AW797" s="675">
        <v>0</v>
      </c>
      <c r="AX797" s="549">
        <v>0</v>
      </c>
      <c r="AY797" s="675">
        <v>0</v>
      </c>
      <c r="AZ797" s="549">
        <v>0</v>
      </c>
      <c r="BA797" s="675">
        <v>0</v>
      </c>
      <c r="BB797" s="549">
        <v>0</v>
      </c>
      <c r="BC797" s="675">
        <v>0</v>
      </c>
      <c r="BD797" s="549">
        <v>0</v>
      </c>
      <c r="BE797" s="675">
        <v>0</v>
      </c>
      <c r="BF797" s="549">
        <v>0</v>
      </c>
      <c r="BG797" s="675">
        <v>0</v>
      </c>
      <c r="BH797" s="549">
        <v>0</v>
      </c>
      <c r="BI797" s="675">
        <v>0</v>
      </c>
      <c r="BJ797" s="549">
        <v>0</v>
      </c>
      <c r="BK797" s="675">
        <v>0</v>
      </c>
      <c r="BL797" s="549">
        <v>0</v>
      </c>
      <c r="BM797" s="675">
        <v>0</v>
      </c>
      <c r="BN797" s="549">
        <v>0</v>
      </c>
      <c r="BO797" s="675">
        <v>0</v>
      </c>
      <c r="BP797" s="549">
        <v>0</v>
      </c>
      <c r="BQ797" s="675">
        <v>0</v>
      </c>
      <c r="BR797" s="549">
        <v>0</v>
      </c>
      <c r="BS797" s="675">
        <v>0</v>
      </c>
      <c r="BT797" s="549">
        <v>0</v>
      </c>
      <c r="BU797" s="675">
        <v>0</v>
      </c>
      <c r="BV797" s="549">
        <v>0</v>
      </c>
      <c r="BW797" s="675">
        <v>0</v>
      </c>
      <c r="BX797" s="549">
        <v>0</v>
      </c>
      <c r="BY797" s="675">
        <v>-5834</v>
      </c>
      <c r="BZ797" s="549">
        <v>0</v>
      </c>
      <c r="CA797" s="675">
        <v>0</v>
      </c>
      <c r="CB797" s="549">
        <v>0</v>
      </c>
      <c r="CC797" s="675">
        <v>0</v>
      </c>
      <c r="CD797" s="549">
        <v>0</v>
      </c>
      <c r="CE797" s="675">
        <v>0</v>
      </c>
      <c r="CF797" s="549">
        <v>0</v>
      </c>
      <c r="CG797" s="675">
        <v>0</v>
      </c>
      <c r="CH797" s="549">
        <v>0</v>
      </c>
      <c r="CI797" s="675">
        <v>0</v>
      </c>
      <c r="CJ797" s="549">
        <v>0</v>
      </c>
      <c r="CK797" s="675">
        <v>0</v>
      </c>
      <c r="CL797" s="549">
        <v>0</v>
      </c>
      <c r="CM797" s="675">
        <v>0</v>
      </c>
      <c r="CN797" s="549">
        <v>0</v>
      </c>
      <c r="CO797" s="675">
        <v>0</v>
      </c>
      <c r="CP797" s="549">
        <v>0</v>
      </c>
      <c r="CQ797" s="675">
        <v>0</v>
      </c>
      <c r="CR797" s="549">
        <v>0</v>
      </c>
      <c r="CS797" s="675">
        <v>0</v>
      </c>
      <c r="CT797" s="549">
        <v>0</v>
      </c>
      <c r="CU797" s="675">
        <v>0</v>
      </c>
      <c r="CV797" s="549">
        <v>0</v>
      </c>
      <c r="CW797" s="675">
        <v>0</v>
      </c>
      <c r="CX797" s="549">
        <v>0</v>
      </c>
      <c r="CY797" s="675">
        <v>0</v>
      </c>
      <c r="CZ797" s="549">
        <v>0</v>
      </c>
      <c r="DA797" s="675">
        <v>0</v>
      </c>
      <c r="DB797" s="549">
        <v>0</v>
      </c>
      <c r="DC797" s="675">
        <v>-3701</v>
      </c>
      <c r="DD797" s="549">
        <v>0</v>
      </c>
      <c r="DE797" s="675">
        <v>0</v>
      </c>
      <c r="DF797" s="549">
        <v>0</v>
      </c>
      <c r="DG797" s="675">
        <v>0</v>
      </c>
      <c r="DH797" s="549">
        <v>0</v>
      </c>
      <c r="DI797" s="675">
        <v>0</v>
      </c>
      <c r="DJ797" s="549">
        <v>0</v>
      </c>
      <c r="DK797" s="675">
        <v>0</v>
      </c>
      <c r="DL797" s="549">
        <v>0</v>
      </c>
      <c r="DM797" s="675">
        <v>0</v>
      </c>
      <c r="DN797" s="549">
        <v>0</v>
      </c>
      <c r="DO797" s="675">
        <v>0</v>
      </c>
      <c r="DP797" s="549">
        <v>0</v>
      </c>
      <c r="DQ797" s="675">
        <v>0</v>
      </c>
      <c r="DR797" s="549">
        <v>0</v>
      </c>
      <c r="DS797" s="675">
        <v>0</v>
      </c>
      <c r="DT797" s="549">
        <v>0</v>
      </c>
      <c r="DU797" s="675">
        <v>0</v>
      </c>
      <c r="DV797" s="549">
        <v>0</v>
      </c>
      <c r="DW797" s="675">
        <v>0</v>
      </c>
      <c r="DX797" s="549">
        <v>0</v>
      </c>
      <c r="DY797" s="675">
        <v>0</v>
      </c>
      <c r="DZ797" s="549">
        <v>0</v>
      </c>
      <c r="EA797" s="675">
        <v>0</v>
      </c>
      <c r="EB797" s="549">
        <v>0</v>
      </c>
      <c r="EC797" s="675">
        <v>0</v>
      </c>
      <c r="ED797" s="549">
        <v>0</v>
      </c>
      <c r="EE797" s="675">
        <v>0</v>
      </c>
      <c r="EF797" s="549">
        <v>0</v>
      </c>
      <c r="EG797" s="675">
        <v>0</v>
      </c>
      <c r="EH797" s="549">
        <v>0</v>
      </c>
      <c r="EI797" s="675">
        <v>0</v>
      </c>
      <c r="EJ797" s="549">
        <v>0</v>
      </c>
      <c r="EK797" s="675">
        <v>0</v>
      </c>
      <c r="EL797" s="549">
        <v>0</v>
      </c>
      <c r="EM797" s="675">
        <v>0</v>
      </c>
      <c r="EN797" s="549">
        <v>0</v>
      </c>
      <c r="EO797" s="675">
        <v>0</v>
      </c>
      <c r="EP797" s="549">
        <v>0</v>
      </c>
      <c r="EQ797" s="675">
        <v>0</v>
      </c>
      <c r="ER797" s="549">
        <v>0</v>
      </c>
      <c r="ES797" s="675">
        <v>0</v>
      </c>
      <c r="ET797" s="549">
        <v>0</v>
      </c>
      <c r="EU797" s="675">
        <v>0</v>
      </c>
      <c r="EV797" s="549">
        <v>0</v>
      </c>
      <c r="EW797" s="675">
        <v>0</v>
      </c>
      <c r="EX797" s="549">
        <v>0</v>
      </c>
      <c r="EY797" s="675">
        <v>0</v>
      </c>
      <c r="EZ797" s="549">
        <v>0</v>
      </c>
      <c r="FA797" s="675">
        <v>0</v>
      </c>
      <c r="FB797" s="549">
        <v>0</v>
      </c>
      <c r="FC797" s="675">
        <v>0</v>
      </c>
      <c r="FD797" s="549">
        <v>0</v>
      </c>
      <c r="FE797" s="675">
        <v>0</v>
      </c>
      <c r="FF797" s="549">
        <v>0</v>
      </c>
      <c r="FG797" s="675">
        <v>0</v>
      </c>
      <c r="FH797" s="549">
        <v>0</v>
      </c>
      <c r="FI797" s="675">
        <v>0</v>
      </c>
      <c r="FJ797" s="549">
        <v>0</v>
      </c>
      <c r="FK797" s="675">
        <v>0</v>
      </c>
      <c r="FL797" s="549">
        <v>0</v>
      </c>
      <c r="FM797" s="675">
        <v>0</v>
      </c>
      <c r="FN797" s="549">
        <v>0</v>
      </c>
      <c r="FO797" s="675">
        <v>-465</v>
      </c>
      <c r="FP797" s="549">
        <v>0</v>
      </c>
      <c r="FQ797" s="675">
        <v>0</v>
      </c>
      <c r="FR797" s="549">
        <v>0</v>
      </c>
      <c r="FS797" s="675">
        <v>0</v>
      </c>
      <c r="FT797" s="549">
        <v>0</v>
      </c>
      <c r="FU797" s="675">
        <v>0</v>
      </c>
      <c r="FV797" s="549">
        <v>0</v>
      </c>
      <c r="FW797" s="675">
        <v>0</v>
      </c>
      <c r="FX797" s="549">
        <v>0</v>
      </c>
      <c r="FY797" s="675">
        <v>0</v>
      </c>
      <c r="FZ797" s="549">
        <v>0</v>
      </c>
      <c r="GA797" s="675">
        <v>0</v>
      </c>
      <c r="GB797" s="549">
        <v>0</v>
      </c>
      <c r="GC797" s="675">
        <v>0</v>
      </c>
      <c r="GD797" s="549">
        <v>0</v>
      </c>
      <c r="GE797" s="675">
        <v>0</v>
      </c>
      <c r="GF797" s="549">
        <v>0</v>
      </c>
      <c r="GG797" s="675">
        <v>0</v>
      </c>
      <c r="GH797" s="549">
        <v>0</v>
      </c>
      <c r="GI797" s="675">
        <v>0</v>
      </c>
      <c r="GJ797" s="549">
        <v>0</v>
      </c>
      <c r="GK797" s="675">
        <v>0</v>
      </c>
      <c r="GL797" s="549">
        <v>0</v>
      </c>
      <c r="GM797" s="675">
        <v>0</v>
      </c>
      <c r="GN797" s="549">
        <v>0</v>
      </c>
      <c r="GO797" s="675">
        <v>0</v>
      </c>
      <c r="GP797" s="549">
        <f t="shared" si="17104"/>
        <v>0</v>
      </c>
      <c r="GQ797" s="675">
        <f t="shared" si="17105"/>
        <v>-10000</v>
      </c>
      <c r="GR797" s="74">
        <f t="shared" si="17106"/>
        <v>0</v>
      </c>
      <c r="GS797" s="74">
        <f t="shared" si="17107"/>
        <v>0</v>
      </c>
      <c r="GT797" s="568">
        <f t="shared" si="17108"/>
        <v>0</v>
      </c>
      <c r="GU797" s="275">
        <v>2000</v>
      </c>
      <c r="GV797" s="275"/>
      <c r="GW797" s="588"/>
      <c r="GX797" s="275">
        <v>3000</v>
      </c>
      <c r="GY797" s="275">
        <v>5000</v>
      </c>
      <c r="GZ797" s="275"/>
      <c r="HA797" s="275">
        <f>3000-3000</f>
        <v>0</v>
      </c>
      <c r="HB797" s="275"/>
      <c r="HC797" s="275"/>
      <c r="HD797" s="275">
        <f>2000-2000</f>
        <v>0</v>
      </c>
      <c r="HE797" s="275">
        <v>0</v>
      </c>
      <c r="HF797" s="275">
        <v>0</v>
      </c>
      <c r="HG797" s="74">
        <f t="shared" si="17109"/>
        <v>0</v>
      </c>
      <c r="HH797" s="89">
        <v>0</v>
      </c>
      <c r="HI797" s="157">
        <v>0</v>
      </c>
      <c r="HJ797" s="89">
        <v>0</v>
      </c>
      <c r="HK797" s="157">
        <v>0</v>
      </c>
      <c r="HL797" s="89">
        <v>0</v>
      </c>
      <c r="HM797" s="157">
        <v>2000</v>
      </c>
      <c r="HN797" s="89">
        <v>0</v>
      </c>
      <c r="HO797" s="157">
        <v>3000</v>
      </c>
      <c r="HP797" s="89">
        <v>0</v>
      </c>
      <c r="HQ797" s="157">
        <v>0</v>
      </c>
      <c r="HR797" s="89">
        <v>0</v>
      </c>
      <c r="HS797" s="157">
        <v>834</v>
      </c>
      <c r="HT797" s="89">
        <v>0</v>
      </c>
      <c r="HU797" s="157">
        <f>3701+465</f>
        <v>4166</v>
      </c>
      <c r="HV797" s="89">
        <v>0</v>
      </c>
      <c r="HW797" s="157">
        <v>0</v>
      </c>
      <c r="HX797" s="89">
        <v>0</v>
      </c>
      <c r="HY797" s="157">
        <v>0</v>
      </c>
      <c r="HZ797" s="89">
        <v>0</v>
      </c>
      <c r="IA797" s="157">
        <v>0</v>
      </c>
      <c r="IB797" s="89">
        <v>0</v>
      </c>
      <c r="IC797" s="157">
        <v>0</v>
      </c>
      <c r="ID797" s="89">
        <v>0</v>
      </c>
      <c r="IE797" s="157">
        <v>0</v>
      </c>
      <c r="IF797" s="717">
        <f t="shared" si="17110"/>
        <v>0</v>
      </c>
      <c r="IG797" s="263">
        <f t="shared" si="17111"/>
        <v>0</v>
      </c>
      <c r="IH797" s="718">
        <f t="shared" si="17112"/>
        <v>0</v>
      </c>
      <c r="II797" s="89">
        <v>0</v>
      </c>
      <c r="IJ797" s="89">
        <f t="shared" si="17113"/>
        <v>0</v>
      </c>
      <c r="IK797" s="89">
        <f t="shared" si="17114"/>
        <v>0</v>
      </c>
      <c r="IL797" s="89">
        <v>0</v>
      </c>
      <c r="IM797" s="89">
        <f t="shared" si="17115"/>
        <v>0</v>
      </c>
      <c r="IN797" s="89">
        <f t="shared" si="17116"/>
        <v>0</v>
      </c>
      <c r="IO797" s="89">
        <v>0</v>
      </c>
      <c r="IP797" s="89">
        <f t="shared" si="17117"/>
        <v>0</v>
      </c>
      <c r="IQ797" s="89">
        <f t="shared" si="17118"/>
        <v>0</v>
      </c>
      <c r="IR797" s="89">
        <v>0</v>
      </c>
      <c r="IS797" s="89">
        <f t="shared" si="17119"/>
        <v>0</v>
      </c>
      <c r="IT797" s="89">
        <f t="shared" si="17120"/>
        <v>0</v>
      </c>
      <c r="IU797" s="89">
        <v>0</v>
      </c>
      <c r="IV797" s="89">
        <f t="shared" si="17121"/>
        <v>0</v>
      </c>
      <c r="IW797" s="89">
        <f t="shared" si="17122"/>
        <v>0</v>
      </c>
      <c r="IX797" s="89">
        <v>0</v>
      </c>
      <c r="IY797" s="89">
        <f t="shared" si="17123"/>
        <v>0</v>
      </c>
      <c r="IZ797" s="89">
        <f t="shared" si="17124"/>
        <v>0</v>
      </c>
      <c r="JA797" s="89">
        <v>0</v>
      </c>
      <c r="JB797" s="89">
        <f t="shared" si="17125"/>
        <v>0</v>
      </c>
      <c r="JC797" s="89">
        <f t="shared" si="17126"/>
        <v>0</v>
      </c>
      <c r="JD797" s="89">
        <v>0</v>
      </c>
      <c r="JE797" s="89">
        <f t="shared" si="17127"/>
        <v>0</v>
      </c>
      <c r="JF797" s="89">
        <f t="shared" si="17128"/>
        <v>0</v>
      </c>
      <c r="JG797" s="89">
        <v>0</v>
      </c>
      <c r="JH797" s="89">
        <f t="shared" si="17129"/>
        <v>0</v>
      </c>
      <c r="JI797" s="89">
        <f t="shared" si="17130"/>
        <v>0</v>
      </c>
      <c r="JJ797" s="89">
        <v>0</v>
      </c>
      <c r="JK797" s="89">
        <f t="shared" si="17131"/>
        <v>0</v>
      </c>
      <c r="JL797" s="89">
        <f t="shared" si="17132"/>
        <v>0</v>
      </c>
      <c r="JM797" s="89">
        <v>0</v>
      </c>
      <c r="JN797" s="89">
        <f t="shared" si="17133"/>
        <v>0</v>
      </c>
      <c r="JO797" s="89">
        <f t="shared" si="17134"/>
        <v>0</v>
      </c>
      <c r="JP797" s="89">
        <v>0</v>
      </c>
      <c r="JQ797" s="89">
        <f t="shared" ref="JQ797:JR797" si="17144">JP797</f>
        <v>0</v>
      </c>
      <c r="JR797" s="89">
        <f t="shared" si="17144"/>
        <v>0</v>
      </c>
      <c r="JS797" s="74">
        <f t="shared" si="17136"/>
        <v>0</v>
      </c>
      <c r="JT797" s="382">
        <f t="shared" si="17137"/>
        <v>0</v>
      </c>
      <c r="JU797" s="665"/>
      <c r="JV797" s="524"/>
      <c r="JW797" s="525"/>
      <c r="JX797" s="549">
        <f t="shared" si="17138"/>
        <v>0</v>
      </c>
      <c r="JY797" s="549">
        <f t="shared" si="15767"/>
        <v>10000</v>
      </c>
      <c r="JZ797" s="581">
        <f t="shared" si="16466"/>
        <v>0</v>
      </c>
      <c r="KA797" s="581">
        <f t="shared" si="16467"/>
        <v>-10000</v>
      </c>
      <c r="KB797" s="566">
        <f t="shared" si="17031"/>
        <v>0</v>
      </c>
      <c r="KC797" s="709">
        <f t="shared" si="16464"/>
        <v>0</v>
      </c>
      <c r="KD797" s="491"/>
      <c r="KE797" s="491"/>
      <c r="KF797" s="491"/>
      <c r="KG797" s="491"/>
      <c r="KH797" s="36"/>
      <c r="KI797" s="36"/>
      <c r="KJ797" s="36"/>
      <c r="KK797" s="36"/>
    </row>
    <row r="798" spans="1:297" s="10" customFormat="1">
      <c r="A798" s="612" t="s">
        <v>666</v>
      </c>
      <c r="B798" s="512" t="s">
        <v>987</v>
      </c>
      <c r="C798" s="74">
        <v>5000</v>
      </c>
      <c r="D798" s="549">
        <v>0</v>
      </c>
      <c r="E798" s="675">
        <v>0</v>
      </c>
      <c r="F798" s="549">
        <v>0</v>
      </c>
      <c r="G798" s="675">
        <v>0</v>
      </c>
      <c r="H798" s="549">
        <v>0</v>
      </c>
      <c r="I798" s="675">
        <v>0</v>
      </c>
      <c r="J798" s="549">
        <v>0</v>
      </c>
      <c r="K798" s="675">
        <v>0</v>
      </c>
      <c r="L798" s="549">
        <v>0</v>
      </c>
      <c r="M798" s="675">
        <v>0</v>
      </c>
      <c r="N798" s="549">
        <v>0</v>
      </c>
      <c r="O798" s="675">
        <v>0</v>
      </c>
      <c r="P798" s="549">
        <v>0</v>
      </c>
      <c r="Q798" s="675">
        <v>0</v>
      </c>
      <c r="R798" s="549">
        <v>0</v>
      </c>
      <c r="S798" s="675">
        <v>0</v>
      </c>
      <c r="T798" s="549">
        <v>0</v>
      </c>
      <c r="U798" s="675">
        <v>0</v>
      </c>
      <c r="V798" s="549">
        <v>0</v>
      </c>
      <c r="W798" s="675">
        <v>0</v>
      </c>
      <c r="X798" s="549">
        <v>0</v>
      </c>
      <c r="Y798" s="675">
        <v>0</v>
      </c>
      <c r="Z798" s="549">
        <v>0</v>
      </c>
      <c r="AA798" s="675">
        <v>0</v>
      </c>
      <c r="AB798" s="549">
        <v>0</v>
      </c>
      <c r="AC798" s="675">
        <v>-5000</v>
      </c>
      <c r="AD798" s="549">
        <v>0</v>
      </c>
      <c r="AE798" s="675">
        <v>0</v>
      </c>
      <c r="AF798" s="549">
        <v>0</v>
      </c>
      <c r="AG798" s="675">
        <v>0</v>
      </c>
      <c r="AH798" s="549">
        <v>0</v>
      </c>
      <c r="AI798" s="675">
        <v>0</v>
      </c>
      <c r="AJ798" s="549">
        <v>0</v>
      </c>
      <c r="AK798" s="675">
        <v>0</v>
      </c>
      <c r="AL798" s="549">
        <v>0</v>
      </c>
      <c r="AM798" s="675">
        <v>0</v>
      </c>
      <c r="AN798" s="549">
        <v>0</v>
      </c>
      <c r="AO798" s="675">
        <v>0</v>
      </c>
      <c r="AP798" s="549">
        <v>0</v>
      </c>
      <c r="AQ798" s="675">
        <v>0</v>
      </c>
      <c r="AR798" s="549">
        <v>0</v>
      </c>
      <c r="AS798" s="675">
        <v>0</v>
      </c>
      <c r="AT798" s="549">
        <v>0</v>
      </c>
      <c r="AU798" s="675">
        <v>0</v>
      </c>
      <c r="AV798" s="549">
        <v>0</v>
      </c>
      <c r="AW798" s="675">
        <v>0</v>
      </c>
      <c r="AX798" s="549">
        <v>0</v>
      </c>
      <c r="AY798" s="675">
        <v>0</v>
      </c>
      <c r="AZ798" s="549">
        <v>0</v>
      </c>
      <c r="BA798" s="675">
        <v>0</v>
      </c>
      <c r="BB798" s="549">
        <v>0</v>
      </c>
      <c r="BC798" s="675">
        <v>0</v>
      </c>
      <c r="BD798" s="549">
        <v>0</v>
      </c>
      <c r="BE798" s="675">
        <v>0</v>
      </c>
      <c r="BF798" s="549">
        <v>0</v>
      </c>
      <c r="BG798" s="675">
        <v>0</v>
      </c>
      <c r="BH798" s="549">
        <v>0</v>
      </c>
      <c r="BI798" s="675">
        <v>0</v>
      </c>
      <c r="BJ798" s="549">
        <v>0</v>
      </c>
      <c r="BK798" s="675">
        <v>0</v>
      </c>
      <c r="BL798" s="549">
        <v>0</v>
      </c>
      <c r="BM798" s="675">
        <v>0</v>
      </c>
      <c r="BN798" s="549">
        <v>0</v>
      </c>
      <c r="BO798" s="675">
        <v>0</v>
      </c>
      <c r="BP798" s="549">
        <v>0</v>
      </c>
      <c r="BQ798" s="675">
        <v>0</v>
      </c>
      <c r="BR798" s="549">
        <v>0</v>
      </c>
      <c r="BS798" s="675">
        <v>0</v>
      </c>
      <c r="BT798" s="549">
        <v>0</v>
      </c>
      <c r="BU798" s="675">
        <v>0</v>
      </c>
      <c r="BV798" s="549">
        <v>0</v>
      </c>
      <c r="BW798" s="675">
        <v>0</v>
      </c>
      <c r="BX798" s="549">
        <v>0</v>
      </c>
      <c r="BY798" s="675">
        <v>0</v>
      </c>
      <c r="BZ798" s="549">
        <v>0</v>
      </c>
      <c r="CA798" s="675">
        <v>0</v>
      </c>
      <c r="CB798" s="549">
        <v>0</v>
      </c>
      <c r="CC798" s="675">
        <v>0</v>
      </c>
      <c r="CD798" s="549">
        <v>0</v>
      </c>
      <c r="CE798" s="675">
        <v>0</v>
      </c>
      <c r="CF798" s="549">
        <v>0</v>
      </c>
      <c r="CG798" s="675">
        <v>0</v>
      </c>
      <c r="CH798" s="549">
        <v>0</v>
      </c>
      <c r="CI798" s="675">
        <v>0</v>
      </c>
      <c r="CJ798" s="549">
        <v>0</v>
      </c>
      <c r="CK798" s="675">
        <v>0</v>
      </c>
      <c r="CL798" s="549">
        <v>0</v>
      </c>
      <c r="CM798" s="675">
        <v>0</v>
      </c>
      <c r="CN798" s="549">
        <v>0</v>
      </c>
      <c r="CO798" s="675">
        <v>0</v>
      </c>
      <c r="CP798" s="549">
        <v>0</v>
      </c>
      <c r="CQ798" s="675">
        <v>0</v>
      </c>
      <c r="CR798" s="549">
        <v>0</v>
      </c>
      <c r="CS798" s="675">
        <v>0</v>
      </c>
      <c r="CT798" s="549">
        <v>0</v>
      </c>
      <c r="CU798" s="675">
        <v>0</v>
      </c>
      <c r="CV798" s="549">
        <v>0</v>
      </c>
      <c r="CW798" s="675">
        <v>0</v>
      </c>
      <c r="CX798" s="549">
        <v>0</v>
      </c>
      <c r="CY798" s="675">
        <v>0</v>
      </c>
      <c r="CZ798" s="549">
        <v>0</v>
      </c>
      <c r="DA798" s="675">
        <v>0</v>
      </c>
      <c r="DB798" s="549">
        <v>0</v>
      </c>
      <c r="DC798" s="675">
        <v>0</v>
      </c>
      <c r="DD798" s="549">
        <v>0</v>
      </c>
      <c r="DE798" s="675">
        <v>0</v>
      </c>
      <c r="DF798" s="549">
        <v>0</v>
      </c>
      <c r="DG798" s="675">
        <v>0</v>
      </c>
      <c r="DH798" s="549">
        <v>0</v>
      </c>
      <c r="DI798" s="675">
        <v>0</v>
      </c>
      <c r="DJ798" s="549">
        <v>0</v>
      </c>
      <c r="DK798" s="675">
        <v>0</v>
      </c>
      <c r="DL798" s="549">
        <v>0</v>
      </c>
      <c r="DM798" s="675">
        <v>0</v>
      </c>
      <c r="DN798" s="549">
        <v>0</v>
      </c>
      <c r="DO798" s="675">
        <v>0</v>
      </c>
      <c r="DP798" s="549">
        <v>0</v>
      </c>
      <c r="DQ798" s="675">
        <v>0</v>
      </c>
      <c r="DR798" s="549">
        <v>0</v>
      </c>
      <c r="DS798" s="675">
        <v>0</v>
      </c>
      <c r="DT798" s="549">
        <v>0</v>
      </c>
      <c r="DU798" s="675">
        <v>0</v>
      </c>
      <c r="DV798" s="549">
        <v>0</v>
      </c>
      <c r="DW798" s="675">
        <v>0</v>
      </c>
      <c r="DX798" s="549">
        <v>0</v>
      </c>
      <c r="DY798" s="675">
        <v>0</v>
      </c>
      <c r="DZ798" s="549">
        <v>0</v>
      </c>
      <c r="EA798" s="675">
        <v>0</v>
      </c>
      <c r="EB798" s="549">
        <v>0</v>
      </c>
      <c r="EC798" s="675">
        <v>0</v>
      </c>
      <c r="ED798" s="549">
        <v>0</v>
      </c>
      <c r="EE798" s="675">
        <v>0</v>
      </c>
      <c r="EF798" s="549">
        <v>0</v>
      </c>
      <c r="EG798" s="675">
        <v>0</v>
      </c>
      <c r="EH798" s="549">
        <v>0</v>
      </c>
      <c r="EI798" s="675">
        <v>0</v>
      </c>
      <c r="EJ798" s="549">
        <v>0</v>
      </c>
      <c r="EK798" s="675">
        <v>0</v>
      </c>
      <c r="EL798" s="549">
        <v>0</v>
      </c>
      <c r="EM798" s="675">
        <v>0</v>
      </c>
      <c r="EN798" s="549">
        <v>0</v>
      </c>
      <c r="EO798" s="675">
        <v>0</v>
      </c>
      <c r="EP798" s="549">
        <v>0</v>
      </c>
      <c r="EQ798" s="675">
        <v>0</v>
      </c>
      <c r="ER798" s="549">
        <v>0</v>
      </c>
      <c r="ES798" s="675">
        <v>0</v>
      </c>
      <c r="ET798" s="549">
        <v>0</v>
      </c>
      <c r="EU798" s="675">
        <v>0</v>
      </c>
      <c r="EV798" s="549">
        <v>0</v>
      </c>
      <c r="EW798" s="675">
        <v>0</v>
      </c>
      <c r="EX798" s="549">
        <v>0</v>
      </c>
      <c r="EY798" s="675">
        <v>0</v>
      </c>
      <c r="EZ798" s="549">
        <v>0</v>
      </c>
      <c r="FA798" s="675">
        <v>0</v>
      </c>
      <c r="FB798" s="549">
        <v>0</v>
      </c>
      <c r="FC798" s="675">
        <v>0</v>
      </c>
      <c r="FD798" s="549">
        <v>0</v>
      </c>
      <c r="FE798" s="675">
        <v>0</v>
      </c>
      <c r="FF798" s="549">
        <v>0</v>
      </c>
      <c r="FG798" s="675">
        <v>0</v>
      </c>
      <c r="FH798" s="549">
        <v>0</v>
      </c>
      <c r="FI798" s="675">
        <v>0</v>
      </c>
      <c r="FJ798" s="549">
        <v>0</v>
      </c>
      <c r="FK798" s="675">
        <v>0</v>
      </c>
      <c r="FL798" s="549">
        <v>0</v>
      </c>
      <c r="FM798" s="675">
        <v>0</v>
      </c>
      <c r="FN798" s="549">
        <v>0</v>
      </c>
      <c r="FO798" s="675">
        <v>0</v>
      </c>
      <c r="FP798" s="549">
        <v>0</v>
      </c>
      <c r="FQ798" s="675">
        <v>0</v>
      </c>
      <c r="FR798" s="549">
        <v>0</v>
      </c>
      <c r="FS798" s="675">
        <v>0</v>
      </c>
      <c r="FT798" s="549">
        <v>0</v>
      </c>
      <c r="FU798" s="675">
        <v>0</v>
      </c>
      <c r="FV798" s="549">
        <v>0</v>
      </c>
      <c r="FW798" s="675">
        <v>0</v>
      </c>
      <c r="FX798" s="549">
        <v>0</v>
      </c>
      <c r="FY798" s="675">
        <v>0</v>
      </c>
      <c r="FZ798" s="549">
        <v>0</v>
      </c>
      <c r="GA798" s="675">
        <v>0</v>
      </c>
      <c r="GB798" s="549">
        <v>0</v>
      </c>
      <c r="GC798" s="675">
        <v>0</v>
      </c>
      <c r="GD798" s="549">
        <v>0</v>
      </c>
      <c r="GE798" s="675">
        <v>0</v>
      </c>
      <c r="GF798" s="549">
        <v>0</v>
      </c>
      <c r="GG798" s="675">
        <v>0</v>
      </c>
      <c r="GH798" s="549">
        <v>0</v>
      </c>
      <c r="GI798" s="675">
        <v>0</v>
      </c>
      <c r="GJ798" s="549">
        <v>0</v>
      </c>
      <c r="GK798" s="675">
        <v>0</v>
      </c>
      <c r="GL798" s="549">
        <v>0</v>
      </c>
      <c r="GM798" s="675">
        <v>0</v>
      </c>
      <c r="GN798" s="549">
        <v>0</v>
      </c>
      <c r="GO798" s="675">
        <v>0</v>
      </c>
      <c r="GP798" s="549">
        <f t="shared" si="17104"/>
        <v>0</v>
      </c>
      <c r="GQ798" s="675">
        <f t="shared" si="17105"/>
        <v>-5000</v>
      </c>
      <c r="GR798" s="74">
        <f t="shared" si="17106"/>
        <v>0</v>
      </c>
      <c r="GS798" s="74">
        <f t="shared" si="17107"/>
        <v>0</v>
      </c>
      <c r="GT798" s="568">
        <f t="shared" si="17108"/>
        <v>0</v>
      </c>
      <c r="GU798" s="275">
        <v>1000</v>
      </c>
      <c r="GV798" s="275">
        <v>4000</v>
      </c>
      <c r="GW798" s="588"/>
      <c r="GX798" s="275">
        <f>1500-1500</f>
        <v>0</v>
      </c>
      <c r="GY798" s="275"/>
      <c r="GZ798" s="275"/>
      <c r="HA798" s="275">
        <f>1500-1500</f>
        <v>0</v>
      </c>
      <c r="HB798" s="275"/>
      <c r="HC798" s="275"/>
      <c r="HD798" s="275">
        <f>1000-1000</f>
        <v>0</v>
      </c>
      <c r="HE798" s="275">
        <v>0</v>
      </c>
      <c r="HF798" s="275">
        <v>0</v>
      </c>
      <c r="HG798" s="74">
        <f t="shared" si="17109"/>
        <v>0</v>
      </c>
      <c r="HH798" s="89">
        <v>0</v>
      </c>
      <c r="HI798" s="157">
        <v>0</v>
      </c>
      <c r="HJ798" s="89">
        <v>0</v>
      </c>
      <c r="HK798" s="157">
        <v>0</v>
      </c>
      <c r="HL798" s="89">
        <v>0</v>
      </c>
      <c r="HM798" s="157">
        <v>5000</v>
      </c>
      <c r="HN798" s="89">
        <v>0</v>
      </c>
      <c r="HO798" s="157">
        <v>0</v>
      </c>
      <c r="HP798" s="89">
        <v>0</v>
      </c>
      <c r="HQ798" s="157">
        <v>0</v>
      </c>
      <c r="HR798" s="89">
        <v>0</v>
      </c>
      <c r="HS798" s="157">
        <v>0</v>
      </c>
      <c r="HT798" s="89">
        <v>0</v>
      </c>
      <c r="HU798" s="157">
        <v>0</v>
      </c>
      <c r="HV798" s="89">
        <v>0</v>
      </c>
      <c r="HW798" s="157">
        <v>0</v>
      </c>
      <c r="HX798" s="89">
        <v>0</v>
      </c>
      <c r="HY798" s="157">
        <v>0</v>
      </c>
      <c r="HZ798" s="89">
        <v>0</v>
      </c>
      <c r="IA798" s="157">
        <v>0</v>
      </c>
      <c r="IB798" s="89">
        <v>0</v>
      </c>
      <c r="IC798" s="157">
        <v>0</v>
      </c>
      <c r="ID798" s="89">
        <v>0</v>
      </c>
      <c r="IE798" s="157">
        <v>0</v>
      </c>
      <c r="IF798" s="717">
        <f t="shared" si="17110"/>
        <v>0</v>
      </c>
      <c r="IG798" s="263">
        <f t="shared" si="17111"/>
        <v>0</v>
      </c>
      <c r="IH798" s="718">
        <f t="shared" si="17112"/>
        <v>0</v>
      </c>
      <c r="II798" s="89">
        <v>0</v>
      </c>
      <c r="IJ798" s="89">
        <f t="shared" si="17113"/>
        <v>0</v>
      </c>
      <c r="IK798" s="89">
        <f t="shared" si="17114"/>
        <v>0</v>
      </c>
      <c r="IL798" s="89">
        <v>0</v>
      </c>
      <c r="IM798" s="89">
        <f t="shared" si="17115"/>
        <v>0</v>
      </c>
      <c r="IN798" s="89">
        <f t="shared" si="17116"/>
        <v>0</v>
      </c>
      <c r="IO798" s="89">
        <v>0</v>
      </c>
      <c r="IP798" s="89">
        <f t="shared" si="17117"/>
        <v>0</v>
      </c>
      <c r="IQ798" s="89">
        <f t="shared" si="17118"/>
        <v>0</v>
      </c>
      <c r="IR798" s="89">
        <v>0</v>
      </c>
      <c r="IS798" s="89">
        <f t="shared" si="17119"/>
        <v>0</v>
      </c>
      <c r="IT798" s="89">
        <f t="shared" si="17120"/>
        <v>0</v>
      </c>
      <c r="IU798" s="89">
        <v>0</v>
      </c>
      <c r="IV798" s="89">
        <f t="shared" si="17121"/>
        <v>0</v>
      </c>
      <c r="IW798" s="89">
        <f t="shared" si="17122"/>
        <v>0</v>
      </c>
      <c r="IX798" s="89">
        <v>0</v>
      </c>
      <c r="IY798" s="89">
        <f t="shared" si="17123"/>
        <v>0</v>
      </c>
      <c r="IZ798" s="89">
        <f t="shared" si="17124"/>
        <v>0</v>
      </c>
      <c r="JA798" s="89">
        <v>0</v>
      </c>
      <c r="JB798" s="89">
        <f t="shared" si="17125"/>
        <v>0</v>
      </c>
      <c r="JC798" s="89">
        <f t="shared" si="17126"/>
        <v>0</v>
      </c>
      <c r="JD798" s="89">
        <v>0</v>
      </c>
      <c r="JE798" s="89">
        <f t="shared" si="17127"/>
        <v>0</v>
      </c>
      <c r="JF798" s="89">
        <f t="shared" si="17128"/>
        <v>0</v>
      </c>
      <c r="JG798" s="89">
        <v>0</v>
      </c>
      <c r="JH798" s="89">
        <f t="shared" si="17129"/>
        <v>0</v>
      </c>
      <c r="JI798" s="89">
        <f t="shared" si="17130"/>
        <v>0</v>
      </c>
      <c r="JJ798" s="89">
        <v>0</v>
      </c>
      <c r="JK798" s="89">
        <f t="shared" si="17131"/>
        <v>0</v>
      </c>
      <c r="JL798" s="89">
        <f t="shared" si="17132"/>
        <v>0</v>
      </c>
      <c r="JM798" s="89">
        <v>0</v>
      </c>
      <c r="JN798" s="89">
        <f t="shared" si="17133"/>
        <v>0</v>
      </c>
      <c r="JO798" s="89">
        <f t="shared" si="17134"/>
        <v>0</v>
      </c>
      <c r="JP798" s="89">
        <v>0</v>
      </c>
      <c r="JQ798" s="89">
        <f t="shared" ref="JQ798:JR798" si="17145">JP798</f>
        <v>0</v>
      </c>
      <c r="JR798" s="89">
        <f t="shared" si="17145"/>
        <v>0</v>
      </c>
      <c r="JS798" s="74">
        <f t="shared" si="17136"/>
        <v>0</v>
      </c>
      <c r="JT798" s="382">
        <f t="shared" si="17137"/>
        <v>0</v>
      </c>
      <c r="JU798" s="665"/>
      <c r="JV798" s="524"/>
      <c r="JW798" s="525"/>
      <c r="JX798" s="549">
        <f t="shared" si="17138"/>
        <v>0</v>
      </c>
      <c r="JY798" s="549">
        <f t="shared" si="15767"/>
        <v>5000</v>
      </c>
      <c r="JZ798" s="581">
        <f t="shared" si="16466"/>
        <v>0</v>
      </c>
      <c r="KA798" s="581">
        <f t="shared" si="16467"/>
        <v>-5000</v>
      </c>
      <c r="KB798" s="566">
        <f t="shared" si="17031"/>
        <v>0</v>
      </c>
      <c r="KC798" s="709">
        <f t="shared" si="16464"/>
        <v>0</v>
      </c>
      <c r="KD798" s="491"/>
      <c r="KE798" s="491"/>
      <c r="KF798" s="491"/>
      <c r="KG798" s="491"/>
      <c r="KH798" s="36"/>
      <c r="KI798" s="36"/>
      <c r="KJ798" s="36"/>
      <c r="KK798" s="36"/>
    </row>
    <row r="799" spans="1:297" s="10" customFormat="1" hidden="1">
      <c r="A799" s="612" t="s">
        <v>667</v>
      </c>
      <c r="B799" s="512" t="s">
        <v>988</v>
      </c>
      <c r="C799" s="74">
        <v>0</v>
      </c>
      <c r="D799" s="549">
        <v>0</v>
      </c>
      <c r="E799" s="675">
        <v>0</v>
      </c>
      <c r="F799" s="549">
        <v>0</v>
      </c>
      <c r="G799" s="675">
        <v>0</v>
      </c>
      <c r="H799" s="549">
        <v>0</v>
      </c>
      <c r="I799" s="675">
        <v>0</v>
      </c>
      <c r="J799" s="549">
        <v>0</v>
      </c>
      <c r="K799" s="675">
        <v>0</v>
      </c>
      <c r="L799" s="549">
        <v>0</v>
      </c>
      <c r="M799" s="675">
        <v>0</v>
      </c>
      <c r="N799" s="549">
        <v>0</v>
      </c>
      <c r="O799" s="675">
        <v>0</v>
      </c>
      <c r="P799" s="549">
        <v>0</v>
      </c>
      <c r="Q799" s="675">
        <v>0</v>
      </c>
      <c r="R799" s="549">
        <v>0</v>
      </c>
      <c r="S799" s="675">
        <v>0</v>
      </c>
      <c r="T799" s="549">
        <v>0</v>
      </c>
      <c r="U799" s="675">
        <v>0</v>
      </c>
      <c r="V799" s="549">
        <v>0</v>
      </c>
      <c r="W799" s="675">
        <v>0</v>
      </c>
      <c r="X799" s="549">
        <v>0</v>
      </c>
      <c r="Y799" s="675">
        <v>0</v>
      </c>
      <c r="Z799" s="549">
        <v>0</v>
      </c>
      <c r="AA799" s="675">
        <v>0</v>
      </c>
      <c r="AB799" s="549">
        <v>0</v>
      </c>
      <c r="AC799" s="675">
        <v>0</v>
      </c>
      <c r="AD799" s="549">
        <v>0</v>
      </c>
      <c r="AE799" s="675">
        <v>0</v>
      </c>
      <c r="AF799" s="549">
        <v>0</v>
      </c>
      <c r="AG799" s="675">
        <v>0</v>
      </c>
      <c r="AH799" s="549">
        <v>0</v>
      </c>
      <c r="AI799" s="675">
        <v>0</v>
      </c>
      <c r="AJ799" s="549">
        <v>0</v>
      </c>
      <c r="AK799" s="675">
        <v>0</v>
      </c>
      <c r="AL799" s="549">
        <v>0</v>
      </c>
      <c r="AM799" s="675">
        <v>0</v>
      </c>
      <c r="AN799" s="549">
        <v>0</v>
      </c>
      <c r="AO799" s="675">
        <v>0</v>
      </c>
      <c r="AP799" s="549">
        <v>0</v>
      </c>
      <c r="AQ799" s="675">
        <v>0</v>
      </c>
      <c r="AR799" s="549">
        <v>0</v>
      </c>
      <c r="AS799" s="675">
        <v>0</v>
      </c>
      <c r="AT799" s="549">
        <v>0</v>
      </c>
      <c r="AU799" s="675">
        <v>0</v>
      </c>
      <c r="AV799" s="549">
        <v>0</v>
      </c>
      <c r="AW799" s="675">
        <v>0</v>
      </c>
      <c r="AX799" s="549">
        <v>0</v>
      </c>
      <c r="AY799" s="675">
        <v>0</v>
      </c>
      <c r="AZ799" s="549">
        <v>0</v>
      </c>
      <c r="BA799" s="675">
        <v>0</v>
      </c>
      <c r="BB799" s="549">
        <v>0</v>
      </c>
      <c r="BC799" s="675">
        <v>0</v>
      </c>
      <c r="BD799" s="549">
        <v>0</v>
      </c>
      <c r="BE799" s="675">
        <v>0</v>
      </c>
      <c r="BF799" s="549">
        <v>0</v>
      </c>
      <c r="BG799" s="675">
        <v>0</v>
      </c>
      <c r="BH799" s="549">
        <v>0</v>
      </c>
      <c r="BI799" s="675">
        <v>0</v>
      </c>
      <c r="BJ799" s="549">
        <v>0</v>
      </c>
      <c r="BK799" s="675">
        <v>0</v>
      </c>
      <c r="BL799" s="549">
        <v>0</v>
      </c>
      <c r="BM799" s="675">
        <v>0</v>
      </c>
      <c r="BN799" s="549">
        <v>0</v>
      </c>
      <c r="BO799" s="675">
        <v>0</v>
      </c>
      <c r="BP799" s="549">
        <v>0</v>
      </c>
      <c r="BQ799" s="675">
        <v>0</v>
      </c>
      <c r="BR799" s="549">
        <v>0</v>
      </c>
      <c r="BS799" s="675">
        <v>0</v>
      </c>
      <c r="BT799" s="549">
        <v>0</v>
      </c>
      <c r="BU799" s="675">
        <v>0</v>
      </c>
      <c r="BV799" s="549">
        <v>0</v>
      </c>
      <c r="BW799" s="675">
        <v>0</v>
      </c>
      <c r="BX799" s="549">
        <v>0</v>
      </c>
      <c r="BY799" s="675">
        <v>0</v>
      </c>
      <c r="BZ799" s="549">
        <v>0</v>
      </c>
      <c r="CA799" s="675">
        <v>0</v>
      </c>
      <c r="CB799" s="549">
        <v>0</v>
      </c>
      <c r="CC799" s="675">
        <v>0</v>
      </c>
      <c r="CD799" s="549">
        <v>0</v>
      </c>
      <c r="CE799" s="675">
        <v>0</v>
      </c>
      <c r="CF799" s="549">
        <v>0</v>
      </c>
      <c r="CG799" s="675">
        <v>0</v>
      </c>
      <c r="CH799" s="549">
        <v>0</v>
      </c>
      <c r="CI799" s="675">
        <v>0</v>
      </c>
      <c r="CJ799" s="549">
        <v>0</v>
      </c>
      <c r="CK799" s="675">
        <v>0</v>
      </c>
      <c r="CL799" s="549">
        <v>0</v>
      </c>
      <c r="CM799" s="675">
        <v>0</v>
      </c>
      <c r="CN799" s="549">
        <v>0</v>
      </c>
      <c r="CO799" s="675">
        <v>0</v>
      </c>
      <c r="CP799" s="549">
        <v>0</v>
      </c>
      <c r="CQ799" s="675">
        <v>0</v>
      </c>
      <c r="CR799" s="549">
        <v>0</v>
      </c>
      <c r="CS799" s="675">
        <v>0</v>
      </c>
      <c r="CT799" s="549">
        <v>0</v>
      </c>
      <c r="CU799" s="675">
        <v>0</v>
      </c>
      <c r="CV799" s="549">
        <v>0</v>
      </c>
      <c r="CW799" s="675">
        <v>0</v>
      </c>
      <c r="CX799" s="549">
        <v>0</v>
      </c>
      <c r="CY799" s="675">
        <v>0</v>
      </c>
      <c r="CZ799" s="549">
        <v>0</v>
      </c>
      <c r="DA799" s="675">
        <v>0</v>
      </c>
      <c r="DB799" s="549">
        <v>0</v>
      </c>
      <c r="DC799" s="675">
        <v>0</v>
      </c>
      <c r="DD799" s="549">
        <v>0</v>
      </c>
      <c r="DE799" s="675">
        <v>0</v>
      </c>
      <c r="DF799" s="549">
        <v>0</v>
      </c>
      <c r="DG799" s="675">
        <v>0</v>
      </c>
      <c r="DH799" s="549">
        <v>0</v>
      </c>
      <c r="DI799" s="675">
        <v>0</v>
      </c>
      <c r="DJ799" s="549">
        <v>0</v>
      </c>
      <c r="DK799" s="675">
        <v>0</v>
      </c>
      <c r="DL799" s="549">
        <v>0</v>
      </c>
      <c r="DM799" s="675">
        <v>0</v>
      </c>
      <c r="DN799" s="549">
        <v>0</v>
      </c>
      <c r="DO799" s="675">
        <v>0</v>
      </c>
      <c r="DP799" s="549">
        <v>0</v>
      </c>
      <c r="DQ799" s="675">
        <v>0</v>
      </c>
      <c r="DR799" s="549">
        <v>0</v>
      </c>
      <c r="DS799" s="675">
        <v>0</v>
      </c>
      <c r="DT799" s="549">
        <v>0</v>
      </c>
      <c r="DU799" s="675">
        <v>0</v>
      </c>
      <c r="DV799" s="549">
        <v>0</v>
      </c>
      <c r="DW799" s="675">
        <v>0</v>
      </c>
      <c r="DX799" s="549">
        <v>0</v>
      </c>
      <c r="DY799" s="675">
        <v>0</v>
      </c>
      <c r="DZ799" s="549">
        <v>0</v>
      </c>
      <c r="EA799" s="675">
        <v>0</v>
      </c>
      <c r="EB799" s="549">
        <v>0</v>
      </c>
      <c r="EC799" s="675">
        <v>0</v>
      </c>
      <c r="ED799" s="549">
        <v>0</v>
      </c>
      <c r="EE799" s="675">
        <v>0</v>
      </c>
      <c r="EF799" s="549">
        <v>0</v>
      </c>
      <c r="EG799" s="675">
        <v>0</v>
      </c>
      <c r="EH799" s="549">
        <v>0</v>
      </c>
      <c r="EI799" s="675">
        <v>0</v>
      </c>
      <c r="EJ799" s="549">
        <v>0</v>
      </c>
      <c r="EK799" s="675">
        <v>0</v>
      </c>
      <c r="EL799" s="549">
        <v>0</v>
      </c>
      <c r="EM799" s="675">
        <v>0</v>
      </c>
      <c r="EN799" s="549">
        <v>0</v>
      </c>
      <c r="EO799" s="675">
        <v>0</v>
      </c>
      <c r="EP799" s="549">
        <v>0</v>
      </c>
      <c r="EQ799" s="675">
        <v>0</v>
      </c>
      <c r="ER799" s="549">
        <v>0</v>
      </c>
      <c r="ES799" s="675">
        <v>0</v>
      </c>
      <c r="ET799" s="549">
        <v>0</v>
      </c>
      <c r="EU799" s="675">
        <v>0</v>
      </c>
      <c r="EV799" s="549">
        <v>0</v>
      </c>
      <c r="EW799" s="675">
        <v>0</v>
      </c>
      <c r="EX799" s="549">
        <v>0</v>
      </c>
      <c r="EY799" s="675">
        <v>0</v>
      </c>
      <c r="EZ799" s="549">
        <v>0</v>
      </c>
      <c r="FA799" s="675">
        <v>0</v>
      </c>
      <c r="FB799" s="549">
        <v>0</v>
      </c>
      <c r="FC799" s="675">
        <v>0</v>
      </c>
      <c r="FD799" s="549">
        <v>0</v>
      </c>
      <c r="FE799" s="675">
        <v>0</v>
      </c>
      <c r="FF799" s="549">
        <v>0</v>
      </c>
      <c r="FG799" s="675">
        <v>0</v>
      </c>
      <c r="FH799" s="549">
        <v>0</v>
      </c>
      <c r="FI799" s="675">
        <v>0</v>
      </c>
      <c r="FJ799" s="549">
        <v>0</v>
      </c>
      <c r="FK799" s="675">
        <v>0</v>
      </c>
      <c r="FL799" s="549">
        <v>0</v>
      </c>
      <c r="FM799" s="675">
        <v>0</v>
      </c>
      <c r="FN799" s="549">
        <v>0</v>
      </c>
      <c r="FO799" s="675">
        <v>0</v>
      </c>
      <c r="FP799" s="549">
        <v>0</v>
      </c>
      <c r="FQ799" s="675">
        <v>0</v>
      </c>
      <c r="FR799" s="549">
        <v>0</v>
      </c>
      <c r="FS799" s="675">
        <v>0</v>
      </c>
      <c r="FT799" s="549">
        <v>0</v>
      </c>
      <c r="FU799" s="675">
        <v>0</v>
      </c>
      <c r="FV799" s="549">
        <v>0</v>
      </c>
      <c r="FW799" s="675">
        <v>0</v>
      </c>
      <c r="FX799" s="549">
        <v>0</v>
      </c>
      <c r="FY799" s="675">
        <v>0</v>
      </c>
      <c r="FZ799" s="549">
        <v>0</v>
      </c>
      <c r="GA799" s="675">
        <v>0</v>
      </c>
      <c r="GB799" s="549">
        <v>0</v>
      </c>
      <c r="GC799" s="675">
        <v>0</v>
      </c>
      <c r="GD799" s="549">
        <v>0</v>
      </c>
      <c r="GE799" s="675">
        <v>0</v>
      </c>
      <c r="GF799" s="549">
        <v>0</v>
      </c>
      <c r="GG799" s="675">
        <v>0</v>
      </c>
      <c r="GH799" s="549">
        <v>0</v>
      </c>
      <c r="GI799" s="675">
        <v>0</v>
      </c>
      <c r="GJ799" s="549">
        <v>0</v>
      </c>
      <c r="GK799" s="675">
        <v>0</v>
      </c>
      <c r="GL799" s="549">
        <v>0</v>
      </c>
      <c r="GM799" s="675">
        <v>0</v>
      </c>
      <c r="GN799" s="549">
        <v>0</v>
      </c>
      <c r="GO799" s="675">
        <v>0</v>
      </c>
      <c r="GP799" s="549">
        <f t="shared" si="17104"/>
        <v>0</v>
      </c>
      <c r="GQ799" s="675">
        <f t="shared" si="17105"/>
        <v>0</v>
      </c>
      <c r="GR799" s="74">
        <f t="shared" si="17106"/>
        <v>0</v>
      </c>
      <c r="GS799" s="74">
        <f t="shared" si="17107"/>
        <v>0</v>
      </c>
      <c r="GT799" s="568">
        <f t="shared" si="17108"/>
        <v>0</v>
      </c>
      <c r="GU799" s="275"/>
      <c r="GV799" s="275"/>
      <c r="GW799" s="588"/>
      <c r="GX799" s="275"/>
      <c r="GY799" s="275"/>
      <c r="GZ799" s="275"/>
      <c r="HA799" s="275"/>
      <c r="HB799" s="275"/>
      <c r="HC799" s="275"/>
      <c r="HD799" s="275"/>
      <c r="HE799" s="275">
        <v>0</v>
      </c>
      <c r="HF799" s="275">
        <v>0</v>
      </c>
      <c r="HG799" s="74">
        <f t="shared" si="17109"/>
        <v>0</v>
      </c>
      <c r="HH799" s="89">
        <v>0</v>
      </c>
      <c r="HI799" s="157">
        <v>0</v>
      </c>
      <c r="HJ799" s="89">
        <v>0</v>
      </c>
      <c r="HK799" s="157">
        <v>0</v>
      </c>
      <c r="HL799" s="89">
        <v>0</v>
      </c>
      <c r="HM799" s="157">
        <v>0</v>
      </c>
      <c r="HN799" s="89">
        <v>0</v>
      </c>
      <c r="HO799" s="157">
        <v>0</v>
      </c>
      <c r="HP799" s="89">
        <v>0</v>
      </c>
      <c r="HQ799" s="157">
        <v>0</v>
      </c>
      <c r="HR799" s="89">
        <v>0</v>
      </c>
      <c r="HS799" s="157">
        <v>0</v>
      </c>
      <c r="HT799" s="89">
        <v>0</v>
      </c>
      <c r="HU799" s="157">
        <v>0</v>
      </c>
      <c r="HV799" s="89">
        <v>0</v>
      </c>
      <c r="HW799" s="157">
        <v>0</v>
      </c>
      <c r="HX799" s="89">
        <v>0</v>
      </c>
      <c r="HY799" s="157">
        <v>0</v>
      </c>
      <c r="HZ799" s="89">
        <v>0</v>
      </c>
      <c r="IA799" s="157">
        <v>0</v>
      </c>
      <c r="IB799" s="89">
        <v>0</v>
      </c>
      <c r="IC799" s="157">
        <v>0</v>
      </c>
      <c r="ID799" s="89">
        <v>0</v>
      </c>
      <c r="IE799" s="157">
        <v>0</v>
      </c>
      <c r="IF799" s="717">
        <f>SUM(II799,IL799,IO799,IR799,IU799,IX799,JA799,JD799,JG799,JJ799,JM799,JP799)</f>
        <v>0</v>
      </c>
      <c r="IG799" s="263">
        <f t="shared" si="17111"/>
        <v>0</v>
      </c>
      <c r="IH799" s="718">
        <f t="shared" si="17112"/>
        <v>0</v>
      </c>
      <c r="II799" s="89">
        <v>0</v>
      </c>
      <c r="IJ799" s="89">
        <f t="shared" si="17113"/>
        <v>0</v>
      </c>
      <c r="IK799" s="89">
        <f t="shared" si="17114"/>
        <v>0</v>
      </c>
      <c r="IL799" s="89">
        <v>0</v>
      </c>
      <c r="IM799" s="89">
        <f t="shared" si="17115"/>
        <v>0</v>
      </c>
      <c r="IN799" s="89">
        <f t="shared" si="17116"/>
        <v>0</v>
      </c>
      <c r="IO799" s="89">
        <v>0</v>
      </c>
      <c r="IP799" s="89">
        <f t="shared" si="17117"/>
        <v>0</v>
      </c>
      <c r="IQ799" s="89">
        <f t="shared" si="17118"/>
        <v>0</v>
      </c>
      <c r="IR799" s="89">
        <v>0</v>
      </c>
      <c r="IS799" s="89">
        <f t="shared" si="17119"/>
        <v>0</v>
      </c>
      <c r="IT799" s="89">
        <f t="shared" si="17120"/>
        <v>0</v>
      </c>
      <c r="IU799" s="89">
        <v>0</v>
      </c>
      <c r="IV799" s="89">
        <f t="shared" si="17121"/>
        <v>0</v>
      </c>
      <c r="IW799" s="89">
        <f t="shared" si="17122"/>
        <v>0</v>
      </c>
      <c r="IX799" s="89">
        <v>0</v>
      </c>
      <c r="IY799" s="89">
        <f t="shared" si="17123"/>
        <v>0</v>
      </c>
      <c r="IZ799" s="89">
        <f t="shared" si="17124"/>
        <v>0</v>
      </c>
      <c r="JA799" s="89">
        <v>0</v>
      </c>
      <c r="JB799" s="89">
        <f t="shared" si="17125"/>
        <v>0</v>
      </c>
      <c r="JC799" s="89">
        <f t="shared" si="17126"/>
        <v>0</v>
      </c>
      <c r="JD799" s="89">
        <v>0</v>
      </c>
      <c r="JE799" s="89">
        <f t="shared" si="17127"/>
        <v>0</v>
      </c>
      <c r="JF799" s="89">
        <f t="shared" si="17128"/>
        <v>0</v>
      </c>
      <c r="JG799" s="89">
        <v>0</v>
      </c>
      <c r="JH799" s="89">
        <f t="shared" si="17129"/>
        <v>0</v>
      </c>
      <c r="JI799" s="89">
        <f t="shared" si="17130"/>
        <v>0</v>
      </c>
      <c r="JJ799" s="89">
        <v>0</v>
      </c>
      <c r="JK799" s="89">
        <f t="shared" si="17131"/>
        <v>0</v>
      </c>
      <c r="JL799" s="89">
        <f t="shared" si="17132"/>
        <v>0</v>
      </c>
      <c r="JM799" s="89">
        <v>0</v>
      </c>
      <c r="JN799" s="89">
        <f t="shared" si="17133"/>
        <v>0</v>
      </c>
      <c r="JO799" s="89">
        <f t="shared" si="17134"/>
        <v>0</v>
      </c>
      <c r="JP799" s="89">
        <v>0</v>
      </c>
      <c r="JQ799" s="89">
        <f t="shared" ref="JQ799:JR799" si="17146">JP799</f>
        <v>0</v>
      </c>
      <c r="JR799" s="89">
        <f t="shared" si="17146"/>
        <v>0</v>
      </c>
      <c r="JS799" s="74">
        <f t="shared" si="17136"/>
        <v>0</v>
      </c>
      <c r="JT799" s="382">
        <f t="shared" si="17137"/>
        <v>0</v>
      </c>
      <c r="JU799" s="665"/>
      <c r="JV799" s="524"/>
      <c r="JW799" s="525"/>
      <c r="JX799" s="549">
        <f t="shared" si="17138"/>
        <v>0</v>
      </c>
      <c r="JY799" s="549">
        <f t="shared" si="15767"/>
        <v>0</v>
      </c>
      <c r="JZ799" s="581">
        <f t="shared" si="16466"/>
        <v>0</v>
      </c>
      <c r="KA799" s="581">
        <f t="shared" si="16467"/>
        <v>0</v>
      </c>
      <c r="KB799" s="566">
        <f t="shared" si="17031"/>
        <v>0</v>
      </c>
      <c r="KC799" s="709">
        <f t="shared" si="16464"/>
        <v>0</v>
      </c>
      <c r="KD799" s="491"/>
      <c r="KE799" s="491"/>
      <c r="KF799" s="491"/>
      <c r="KG799" s="491"/>
      <c r="KH799" s="36"/>
      <c r="KI799" s="36"/>
      <c r="KJ799" s="36"/>
      <c r="KK799" s="36"/>
    </row>
    <row r="800" spans="1:297" s="10" customFormat="1" hidden="1">
      <c r="A800" s="612" t="s">
        <v>1170</v>
      </c>
      <c r="B800" s="512" t="s">
        <v>103</v>
      </c>
      <c r="C800" s="74">
        <v>0</v>
      </c>
      <c r="D800" s="549">
        <v>0</v>
      </c>
      <c r="E800" s="675">
        <v>0</v>
      </c>
      <c r="F800" s="549">
        <v>0</v>
      </c>
      <c r="G800" s="675">
        <v>0</v>
      </c>
      <c r="H800" s="549">
        <v>0</v>
      </c>
      <c r="I800" s="675">
        <v>0</v>
      </c>
      <c r="J800" s="549">
        <v>0</v>
      </c>
      <c r="K800" s="675">
        <v>0</v>
      </c>
      <c r="L800" s="549">
        <v>0</v>
      </c>
      <c r="M800" s="675">
        <v>0</v>
      </c>
      <c r="N800" s="549">
        <v>0</v>
      </c>
      <c r="O800" s="675">
        <v>0</v>
      </c>
      <c r="P800" s="549">
        <v>0</v>
      </c>
      <c r="Q800" s="675">
        <v>0</v>
      </c>
      <c r="R800" s="549">
        <v>0</v>
      </c>
      <c r="S800" s="675">
        <v>0</v>
      </c>
      <c r="T800" s="549">
        <v>0</v>
      </c>
      <c r="U800" s="675">
        <v>0</v>
      </c>
      <c r="V800" s="549">
        <v>0</v>
      </c>
      <c r="W800" s="675">
        <v>0</v>
      </c>
      <c r="X800" s="549">
        <v>0</v>
      </c>
      <c r="Y800" s="675">
        <v>0</v>
      </c>
      <c r="Z800" s="549">
        <v>0</v>
      </c>
      <c r="AA800" s="675">
        <v>0</v>
      </c>
      <c r="AB800" s="549">
        <v>0</v>
      </c>
      <c r="AC800" s="675">
        <v>0</v>
      </c>
      <c r="AD800" s="549">
        <v>0</v>
      </c>
      <c r="AE800" s="675">
        <v>0</v>
      </c>
      <c r="AF800" s="549">
        <v>0</v>
      </c>
      <c r="AG800" s="675">
        <v>0</v>
      </c>
      <c r="AH800" s="549">
        <v>0</v>
      </c>
      <c r="AI800" s="675">
        <v>0</v>
      </c>
      <c r="AJ800" s="549">
        <v>0</v>
      </c>
      <c r="AK800" s="675">
        <v>0</v>
      </c>
      <c r="AL800" s="549">
        <v>0</v>
      </c>
      <c r="AM800" s="675">
        <v>0</v>
      </c>
      <c r="AN800" s="549">
        <v>0</v>
      </c>
      <c r="AO800" s="675">
        <v>0</v>
      </c>
      <c r="AP800" s="549">
        <v>0</v>
      </c>
      <c r="AQ800" s="675">
        <v>0</v>
      </c>
      <c r="AR800" s="549">
        <v>0</v>
      </c>
      <c r="AS800" s="675">
        <v>0</v>
      </c>
      <c r="AT800" s="549">
        <v>0</v>
      </c>
      <c r="AU800" s="675">
        <v>0</v>
      </c>
      <c r="AV800" s="549">
        <v>0</v>
      </c>
      <c r="AW800" s="675">
        <v>0</v>
      </c>
      <c r="AX800" s="549">
        <v>0</v>
      </c>
      <c r="AY800" s="675">
        <v>0</v>
      </c>
      <c r="AZ800" s="549">
        <v>0</v>
      </c>
      <c r="BA800" s="675">
        <v>0</v>
      </c>
      <c r="BB800" s="549">
        <v>0</v>
      </c>
      <c r="BC800" s="675">
        <v>0</v>
      </c>
      <c r="BD800" s="549">
        <v>0</v>
      </c>
      <c r="BE800" s="675">
        <v>0</v>
      </c>
      <c r="BF800" s="549">
        <v>0</v>
      </c>
      <c r="BG800" s="675">
        <v>0</v>
      </c>
      <c r="BH800" s="549">
        <v>0</v>
      </c>
      <c r="BI800" s="675">
        <v>0</v>
      </c>
      <c r="BJ800" s="549">
        <v>0</v>
      </c>
      <c r="BK800" s="675">
        <v>0</v>
      </c>
      <c r="BL800" s="549">
        <v>0</v>
      </c>
      <c r="BM800" s="675">
        <v>0</v>
      </c>
      <c r="BN800" s="549">
        <v>0</v>
      </c>
      <c r="BO800" s="675">
        <v>0</v>
      </c>
      <c r="BP800" s="549">
        <v>0</v>
      </c>
      <c r="BQ800" s="675">
        <v>0</v>
      </c>
      <c r="BR800" s="549">
        <v>0</v>
      </c>
      <c r="BS800" s="675">
        <v>0</v>
      </c>
      <c r="BT800" s="549">
        <v>0</v>
      </c>
      <c r="BU800" s="675">
        <v>0</v>
      </c>
      <c r="BV800" s="549">
        <v>0</v>
      </c>
      <c r="BW800" s="675">
        <v>0</v>
      </c>
      <c r="BX800" s="549">
        <v>0</v>
      </c>
      <c r="BY800" s="675">
        <v>0</v>
      </c>
      <c r="BZ800" s="549">
        <v>0</v>
      </c>
      <c r="CA800" s="675">
        <v>0</v>
      </c>
      <c r="CB800" s="549">
        <v>0</v>
      </c>
      <c r="CC800" s="675">
        <v>0</v>
      </c>
      <c r="CD800" s="549">
        <v>0</v>
      </c>
      <c r="CE800" s="675">
        <v>0</v>
      </c>
      <c r="CF800" s="549">
        <v>0</v>
      </c>
      <c r="CG800" s="675">
        <v>0</v>
      </c>
      <c r="CH800" s="549">
        <v>0</v>
      </c>
      <c r="CI800" s="675">
        <v>0</v>
      </c>
      <c r="CJ800" s="549">
        <v>0</v>
      </c>
      <c r="CK800" s="675">
        <v>0</v>
      </c>
      <c r="CL800" s="549">
        <v>0</v>
      </c>
      <c r="CM800" s="675">
        <v>0</v>
      </c>
      <c r="CN800" s="549">
        <v>0</v>
      </c>
      <c r="CO800" s="675">
        <v>0</v>
      </c>
      <c r="CP800" s="549">
        <v>0</v>
      </c>
      <c r="CQ800" s="675">
        <v>0</v>
      </c>
      <c r="CR800" s="549">
        <v>0</v>
      </c>
      <c r="CS800" s="675">
        <v>0</v>
      </c>
      <c r="CT800" s="549">
        <v>0</v>
      </c>
      <c r="CU800" s="675">
        <v>0</v>
      </c>
      <c r="CV800" s="549">
        <v>0</v>
      </c>
      <c r="CW800" s="675">
        <v>0</v>
      </c>
      <c r="CX800" s="549">
        <v>0</v>
      </c>
      <c r="CY800" s="675">
        <v>0</v>
      </c>
      <c r="CZ800" s="549">
        <v>0</v>
      </c>
      <c r="DA800" s="675">
        <v>0</v>
      </c>
      <c r="DB800" s="549">
        <v>0</v>
      </c>
      <c r="DC800" s="675">
        <v>0</v>
      </c>
      <c r="DD800" s="549">
        <v>0</v>
      </c>
      <c r="DE800" s="675">
        <v>0</v>
      </c>
      <c r="DF800" s="549">
        <v>0</v>
      </c>
      <c r="DG800" s="675">
        <v>0</v>
      </c>
      <c r="DH800" s="549">
        <v>0</v>
      </c>
      <c r="DI800" s="675">
        <v>0</v>
      </c>
      <c r="DJ800" s="549">
        <v>0</v>
      </c>
      <c r="DK800" s="675">
        <v>0</v>
      </c>
      <c r="DL800" s="549">
        <v>0</v>
      </c>
      <c r="DM800" s="675">
        <v>0</v>
      </c>
      <c r="DN800" s="549">
        <v>0</v>
      </c>
      <c r="DO800" s="675">
        <v>0</v>
      </c>
      <c r="DP800" s="549">
        <v>0</v>
      </c>
      <c r="DQ800" s="675">
        <v>0</v>
      </c>
      <c r="DR800" s="549">
        <v>0</v>
      </c>
      <c r="DS800" s="675">
        <v>0</v>
      </c>
      <c r="DT800" s="549">
        <v>0</v>
      </c>
      <c r="DU800" s="675">
        <v>0</v>
      </c>
      <c r="DV800" s="549">
        <v>0</v>
      </c>
      <c r="DW800" s="675">
        <v>0</v>
      </c>
      <c r="DX800" s="549">
        <v>0</v>
      </c>
      <c r="DY800" s="675">
        <v>0</v>
      </c>
      <c r="DZ800" s="549">
        <v>0</v>
      </c>
      <c r="EA800" s="675">
        <v>0</v>
      </c>
      <c r="EB800" s="549">
        <v>0</v>
      </c>
      <c r="EC800" s="675">
        <v>0</v>
      </c>
      <c r="ED800" s="549">
        <v>0</v>
      </c>
      <c r="EE800" s="675">
        <v>0</v>
      </c>
      <c r="EF800" s="549">
        <v>0</v>
      </c>
      <c r="EG800" s="675">
        <v>0</v>
      </c>
      <c r="EH800" s="549">
        <v>0</v>
      </c>
      <c r="EI800" s="675">
        <v>0</v>
      </c>
      <c r="EJ800" s="549">
        <v>0</v>
      </c>
      <c r="EK800" s="675">
        <v>0</v>
      </c>
      <c r="EL800" s="549">
        <v>0</v>
      </c>
      <c r="EM800" s="675">
        <v>0</v>
      </c>
      <c r="EN800" s="549">
        <v>0</v>
      </c>
      <c r="EO800" s="675">
        <v>0</v>
      </c>
      <c r="EP800" s="549">
        <v>0</v>
      </c>
      <c r="EQ800" s="675">
        <v>0</v>
      </c>
      <c r="ER800" s="549">
        <v>0</v>
      </c>
      <c r="ES800" s="675">
        <v>0</v>
      </c>
      <c r="ET800" s="549">
        <v>0</v>
      </c>
      <c r="EU800" s="675">
        <v>0</v>
      </c>
      <c r="EV800" s="549">
        <v>0</v>
      </c>
      <c r="EW800" s="675">
        <v>0</v>
      </c>
      <c r="EX800" s="549">
        <v>0</v>
      </c>
      <c r="EY800" s="675">
        <v>0</v>
      </c>
      <c r="EZ800" s="549">
        <v>0</v>
      </c>
      <c r="FA800" s="675">
        <v>0</v>
      </c>
      <c r="FB800" s="549">
        <v>0</v>
      </c>
      <c r="FC800" s="675">
        <v>0</v>
      </c>
      <c r="FD800" s="549">
        <v>0</v>
      </c>
      <c r="FE800" s="675">
        <v>0</v>
      </c>
      <c r="FF800" s="549">
        <v>0</v>
      </c>
      <c r="FG800" s="675">
        <v>0</v>
      </c>
      <c r="FH800" s="549">
        <v>0</v>
      </c>
      <c r="FI800" s="675">
        <v>0</v>
      </c>
      <c r="FJ800" s="549">
        <v>0</v>
      </c>
      <c r="FK800" s="675">
        <v>0</v>
      </c>
      <c r="FL800" s="549">
        <v>0</v>
      </c>
      <c r="FM800" s="675">
        <v>0</v>
      </c>
      <c r="FN800" s="549">
        <v>0</v>
      </c>
      <c r="FO800" s="675">
        <v>0</v>
      </c>
      <c r="FP800" s="549">
        <v>0</v>
      </c>
      <c r="FQ800" s="675">
        <v>0</v>
      </c>
      <c r="FR800" s="549">
        <v>0</v>
      </c>
      <c r="FS800" s="675">
        <v>0</v>
      </c>
      <c r="FT800" s="549">
        <v>0</v>
      </c>
      <c r="FU800" s="675">
        <v>0</v>
      </c>
      <c r="FV800" s="549">
        <v>0</v>
      </c>
      <c r="FW800" s="675">
        <v>0</v>
      </c>
      <c r="FX800" s="549">
        <v>0</v>
      </c>
      <c r="FY800" s="675">
        <v>0</v>
      </c>
      <c r="FZ800" s="549">
        <v>0</v>
      </c>
      <c r="GA800" s="675">
        <v>0</v>
      </c>
      <c r="GB800" s="549">
        <v>0</v>
      </c>
      <c r="GC800" s="675">
        <v>0</v>
      </c>
      <c r="GD800" s="549">
        <v>0</v>
      </c>
      <c r="GE800" s="675">
        <v>0</v>
      </c>
      <c r="GF800" s="549">
        <v>0</v>
      </c>
      <c r="GG800" s="675">
        <v>0</v>
      </c>
      <c r="GH800" s="549">
        <v>0</v>
      </c>
      <c r="GI800" s="675">
        <v>0</v>
      </c>
      <c r="GJ800" s="549">
        <v>0</v>
      </c>
      <c r="GK800" s="675">
        <v>0</v>
      </c>
      <c r="GL800" s="549">
        <v>0</v>
      </c>
      <c r="GM800" s="675">
        <v>0</v>
      </c>
      <c r="GN800" s="549">
        <v>0</v>
      </c>
      <c r="GO800" s="675">
        <v>0</v>
      </c>
      <c r="GP800" s="549">
        <f t="shared" si="17104"/>
        <v>0</v>
      </c>
      <c r="GQ800" s="675">
        <f t="shared" si="17105"/>
        <v>0</v>
      </c>
      <c r="GR800" s="74">
        <f t="shared" si="17106"/>
        <v>0</v>
      </c>
      <c r="GS800" s="74">
        <f t="shared" si="17107"/>
        <v>0</v>
      </c>
      <c r="GT800" s="568">
        <f t="shared" si="17108"/>
        <v>0</v>
      </c>
      <c r="GU800" s="275"/>
      <c r="GV800" s="275"/>
      <c r="GW800" s="588"/>
      <c r="GX800" s="275"/>
      <c r="GY800" s="275"/>
      <c r="GZ800" s="275"/>
      <c r="HA800" s="275"/>
      <c r="HB800" s="275"/>
      <c r="HC800" s="275"/>
      <c r="HD800" s="275"/>
      <c r="HE800" s="275"/>
      <c r="HF800" s="275"/>
      <c r="HG800" s="74">
        <f t="shared" si="17109"/>
        <v>0</v>
      </c>
      <c r="HH800" s="89">
        <v>0</v>
      </c>
      <c r="HI800" s="157">
        <v>0</v>
      </c>
      <c r="HJ800" s="89">
        <v>0</v>
      </c>
      <c r="HK800" s="157">
        <v>0</v>
      </c>
      <c r="HL800" s="89">
        <v>0</v>
      </c>
      <c r="HM800" s="157">
        <v>0</v>
      </c>
      <c r="HN800" s="89">
        <v>0</v>
      </c>
      <c r="HO800" s="157">
        <v>0</v>
      </c>
      <c r="HP800" s="89">
        <v>0</v>
      </c>
      <c r="HQ800" s="157">
        <v>0</v>
      </c>
      <c r="HR800" s="89">
        <v>0</v>
      </c>
      <c r="HS800" s="157">
        <v>0</v>
      </c>
      <c r="HT800" s="89">
        <v>0</v>
      </c>
      <c r="HU800" s="157">
        <v>0</v>
      </c>
      <c r="HV800" s="89">
        <v>0</v>
      </c>
      <c r="HW800" s="157">
        <v>0</v>
      </c>
      <c r="HX800" s="89">
        <v>0</v>
      </c>
      <c r="HY800" s="157">
        <v>0</v>
      </c>
      <c r="HZ800" s="89">
        <v>0</v>
      </c>
      <c r="IA800" s="157">
        <v>0</v>
      </c>
      <c r="IB800" s="89">
        <v>0</v>
      </c>
      <c r="IC800" s="157">
        <v>0</v>
      </c>
      <c r="ID800" s="89">
        <v>0</v>
      </c>
      <c r="IE800" s="157">
        <v>0</v>
      </c>
      <c r="IF800" s="717">
        <f>SUM(II800,IL800,IO800,IR800,IU800,IX800,JA800,JD800,JG800,JJ800,JM800,JP800)</f>
        <v>0</v>
      </c>
      <c r="IG800" s="263">
        <f t="shared" si="17111"/>
        <v>0</v>
      </c>
      <c r="IH800" s="718">
        <f t="shared" si="17112"/>
        <v>0</v>
      </c>
      <c r="II800" s="89">
        <v>0</v>
      </c>
      <c r="IJ800" s="89">
        <f t="shared" si="17113"/>
        <v>0</v>
      </c>
      <c r="IK800" s="89">
        <f t="shared" si="17114"/>
        <v>0</v>
      </c>
      <c r="IL800" s="89">
        <v>0</v>
      </c>
      <c r="IM800" s="89">
        <f t="shared" si="17115"/>
        <v>0</v>
      </c>
      <c r="IN800" s="89">
        <f t="shared" si="17116"/>
        <v>0</v>
      </c>
      <c r="IO800" s="89">
        <v>0</v>
      </c>
      <c r="IP800" s="89">
        <f t="shared" si="17117"/>
        <v>0</v>
      </c>
      <c r="IQ800" s="89">
        <f t="shared" si="17118"/>
        <v>0</v>
      </c>
      <c r="IR800" s="89">
        <v>0</v>
      </c>
      <c r="IS800" s="89">
        <f t="shared" si="17119"/>
        <v>0</v>
      </c>
      <c r="IT800" s="89">
        <f t="shared" si="17120"/>
        <v>0</v>
      </c>
      <c r="IU800" s="89">
        <v>0</v>
      </c>
      <c r="IV800" s="89">
        <f t="shared" si="17121"/>
        <v>0</v>
      </c>
      <c r="IW800" s="89">
        <f t="shared" si="17122"/>
        <v>0</v>
      </c>
      <c r="IX800" s="89">
        <v>0</v>
      </c>
      <c r="IY800" s="89">
        <f t="shared" si="17123"/>
        <v>0</v>
      </c>
      <c r="IZ800" s="89">
        <f t="shared" si="17124"/>
        <v>0</v>
      </c>
      <c r="JA800" s="89">
        <v>0</v>
      </c>
      <c r="JB800" s="89">
        <f t="shared" si="17125"/>
        <v>0</v>
      </c>
      <c r="JC800" s="89">
        <f t="shared" si="17126"/>
        <v>0</v>
      </c>
      <c r="JD800" s="89">
        <v>0</v>
      </c>
      <c r="JE800" s="89">
        <f t="shared" si="17127"/>
        <v>0</v>
      </c>
      <c r="JF800" s="89">
        <f t="shared" si="17128"/>
        <v>0</v>
      </c>
      <c r="JG800" s="89">
        <v>0</v>
      </c>
      <c r="JH800" s="89">
        <f t="shared" si="17129"/>
        <v>0</v>
      </c>
      <c r="JI800" s="89">
        <f t="shared" si="17130"/>
        <v>0</v>
      </c>
      <c r="JJ800" s="89">
        <v>0</v>
      </c>
      <c r="JK800" s="89">
        <f t="shared" si="17131"/>
        <v>0</v>
      </c>
      <c r="JL800" s="89">
        <f t="shared" si="17132"/>
        <v>0</v>
      </c>
      <c r="JM800" s="89">
        <v>0</v>
      </c>
      <c r="JN800" s="89">
        <f t="shared" si="17133"/>
        <v>0</v>
      </c>
      <c r="JO800" s="89">
        <f t="shared" si="17134"/>
        <v>0</v>
      </c>
      <c r="JP800" s="89">
        <v>0</v>
      </c>
      <c r="JQ800" s="89">
        <f t="shared" ref="JQ800:JR800" si="17147">JP800</f>
        <v>0</v>
      </c>
      <c r="JR800" s="89">
        <f t="shared" si="17147"/>
        <v>0</v>
      </c>
      <c r="JS800" s="74">
        <f t="shared" si="17136"/>
        <v>0</v>
      </c>
      <c r="JT800" s="382">
        <f t="shared" si="17137"/>
        <v>0</v>
      </c>
      <c r="JU800" s="665"/>
      <c r="JV800" s="524"/>
      <c r="JW800" s="525"/>
      <c r="JX800" s="549">
        <f t="shared" si="17138"/>
        <v>0</v>
      </c>
      <c r="JY800" s="549">
        <f t="shared" si="15767"/>
        <v>0</v>
      </c>
      <c r="JZ800" s="581">
        <f t="shared" si="16466"/>
        <v>0</v>
      </c>
      <c r="KA800" s="581">
        <f t="shared" si="16467"/>
        <v>0</v>
      </c>
      <c r="KB800" s="566">
        <f t="shared" si="17031"/>
        <v>0</v>
      </c>
      <c r="KC800" s="709">
        <f t="shared" si="16464"/>
        <v>0</v>
      </c>
      <c r="KD800" s="491"/>
      <c r="KE800" s="491"/>
      <c r="KF800" s="491"/>
      <c r="KG800" s="491"/>
      <c r="KH800" s="36"/>
      <c r="KI800" s="36"/>
      <c r="KJ800" s="36"/>
      <c r="KK800" s="36"/>
    </row>
    <row r="801" spans="1:297" s="10" customFormat="1">
      <c r="A801" s="612" t="s">
        <v>668</v>
      </c>
      <c r="B801" s="512" t="s">
        <v>989</v>
      </c>
      <c r="C801" s="74">
        <v>2000</v>
      </c>
      <c r="D801" s="549">
        <v>0</v>
      </c>
      <c r="E801" s="675">
        <v>0</v>
      </c>
      <c r="F801" s="549">
        <v>0</v>
      </c>
      <c r="G801" s="675">
        <v>0</v>
      </c>
      <c r="H801" s="549">
        <v>0</v>
      </c>
      <c r="I801" s="675">
        <v>0</v>
      </c>
      <c r="J801" s="549">
        <v>0</v>
      </c>
      <c r="K801" s="675">
        <v>0</v>
      </c>
      <c r="L801" s="549">
        <v>0</v>
      </c>
      <c r="M801" s="675">
        <v>0</v>
      </c>
      <c r="N801" s="549">
        <v>0</v>
      </c>
      <c r="O801" s="675">
        <v>0</v>
      </c>
      <c r="P801" s="549">
        <v>0</v>
      </c>
      <c r="Q801" s="675">
        <v>0</v>
      </c>
      <c r="R801" s="549">
        <v>0</v>
      </c>
      <c r="S801" s="675">
        <v>0</v>
      </c>
      <c r="T801" s="549">
        <v>0</v>
      </c>
      <c r="U801" s="675">
        <v>0</v>
      </c>
      <c r="V801" s="549">
        <v>0</v>
      </c>
      <c r="W801" s="675">
        <v>0</v>
      </c>
      <c r="X801" s="549">
        <v>0</v>
      </c>
      <c r="Y801" s="675">
        <v>0</v>
      </c>
      <c r="Z801" s="549">
        <v>0</v>
      </c>
      <c r="AA801" s="675">
        <v>0</v>
      </c>
      <c r="AB801" s="549">
        <v>0</v>
      </c>
      <c r="AC801" s="675">
        <v>-2000</v>
      </c>
      <c r="AD801" s="549">
        <v>0</v>
      </c>
      <c r="AE801" s="675">
        <v>0</v>
      </c>
      <c r="AF801" s="549">
        <v>0</v>
      </c>
      <c r="AG801" s="675">
        <v>0</v>
      </c>
      <c r="AH801" s="549">
        <v>0</v>
      </c>
      <c r="AI801" s="675">
        <v>0</v>
      </c>
      <c r="AJ801" s="549">
        <v>0</v>
      </c>
      <c r="AK801" s="675">
        <v>0</v>
      </c>
      <c r="AL801" s="549">
        <v>0</v>
      </c>
      <c r="AM801" s="675">
        <v>0</v>
      </c>
      <c r="AN801" s="549">
        <v>0</v>
      </c>
      <c r="AO801" s="675">
        <v>0</v>
      </c>
      <c r="AP801" s="549">
        <v>0</v>
      </c>
      <c r="AQ801" s="675">
        <v>0</v>
      </c>
      <c r="AR801" s="549">
        <v>0</v>
      </c>
      <c r="AS801" s="675">
        <v>0</v>
      </c>
      <c r="AT801" s="549">
        <v>0</v>
      </c>
      <c r="AU801" s="675">
        <v>0</v>
      </c>
      <c r="AV801" s="549">
        <v>0</v>
      </c>
      <c r="AW801" s="675">
        <v>0</v>
      </c>
      <c r="AX801" s="549">
        <v>0</v>
      </c>
      <c r="AY801" s="675">
        <v>0</v>
      </c>
      <c r="AZ801" s="549">
        <v>0</v>
      </c>
      <c r="BA801" s="675">
        <v>0</v>
      </c>
      <c r="BB801" s="549">
        <v>0</v>
      </c>
      <c r="BC801" s="675">
        <v>0</v>
      </c>
      <c r="BD801" s="549">
        <v>0</v>
      </c>
      <c r="BE801" s="675">
        <v>0</v>
      </c>
      <c r="BF801" s="549">
        <v>0</v>
      </c>
      <c r="BG801" s="675">
        <v>0</v>
      </c>
      <c r="BH801" s="549">
        <v>0</v>
      </c>
      <c r="BI801" s="675">
        <v>0</v>
      </c>
      <c r="BJ801" s="549">
        <v>0</v>
      </c>
      <c r="BK801" s="675">
        <v>0</v>
      </c>
      <c r="BL801" s="549">
        <v>0</v>
      </c>
      <c r="BM801" s="675">
        <v>0</v>
      </c>
      <c r="BN801" s="549">
        <v>0</v>
      </c>
      <c r="BO801" s="675">
        <v>0</v>
      </c>
      <c r="BP801" s="549">
        <v>0</v>
      </c>
      <c r="BQ801" s="675">
        <v>0</v>
      </c>
      <c r="BR801" s="549">
        <v>0</v>
      </c>
      <c r="BS801" s="675">
        <v>0</v>
      </c>
      <c r="BT801" s="549">
        <v>0</v>
      </c>
      <c r="BU801" s="675">
        <v>0</v>
      </c>
      <c r="BV801" s="549">
        <v>0</v>
      </c>
      <c r="BW801" s="675">
        <v>0</v>
      </c>
      <c r="BX801" s="549">
        <v>0</v>
      </c>
      <c r="BY801" s="675">
        <v>0</v>
      </c>
      <c r="BZ801" s="549">
        <v>0</v>
      </c>
      <c r="CA801" s="675">
        <v>0</v>
      </c>
      <c r="CB801" s="549">
        <v>0</v>
      </c>
      <c r="CC801" s="675">
        <v>0</v>
      </c>
      <c r="CD801" s="549">
        <v>0</v>
      </c>
      <c r="CE801" s="675">
        <v>0</v>
      </c>
      <c r="CF801" s="549">
        <v>0</v>
      </c>
      <c r="CG801" s="675">
        <v>0</v>
      </c>
      <c r="CH801" s="549">
        <v>0</v>
      </c>
      <c r="CI801" s="675">
        <v>0</v>
      </c>
      <c r="CJ801" s="549">
        <v>0</v>
      </c>
      <c r="CK801" s="675">
        <v>0</v>
      </c>
      <c r="CL801" s="549">
        <v>0</v>
      </c>
      <c r="CM801" s="675">
        <v>0</v>
      </c>
      <c r="CN801" s="549">
        <v>0</v>
      </c>
      <c r="CO801" s="675">
        <v>0</v>
      </c>
      <c r="CP801" s="549">
        <v>0</v>
      </c>
      <c r="CQ801" s="675">
        <v>0</v>
      </c>
      <c r="CR801" s="549">
        <v>0</v>
      </c>
      <c r="CS801" s="675">
        <v>0</v>
      </c>
      <c r="CT801" s="549">
        <v>0</v>
      </c>
      <c r="CU801" s="675">
        <v>0</v>
      </c>
      <c r="CV801" s="549">
        <v>0</v>
      </c>
      <c r="CW801" s="675">
        <v>0</v>
      </c>
      <c r="CX801" s="549">
        <v>0</v>
      </c>
      <c r="CY801" s="675">
        <v>0</v>
      </c>
      <c r="CZ801" s="549">
        <v>0</v>
      </c>
      <c r="DA801" s="675">
        <v>0</v>
      </c>
      <c r="DB801" s="549">
        <v>0</v>
      </c>
      <c r="DC801" s="675">
        <v>0</v>
      </c>
      <c r="DD801" s="549">
        <v>0</v>
      </c>
      <c r="DE801" s="675">
        <v>0</v>
      </c>
      <c r="DF801" s="549">
        <v>0</v>
      </c>
      <c r="DG801" s="675">
        <v>0</v>
      </c>
      <c r="DH801" s="549">
        <v>0</v>
      </c>
      <c r="DI801" s="675">
        <v>0</v>
      </c>
      <c r="DJ801" s="549">
        <v>0</v>
      </c>
      <c r="DK801" s="675">
        <v>0</v>
      </c>
      <c r="DL801" s="549">
        <v>0</v>
      </c>
      <c r="DM801" s="675">
        <v>0</v>
      </c>
      <c r="DN801" s="549">
        <v>0</v>
      </c>
      <c r="DO801" s="675">
        <v>0</v>
      </c>
      <c r="DP801" s="549">
        <v>0</v>
      </c>
      <c r="DQ801" s="675">
        <v>0</v>
      </c>
      <c r="DR801" s="549">
        <v>0</v>
      </c>
      <c r="DS801" s="675">
        <v>0</v>
      </c>
      <c r="DT801" s="549">
        <v>0</v>
      </c>
      <c r="DU801" s="675">
        <v>0</v>
      </c>
      <c r="DV801" s="549">
        <v>0</v>
      </c>
      <c r="DW801" s="675">
        <v>0</v>
      </c>
      <c r="DX801" s="549">
        <v>0</v>
      </c>
      <c r="DY801" s="675">
        <v>0</v>
      </c>
      <c r="DZ801" s="549">
        <v>0</v>
      </c>
      <c r="EA801" s="675">
        <v>0</v>
      </c>
      <c r="EB801" s="549">
        <v>0</v>
      </c>
      <c r="EC801" s="675">
        <v>0</v>
      </c>
      <c r="ED801" s="549">
        <v>0</v>
      </c>
      <c r="EE801" s="675">
        <v>0</v>
      </c>
      <c r="EF801" s="549">
        <v>0</v>
      </c>
      <c r="EG801" s="675">
        <v>0</v>
      </c>
      <c r="EH801" s="549">
        <v>0</v>
      </c>
      <c r="EI801" s="675">
        <v>0</v>
      </c>
      <c r="EJ801" s="549">
        <v>0</v>
      </c>
      <c r="EK801" s="675">
        <v>0</v>
      </c>
      <c r="EL801" s="549">
        <v>0</v>
      </c>
      <c r="EM801" s="675">
        <v>0</v>
      </c>
      <c r="EN801" s="549">
        <v>0</v>
      </c>
      <c r="EO801" s="675">
        <v>0</v>
      </c>
      <c r="EP801" s="549">
        <v>0</v>
      </c>
      <c r="EQ801" s="675">
        <v>0</v>
      </c>
      <c r="ER801" s="549">
        <v>0</v>
      </c>
      <c r="ES801" s="675">
        <v>0</v>
      </c>
      <c r="ET801" s="549">
        <v>0</v>
      </c>
      <c r="EU801" s="675">
        <v>0</v>
      </c>
      <c r="EV801" s="549">
        <v>0</v>
      </c>
      <c r="EW801" s="675">
        <v>0</v>
      </c>
      <c r="EX801" s="549">
        <v>0</v>
      </c>
      <c r="EY801" s="675">
        <v>0</v>
      </c>
      <c r="EZ801" s="549">
        <v>0</v>
      </c>
      <c r="FA801" s="675">
        <v>0</v>
      </c>
      <c r="FB801" s="549">
        <v>0</v>
      </c>
      <c r="FC801" s="675">
        <v>0</v>
      </c>
      <c r="FD801" s="549">
        <v>0</v>
      </c>
      <c r="FE801" s="675">
        <v>0</v>
      </c>
      <c r="FF801" s="549">
        <v>0</v>
      </c>
      <c r="FG801" s="675">
        <v>0</v>
      </c>
      <c r="FH801" s="549">
        <v>0</v>
      </c>
      <c r="FI801" s="675">
        <v>0</v>
      </c>
      <c r="FJ801" s="549">
        <v>0</v>
      </c>
      <c r="FK801" s="675">
        <v>0</v>
      </c>
      <c r="FL801" s="549">
        <v>0</v>
      </c>
      <c r="FM801" s="675">
        <v>0</v>
      </c>
      <c r="FN801" s="549">
        <v>0</v>
      </c>
      <c r="FO801" s="675">
        <v>0</v>
      </c>
      <c r="FP801" s="549">
        <v>0</v>
      </c>
      <c r="FQ801" s="675">
        <v>0</v>
      </c>
      <c r="FR801" s="549">
        <v>0</v>
      </c>
      <c r="FS801" s="675">
        <v>0</v>
      </c>
      <c r="FT801" s="549">
        <v>0</v>
      </c>
      <c r="FU801" s="675">
        <v>0</v>
      </c>
      <c r="FV801" s="549">
        <v>0</v>
      </c>
      <c r="FW801" s="675">
        <v>0</v>
      </c>
      <c r="FX801" s="549">
        <v>0</v>
      </c>
      <c r="FY801" s="675">
        <v>0</v>
      </c>
      <c r="FZ801" s="549">
        <v>0</v>
      </c>
      <c r="GA801" s="675">
        <v>0</v>
      </c>
      <c r="GB801" s="549">
        <v>0</v>
      </c>
      <c r="GC801" s="675">
        <v>0</v>
      </c>
      <c r="GD801" s="549">
        <v>0</v>
      </c>
      <c r="GE801" s="675">
        <v>0</v>
      </c>
      <c r="GF801" s="549">
        <v>0</v>
      </c>
      <c r="GG801" s="675">
        <v>0</v>
      </c>
      <c r="GH801" s="549">
        <v>0</v>
      </c>
      <c r="GI801" s="675">
        <v>0</v>
      </c>
      <c r="GJ801" s="549">
        <v>0</v>
      </c>
      <c r="GK801" s="675">
        <v>0</v>
      </c>
      <c r="GL801" s="549">
        <v>0</v>
      </c>
      <c r="GM801" s="675">
        <v>0</v>
      </c>
      <c r="GN801" s="549">
        <v>0</v>
      </c>
      <c r="GO801" s="675">
        <v>0</v>
      </c>
      <c r="GP801" s="549">
        <f t="shared" si="17104"/>
        <v>0</v>
      </c>
      <c r="GQ801" s="675">
        <f t="shared" si="17105"/>
        <v>-2000</v>
      </c>
      <c r="GR801" s="74">
        <f t="shared" si="17106"/>
        <v>0</v>
      </c>
      <c r="GS801" s="74">
        <f t="shared" si="17107"/>
        <v>0</v>
      </c>
      <c r="GT801" s="568">
        <f t="shared" si="17108"/>
        <v>0</v>
      </c>
      <c r="GU801" s="275">
        <v>400</v>
      </c>
      <c r="GV801" s="275">
        <v>1600</v>
      </c>
      <c r="GW801" s="588"/>
      <c r="GX801" s="275">
        <f>600-600</f>
        <v>0</v>
      </c>
      <c r="GY801" s="275"/>
      <c r="GZ801" s="275"/>
      <c r="HA801" s="275">
        <f>600-600</f>
        <v>0</v>
      </c>
      <c r="HB801" s="275"/>
      <c r="HC801" s="275"/>
      <c r="HD801" s="275">
        <f>400-400</f>
        <v>0</v>
      </c>
      <c r="HE801" s="275">
        <v>0</v>
      </c>
      <c r="HF801" s="275">
        <v>0</v>
      </c>
      <c r="HG801" s="74">
        <f t="shared" si="17109"/>
        <v>0</v>
      </c>
      <c r="HH801" s="89">
        <v>0</v>
      </c>
      <c r="HI801" s="157">
        <v>0</v>
      </c>
      <c r="HJ801" s="89">
        <v>0</v>
      </c>
      <c r="HK801" s="157">
        <v>0</v>
      </c>
      <c r="HL801" s="89">
        <v>0</v>
      </c>
      <c r="HM801" s="157">
        <v>2000</v>
      </c>
      <c r="HN801" s="89">
        <v>0</v>
      </c>
      <c r="HO801" s="157">
        <v>0</v>
      </c>
      <c r="HP801" s="89">
        <v>0</v>
      </c>
      <c r="HQ801" s="157">
        <v>0</v>
      </c>
      <c r="HR801" s="89">
        <v>0</v>
      </c>
      <c r="HS801" s="157">
        <v>0</v>
      </c>
      <c r="HT801" s="89">
        <v>0</v>
      </c>
      <c r="HU801" s="157">
        <v>0</v>
      </c>
      <c r="HV801" s="89">
        <v>0</v>
      </c>
      <c r="HW801" s="157">
        <v>0</v>
      </c>
      <c r="HX801" s="89">
        <v>0</v>
      </c>
      <c r="HY801" s="157">
        <v>0</v>
      </c>
      <c r="HZ801" s="89">
        <v>0</v>
      </c>
      <c r="IA801" s="157">
        <v>0</v>
      </c>
      <c r="IB801" s="89">
        <v>0</v>
      </c>
      <c r="IC801" s="157">
        <v>0</v>
      </c>
      <c r="ID801" s="89">
        <v>0</v>
      </c>
      <c r="IE801" s="157">
        <v>0</v>
      </c>
      <c r="IF801" s="717">
        <f t="shared" si="17110"/>
        <v>0</v>
      </c>
      <c r="IG801" s="263">
        <f t="shared" si="17111"/>
        <v>0</v>
      </c>
      <c r="IH801" s="718">
        <f t="shared" si="17112"/>
        <v>0</v>
      </c>
      <c r="II801" s="89">
        <v>0</v>
      </c>
      <c r="IJ801" s="89">
        <f t="shared" si="17113"/>
        <v>0</v>
      </c>
      <c r="IK801" s="89">
        <f t="shared" si="17114"/>
        <v>0</v>
      </c>
      <c r="IL801" s="89">
        <v>0</v>
      </c>
      <c r="IM801" s="89">
        <f t="shared" si="17115"/>
        <v>0</v>
      </c>
      <c r="IN801" s="89">
        <f t="shared" si="17116"/>
        <v>0</v>
      </c>
      <c r="IO801" s="89">
        <v>0</v>
      </c>
      <c r="IP801" s="89">
        <f t="shared" si="17117"/>
        <v>0</v>
      </c>
      <c r="IQ801" s="89">
        <f t="shared" si="17118"/>
        <v>0</v>
      </c>
      <c r="IR801" s="89">
        <v>0</v>
      </c>
      <c r="IS801" s="89">
        <f t="shared" si="17119"/>
        <v>0</v>
      </c>
      <c r="IT801" s="89">
        <f t="shared" si="17120"/>
        <v>0</v>
      </c>
      <c r="IU801" s="89">
        <v>0</v>
      </c>
      <c r="IV801" s="89">
        <f t="shared" si="17121"/>
        <v>0</v>
      </c>
      <c r="IW801" s="89">
        <f t="shared" si="17122"/>
        <v>0</v>
      </c>
      <c r="IX801" s="89">
        <v>0</v>
      </c>
      <c r="IY801" s="89">
        <f t="shared" si="17123"/>
        <v>0</v>
      </c>
      <c r="IZ801" s="89">
        <f t="shared" si="17124"/>
        <v>0</v>
      </c>
      <c r="JA801" s="89">
        <v>0</v>
      </c>
      <c r="JB801" s="89">
        <f t="shared" si="17125"/>
        <v>0</v>
      </c>
      <c r="JC801" s="89">
        <f t="shared" si="17126"/>
        <v>0</v>
      </c>
      <c r="JD801" s="89">
        <v>0</v>
      </c>
      <c r="JE801" s="89">
        <f t="shared" si="17127"/>
        <v>0</v>
      </c>
      <c r="JF801" s="89">
        <f t="shared" si="17128"/>
        <v>0</v>
      </c>
      <c r="JG801" s="89">
        <v>0</v>
      </c>
      <c r="JH801" s="89">
        <f t="shared" si="17129"/>
        <v>0</v>
      </c>
      <c r="JI801" s="89">
        <f t="shared" si="17130"/>
        <v>0</v>
      </c>
      <c r="JJ801" s="89">
        <v>0</v>
      </c>
      <c r="JK801" s="89">
        <f t="shared" si="17131"/>
        <v>0</v>
      </c>
      <c r="JL801" s="89">
        <f t="shared" si="17132"/>
        <v>0</v>
      </c>
      <c r="JM801" s="89">
        <v>0</v>
      </c>
      <c r="JN801" s="89">
        <f t="shared" si="17133"/>
        <v>0</v>
      </c>
      <c r="JO801" s="89">
        <f t="shared" si="17134"/>
        <v>0</v>
      </c>
      <c r="JP801" s="89">
        <v>0</v>
      </c>
      <c r="JQ801" s="89">
        <f t="shared" ref="JQ801:JR801" si="17148">JP801</f>
        <v>0</v>
      </c>
      <c r="JR801" s="89">
        <f t="shared" si="17148"/>
        <v>0</v>
      </c>
      <c r="JS801" s="74">
        <f t="shared" si="17136"/>
        <v>0</v>
      </c>
      <c r="JT801" s="382">
        <f t="shared" si="17137"/>
        <v>0</v>
      </c>
      <c r="JU801" s="665"/>
      <c r="JV801" s="524"/>
      <c r="JW801" s="525"/>
      <c r="JX801" s="549">
        <f t="shared" si="17138"/>
        <v>0</v>
      </c>
      <c r="JY801" s="549">
        <f t="shared" si="15767"/>
        <v>2000</v>
      </c>
      <c r="JZ801" s="581">
        <f t="shared" si="16466"/>
        <v>0</v>
      </c>
      <c r="KA801" s="581">
        <f t="shared" si="16467"/>
        <v>-2000</v>
      </c>
      <c r="KB801" s="566">
        <f t="shared" si="17031"/>
        <v>0</v>
      </c>
      <c r="KC801" s="709">
        <f t="shared" si="16464"/>
        <v>0</v>
      </c>
      <c r="KD801" s="491"/>
      <c r="KE801" s="491"/>
      <c r="KF801" s="491"/>
      <c r="KG801" s="491"/>
      <c r="KH801" s="36"/>
      <c r="KI801" s="36"/>
      <c r="KJ801" s="36"/>
      <c r="KK801" s="36"/>
    </row>
    <row r="802" spans="1:297" s="10" customFormat="1" hidden="1">
      <c r="A802" s="612" t="s">
        <v>669</v>
      </c>
      <c r="B802" s="512" t="s">
        <v>990</v>
      </c>
      <c r="C802" s="74">
        <v>0</v>
      </c>
      <c r="D802" s="549">
        <v>0</v>
      </c>
      <c r="E802" s="675">
        <v>0</v>
      </c>
      <c r="F802" s="549">
        <v>0</v>
      </c>
      <c r="G802" s="675">
        <v>0</v>
      </c>
      <c r="H802" s="549">
        <v>0</v>
      </c>
      <c r="I802" s="675">
        <v>0</v>
      </c>
      <c r="J802" s="549">
        <v>0</v>
      </c>
      <c r="K802" s="675">
        <v>0</v>
      </c>
      <c r="L802" s="549">
        <v>0</v>
      </c>
      <c r="M802" s="675">
        <v>0</v>
      </c>
      <c r="N802" s="549">
        <v>0</v>
      </c>
      <c r="O802" s="675">
        <v>0</v>
      </c>
      <c r="P802" s="549">
        <v>0</v>
      </c>
      <c r="Q802" s="675">
        <v>0</v>
      </c>
      <c r="R802" s="549">
        <v>0</v>
      </c>
      <c r="S802" s="675">
        <v>0</v>
      </c>
      <c r="T802" s="549">
        <v>0</v>
      </c>
      <c r="U802" s="675">
        <v>0</v>
      </c>
      <c r="V802" s="549">
        <v>0</v>
      </c>
      <c r="W802" s="675">
        <v>0</v>
      </c>
      <c r="X802" s="549">
        <v>0</v>
      </c>
      <c r="Y802" s="675">
        <v>0</v>
      </c>
      <c r="Z802" s="549">
        <v>0</v>
      </c>
      <c r="AA802" s="675">
        <v>0</v>
      </c>
      <c r="AB802" s="549">
        <v>0</v>
      </c>
      <c r="AC802" s="675">
        <v>0</v>
      </c>
      <c r="AD802" s="549">
        <v>0</v>
      </c>
      <c r="AE802" s="675">
        <v>0</v>
      </c>
      <c r="AF802" s="549">
        <v>0</v>
      </c>
      <c r="AG802" s="675">
        <v>0</v>
      </c>
      <c r="AH802" s="549">
        <v>0</v>
      </c>
      <c r="AI802" s="675">
        <v>0</v>
      </c>
      <c r="AJ802" s="549">
        <v>0</v>
      </c>
      <c r="AK802" s="675">
        <v>0</v>
      </c>
      <c r="AL802" s="549">
        <v>0</v>
      </c>
      <c r="AM802" s="675">
        <v>0</v>
      </c>
      <c r="AN802" s="549">
        <v>0</v>
      </c>
      <c r="AO802" s="675">
        <v>0</v>
      </c>
      <c r="AP802" s="549">
        <v>0</v>
      </c>
      <c r="AQ802" s="675">
        <v>0</v>
      </c>
      <c r="AR802" s="549">
        <v>0</v>
      </c>
      <c r="AS802" s="675">
        <v>0</v>
      </c>
      <c r="AT802" s="549">
        <v>0</v>
      </c>
      <c r="AU802" s="675">
        <v>0</v>
      </c>
      <c r="AV802" s="549">
        <v>0</v>
      </c>
      <c r="AW802" s="675">
        <v>0</v>
      </c>
      <c r="AX802" s="549">
        <v>0</v>
      </c>
      <c r="AY802" s="675">
        <v>0</v>
      </c>
      <c r="AZ802" s="549">
        <v>0</v>
      </c>
      <c r="BA802" s="675">
        <v>0</v>
      </c>
      <c r="BB802" s="549">
        <v>0</v>
      </c>
      <c r="BC802" s="675">
        <v>0</v>
      </c>
      <c r="BD802" s="549">
        <v>0</v>
      </c>
      <c r="BE802" s="675">
        <v>0</v>
      </c>
      <c r="BF802" s="549">
        <v>0</v>
      </c>
      <c r="BG802" s="675">
        <v>0</v>
      </c>
      <c r="BH802" s="549">
        <v>0</v>
      </c>
      <c r="BI802" s="675">
        <v>0</v>
      </c>
      <c r="BJ802" s="549">
        <v>0</v>
      </c>
      <c r="BK802" s="675">
        <v>0</v>
      </c>
      <c r="BL802" s="549">
        <v>0</v>
      </c>
      <c r="BM802" s="675">
        <v>0</v>
      </c>
      <c r="BN802" s="549">
        <v>0</v>
      </c>
      <c r="BO802" s="675">
        <v>0</v>
      </c>
      <c r="BP802" s="549">
        <v>0</v>
      </c>
      <c r="BQ802" s="675">
        <v>0</v>
      </c>
      <c r="BR802" s="549">
        <v>0</v>
      </c>
      <c r="BS802" s="675">
        <v>0</v>
      </c>
      <c r="BT802" s="549">
        <v>0</v>
      </c>
      <c r="BU802" s="675">
        <v>0</v>
      </c>
      <c r="BV802" s="549">
        <v>0</v>
      </c>
      <c r="BW802" s="675">
        <v>0</v>
      </c>
      <c r="BX802" s="549">
        <v>0</v>
      </c>
      <c r="BY802" s="675">
        <v>0</v>
      </c>
      <c r="BZ802" s="549">
        <v>0</v>
      </c>
      <c r="CA802" s="675">
        <v>0</v>
      </c>
      <c r="CB802" s="549">
        <v>0</v>
      </c>
      <c r="CC802" s="675">
        <v>0</v>
      </c>
      <c r="CD802" s="549">
        <v>0</v>
      </c>
      <c r="CE802" s="675">
        <v>0</v>
      </c>
      <c r="CF802" s="549">
        <v>0</v>
      </c>
      <c r="CG802" s="675">
        <v>0</v>
      </c>
      <c r="CH802" s="549">
        <v>0</v>
      </c>
      <c r="CI802" s="675">
        <v>0</v>
      </c>
      <c r="CJ802" s="549">
        <v>0</v>
      </c>
      <c r="CK802" s="675">
        <v>0</v>
      </c>
      <c r="CL802" s="549">
        <v>0</v>
      </c>
      <c r="CM802" s="675">
        <v>0</v>
      </c>
      <c r="CN802" s="549">
        <v>0</v>
      </c>
      <c r="CO802" s="675">
        <v>0</v>
      </c>
      <c r="CP802" s="549">
        <v>0</v>
      </c>
      <c r="CQ802" s="675">
        <v>0</v>
      </c>
      <c r="CR802" s="549">
        <v>0</v>
      </c>
      <c r="CS802" s="675">
        <v>0</v>
      </c>
      <c r="CT802" s="549">
        <v>0</v>
      </c>
      <c r="CU802" s="675">
        <v>0</v>
      </c>
      <c r="CV802" s="549">
        <v>0</v>
      </c>
      <c r="CW802" s="675">
        <v>0</v>
      </c>
      <c r="CX802" s="549">
        <v>0</v>
      </c>
      <c r="CY802" s="675">
        <v>0</v>
      </c>
      <c r="CZ802" s="549">
        <v>0</v>
      </c>
      <c r="DA802" s="675">
        <v>0</v>
      </c>
      <c r="DB802" s="549">
        <v>0</v>
      </c>
      <c r="DC802" s="675">
        <v>0</v>
      </c>
      <c r="DD802" s="549">
        <v>0</v>
      </c>
      <c r="DE802" s="675">
        <v>0</v>
      </c>
      <c r="DF802" s="549">
        <v>0</v>
      </c>
      <c r="DG802" s="675">
        <v>0</v>
      </c>
      <c r="DH802" s="549">
        <v>0</v>
      </c>
      <c r="DI802" s="675">
        <v>0</v>
      </c>
      <c r="DJ802" s="549">
        <v>0</v>
      </c>
      <c r="DK802" s="675">
        <v>0</v>
      </c>
      <c r="DL802" s="549">
        <v>0</v>
      </c>
      <c r="DM802" s="675">
        <v>0</v>
      </c>
      <c r="DN802" s="549">
        <v>0</v>
      </c>
      <c r="DO802" s="675">
        <v>0</v>
      </c>
      <c r="DP802" s="549">
        <v>0</v>
      </c>
      <c r="DQ802" s="675">
        <v>0</v>
      </c>
      <c r="DR802" s="549">
        <v>0</v>
      </c>
      <c r="DS802" s="675">
        <v>0</v>
      </c>
      <c r="DT802" s="549">
        <v>0</v>
      </c>
      <c r="DU802" s="675">
        <v>0</v>
      </c>
      <c r="DV802" s="549">
        <v>0</v>
      </c>
      <c r="DW802" s="675">
        <v>0</v>
      </c>
      <c r="DX802" s="549">
        <v>0</v>
      </c>
      <c r="DY802" s="675">
        <v>0</v>
      </c>
      <c r="DZ802" s="549">
        <v>0</v>
      </c>
      <c r="EA802" s="675">
        <v>0</v>
      </c>
      <c r="EB802" s="549">
        <v>0</v>
      </c>
      <c r="EC802" s="675">
        <v>0</v>
      </c>
      <c r="ED802" s="549">
        <v>0</v>
      </c>
      <c r="EE802" s="675">
        <v>0</v>
      </c>
      <c r="EF802" s="549">
        <v>0</v>
      </c>
      <c r="EG802" s="675">
        <v>0</v>
      </c>
      <c r="EH802" s="549">
        <v>0</v>
      </c>
      <c r="EI802" s="675">
        <v>0</v>
      </c>
      <c r="EJ802" s="549">
        <v>0</v>
      </c>
      <c r="EK802" s="675">
        <v>0</v>
      </c>
      <c r="EL802" s="549">
        <v>0</v>
      </c>
      <c r="EM802" s="675">
        <v>0</v>
      </c>
      <c r="EN802" s="549">
        <v>0</v>
      </c>
      <c r="EO802" s="675">
        <v>0</v>
      </c>
      <c r="EP802" s="549">
        <v>0</v>
      </c>
      <c r="EQ802" s="675">
        <v>0</v>
      </c>
      <c r="ER802" s="549">
        <v>0</v>
      </c>
      <c r="ES802" s="675">
        <v>0</v>
      </c>
      <c r="ET802" s="549">
        <v>0</v>
      </c>
      <c r="EU802" s="675">
        <v>0</v>
      </c>
      <c r="EV802" s="549">
        <v>0</v>
      </c>
      <c r="EW802" s="675">
        <v>0</v>
      </c>
      <c r="EX802" s="549">
        <v>0</v>
      </c>
      <c r="EY802" s="675">
        <v>0</v>
      </c>
      <c r="EZ802" s="549">
        <v>0</v>
      </c>
      <c r="FA802" s="675">
        <v>0</v>
      </c>
      <c r="FB802" s="549">
        <v>0</v>
      </c>
      <c r="FC802" s="675">
        <v>0</v>
      </c>
      <c r="FD802" s="549">
        <v>0</v>
      </c>
      <c r="FE802" s="675">
        <v>0</v>
      </c>
      <c r="FF802" s="549">
        <v>0</v>
      </c>
      <c r="FG802" s="675">
        <v>0</v>
      </c>
      <c r="FH802" s="549">
        <v>0</v>
      </c>
      <c r="FI802" s="675">
        <v>0</v>
      </c>
      <c r="FJ802" s="549">
        <v>0</v>
      </c>
      <c r="FK802" s="675">
        <v>0</v>
      </c>
      <c r="FL802" s="549">
        <v>0</v>
      </c>
      <c r="FM802" s="675">
        <v>0</v>
      </c>
      <c r="FN802" s="549">
        <v>0</v>
      </c>
      <c r="FO802" s="675">
        <v>0</v>
      </c>
      <c r="FP802" s="549">
        <v>0</v>
      </c>
      <c r="FQ802" s="675">
        <v>0</v>
      </c>
      <c r="FR802" s="549">
        <v>0</v>
      </c>
      <c r="FS802" s="675">
        <v>0</v>
      </c>
      <c r="FT802" s="549">
        <v>0</v>
      </c>
      <c r="FU802" s="675">
        <v>0</v>
      </c>
      <c r="FV802" s="549">
        <v>0</v>
      </c>
      <c r="FW802" s="675">
        <v>0</v>
      </c>
      <c r="FX802" s="549">
        <v>0</v>
      </c>
      <c r="FY802" s="675">
        <v>0</v>
      </c>
      <c r="FZ802" s="549">
        <v>0</v>
      </c>
      <c r="GA802" s="675">
        <v>0</v>
      </c>
      <c r="GB802" s="549">
        <v>0</v>
      </c>
      <c r="GC802" s="675">
        <v>0</v>
      </c>
      <c r="GD802" s="549">
        <v>0</v>
      </c>
      <c r="GE802" s="675">
        <v>0</v>
      </c>
      <c r="GF802" s="549">
        <v>0</v>
      </c>
      <c r="GG802" s="675">
        <v>0</v>
      </c>
      <c r="GH802" s="549">
        <v>0</v>
      </c>
      <c r="GI802" s="675">
        <v>0</v>
      </c>
      <c r="GJ802" s="549">
        <v>0</v>
      </c>
      <c r="GK802" s="675">
        <v>0</v>
      </c>
      <c r="GL802" s="549">
        <v>0</v>
      </c>
      <c r="GM802" s="675">
        <v>0</v>
      </c>
      <c r="GN802" s="549">
        <v>0</v>
      </c>
      <c r="GO802" s="675">
        <v>0</v>
      </c>
      <c r="GP802" s="549">
        <f t="shared" si="17104"/>
        <v>0</v>
      </c>
      <c r="GQ802" s="675">
        <f t="shared" si="17105"/>
        <v>0</v>
      </c>
      <c r="GR802" s="74">
        <f t="shared" si="17106"/>
        <v>0</v>
      </c>
      <c r="GS802" s="74">
        <f t="shared" si="17107"/>
        <v>0</v>
      </c>
      <c r="GT802" s="568">
        <f t="shared" si="17108"/>
        <v>0</v>
      </c>
      <c r="GU802" s="275"/>
      <c r="GV802" s="275"/>
      <c r="GW802" s="588"/>
      <c r="GX802" s="275"/>
      <c r="GY802" s="275"/>
      <c r="GZ802" s="275"/>
      <c r="HA802" s="275"/>
      <c r="HB802" s="275"/>
      <c r="HC802" s="275"/>
      <c r="HD802" s="275"/>
      <c r="HE802" s="275">
        <v>0</v>
      </c>
      <c r="HF802" s="275">
        <v>0</v>
      </c>
      <c r="HG802" s="74">
        <f t="shared" si="17109"/>
        <v>0</v>
      </c>
      <c r="HH802" s="89">
        <v>0</v>
      </c>
      <c r="HI802" s="157">
        <v>0</v>
      </c>
      <c r="HJ802" s="89">
        <v>0</v>
      </c>
      <c r="HK802" s="157">
        <v>0</v>
      </c>
      <c r="HL802" s="89">
        <v>0</v>
      </c>
      <c r="HM802" s="157">
        <v>0</v>
      </c>
      <c r="HN802" s="89">
        <v>0</v>
      </c>
      <c r="HO802" s="157">
        <v>0</v>
      </c>
      <c r="HP802" s="89">
        <v>0</v>
      </c>
      <c r="HQ802" s="157">
        <v>0</v>
      </c>
      <c r="HR802" s="89">
        <v>0</v>
      </c>
      <c r="HS802" s="157">
        <v>0</v>
      </c>
      <c r="HT802" s="89">
        <v>0</v>
      </c>
      <c r="HU802" s="157">
        <v>0</v>
      </c>
      <c r="HV802" s="89">
        <v>0</v>
      </c>
      <c r="HW802" s="157">
        <v>0</v>
      </c>
      <c r="HX802" s="89">
        <v>0</v>
      </c>
      <c r="HY802" s="157">
        <v>0</v>
      </c>
      <c r="HZ802" s="89">
        <v>0</v>
      </c>
      <c r="IA802" s="157">
        <v>0</v>
      </c>
      <c r="IB802" s="89">
        <v>0</v>
      </c>
      <c r="IC802" s="157">
        <v>0</v>
      </c>
      <c r="ID802" s="89">
        <v>0</v>
      </c>
      <c r="IE802" s="157">
        <v>0</v>
      </c>
      <c r="IF802" s="717">
        <f t="shared" si="17110"/>
        <v>0</v>
      </c>
      <c r="IG802" s="263">
        <f t="shared" si="17111"/>
        <v>0</v>
      </c>
      <c r="IH802" s="718">
        <f t="shared" si="17112"/>
        <v>0</v>
      </c>
      <c r="II802" s="89">
        <v>0</v>
      </c>
      <c r="IJ802" s="89">
        <f t="shared" si="17113"/>
        <v>0</v>
      </c>
      <c r="IK802" s="89">
        <f t="shared" si="17114"/>
        <v>0</v>
      </c>
      <c r="IL802" s="89">
        <v>0</v>
      </c>
      <c r="IM802" s="89">
        <f t="shared" si="17115"/>
        <v>0</v>
      </c>
      <c r="IN802" s="89">
        <f t="shared" si="17116"/>
        <v>0</v>
      </c>
      <c r="IO802" s="89">
        <v>0</v>
      </c>
      <c r="IP802" s="89">
        <f t="shared" si="17117"/>
        <v>0</v>
      </c>
      <c r="IQ802" s="89">
        <f t="shared" si="17118"/>
        <v>0</v>
      </c>
      <c r="IR802" s="89">
        <v>0</v>
      </c>
      <c r="IS802" s="89">
        <f t="shared" si="17119"/>
        <v>0</v>
      </c>
      <c r="IT802" s="89">
        <f t="shared" si="17120"/>
        <v>0</v>
      </c>
      <c r="IU802" s="89">
        <v>0</v>
      </c>
      <c r="IV802" s="89">
        <f t="shared" si="17121"/>
        <v>0</v>
      </c>
      <c r="IW802" s="89">
        <f t="shared" si="17122"/>
        <v>0</v>
      </c>
      <c r="IX802" s="89">
        <v>0</v>
      </c>
      <c r="IY802" s="89">
        <f t="shared" si="17123"/>
        <v>0</v>
      </c>
      <c r="IZ802" s="89">
        <f t="shared" si="17124"/>
        <v>0</v>
      </c>
      <c r="JA802" s="89">
        <v>0</v>
      </c>
      <c r="JB802" s="89">
        <f t="shared" si="17125"/>
        <v>0</v>
      </c>
      <c r="JC802" s="89">
        <f t="shared" si="17126"/>
        <v>0</v>
      </c>
      <c r="JD802" s="89">
        <v>0</v>
      </c>
      <c r="JE802" s="89">
        <f t="shared" si="17127"/>
        <v>0</v>
      </c>
      <c r="JF802" s="89">
        <f t="shared" si="17128"/>
        <v>0</v>
      </c>
      <c r="JG802" s="89">
        <v>0</v>
      </c>
      <c r="JH802" s="89">
        <f t="shared" si="17129"/>
        <v>0</v>
      </c>
      <c r="JI802" s="89">
        <f t="shared" si="17130"/>
        <v>0</v>
      </c>
      <c r="JJ802" s="89">
        <v>0</v>
      </c>
      <c r="JK802" s="89">
        <f t="shared" si="17131"/>
        <v>0</v>
      </c>
      <c r="JL802" s="89">
        <f t="shared" si="17132"/>
        <v>0</v>
      </c>
      <c r="JM802" s="89">
        <v>0</v>
      </c>
      <c r="JN802" s="89">
        <f t="shared" si="17133"/>
        <v>0</v>
      </c>
      <c r="JO802" s="89">
        <f t="shared" si="17134"/>
        <v>0</v>
      </c>
      <c r="JP802" s="89">
        <v>0</v>
      </c>
      <c r="JQ802" s="89">
        <f t="shared" ref="JQ802:JR802" si="17149">JP802</f>
        <v>0</v>
      </c>
      <c r="JR802" s="89">
        <f t="shared" si="17149"/>
        <v>0</v>
      </c>
      <c r="JS802" s="74">
        <f t="shared" si="17136"/>
        <v>0</v>
      </c>
      <c r="JT802" s="382">
        <f t="shared" si="17137"/>
        <v>0</v>
      </c>
      <c r="JU802" s="665"/>
      <c r="JV802" s="524"/>
      <c r="JW802" s="525"/>
      <c r="JX802" s="549">
        <f t="shared" si="17138"/>
        <v>0</v>
      </c>
      <c r="JY802" s="549">
        <f t="shared" si="15767"/>
        <v>0</v>
      </c>
      <c r="JZ802" s="581">
        <f t="shared" si="16466"/>
        <v>0</v>
      </c>
      <c r="KA802" s="581">
        <f t="shared" si="16467"/>
        <v>0</v>
      </c>
      <c r="KB802" s="566">
        <f t="shared" si="17031"/>
        <v>0</v>
      </c>
      <c r="KC802" s="709">
        <f t="shared" si="16464"/>
        <v>0</v>
      </c>
      <c r="KD802" s="491"/>
      <c r="KE802" s="491"/>
      <c r="KF802" s="491"/>
      <c r="KG802" s="491"/>
      <c r="KH802" s="36"/>
      <c r="KI802" s="36"/>
      <c r="KJ802" s="36"/>
      <c r="KK802" s="36"/>
    </row>
    <row r="803" spans="1:297" s="10" customFormat="1" hidden="1">
      <c r="A803" s="612" t="s">
        <v>1171</v>
      </c>
      <c r="B803" s="512" t="s">
        <v>110</v>
      </c>
      <c r="C803" s="74">
        <v>0</v>
      </c>
      <c r="D803" s="549">
        <v>0</v>
      </c>
      <c r="E803" s="675">
        <v>0</v>
      </c>
      <c r="F803" s="549">
        <v>0</v>
      </c>
      <c r="G803" s="675">
        <v>0</v>
      </c>
      <c r="H803" s="549">
        <v>0</v>
      </c>
      <c r="I803" s="675">
        <v>0</v>
      </c>
      <c r="J803" s="549">
        <v>0</v>
      </c>
      <c r="K803" s="675">
        <v>0</v>
      </c>
      <c r="L803" s="549">
        <v>0</v>
      </c>
      <c r="M803" s="675">
        <v>0</v>
      </c>
      <c r="N803" s="549">
        <v>0</v>
      </c>
      <c r="O803" s="675">
        <v>0</v>
      </c>
      <c r="P803" s="549">
        <v>0</v>
      </c>
      <c r="Q803" s="675">
        <v>0</v>
      </c>
      <c r="R803" s="549">
        <v>0</v>
      </c>
      <c r="S803" s="675">
        <v>0</v>
      </c>
      <c r="T803" s="549">
        <v>0</v>
      </c>
      <c r="U803" s="675">
        <v>0</v>
      </c>
      <c r="V803" s="549">
        <v>0</v>
      </c>
      <c r="W803" s="675">
        <v>0</v>
      </c>
      <c r="X803" s="549">
        <v>0</v>
      </c>
      <c r="Y803" s="675">
        <v>0</v>
      </c>
      <c r="Z803" s="549">
        <v>0</v>
      </c>
      <c r="AA803" s="675">
        <v>0</v>
      </c>
      <c r="AB803" s="549">
        <v>0</v>
      </c>
      <c r="AC803" s="675">
        <v>0</v>
      </c>
      <c r="AD803" s="549">
        <v>0</v>
      </c>
      <c r="AE803" s="675">
        <v>0</v>
      </c>
      <c r="AF803" s="549">
        <v>0</v>
      </c>
      <c r="AG803" s="675">
        <v>0</v>
      </c>
      <c r="AH803" s="549">
        <v>0</v>
      </c>
      <c r="AI803" s="675">
        <v>0</v>
      </c>
      <c r="AJ803" s="549">
        <v>0</v>
      </c>
      <c r="AK803" s="675">
        <v>0</v>
      </c>
      <c r="AL803" s="549">
        <v>0</v>
      </c>
      <c r="AM803" s="675">
        <v>0</v>
      </c>
      <c r="AN803" s="549">
        <v>0</v>
      </c>
      <c r="AO803" s="675">
        <v>0</v>
      </c>
      <c r="AP803" s="549">
        <v>0</v>
      </c>
      <c r="AQ803" s="675">
        <v>0</v>
      </c>
      <c r="AR803" s="549">
        <v>0</v>
      </c>
      <c r="AS803" s="675">
        <v>0</v>
      </c>
      <c r="AT803" s="549">
        <v>0</v>
      </c>
      <c r="AU803" s="675">
        <v>0</v>
      </c>
      <c r="AV803" s="549">
        <v>0</v>
      </c>
      <c r="AW803" s="675">
        <v>0</v>
      </c>
      <c r="AX803" s="549">
        <v>0</v>
      </c>
      <c r="AY803" s="675">
        <v>0</v>
      </c>
      <c r="AZ803" s="549">
        <v>0</v>
      </c>
      <c r="BA803" s="675">
        <v>0</v>
      </c>
      <c r="BB803" s="549">
        <v>0</v>
      </c>
      <c r="BC803" s="675">
        <v>0</v>
      </c>
      <c r="BD803" s="549">
        <v>0</v>
      </c>
      <c r="BE803" s="675">
        <v>0</v>
      </c>
      <c r="BF803" s="549">
        <v>0</v>
      </c>
      <c r="BG803" s="675">
        <v>0</v>
      </c>
      <c r="BH803" s="549">
        <v>0</v>
      </c>
      <c r="BI803" s="675">
        <v>0</v>
      </c>
      <c r="BJ803" s="549">
        <v>0</v>
      </c>
      <c r="BK803" s="675">
        <v>0</v>
      </c>
      <c r="BL803" s="549">
        <v>0</v>
      </c>
      <c r="BM803" s="675">
        <v>0</v>
      </c>
      <c r="BN803" s="549">
        <v>0</v>
      </c>
      <c r="BO803" s="675">
        <v>0</v>
      </c>
      <c r="BP803" s="549">
        <v>0</v>
      </c>
      <c r="BQ803" s="675">
        <v>0</v>
      </c>
      <c r="BR803" s="549">
        <v>0</v>
      </c>
      <c r="BS803" s="675">
        <v>0</v>
      </c>
      <c r="BT803" s="549">
        <v>0</v>
      </c>
      <c r="BU803" s="675">
        <v>0</v>
      </c>
      <c r="BV803" s="549">
        <v>0</v>
      </c>
      <c r="BW803" s="675">
        <v>0</v>
      </c>
      <c r="BX803" s="549">
        <v>0</v>
      </c>
      <c r="BY803" s="675">
        <v>0</v>
      </c>
      <c r="BZ803" s="549">
        <v>0</v>
      </c>
      <c r="CA803" s="675">
        <v>0</v>
      </c>
      <c r="CB803" s="549">
        <v>0</v>
      </c>
      <c r="CC803" s="675">
        <v>0</v>
      </c>
      <c r="CD803" s="549">
        <v>0</v>
      </c>
      <c r="CE803" s="675">
        <v>0</v>
      </c>
      <c r="CF803" s="549">
        <v>0</v>
      </c>
      <c r="CG803" s="675">
        <v>0</v>
      </c>
      <c r="CH803" s="549">
        <v>0</v>
      </c>
      <c r="CI803" s="675">
        <v>0</v>
      </c>
      <c r="CJ803" s="549">
        <v>0</v>
      </c>
      <c r="CK803" s="675">
        <v>0</v>
      </c>
      <c r="CL803" s="549">
        <v>0</v>
      </c>
      <c r="CM803" s="675">
        <v>0</v>
      </c>
      <c r="CN803" s="549">
        <v>0</v>
      </c>
      <c r="CO803" s="675">
        <v>0</v>
      </c>
      <c r="CP803" s="549">
        <v>0</v>
      </c>
      <c r="CQ803" s="675">
        <v>0</v>
      </c>
      <c r="CR803" s="549">
        <v>0</v>
      </c>
      <c r="CS803" s="675">
        <v>0</v>
      </c>
      <c r="CT803" s="549">
        <v>0</v>
      </c>
      <c r="CU803" s="675">
        <v>0</v>
      </c>
      <c r="CV803" s="549">
        <v>0</v>
      </c>
      <c r="CW803" s="675">
        <v>0</v>
      </c>
      <c r="CX803" s="549">
        <v>0</v>
      </c>
      <c r="CY803" s="675">
        <v>0</v>
      </c>
      <c r="CZ803" s="549">
        <v>0</v>
      </c>
      <c r="DA803" s="675">
        <v>0</v>
      </c>
      <c r="DB803" s="549">
        <v>0</v>
      </c>
      <c r="DC803" s="675">
        <v>0</v>
      </c>
      <c r="DD803" s="549">
        <v>0</v>
      </c>
      <c r="DE803" s="675">
        <v>0</v>
      </c>
      <c r="DF803" s="549">
        <v>0</v>
      </c>
      <c r="DG803" s="675">
        <v>0</v>
      </c>
      <c r="DH803" s="549">
        <v>0</v>
      </c>
      <c r="DI803" s="675">
        <v>0</v>
      </c>
      <c r="DJ803" s="549">
        <v>0</v>
      </c>
      <c r="DK803" s="675">
        <v>0</v>
      </c>
      <c r="DL803" s="549">
        <v>0</v>
      </c>
      <c r="DM803" s="675">
        <v>0</v>
      </c>
      <c r="DN803" s="549">
        <v>0</v>
      </c>
      <c r="DO803" s="675">
        <v>0</v>
      </c>
      <c r="DP803" s="549">
        <v>0</v>
      </c>
      <c r="DQ803" s="675">
        <v>0</v>
      </c>
      <c r="DR803" s="549">
        <v>0</v>
      </c>
      <c r="DS803" s="675">
        <v>0</v>
      </c>
      <c r="DT803" s="549">
        <v>0</v>
      </c>
      <c r="DU803" s="675">
        <v>0</v>
      </c>
      <c r="DV803" s="549">
        <v>0</v>
      </c>
      <c r="DW803" s="675">
        <v>0</v>
      </c>
      <c r="DX803" s="549">
        <v>0</v>
      </c>
      <c r="DY803" s="675">
        <v>0</v>
      </c>
      <c r="DZ803" s="549">
        <v>0</v>
      </c>
      <c r="EA803" s="675">
        <v>0</v>
      </c>
      <c r="EB803" s="549">
        <v>0</v>
      </c>
      <c r="EC803" s="675">
        <v>0</v>
      </c>
      <c r="ED803" s="549">
        <v>0</v>
      </c>
      <c r="EE803" s="675">
        <v>0</v>
      </c>
      <c r="EF803" s="549">
        <v>0</v>
      </c>
      <c r="EG803" s="675">
        <v>0</v>
      </c>
      <c r="EH803" s="549">
        <v>0</v>
      </c>
      <c r="EI803" s="675">
        <v>0</v>
      </c>
      <c r="EJ803" s="549">
        <v>0</v>
      </c>
      <c r="EK803" s="675">
        <v>0</v>
      </c>
      <c r="EL803" s="549">
        <v>0</v>
      </c>
      <c r="EM803" s="675">
        <v>0</v>
      </c>
      <c r="EN803" s="549">
        <v>0</v>
      </c>
      <c r="EO803" s="675">
        <v>0</v>
      </c>
      <c r="EP803" s="549">
        <v>0</v>
      </c>
      <c r="EQ803" s="675">
        <v>0</v>
      </c>
      <c r="ER803" s="549">
        <v>0</v>
      </c>
      <c r="ES803" s="675">
        <v>0</v>
      </c>
      <c r="ET803" s="549">
        <v>0</v>
      </c>
      <c r="EU803" s="675">
        <v>0</v>
      </c>
      <c r="EV803" s="549">
        <v>0</v>
      </c>
      <c r="EW803" s="675">
        <v>0</v>
      </c>
      <c r="EX803" s="549">
        <v>0</v>
      </c>
      <c r="EY803" s="675">
        <v>0</v>
      </c>
      <c r="EZ803" s="549">
        <v>0</v>
      </c>
      <c r="FA803" s="675">
        <v>0</v>
      </c>
      <c r="FB803" s="549">
        <v>0</v>
      </c>
      <c r="FC803" s="675">
        <v>0</v>
      </c>
      <c r="FD803" s="549">
        <v>0</v>
      </c>
      <c r="FE803" s="675">
        <v>0</v>
      </c>
      <c r="FF803" s="549">
        <v>0</v>
      </c>
      <c r="FG803" s="675">
        <v>0</v>
      </c>
      <c r="FH803" s="549">
        <v>0</v>
      </c>
      <c r="FI803" s="675">
        <v>0</v>
      </c>
      <c r="FJ803" s="549">
        <v>0</v>
      </c>
      <c r="FK803" s="675">
        <v>0</v>
      </c>
      <c r="FL803" s="549">
        <v>0</v>
      </c>
      <c r="FM803" s="675">
        <v>0</v>
      </c>
      <c r="FN803" s="549">
        <v>0</v>
      </c>
      <c r="FO803" s="675">
        <v>0</v>
      </c>
      <c r="FP803" s="549">
        <v>0</v>
      </c>
      <c r="FQ803" s="675">
        <v>0</v>
      </c>
      <c r="FR803" s="549">
        <v>0</v>
      </c>
      <c r="FS803" s="675">
        <v>0</v>
      </c>
      <c r="FT803" s="549">
        <v>0</v>
      </c>
      <c r="FU803" s="675">
        <v>0</v>
      </c>
      <c r="FV803" s="549">
        <v>0</v>
      </c>
      <c r="FW803" s="675">
        <v>0</v>
      </c>
      <c r="FX803" s="549">
        <v>0</v>
      </c>
      <c r="FY803" s="675">
        <v>0</v>
      </c>
      <c r="FZ803" s="549">
        <v>0</v>
      </c>
      <c r="GA803" s="675">
        <v>0</v>
      </c>
      <c r="GB803" s="549">
        <v>0</v>
      </c>
      <c r="GC803" s="675">
        <v>0</v>
      </c>
      <c r="GD803" s="549">
        <v>0</v>
      </c>
      <c r="GE803" s="675">
        <v>0</v>
      </c>
      <c r="GF803" s="549">
        <v>0</v>
      </c>
      <c r="GG803" s="675">
        <v>0</v>
      </c>
      <c r="GH803" s="549">
        <v>0</v>
      </c>
      <c r="GI803" s="675">
        <v>0</v>
      </c>
      <c r="GJ803" s="549">
        <v>0</v>
      </c>
      <c r="GK803" s="675">
        <v>0</v>
      </c>
      <c r="GL803" s="549">
        <v>0</v>
      </c>
      <c r="GM803" s="675">
        <v>0</v>
      </c>
      <c r="GN803" s="549">
        <v>0</v>
      </c>
      <c r="GO803" s="675">
        <v>0</v>
      </c>
      <c r="GP803" s="549">
        <f t="shared" si="17104"/>
        <v>0</v>
      </c>
      <c r="GQ803" s="675">
        <f t="shared" si="17105"/>
        <v>0</v>
      </c>
      <c r="GR803" s="74">
        <f t="shared" si="17106"/>
        <v>0</v>
      </c>
      <c r="GS803" s="74">
        <f t="shared" si="17107"/>
        <v>0</v>
      </c>
      <c r="GT803" s="568">
        <f t="shared" si="17108"/>
        <v>0</v>
      </c>
      <c r="GU803" s="275"/>
      <c r="GV803" s="275"/>
      <c r="GW803" s="588"/>
      <c r="GX803" s="275"/>
      <c r="GY803" s="275"/>
      <c r="GZ803" s="275"/>
      <c r="HA803" s="275"/>
      <c r="HB803" s="275"/>
      <c r="HC803" s="275"/>
      <c r="HD803" s="275"/>
      <c r="HE803" s="275"/>
      <c r="HF803" s="275"/>
      <c r="HG803" s="74">
        <f t="shared" si="17109"/>
        <v>0</v>
      </c>
      <c r="HH803" s="89">
        <v>0</v>
      </c>
      <c r="HI803" s="157">
        <v>0</v>
      </c>
      <c r="HJ803" s="89">
        <v>0</v>
      </c>
      <c r="HK803" s="157">
        <v>0</v>
      </c>
      <c r="HL803" s="89">
        <v>0</v>
      </c>
      <c r="HM803" s="157">
        <v>0</v>
      </c>
      <c r="HN803" s="89">
        <v>0</v>
      </c>
      <c r="HO803" s="157">
        <v>0</v>
      </c>
      <c r="HP803" s="89">
        <v>0</v>
      </c>
      <c r="HQ803" s="157">
        <v>0</v>
      </c>
      <c r="HR803" s="89">
        <v>0</v>
      </c>
      <c r="HS803" s="157">
        <v>0</v>
      </c>
      <c r="HT803" s="89">
        <v>0</v>
      </c>
      <c r="HU803" s="157">
        <v>0</v>
      </c>
      <c r="HV803" s="89">
        <v>0</v>
      </c>
      <c r="HW803" s="157">
        <v>0</v>
      </c>
      <c r="HX803" s="89">
        <v>0</v>
      </c>
      <c r="HY803" s="157">
        <v>0</v>
      </c>
      <c r="HZ803" s="89">
        <v>0</v>
      </c>
      <c r="IA803" s="157">
        <v>0</v>
      </c>
      <c r="IB803" s="89">
        <v>0</v>
      </c>
      <c r="IC803" s="157">
        <v>0</v>
      </c>
      <c r="ID803" s="89">
        <v>0</v>
      </c>
      <c r="IE803" s="157">
        <v>0</v>
      </c>
      <c r="IF803" s="717">
        <f t="shared" si="17110"/>
        <v>0</v>
      </c>
      <c r="IG803" s="263">
        <f t="shared" si="17111"/>
        <v>0</v>
      </c>
      <c r="IH803" s="718">
        <f t="shared" si="17112"/>
        <v>0</v>
      </c>
      <c r="II803" s="89">
        <v>0</v>
      </c>
      <c r="IJ803" s="89">
        <f t="shared" si="17113"/>
        <v>0</v>
      </c>
      <c r="IK803" s="89">
        <f t="shared" si="17114"/>
        <v>0</v>
      </c>
      <c r="IL803" s="89">
        <v>0</v>
      </c>
      <c r="IM803" s="89">
        <f t="shared" si="17115"/>
        <v>0</v>
      </c>
      <c r="IN803" s="89">
        <f t="shared" si="17116"/>
        <v>0</v>
      </c>
      <c r="IO803" s="89">
        <v>0</v>
      </c>
      <c r="IP803" s="89">
        <f t="shared" si="17117"/>
        <v>0</v>
      </c>
      <c r="IQ803" s="89">
        <f t="shared" si="17118"/>
        <v>0</v>
      </c>
      <c r="IR803" s="89">
        <v>0</v>
      </c>
      <c r="IS803" s="89">
        <f t="shared" si="17119"/>
        <v>0</v>
      </c>
      <c r="IT803" s="89">
        <f t="shared" si="17120"/>
        <v>0</v>
      </c>
      <c r="IU803" s="89">
        <v>0</v>
      </c>
      <c r="IV803" s="89">
        <f t="shared" si="17121"/>
        <v>0</v>
      </c>
      <c r="IW803" s="89">
        <f t="shared" si="17122"/>
        <v>0</v>
      </c>
      <c r="IX803" s="89">
        <v>0</v>
      </c>
      <c r="IY803" s="89">
        <f t="shared" si="17123"/>
        <v>0</v>
      </c>
      <c r="IZ803" s="89">
        <f t="shared" si="17124"/>
        <v>0</v>
      </c>
      <c r="JA803" s="89">
        <v>0</v>
      </c>
      <c r="JB803" s="89">
        <f t="shared" si="17125"/>
        <v>0</v>
      </c>
      <c r="JC803" s="89">
        <f t="shared" si="17126"/>
        <v>0</v>
      </c>
      <c r="JD803" s="89">
        <v>0</v>
      </c>
      <c r="JE803" s="89">
        <f t="shared" si="17127"/>
        <v>0</v>
      </c>
      <c r="JF803" s="89">
        <f t="shared" si="17128"/>
        <v>0</v>
      </c>
      <c r="JG803" s="89">
        <v>0</v>
      </c>
      <c r="JH803" s="89">
        <f t="shared" si="17129"/>
        <v>0</v>
      </c>
      <c r="JI803" s="89">
        <f t="shared" si="17130"/>
        <v>0</v>
      </c>
      <c r="JJ803" s="89">
        <v>0</v>
      </c>
      <c r="JK803" s="89">
        <f t="shared" si="17131"/>
        <v>0</v>
      </c>
      <c r="JL803" s="89">
        <f t="shared" si="17132"/>
        <v>0</v>
      </c>
      <c r="JM803" s="89">
        <v>0</v>
      </c>
      <c r="JN803" s="89">
        <f t="shared" si="17133"/>
        <v>0</v>
      </c>
      <c r="JO803" s="89">
        <f t="shared" si="17134"/>
        <v>0</v>
      </c>
      <c r="JP803" s="89">
        <v>0</v>
      </c>
      <c r="JQ803" s="89">
        <f t="shared" ref="JQ803:JR803" si="17150">JP803</f>
        <v>0</v>
      </c>
      <c r="JR803" s="89">
        <f t="shared" si="17150"/>
        <v>0</v>
      </c>
      <c r="JS803" s="74">
        <f t="shared" si="17136"/>
        <v>0</v>
      </c>
      <c r="JT803" s="382">
        <f t="shared" si="17137"/>
        <v>0</v>
      </c>
      <c r="JU803" s="665"/>
      <c r="JV803" s="524"/>
      <c r="JW803" s="525"/>
      <c r="JX803" s="549">
        <f t="shared" si="17138"/>
        <v>0</v>
      </c>
      <c r="JY803" s="549">
        <f t="shared" si="15767"/>
        <v>0</v>
      </c>
      <c r="JZ803" s="581">
        <f t="shared" si="16466"/>
        <v>0</v>
      </c>
      <c r="KA803" s="581">
        <f t="shared" si="16467"/>
        <v>0</v>
      </c>
      <c r="KB803" s="566">
        <f t="shared" si="17031"/>
        <v>0</v>
      </c>
      <c r="KC803" s="709">
        <f t="shared" si="16464"/>
        <v>0</v>
      </c>
      <c r="KD803" s="491"/>
      <c r="KE803" s="491"/>
      <c r="KF803" s="491"/>
      <c r="KG803" s="491"/>
      <c r="KH803" s="36"/>
      <c r="KI803" s="36"/>
      <c r="KJ803" s="36"/>
      <c r="KK803" s="36"/>
    </row>
    <row r="804" spans="1:297" s="10" customFormat="1" hidden="1">
      <c r="A804" s="612" t="s">
        <v>752</v>
      </c>
      <c r="B804" s="512" t="s">
        <v>985</v>
      </c>
      <c r="C804" s="74">
        <v>0</v>
      </c>
      <c r="D804" s="549">
        <v>0</v>
      </c>
      <c r="E804" s="675">
        <v>0</v>
      </c>
      <c r="F804" s="549">
        <v>0</v>
      </c>
      <c r="G804" s="675">
        <v>0</v>
      </c>
      <c r="H804" s="549">
        <v>0</v>
      </c>
      <c r="I804" s="675">
        <v>0</v>
      </c>
      <c r="J804" s="549">
        <v>0</v>
      </c>
      <c r="K804" s="675">
        <v>0</v>
      </c>
      <c r="L804" s="549">
        <v>0</v>
      </c>
      <c r="M804" s="675">
        <v>0</v>
      </c>
      <c r="N804" s="549">
        <v>0</v>
      </c>
      <c r="O804" s="675">
        <v>0</v>
      </c>
      <c r="P804" s="549">
        <v>0</v>
      </c>
      <c r="Q804" s="675">
        <v>0</v>
      </c>
      <c r="R804" s="549">
        <v>0</v>
      </c>
      <c r="S804" s="675">
        <v>0</v>
      </c>
      <c r="T804" s="549">
        <v>0</v>
      </c>
      <c r="U804" s="675">
        <v>0</v>
      </c>
      <c r="V804" s="549">
        <v>0</v>
      </c>
      <c r="W804" s="675">
        <v>0</v>
      </c>
      <c r="X804" s="549">
        <v>0</v>
      </c>
      <c r="Y804" s="675">
        <v>0</v>
      </c>
      <c r="Z804" s="549">
        <v>0</v>
      </c>
      <c r="AA804" s="675">
        <v>0</v>
      </c>
      <c r="AB804" s="549">
        <v>0</v>
      </c>
      <c r="AC804" s="675">
        <v>0</v>
      </c>
      <c r="AD804" s="549">
        <v>0</v>
      </c>
      <c r="AE804" s="675">
        <v>0</v>
      </c>
      <c r="AF804" s="549">
        <v>0</v>
      </c>
      <c r="AG804" s="675">
        <v>0</v>
      </c>
      <c r="AH804" s="549">
        <v>0</v>
      </c>
      <c r="AI804" s="675">
        <v>0</v>
      </c>
      <c r="AJ804" s="549">
        <v>0</v>
      </c>
      <c r="AK804" s="675">
        <v>0</v>
      </c>
      <c r="AL804" s="549">
        <v>0</v>
      </c>
      <c r="AM804" s="675">
        <v>0</v>
      </c>
      <c r="AN804" s="549">
        <v>0</v>
      </c>
      <c r="AO804" s="675">
        <v>0</v>
      </c>
      <c r="AP804" s="549">
        <v>0</v>
      </c>
      <c r="AQ804" s="675">
        <v>0</v>
      </c>
      <c r="AR804" s="549">
        <v>0</v>
      </c>
      <c r="AS804" s="675">
        <v>0</v>
      </c>
      <c r="AT804" s="549">
        <v>0</v>
      </c>
      <c r="AU804" s="675">
        <v>0</v>
      </c>
      <c r="AV804" s="549">
        <v>0</v>
      </c>
      <c r="AW804" s="675">
        <v>0</v>
      </c>
      <c r="AX804" s="549">
        <v>0</v>
      </c>
      <c r="AY804" s="675">
        <v>0</v>
      </c>
      <c r="AZ804" s="549">
        <v>0</v>
      </c>
      <c r="BA804" s="675">
        <v>0</v>
      </c>
      <c r="BB804" s="549">
        <v>0</v>
      </c>
      <c r="BC804" s="675">
        <v>0</v>
      </c>
      <c r="BD804" s="549">
        <v>0</v>
      </c>
      <c r="BE804" s="675">
        <v>0</v>
      </c>
      <c r="BF804" s="549">
        <v>0</v>
      </c>
      <c r="BG804" s="675">
        <v>0</v>
      </c>
      <c r="BH804" s="549">
        <v>0</v>
      </c>
      <c r="BI804" s="675">
        <v>0</v>
      </c>
      <c r="BJ804" s="549">
        <v>0</v>
      </c>
      <c r="BK804" s="675">
        <v>0</v>
      </c>
      <c r="BL804" s="549">
        <v>0</v>
      </c>
      <c r="BM804" s="675">
        <v>0</v>
      </c>
      <c r="BN804" s="549">
        <v>0</v>
      </c>
      <c r="BO804" s="675">
        <v>0</v>
      </c>
      <c r="BP804" s="549">
        <v>0</v>
      </c>
      <c r="BQ804" s="675">
        <v>0</v>
      </c>
      <c r="BR804" s="549">
        <v>0</v>
      </c>
      <c r="BS804" s="675">
        <v>0</v>
      </c>
      <c r="BT804" s="549">
        <v>0</v>
      </c>
      <c r="BU804" s="675">
        <v>0</v>
      </c>
      <c r="BV804" s="549">
        <v>0</v>
      </c>
      <c r="BW804" s="675">
        <v>0</v>
      </c>
      <c r="BX804" s="549">
        <v>0</v>
      </c>
      <c r="BY804" s="675">
        <v>0</v>
      </c>
      <c r="BZ804" s="549">
        <v>0</v>
      </c>
      <c r="CA804" s="675">
        <v>0</v>
      </c>
      <c r="CB804" s="549">
        <v>0</v>
      </c>
      <c r="CC804" s="675">
        <v>0</v>
      </c>
      <c r="CD804" s="549">
        <v>0</v>
      </c>
      <c r="CE804" s="675">
        <v>0</v>
      </c>
      <c r="CF804" s="549">
        <v>0</v>
      </c>
      <c r="CG804" s="675">
        <v>0</v>
      </c>
      <c r="CH804" s="549">
        <v>0</v>
      </c>
      <c r="CI804" s="675">
        <v>0</v>
      </c>
      <c r="CJ804" s="549">
        <v>0</v>
      </c>
      <c r="CK804" s="675">
        <v>0</v>
      </c>
      <c r="CL804" s="549">
        <v>0</v>
      </c>
      <c r="CM804" s="675">
        <v>0</v>
      </c>
      <c r="CN804" s="549">
        <v>0</v>
      </c>
      <c r="CO804" s="675">
        <v>0</v>
      </c>
      <c r="CP804" s="549">
        <v>0</v>
      </c>
      <c r="CQ804" s="675">
        <v>0</v>
      </c>
      <c r="CR804" s="549">
        <v>0</v>
      </c>
      <c r="CS804" s="675">
        <v>0</v>
      </c>
      <c r="CT804" s="549">
        <v>0</v>
      </c>
      <c r="CU804" s="675">
        <v>0</v>
      </c>
      <c r="CV804" s="549">
        <v>0</v>
      </c>
      <c r="CW804" s="675">
        <v>0</v>
      </c>
      <c r="CX804" s="549">
        <v>0</v>
      </c>
      <c r="CY804" s="675">
        <v>0</v>
      </c>
      <c r="CZ804" s="549">
        <v>0</v>
      </c>
      <c r="DA804" s="675">
        <v>0</v>
      </c>
      <c r="DB804" s="549">
        <v>0</v>
      </c>
      <c r="DC804" s="675">
        <v>0</v>
      </c>
      <c r="DD804" s="549">
        <v>0</v>
      </c>
      <c r="DE804" s="675">
        <v>0</v>
      </c>
      <c r="DF804" s="549">
        <v>0</v>
      </c>
      <c r="DG804" s="675">
        <v>0</v>
      </c>
      <c r="DH804" s="549">
        <v>0</v>
      </c>
      <c r="DI804" s="675">
        <v>0</v>
      </c>
      <c r="DJ804" s="549">
        <v>0</v>
      </c>
      <c r="DK804" s="675">
        <v>0</v>
      </c>
      <c r="DL804" s="549">
        <v>0</v>
      </c>
      <c r="DM804" s="675">
        <v>0</v>
      </c>
      <c r="DN804" s="549">
        <v>0</v>
      </c>
      <c r="DO804" s="675">
        <v>0</v>
      </c>
      <c r="DP804" s="549">
        <v>0</v>
      </c>
      <c r="DQ804" s="675">
        <v>0</v>
      </c>
      <c r="DR804" s="549">
        <v>0</v>
      </c>
      <c r="DS804" s="675">
        <v>0</v>
      </c>
      <c r="DT804" s="549">
        <v>0</v>
      </c>
      <c r="DU804" s="675">
        <v>0</v>
      </c>
      <c r="DV804" s="549">
        <v>0</v>
      </c>
      <c r="DW804" s="675">
        <v>0</v>
      </c>
      <c r="DX804" s="549">
        <v>0</v>
      </c>
      <c r="DY804" s="675">
        <v>0</v>
      </c>
      <c r="DZ804" s="549">
        <v>0</v>
      </c>
      <c r="EA804" s="675">
        <v>0</v>
      </c>
      <c r="EB804" s="549">
        <v>0</v>
      </c>
      <c r="EC804" s="675">
        <v>0</v>
      </c>
      <c r="ED804" s="549">
        <v>0</v>
      </c>
      <c r="EE804" s="675">
        <v>0</v>
      </c>
      <c r="EF804" s="549">
        <v>0</v>
      </c>
      <c r="EG804" s="675">
        <v>0</v>
      </c>
      <c r="EH804" s="549">
        <v>0</v>
      </c>
      <c r="EI804" s="675">
        <v>0</v>
      </c>
      <c r="EJ804" s="549">
        <v>0</v>
      </c>
      <c r="EK804" s="675">
        <v>0</v>
      </c>
      <c r="EL804" s="549">
        <v>0</v>
      </c>
      <c r="EM804" s="675">
        <v>0</v>
      </c>
      <c r="EN804" s="549">
        <v>0</v>
      </c>
      <c r="EO804" s="675">
        <v>0</v>
      </c>
      <c r="EP804" s="549">
        <v>0</v>
      </c>
      <c r="EQ804" s="675">
        <v>0</v>
      </c>
      <c r="ER804" s="549">
        <v>0</v>
      </c>
      <c r="ES804" s="675">
        <v>0</v>
      </c>
      <c r="ET804" s="549">
        <v>0</v>
      </c>
      <c r="EU804" s="675">
        <v>0</v>
      </c>
      <c r="EV804" s="549">
        <v>0</v>
      </c>
      <c r="EW804" s="675">
        <v>0</v>
      </c>
      <c r="EX804" s="549">
        <v>0</v>
      </c>
      <c r="EY804" s="675">
        <v>0</v>
      </c>
      <c r="EZ804" s="549">
        <v>0</v>
      </c>
      <c r="FA804" s="675">
        <v>0</v>
      </c>
      <c r="FB804" s="549">
        <v>0</v>
      </c>
      <c r="FC804" s="675">
        <v>0</v>
      </c>
      <c r="FD804" s="549">
        <v>0</v>
      </c>
      <c r="FE804" s="675">
        <v>0</v>
      </c>
      <c r="FF804" s="549">
        <v>0</v>
      </c>
      <c r="FG804" s="675">
        <v>0</v>
      </c>
      <c r="FH804" s="549">
        <v>0</v>
      </c>
      <c r="FI804" s="675">
        <v>0</v>
      </c>
      <c r="FJ804" s="549">
        <v>0</v>
      </c>
      <c r="FK804" s="675">
        <v>0</v>
      </c>
      <c r="FL804" s="549">
        <v>0</v>
      </c>
      <c r="FM804" s="675">
        <v>0</v>
      </c>
      <c r="FN804" s="549">
        <v>0</v>
      </c>
      <c r="FO804" s="675">
        <v>0</v>
      </c>
      <c r="FP804" s="549">
        <v>0</v>
      </c>
      <c r="FQ804" s="675">
        <v>0</v>
      </c>
      <c r="FR804" s="549">
        <v>0</v>
      </c>
      <c r="FS804" s="675">
        <v>0</v>
      </c>
      <c r="FT804" s="549">
        <v>0</v>
      </c>
      <c r="FU804" s="675">
        <v>0</v>
      </c>
      <c r="FV804" s="549">
        <v>0</v>
      </c>
      <c r="FW804" s="675">
        <v>0</v>
      </c>
      <c r="FX804" s="549">
        <v>0</v>
      </c>
      <c r="FY804" s="675">
        <v>0</v>
      </c>
      <c r="FZ804" s="549">
        <v>0</v>
      </c>
      <c r="GA804" s="675">
        <v>0</v>
      </c>
      <c r="GB804" s="549">
        <v>0</v>
      </c>
      <c r="GC804" s="675">
        <v>0</v>
      </c>
      <c r="GD804" s="549">
        <v>0</v>
      </c>
      <c r="GE804" s="675">
        <v>0</v>
      </c>
      <c r="GF804" s="549">
        <v>0</v>
      </c>
      <c r="GG804" s="675">
        <v>0</v>
      </c>
      <c r="GH804" s="549">
        <v>0</v>
      </c>
      <c r="GI804" s="675">
        <v>0</v>
      </c>
      <c r="GJ804" s="549">
        <v>0</v>
      </c>
      <c r="GK804" s="675">
        <v>0</v>
      </c>
      <c r="GL804" s="549">
        <v>0</v>
      </c>
      <c r="GM804" s="675">
        <v>0</v>
      </c>
      <c r="GN804" s="549">
        <v>0</v>
      </c>
      <c r="GO804" s="675">
        <v>0</v>
      </c>
      <c r="GP804" s="549">
        <f t="shared" si="17104"/>
        <v>0</v>
      </c>
      <c r="GQ804" s="675">
        <f t="shared" si="17105"/>
        <v>0</v>
      </c>
      <c r="GR804" s="74">
        <f t="shared" si="17106"/>
        <v>0</v>
      </c>
      <c r="GS804" s="74">
        <f t="shared" si="17107"/>
        <v>0</v>
      </c>
      <c r="GT804" s="568">
        <f t="shared" si="17108"/>
        <v>0</v>
      </c>
      <c r="GU804" s="275"/>
      <c r="GV804" s="275"/>
      <c r="GW804" s="588"/>
      <c r="GX804" s="275"/>
      <c r="GY804" s="275"/>
      <c r="GZ804" s="275"/>
      <c r="HA804" s="275"/>
      <c r="HB804" s="275"/>
      <c r="HC804" s="275"/>
      <c r="HD804" s="275"/>
      <c r="HE804" s="275">
        <v>0</v>
      </c>
      <c r="HF804" s="275">
        <v>0</v>
      </c>
      <c r="HG804" s="74">
        <f t="shared" si="17109"/>
        <v>0</v>
      </c>
      <c r="HH804" s="89">
        <v>0</v>
      </c>
      <c r="HI804" s="157">
        <v>0</v>
      </c>
      <c r="HJ804" s="89">
        <v>0</v>
      </c>
      <c r="HK804" s="157">
        <v>0</v>
      </c>
      <c r="HL804" s="89">
        <v>0</v>
      </c>
      <c r="HM804" s="157">
        <v>0</v>
      </c>
      <c r="HN804" s="89">
        <v>0</v>
      </c>
      <c r="HO804" s="157">
        <v>0</v>
      </c>
      <c r="HP804" s="89">
        <v>0</v>
      </c>
      <c r="HQ804" s="157">
        <v>0</v>
      </c>
      <c r="HR804" s="89">
        <v>0</v>
      </c>
      <c r="HS804" s="157">
        <v>0</v>
      </c>
      <c r="HT804" s="89">
        <v>0</v>
      </c>
      <c r="HU804" s="157">
        <v>0</v>
      </c>
      <c r="HV804" s="89">
        <v>0</v>
      </c>
      <c r="HW804" s="157">
        <v>0</v>
      </c>
      <c r="HX804" s="89">
        <v>0</v>
      </c>
      <c r="HY804" s="157">
        <v>0</v>
      </c>
      <c r="HZ804" s="89">
        <v>0</v>
      </c>
      <c r="IA804" s="157">
        <v>0</v>
      </c>
      <c r="IB804" s="89">
        <v>0</v>
      </c>
      <c r="IC804" s="157">
        <v>0</v>
      </c>
      <c r="ID804" s="89">
        <v>0</v>
      </c>
      <c r="IE804" s="157">
        <v>0</v>
      </c>
      <c r="IF804" s="717">
        <f t="shared" si="17110"/>
        <v>0</v>
      </c>
      <c r="IG804" s="263">
        <f t="shared" si="17111"/>
        <v>0</v>
      </c>
      <c r="IH804" s="718">
        <f t="shared" si="17112"/>
        <v>0</v>
      </c>
      <c r="II804" s="89">
        <v>0</v>
      </c>
      <c r="IJ804" s="89">
        <f t="shared" si="17113"/>
        <v>0</v>
      </c>
      <c r="IK804" s="89">
        <f t="shared" si="17114"/>
        <v>0</v>
      </c>
      <c r="IL804" s="89">
        <v>0</v>
      </c>
      <c r="IM804" s="89">
        <f t="shared" si="17115"/>
        <v>0</v>
      </c>
      <c r="IN804" s="89">
        <f t="shared" si="17116"/>
        <v>0</v>
      </c>
      <c r="IO804" s="89">
        <v>0</v>
      </c>
      <c r="IP804" s="89">
        <f t="shared" si="17117"/>
        <v>0</v>
      </c>
      <c r="IQ804" s="89">
        <f t="shared" si="17118"/>
        <v>0</v>
      </c>
      <c r="IR804" s="89">
        <v>0</v>
      </c>
      <c r="IS804" s="89">
        <f t="shared" si="17119"/>
        <v>0</v>
      </c>
      <c r="IT804" s="89">
        <f t="shared" si="17120"/>
        <v>0</v>
      </c>
      <c r="IU804" s="89">
        <v>0</v>
      </c>
      <c r="IV804" s="89">
        <f t="shared" si="17121"/>
        <v>0</v>
      </c>
      <c r="IW804" s="89">
        <f t="shared" si="17122"/>
        <v>0</v>
      </c>
      <c r="IX804" s="89">
        <v>0</v>
      </c>
      <c r="IY804" s="89">
        <f t="shared" si="17123"/>
        <v>0</v>
      </c>
      <c r="IZ804" s="89">
        <f t="shared" si="17124"/>
        <v>0</v>
      </c>
      <c r="JA804" s="89">
        <v>0</v>
      </c>
      <c r="JB804" s="89">
        <f t="shared" si="17125"/>
        <v>0</v>
      </c>
      <c r="JC804" s="89">
        <f t="shared" si="17126"/>
        <v>0</v>
      </c>
      <c r="JD804" s="89">
        <v>0</v>
      </c>
      <c r="JE804" s="89">
        <f t="shared" si="17127"/>
        <v>0</v>
      </c>
      <c r="JF804" s="89">
        <f t="shared" si="17128"/>
        <v>0</v>
      </c>
      <c r="JG804" s="89">
        <v>0</v>
      </c>
      <c r="JH804" s="89">
        <f t="shared" si="17129"/>
        <v>0</v>
      </c>
      <c r="JI804" s="89">
        <f t="shared" si="17130"/>
        <v>0</v>
      </c>
      <c r="JJ804" s="89">
        <v>0</v>
      </c>
      <c r="JK804" s="89">
        <f t="shared" si="17131"/>
        <v>0</v>
      </c>
      <c r="JL804" s="89">
        <f t="shared" si="17132"/>
        <v>0</v>
      </c>
      <c r="JM804" s="89">
        <v>0</v>
      </c>
      <c r="JN804" s="89">
        <f t="shared" si="17133"/>
        <v>0</v>
      </c>
      <c r="JO804" s="89">
        <f t="shared" si="17134"/>
        <v>0</v>
      </c>
      <c r="JP804" s="89">
        <v>0</v>
      </c>
      <c r="JQ804" s="89">
        <f t="shared" ref="JQ804:JR804" si="17151">JP804</f>
        <v>0</v>
      </c>
      <c r="JR804" s="89">
        <f t="shared" si="17151"/>
        <v>0</v>
      </c>
      <c r="JS804" s="74">
        <f t="shared" si="17136"/>
        <v>0</v>
      </c>
      <c r="JT804" s="382">
        <f t="shared" si="17137"/>
        <v>0</v>
      </c>
      <c r="JU804" s="665"/>
      <c r="JV804" s="524"/>
      <c r="JW804" s="525"/>
      <c r="JX804" s="549">
        <f t="shared" si="17138"/>
        <v>0</v>
      </c>
      <c r="JY804" s="549">
        <f t="shared" si="15767"/>
        <v>0</v>
      </c>
      <c r="JZ804" s="581">
        <f t="shared" si="16466"/>
        <v>0</v>
      </c>
      <c r="KA804" s="581">
        <f t="shared" si="16467"/>
        <v>0</v>
      </c>
      <c r="KB804" s="566">
        <f t="shared" si="17031"/>
        <v>0</v>
      </c>
      <c r="KC804" s="709">
        <f t="shared" si="16464"/>
        <v>0</v>
      </c>
      <c r="KD804" s="491"/>
      <c r="KE804" s="491"/>
      <c r="KF804" s="491"/>
      <c r="KG804" s="491"/>
      <c r="KH804" s="36"/>
      <c r="KI804" s="36"/>
      <c r="KJ804" s="36"/>
      <c r="KK804" s="36"/>
    </row>
    <row r="805" spans="1:297" s="10" customFormat="1" hidden="1">
      <c r="A805" s="612" t="s">
        <v>670</v>
      </c>
      <c r="B805" s="512" t="s">
        <v>944</v>
      </c>
      <c r="C805" s="74">
        <v>0</v>
      </c>
      <c r="D805" s="549">
        <v>0</v>
      </c>
      <c r="E805" s="675">
        <v>0</v>
      </c>
      <c r="F805" s="549">
        <v>0</v>
      </c>
      <c r="G805" s="675">
        <v>0</v>
      </c>
      <c r="H805" s="549">
        <v>0</v>
      </c>
      <c r="I805" s="675">
        <v>0</v>
      </c>
      <c r="J805" s="549">
        <v>0</v>
      </c>
      <c r="K805" s="675">
        <v>0</v>
      </c>
      <c r="L805" s="549">
        <v>0</v>
      </c>
      <c r="M805" s="675">
        <v>0</v>
      </c>
      <c r="N805" s="549">
        <v>0</v>
      </c>
      <c r="O805" s="675">
        <v>0</v>
      </c>
      <c r="P805" s="549">
        <v>0</v>
      </c>
      <c r="Q805" s="675">
        <v>0</v>
      </c>
      <c r="R805" s="549">
        <v>0</v>
      </c>
      <c r="S805" s="675">
        <v>0</v>
      </c>
      <c r="T805" s="549">
        <v>0</v>
      </c>
      <c r="U805" s="675">
        <v>0</v>
      </c>
      <c r="V805" s="549">
        <v>0</v>
      </c>
      <c r="W805" s="675">
        <v>0</v>
      </c>
      <c r="X805" s="549">
        <v>0</v>
      </c>
      <c r="Y805" s="675">
        <v>0</v>
      </c>
      <c r="Z805" s="549">
        <v>0</v>
      </c>
      <c r="AA805" s="675">
        <v>0</v>
      </c>
      <c r="AB805" s="549">
        <v>0</v>
      </c>
      <c r="AC805" s="675">
        <v>0</v>
      </c>
      <c r="AD805" s="549">
        <v>0</v>
      </c>
      <c r="AE805" s="675">
        <v>0</v>
      </c>
      <c r="AF805" s="549">
        <v>0</v>
      </c>
      <c r="AG805" s="675">
        <v>0</v>
      </c>
      <c r="AH805" s="549">
        <v>0</v>
      </c>
      <c r="AI805" s="675">
        <v>0</v>
      </c>
      <c r="AJ805" s="549">
        <v>0</v>
      </c>
      <c r="AK805" s="675">
        <v>0</v>
      </c>
      <c r="AL805" s="549">
        <v>0</v>
      </c>
      <c r="AM805" s="675">
        <v>0</v>
      </c>
      <c r="AN805" s="549">
        <v>0</v>
      </c>
      <c r="AO805" s="675">
        <v>0</v>
      </c>
      <c r="AP805" s="549">
        <v>0</v>
      </c>
      <c r="AQ805" s="675">
        <v>0</v>
      </c>
      <c r="AR805" s="549">
        <v>0</v>
      </c>
      <c r="AS805" s="675">
        <v>0</v>
      </c>
      <c r="AT805" s="549">
        <v>0</v>
      </c>
      <c r="AU805" s="675">
        <v>0</v>
      </c>
      <c r="AV805" s="549">
        <v>0</v>
      </c>
      <c r="AW805" s="675">
        <v>0</v>
      </c>
      <c r="AX805" s="549">
        <v>0</v>
      </c>
      <c r="AY805" s="675">
        <v>0</v>
      </c>
      <c r="AZ805" s="549">
        <v>0</v>
      </c>
      <c r="BA805" s="675">
        <v>0</v>
      </c>
      <c r="BB805" s="549">
        <v>0</v>
      </c>
      <c r="BC805" s="675">
        <v>0</v>
      </c>
      <c r="BD805" s="549">
        <v>0</v>
      </c>
      <c r="BE805" s="675">
        <v>0</v>
      </c>
      <c r="BF805" s="549">
        <v>0</v>
      </c>
      <c r="BG805" s="675">
        <v>0</v>
      </c>
      <c r="BH805" s="549">
        <v>0</v>
      </c>
      <c r="BI805" s="675">
        <v>0</v>
      </c>
      <c r="BJ805" s="549">
        <v>0</v>
      </c>
      <c r="BK805" s="675">
        <v>0</v>
      </c>
      <c r="BL805" s="549">
        <v>0</v>
      </c>
      <c r="BM805" s="675">
        <v>0</v>
      </c>
      <c r="BN805" s="549">
        <v>0</v>
      </c>
      <c r="BO805" s="675">
        <v>0</v>
      </c>
      <c r="BP805" s="549">
        <v>0</v>
      </c>
      <c r="BQ805" s="675">
        <v>0</v>
      </c>
      <c r="BR805" s="549">
        <v>0</v>
      </c>
      <c r="BS805" s="675">
        <v>0</v>
      </c>
      <c r="BT805" s="549">
        <v>0</v>
      </c>
      <c r="BU805" s="675">
        <v>0</v>
      </c>
      <c r="BV805" s="549">
        <v>0</v>
      </c>
      <c r="BW805" s="675">
        <v>0</v>
      </c>
      <c r="BX805" s="549">
        <v>0</v>
      </c>
      <c r="BY805" s="675">
        <v>0</v>
      </c>
      <c r="BZ805" s="549">
        <v>0</v>
      </c>
      <c r="CA805" s="675">
        <v>0</v>
      </c>
      <c r="CB805" s="549">
        <v>0</v>
      </c>
      <c r="CC805" s="675">
        <v>0</v>
      </c>
      <c r="CD805" s="549">
        <v>0</v>
      </c>
      <c r="CE805" s="675">
        <v>0</v>
      </c>
      <c r="CF805" s="549">
        <v>0</v>
      </c>
      <c r="CG805" s="675">
        <v>0</v>
      </c>
      <c r="CH805" s="549">
        <v>0</v>
      </c>
      <c r="CI805" s="675">
        <v>0</v>
      </c>
      <c r="CJ805" s="549">
        <v>0</v>
      </c>
      <c r="CK805" s="675">
        <v>0</v>
      </c>
      <c r="CL805" s="549">
        <v>0</v>
      </c>
      <c r="CM805" s="675">
        <v>0</v>
      </c>
      <c r="CN805" s="549">
        <v>0</v>
      </c>
      <c r="CO805" s="675">
        <v>0</v>
      </c>
      <c r="CP805" s="549">
        <v>0</v>
      </c>
      <c r="CQ805" s="675">
        <v>0</v>
      </c>
      <c r="CR805" s="549">
        <v>0</v>
      </c>
      <c r="CS805" s="675">
        <v>0</v>
      </c>
      <c r="CT805" s="549">
        <v>0</v>
      </c>
      <c r="CU805" s="675">
        <v>0</v>
      </c>
      <c r="CV805" s="549">
        <v>0</v>
      </c>
      <c r="CW805" s="675">
        <v>0</v>
      </c>
      <c r="CX805" s="549">
        <v>0</v>
      </c>
      <c r="CY805" s="675">
        <v>0</v>
      </c>
      <c r="CZ805" s="549">
        <v>0</v>
      </c>
      <c r="DA805" s="675">
        <v>0</v>
      </c>
      <c r="DB805" s="549">
        <v>0</v>
      </c>
      <c r="DC805" s="675">
        <v>0</v>
      </c>
      <c r="DD805" s="549">
        <v>0</v>
      </c>
      <c r="DE805" s="675">
        <v>0</v>
      </c>
      <c r="DF805" s="549">
        <v>0</v>
      </c>
      <c r="DG805" s="675">
        <v>0</v>
      </c>
      <c r="DH805" s="549">
        <v>0</v>
      </c>
      <c r="DI805" s="675">
        <v>0</v>
      </c>
      <c r="DJ805" s="549">
        <v>0</v>
      </c>
      <c r="DK805" s="675">
        <v>0</v>
      </c>
      <c r="DL805" s="549">
        <v>0</v>
      </c>
      <c r="DM805" s="675">
        <v>0</v>
      </c>
      <c r="DN805" s="549">
        <v>0</v>
      </c>
      <c r="DO805" s="675">
        <v>0</v>
      </c>
      <c r="DP805" s="549">
        <v>0</v>
      </c>
      <c r="DQ805" s="675">
        <v>0</v>
      </c>
      <c r="DR805" s="549">
        <v>0</v>
      </c>
      <c r="DS805" s="675">
        <v>0</v>
      </c>
      <c r="DT805" s="549">
        <v>0</v>
      </c>
      <c r="DU805" s="675">
        <v>0</v>
      </c>
      <c r="DV805" s="549">
        <v>0</v>
      </c>
      <c r="DW805" s="675">
        <v>0</v>
      </c>
      <c r="DX805" s="549">
        <v>0</v>
      </c>
      <c r="DY805" s="675">
        <v>0</v>
      </c>
      <c r="DZ805" s="549">
        <v>0</v>
      </c>
      <c r="EA805" s="675">
        <v>0</v>
      </c>
      <c r="EB805" s="549">
        <v>0</v>
      </c>
      <c r="EC805" s="675">
        <v>0</v>
      </c>
      <c r="ED805" s="549">
        <v>0</v>
      </c>
      <c r="EE805" s="675">
        <v>0</v>
      </c>
      <c r="EF805" s="549">
        <v>0</v>
      </c>
      <c r="EG805" s="675">
        <v>0</v>
      </c>
      <c r="EH805" s="549">
        <v>0</v>
      </c>
      <c r="EI805" s="675">
        <v>0</v>
      </c>
      <c r="EJ805" s="549">
        <v>0</v>
      </c>
      <c r="EK805" s="675">
        <v>0</v>
      </c>
      <c r="EL805" s="549">
        <v>0</v>
      </c>
      <c r="EM805" s="675">
        <v>0</v>
      </c>
      <c r="EN805" s="549">
        <v>0</v>
      </c>
      <c r="EO805" s="675">
        <v>0</v>
      </c>
      <c r="EP805" s="549">
        <v>0</v>
      </c>
      <c r="EQ805" s="675">
        <v>0</v>
      </c>
      <c r="ER805" s="549">
        <v>0</v>
      </c>
      <c r="ES805" s="675">
        <v>0</v>
      </c>
      <c r="ET805" s="549">
        <v>0</v>
      </c>
      <c r="EU805" s="675">
        <v>0</v>
      </c>
      <c r="EV805" s="549">
        <v>0</v>
      </c>
      <c r="EW805" s="675">
        <v>0</v>
      </c>
      <c r="EX805" s="549">
        <v>0</v>
      </c>
      <c r="EY805" s="675">
        <v>0</v>
      </c>
      <c r="EZ805" s="549">
        <v>0</v>
      </c>
      <c r="FA805" s="675">
        <v>0</v>
      </c>
      <c r="FB805" s="549">
        <v>0</v>
      </c>
      <c r="FC805" s="675">
        <v>0</v>
      </c>
      <c r="FD805" s="549">
        <v>0</v>
      </c>
      <c r="FE805" s="675">
        <v>0</v>
      </c>
      <c r="FF805" s="549">
        <v>0</v>
      </c>
      <c r="FG805" s="675">
        <v>0</v>
      </c>
      <c r="FH805" s="549">
        <v>0</v>
      </c>
      <c r="FI805" s="675">
        <v>0</v>
      </c>
      <c r="FJ805" s="549">
        <v>0</v>
      </c>
      <c r="FK805" s="675">
        <v>0</v>
      </c>
      <c r="FL805" s="549">
        <v>0</v>
      </c>
      <c r="FM805" s="675">
        <v>0</v>
      </c>
      <c r="FN805" s="549">
        <v>0</v>
      </c>
      <c r="FO805" s="675">
        <v>0</v>
      </c>
      <c r="FP805" s="549">
        <v>0</v>
      </c>
      <c r="FQ805" s="675">
        <v>0</v>
      </c>
      <c r="FR805" s="549">
        <v>0</v>
      </c>
      <c r="FS805" s="675">
        <v>0</v>
      </c>
      <c r="FT805" s="549">
        <v>0</v>
      </c>
      <c r="FU805" s="675">
        <v>0</v>
      </c>
      <c r="FV805" s="549">
        <v>0</v>
      </c>
      <c r="FW805" s="675">
        <v>0</v>
      </c>
      <c r="FX805" s="549">
        <v>0</v>
      </c>
      <c r="FY805" s="675">
        <v>0</v>
      </c>
      <c r="FZ805" s="549">
        <v>0</v>
      </c>
      <c r="GA805" s="675">
        <v>0</v>
      </c>
      <c r="GB805" s="549">
        <v>0</v>
      </c>
      <c r="GC805" s="675">
        <v>0</v>
      </c>
      <c r="GD805" s="549">
        <v>0</v>
      </c>
      <c r="GE805" s="675">
        <v>0</v>
      </c>
      <c r="GF805" s="549">
        <v>0</v>
      </c>
      <c r="GG805" s="675">
        <v>0</v>
      </c>
      <c r="GH805" s="549">
        <v>0</v>
      </c>
      <c r="GI805" s="675">
        <v>0</v>
      </c>
      <c r="GJ805" s="549">
        <v>0</v>
      </c>
      <c r="GK805" s="675">
        <v>0</v>
      </c>
      <c r="GL805" s="549">
        <v>0</v>
      </c>
      <c r="GM805" s="675">
        <v>0</v>
      </c>
      <c r="GN805" s="549">
        <v>0</v>
      </c>
      <c r="GO805" s="675">
        <v>0</v>
      </c>
      <c r="GP805" s="549">
        <f t="shared" si="17104"/>
        <v>0</v>
      </c>
      <c r="GQ805" s="675">
        <f t="shared" si="17105"/>
        <v>0</v>
      </c>
      <c r="GR805" s="74">
        <f t="shared" si="17106"/>
        <v>0</v>
      </c>
      <c r="GS805" s="74">
        <f t="shared" si="17107"/>
        <v>0</v>
      </c>
      <c r="GT805" s="568">
        <f t="shared" si="17108"/>
        <v>0</v>
      </c>
      <c r="GU805" s="275"/>
      <c r="GV805" s="275"/>
      <c r="GW805" s="588"/>
      <c r="GX805" s="275"/>
      <c r="GY805" s="275"/>
      <c r="GZ805" s="275"/>
      <c r="HA805" s="275"/>
      <c r="HB805" s="275"/>
      <c r="HC805" s="275"/>
      <c r="HD805" s="275"/>
      <c r="HE805" s="275">
        <v>0</v>
      </c>
      <c r="HF805" s="275">
        <v>0</v>
      </c>
      <c r="HG805" s="74">
        <f t="shared" si="17109"/>
        <v>0</v>
      </c>
      <c r="HH805" s="89">
        <v>0</v>
      </c>
      <c r="HI805" s="157">
        <v>0</v>
      </c>
      <c r="HJ805" s="89">
        <v>0</v>
      </c>
      <c r="HK805" s="157">
        <v>0</v>
      </c>
      <c r="HL805" s="89">
        <v>0</v>
      </c>
      <c r="HM805" s="157">
        <v>0</v>
      </c>
      <c r="HN805" s="89">
        <v>0</v>
      </c>
      <c r="HO805" s="157">
        <v>0</v>
      </c>
      <c r="HP805" s="89">
        <v>0</v>
      </c>
      <c r="HQ805" s="157">
        <v>0</v>
      </c>
      <c r="HR805" s="89">
        <v>0</v>
      </c>
      <c r="HS805" s="157">
        <v>0</v>
      </c>
      <c r="HT805" s="89">
        <v>0</v>
      </c>
      <c r="HU805" s="157">
        <v>0</v>
      </c>
      <c r="HV805" s="89">
        <v>0</v>
      </c>
      <c r="HW805" s="157">
        <v>0</v>
      </c>
      <c r="HX805" s="89">
        <v>0</v>
      </c>
      <c r="HY805" s="157">
        <v>0</v>
      </c>
      <c r="HZ805" s="89">
        <v>0</v>
      </c>
      <c r="IA805" s="157">
        <v>0</v>
      </c>
      <c r="IB805" s="89">
        <v>0</v>
      </c>
      <c r="IC805" s="157">
        <v>0</v>
      </c>
      <c r="ID805" s="89">
        <v>0</v>
      </c>
      <c r="IE805" s="157">
        <v>0</v>
      </c>
      <c r="IF805" s="717">
        <f t="shared" si="17110"/>
        <v>0</v>
      </c>
      <c r="IG805" s="263">
        <f t="shared" si="17111"/>
        <v>0</v>
      </c>
      <c r="IH805" s="718">
        <f t="shared" si="17112"/>
        <v>0</v>
      </c>
      <c r="II805" s="89">
        <v>0</v>
      </c>
      <c r="IJ805" s="89">
        <f t="shared" si="17113"/>
        <v>0</v>
      </c>
      <c r="IK805" s="89">
        <f t="shared" si="17114"/>
        <v>0</v>
      </c>
      <c r="IL805" s="89">
        <v>0</v>
      </c>
      <c r="IM805" s="89">
        <f t="shared" si="17115"/>
        <v>0</v>
      </c>
      <c r="IN805" s="89">
        <f t="shared" si="17116"/>
        <v>0</v>
      </c>
      <c r="IO805" s="89">
        <v>0</v>
      </c>
      <c r="IP805" s="89">
        <f t="shared" si="17117"/>
        <v>0</v>
      </c>
      <c r="IQ805" s="89">
        <f t="shared" si="17118"/>
        <v>0</v>
      </c>
      <c r="IR805" s="89">
        <v>0</v>
      </c>
      <c r="IS805" s="89">
        <f t="shared" si="17119"/>
        <v>0</v>
      </c>
      <c r="IT805" s="89">
        <f t="shared" si="17120"/>
        <v>0</v>
      </c>
      <c r="IU805" s="89">
        <v>0</v>
      </c>
      <c r="IV805" s="89">
        <f t="shared" si="17121"/>
        <v>0</v>
      </c>
      <c r="IW805" s="89">
        <f t="shared" si="17122"/>
        <v>0</v>
      </c>
      <c r="IX805" s="89">
        <v>0</v>
      </c>
      <c r="IY805" s="89">
        <f t="shared" si="17123"/>
        <v>0</v>
      </c>
      <c r="IZ805" s="89">
        <f t="shared" si="17124"/>
        <v>0</v>
      </c>
      <c r="JA805" s="89">
        <v>0</v>
      </c>
      <c r="JB805" s="89">
        <f t="shared" si="17125"/>
        <v>0</v>
      </c>
      <c r="JC805" s="89">
        <f t="shared" si="17126"/>
        <v>0</v>
      </c>
      <c r="JD805" s="89">
        <v>0</v>
      </c>
      <c r="JE805" s="89">
        <f t="shared" si="17127"/>
        <v>0</v>
      </c>
      <c r="JF805" s="89">
        <f t="shared" si="17128"/>
        <v>0</v>
      </c>
      <c r="JG805" s="89">
        <v>0</v>
      </c>
      <c r="JH805" s="89">
        <f t="shared" si="17129"/>
        <v>0</v>
      </c>
      <c r="JI805" s="89">
        <f t="shared" si="17130"/>
        <v>0</v>
      </c>
      <c r="JJ805" s="89">
        <v>0</v>
      </c>
      <c r="JK805" s="89">
        <f t="shared" si="17131"/>
        <v>0</v>
      </c>
      <c r="JL805" s="89">
        <f t="shared" si="17132"/>
        <v>0</v>
      </c>
      <c r="JM805" s="89">
        <v>0</v>
      </c>
      <c r="JN805" s="89">
        <f t="shared" si="17133"/>
        <v>0</v>
      </c>
      <c r="JO805" s="89">
        <f t="shared" si="17134"/>
        <v>0</v>
      </c>
      <c r="JP805" s="89">
        <v>0</v>
      </c>
      <c r="JQ805" s="89">
        <f t="shared" ref="JQ805:JR805" si="17152">JP805</f>
        <v>0</v>
      </c>
      <c r="JR805" s="89">
        <f t="shared" si="17152"/>
        <v>0</v>
      </c>
      <c r="JS805" s="74">
        <f t="shared" si="17136"/>
        <v>0</v>
      </c>
      <c r="JT805" s="382">
        <f t="shared" si="17137"/>
        <v>0</v>
      </c>
      <c r="JU805" s="665"/>
      <c r="JV805" s="524"/>
      <c r="JW805" s="525"/>
      <c r="JX805" s="549">
        <f t="shared" si="17138"/>
        <v>0</v>
      </c>
      <c r="JY805" s="549">
        <f t="shared" si="17138"/>
        <v>0</v>
      </c>
      <c r="JZ805" s="581">
        <f t="shared" si="16466"/>
        <v>0</v>
      </c>
      <c r="KA805" s="581">
        <f t="shared" si="16467"/>
        <v>0</v>
      </c>
      <c r="KB805" s="566">
        <f t="shared" si="17031"/>
        <v>0</v>
      </c>
      <c r="KC805" s="709">
        <f t="shared" si="16464"/>
        <v>0</v>
      </c>
      <c r="KD805" s="491"/>
      <c r="KE805" s="491"/>
      <c r="KF805" s="491"/>
      <c r="KG805" s="491"/>
      <c r="KH805" s="36"/>
      <c r="KI805" s="36"/>
      <c r="KJ805" s="36"/>
      <c r="KK805" s="36"/>
    </row>
    <row r="806" spans="1:297" s="10" customFormat="1">
      <c r="A806" s="612" t="s">
        <v>753</v>
      </c>
      <c r="B806" s="512" t="s">
        <v>991</v>
      </c>
      <c r="C806" s="74">
        <v>10000</v>
      </c>
      <c r="D806" s="549">
        <v>0</v>
      </c>
      <c r="E806" s="675">
        <v>0</v>
      </c>
      <c r="F806" s="549">
        <v>0</v>
      </c>
      <c r="G806" s="675">
        <v>0</v>
      </c>
      <c r="H806" s="549">
        <v>0</v>
      </c>
      <c r="I806" s="675">
        <v>0</v>
      </c>
      <c r="J806" s="549">
        <v>0</v>
      </c>
      <c r="K806" s="675">
        <v>0</v>
      </c>
      <c r="L806" s="549">
        <v>0</v>
      </c>
      <c r="M806" s="675">
        <v>0</v>
      </c>
      <c r="N806" s="549">
        <v>0</v>
      </c>
      <c r="O806" s="675">
        <v>0</v>
      </c>
      <c r="P806" s="549">
        <v>0</v>
      </c>
      <c r="Q806" s="675">
        <v>0</v>
      </c>
      <c r="R806" s="549">
        <v>0</v>
      </c>
      <c r="S806" s="675">
        <v>0</v>
      </c>
      <c r="T806" s="549">
        <v>0</v>
      </c>
      <c r="U806" s="675">
        <v>0</v>
      </c>
      <c r="V806" s="549">
        <v>0</v>
      </c>
      <c r="W806" s="675">
        <v>0</v>
      </c>
      <c r="X806" s="549">
        <v>0</v>
      </c>
      <c r="Y806" s="675">
        <v>0</v>
      </c>
      <c r="Z806" s="549">
        <v>0</v>
      </c>
      <c r="AA806" s="675">
        <v>0</v>
      </c>
      <c r="AB806" s="549">
        <v>0</v>
      </c>
      <c r="AC806" s="675">
        <v>0</v>
      </c>
      <c r="AD806" s="549">
        <v>0</v>
      </c>
      <c r="AE806" s="675">
        <v>0</v>
      </c>
      <c r="AF806" s="549">
        <v>0</v>
      </c>
      <c r="AG806" s="675">
        <v>0</v>
      </c>
      <c r="AH806" s="549">
        <v>0</v>
      </c>
      <c r="AI806" s="675">
        <v>0</v>
      </c>
      <c r="AJ806" s="549">
        <v>0</v>
      </c>
      <c r="AK806" s="675">
        <v>0</v>
      </c>
      <c r="AL806" s="549">
        <v>0</v>
      </c>
      <c r="AM806" s="675">
        <v>0</v>
      </c>
      <c r="AN806" s="549">
        <v>0</v>
      </c>
      <c r="AO806" s="675">
        <v>0</v>
      </c>
      <c r="AP806" s="549">
        <v>0</v>
      </c>
      <c r="AQ806" s="675">
        <v>0</v>
      </c>
      <c r="AR806" s="549">
        <v>0</v>
      </c>
      <c r="AS806" s="675">
        <v>0</v>
      </c>
      <c r="AT806" s="549">
        <v>0</v>
      </c>
      <c r="AU806" s="675">
        <v>0</v>
      </c>
      <c r="AV806" s="549">
        <v>0</v>
      </c>
      <c r="AW806" s="675">
        <v>0</v>
      </c>
      <c r="AX806" s="549">
        <v>0</v>
      </c>
      <c r="AY806" s="675">
        <v>0</v>
      </c>
      <c r="AZ806" s="549">
        <v>0</v>
      </c>
      <c r="BA806" s="675">
        <v>0</v>
      </c>
      <c r="BB806" s="549">
        <v>0</v>
      </c>
      <c r="BC806" s="675">
        <v>0</v>
      </c>
      <c r="BD806" s="549">
        <v>0</v>
      </c>
      <c r="BE806" s="675">
        <v>0</v>
      </c>
      <c r="BF806" s="549">
        <v>0</v>
      </c>
      <c r="BG806" s="675">
        <v>0</v>
      </c>
      <c r="BH806" s="549">
        <v>0</v>
      </c>
      <c r="BI806" s="675">
        <v>0</v>
      </c>
      <c r="BJ806" s="549">
        <v>0</v>
      </c>
      <c r="BK806" s="675">
        <v>0</v>
      </c>
      <c r="BL806" s="549">
        <v>0</v>
      </c>
      <c r="BM806" s="675">
        <v>0</v>
      </c>
      <c r="BN806" s="549">
        <v>0</v>
      </c>
      <c r="BO806" s="675">
        <v>0</v>
      </c>
      <c r="BP806" s="549">
        <v>0</v>
      </c>
      <c r="BQ806" s="675">
        <v>0</v>
      </c>
      <c r="BR806" s="549">
        <v>0</v>
      </c>
      <c r="BS806" s="675">
        <v>0</v>
      </c>
      <c r="BT806" s="549">
        <v>0</v>
      </c>
      <c r="BU806" s="675">
        <v>0</v>
      </c>
      <c r="BV806" s="549">
        <v>0</v>
      </c>
      <c r="BW806" s="675">
        <v>0</v>
      </c>
      <c r="BX806" s="549">
        <v>0</v>
      </c>
      <c r="BY806" s="675">
        <v>0</v>
      </c>
      <c r="BZ806" s="549">
        <v>0</v>
      </c>
      <c r="CA806" s="675">
        <v>0</v>
      </c>
      <c r="CB806" s="549">
        <v>0</v>
      </c>
      <c r="CC806" s="675">
        <v>0</v>
      </c>
      <c r="CD806" s="549">
        <v>0</v>
      </c>
      <c r="CE806" s="675">
        <v>0</v>
      </c>
      <c r="CF806" s="549">
        <v>0</v>
      </c>
      <c r="CG806" s="675">
        <v>0</v>
      </c>
      <c r="CH806" s="549">
        <v>0</v>
      </c>
      <c r="CI806" s="675">
        <v>0</v>
      </c>
      <c r="CJ806" s="549">
        <v>0</v>
      </c>
      <c r="CK806" s="675">
        <v>0</v>
      </c>
      <c r="CL806" s="549">
        <v>0</v>
      </c>
      <c r="CM806" s="675">
        <v>0</v>
      </c>
      <c r="CN806" s="549">
        <v>0</v>
      </c>
      <c r="CO806" s="675">
        <v>0</v>
      </c>
      <c r="CP806" s="549">
        <v>0</v>
      </c>
      <c r="CQ806" s="675">
        <v>0</v>
      </c>
      <c r="CR806" s="549">
        <v>0</v>
      </c>
      <c r="CS806" s="675">
        <v>0</v>
      </c>
      <c r="CT806" s="549">
        <v>0</v>
      </c>
      <c r="CU806" s="675">
        <v>0</v>
      </c>
      <c r="CV806" s="549">
        <v>0</v>
      </c>
      <c r="CW806" s="675">
        <v>0</v>
      </c>
      <c r="CX806" s="549">
        <v>0</v>
      </c>
      <c r="CY806" s="675">
        <v>0</v>
      </c>
      <c r="CZ806" s="549">
        <v>0</v>
      </c>
      <c r="DA806" s="675">
        <v>0</v>
      </c>
      <c r="DB806" s="549">
        <v>0</v>
      </c>
      <c r="DC806" s="675">
        <v>-10000</v>
      </c>
      <c r="DD806" s="549">
        <v>0</v>
      </c>
      <c r="DE806" s="675">
        <v>0</v>
      </c>
      <c r="DF806" s="549">
        <v>0</v>
      </c>
      <c r="DG806" s="675">
        <v>0</v>
      </c>
      <c r="DH806" s="549">
        <v>0</v>
      </c>
      <c r="DI806" s="675">
        <v>0</v>
      </c>
      <c r="DJ806" s="549">
        <v>0</v>
      </c>
      <c r="DK806" s="675">
        <v>0</v>
      </c>
      <c r="DL806" s="549">
        <v>0</v>
      </c>
      <c r="DM806" s="675">
        <v>0</v>
      </c>
      <c r="DN806" s="549">
        <v>0</v>
      </c>
      <c r="DO806" s="675">
        <v>0</v>
      </c>
      <c r="DP806" s="549">
        <v>0</v>
      </c>
      <c r="DQ806" s="675">
        <v>0</v>
      </c>
      <c r="DR806" s="549">
        <v>0</v>
      </c>
      <c r="DS806" s="675">
        <v>0</v>
      </c>
      <c r="DT806" s="549">
        <v>0</v>
      </c>
      <c r="DU806" s="675">
        <v>0</v>
      </c>
      <c r="DV806" s="549">
        <v>0</v>
      </c>
      <c r="DW806" s="675">
        <v>0</v>
      </c>
      <c r="DX806" s="549">
        <v>0</v>
      </c>
      <c r="DY806" s="675">
        <v>0</v>
      </c>
      <c r="DZ806" s="549">
        <v>0</v>
      </c>
      <c r="EA806" s="675">
        <v>0</v>
      </c>
      <c r="EB806" s="549">
        <v>0</v>
      </c>
      <c r="EC806" s="675">
        <v>0</v>
      </c>
      <c r="ED806" s="549">
        <v>0</v>
      </c>
      <c r="EE806" s="675">
        <v>0</v>
      </c>
      <c r="EF806" s="549">
        <v>0</v>
      </c>
      <c r="EG806" s="675">
        <v>0</v>
      </c>
      <c r="EH806" s="549">
        <v>0</v>
      </c>
      <c r="EI806" s="675">
        <v>0</v>
      </c>
      <c r="EJ806" s="549">
        <v>0</v>
      </c>
      <c r="EK806" s="675">
        <v>0</v>
      </c>
      <c r="EL806" s="549">
        <v>0</v>
      </c>
      <c r="EM806" s="675">
        <v>0</v>
      </c>
      <c r="EN806" s="549">
        <v>0</v>
      </c>
      <c r="EO806" s="675">
        <v>0</v>
      </c>
      <c r="EP806" s="549">
        <v>0</v>
      </c>
      <c r="EQ806" s="675">
        <v>0</v>
      </c>
      <c r="ER806" s="549">
        <v>0</v>
      </c>
      <c r="ES806" s="675">
        <v>0</v>
      </c>
      <c r="ET806" s="549">
        <v>0</v>
      </c>
      <c r="EU806" s="675">
        <v>0</v>
      </c>
      <c r="EV806" s="549">
        <v>0</v>
      </c>
      <c r="EW806" s="675">
        <v>0</v>
      </c>
      <c r="EX806" s="549">
        <v>0</v>
      </c>
      <c r="EY806" s="675">
        <v>0</v>
      </c>
      <c r="EZ806" s="549">
        <v>0</v>
      </c>
      <c r="FA806" s="675">
        <v>0</v>
      </c>
      <c r="FB806" s="549">
        <v>0</v>
      </c>
      <c r="FC806" s="675">
        <v>0</v>
      </c>
      <c r="FD806" s="549">
        <v>0</v>
      </c>
      <c r="FE806" s="675">
        <v>0</v>
      </c>
      <c r="FF806" s="549">
        <v>0</v>
      </c>
      <c r="FG806" s="675">
        <v>0</v>
      </c>
      <c r="FH806" s="549">
        <v>0</v>
      </c>
      <c r="FI806" s="675">
        <v>0</v>
      </c>
      <c r="FJ806" s="549">
        <v>0</v>
      </c>
      <c r="FK806" s="675">
        <v>0</v>
      </c>
      <c r="FL806" s="549">
        <v>0</v>
      </c>
      <c r="FM806" s="675">
        <v>0</v>
      </c>
      <c r="FN806" s="549">
        <v>0</v>
      </c>
      <c r="FO806" s="675">
        <v>0</v>
      </c>
      <c r="FP806" s="549">
        <v>0</v>
      </c>
      <c r="FQ806" s="675">
        <v>0</v>
      </c>
      <c r="FR806" s="549">
        <v>0</v>
      </c>
      <c r="FS806" s="675">
        <v>0</v>
      </c>
      <c r="FT806" s="549">
        <v>0</v>
      </c>
      <c r="FU806" s="675">
        <v>0</v>
      </c>
      <c r="FV806" s="549">
        <v>0</v>
      </c>
      <c r="FW806" s="675">
        <v>0</v>
      </c>
      <c r="FX806" s="549">
        <v>0</v>
      </c>
      <c r="FY806" s="675">
        <v>0</v>
      </c>
      <c r="FZ806" s="549">
        <v>0</v>
      </c>
      <c r="GA806" s="675">
        <v>0</v>
      </c>
      <c r="GB806" s="549">
        <v>0</v>
      </c>
      <c r="GC806" s="675">
        <v>0</v>
      </c>
      <c r="GD806" s="549">
        <v>0</v>
      </c>
      <c r="GE806" s="675">
        <v>0</v>
      </c>
      <c r="GF806" s="549">
        <v>0</v>
      </c>
      <c r="GG806" s="675">
        <v>0</v>
      </c>
      <c r="GH806" s="549">
        <v>0</v>
      </c>
      <c r="GI806" s="675">
        <v>0</v>
      </c>
      <c r="GJ806" s="549">
        <v>0</v>
      </c>
      <c r="GK806" s="675">
        <v>0</v>
      </c>
      <c r="GL806" s="549">
        <v>0</v>
      </c>
      <c r="GM806" s="675">
        <v>0</v>
      </c>
      <c r="GN806" s="549">
        <v>0</v>
      </c>
      <c r="GO806" s="675">
        <v>0</v>
      </c>
      <c r="GP806" s="549">
        <f t="shared" si="17104"/>
        <v>0</v>
      </c>
      <c r="GQ806" s="675">
        <f t="shared" si="17105"/>
        <v>-10000</v>
      </c>
      <c r="GR806" s="74">
        <f t="shared" si="17106"/>
        <v>0</v>
      </c>
      <c r="GS806" s="74">
        <f t="shared" si="17107"/>
        <v>0</v>
      </c>
      <c r="GT806" s="568">
        <f t="shared" si="17108"/>
        <v>0</v>
      </c>
      <c r="GU806" s="275">
        <v>2000</v>
      </c>
      <c r="GV806" s="275"/>
      <c r="GW806" s="588"/>
      <c r="GX806" s="275">
        <v>3000</v>
      </c>
      <c r="GY806" s="275">
        <v>5000</v>
      </c>
      <c r="GZ806" s="275"/>
      <c r="HA806" s="275">
        <f>3000-3000</f>
        <v>0</v>
      </c>
      <c r="HB806" s="275"/>
      <c r="HC806" s="275"/>
      <c r="HD806" s="275">
        <f>2000-2000</f>
        <v>0</v>
      </c>
      <c r="HE806" s="275">
        <v>0</v>
      </c>
      <c r="HF806" s="275">
        <v>0</v>
      </c>
      <c r="HG806" s="74">
        <f t="shared" si="17109"/>
        <v>0</v>
      </c>
      <c r="HH806" s="89">
        <v>0</v>
      </c>
      <c r="HI806" s="157">
        <v>0</v>
      </c>
      <c r="HJ806" s="89">
        <v>0</v>
      </c>
      <c r="HK806" s="157">
        <v>0</v>
      </c>
      <c r="HL806" s="89">
        <v>0</v>
      </c>
      <c r="HM806" s="157">
        <v>2000</v>
      </c>
      <c r="HN806" s="89">
        <v>0</v>
      </c>
      <c r="HO806" s="157">
        <v>3000</v>
      </c>
      <c r="HP806" s="89">
        <v>0</v>
      </c>
      <c r="HQ806" s="157">
        <v>0</v>
      </c>
      <c r="HR806" s="89">
        <v>0</v>
      </c>
      <c r="HS806" s="157">
        <v>0</v>
      </c>
      <c r="HT806" s="89">
        <v>0</v>
      </c>
      <c r="HU806" s="157">
        <v>5000</v>
      </c>
      <c r="HV806" s="89">
        <v>0</v>
      </c>
      <c r="HW806" s="157">
        <v>0</v>
      </c>
      <c r="HX806" s="89">
        <v>0</v>
      </c>
      <c r="HY806" s="157">
        <v>0</v>
      </c>
      <c r="HZ806" s="89">
        <v>0</v>
      </c>
      <c r="IA806" s="157">
        <v>0</v>
      </c>
      <c r="IB806" s="89">
        <v>0</v>
      </c>
      <c r="IC806" s="157">
        <v>0</v>
      </c>
      <c r="ID806" s="89">
        <v>0</v>
      </c>
      <c r="IE806" s="157">
        <v>0</v>
      </c>
      <c r="IF806" s="717">
        <f t="shared" si="17110"/>
        <v>0</v>
      </c>
      <c r="IG806" s="263">
        <f t="shared" si="17111"/>
        <v>0</v>
      </c>
      <c r="IH806" s="718">
        <f t="shared" si="17112"/>
        <v>0</v>
      </c>
      <c r="II806" s="89">
        <v>0</v>
      </c>
      <c r="IJ806" s="89">
        <f t="shared" si="17113"/>
        <v>0</v>
      </c>
      <c r="IK806" s="89">
        <f t="shared" si="17114"/>
        <v>0</v>
      </c>
      <c r="IL806" s="89">
        <v>0</v>
      </c>
      <c r="IM806" s="89">
        <f t="shared" si="17115"/>
        <v>0</v>
      </c>
      <c r="IN806" s="89">
        <f t="shared" si="17116"/>
        <v>0</v>
      </c>
      <c r="IO806" s="89">
        <v>0</v>
      </c>
      <c r="IP806" s="89">
        <f t="shared" si="17117"/>
        <v>0</v>
      </c>
      <c r="IQ806" s="89">
        <f t="shared" si="17118"/>
        <v>0</v>
      </c>
      <c r="IR806" s="89">
        <v>0</v>
      </c>
      <c r="IS806" s="89">
        <f t="shared" si="17119"/>
        <v>0</v>
      </c>
      <c r="IT806" s="89">
        <f t="shared" si="17120"/>
        <v>0</v>
      </c>
      <c r="IU806" s="89">
        <v>0</v>
      </c>
      <c r="IV806" s="89">
        <f t="shared" si="17121"/>
        <v>0</v>
      </c>
      <c r="IW806" s="89">
        <f t="shared" si="17122"/>
        <v>0</v>
      </c>
      <c r="IX806" s="89">
        <v>0</v>
      </c>
      <c r="IY806" s="89">
        <f t="shared" si="17123"/>
        <v>0</v>
      </c>
      <c r="IZ806" s="89">
        <f t="shared" si="17124"/>
        <v>0</v>
      </c>
      <c r="JA806" s="89">
        <v>0</v>
      </c>
      <c r="JB806" s="89">
        <f t="shared" si="17125"/>
        <v>0</v>
      </c>
      <c r="JC806" s="89">
        <f t="shared" si="17126"/>
        <v>0</v>
      </c>
      <c r="JD806" s="89">
        <v>0</v>
      </c>
      <c r="JE806" s="89">
        <f t="shared" si="17127"/>
        <v>0</v>
      </c>
      <c r="JF806" s="89">
        <f t="shared" si="17128"/>
        <v>0</v>
      </c>
      <c r="JG806" s="89">
        <v>0</v>
      </c>
      <c r="JH806" s="89">
        <f t="shared" si="17129"/>
        <v>0</v>
      </c>
      <c r="JI806" s="89">
        <f t="shared" si="17130"/>
        <v>0</v>
      </c>
      <c r="JJ806" s="89">
        <v>0</v>
      </c>
      <c r="JK806" s="89">
        <f t="shared" si="17131"/>
        <v>0</v>
      </c>
      <c r="JL806" s="89">
        <f t="shared" si="17132"/>
        <v>0</v>
      </c>
      <c r="JM806" s="89">
        <v>0</v>
      </c>
      <c r="JN806" s="89">
        <f t="shared" si="17133"/>
        <v>0</v>
      </c>
      <c r="JO806" s="89">
        <f t="shared" si="17134"/>
        <v>0</v>
      </c>
      <c r="JP806" s="89">
        <v>0</v>
      </c>
      <c r="JQ806" s="89">
        <f t="shared" ref="JQ806:JR806" si="17153">JP806</f>
        <v>0</v>
      </c>
      <c r="JR806" s="89">
        <f t="shared" si="17153"/>
        <v>0</v>
      </c>
      <c r="JS806" s="74">
        <f t="shared" si="17136"/>
        <v>0</v>
      </c>
      <c r="JT806" s="382">
        <f t="shared" si="17137"/>
        <v>0</v>
      </c>
      <c r="JU806" s="665"/>
      <c r="JV806" s="524"/>
      <c r="JW806" s="525"/>
      <c r="JX806" s="549">
        <f t="shared" si="17138"/>
        <v>0</v>
      </c>
      <c r="JY806" s="549">
        <f t="shared" si="17138"/>
        <v>10000</v>
      </c>
      <c r="JZ806" s="581">
        <f t="shared" si="16466"/>
        <v>0</v>
      </c>
      <c r="KA806" s="581">
        <f t="shared" si="16467"/>
        <v>-10000</v>
      </c>
      <c r="KB806" s="566">
        <f t="shared" si="17031"/>
        <v>0</v>
      </c>
      <c r="KC806" s="709">
        <f t="shared" si="16464"/>
        <v>0</v>
      </c>
      <c r="KD806" s="491"/>
      <c r="KE806" s="491"/>
      <c r="KF806" s="491"/>
      <c r="KG806" s="491"/>
      <c r="KH806" s="36"/>
      <c r="KI806" s="36"/>
      <c r="KJ806" s="36"/>
      <c r="KK806" s="36"/>
    </row>
    <row r="807" spans="1:297" s="10" customFormat="1">
      <c r="A807" s="612" t="s">
        <v>1067</v>
      </c>
      <c r="B807" s="512" t="s">
        <v>131</v>
      </c>
      <c r="C807" s="74">
        <v>3000</v>
      </c>
      <c r="D807" s="549">
        <v>0</v>
      </c>
      <c r="E807" s="675">
        <v>0</v>
      </c>
      <c r="F807" s="549">
        <v>0</v>
      </c>
      <c r="G807" s="675">
        <v>0</v>
      </c>
      <c r="H807" s="549">
        <v>0</v>
      </c>
      <c r="I807" s="675">
        <v>0</v>
      </c>
      <c r="J807" s="549">
        <v>0</v>
      </c>
      <c r="K807" s="675">
        <v>0</v>
      </c>
      <c r="L807" s="549">
        <v>0</v>
      </c>
      <c r="M807" s="675">
        <v>0</v>
      </c>
      <c r="N807" s="549">
        <v>0</v>
      </c>
      <c r="O807" s="675">
        <v>0</v>
      </c>
      <c r="P807" s="549">
        <v>0</v>
      </c>
      <c r="Q807" s="675">
        <v>0</v>
      </c>
      <c r="R807" s="549">
        <v>0</v>
      </c>
      <c r="S807" s="675">
        <v>0</v>
      </c>
      <c r="T807" s="549">
        <v>0</v>
      </c>
      <c r="U807" s="675">
        <v>0</v>
      </c>
      <c r="V807" s="549">
        <v>0</v>
      </c>
      <c r="W807" s="675">
        <v>0</v>
      </c>
      <c r="X807" s="549">
        <v>0</v>
      </c>
      <c r="Y807" s="675">
        <v>0</v>
      </c>
      <c r="Z807" s="549">
        <v>0</v>
      </c>
      <c r="AA807" s="675">
        <v>0</v>
      </c>
      <c r="AB807" s="549">
        <v>0</v>
      </c>
      <c r="AC807" s="675">
        <v>-3000</v>
      </c>
      <c r="AD807" s="549">
        <v>0</v>
      </c>
      <c r="AE807" s="675">
        <v>0</v>
      </c>
      <c r="AF807" s="549">
        <v>0</v>
      </c>
      <c r="AG807" s="675">
        <v>0</v>
      </c>
      <c r="AH807" s="549">
        <v>0</v>
      </c>
      <c r="AI807" s="675">
        <v>0</v>
      </c>
      <c r="AJ807" s="549">
        <v>0</v>
      </c>
      <c r="AK807" s="675">
        <v>0</v>
      </c>
      <c r="AL807" s="549">
        <v>0</v>
      </c>
      <c r="AM807" s="675">
        <v>0</v>
      </c>
      <c r="AN807" s="549">
        <v>0</v>
      </c>
      <c r="AO807" s="675">
        <v>0</v>
      </c>
      <c r="AP807" s="549">
        <v>0</v>
      </c>
      <c r="AQ807" s="675">
        <v>0</v>
      </c>
      <c r="AR807" s="549">
        <v>0</v>
      </c>
      <c r="AS807" s="675">
        <v>0</v>
      </c>
      <c r="AT807" s="549">
        <v>0</v>
      </c>
      <c r="AU807" s="675">
        <v>0</v>
      </c>
      <c r="AV807" s="549">
        <v>0</v>
      </c>
      <c r="AW807" s="675">
        <v>0</v>
      </c>
      <c r="AX807" s="549">
        <v>0</v>
      </c>
      <c r="AY807" s="675">
        <v>0</v>
      </c>
      <c r="AZ807" s="549">
        <v>0</v>
      </c>
      <c r="BA807" s="675">
        <v>0</v>
      </c>
      <c r="BB807" s="549">
        <v>0</v>
      </c>
      <c r="BC807" s="675">
        <v>0</v>
      </c>
      <c r="BD807" s="549">
        <v>0</v>
      </c>
      <c r="BE807" s="675">
        <v>0</v>
      </c>
      <c r="BF807" s="549">
        <v>0</v>
      </c>
      <c r="BG807" s="675">
        <v>0</v>
      </c>
      <c r="BH807" s="549">
        <v>0</v>
      </c>
      <c r="BI807" s="675">
        <v>0</v>
      </c>
      <c r="BJ807" s="549">
        <v>0</v>
      </c>
      <c r="BK807" s="675">
        <v>0</v>
      </c>
      <c r="BL807" s="549">
        <v>0</v>
      </c>
      <c r="BM807" s="675">
        <v>0</v>
      </c>
      <c r="BN807" s="549">
        <v>0</v>
      </c>
      <c r="BO807" s="675">
        <v>0</v>
      </c>
      <c r="BP807" s="549">
        <v>0</v>
      </c>
      <c r="BQ807" s="675">
        <v>0</v>
      </c>
      <c r="BR807" s="549">
        <v>0</v>
      </c>
      <c r="BS807" s="675">
        <v>0</v>
      </c>
      <c r="BT807" s="549">
        <v>0</v>
      </c>
      <c r="BU807" s="675">
        <v>0</v>
      </c>
      <c r="BV807" s="549">
        <v>0</v>
      </c>
      <c r="BW807" s="675">
        <v>0</v>
      </c>
      <c r="BX807" s="549">
        <v>0</v>
      </c>
      <c r="BY807" s="675">
        <v>0</v>
      </c>
      <c r="BZ807" s="549">
        <v>0</v>
      </c>
      <c r="CA807" s="675">
        <v>0</v>
      </c>
      <c r="CB807" s="549">
        <v>0</v>
      </c>
      <c r="CC807" s="675">
        <v>0</v>
      </c>
      <c r="CD807" s="549">
        <v>0</v>
      </c>
      <c r="CE807" s="675">
        <v>0</v>
      </c>
      <c r="CF807" s="549">
        <v>0</v>
      </c>
      <c r="CG807" s="675">
        <v>0</v>
      </c>
      <c r="CH807" s="549">
        <v>0</v>
      </c>
      <c r="CI807" s="675">
        <v>0</v>
      </c>
      <c r="CJ807" s="549">
        <v>0</v>
      </c>
      <c r="CK807" s="675">
        <v>0</v>
      </c>
      <c r="CL807" s="549">
        <v>0</v>
      </c>
      <c r="CM807" s="675">
        <v>0</v>
      </c>
      <c r="CN807" s="549">
        <v>0</v>
      </c>
      <c r="CO807" s="675">
        <v>0</v>
      </c>
      <c r="CP807" s="549">
        <v>0</v>
      </c>
      <c r="CQ807" s="675">
        <v>0</v>
      </c>
      <c r="CR807" s="549">
        <v>0</v>
      </c>
      <c r="CS807" s="675">
        <v>0</v>
      </c>
      <c r="CT807" s="549">
        <v>0</v>
      </c>
      <c r="CU807" s="675">
        <v>0</v>
      </c>
      <c r="CV807" s="549">
        <v>0</v>
      </c>
      <c r="CW807" s="675">
        <v>0</v>
      </c>
      <c r="CX807" s="549">
        <v>0</v>
      </c>
      <c r="CY807" s="675">
        <v>0</v>
      </c>
      <c r="CZ807" s="549">
        <v>0</v>
      </c>
      <c r="DA807" s="675">
        <v>0</v>
      </c>
      <c r="DB807" s="549">
        <v>0</v>
      </c>
      <c r="DC807" s="675">
        <v>0</v>
      </c>
      <c r="DD807" s="549">
        <v>0</v>
      </c>
      <c r="DE807" s="675">
        <v>0</v>
      </c>
      <c r="DF807" s="549">
        <v>0</v>
      </c>
      <c r="DG807" s="675">
        <v>0</v>
      </c>
      <c r="DH807" s="549">
        <v>0</v>
      </c>
      <c r="DI807" s="675">
        <v>0</v>
      </c>
      <c r="DJ807" s="549">
        <v>0</v>
      </c>
      <c r="DK807" s="675">
        <v>0</v>
      </c>
      <c r="DL807" s="549">
        <v>0</v>
      </c>
      <c r="DM807" s="675">
        <v>0</v>
      </c>
      <c r="DN807" s="549">
        <v>0</v>
      </c>
      <c r="DO807" s="675">
        <v>0</v>
      </c>
      <c r="DP807" s="549">
        <v>0</v>
      </c>
      <c r="DQ807" s="675">
        <v>0</v>
      </c>
      <c r="DR807" s="549">
        <v>0</v>
      </c>
      <c r="DS807" s="675">
        <v>0</v>
      </c>
      <c r="DT807" s="549">
        <v>0</v>
      </c>
      <c r="DU807" s="675">
        <v>0</v>
      </c>
      <c r="DV807" s="549">
        <v>0</v>
      </c>
      <c r="DW807" s="675">
        <v>0</v>
      </c>
      <c r="DX807" s="549">
        <v>0</v>
      </c>
      <c r="DY807" s="675">
        <v>0</v>
      </c>
      <c r="DZ807" s="549">
        <v>0</v>
      </c>
      <c r="EA807" s="675">
        <v>0</v>
      </c>
      <c r="EB807" s="549">
        <v>0</v>
      </c>
      <c r="EC807" s="675">
        <v>0</v>
      </c>
      <c r="ED807" s="549">
        <v>0</v>
      </c>
      <c r="EE807" s="675">
        <v>0</v>
      </c>
      <c r="EF807" s="549">
        <v>0</v>
      </c>
      <c r="EG807" s="675">
        <v>0</v>
      </c>
      <c r="EH807" s="549">
        <v>0</v>
      </c>
      <c r="EI807" s="675">
        <v>0</v>
      </c>
      <c r="EJ807" s="549">
        <v>0</v>
      </c>
      <c r="EK807" s="675">
        <v>0</v>
      </c>
      <c r="EL807" s="549">
        <v>0</v>
      </c>
      <c r="EM807" s="675">
        <v>0</v>
      </c>
      <c r="EN807" s="549">
        <v>0</v>
      </c>
      <c r="EO807" s="675">
        <v>0</v>
      </c>
      <c r="EP807" s="549">
        <v>0</v>
      </c>
      <c r="EQ807" s="675">
        <v>0</v>
      </c>
      <c r="ER807" s="549">
        <v>0</v>
      </c>
      <c r="ES807" s="675">
        <v>0</v>
      </c>
      <c r="ET807" s="549">
        <v>0</v>
      </c>
      <c r="EU807" s="675">
        <v>0</v>
      </c>
      <c r="EV807" s="549">
        <v>0</v>
      </c>
      <c r="EW807" s="675">
        <v>0</v>
      </c>
      <c r="EX807" s="549">
        <v>0</v>
      </c>
      <c r="EY807" s="675">
        <v>0</v>
      </c>
      <c r="EZ807" s="549">
        <v>0</v>
      </c>
      <c r="FA807" s="675">
        <v>0</v>
      </c>
      <c r="FB807" s="549">
        <v>0</v>
      </c>
      <c r="FC807" s="675">
        <v>0</v>
      </c>
      <c r="FD807" s="549">
        <v>0</v>
      </c>
      <c r="FE807" s="675">
        <v>0</v>
      </c>
      <c r="FF807" s="549">
        <v>0</v>
      </c>
      <c r="FG807" s="675">
        <v>0</v>
      </c>
      <c r="FH807" s="549">
        <v>0</v>
      </c>
      <c r="FI807" s="675">
        <v>0</v>
      </c>
      <c r="FJ807" s="549">
        <v>0</v>
      </c>
      <c r="FK807" s="675">
        <v>0</v>
      </c>
      <c r="FL807" s="549">
        <v>0</v>
      </c>
      <c r="FM807" s="675">
        <v>0</v>
      </c>
      <c r="FN807" s="549">
        <v>0</v>
      </c>
      <c r="FO807" s="675">
        <v>0</v>
      </c>
      <c r="FP807" s="549">
        <v>0</v>
      </c>
      <c r="FQ807" s="675">
        <v>0</v>
      </c>
      <c r="FR807" s="549">
        <v>0</v>
      </c>
      <c r="FS807" s="675">
        <v>0</v>
      </c>
      <c r="FT807" s="549">
        <v>0</v>
      </c>
      <c r="FU807" s="675">
        <v>0</v>
      </c>
      <c r="FV807" s="549">
        <v>0</v>
      </c>
      <c r="FW807" s="675">
        <v>0</v>
      </c>
      <c r="FX807" s="549">
        <v>0</v>
      </c>
      <c r="FY807" s="675">
        <v>0</v>
      </c>
      <c r="FZ807" s="549">
        <v>0</v>
      </c>
      <c r="GA807" s="675">
        <v>0</v>
      </c>
      <c r="GB807" s="549">
        <v>0</v>
      </c>
      <c r="GC807" s="675">
        <v>0</v>
      </c>
      <c r="GD807" s="549">
        <v>0</v>
      </c>
      <c r="GE807" s="675">
        <v>0</v>
      </c>
      <c r="GF807" s="549">
        <v>0</v>
      </c>
      <c r="GG807" s="675">
        <v>0</v>
      </c>
      <c r="GH807" s="549">
        <v>0</v>
      </c>
      <c r="GI807" s="675">
        <v>0</v>
      </c>
      <c r="GJ807" s="549">
        <v>0</v>
      </c>
      <c r="GK807" s="675">
        <v>0</v>
      </c>
      <c r="GL807" s="549">
        <v>0</v>
      </c>
      <c r="GM807" s="675">
        <v>0</v>
      </c>
      <c r="GN807" s="549">
        <v>0</v>
      </c>
      <c r="GO807" s="675">
        <v>0</v>
      </c>
      <c r="GP807" s="549">
        <f t="shared" si="17104"/>
        <v>0</v>
      </c>
      <c r="GQ807" s="675">
        <f t="shared" si="17105"/>
        <v>-3000</v>
      </c>
      <c r="GR807" s="74">
        <f t="shared" si="17106"/>
        <v>0</v>
      </c>
      <c r="GS807" s="74">
        <f t="shared" si="17107"/>
        <v>0</v>
      </c>
      <c r="GT807" s="568">
        <f t="shared" si="17108"/>
        <v>0</v>
      </c>
      <c r="GU807" s="275">
        <v>600</v>
      </c>
      <c r="GV807" s="275">
        <v>2400</v>
      </c>
      <c r="GW807" s="588"/>
      <c r="GX807" s="275">
        <f>900-900</f>
        <v>0</v>
      </c>
      <c r="GY807" s="275"/>
      <c r="GZ807" s="275"/>
      <c r="HA807" s="275">
        <f>900-900</f>
        <v>0</v>
      </c>
      <c r="HB807" s="275"/>
      <c r="HC807" s="275"/>
      <c r="HD807" s="275">
        <f>600-600</f>
        <v>0</v>
      </c>
      <c r="HE807" s="275">
        <v>0</v>
      </c>
      <c r="HF807" s="275">
        <v>0</v>
      </c>
      <c r="HG807" s="74">
        <f t="shared" si="17109"/>
        <v>0</v>
      </c>
      <c r="HH807" s="89">
        <v>0</v>
      </c>
      <c r="HI807" s="157">
        <v>0</v>
      </c>
      <c r="HJ807" s="89">
        <v>0</v>
      </c>
      <c r="HK807" s="157">
        <v>0</v>
      </c>
      <c r="HL807" s="89">
        <v>0</v>
      </c>
      <c r="HM807" s="157">
        <v>3000</v>
      </c>
      <c r="HN807" s="89">
        <v>0</v>
      </c>
      <c r="HO807" s="157">
        <v>0</v>
      </c>
      <c r="HP807" s="89">
        <v>0</v>
      </c>
      <c r="HQ807" s="157">
        <v>0</v>
      </c>
      <c r="HR807" s="89">
        <v>0</v>
      </c>
      <c r="HS807" s="157">
        <v>0</v>
      </c>
      <c r="HT807" s="89">
        <v>0</v>
      </c>
      <c r="HU807" s="157">
        <v>0</v>
      </c>
      <c r="HV807" s="89">
        <v>0</v>
      </c>
      <c r="HW807" s="157">
        <v>0</v>
      </c>
      <c r="HX807" s="89">
        <v>0</v>
      </c>
      <c r="HY807" s="157">
        <v>0</v>
      </c>
      <c r="HZ807" s="89">
        <v>0</v>
      </c>
      <c r="IA807" s="157">
        <v>0</v>
      </c>
      <c r="IB807" s="89">
        <v>0</v>
      </c>
      <c r="IC807" s="157">
        <v>0</v>
      </c>
      <c r="ID807" s="89">
        <v>0</v>
      </c>
      <c r="IE807" s="157">
        <v>0</v>
      </c>
      <c r="IF807" s="717">
        <f t="shared" si="17110"/>
        <v>0</v>
      </c>
      <c r="IG807" s="263">
        <f t="shared" si="17111"/>
        <v>0</v>
      </c>
      <c r="IH807" s="718">
        <f t="shared" si="17112"/>
        <v>0</v>
      </c>
      <c r="II807" s="89">
        <v>0</v>
      </c>
      <c r="IJ807" s="89">
        <f t="shared" si="17113"/>
        <v>0</v>
      </c>
      <c r="IK807" s="89">
        <f t="shared" si="17114"/>
        <v>0</v>
      </c>
      <c r="IL807" s="89">
        <v>0</v>
      </c>
      <c r="IM807" s="89">
        <f t="shared" si="17115"/>
        <v>0</v>
      </c>
      <c r="IN807" s="89">
        <f t="shared" si="17116"/>
        <v>0</v>
      </c>
      <c r="IO807" s="89">
        <v>0</v>
      </c>
      <c r="IP807" s="89">
        <f t="shared" si="17117"/>
        <v>0</v>
      </c>
      <c r="IQ807" s="89">
        <f t="shared" si="17118"/>
        <v>0</v>
      </c>
      <c r="IR807" s="89">
        <v>0</v>
      </c>
      <c r="IS807" s="89">
        <f t="shared" si="17119"/>
        <v>0</v>
      </c>
      <c r="IT807" s="89">
        <f t="shared" si="17120"/>
        <v>0</v>
      </c>
      <c r="IU807" s="89">
        <v>0</v>
      </c>
      <c r="IV807" s="89">
        <f t="shared" si="17121"/>
        <v>0</v>
      </c>
      <c r="IW807" s="89">
        <f t="shared" si="17122"/>
        <v>0</v>
      </c>
      <c r="IX807" s="89">
        <v>0</v>
      </c>
      <c r="IY807" s="89">
        <f t="shared" si="17123"/>
        <v>0</v>
      </c>
      <c r="IZ807" s="89">
        <f t="shared" si="17124"/>
        <v>0</v>
      </c>
      <c r="JA807" s="89">
        <v>0</v>
      </c>
      <c r="JB807" s="89">
        <f t="shared" si="17125"/>
        <v>0</v>
      </c>
      <c r="JC807" s="89">
        <f t="shared" si="17126"/>
        <v>0</v>
      </c>
      <c r="JD807" s="89">
        <v>0</v>
      </c>
      <c r="JE807" s="89">
        <f t="shared" si="17127"/>
        <v>0</v>
      </c>
      <c r="JF807" s="89">
        <f t="shared" si="17128"/>
        <v>0</v>
      </c>
      <c r="JG807" s="89">
        <v>0</v>
      </c>
      <c r="JH807" s="89">
        <f t="shared" si="17129"/>
        <v>0</v>
      </c>
      <c r="JI807" s="89">
        <f t="shared" si="17130"/>
        <v>0</v>
      </c>
      <c r="JJ807" s="89">
        <v>0</v>
      </c>
      <c r="JK807" s="89">
        <f t="shared" si="17131"/>
        <v>0</v>
      </c>
      <c r="JL807" s="89">
        <f t="shared" si="17132"/>
        <v>0</v>
      </c>
      <c r="JM807" s="89">
        <v>0</v>
      </c>
      <c r="JN807" s="89">
        <f t="shared" si="17133"/>
        <v>0</v>
      </c>
      <c r="JO807" s="89">
        <f t="shared" si="17134"/>
        <v>0</v>
      </c>
      <c r="JP807" s="89">
        <v>0</v>
      </c>
      <c r="JQ807" s="89">
        <f t="shared" ref="JQ807:JR807" si="17154">JP807</f>
        <v>0</v>
      </c>
      <c r="JR807" s="89">
        <f t="shared" si="17154"/>
        <v>0</v>
      </c>
      <c r="JS807" s="74">
        <f t="shared" si="17136"/>
        <v>0</v>
      </c>
      <c r="JT807" s="382">
        <f t="shared" si="17137"/>
        <v>0</v>
      </c>
      <c r="JU807" s="665"/>
      <c r="JV807" s="524"/>
      <c r="JW807" s="525"/>
      <c r="JX807" s="549">
        <f t="shared" si="17138"/>
        <v>0</v>
      </c>
      <c r="JY807" s="549">
        <f t="shared" si="17138"/>
        <v>3000</v>
      </c>
      <c r="JZ807" s="581">
        <f t="shared" si="16466"/>
        <v>0</v>
      </c>
      <c r="KA807" s="581">
        <f t="shared" si="16467"/>
        <v>-3000</v>
      </c>
      <c r="KB807" s="566">
        <f t="shared" si="17031"/>
        <v>0</v>
      </c>
      <c r="KC807" s="709">
        <f t="shared" si="16464"/>
        <v>0</v>
      </c>
      <c r="KD807" s="491"/>
      <c r="KE807" s="491"/>
      <c r="KF807" s="491"/>
      <c r="KG807" s="491"/>
      <c r="KH807" s="36"/>
      <c r="KI807" s="36"/>
      <c r="KJ807" s="36"/>
      <c r="KK807" s="36"/>
    </row>
    <row r="808" spans="1:297" s="10" customFormat="1" ht="12.75" hidden="1" customHeight="1">
      <c r="A808" s="612" t="s">
        <v>992</v>
      </c>
      <c r="B808" s="512" t="s">
        <v>133</v>
      </c>
      <c r="C808" s="74">
        <v>0</v>
      </c>
      <c r="D808" s="549">
        <v>0</v>
      </c>
      <c r="E808" s="675">
        <v>0</v>
      </c>
      <c r="F808" s="549">
        <v>0</v>
      </c>
      <c r="G808" s="675">
        <v>0</v>
      </c>
      <c r="H808" s="549">
        <v>0</v>
      </c>
      <c r="I808" s="675">
        <v>0</v>
      </c>
      <c r="J808" s="549">
        <v>0</v>
      </c>
      <c r="K808" s="675">
        <v>0</v>
      </c>
      <c r="L808" s="549">
        <v>0</v>
      </c>
      <c r="M808" s="675">
        <v>0</v>
      </c>
      <c r="N808" s="549">
        <v>0</v>
      </c>
      <c r="O808" s="675">
        <v>0</v>
      </c>
      <c r="P808" s="549">
        <v>0</v>
      </c>
      <c r="Q808" s="675">
        <v>0</v>
      </c>
      <c r="R808" s="549">
        <v>0</v>
      </c>
      <c r="S808" s="675">
        <v>0</v>
      </c>
      <c r="T808" s="549">
        <v>0</v>
      </c>
      <c r="U808" s="675">
        <v>0</v>
      </c>
      <c r="V808" s="549">
        <v>0</v>
      </c>
      <c r="W808" s="675">
        <v>0</v>
      </c>
      <c r="X808" s="549">
        <v>0</v>
      </c>
      <c r="Y808" s="675">
        <v>0</v>
      </c>
      <c r="Z808" s="549">
        <v>0</v>
      </c>
      <c r="AA808" s="675">
        <v>0</v>
      </c>
      <c r="AB808" s="549">
        <v>0</v>
      </c>
      <c r="AC808" s="675">
        <v>0</v>
      </c>
      <c r="AD808" s="549">
        <v>0</v>
      </c>
      <c r="AE808" s="675">
        <v>0</v>
      </c>
      <c r="AF808" s="549">
        <v>0</v>
      </c>
      <c r="AG808" s="675">
        <v>0</v>
      </c>
      <c r="AH808" s="549">
        <v>0</v>
      </c>
      <c r="AI808" s="675">
        <v>0</v>
      </c>
      <c r="AJ808" s="549">
        <v>0</v>
      </c>
      <c r="AK808" s="675">
        <v>0</v>
      </c>
      <c r="AL808" s="549">
        <v>0</v>
      </c>
      <c r="AM808" s="675">
        <v>0</v>
      </c>
      <c r="AN808" s="549">
        <v>0</v>
      </c>
      <c r="AO808" s="675">
        <v>0</v>
      </c>
      <c r="AP808" s="549">
        <v>0</v>
      </c>
      <c r="AQ808" s="675">
        <v>0</v>
      </c>
      <c r="AR808" s="549">
        <v>0</v>
      </c>
      <c r="AS808" s="675">
        <v>0</v>
      </c>
      <c r="AT808" s="549">
        <v>0</v>
      </c>
      <c r="AU808" s="675">
        <v>0</v>
      </c>
      <c r="AV808" s="549">
        <v>0</v>
      </c>
      <c r="AW808" s="675">
        <v>0</v>
      </c>
      <c r="AX808" s="549">
        <v>0</v>
      </c>
      <c r="AY808" s="675">
        <v>0</v>
      </c>
      <c r="AZ808" s="549">
        <v>0</v>
      </c>
      <c r="BA808" s="675">
        <v>0</v>
      </c>
      <c r="BB808" s="549">
        <v>0</v>
      </c>
      <c r="BC808" s="675">
        <v>0</v>
      </c>
      <c r="BD808" s="549">
        <v>0</v>
      </c>
      <c r="BE808" s="675">
        <v>0</v>
      </c>
      <c r="BF808" s="549">
        <v>0</v>
      </c>
      <c r="BG808" s="675">
        <v>0</v>
      </c>
      <c r="BH808" s="549">
        <v>0</v>
      </c>
      <c r="BI808" s="675">
        <v>0</v>
      </c>
      <c r="BJ808" s="549">
        <v>0</v>
      </c>
      <c r="BK808" s="675">
        <v>0</v>
      </c>
      <c r="BL808" s="549">
        <v>0</v>
      </c>
      <c r="BM808" s="675">
        <v>0</v>
      </c>
      <c r="BN808" s="549">
        <v>0</v>
      </c>
      <c r="BO808" s="675">
        <v>0</v>
      </c>
      <c r="BP808" s="549">
        <v>0</v>
      </c>
      <c r="BQ808" s="675">
        <v>0</v>
      </c>
      <c r="BR808" s="549">
        <v>0</v>
      </c>
      <c r="BS808" s="675">
        <v>0</v>
      </c>
      <c r="BT808" s="549">
        <v>0</v>
      </c>
      <c r="BU808" s="675">
        <v>0</v>
      </c>
      <c r="BV808" s="549">
        <v>0</v>
      </c>
      <c r="BW808" s="675">
        <v>0</v>
      </c>
      <c r="BX808" s="549">
        <v>0</v>
      </c>
      <c r="BY808" s="675">
        <v>0</v>
      </c>
      <c r="BZ808" s="549">
        <v>0</v>
      </c>
      <c r="CA808" s="675">
        <v>0</v>
      </c>
      <c r="CB808" s="549">
        <v>0</v>
      </c>
      <c r="CC808" s="675">
        <v>0</v>
      </c>
      <c r="CD808" s="549">
        <v>0</v>
      </c>
      <c r="CE808" s="675">
        <v>0</v>
      </c>
      <c r="CF808" s="549">
        <v>0</v>
      </c>
      <c r="CG808" s="675">
        <v>0</v>
      </c>
      <c r="CH808" s="549">
        <v>0</v>
      </c>
      <c r="CI808" s="675">
        <v>0</v>
      </c>
      <c r="CJ808" s="549">
        <v>0</v>
      </c>
      <c r="CK808" s="675">
        <v>0</v>
      </c>
      <c r="CL808" s="549">
        <v>0</v>
      </c>
      <c r="CM808" s="675">
        <v>0</v>
      </c>
      <c r="CN808" s="549">
        <v>0</v>
      </c>
      <c r="CO808" s="675">
        <v>0</v>
      </c>
      <c r="CP808" s="549">
        <v>0</v>
      </c>
      <c r="CQ808" s="675">
        <v>0</v>
      </c>
      <c r="CR808" s="549">
        <v>0</v>
      </c>
      <c r="CS808" s="675">
        <v>0</v>
      </c>
      <c r="CT808" s="549">
        <v>0</v>
      </c>
      <c r="CU808" s="675">
        <v>0</v>
      </c>
      <c r="CV808" s="549">
        <v>0</v>
      </c>
      <c r="CW808" s="675">
        <v>0</v>
      </c>
      <c r="CX808" s="549">
        <v>0</v>
      </c>
      <c r="CY808" s="675">
        <v>0</v>
      </c>
      <c r="CZ808" s="549">
        <v>0</v>
      </c>
      <c r="DA808" s="675">
        <v>0</v>
      </c>
      <c r="DB808" s="549">
        <v>0</v>
      </c>
      <c r="DC808" s="675">
        <v>0</v>
      </c>
      <c r="DD808" s="549">
        <v>0</v>
      </c>
      <c r="DE808" s="675">
        <v>0</v>
      </c>
      <c r="DF808" s="549">
        <v>0</v>
      </c>
      <c r="DG808" s="675">
        <v>0</v>
      </c>
      <c r="DH808" s="549">
        <v>0</v>
      </c>
      <c r="DI808" s="675">
        <v>0</v>
      </c>
      <c r="DJ808" s="549">
        <v>0</v>
      </c>
      <c r="DK808" s="675">
        <v>0</v>
      </c>
      <c r="DL808" s="549">
        <v>0</v>
      </c>
      <c r="DM808" s="675">
        <v>0</v>
      </c>
      <c r="DN808" s="549">
        <v>0</v>
      </c>
      <c r="DO808" s="675">
        <v>0</v>
      </c>
      <c r="DP808" s="549">
        <v>0</v>
      </c>
      <c r="DQ808" s="675">
        <v>0</v>
      </c>
      <c r="DR808" s="549">
        <v>0</v>
      </c>
      <c r="DS808" s="675">
        <v>0</v>
      </c>
      <c r="DT808" s="549">
        <v>0</v>
      </c>
      <c r="DU808" s="675">
        <v>0</v>
      </c>
      <c r="DV808" s="549">
        <v>0</v>
      </c>
      <c r="DW808" s="675">
        <v>0</v>
      </c>
      <c r="DX808" s="549">
        <v>0</v>
      </c>
      <c r="DY808" s="675">
        <v>0</v>
      </c>
      <c r="DZ808" s="549">
        <v>0</v>
      </c>
      <c r="EA808" s="675">
        <v>0</v>
      </c>
      <c r="EB808" s="549">
        <v>0</v>
      </c>
      <c r="EC808" s="675">
        <v>0</v>
      </c>
      <c r="ED808" s="549">
        <v>0</v>
      </c>
      <c r="EE808" s="675">
        <v>0</v>
      </c>
      <c r="EF808" s="549">
        <v>0</v>
      </c>
      <c r="EG808" s="675">
        <v>0</v>
      </c>
      <c r="EH808" s="549">
        <v>0</v>
      </c>
      <c r="EI808" s="675">
        <v>0</v>
      </c>
      <c r="EJ808" s="549">
        <v>0</v>
      </c>
      <c r="EK808" s="675">
        <v>0</v>
      </c>
      <c r="EL808" s="549">
        <v>0</v>
      </c>
      <c r="EM808" s="675">
        <v>0</v>
      </c>
      <c r="EN808" s="549">
        <v>0</v>
      </c>
      <c r="EO808" s="675">
        <v>0</v>
      </c>
      <c r="EP808" s="549">
        <v>0</v>
      </c>
      <c r="EQ808" s="675">
        <v>0</v>
      </c>
      <c r="ER808" s="549">
        <v>0</v>
      </c>
      <c r="ES808" s="675">
        <v>0</v>
      </c>
      <c r="ET808" s="549">
        <v>0</v>
      </c>
      <c r="EU808" s="675">
        <v>0</v>
      </c>
      <c r="EV808" s="549">
        <v>0</v>
      </c>
      <c r="EW808" s="675">
        <v>0</v>
      </c>
      <c r="EX808" s="549">
        <v>0</v>
      </c>
      <c r="EY808" s="675">
        <v>0</v>
      </c>
      <c r="EZ808" s="549">
        <v>0</v>
      </c>
      <c r="FA808" s="675">
        <v>0</v>
      </c>
      <c r="FB808" s="549">
        <v>0</v>
      </c>
      <c r="FC808" s="675">
        <v>0</v>
      </c>
      <c r="FD808" s="549">
        <v>0</v>
      </c>
      <c r="FE808" s="675">
        <v>0</v>
      </c>
      <c r="FF808" s="549">
        <v>0</v>
      </c>
      <c r="FG808" s="675">
        <v>0</v>
      </c>
      <c r="FH808" s="549">
        <v>0</v>
      </c>
      <c r="FI808" s="675">
        <v>0</v>
      </c>
      <c r="FJ808" s="549">
        <v>0</v>
      </c>
      <c r="FK808" s="675">
        <v>0</v>
      </c>
      <c r="FL808" s="549">
        <v>0</v>
      </c>
      <c r="FM808" s="675">
        <v>0</v>
      </c>
      <c r="FN808" s="549">
        <v>0</v>
      </c>
      <c r="FO808" s="675">
        <v>0</v>
      </c>
      <c r="FP808" s="549">
        <v>0</v>
      </c>
      <c r="FQ808" s="675">
        <v>0</v>
      </c>
      <c r="FR808" s="549">
        <v>0</v>
      </c>
      <c r="FS808" s="675">
        <v>0</v>
      </c>
      <c r="FT808" s="549">
        <v>0</v>
      </c>
      <c r="FU808" s="675">
        <v>0</v>
      </c>
      <c r="FV808" s="549">
        <v>0</v>
      </c>
      <c r="FW808" s="675">
        <v>0</v>
      </c>
      <c r="FX808" s="549">
        <v>0</v>
      </c>
      <c r="FY808" s="675">
        <v>0</v>
      </c>
      <c r="FZ808" s="549">
        <v>0</v>
      </c>
      <c r="GA808" s="675">
        <v>0</v>
      </c>
      <c r="GB808" s="549">
        <v>0</v>
      </c>
      <c r="GC808" s="675">
        <v>0</v>
      </c>
      <c r="GD808" s="549">
        <v>0</v>
      </c>
      <c r="GE808" s="675">
        <v>0</v>
      </c>
      <c r="GF808" s="549">
        <v>0</v>
      </c>
      <c r="GG808" s="675">
        <v>0</v>
      </c>
      <c r="GH808" s="549">
        <v>0</v>
      </c>
      <c r="GI808" s="675">
        <v>0</v>
      </c>
      <c r="GJ808" s="549">
        <v>0</v>
      </c>
      <c r="GK808" s="675">
        <v>0</v>
      </c>
      <c r="GL808" s="549">
        <v>0</v>
      </c>
      <c r="GM808" s="675">
        <v>0</v>
      </c>
      <c r="GN808" s="549">
        <v>0</v>
      </c>
      <c r="GO808" s="675">
        <v>0</v>
      </c>
      <c r="GP808" s="549">
        <f t="shared" si="17104"/>
        <v>0</v>
      </c>
      <c r="GQ808" s="675">
        <f t="shared" si="17105"/>
        <v>0</v>
      </c>
      <c r="GR808" s="74">
        <f t="shared" si="17106"/>
        <v>0</v>
      </c>
      <c r="GS808" s="74">
        <f t="shared" si="17107"/>
        <v>0</v>
      </c>
      <c r="GT808" s="568">
        <f t="shared" si="17108"/>
        <v>0</v>
      </c>
      <c r="GU808" s="275"/>
      <c r="GV808" s="275"/>
      <c r="GW808" s="588"/>
      <c r="GX808" s="275"/>
      <c r="GY808" s="275"/>
      <c r="GZ808" s="275"/>
      <c r="HA808" s="275"/>
      <c r="HB808" s="275"/>
      <c r="HC808" s="275"/>
      <c r="HD808" s="275"/>
      <c r="HE808" s="275">
        <v>0</v>
      </c>
      <c r="HF808" s="275">
        <v>0</v>
      </c>
      <c r="HG808" s="74">
        <f t="shared" si="17109"/>
        <v>0</v>
      </c>
      <c r="HH808" s="89">
        <v>0</v>
      </c>
      <c r="HI808" s="157">
        <v>0</v>
      </c>
      <c r="HJ808" s="89">
        <v>0</v>
      </c>
      <c r="HK808" s="157">
        <v>0</v>
      </c>
      <c r="HL808" s="89">
        <v>0</v>
      </c>
      <c r="HM808" s="157">
        <v>0</v>
      </c>
      <c r="HN808" s="89">
        <v>0</v>
      </c>
      <c r="HO808" s="157">
        <v>0</v>
      </c>
      <c r="HP808" s="89">
        <v>0</v>
      </c>
      <c r="HQ808" s="157">
        <v>0</v>
      </c>
      <c r="HR808" s="89">
        <v>0</v>
      </c>
      <c r="HS808" s="157">
        <v>0</v>
      </c>
      <c r="HT808" s="89">
        <v>0</v>
      </c>
      <c r="HU808" s="157">
        <v>0</v>
      </c>
      <c r="HV808" s="89">
        <v>0</v>
      </c>
      <c r="HW808" s="157">
        <v>0</v>
      </c>
      <c r="HX808" s="89">
        <v>0</v>
      </c>
      <c r="HY808" s="157">
        <v>0</v>
      </c>
      <c r="HZ808" s="89">
        <v>0</v>
      </c>
      <c r="IA808" s="157">
        <v>0</v>
      </c>
      <c r="IB808" s="89">
        <v>0</v>
      </c>
      <c r="IC808" s="157">
        <v>0</v>
      </c>
      <c r="ID808" s="89">
        <v>0</v>
      </c>
      <c r="IE808" s="157">
        <v>0</v>
      </c>
      <c r="IF808" s="717">
        <f t="shared" si="17110"/>
        <v>0</v>
      </c>
      <c r="IG808" s="263">
        <f t="shared" si="17111"/>
        <v>0</v>
      </c>
      <c r="IH808" s="718">
        <f t="shared" si="17112"/>
        <v>0</v>
      </c>
      <c r="II808" s="89">
        <v>0</v>
      </c>
      <c r="IJ808" s="89">
        <f t="shared" si="17113"/>
        <v>0</v>
      </c>
      <c r="IK808" s="89">
        <f t="shared" si="17114"/>
        <v>0</v>
      </c>
      <c r="IL808" s="89">
        <v>0</v>
      </c>
      <c r="IM808" s="89">
        <f t="shared" si="17115"/>
        <v>0</v>
      </c>
      <c r="IN808" s="89">
        <f t="shared" si="17116"/>
        <v>0</v>
      </c>
      <c r="IO808" s="89">
        <v>0</v>
      </c>
      <c r="IP808" s="89">
        <f t="shared" si="17117"/>
        <v>0</v>
      </c>
      <c r="IQ808" s="89">
        <f t="shared" si="17118"/>
        <v>0</v>
      </c>
      <c r="IR808" s="89">
        <v>0</v>
      </c>
      <c r="IS808" s="89">
        <f t="shared" si="17119"/>
        <v>0</v>
      </c>
      <c r="IT808" s="89">
        <f t="shared" si="17120"/>
        <v>0</v>
      </c>
      <c r="IU808" s="89">
        <v>0</v>
      </c>
      <c r="IV808" s="89">
        <f t="shared" si="17121"/>
        <v>0</v>
      </c>
      <c r="IW808" s="89">
        <f t="shared" si="17122"/>
        <v>0</v>
      </c>
      <c r="IX808" s="89">
        <v>0</v>
      </c>
      <c r="IY808" s="89">
        <f t="shared" si="17123"/>
        <v>0</v>
      </c>
      <c r="IZ808" s="89">
        <f t="shared" si="17124"/>
        <v>0</v>
      </c>
      <c r="JA808" s="89">
        <v>0</v>
      </c>
      <c r="JB808" s="89">
        <f t="shared" si="17125"/>
        <v>0</v>
      </c>
      <c r="JC808" s="89">
        <f t="shared" si="17126"/>
        <v>0</v>
      </c>
      <c r="JD808" s="89">
        <v>0</v>
      </c>
      <c r="JE808" s="89">
        <f t="shared" si="17127"/>
        <v>0</v>
      </c>
      <c r="JF808" s="89">
        <f t="shared" si="17128"/>
        <v>0</v>
      </c>
      <c r="JG808" s="89">
        <v>0</v>
      </c>
      <c r="JH808" s="89">
        <f t="shared" si="17129"/>
        <v>0</v>
      </c>
      <c r="JI808" s="89">
        <f t="shared" si="17130"/>
        <v>0</v>
      </c>
      <c r="JJ808" s="89">
        <v>0</v>
      </c>
      <c r="JK808" s="89">
        <f t="shared" si="17131"/>
        <v>0</v>
      </c>
      <c r="JL808" s="89">
        <f t="shared" si="17132"/>
        <v>0</v>
      </c>
      <c r="JM808" s="89">
        <v>0</v>
      </c>
      <c r="JN808" s="89">
        <f t="shared" si="17133"/>
        <v>0</v>
      </c>
      <c r="JO808" s="89">
        <f t="shared" si="17134"/>
        <v>0</v>
      </c>
      <c r="JP808" s="89">
        <v>0</v>
      </c>
      <c r="JQ808" s="89">
        <f t="shared" ref="JQ808:JR808" si="17155">JP808</f>
        <v>0</v>
      </c>
      <c r="JR808" s="89">
        <f t="shared" si="17155"/>
        <v>0</v>
      </c>
      <c r="JS808" s="74">
        <f t="shared" si="17136"/>
        <v>0</v>
      </c>
      <c r="JT808" s="382">
        <f t="shared" si="17137"/>
        <v>0</v>
      </c>
      <c r="JU808" s="665"/>
      <c r="JV808" s="524"/>
      <c r="JW808" s="525"/>
      <c r="JX808" s="549">
        <f t="shared" si="17138"/>
        <v>0</v>
      </c>
      <c r="JY808" s="549">
        <f t="shared" si="17138"/>
        <v>0</v>
      </c>
      <c r="JZ808" s="581">
        <f t="shared" si="16466"/>
        <v>0</v>
      </c>
      <c r="KA808" s="581">
        <f t="shared" si="16467"/>
        <v>0</v>
      </c>
      <c r="KB808" s="566">
        <f t="shared" si="17031"/>
        <v>0</v>
      </c>
      <c r="KC808" s="709">
        <f t="shared" si="16464"/>
        <v>0</v>
      </c>
      <c r="KD808" s="491"/>
      <c r="KE808" s="491"/>
      <c r="KF808" s="491"/>
      <c r="KG808" s="491"/>
      <c r="KH808" s="36"/>
      <c r="KI808" s="36"/>
      <c r="KJ808" s="36"/>
      <c r="KK808" s="36"/>
    </row>
    <row r="809" spans="1:297" s="10" customFormat="1" ht="12.75" hidden="1" customHeight="1">
      <c r="A809" s="612" t="s">
        <v>1107</v>
      </c>
      <c r="B809" s="512"/>
      <c r="C809" s="74">
        <v>0</v>
      </c>
      <c r="D809" s="549">
        <v>0</v>
      </c>
      <c r="E809" s="675">
        <v>0</v>
      </c>
      <c r="F809" s="549">
        <v>0</v>
      </c>
      <c r="G809" s="675">
        <v>0</v>
      </c>
      <c r="H809" s="549">
        <v>0</v>
      </c>
      <c r="I809" s="675">
        <v>0</v>
      </c>
      <c r="J809" s="549">
        <v>0</v>
      </c>
      <c r="K809" s="675">
        <v>0</v>
      </c>
      <c r="L809" s="549">
        <v>0</v>
      </c>
      <c r="M809" s="675">
        <v>0</v>
      </c>
      <c r="N809" s="549">
        <v>0</v>
      </c>
      <c r="O809" s="675">
        <v>0</v>
      </c>
      <c r="P809" s="549">
        <v>0</v>
      </c>
      <c r="Q809" s="675">
        <v>0</v>
      </c>
      <c r="R809" s="549">
        <v>0</v>
      </c>
      <c r="S809" s="675">
        <v>0</v>
      </c>
      <c r="T809" s="549">
        <v>0</v>
      </c>
      <c r="U809" s="675">
        <v>0</v>
      </c>
      <c r="V809" s="549">
        <v>0</v>
      </c>
      <c r="W809" s="675">
        <v>0</v>
      </c>
      <c r="X809" s="549">
        <v>0</v>
      </c>
      <c r="Y809" s="675">
        <v>0</v>
      </c>
      <c r="Z809" s="549">
        <v>0</v>
      </c>
      <c r="AA809" s="675">
        <v>0</v>
      </c>
      <c r="AB809" s="549">
        <v>0</v>
      </c>
      <c r="AC809" s="675">
        <v>0</v>
      </c>
      <c r="AD809" s="549">
        <v>0</v>
      </c>
      <c r="AE809" s="675">
        <v>0</v>
      </c>
      <c r="AF809" s="549">
        <v>0</v>
      </c>
      <c r="AG809" s="675">
        <v>0</v>
      </c>
      <c r="AH809" s="549">
        <v>0</v>
      </c>
      <c r="AI809" s="675">
        <v>0</v>
      </c>
      <c r="AJ809" s="549">
        <v>0</v>
      </c>
      <c r="AK809" s="675">
        <v>0</v>
      </c>
      <c r="AL809" s="549">
        <v>0</v>
      </c>
      <c r="AM809" s="675">
        <v>0</v>
      </c>
      <c r="AN809" s="549">
        <v>0</v>
      </c>
      <c r="AO809" s="675">
        <v>0</v>
      </c>
      <c r="AP809" s="549">
        <v>0</v>
      </c>
      <c r="AQ809" s="675">
        <v>0</v>
      </c>
      <c r="AR809" s="549">
        <v>0</v>
      </c>
      <c r="AS809" s="675">
        <v>0</v>
      </c>
      <c r="AT809" s="549">
        <v>0</v>
      </c>
      <c r="AU809" s="675">
        <v>0</v>
      </c>
      <c r="AV809" s="549">
        <v>0</v>
      </c>
      <c r="AW809" s="675">
        <v>0</v>
      </c>
      <c r="AX809" s="549">
        <v>0</v>
      </c>
      <c r="AY809" s="675">
        <v>0</v>
      </c>
      <c r="AZ809" s="549">
        <v>0</v>
      </c>
      <c r="BA809" s="675">
        <v>0</v>
      </c>
      <c r="BB809" s="549">
        <v>0</v>
      </c>
      <c r="BC809" s="675">
        <v>0</v>
      </c>
      <c r="BD809" s="549">
        <v>0</v>
      </c>
      <c r="BE809" s="675">
        <v>0</v>
      </c>
      <c r="BF809" s="549">
        <v>0</v>
      </c>
      <c r="BG809" s="675">
        <v>0</v>
      </c>
      <c r="BH809" s="549">
        <v>0</v>
      </c>
      <c r="BI809" s="675">
        <v>0</v>
      </c>
      <c r="BJ809" s="549">
        <v>0</v>
      </c>
      <c r="BK809" s="675">
        <v>0</v>
      </c>
      <c r="BL809" s="549">
        <v>0</v>
      </c>
      <c r="BM809" s="675">
        <v>0</v>
      </c>
      <c r="BN809" s="549">
        <v>0</v>
      </c>
      <c r="BO809" s="675">
        <v>0</v>
      </c>
      <c r="BP809" s="549">
        <v>0</v>
      </c>
      <c r="BQ809" s="675">
        <v>0</v>
      </c>
      <c r="BR809" s="549">
        <v>0</v>
      </c>
      <c r="BS809" s="675">
        <v>0</v>
      </c>
      <c r="BT809" s="549">
        <v>0</v>
      </c>
      <c r="BU809" s="675">
        <v>0</v>
      </c>
      <c r="BV809" s="549">
        <v>0</v>
      </c>
      <c r="BW809" s="675">
        <v>0</v>
      </c>
      <c r="BX809" s="549">
        <v>0</v>
      </c>
      <c r="BY809" s="675">
        <v>0</v>
      </c>
      <c r="BZ809" s="549">
        <v>0</v>
      </c>
      <c r="CA809" s="675">
        <v>0</v>
      </c>
      <c r="CB809" s="549">
        <v>0</v>
      </c>
      <c r="CC809" s="675">
        <v>0</v>
      </c>
      <c r="CD809" s="549">
        <v>0</v>
      </c>
      <c r="CE809" s="675">
        <v>0</v>
      </c>
      <c r="CF809" s="549">
        <v>0</v>
      </c>
      <c r="CG809" s="675">
        <v>0</v>
      </c>
      <c r="CH809" s="549">
        <v>0</v>
      </c>
      <c r="CI809" s="675">
        <v>0</v>
      </c>
      <c r="CJ809" s="549">
        <v>0</v>
      </c>
      <c r="CK809" s="675">
        <v>0</v>
      </c>
      <c r="CL809" s="549">
        <v>0</v>
      </c>
      <c r="CM809" s="675">
        <v>0</v>
      </c>
      <c r="CN809" s="549">
        <v>0</v>
      </c>
      <c r="CO809" s="675">
        <v>0</v>
      </c>
      <c r="CP809" s="549">
        <v>0</v>
      </c>
      <c r="CQ809" s="675">
        <v>0</v>
      </c>
      <c r="CR809" s="549">
        <v>0</v>
      </c>
      <c r="CS809" s="675">
        <v>0</v>
      </c>
      <c r="CT809" s="549">
        <v>0</v>
      </c>
      <c r="CU809" s="675">
        <v>0</v>
      </c>
      <c r="CV809" s="549">
        <v>0</v>
      </c>
      <c r="CW809" s="675">
        <v>0</v>
      </c>
      <c r="CX809" s="549">
        <v>0</v>
      </c>
      <c r="CY809" s="675">
        <v>0</v>
      </c>
      <c r="CZ809" s="549">
        <v>0</v>
      </c>
      <c r="DA809" s="675">
        <v>0</v>
      </c>
      <c r="DB809" s="549">
        <v>0</v>
      </c>
      <c r="DC809" s="675">
        <v>0</v>
      </c>
      <c r="DD809" s="549">
        <v>0</v>
      </c>
      <c r="DE809" s="675">
        <v>0</v>
      </c>
      <c r="DF809" s="549">
        <v>0</v>
      </c>
      <c r="DG809" s="675">
        <v>0</v>
      </c>
      <c r="DH809" s="549">
        <v>0</v>
      </c>
      <c r="DI809" s="675">
        <v>0</v>
      </c>
      <c r="DJ809" s="549">
        <v>0</v>
      </c>
      <c r="DK809" s="675">
        <v>0</v>
      </c>
      <c r="DL809" s="549">
        <v>0</v>
      </c>
      <c r="DM809" s="675">
        <v>0</v>
      </c>
      <c r="DN809" s="549">
        <v>0</v>
      </c>
      <c r="DO809" s="675">
        <v>0</v>
      </c>
      <c r="DP809" s="549">
        <v>0</v>
      </c>
      <c r="DQ809" s="675">
        <v>0</v>
      </c>
      <c r="DR809" s="549">
        <v>0</v>
      </c>
      <c r="DS809" s="675">
        <v>0</v>
      </c>
      <c r="DT809" s="549">
        <v>0</v>
      </c>
      <c r="DU809" s="675">
        <v>0</v>
      </c>
      <c r="DV809" s="549">
        <v>0</v>
      </c>
      <c r="DW809" s="675">
        <v>0</v>
      </c>
      <c r="DX809" s="549">
        <v>0</v>
      </c>
      <c r="DY809" s="675">
        <v>0</v>
      </c>
      <c r="DZ809" s="549">
        <v>0</v>
      </c>
      <c r="EA809" s="675">
        <v>0</v>
      </c>
      <c r="EB809" s="549">
        <v>0</v>
      </c>
      <c r="EC809" s="675">
        <v>0</v>
      </c>
      <c r="ED809" s="549">
        <v>0</v>
      </c>
      <c r="EE809" s="675">
        <v>0</v>
      </c>
      <c r="EF809" s="549">
        <v>0</v>
      </c>
      <c r="EG809" s="675">
        <v>0</v>
      </c>
      <c r="EH809" s="549">
        <v>0</v>
      </c>
      <c r="EI809" s="675">
        <v>0</v>
      </c>
      <c r="EJ809" s="549">
        <v>0</v>
      </c>
      <c r="EK809" s="675">
        <v>0</v>
      </c>
      <c r="EL809" s="549">
        <v>0</v>
      </c>
      <c r="EM809" s="675">
        <v>0</v>
      </c>
      <c r="EN809" s="549">
        <v>0</v>
      </c>
      <c r="EO809" s="675">
        <v>0</v>
      </c>
      <c r="EP809" s="549">
        <v>0</v>
      </c>
      <c r="EQ809" s="675">
        <v>0</v>
      </c>
      <c r="ER809" s="549">
        <v>0</v>
      </c>
      <c r="ES809" s="675">
        <v>0</v>
      </c>
      <c r="ET809" s="549">
        <v>0</v>
      </c>
      <c r="EU809" s="675">
        <v>0</v>
      </c>
      <c r="EV809" s="549">
        <v>0</v>
      </c>
      <c r="EW809" s="675">
        <v>0</v>
      </c>
      <c r="EX809" s="549">
        <v>0</v>
      </c>
      <c r="EY809" s="675">
        <v>0</v>
      </c>
      <c r="EZ809" s="549">
        <v>0</v>
      </c>
      <c r="FA809" s="675">
        <v>0</v>
      </c>
      <c r="FB809" s="549">
        <v>0</v>
      </c>
      <c r="FC809" s="675">
        <v>0</v>
      </c>
      <c r="FD809" s="549">
        <v>0</v>
      </c>
      <c r="FE809" s="675">
        <v>0</v>
      </c>
      <c r="FF809" s="549">
        <v>0</v>
      </c>
      <c r="FG809" s="675">
        <v>0</v>
      </c>
      <c r="FH809" s="549">
        <v>0</v>
      </c>
      <c r="FI809" s="675">
        <v>0</v>
      </c>
      <c r="FJ809" s="549">
        <v>0</v>
      </c>
      <c r="FK809" s="675">
        <v>0</v>
      </c>
      <c r="FL809" s="549">
        <v>0</v>
      </c>
      <c r="FM809" s="675">
        <v>0</v>
      </c>
      <c r="FN809" s="549">
        <v>0</v>
      </c>
      <c r="FO809" s="675">
        <v>0</v>
      </c>
      <c r="FP809" s="549">
        <v>0</v>
      </c>
      <c r="FQ809" s="675">
        <v>0</v>
      </c>
      <c r="FR809" s="549">
        <v>0</v>
      </c>
      <c r="FS809" s="675">
        <v>0</v>
      </c>
      <c r="FT809" s="549">
        <v>0</v>
      </c>
      <c r="FU809" s="675">
        <v>0</v>
      </c>
      <c r="FV809" s="549">
        <v>0</v>
      </c>
      <c r="FW809" s="675">
        <v>0</v>
      </c>
      <c r="FX809" s="549">
        <v>0</v>
      </c>
      <c r="FY809" s="675">
        <v>0</v>
      </c>
      <c r="FZ809" s="549">
        <v>0</v>
      </c>
      <c r="GA809" s="675">
        <v>0</v>
      </c>
      <c r="GB809" s="549">
        <v>0</v>
      </c>
      <c r="GC809" s="675">
        <v>0</v>
      </c>
      <c r="GD809" s="549">
        <v>0</v>
      </c>
      <c r="GE809" s="675">
        <v>0</v>
      </c>
      <c r="GF809" s="549">
        <v>0</v>
      </c>
      <c r="GG809" s="675">
        <v>0</v>
      </c>
      <c r="GH809" s="549">
        <v>0</v>
      </c>
      <c r="GI809" s="675">
        <v>0</v>
      </c>
      <c r="GJ809" s="549">
        <v>0</v>
      </c>
      <c r="GK809" s="675">
        <v>0</v>
      </c>
      <c r="GL809" s="549">
        <v>0</v>
      </c>
      <c r="GM809" s="675">
        <v>0</v>
      </c>
      <c r="GN809" s="549">
        <v>0</v>
      </c>
      <c r="GO809" s="675">
        <v>0</v>
      </c>
      <c r="GP809" s="549">
        <f t="shared" si="17104"/>
        <v>0</v>
      </c>
      <c r="GQ809" s="675">
        <f t="shared" si="17105"/>
        <v>0</v>
      </c>
      <c r="GR809" s="74">
        <f t="shared" si="17106"/>
        <v>0</v>
      </c>
      <c r="GS809" s="74">
        <f t="shared" si="17107"/>
        <v>0</v>
      </c>
      <c r="GT809" s="568">
        <f t="shared" si="17108"/>
        <v>0</v>
      </c>
      <c r="GU809" s="275"/>
      <c r="GV809" s="275"/>
      <c r="GW809" s="588"/>
      <c r="GX809" s="275"/>
      <c r="GY809" s="275"/>
      <c r="GZ809" s="275"/>
      <c r="HA809" s="275"/>
      <c r="HB809" s="275"/>
      <c r="HC809" s="275"/>
      <c r="HD809" s="275"/>
      <c r="HE809" s="275"/>
      <c r="HF809" s="275"/>
      <c r="HG809" s="74">
        <f t="shared" si="17109"/>
        <v>0</v>
      </c>
      <c r="HH809" s="89">
        <v>0</v>
      </c>
      <c r="HI809" s="157">
        <v>0</v>
      </c>
      <c r="HJ809" s="89">
        <v>0</v>
      </c>
      <c r="HK809" s="157">
        <v>0</v>
      </c>
      <c r="HL809" s="89">
        <v>0</v>
      </c>
      <c r="HM809" s="157">
        <v>0</v>
      </c>
      <c r="HN809" s="89">
        <v>0</v>
      </c>
      <c r="HO809" s="157">
        <v>0</v>
      </c>
      <c r="HP809" s="89">
        <v>0</v>
      </c>
      <c r="HQ809" s="157">
        <v>0</v>
      </c>
      <c r="HR809" s="89">
        <v>0</v>
      </c>
      <c r="HS809" s="157">
        <v>0</v>
      </c>
      <c r="HT809" s="89">
        <v>0</v>
      </c>
      <c r="HU809" s="157">
        <v>0</v>
      </c>
      <c r="HV809" s="89">
        <v>0</v>
      </c>
      <c r="HW809" s="157">
        <v>0</v>
      </c>
      <c r="HX809" s="89">
        <v>0</v>
      </c>
      <c r="HY809" s="157">
        <v>0</v>
      </c>
      <c r="HZ809" s="89">
        <v>0</v>
      </c>
      <c r="IA809" s="157">
        <v>0</v>
      </c>
      <c r="IB809" s="89">
        <v>0</v>
      </c>
      <c r="IC809" s="157">
        <v>0</v>
      </c>
      <c r="ID809" s="89">
        <v>0</v>
      </c>
      <c r="IE809" s="157">
        <v>0</v>
      </c>
      <c r="IF809" s="717">
        <f t="shared" si="17110"/>
        <v>0</v>
      </c>
      <c r="IG809" s="263">
        <f t="shared" si="17111"/>
        <v>0</v>
      </c>
      <c r="IH809" s="718">
        <f t="shared" si="17112"/>
        <v>0</v>
      </c>
      <c r="II809" s="89">
        <v>0</v>
      </c>
      <c r="IJ809" s="89">
        <f t="shared" si="17113"/>
        <v>0</v>
      </c>
      <c r="IK809" s="89">
        <f t="shared" si="17114"/>
        <v>0</v>
      </c>
      <c r="IL809" s="89">
        <v>0</v>
      </c>
      <c r="IM809" s="89">
        <f t="shared" si="17115"/>
        <v>0</v>
      </c>
      <c r="IN809" s="89">
        <f t="shared" si="17116"/>
        <v>0</v>
      </c>
      <c r="IO809" s="89">
        <v>0</v>
      </c>
      <c r="IP809" s="89">
        <f t="shared" si="17117"/>
        <v>0</v>
      </c>
      <c r="IQ809" s="89">
        <f t="shared" si="17118"/>
        <v>0</v>
      </c>
      <c r="IR809" s="89">
        <v>0</v>
      </c>
      <c r="IS809" s="89">
        <f t="shared" si="17119"/>
        <v>0</v>
      </c>
      <c r="IT809" s="89">
        <f t="shared" si="17120"/>
        <v>0</v>
      </c>
      <c r="IU809" s="89">
        <v>0</v>
      </c>
      <c r="IV809" s="89">
        <f t="shared" si="17121"/>
        <v>0</v>
      </c>
      <c r="IW809" s="89">
        <f t="shared" si="17122"/>
        <v>0</v>
      </c>
      <c r="IX809" s="89">
        <v>0</v>
      </c>
      <c r="IY809" s="89">
        <f t="shared" si="17123"/>
        <v>0</v>
      </c>
      <c r="IZ809" s="89">
        <f t="shared" si="17124"/>
        <v>0</v>
      </c>
      <c r="JA809" s="89">
        <v>0</v>
      </c>
      <c r="JB809" s="89">
        <f t="shared" si="17125"/>
        <v>0</v>
      </c>
      <c r="JC809" s="89">
        <f t="shared" si="17126"/>
        <v>0</v>
      </c>
      <c r="JD809" s="89">
        <v>0</v>
      </c>
      <c r="JE809" s="89">
        <f t="shared" si="17127"/>
        <v>0</v>
      </c>
      <c r="JF809" s="89">
        <f t="shared" si="17128"/>
        <v>0</v>
      </c>
      <c r="JG809" s="89">
        <v>0</v>
      </c>
      <c r="JH809" s="89">
        <f t="shared" si="17129"/>
        <v>0</v>
      </c>
      <c r="JI809" s="89">
        <f t="shared" si="17130"/>
        <v>0</v>
      </c>
      <c r="JJ809" s="89">
        <v>0</v>
      </c>
      <c r="JK809" s="89">
        <f t="shared" si="17131"/>
        <v>0</v>
      </c>
      <c r="JL809" s="89">
        <f t="shared" si="17132"/>
        <v>0</v>
      </c>
      <c r="JM809" s="89">
        <v>0</v>
      </c>
      <c r="JN809" s="89">
        <f t="shared" si="17133"/>
        <v>0</v>
      </c>
      <c r="JO809" s="89">
        <f t="shared" si="17134"/>
        <v>0</v>
      </c>
      <c r="JP809" s="89">
        <v>0</v>
      </c>
      <c r="JQ809" s="89">
        <f t="shared" ref="JQ809:JR809" si="17156">JP809</f>
        <v>0</v>
      </c>
      <c r="JR809" s="89">
        <f t="shared" si="17156"/>
        <v>0</v>
      </c>
      <c r="JS809" s="74">
        <f t="shared" si="17136"/>
        <v>0</v>
      </c>
      <c r="JT809" s="382">
        <f t="shared" si="17137"/>
        <v>0</v>
      </c>
      <c r="JU809" s="665"/>
      <c r="JV809" s="524"/>
      <c r="JW809" s="525"/>
      <c r="JX809" s="549"/>
      <c r="JY809" s="549"/>
      <c r="JZ809" s="581"/>
      <c r="KA809" s="581"/>
      <c r="KB809" s="566">
        <f t="shared" si="17031"/>
        <v>0</v>
      </c>
      <c r="KC809" s="709">
        <f t="shared" si="16464"/>
        <v>0</v>
      </c>
      <c r="KD809" s="491"/>
      <c r="KE809" s="491"/>
      <c r="KF809" s="491"/>
      <c r="KG809" s="491"/>
      <c r="KH809" s="36"/>
      <c r="KI809" s="36"/>
      <c r="KJ809" s="36"/>
      <c r="KK809" s="36"/>
    </row>
    <row r="810" spans="1:297" s="10" customFormat="1" ht="12.75" hidden="1" customHeight="1">
      <c r="A810" s="612" t="s">
        <v>1099</v>
      </c>
      <c r="B810" s="512" t="s">
        <v>993</v>
      </c>
      <c r="C810" s="74">
        <v>0</v>
      </c>
      <c r="D810" s="549">
        <v>0</v>
      </c>
      <c r="E810" s="675">
        <v>0</v>
      </c>
      <c r="F810" s="549">
        <v>0</v>
      </c>
      <c r="G810" s="675">
        <v>0</v>
      </c>
      <c r="H810" s="549">
        <v>0</v>
      </c>
      <c r="I810" s="675">
        <v>0</v>
      </c>
      <c r="J810" s="549">
        <v>0</v>
      </c>
      <c r="K810" s="675">
        <v>0</v>
      </c>
      <c r="L810" s="549">
        <v>0</v>
      </c>
      <c r="M810" s="675">
        <v>0</v>
      </c>
      <c r="N810" s="549">
        <v>0</v>
      </c>
      <c r="O810" s="675">
        <v>0</v>
      </c>
      <c r="P810" s="549">
        <v>0</v>
      </c>
      <c r="Q810" s="675">
        <v>0</v>
      </c>
      <c r="R810" s="549">
        <v>0</v>
      </c>
      <c r="S810" s="675">
        <v>0</v>
      </c>
      <c r="T810" s="549">
        <v>0</v>
      </c>
      <c r="U810" s="675">
        <v>0</v>
      </c>
      <c r="V810" s="549">
        <v>0</v>
      </c>
      <c r="W810" s="675">
        <v>0</v>
      </c>
      <c r="X810" s="549">
        <v>0</v>
      </c>
      <c r="Y810" s="675">
        <v>0</v>
      </c>
      <c r="Z810" s="549">
        <v>0</v>
      </c>
      <c r="AA810" s="675">
        <v>0</v>
      </c>
      <c r="AB810" s="549">
        <v>0</v>
      </c>
      <c r="AC810" s="675">
        <v>0</v>
      </c>
      <c r="AD810" s="549">
        <v>0</v>
      </c>
      <c r="AE810" s="675">
        <v>0</v>
      </c>
      <c r="AF810" s="549">
        <v>0</v>
      </c>
      <c r="AG810" s="675">
        <v>0</v>
      </c>
      <c r="AH810" s="549">
        <v>0</v>
      </c>
      <c r="AI810" s="675">
        <v>0</v>
      </c>
      <c r="AJ810" s="549">
        <v>0</v>
      </c>
      <c r="AK810" s="675">
        <v>0</v>
      </c>
      <c r="AL810" s="549">
        <v>0</v>
      </c>
      <c r="AM810" s="675">
        <v>0</v>
      </c>
      <c r="AN810" s="549">
        <v>0</v>
      </c>
      <c r="AO810" s="675">
        <v>0</v>
      </c>
      <c r="AP810" s="549">
        <v>0</v>
      </c>
      <c r="AQ810" s="675">
        <v>0</v>
      </c>
      <c r="AR810" s="549">
        <v>0</v>
      </c>
      <c r="AS810" s="675">
        <v>0</v>
      </c>
      <c r="AT810" s="549">
        <v>0</v>
      </c>
      <c r="AU810" s="675">
        <v>0</v>
      </c>
      <c r="AV810" s="549">
        <v>0</v>
      </c>
      <c r="AW810" s="675">
        <v>0</v>
      </c>
      <c r="AX810" s="549">
        <v>0</v>
      </c>
      <c r="AY810" s="675">
        <v>0</v>
      </c>
      <c r="AZ810" s="549">
        <v>0</v>
      </c>
      <c r="BA810" s="675">
        <v>0</v>
      </c>
      <c r="BB810" s="549">
        <v>0</v>
      </c>
      <c r="BC810" s="675">
        <v>0</v>
      </c>
      <c r="BD810" s="549">
        <v>0</v>
      </c>
      <c r="BE810" s="675">
        <v>0</v>
      </c>
      <c r="BF810" s="549">
        <v>0</v>
      </c>
      <c r="BG810" s="675">
        <v>0</v>
      </c>
      <c r="BH810" s="549">
        <v>0</v>
      </c>
      <c r="BI810" s="675">
        <v>0</v>
      </c>
      <c r="BJ810" s="549">
        <v>0</v>
      </c>
      <c r="BK810" s="675">
        <v>0</v>
      </c>
      <c r="BL810" s="549">
        <v>0</v>
      </c>
      <c r="BM810" s="675">
        <v>0</v>
      </c>
      <c r="BN810" s="549">
        <v>0</v>
      </c>
      <c r="BO810" s="675">
        <v>0</v>
      </c>
      <c r="BP810" s="549">
        <v>0</v>
      </c>
      <c r="BQ810" s="675">
        <v>0</v>
      </c>
      <c r="BR810" s="549">
        <v>0</v>
      </c>
      <c r="BS810" s="675">
        <v>0</v>
      </c>
      <c r="BT810" s="549">
        <v>0</v>
      </c>
      <c r="BU810" s="675">
        <v>0</v>
      </c>
      <c r="BV810" s="549">
        <v>0</v>
      </c>
      <c r="BW810" s="675">
        <v>0</v>
      </c>
      <c r="BX810" s="549">
        <v>0</v>
      </c>
      <c r="BY810" s="675">
        <v>0</v>
      </c>
      <c r="BZ810" s="549">
        <v>0</v>
      </c>
      <c r="CA810" s="675">
        <v>0</v>
      </c>
      <c r="CB810" s="549">
        <v>0</v>
      </c>
      <c r="CC810" s="675">
        <v>0</v>
      </c>
      <c r="CD810" s="549">
        <v>0</v>
      </c>
      <c r="CE810" s="675">
        <v>0</v>
      </c>
      <c r="CF810" s="549">
        <v>0</v>
      </c>
      <c r="CG810" s="675">
        <v>0</v>
      </c>
      <c r="CH810" s="549">
        <v>0</v>
      </c>
      <c r="CI810" s="675">
        <v>0</v>
      </c>
      <c r="CJ810" s="549">
        <v>0</v>
      </c>
      <c r="CK810" s="675">
        <v>0</v>
      </c>
      <c r="CL810" s="549">
        <v>0</v>
      </c>
      <c r="CM810" s="675">
        <v>0</v>
      </c>
      <c r="CN810" s="549">
        <v>0</v>
      </c>
      <c r="CO810" s="675">
        <v>0</v>
      </c>
      <c r="CP810" s="549">
        <v>0</v>
      </c>
      <c r="CQ810" s="675">
        <v>0</v>
      </c>
      <c r="CR810" s="549">
        <v>0</v>
      </c>
      <c r="CS810" s="675">
        <v>0</v>
      </c>
      <c r="CT810" s="549">
        <v>0</v>
      </c>
      <c r="CU810" s="675">
        <v>0</v>
      </c>
      <c r="CV810" s="549">
        <v>0</v>
      </c>
      <c r="CW810" s="675">
        <v>0</v>
      </c>
      <c r="CX810" s="549">
        <v>0</v>
      </c>
      <c r="CY810" s="675">
        <v>0</v>
      </c>
      <c r="CZ810" s="549">
        <v>0</v>
      </c>
      <c r="DA810" s="675">
        <v>0</v>
      </c>
      <c r="DB810" s="549">
        <v>0</v>
      </c>
      <c r="DC810" s="675">
        <v>0</v>
      </c>
      <c r="DD810" s="549">
        <v>0</v>
      </c>
      <c r="DE810" s="675">
        <v>0</v>
      </c>
      <c r="DF810" s="549">
        <v>0</v>
      </c>
      <c r="DG810" s="675">
        <v>0</v>
      </c>
      <c r="DH810" s="549">
        <v>0</v>
      </c>
      <c r="DI810" s="675">
        <v>0</v>
      </c>
      <c r="DJ810" s="549">
        <v>0</v>
      </c>
      <c r="DK810" s="675">
        <v>0</v>
      </c>
      <c r="DL810" s="549">
        <v>0</v>
      </c>
      <c r="DM810" s="675">
        <v>0</v>
      </c>
      <c r="DN810" s="549">
        <v>0</v>
      </c>
      <c r="DO810" s="675">
        <v>0</v>
      </c>
      <c r="DP810" s="549">
        <v>0</v>
      </c>
      <c r="DQ810" s="675">
        <v>0</v>
      </c>
      <c r="DR810" s="549">
        <v>0</v>
      </c>
      <c r="DS810" s="675">
        <v>0</v>
      </c>
      <c r="DT810" s="549">
        <v>0</v>
      </c>
      <c r="DU810" s="675">
        <v>0</v>
      </c>
      <c r="DV810" s="549">
        <v>0</v>
      </c>
      <c r="DW810" s="675">
        <v>0</v>
      </c>
      <c r="DX810" s="549">
        <v>0</v>
      </c>
      <c r="DY810" s="675">
        <v>0</v>
      </c>
      <c r="DZ810" s="549">
        <v>0</v>
      </c>
      <c r="EA810" s="675">
        <v>0</v>
      </c>
      <c r="EB810" s="549">
        <v>0</v>
      </c>
      <c r="EC810" s="675">
        <v>0</v>
      </c>
      <c r="ED810" s="549">
        <v>0</v>
      </c>
      <c r="EE810" s="675">
        <v>0</v>
      </c>
      <c r="EF810" s="549">
        <v>0</v>
      </c>
      <c r="EG810" s="675">
        <v>0</v>
      </c>
      <c r="EH810" s="549">
        <v>0</v>
      </c>
      <c r="EI810" s="675">
        <v>0</v>
      </c>
      <c r="EJ810" s="549">
        <v>0</v>
      </c>
      <c r="EK810" s="675">
        <v>0</v>
      </c>
      <c r="EL810" s="549">
        <v>0</v>
      </c>
      <c r="EM810" s="675">
        <v>0</v>
      </c>
      <c r="EN810" s="549">
        <v>0</v>
      </c>
      <c r="EO810" s="675">
        <v>0</v>
      </c>
      <c r="EP810" s="549">
        <v>0</v>
      </c>
      <c r="EQ810" s="675">
        <v>0</v>
      </c>
      <c r="ER810" s="549">
        <v>0</v>
      </c>
      <c r="ES810" s="675">
        <v>0</v>
      </c>
      <c r="ET810" s="549">
        <v>0</v>
      </c>
      <c r="EU810" s="675">
        <v>0</v>
      </c>
      <c r="EV810" s="549">
        <v>0</v>
      </c>
      <c r="EW810" s="675">
        <v>0</v>
      </c>
      <c r="EX810" s="549">
        <v>0</v>
      </c>
      <c r="EY810" s="675">
        <v>0</v>
      </c>
      <c r="EZ810" s="549">
        <v>0</v>
      </c>
      <c r="FA810" s="675">
        <v>0</v>
      </c>
      <c r="FB810" s="549">
        <v>0</v>
      </c>
      <c r="FC810" s="675">
        <v>0</v>
      </c>
      <c r="FD810" s="549">
        <v>0</v>
      </c>
      <c r="FE810" s="675">
        <v>0</v>
      </c>
      <c r="FF810" s="549">
        <v>0</v>
      </c>
      <c r="FG810" s="675">
        <v>0</v>
      </c>
      <c r="FH810" s="549">
        <v>0</v>
      </c>
      <c r="FI810" s="675">
        <v>0</v>
      </c>
      <c r="FJ810" s="549">
        <v>0</v>
      </c>
      <c r="FK810" s="675">
        <v>0</v>
      </c>
      <c r="FL810" s="549">
        <v>0</v>
      </c>
      <c r="FM810" s="675">
        <v>0</v>
      </c>
      <c r="FN810" s="549">
        <v>0</v>
      </c>
      <c r="FO810" s="675">
        <v>0</v>
      </c>
      <c r="FP810" s="549">
        <v>0</v>
      </c>
      <c r="FQ810" s="675">
        <v>0</v>
      </c>
      <c r="FR810" s="549">
        <v>0</v>
      </c>
      <c r="FS810" s="675">
        <v>0</v>
      </c>
      <c r="FT810" s="549">
        <v>0</v>
      </c>
      <c r="FU810" s="675">
        <v>0</v>
      </c>
      <c r="FV810" s="549">
        <v>0</v>
      </c>
      <c r="FW810" s="675">
        <v>0</v>
      </c>
      <c r="FX810" s="549">
        <v>0</v>
      </c>
      <c r="FY810" s="675">
        <v>0</v>
      </c>
      <c r="FZ810" s="549">
        <v>0</v>
      </c>
      <c r="GA810" s="675">
        <v>0</v>
      </c>
      <c r="GB810" s="549">
        <v>0</v>
      </c>
      <c r="GC810" s="675">
        <v>0</v>
      </c>
      <c r="GD810" s="549">
        <v>0</v>
      </c>
      <c r="GE810" s="675">
        <v>0</v>
      </c>
      <c r="GF810" s="549">
        <v>0</v>
      </c>
      <c r="GG810" s="675">
        <v>0</v>
      </c>
      <c r="GH810" s="549">
        <v>0</v>
      </c>
      <c r="GI810" s="675">
        <v>0</v>
      </c>
      <c r="GJ810" s="549">
        <v>0</v>
      </c>
      <c r="GK810" s="675">
        <v>0</v>
      </c>
      <c r="GL810" s="549">
        <v>0</v>
      </c>
      <c r="GM810" s="675">
        <v>0</v>
      </c>
      <c r="GN810" s="549">
        <v>0</v>
      </c>
      <c r="GO810" s="675">
        <v>0</v>
      </c>
      <c r="GP810" s="549">
        <f t="shared" si="17104"/>
        <v>0</v>
      </c>
      <c r="GQ810" s="675">
        <f t="shared" si="17105"/>
        <v>0</v>
      </c>
      <c r="GR810" s="74">
        <f t="shared" si="17106"/>
        <v>0</v>
      </c>
      <c r="GS810" s="74">
        <f t="shared" si="17107"/>
        <v>0</v>
      </c>
      <c r="GT810" s="568">
        <f t="shared" si="17108"/>
        <v>0</v>
      </c>
      <c r="GU810" s="275"/>
      <c r="GV810" s="275"/>
      <c r="GW810" s="588"/>
      <c r="GX810" s="275"/>
      <c r="GY810" s="275"/>
      <c r="GZ810" s="275"/>
      <c r="HA810" s="275"/>
      <c r="HB810" s="275"/>
      <c r="HC810" s="275"/>
      <c r="HD810" s="275"/>
      <c r="HE810" s="275">
        <v>0</v>
      </c>
      <c r="HF810" s="275">
        <v>0</v>
      </c>
      <c r="HG810" s="74">
        <f t="shared" si="17109"/>
        <v>0</v>
      </c>
      <c r="HH810" s="89">
        <v>0</v>
      </c>
      <c r="HI810" s="157">
        <v>0</v>
      </c>
      <c r="HJ810" s="89">
        <v>0</v>
      </c>
      <c r="HK810" s="157">
        <v>0</v>
      </c>
      <c r="HL810" s="89">
        <v>0</v>
      </c>
      <c r="HM810" s="157">
        <v>0</v>
      </c>
      <c r="HN810" s="89">
        <v>0</v>
      </c>
      <c r="HO810" s="157">
        <v>0</v>
      </c>
      <c r="HP810" s="89">
        <v>0</v>
      </c>
      <c r="HQ810" s="157">
        <v>0</v>
      </c>
      <c r="HR810" s="89">
        <v>0</v>
      </c>
      <c r="HS810" s="157">
        <v>0</v>
      </c>
      <c r="HT810" s="89">
        <v>0</v>
      </c>
      <c r="HU810" s="157">
        <v>0</v>
      </c>
      <c r="HV810" s="89">
        <v>0</v>
      </c>
      <c r="HW810" s="157">
        <v>0</v>
      </c>
      <c r="HX810" s="89">
        <v>0</v>
      </c>
      <c r="HY810" s="157">
        <v>0</v>
      </c>
      <c r="HZ810" s="89">
        <v>0</v>
      </c>
      <c r="IA810" s="157">
        <v>0</v>
      </c>
      <c r="IB810" s="89">
        <v>0</v>
      </c>
      <c r="IC810" s="157">
        <v>0</v>
      </c>
      <c r="ID810" s="89">
        <v>0</v>
      </c>
      <c r="IE810" s="157">
        <v>0</v>
      </c>
      <c r="IF810" s="717">
        <f t="shared" si="17110"/>
        <v>0</v>
      </c>
      <c r="IG810" s="263">
        <f t="shared" si="17111"/>
        <v>0</v>
      </c>
      <c r="IH810" s="718">
        <f t="shared" si="17112"/>
        <v>0</v>
      </c>
      <c r="II810" s="89">
        <v>0</v>
      </c>
      <c r="IJ810" s="89">
        <f t="shared" si="17113"/>
        <v>0</v>
      </c>
      <c r="IK810" s="89">
        <f t="shared" si="17114"/>
        <v>0</v>
      </c>
      <c r="IL810" s="89">
        <v>0</v>
      </c>
      <c r="IM810" s="89">
        <f t="shared" si="17115"/>
        <v>0</v>
      </c>
      <c r="IN810" s="89">
        <f t="shared" si="17116"/>
        <v>0</v>
      </c>
      <c r="IO810" s="89">
        <v>0</v>
      </c>
      <c r="IP810" s="89">
        <f t="shared" si="17117"/>
        <v>0</v>
      </c>
      <c r="IQ810" s="89">
        <f t="shared" si="17118"/>
        <v>0</v>
      </c>
      <c r="IR810" s="89">
        <v>0</v>
      </c>
      <c r="IS810" s="89">
        <f t="shared" si="17119"/>
        <v>0</v>
      </c>
      <c r="IT810" s="89">
        <f t="shared" si="17120"/>
        <v>0</v>
      </c>
      <c r="IU810" s="89">
        <v>0</v>
      </c>
      <c r="IV810" s="89">
        <f t="shared" si="17121"/>
        <v>0</v>
      </c>
      <c r="IW810" s="89">
        <f t="shared" si="17122"/>
        <v>0</v>
      </c>
      <c r="IX810" s="89">
        <v>0</v>
      </c>
      <c r="IY810" s="89">
        <f t="shared" si="17123"/>
        <v>0</v>
      </c>
      <c r="IZ810" s="89">
        <f t="shared" si="17124"/>
        <v>0</v>
      </c>
      <c r="JA810" s="89">
        <v>0</v>
      </c>
      <c r="JB810" s="89">
        <f t="shared" si="17125"/>
        <v>0</v>
      </c>
      <c r="JC810" s="89">
        <f t="shared" si="17126"/>
        <v>0</v>
      </c>
      <c r="JD810" s="89">
        <v>0</v>
      </c>
      <c r="JE810" s="89">
        <f t="shared" si="17127"/>
        <v>0</v>
      </c>
      <c r="JF810" s="89">
        <f t="shared" si="17128"/>
        <v>0</v>
      </c>
      <c r="JG810" s="89">
        <v>0</v>
      </c>
      <c r="JH810" s="89">
        <f t="shared" si="17129"/>
        <v>0</v>
      </c>
      <c r="JI810" s="89">
        <f t="shared" si="17130"/>
        <v>0</v>
      </c>
      <c r="JJ810" s="89">
        <v>0</v>
      </c>
      <c r="JK810" s="89">
        <f t="shared" si="17131"/>
        <v>0</v>
      </c>
      <c r="JL810" s="89">
        <f t="shared" si="17132"/>
        <v>0</v>
      </c>
      <c r="JM810" s="89">
        <v>0</v>
      </c>
      <c r="JN810" s="89">
        <f t="shared" si="17133"/>
        <v>0</v>
      </c>
      <c r="JO810" s="89">
        <f t="shared" si="17134"/>
        <v>0</v>
      </c>
      <c r="JP810" s="89">
        <v>0</v>
      </c>
      <c r="JQ810" s="89">
        <f t="shared" ref="JQ810:JR810" si="17157">JP810</f>
        <v>0</v>
      </c>
      <c r="JR810" s="89">
        <f t="shared" si="17157"/>
        <v>0</v>
      </c>
      <c r="JS810" s="74">
        <f t="shared" si="17136"/>
        <v>0</v>
      </c>
      <c r="JT810" s="382">
        <f t="shared" si="17137"/>
        <v>0</v>
      </c>
      <c r="JU810" s="665"/>
      <c r="JV810" s="524"/>
      <c r="JW810" s="525"/>
      <c r="JX810" s="549">
        <f t="shared" si="17138"/>
        <v>0</v>
      </c>
      <c r="JY810" s="549">
        <f t="shared" si="17138"/>
        <v>0</v>
      </c>
      <c r="JZ810" s="581">
        <f t="shared" si="16466"/>
        <v>0</v>
      </c>
      <c r="KA810" s="581">
        <f t="shared" si="16467"/>
        <v>0</v>
      </c>
      <c r="KB810" s="566">
        <f t="shared" si="17031"/>
        <v>0</v>
      </c>
      <c r="KC810" s="709">
        <f t="shared" si="16464"/>
        <v>0</v>
      </c>
      <c r="KD810" s="491"/>
      <c r="KE810" s="491"/>
      <c r="KF810" s="491"/>
      <c r="KG810" s="491"/>
      <c r="KH810" s="36"/>
      <c r="KI810" s="36"/>
      <c r="KJ810" s="36"/>
      <c r="KK810" s="36"/>
    </row>
    <row r="811" spans="1:297" s="10" customFormat="1">
      <c r="A811" s="612" t="s">
        <v>754</v>
      </c>
      <c r="B811" s="512" t="s">
        <v>967</v>
      </c>
      <c r="C811" s="74">
        <v>10000</v>
      </c>
      <c r="D811" s="549">
        <v>0</v>
      </c>
      <c r="E811" s="675">
        <v>0</v>
      </c>
      <c r="F811" s="549">
        <v>0</v>
      </c>
      <c r="G811" s="675">
        <v>0</v>
      </c>
      <c r="H811" s="549">
        <v>0</v>
      </c>
      <c r="I811" s="675">
        <v>0</v>
      </c>
      <c r="J811" s="549">
        <v>0</v>
      </c>
      <c r="K811" s="675">
        <v>0</v>
      </c>
      <c r="L811" s="549">
        <v>0</v>
      </c>
      <c r="M811" s="675">
        <v>0</v>
      </c>
      <c r="N811" s="549">
        <v>0</v>
      </c>
      <c r="O811" s="675">
        <v>0</v>
      </c>
      <c r="P811" s="549">
        <v>0</v>
      </c>
      <c r="Q811" s="675">
        <v>0</v>
      </c>
      <c r="R811" s="549">
        <v>0</v>
      </c>
      <c r="S811" s="675">
        <v>0</v>
      </c>
      <c r="T811" s="549">
        <v>0</v>
      </c>
      <c r="U811" s="675">
        <v>0</v>
      </c>
      <c r="V811" s="549">
        <v>0</v>
      </c>
      <c r="W811" s="675">
        <v>0</v>
      </c>
      <c r="X811" s="549">
        <v>0</v>
      </c>
      <c r="Y811" s="675">
        <v>0</v>
      </c>
      <c r="Z811" s="549">
        <v>0</v>
      </c>
      <c r="AA811" s="675">
        <v>0</v>
      </c>
      <c r="AB811" s="549">
        <v>0</v>
      </c>
      <c r="AC811" s="675">
        <v>0</v>
      </c>
      <c r="AD811" s="549">
        <v>0</v>
      </c>
      <c r="AE811" s="675">
        <v>0</v>
      </c>
      <c r="AF811" s="549">
        <v>0</v>
      </c>
      <c r="AG811" s="675">
        <v>0</v>
      </c>
      <c r="AH811" s="549">
        <v>0</v>
      </c>
      <c r="AI811" s="675">
        <v>0</v>
      </c>
      <c r="AJ811" s="549">
        <v>0</v>
      </c>
      <c r="AK811" s="675">
        <v>0</v>
      </c>
      <c r="AL811" s="549">
        <v>0</v>
      </c>
      <c r="AM811" s="675">
        <v>0</v>
      </c>
      <c r="AN811" s="549">
        <v>0</v>
      </c>
      <c r="AO811" s="675">
        <v>0</v>
      </c>
      <c r="AP811" s="549">
        <v>0</v>
      </c>
      <c r="AQ811" s="675">
        <v>0</v>
      </c>
      <c r="AR811" s="549">
        <v>0</v>
      </c>
      <c r="AS811" s="675">
        <v>0</v>
      </c>
      <c r="AT811" s="549">
        <v>0</v>
      </c>
      <c r="AU811" s="675">
        <v>0</v>
      </c>
      <c r="AV811" s="549">
        <v>0</v>
      </c>
      <c r="AW811" s="675">
        <v>0</v>
      </c>
      <c r="AX811" s="549">
        <v>0</v>
      </c>
      <c r="AY811" s="675">
        <v>0</v>
      </c>
      <c r="AZ811" s="549">
        <v>0</v>
      </c>
      <c r="BA811" s="675">
        <v>0</v>
      </c>
      <c r="BB811" s="549">
        <v>0</v>
      </c>
      <c r="BC811" s="675">
        <v>-3201</v>
      </c>
      <c r="BD811" s="549">
        <v>0</v>
      </c>
      <c r="BE811" s="675">
        <v>0</v>
      </c>
      <c r="BF811" s="549">
        <v>0</v>
      </c>
      <c r="BG811" s="675">
        <v>0</v>
      </c>
      <c r="BH811" s="549">
        <v>0</v>
      </c>
      <c r="BI811" s="675">
        <v>0</v>
      </c>
      <c r="BJ811" s="549">
        <v>0</v>
      </c>
      <c r="BK811" s="675">
        <v>0</v>
      </c>
      <c r="BL811" s="549">
        <v>0</v>
      </c>
      <c r="BM811" s="675">
        <v>0</v>
      </c>
      <c r="BN811" s="549">
        <v>0</v>
      </c>
      <c r="BO811" s="675">
        <v>0</v>
      </c>
      <c r="BP811" s="549">
        <v>0</v>
      </c>
      <c r="BQ811" s="675">
        <v>0</v>
      </c>
      <c r="BR811" s="549">
        <v>0</v>
      </c>
      <c r="BS811" s="675">
        <v>0</v>
      </c>
      <c r="BT811" s="549">
        <v>0</v>
      </c>
      <c r="BU811" s="675">
        <v>0</v>
      </c>
      <c r="BV811" s="549">
        <v>0</v>
      </c>
      <c r="BW811" s="675">
        <v>0</v>
      </c>
      <c r="BX811" s="549">
        <v>0</v>
      </c>
      <c r="BY811" s="675">
        <v>0</v>
      </c>
      <c r="BZ811" s="549">
        <v>0</v>
      </c>
      <c r="CA811" s="675">
        <v>0</v>
      </c>
      <c r="CB811" s="549">
        <v>0</v>
      </c>
      <c r="CC811" s="675">
        <v>0</v>
      </c>
      <c r="CD811" s="549">
        <v>0</v>
      </c>
      <c r="CE811" s="675">
        <v>0</v>
      </c>
      <c r="CF811" s="549">
        <v>0</v>
      </c>
      <c r="CG811" s="675">
        <v>0</v>
      </c>
      <c r="CH811" s="549">
        <v>0</v>
      </c>
      <c r="CI811" s="675">
        <v>0</v>
      </c>
      <c r="CJ811" s="549">
        <v>0</v>
      </c>
      <c r="CK811" s="675">
        <v>0</v>
      </c>
      <c r="CL811" s="549">
        <v>0</v>
      </c>
      <c r="CM811" s="675">
        <v>0</v>
      </c>
      <c r="CN811" s="549">
        <v>0</v>
      </c>
      <c r="CO811" s="675">
        <v>0</v>
      </c>
      <c r="CP811" s="549">
        <v>0</v>
      </c>
      <c r="CQ811" s="675">
        <v>0</v>
      </c>
      <c r="CR811" s="549">
        <v>0</v>
      </c>
      <c r="CS811" s="675">
        <v>0</v>
      </c>
      <c r="CT811" s="549">
        <v>0</v>
      </c>
      <c r="CU811" s="675">
        <v>0</v>
      </c>
      <c r="CV811" s="549">
        <v>0</v>
      </c>
      <c r="CW811" s="675">
        <v>0</v>
      </c>
      <c r="CX811" s="549">
        <v>0</v>
      </c>
      <c r="CY811" s="675">
        <v>0</v>
      </c>
      <c r="CZ811" s="549">
        <v>0</v>
      </c>
      <c r="DA811" s="675">
        <v>0</v>
      </c>
      <c r="DB811" s="549">
        <v>0</v>
      </c>
      <c r="DC811" s="675">
        <v>-6799</v>
      </c>
      <c r="DD811" s="549">
        <v>0</v>
      </c>
      <c r="DE811" s="675">
        <v>0</v>
      </c>
      <c r="DF811" s="549">
        <v>0</v>
      </c>
      <c r="DG811" s="675">
        <v>0</v>
      </c>
      <c r="DH811" s="549">
        <v>0</v>
      </c>
      <c r="DI811" s="675">
        <v>0</v>
      </c>
      <c r="DJ811" s="549">
        <v>0</v>
      </c>
      <c r="DK811" s="675">
        <v>0</v>
      </c>
      <c r="DL811" s="549">
        <v>0</v>
      </c>
      <c r="DM811" s="675">
        <v>0</v>
      </c>
      <c r="DN811" s="549">
        <v>0</v>
      </c>
      <c r="DO811" s="675">
        <v>0</v>
      </c>
      <c r="DP811" s="549">
        <v>0</v>
      </c>
      <c r="DQ811" s="675">
        <v>0</v>
      </c>
      <c r="DR811" s="549">
        <v>0</v>
      </c>
      <c r="DS811" s="675">
        <v>0</v>
      </c>
      <c r="DT811" s="549">
        <v>0</v>
      </c>
      <c r="DU811" s="675">
        <v>0</v>
      </c>
      <c r="DV811" s="549">
        <v>0</v>
      </c>
      <c r="DW811" s="675">
        <v>0</v>
      </c>
      <c r="DX811" s="549">
        <v>0</v>
      </c>
      <c r="DY811" s="675">
        <v>0</v>
      </c>
      <c r="DZ811" s="549">
        <v>0</v>
      </c>
      <c r="EA811" s="675">
        <v>0</v>
      </c>
      <c r="EB811" s="549">
        <v>0</v>
      </c>
      <c r="EC811" s="675">
        <v>0</v>
      </c>
      <c r="ED811" s="549">
        <v>0</v>
      </c>
      <c r="EE811" s="675">
        <v>0</v>
      </c>
      <c r="EF811" s="549">
        <v>0</v>
      </c>
      <c r="EG811" s="675">
        <v>0</v>
      </c>
      <c r="EH811" s="549">
        <v>0</v>
      </c>
      <c r="EI811" s="675">
        <v>0</v>
      </c>
      <c r="EJ811" s="549">
        <v>0</v>
      </c>
      <c r="EK811" s="675">
        <v>0</v>
      </c>
      <c r="EL811" s="549">
        <v>0</v>
      </c>
      <c r="EM811" s="675">
        <v>0</v>
      </c>
      <c r="EN811" s="549">
        <v>0</v>
      </c>
      <c r="EO811" s="675">
        <v>0</v>
      </c>
      <c r="EP811" s="549">
        <v>0</v>
      </c>
      <c r="EQ811" s="675">
        <v>0</v>
      </c>
      <c r="ER811" s="549">
        <v>0</v>
      </c>
      <c r="ES811" s="675">
        <v>0</v>
      </c>
      <c r="ET811" s="549">
        <v>0</v>
      </c>
      <c r="EU811" s="675">
        <v>0</v>
      </c>
      <c r="EV811" s="549">
        <v>0</v>
      </c>
      <c r="EW811" s="675">
        <v>0</v>
      </c>
      <c r="EX811" s="549">
        <v>0</v>
      </c>
      <c r="EY811" s="675">
        <v>0</v>
      </c>
      <c r="EZ811" s="549">
        <v>0</v>
      </c>
      <c r="FA811" s="675">
        <v>0</v>
      </c>
      <c r="FB811" s="549">
        <v>0</v>
      </c>
      <c r="FC811" s="675">
        <v>0</v>
      </c>
      <c r="FD811" s="549">
        <v>0</v>
      </c>
      <c r="FE811" s="675">
        <v>0</v>
      </c>
      <c r="FF811" s="549">
        <v>0</v>
      </c>
      <c r="FG811" s="675">
        <v>0</v>
      </c>
      <c r="FH811" s="549">
        <v>0</v>
      </c>
      <c r="FI811" s="675">
        <v>0</v>
      </c>
      <c r="FJ811" s="549">
        <v>0</v>
      </c>
      <c r="FK811" s="675">
        <v>0</v>
      </c>
      <c r="FL811" s="549">
        <v>0</v>
      </c>
      <c r="FM811" s="675">
        <v>0</v>
      </c>
      <c r="FN811" s="549">
        <v>0</v>
      </c>
      <c r="FO811" s="675">
        <v>0</v>
      </c>
      <c r="FP811" s="549">
        <v>0</v>
      </c>
      <c r="FQ811" s="675">
        <v>0</v>
      </c>
      <c r="FR811" s="549">
        <v>0</v>
      </c>
      <c r="FS811" s="675">
        <v>0</v>
      </c>
      <c r="FT811" s="549">
        <v>0</v>
      </c>
      <c r="FU811" s="675">
        <v>0</v>
      </c>
      <c r="FV811" s="549">
        <v>0</v>
      </c>
      <c r="FW811" s="675">
        <v>0</v>
      </c>
      <c r="FX811" s="549">
        <v>0</v>
      </c>
      <c r="FY811" s="675">
        <v>0</v>
      </c>
      <c r="FZ811" s="549">
        <v>0</v>
      </c>
      <c r="GA811" s="675">
        <v>0</v>
      </c>
      <c r="GB811" s="549">
        <v>0</v>
      </c>
      <c r="GC811" s="675">
        <v>0</v>
      </c>
      <c r="GD811" s="549">
        <v>0</v>
      </c>
      <c r="GE811" s="675">
        <v>0</v>
      </c>
      <c r="GF811" s="549">
        <v>0</v>
      </c>
      <c r="GG811" s="675">
        <v>0</v>
      </c>
      <c r="GH811" s="549">
        <v>0</v>
      </c>
      <c r="GI811" s="675">
        <v>0</v>
      </c>
      <c r="GJ811" s="549">
        <v>0</v>
      </c>
      <c r="GK811" s="675">
        <v>0</v>
      </c>
      <c r="GL811" s="549">
        <v>0</v>
      </c>
      <c r="GM811" s="675">
        <v>0</v>
      </c>
      <c r="GN811" s="549">
        <v>0</v>
      </c>
      <c r="GO811" s="675">
        <v>0</v>
      </c>
      <c r="GP811" s="549">
        <f t="shared" si="17104"/>
        <v>0</v>
      </c>
      <c r="GQ811" s="675">
        <f t="shared" si="17105"/>
        <v>-10000</v>
      </c>
      <c r="GR811" s="74">
        <f t="shared" si="17106"/>
        <v>0</v>
      </c>
      <c r="GS811" s="74">
        <f t="shared" si="17107"/>
        <v>0</v>
      </c>
      <c r="GT811" s="568">
        <f t="shared" si="17108"/>
        <v>0</v>
      </c>
      <c r="GU811" s="275">
        <v>2000</v>
      </c>
      <c r="GV811" s="275"/>
      <c r="GW811" s="588"/>
      <c r="GX811" s="275">
        <v>3000</v>
      </c>
      <c r="GY811" s="275">
        <v>5000</v>
      </c>
      <c r="GZ811" s="275"/>
      <c r="HA811" s="275">
        <f>3000-3000</f>
        <v>0</v>
      </c>
      <c r="HB811" s="275"/>
      <c r="HC811" s="275"/>
      <c r="HD811" s="275">
        <f>2000-2000</f>
        <v>0</v>
      </c>
      <c r="HE811" s="275">
        <v>0</v>
      </c>
      <c r="HF811" s="275">
        <v>0</v>
      </c>
      <c r="HG811" s="74">
        <f t="shared" si="17109"/>
        <v>0</v>
      </c>
      <c r="HH811" s="89">
        <v>0</v>
      </c>
      <c r="HI811" s="157">
        <v>0</v>
      </c>
      <c r="HJ811" s="89">
        <v>0</v>
      </c>
      <c r="HK811" s="157">
        <v>0</v>
      </c>
      <c r="HL811" s="89">
        <v>0</v>
      </c>
      <c r="HM811" s="157">
        <v>2000</v>
      </c>
      <c r="HN811" s="89">
        <v>0</v>
      </c>
      <c r="HO811" s="157">
        <v>3000</v>
      </c>
      <c r="HP811" s="89">
        <v>0</v>
      </c>
      <c r="HQ811" s="157">
        <v>0</v>
      </c>
      <c r="HR811" s="89">
        <v>0</v>
      </c>
      <c r="HS811" s="157">
        <v>0</v>
      </c>
      <c r="HT811" s="89">
        <v>0</v>
      </c>
      <c r="HU811" s="157">
        <v>5000</v>
      </c>
      <c r="HV811" s="89">
        <v>0</v>
      </c>
      <c r="HW811" s="157">
        <v>0</v>
      </c>
      <c r="HX811" s="89">
        <v>0</v>
      </c>
      <c r="HY811" s="157">
        <v>0</v>
      </c>
      <c r="HZ811" s="89">
        <v>0</v>
      </c>
      <c r="IA811" s="157">
        <v>0</v>
      </c>
      <c r="IB811" s="89">
        <v>0</v>
      </c>
      <c r="IC811" s="157">
        <v>0</v>
      </c>
      <c r="ID811" s="89">
        <v>0</v>
      </c>
      <c r="IE811" s="157">
        <v>0</v>
      </c>
      <c r="IF811" s="717">
        <f t="shared" si="17110"/>
        <v>0</v>
      </c>
      <c r="IG811" s="263">
        <f t="shared" si="17111"/>
        <v>0</v>
      </c>
      <c r="IH811" s="718">
        <f t="shared" si="17112"/>
        <v>0</v>
      </c>
      <c r="II811" s="89">
        <v>0</v>
      </c>
      <c r="IJ811" s="89">
        <f t="shared" si="17113"/>
        <v>0</v>
      </c>
      <c r="IK811" s="89">
        <f t="shared" si="17114"/>
        <v>0</v>
      </c>
      <c r="IL811" s="89">
        <v>0</v>
      </c>
      <c r="IM811" s="89">
        <f t="shared" si="17115"/>
        <v>0</v>
      </c>
      <c r="IN811" s="89">
        <f t="shared" si="17116"/>
        <v>0</v>
      </c>
      <c r="IO811" s="89">
        <v>0</v>
      </c>
      <c r="IP811" s="89">
        <f t="shared" si="17117"/>
        <v>0</v>
      </c>
      <c r="IQ811" s="89">
        <f t="shared" si="17118"/>
        <v>0</v>
      </c>
      <c r="IR811" s="89">
        <v>0</v>
      </c>
      <c r="IS811" s="89">
        <f t="shared" si="17119"/>
        <v>0</v>
      </c>
      <c r="IT811" s="89">
        <f t="shared" si="17120"/>
        <v>0</v>
      </c>
      <c r="IU811" s="89">
        <v>0</v>
      </c>
      <c r="IV811" s="89">
        <f t="shared" si="17121"/>
        <v>0</v>
      </c>
      <c r="IW811" s="89">
        <f t="shared" si="17122"/>
        <v>0</v>
      </c>
      <c r="IX811" s="89">
        <v>0</v>
      </c>
      <c r="IY811" s="89">
        <f t="shared" si="17123"/>
        <v>0</v>
      </c>
      <c r="IZ811" s="89">
        <f t="shared" si="17124"/>
        <v>0</v>
      </c>
      <c r="JA811" s="89">
        <v>0</v>
      </c>
      <c r="JB811" s="89">
        <f t="shared" si="17125"/>
        <v>0</v>
      </c>
      <c r="JC811" s="89">
        <f t="shared" si="17126"/>
        <v>0</v>
      </c>
      <c r="JD811" s="89">
        <v>0</v>
      </c>
      <c r="JE811" s="89">
        <f t="shared" si="17127"/>
        <v>0</v>
      </c>
      <c r="JF811" s="89">
        <f t="shared" si="17128"/>
        <v>0</v>
      </c>
      <c r="JG811" s="89">
        <v>0</v>
      </c>
      <c r="JH811" s="89">
        <f t="shared" si="17129"/>
        <v>0</v>
      </c>
      <c r="JI811" s="89">
        <f t="shared" si="17130"/>
        <v>0</v>
      </c>
      <c r="JJ811" s="89">
        <v>0</v>
      </c>
      <c r="JK811" s="89">
        <f t="shared" si="17131"/>
        <v>0</v>
      </c>
      <c r="JL811" s="89">
        <f t="shared" si="17132"/>
        <v>0</v>
      </c>
      <c r="JM811" s="89">
        <v>0</v>
      </c>
      <c r="JN811" s="89">
        <f t="shared" si="17133"/>
        <v>0</v>
      </c>
      <c r="JO811" s="89">
        <f t="shared" si="17134"/>
        <v>0</v>
      </c>
      <c r="JP811" s="89">
        <v>0</v>
      </c>
      <c r="JQ811" s="89">
        <f t="shared" ref="JQ811:JR811" si="17158">JP811</f>
        <v>0</v>
      </c>
      <c r="JR811" s="89">
        <f t="shared" si="17158"/>
        <v>0</v>
      </c>
      <c r="JS811" s="74">
        <f t="shared" si="17136"/>
        <v>0</v>
      </c>
      <c r="JT811" s="382">
        <f t="shared" si="17137"/>
        <v>0</v>
      </c>
      <c r="JU811" s="665"/>
      <c r="JV811" s="524"/>
      <c r="JW811" s="525"/>
      <c r="JX811" s="549">
        <f t="shared" si="17138"/>
        <v>0</v>
      </c>
      <c r="JY811" s="549">
        <f t="shared" si="17138"/>
        <v>10000</v>
      </c>
      <c r="JZ811" s="581">
        <f t="shared" si="16466"/>
        <v>0</v>
      </c>
      <c r="KA811" s="581">
        <f t="shared" si="16467"/>
        <v>-10000</v>
      </c>
      <c r="KB811" s="566">
        <f t="shared" si="17031"/>
        <v>0</v>
      </c>
      <c r="KC811" s="709">
        <f t="shared" si="16464"/>
        <v>0</v>
      </c>
      <c r="KD811" s="491"/>
      <c r="KE811" s="491"/>
      <c r="KF811" s="491"/>
      <c r="KG811" s="491"/>
      <c r="KH811" s="36"/>
      <c r="KI811" s="36"/>
      <c r="KJ811" s="36"/>
      <c r="KK811" s="36"/>
    </row>
    <row r="812" spans="1:297" s="10" customFormat="1">
      <c r="A812" s="612" t="s">
        <v>994</v>
      </c>
      <c r="B812" s="512" t="s">
        <v>972</v>
      </c>
      <c r="C812" s="74">
        <v>5000</v>
      </c>
      <c r="D812" s="549">
        <v>0</v>
      </c>
      <c r="E812" s="675">
        <v>0</v>
      </c>
      <c r="F812" s="549">
        <v>0</v>
      </c>
      <c r="G812" s="675">
        <v>0</v>
      </c>
      <c r="H812" s="549">
        <v>0</v>
      </c>
      <c r="I812" s="675">
        <v>0</v>
      </c>
      <c r="J812" s="549">
        <v>0</v>
      </c>
      <c r="K812" s="675">
        <v>0</v>
      </c>
      <c r="L812" s="549">
        <v>0</v>
      </c>
      <c r="M812" s="675">
        <v>0</v>
      </c>
      <c r="N812" s="549">
        <v>0</v>
      </c>
      <c r="O812" s="675">
        <v>0</v>
      </c>
      <c r="P812" s="549">
        <v>0</v>
      </c>
      <c r="Q812" s="675">
        <v>0</v>
      </c>
      <c r="R812" s="549">
        <v>0</v>
      </c>
      <c r="S812" s="675">
        <v>0</v>
      </c>
      <c r="T812" s="549">
        <v>0</v>
      </c>
      <c r="U812" s="675">
        <v>0</v>
      </c>
      <c r="V812" s="549">
        <v>0</v>
      </c>
      <c r="W812" s="675">
        <v>0</v>
      </c>
      <c r="X812" s="549">
        <v>0</v>
      </c>
      <c r="Y812" s="675">
        <v>0</v>
      </c>
      <c r="Z812" s="549">
        <v>0</v>
      </c>
      <c r="AA812" s="675">
        <v>0</v>
      </c>
      <c r="AB812" s="549">
        <v>0</v>
      </c>
      <c r="AC812" s="675">
        <v>0</v>
      </c>
      <c r="AD812" s="549">
        <v>0</v>
      </c>
      <c r="AE812" s="675">
        <v>0</v>
      </c>
      <c r="AF812" s="549">
        <v>0</v>
      </c>
      <c r="AG812" s="675">
        <v>0</v>
      </c>
      <c r="AH812" s="549">
        <v>0</v>
      </c>
      <c r="AI812" s="675">
        <v>0</v>
      </c>
      <c r="AJ812" s="549">
        <v>0</v>
      </c>
      <c r="AK812" s="675">
        <v>0</v>
      </c>
      <c r="AL812" s="549">
        <v>0</v>
      </c>
      <c r="AM812" s="675">
        <v>0</v>
      </c>
      <c r="AN812" s="549">
        <v>0</v>
      </c>
      <c r="AO812" s="675">
        <v>0</v>
      </c>
      <c r="AP812" s="549">
        <v>0</v>
      </c>
      <c r="AQ812" s="675">
        <v>0</v>
      </c>
      <c r="AR812" s="549">
        <v>0</v>
      </c>
      <c r="AS812" s="675">
        <v>0</v>
      </c>
      <c r="AT812" s="549">
        <v>0</v>
      </c>
      <c r="AU812" s="675">
        <v>0</v>
      </c>
      <c r="AV812" s="549">
        <v>0</v>
      </c>
      <c r="AW812" s="675">
        <v>0</v>
      </c>
      <c r="AX812" s="549">
        <v>0</v>
      </c>
      <c r="AY812" s="675">
        <v>0</v>
      </c>
      <c r="AZ812" s="549">
        <v>0</v>
      </c>
      <c r="BA812" s="675">
        <v>0</v>
      </c>
      <c r="BB812" s="549">
        <v>0</v>
      </c>
      <c r="BC812" s="675">
        <v>0</v>
      </c>
      <c r="BD812" s="549">
        <v>0</v>
      </c>
      <c r="BE812" s="675">
        <v>0</v>
      </c>
      <c r="BF812" s="549">
        <v>0</v>
      </c>
      <c r="BG812" s="675">
        <v>0</v>
      </c>
      <c r="BH812" s="549">
        <v>0</v>
      </c>
      <c r="BI812" s="675">
        <v>0</v>
      </c>
      <c r="BJ812" s="549">
        <v>0</v>
      </c>
      <c r="BK812" s="675">
        <v>0</v>
      </c>
      <c r="BL812" s="549">
        <v>0</v>
      </c>
      <c r="BM812" s="675">
        <v>0</v>
      </c>
      <c r="BN812" s="549">
        <v>0</v>
      </c>
      <c r="BO812" s="675">
        <v>0</v>
      </c>
      <c r="BP812" s="549">
        <v>0</v>
      </c>
      <c r="BQ812" s="675">
        <v>0</v>
      </c>
      <c r="BR812" s="549">
        <v>0</v>
      </c>
      <c r="BS812" s="675">
        <v>0</v>
      </c>
      <c r="BT812" s="549">
        <v>0</v>
      </c>
      <c r="BU812" s="675">
        <v>0</v>
      </c>
      <c r="BV812" s="549">
        <v>0</v>
      </c>
      <c r="BW812" s="675">
        <v>0</v>
      </c>
      <c r="BX812" s="549">
        <v>0</v>
      </c>
      <c r="BY812" s="675">
        <v>0</v>
      </c>
      <c r="BZ812" s="549">
        <v>0</v>
      </c>
      <c r="CA812" s="675">
        <v>0</v>
      </c>
      <c r="CB812" s="549">
        <v>0</v>
      </c>
      <c r="CC812" s="675">
        <v>0</v>
      </c>
      <c r="CD812" s="549">
        <v>0</v>
      </c>
      <c r="CE812" s="675">
        <v>0</v>
      </c>
      <c r="CF812" s="549">
        <v>0</v>
      </c>
      <c r="CG812" s="675">
        <v>0</v>
      </c>
      <c r="CH812" s="549">
        <v>0</v>
      </c>
      <c r="CI812" s="675">
        <v>0</v>
      </c>
      <c r="CJ812" s="549">
        <v>0</v>
      </c>
      <c r="CK812" s="675">
        <v>0</v>
      </c>
      <c r="CL812" s="549">
        <v>0</v>
      </c>
      <c r="CM812" s="675">
        <v>0</v>
      </c>
      <c r="CN812" s="549">
        <v>0</v>
      </c>
      <c r="CO812" s="675">
        <v>0</v>
      </c>
      <c r="CP812" s="549">
        <v>0</v>
      </c>
      <c r="CQ812" s="675">
        <v>0</v>
      </c>
      <c r="CR812" s="549">
        <v>0</v>
      </c>
      <c r="CS812" s="675">
        <v>0</v>
      </c>
      <c r="CT812" s="549">
        <v>0</v>
      </c>
      <c r="CU812" s="675">
        <v>0</v>
      </c>
      <c r="CV812" s="549">
        <v>0</v>
      </c>
      <c r="CW812" s="675">
        <v>0</v>
      </c>
      <c r="CX812" s="549">
        <v>0</v>
      </c>
      <c r="CY812" s="675">
        <v>0</v>
      </c>
      <c r="CZ812" s="549">
        <v>0</v>
      </c>
      <c r="DA812" s="675">
        <v>0</v>
      </c>
      <c r="DB812" s="549">
        <v>0</v>
      </c>
      <c r="DC812" s="675">
        <v>-5000</v>
      </c>
      <c r="DD812" s="549">
        <v>0</v>
      </c>
      <c r="DE812" s="675">
        <v>0</v>
      </c>
      <c r="DF812" s="549">
        <v>0</v>
      </c>
      <c r="DG812" s="675">
        <v>0</v>
      </c>
      <c r="DH812" s="549">
        <v>0</v>
      </c>
      <c r="DI812" s="675">
        <v>0</v>
      </c>
      <c r="DJ812" s="549">
        <v>0</v>
      </c>
      <c r="DK812" s="675">
        <v>0</v>
      </c>
      <c r="DL812" s="549">
        <v>0</v>
      </c>
      <c r="DM812" s="675">
        <v>0</v>
      </c>
      <c r="DN812" s="549">
        <v>0</v>
      </c>
      <c r="DO812" s="675">
        <v>0</v>
      </c>
      <c r="DP812" s="549">
        <v>0</v>
      </c>
      <c r="DQ812" s="675">
        <v>0</v>
      </c>
      <c r="DR812" s="549">
        <v>0</v>
      </c>
      <c r="DS812" s="675">
        <v>0</v>
      </c>
      <c r="DT812" s="549">
        <v>0</v>
      </c>
      <c r="DU812" s="675">
        <v>0</v>
      </c>
      <c r="DV812" s="549">
        <v>0</v>
      </c>
      <c r="DW812" s="675">
        <v>0</v>
      </c>
      <c r="DX812" s="549">
        <v>0</v>
      </c>
      <c r="DY812" s="675">
        <v>0</v>
      </c>
      <c r="DZ812" s="549">
        <v>0</v>
      </c>
      <c r="EA812" s="675">
        <v>0</v>
      </c>
      <c r="EB812" s="549">
        <v>0</v>
      </c>
      <c r="EC812" s="675">
        <v>0</v>
      </c>
      <c r="ED812" s="549">
        <v>0</v>
      </c>
      <c r="EE812" s="675">
        <v>0</v>
      </c>
      <c r="EF812" s="549">
        <v>0</v>
      </c>
      <c r="EG812" s="675">
        <v>0</v>
      </c>
      <c r="EH812" s="549">
        <v>0</v>
      </c>
      <c r="EI812" s="675">
        <v>0</v>
      </c>
      <c r="EJ812" s="549">
        <v>0</v>
      </c>
      <c r="EK812" s="675">
        <v>0</v>
      </c>
      <c r="EL812" s="549">
        <v>0</v>
      </c>
      <c r="EM812" s="675">
        <v>0</v>
      </c>
      <c r="EN812" s="549">
        <v>0</v>
      </c>
      <c r="EO812" s="675">
        <v>0</v>
      </c>
      <c r="EP812" s="549">
        <v>0</v>
      </c>
      <c r="EQ812" s="675">
        <v>0</v>
      </c>
      <c r="ER812" s="549">
        <v>0</v>
      </c>
      <c r="ES812" s="675">
        <v>0</v>
      </c>
      <c r="ET812" s="549">
        <v>0</v>
      </c>
      <c r="EU812" s="675">
        <v>0</v>
      </c>
      <c r="EV812" s="549">
        <v>0</v>
      </c>
      <c r="EW812" s="675">
        <v>0</v>
      </c>
      <c r="EX812" s="549">
        <v>0</v>
      </c>
      <c r="EY812" s="675">
        <v>0</v>
      </c>
      <c r="EZ812" s="549">
        <v>0</v>
      </c>
      <c r="FA812" s="675">
        <v>0</v>
      </c>
      <c r="FB812" s="549">
        <v>0</v>
      </c>
      <c r="FC812" s="675">
        <v>0</v>
      </c>
      <c r="FD812" s="549">
        <v>0</v>
      </c>
      <c r="FE812" s="675">
        <v>0</v>
      </c>
      <c r="FF812" s="549">
        <v>0</v>
      </c>
      <c r="FG812" s="675">
        <v>0</v>
      </c>
      <c r="FH812" s="549">
        <v>0</v>
      </c>
      <c r="FI812" s="675">
        <v>0</v>
      </c>
      <c r="FJ812" s="549">
        <v>0</v>
      </c>
      <c r="FK812" s="675">
        <v>0</v>
      </c>
      <c r="FL812" s="549">
        <v>0</v>
      </c>
      <c r="FM812" s="675">
        <v>0</v>
      </c>
      <c r="FN812" s="549">
        <v>0</v>
      </c>
      <c r="FO812" s="675">
        <v>0</v>
      </c>
      <c r="FP812" s="549">
        <v>0</v>
      </c>
      <c r="FQ812" s="675">
        <v>0</v>
      </c>
      <c r="FR812" s="549">
        <v>0</v>
      </c>
      <c r="FS812" s="675">
        <v>0</v>
      </c>
      <c r="FT812" s="549">
        <v>0</v>
      </c>
      <c r="FU812" s="675">
        <v>0</v>
      </c>
      <c r="FV812" s="549">
        <v>0</v>
      </c>
      <c r="FW812" s="675">
        <v>0</v>
      </c>
      <c r="FX812" s="549">
        <v>0</v>
      </c>
      <c r="FY812" s="675">
        <v>0</v>
      </c>
      <c r="FZ812" s="549">
        <v>0</v>
      </c>
      <c r="GA812" s="675">
        <v>0</v>
      </c>
      <c r="GB812" s="549">
        <v>0</v>
      </c>
      <c r="GC812" s="675">
        <v>0</v>
      </c>
      <c r="GD812" s="549">
        <v>0</v>
      </c>
      <c r="GE812" s="675">
        <v>0</v>
      </c>
      <c r="GF812" s="549">
        <v>0</v>
      </c>
      <c r="GG812" s="675">
        <v>0</v>
      </c>
      <c r="GH812" s="549">
        <v>0</v>
      </c>
      <c r="GI812" s="675">
        <v>0</v>
      </c>
      <c r="GJ812" s="549">
        <v>0</v>
      </c>
      <c r="GK812" s="675">
        <v>0</v>
      </c>
      <c r="GL812" s="549">
        <v>0</v>
      </c>
      <c r="GM812" s="675">
        <v>0</v>
      </c>
      <c r="GN812" s="549">
        <v>0</v>
      </c>
      <c r="GO812" s="675">
        <v>0</v>
      </c>
      <c r="GP812" s="549">
        <f t="shared" si="17104"/>
        <v>0</v>
      </c>
      <c r="GQ812" s="675">
        <f t="shared" si="17105"/>
        <v>-5000</v>
      </c>
      <c r="GR812" s="74">
        <f t="shared" si="17106"/>
        <v>0</v>
      </c>
      <c r="GS812" s="74">
        <f t="shared" si="17107"/>
        <v>0</v>
      </c>
      <c r="GT812" s="568">
        <f t="shared" si="17108"/>
        <v>0</v>
      </c>
      <c r="GU812" s="275">
        <v>1000</v>
      </c>
      <c r="GV812" s="275"/>
      <c r="GW812" s="588"/>
      <c r="GX812" s="275">
        <v>1500</v>
      </c>
      <c r="GY812" s="275">
        <v>2500</v>
      </c>
      <c r="GZ812" s="275"/>
      <c r="HA812" s="275">
        <f>1500-1500</f>
        <v>0</v>
      </c>
      <c r="HB812" s="275"/>
      <c r="HC812" s="275"/>
      <c r="HD812" s="275">
        <f>1000-1000</f>
        <v>0</v>
      </c>
      <c r="HE812" s="275">
        <v>0</v>
      </c>
      <c r="HF812" s="275">
        <v>0</v>
      </c>
      <c r="HG812" s="74">
        <f t="shared" si="17109"/>
        <v>0</v>
      </c>
      <c r="HH812" s="89">
        <v>0</v>
      </c>
      <c r="HI812" s="157">
        <v>0</v>
      </c>
      <c r="HJ812" s="89">
        <v>0</v>
      </c>
      <c r="HK812" s="157">
        <v>0</v>
      </c>
      <c r="HL812" s="89">
        <v>0</v>
      </c>
      <c r="HM812" s="157">
        <v>1000</v>
      </c>
      <c r="HN812" s="89">
        <v>0</v>
      </c>
      <c r="HO812" s="157">
        <v>1500</v>
      </c>
      <c r="HP812" s="89">
        <v>0</v>
      </c>
      <c r="HQ812" s="157">
        <v>0</v>
      </c>
      <c r="HR812" s="89">
        <v>0</v>
      </c>
      <c r="HS812" s="157">
        <v>0</v>
      </c>
      <c r="HT812" s="89">
        <v>0</v>
      </c>
      <c r="HU812" s="157">
        <v>2500</v>
      </c>
      <c r="HV812" s="89">
        <v>0</v>
      </c>
      <c r="HW812" s="157">
        <v>0</v>
      </c>
      <c r="HX812" s="89">
        <v>0</v>
      </c>
      <c r="HY812" s="157">
        <v>0</v>
      </c>
      <c r="HZ812" s="89">
        <v>0</v>
      </c>
      <c r="IA812" s="157">
        <v>0</v>
      </c>
      <c r="IB812" s="89">
        <v>0</v>
      </c>
      <c r="IC812" s="157">
        <v>0</v>
      </c>
      <c r="ID812" s="89">
        <v>0</v>
      </c>
      <c r="IE812" s="157">
        <v>0</v>
      </c>
      <c r="IF812" s="717">
        <f t="shared" si="17110"/>
        <v>0</v>
      </c>
      <c r="IG812" s="263">
        <f t="shared" si="17111"/>
        <v>0</v>
      </c>
      <c r="IH812" s="718">
        <f t="shared" si="17112"/>
        <v>0</v>
      </c>
      <c r="II812" s="89">
        <v>0</v>
      </c>
      <c r="IJ812" s="89">
        <f t="shared" si="17113"/>
        <v>0</v>
      </c>
      <c r="IK812" s="89">
        <f t="shared" si="17114"/>
        <v>0</v>
      </c>
      <c r="IL812" s="89">
        <v>0</v>
      </c>
      <c r="IM812" s="89">
        <f t="shared" si="17115"/>
        <v>0</v>
      </c>
      <c r="IN812" s="89">
        <f t="shared" si="17116"/>
        <v>0</v>
      </c>
      <c r="IO812" s="89">
        <v>0</v>
      </c>
      <c r="IP812" s="89">
        <f t="shared" si="17117"/>
        <v>0</v>
      </c>
      <c r="IQ812" s="89">
        <f t="shared" si="17118"/>
        <v>0</v>
      </c>
      <c r="IR812" s="89">
        <v>0</v>
      </c>
      <c r="IS812" s="89">
        <f t="shared" si="17119"/>
        <v>0</v>
      </c>
      <c r="IT812" s="89">
        <f t="shared" si="17120"/>
        <v>0</v>
      </c>
      <c r="IU812" s="89">
        <v>0</v>
      </c>
      <c r="IV812" s="89">
        <f t="shared" si="17121"/>
        <v>0</v>
      </c>
      <c r="IW812" s="89">
        <f t="shared" si="17122"/>
        <v>0</v>
      </c>
      <c r="IX812" s="89">
        <v>0</v>
      </c>
      <c r="IY812" s="89">
        <f t="shared" si="17123"/>
        <v>0</v>
      </c>
      <c r="IZ812" s="89">
        <f t="shared" si="17124"/>
        <v>0</v>
      </c>
      <c r="JA812" s="89">
        <v>0</v>
      </c>
      <c r="JB812" s="89">
        <f t="shared" si="17125"/>
        <v>0</v>
      </c>
      <c r="JC812" s="89">
        <f t="shared" si="17126"/>
        <v>0</v>
      </c>
      <c r="JD812" s="89">
        <v>0</v>
      </c>
      <c r="JE812" s="89">
        <f t="shared" si="17127"/>
        <v>0</v>
      </c>
      <c r="JF812" s="89">
        <f t="shared" si="17128"/>
        <v>0</v>
      </c>
      <c r="JG812" s="89">
        <v>0</v>
      </c>
      <c r="JH812" s="89">
        <f t="shared" si="17129"/>
        <v>0</v>
      </c>
      <c r="JI812" s="89">
        <f t="shared" si="17130"/>
        <v>0</v>
      </c>
      <c r="JJ812" s="89">
        <v>0</v>
      </c>
      <c r="JK812" s="89">
        <f t="shared" si="17131"/>
        <v>0</v>
      </c>
      <c r="JL812" s="89">
        <f t="shared" si="17132"/>
        <v>0</v>
      </c>
      <c r="JM812" s="89">
        <v>0</v>
      </c>
      <c r="JN812" s="89">
        <f t="shared" si="17133"/>
        <v>0</v>
      </c>
      <c r="JO812" s="89">
        <f t="shared" si="17134"/>
        <v>0</v>
      </c>
      <c r="JP812" s="89">
        <v>0</v>
      </c>
      <c r="JQ812" s="89">
        <f t="shared" ref="JQ812:JR812" si="17159">JP812</f>
        <v>0</v>
      </c>
      <c r="JR812" s="89">
        <f t="shared" si="17159"/>
        <v>0</v>
      </c>
      <c r="JS812" s="74">
        <f t="shared" si="17136"/>
        <v>0</v>
      </c>
      <c r="JT812" s="382">
        <f t="shared" si="17137"/>
        <v>0</v>
      </c>
      <c r="JU812" s="665"/>
      <c r="JV812" s="524"/>
      <c r="JW812" s="525"/>
      <c r="JX812" s="549">
        <f t="shared" si="17138"/>
        <v>0</v>
      </c>
      <c r="JY812" s="549">
        <f t="shared" si="17138"/>
        <v>5000</v>
      </c>
      <c r="JZ812" s="581">
        <f t="shared" si="16466"/>
        <v>0</v>
      </c>
      <c r="KA812" s="581">
        <f t="shared" si="16467"/>
        <v>-5000</v>
      </c>
      <c r="KB812" s="566">
        <f t="shared" si="17031"/>
        <v>0</v>
      </c>
      <c r="KC812" s="709">
        <f t="shared" si="16464"/>
        <v>0</v>
      </c>
      <c r="KD812" s="491"/>
      <c r="KE812" s="491"/>
      <c r="KF812" s="491"/>
      <c r="KG812" s="491"/>
      <c r="KH812" s="36"/>
      <c r="KI812" s="36"/>
      <c r="KJ812" s="36"/>
      <c r="KK812" s="36"/>
    </row>
    <row r="813" spans="1:297" s="10" customFormat="1" hidden="1">
      <c r="A813" s="612" t="s">
        <v>755</v>
      </c>
      <c r="B813" s="512" t="s">
        <v>945</v>
      </c>
      <c r="C813" s="74">
        <v>0</v>
      </c>
      <c r="D813" s="549">
        <v>0</v>
      </c>
      <c r="E813" s="675">
        <v>0</v>
      </c>
      <c r="F813" s="549">
        <v>0</v>
      </c>
      <c r="G813" s="675">
        <v>0</v>
      </c>
      <c r="H813" s="549">
        <v>0</v>
      </c>
      <c r="I813" s="675">
        <v>0</v>
      </c>
      <c r="J813" s="549">
        <v>0</v>
      </c>
      <c r="K813" s="675">
        <v>0</v>
      </c>
      <c r="L813" s="549">
        <v>0</v>
      </c>
      <c r="M813" s="675">
        <v>0</v>
      </c>
      <c r="N813" s="549">
        <v>0</v>
      </c>
      <c r="O813" s="675">
        <v>0</v>
      </c>
      <c r="P813" s="549">
        <v>0</v>
      </c>
      <c r="Q813" s="675">
        <v>0</v>
      </c>
      <c r="R813" s="549">
        <v>0</v>
      </c>
      <c r="S813" s="675">
        <v>0</v>
      </c>
      <c r="T813" s="549">
        <v>0</v>
      </c>
      <c r="U813" s="675">
        <v>0</v>
      </c>
      <c r="V813" s="549">
        <v>0</v>
      </c>
      <c r="W813" s="675">
        <v>0</v>
      </c>
      <c r="X813" s="549">
        <v>0</v>
      </c>
      <c r="Y813" s="675">
        <v>0</v>
      </c>
      <c r="Z813" s="549">
        <v>0</v>
      </c>
      <c r="AA813" s="675">
        <v>0</v>
      </c>
      <c r="AB813" s="549">
        <v>0</v>
      </c>
      <c r="AC813" s="675">
        <v>0</v>
      </c>
      <c r="AD813" s="549">
        <v>0</v>
      </c>
      <c r="AE813" s="675">
        <v>0</v>
      </c>
      <c r="AF813" s="549">
        <v>0</v>
      </c>
      <c r="AG813" s="675">
        <v>0</v>
      </c>
      <c r="AH813" s="549">
        <v>0</v>
      </c>
      <c r="AI813" s="675">
        <v>0</v>
      </c>
      <c r="AJ813" s="549">
        <v>0</v>
      </c>
      <c r="AK813" s="675">
        <v>0</v>
      </c>
      <c r="AL813" s="549">
        <v>0</v>
      </c>
      <c r="AM813" s="675">
        <v>0</v>
      </c>
      <c r="AN813" s="549">
        <v>0</v>
      </c>
      <c r="AO813" s="675">
        <v>0</v>
      </c>
      <c r="AP813" s="549">
        <v>0</v>
      </c>
      <c r="AQ813" s="675">
        <v>0</v>
      </c>
      <c r="AR813" s="549">
        <v>0</v>
      </c>
      <c r="AS813" s="675">
        <v>0</v>
      </c>
      <c r="AT813" s="549">
        <v>0</v>
      </c>
      <c r="AU813" s="675">
        <v>0</v>
      </c>
      <c r="AV813" s="549">
        <v>0</v>
      </c>
      <c r="AW813" s="675">
        <v>0</v>
      </c>
      <c r="AX813" s="549">
        <v>0</v>
      </c>
      <c r="AY813" s="675">
        <v>0</v>
      </c>
      <c r="AZ813" s="549">
        <v>0</v>
      </c>
      <c r="BA813" s="675">
        <v>0</v>
      </c>
      <c r="BB813" s="549">
        <v>0</v>
      </c>
      <c r="BC813" s="675">
        <v>0</v>
      </c>
      <c r="BD813" s="549">
        <v>0</v>
      </c>
      <c r="BE813" s="675">
        <v>0</v>
      </c>
      <c r="BF813" s="549">
        <v>0</v>
      </c>
      <c r="BG813" s="675">
        <v>0</v>
      </c>
      <c r="BH813" s="549">
        <v>0</v>
      </c>
      <c r="BI813" s="675">
        <v>0</v>
      </c>
      <c r="BJ813" s="549">
        <v>0</v>
      </c>
      <c r="BK813" s="675">
        <v>0</v>
      </c>
      <c r="BL813" s="549">
        <v>0</v>
      </c>
      <c r="BM813" s="675">
        <v>0</v>
      </c>
      <c r="BN813" s="549">
        <v>0</v>
      </c>
      <c r="BO813" s="675">
        <v>0</v>
      </c>
      <c r="BP813" s="549">
        <v>0</v>
      </c>
      <c r="BQ813" s="675">
        <v>0</v>
      </c>
      <c r="BR813" s="549">
        <v>0</v>
      </c>
      <c r="BS813" s="675">
        <v>0</v>
      </c>
      <c r="BT813" s="549">
        <v>0</v>
      </c>
      <c r="BU813" s="675">
        <v>0</v>
      </c>
      <c r="BV813" s="549">
        <v>0</v>
      </c>
      <c r="BW813" s="675">
        <v>0</v>
      </c>
      <c r="BX813" s="549">
        <v>0</v>
      </c>
      <c r="BY813" s="675">
        <v>0</v>
      </c>
      <c r="BZ813" s="549">
        <v>0</v>
      </c>
      <c r="CA813" s="675">
        <v>0</v>
      </c>
      <c r="CB813" s="549">
        <v>0</v>
      </c>
      <c r="CC813" s="675">
        <v>0</v>
      </c>
      <c r="CD813" s="549">
        <v>0</v>
      </c>
      <c r="CE813" s="675">
        <v>0</v>
      </c>
      <c r="CF813" s="549">
        <v>0</v>
      </c>
      <c r="CG813" s="675">
        <v>0</v>
      </c>
      <c r="CH813" s="549">
        <v>0</v>
      </c>
      <c r="CI813" s="675">
        <v>0</v>
      </c>
      <c r="CJ813" s="549">
        <v>0</v>
      </c>
      <c r="CK813" s="675">
        <v>0</v>
      </c>
      <c r="CL813" s="549">
        <v>0</v>
      </c>
      <c r="CM813" s="675">
        <v>0</v>
      </c>
      <c r="CN813" s="549">
        <v>0</v>
      </c>
      <c r="CO813" s="675">
        <v>0</v>
      </c>
      <c r="CP813" s="549">
        <v>0</v>
      </c>
      <c r="CQ813" s="675">
        <v>0</v>
      </c>
      <c r="CR813" s="549">
        <v>0</v>
      </c>
      <c r="CS813" s="675">
        <v>0</v>
      </c>
      <c r="CT813" s="549">
        <v>0</v>
      </c>
      <c r="CU813" s="675">
        <v>0</v>
      </c>
      <c r="CV813" s="549">
        <v>0</v>
      </c>
      <c r="CW813" s="675">
        <v>0</v>
      </c>
      <c r="CX813" s="549">
        <v>0</v>
      </c>
      <c r="CY813" s="675">
        <v>0</v>
      </c>
      <c r="CZ813" s="549">
        <v>0</v>
      </c>
      <c r="DA813" s="675">
        <v>0</v>
      </c>
      <c r="DB813" s="549">
        <v>0</v>
      </c>
      <c r="DC813" s="675">
        <v>0</v>
      </c>
      <c r="DD813" s="549">
        <v>0</v>
      </c>
      <c r="DE813" s="675">
        <v>0</v>
      </c>
      <c r="DF813" s="549">
        <v>0</v>
      </c>
      <c r="DG813" s="675">
        <v>0</v>
      </c>
      <c r="DH813" s="549">
        <v>0</v>
      </c>
      <c r="DI813" s="675">
        <v>0</v>
      </c>
      <c r="DJ813" s="549">
        <v>0</v>
      </c>
      <c r="DK813" s="675">
        <v>0</v>
      </c>
      <c r="DL813" s="549">
        <v>0</v>
      </c>
      <c r="DM813" s="675">
        <v>0</v>
      </c>
      <c r="DN813" s="549">
        <v>0</v>
      </c>
      <c r="DO813" s="675">
        <v>0</v>
      </c>
      <c r="DP813" s="549">
        <v>0</v>
      </c>
      <c r="DQ813" s="675">
        <v>0</v>
      </c>
      <c r="DR813" s="549">
        <v>0</v>
      </c>
      <c r="DS813" s="675">
        <v>0</v>
      </c>
      <c r="DT813" s="549">
        <v>0</v>
      </c>
      <c r="DU813" s="675">
        <v>0</v>
      </c>
      <c r="DV813" s="549">
        <v>0</v>
      </c>
      <c r="DW813" s="675">
        <v>0</v>
      </c>
      <c r="DX813" s="549">
        <v>0</v>
      </c>
      <c r="DY813" s="675">
        <v>0</v>
      </c>
      <c r="DZ813" s="549">
        <v>0</v>
      </c>
      <c r="EA813" s="675">
        <v>0</v>
      </c>
      <c r="EB813" s="549">
        <v>0</v>
      </c>
      <c r="EC813" s="675">
        <v>0</v>
      </c>
      <c r="ED813" s="549">
        <v>0</v>
      </c>
      <c r="EE813" s="675">
        <v>0</v>
      </c>
      <c r="EF813" s="549">
        <v>0</v>
      </c>
      <c r="EG813" s="675">
        <v>0</v>
      </c>
      <c r="EH813" s="549">
        <v>0</v>
      </c>
      <c r="EI813" s="675">
        <v>0</v>
      </c>
      <c r="EJ813" s="549">
        <v>0</v>
      </c>
      <c r="EK813" s="675">
        <v>0</v>
      </c>
      <c r="EL813" s="549">
        <v>0</v>
      </c>
      <c r="EM813" s="675">
        <v>0</v>
      </c>
      <c r="EN813" s="549">
        <v>0</v>
      </c>
      <c r="EO813" s="675">
        <v>0</v>
      </c>
      <c r="EP813" s="549">
        <v>0</v>
      </c>
      <c r="EQ813" s="675">
        <v>0</v>
      </c>
      <c r="ER813" s="549">
        <v>0</v>
      </c>
      <c r="ES813" s="675">
        <v>0</v>
      </c>
      <c r="ET813" s="549">
        <v>0</v>
      </c>
      <c r="EU813" s="675">
        <v>0</v>
      </c>
      <c r="EV813" s="549">
        <v>0</v>
      </c>
      <c r="EW813" s="675">
        <v>0</v>
      </c>
      <c r="EX813" s="549">
        <v>0</v>
      </c>
      <c r="EY813" s="675">
        <v>0</v>
      </c>
      <c r="EZ813" s="549">
        <v>0</v>
      </c>
      <c r="FA813" s="675">
        <v>0</v>
      </c>
      <c r="FB813" s="549">
        <v>0</v>
      </c>
      <c r="FC813" s="675">
        <v>0</v>
      </c>
      <c r="FD813" s="549">
        <v>0</v>
      </c>
      <c r="FE813" s="675">
        <v>0</v>
      </c>
      <c r="FF813" s="549">
        <v>0</v>
      </c>
      <c r="FG813" s="675">
        <v>0</v>
      </c>
      <c r="FH813" s="549">
        <v>0</v>
      </c>
      <c r="FI813" s="675">
        <v>0</v>
      </c>
      <c r="FJ813" s="549">
        <v>0</v>
      </c>
      <c r="FK813" s="675">
        <v>0</v>
      </c>
      <c r="FL813" s="549">
        <v>0</v>
      </c>
      <c r="FM813" s="675">
        <v>0</v>
      </c>
      <c r="FN813" s="549">
        <v>0</v>
      </c>
      <c r="FO813" s="675">
        <v>0</v>
      </c>
      <c r="FP813" s="549">
        <v>0</v>
      </c>
      <c r="FQ813" s="675">
        <v>0</v>
      </c>
      <c r="FR813" s="549">
        <v>0</v>
      </c>
      <c r="FS813" s="675">
        <v>0</v>
      </c>
      <c r="FT813" s="549">
        <v>0</v>
      </c>
      <c r="FU813" s="675">
        <v>0</v>
      </c>
      <c r="FV813" s="549">
        <v>0</v>
      </c>
      <c r="FW813" s="675">
        <v>0</v>
      </c>
      <c r="FX813" s="549">
        <v>0</v>
      </c>
      <c r="FY813" s="675">
        <v>0</v>
      </c>
      <c r="FZ813" s="549">
        <v>0</v>
      </c>
      <c r="GA813" s="675">
        <v>0</v>
      </c>
      <c r="GB813" s="549">
        <v>0</v>
      </c>
      <c r="GC813" s="675">
        <v>0</v>
      </c>
      <c r="GD813" s="549">
        <v>0</v>
      </c>
      <c r="GE813" s="675">
        <v>0</v>
      </c>
      <c r="GF813" s="549">
        <v>0</v>
      </c>
      <c r="GG813" s="675">
        <v>0</v>
      </c>
      <c r="GH813" s="549">
        <v>0</v>
      </c>
      <c r="GI813" s="675">
        <v>0</v>
      </c>
      <c r="GJ813" s="549">
        <v>0</v>
      </c>
      <c r="GK813" s="675">
        <v>0</v>
      </c>
      <c r="GL813" s="549">
        <v>0</v>
      </c>
      <c r="GM813" s="675">
        <v>0</v>
      </c>
      <c r="GN813" s="549">
        <v>0</v>
      </c>
      <c r="GO813" s="675">
        <v>0</v>
      </c>
      <c r="GP813" s="549">
        <f t="shared" si="17104"/>
        <v>0</v>
      </c>
      <c r="GQ813" s="675">
        <f t="shared" si="17105"/>
        <v>0</v>
      </c>
      <c r="GR813" s="74">
        <f t="shared" si="17106"/>
        <v>0</v>
      </c>
      <c r="GS813" s="74">
        <f t="shared" si="17107"/>
        <v>0</v>
      </c>
      <c r="GT813" s="568">
        <f t="shared" si="17108"/>
        <v>0</v>
      </c>
      <c r="GU813" s="275"/>
      <c r="GV813" s="275"/>
      <c r="GW813" s="588"/>
      <c r="GX813" s="275"/>
      <c r="GY813" s="275"/>
      <c r="GZ813" s="275"/>
      <c r="HA813" s="275"/>
      <c r="HB813" s="275"/>
      <c r="HC813" s="275"/>
      <c r="HD813" s="275"/>
      <c r="HE813" s="275">
        <v>0</v>
      </c>
      <c r="HF813" s="275">
        <v>0</v>
      </c>
      <c r="HG813" s="74">
        <f t="shared" si="17109"/>
        <v>0</v>
      </c>
      <c r="HH813" s="89">
        <v>0</v>
      </c>
      <c r="HI813" s="157">
        <v>0</v>
      </c>
      <c r="HJ813" s="89">
        <v>0</v>
      </c>
      <c r="HK813" s="157">
        <v>0</v>
      </c>
      <c r="HL813" s="89">
        <v>0</v>
      </c>
      <c r="HM813" s="157">
        <v>0</v>
      </c>
      <c r="HN813" s="89">
        <v>0</v>
      </c>
      <c r="HO813" s="157">
        <v>0</v>
      </c>
      <c r="HP813" s="89">
        <v>0</v>
      </c>
      <c r="HQ813" s="157">
        <v>0</v>
      </c>
      <c r="HR813" s="89">
        <v>0</v>
      </c>
      <c r="HS813" s="157">
        <v>0</v>
      </c>
      <c r="HT813" s="89">
        <v>0</v>
      </c>
      <c r="HU813" s="157">
        <v>0</v>
      </c>
      <c r="HV813" s="89">
        <v>0</v>
      </c>
      <c r="HW813" s="157">
        <v>0</v>
      </c>
      <c r="HX813" s="89">
        <v>0</v>
      </c>
      <c r="HY813" s="157">
        <v>0</v>
      </c>
      <c r="HZ813" s="89">
        <v>0</v>
      </c>
      <c r="IA813" s="157">
        <v>0</v>
      </c>
      <c r="IB813" s="89">
        <v>0</v>
      </c>
      <c r="IC813" s="157">
        <v>0</v>
      </c>
      <c r="ID813" s="89">
        <v>0</v>
      </c>
      <c r="IE813" s="157">
        <v>0</v>
      </c>
      <c r="IF813" s="717">
        <f t="shared" si="17110"/>
        <v>0</v>
      </c>
      <c r="IG813" s="263">
        <f t="shared" si="17111"/>
        <v>0</v>
      </c>
      <c r="IH813" s="718">
        <f t="shared" si="17112"/>
        <v>0</v>
      </c>
      <c r="II813" s="89">
        <v>0</v>
      </c>
      <c r="IJ813" s="89">
        <f t="shared" si="17113"/>
        <v>0</v>
      </c>
      <c r="IK813" s="89">
        <f t="shared" si="17114"/>
        <v>0</v>
      </c>
      <c r="IL813" s="89">
        <v>0</v>
      </c>
      <c r="IM813" s="89">
        <f t="shared" si="17115"/>
        <v>0</v>
      </c>
      <c r="IN813" s="89">
        <f t="shared" si="17116"/>
        <v>0</v>
      </c>
      <c r="IO813" s="89">
        <v>0</v>
      </c>
      <c r="IP813" s="89">
        <f t="shared" si="17117"/>
        <v>0</v>
      </c>
      <c r="IQ813" s="89">
        <f t="shared" si="17118"/>
        <v>0</v>
      </c>
      <c r="IR813" s="89">
        <v>0</v>
      </c>
      <c r="IS813" s="89">
        <f t="shared" si="17119"/>
        <v>0</v>
      </c>
      <c r="IT813" s="89">
        <f t="shared" si="17120"/>
        <v>0</v>
      </c>
      <c r="IU813" s="89">
        <v>0</v>
      </c>
      <c r="IV813" s="89">
        <f t="shared" si="17121"/>
        <v>0</v>
      </c>
      <c r="IW813" s="89">
        <f t="shared" si="17122"/>
        <v>0</v>
      </c>
      <c r="IX813" s="89">
        <v>0</v>
      </c>
      <c r="IY813" s="89">
        <f t="shared" si="17123"/>
        <v>0</v>
      </c>
      <c r="IZ813" s="89">
        <f t="shared" si="17124"/>
        <v>0</v>
      </c>
      <c r="JA813" s="89">
        <v>0</v>
      </c>
      <c r="JB813" s="89">
        <f t="shared" si="17125"/>
        <v>0</v>
      </c>
      <c r="JC813" s="89">
        <f t="shared" si="17126"/>
        <v>0</v>
      </c>
      <c r="JD813" s="89">
        <v>0</v>
      </c>
      <c r="JE813" s="89">
        <f t="shared" si="17127"/>
        <v>0</v>
      </c>
      <c r="JF813" s="89">
        <f t="shared" si="17128"/>
        <v>0</v>
      </c>
      <c r="JG813" s="89">
        <v>0</v>
      </c>
      <c r="JH813" s="89">
        <f t="shared" si="17129"/>
        <v>0</v>
      </c>
      <c r="JI813" s="89">
        <f t="shared" si="17130"/>
        <v>0</v>
      </c>
      <c r="JJ813" s="89">
        <v>0</v>
      </c>
      <c r="JK813" s="89">
        <f t="shared" si="17131"/>
        <v>0</v>
      </c>
      <c r="JL813" s="89">
        <f t="shared" si="17132"/>
        <v>0</v>
      </c>
      <c r="JM813" s="89">
        <v>0</v>
      </c>
      <c r="JN813" s="89">
        <f t="shared" si="17133"/>
        <v>0</v>
      </c>
      <c r="JO813" s="89">
        <f t="shared" si="17134"/>
        <v>0</v>
      </c>
      <c r="JP813" s="89">
        <v>0</v>
      </c>
      <c r="JQ813" s="89">
        <f t="shared" ref="JQ813:JR813" si="17160">JP813</f>
        <v>0</v>
      </c>
      <c r="JR813" s="89">
        <f t="shared" si="17160"/>
        <v>0</v>
      </c>
      <c r="JS813" s="74">
        <f t="shared" si="17136"/>
        <v>0</v>
      </c>
      <c r="JT813" s="382">
        <f t="shared" si="17137"/>
        <v>0</v>
      </c>
      <c r="JU813" s="665"/>
      <c r="JV813" s="524"/>
      <c r="JW813" s="525"/>
      <c r="JX813" s="549">
        <f t="shared" si="17138"/>
        <v>0</v>
      </c>
      <c r="JY813" s="549">
        <f t="shared" si="17138"/>
        <v>0</v>
      </c>
      <c r="JZ813" s="581">
        <f t="shared" si="16466"/>
        <v>0</v>
      </c>
      <c r="KA813" s="581">
        <f t="shared" si="16467"/>
        <v>0</v>
      </c>
      <c r="KB813" s="566">
        <f t="shared" si="17031"/>
        <v>0</v>
      </c>
      <c r="KC813" s="709">
        <f t="shared" si="16464"/>
        <v>0</v>
      </c>
      <c r="KD813" s="491"/>
      <c r="KE813" s="491"/>
      <c r="KF813" s="491"/>
      <c r="KG813" s="491"/>
      <c r="KH813" s="36"/>
      <c r="KI813" s="36"/>
      <c r="KJ813" s="36"/>
      <c r="KK813" s="36"/>
    </row>
    <row r="814" spans="1:297" s="10" customFormat="1">
      <c r="A814" s="612" t="s">
        <v>824</v>
      </c>
      <c r="B814" s="512" t="s">
        <v>995</v>
      </c>
      <c r="C814" s="74">
        <v>10000</v>
      </c>
      <c r="D814" s="549">
        <v>0</v>
      </c>
      <c r="E814" s="675">
        <v>0</v>
      </c>
      <c r="F814" s="549">
        <v>0</v>
      </c>
      <c r="G814" s="675">
        <v>0</v>
      </c>
      <c r="H814" s="549">
        <v>0</v>
      </c>
      <c r="I814" s="675">
        <v>0</v>
      </c>
      <c r="J814" s="549">
        <v>0</v>
      </c>
      <c r="K814" s="675">
        <v>0</v>
      </c>
      <c r="L814" s="549">
        <v>0</v>
      </c>
      <c r="M814" s="675">
        <v>0</v>
      </c>
      <c r="N814" s="549">
        <v>0</v>
      </c>
      <c r="O814" s="675">
        <v>0</v>
      </c>
      <c r="P814" s="549">
        <v>0</v>
      </c>
      <c r="Q814" s="675">
        <v>0</v>
      </c>
      <c r="R814" s="549">
        <v>0</v>
      </c>
      <c r="S814" s="675">
        <v>0</v>
      </c>
      <c r="T814" s="549">
        <v>0</v>
      </c>
      <c r="U814" s="675">
        <v>0</v>
      </c>
      <c r="V814" s="549">
        <v>0</v>
      </c>
      <c r="W814" s="675">
        <v>0</v>
      </c>
      <c r="X814" s="549">
        <v>0</v>
      </c>
      <c r="Y814" s="675">
        <v>0</v>
      </c>
      <c r="Z814" s="549">
        <v>0</v>
      </c>
      <c r="AA814" s="675">
        <v>0</v>
      </c>
      <c r="AB814" s="549">
        <v>0</v>
      </c>
      <c r="AC814" s="675">
        <v>-10000</v>
      </c>
      <c r="AD814" s="549">
        <v>0</v>
      </c>
      <c r="AE814" s="675">
        <v>0</v>
      </c>
      <c r="AF814" s="549">
        <v>0</v>
      </c>
      <c r="AG814" s="675">
        <v>0</v>
      </c>
      <c r="AH814" s="549">
        <v>0</v>
      </c>
      <c r="AI814" s="675">
        <v>0</v>
      </c>
      <c r="AJ814" s="549">
        <v>0</v>
      </c>
      <c r="AK814" s="675">
        <v>0</v>
      </c>
      <c r="AL814" s="549">
        <v>0</v>
      </c>
      <c r="AM814" s="675">
        <v>0</v>
      </c>
      <c r="AN814" s="549">
        <v>0</v>
      </c>
      <c r="AO814" s="675">
        <v>0</v>
      </c>
      <c r="AP814" s="549">
        <v>0</v>
      </c>
      <c r="AQ814" s="675">
        <v>0</v>
      </c>
      <c r="AR814" s="549">
        <v>0</v>
      </c>
      <c r="AS814" s="675">
        <v>0</v>
      </c>
      <c r="AT814" s="549">
        <v>0</v>
      </c>
      <c r="AU814" s="675">
        <v>0</v>
      </c>
      <c r="AV814" s="549">
        <v>0</v>
      </c>
      <c r="AW814" s="675">
        <v>0</v>
      </c>
      <c r="AX814" s="549">
        <v>0</v>
      </c>
      <c r="AY814" s="675">
        <v>0</v>
      </c>
      <c r="AZ814" s="549">
        <v>0</v>
      </c>
      <c r="BA814" s="675">
        <v>0</v>
      </c>
      <c r="BB814" s="549">
        <v>0</v>
      </c>
      <c r="BC814" s="675">
        <v>0</v>
      </c>
      <c r="BD814" s="549">
        <v>0</v>
      </c>
      <c r="BE814" s="675">
        <v>0</v>
      </c>
      <c r="BF814" s="549">
        <v>0</v>
      </c>
      <c r="BG814" s="675">
        <v>0</v>
      </c>
      <c r="BH814" s="549">
        <v>0</v>
      </c>
      <c r="BI814" s="675">
        <v>0</v>
      </c>
      <c r="BJ814" s="549">
        <v>0</v>
      </c>
      <c r="BK814" s="675">
        <v>0</v>
      </c>
      <c r="BL814" s="549">
        <v>0</v>
      </c>
      <c r="BM814" s="675">
        <v>0</v>
      </c>
      <c r="BN814" s="549">
        <v>0</v>
      </c>
      <c r="BO814" s="675">
        <v>0</v>
      </c>
      <c r="BP814" s="549">
        <v>0</v>
      </c>
      <c r="BQ814" s="675">
        <v>0</v>
      </c>
      <c r="BR814" s="549">
        <v>0</v>
      </c>
      <c r="BS814" s="675">
        <v>0</v>
      </c>
      <c r="BT814" s="549">
        <v>0</v>
      </c>
      <c r="BU814" s="675">
        <v>0</v>
      </c>
      <c r="BV814" s="549">
        <v>0</v>
      </c>
      <c r="BW814" s="675">
        <v>0</v>
      </c>
      <c r="BX814" s="549">
        <v>0</v>
      </c>
      <c r="BY814" s="675">
        <v>0</v>
      </c>
      <c r="BZ814" s="549">
        <v>0</v>
      </c>
      <c r="CA814" s="675">
        <v>0</v>
      </c>
      <c r="CB814" s="549">
        <v>0</v>
      </c>
      <c r="CC814" s="675">
        <v>0</v>
      </c>
      <c r="CD814" s="549">
        <v>0</v>
      </c>
      <c r="CE814" s="675">
        <v>0</v>
      </c>
      <c r="CF814" s="549">
        <v>0</v>
      </c>
      <c r="CG814" s="675">
        <v>0</v>
      </c>
      <c r="CH814" s="549">
        <v>0</v>
      </c>
      <c r="CI814" s="675">
        <v>0</v>
      </c>
      <c r="CJ814" s="549">
        <v>0</v>
      </c>
      <c r="CK814" s="675">
        <v>0</v>
      </c>
      <c r="CL814" s="549">
        <v>0</v>
      </c>
      <c r="CM814" s="675">
        <v>0</v>
      </c>
      <c r="CN814" s="549">
        <v>0</v>
      </c>
      <c r="CO814" s="675">
        <v>0</v>
      </c>
      <c r="CP814" s="549">
        <v>0</v>
      </c>
      <c r="CQ814" s="675">
        <v>0</v>
      </c>
      <c r="CR814" s="549">
        <v>0</v>
      </c>
      <c r="CS814" s="675">
        <v>0</v>
      </c>
      <c r="CT814" s="549">
        <v>0</v>
      </c>
      <c r="CU814" s="675">
        <v>0</v>
      </c>
      <c r="CV814" s="549">
        <v>0</v>
      </c>
      <c r="CW814" s="675">
        <v>0</v>
      </c>
      <c r="CX814" s="549">
        <v>0</v>
      </c>
      <c r="CY814" s="675">
        <v>0</v>
      </c>
      <c r="CZ814" s="549">
        <v>0</v>
      </c>
      <c r="DA814" s="675">
        <v>0</v>
      </c>
      <c r="DB814" s="549">
        <v>0</v>
      </c>
      <c r="DC814" s="675">
        <v>0</v>
      </c>
      <c r="DD814" s="549">
        <v>0</v>
      </c>
      <c r="DE814" s="675">
        <v>0</v>
      </c>
      <c r="DF814" s="549">
        <v>0</v>
      </c>
      <c r="DG814" s="675">
        <v>0</v>
      </c>
      <c r="DH814" s="549">
        <v>0</v>
      </c>
      <c r="DI814" s="675">
        <v>0</v>
      </c>
      <c r="DJ814" s="549">
        <v>0</v>
      </c>
      <c r="DK814" s="675">
        <v>0</v>
      </c>
      <c r="DL814" s="549">
        <v>0</v>
      </c>
      <c r="DM814" s="675">
        <v>0</v>
      </c>
      <c r="DN814" s="549">
        <v>0</v>
      </c>
      <c r="DO814" s="675">
        <v>0</v>
      </c>
      <c r="DP814" s="549">
        <v>0</v>
      </c>
      <c r="DQ814" s="675">
        <v>0</v>
      </c>
      <c r="DR814" s="549">
        <v>0</v>
      </c>
      <c r="DS814" s="675">
        <v>0</v>
      </c>
      <c r="DT814" s="549">
        <v>0</v>
      </c>
      <c r="DU814" s="675">
        <v>0</v>
      </c>
      <c r="DV814" s="549">
        <v>0</v>
      </c>
      <c r="DW814" s="675">
        <v>0</v>
      </c>
      <c r="DX814" s="549">
        <v>0</v>
      </c>
      <c r="DY814" s="675">
        <v>0</v>
      </c>
      <c r="DZ814" s="549">
        <v>0</v>
      </c>
      <c r="EA814" s="675">
        <v>0</v>
      </c>
      <c r="EB814" s="549">
        <v>0</v>
      </c>
      <c r="EC814" s="675">
        <v>0</v>
      </c>
      <c r="ED814" s="549">
        <v>0</v>
      </c>
      <c r="EE814" s="675">
        <v>0</v>
      </c>
      <c r="EF814" s="549">
        <v>0</v>
      </c>
      <c r="EG814" s="675">
        <v>0</v>
      </c>
      <c r="EH814" s="549">
        <v>0</v>
      </c>
      <c r="EI814" s="675">
        <v>0</v>
      </c>
      <c r="EJ814" s="549">
        <v>0</v>
      </c>
      <c r="EK814" s="675">
        <v>0</v>
      </c>
      <c r="EL814" s="549">
        <v>0</v>
      </c>
      <c r="EM814" s="675">
        <v>0</v>
      </c>
      <c r="EN814" s="549">
        <v>0</v>
      </c>
      <c r="EO814" s="675">
        <v>0</v>
      </c>
      <c r="EP814" s="549">
        <v>0</v>
      </c>
      <c r="EQ814" s="675">
        <v>0</v>
      </c>
      <c r="ER814" s="549">
        <v>0</v>
      </c>
      <c r="ES814" s="675">
        <v>0</v>
      </c>
      <c r="ET814" s="549">
        <v>0</v>
      </c>
      <c r="EU814" s="675">
        <v>0</v>
      </c>
      <c r="EV814" s="549">
        <v>0</v>
      </c>
      <c r="EW814" s="675">
        <v>0</v>
      </c>
      <c r="EX814" s="549">
        <v>0</v>
      </c>
      <c r="EY814" s="675">
        <v>0</v>
      </c>
      <c r="EZ814" s="549">
        <v>0</v>
      </c>
      <c r="FA814" s="675">
        <v>0</v>
      </c>
      <c r="FB814" s="549">
        <v>0</v>
      </c>
      <c r="FC814" s="675">
        <v>0</v>
      </c>
      <c r="FD814" s="549">
        <v>0</v>
      </c>
      <c r="FE814" s="675">
        <v>0</v>
      </c>
      <c r="FF814" s="549">
        <v>0</v>
      </c>
      <c r="FG814" s="675">
        <v>0</v>
      </c>
      <c r="FH814" s="549">
        <v>0</v>
      </c>
      <c r="FI814" s="675">
        <v>0</v>
      </c>
      <c r="FJ814" s="549">
        <v>0</v>
      </c>
      <c r="FK814" s="675">
        <v>0</v>
      </c>
      <c r="FL814" s="549">
        <v>0</v>
      </c>
      <c r="FM814" s="675">
        <v>0</v>
      </c>
      <c r="FN814" s="549">
        <v>0</v>
      </c>
      <c r="FO814" s="675">
        <v>0</v>
      </c>
      <c r="FP814" s="549">
        <v>0</v>
      </c>
      <c r="FQ814" s="675">
        <v>0</v>
      </c>
      <c r="FR814" s="549">
        <v>0</v>
      </c>
      <c r="FS814" s="675">
        <v>0</v>
      </c>
      <c r="FT814" s="549">
        <v>0</v>
      </c>
      <c r="FU814" s="675">
        <v>0</v>
      </c>
      <c r="FV814" s="549">
        <v>0</v>
      </c>
      <c r="FW814" s="675">
        <v>0</v>
      </c>
      <c r="FX814" s="549">
        <v>0</v>
      </c>
      <c r="FY814" s="675">
        <v>0</v>
      </c>
      <c r="FZ814" s="549">
        <v>0</v>
      </c>
      <c r="GA814" s="675">
        <v>0</v>
      </c>
      <c r="GB814" s="549">
        <v>0</v>
      </c>
      <c r="GC814" s="675">
        <v>0</v>
      </c>
      <c r="GD814" s="549">
        <v>0</v>
      </c>
      <c r="GE814" s="675">
        <v>0</v>
      </c>
      <c r="GF814" s="549">
        <v>0</v>
      </c>
      <c r="GG814" s="675">
        <v>0</v>
      </c>
      <c r="GH814" s="549">
        <v>0</v>
      </c>
      <c r="GI814" s="675">
        <v>0</v>
      </c>
      <c r="GJ814" s="549">
        <v>0</v>
      </c>
      <c r="GK814" s="675">
        <v>0</v>
      </c>
      <c r="GL814" s="549">
        <v>0</v>
      </c>
      <c r="GM814" s="675">
        <v>0</v>
      </c>
      <c r="GN814" s="549">
        <v>0</v>
      </c>
      <c r="GO814" s="675">
        <v>0</v>
      </c>
      <c r="GP814" s="549">
        <f t="shared" si="17104"/>
        <v>0</v>
      </c>
      <c r="GQ814" s="675">
        <f t="shared" si="17105"/>
        <v>-10000</v>
      </c>
      <c r="GR814" s="74">
        <f t="shared" si="17106"/>
        <v>0</v>
      </c>
      <c r="GS814" s="74">
        <f t="shared" si="17107"/>
        <v>0</v>
      </c>
      <c r="GT814" s="568">
        <f t="shared" si="17108"/>
        <v>0</v>
      </c>
      <c r="GU814" s="275">
        <v>2000</v>
      </c>
      <c r="GV814" s="275">
        <v>8000</v>
      </c>
      <c r="GW814" s="588"/>
      <c r="GX814" s="275">
        <f>3000-3000</f>
        <v>0</v>
      </c>
      <c r="GY814" s="275"/>
      <c r="GZ814" s="275"/>
      <c r="HA814" s="275">
        <f>3000-3000</f>
        <v>0</v>
      </c>
      <c r="HB814" s="275"/>
      <c r="HC814" s="275"/>
      <c r="HD814" s="275">
        <f>2000-2000</f>
        <v>0</v>
      </c>
      <c r="HE814" s="275">
        <v>0</v>
      </c>
      <c r="HF814" s="275">
        <v>0</v>
      </c>
      <c r="HG814" s="74">
        <f t="shared" si="17109"/>
        <v>0</v>
      </c>
      <c r="HH814" s="89">
        <v>0</v>
      </c>
      <c r="HI814" s="157">
        <v>0</v>
      </c>
      <c r="HJ814" s="89">
        <v>0</v>
      </c>
      <c r="HK814" s="157">
        <v>0</v>
      </c>
      <c r="HL814" s="89">
        <v>0</v>
      </c>
      <c r="HM814" s="157">
        <v>10000</v>
      </c>
      <c r="HN814" s="89">
        <v>0</v>
      </c>
      <c r="HO814" s="157">
        <v>0</v>
      </c>
      <c r="HP814" s="89">
        <v>0</v>
      </c>
      <c r="HQ814" s="157">
        <v>0</v>
      </c>
      <c r="HR814" s="89">
        <v>0</v>
      </c>
      <c r="HS814" s="157">
        <v>0</v>
      </c>
      <c r="HT814" s="89">
        <v>0</v>
      </c>
      <c r="HU814" s="157">
        <v>0</v>
      </c>
      <c r="HV814" s="89">
        <v>0</v>
      </c>
      <c r="HW814" s="157">
        <v>0</v>
      </c>
      <c r="HX814" s="89">
        <v>0</v>
      </c>
      <c r="HY814" s="157">
        <v>0</v>
      </c>
      <c r="HZ814" s="89">
        <v>0</v>
      </c>
      <c r="IA814" s="157">
        <v>0</v>
      </c>
      <c r="IB814" s="89">
        <v>0</v>
      </c>
      <c r="IC814" s="157">
        <v>0</v>
      </c>
      <c r="ID814" s="89">
        <v>0</v>
      </c>
      <c r="IE814" s="157">
        <v>0</v>
      </c>
      <c r="IF814" s="717">
        <f t="shared" si="17110"/>
        <v>0</v>
      </c>
      <c r="IG814" s="263">
        <f t="shared" si="17111"/>
        <v>0</v>
      </c>
      <c r="IH814" s="718">
        <f t="shared" si="17112"/>
        <v>0</v>
      </c>
      <c r="II814" s="89">
        <v>0</v>
      </c>
      <c r="IJ814" s="89">
        <f t="shared" si="17113"/>
        <v>0</v>
      </c>
      <c r="IK814" s="89">
        <f t="shared" si="17114"/>
        <v>0</v>
      </c>
      <c r="IL814" s="89">
        <v>0</v>
      </c>
      <c r="IM814" s="89">
        <f t="shared" si="17115"/>
        <v>0</v>
      </c>
      <c r="IN814" s="89">
        <f t="shared" si="17116"/>
        <v>0</v>
      </c>
      <c r="IO814" s="89">
        <v>0</v>
      </c>
      <c r="IP814" s="89">
        <f t="shared" si="17117"/>
        <v>0</v>
      </c>
      <c r="IQ814" s="89">
        <f t="shared" si="17118"/>
        <v>0</v>
      </c>
      <c r="IR814" s="89">
        <v>0</v>
      </c>
      <c r="IS814" s="89">
        <f t="shared" si="17119"/>
        <v>0</v>
      </c>
      <c r="IT814" s="89">
        <f t="shared" si="17120"/>
        <v>0</v>
      </c>
      <c r="IU814" s="89">
        <v>0</v>
      </c>
      <c r="IV814" s="89">
        <f t="shared" si="17121"/>
        <v>0</v>
      </c>
      <c r="IW814" s="89">
        <f t="shared" si="17122"/>
        <v>0</v>
      </c>
      <c r="IX814" s="89">
        <v>0</v>
      </c>
      <c r="IY814" s="89">
        <f t="shared" si="17123"/>
        <v>0</v>
      </c>
      <c r="IZ814" s="89">
        <f t="shared" si="17124"/>
        <v>0</v>
      </c>
      <c r="JA814" s="89">
        <v>0</v>
      </c>
      <c r="JB814" s="89">
        <f t="shared" si="17125"/>
        <v>0</v>
      </c>
      <c r="JC814" s="89">
        <f t="shared" si="17126"/>
        <v>0</v>
      </c>
      <c r="JD814" s="89">
        <v>0</v>
      </c>
      <c r="JE814" s="89">
        <f t="shared" si="17127"/>
        <v>0</v>
      </c>
      <c r="JF814" s="89">
        <f t="shared" si="17128"/>
        <v>0</v>
      </c>
      <c r="JG814" s="89">
        <v>0</v>
      </c>
      <c r="JH814" s="89">
        <f t="shared" si="17129"/>
        <v>0</v>
      </c>
      <c r="JI814" s="89">
        <f t="shared" si="17130"/>
        <v>0</v>
      </c>
      <c r="JJ814" s="89">
        <v>0</v>
      </c>
      <c r="JK814" s="89">
        <f t="shared" si="17131"/>
        <v>0</v>
      </c>
      <c r="JL814" s="89">
        <f t="shared" si="17132"/>
        <v>0</v>
      </c>
      <c r="JM814" s="89">
        <v>0</v>
      </c>
      <c r="JN814" s="89">
        <f t="shared" si="17133"/>
        <v>0</v>
      </c>
      <c r="JO814" s="89">
        <f t="shared" si="17134"/>
        <v>0</v>
      </c>
      <c r="JP814" s="89">
        <v>0</v>
      </c>
      <c r="JQ814" s="89">
        <f t="shared" ref="JQ814:JR814" si="17161">JP814</f>
        <v>0</v>
      </c>
      <c r="JR814" s="89">
        <f t="shared" si="17161"/>
        <v>0</v>
      </c>
      <c r="JS814" s="74">
        <f t="shared" si="17136"/>
        <v>0</v>
      </c>
      <c r="JT814" s="382">
        <f t="shared" si="17137"/>
        <v>0</v>
      </c>
      <c r="JU814" s="665"/>
      <c r="JV814" s="524"/>
      <c r="JW814" s="525"/>
      <c r="JX814" s="549">
        <f t="shared" si="17138"/>
        <v>0</v>
      </c>
      <c r="JY814" s="549">
        <f t="shared" si="17138"/>
        <v>10000</v>
      </c>
      <c r="JZ814" s="581">
        <f t="shared" si="16466"/>
        <v>0</v>
      </c>
      <c r="KA814" s="581">
        <f t="shared" si="16467"/>
        <v>-10000</v>
      </c>
      <c r="KB814" s="566">
        <f t="shared" si="17031"/>
        <v>0</v>
      </c>
      <c r="KC814" s="709">
        <f t="shared" si="16464"/>
        <v>0</v>
      </c>
      <c r="KD814" s="491"/>
      <c r="KE814" s="491"/>
      <c r="KF814" s="491"/>
      <c r="KG814" s="491"/>
      <c r="KH814" s="36"/>
      <c r="KI814" s="36"/>
      <c r="KJ814" s="36"/>
      <c r="KK814" s="36"/>
    </row>
    <row r="815" spans="1:297" s="10" customFormat="1" ht="12.75" hidden="1" customHeight="1">
      <c r="A815" s="612" t="s">
        <v>756</v>
      </c>
      <c r="B815" s="512" t="s">
        <v>181</v>
      </c>
      <c r="C815" s="74">
        <v>0</v>
      </c>
      <c r="D815" s="549">
        <v>0</v>
      </c>
      <c r="E815" s="675">
        <v>0</v>
      </c>
      <c r="F815" s="549">
        <v>0</v>
      </c>
      <c r="G815" s="675">
        <v>0</v>
      </c>
      <c r="H815" s="549">
        <v>0</v>
      </c>
      <c r="I815" s="675">
        <v>0</v>
      </c>
      <c r="J815" s="549">
        <v>0</v>
      </c>
      <c r="K815" s="675">
        <v>0</v>
      </c>
      <c r="L815" s="549">
        <v>0</v>
      </c>
      <c r="M815" s="675">
        <v>0</v>
      </c>
      <c r="N815" s="549">
        <v>0</v>
      </c>
      <c r="O815" s="675">
        <v>0</v>
      </c>
      <c r="P815" s="549">
        <v>0</v>
      </c>
      <c r="Q815" s="675">
        <v>0</v>
      </c>
      <c r="R815" s="549">
        <v>0</v>
      </c>
      <c r="S815" s="675">
        <v>0</v>
      </c>
      <c r="T815" s="549">
        <v>0</v>
      </c>
      <c r="U815" s="675">
        <v>0</v>
      </c>
      <c r="V815" s="549">
        <v>0</v>
      </c>
      <c r="W815" s="675">
        <v>0</v>
      </c>
      <c r="X815" s="549">
        <v>0</v>
      </c>
      <c r="Y815" s="675">
        <v>0</v>
      </c>
      <c r="Z815" s="549">
        <v>0</v>
      </c>
      <c r="AA815" s="675">
        <v>0</v>
      </c>
      <c r="AB815" s="549">
        <v>0</v>
      </c>
      <c r="AC815" s="675">
        <v>0</v>
      </c>
      <c r="AD815" s="549">
        <v>0</v>
      </c>
      <c r="AE815" s="675">
        <v>0</v>
      </c>
      <c r="AF815" s="549">
        <v>0</v>
      </c>
      <c r="AG815" s="675">
        <v>0</v>
      </c>
      <c r="AH815" s="549">
        <v>0</v>
      </c>
      <c r="AI815" s="675">
        <v>0</v>
      </c>
      <c r="AJ815" s="549">
        <v>0</v>
      </c>
      <c r="AK815" s="675">
        <v>0</v>
      </c>
      <c r="AL815" s="549">
        <v>0</v>
      </c>
      <c r="AM815" s="675">
        <v>0</v>
      </c>
      <c r="AN815" s="549">
        <v>0</v>
      </c>
      <c r="AO815" s="675">
        <v>0</v>
      </c>
      <c r="AP815" s="549">
        <v>0</v>
      </c>
      <c r="AQ815" s="675">
        <v>0</v>
      </c>
      <c r="AR815" s="549">
        <v>0</v>
      </c>
      <c r="AS815" s="675">
        <v>0</v>
      </c>
      <c r="AT815" s="549">
        <v>0</v>
      </c>
      <c r="AU815" s="675">
        <v>0</v>
      </c>
      <c r="AV815" s="549">
        <v>0</v>
      </c>
      <c r="AW815" s="675">
        <v>0</v>
      </c>
      <c r="AX815" s="549">
        <v>0</v>
      </c>
      <c r="AY815" s="675">
        <v>0</v>
      </c>
      <c r="AZ815" s="549">
        <v>0</v>
      </c>
      <c r="BA815" s="675">
        <v>0</v>
      </c>
      <c r="BB815" s="549">
        <v>0</v>
      </c>
      <c r="BC815" s="675">
        <v>0</v>
      </c>
      <c r="BD815" s="549">
        <v>0</v>
      </c>
      <c r="BE815" s="675">
        <v>0</v>
      </c>
      <c r="BF815" s="549">
        <v>0</v>
      </c>
      <c r="BG815" s="675">
        <v>0</v>
      </c>
      <c r="BH815" s="549">
        <v>0</v>
      </c>
      <c r="BI815" s="675">
        <v>0</v>
      </c>
      <c r="BJ815" s="549">
        <v>0</v>
      </c>
      <c r="BK815" s="675">
        <v>0</v>
      </c>
      <c r="BL815" s="549">
        <v>0</v>
      </c>
      <c r="BM815" s="675">
        <v>0</v>
      </c>
      <c r="BN815" s="549">
        <v>0</v>
      </c>
      <c r="BO815" s="675">
        <v>0</v>
      </c>
      <c r="BP815" s="549">
        <v>0</v>
      </c>
      <c r="BQ815" s="675">
        <v>0</v>
      </c>
      <c r="BR815" s="549">
        <v>0</v>
      </c>
      <c r="BS815" s="675">
        <v>0</v>
      </c>
      <c r="BT815" s="549">
        <v>0</v>
      </c>
      <c r="BU815" s="675">
        <v>0</v>
      </c>
      <c r="BV815" s="549">
        <v>0</v>
      </c>
      <c r="BW815" s="675">
        <v>0</v>
      </c>
      <c r="BX815" s="549">
        <v>0</v>
      </c>
      <c r="BY815" s="675">
        <v>0</v>
      </c>
      <c r="BZ815" s="549">
        <v>0</v>
      </c>
      <c r="CA815" s="675">
        <v>0</v>
      </c>
      <c r="CB815" s="549">
        <v>0</v>
      </c>
      <c r="CC815" s="675">
        <v>0</v>
      </c>
      <c r="CD815" s="549">
        <v>0</v>
      </c>
      <c r="CE815" s="675">
        <v>0</v>
      </c>
      <c r="CF815" s="549">
        <v>0</v>
      </c>
      <c r="CG815" s="675">
        <v>0</v>
      </c>
      <c r="CH815" s="549">
        <v>0</v>
      </c>
      <c r="CI815" s="675">
        <v>0</v>
      </c>
      <c r="CJ815" s="549">
        <v>0</v>
      </c>
      <c r="CK815" s="675">
        <v>0</v>
      </c>
      <c r="CL815" s="549">
        <v>0</v>
      </c>
      <c r="CM815" s="675">
        <v>0</v>
      </c>
      <c r="CN815" s="549">
        <v>0</v>
      </c>
      <c r="CO815" s="675">
        <v>0</v>
      </c>
      <c r="CP815" s="549">
        <v>0</v>
      </c>
      <c r="CQ815" s="675">
        <v>0</v>
      </c>
      <c r="CR815" s="549">
        <v>0</v>
      </c>
      <c r="CS815" s="675">
        <v>0</v>
      </c>
      <c r="CT815" s="549">
        <v>0</v>
      </c>
      <c r="CU815" s="675">
        <v>0</v>
      </c>
      <c r="CV815" s="549">
        <v>0</v>
      </c>
      <c r="CW815" s="675">
        <v>0</v>
      </c>
      <c r="CX815" s="549">
        <v>0</v>
      </c>
      <c r="CY815" s="675">
        <v>0</v>
      </c>
      <c r="CZ815" s="549">
        <v>0</v>
      </c>
      <c r="DA815" s="675">
        <v>0</v>
      </c>
      <c r="DB815" s="549">
        <v>0</v>
      </c>
      <c r="DC815" s="675">
        <v>0</v>
      </c>
      <c r="DD815" s="549">
        <v>0</v>
      </c>
      <c r="DE815" s="675">
        <v>0</v>
      </c>
      <c r="DF815" s="549">
        <v>0</v>
      </c>
      <c r="DG815" s="675">
        <v>0</v>
      </c>
      <c r="DH815" s="549">
        <v>0</v>
      </c>
      <c r="DI815" s="675">
        <v>0</v>
      </c>
      <c r="DJ815" s="549">
        <v>0</v>
      </c>
      <c r="DK815" s="675">
        <v>0</v>
      </c>
      <c r="DL815" s="549">
        <v>0</v>
      </c>
      <c r="DM815" s="675">
        <v>0</v>
      </c>
      <c r="DN815" s="549">
        <v>0</v>
      </c>
      <c r="DO815" s="675">
        <v>0</v>
      </c>
      <c r="DP815" s="549">
        <v>0</v>
      </c>
      <c r="DQ815" s="675">
        <v>0</v>
      </c>
      <c r="DR815" s="549">
        <v>0</v>
      </c>
      <c r="DS815" s="675">
        <v>0</v>
      </c>
      <c r="DT815" s="549">
        <v>0</v>
      </c>
      <c r="DU815" s="675">
        <v>0</v>
      </c>
      <c r="DV815" s="549">
        <v>0</v>
      </c>
      <c r="DW815" s="675">
        <v>0</v>
      </c>
      <c r="DX815" s="549">
        <v>0</v>
      </c>
      <c r="DY815" s="675">
        <v>0</v>
      </c>
      <c r="DZ815" s="549">
        <v>0</v>
      </c>
      <c r="EA815" s="675">
        <v>0</v>
      </c>
      <c r="EB815" s="549">
        <v>0</v>
      </c>
      <c r="EC815" s="675">
        <v>0</v>
      </c>
      <c r="ED815" s="549">
        <v>0</v>
      </c>
      <c r="EE815" s="675">
        <v>0</v>
      </c>
      <c r="EF815" s="549">
        <v>0</v>
      </c>
      <c r="EG815" s="675">
        <v>0</v>
      </c>
      <c r="EH815" s="549">
        <v>0</v>
      </c>
      <c r="EI815" s="675">
        <v>0</v>
      </c>
      <c r="EJ815" s="549">
        <v>0</v>
      </c>
      <c r="EK815" s="675">
        <v>0</v>
      </c>
      <c r="EL815" s="549">
        <v>0</v>
      </c>
      <c r="EM815" s="675">
        <v>0</v>
      </c>
      <c r="EN815" s="549">
        <v>0</v>
      </c>
      <c r="EO815" s="675">
        <v>0</v>
      </c>
      <c r="EP815" s="549">
        <v>0</v>
      </c>
      <c r="EQ815" s="675">
        <v>0</v>
      </c>
      <c r="ER815" s="549">
        <v>0</v>
      </c>
      <c r="ES815" s="675">
        <v>0</v>
      </c>
      <c r="ET815" s="549">
        <v>0</v>
      </c>
      <c r="EU815" s="675">
        <v>0</v>
      </c>
      <c r="EV815" s="549">
        <v>0</v>
      </c>
      <c r="EW815" s="675">
        <v>0</v>
      </c>
      <c r="EX815" s="549">
        <v>0</v>
      </c>
      <c r="EY815" s="675">
        <v>0</v>
      </c>
      <c r="EZ815" s="549">
        <v>0</v>
      </c>
      <c r="FA815" s="675">
        <v>0</v>
      </c>
      <c r="FB815" s="549">
        <v>0</v>
      </c>
      <c r="FC815" s="675">
        <v>0</v>
      </c>
      <c r="FD815" s="549">
        <v>0</v>
      </c>
      <c r="FE815" s="675">
        <v>0</v>
      </c>
      <c r="FF815" s="549">
        <v>0</v>
      </c>
      <c r="FG815" s="675">
        <v>0</v>
      </c>
      <c r="FH815" s="549">
        <v>0</v>
      </c>
      <c r="FI815" s="675">
        <v>0</v>
      </c>
      <c r="FJ815" s="549">
        <v>0</v>
      </c>
      <c r="FK815" s="675">
        <v>0</v>
      </c>
      <c r="FL815" s="549">
        <v>0</v>
      </c>
      <c r="FM815" s="675">
        <v>0</v>
      </c>
      <c r="FN815" s="549">
        <v>0</v>
      </c>
      <c r="FO815" s="675">
        <v>0</v>
      </c>
      <c r="FP815" s="549">
        <v>0</v>
      </c>
      <c r="FQ815" s="675">
        <v>0</v>
      </c>
      <c r="FR815" s="549">
        <v>0</v>
      </c>
      <c r="FS815" s="675">
        <v>0</v>
      </c>
      <c r="FT815" s="549">
        <v>0</v>
      </c>
      <c r="FU815" s="675">
        <v>0</v>
      </c>
      <c r="FV815" s="549">
        <v>0</v>
      </c>
      <c r="FW815" s="675">
        <v>0</v>
      </c>
      <c r="FX815" s="549">
        <v>0</v>
      </c>
      <c r="FY815" s="675">
        <v>0</v>
      </c>
      <c r="FZ815" s="549">
        <v>0</v>
      </c>
      <c r="GA815" s="675">
        <v>0</v>
      </c>
      <c r="GB815" s="549">
        <v>0</v>
      </c>
      <c r="GC815" s="675">
        <v>0</v>
      </c>
      <c r="GD815" s="549">
        <v>0</v>
      </c>
      <c r="GE815" s="675">
        <v>0</v>
      </c>
      <c r="GF815" s="549">
        <v>0</v>
      </c>
      <c r="GG815" s="675">
        <v>0</v>
      </c>
      <c r="GH815" s="549">
        <v>0</v>
      </c>
      <c r="GI815" s="675">
        <v>0</v>
      </c>
      <c r="GJ815" s="549">
        <v>0</v>
      </c>
      <c r="GK815" s="675">
        <v>0</v>
      </c>
      <c r="GL815" s="549">
        <v>0</v>
      </c>
      <c r="GM815" s="675">
        <v>0</v>
      </c>
      <c r="GN815" s="549">
        <v>0</v>
      </c>
      <c r="GO815" s="675">
        <v>0</v>
      </c>
      <c r="GP815" s="549">
        <f t="shared" si="17104"/>
        <v>0</v>
      </c>
      <c r="GQ815" s="675">
        <f t="shared" si="17105"/>
        <v>0</v>
      </c>
      <c r="GR815" s="74">
        <f t="shared" si="17106"/>
        <v>0</v>
      </c>
      <c r="GS815" s="74">
        <f t="shared" si="17107"/>
        <v>0</v>
      </c>
      <c r="GT815" s="568">
        <f t="shared" si="17108"/>
        <v>0</v>
      </c>
      <c r="GU815" s="275"/>
      <c r="GV815" s="275"/>
      <c r="GW815" s="588"/>
      <c r="GX815" s="275"/>
      <c r="GY815" s="275"/>
      <c r="GZ815" s="275"/>
      <c r="HA815" s="275"/>
      <c r="HB815" s="275"/>
      <c r="HC815" s="275"/>
      <c r="HD815" s="275"/>
      <c r="HE815" s="275">
        <v>0</v>
      </c>
      <c r="HF815" s="275">
        <v>0</v>
      </c>
      <c r="HG815" s="74">
        <f t="shared" si="17109"/>
        <v>0</v>
      </c>
      <c r="HH815" s="89">
        <v>0</v>
      </c>
      <c r="HI815" s="157">
        <v>0</v>
      </c>
      <c r="HJ815" s="89">
        <v>0</v>
      </c>
      <c r="HK815" s="157">
        <v>0</v>
      </c>
      <c r="HL815" s="89">
        <v>0</v>
      </c>
      <c r="HM815" s="157">
        <v>0</v>
      </c>
      <c r="HN815" s="89">
        <v>0</v>
      </c>
      <c r="HO815" s="157">
        <v>0</v>
      </c>
      <c r="HP815" s="89">
        <v>0</v>
      </c>
      <c r="HQ815" s="157">
        <v>0</v>
      </c>
      <c r="HR815" s="89">
        <v>0</v>
      </c>
      <c r="HS815" s="157">
        <v>0</v>
      </c>
      <c r="HT815" s="89">
        <v>0</v>
      </c>
      <c r="HU815" s="157">
        <v>0</v>
      </c>
      <c r="HV815" s="89">
        <v>0</v>
      </c>
      <c r="HW815" s="157">
        <v>0</v>
      </c>
      <c r="HX815" s="89">
        <v>0</v>
      </c>
      <c r="HY815" s="157">
        <v>0</v>
      </c>
      <c r="HZ815" s="89">
        <v>0</v>
      </c>
      <c r="IA815" s="157">
        <v>0</v>
      </c>
      <c r="IB815" s="89">
        <v>0</v>
      </c>
      <c r="IC815" s="157">
        <v>0</v>
      </c>
      <c r="ID815" s="89">
        <v>0</v>
      </c>
      <c r="IE815" s="157">
        <v>0</v>
      </c>
      <c r="IF815" s="717">
        <f t="shared" si="17110"/>
        <v>0</v>
      </c>
      <c r="IG815" s="263">
        <f t="shared" si="17111"/>
        <v>0</v>
      </c>
      <c r="IH815" s="718">
        <f t="shared" si="17112"/>
        <v>0</v>
      </c>
      <c r="II815" s="89">
        <v>0</v>
      </c>
      <c r="IJ815" s="89">
        <f t="shared" si="17113"/>
        <v>0</v>
      </c>
      <c r="IK815" s="89">
        <f t="shared" si="17114"/>
        <v>0</v>
      </c>
      <c r="IL815" s="89">
        <v>0</v>
      </c>
      <c r="IM815" s="89">
        <f t="shared" si="17115"/>
        <v>0</v>
      </c>
      <c r="IN815" s="89">
        <f t="shared" si="17116"/>
        <v>0</v>
      </c>
      <c r="IO815" s="89">
        <v>0</v>
      </c>
      <c r="IP815" s="89">
        <f t="shared" si="17117"/>
        <v>0</v>
      </c>
      <c r="IQ815" s="89">
        <f t="shared" si="17118"/>
        <v>0</v>
      </c>
      <c r="IR815" s="89">
        <v>0</v>
      </c>
      <c r="IS815" s="89">
        <f t="shared" si="17119"/>
        <v>0</v>
      </c>
      <c r="IT815" s="89">
        <f t="shared" si="17120"/>
        <v>0</v>
      </c>
      <c r="IU815" s="89">
        <v>0</v>
      </c>
      <c r="IV815" s="89">
        <f t="shared" si="17121"/>
        <v>0</v>
      </c>
      <c r="IW815" s="89">
        <f t="shared" si="17122"/>
        <v>0</v>
      </c>
      <c r="IX815" s="89">
        <v>0</v>
      </c>
      <c r="IY815" s="89">
        <f t="shared" si="17123"/>
        <v>0</v>
      </c>
      <c r="IZ815" s="89">
        <f t="shared" si="17124"/>
        <v>0</v>
      </c>
      <c r="JA815" s="89">
        <v>0</v>
      </c>
      <c r="JB815" s="89">
        <f t="shared" si="17125"/>
        <v>0</v>
      </c>
      <c r="JC815" s="89">
        <f t="shared" si="17126"/>
        <v>0</v>
      </c>
      <c r="JD815" s="89">
        <v>0</v>
      </c>
      <c r="JE815" s="89">
        <f t="shared" si="17127"/>
        <v>0</v>
      </c>
      <c r="JF815" s="89">
        <f t="shared" si="17128"/>
        <v>0</v>
      </c>
      <c r="JG815" s="89">
        <v>0</v>
      </c>
      <c r="JH815" s="89">
        <f t="shared" si="17129"/>
        <v>0</v>
      </c>
      <c r="JI815" s="89">
        <f t="shared" si="17130"/>
        <v>0</v>
      </c>
      <c r="JJ815" s="89">
        <v>0</v>
      </c>
      <c r="JK815" s="89">
        <f t="shared" si="17131"/>
        <v>0</v>
      </c>
      <c r="JL815" s="89">
        <f t="shared" si="17132"/>
        <v>0</v>
      </c>
      <c r="JM815" s="89">
        <v>0</v>
      </c>
      <c r="JN815" s="89">
        <f t="shared" si="17133"/>
        <v>0</v>
      </c>
      <c r="JO815" s="89">
        <f t="shared" si="17134"/>
        <v>0</v>
      </c>
      <c r="JP815" s="89">
        <v>0</v>
      </c>
      <c r="JQ815" s="89">
        <f t="shared" ref="JQ815:JR815" si="17162">JP815</f>
        <v>0</v>
      </c>
      <c r="JR815" s="89">
        <f t="shared" si="17162"/>
        <v>0</v>
      </c>
      <c r="JS815" s="74">
        <f t="shared" si="17136"/>
        <v>0</v>
      </c>
      <c r="JT815" s="382">
        <f t="shared" si="17137"/>
        <v>0</v>
      </c>
      <c r="JU815" s="665"/>
      <c r="JV815" s="524"/>
      <c r="JW815" s="525"/>
      <c r="JX815" s="549">
        <f t="shared" si="17138"/>
        <v>0</v>
      </c>
      <c r="JY815" s="549">
        <f t="shared" si="17138"/>
        <v>0</v>
      </c>
      <c r="JZ815" s="581">
        <f t="shared" si="16466"/>
        <v>0</v>
      </c>
      <c r="KA815" s="581">
        <f t="shared" si="16467"/>
        <v>0</v>
      </c>
      <c r="KB815" s="566">
        <f t="shared" si="17031"/>
        <v>0</v>
      </c>
      <c r="KC815" s="709">
        <f t="shared" si="16464"/>
        <v>0</v>
      </c>
      <c r="KD815" s="491"/>
      <c r="KE815" s="491"/>
      <c r="KF815" s="491"/>
      <c r="KG815" s="491"/>
      <c r="KH815" s="36"/>
      <c r="KI815" s="36"/>
      <c r="KJ815" s="36"/>
      <c r="KK815" s="36"/>
    </row>
    <row r="816" spans="1:297" s="10" customFormat="1">
      <c r="A816" s="612" t="s">
        <v>671</v>
      </c>
      <c r="B816" s="512" t="s">
        <v>996</v>
      </c>
      <c r="C816" s="74">
        <v>20000</v>
      </c>
      <c r="D816" s="549">
        <v>0</v>
      </c>
      <c r="E816" s="675">
        <v>0</v>
      </c>
      <c r="F816" s="549">
        <v>0</v>
      </c>
      <c r="G816" s="675">
        <v>0</v>
      </c>
      <c r="H816" s="549">
        <v>0</v>
      </c>
      <c r="I816" s="675">
        <v>0</v>
      </c>
      <c r="J816" s="549">
        <v>0</v>
      </c>
      <c r="K816" s="675">
        <v>0</v>
      </c>
      <c r="L816" s="549">
        <v>0</v>
      </c>
      <c r="M816" s="675">
        <v>0</v>
      </c>
      <c r="N816" s="549">
        <v>0</v>
      </c>
      <c r="O816" s="675">
        <v>0</v>
      </c>
      <c r="P816" s="549">
        <v>0</v>
      </c>
      <c r="Q816" s="675">
        <v>0</v>
      </c>
      <c r="R816" s="549">
        <v>0</v>
      </c>
      <c r="S816" s="675">
        <v>0</v>
      </c>
      <c r="T816" s="549">
        <v>0</v>
      </c>
      <c r="U816" s="675">
        <v>0</v>
      </c>
      <c r="V816" s="549">
        <v>0</v>
      </c>
      <c r="W816" s="675">
        <v>0</v>
      </c>
      <c r="X816" s="549">
        <v>0</v>
      </c>
      <c r="Y816" s="675">
        <v>0</v>
      </c>
      <c r="Z816" s="549">
        <v>0</v>
      </c>
      <c r="AA816" s="675">
        <v>0</v>
      </c>
      <c r="AB816" s="549">
        <v>0</v>
      </c>
      <c r="AC816" s="675">
        <v>0</v>
      </c>
      <c r="AD816" s="549">
        <v>0</v>
      </c>
      <c r="AE816" s="675">
        <v>0</v>
      </c>
      <c r="AF816" s="549">
        <v>0</v>
      </c>
      <c r="AG816" s="675">
        <v>0</v>
      </c>
      <c r="AH816" s="549">
        <v>0</v>
      </c>
      <c r="AI816" s="675">
        <v>0</v>
      </c>
      <c r="AJ816" s="549">
        <v>0</v>
      </c>
      <c r="AK816" s="675">
        <v>0</v>
      </c>
      <c r="AL816" s="549">
        <v>0</v>
      </c>
      <c r="AM816" s="675">
        <v>0</v>
      </c>
      <c r="AN816" s="549">
        <v>0</v>
      </c>
      <c r="AO816" s="675">
        <v>0</v>
      </c>
      <c r="AP816" s="549">
        <v>0</v>
      </c>
      <c r="AQ816" s="675">
        <v>0</v>
      </c>
      <c r="AR816" s="549">
        <v>0</v>
      </c>
      <c r="AS816" s="675">
        <v>0</v>
      </c>
      <c r="AT816" s="549">
        <v>0</v>
      </c>
      <c r="AU816" s="675">
        <v>0</v>
      </c>
      <c r="AV816" s="549">
        <v>0</v>
      </c>
      <c r="AW816" s="675">
        <v>0</v>
      </c>
      <c r="AX816" s="549">
        <v>0</v>
      </c>
      <c r="AY816" s="675">
        <v>0</v>
      </c>
      <c r="AZ816" s="549">
        <v>0</v>
      </c>
      <c r="BA816" s="675">
        <v>0</v>
      </c>
      <c r="BB816" s="549">
        <v>0</v>
      </c>
      <c r="BC816" s="675">
        <v>-10000</v>
      </c>
      <c r="BD816" s="549">
        <v>0</v>
      </c>
      <c r="BE816" s="675">
        <v>0</v>
      </c>
      <c r="BF816" s="549">
        <v>0</v>
      </c>
      <c r="BG816" s="675">
        <v>0</v>
      </c>
      <c r="BH816" s="549">
        <v>0</v>
      </c>
      <c r="BI816" s="675">
        <v>0</v>
      </c>
      <c r="BJ816" s="549">
        <v>0</v>
      </c>
      <c r="BK816" s="675">
        <v>0</v>
      </c>
      <c r="BL816" s="549">
        <v>0</v>
      </c>
      <c r="BM816" s="675">
        <v>0</v>
      </c>
      <c r="BN816" s="549">
        <v>0</v>
      </c>
      <c r="BO816" s="675">
        <v>0</v>
      </c>
      <c r="BP816" s="549">
        <v>0</v>
      </c>
      <c r="BQ816" s="675">
        <v>0</v>
      </c>
      <c r="BR816" s="549">
        <v>0</v>
      </c>
      <c r="BS816" s="675">
        <v>0</v>
      </c>
      <c r="BT816" s="549">
        <v>0</v>
      </c>
      <c r="BU816" s="675">
        <v>0</v>
      </c>
      <c r="BV816" s="549">
        <v>0</v>
      </c>
      <c r="BW816" s="675">
        <v>0</v>
      </c>
      <c r="BX816" s="549">
        <v>0</v>
      </c>
      <c r="BY816" s="675">
        <v>0</v>
      </c>
      <c r="BZ816" s="549">
        <v>0</v>
      </c>
      <c r="CA816" s="675">
        <v>0</v>
      </c>
      <c r="CB816" s="549">
        <v>0</v>
      </c>
      <c r="CC816" s="675">
        <v>0</v>
      </c>
      <c r="CD816" s="549">
        <v>0</v>
      </c>
      <c r="CE816" s="675">
        <v>0</v>
      </c>
      <c r="CF816" s="549">
        <v>0</v>
      </c>
      <c r="CG816" s="675">
        <v>0</v>
      </c>
      <c r="CH816" s="549">
        <v>0</v>
      </c>
      <c r="CI816" s="675">
        <v>0</v>
      </c>
      <c r="CJ816" s="549">
        <v>0</v>
      </c>
      <c r="CK816" s="675">
        <v>0</v>
      </c>
      <c r="CL816" s="549">
        <v>0</v>
      </c>
      <c r="CM816" s="675">
        <v>0</v>
      </c>
      <c r="CN816" s="549">
        <v>0</v>
      </c>
      <c r="CO816" s="675">
        <v>0</v>
      </c>
      <c r="CP816" s="549">
        <v>0</v>
      </c>
      <c r="CQ816" s="675">
        <v>0</v>
      </c>
      <c r="CR816" s="549">
        <v>0</v>
      </c>
      <c r="CS816" s="675">
        <v>0</v>
      </c>
      <c r="CT816" s="549">
        <v>0</v>
      </c>
      <c r="CU816" s="675">
        <v>0</v>
      </c>
      <c r="CV816" s="549">
        <v>0</v>
      </c>
      <c r="CW816" s="675">
        <v>0</v>
      </c>
      <c r="CX816" s="549">
        <v>0</v>
      </c>
      <c r="CY816" s="675">
        <v>0</v>
      </c>
      <c r="CZ816" s="549">
        <v>0</v>
      </c>
      <c r="DA816" s="675">
        <v>0</v>
      </c>
      <c r="DB816" s="549">
        <v>0</v>
      </c>
      <c r="DC816" s="675">
        <v>-10000</v>
      </c>
      <c r="DD816" s="549">
        <v>0</v>
      </c>
      <c r="DE816" s="675">
        <v>0</v>
      </c>
      <c r="DF816" s="549">
        <v>0</v>
      </c>
      <c r="DG816" s="675">
        <v>0</v>
      </c>
      <c r="DH816" s="549">
        <v>0</v>
      </c>
      <c r="DI816" s="675">
        <v>0</v>
      </c>
      <c r="DJ816" s="549">
        <v>0</v>
      </c>
      <c r="DK816" s="675">
        <v>0</v>
      </c>
      <c r="DL816" s="549">
        <v>0</v>
      </c>
      <c r="DM816" s="675">
        <v>0</v>
      </c>
      <c r="DN816" s="549">
        <v>0</v>
      </c>
      <c r="DO816" s="675">
        <v>0</v>
      </c>
      <c r="DP816" s="549">
        <v>0</v>
      </c>
      <c r="DQ816" s="675">
        <v>0</v>
      </c>
      <c r="DR816" s="549">
        <v>0</v>
      </c>
      <c r="DS816" s="675">
        <v>0</v>
      </c>
      <c r="DT816" s="549">
        <v>0</v>
      </c>
      <c r="DU816" s="675">
        <v>0</v>
      </c>
      <c r="DV816" s="549">
        <v>0</v>
      </c>
      <c r="DW816" s="675">
        <v>0</v>
      </c>
      <c r="DX816" s="549">
        <v>0</v>
      </c>
      <c r="DY816" s="675">
        <v>0</v>
      </c>
      <c r="DZ816" s="549">
        <v>0</v>
      </c>
      <c r="EA816" s="675">
        <v>0</v>
      </c>
      <c r="EB816" s="549">
        <v>0</v>
      </c>
      <c r="EC816" s="675">
        <v>0</v>
      </c>
      <c r="ED816" s="549">
        <v>0</v>
      </c>
      <c r="EE816" s="675">
        <v>0</v>
      </c>
      <c r="EF816" s="549">
        <v>0</v>
      </c>
      <c r="EG816" s="675">
        <v>0</v>
      </c>
      <c r="EH816" s="549">
        <v>0</v>
      </c>
      <c r="EI816" s="675">
        <v>0</v>
      </c>
      <c r="EJ816" s="549">
        <v>0</v>
      </c>
      <c r="EK816" s="675">
        <v>0</v>
      </c>
      <c r="EL816" s="549">
        <v>0</v>
      </c>
      <c r="EM816" s="675">
        <v>0</v>
      </c>
      <c r="EN816" s="549">
        <v>0</v>
      </c>
      <c r="EO816" s="675">
        <v>0</v>
      </c>
      <c r="EP816" s="549">
        <v>0</v>
      </c>
      <c r="EQ816" s="675">
        <v>0</v>
      </c>
      <c r="ER816" s="549">
        <v>0</v>
      </c>
      <c r="ES816" s="675">
        <v>0</v>
      </c>
      <c r="ET816" s="549">
        <v>0</v>
      </c>
      <c r="EU816" s="675">
        <v>0</v>
      </c>
      <c r="EV816" s="549">
        <v>0</v>
      </c>
      <c r="EW816" s="675">
        <v>0</v>
      </c>
      <c r="EX816" s="549">
        <v>0</v>
      </c>
      <c r="EY816" s="675">
        <v>0</v>
      </c>
      <c r="EZ816" s="549">
        <v>0</v>
      </c>
      <c r="FA816" s="675">
        <v>0</v>
      </c>
      <c r="FB816" s="549">
        <v>0</v>
      </c>
      <c r="FC816" s="675">
        <v>0</v>
      </c>
      <c r="FD816" s="549">
        <v>0</v>
      </c>
      <c r="FE816" s="675">
        <v>0</v>
      </c>
      <c r="FF816" s="549">
        <v>0</v>
      </c>
      <c r="FG816" s="675">
        <v>0</v>
      </c>
      <c r="FH816" s="549">
        <v>0</v>
      </c>
      <c r="FI816" s="675">
        <v>0</v>
      </c>
      <c r="FJ816" s="549">
        <v>0</v>
      </c>
      <c r="FK816" s="675">
        <v>0</v>
      </c>
      <c r="FL816" s="549">
        <v>0</v>
      </c>
      <c r="FM816" s="675">
        <v>0</v>
      </c>
      <c r="FN816" s="549">
        <v>0</v>
      </c>
      <c r="FO816" s="675">
        <v>0</v>
      </c>
      <c r="FP816" s="549">
        <v>0</v>
      </c>
      <c r="FQ816" s="675">
        <v>0</v>
      </c>
      <c r="FR816" s="549">
        <v>0</v>
      </c>
      <c r="FS816" s="675">
        <v>0</v>
      </c>
      <c r="FT816" s="549">
        <v>0</v>
      </c>
      <c r="FU816" s="675">
        <v>0</v>
      </c>
      <c r="FV816" s="549">
        <v>0</v>
      </c>
      <c r="FW816" s="675">
        <v>0</v>
      </c>
      <c r="FX816" s="549">
        <v>0</v>
      </c>
      <c r="FY816" s="675">
        <v>0</v>
      </c>
      <c r="FZ816" s="549">
        <v>0</v>
      </c>
      <c r="GA816" s="675">
        <v>0</v>
      </c>
      <c r="GB816" s="549">
        <v>0</v>
      </c>
      <c r="GC816" s="675">
        <v>0</v>
      </c>
      <c r="GD816" s="549">
        <v>0</v>
      </c>
      <c r="GE816" s="675">
        <v>0</v>
      </c>
      <c r="GF816" s="549">
        <v>0</v>
      </c>
      <c r="GG816" s="675">
        <v>0</v>
      </c>
      <c r="GH816" s="549">
        <v>0</v>
      </c>
      <c r="GI816" s="675">
        <v>0</v>
      </c>
      <c r="GJ816" s="549">
        <v>0</v>
      </c>
      <c r="GK816" s="675">
        <v>0</v>
      </c>
      <c r="GL816" s="549">
        <v>0</v>
      </c>
      <c r="GM816" s="675">
        <v>0</v>
      </c>
      <c r="GN816" s="549">
        <v>0</v>
      </c>
      <c r="GO816" s="675">
        <v>0</v>
      </c>
      <c r="GP816" s="549">
        <f t="shared" si="17104"/>
        <v>0</v>
      </c>
      <c r="GQ816" s="675">
        <f t="shared" si="17105"/>
        <v>-20000</v>
      </c>
      <c r="GR816" s="74">
        <f t="shared" si="17106"/>
        <v>0</v>
      </c>
      <c r="GS816" s="74">
        <f t="shared" si="17107"/>
        <v>0</v>
      </c>
      <c r="GT816" s="568">
        <f t="shared" si="17108"/>
        <v>0</v>
      </c>
      <c r="GU816" s="275">
        <v>4000</v>
      </c>
      <c r="GV816" s="275"/>
      <c r="GW816" s="588"/>
      <c r="GX816" s="275">
        <v>6000</v>
      </c>
      <c r="GY816" s="275">
        <v>10000</v>
      </c>
      <c r="GZ816" s="275"/>
      <c r="HA816" s="275">
        <f>6000-6000</f>
        <v>0</v>
      </c>
      <c r="HB816" s="275"/>
      <c r="HC816" s="275"/>
      <c r="HD816" s="275">
        <f>4000-4000</f>
        <v>0</v>
      </c>
      <c r="HE816" s="275">
        <v>0</v>
      </c>
      <c r="HF816" s="275">
        <v>0</v>
      </c>
      <c r="HG816" s="74">
        <f t="shared" si="17109"/>
        <v>0</v>
      </c>
      <c r="HH816" s="89">
        <v>0</v>
      </c>
      <c r="HI816" s="157">
        <v>0</v>
      </c>
      <c r="HJ816" s="89">
        <v>0</v>
      </c>
      <c r="HK816" s="157">
        <v>0</v>
      </c>
      <c r="HL816" s="89">
        <v>0</v>
      </c>
      <c r="HM816" s="157">
        <v>4000</v>
      </c>
      <c r="HN816" s="89">
        <v>0</v>
      </c>
      <c r="HO816" s="157">
        <v>6000</v>
      </c>
      <c r="HP816" s="89">
        <v>0</v>
      </c>
      <c r="HQ816" s="157">
        <v>0</v>
      </c>
      <c r="HR816" s="89">
        <v>0</v>
      </c>
      <c r="HS816" s="157">
        <v>0</v>
      </c>
      <c r="HT816" s="89">
        <v>0</v>
      </c>
      <c r="HU816" s="157">
        <v>10000</v>
      </c>
      <c r="HV816" s="89">
        <v>0</v>
      </c>
      <c r="HW816" s="157">
        <v>0</v>
      </c>
      <c r="HX816" s="89">
        <v>0</v>
      </c>
      <c r="HY816" s="157">
        <v>0</v>
      </c>
      <c r="HZ816" s="89">
        <v>0</v>
      </c>
      <c r="IA816" s="157">
        <v>0</v>
      </c>
      <c r="IB816" s="89">
        <v>0</v>
      </c>
      <c r="IC816" s="157">
        <v>0</v>
      </c>
      <c r="ID816" s="89">
        <v>0</v>
      </c>
      <c r="IE816" s="157">
        <v>0</v>
      </c>
      <c r="IF816" s="717">
        <f t="shared" si="17110"/>
        <v>0</v>
      </c>
      <c r="IG816" s="263">
        <f t="shared" si="17111"/>
        <v>0</v>
      </c>
      <c r="IH816" s="718">
        <f t="shared" si="17112"/>
        <v>0</v>
      </c>
      <c r="II816" s="89">
        <v>0</v>
      </c>
      <c r="IJ816" s="89">
        <f t="shared" si="17113"/>
        <v>0</v>
      </c>
      <c r="IK816" s="89">
        <f t="shared" si="17114"/>
        <v>0</v>
      </c>
      <c r="IL816" s="89">
        <v>0</v>
      </c>
      <c r="IM816" s="89">
        <f t="shared" si="17115"/>
        <v>0</v>
      </c>
      <c r="IN816" s="89">
        <f t="shared" si="17116"/>
        <v>0</v>
      </c>
      <c r="IO816" s="89">
        <v>0</v>
      </c>
      <c r="IP816" s="89">
        <f t="shared" si="17117"/>
        <v>0</v>
      </c>
      <c r="IQ816" s="89">
        <f t="shared" si="17118"/>
        <v>0</v>
      </c>
      <c r="IR816" s="89">
        <v>0</v>
      </c>
      <c r="IS816" s="89">
        <f t="shared" si="17119"/>
        <v>0</v>
      </c>
      <c r="IT816" s="89">
        <f t="shared" si="17120"/>
        <v>0</v>
      </c>
      <c r="IU816" s="89">
        <v>0</v>
      </c>
      <c r="IV816" s="89">
        <f t="shared" si="17121"/>
        <v>0</v>
      </c>
      <c r="IW816" s="89">
        <f t="shared" si="17122"/>
        <v>0</v>
      </c>
      <c r="IX816" s="89">
        <v>0</v>
      </c>
      <c r="IY816" s="89">
        <f t="shared" si="17123"/>
        <v>0</v>
      </c>
      <c r="IZ816" s="89">
        <f t="shared" si="17124"/>
        <v>0</v>
      </c>
      <c r="JA816" s="89">
        <v>0</v>
      </c>
      <c r="JB816" s="89">
        <f t="shared" si="17125"/>
        <v>0</v>
      </c>
      <c r="JC816" s="89">
        <f t="shared" si="17126"/>
        <v>0</v>
      </c>
      <c r="JD816" s="89">
        <v>0</v>
      </c>
      <c r="JE816" s="89">
        <f t="shared" si="17127"/>
        <v>0</v>
      </c>
      <c r="JF816" s="89">
        <f t="shared" si="17128"/>
        <v>0</v>
      </c>
      <c r="JG816" s="89">
        <v>0</v>
      </c>
      <c r="JH816" s="89">
        <f t="shared" si="17129"/>
        <v>0</v>
      </c>
      <c r="JI816" s="89">
        <f t="shared" si="17130"/>
        <v>0</v>
      </c>
      <c r="JJ816" s="89">
        <v>0</v>
      </c>
      <c r="JK816" s="89">
        <f t="shared" si="17131"/>
        <v>0</v>
      </c>
      <c r="JL816" s="89">
        <f t="shared" si="17132"/>
        <v>0</v>
      </c>
      <c r="JM816" s="89">
        <v>0</v>
      </c>
      <c r="JN816" s="89">
        <f t="shared" si="17133"/>
        <v>0</v>
      </c>
      <c r="JO816" s="89">
        <f t="shared" si="17134"/>
        <v>0</v>
      </c>
      <c r="JP816" s="89">
        <v>0</v>
      </c>
      <c r="JQ816" s="89">
        <f t="shared" ref="JQ816:JR816" si="17163">JP816</f>
        <v>0</v>
      </c>
      <c r="JR816" s="89">
        <f t="shared" si="17163"/>
        <v>0</v>
      </c>
      <c r="JS816" s="74">
        <f t="shared" si="17136"/>
        <v>0</v>
      </c>
      <c r="JT816" s="382">
        <f t="shared" si="17137"/>
        <v>0</v>
      </c>
      <c r="JU816" s="665"/>
      <c r="JV816" s="524"/>
      <c r="JW816" s="525"/>
      <c r="JX816" s="549">
        <f t="shared" si="17138"/>
        <v>0</v>
      </c>
      <c r="JY816" s="549">
        <f t="shared" si="17138"/>
        <v>20000</v>
      </c>
      <c r="JZ816" s="581">
        <f t="shared" si="16466"/>
        <v>0</v>
      </c>
      <c r="KA816" s="581">
        <f t="shared" si="16467"/>
        <v>-20000</v>
      </c>
      <c r="KB816" s="566">
        <f t="shared" si="17031"/>
        <v>0</v>
      </c>
      <c r="KC816" s="709">
        <f t="shared" si="16464"/>
        <v>0</v>
      </c>
      <c r="KD816" s="491"/>
      <c r="KE816" s="491"/>
      <c r="KF816" s="491"/>
      <c r="KG816" s="491"/>
      <c r="KH816" s="36"/>
      <c r="KI816" s="36"/>
      <c r="KJ816" s="36"/>
      <c r="KK816" s="36"/>
    </row>
    <row r="817" spans="1:297" s="10" customFormat="1">
      <c r="A817" s="612" t="s">
        <v>997</v>
      </c>
      <c r="B817" s="512" t="s">
        <v>968</v>
      </c>
      <c r="C817" s="74">
        <v>12300</v>
      </c>
      <c r="D817" s="549">
        <v>0</v>
      </c>
      <c r="E817" s="675">
        <v>0</v>
      </c>
      <c r="F817" s="549">
        <v>0</v>
      </c>
      <c r="G817" s="675">
        <v>0</v>
      </c>
      <c r="H817" s="549">
        <v>0</v>
      </c>
      <c r="I817" s="675">
        <v>0</v>
      </c>
      <c r="J817" s="549">
        <v>0</v>
      </c>
      <c r="K817" s="675">
        <v>0</v>
      </c>
      <c r="L817" s="549">
        <v>0</v>
      </c>
      <c r="M817" s="675">
        <v>0</v>
      </c>
      <c r="N817" s="549">
        <v>0</v>
      </c>
      <c r="O817" s="675">
        <v>0</v>
      </c>
      <c r="P817" s="549">
        <v>0</v>
      </c>
      <c r="Q817" s="675">
        <v>0</v>
      </c>
      <c r="R817" s="549">
        <v>0</v>
      </c>
      <c r="S817" s="675">
        <v>0</v>
      </c>
      <c r="T817" s="549">
        <v>0</v>
      </c>
      <c r="U817" s="675">
        <v>0</v>
      </c>
      <c r="V817" s="549">
        <v>0</v>
      </c>
      <c r="W817" s="675">
        <v>0</v>
      </c>
      <c r="X817" s="549">
        <v>0</v>
      </c>
      <c r="Y817" s="675">
        <v>0</v>
      </c>
      <c r="Z817" s="549">
        <v>0</v>
      </c>
      <c r="AA817" s="675">
        <v>0</v>
      </c>
      <c r="AB817" s="549">
        <v>0</v>
      </c>
      <c r="AC817" s="675">
        <v>-12300</v>
      </c>
      <c r="AD817" s="549">
        <v>0</v>
      </c>
      <c r="AE817" s="675">
        <v>0</v>
      </c>
      <c r="AF817" s="549">
        <v>0</v>
      </c>
      <c r="AG817" s="675">
        <v>0</v>
      </c>
      <c r="AH817" s="549">
        <v>0</v>
      </c>
      <c r="AI817" s="675">
        <v>0</v>
      </c>
      <c r="AJ817" s="549">
        <v>0</v>
      </c>
      <c r="AK817" s="675">
        <v>0</v>
      </c>
      <c r="AL817" s="549">
        <v>0</v>
      </c>
      <c r="AM817" s="675">
        <v>0</v>
      </c>
      <c r="AN817" s="549">
        <v>0</v>
      </c>
      <c r="AO817" s="675">
        <v>0</v>
      </c>
      <c r="AP817" s="549">
        <v>0</v>
      </c>
      <c r="AQ817" s="675">
        <v>0</v>
      </c>
      <c r="AR817" s="549">
        <v>0</v>
      </c>
      <c r="AS817" s="675">
        <v>0</v>
      </c>
      <c r="AT817" s="549">
        <v>0</v>
      </c>
      <c r="AU817" s="675">
        <v>0</v>
      </c>
      <c r="AV817" s="549">
        <v>0</v>
      </c>
      <c r="AW817" s="675">
        <v>0</v>
      </c>
      <c r="AX817" s="549">
        <v>0</v>
      </c>
      <c r="AY817" s="675">
        <v>0</v>
      </c>
      <c r="AZ817" s="549">
        <v>0</v>
      </c>
      <c r="BA817" s="675">
        <v>0</v>
      </c>
      <c r="BB817" s="549">
        <v>0</v>
      </c>
      <c r="BC817" s="675">
        <v>0</v>
      </c>
      <c r="BD817" s="549">
        <v>0</v>
      </c>
      <c r="BE817" s="675">
        <v>0</v>
      </c>
      <c r="BF817" s="549">
        <v>0</v>
      </c>
      <c r="BG817" s="675">
        <v>0</v>
      </c>
      <c r="BH817" s="549">
        <v>0</v>
      </c>
      <c r="BI817" s="675">
        <v>0</v>
      </c>
      <c r="BJ817" s="549">
        <v>0</v>
      </c>
      <c r="BK817" s="675">
        <v>0</v>
      </c>
      <c r="BL817" s="549">
        <v>0</v>
      </c>
      <c r="BM817" s="675">
        <v>0</v>
      </c>
      <c r="BN817" s="549">
        <v>0</v>
      </c>
      <c r="BO817" s="675">
        <v>0</v>
      </c>
      <c r="BP817" s="549">
        <v>0</v>
      </c>
      <c r="BQ817" s="675">
        <v>0</v>
      </c>
      <c r="BR817" s="549">
        <v>0</v>
      </c>
      <c r="BS817" s="675">
        <v>0</v>
      </c>
      <c r="BT817" s="549">
        <v>0</v>
      </c>
      <c r="BU817" s="675">
        <v>0</v>
      </c>
      <c r="BV817" s="549">
        <v>0</v>
      </c>
      <c r="BW817" s="675">
        <v>0</v>
      </c>
      <c r="BX817" s="549">
        <v>0</v>
      </c>
      <c r="BY817" s="675">
        <v>0</v>
      </c>
      <c r="BZ817" s="549">
        <v>0</v>
      </c>
      <c r="CA817" s="675">
        <v>0</v>
      </c>
      <c r="CB817" s="549">
        <v>0</v>
      </c>
      <c r="CC817" s="675">
        <v>0</v>
      </c>
      <c r="CD817" s="549">
        <v>0</v>
      </c>
      <c r="CE817" s="675">
        <v>0</v>
      </c>
      <c r="CF817" s="549">
        <v>0</v>
      </c>
      <c r="CG817" s="675">
        <v>0</v>
      </c>
      <c r="CH817" s="549">
        <v>0</v>
      </c>
      <c r="CI817" s="675">
        <v>0</v>
      </c>
      <c r="CJ817" s="549">
        <v>0</v>
      </c>
      <c r="CK817" s="675">
        <v>0</v>
      </c>
      <c r="CL817" s="549">
        <v>0</v>
      </c>
      <c r="CM817" s="675">
        <v>0</v>
      </c>
      <c r="CN817" s="549">
        <v>0</v>
      </c>
      <c r="CO817" s="675">
        <v>0</v>
      </c>
      <c r="CP817" s="549">
        <v>0</v>
      </c>
      <c r="CQ817" s="675">
        <v>0</v>
      </c>
      <c r="CR817" s="549">
        <v>0</v>
      </c>
      <c r="CS817" s="675">
        <v>0</v>
      </c>
      <c r="CT817" s="549">
        <v>0</v>
      </c>
      <c r="CU817" s="675">
        <v>0</v>
      </c>
      <c r="CV817" s="549">
        <v>0</v>
      </c>
      <c r="CW817" s="675">
        <v>0</v>
      </c>
      <c r="CX817" s="549">
        <v>0</v>
      </c>
      <c r="CY817" s="675">
        <v>0</v>
      </c>
      <c r="CZ817" s="549">
        <v>0</v>
      </c>
      <c r="DA817" s="675">
        <v>0</v>
      </c>
      <c r="DB817" s="549">
        <v>0</v>
      </c>
      <c r="DC817" s="675">
        <v>0</v>
      </c>
      <c r="DD817" s="549">
        <v>0</v>
      </c>
      <c r="DE817" s="675">
        <v>0</v>
      </c>
      <c r="DF817" s="549">
        <v>0</v>
      </c>
      <c r="DG817" s="675">
        <v>0</v>
      </c>
      <c r="DH817" s="549">
        <v>0</v>
      </c>
      <c r="DI817" s="675">
        <v>0</v>
      </c>
      <c r="DJ817" s="549">
        <v>0</v>
      </c>
      <c r="DK817" s="675">
        <v>0</v>
      </c>
      <c r="DL817" s="549">
        <v>0</v>
      </c>
      <c r="DM817" s="675">
        <v>0</v>
      </c>
      <c r="DN817" s="549">
        <v>0</v>
      </c>
      <c r="DO817" s="675">
        <v>0</v>
      </c>
      <c r="DP817" s="549">
        <v>0</v>
      </c>
      <c r="DQ817" s="675">
        <v>0</v>
      </c>
      <c r="DR817" s="549">
        <v>0</v>
      </c>
      <c r="DS817" s="675">
        <v>0</v>
      </c>
      <c r="DT817" s="549">
        <v>0</v>
      </c>
      <c r="DU817" s="675">
        <v>0</v>
      </c>
      <c r="DV817" s="549">
        <v>0</v>
      </c>
      <c r="DW817" s="675">
        <v>0</v>
      </c>
      <c r="DX817" s="549">
        <v>0</v>
      </c>
      <c r="DY817" s="675">
        <v>0</v>
      </c>
      <c r="DZ817" s="549">
        <v>0</v>
      </c>
      <c r="EA817" s="675">
        <v>0</v>
      </c>
      <c r="EB817" s="549">
        <v>0</v>
      </c>
      <c r="EC817" s="675">
        <v>0</v>
      </c>
      <c r="ED817" s="549">
        <v>0</v>
      </c>
      <c r="EE817" s="675">
        <v>0</v>
      </c>
      <c r="EF817" s="549">
        <v>0</v>
      </c>
      <c r="EG817" s="675">
        <v>0</v>
      </c>
      <c r="EH817" s="549">
        <v>0</v>
      </c>
      <c r="EI817" s="675">
        <v>0</v>
      </c>
      <c r="EJ817" s="549">
        <v>0</v>
      </c>
      <c r="EK817" s="675">
        <v>0</v>
      </c>
      <c r="EL817" s="549">
        <v>0</v>
      </c>
      <c r="EM817" s="675">
        <v>0</v>
      </c>
      <c r="EN817" s="549">
        <v>0</v>
      </c>
      <c r="EO817" s="675">
        <v>0</v>
      </c>
      <c r="EP817" s="549">
        <v>0</v>
      </c>
      <c r="EQ817" s="675">
        <v>0</v>
      </c>
      <c r="ER817" s="549">
        <v>0</v>
      </c>
      <c r="ES817" s="675">
        <v>0</v>
      </c>
      <c r="ET817" s="549">
        <v>0</v>
      </c>
      <c r="EU817" s="675">
        <v>0</v>
      </c>
      <c r="EV817" s="549">
        <v>0</v>
      </c>
      <c r="EW817" s="675">
        <v>0</v>
      </c>
      <c r="EX817" s="549">
        <v>0</v>
      </c>
      <c r="EY817" s="675">
        <v>0</v>
      </c>
      <c r="EZ817" s="549">
        <v>0</v>
      </c>
      <c r="FA817" s="675">
        <v>0</v>
      </c>
      <c r="FB817" s="549">
        <v>0</v>
      </c>
      <c r="FC817" s="675">
        <v>0</v>
      </c>
      <c r="FD817" s="549">
        <v>0</v>
      </c>
      <c r="FE817" s="675">
        <v>0</v>
      </c>
      <c r="FF817" s="549">
        <v>0</v>
      </c>
      <c r="FG817" s="675">
        <v>0</v>
      </c>
      <c r="FH817" s="549">
        <v>0</v>
      </c>
      <c r="FI817" s="675">
        <v>0</v>
      </c>
      <c r="FJ817" s="549">
        <v>0</v>
      </c>
      <c r="FK817" s="675">
        <v>0</v>
      </c>
      <c r="FL817" s="549">
        <v>0</v>
      </c>
      <c r="FM817" s="675">
        <v>0</v>
      </c>
      <c r="FN817" s="549">
        <v>0</v>
      </c>
      <c r="FO817" s="675">
        <v>0</v>
      </c>
      <c r="FP817" s="549">
        <v>0</v>
      </c>
      <c r="FQ817" s="675">
        <v>0</v>
      </c>
      <c r="FR817" s="549">
        <v>0</v>
      </c>
      <c r="FS817" s="675">
        <v>0</v>
      </c>
      <c r="FT817" s="549">
        <v>0</v>
      </c>
      <c r="FU817" s="675">
        <v>0</v>
      </c>
      <c r="FV817" s="549">
        <v>0</v>
      </c>
      <c r="FW817" s="675">
        <v>0</v>
      </c>
      <c r="FX817" s="549">
        <v>0</v>
      </c>
      <c r="FY817" s="675">
        <v>0</v>
      </c>
      <c r="FZ817" s="549">
        <v>0</v>
      </c>
      <c r="GA817" s="675">
        <v>0</v>
      </c>
      <c r="GB817" s="549">
        <v>0</v>
      </c>
      <c r="GC817" s="675">
        <v>0</v>
      </c>
      <c r="GD817" s="549">
        <v>0</v>
      </c>
      <c r="GE817" s="675">
        <v>0</v>
      </c>
      <c r="GF817" s="549">
        <v>0</v>
      </c>
      <c r="GG817" s="675">
        <v>0</v>
      </c>
      <c r="GH817" s="549">
        <v>0</v>
      </c>
      <c r="GI817" s="675">
        <v>0</v>
      </c>
      <c r="GJ817" s="549">
        <v>0</v>
      </c>
      <c r="GK817" s="675">
        <v>0</v>
      </c>
      <c r="GL817" s="549">
        <v>0</v>
      </c>
      <c r="GM817" s="675">
        <v>0</v>
      </c>
      <c r="GN817" s="549">
        <v>0</v>
      </c>
      <c r="GO817" s="675">
        <v>0</v>
      </c>
      <c r="GP817" s="549">
        <f t="shared" si="17104"/>
        <v>0</v>
      </c>
      <c r="GQ817" s="675">
        <f t="shared" si="17105"/>
        <v>-12300</v>
      </c>
      <c r="GR817" s="74">
        <f t="shared" si="17106"/>
        <v>0</v>
      </c>
      <c r="GS817" s="74">
        <f t="shared" si="17107"/>
        <v>0</v>
      </c>
      <c r="GT817" s="568">
        <f t="shared" si="17108"/>
        <v>0</v>
      </c>
      <c r="GU817" s="275">
        <v>2460</v>
      </c>
      <c r="GV817" s="275">
        <v>9840</v>
      </c>
      <c r="GW817" s="588"/>
      <c r="GX817" s="275">
        <f>3690-3690</f>
        <v>0</v>
      </c>
      <c r="GY817" s="275"/>
      <c r="GZ817" s="275"/>
      <c r="HA817" s="275">
        <f>3690-3690</f>
        <v>0</v>
      </c>
      <c r="HB817" s="275"/>
      <c r="HC817" s="275"/>
      <c r="HD817" s="275">
        <f>2460-2460</f>
        <v>0</v>
      </c>
      <c r="HE817" s="275">
        <v>0</v>
      </c>
      <c r="HF817" s="275">
        <v>0</v>
      </c>
      <c r="HG817" s="74">
        <f t="shared" si="17109"/>
        <v>0</v>
      </c>
      <c r="HH817" s="89">
        <v>0</v>
      </c>
      <c r="HI817" s="157">
        <v>0</v>
      </c>
      <c r="HJ817" s="89">
        <v>0</v>
      </c>
      <c r="HK817" s="157">
        <v>0</v>
      </c>
      <c r="HL817" s="89">
        <v>0</v>
      </c>
      <c r="HM817" s="157">
        <v>12300</v>
      </c>
      <c r="HN817" s="89">
        <v>0</v>
      </c>
      <c r="HO817" s="157">
        <v>0</v>
      </c>
      <c r="HP817" s="89">
        <v>0</v>
      </c>
      <c r="HQ817" s="157">
        <v>0</v>
      </c>
      <c r="HR817" s="89">
        <v>0</v>
      </c>
      <c r="HS817" s="157">
        <v>0</v>
      </c>
      <c r="HT817" s="89">
        <v>0</v>
      </c>
      <c r="HU817" s="157">
        <v>0</v>
      </c>
      <c r="HV817" s="89">
        <v>0</v>
      </c>
      <c r="HW817" s="157">
        <v>0</v>
      </c>
      <c r="HX817" s="89">
        <v>0</v>
      </c>
      <c r="HY817" s="157">
        <v>0</v>
      </c>
      <c r="HZ817" s="89">
        <v>0</v>
      </c>
      <c r="IA817" s="157">
        <v>0</v>
      </c>
      <c r="IB817" s="89">
        <v>0</v>
      </c>
      <c r="IC817" s="157">
        <v>0</v>
      </c>
      <c r="ID817" s="89">
        <v>0</v>
      </c>
      <c r="IE817" s="157">
        <v>0</v>
      </c>
      <c r="IF817" s="717">
        <f t="shared" si="17110"/>
        <v>0</v>
      </c>
      <c r="IG817" s="263">
        <f t="shared" si="17111"/>
        <v>0</v>
      </c>
      <c r="IH817" s="718">
        <f t="shared" si="17112"/>
        <v>0</v>
      </c>
      <c r="II817" s="89">
        <v>0</v>
      </c>
      <c r="IJ817" s="89">
        <f t="shared" si="17113"/>
        <v>0</v>
      </c>
      <c r="IK817" s="89">
        <f t="shared" si="17114"/>
        <v>0</v>
      </c>
      <c r="IL817" s="89">
        <v>0</v>
      </c>
      <c r="IM817" s="89">
        <f t="shared" si="17115"/>
        <v>0</v>
      </c>
      <c r="IN817" s="89">
        <f t="shared" si="17116"/>
        <v>0</v>
      </c>
      <c r="IO817" s="89">
        <v>0</v>
      </c>
      <c r="IP817" s="89">
        <f t="shared" si="17117"/>
        <v>0</v>
      </c>
      <c r="IQ817" s="89">
        <f t="shared" si="17118"/>
        <v>0</v>
      </c>
      <c r="IR817" s="89">
        <v>0</v>
      </c>
      <c r="IS817" s="89">
        <f t="shared" si="17119"/>
        <v>0</v>
      </c>
      <c r="IT817" s="89">
        <f t="shared" si="17120"/>
        <v>0</v>
      </c>
      <c r="IU817" s="89">
        <v>0</v>
      </c>
      <c r="IV817" s="89">
        <f t="shared" si="17121"/>
        <v>0</v>
      </c>
      <c r="IW817" s="89">
        <f t="shared" si="17122"/>
        <v>0</v>
      </c>
      <c r="IX817" s="89">
        <v>0</v>
      </c>
      <c r="IY817" s="89">
        <f t="shared" si="17123"/>
        <v>0</v>
      </c>
      <c r="IZ817" s="89">
        <f t="shared" si="17124"/>
        <v>0</v>
      </c>
      <c r="JA817" s="89">
        <v>0</v>
      </c>
      <c r="JB817" s="89">
        <f t="shared" si="17125"/>
        <v>0</v>
      </c>
      <c r="JC817" s="89">
        <f t="shared" si="17126"/>
        <v>0</v>
      </c>
      <c r="JD817" s="89">
        <v>0</v>
      </c>
      <c r="JE817" s="89">
        <f t="shared" si="17127"/>
        <v>0</v>
      </c>
      <c r="JF817" s="89">
        <f t="shared" si="17128"/>
        <v>0</v>
      </c>
      <c r="JG817" s="89">
        <v>0</v>
      </c>
      <c r="JH817" s="89">
        <f t="shared" si="17129"/>
        <v>0</v>
      </c>
      <c r="JI817" s="89">
        <f t="shared" si="17130"/>
        <v>0</v>
      </c>
      <c r="JJ817" s="89">
        <v>0</v>
      </c>
      <c r="JK817" s="89">
        <f t="shared" si="17131"/>
        <v>0</v>
      </c>
      <c r="JL817" s="89">
        <f t="shared" si="17132"/>
        <v>0</v>
      </c>
      <c r="JM817" s="89">
        <v>0</v>
      </c>
      <c r="JN817" s="89">
        <f t="shared" si="17133"/>
        <v>0</v>
      </c>
      <c r="JO817" s="89">
        <f t="shared" si="17134"/>
        <v>0</v>
      </c>
      <c r="JP817" s="89">
        <v>0</v>
      </c>
      <c r="JQ817" s="89">
        <f t="shared" ref="JQ817:JR817" si="17164">JP817</f>
        <v>0</v>
      </c>
      <c r="JR817" s="89">
        <f t="shared" si="17164"/>
        <v>0</v>
      </c>
      <c r="JS817" s="74">
        <f t="shared" si="17136"/>
        <v>0</v>
      </c>
      <c r="JT817" s="382">
        <f t="shared" si="17137"/>
        <v>0</v>
      </c>
      <c r="JU817" s="665"/>
      <c r="JV817" s="524"/>
      <c r="JW817" s="525"/>
      <c r="JX817" s="549">
        <f t="shared" si="17138"/>
        <v>0</v>
      </c>
      <c r="JY817" s="549">
        <f t="shared" si="17138"/>
        <v>12300</v>
      </c>
      <c r="JZ817" s="581">
        <f t="shared" si="16466"/>
        <v>0</v>
      </c>
      <c r="KA817" s="581">
        <f t="shared" si="16467"/>
        <v>-12300</v>
      </c>
      <c r="KB817" s="566">
        <f t="shared" si="17031"/>
        <v>0</v>
      </c>
      <c r="KC817" s="709">
        <f t="shared" si="16464"/>
        <v>0</v>
      </c>
      <c r="KD817" s="491"/>
      <c r="KE817" s="491"/>
      <c r="KF817" s="491"/>
      <c r="KG817" s="491"/>
      <c r="KH817" s="36"/>
      <c r="KI817" s="36"/>
      <c r="KJ817" s="36"/>
      <c r="KK817" s="36"/>
    </row>
    <row r="818" spans="1:297" s="10" customFormat="1">
      <c r="A818" s="612" t="s">
        <v>757</v>
      </c>
      <c r="B818" s="512" t="s">
        <v>998</v>
      </c>
      <c r="C818" s="74">
        <v>25000</v>
      </c>
      <c r="D818" s="549">
        <v>0</v>
      </c>
      <c r="E818" s="675">
        <v>0</v>
      </c>
      <c r="F818" s="549">
        <v>0</v>
      </c>
      <c r="G818" s="675">
        <v>0</v>
      </c>
      <c r="H818" s="549">
        <v>0</v>
      </c>
      <c r="I818" s="675">
        <v>0</v>
      </c>
      <c r="J818" s="549">
        <v>0</v>
      </c>
      <c r="K818" s="675">
        <v>0</v>
      </c>
      <c r="L818" s="549">
        <v>0</v>
      </c>
      <c r="M818" s="675">
        <v>0</v>
      </c>
      <c r="N818" s="549">
        <v>0</v>
      </c>
      <c r="O818" s="675">
        <v>0</v>
      </c>
      <c r="P818" s="549">
        <v>0</v>
      </c>
      <c r="Q818" s="675">
        <v>0</v>
      </c>
      <c r="R818" s="549">
        <v>0</v>
      </c>
      <c r="S818" s="675">
        <v>0</v>
      </c>
      <c r="T818" s="549">
        <v>0</v>
      </c>
      <c r="U818" s="675">
        <v>0</v>
      </c>
      <c r="V818" s="549">
        <v>0</v>
      </c>
      <c r="W818" s="675">
        <v>0</v>
      </c>
      <c r="X818" s="549">
        <v>0</v>
      </c>
      <c r="Y818" s="675">
        <v>0</v>
      </c>
      <c r="Z818" s="549">
        <v>0</v>
      </c>
      <c r="AA818" s="675">
        <v>0</v>
      </c>
      <c r="AB818" s="549">
        <v>0</v>
      </c>
      <c r="AC818" s="675">
        <v>0</v>
      </c>
      <c r="AD818" s="549">
        <v>0</v>
      </c>
      <c r="AE818" s="675">
        <v>0</v>
      </c>
      <c r="AF818" s="549">
        <v>0</v>
      </c>
      <c r="AG818" s="675">
        <v>0</v>
      </c>
      <c r="AH818" s="549">
        <v>0</v>
      </c>
      <c r="AI818" s="675">
        <v>0</v>
      </c>
      <c r="AJ818" s="549">
        <v>0</v>
      </c>
      <c r="AK818" s="675">
        <v>0</v>
      </c>
      <c r="AL818" s="549">
        <v>0</v>
      </c>
      <c r="AM818" s="675">
        <v>0</v>
      </c>
      <c r="AN818" s="549">
        <v>0</v>
      </c>
      <c r="AO818" s="675">
        <v>0</v>
      </c>
      <c r="AP818" s="549">
        <v>0</v>
      </c>
      <c r="AQ818" s="675">
        <v>0</v>
      </c>
      <c r="AR818" s="549">
        <v>0</v>
      </c>
      <c r="AS818" s="675">
        <v>0</v>
      </c>
      <c r="AT818" s="549">
        <v>0</v>
      </c>
      <c r="AU818" s="675">
        <v>0</v>
      </c>
      <c r="AV818" s="549">
        <v>0</v>
      </c>
      <c r="AW818" s="675">
        <v>0</v>
      </c>
      <c r="AX818" s="549">
        <v>0</v>
      </c>
      <c r="AY818" s="675">
        <v>0</v>
      </c>
      <c r="AZ818" s="549">
        <v>0</v>
      </c>
      <c r="BA818" s="675">
        <v>0</v>
      </c>
      <c r="BB818" s="549">
        <v>0</v>
      </c>
      <c r="BC818" s="675">
        <v>-12500</v>
      </c>
      <c r="BD818" s="549">
        <v>0</v>
      </c>
      <c r="BE818" s="675">
        <v>0</v>
      </c>
      <c r="BF818" s="549">
        <v>0</v>
      </c>
      <c r="BG818" s="675">
        <v>0</v>
      </c>
      <c r="BH818" s="549">
        <v>0</v>
      </c>
      <c r="BI818" s="675">
        <v>0</v>
      </c>
      <c r="BJ818" s="549">
        <v>0</v>
      </c>
      <c r="BK818" s="675">
        <v>0</v>
      </c>
      <c r="BL818" s="549">
        <v>0</v>
      </c>
      <c r="BM818" s="675">
        <v>0</v>
      </c>
      <c r="BN818" s="549">
        <v>0</v>
      </c>
      <c r="BO818" s="675">
        <v>0</v>
      </c>
      <c r="BP818" s="549">
        <v>0</v>
      </c>
      <c r="BQ818" s="675">
        <v>0</v>
      </c>
      <c r="BR818" s="549">
        <v>0</v>
      </c>
      <c r="BS818" s="675">
        <v>0</v>
      </c>
      <c r="BT818" s="549">
        <v>0</v>
      </c>
      <c r="BU818" s="675">
        <v>0</v>
      </c>
      <c r="BV818" s="549">
        <v>0</v>
      </c>
      <c r="BW818" s="675">
        <v>0</v>
      </c>
      <c r="BX818" s="549">
        <v>0</v>
      </c>
      <c r="BY818" s="675">
        <v>0</v>
      </c>
      <c r="BZ818" s="549">
        <v>0</v>
      </c>
      <c r="CA818" s="675">
        <v>0</v>
      </c>
      <c r="CB818" s="549">
        <v>0</v>
      </c>
      <c r="CC818" s="675">
        <v>0</v>
      </c>
      <c r="CD818" s="549">
        <v>0</v>
      </c>
      <c r="CE818" s="675">
        <v>0</v>
      </c>
      <c r="CF818" s="549">
        <v>0</v>
      </c>
      <c r="CG818" s="675">
        <v>0</v>
      </c>
      <c r="CH818" s="549">
        <v>0</v>
      </c>
      <c r="CI818" s="675">
        <v>0</v>
      </c>
      <c r="CJ818" s="549">
        <v>0</v>
      </c>
      <c r="CK818" s="675">
        <v>0</v>
      </c>
      <c r="CL818" s="549">
        <v>0</v>
      </c>
      <c r="CM818" s="675">
        <v>0</v>
      </c>
      <c r="CN818" s="549">
        <v>0</v>
      </c>
      <c r="CO818" s="675">
        <v>0</v>
      </c>
      <c r="CP818" s="549">
        <v>0</v>
      </c>
      <c r="CQ818" s="675">
        <v>0</v>
      </c>
      <c r="CR818" s="549">
        <v>0</v>
      </c>
      <c r="CS818" s="675">
        <v>0</v>
      </c>
      <c r="CT818" s="549">
        <v>0</v>
      </c>
      <c r="CU818" s="675">
        <v>0</v>
      </c>
      <c r="CV818" s="549">
        <v>0</v>
      </c>
      <c r="CW818" s="675">
        <v>0</v>
      </c>
      <c r="CX818" s="549">
        <v>0</v>
      </c>
      <c r="CY818" s="675">
        <v>0</v>
      </c>
      <c r="CZ818" s="549">
        <v>0</v>
      </c>
      <c r="DA818" s="675">
        <v>0</v>
      </c>
      <c r="DB818" s="549">
        <v>0</v>
      </c>
      <c r="DC818" s="675">
        <v>-12500</v>
      </c>
      <c r="DD818" s="549">
        <v>0</v>
      </c>
      <c r="DE818" s="675">
        <v>0</v>
      </c>
      <c r="DF818" s="549">
        <v>0</v>
      </c>
      <c r="DG818" s="675">
        <v>0</v>
      </c>
      <c r="DH818" s="549">
        <v>0</v>
      </c>
      <c r="DI818" s="675">
        <v>0</v>
      </c>
      <c r="DJ818" s="549">
        <v>0</v>
      </c>
      <c r="DK818" s="675">
        <v>0</v>
      </c>
      <c r="DL818" s="549">
        <v>0</v>
      </c>
      <c r="DM818" s="675">
        <v>0</v>
      </c>
      <c r="DN818" s="549">
        <v>0</v>
      </c>
      <c r="DO818" s="675">
        <v>0</v>
      </c>
      <c r="DP818" s="549">
        <v>0</v>
      </c>
      <c r="DQ818" s="675">
        <v>0</v>
      </c>
      <c r="DR818" s="549">
        <v>0</v>
      </c>
      <c r="DS818" s="675">
        <v>0</v>
      </c>
      <c r="DT818" s="549">
        <v>0</v>
      </c>
      <c r="DU818" s="675">
        <v>0</v>
      </c>
      <c r="DV818" s="549">
        <v>0</v>
      </c>
      <c r="DW818" s="675">
        <v>0</v>
      </c>
      <c r="DX818" s="549">
        <v>0</v>
      </c>
      <c r="DY818" s="675">
        <v>0</v>
      </c>
      <c r="DZ818" s="549">
        <v>0</v>
      </c>
      <c r="EA818" s="675">
        <v>0</v>
      </c>
      <c r="EB818" s="549">
        <v>0</v>
      </c>
      <c r="EC818" s="675">
        <v>0</v>
      </c>
      <c r="ED818" s="549">
        <v>0</v>
      </c>
      <c r="EE818" s="675">
        <v>0</v>
      </c>
      <c r="EF818" s="549">
        <v>0</v>
      </c>
      <c r="EG818" s="675">
        <v>0</v>
      </c>
      <c r="EH818" s="549">
        <v>0</v>
      </c>
      <c r="EI818" s="675">
        <v>0</v>
      </c>
      <c r="EJ818" s="549">
        <v>0</v>
      </c>
      <c r="EK818" s="675">
        <v>0</v>
      </c>
      <c r="EL818" s="549">
        <v>0</v>
      </c>
      <c r="EM818" s="675">
        <v>0</v>
      </c>
      <c r="EN818" s="549">
        <v>0</v>
      </c>
      <c r="EO818" s="675">
        <v>0</v>
      </c>
      <c r="EP818" s="549">
        <v>0</v>
      </c>
      <c r="EQ818" s="675">
        <v>0</v>
      </c>
      <c r="ER818" s="549">
        <v>0</v>
      </c>
      <c r="ES818" s="675">
        <v>0</v>
      </c>
      <c r="ET818" s="549">
        <v>0</v>
      </c>
      <c r="EU818" s="675">
        <v>0</v>
      </c>
      <c r="EV818" s="549">
        <v>0</v>
      </c>
      <c r="EW818" s="675">
        <v>0</v>
      </c>
      <c r="EX818" s="549">
        <v>0</v>
      </c>
      <c r="EY818" s="675">
        <v>0</v>
      </c>
      <c r="EZ818" s="549">
        <v>0</v>
      </c>
      <c r="FA818" s="675">
        <v>0</v>
      </c>
      <c r="FB818" s="549">
        <v>0</v>
      </c>
      <c r="FC818" s="675">
        <v>0</v>
      </c>
      <c r="FD818" s="549">
        <v>0</v>
      </c>
      <c r="FE818" s="675">
        <v>0</v>
      </c>
      <c r="FF818" s="549">
        <v>0</v>
      </c>
      <c r="FG818" s="675">
        <v>0</v>
      </c>
      <c r="FH818" s="549">
        <v>0</v>
      </c>
      <c r="FI818" s="675">
        <v>0</v>
      </c>
      <c r="FJ818" s="549">
        <v>0</v>
      </c>
      <c r="FK818" s="675">
        <v>0</v>
      </c>
      <c r="FL818" s="549">
        <v>0</v>
      </c>
      <c r="FM818" s="675">
        <v>0</v>
      </c>
      <c r="FN818" s="549">
        <v>0</v>
      </c>
      <c r="FO818" s="675">
        <v>0</v>
      </c>
      <c r="FP818" s="549">
        <v>0</v>
      </c>
      <c r="FQ818" s="675">
        <v>0</v>
      </c>
      <c r="FR818" s="549">
        <v>0</v>
      </c>
      <c r="FS818" s="675">
        <v>0</v>
      </c>
      <c r="FT818" s="549">
        <v>0</v>
      </c>
      <c r="FU818" s="675">
        <v>0</v>
      </c>
      <c r="FV818" s="549">
        <v>0</v>
      </c>
      <c r="FW818" s="675">
        <v>0</v>
      </c>
      <c r="FX818" s="549">
        <v>0</v>
      </c>
      <c r="FY818" s="675">
        <v>0</v>
      </c>
      <c r="FZ818" s="549">
        <v>0</v>
      </c>
      <c r="GA818" s="675">
        <v>0</v>
      </c>
      <c r="GB818" s="549">
        <v>0</v>
      </c>
      <c r="GC818" s="675">
        <v>0</v>
      </c>
      <c r="GD818" s="549">
        <v>0</v>
      </c>
      <c r="GE818" s="675">
        <v>0</v>
      </c>
      <c r="GF818" s="549">
        <v>0</v>
      </c>
      <c r="GG818" s="675">
        <v>0</v>
      </c>
      <c r="GH818" s="549">
        <v>0</v>
      </c>
      <c r="GI818" s="675">
        <v>0</v>
      </c>
      <c r="GJ818" s="549">
        <v>0</v>
      </c>
      <c r="GK818" s="675">
        <v>0</v>
      </c>
      <c r="GL818" s="549">
        <v>0</v>
      </c>
      <c r="GM818" s="675">
        <v>0</v>
      </c>
      <c r="GN818" s="549">
        <v>0</v>
      </c>
      <c r="GO818" s="675">
        <v>0</v>
      </c>
      <c r="GP818" s="549">
        <f t="shared" si="17104"/>
        <v>0</v>
      </c>
      <c r="GQ818" s="675">
        <f t="shared" si="17105"/>
        <v>-25000</v>
      </c>
      <c r="GR818" s="74">
        <f t="shared" si="17106"/>
        <v>0</v>
      </c>
      <c r="GS818" s="74">
        <f t="shared" si="17107"/>
        <v>0</v>
      </c>
      <c r="GT818" s="568">
        <f t="shared" si="17108"/>
        <v>0</v>
      </c>
      <c r="GU818" s="275">
        <v>5000</v>
      </c>
      <c r="GV818" s="275"/>
      <c r="GW818" s="588"/>
      <c r="GX818" s="275">
        <v>7500</v>
      </c>
      <c r="GY818" s="275">
        <v>12500</v>
      </c>
      <c r="GZ818" s="275"/>
      <c r="HA818" s="275">
        <f>7500-7500</f>
        <v>0</v>
      </c>
      <c r="HB818" s="275"/>
      <c r="HC818" s="275"/>
      <c r="HD818" s="275">
        <f>5000-5000</f>
        <v>0</v>
      </c>
      <c r="HE818" s="275">
        <v>0</v>
      </c>
      <c r="HF818" s="275">
        <v>0</v>
      </c>
      <c r="HG818" s="74">
        <f t="shared" si="17109"/>
        <v>0</v>
      </c>
      <c r="HH818" s="89">
        <v>0</v>
      </c>
      <c r="HI818" s="157">
        <v>0</v>
      </c>
      <c r="HJ818" s="89">
        <v>0</v>
      </c>
      <c r="HK818" s="157">
        <v>0</v>
      </c>
      <c r="HL818" s="89">
        <v>0</v>
      </c>
      <c r="HM818" s="157">
        <v>5000</v>
      </c>
      <c r="HN818" s="89">
        <v>0</v>
      </c>
      <c r="HO818" s="157">
        <v>7500</v>
      </c>
      <c r="HP818" s="89">
        <v>0</v>
      </c>
      <c r="HQ818" s="157">
        <v>0</v>
      </c>
      <c r="HR818" s="89">
        <v>0</v>
      </c>
      <c r="HS818" s="157">
        <v>0</v>
      </c>
      <c r="HT818" s="89">
        <v>0</v>
      </c>
      <c r="HU818" s="157">
        <v>12500</v>
      </c>
      <c r="HV818" s="89">
        <v>0</v>
      </c>
      <c r="HW818" s="157">
        <v>0</v>
      </c>
      <c r="HX818" s="89">
        <v>0</v>
      </c>
      <c r="HY818" s="157">
        <v>0</v>
      </c>
      <c r="HZ818" s="89">
        <v>0</v>
      </c>
      <c r="IA818" s="157">
        <v>0</v>
      </c>
      <c r="IB818" s="89">
        <v>0</v>
      </c>
      <c r="IC818" s="157">
        <v>0</v>
      </c>
      <c r="ID818" s="89">
        <v>0</v>
      </c>
      <c r="IE818" s="157">
        <v>0</v>
      </c>
      <c r="IF818" s="717">
        <f t="shared" si="17110"/>
        <v>0</v>
      </c>
      <c r="IG818" s="263">
        <f t="shared" si="17111"/>
        <v>0</v>
      </c>
      <c r="IH818" s="718">
        <f t="shared" si="17112"/>
        <v>0</v>
      </c>
      <c r="II818" s="89">
        <v>0</v>
      </c>
      <c r="IJ818" s="89">
        <f t="shared" si="17113"/>
        <v>0</v>
      </c>
      <c r="IK818" s="89">
        <f t="shared" si="17114"/>
        <v>0</v>
      </c>
      <c r="IL818" s="89">
        <v>0</v>
      </c>
      <c r="IM818" s="89">
        <f t="shared" si="17115"/>
        <v>0</v>
      </c>
      <c r="IN818" s="89">
        <f t="shared" si="17116"/>
        <v>0</v>
      </c>
      <c r="IO818" s="89">
        <v>0</v>
      </c>
      <c r="IP818" s="89">
        <f t="shared" si="17117"/>
        <v>0</v>
      </c>
      <c r="IQ818" s="89">
        <f t="shared" si="17118"/>
        <v>0</v>
      </c>
      <c r="IR818" s="89">
        <v>0</v>
      </c>
      <c r="IS818" s="89">
        <f t="shared" si="17119"/>
        <v>0</v>
      </c>
      <c r="IT818" s="89">
        <f t="shared" si="17120"/>
        <v>0</v>
      </c>
      <c r="IU818" s="89">
        <v>0</v>
      </c>
      <c r="IV818" s="89">
        <f t="shared" si="17121"/>
        <v>0</v>
      </c>
      <c r="IW818" s="89">
        <f t="shared" si="17122"/>
        <v>0</v>
      </c>
      <c r="IX818" s="89">
        <v>0</v>
      </c>
      <c r="IY818" s="89">
        <f t="shared" si="17123"/>
        <v>0</v>
      </c>
      <c r="IZ818" s="89">
        <f t="shared" si="17124"/>
        <v>0</v>
      </c>
      <c r="JA818" s="89">
        <v>0</v>
      </c>
      <c r="JB818" s="89">
        <f t="shared" si="17125"/>
        <v>0</v>
      </c>
      <c r="JC818" s="89">
        <f t="shared" si="17126"/>
        <v>0</v>
      </c>
      <c r="JD818" s="89">
        <v>0</v>
      </c>
      <c r="JE818" s="89">
        <f t="shared" si="17127"/>
        <v>0</v>
      </c>
      <c r="JF818" s="89">
        <f t="shared" si="17128"/>
        <v>0</v>
      </c>
      <c r="JG818" s="89">
        <v>0</v>
      </c>
      <c r="JH818" s="89">
        <f t="shared" si="17129"/>
        <v>0</v>
      </c>
      <c r="JI818" s="89">
        <f t="shared" si="17130"/>
        <v>0</v>
      </c>
      <c r="JJ818" s="89">
        <v>0</v>
      </c>
      <c r="JK818" s="89">
        <f t="shared" si="17131"/>
        <v>0</v>
      </c>
      <c r="JL818" s="89">
        <f t="shared" si="17132"/>
        <v>0</v>
      </c>
      <c r="JM818" s="89">
        <v>0</v>
      </c>
      <c r="JN818" s="89">
        <f t="shared" si="17133"/>
        <v>0</v>
      </c>
      <c r="JO818" s="89">
        <f t="shared" si="17134"/>
        <v>0</v>
      </c>
      <c r="JP818" s="89">
        <v>0</v>
      </c>
      <c r="JQ818" s="89">
        <f t="shared" ref="JQ818:JR818" si="17165">JP818</f>
        <v>0</v>
      </c>
      <c r="JR818" s="89">
        <f t="shared" si="17165"/>
        <v>0</v>
      </c>
      <c r="JS818" s="74">
        <f t="shared" si="17136"/>
        <v>0</v>
      </c>
      <c r="JT818" s="382">
        <f t="shared" si="17137"/>
        <v>0</v>
      </c>
      <c r="JU818" s="665"/>
      <c r="JV818" s="524"/>
      <c r="JW818" s="525"/>
      <c r="JX818" s="549">
        <f t="shared" si="17138"/>
        <v>0</v>
      </c>
      <c r="JY818" s="549">
        <f t="shared" si="17138"/>
        <v>25000</v>
      </c>
      <c r="JZ818" s="581">
        <f t="shared" si="16466"/>
        <v>0</v>
      </c>
      <c r="KA818" s="581">
        <f t="shared" si="16467"/>
        <v>-25000</v>
      </c>
      <c r="KB818" s="566">
        <f t="shared" si="17031"/>
        <v>0</v>
      </c>
      <c r="KC818" s="709">
        <f t="shared" si="16464"/>
        <v>0</v>
      </c>
      <c r="KD818" s="491"/>
      <c r="KE818" s="491"/>
      <c r="KF818" s="491"/>
      <c r="KG818" s="491"/>
      <c r="KH818" s="36"/>
      <c r="KI818" s="36"/>
      <c r="KJ818" s="36"/>
      <c r="KK818" s="36"/>
    </row>
    <row r="819" spans="1:297" s="10" customFormat="1" ht="12.75" hidden="1" customHeight="1">
      <c r="A819" s="612" t="s">
        <v>1180</v>
      </c>
      <c r="B819" s="512" t="s">
        <v>982</v>
      </c>
      <c r="C819" s="74">
        <v>0</v>
      </c>
      <c r="D819" s="549"/>
      <c r="E819" s="675"/>
      <c r="F819" s="549"/>
      <c r="G819" s="675"/>
      <c r="H819" s="549"/>
      <c r="I819" s="675"/>
      <c r="J819" s="549"/>
      <c r="K819" s="675"/>
      <c r="L819" s="549"/>
      <c r="M819" s="675"/>
      <c r="N819" s="549"/>
      <c r="O819" s="675"/>
      <c r="P819" s="549"/>
      <c r="Q819" s="675"/>
      <c r="R819" s="549"/>
      <c r="S819" s="675"/>
      <c r="T819" s="549"/>
      <c r="U819" s="675"/>
      <c r="V819" s="549"/>
      <c r="W819" s="675"/>
      <c r="X819" s="549"/>
      <c r="Y819" s="675"/>
      <c r="Z819" s="549"/>
      <c r="AA819" s="675"/>
      <c r="AB819" s="549"/>
      <c r="AC819" s="675"/>
      <c r="AD819" s="549"/>
      <c r="AE819" s="675"/>
      <c r="AF819" s="549"/>
      <c r="AG819" s="675"/>
      <c r="AH819" s="549"/>
      <c r="AI819" s="675"/>
      <c r="AJ819" s="549"/>
      <c r="AK819" s="675"/>
      <c r="AL819" s="549"/>
      <c r="AM819" s="675"/>
      <c r="AN819" s="549"/>
      <c r="AO819" s="675"/>
      <c r="AP819" s="549"/>
      <c r="AQ819" s="675"/>
      <c r="AR819" s="549"/>
      <c r="AS819" s="675"/>
      <c r="AT819" s="549"/>
      <c r="AU819" s="675"/>
      <c r="AV819" s="549"/>
      <c r="AW819" s="675"/>
      <c r="AX819" s="549"/>
      <c r="AY819" s="675"/>
      <c r="AZ819" s="549"/>
      <c r="BA819" s="675"/>
      <c r="BB819" s="549"/>
      <c r="BC819" s="675"/>
      <c r="BD819" s="549"/>
      <c r="BE819" s="675"/>
      <c r="BF819" s="549"/>
      <c r="BG819" s="675"/>
      <c r="BH819" s="549"/>
      <c r="BI819" s="675"/>
      <c r="BJ819" s="549"/>
      <c r="BK819" s="675"/>
      <c r="BL819" s="549"/>
      <c r="BM819" s="675"/>
      <c r="BN819" s="549"/>
      <c r="BO819" s="675"/>
      <c r="BP819" s="549"/>
      <c r="BQ819" s="675"/>
      <c r="BR819" s="549"/>
      <c r="BS819" s="675"/>
      <c r="BT819" s="549"/>
      <c r="BU819" s="675"/>
      <c r="BV819" s="549"/>
      <c r="BW819" s="675"/>
      <c r="BX819" s="549"/>
      <c r="BY819" s="675"/>
      <c r="BZ819" s="549"/>
      <c r="CA819" s="675"/>
      <c r="CB819" s="549"/>
      <c r="CC819" s="675"/>
      <c r="CD819" s="549"/>
      <c r="CE819" s="675"/>
      <c r="CF819" s="549"/>
      <c r="CG819" s="675"/>
      <c r="CH819" s="549"/>
      <c r="CI819" s="675"/>
      <c r="CJ819" s="549"/>
      <c r="CK819" s="675"/>
      <c r="CL819" s="549"/>
      <c r="CM819" s="675"/>
      <c r="CN819" s="549"/>
      <c r="CO819" s="675"/>
      <c r="CP819" s="549"/>
      <c r="CQ819" s="675"/>
      <c r="CR819" s="549"/>
      <c r="CS819" s="675"/>
      <c r="CT819" s="549"/>
      <c r="CU819" s="675"/>
      <c r="CV819" s="549"/>
      <c r="CW819" s="675"/>
      <c r="CX819" s="549"/>
      <c r="CY819" s="675"/>
      <c r="CZ819" s="549"/>
      <c r="DA819" s="675"/>
      <c r="DB819" s="549"/>
      <c r="DC819" s="675"/>
      <c r="DD819" s="549"/>
      <c r="DE819" s="675"/>
      <c r="DF819" s="549"/>
      <c r="DG819" s="675"/>
      <c r="DH819" s="549"/>
      <c r="DI819" s="675"/>
      <c r="DJ819" s="549"/>
      <c r="DK819" s="675"/>
      <c r="DL819" s="549"/>
      <c r="DM819" s="675"/>
      <c r="DN819" s="549"/>
      <c r="DO819" s="675"/>
      <c r="DP819" s="549"/>
      <c r="DQ819" s="675"/>
      <c r="DR819" s="549"/>
      <c r="DS819" s="675"/>
      <c r="DT819" s="549"/>
      <c r="DU819" s="675"/>
      <c r="DV819" s="549"/>
      <c r="DW819" s="675"/>
      <c r="DX819" s="549"/>
      <c r="DY819" s="675"/>
      <c r="DZ819" s="549"/>
      <c r="EA819" s="675"/>
      <c r="EB819" s="549"/>
      <c r="EC819" s="675"/>
      <c r="ED819" s="549"/>
      <c r="EE819" s="675"/>
      <c r="EF819" s="549"/>
      <c r="EG819" s="675"/>
      <c r="EH819" s="549"/>
      <c r="EI819" s="675"/>
      <c r="EJ819" s="549"/>
      <c r="EK819" s="675"/>
      <c r="EL819" s="549"/>
      <c r="EM819" s="675"/>
      <c r="EN819" s="549"/>
      <c r="EO819" s="675"/>
      <c r="EP819" s="549"/>
      <c r="EQ819" s="675"/>
      <c r="ER819" s="549"/>
      <c r="ES819" s="675"/>
      <c r="ET819" s="549"/>
      <c r="EU819" s="675"/>
      <c r="EV819" s="549"/>
      <c r="EW819" s="675"/>
      <c r="EX819" s="549"/>
      <c r="EY819" s="675"/>
      <c r="EZ819" s="549"/>
      <c r="FA819" s="675"/>
      <c r="FB819" s="549"/>
      <c r="FC819" s="675"/>
      <c r="FD819" s="549"/>
      <c r="FE819" s="675"/>
      <c r="FF819" s="549"/>
      <c r="FG819" s="675"/>
      <c r="FH819" s="549"/>
      <c r="FI819" s="675"/>
      <c r="FJ819" s="549"/>
      <c r="FK819" s="675"/>
      <c r="FL819" s="549"/>
      <c r="FM819" s="675"/>
      <c r="FN819" s="549"/>
      <c r="FO819" s="675"/>
      <c r="FP819" s="549"/>
      <c r="FQ819" s="675"/>
      <c r="FR819" s="549"/>
      <c r="FS819" s="675"/>
      <c r="FT819" s="549"/>
      <c r="FU819" s="675"/>
      <c r="FV819" s="549"/>
      <c r="FW819" s="675"/>
      <c r="FX819" s="549"/>
      <c r="FY819" s="675"/>
      <c r="FZ819" s="549"/>
      <c r="GA819" s="675"/>
      <c r="GB819" s="549"/>
      <c r="GC819" s="675"/>
      <c r="GD819" s="549"/>
      <c r="GE819" s="675"/>
      <c r="GF819" s="549"/>
      <c r="GG819" s="675"/>
      <c r="GH819" s="549"/>
      <c r="GI819" s="675"/>
      <c r="GJ819" s="549"/>
      <c r="GK819" s="675"/>
      <c r="GL819" s="549"/>
      <c r="GM819" s="675"/>
      <c r="GN819" s="549"/>
      <c r="GO819" s="675"/>
      <c r="GP819" s="549">
        <f t="shared" si="17104"/>
        <v>0</v>
      </c>
      <c r="GQ819" s="675">
        <f t="shared" si="17105"/>
        <v>0</v>
      </c>
      <c r="GR819" s="74">
        <f t="shared" si="17106"/>
        <v>0</v>
      </c>
      <c r="GS819" s="74">
        <f t="shared" si="17107"/>
        <v>0</v>
      </c>
      <c r="GT819" s="568"/>
      <c r="GU819" s="275"/>
      <c r="GV819" s="275"/>
      <c r="GW819" s="588"/>
      <c r="GX819" s="275"/>
      <c r="GY819" s="275"/>
      <c r="GZ819" s="275"/>
      <c r="HA819" s="275"/>
      <c r="HB819" s="275"/>
      <c r="HC819" s="275"/>
      <c r="HD819" s="275"/>
      <c r="HE819" s="275"/>
      <c r="HF819" s="275"/>
      <c r="HG819" s="74">
        <f t="shared" si="17109"/>
        <v>0</v>
      </c>
      <c r="HH819" s="89">
        <v>0</v>
      </c>
      <c r="HI819" s="157">
        <v>0</v>
      </c>
      <c r="HJ819" s="89">
        <v>0</v>
      </c>
      <c r="HK819" s="157">
        <v>0</v>
      </c>
      <c r="HL819" s="89">
        <v>0</v>
      </c>
      <c r="HM819" s="157">
        <v>0</v>
      </c>
      <c r="HN819" s="89">
        <v>0</v>
      </c>
      <c r="HO819" s="157">
        <v>0</v>
      </c>
      <c r="HP819" s="89">
        <v>0</v>
      </c>
      <c r="HQ819" s="157">
        <v>0</v>
      </c>
      <c r="HR819" s="89">
        <v>0</v>
      </c>
      <c r="HS819" s="157">
        <v>0</v>
      </c>
      <c r="HT819" s="89">
        <v>0</v>
      </c>
      <c r="HU819" s="157">
        <v>0</v>
      </c>
      <c r="HV819" s="89">
        <v>0</v>
      </c>
      <c r="HW819" s="157">
        <v>0</v>
      </c>
      <c r="HX819" s="89">
        <v>0</v>
      </c>
      <c r="HY819" s="157">
        <v>0</v>
      </c>
      <c r="HZ819" s="89">
        <v>0</v>
      </c>
      <c r="IA819" s="157">
        <v>0</v>
      </c>
      <c r="IB819" s="89">
        <v>0</v>
      </c>
      <c r="IC819" s="157">
        <v>0</v>
      </c>
      <c r="ID819" s="89">
        <v>0</v>
      </c>
      <c r="IE819" s="157">
        <v>0</v>
      </c>
      <c r="IF819" s="717">
        <f t="shared" si="17110"/>
        <v>0</v>
      </c>
      <c r="IG819" s="263">
        <f t="shared" si="17111"/>
        <v>0</v>
      </c>
      <c r="IH819" s="718">
        <f t="shared" si="17112"/>
        <v>0</v>
      </c>
      <c r="II819" s="89">
        <v>0</v>
      </c>
      <c r="IJ819" s="89">
        <f t="shared" si="17113"/>
        <v>0</v>
      </c>
      <c r="IK819" s="89">
        <f t="shared" si="17114"/>
        <v>0</v>
      </c>
      <c r="IL819" s="89">
        <v>0</v>
      </c>
      <c r="IM819" s="89">
        <f t="shared" si="17115"/>
        <v>0</v>
      </c>
      <c r="IN819" s="89">
        <f t="shared" si="17116"/>
        <v>0</v>
      </c>
      <c r="IO819" s="89">
        <v>0</v>
      </c>
      <c r="IP819" s="89">
        <f t="shared" si="17117"/>
        <v>0</v>
      </c>
      <c r="IQ819" s="89">
        <f t="shared" si="17118"/>
        <v>0</v>
      </c>
      <c r="IR819" s="89">
        <v>0</v>
      </c>
      <c r="IS819" s="89">
        <f t="shared" si="17119"/>
        <v>0</v>
      </c>
      <c r="IT819" s="89">
        <f t="shared" si="17120"/>
        <v>0</v>
      </c>
      <c r="IU819" s="89">
        <v>0</v>
      </c>
      <c r="IV819" s="89">
        <f t="shared" si="17121"/>
        <v>0</v>
      </c>
      <c r="IW819" s="89">
        <f t="shared" si="17122"/>
        <v>0</v>
      </c>
      <c r="IX819" s="89">
        <v>0</v>
      </c>
      <c r="IY819" s="89">
        <f t="shared" si="17123"/>
        <v>0</v>
      </c>
      <c r="IZ819" s="89">
        <f t="shared" si="17124"/>
        <v>0</v>
      </c>
      <c r="JA819" s="89">
        <v>0</v>
      </c>
      <c r="JB819" s="89">
        <f t="shared" si="17125"/>
        <v>0</v>
      </c>
      <c r="JC819" s="89">
        <f t="shared" si="17126"/>
        <v>0</v>
      </c>
      <c r="JD819" s="89">
        <v>0</v>
      </c>
      <c r="JE819" s="89">
        <f t="shared" si="17127"/>
        <v>0</v>
      </c>
      <c r="JF819" s="89">
        <f t="shared" si="17128"/>
        <v>0</v>
      </c>
      <c r="JG819" s="89">
        <v>0</v>
      </c>
      <c r="JH819" s="89">
        <f t="shared" si="17129"/>
        <v>0</v>
      </c>
      <c r="JI819" s="89">
        <f t="shared" si="17130"/>
        <v>0</v>
      </c>
      <c r="JJ819" s="89">
        <v>0</v>
      </c>
      <c r="JK819" s="89">
        <f t="shared" si="17131"/>
        <v>0</v>
      </c>
      <c r="JL819" s="89">
        <f t="shared" si="17132"/>
        <v>0</v>
      </c>
      <c r="JM819" s="89">
        <v>0</v>
      </c>
      <c r="JN819" s="89">
        <f t="shared" si="17133"/>
        <v>0</v>
      </c>
      <c r="JO819" s="89">
        <f t="shared" si="17134"/>
        <v>0</v>
      </c>
      <c r="JP819" s="89">
        <v>0</v>
      </c>
      <c r="JQ819" s="89">
        <f t="shared" ref="JQ819:JR819" si="17166">JP819</f>
        <v>0</v>
      </c>
      <c r="JR819" s="89">
        <f t="shared" si="17166"/>
        <v>0</v>
      </c>
      <c r="JS819" s="74">
        <f t="shared" si="17136"/>
        <v>0</v>
      </c>
      <c r="JT819" s="382">
        <f t="shared" si="17137"/>
        <v>0</v>
      </c>
      <c r="JU819" s="665"/>
      <c r="JV819" s="524"/>
      <c r="JW819" s="525"/>
      <c r="JX819" s="549"/>
      <c r="JY819" s="549"/>
      <c r="JZ819" s="581"/>
      <c r="KA819" s="581"/>
      <c r="KB819" s="566"/>
      <c r="KC819" s="709"/>
      <c r="KD819" s="491"/>
      <c r="KE819" s="491"/>
      <c r="KF819" s="491"/>
      <c r="KG819" s="491"/>
      <c r="KH819" s="36"/>
      <c r="KI819" s="36"/>
      <c r="KJ819" s="36"/>
      <c r="KK819" s="36"/>
    </row>
    <row r="820" spans="1:297" s="10" customFormat="1">
      <c r="A820" s="612" t="s">
        <v>672</v>
      </c>
      <c r="B820" s="512" t="s">
        <v>963</v>
      </c>
      <c r="C820" s="74">
        <v>75000</v>
      </c>
      <c r="D820" s="549">
        <v>0</v>
      </c>
      <c r="E820" s="675">
        <v>0</v>
      </c>
      <c r="F820" s="549">
        <v>0</v>
      </c>
      <c r="G820" s="675">
        <v>0</v>
      </c>
      <c r="H820" s="549">
        <v>0</v>
      </c>
      <c r="I820" s="675">
        <v>0</v>
      </c>
      <c r="J820" s="549">
        <v>0</v>
      </c>
      <c r="K820" s="675">
        <v>0</v>
      </c>
      <c r="L820" s="549">
        <v>0</v>
      </c>
      <c r="M820" s="675">
        <v>0</v>
      </c>
      <c r="N820" s="549">
        <v>0</v>
      </c>
      <c r="O820" s="675">
        <v>0</v>
      </c>
      <c r="P820" s="549">
        <v>0</v>
      </c>
      <c r="Q820" s="675">
        <v>0</v>
      </c>
      <c r="R820" s="549">
        <v>0</v>
      </c>
      <c r="S820" s="675">
        <v>0</v>
      </c>
      <c r="T820" s="549">
        <v>0</v>
      </c>
      <c r="U820" s="675">
        <v>0</v>
      </c>
      <c r="V820" s="549">
        <v>0</v>
      </c>
      <c r="W820" s="675">
        <v>0</v>
      </c>
      <c r="X820" s="549">
        <v>0</v>
      </c>
      <c r="Y820" s="675">
        <v>0</v>
      </c>
      <c r="Z820" s="549">
        <v>0</v>
      </c>
      <c r="AA820" s="675">
        <v>0</v>
      </c>
      <c r="AB820" s="549">
        <v>0</v>
      </c>
      <c r="AC820" s="675">
        <v>0</v>
      </c>
      <c r="AD820" s="549">
        <v>0</v>
      </c>
      <c r="AE820" s="675">
        <v>0</v>
      </c>
      <c r="AF820" s="549">
        <v>0</v>
      </c>
      <c r="AG820" s="675">
        <v>0</v>
      </c>
      <c r="AH820" s="549">
        <v>0</v>
      </c>
      <c r="AI820" s="675">
        <v>0</v>
      </c>
      <c r="AJ820" s="549">
        <v>0</v>
      </c>
      <c r="AK820" s="675">
        <v>0</v>
      </c>
      <c r="AL820" s="549">
        <v>0</v>
      </c>
      <c r="AM820" s="675">
        <v>0</v>
      </c>
      <c r="AN820" s="549">
        <v>0</v>
      </c>
      <c r="AO820" s="675">
        <v>0</v>
      </c>
      <c r="AP820" s="549">
        <v>0</v>
      </c>
      <c r="AQ820" s="675">
        <v>0</v>
      </c>
      <c r="AR820" s="549">
        <v>0</v>
      </c>
      <c r="AS820" s="675">
        <v>0</v>
      </c>
      <c r="AT820" s="549">
        <v>0</v>
      </c>
      <c r="AU820" s="675">
        <v>0</v>
      </c>
      <c r="AV820" s="549">
        <v>0</v>
      </c>
      <c r="AW820" s="675">
        <v>0</v>
      </c>
      <c r="AX820" s="549">
        <v>0</v>
      </c>
      <c r="AY820" s="675">
        <v>0</v>
      </c>
      <c r="AZ820" s="549">
        <v>0</v>
      </c>
      <c r="BA820" s="675">
        <v>0</v>
      </c>
      <c r="BB820" s="549">
        <v>0</v>
      </c>
      <c r="BC820" s="675">
        <v>-37500</v>
      </c>
      <c r="BD820" s="549">
        <v>0</v>
      </c>
      <c r="BE820" s="675">
        <v>0</v>
      </c>
      <c r="BF820" s="549">
        <v>0</v>
      </c>
      <c r="BG820" s="675">
        <v>0</v>
      </c>
      <c r="BH820" s="549">
        <v>0</v>
      </c>
      <c r="BI820" s="675">
        <v>0</v>
      </c>
      <c r="BJ820" s="549">
        <v>0</v>
      </c>
      <c r="BK820" s="675">
        <v>0</v>
      </c>
      <c r="BL820" s="549">
        <v>0</v>
      </c>
      <c r="BM820" s="675">
        <v>0</v>
      </c>
      <c r="BN820" s="549">
        <v>0</v>
      </c>
      <c r="BO820" s="675">
        <v>0</v>
      </c>
      <c r="BP820" s="549">
        <v>0</v>
      </c>
      <c r="BQ820" s="675">
        <v>0</v>
      </c>
      <c r="BR820" s="549">
        <v>0</v>
      </c>
      <c r="BS820" s="675">
        <v>0</v>
      </c>
      <c r="BT820" s="549">
        <v>0</v>
      </c>
      <c r="BU820" s="675">
        <v>0</v>
      </c>
      <c r="BV820" s="549">
        <v>0</v>
      </c>
      <c r="BW820" s="675">
        <v>0</v>
      </c>
      <c r="BX820" s="549">
        <v>0</v>
      </c>
      <c r="BY820" s="675">
        <v>0</v>
      </c>
      <c r="BZ820" s="549">
        <v>0</v>
      </c>
      <c r="CA820" s="675">
        <v>0</v>
      </c>
      <c r="CB820" s="549">
        <v>0</v>
      </c>
      <c r="CC820" s="675">
        <v>0</v>
      </c>
      <c r="CD820" s="549">
        <v>0</v>
      </c>
      <c r="CE820" s="675">
        <v>0</v>
      </c>
      <c r="CF820" s="549">
        <v>0</v>
      </c>
      <c r="CG820" s="675">
        <v>0</v>
      </c>
      <c r="CH820" s="549">
        <v>0</v>
      </c>
      <c r="CI820" s="675">
        <v>0</v>
      </c>
      <c r="CJ820" s="549">
        <v>0</v>
      </c>
      <c r="CK820" s="675">
        <v>0</v>
      </c>
      <c r="CL820" s="549">
        <v>0</v>
      </c>
      <c r="CM820" s="675">
        <v>0</v>
      </c>
      <c r="CN820" s="549">
        <v>0</v>
      </c>
      <c r="CO820" s="675">
        <v>0</v>
      </c>
      <c r="CP820" s="549">
        <v>0</v>
      </c>
      <c r="CQ820" s="675">
        <v>0</v>
      </c>
      <c r="CR820" s="549">
        <v>0</v>
      </c>
      <c r="CS820" s="675">
        <v>0</v>
      </c>
      <c r="CT820" s="549">
        <v>0</v>
      </c>
      <c r="CU820" s="675">
        <v>0</v>
      </c>
      <c r="CV820" s="549">
        <v>0</v>
      </c>
      <c r="CW820" s="675">
        <v>0</v>
      </c>
      <c r="CX820" s="549">
        <v>0</v>
      </c>
      <c r="CY820" s="675">
        <v>0</v>
      </c>
      <c r="CZ820" s="549">
        <v>0</v>
      </c>
      <c r="DA820" s="675">
        <v>0</v>
      </c>
      <c r="DB820" s="549">
        <v>0</v>
      </c>
      <c r="DC820" s="675">
        <v>-37500</v>
      </c>
      <c r="DD820" s="549">
        <v>0</v>
      </c>
      <c r="DE820" s="675">
        <v>0</v>
      </c>
      <c r="DF820" s="549">
        <v>0</v>
      </c>
      <c r="DG820" s="675">
        <v>0</v>
      </c>
      <c r="DH820" s="549">
        <v>0</v>
      </c>
      <c r="DI820" s="675">
        <v>0</v>
      </c>
      <c r="DJ820" s="549">
        <v>0</v>
      </c>
      <c r="DK820" s="675">
        <v>0</v>
      </c>
      <c r="DL820" s="549">
        <v>0</v>
      </c>
      <c r="DM820" s="675">
        <v>0</v>
      </c>
      <c r="DN820" s="549">
        <v>0</v>
      </c>
      <c r="DO820" s="675">
        <v>0</v>
      </c>
      <c r="DP820" s="549">
        <v>0</v>
      </c>
      <c r="DQ820" s="675">
        <v>0</v>
      </c>
      <c r="DR820" s="549">
        <v>0</v>
      </c>
      <c r="DS820" s="675">
        <v>0</v>
      </c>
      <c r="DT820" s="549">
        <v>0</v>
      </c>
      <c r="DU820" s="675">
        <v>0</v>
      </c>
      <c r="DV820" s="549">
        <v>0</v>
      </c>
      <c r="DW820" s="675">
        <v>0</v>
      </c>
      <c r="DX820" s="549">
        <v>0</v>
      </c>
      <c r="DY820" s="675">
        <v>0</v>
      </c>
      <c r="DZ820" s="549">
        <v>0</v>
      </c>
      <c r="EA820" s="675">
        <v>0</v>
      </c>
      <c r="EB820" s="549">
        <v>0</v>
      </c>
      <c r="EC820" s="675">
        <v>0</v>
      </c>
      <c r="ED820" s="549">
        <v>0</v>
      </c>
      <c r="EE820" s="675">
        <v>0</v>
      </c>
      <c r="EF820" s="549">
        <v>0</v>
      </c>
      <c r="EG820" s="675">
        <v>0</v>
      </c>
      <c r="EH820" s="549">
        <v>0</v>
      </c>
      <c r="EI820" s="675">
        <v>0</v>
      </c>
      <c r="EJ820" s="549">
        <v>0</v>
      </c>
      <c r="EK820" s="675">
        <v>0</v>
      </c>
      <c r="EL820" s="549">
        <v>0</v>
      </c>
      <c r="EM820" s="675">
        <v>0</v>
      </c>
      <c r="EN820" s="549">
        <v>0</v>
      </c>
      <c r="EO820" s="675">
        <v>0</v>
      </c>
      <c r="EP820" s="549">
        <v>0</v>
      </c>
      <c r="EQ820" s="675">
        <v>0</v>
      </c>
      <c r="ER820" s="549">
        <v>0</v>
      </c>
      <c r="ES820" s="675">
        <v>0</v>
      </c>
      <c r="ET820" s="549">
        <v>0</v>
      </c>
      <c r="EU820" s="675">
        <v>0</v>
      </c>
      <c r="EV820" s="549">
        <v>0</v>
      </c>
      <c r="EW820" s="675">
        <v>0</v>
      </c>
      <c r="EX820" s="549">
        <v>0</v>
      </c>
      <c r="EY820" s="675">
        <v>0</v>
      </c>
      <c r="EZ820" s="549">
        <v>0</v>
      </c>
      <c r="FA820" s="675">
        <v>0</v>
      </c>
      <c r="FB820" s="549">
        <v>0</v>
      </c>
      <c r="FC820" s="675">
        <v>0</v>
      </c>
      <c r="FD820" s="549">
        <v>0</v>
      </c>
      <c r="FE820" s="675">
        <v>0</v>
      </c>
      <c r="FF820" s="549">
        <v>0</v>
      </c>
      <c r="FG820" s="675">
        <v>0</v>
      </c>
      <c r="FH820" s="549">
        <v>0</v>
      </c>
      <c r="FI820" s="675">
        <v>0</v>
      </c>
      <c r="FJ820" s="549">
        <v>0</v>
      </c>
      <c r="FK820" s="675">
        <v>0</v>
      </c>
      <c r="FL820" s="549">
        <v>0</v>
      </c>
      <c r="FM820" s="675">
        <v>0</v>
      </c>
      <c r="FN820" s="549">
        <v>0</v>
      </c>
      <c r="FO820" s="675">
        <v>0</v>
      </c>
      <c r="FP820" s="549">
        <v>0</v>
      </c>
      <c r="FQ820" s="675">
        <v>0</v>
      </c>
      <c r="FR820" s="549">
        <v>0</v>
      </c>
      <c r="FS820" s="675">
        <v>0</v>
      </c>
      <c r="FT820" s="549">
        <v>0</v>
      </c>
      <c r="FU820" s="675">
        <v>0</v>
      </c>
      <c r="FV820" s="549">
        <v>0</v>
      </c>
      <c r="FW820" s="675">
        <v>0</v>
      </c>
      <c r="FX820" s="549">
        <v>0</v>
      </c>
      <c r="FY820" s="675">
        <v>0</v>
      </c>
      <c r="FZ820" s="549">
        <v>0</v>
      </c>
      <c r="GA820" s="675">
        <v>0</v>
      </c>
      <c r="GB820" s="549">
        <v>0</v>
      </c>
      <c r="GC820" s="675">
        <v>0</v>
      </c>
      <c r="GD820" s="549">
        <v>0</v>
      </c>
      <c r="GE820" s="675">
        <v>0</v>
      </c>
      <c r="GF820" s="549">
        <v>0</v>
      </c>
      <c r="GG820" s="675">
        <v>0</v>
      </c>
      <c r="GH820" s="549">
        <v>0</v>
      </c>
      <c r="GI820" s="675">
        <v>0</v>
      </c>
      <c r="GJ820" s="549">
        <v>0</v>
      </c>
      <c r="GK820" s="675">
        <v>0</v>
      </c>
      <c r="GL820" s="549">
        <v>0</v>
      </c>
      <c r="GM820" s="675">
        <v>0</v>
      </c>
      <c r="GN820" s="549">
        <v>0</v>
      </c>
      <c r="GO820" s="675">
        <v>0</v>
      </c>
      <c r="GP820" s="549">
        <f t="shared" si="17104"/>
        <v>0</v>
      </c>
      <c r="GQ820" s="675">
        <f t="shared" si="17105"/>
        <v>-75000</v>
      </c>
      <c r="GR820" s="74">
        <f t="shared" si="17106"/>
        <v>0</v>
      </c>
      <c r="GS820" s="74">
        <f t="shared" si="17107"/>
        <v>0</v>
      </c>
      <c r="GT820" s="568">
        <f t="shared" si="17108"/>
        <v>0</v>
      </c>
      <c r="GU820" s="275">
        <v>15000</v>
      </c>
      <c r="GV820" s="275"/>
      <c r="GW820" s="588"/>
      <c r="GX820" s="275">
        <v>22500</v>
      </c>
      <c r="GY820" s="275">
        <v>37500</v>
      </c>
      <c r="GZ820" s="275"/>
      <c r="HA820" s="275">
        <f>22500-22500</f>
        <v>0</v>
      </c>
      <c r="HB820" s="275"/>
      <c r="HC820" s="275"/>
      <c r="HD820" s="275">
        <f>15000-15000</f>
        <v>0</v>
      </c>
      <c r="HE820" s="275">
        <v>0</v>
      </c>
      <c r="HF820" s="275">
        <v>0</v>
      </c>
      <c r="HG820" s="74">
        <f t="shared" si="17109"/>
        <v>0</v>
      </c>
      <c r="HH820" s="89">
        <v>0</v>
      </c>
      <c r="HI820" s="157">
        <v>0</v>
      </c>
      <c r="HJ820" s="89">
        <v>0</v>
      </c>
      <c r="HK820" s="157">
        <v>0</v>
      </c>
      <c r="HL820" s="89">
        <v>0</v>
      </c>
      <c r="HM820" s="157">
        <v>15000</v>
      </c>
      <c r="HN820" s="89">
        <v>0</v>
      </c>
      <c r="HO820" s="157">
        <f>37500-15000</f>
        <v>22500</v>
      </c>
      <c r="HP820" s="89">
        <v>0</v>
      </c>
      <c r="HQ820" s="157">
        <v>0</v>
      </c>
      <c r="HR820" s="89">
        <v>0</v>
      </c>
      <c r="HS820" s="157">
        <v>0</v>
      </c>
      <c r="HT820" s="89">
        <v>0</v>
      </c>
      <c r="HU820" s="157">
        <v>37500</v>
      </c>
      <c r="HV820" s="89">
        <v>0</v>
      </c>
      <c r="HW820" s="157">
        <v>0</v>
      </c>
      <c r="HX820" s="89">
        <v>0</v>
      </c>
      <c r="HY820" s="157">
        <v>0</v>
      </c>
      <c r="HZ820" s="89">
        <v>0</v>
      </c>
      <c r="IA820" s="157">
        <v>0</v>
      </c>
      <c r="IB820" s="89">
        <v>0</v>
      </c>
      <c r="IC820" s="157">
        <v>0</v>
      </c>
      <c r="ID820" s="89">
        <v>0</v>
      </c>
      <c r="IE820" s="157">
        <v>0</v>
      </c>
      <c r="IF820" s="717">
        <f t="shared" si="17110"/>
        <v>0</v>
      </c>
      <c r="IG820" s="263">
        <f t="shared" si="17111"/>
        <v>0</v>
      </c>
      <c r="IH820" s="718">
        <f t="shared" si="17112"/>
        <v>0</v>
      </c>
      <c r="II820" s="89">
        <v>0</v>
      </c>
      <c r="IJ820" s="89">
        <f t="shared" si="17113"/>
        <v>0</v>
      </c>
      <c r="IK820" s="89">
        <f t="shared" si="17114"/>
        <v>0</v>
      </c>
      <c r="IL820" s="89">
        <v>0</v>
      </c>
      <c r="IM820" s="89">
        <f t="shared" si="17115"/>
        <v>0</v>
      </c>
      <c r="IN820" s="89">
        <f t="shared" si="17116"/>
        <v>0</v>
      </c>
      <c r="IO820" s="89">
        <v>0</v>
      </c>
      <c r="IP820" s="89">
        <f t="shared" si="17117"/>
        <v>0</v>
      </c>
      <c r="IQ820" s="89">
        <f t="shared" si="17118"/>
        <v>0</v>
      </c>
      <c r="IR820" s="89">
        <v>0</v>
      </c>
      <c r="IS820" s="89">
        <f t="shared" si="17119"/>
        <v>0</v>
      </c>
      <c r="IT820" s="89">
        <f t="shared" si="17120"/>
        <v>0</v>
      </c>
      <c r="IU820" s="89">
        <v>0</v>
      </c>
      <c r="IV820" s="89">
        <f t="shared" si="17121"/>
        <v>0</v>
      </c>
      <c r="IW820" s="89">
        <f t="shared" si="17122"/>
        <v>0</v>
      </c>
      <c r="IX820" s="89">
        <v>0</v>
      </c>
      <c r="IY820" s="89">
        <f t="shared" si="17123"/>
        <v>0</v>
      </c>
      <c r="IZ820" s="89">
        <f t="shared" si="17124"/>
        <v>0</v>
      </c>
      <c r="JA820" s="89">
        <v>0</v>
      </c>
      <c r="JB820" s="89">
        <f t="shared" si="17125"/>
        <v>0</v>
      </c>
      <c r="JC820" s="89">
        <f t="shared" si="17126"/>
        <v>0</v>
      </c>
      <c r="JD820" s="89">
        <v>0</v>
      </c>
      <c r="JE820" s="89">
        <f t="shared" si="17127"/>
        <v>0</v>
      </c>
      <c r="JF820" s="89">
        <f t="shared" si="17128"/>
        <v>0</v>
      </c>
      <c r="JG820" s="89">
        <v>0</v>
      </c>
      <c r="JH820" s="89">
        <f t="shared" si="17129"/>
        <v>0</v>
      </c>
      <c r="JI820" s="89">
        <f t="shared" si="17130"/>
        <v>0</v>
      </c>
      <c r="JJ820" s="89">
        <v>0</v>
      </c>
      <c r="JK820" s="89">
        <f t="shared" si="17131"/>
        <v>0</v>
      </c>
      <c r="JL820" s="89">
        <f t="shared" si="17132"/>
        <v>0</v>
      </c>
      <c r="JM820" s="89">
        <v>0</v>
      </c>
      <c r="JN820" s="89">
        <f t="shared" si="17133"/>
        <v>0</v>
      </c>
      <c r="JO820" s="89">
        <f t="shared" si="17134"/>
        <v>0</v>
      </c>
      <c r="JP820" s="89">
        <v>0</v>
      </c>
      <c r="JQ820" s="89">
        <f t="shared" ref="JQ820:JR820" si="17167">JP820</f>
        <v>0</v>
      </c>
      <c r="JR820" s="89">
        <f t="shared" si="17167"/>
        <v>0</v>
      </c>
      <c r="JS820" s="74">
        <f t="shared" si="17136"/>
        <v>0</v>
      </c>
      <c r="JT820" s="382">
        <f t="shared" si="17137"/>
        <v>0</v>
      </c>
      <c r="JU820" s="665"/>
      <c r="JV820" s="524"/>
      <c r="JW820" s="525"/>
      <c r="JX820" s="549">
        <f t="shared" si="17138"/>
        <v>0</v>
      </c>
      <c r="JY820" s="549">
        <f t="shared" si="17138"/>
        <v>75000</v>
      </c>
      <c r="JZ820" s="581">
        <f t="shared" si="16466"/>
        <v>0</v>
      </c>
      <c r="KA820" s="581">
        <f t="shared" si="16467"/>
        <v>-75000</v>
      </c>
      <c r="KB820" s="566">
        <f t="shared" si="17031"/>
        <v>0</v>
      </c>
      <c r="KC820" s="709">
        <f t="shared" si="16464"/>
        <v>0</v>
      </c>
      <c r="KD820" s="491"/>
      <c r="KE820" s="491"/>
      <c r="KF820" s="491"/>
      <c r="KG820" s="491"/>
      <c r="KH820" s="36"/>
      <c r="KI820" s="36"/>
      <c r="KJ820" s="36"/>
      <c r="KK820" s="36"/>
    </row>
    <row r="821" spans="1:297" s="10" customFormat="1">
      <c r="A821" s="612" t="s">
        <v>673</v>
      </c>
      <c r="B821" s="512" t="s">
        <v>939</v>
      </c>
      <c r="C821" s="74">
        <v>89900</v>
      </c>
      <c r="D821" s="549">
        <v>0</v>
      </c>
      <c r="E821" s="675">
        <v>0</v>
      </c>
      <c r="F821" s="549">
        <v>0</v>
      </c>
      <c r="G821" s="675">
        <v>0</v>
      </c>
      <c r="H821" s="549">
        <v>0</v>
      </c>
      <c r="I821" s="675">
        <v>0</v>
      </c>
      <c r="J821" s="549">
        <v>0</v>
      </c>
      <c r="K821" s="675">
        <v>0</v>
      </c>
      <c r="L821" s="549">
        <v>0</v>
      </c>
      <c r="M821" s="675">
        <v>0</v>
      </c>
      <c r="N821" s="549">
        <v>0</v>
      </c>
      <c r="O821" s="675">
        <v>0</v>
      </c>
      <c r="P821" s="549">
        <v>0</v>
      </c>
      <c r="Q821" s="675">
        <v>0</v>
      </c>
      <c r="R821" s="549">
        <v>0</v>
      </c>
      <c r="S821" s="675">
        <v>0</v>
      </c>
      <c r="T821" s="549">
        <v>0</v>
      </c>
      <c r="U821" s="675">
        <v>0</v>
      </c>
      <c r="V821" s="549">
        <v>0</v>
      </c>
      <c r="W821" s="675">
        <v>0</v>
      </c>
      <c r="X821" s="549">
        <v>0</v>
      </c>
      <c r="Y821" s="675">
        <v>0</v>
      </c>
      <c r="Z821" s="549">
        <v>0</v>
      </c>
      <c r="AA821" s="675">
        <v>0</v>
      </c>
      <c r="AB821" s="549">
        <v>0</v>
      </c>
      <c r="AC821" s="675">
        <v>-89900</v>
      </c>
      <c r="AD821" s="549">
        <v>0</v>
      </c>
      <c r="AE821" s="675">
        <v>0</v>
      </c>
      <c r="AF821" s="549">
        <v>0</v>
      </c>
      <c r="AG821" s="675">
        <v>0</v>
      </c>
      <c r="AH821" s="549">
        <v>0</v>
      </c>
      <c r="AI821" s="675">
        <v>0</v>
      </c>
      <c r="AJ821" s="549">
        <v>0</v>
      </c>
      <c r="AK821" s="675">
        <v>0</v>
      </c>
      <c r="AL821" s="549">
        <v>0</v>
      </c>
      <c r="AM821" s="675">
        <v>0</v>
      </c>
      <c r="AN821" s="549">
        <v>0</v>
      </c>
      <c r="AO821" s="675">
        <v>0</v>
      </c>
      <c r="AP821" s="549">
        <v>0</v>
      </c>
      <c r="AQ821" s="675">
        <v>0</v>
      </c>
      <c r="AR821" s="549">
        <v>0</v>
      </c>
      <c r="AS821" s="675">
        <v>0</v>
      </c>
      <c r="AT821" s="549">
        <v>0</v>
      </c>
      <c r="AU821" s="675">
        <v>0</v>
      </c>
      <c r="AV821" s="549">
        <v>0</v>
      </c>
      <c r="AW821" s="675">
        <v>0</v>
      </c>
      <c r="AX821" s="549">
        <v>0</v>
      </c>
      <c r="AY821" s="675">
        <v>0</v>
      </c>
      <c r="AZ821" s="549">
        <v>0</v>
      </c>
      <c r="BA821" s="675">
        <v>0</v>
      </c>
      <c r="BB821" s="549">
        <v>0</v>
      </c>
      <c r="BC821" s="675">
        <v>0</v>
      </c>
      <c r="BD821" s="549">
        <v>0</v>
      </c>
      <c r="BE821" s="675">
        <v>0</v>
      </c>
      <c r="BF821" s="549">
        <v>0</v>
      </c>
      <c r="BG821" s="675">
        <v>0</v>
      </c>
      <c r="BH821" s="549">
        <v>0</v>
      </c>
      <c r="BI821" s="675">
        <v>0</v>
      </c>
      <c r="BJ821" s="549">
        <v>0</v>
      </c>
      <c r="BK821" s="675">
        <v>0</v>
      </c>
      <c r="BL821" s="549">
        <v>0</v>
      </c>
      <c r="BM821" s="675">
        <v>0</v>
      </c>
      <c r="BN821" s="549">
        <v>0</v>
      </c>
      <c r="BO821" s="675">
        <v>0</v>
      </c>
      <c r="BP821" s="549">
        <v>0</v>
      </c>
      <c r="BQ821" s="675">
        <v>0</v>
      </c>
      <c r="BR821" s="549">
        <v>0</v>
      </c>
      <c r="BS821" s="675">
        <v>0</v>
      </c>
      <c r="BT821" s="549">
        <v>0</v>
      </c>
      <c r="BU821" s="675">
        <v>0</v>
      </c>
      <c r="BV821" s="549">
        <v>0</v>
      </c>
      <c r="BW821" s="675">
        <v>0</v>
      </c>
      <c r="BX821" s="549">
        <v>0</v>
      </c>
      <c r="BY821" s="675">
        <v>0</v>
      </c>
      <c r="BZ821" s="549">
        <v>0</v>
      </c>
      <c r="CA821" s="675">
        <v>0</v>
      </c>
      <c r="CB821" s="549">
        <v>0</v>
      </c>
      <c r="CC821" s="675">
        <v>0</v>
      </c>
      <c r="CD821" s="549">
        <v>0</v>
      </c>
      <c r="CE821" s="675">
        <v>0</v>
      </c>
      <c r="CF821" s="549">
        <v>0</v>
      </c>
      <c r="CG821" s="675">
        <v>0</v>
      </c>
      <c r="CH821" s="549">
        <v>0</v>
      </c>
      <c r="CI821" s="675">
        <v>0</v>
      </c>
      <c r="CJ821" s="549">
        <v>0</v>
      </c>
      <c r="CK821" s="675">
        <v>0</v>
      </c>
      <c r="CL821" s="549">
        <v>0</v>
      </c>
      <c r="CM821" s="675">
        <v>0</v>
      </c>
      <c r="CN821" s="549">
        <v>0</v>
      </c>
      <c r="CO821" s="675">
        <v>0</v>
      </c>
      <c r="CP821" s="549">
        <v>0</v>
      </c>
      <c r="CQ821" s="675">
        <v>0</v>
      </c>
      <c r="CR821" s="549">
        <v>0</v>
      </c>
      <c r="CS821" s="675">
        <v>0</v>
      </c>
      <c r="CT821" s="549">
        <v>0</v>
      </c>
      <c r="CU821" s="675">
        <v>0</v>
      </c>
      <c r="CV821" s="549">
        <v>0</v>
      </c>
      <c r="CW821" s="675">
        <v>0</v>
      </c>
      <c r="CX821" s="549">
        <v>0</v>
      </c>
      <c r="CY821" s="675">
        <v>0</v>
      </c>
      <c r="CZ821" s="549">
        <v>0</v>
      </c>
      <c r="DA821" s="675">
        <v>0</v>
      </c>
      <c r="DB821" s="549">
        <v>0</v>
      </c>
      <c r="DC821" s="675">
        <v>0</v>
      </c>
      <c r="DD821" s="549">
        <v>0</v>
      </c>
      <c r="DE821" s="675">
        <v>0</v>
      </c>
      <c r="DF821" s="549">
        <v>0</v>
      </c>
      <c r="DG821" s="675">
        <v>0</v>
      </c>
      <c r="DH821" s="549">
        <v>0</v>
      </c>
      <c r="DI821" s="675">
        <v>0</v>
      </c>
      <c r="DJ821" s="549">
        <v>0</v>
      </c>
      <c r="DK821" s="675">
        <v>0</v>
      </c>
      <c r="DL821" s="549">
        <v>0</v>
      </c>
      <c r="DM821" s="675">
        <v>0</v>
      </c>
      <c r="DN821" s="549">
        <v>0</v>
      </c>
      <c r="DO821" s="675">
        <v>0</v>
      </c>
      <c r="DP821" s="549">
        <v>0</v>
      </c>
      <c r="DQ821" s="675">
        <v>0</v>
      </c>
      <c r="DR821" s="549">
        <v>0</v>
      </c>
      <c r="DS821" s="675">
        <v>0</v>
      </c>
      <c r="DT821" s="549">
        <v>0</v>
      </c>
      <c r="DU821" s="675">
        <v>0</v>
      </c>
      <c r="DV821" s="549">
        <v>0</v>
      </c>
      <c r="DW821" s="675">
        <v>0</v>
      </c>
      <c r="DX821" s="549">
        <v>0</v>
      </c>
      <c r="DY821" s="675">
        <v>0</v>
      </c>
      <c r="DZ821" s="549">
        <v>0</v>
      </c>
      <c r="EA821" s="675">
        <v>0</v>
      </c>
      <c r="EB821" s="549">
        <v>0</v>
      </c>
      <c r="EC821" s="675">
        <v>0</v>
      </c>
      <c r="ED821" s="549">
        <v>0</v>
      </c>
      <c r="EE821" s="675">
        <v>0</v>
      </c>
      <c r="EF821" s="549">
        <v>0</v>
      </c>
      <c r="EG821" s="675">
        <v>0</v>
      </c>
      <c r="EH821" s="549">
        <v>0</v>
      </c>
      <c r="EI821" s="675">
        <v>0</v>
      </c>
      <c r="EJ821" s="549">
        <v>0</v>
      </c>
      <c r="EK821" s="675">
        <v>0</v>
      </c>
      <c r="EL821" s="549">
        <v>0</v>
      </c>
      <c r="EM821" s="675">
        <v>0</v>
      </c>
      <c r="EN821" s="549">
        <v>0</v>
      </c>
      <c r="EO821" s="675">
        <v>0</v>
      </c>
      <c r="EP821" s="549">
        <v>0</v>
      </c>
      <c r="EQ821" s="675">
        <v>0</v>
      </c>
      <c r="ER821" s="549">
        <v>0</v>
      </c>
      <c r="ES821" s="675">
        <v>0</v>
      </c>
      <c r="ET821" s="549">
        <v>0</v>
      </c>
      <c r="EU821" s="675">
        <v>0</v>
      </c>
      <c r="EV821" s="549">
        <v>0</v>
      </c>
      <c r="EW821" s="675">
        <v>0</v>
      </c>
      <c r="EX821" s="549">
        <v>0</v>
      </c>
      <c r="EY821" s="675">
        <v>0</v>
      </c>
      <c r="EZ821" s="549">
        <v>0</v>
      </c>
      <c r="FA821" s="675">
        <v>0</v>
      </c>
      <c r="FB821" s="549">
        <v>0</v>
      </c>
      <c r="FC821" s="675">
        <v>0</v>
      </c>
      <c r="FD821" s="549">
        <v>0</v>
      </c>
      <c r="FE821" s="675">
        <v>0</v>
      </c>
      <c r="FF821" s="549">
        <v>0</v>
      </c>
      <c r="FG821" s="675">
        <v>0</v>
      </c>
      <c r="FH821" s="549">
        <v>0</v>
      </c>
      <c r="FI821" s="675">
        <v>0</v>
      </c>
      <c r="FJ821" s="549">
        <v>0</v>
      </c>
      <c r="FK821" s="675">
        <v>0</v>
      </c>
      <c r="FL821" s="549">
        <v>0</v>
      </c>
      <c r="FM821" s="675">
        <v>0</v>
      </c>
      <c r="FN821" s="549">
        <v>0</v>
      </c>
      <c r="FO821" s="675">
        <v>0</v>
      </c>
      <c r="FP821" s="549">
        <v>0</v>
      </c>
      <c r="FQ821" s="675">
        <v>0</v>
      </c>
      <c r="FR821" s="549">
        <v>0</v>
      </c>
      <c r="FS821" s="675">
        <v>0</v>
      </c>
      <c r="FT821" s="549">
        <v>0</v>
      </c>
      <c r="FU821" s="675">
        <v>0</v>
      </c>
      <c r="FV821" s="549">
        <v>0</v>
      </c>
      <c r="FW821" s="675">
        <v>0</v>
      </c>
      <c r="FX821" s="549">
        <v>0</v>
      </c>
      <c r="FY821" s="675">
        <v>0</v>
      </c>
      <c r="FZ821" s="549">
        <v>0</v>
      </c>
      <c r="GA821" s="675">
        <v>0</v>
      </c>
      <c r="GB821" s="549">
        <v>0</v>
      </c>
      <c r="GC821" s="675">
        <v>0</v>
      </c>
      <c r="GD821" s="549">
        <v>0</v>
      </c>
      <c r="GE821" s="675">
        <v>0</v>
      </c>
      <c r="GF821" s="549">
        <v>0</v>
      </c>
      <c r="GG821" s="675">
        <v>0</v>
      </c>
      <c r="GH821" s="549">
        <v>0</v>
      </c>
      <c r="GI821" s="675">
        <v>0</v>
      </c>
      <c r="GJ821" s="549">
        <v>0</v>
      </c>
      <c r="GK821" s="675">
        <v>0</v>
      </c>
      <c r="GL821" s="549">
        <v>0</v>
      </c>
      <c r="GM821" s="675">
        <v>0</v>
      </c>
      <c r="GN821" s="549">
        <v>0</v>
      </c>
      <c r="GO821" s="675">
        <v>0</v>
      </c>
      <c r="GP821" s="549">
        <f t="shared" si="17104"/>
        <v>0</v>
      </c>
      <c r="GQ821" s="675">
        <f t="shared" si="17105"/>
        <v>-89900</v>
      </c>
      <c r="GR821" s="74">
        <f t="shared" si="17106"/>
        <v>0</v>
      </c>
      <c r="GS821" s="74">
        <f t="shared" si="17107"/>
        <v>0</v>
      </c>
      <c r="GT821" s="568">
        <f t="shared" si="17108"/>
        <v>0</v>
      </c>
      <c r="GU821" s="275">
        <v>17980</v>
      </c>
      <c r="GV821" s="275">
        <v>71920</v>
      </c>
      <c r="GW821" s="588"/>
      <c r="GX821" s="275">
        <f>26970-26970</f>
        <v>0</v>
      </c>
      <c r="GY821" s="275"/>
      <c r="GZ821" s="275"/>
      <c r="HA821" s="275">
        <f>26970-26970</f>
        <v>0</v>
      </c>
      <c r="HB821" s="275"/>
      <c r="HC821" s="275"/>
      <c r="HD821" s="275">
        <f>17980-17980</f>
        <v>0</v>
      </c>
      <c r="HE821" s="275">
        <v>0</v>
      </c>
      <c r="HF821" s="275">
        <v>0</v>
      </c>
      <c r="HG821" s="74">
        <f t="shared" si="17109"/>
        <v>0</v>
      </c>
      <c r="HH821" s="89">
        <v>0</v>
      </c>
      <c r="HI821" s="157">
        <v>0</v>
      </c>
      <c r="HJ821" s="89">
        <v>0</v>
      </c>
      <c r="HK821" s="157">
        <v>0</v>
      </c>
      <c r="HL821" s="89">
        <v>0</v>
      </c>
      <c r="HM821" s="157">
        <v>89900</v>
      </c>
      <c r="HN821" s="89">
        <v>0</v>
      </c>
      <c r="HO821" s="157">
        <v>0</v>
      </c>
      <c r="HP821" s="89">
        <v>0</v>
      </c>
      <c r="HQ821" s="157">
        <v>0</v>
      </c>
      <c r="HR821" s="89">
        <v>0</v>
      </c>
      <c r="HS821" s="157">
        <v>0</v>
      </c>
      <c r="HT821" s="89">
        <v>0</v>
      </c>
      <c r="HU821" s="157">
        <v>0</v>
      </c>
      <c r="HV821" s="89">
        <v>0</v>
      </c>
      <c r="HW821" s="157">
        <v>0</v>
      </c>
      <c r="HX821" s="89">
        <v>0</v>
      </c>
      <c r="HY821" s="157">
        <v>0</v>
      </c>
      <c r="HZ821" s="89">
        <v>0</v>
      </c>
      <c r="IA821" s="157">
        <v>0</v>
      </c>
      <c r="IB821" s="89">
        <v>0</v>
      </c>
      <c r="IC821" s="157">
        <v>0</v>
      </c>
      <c r="ID821" s="89">
        <v>0</v>
      </c>
      <c r="IE821" s="157">
        <v>0</v>
      </c>
      <c r="IF821" s="717">
        <f t="shared" si="17110"/>
        <v>0</v>
      </c>
      <c r="IG821" s="263">
        <f t="shared" si="17111"/>
        <v>0</v>
      </c>
      <c r="IH821" s="718">
        <f t="shared" si="17112"/>
        <v>0</v>
      </c>
      <c r="II821" s="89">
        <v>0</v>
      </c>
      <c r="IJ821" s="89">
        <f t="shared" si="17113"/>
        <v>0</v>
      </c>
      <c r="IK821" s="89">
        <f t="shared" si="17114"/>
        <v>0</v>
      </c>
      <c r="IL821" s="89">
        <v>0</v>
      </c>
      <c r="IM821" s="89">
        <f t="shared" si="17115"/>
        <v>0</v>
      </c>
      <c r="IN821" s="89">
        <f t="shared" si="17116"/>
        <v>0</v>
      </c>
      <c r="IO821" s="89">
        <v>0</v>
      </c>
      <c r="IP821" s="89">
        <f t="shared" si="17117"/>
        <v>0</v>
      </c>
      <c r="IQ821" s="89">
        <f t="shared" si="17118"/>
        <v>0</v>
      </c>
      <c r="IR821" s="89">
        <v>0</v>
      </c>
      <c r="IS821" s="89">
        <f t="shared" si="17119"/>
        <v>0</v>
      </c>
      <c r="IT821" s="89">
        <f t="shared" si="17120"/>
        <v>0</v>
      </c>
      <c r="IU821" s="89">
        <v>0</v>
      </c>
      <c r="IV821" s="89">
        <f t="shared" si="17121"/>
        <v>0</v>
      </c>
      <c r="IW821" s="89">
        <f t="shared" si="17122"/>
        <v>0</v>
      </c>
      <c r="IX821" s="89">
        <v>0</v>
      </c>
      <c r="IY821" s="89">
        <f t="shared" si="17123"/>
        <v>0</v>
      </c>
      <c r="IZ821" s="89">
        <f t="shared" si="17124"/>
        <v>0</v>
      </c>
      <c r="JA821" s="89">
        <v>0</v>
      </c>
      <c r="JB821" s="89">
        <f t="shared" si="17125"/>
        <v>0</v>
      </c>
      <c r="JC821" s="89">
        <f t="shared" si="17126"/>
        <v>0</v>
      </c>
      <c r="JD821" s="89">
        <v>0</v>
      </c>
      <c r="JE821" s="89">
        <f t="shared" si="17127"/>
        <v>0</v>
      </c>
      <c r="JF821" s="89">
        <f t="shared" si="17128"/>
        <v>0</v>
      </c>
      <c r="JG821" s="89">
        <v>0</v>
      </c>
      <c r="JH821" s="89">
        <f t="shared" si="17129"/>
        <v>0</v>
      </c>
      <c r="JI821" s="89">
        <f t="shared" si="17130"/>
        <v>0</v>
      </c>
      <c r="JJ821" s="89">
        <v>0</v>
      </c>
      <c r="JK821" s="89">
        <f t="shared" si="17131"/>
        <v>0</v>
      </c>
      <c r="JL821" s="89">
        <f t="shared" si="17132"/>
        <v>0</v>
      </c>
      <c r="JM821" s="89">
        <v>0</v>
      </c>
      <c r="JN821" s="89">
        <f t="shared" si="17133"/>
        <v>0</v>
      </c>
      <c r="JO821" s="89">
        <f t="shared" si="17134"/>
        <v>0</v>
      </c>
      <c r="JP821" s="89">
        <v>0</v>
      </c>
      <c r="JQ821" s="89">
        <f t="shared" ref="JQ821:JR821" si="17168">JP821</f>
        <v>0</v>
      </c>
      <c r="JR821" s="89">
        <f t="shared" si="17168"/>
        <v>0</v>
      </c>
      <c r="JS821" s="74">
        <f t="shared" si="17136"/>
        <v>0</v>
      </c>
      <c r="JT821" s="382">
        <f t="shared" si="17137"/>
        <v>0</v>
      </c>
      <c r="JU821" s="665"/>
      <c r="JV821" s="524"/>
      <c r="JW821" s="525"/>
      <c r="JX821" s="549">
        <f t="shared" si="17138"/>
        <v>0</v>
      </c>
      <c r="JY821" s="549">
        <f t="shared" si="17138"/>
        <v>89900</v>
      </c>
      <c r="JZ821" s="581">
        <f t="shared" si="16466"/>
        <v>0</v>
      </c>
      <c r="KA821" s="581">
        <f t="shared" si="16467"/>
        <v>-89900</v>
      </c>
      <c r="KB821" s="566">
        <f t="shared" si="17031"/>
        <v>0</v>
      </c>
      <c r="KC821" s="709">
        <f t="shared" si="16464"/>
        <v>0</v>
      </c>
      <c r="KD821" s="491"/>
      <c r="KE821" s="491"/>
      <c r="KF821" s="491"/>
      <c r="KG821" s="491"/>
      <c r="KH821" s="36"/>
      <c r="KI821" s="36"/>
      <c r="KJ821" s="36"/>
      <c r="KK821" s="36"/>
    </row>
    <row r="822" spans="1:297" s="10" customFormat="1">
      <c r="A822" s="612" t="s">
        <v>674</v>
      </c>
      <c r="B822" s="512" t="s">
        <v>969</v>
      </c>
      <c r="C822" s="74">
        <v>75000</v>
      </c>
      <c r="D822" s="549">
        <v>0</v>
      </c>
      <c r="E822" s="675">
        <v>0</v>
      </c>
      <c r="F822" s="549">
        <v>0</v>
      </c>
      <c r="G822" s="675">
        <v>0</v>
      </c>
      <c r="H822" s="549">
        <v>0</v>
      </c>
      <c r="I822" s="675">
        <v>0</v>
      </c>
      <c r="J822" s="549">
        <v>0</v>
      </c>
      <c r="K822" s="675">
        <v>0</v>
      </c>
      <c r="L822" s="549">
        <v>0</v>
      </c>
      <c r="M822" s="675">
        <v>0</v>
      </c>
      <c r="N822" s="549">
        <v>0</v>
      </c>
      <c r="O822" s="675">
        <v>0</v>
      </c>
      <c r="P822" s="549">
        <v>0</v>
      </c>
      <c r="Q822" s="675">
        <v>0</v>
      </c>
      <c r="R822" s="549">
        <v>0</v>
      </c>
      <c r="S822" s="675">
        <v>0</v>
      </c>
      <c r="T822" s="549">
        <v>0</v>
      </c>
      <c r="U822" s="675">
        <v>0</v>
      </c>
      <c r="V822" s="549">
        <v>0</v>
      </c>
      <c r="W822" s="675">
        <v>0</v>
      </c>
      <c r="X822" s="549">
        <v>0</v>
      </c>
      <c r="Y822" s="675">
        <v>0</v>
      </c>
      <c r="Z822" s="549">
        <v>0</v>
      </c>
      <c r="AA822" s="675">
        <v>0</v>
      </c>
      <c r="AB822" s="549">
        <v>0</v>
      </c>
      <c r="AC822" s="675">
        <v>-6701</v>
      </c>
      <c r="AD822" s="549">
        <v>0</v>
      </c>
      <c r="AE822" s="675">
        <v>0</v>
      </c>
      <c r="AF822" s="549">
        <v>0</v>
      </c>
      <c r="AG822" s="675">
        <v>0</v>
      </c>
      <c r="AH822" s="549">
        <v>0</v>
      </c>
      <c r="AI822" s="675">
        <v>0</v>
      </c>
      <c r="AJ822" s="549">
        <v>0</v>
      </c>
      <c r="AK822" s="675">
        <v>0</v>
      </c>
      <c r="AL822" s="549">
        <v>0</v>
      </c>
      <c r="AM822" s="675">
        <v>0</v>
      </c>
      <c r="AN822" s="549">
        <v>0</v>
      </c>
      <c r="AO822" s="675">
        <v>0</v>
      </c>
      <c r="AP822" s="549">
        <v>0</v>
      </c>
      <c r="AQ822" s="675">
        <v>0</v>
      </c>
      <c r="AR822" s="549">
        <v>0</v>
      </c>
      <c r="AS822" s="675">
        <v>0</v>
      </c>
      <c r="AT822" s="549">
        <v>0</v>
      </c>
      <c r="AU822" s="675">
        <v>0</v>
      </c>
      <c r="AV822" s="549">
        <v>0</v>
      </c>
      <c r="AW822" s="675">
        <v>0</v>
      </c>
      <c r="AX822" s="549">
        <v>0</v>
      </c>
      <c r="AY822" s="675">
        <v>0</v>
      </c>
      <c r="AZ822" s="549">
        <v>0</v>
      </c>
      <c r="BA822" s="675">
        <v>0</v>
      </c>
      <c r="BB822" s="549">
        <v>0</v>
      </c>
      <c r="BC822" s="675">
        <v>-68299</v>
      </c>
      <c r="BD822" s="549">
        <v>0</v>
      </c>
      <c r="BE822" s="675">
        <v>0</v>
      </c>
      <c r="BF822" s="549">
        <v>0</v>
      </c>
      <c r="BG822" s="675">
        <v>0</v>
      </c>
      <c r="BH822" s="549">
        <v>0</v>
      </c>
      <c r="BI822" s="675">
        <v>0</v>
      </c>
      <c r="BJ822" s="549">
        <v>0</v>
      </c>
      <c r="BK822" s="675">
        <v>0</v>
      </c>
      <c r="BL822" s="549">
        <v>0</v>
      </c>
      <c r="BM822" s="675">
        <v>0</v>
      </c>
      <c r="BN822" s="549">
        <v>0</v>
      </c>
      <c r="BO822" s="675">
        <v>0</v>
      </c>
      <c r="BP822" s="549">
        <v>0</v>
      </c>
      <c r="BQ822" s="675">
        <v>0</v>
      </c>
      <c r="BR822" s="549">
        <v>0</v>
      </c>
      <c r="BS822" s="675">
        <v>0</v>
      </c>
      <c r="BT822" s="549">
        <v>0</v>
      </c>
      <c r="BU822" s="675">
        <v>0</v>
      </c>
      <c r="BV822" s="549">
        <v>0</v>
      </c>
      <c r="BW822" s="675">
        <v>0</v>
      </c>
      <c r="BX822" s="549">
        <v>0</v>
      </c>
      <c r="BY822" s="675">
        <v>0</v>
      </c>
      <c r="BZ822" s="549">
        <v>0</v>
      </c>
      <c r="CA822" s="675">
        <v>0</v>
      </c>
      <c r="CB822" s="549">
        <v>0</v>
      </c>
      <c r="CC822" s="675">
        <v>0</v>
      </c>
      <c r="CD822" s="549">
        <v>0</v>
      </c>
      <c r="CE822" s="675">
        <v>0</v>
      </c>
      <c r="CF822" s="549">
        <v>0</v>
      </c>
      <c r="CG822" s="675">
        <v>0</v>
      </c>
      <c r="CH822" s="549">
        <v>0</v>
      </c>
      <c r="CI822" s="675">
        <v>0</v>
      </c>
      <c r="CJ822" s="549">
        <v>0</v>
      </c>
      <c r="CK822" s="675">
        <v>0</v>
      </c>
      <c r="CL822" s="549">
        <v>0</v>
      </c>
      <c r="CM822" s="675">
        <v>0</v>
      </c>
      <c r="CN822" s="549">
        <v>0</v>
      </c>
      <c r="CO822" s="675">
        <v>0</v>
      </c>
      <c r="CP822" s="549">
        <v>0</v>
      </c>
      <c r="CQ822" s="675">
        <v>0</v>
      </c>
      <c r="CR822" s="549">
        <v>0</v>
      </c>
      <c r="CS822" s="675">
        <v>0</v>
      </c>
      <c r="CT822" s="549">
        <v>0</v>
      </c>
      <c r="CU822" s="675">
        <v>0</v>
      </c>
      <c r="CV822" s="549">
        <v>0</v>
      </c>
      <c r="CW822" s="675">
        <v>0</v>
      </c>
      <c r="CX822" s="549">
        <v>0</v>
      </c>
      <c r="CY822" s="675">
        <v>0</v>
      </c>
      <c r="CZ822" s="549">
        <v>0</v>
      </c>
      <c r="DA822" s="675">
        <v>0</v>
      </c>
      <c r="DB822" s="549">
        <v>0</v>
      </c>
      <c r="DC822" s="675">
        <v>0</v>
      </c>
      <c r="DD822" s="549">
        <v>0</v>
      </c>
      <c r="DE822" s="675">
        <v>0</v>
      </c>
      <c r="DF822" s="549">
        <v>0</v>
      </c>
      <c r="DG822" s="675">
        <v>0</v>
      </c>
      <c r="DH822" s="549">
        <v>0</v>
      </c>
      <c r="DI822" s="675">
        <v>0</v>
      </c>
      <c r="DJ822" s="549">
        <v>0</v>
      </c>
      <c r="DK822" s="675">
        <v>0</v>
      </c>
      <c r="DL822" s="549">
        <v>0</v>
      </c>
      <c r="DM822" s="675">
        <v>0</v>
      </c>
      <c r="DN822" s="549">
        <v>0</v>
      </c>
      <c r="DO822" s="675">
        <v>0</v>
      </c>
      <c r="DP822" s="549">
        <v>0</v>
      </c>
      <c r="DQ822" s="675">
        <v>0</v>
      </c>
      <c r="DR822" s="549">
        <v>0</v>
      </c>
      <c r="DS822" s="675">
        <v>0</v>
      </c>
      <c r="DT822" s="549">
        <v>0</v>
      </c>
      <c r="DU822" s="675">
        <v>0</v>
      </c>
      <c r="DV822" s="549">
        <v>0</v>
      </c>
      <c r="DW822" s="675">
        <v>0</v>
      </c>
      <c r="DX822" s="549">
        <v>0</v>
      </c>
      <c r="DY822" s="675">
        <v>0</v>
      </c>
      <c r="DZ822" s="549">
        <v>0</v>
      </c>
      <c r="EA822" s="675">
        <v>0</v>
      </c>
      <c r="EB822" s="549">
        <v>0</v>
      </c>
      <c r="EC822" s="675">
        <v>0</v>
      </c>
      <c r="ED822" s="549">
        <v>0</v>
      </c>
      <c r="EE822" s="675">
        <v>0</v>
      </c>
      <c r="EF822" s="549">
        <v>0</v>
      </c>
      <c r="EG822" s="675">
        <v>0</v>
      </c>
      <c r="EH822" s="549">
        <v>0</v>
      </c>
      <c r="EI822" s="675">
        <v>0</v>
      </c>
      <c r="EJ822" s="549">
        <v>0</v>
      </c>
      <c r="EK822" s="675">
        <v>0</v>
      </c>
      <c r="EL822" s="549">
        <v>0</v>
      </c>
      <c r="EM822" s="675">
        <v>0</v>
      </c>
      <c r="EN822" s="549">
        <v>0</v>
      </c>
      <c r="EO822" s="675">
        <v>0</v>
      </c>
      <c r="EP822" s="549">
        <v>0</v>
      </c>
      <c r="EQ822" s="675">
        <v>0</v>
      </c>
      <c r="ER822" s="549">
        <v>0</v>
      </c>
      <c r="ES822" s="675">
        <v>0</v>
      </c>
      <c r="ET822" s="549">
        <v>0</v>
      </c>
      <c r="EU822" s="675">
        <v>0</v>
      </c>
      <c r="EV822" s="549">
        <v>0</v>
      </c>
      <c r="EW822" s="675">
        <v>0</v>
      </c>
      <c r="EX822" s="549">
        <v>0</v>
      </c>
      <c r="EY822" s="675">
        <v>0</v>
      </c>
      <c r="EZ822" s="549">
        <v>0</v>
      </c>
      <c r="FA822" s="675">
        <v>0</v>
      </c>
      <c r="FB822" s="549">
        <v>0</v>
      </c>
      <c r="FC822" s="675">
        <v>0</v>
      </c>
      <c r="FD822" s="549">
        <v>0</v>
      </c>
      <c r="FE822" s="675">
        <v>0</v>
      </c>
      <c r="FF822" s="549">
        <v>0</v>
      </c>
      <c r="FG822" s="675">
        <v>0</v>
      </c>
      <c r="FH822" s="549">
        <v>0</v>
      </c>
      <c r="FI822" s="675">
        <v>0</v>
      </c>
      <c r="FJ822" s="549">
        <v>0</v>
      </c>
      <c r="FK822" s="675">
        <v>0</v>
      </c>
      <c r="FL822" s="549">
        <v>0</v>
      </c>
      <c r="FM822" s="675">
        <v>0</v>
      </c>
      <c r="FN822" s="549">
        <v>0</v>
      </c>
      <c r="FO822" s="675">
        <v>0</v>
      </c>
      <c r="FP822" s="549">
        <v>0</v>
      </c>
      <c r="FQ822" s="675">
        <v>0</v>
      </c>
      <c r="FR822" s="549">
        <v>0</v>
      </c>
      <c r="FS822" s="675">
        <v>0</v>
      </c>
      <c r="FT822" s="549">
        <v>0</v>
      </c>
      <c r="FU822" s="675">
        <v>0</v>
      </c>
      <c r="FV822" s="549">
        <v>0</v>
      </c>
      <c r="FW822" s="675">
        <v>0</v>
      </c>
      <c r="FX822" s="549">
        <v>0</v>
      </c>
      <c r="FY822" s="675">
        <v>0</v>
      </c>
      <c r="FZ822" s="549">
        <v>0</v>
      </c>
      <c r="GA822" s="675">
        <v>0</v>
      </c>
      <c r="GB822" s="549">
        <v>0</v>
      </c>
      <c r="GC822" s="675">
        <v>0</v>
      </c>
      <c r="GD822" s="549">
        <v>0</v>
      </c>
      <c r="GE822" s="675">
        <v>0</v>
      </c>
      <c r="GF822" s="549">
        <v>0</v>
      </c>
      <c r="GG822" s="675">
        <v>0</v>
      </c>
      <c r="GH822" s="549">
        <v>0</v>
      </c>
      <c r="GI822" s="675">
        <v>0</v>
      </c>
      <c r="GJ822" s="549">
        <v>0</v>
      </c>
      <c r="GK822" s="675">
        <v>0</v>
      </c>
      <c r="GL822" s="549">
        <v>0</v>
      </c>
      <c r="GM822" s="675">
        <v>0</v>
      </c>
      <c r="GN822" s="549">
        <v>0</v>
      </c>
      <c r="GO822" s="675">
        <v>0</v>
      </c>
      <c r="GP822" s="549">
        <f t="shared" si="17104"/>
        <v>0</v>
      </c>
      <c r="GQ822" s="675">
        <f t="shared" si="17105"/>
        <v>-75000</v>
      </c>
      <c r="GR822" s="74">
        <f t="shared" si="17106"/>
        <v>0</v>
      </c>
      <c r="GS822" s="74">
        <f t="shared" si="17107"/>
        <v>0</v>
      </c>
      <c r="GT822" s="568">
        <f t="shared" si="17108"/>
        <v>0</v>
      </c>
      <c r="GU822" s="275">
        <v>15000</v>
      </c>
      <c r="GV822" s="275">
        <v>60000</v>
      </c>
      <c r="GW822" s="588"/>
      <c r="GX822" s="275">
        <f>22500-22500</f>
        <v>0</v>
      </c>
      <c r="GY822" s="275"/>
      <c r="GZ822" s="275"/>
      <c r="HA822" s="275">
        <f>22500-22500</f>
        <v>0</v>
      </c>
      <c r="HB822" s="275"/>
      <c r="HC822" s="275"/>
      <c r="HD822" s="275">
        <f>15000-15000</f>
        <v>0</v>
      </c>
      <c r="HE822" s="275">
        <v>0</v>
      </c>
      <c r="HF822" s="275">
        <v>0</v>
      </c>
      <c r="HG822" s="74">
        <f t="shared" si="17109"/>
        <v>0</v>
      </c>
      <c r="HH822" s="89">
        <v>0</v>
      </c>
      <c r="HI822" s="157">
        <v>0</v>
      </c>
      <c r="HJ822" s="89">
        <v>0</v>
      </c>
      <c r="HK822" s="157">
        <v>0</v>
      </c>
      <c r="HL822" s="89">
        <v>0</v>
      </c>
      <c r="HM822" s="157">
        <f>6701+68299</f>
        <v>75000</v>
      </c>
      <c r="HN822" s="89">
        <v>0</v>
      </c>
      <c r="HO822" s="157">
        <v>0</v>
      </c>
      <c r="HP822" s="89">
        <v>0</v>
      </c>
      <c r="HQ822" s="157">
        <v>0</v>
      </c>
      <c r="HR822" s="89">
        <v>0</v>
      </c>
      <c r="HS822" s="157">
        <v>0</v>
      </c>
      <c r="HT822" s="89">
        <v>0</v>
      </c>
      <c r="HU822" s="157">
        <v>0</v>
      </c>
      <c r="HV822" s="89">
        <v>0</v>
      </c>
      <c r="HW822" s="157">
        <v>0</v>
      </c>
      <c r="HX822" s="89">
        <v>0</v>
      </c>
      <c r="HY822" s="157">
        <v>0</v>
      </c>
      <c r="HZ822" s="89">
        <v>0</v>
      </c>
      <c r="IA822" s="157">
        <v>0</v>
      </c>
      <c r="IB822" s="89">
        <v>0</v>
      </c>
      <c r="IC822" s="157">
        <v>0</v>
      </c>
      <c r="ID822" s="89">
        <v>0</v>
      </c>
      <c r="IE822" s="157">
        <v>0</v>
      </c>
      <c r="IF822" s="717">
        <f t="shared" si="17110"/>
        <v>0</v>
      </c>
      <c r="IG822" s="263">
        <f t="shared" si="17111"/>
        <v>0</v>
      </c>
      <c r="IH822" s="718">
        <f t="shared" si="17112"/>
        <v>0</v>
      </c>
      <c r="II822" s="89">
        <v>0</v>
      </c>
      <c r="IJ822" s="89">
        <f t="shared" si="17113"/>
        <v>0</v>
      </c>
      <c r="IK822" s="89">
        <f t="shared" si="17114"/>
        <v>0</v>
      </c>
      <c r="IL822" s="89">
        <v>0</v>
      </c>
      <c r="IM822" s="89">
        <f t="shared" si="17115"/>
        <v>0</v>
      </c>
      <c r="IN822" s="89">
        <f t="shared" si="17116"/>
        <v>0</v>
      </c>
      <c r="IO822" s="89">
        <v>0</v>
      </c>
      <c r="IP822" s="89">
        <f t="shared" si="17117"/>
        <v>0</v>
      </c>
      <c r="IQ822" s="89">
        <f t="shared" si="17118"/>
        <v>0</v>
      </c>
      <c r="IR822" s="89">
        <v>0</v>
      </c>
      <c r="IS822" s="89">
        <f t="shared" si="17119"/>
        <v>0</v>
      </c>
      <c r="IT822" s="89">
        <f t="shared" si="17120"/>
        <v>0</v>
      </c>
      <c r="IU822" s="89">
        <v>0</v>
      </c>
      <c r="IV822" s="89">
        <f t="shared" si="17121"/>
        <v>0</v>
      </c>
      <c r="IW822" s="89">
        <f t="shared" si="17122"/>
        <v>0</v>
      </c>
      <c r="IX822" s="89">
        <v>0</v>
      </c>
      <c r="IY822" s="89">
        <f t="shared" si="17123"/>
        <v>0</v>
      </c>
      <c r="IZ822" s="89">
        <f t="shared" si="17124"/>
        <v>0</v>
      </c>
      <c r="JA822" s="89">
        <v>0</v>
      </c>
      <c r="JB822" s="89">
        <f t="shared" si="17125"/>
        <v>0</v>
      </c>
      <c r="JC822" s="89">
        <f t="shared" si="17126"/>
        <v>0</v>
      </c>
      <c r="JD822" s="89">
        <v>0</v>
      </c>
      <c r="JE822" s="89">
        <f t="shared" si="17127"/>
        <v>0</v>
      </c>
      <c r="JF822" s="89">
        <f t="shared" si="17128"/>
        <v>0</v>
      </c>
      <c r="JG822" s="89">
        <v>0</v>
      </c>
      <c r="JH822" s="89">
        <f t="shared" si="17129"/>
        <v>0</v>
      </c>
      <c r="JI822" s="89">
        <f t="shared" si="17130"/>
        <v>0</v>
      </c>
      <c r="JJ822" s="89">
        <v>0</v>
      </c>
      <c r="JK822" s="89">
        <f t="shared" si="17131"/>
        <v>0</v>
      </c>
      <c r="JL822" s="89">
        <f t="shared" si="17132"/>
        <v>0</v>
      </c>
      <c r="JM822" s="89">
        <v>0</v>
      </c>
      <c r="JN822" s="89">
        <f t="shared" si="17133"/>
        <v>0</v>
      </c>
      <c r="JO822" s="89">
        <f t="shared" si="17134"/>
        <v>0</v>
      </c>
      <c r="JP822" s="89">
        <v>0</v>
      </c>
      <c r="JQ822" s="89">
        <f t="shared" ref="JQ822:JR822" si="17169">JP822</f>
        <v>0</v>
      </c>
      <c r="JR822" s="89">
        <f t="shared" si="17169"/>
        <v>0</v>
      </c>
      <c r="JS822" s="74">
        <f t="shared" si="17136"/>
        <v>0</v>
      </c>
      <c r="JT822" s="382">
        <f t="shared" si="17137"/>
        <v>0</v>
      </c>
      <c r="JU822" s="665"/>
      <c r="JV822" s="524"/>
      <c r="JW822" s="525"/>
      <c r="JX822" s="549">
        <f t="shared" si="17138"/>
        <v>0</v>
      </c>
      <c r="JY822" s="549">
        <f t="shared" si="17138"/>
        <v>75000</v>
      </c>
      <c r="JZ822" s="581">
        <f t="shared" si="16466"/>
        <v>0</v>
      </c>
      <c r="KA822" s="581">
        <f t="shared" si="16467"/>
        <v>-75000</v>
      </c>
      <c r="KB822" s="566">
        <f t="shared" si="17031"/>
        <v>0</v>
      </c>
      <c r="KC822" s="709">
        <f t="shared" si="16464"/>
        <v>0</v>
      </c>
      <c r="KD822" s="491"/>
      <c r="KE822" s="491"/>
      <c r="KF822" s="491"/>
      <c r="KG822" s="491"/>
      <c r="KH822" s="36"/>
      <c r="KI822" s="36"/>
      <c r="KJ822" s="36"/>
      <c r="KK822" s="36"/>
    </row>
    <row r="823" spans="1:297" s="10" customFormat="1">
      <c r="A823" s="612" t="s">
        <v>675</v>
      </c>
      <c r="B823" s="512" t="s">
        <v>940</v>
      </c>
      <c r="C823" s="74">
        <v>75000</v>
      </c>
      <c r="D823" s="549">
        <v>0</v>
      </c>
      <c r="E823" s="675">
        <v>0</v>
      </c>
      <c r="F823" s="549">
        <v>0</v>
      </c>
      <c r="G823" s="675">
        <v>0</v>
      </c>
      <c r="H823" s="549">
        <v>0</v>
      </c>
      <c r="I823" s="675">
        <v>0</v>
      </c>
      <c r="J823" s="549">
        <v>0</v>
      </c>
      <c r="K823" s="675">
        <v>0</v>
      </c>
      <c r="L823" s="549">
        <v>0</v>
      </c>
      <c r="M823" s="675">
        <v>0</v>
      </c>
      <c r="N823" s="549">
        <v>0</v>
      </c>
      <c r="O823" s="675">
        <v>0</v>
      </c>
      <c r="P823" s="549">
        <v>0</v>
      </c>
      <c r="Q823" s="675">
        <v>0</v>
      </c>
      <c r="R823" s="549">
        <v>0</v>
      </c>
      <c r="S823" s="675">
        <v>0</v>
      </c>
      <c r="T823" s="549">
        <v>0</v>
      </c>
      <c r="U823" s="675">
        <v>0</v>
      </c>
      <c r="V823" s="549">
        <v>0</v>
      </c>
      <c r="W823" s="675">
        <v>0</v>
      </c>
      <c r="X823" s="549">
        <v>0</v>
      </c>
      <c r="Y823" s="675">
        <v>0</v>
      </c>
      <c r="Z823" s="549">
        <v>0</v>
      </c>
      <c r="AA823" s="675">
        <v>0</v>
      </c>
      <c r="AB823" s="549">
        <v>0</v>
      </c>
      <c r="AC823" s="675">
        <v>0</v>
      </c>
      <c r="AD823" s="549">
        <v>0</v>
      </c>
      <c r="AE823" s="675">
        <v>0</v>
      </c>
      <c r="AF823" s="549">
        <v>0</v>
      </c>
      <c r="AG823" s="675">
        <v>0</v>
      </c>
      <c r="AH823" s="549">
        <v>0</v>
      </c>
      <c r="AI823" s="675">
        <v>0</v>
      </c>
      <c r="AJ823" s="549">
        <v>0</v>
      </c>
      <c r="AK823" s="675">
        <v>0</v>
      </c>
      <c r="AL823" s="549">
        <v>0</v>
      </c>
      <c r="AM823" s="675">
        <v>0</v>
      </c>
      <c r="AN823" s="549">
        <v>0</v>
      </c>
      <c r="AO823" s="675">
        <v>0</v>
      </c>
      <c r="AP823" s="549">
        <v>0</v>
      </c>
      <c r="AQ823" s="675">
        <v>0</v>
      </c>
      <c r="AR823" s="549">
        <v>0</v>
      </c>
      <c r="AS823" s="675">
        <v>0</v>
      </c>
      <c r="AT823" s="549">
        <v>0</v>
      </c>
      <c r="AU823" s="675">
        <v>0</v>
      </c>
      <c r="AV823" s="549">
        <v>0</v>
      </c>
      <c r="AW823" s="675">
        <v>0</v>
      </c>
      <c r="AX823" s="549">
        <v>0</v>
      </c>
      <c r="AY823" s="675">
        <v>0</v>
      </c>
      <c r="AZ823" s="549">
        <v>0</v>
      </c>
      <c r="BA823" s="675">
        <v>0</v>
      </c>
      <c r="BB823" s="549">
        <v>0</v>
      </c>
      <c r="BC823" s="675">
        <v>-37500</v>
      </c>
      <c r="BD823" s="549">
        <v>0</v>
      </c>
      <c r="BE823" s="675">
        <v>0</v>
      </c>
      <c r="BF823" s="549">
        <v>0</v>
      </c>
      <c r="BG823" s="675">
        <v>0</v>
      </c>
      <c r="BH823" s="549">
        <v>0</v>
      </c>
      <c r="BI823" s="675">
        <v>0</v>
      </c>
      <c r="BJ823" s="549">
        <v>0</v>
      </c>
      <c r="BK823" s="675">
        <v>0</v>
      </c>
      <c r="BL823" s="549">
        <v>0</v>
      </c>
      <c r="BM823" s="675">
        <v>0</v>
      </c>
      <c r="BN823" s="549">
        <v>0</v>
      </c>
      <c r="BO823" s="675">
        <v>0</v>
      </c>
      <c r="BP823" s="549">
        <v>0</v>
      </c>
      <c r="BQ823" s="675">
        <v>0</v>
      </c>
      <c r="BR823" s="549">
        <v>0</v>
      </c>
      <c r="BS823" s="675">
        <v>0</v>
      </c>
      <c r="BT823" s="549">
        <v>0</v>
      </c>
      <c r="BU823" s="675">
        <v>0</v>
      </c>
      <c r="BV823" s="549">
        <v>0</v>
      </c>
      <c r="BW823" s="675">
        <v>0</v>
      </c>
      <c r="BX823" s="549">
        <v>0</v>
      </c>
      <c r="BY823" s="675">
        <v>0</v>
      </c>
      <c r="BZ823" s="549">
        <v>0</v>
      </c>
      <c r="CA823" s="675">
        <v>0</v>
      </c>
      <c r="CB823" s="549">
        <v>0</v>
      </c>
      <c r="CC823" s="675">
        <v>0</v>
      </c>
      <c r="CD823" s="549">
        <v>0</v>
      </c>
      <c r="CE823" s="675">
        <v>0</v>
      </c>
      <c r="CF823" s="549">
        <v>0</v>
      </c>
      <c r="CG823" s="675">
        <v>0</v>
      </c>
      <c r="CH823" s="549">
        <v>0</v>
      </c>
      <c r="CI823" s="675">
        <v>0</v>
      </c>
      <c r="CJ823" s="549">
        <v>0</v>
      </c>
      <c r="CK823" s="675">
        <v>0</v>
      </c>
      <c r="CL823" s="549">
        <v>0</v>
      </c>
      <c r="CM823" s="675">
        <v>0</v>
      </c>
      <c r="CN823" s="549">
        <v>0</v>
      </c>
      <c r="CO823" s="675">
        <v>0</v>
      </c>
      <c r="CP823" s="549">
        <v>0</v>
      </c>
      <c r="CQ823" s="675">
        <v>0</v>
      </c>
      <c r="CR823" s="549">
        <v>0</v>
      </c>
      <c r="CS823" s="675">
        <v>0</v>
      </c>
      <c r="CT823" s="549">
        <v>0</v>
      </c>
      <c r="CU823" s="675">
        <v>0</v>
      </c>
      <c r="CV823" s="549">
        <v>0</v>
      </c>
      <c r="CW823" s="675">
        <v>0</v>
      </c>
      <c r="CX823" s="549">
        <v>0</v>
      </c>
      <c r="CY823" s="675">
        <v>0</v>
      </c>
      <c r="CZ823" s="549">
        <v>0</v>
      </c>
      <c r="DA823" s="675">
        <v>0</v>
      </c>
      <c r="DB823" s="549">
        <v>0</v>
      </c>
      <c r="DC823" s="675">
        <v>-37500</v>
      </c>
      <c r="DD823" s="549">
        <v>0</v>
      </c>
      <c r="DE823" s="675">
        <v>0</v>
      </c>
      <c r="DF823" s="549">
        <v>0</v>
      </c>
      <c r="DG823" s="675">
        <v>0</v>
      </c>
      <c r="DH823" s="549">
        <v>0</v>
      </c>
      <c r="DI823" s="675">
        <v>0</v>
      </c>
      <c r="DJ823" s="549">
        <v>0</v>
      </c>
      <c r="DK823" s="675">
        <v>0</v>
      </c>
      <c r="DL823" s="549">
        <v>0</v>
      </c>
      <c r="DM823" s="675">
        <v>0</v>
      </c>
      <c r="DN823" s="549">
        <v>0</v>
      </c>
      <c r="DO823" s="675">
        <v>0</v>
      </c>
      <c r="DP823" s="549">
        <v>0</v>
      </c>
      <c r="DQ823" s="675">
        <v>0</v>
      </c>
      <c r="DR823" s="549">
        <v>0</v>
      </c>
      <c r="DS823" s="675">
        <v>0</v>
      </c>
      <c r="DT823" s="549">
        <v>0</v>
      </c>
      <c r="DU823" s="675">
        <v>0</v>
      </c>
      <c r="DV823" s="549">
        <v>0</v>
      </c>
      <c r="DW823" s="675">
        <v>0</v>
      </c>
      <c r="DX823" s="549">
        <v>0</v>
      </c>
      <c r="DY823" s="675">
        <v>0</v>
      </c>
      <c r="DZ823" s="549">
        <v>0</v>
      </c>
      <c r="EA823" s="675">
        <v>0</v>
      </c>
      <c r="EB823" s="549">
        <v>0</v>
      </c>
      <c r="EC823" s="675">
        <v>0</v>
      </c>
      <c r="ED823" s="549">
        <v>0</v>
      </c>
      <c r="EE823" s="675">
        <v>0</v>
      </c>
      <c r="EF823" s="549">
        <v>0</v>
      </c>
      <c r="EG823" s="675">
        <v>0</v>
      </c>
      <c r="EH823" s="549">
        <v>0</v>
      </c>
      <c r="EI823" s="675">
        <v>0</v>
      </c>
      <c r="EJ823" s="549">
        <v>0</v>
      </c>
      <c r="EK823" s="675">
        <v>0</v>
      </c>
      <c r="EL823" s="549">
        <v>0</v>
      </c>
      <c r="EM823" s="675">
        <v>0</v>
      </c>
      <c r="EN823" s="549">
        <v>0</v>
      </c>
      <c r="EO823" s="675">
        <v>0</v>
      </c>
      <c r="EP823" s="549">
        <v>0</v>
      </c>
      <c r="EQ823" s="675">
        <v>0</v>
      </c>
      <c r="ER823" s="549">
        <v>0</v>
      </c>
      <c r="ES823" s="675">
        <v>0</v>
      </c>
      <c r="ET823" s="549">
        <v>0</v>
      </c>
      <c r="EU823" s="675">
        <v>0</v>
      </c>
      <c r="EV823" s="549">
        <v>0</v>
      </c>
      <c r="EW823" s="675">
        <v>0</v>
      </c>
      <c r="EX823" s="549">
        <v>0</v>
      </c>
      <c r="EY823" s="675">
        <v>0</v>
      </c>
      <c r="EZ823" s="549">
        <v>0</v>
      </c>
      <c r="FA823" s="675">
        <v>0</v>
      </c>
      <c r="FB823" s="549">
        <v>0</v>
      </c>
      <c r="FC823" s="675">
        <v>0</v>
      </c>
      <c r="FD823" s="549">
        <v>0</v>
      </c>
      <c r="FE823" s="675">
        <v>0</v>
      </c>
      <c r="FF823" s="549">
        <v>0</v>
      </c>
      <c r="FG823" s="675">
        <v>0</v>
      </c>
      <c r="FH823" s="549">
        <v>0</v>
      </c>
      <c r="FI823" s="675">
        <v>0</v>
      </c>
      <c r="FJ823" s="549">
        <v>0</v>
      </c>
      <c r="FK823" s="675">
        <v>0</v>
      </c>
      <c r="FL823" s="549">
        <v>0</v>
      </c>
      <c r="FM823" s="675">
        <v>0</v>
      </c>
      <c r="FN823" s="549">
        <v>0</v>
      </c>
      <c r="FO823" s="675">
        <v>0</v>
      </c>
      <c r="FP823" s="549">
        <v>0</v>
      </c>
      <c r="FQ823" s="675">
        <v>0</v>
      </c>
      <c r="FR823" s="549">
        <v>0</v>
      </c>
      <c r="FS823" s="675">
        <v>0</v>
      </c>
      <c r="FT823" s="549">
        <v>0</v>
      </c>
      <c r="FU823" s="675">
        <v>0</v>
      </c>
      <c r="FV823" s="549">
        <v>0</v>
      </c>
      <c r="FW823" s="675">
        <v>0</v>
      </c>
      <c r="FX823" s="549">
        <v>0</v>
      </c>
      <c r="FY823" s="675">
        <v>0</v>
      </c>
      <c r="FZ823" s="549">
        <v>0</v>
      </c>
      <c r="GA823" s="675">
        <v>0</v>
      </c>
      <c r="GB823" s="549">
        <v>0</v>
      </c>
      <c r="GC823" s="675">
        <v>0</v>
      </c>
      <c r="GD823" s="549">
        <v>0</v>
      </c>
      <c r="GE823" s="675">
        <v>0</v>
      </c>
      <c r="GF823" s="549">
        <v>0</v>
      </c>
      <c r="GG823" s="675">
        <v>0</v>
      </c>
      <c r="GH823" s="549">
        <v>0</v>
      </c>
      <c r="GI823" s="675">
        <v>0</v>
      </c>
      <c r="GJ823" s="549">
        <v>0</v>
      </c>
      <c r="GK823" s="675">
        <v>0</v>
      </c>
      <c r="GL823" s="549">
        <v>0</v>
      </c>
      <c r="GM823" s="675">
        <v>0</v>
      </c>
      <c r="GN823" s="549">
        <v>0</v>
      </c>
      <c r="GO823" s="675">
        <v>0</v>
      </c>
      <c r="GP823" s="549">
        <f t="shared" si="17104"/>
        <v>0</v>
      </c>
      <c r="GQ823" s="675">
        <f t="shared" si="17105"/>
        <v>-75000</v>
      </c>
      <c r="GR823" s="74">
        <f t="shared" si="17106"/>
        <v>0</v>
      </c>
      <c r="GS823" s="74">
        <f t="shared" si="17107"/>
        <v>0</v>
      </c>
      <c r="GT823" s="568">
        <f t="shared" si="17108"/>
        <v>0</v>
      </c>
      <c r="GU823" s="275">
        <v>15000</v>
      </c>
      <c r="GV823" s="275"/>
      <c r="GW823" s="588"/>
      <c r="GX823" s="275">
        <v>22500</v>
      </c>
      <c r="GY823" s="275">
        <v>37500</v>
      </c>
      <c r="GZ823" s="275"/>
      <c r="HA823" s="275">
        <f>22500-22500</f>
        <v>0</v>
      </c>
      <c r="HB823" s="275"/>
      <c r="HC823" s="275"/>
      <c r="HD823" s="275">
        <f>15000-15000</f>
        <v>0</v>
      </c>
      <c r="HE823" s="275">
        <v>0</v>
      </c>
      <c r="HF823" s="275">
        <v>0</v>
      </c>
      <c r="HG823" s="74">
        <f t="shared" si="17109"/>
        <v>0</v>
      </c>
      <c r="HH823" s="89">
        <v>0</v>
      </c>
      <c r="HI823" s="157">
        <v>0</v>
      </c>
      <c r="HJ823" s="89">
        <v>0</v>
      </c>
      <c r="HK823" s="157">
        <v>0</v>
      </c>
      <c r="HL823" s="89">
        <v>0</v>
      </c>
      <c r="HM823" s="157">
        <v>15000</v>
      </c>
      <c r="HN823" s="89">
        <v>0</v>
      </c>
      <c r="HO823" s="157">
        <f>37500-15000</f>
        <v>22500</v>
      </c>
      <c r="HP823" s="89">
        <v>0</v>
      </c>
      <c r="HQ823" s="157">
        <v>0</v>
      </c>
      <c r="HR823" s="89">
        <v>0</v>
      </c>
      <c r="HS823" s="157">
        <v>0</v>
      </c>
      <c r="HT823" s="89">
        <v>0</v>
      </c>
      <c r="HU823" s="157">
        <v>37500</v>
      </c>
      <c r="HV823" s="89">
        <v>0</v>
      </c>
      <c r="HW823" s="157">
        <v>0</v>
      </c>
      <c r="HX823" s="89">
        <v>0</v>
      </c>
      <c r="HY823" s="157">
        <v>0</v>
      </c>
      <c r="HZ823" s="89">
        <v>0</v>
      </c>
      <c r="IA823" s="157">
        <v>0</v>
      </c>
      <c r="IB823" s="89">
        <v>0</v>
      </c>
      <c r="IC823" s="157">
        <v>0</v>
      </c>
      <c r="ID823" s="89">
        <v>0</v>
      </c>
      <c r="IE823" s="157">
        <v>0</v>
      </c>
      <c r="IF823" s="717">
        <f t="shared" si="17110"/>
        <v>0</v>
      </c>
      <c r="IG823" s="263">
        <f t="shared" si="17111"/>
        <v>0</v>
      </c>
      <c r="IH823" s="718">
        <f t="shared" si="17112"/>
        <v>0</v>
      </c>
      <c r="II823" s="89">
        <v>0</v>
      </c>
      <c r="IJ823" s="89">
        <f t="shared" si="17113"/>
        <v>0</v>
      </c>
      <c r="IK823" s="89">
        <f t="shared" si="17114"/>
        <v>0</v>
      </c>
      <c r="IL823" s="89">
        <v>0</v>
      </c>
      <c r="IM823" s="89">
        <f t="shared" si="17115"/>
        <v>0</v>
      </c>
      <c r="IN823" s="89">
        <f t="shared" si="17116"/>
        <v>0</v>
      </c>
      <c r="IO823" s="89">
        <v>0</v>
      </c>
      <c r="IP823" s="89">
        <f t="shared" si="17117"/>
        <v>0</v>
      </c>
      <c r="IQ823" s="89">
        <f t="shared" si="17118"/>
        <v>0</v>
      </c>
      <c r="IR823" s="89">
        <v>0</v>
      </c>
      <c r="IS823" s="89">
        <f t="shared" si="17119"/>
        <v>0</v>
      </c>
      <c r="IT823" s="89">
        <f t="shared" si="17120"/>
        <v>0</v>
      </c>
      <c r="IU823" s="89">
        <v>0</v>
      </c>
      <c r="IV823" s="89">
        <f t="shared" si="17121"/>
        <v>0</v>
      </c>
      <c r="IW823" s="89">
        <f t="shared" si="17122"/>
        <v>0</v>
      </c>
      <c r="IX823" s="89">
        <v>0</v>
      </c>
      <c r="IY823" s="89">
        <f t="shared" si="17123"/>
        <v>0</v>
      </c>
      <c r="IZ823" s="89">
        <f t="shared" si="17124"/>
        <v>0</v>
      </c>
      <c r="JA823" s="89">
        <v>0</v>
      </c>
      <c r="JB823" s="89">
        <f t="shared" si="17125"/>
        <v>0</v>
      </c>
      <c r="JC823" s="89">
        <f t="shared" si="17126"/>
        <v>0</v>
      </c>
      <c r="JD823" s="89">
        <v>0</v>
      </c>
      <c r="JE823" s="89">
        <f t="shared" si="17127"/>
        <v>0</v>
      </c>
      <c r="JF823" s="89">
        <f t="shared" si="17128"/>
        <v>0</v>
      </c>
      <c r="JG823" s="89">
        <v>0</v>
      </c>
      <c r="JH823" s="89">
        <f t="shared" si="17129"/>
        <v>0</v>
      </c>
      <c r="JI823" s="89">
        <f t="shared" si="17130"/>
        <v>0</v>
      </c>
      <c r="JJ823" s="89">
        <v>0</v>
      </c>
      <c r="JK823" s="89">
        <f t="shared" si="17131"/>
        <v>0</v>
      </c>
      <c r="JL823" s="89">
        <f t="shared" si="17132"/>
        <v>0</v>
      </c>
      <c r="JM823" s="89">
        <v>0</v>
      </c>
      <c r="JN823" s="89">
        <f t="shared" si="17133"/>
        <v>0</v>
      </c>
      <c r="JO823" s="89">
        <f t="shared" si="17134"/>
        <v>0</v>
      </c>
      <c r="JP823" s="89">
        <v>0</v>
      </c>
      <c r="JQ823" s="89">
        <f t="shared" ref="JQ823:JR823" si="17170">JP823</f>
        <v>0</v>
      </c>
      <c r="JR823" s="89">
        <f t="shared" si="17170"/>
        <v>0</v>
      </c>
      <c r="JS823" s="74">
        <f t="shared" si="17136"/>
        <v>0</v>
      </c>
      <c r="JT823" s="382">
        <f t="shared" si="17137"/>
        <v>0</v>
      </c>
      <c r="JU823" s="665"/>
      <c r="JV823" s="524"/>
      <c r="JW823" s="525"/>
      <c r="JX823" s="549">
        <f t="shared" si="17138"/>
        <v>0</v>
      </c>
      <c r="JY823" s="549">
        <f t="shared" si="17138"/>
        <v>75000</v>
      </c>
      <c r="JZ823" s="581">
        <f t="shared" si="16466"/>
        <v>0</v>
      </c>
      <c r="KA823" s="581">
        <f t="shared" si="16467"/>
        <v>-75000</v>
      </c>
      <c r="KB823" s="566">
        <f t="shared" si="17031"/>
        <v>0</v>
      </c>
      <c r="KC823" s="709">
        <f t="shared" si="16464"/>
        <v>0</v>
      </c>
      <c r="KD823" s="491"/>
      <c r="KE823" s="491"/>
      <c r="KF823" s="491"/>
      <c r="KG823" s="491"/>
      <c r="KH823" s="36"/>
      <c r="KI823" s="36"/>
      <c r="KJ823" s="36"/>
      <c r="KK823" s="36"/>
    </row>
    <row r="824" spans="1:297" s="10" customFormat="1" ht="12.75" hidden="1" customHeight="1">
      <c r="A824" s="612" t="s">
        <v>1172</v>
      </c>
      <c r="B824" s="512"/>
      <c r="C824" s="74">
        <v>0</v>
      </c>
      <c r="D824" s="549">
        <v>0</v>
      </c>
      <c r="E824" s="675">
        <v>0</v>
      </c>
      <c r="F824" s="549">
        <v>0</v>
      </c>
      <c r="G824" s="675">
        <v>0</v>
      </c>
      <c r="H824" s="549">
        <v>0</v>
      </c>
      <c r="I824" s="675">
        <v>0</v>
      </c>
      <c r="J824" s="549">
        <v>0</v>
      </c>
      <c r="K824" s="675">
        <v>0</v>
      </c>
      <c r="L824" s="549">
        <v>0</v>
      </c>
      <c r="M824" s="675">
        <v>0</v>
      </c>
      <c r="N824" s="549">
        <v>0</v>
      </c>
      <c r="O824" s="675">
        <v>0</v>
      </c>
      <c r="P824" s="549">
        <v>0</v>
      </c>
      <c r="Q824" s="675">
        <v>0</v>
      </c>
      <c r="R824" s="549">
        <v>0</v>
      </c>
      <c r="S824" s="675">
        <v>0</v>
      </c>
      <c r="T824" s="549">
        <v>0</v>
      </c>
      <c r="U824" s="675">
        <v>0</v>
      </c>
      <c r="V824" s="549">
        <v>0</v>
      </c>
      <c r="W824" s="675">
        <v>0</v>
      </c>
      <c r="X824" s="549">
        <v>0</v>
      </c>
      <c r="Y824" s="675">
        <v>0</v>
      </c>
      <c r="Z824" s="549">
        <v>0</v>
      </c>
      <c r="AA824" s="675">
        <v>0</v>
      </c>
      <c r="AB824" s="549">
        <v>0</v>
      </c>
      <c r="AC824" s="675">
        <v>0</v>
      </c>
      <c r="AD824" s="549">
        <v>0</v>
      </c>
      <c r="AE824" s="675">
        <v>0</v>
      </c>
      <c r="AF824" s="549">
        <v>0</v>
      </c>
      <c r="AG824" s="675">
        <v>0</v>
      </c>
      <c r="AH824" s="549">
        <v>0</v>
      </c>
      <c r="AI824" s="675">
        <v>0</v>
      </c>
      <c r="AJ824" s="549">
        <v>0</v>
      </c>
      <c r="AK824" s="675">
        <v>0</v>
      </c>
      <c r="AL824" s="549">
        <v>0</v>
      </c>
      <c r="AM824" s="675">
        <v>0</v>
      </c>
      <c r="AN824" s="549">
        <v>0</v>
      </c>
      <c r="AO824" s="675">
        <v>0</v>
      </c>
      <c r="AP824" s="549">
        <v>0</v>
      </c>
      <c r="AQ824" s="675">
        <v>0</v>
      </c>
      <c r="AR824" s="549">
        <v>0</v>
      </c>
      <c r="AS824" s="675">
        <v>0</v>
      </c>
      <c r="AT824" s="549">
        <v>0</v>
      </c>
      <c r="AU824" s="675">
        <v>0</v>
      </c>
      <c r="AV824" s="549">
        <v>0</v>
      </c>
      <c r="AW824" s="675">
        <v>0</v>
      </c>
      <c r="AX824" s="549">
        <v>0</v>
      </c>
      <c r="AY824" s="675">
        <v>0</v>
      </c>
      <c r="AZ824" s="549">
        <v>0</v>
      </c>
      <c r="BA824" s="675">
        <v>0</v>
      </c>
      <c r="BB824" s="549">
        <v>0</v>
      </c>
      <c r="BC824" s="675">
        <v>0</v>
      </c>
      <c r="BD824" s="549">
        <v>0</v>
      </c>
      <c r="BE824" s="675">
        <v>0</v>
      </c>
      <c r="BF824" s="549">
        <v>0</v>
      </c>
      <c r="BG824" s="675">
        <v>0</v>
      </c>
      <c r="BH824" s="549">
        <v>0</v>
      </c>
      <c r="BI824" s="675">
        <v>0</v>
      </c>
      <c r="BJ824" s="549">
        <v>0</v>
      </c>
      <c r="BK824" s="675">
        <v>0</v>
      </c>
      <c r="BL824" s="549">
        <v>0</v>
      </c>
      <c r="BM824" s="675">
        <v>0</v>
      </c>
      <c r="BN824" s="549">
        <v>0</v>
      </c>
      <c r="BO824" s="675">
        <v>0</v>
      </c>
      <c r="BP824" s="549">
        <v>0</v>
      </c>
      <c r="BQ824" s="675">
        <v>0</v>
      </c>
      <c r="BR824" s="549">
        <v>0</v>
      </c>
      <c r="BS824" s="675">
        <v>0</v>
      </c>
      <c r="BT824" s="549">
        <v>0</v>
      </c>
      <c r="BU824" s="675">
        <v>0</v>
      </c>
      <c r="BV824" s="549">
        <v>0</v>
      </c>
      <c r="BW824" s="675">
        <v>0</v>
      </c>
      <c r="BX824" s="549">
        <v>0</v>
      </c>
      <c r="BY824" s="675">
        <v>0</v>
      </c>
      <c r="BZ824" s="549">
        <v>0</v>
      </c>
      <c r="CA824" s="675">
        <v>0</v>
      </c>
      <c r="CB824" s="549">
        <v>0</v>
      </c>
      <c r="CC824" s="675">
        <v>0</v>
      </c>
      <c r="CD824" s="549">
        <v>0</v>
      </c>
      <c r="CE824" s="675">
        <v>0</v>
      </c>
      <c r="CF824" s="549">
        <v>0</v>
      </c>
      <c r="CG824" s="675">
        <v>0</v>
      </c>
      <c r="CH824" s="549">
        <v>0</v>
      </c>
      <c r="CI824" s="675">
        <v>0</v>
      </c>
      <c r="CJ824" s="549">
        <v>0</v>
      </c>
      <c r="CK824" s="675">
        <v>0</v>
      </c>
      <c r="CL824" s="549">
        <v>0</v>
      </c>
      <c r="CM824" s="675">
        <v>0</v>
      </c>
      <c r="CN824" s="549">
        <v>0</v>
      </c>
      <c r="CO824" s="675">
        <v>0</v>
      </c>
      <c r="CP824" s="549">
        <v>0</v>
      </c>
      <c r="CQ824" s="675">
        <v>0</v>
      </c>
      <c r="CR824" s="549">
        <v>0</v>
      </c>
      <c r="CS824" s="675">
        <v>0</v>
      </c>
      <c r="CT824" s="549">
        <v>0</v>
      </c>
      <c r="CU824" s="675">
        <v>0</v>
      </c>
      <c r="CV824" s="549">
        <v>0</v>
      </c>
      <c r="CW824" s="675">
        <v>0</v>
      </c>
      <c r="CX824" s="549">
        <v>0</v>
      </c>
      <c r="CY824" s="675">
        <v>0</v>
      </c>
      <c r="CZ824" s="549">
        <v>0</v>
      </c>
      <c r="DA824" s="675">
        <v>0</v>
      </c>
      <c r="DB824" s="549">
        <v>0</v>
      </c>
      <c r="DC824" s="675">
        <v>0</v>
      </c>
      <c r="DD824" s="549">
        <v>0</v>
      </c>
      <c r="DE824" s="675">
        <v>0</v>
      </c>
      <c r="DF824" s="549">
        <v>0</v>
      </c>
      <c r="DG824" s="675">
        <v>0</v>
      </c>
      <c r="DH824" s="549">
        <v>0</v>
      </c>
      <c r="DI824" s="675">
        <v>0</v>
      </c>
      <c r="DJ824" s="549">
        <v>0</v>
      </c>
      <c r="DK824" s="675">
        <v>0</v>
      </c>
      <c r="DL824" s="549">
        <v>0</v>
      </c>
      <c r="DM824" s="675">
        <v>0</v>
      </c>
      <c r="DN824" s="549">
        <v>0</v>
      </c>
      <c r="DO824" s="675">
        <v>0</v>
      </c>
      <c r="DP824" s="549">
        <v>0</v>
      </c>
      <c r="DQ824" s="675">
        <v>0</v>
      </c>
      <c r="DR824" s="549">
        <v>0</v>
      </c>
      <c r="DS824" s="675">
        <v>0</v>
      </c>
      <c r="DT824" s="549">
        <v>0</v>
      </c>
      <c r="DU824" s="675">
        <v>0</v>
      </c>
      <c r="DV824" s="549">
        <v>0</v>
      </c>
      <c r="DW824" s="675">
        <v>0</v>
      </c>
      <c r="DX824" s="549">
        <v>0</v>
      </c>
      <c r="DY824" s="675">
        <v>0</v>
      </c>
      <c r="DZ824" s="549">
        <v>0</v>
      </c>
      <c r="EA824" s="675">
        <v>0</v>
      </c>
      <c r="EB824" s="549">
        <v>0</v>
      </c>
      <c r="EC824" s="675">
        <v>0</v>
      </c>
      <c r="ED824" s="549">
        <v>0</v>
      </c>
      <c r="EE824" s="675">
        <v>0</v>
      </c>
      <c r="EF824" s="549">
        <v>0</v>
      </c>
      <c r="EG824" s="675">
        <v>0</v>
      </c>
      <c r="EH824" s="549">
        <v>0</v>
      </c>
      <c r="EI824" s="675">
        <v>0</v>
      </c>
      <c r="EJ824" s="549">
        <v>0</v>
      </c>
      <c r="EK824" s="675">
        <v>0</v>
      </c>
      <c r="EL824" s="549">
        <v>0</v>
      </c>
      <c r="EM824" s="675">
        <v>0</v>
      </c>
      <c r="EN824" s="549">
        <v>0</v>
      </c>
      <c r="EO824" s="675">
        <v>0</v>
      </c>
      <c r="EP824" s="549">
        <v>0</v>
      </c>
      <c r="EQ824" s="675">
        <v>0</v>
      </c>
      <c r="ER824" s="549">
        <v>0</v>
      </c>
      <c r="ES824" s="675">
        <v>0</v>
      </c>
      <c r="ET824" s="549">
        <v>0</v>
      </c>
      <c r="EU824" s="675">
        <v>0</v>
      </c>
      <c r="EV824" s="549">
        <v>0</v>
      </c>
      <c r="EW824" s="675">
        <v>0</v>
      </c>
      <c r="EX824" s="549">
        <v>0</v>
      </c>
      <c r="EY824" s="675">
        <v>0</v>
      </c>
      <c r="EZ824" s="549">
        <v>0</v>
      </c>
      <c r="FA824" s="675">
        <v>0</v>
      </c>
      <c r="FB824" s="549">
        <v>0</v>
      </c>
      <c r="FC824" s="675">
        <v>0</v>
      </c>
      <c r="FD824" s="549">
        <v>0</v>
      </c>
      <c r="FE824" s="675">
        <v>0</v>
      </c>
      <c r="FF824" s="549">
        <v>0</v>
      </c>
      <c r="FG824" s="675">
        <v>0</v>
      </c>
      <c r="FH824" s="549">
        <v>0</v>
      </c>
      <c r="FI824" s="675">
        <v>0</v>
      </c>
      <c r="FJ824" s="549">
        <v>0</v>
      </c>
      <c r="FK824" s="675">
        <v>0</v>
      </c>
      <c r="FL824" s="549">
        <v>0</v>
      </c>
      <c r="FM824" s="675">
        <v>0</v>
      </c>
      <c r="FN824" s="549">
        <v>0</v>
      </c>
      <c r="FO824" s="675">
        <v>0</v>
      </c>
      <c r="FP824" s="549">
        <v>0</v>
      </c>
      <c r="FQ824" s="675">
        <v>0</v>
      </c>
      <c r="FR824" s="549">
        <v>0</v>
      </c>
      <c r="FS824" s="675">
        <v>0</v>
      </c>
      <c r="FT824" s="549">
        <v>0</v>
      </c>
      <c r="FU824" s="675">
        <v>0</v>
      </c>
      <c r="FV824" s="549">
        <v>0</v>
      </c>
      <c r="FW824" s="675">
        <v>0</v>
      </c>
      <c r="FX824" s="549">
        <v>0</v>
      </c>
      <c r="FY824" s="675">
        <v>0</v>
      </c>
      <c r="FZ824" s="549">
        <v>0</v>
      </c>
      <c r="GA824" s="675">
        <v>0</v>
      </c>
      <c r="GB824" s="549">
        <v>0</v>
      </c>
      <c r="GC824" s="675">
        <v>0</v>
      </c>
      <c r="GD824" s="549">
        <v>0</v>
      </c>
      <c r="GE824" s="675">
        <v>0</v>
      </c>
      <c r="GF824" s="549">
        <v>0</v>
      </c>
      <c r="GG824" s="675">
        <v>0</v>
      </c>
      <c r="GH824" s="549">
        <v>0</v>
      </c>
      <c r="GI824" s="675">
        <v>0</v>
      </c>
      <c r="GJ824" s="549">
        <v>0</v>
      </c>
      <c r="GK824" s="675">
        <v>0</v>
      </c>
      <c r="GL824" s="549">
        <v>0</v>
      </c>
      <c r="GM824" s="675">
        <v>0</v>
      </c>
      <c r="GN824" s="549">
        <v>0</v>
      </c>
      <c r="GO824" s="675">
        <v>0</v>
      </c>
      <c r="GP824" s="549">
        <f>+D824+F824+H824+J824+L824+N824+P824+R824+T824+V824+X824+Z824+AB824+AD824+AH824+AJ824+AL824+AN824+AP824+AR824+AT824+AV824+AX824+AZ824+BB824+BD824+BF824+BH824+BJ824+BL824+BN824+BP824+BR824+BT824+BV824+BX824+BZ824+CB824+CD824+CF824+CH824+CJ824+CL824+CN824+CP824+CR824+CT824+CV824+CX824+CZ824+DB824+DD824+DF824+DH824+DT824+EX824+DJ824+DL824+DN824+DP824+DR824+EJ824+EB824+DZ824+DX824+DV824+ED824+EF824+EH824+EL824+EN824+EP824+EV824+ET824+ER824+EZ824+FB824+FD824+GL824+FF824+FJ824+FL824+GJ824+FT824+FR824+FP824+FN824+FH824</f>
        <v>0</v>
      </c>
      <c r="GQ824" s="675">
        <f>+E824+G824+I824+K824+M824+O824+Q824+S824+U824+W824+Y824+AA824+AC824+AE824+AI824+AK824+AM824+AO824+AQ824+AS824+AU824+AW824+AY824+BA824+BC824+BE824+BG824+BI824+BK824+BM824+BO824+BQ824+BS824+BU824+BW824+BY824+CA824+CC824+CE824+CG824+CI824+CK824+CM824+CO824+CQ824+CS824+CU824+CW824+CY824+DA824+DC824+DE824+DG824+DI824+DU824+EY824+DK824+DM824+DO824+DQ824+DS824+EK824+EC824+EA824+DY824+DW824+EI824+EG824+EE824+EM824+EO824+EQ824+EW824+EU824+ES824+FA824+FC824+FE824+GM824+FG824+FK824+FM824+FO824+FQ824+FS824+FU824+GK824+FI824</f>
        <v>0</v>
      </c>
      <c r="GR824" s="74">
        <f t="shared" si="17106"/>
        <v>0</v>
      </c>
      <c r="GS824" s="74">
        <f t="shared" ref="GS824:GS825" si="17171">SUM(GU824)+GP824+GQ824</f>
        <v>0</v>
      </c>
      <c r="GT824" s="568">
        <f t="shared" si="17108"/>
        <v>0</v>
      </c>
      <c r="GU824" s="275"/>
      <c r="GV824" s="275"/>
      <c r="GW824" s="588"/>
      <c r="GX824" s="275"/>
      <c r="GY824" s="275"/>
      <c r="GZ824" s="275"/>
      <c r="HA824" s="275"/>
      <c r="HB824" s="275"/>
      <c r="HC824" s="275"/>
      <c r="HD824" s="275"/>
      <c r="HE824" s="275"/>
      <c r="HF824" s="275"/>
      <c r="HG824" s="74">
        <f t="shared" ref="HG824:HG825" si="17172">SUM(HH824:IE824)+GP824+GQ824</f>
        <v>0</v>
      </c>
      <c r="HH824" s="89">
        <v>0</v>
      </c>
      <c r="HI824" s="157">
        <v>0</v>
      </c>
      <c r="HJ824" s="89">
        <v>0</v>
      </c>
      <c r="HK824" s="157">
        <v>0</v>
      </c>
      <c r="HL824" s="89">
        <v>0</v>
      </c>
      <c r="HM824" s="157">
        <v>0</v>
      </c>
      <c r="HN824" s="89">
        <v>0</v>
      </c>
      <c r="HO824" s="157">
        <v>0</v>
      </c>
      <c r="HP824" s="89">
        <v>0</v>
      </c>
      <c r="HQ824" s="157">
        <v>0</v>
      </c>
      <c r="HR824" s="89">
        <v>0</v>
      </c>
      <c r="HS824" s="157">
        <v>0</v>
      </c>
      <c r="HT824" s="89">
        <v>0</v>
      </c>
      <c r="HU824" s="157">
        <v>0</v>
      </c>
      <c r="HV824" s="89">
        <v>0</v>
      </c>
      <c r="HW824" s="157">
        <v>0</v>
      </c>
      <c r="HX824" s="89">
        <v>0</v>
      </c>
      <c r="HY824" s="157">
        <v>0</v>
      </c>
      <c r="HZ824" s="89">
        <v>0</v>
      </c>
      <c r="IA824" s="157">
        <v>0</v>
      </c>
      <c r="IB824" s="89">
        <v>0</v>
      </c>
      <c r="IC824" s="157">
        <v>0</v>
      </c>
      <c r="ID824" s="89">
        <v>0</v>
      </c>
      <c r="IE824" s="157">
        <v>0</v>
      </c>
      <c r="IF824" s="717">
        <f t="shared" si="17110"/>
        <v>0</v>
      </c>
      <c r="IG824" s="263">
        <f t="shared" si="17111"/>
        <v>0</v>
      </c>
      <c r="IH824" s="718">
        <f t="shared" si="17112"/>
        <v>0</v>
      </c>
      <c r="II824" s="89">
        <v>0</v>
      </c>
      <c r="IJ824" s="89">
        <f t="shared" si="17113"/>
        <v>0</v>
      </c>
      <c r="IK824" s="89">
        <f t="shared" si="17114"/>
        <v>0</v>
      </c>
      <c r="IL824" s="89">
        <v>0</v>
      </c>
      <c r="IM824" s="89">
        <f t="shared" si="17115"/>
        <v>0</v>
      </c>
      <c r="IN824" s="89">
        <f t="shared" si="17116"/>
        <v>0</v>
      </c>
      <c r="IO824" s="89">
        <v>0</v>
      </c>
      <c r="IP824" s="89">
        <f t="shared" si="17117"/>
        <v>0</v>
      </c>
      <c r="IQ824" s="89">
        <f t="shared" si="17118"/>
        <v>0</v>
      </c>
      <c r="IR824" s="89">
        <v>0</v>
      </c>
      <c r="IS824" s="89">
        <f t="shared" si="17119"/>
        <v>0</v>
      </c>
      <c r="IT824" s="89">
        <f t="shared" si="17120"/>
        <v>0</v>
      </c>
      <c r="IU824" s="89">
        <v>0</v>
      </c>
      <c r="IV824" s="89">
        <f t="shared" si="17121"/>
        <v>0</v>
      </c>
      <c r="IW824" s="89">
        <f t="shared" si="17122"/>
        <v>0</v>
      </c>
      <c r="IX824" s="89">
        <v>0</v>
      </c>
      <c r="IY824" s="89">
        <f t="shared" si="17123"/>
        <v>0</v>
      </c>
      <c r="IZ824" s="89">
        <f t="shared" si="17124"/>
        <v>0</v>
      </c>
      <c r="JA824" s="89">
        <v>0</v>
      </c>
      <c r="JB824" s="89">
        <f t="shared" si="17125"/>
        <v>0</v>
      </c>
      <c r="JC824" s="89">
        <f t="shared" si="17126"/>
        <v>0</v>
      </c>
      <c r="JD824" s="89">
        <v>0</v>
      </c>
      <c r="JE824" s="89">
        <f t="shared" si="17127"/>
        <v>0</v>
      </c>
      <c r="JF824" s="89">
        <f t="shared" si="17128"/>
        <v>0</v>
      </c>
      <c r="JG824" s="89">
        <v>0</v>
      </c>
      <c r="JH824" s="89">
        <f t="shared" si="17129"/>
        <v>0</v>
      </c>
      <c r="JI824" s="89">
        <f t="shared" si="17130"/>
        <v>0</v>
      </c>
      <c r="JJ824" s="89">
        <v>0</v>
      </c>
      <c r="JK824" s="89">
        <f t="shared" si="17131"/>
        <v>0</v>
      </c>
      <c r="JL824" s="89">
        <f t="shared" si="17132"/>
        <v>0</v>
      </c>
      <c r="JM824" s="89">
        <v>0</v>
      </c>
      <c r="JN824" s="89">
        <f t="shared" si="17133"/>
        <v>0</v>
      </c>
      <c r="JO824" s="89">
        <f t="shared" si="17134"/>
        <v>0</v>
      </c>
      <c r="JP824" s="89">
        <v>0</v>
      </c>
      <c r="JQ824" s="89">
        <f t="shared" ref="JQ824:JR824" si="17173">JP824</f>
        <v>0</v>
      </c>
      <c r="JR824" s="89">
        <f t="shared" si="17173"/>
        <v>0</v>
      </c>
      <c r="JS824" s="74">
        <f t="shared" si="17136"/>
        <v>0</v>
      </c>
      <c r="JT824" s="382">
        <f t="shared" si="17137"/>
        <v>0</v>
      </c>
      <c r="JU824" s="665"/>
      <c r="JV824" s="524"/>
      <c r="JW824" s="525"/>
      <c r="JX824" s="549">
        <f t="shared" si="17138"/>
        <v>0</v>
      </c>
      <c r="JY824" s="549">
        <f t="shared" si="17138"/>
        <v>0</v>
      </c>
      <c r="JZ824" s="581">
        <f t="shared" si="16466"/>
        <v>0</v>
      </c>
      <c r="KA824" s="581">
        <f t="shared" si="16467"/>
        <v>0</v>
      </c>
      <c r="KB824" s="566">
        <f t="shared" si="17031"/>
        <v>0</v>
      </c>
      <c r="KC824" s="709">
        <f t="shared" si="16464"/>
        <v>0</v>
      </c>
      <c r="KD824" s="491"/>
      <c r="KE824" s="491"/>
      <c r="KF824" s="491"/>
      <c r="KG824" s="491"/>
      <c r="KH824" s="36"/>
      <c r="KI824" s="36"/>
      <c r="KJ824" s="36"/>
      <c r="KK824" s="36"/>
    </row>
    <row r="825" spans="1:297" s="10" customFormat="1" ht="12.75" hidden="1" customHeight="1">
      <c r="A825" s="612" t="s">
        <v>1173</v>
      </c>
      <c r="B825" s="512"/>
      <c r="C825" s="74">
        <v>0</v>
      </c>
      <c r="D825" s="549">
        <v>0</v>
      </c>
      <c r="E825" s="675">
        <v>0</v>
      </c>
      <c r="F825" s="549">
        <v>0</v>
      </c>
      <c r="G825" s="675">
        <v>0</v>
      </c>
      <c r="H825" s="549">
        <v>0</v>
      </c>
      <c r="I825" s="675">
        <v>0</v>
      </c>
      <c r="J825" s="549">
        <v>0</v>
      </c>
      <c r="K825" s="675">
        <v>0</v>
      </c>
      <c r="L825" s="549">
        <v>0</v>
      </c>
      <c r="M825" s="675">
        <v>0</v>
      </c>
      <c r="N825" s="549">
        <v>0</v>
      </c>
      <c r="O825" s="675">
        <v>0</v>
      </c>
      <c r="P825" s="549">
        <v>0</v>
      </c>
      <c r="Q825" s="675">
        <v>0</v>
      </c>
      <c r="R825" s="549">
        <v>0</v>
      </c>
      <c r="S825" s="675">
        <v>0</v>
      </c>
      <c r="T825" s="549">
        <v>0</v>
      </c>
      <c r="U825" s="675">
        <v>0</v>
      </c>
      <c r="V825" s="549">
        <v>0</v>
      </c>
      <c r="W825" s="675">
        <v>0</v>
      </c>
      <c r="X825" s="549">
        <v>0</v>
      </c>
      <c r="Y825" s="675">
        <v>0</v>
      </c>
      <c r="Z825" s="549">
        <v>0</v>
      </c>
      <c r="AA825" s="675">
        <v>0</v>
      </c>
      <c r="AB825" s="549">
        <v>0</v>
      </c>
      <c r="AC825" s="675">
        <v>0</v>
      </c>
      <c r="AD825" s="549">
        <v>0</v>
      </c>
      <c r="AE825" s="675">
        <v>0</v>
      </c>
      <c r="AF825" s="549">
        <v>0</v>
      </c>
      <c r="AG825" s="675">
        <v>0</v>
      </c>
      <c r="AH825" s="549">
        <v>0</v>
      </c>
      <c r="AI825" s="675">
        <v>0</v>
      </c>
      <c r="AJ825" s="549">
        <v>0</v>
      </c>
      <c r="AK825" s="675">
        <v>0</v>
      </c>
      <c r="AL825" s="549">
        <v>0</v>
      </c>
      <c r="AM825" s="675">
        <v>0</v>
      </c>
      <c r="AN825" s="549">
        <v>0</v>
      </c>
      <c r="AO825" s="675">
        <v>0</v>
      </c>
      <c r="AP825" s="549">
        <v>0</v>
      </c>
      <c r="AQ825" s="675">
        <v>0</v>
      </c>
      <c r="AR825" s="549">
        <v>0</v>
      </c>
      <c r="AS825" s="675">
        <v>0</v>
      </c>
      <c r="AT825" s="549">
        <v>0</v>
      </c>
      <c r="AU825" s="675">
        <v>0</v>
      </c>
      <c r="AV825" s="549">
        <v>0</v>
      </c>
      <c r="AW825" s="675">
        <v>0</v>
      </c>
      <c r="AX825" s="549">
        <v>0</v>
      </c>
      <c r="AY825" s="675">
        <v>0</v>
      </c>
      <c r="AZ825" s="549">
        <v>0</v>
      </c>
      <c r="BA825" s="675">
        <v>0</v>
      </c>
      <c r="BB825" s="549">
        <v>0</v>
      </c>
      <c r="BC825" s="675">
        <v>0</v>
      </c>
      <c r="BD825" s="549">
        <v>0</v>
      </c>
      <c r="BE825" s="675">
        <v>0</v>
      </c>
      <c r="BF825" s="549">
        <v>0</v>
      </c>
      <c r="BG825" s="675">
        <v>0</v>
      </c>
      <c r="BH825" s="549">
        <v>0</v>
      </c>
      <c r="BI825" s="675">
        <v>0</v>
      </c>
      <c r="BJ825" s="549">
        <v>0</v>
      </c>
      <c r="BK825" s="675">
        <v>0</v>
      </c>
      <c r="BL825" s="549">
        <v>0</v>
      </c>
      <c r="BM825" s="675">
        <v>0</v>
      </c>
      <c r="BN825" s="549">
        <v>0</v>
      </c>
      <c r="BO825" s="675">
        <v>0</v>
      </c>
      <c r="BP825" s="549">
        <v>0</v>
      </c>
      <c r="BQ825" s="675">
        <v>0</v>
      </c>
      <c r="BR825" s="549">
        <v>0</v>
      </c>
      <c r="BS825" s="675">
        <v>0</v>
      </c>
      <c r="BT825" s="549">
        <v>0</v>
      </c>
      <c r="BU825" s="675">
        <v>0</v>
      </c>
      <c r="BV825" s="549">
        <v>0</v>
      </c>
      <c r="BW825" s="675">
        <v>0</v>
      </c>
      <c r="BX825" s="549">
        <v>0</v>
      </c>
      <c r="BY825" s="675">
        <v>0</v>
      </c>
      <c r="BZ825" s="549">
        <v>0</v>
      </c>
      <c r="CA825" s="675">
        <v>0</v>
      </c>
      <c r="CB825" s="549">
        <v>0</v>
      </c>
      <c r="CC825" s="675">
        <v>0</v>
      </c>
      <c r="CD825" s="549">
        <v>0</v>
      </c>
      <c r="CE825" s="675">
        <v>0</v>
      </c>
      <c r="CF825" s="549">
        <v>0</v>
      </c>
      <c r="CG825" s="675">
        <v>0</v>
      </c>
      <c r="CH825" s="549">
        <v>0</v>
      </c>
      <c r="CI825" s="675">
        <v>0</v>
      </c>
      <c r="CJ825" s="549">
        <v>0</v>
      </c>
      <c r="CK825" s="675">
        <v>0</v>
      </c>
      <c r="CL825" s="549">
        <v>0</v>
      </c>
      <c r="CM825" s="675">
        <v>0</v>
      </c>
      <c r="CN825" s="549">
        <v>0</v>
      </c>
      <c r="CO825" s="675">
        <v>0</v>
      </c>
      <c r="CP825" s="549">
        <v>0</v>
      </c>
      <c r="CQ825" s="675">
        <v>0</v>
      </c>
      <c r="CR825" s="549">
        <v>0</v>
      </c>
      <c r="CS825" s="675">
        <v>0</v>
      </c>
      <c r="CT825" s="549">
        <v>0</v>
      </c>
      <c r="CU825" s="675">
        <v>0</v>
      </c>
      <c r="CV825" s="549">
        <v>0</v>
      </c>
      <c r="CW825" s="675">
        <v>0</v>
      </c>
      <c r="CX825" s="549">
        <v>0</v>
      </c>
      <c r="CY825" s="675">
        <v>0</v>
      </c>
      <c r="CZ825" s="549">
        <v>0</v>
      </c>
      <c r="DA825" s="675">
        <v>0</v>
      </c>
      <c r="DB825" s="549">
        <v>0</v>
      </c>
      <c r="DC825" s="675">
        <v>0</v>
      </c>
      <c r="DD825" s="549">
        <v>0</v>
      </c>
      <c r="DE825" s="675">
        <v>0</v>
      </c>
      <c r="DF825" s="549">
        <v>0</v>
      </c>
      <c r="DG825" s="675">
        <v>0</v>
      </c>
      <c r="DH825" s="549">
        <v>0</v>
      </c>
      <c r="DI825" s="675">
        <v>0</v>
      </c>
      <c r="DJ825" s="549">
        <v>0</v>
      </c>
      <c r="DK825" s="675">
        <v>0</v>
      </c>
      <c r="DL825" s="549">
        <v>0</v>
      </c>
      <c r="DM825" s="675">
        <v>0</v>
      </c>
      <c r="DN825" s="549">
        <v>0</v>
      </c>
      <c r="DO825" s="675">
        <v>0</v>
      </c>
      <c r="DP825" s="549">
        <v>0</v>
      </c>
      <c r="DQ825" s="675">
        <v>0</v>
      </c>
      <c r="DR825" s="549">
        <v>0</v>
      </c>
      <c r="DS825" s="675">
        <v>0</v>
      </c>
      <c r="DT825" s="549">
        <v>0</v>
      </c>
      <c r="DU825" s="675">
        <v>0</v>
      </c>
      <c r="DV825" s="549">
        <v>0</v>
      </c>
      <c r="DW825" s="675">
        <v>0</v>
      </c>
      <c r="DX825" s="549">
        <v>0</v>
      </c>
      <c r="DY825" s="675">
        <v>0</v>
      </c>
      <c r="DZ825" s="549">
        <v>0</v>
      </c>
      <c r="EA825" s="675">
        <v>0</v>
      </c>
      <c r="EB825" s="549">
        <v>0</v>
      </c>
      <c r="EC825" s="675">
        <v>0</v>
      </c>
      <c r="ED825" s="549">
        <v>0</v>
      </c>
      <c r="EE825" s="675">
        <v>0</v>
      </c>
      <c r="EF825" s="549">
        <v>0</v>
      </c>
      <c r="EG825" s="675">
        <v>0</v>
      </c>
      <c r="EH825" s="549">
        <v>0</v>
      </c>
      <c r="EI825" s="675">
        <v>0</v>
      </c>
      <c r="EJ825" s="549">
        <v>0</v>
      </c>
      <c r="EK825" s="675">
        <v>0</v>
      </c>
      <c r="EL825" s="549">
        <v>0</v>
      </c>
      <c r="EM825" s="675">
        <v>0</v>
      </c>
      <c r="EN825" s="549">
        <v>0</v>
      </c>
      <c r="EO825" s="675">
        <v>0</v>
      </c>
      <c r="EP825" s="549">
        <v>0</v>
      </c>
      <c r="EQ825" s="675">
        <v>0</v>
      </c>
      <c r="ER825" s="549">
        <v>0</v>
      </c>
      <c r="ES825" s="675">
        <v>0</v>
      </c>
      <c r="ET825" s="549">
        <v>0</v>
      </c>
      <c r="EU825" s="675">
        <v>0</v>
      </c>
      <c r="EV825" s="549">
        <v>0</v>
      </c>
      <c r="EW825" s="675">
        <v>0</v>
      </c>
      <c r="EX825" s="549">
        <v>0</v>
      </c>
      <c r="EY825" s="675">
        <v>0</v>
      </c>
      <c r="EZ825" s="549">
        <v>0</v>
      </c>
      <c r="FA825" s="675">
        <v>0</v>
      </c>
      <c r="FB825" s="549">
        <v>0</v>
      </c>
      <c r="FC825" s="675">
        <v>0</v>
      </c>
      <c r="FD825" s="549">
        <v>0</v>
      </c>
      <c r="FE825" s="675">
        <v>0</v>
      </c>
      <c r="FF825" s="549">
        <v>0</v>
      </c>
      <c r="FG825" s="675">
        <v>0</v>
      </c>
      <c r="FH825" s="549">
        <v>0</v>
      </c>
      <c r="FI825" s="675">
        <v>0</v>
      </c>
      <c r="FJ825" s="549">
        <v>0</v>
      </c>
      <c r="FK825" s="675">
        <v>0</v>
      </c>
      <c r="FL825" s="549">
        <v>0</v>
      </c>
      <c r="FM825" s="675">
        <v>0</v>
      </c>
      <c r="FN825" s="549">
        <v>0</v>
      </c>
      <c r="FO825" s="675">
        <v>0</v>
      </c>
      <c r="FP825" s="549">
        <v>0</v>
      </c>
      <c r="FQ825" s="675">
        <v>0</v>
      </c>
      <c r="FR825" s="549">
        <v>0</v>
      </c>
      <c r="FS825" s="675">
        <v>0</v>
      </c>
      <c r="FT825" s="549">
        <v>0</v>
      </c>
      <c r="FU825" s="675">
        <v>0</v>
      </c>
      <c r="FV825" s="549">
        <v>0</v>
      </c>
      <c r="FW825" s="675">
        <v>0</v>
      </c>
      <c r="FX825" s="549">
        <v>0</v>
      </c>
      <c r="FY825" s="675">
        <v>0</v>
      </c>
      <c r="FZ825" s="549">
        <v>0</v>
      </c>
      <c r="GA825" s="675">
        <v>0</v>
      </c>
      <c r="GB825" s="549">
        <v>0</v>
      </c>
      <c r="GC825" s="675">
        <v>0</v>
      </c>
      <c r="GD825" s="549">
        <v>0</v>
      </c>
      <c r="GE825" s="675">
        <v>0</v>
      </c>
      <c r="GF825" s="549">
        <v>0</v>
      </c>
      <c r="GG825" s="675">
        <v>0</v>
      </c>
      <c r="GH825" s="549">
        <v>0</v>
      </c>
      <c r="GI825" s="675">
        <v>0</v>
      </c>
      <c r="GJ825" s="549">
        <v>0</v>
      </c>
      <c r="GK825" s="675">
        <v>0</v>
      </c>
      <c r="GL825" s="549">
        <v>0</v>
      </c>
      <c r="GM825" s="675">
        <v>0</v>
      </c>
      <c r="GN825" s="549">
        <v>0</v>
      </c>
      <c r="GO825" s="675">
        <v>0</v>
      </c>
      <c r="GP825" s="549">
        <f>+D825+F825+H825+J825+L825+N825+P825+R825+T825+V825+X825+Z825+AB825+AD825+AH825+AJ825+AL825+AN825+AP825+AR825+AT825+AV825+AX825+AZ825+BB825+BD825+BF825+BH825+BJ825+BL825+BN825+BP825+BR825+BT825+BV825+BX825+BZ825+CB825+CD825+CF825+CH825+CJ825+CL825+CN825+CP825+CR825+CT825+CV825+CX825+CZ825+DB825+DD825+DF825+DH825+DT825+EX825+DJ825+DL825+DN825+DP825+DR825+EJ825+EB825+DZ825+DX825+DV825+ED825+EF825+EH825+EL825+EN825+EP825+EV825+ET825+ER825+EZ825+FB825+FD825+GL825+FF825+FJ825+FL825+GJ825+FT825+FR825+FP825+FN825+FH825</f>
        <v>0</v>
      </c>
      <c r="GQ825" s="675">
        <f>+E825+G825+I825+K825+M825+O825+Q825+S825+U825+W825+Y825+AA825+AC825+AE825+AI825+AK825+AM825+AO825+AQ825+AS825+AU825+AW825+AY825+BA825+BC825+BE825+BG825+BI825+BK825+BM825+BO825+BQ825+BS825+BU825+BW825+BY825+CA825+CC825+CE825+CG825+CI825+CK825+CM825+CO825+CQ825+CS825+CU825+CW825+CY825+DA825+DC825+DE825+DG825+DI825+DU825+EY825+DK825+DM825+DO825+DQ825+DS825+EK825+EC825+EA825+DY825+DW825+EI825+EG825+EE825+EM825+EO825+EQ825+EW825+EU825+ES825+FA825+FC825+FE825+GM825+FG825+FK825+FM825+FO825+FQ825+FS825+FU825+GK825+FI825</f>
        <v>0</v>
      </c>
      <c r="GR825" s="74">
        <f t="shared" si="17106"/>
        <v>0</v>
      </c>
      <c r="GS825" s="74">
        <f t="shared" si="17171"/>
        <v>0</v>
      </c>
      <c r="GT825" s="568">
        <f t="shared" si="17108"/>
        <v>0</v>
      </c>
      <c r="GU825" s="275"/>
      <c r="GV825" s="275"/>
      <c r="GW825" s="588"/>
      <c r="GX825" s="275"/>
      <c r="GY825" s="275"/>
      <c r="GZ825" s="275"/>
      <c r="HA825" s="275"/>
      <c r="HB825" s="275"/>
      <c r="HC825" s="275"/>
      <c r="HD825" s="275"/>
      <c r="HE825" s="275"/>
      <c r="HF825" s="275"/>
      <c r="HG825" s="74">
        <f t="shared" si="17172"/>
        <v>0</v>
      </c>
      <c r="HH825" s="89">
        <v>0</v>
      </c>
      <c r="HI825" s="157">
        <v>0</v>
      </c>
      <c r="HJ825" s="89">
        <v>0</v>
      </c>
      <c r="HK825" s="157">
        <v>0</v>
      </c>
      <c r="HL825" s="89">
        <v>0</v>
      </c>
      <c r="HM825" s="157">
        <v>0</v>
      </c>
      <c r="HN825" s="89">
        <v>0</v>
      </c>
      <c r="HO825" s="157">
        <v>0</v>
      </c>
      <c r="HP825" s="89">
        <v>0</v>
      </c>
      <c r="HQ825" s="157">
        <v>0</v>
      </c>
      <c r="HR825" s="89">
        <v>0</v>
      </c>
      <c r="HS825" s="157">
        <v>0</v>
      </c>
      <c r="HT825" s="89">
        <v>0</v>
      </c>
      <c r="HU825" s="157">
        <v>0</v>
      </c>
      <c r="HV825" s="89">
        <v>0</v>
      </c>
      <c r="HW825" s="157">
        <v>0</v>
      </c>
      <c r="HX825" s="89">
        <v>0</v>
      </c>
      <c r="HY825" s="157">
        <v>0</v>
      </c>
      <c r="HZ825" s="89">
        <v>0</v>
      </c>
      <c r="IA825" s="157">
        <v>0</v>
      </c>
      <c r="IB825" s="89">
        <v>0</v>
      </c>
      <c r="IC825" s="157">
        <v>0</v>
      </c>
      <c r="ID825" s="89">
        <v>0</v>
      </c>
      <c r="IE825" s="157">
        <v>0</v>
      </c>
      <c r="IF825" s="717">
        <f t="shared" si="17110"/>
        <v>0</v>
      </c>
      <c r="IG825" s="263">
        <f t="shared" si="17111"/>
        <v>0</v>
      </c>
      <c r="IH825" s="718">
        <f t="shared" si="17112"/>
        <v>0</v>
      </c>
      <c r="II825" s="89">
        <v>0</v>
      </c>
      <c r="IJ825" s="89">
        <f t="shared" si="17113"/>
        <v>0</v>
      </c>
      <c r="IK825" s="89">
        <f t="shared" si="17114"/>
        <v>0</v>
      </c>
      <c r="IL825" s="89">
        <v>0</v>
      </c>
      <c r="IM825" s="89">
        <f t="shared" si="17115"/>
        <v>0</v>
      </c>
      <c r="IN825" s="89">
        <f t="shared" si="17116"/>
        <v>0</v>
      </c>
      <c r="IO825" s="89">
        <v>0</v>
      </c>
      <c r="IP825" s="89">
        <f t="shared" si="17117"/>
        <v>0</v>
      </c>
      <c r="IQ825" s="89">
        <f t="shared" si="17118"/>
        <v>0</v>
      </c>
      <c r="IR825" s="89">
        <v>0</v>
      </c>
      <c r="IS825" s="89">
        <f t="shared" si="17119"/>
        <v>0</v>
      </c>
      <c r="IT825" s="89">
        <f t="shared" si="17120"/>
        <v>0</v>
      </c>
      <c r="IU825" s="89">
        <v>0</v>
      </c>
      <c r="IV825" s="89">
        <f t="shared" si="17121"/>
        <v>0</v>
      </c>
      <c r="IW825" s="89">
        <f t="shared" si="17122"/>
        <v>0</v>
      </c>
      <c r="IX825" s="89">
        <v>0</v>
      </c>
      <c r="IY825" s="89">
        <f t="shared" si="17123"/>
        <v>0</v>
      </c>
      <c r="IZ825" s="89">
        <f t="shared" si="17124"/>
        <v>0</v>
      </c>
      <c r="JA825" s="89">
        <v>0</v>
      </c>
      <c r="JB825" s="89">
        <f t="shared" si="17125"/>
        <v>0</v>
      </c>
      <c r="JC825" s="89">
        <f t="shared" si="17126"/>
        <v>0</v>
      </c>
      <c r="JD825" s="89">
        <v>0</v>
      </c>
      <c r="JE825" s="89">
        <f t="shared" si="17127"/>
        <v>0</v>
      </c>
      <c r="JF825" s="89">
        <f t="shared" si="17128"/>
        <v>0</v>
      </c>
      <c r="JG825" s="89">
        <v>0</v>
      </c>
      <c r="JH825" s="89">
        <f t="shared" si="17129"/>
        <v>0</v>
      </c>
      <c r="JI825" s="89">
        <f t="shared" si="17130"/>
        <v>0</v>
      </c>
      <c r="JJ825" s="89">
        <v>0</v>
      </c>
      <c r="JK825" s="89">
        <f t="shared" si="17131"/>
        <v>0</v>
      </c>
      <c r="JL825" s="89">
        <f t="shared" si="17132"/>
        <v>0</v>
      </c>
      <c r="JM825" s="89">
        <v>0</v>
      </c>
      <c r="JN825" s="89">
        <f t="shared" si="17133"/>
        <v>0</v>
      </c>
      <c r="JO825" s="89">
        <f t="shared" si="17134"/>
        <v>0</v>
      </c>
      <c r="JP825" s="89">
        <v>0</v>
      </c>
      <c r="JQ825" s="89">
        <f t="shared" ref="JQ825:JR825" si="17174">JP825</f>
        <v>0</v>
      </c>
      <c r="JR825" s="89">
        <f t="shared" si="17174"/>
        <v>0</v>
      </c>
      <c r="JS825" s="74">
        <f t="shared" si="17136"/>
        <v>0</v>
      </c>
      <c r="JT825" s="382">
        <f t="shared" si="17137"/>
        <v>0</v>
      </c>
      <c r="JU825" s="665"/>
      <c r="JV825" s="524"/>
      <c r="JW825" s="525"/>
      <c r="JX825" s="549">
        <f t="shared" ref="JX825:JY825" si="17175">SUM(HH825,HJ825,HL825,HN825,HP825,HR825,HT825,HV825,HX825,HZ825,IB825,ID825)</f>
        <v>0</v>
      </c>
      <c r="JY825" s="549">
        <f t="shared" si="17175"/>
        <v>0</v>
      </c>
      <c r="JZ825" s="581">
        <f t="shared" si="16466"/>
        <v>0</v>
      </c>
      <c r="KA825" s="581">
        <f t="shared" si="16467"/>
        <v>0</v>
      </c>
      <c r="KB825" s="566">
        <f t="shared" si="17031"/>
        <v>0</v>
      </c>
      <c r="KC825" s="709">
        <f t="shared" si="16464"/>
        <v>0</v>
      </c>
      <c r="KD825" s="491"/>
      <c r="KE825" s="491"/>
      <c r="KF825" s="491"/>
      <c r="KG825" s="491"/>
      <c r="KH825" s="36"/>
      <c r="KI825" s="36"/>
      <c r="KJ825" s="36"/>
      <c r="KK825" s="36"/>
    </row>
    <row r="826" spans="1:297" s="10" customFormat="1">
      <c r="A826" s="612"/>
      <c r="B826" s="512"/>
      <c r="C826" s="513"/>
      <c r="D826" s="553"/>
      <c r="E826" s="687"/>
      <c r="F826" s="553"/>
      <c r="G826" s="687"/>
      <c r="H826" s="553"/>
      <c r="I826" s="687"/>
      <c r="J826" s="553"/>
      <c r="K826" s="687"/>
      <c r="L826" s="553"/>
      <c r="M826" s="687"/>
      <c r="N826" s="553"/>
      <c r="O826" s="687"/>
      <c r="P826" s="553"/>
      <c r="Q826" s="687"/>
      <c r="R826" s="553"/>
      <c r="S826" s="687"/>
      <c r="T826" s="553"/>
      <c r="U826" s="687"/>
      <c r="V826" s="553"/>
      <c r="W826" s="687"/>
      <c r="X826" s="553"/>
      <c r="Y826" s="687"/>
      <c r="Z826" s="553"/>
      <c r="AA826" s="687"/>
      <c r="AB826" s="553"/>
      <c r="AC826" s="687"/>
      <c r="AD826" s="553"/>
      <c r="AE826" s="687"/>
      <c r="AF826" s="553"/>
      <c r="AG826" s="687"/>
      <c r="AH826" s="553"/>
      <c r="AI826" s="687"/>
      <c r="AJ826" s="553"/>
      <c r="AK826" s="687"/>
      <c r="AL826" s="553"/>
      <c r="AM826" s="687"/>
      <c r="AN826" s="553"/>
      <c r="AO826" s="687"/>
      <c r="AP826" s="553"/>
      <c r="AQ826" s="687"/>
      <c r="AR826" s="553"/>
      <c r="AS826" s="687"/>
      <c r="AT826" s="553"/>
      <c r="AU826" s="687"/>
      <c r="AV826" s="553"/>
      <c r="AW826" s="687"/>
      <c r="AX826" s="553"/>
      <c r="AY826" s="687"/>
      <c r="AZ826" s="553"/>
      <c r="BA826" s="687"/>
      <c r="BB826" s="553"/>
      <c r="BC826" s="687"/>
      <c r="BD826" s="553"/>
      <c r="BE826" s="687"/>
      <c r="BF826" s="553"/>
      <c r="BG826" s="687"/>
      <c r="BH826" s="553"/>
      <c r="BI826" s="687"/>
      <c r="BJ826" s="553"/>
      <c r="BK826" s="687"/>
      <c r="BL826" s="553"/>
      <c r="BM826" s="687"/>
      <c r="BN826" s="553"/>
      <c r="BO826" s="687"/>
      <c r="BP826" s="553"/>
      <c r="BQ826" s="687"/>
      <c r="BR826" s="553"/>
      <c r="BS826" s="687"/>
      <c r="BT826" s="553"/>
      <c r="BU826" s="687"/>
      <c r="BV826" s="553"/>
      <c r="BW826" s="687"/>
      <c r="BX826" s="553"/>
      <c r="BY826" s="687"/>
      <c r="BZ826" s="553"/>
      <c r="CA826" s="687"/>
      <c r="CB826" s="553"/>
      <c r="CC826" s="687"/>
      <c r="CD826" s="553"/>
      <c r="CE826" s="687"/>
      <c r="CF826" s="553"/>
      <c r="CG826" s="687"/>
      <c r="CH826" s="553"/>
      <c r="CI826" s="687"/>
      <c r="CJ826" s="553"/>
      <c r="CK826" s="687"/>
      <c r="CL826" s="553"/>
      <c r="CM826" s="687"/>
      <c r="CN826" s="553"/>
      <c r="CO826" s="687"/>
      <c r="CP826" s="553"/>
      <c r="CQ826" s="687"/>
      <c r="CR826" s="553"/>
      <c r="CS826" s="687"/>
      <c r="CT826" s="553"/>
      <c r="CU826" s="687"/>
      <c r="CV826" s="553"/>
      <c r="CW826" s="687"/>
      <c r="CX826" s="553"/>
      <c r="CY826" s="687"/>
      <c r="CZ826" s="553"/>
      <c r="DA826" s="687"/>
      <c r="DB826" s="553"/>
      <c r="DC826" s="687"/>
      <c r="DD826" s="553"/>
      <c r="DE826" s="687"/>
      <c r="DF826" s="553"/>
      <c r="DG826" s="687"/>
      <c r="DH826" s="553"/>
      <c r="DI826" s="687"/>
      <c r="DJ826" s="553"/>
      <c r="DK826" s="687"/>
      <c r="DL826" s="553"/>
      <c r="DM826" s="687"/>
      <c r="DN826" s="553"/>
      <c r="DO826" s="687"/>
      <c r="DP826" s="553"/>
      <c r="DQ826" s="687"/>
      <c r="DR826" s="553"/>
      <c r="DS826" s="687"/>
      <c r="DT826" s="553"/>
      <c r="DU826" s="687"/>
      <c r="DV826" s="553"/>
      <c r="DW826" s="687"/>
      <c r="DX826" s="553"/>
      <c r="DY826" s="687"/>
      <c r="DZ826" s="553"/>
      <c r="EA826" s="687"/>
      <c r="EB826" s="553"/>
      <c r="EC826" s="687"/>
      <c r="ED826" s="553"/>
      <c r="EE826" s="687"/>
      <c r="EF826" s="553"/>
      <c r="EG826" s="687"/>
      <c r="EH826" s="553"/>
      <c r="EI826" s="687"/>
      <c r="EJ826" s="553"/>
      <c r="EK826" s="687"/>
      <c r="EL826" s="553"/>
      <c r="EM826" s="687"/>
      <c r="EN826" s="553"/>
      <c r="EO826" s="687"/>
      <c r="EP826" s="553"/>
      <c r="EQ826" s="687"/>
      <c r="ER826" s="553"/>
      <c r="ES826" s="687"/>
      <c r="ET826" s="553"/>
      <c r="EU826" s="687"/>
      <c r="EV826" s="553"/>
      <c r="EW826" s="687"/>
      <c r="EX826" s="553"/>
      <c r="EY826" s="687"/>
      <c r="EZ826" s="553"/>
      <c r="FA826" s="687"/>
      <c r="FB826" s="553"/>
      <c r="FC826" s="687"/>
      <c r="FD826" s="553"/>
      <c r="FE826" s="687"/>
      <c r="FF826" s="553"/>
      <c r="FG826" s="687"/>
      <c r="FH826" s="553"/>
      <c r="FI826" s="687"/>
      <c r="FJ826" s="553"/>
      <c r="FK826" s="687"/>
      <c r="FL826" s="553"/>
      <c r="FM826" s="687"/>
      <c r="FN826" s="553"/>
      <c r="FO826" s="687"/>
      <c r="FP826" s="553"/>
      <c r="FQ826" s="687"/>
      <c r="FR826" s="553"/>
      <c r="FS826" s="687"/>
      <c r="FT826" s="553"/>
      <c r="FU826" s="687"/>
      <c r="FV826" s="553"/>
      <c r="FW826" s="687"/>
      <c r="FX826" s="553"/>
      <c r="FY826" s="687"/>
      <c r="FZ826" s="553"/>
      <c r="GA826" s="687"/>
      <c r="GB826" s="553"/>
      <c r="GC826" s="687"/>
      <c r="GD826" s="553"/>
      <c r="GE826" s="687"/>
      <c r="GF826" s="553"/>
      <c r="GG826" s="687"/>
      <c r="GH826" s="553"/>
      <c r="GI826" s="687"/>
      <c r="GJ826" s="553"/>
      <c r="GK826" s="687"/>
      <c r="GL826" s="553"/>
      <c r="GM826" s="687"/>
      <c r="GN826" s="553"/>
      <c r="GO826" s="687"/>
      <c r="GP826" s="553"/>
      <c r="GQ826" s="687"/>
      <c r="GR826" s="487"/>
      <c r="GS826" s="487"/>
      <c r="GT826" s="567"/>
      <c r="GU826" s="493"/>
      <c r="GV826" s="493"/>
      <c r="GW826" s="589"/>
      <c r="GX826" s="589"/>
      <c r="GY826" s="493"/>
      <c r="GZ826" s="493"/>
      <c r="HA826" s="493"/>
      <c r="HB826" s="493"/>
      <c r="HC826" s="493"/>
      <c r="HD826" s="493"/>
      <c r="HE826" s="493"/>
      <c r="HF826" s="493"/>
      <c r="HG826" s="487"/>
      <c r="HH826" s="488"/>
      <c r="HI826" s="829"/>
      <c r="HJ826" s="488"/>
      <c r="HK826" s="829"/>
      <c r="HL826" s="488"/>
      <c r="HM826" s="829"/>
      <c r="HN826" s="488"/>
      <c r="HO826" s="829"/>
      <c r="HP826" s="488"/>
      <c r="HQ826" s="829"/>
      <c r="HR826" s="488"/>
      <c r="HS826" s="829"/>
      <c r="HT826" s="488"/>
      <c r="HU826" s="829"/>
      <c r="HV826" s="488"/>
      <c r="HW826" s="829"/>
      <c r="HX826" s="488"/>
      <c r="HY826" s="829"/>
      <c r="HZ826" s="488"/>
      <c r="IA826" s="829"/>
      <c r="IB826" s="488"/>
      <c r="IC826" s="829"/>
      <c r="ID826" s="488"/>
      <c r="IE826" s="829"/>
      <c r="IF826" s="719"/>
      <c r="IG826" s="486"/>
      <c r="IH826" s="720"/>
      <c r="II826" s="488"/>
      <c r="IJ826" s="488"/>
      <c r="IK826" s="488"/>
      <c r="IL826" s="488"/>
      <c r="IM826" s="488"/>
      <c r="IN826" s="488"/>
      <c r="IO826" s="488"/>
      <c r="IP826" s="488"/>
      <c r="IQ826" s="488"/>
      <c r="IR826" s="488"/>
      <c r="IS826" s="488"/>
      <c r="IT826" s="488"/>
      <c r="IU826" s="488"/>
      <c r="IV826" s="488"/>
      <c r="IW826" s="488"/>
      <c r="IX826" s="488"/>
      <c r="IY826" s="488"/>
      <c r="IZ826" s="488"/>
      <c r="JA826" s="488"/>
      <c r="JB826" s="488"/>
      <c r="JC826" s="488"/>
      <c r="JD826" s="488"/>
      <c r="JE826" s="488"/>
      <c r="JF826" s="488"/>
      <c r="JG826" s="488"/>
      <c r="JH826" s="488"/>
      <c r="JI826" s="488"/>
      <c r="JJ826" s="488"/>
      <c r="JK826" s="488"/>
      <c r="JL826" s="488"/>
      <c r="JM826" s="488"/>
      <c r="JN826" s="488"/>
      <c r="JO826" s="488"/>
      <c r="JP826" s="488"/>
      <c r="JQ826" s="488"/>
      <c r="JR826" s="488"/>
      <c r="JS826" s="487"/>
      <c r="JT826" s="662"/>
      <c r="JU826" s="665"/>
      <c r="JV826" s="524"/>
      <c r="JW826" s="525"/>
      <c r="JX826" s="553"/>
      <c r="JY826" s="549">
        <f t="shared" ref="JY826:JY858" si="17176">SUM(HI826,HK826,HM826,HO826,HQ826,HS826,HU826,HW826,HY826,IA826,IC826,IE826)</f>
        <v>0</v>
      </c>
      <c r="JZ826" s="581">
        <f t="shared" si="16466"/>
        <v>0</v>
      </c>
      <c r="KA826" s="581">
        <f t="shared" si="16467"/>
        <v>0</v>
      </c>
      <c r="KB826" s="566">
        <f t="shared" si="17031"/>
        <v>0</v>
      </c>
      <c r="KC826" s="709">
        <f t="shared" si="16464"/>
        <v>0</v>
      </c>
      <c r="KD826" s="491"/>
      <c r="KE826" s="491"/>
      <c r="KF826" s="491"/>
      <c r="KG826" s="491"/>
      <c r="KH826" s="36"/>
      <c r="KI826" s="36"/>
      <c r="KJ826" s="36"/>
      <c r="KK826" s="36"/>
    </row>
    <row r="827" spans="1:297" s="8" customFormat="1">
      <c r="A827" s="613" t="s">
        <v>738</v>
      </c>
      <c r="B827" s="514" t="s">
        <v>999</v>
      </c>
      <c r="C827" s="513">
        <f t="shared" ref="C827" si="17177">SUM(C828:C839)</f>
        <v>200000</v>
      </c>
      <c r="D827" s="567">
        <f t="shared" ref="D827:E827" si="17178">SUM(D828:D840)</f>
        <v>0</v>
      </c>
      <c r="E827" s="686">
        <f t="shared" si="17178"/>
        <v>0</v>
      </c>
      <c r="F827" s="567">
        <f t="shared" ref="F827:G827" si="17179">SUM(F828:F840)</f>
        <v>0</v>
      </c>
      <c r="G827" s="686">
        <f t="shared" si="17179"/>
        <v>0</v>
      </c>
      <c r="H827" s="567">
        <f t="shared" ref="H827:I827" si="17180">SUM(H828:H840)</f>
        <v>0</v>
      </c>
      <c r="I827" s="686">
        <f t="shared" si="17180"/>
        <v>0</v>
      </c>
      <c r="J827" s="567">
        <f t="shared" ref="J827:K827" si="17181">SUM(J828:J840)</f>
        <v>0</v>
      </c>
      <c r="K827" s="686">
        <f t="shared" si="17181"/>
        <v>0</v>
      </c>
      <c r="L827" s="567">
        <f t="shared" ref="L827:M827" si="17182">SUM(L828:L840)</f>
        <v>0</v>
      </c>
      <c r="M827" s="686">
        <f t="shared" si="17182"/>
        <v>0</v>
      </c>
      <c r="N827" s="567">
        <f t="shared" ref="N827:O827" si="17183">SUM(N828:N840)</f>
        <v>0</v>
      </c>
      <c r="O827" s="686">
        <f t="shared" si="17183"/>
        <v>0</v>
      </c>
      <c r="P827" s="567">
        <f t="shared" ref="P827:Q827" si="17184">SUM(P828:P840)</f>
        <v>0</v>
      </c>
      <c r="Q827" s="686">
        <f t="shared" si="17184"/>
        <v>0</v>
      </c>
      <c r="R827" s="567">
        <f t="shared" ref="R827:S827" si="17185">SUM(R828:R840)</f>
        <v>0</v>
      </c>
      <c r="S827" s="686">
        <f t="shared" si="17185"/>
        <v>0</v>
      </c>
      <c r="T827" s="567">
        <f t="shared" ref="T827:U827" si="17186">SUM(T828:T840)</f>
        <v>0</v>
      </c>
      <c r="U827" s="686">
        <f t="shared" si="17186"/>
        <v>0</v>
      </c>
      <c r="V827" s="567">
        <f t="shared" ref="V827:W827" si="17187">SUM(V828:V840)</f>
        <v>0</v>
      </c>
      <c r="W827" s="686">
        <f t="shared" si="17187"/>
        <v>0</v>
      </c>
      <c r="X827" s="567">
        <f t="shared" ref="X827:Y827" si="17188">SUM(X828:X840)</f>
        <v>0</v>
      </c>
      <c r="Y827" s="686">
        <f t="shared" si="17188"/>
        <v>0</v>
      </c>
      <c r="Z827" s="567">
        <f t="shared" ref="Z827:AA827" si="17189">SUM(Z828:Z840)</f>
        <v>0</v>
      </c>
      <c r="AA827" s="686">
        <f t="shared" si="17189"/>
        <v>0</v>
      </c>
      <c r="AB827" s="567">
        <f t="shared" ref="AB827:AC827" si="17190">SUM(AB828:AB840)</f>
        <v>0</v>
      </c>
      <c r="AC827" s="686">
        <f t="shared" si="17190"/>
        <v>0</v>
      </c>
      <c r="AD827" s="567">
        <f t="shared" ref="AD827:AE827" si="17191">SUM(AD828:AD840)</f>
        <v>0</v>
      </c>
      <c r="AE827" s="686">
        <f t="shared" si="17191"/>
        <v>0</v>
      </c>
      <c r="AF827" s="567">
        <f t="shared" ref="AF827:AG827" si="17192">SUM(AF828:AF840)</f>
        <v>0</v>
      </c>
      <c r="AG827" s="686">
        <f t="shared" si="17192"/>
        <v>0</v>
      </c>
      <c r="AH827" s="567">
        <f t="shared" ref="AH827:AI827" si="17193">SUM(AH828:AH840)</f>
        <v>0</v>
      </c>
      <c r="AI827" s="686">
        <f t="shared" si="17193"/>
        <v>0</v>
      </c>
      <c r="AJ827" s="567">
        <f t="shared" ref="AJ827:AK827" si="17194">SUM(AJ828:AJ840)</f>
        <v>0</v>
      </c>
      <c r="AK827" s="686">
        <f t="shared" si="17194"/>
        <v>0</v>
      </c>
      <c r="AL827" s="567">
        <f t="shared" ref="AL827:AM827" si="17195">SUM(AL828:AL840)</f>
        <v>0</v>
      </c>
      <c r="AM827" s="686">
        <f t="shared" si="17195"/>
        <v>0</v>
      </c>
      <c r="AN827" s="567">
        <f t="shared" ref="AN827:AO827" si="17196">SUM(AN828:AN840)</f>
        <v>0</v>
      </c>
      <c r="AO827" s="686">
        <f t="shared" si="17196"/>
        <v>0</v>
      </c>
      <c r="AP827" s="567">
        <f t="shared" ref="AP827:AQ827" si="17197">SUM(AP828:AP840)</f>
        <v>0</v>
      </c>
      <c r="AQ827" s="686">
        <f t="shared" si="17197"/>
        <v>0</v>
      </c>
      <c r="AR827" s="567">
        <f t="shared" ref="AR827:AS827" si="17198">SUM(AR828:AR840)</f>
        <v>0</v>
      </c>
      <c r="AS827" s="686">
        <f t="shared" si="17198"/>
        <v>0</v>
      </c>
      <c r="AT827" s="567">
        <f t="shared" ref="AT827:AU827" si="17199">SUM(AT828:AT840)</f>
        <v>0</v>
      </c>
      <c r="AU827" s="686">
        <f t="shared" si="17199"/>
        <v>0</v>
      </c>
      <c r="AV827" s="567">
        <f t="shared" ref="AV827:AW827" si="17200">SUM(AV828:AV840)</f>
        <v>0</v>
      </c>
      <c r="AW827" s="686">
        <f t="shared" si="17200"/>
        <v>0</v>
      </c>
      <c r="AX827" s="567">
        <f t="shared" ref="AX827:AY827" si="17201">SUM(AX828:AX840)</f>
        <v>0</v>
      </c>
      <c r="AY827" s="686">
        <f t="shared" si="17201"/>
        <v>0</v>
      </c>
      <c r="AZ827" s="567">
        <f t="shared" ref="AZ827:BA827" si="17202">SUM(AZ828:AZ840)</f>
        <v>0</v>
      </c>
      <c r="BA827" s="686">
        <f t="shared" si="17202"/>
        <v>0</v>
      </c>
      <c r="BB827" s="567">
        <f t="shared" ref="BB827:BC827" si="17203">SUM(BB828:BB840)</f>
        <v>0</v>
      </c>
      <c r="BC827" s="686">
        <f t="shared" si="17203"/>
        <v>0</v>
      </c>
      <c r="BD827" s="567">
        <f t="shared" ref="BD827:BE827" si="17204">SUM(BD828:BD840)</f>
        <v>0</v>
      </c>
      <c r="BE827" s="686">
        <f t="shared" si="17204"/>
        <v>0</v>
      </c>
      <c r="BF827" s="567">
        <f t="shared" ref="BF827:BG827" si="17205">SUM(BF828:BF840)</f>
        <v>0</v>
      </c>
      <c r="BG827" s="686">
        <f t="shared" si="17205"/>
        <v>0</v>
      </c>
      <c r="BH827" s="567">
        <f t="shared" ref="BH827:BI827" si="17206">SUM(BH828:BH840)</f>
        <v>0</v>
      </c>
      <c r="BI827" s="686">
        <f t="shared" si="17206"/>
        <v>0</v>
      </c>
      <c r="BJ827" s="567">
        <f t="shared" ref="BJ827:BK827" si="17207">SUM(BJ828:BJ840)</f>
        <v>0</v>
      </c>
      <c r="BK827" s="686">
        <f t="shared" si="17207"/>
        <v>0</v>
      </c>
      <c r="BL827" s="567">
        <f t="shared" ref="BL827:BM827" si="17208">SUM(BL828:BL840)</f>
        <v>0</v>
      </c>
      <c r="BM827" s="686">
        <f t="shared" si="17208"/>
        <v>0</v>
      </c>
      <c r="BN827" s="567">
        <f t="shared" ref="BN827:BO827" si="17209">SUM(BN828:BN840)</f>
        <v>0</v>
      </c>
      <c r="BO827" s="686">
        <f t="shared" si="17209"/>
        <v>0</v>
      </c>
      <c r="BP827" s="567">
        <f t="shared" ref="BP827:BQ827" si="17210">SUM(BP828:BP840)</f>
        <v>0</v>
      </c>
      <c r="BQ827" s="686">
        <f t="shared" si="17210"/>
        <v>0</v>
      </c>
      <c r="BR827" s="567">
        <f t="shared" ref="BR827:BS827" si="17211">SUM(BR828:BR840)</f>
        <v>0</v>
      </c>
      <c r="BS827" s="686">
        <f t="shared" si="17211"/>
        <v>0</v>
      </c>
      <c r="BT827" s="567">
        <f t="shared" ref="BT827:BU827" si="17212">SUM(BT828:BT840)</f>
        <v>0</v>
      </c>
      <c r="BU827" s="686">
        <f t="shared" si="17212"/>
        <v>0</v>
      </c>
      <c r="BV827" s="567">
        <f t="shared" ref="BV827:BW827" si="17213">SUM(BV828:BV840)</f>
        <v>0</v>
      </c>
      <c r="BW827" s="686">
        <f t="shared" si="17213"/>
        <v>0</v>
      </c>
      <c r="BX827" s="567">
        <f t="shared" ref="BX827:BY827" si="17214">SUM(BX828:BX840)</f>
        <v>0</v>
      </c>
      <c r="BY827" s="686">
        <f t="shared" si="17214"/>
        <v>0</v>
      </c>
      <c r="BZ827" s="567">
        <f t="shared" ref="BZ827:CA827" si="17215">SUM(BZ828:BZ840)</f>
        <v>0</v>
      </c>
      <c r="CA827" s="686">
        <f t="shared" si="17215"/>
        <v>0</v>
      </c>
      <c r="CB827" s="567">
        <f t="shared" ref="CB827:CE827" si="17216">SUM(CB828:CB840)</f>
        <v>0</v>
      </c>
      <c r="CC827" s="686">
        <f t="shared" si="17216"/>
        <v>0</v>
      </c>
      <c r="CD827" s="567">
        <f t="shared" si="17216"/>
        <v>0</v>
      </c>
      <c r="CE827" s="686">
        <f t="shared" si="17216"/>
        <v>0</v>
      </c>
      <c r="CF827" s="567">
        <f t="shared" ref="CF827:DK827" si="17217">SUM(CF828:CF840)</f>
        <v>175263</v>
      </c>
      <c r="CG827" s="686">
        <f t="shared" si="17217"/>
        <v>-175263</v>
      </c>
      <c r="CH827" s="567">
        <f t="shared" si="17217"/>
        <v>0</v>
      </c>
      <c r="CI827" s="686">
        <f t="shared" si="17217"/>
        <v>0</v>
      </c>
      <c r="CJ827" s="567">
        <f t="shared" si="17217"/>
        <v>0</v>
      </c>
      <c r="CK827" s="686">
        <f t="shared" si="17217"/>
        <v>0</v>
      </c>
      <c r="CL827" s="567">
        <f t="shared" si="17217"/>
        <v>0</v>
      </c>
      <c r="CM827" s="686">
        <f t="shared" si="17217"/>
        <v>0</v>
      </c>
      <c r="CN827" s="567">
        <f t="shared" si="17217"/>
        <v>0</v>
      </c>
      <c r="CO827" s="686">
        <f t="shared" si="17217"/>
        <v>0</v>
      </c>
      <c r="CP827" s="567">
        <f t="shared" si="17217"/>
        <v>0</v>
      </c>
      <c r="CQ827" s="686">
        <f t="shared" si="17217"/>
        <v>0</v>
      </c>
      <c r="CR827" s="567">
        <f t="shared" si="17217"/>
        <v>0</v>
      </c>
      <c r="CS827" s="686">
        <f t="shared" si="17217"/>
        <v>0</v>
      </c>
      <c r="CT827" s="567">
        <f t="shared" si="17217"/>
        <v>0</v>
      </c>
      <c r="CU827" s="686">
        <f t="shared" si="17217"/>
        <v>0</v>
      </c>
      <c r="CV827" s="567">
        <f t="shared" si="17217"/>
        <v>0</v>
      </c>
      <c r="CW827" s="686">
        <f t="shared" si="17217"/>
        <v>0</v>
      </c>
      <c r="CX827" s="567">
        <f t="shared" si="17217"/>
        <v>0</v>
      </c>
      <c r="CY827" s="686">
        <f t="shared" si="17217"/>
        <v>0</v>
      </c>
      <c r="CZ827" s="567">
        <f t="shared" si="17217"/>
        <v>0</v>
      </c>
      <c r="DA827" s="686">
        <f t="shared" si="17217"/>
        <v>0</v>
      </c>
      <c r="DB827" s="567">
        <f t="shared" si="17217"/>
        <v>0</v>
      </c>
      <c r="DC827" s="686">
        <f t="shared" si="17217"/>
        <v>0</v>
      </c>
      <c r="DD827" s="567">
        <f t="shared" si="17217"/>
        <v>0</v>
      </c>
      <c r="DE827" s="686">
        <f t="shared" si="17217"/>
        <v>0</v>
      </c>
      <c r="DF827" s="567">
        <f t="shared" si="17217"/>
        <v>0</v>
      </c>
      <c r="DG827" s="686">
        <f t="shared" si="17217"/>
        <v>0</v>
      </c>
      <c r="DH827" s="567">
        <f t="shared" si="17217"/>
        <v>0</v>
      </c>
      <c r="DI827" s="686">
        <f t="shared" si="17217"/>
        <v>0</v>
      </c>
      <c r="DJ827" s="567">
        <f t="shared" si="17217"/>
        <v>0</v>
      </c>
      <c r="DK827" s="686">
        <f t="shared" si="17217"/>
        <v>0</v>
      </c>
      <c r="DL827" s="567">
        <f t="shared" ref="DL827:EQ827" si="17218">SUM(DL828:DL840)</f>
        <v>0</v>
      </c>
      <c r="DM827" s="686">
        <f t="shared" si="17218"/>
        <v>0</v>
      </c>
      <c r="DN827" s="567">
        <f t="shared" si="17218"/>
        <v>0</v>
      </c>
      <c r="DO827" s="686">
        <f t="shared" si="17218"/>
        <v>0</v>
      </c>
      <c r="DP827" s="567">
        <f t="shared" si="17218"/>
        <v>0</v>
      </c>
      <c r="DQ827" s="686">
        <f t="shared" si="17218"/>
        <v>0</v>
      </c>
      <c r="DR827" s="567">
        <f t="shared" si="17218"/>
        <v>0</v>
      </c>
      <c r="DS827" s="686">
        <f t="shared" si="17218"/>
        <v>0</v>
      </c>
      <c r="DT827" s="567">
        <f t="shared" si="17218"/>
        <v>0</v>
      </c>
      <c r="DU827" s="686">
        <f t="shared" si="17218"/>
        <v>0</v>
      </c>
      <c r="DV827" s="567">
        <f t="shared" si="17218"/>
        <v>0</v>
      </c>
      <c r="DW827" s="686">
        <f t="shared" si="17218"/>
        <v>0</v>
      </c>
      <c r="DX827" s="567">
        <f t="shared" si="17218"/>
        <v>0</v>
      </c>
      <c r="DY827" s="686">
        <f t="shared" si="17218"/>
        <v>0</v>
      </c>
      <c r="DZ827" s="567">
        <f t="shared" si="17218"/>
        <v>0</v>
      </c>
      <c r="EA827" s="686">
        <f t="shared" si="17218"/>
        <v>-14737</v>
      </c>
      <c r="EB827" s="567">
        <f t="shared" si="17218"/>
        <v>0</v>
      </c>
      <c r="EC827" s="686">
        <f t="shared" si="17218"/>
        <v>0</v>
      </c>
      <c r="ED827" s="567">
        <f t="shared" si="17218"/>
        <v>0</v>
      </c>
      <c r="EE827" s="686">
        <f t="shared" si="17218"/>
        <v>0</v>
      </c>
      <c r="EF827" s="567">
        <f t="shared" si="17218"/>
        <v>0</v>
      </c>
      <c r="EG827" s="686">
        <f t="shared" si="17218"/>
        <v>0</v>
      </c>
      <c r="EH827" s="567">
        <f t="shared" si="17218"/>
        <v>0</v>
      </c>
      <c r="EI827" s="686">
        <f t="shared" si="17218"/>
        <v>0</v>
      </c>
      <c r="EJ827" s="567">
        <f t="shared" si="17218"/>
        <v>0</v>
      </c>
      <c r="EK827" s="686">
        <f t="shared" si="17218"/>
        <v>0</v>
      </c>
      <c r="EL827" s="567">
        <f t="shared" si="17218"/>
        <v>0</v>
      </c>
      <c r="EM827" s="686">
        <f t="shared" si="17218"/>
        <v>0</v>
      </c>
      <c r="EN827" s="567">
        <f t="shared" si="17218"/>
        <v>0</v>
      </c>
      <c r="EO827" s="686">
        <f t="shared" si="17218"/>
        <v>0</v>
      </c>
      <c r="EP827" s="567">
        <f t="shared" si="17218"/>
        <v>0</v>
      </c>
      <c r="EQ827" s="686">
        <f t="shared" si="17218"/>
        <v>0</v>
      </c>
      <c r="ER827" s="567">
        <f t="shared" ref="ER827:GK827" si="17219">SUM(ER828:ER840)</f>
        <v>0</v>
      </c>
      <c r="ES827" s="686">
        <f t="shared" si="17219"/>
        <v>0</v>
      </c>
      <c r="ET827" s="567">
        <f t="shared" si="17219"/>
        <v>0</v>
      </c>
      <c r="EU827" s="686">
        <f t="shared" si="17219"/>
        <v>0</v>
      </c>
      <c r="EV827" s="567">
        <f t="shared" si="17219"/>
        <v>0</v>
      </c>
      <c r="EW827" s="686">
        <f t="shared" si="17219"/>
        <v>0</v>
      </c>
      <c r="EX827" s="567">
        <f t="shared" si="17219"/>
        <v>0</v>
      </c>
      <c r="EY827" s="686">
        <f t="shared" si="17219"/>
        <v>0</v>
      </c>
      <c r="EZ827" s="567">
        <f t="shared" si="17219"/>
        <v>0</v>
      </c>
      <c r="FA827" s="686">
        <f t="shared" si="17219"/>
        <v>0</v>
      </c>
      <c r="FB827" s="567">
        <f t="shared" si="17219"/>
        <v>0</v>
      </c>
      <c r="FC827" s="686">
        <f t="shared" si="17219"/>
        <v>0</v>
      </c>
      <c r="FD827" s="567">
        <f t="shared" si="17219"/>
        <v>0</v>
      </c>
      <c r="FE827" s="686">
        <f t="shared" si="17219"/>
        <v>0</v>
      </c>
      <c r="FF827" s="567">
        <f t="shared" si="17219"/>
        <v>0</v>
      </c>
      <c r="FG827" s="686">
        <f t="shared" si="17219"/>
        <v>0</v>
      </c>
      <c r="FH827" s="567">
        <f t="shared" si="17219"/>
        <v>0</v>
      </c>
      <c r="FI827" s="686">
        <f t="shared" si="17219"/>
        <v>0</v>
      </c>
      <c r="FJ827" s="567">
        <f t="shared" si="17219"/>
        <v>0</v>
      </c>
      <c r="FK827" s="686">
        <f t="shared" si="17219"/>
        <v>0</v>
      </c>
      <c r="FL827" s="567">
        <f t="shared" si="17219"/>
        <v>0</v>
      </c>
      <c r="FM827" s="686">
        <f t="shared" si="17219"/>
        <v>0</v>
      </c>
      <c r="FN827" s="567">
        <f t="shared" si="17219"/>
        <v>0</v>
      </c>
      <c r="FO827" s="686">
        <f t="shared" si="17219"/>
        <v>-4805</v>
      </c>
      <c r="FP827" s="567">
        <f t="shared" si="17219"/>
        <v>0</v>
      </c>
      <c r="FQ827" s="686">
        <f t="shared" si="17219"/>
        <v>0</v>
      </c>
      <c r="FR827" s="567">
        <f t="shared" si="17219"/>
        <v>0</v>
      </c>
      <c r="FS827" s="686">
        <f t="shared" si="17219"/>
        <v>0</v>
      </c>
      <c r="FT827" s="567">
        <f t="shared" si="17219"/>
        <v>0</v>
      </c>
      <c r="FU827" s="686">
        <f t="shared" si="17219"/>
        <v>0</v>
      </c>
      <c r="FV827" s="567">
        <f t="shared" si="17219"/>
        <v>0</v>
      </c>
      <c r="FW827" s="686">
        <f t="shared" si="17219"/>
        <v>0</v>
      </c>
      <c r="FX827" s="567">
        <f t="shared" si="17219"/>
        <v>0</v>
      </c>
      <c r="FY827" s="686">
        <f t="shared" si="17219"/>
        <v>0</v>
      </c>
      <c r="FZ827" s="567">
        <f t="shared" ref="FZ827:GI827" si="17220">SUM(FZ828:FZ840)</f>
        <v>0</v>
      </c>
      <c r="GA827" s="686">
        <f t="shared" si="17220"/>
        <v>0</v>
      </c>
      <c r="GB827" s="567">
        <f t="shared" si="17220"/>
        <v>0</v>
      </c>
      <c r="GC827" s="686">
        <f t="shared" si="17220"/>
        <v>0</v>
      </c>
      <c r="GD827" s="567">
        <f t="shared" si="17220"/>
        <v>0</v>
      </c>
      <c r="GE827" s="686">
        <f t="shared" si="17220"/>
        <v>0</v>
      </c>
      <c r="GF827" s="567">
        <f t="shared" si="17220"/>
        <v>0</v>
      </c>
      <c r="GG827" s="686">
        <f t="shared" si="17220"/>
        <v>0</v>
      </c>
      <c r="GH827" s="567">
        <f t="shared" si="17220"/>
        <v>0</v>
      </c>
      <c r="GI827" s="686">
        <f t="shared" si="17220"/>
        <v>0</v>
      </c>
      <c r="GJ827" s="567">
        <f t="shared" si="17219"/>
        <v>0</v>
      </c>
      <c r="GK827" s="686">
        <f t="shared" si="17219"/>
        <v>0</v>
      </c>
      <c r="GL827" s="567">
        <f t="shared" ref="GL827:GR827" si="17221">SUM(GL828:GL840)</f>
        <v>0</v>
      </c>
      <c r="GM827" s="686">
        <f t="shared" si="17221"/>
        <v>0</v>
      </c>
      <c r="GN827" s="567">
        <f t="shared" ref="GN827:GO827" si="17222">SUM(GN828:GN840)</f>
        <v>0</v>
      </c>
      <c r="GO827" s="686">
        <f t="shared" si="17222"/>
        <v>0</v>
      </c>
      <c r="GP827" s="567">
        <f t="shared" si="17221"/>
        <v>175263</v>
      </c>
      <c r="GQ827" s="686">
        <f t="shared" si="17221"/>
        <v>-194805</v>
      </c>
      <c r="GR827" s="513">
        <f t="shared" si="17221"/>
        <v>180458</v>
      </c>
      <c r="GS827" s="513">
        <f>SUM(GS828:GS840)</f>
        <v>180458</v>
      </c>
      <c r="GT827" s="513">
        <f>SUM(GT828:GT840)</f>
        <v>180458</v>
      </c>
      <c r="GU827" s="513">
        <f t="shared" ref="GU827:JD827" si="17223">SUM(GU828:GU840)</f>
        <v>40000</v>
      </c>
      <c r="GV827" s="513">
        <f t="shared" si="17223"/>
        <v>0</v>
      </c>
      <c r="GW827" s="513">
        <f t="shared" si="17223"/>
        <v>0</v>
      </c>
      <c r="GX827" s="513">
        <f t="shared" si="17223"/>
        <v>60000</v>
      </c>
      <c r="GY827" s="513">
        <f t="shared" si="17223"/>
        <v>0</v>
      </c>
      <c r="GZ827" s="513">
        <f t="shared" si="17223"/>
        <v>100000</v>
      </c>
      <c r="HA827" s="513">
        <f t="shared" si="17223"/>
        <v>0</v>
      </c>
      <c r="HB827" s="513">
        <f t="shared" si="17223"/>
        <v>0</v>
      </c>
      <c r="HC827" s="513">
        <f t="shared" si="17223"/>
        <v>0</v>
      </c>
      <c r="HD827" s="513">
        <f t="shared" si="17223"/>
        <v>0</v>
      </c>
      <c r="HE827" s="513">
        <f t="shared" si="17223"/>
        <v>0</v>
      </c>
      <c r="HF827" s="513">
        <f t="shared" si="17223"/>
        <v>0</v>
      </c>
      <c r="HG827" s="513">
        <f t="shared" si="17223"/>
        <v>180458</v>
      </c>
      <c r="HH827" s="513">
        <f t="shared" ref="HH827:HI827" si="17224">SUM(HH828:HH840)</f>
        <v>0</v>
      </c>
      <c r="HI827" s="513">
        <f t="shared" si="17224"/>
        <v>0</v>
      </c>
      <c r="HJ827" s="513">
        <f t="shared" ref="HJ827:HK827" si="17225">SUM(HJ828:HJ840)</f>
        <v>0</v>
      </c>
      <c r="HK827" s="513">
        <f t="shared" si="17225"/>
        <v>0</v>
      </c>
      <c r="HL827" s="513">
        <f t="shared" ref="HL827:HM827" si="17226">SUM(HL828:HL840)</f>
        <v>0</v>
      </c>
      <c r="HM827" s="513">
        <f t="shared" si="17226"/>
        <v>0</v>
      </c>
      <c r="HN827" s="513">
        <f t="shared" ref="HN827:HO827" si="17227">SUM(HN828:HN840)</f>
        <v>0</v>
      </c>
      <c r="HO827" s="513">
        <f t="shared" si="17227"/>
        <v>100000</v>
      </c>
      <c r="HP827" s="513">
        <f t="shared" ref="HP827:HQ827" si="17228">SUM(HP828:HP840)</f>
        <v>0</v>
      </c>
      <c r="HQ827" s="513">
        <f t="shared" si="17228"/>
        <v>0</v>
      </c>
      <c r="HR827" s="513">
        <f t="shared" ref="HR827:HS827" si="17229">SUM(HR828:HR840)</f>
        <v>0</v>
      </c>
      <c r="HS827" s="513">
        <f t="shared" si="17229"/>
        <v>87500</v>
      </c>
      <c r="HT827" s="513">
        <f t="shared" ref="HT827:HU827" si="17230">SUM(HT828:HT840)</f>
        <v>0</v>
      </c>
      <c r="HU827" s="513">
        <f t="shared" si="17230"/>
        <v>12500</v>
      </c>
      <c r="HV827" s="513">
        <f t="shared" ref="HV827:HW827" si="17231">SUM(HV828:HV840)</f>
        <v>0</v>
      </c>
      <c r="HW827" s="513">
        <f t="shared" si="17231"/>
        <v>0</v>
      </c>
      <c r="HX827" s="513">
        <f t="shared" ref="HX827:HY827" si="17232">SUM(HX828:HX840)</f>
        <v>0</v>
      </c>
      <c r="HY827" s="513">
        <f t="shared" si="17232"/>
        <v>0</v>
      </c>
      <c r="HZ827" s="513">
        <f t="shared" ref="HZ827:IA827" si="17233">SUM(HZ828:HZ840)</f>
        <v>0</v>
      </c>
      <c r="IA827" s="513">
        <f t="shared" si="17233"/>
        <v>0</v>
      </c>
      <c r="IB827" s="513">
        <f t="shared" ref="IB827:IC827" si="17234">SUM(IB828:IB840)</f>
        <v>0</v>
      </c>
      <c r="IC827" s="513">
        <f t="shared" si="17234"/>
        <v>0</v>
      </c>
      <c r="ID827" s="513">
        <f t="shared" si="17223"/>
        <v>0</v>
      </c>
      <c r="IE827" s="513">
        <f t="shared" si="17223"/>
        <v>0</v>
      </c>
      <c r="IF827" s="717">
        <f t="shared" si="17223"/>
        <v>180457.19999999998</v>
      </c>
      <c r="IG827" s="263">
        <f t="shared" si="17223"/>
        <v>180457.19999999998</v>
      </c>
      <c r="IH827" s="718">
        <f t="shared" si="17223"/>
        <v>180457.19999999998</v>
      </c>
      <c r="II827" s="513">
        <f t="shared" si="17223"/>
        <v>0</v>
      </c>
      <c r="IJ827" s="513">
        <f t="shared" si="17223"/>
        <v>0</v>
      </c>
      <c r="IK827" s="513">
        <f t="shared" si="17223"/>
        <v>0</v>
      </c>
      <c r="IL827" s="513">
        <f t="shared" si="17223"/>
        <v>0</v>
      </c>
      <c r="IM827" s="513">
        <f t="shared" si="17223"/>
        <v>0</v>
      </c>
      <c r="IN827" s="513">
        <f t="shared" si="17223"/>
        <v>0</v>
      </c>
      <c r="IO827" s="513">
        <f t="shared" si="17223"/>
        <v>0</v>
      </c>
      <c r="IP827" s="513">
        <f t="shared" si="17223"/>
        <v>0</v>
      </c>
      <c r="IQ827" s="513">
        <f t="shared" si="17223"/>
        <v>0</v>
      </c>
      <c r="IR827" s="513">
        <f t="shared" si="17223"/>
        <v>0</v>
      </c>
      <c r="IS827" s="513">
        <f t="shared" si="17223"/>
        <v>0</v>
      </c>
      <c r="IT827" s="513">
        <f t="shared" si="17223"/>
        <v>0</v>
      </c>
      <c r="IU827" s="513">
        <f t="shared" si="17223"/>
        <v>0</v>
      </c>
      <c r="IV827" s="513">
        <f t="shared" si="17223"/>
        <v>0</v>
      </c>
      <c r="IW827" s="513">
        <f t="shared" si="17223"/>
        <v>0</v>
      </c>
      <c r="IX827" s="513">
        <f t="shared" si="17223"/>
        <v>0</v>
      </c>
      <c r="IY827" s="513">
        <f t="shared" si="17223"/>
        <v>0</v>
      </c>
      <c r="IZ827" s="513">
        <f t="shared" si="17223"/>
        <v>0</v>
      </c>
      <c r="JA827" s="513">
        <f t="shared" si="17223"/>
        <v>177357.19999999998</v>
      </c>
      <c r="JB827" s="513">
        <f t="shared" si="17223"/>
        <v>177357.19999999998</v>
      </c>
      <c r="JC827" s="513">
        <f t="shared" si="17223"/>
        <v>177357.19999999998</v>
      </c>
      <c r="JD827" s="513">
        <f t="shared" si="17223"/>
        <v>3099.9999999999995</v>
      </c>
      <c r="JE827" s="513">
        <f t="shared" ref="JE827:JF827" si="17235">SUM(JE828:JE840)</f>
        <v>3099.9999999999995</v>
      </c>
      <c r="JF827" s="513">
        <f t="shared" si="17235"/>
        <v>3099.9999999999995</v>
      </c>
      <c r="JG827" s="513">
        <f t="shared" ref="JG827:JI827" si="17236">SUM(JG828:JG840)</f>
        <v>0</v>
      </c>
      <c r="JH827" s="513">
        <f t="shared" si="17236"/>
        <v>0</v>
      </c>
      <c r="JI827" s="513">
        <f t="shared" si="17236"/>
        <v>0</v>
      </c>
      <c r="JJ827" s="513">
        <f t="shared" ref="JJ827:JL827" si="17237">SUM(JJ828:JJ840)</f>
        <v>0</v>
      </c>
      <c r="JK827" s="513">
        <f t="shared" si="17237"/>
        <v>0</v>
      </c>
      <c r="JL827" s="513">
        <f t="shared" si="17237"/>
        <v>0</v>
      </c>
      <c r="JM827" s="513">
        <f t="shared" ref="JM827:JO827" si="17238">SUM(JM828:JM840)</f>
        <v>0</v>
      </c>
      <c r="JN827" s="513">
        <f t="shared" si="17238"/>
        <v>0</v>
      </c>
      <c r="JO827" s="513">
        <f t="shared" si="17238"/>
        <v>0</v>
      </c>
      <c r="JP827" s="513">
        <f t="shared" ref="JP827:JT827" si="17239">SUM(JP828:JP840)</f>
        <v>0</v>
      </c>
      <c r="JQ827" s="513">
        <f t="shared" si="17239"/>
        <v>0</v>
      </c>
      <c r="JR827" s="513">
        <f t="shared" si="17239"/>
        <v>0</v>
      </c>
      <c r="JS827" s="513">
        <f>SUM(JS828:JS840)</f>
        <v>0.80000000001200533</v>
      </c>
      <c r="JT827" s="513">
        <f t="shared" si="17239"/>
        <v>0.80000000001200533</v>
      </c>
      <c r="JU827" s="665"/>
      <c r="JV827" s="524"/>
      <c r="JW827" s="525"/>
      <c r="JX827" s="567">
        <f>SUM(JX828:JX840)</f>
        <v>0</v>
      </c>
      <c r="JY827" s="513">
        <f>SUM(JY828:JY840)</f>
        <v>200000</v>
      </c>
      <c r="JZ827" s="513">
        <f>SUM(JZ828:JZ840)</f>
        <v>175263</v>
      </c>
      <c r="KA827" s="513">
        <f>SUM(KA828:KA840)</f>
        <v>-194805</v>
      </c>
      <c r="KB827" s="513">
        <f>SUM(KB828:KB840)</f>
        <v>180458</v>
      </c>
      <c r="KC827" s="709">
        <f>HG827-KB827</f>
        <v>0</v>
      </c>
      <c r="KD827" s="491"/>
      <c r="KE827" s="491"/>
      <c r="KF827" s="491"/>
      <c r="KG827" s="491"/>
      <c r="KH827" s="36"/>
      <c r="KI827" s="36"/>
      <c r="KJ827" s="36"/>
      <c r="KK827" s="36"/>
    </row>
    <row r="828" spans="1:297" s="10" customFormat="1">
      <c r="A828" s="612" t="s">
        <v>762</v>
      </c>
      <c r="B828" s="512" t="s">
        <v>971</v>
      </c>
      <c r="C828" s="74">
        <v>20000</v>
      </c>
      <c r="D828" s="549">
        <v>0</v>
      </c>
      <c r="E828" s="675">
        <v>0</v>
      </c>
      <c r="F828" s="549">
        <v>0</v>
      </c>
      <c r="G828" s="675">
        <v>0</v>
      </c>
      <c r="H828" s="549">
        <v>0</v>
      </c>
      <c r="I828" s="675">
        <v>0</v>
      </c>
      <c r="J828" s="549">
        <v>0</v>
      </c>
      <c r="K828" s="675">
        <v>0</v>
      </c>
      <c r="L828" s="549">
        <v>0</v>
      </c>
      <c r="M828" s="675">
        <v>0</v>
      </c>
      <c r="N828" s="549">
        <v>0</v>
      </c>
      <c r="O828" s="675">
        <v>0</v>
      </c>
      <c r="P828" s="549">
        <v>0</v>
      </c>
      <c r="Q828" s="675">
        <v>0</v>
      </c>
      <c r="R828" s="549">
        <v>0</v>
      </c>
      <c r="S828" s="675">
        <v>0</v>
      </c>
      <c r="T828" s="549">
        <v>0</v>
      </c>
      <c r="U828" s="675">
        <v>0</v>
      </c>
      <c r="V828" s="549">
        <v>0</v>
      </c>
      <c r="W828" s="675">
        <v>0</v>
      </c>
      <c r="X828" s="549">
        <v>0</v>
      </c>
      <c r="Y828" s="675">
        <v>0</v>
      </c>
      <c r="Z828" s="549">
        <v>0</v>
      </c>
      <c r="AA828" s="675">
        <v>0</v>
      </c>
      <c r="AB828" s="549">
        <v>0</v>
      </c>
      <c r="AC828" s="675">
        <v>0</v>
      </c>
      <c r="AD828" s="549">
        <v>0</v>
      </c>
      <c r="AE828" s="675">
        <v>0</v>
      </c>
      <c r="AF828" s="549">
        <v>0</v>
      </c>
      <c r="AG828" s="675">
        <v>0</v>
      </c>
      <c r="AH828" s="549">
        <v>0</v>
      </c>
      <c r="AI828" s="675">
        <v>0</v>
      </c>
      <c r="AJ828" s="549">
        <v>0</v>
      </c>
      <c r="AK828" s="675">
        <v>0</v>
      </c>
      <c r="AL828" s="549">
        <v>0</v>
      </c>
      <c r="AM828" s="675">
        <v>0</v>
      </c>
      <c r="AN828" s="549">
        <v>0</v>
      </c>
      <c r="AO828" s="675">
        <v>0</v>
      </c>
      <c r="AP828" s="549">
        <v>0</v>
      </c>
      <c r="AQ828" s="675">
        <v>0</v>
      </c>
      <c r="AR828" s="549">
        <v>0</v>
      </c>
      <c r="AS828" s="675">
        <v>0</v>
      </c>
      <c r="AT828" s="549">
        <v>0</v>
      </c>
      <c r="AU828" s="675">
        <v>0</v>
      </c>
      <c r="AV828" s="549">
        <v>0</v>
      </c>
      <c r="AW828" s="675">
        <v>0</v>
      </c>
      <c r="AX828" s="549">
        <v>0</v>
      </c>
      <c r="AY828" s="675">
        <v>0</v>
      </c>
      <c r="AZ828" s="549">
        <v>0</v>
      </c>
      <c r="BA828" s="675">
        <v>0</v>
      </c>
      <c r="BB828" s="549">
        <v>0</v>
      </c>
      <c r="BC828" s="675">
        <v>0</v>
      </c>
      <c r="BD828" s="549">
        <v>0</v>
      </c>
      <c r="BE828" s="675">
        <v>0</v>
      </c>
      <c r="BF828" s="549">
        <v>0</v>
      </c>
      <c r="BG828" s="675">
        <v>0</v>
      </c>
      <c r="BH828" s="549">
        <v>0</v>
      </c>
      <c r="BI828" s="675">
        <v>0</v>
      </c>
      <c r="BJ828" s="549">
        <v>0</v>
      </c>
      <c r="BK828" s="675">
        <v>0</v>
      </c>
      <c r="BL828" s="549">
        <v>0</v>
      </c>
      <c r="BM828" s="675">
        <v>0</v>
      </c>
      <c r="BN828" s="549">
        <v>0</v>
      </c>
      <c r="BO828" s="675">
        <v>0</v>
      </c>
      <c r="BP828" s="549">
        <v>0</v>
      </c>
      <c r="BQ828" s="675">
        <v>0</v>
      </c>
      <c r="BR828" s="549">
        <v>0</v>
      </c>
      <c r="BS828" s="675">
        <v>0</v>
      </c>
      <c r="BT828" s="549">
        <v>0</v>
      </c>
      <c r="BU828" s="675">
        <v>0</v>
      </c>
      <c r="BV828" s="549">
        <v>0</v>
      </c>
      <c r="BW828" s="675">
        <v>0</v>
      </c>
      <c r="BX828" s="549">
        <v>0</v>
      </c>
      <c r="BY828" s="675">
        <v>0</v>
      </c>
      <c r="BZ828" s="549">
        <v>0</v>
      </c>
      <c r="CA828" s="675">
        <v>0</v>
      </c>
      <c r="CB828" s="549">
        <v>0</v>
      </c>
      <c r="CC828" s="675">
        <v>0</v>
      </c>
      <c r="CD828" s="549">
        <v>0</v>
      </c>
      <c r="CE828" s="675">
        <v>0</v>
      </c>
      <c r="CF828" s="549">
        <v>0</v>
      </c>
      <c r="CG828" s="675">
        <v>-20000</v>
      </c>
      <c r="CH828" s="549">
        <v>0</v>
      </c>
      <c r="CI828" s="675">
        <v>0</v>
      </c>
      <c r="CJ828" s="549">
        <v>0</v>
      </c>
      <c r="CK828" s="675">
        <v>0</v>
      </c>
      <c r="CL828" s="549">
        <v>0</v>
      </c>
      <c r="CM828" s="675">
        <v>0</v>
      </c>
      <c r="CN828" s="549">
        <v>0</v>
      </c>
      <c r="CO828" s="675">
        <v>0</v>
      </c>
      <c r="CP828" s="549">
        <v>0</v>
      </c>
      <c r="CQ828" s="675">
        <v>0</v>
      </c>
      <c r="CR828" s="549">
        <v>0</v>
      </c>
      <c r="CS828" s="675">
        <v>0</v>
      </c>
      <c r="CT828" s="549">
        <v>0</v>
      </c>
      <c r="CU828" s="675">
        <v>0</v>
      </c>
      <c r="CV828" s="549">
        <v>0</v>
      </c>
      <c r="CW828" s="675">
        <v>0</v>
      </c>
      <c r="CX828" s="549">
        <v>0</v>
      </c>
      <c r="CY828" s="675">
        <v>0</v>
      </c>
      <c r="CZ828" s="549">
        <v>0</v>
      </c>
      <c r="DA828" s="675">
        <v>0</v>
      </c>
      <c r="DB828" s="549">
        <v>0</v>
      </c>
      <c r="DC828" s="675">
        <v>0</v>
      </c>
      <c r="DD828" s="549">
        <v>0</v>
      </c>
      <c r="DE828" s="675">
        <v>0</v>
      </c>
      <c r="DF828" s="549">
        <v>0</v>
      </c>
      <c r="DG828" s="675">
        <v>0</v>
      </c>
      <c r="DH828" s="549">
        <v>0</v>
      </c>
      <c r="DI828" s="675">
        <v>0</v>
      </c>
      <c r="DJ828" s="549">
        <v>0</v>
      </c>
      <c r="DK828" s="675">
        <v>0</v>
      </c>
      <c r="DL828" s="549">
        <v>0</v>
      </c>
      <c r="DM828" s="675">
        <v>0</v>
      </c>
      <c r="DN828" s="549">
        <v>0</v>
      </c>
      <c r="DO828" s="675">
        <v>0</v>
      </c>
      <c r="DP828" s="549">
        <v>0</v>
      </c>
      <c r="DQ828" s="675">
        <v>0</v>
      </c>
      <c r="DR828" s="549">
        <v>0</v>
      </c>
      <c r="DS828" s="675">
        <v>0</v>
      </c>
      <c r="DT828" s="549">
        <v>0</v>
      </c>
      <c r="DU828" s="675">
        <v>0</v>
      </c>
      <c r="DV828" s="549">
        <v>0</v>
      </c>
      <c r="DW828" s="675">
        <v>0</v>
      </c>
      <c r="DX828" s="549">
        <v>0</v>
      </c>
      <c r="DY828" s="675">
        <v>0</v>
      </c>
      <c r="DZ828" s="549">
        <v>0</v>
      </c>
      <c r="EA828" s="675">
        <v>0</v>
      </c>
      <c r="EB828" s="549">
        <v>0</v>
      </c>
      <c r="EC828" s="675">
        <v>0</v>
      </c>
      <c r="ED828" s="549">
        <v>0</v>
      </c>
      <c r="EE828" s="675">
        <v>0</v>
      </c>
      <c r="EF828" s="549">
        <v>0</v>
      </c>
      <c r="EG828" s="675">
        <v>0</v>
      </c>
      <c r="EH828" s="549">
        <v>0</v>
      </c>
      <c r="EI828" s="675">
        <v>0</v>
      </c>
      <c r="EJ828" s="549">
        <v>0</v>
      </c>
      <c r="EK828" s="675">
        <v>0</v>
      </c>
      <c r="EL828" s="549">
        <v>0</v>
      </c>
      <c r="EM828" s="675">
        <v>0</v>
      </c>
      <c r="EN828" s="549">
        <v>0</v>
      </c>
      <c r="EO828" s="675">
        <v>0</v>
      </c>
      <c r="EP828" s="549">
        <v>0</v>
      </c>
      <c r="EQ828" s="675">
        <v>0</v>
      </c>
      <c r="ER828" s="549">
        <v>0</v>
      </c>
      <c r="ES828" s="675">
        <v>0</v>
      </c>
      <c r="ET828" s="549">
        <v>0</v>
      </c>
      <c r="EU828" s="675">
        <v>0</v>
      </c>
      <c r="EV828" s="549">
        <v>0</v>
      </c>
      <c r="EW828" s="675">
        <v>0</v>
      </c>
      <c r="EX828" s="549">
        <v>0</v>
      </c>
      <c r="EY828" s="675">
        <v>0</v>
      </c>
      <c r="EZ828" s="549">
        <v>0</v>
      </c>
      <c r="FA828" s="675">
        <v>0</v>
      </c>
      <c r="FB828" s="549">
        <v>0</v>
      </c>
      <c r="FC828" s="675">
        <v>0</v>
      </c>
      <c r="FD828" s="549">
        <v>0</v>
      </c>
      <c r="FE828" s="675">
        <v>0</v>
      </c>
      <c r="FF828" s="549">
        <v>0</v>
      </c>
      <c r="FG828" s="675">
        <v>0</v>
      </c>
      <c r="FH828" s="549">
        <v>0</v>
      </c>
      <c r="FI828" s="675">
        <v>0</v>
      </c>
      <c r="FJ828" s="549">
        <v>0</v>
      </c>
      <c r="FK828" s="675">
        <v>0</v>
      </c>
      <c r="FL828" s="549">
        <v>0</v>
      </c>
      <c r="FM828" s="675">
        <v>0</v>
      </c>
      <c r="FN828" s="549">
        <v>0</v>
      </c>
      <c r="FO828" s="675">
        <v>0</v>
      </c>
      <c r="FP828" s="549">
        <v>0</v>
      </c>
      <c r="FQ828" s="675">
        <v>0</v>
      </c>
      <c r="FR828" s="549">
        <v>0</v>
      </c>
      <c r="FS828" s="675">
        <v>0</v>
      </c>
      <c r="FT828" s="549">
        <v>0</v>
      </c>
      <c r="FU828" s="675">
        <v>0</v>
      </c>
      <c r="FV828" s="549">
        <v>0</v>
      </c>
      <c r="FW828" s="675">
        <v>0</v>
      </c>
      <c r="FX828" s="549">
        <v>0</v>
      </c>
      <c r="FY828" s="675">
        <v>0</v>
      </c>
      <c r="FZ828" s="549">
        <v>0</v>
      </c>
      <c r="GA828" s="675">
        <v>0</v>
      </c>
      <c r="GB828" s="549">
        <v>0</v>
      </c>
      <c r="GC828" s="675">
        <v>0</v>
      </c>
      <c r="GD828" s="549">
        <v>0</v>
      </c>
      <c r="GE828" s="675">
        <v>0</v>
      </c>
      <c r="GF828" s="549">
        <v>0</v>
      </c>
      <c r="GG828" s="675">
        <v>0</v>
      </c>
      <c r="GH828" s="549">
        <v>0</v>
      </c>
      <c r="GI828" s="675">
        <v>0</v>
      </c>
      <c r="GJ828" s="549">
        <v>0</v>
      </c>
      <c r="GK828" s="675">
        <v>0</v>
      </c>
      <c r="GL828" s="549">
        <v>0</v>
      </c>
      <c r="GM828" s="675">
        <v>0</v>
      </c>
      <c r="GN828" s="549">
        <v>0</v>
      </c>
      <c r="GO828" s="675">
        <v>0</v>
      </c>
      <c r="GP828" s="549">
        <f t="shared" ref="GP828:GP840" si="17240">+D828+F828+H828+J828+L828+N828+P828+R828+T828+V828+X828+Z828+AB828+AF828+AD828+AH828+AJ828+AL828+AN828+AP828+AR828+AT828+AV828+AX828+AZ828+BB828+BD828+BF828+BH828+BJ828+BL828+BN828+BP828+BR828+BT828+BV828+BX828+BZ828+CB828+CD828+CF828+CH828+CJ828+CL828+CN828+CP828+CR828+CT828+CV828+CX828+CZ828+DB828+DD828+DF828+DH828+DT828+EX828+DJ828+DL828+DN828+DP828+DR828+EJ828+EB828+DZ828+DX828+DV828+ED828+EF828+EH828+EL828+EN828+EP828+EV828+ET828+ER828+EZ828+FB828+FD828+GL828+FF828+FJ828+FL828+GJ828+FT828+FR828+FP828+FN828+FH828+GH828+GF828+GD828+GB828+FZ828+FX828+FV828+GN828</f>
        <v>0</v>
      </c>
      <c r="GQ828" s="675">
        <f t="shared" ref="GQ828:GQ840" si="17241">+E828+G828+I828+K828+M828+O828+Q828+S828+U828+W828+Y828+AA828+AC828+AE828+AG828+AI828+AK828+AM828+AO828+AQ828+AS828+AU828+AW828+AY828+BA828+BC828+BE828+BG828+BI828+BK828+BM828+BO828+BQ828+BS828+BU828+BW828+BY828+CA828+CC828+CE828+CG828+CI828+CK828+CM828+CO828+CQ828+CS828+CU828+CW828+CY828+DA828+DC828+DE828+DG828+DI828+DU828+EY828+DK828+DM828+DO828+DQ828+DS828+EK828+EC828+EA828+DY828+DW828+EI828+EG828+EE828+EM828+EO828+EQ828+EW828+EU828+ES828+FA828+FC828+FE828+GM828+FG828+FK828+FM828+FO828+FQ828+FS828+FU828+GK828+FI828+GI828+GG828+GE828+GC828+GA828+FY828+FW828+GO828</f>
        <v>-20000</v>
      </c>
      <c r="GR828" s="74">
        <f t="shared" ref="GR828:GR840" si="17242">C828+GP828+GQ828</f>
        <v>0</v>
      </c>
      <c r="GS828" s="74">
        <f t="shared" ref="GS828:GS840" si="17243">SUM(GU828:HD828)+GP828+GQ828</f>
        <v>0</v>
      </c>
      <c r="GT828" s="568">
        <f t="shared" ref="GT828:GT840" si="17244">SUM(GU828:HF828)+GQ828+GP828</f>
        <v>0</v>
      </c>
      <c r="GU828" s="275">
        <v>4000</v>
      </c>
      <c r="GV828" s="275"/>
      <c r="GW828" s="588"/>
      <c r="GX828" s="275">
        <v>6000</v>
      </c>
      <c r="GY828" s="275"/>
      <c r="GZ828" s="275">
        <v>10000</v>
      </c>
      <c r="HA828" s="275">
        <f>6000-6000</f>
        <v>0</v>
      </c>
      <c r="HB828" s="275"/>
      <c r="HC828" s="275"/>
      <c r="HD828" s="275">
        <f>4000-4000</f>
        <v>0</v>
      </c>
      <c r="HE828" s="275"/>
      <c r="HF828" s="275"/>
      <c r="HG828" s="74">
        <f t="shared" ref="HG828:HG840" si="17245">SUM(HH828:IE828)+GP828+GQ828</f>
        <v>0</v>
      </c>
      <c r="HH828" s="89">
        <v>0</v>
      </c>
      <c r="HI828" s="157">
        <v>0</v>
      </c>
      <c r="HJ828" s="89">
        <v>0</v>
      </c>
      <c r="HK828" s="157">
        <v>0</v>
      </c>
      <c r="HL828" s="89">
        <v>0</v>
      </c>
      <c r="HM828" s="157">
        <v>0</v>
      </c>
      <c r="HN828" s="89">
        <v>0</v>
      </c>
      <c r="HO828" s="157">
        <v>10000</v>
      </c>
      <c r="HP828" s="89">
        <v>0</v>
      </c>
      <c r="HQ828" s="157">
        <v>0</v>
      </c>
      <c r="HR828" s="89">
        <v>0</v>
      </c>
      <c r="HS828" s="157">
        <v>10000</v>
      </c>
      <c r="HT828" s="89">
        <v>0</v>
      </c>
      <c r="HU828" s="157">
        <v>0</v>
      </c>
      <c r="HV828" s="89">
        <v>0</v>
      </c>
      <c r="HW828" s="157">
        <v>0</v>
      </c>
      <c r="HX828" s="89">
        <v>0</v>
      </c>
      <c r="HY828" s="157">
        <v>0</v>
      </c>
      <c r="HZ828" s="89">
        <v>0</v>
      </c>
      <c r="IA828" s="157">
        <v>0</v>
      </c>
      <c r="IB828" s="89">
        <v>0</v>
      </c>
      <c r="IC828" s="157">
        <v>0</v>
      </c>
      <c r="ID828" s="89">
        <v>0</v>
      </c>
      <c r="IE828" s="157">
        <v>0</v>
      </c>
      <c r="IF828" s="717">
        <f t="shared" ref="IF828:IF839" si="17246">SUM(II828,IL828,IO828,IR828,IU828,IX828,JA828,JD828,JG828,JJ828,JM828,JP828)</f>
        <v>0</v>
      </c>
      <c r="IG828" s="263">
        <f t="shared" ref="IG828:IG839" si="17247">SUM(IJ828,IM828,IP828,IS828,IV828,IY828,JB828,JE828,JH828,JK828,JN828,JQ828)</f>
        <v>0</v>
      </c>
      <c r="IH828" s="718">
        <f t="shared" ref="IH828:IH839" si="17248">SUM(IK828,IN828,IQ828,IT828,IW828,IZ828,JC828,JF828,JI828,JL828,JO828,JR828)</f>
        <v>0</v>
      </c>
      <c r="II828" s="89">
        <v>0</v>
      </c>
      <c r="IJ828" s="89">
        <f t="shared" ref="IJ828:IJ840" si="17249">II828</f>
        <v>0</v>
      </c>
      <c r="IK828" s="89">
        <f t="shared" ref="IK828:IK840" si="17250">IJ828</f>
        <v>0</v>
      </c>
      <c r="IL828" s="89">
        <v>0</v>
      </c>
      <c r="IM828" s="89">
        <f t="shared" ref="IM828:IM840" si="17251">IL828</f>
        <v>0</v>
      </c>
      <c r="IN828" s="89">
        <f t="shared" ref="IN828:IN840" si="17252">IM828</f>
        <v>0</v>
      </c>
      <c r="IO828" s="89">
        <v>0</v>
      </c>
      <c r="IP828" s="89">
        <f t="shared" ref="IP828:IP840" si="17253">IO828</f>
        <v>0</v>
      </c>
      <c r="IQ828" s="89">
        <f t="shared" ref="IQ828:IQ840" si="17254">IP828</f>
        <v>0</v>
      </c>
      <c r="IR828" s="89">
        <v>0</v>
      </c>
      <c r="IS828" s="89">
        <f t="shared" ref="IS828:IS840" si="17255">IR828</f>
        <v>0</v>
      </c>
      <c r="IT828" s="89">
        <f t="shared" ref="IT828:IT840" si="17256">IS828</f>
        <v>0</v>
      </c>
      <c r="IU828" s="89">
        <v>0</v>
      </c>
      <c r="IV828" s="89">
        <f t="shared" ref="IV828:IV840" si="17257">IU828</f>
        <v>0</v>
      </c>
      <c r="IW828" s="89">
        <f t="shared" ref="IW828:IW840" si="17258">IV828</f>
        <v>0</v>
      </c>
      <c r="IX828" s="89">
        <v>0</v>
      </c>
      <c r="IY828" s="89">
        <f t="shared" ref="IY828:IY840" si="17259">IX828</f>
        <v>0</v>
      </c>
      <c r="IZ828" s="89">
        <f t="shared" ref="IZ828:IZ840" si="17260">IY828</f>
        <v>0</v>
      </c>
      <c r="JA828" s="89">
        <v>0</v>
      </c>
      <c r="JB828" s="89">
        <f t="shared" ref="JB828:JB840" si="17261">JA828</f>
        <v>0</v>
      </c>
      <c r="JC828" s="89">
        <f t="shared" ref="JC828:JC840" si="17262">JB828</f>
        <v>0</v>
      </c>
      <c r="JD828" s="89">
        <v>0</v>
      </c>
      <c r="JE828" s="89">
        <f t="shared" ref="JE828:JE840" si="17263">JD828</f>
        <v>0</v>
      </c>
      <c r="JF828" s="89">
        <f t="shared" ref="JF828:JF840" si="17264">JE828</f>
        <v>0</v>
      </c>
      <c r="JG828" s="89">
        <v>0</v>
      </c>
      <c r="JH828" s="89">
        <f t="shared" ref="JH828:JH840" si="17265">JG828</f>
        <v>0</v>
      </c>
      <c r="JI828" s="89">
        <f t="shared" ref="JI828:JI840" si="17266">JH828</f>
        <v>0</v>
      </c>
      <c r="JJ828" s="89">
        <v>0</v>
      </c>
      <c r="JK828" s="89">
        <f t="shared" ref="JK828:JK840" si="17267">JJ828</f>
        <v>0</v>
      </c>
      <c r="JL828" s="89">
        <f t="shared" ref="JL828:JL840" si="17268">JK828</f>
        <v>0</v>
      </c>
      <c r="JM828" s="89">
        <v>0</v>
      </c>
      <c r="JN828" s="89">
        <f t="shared" ref="JN828:JN840" si="17269">JM828</f>
        <v>0</v>
      </c>
      <c r="JO828" s="89">
        <f t="shared" ref="JO828:JO840" si="17270">JN828</f>
        <v>0</v>
      </c>
      <c r="JP828" s="89">
        <v>0</v>
      </c>
      <c r="JQ828" s="89">
        <f t="shared" ref="JQ828:JQ839" si="17271">JP828</f>
        <v>0</v>
      </c>
      <c r="JR828" s="89">
        <f t="shared" ref="JR828:JR839" si="17272">JQ828</f>
        <v>0</v>
      </c>
      <c r="JS828" s="74">
        <f t="shared" ref="JS828:JS839" si="17273">HG828-IF828</f>
        <v>0</v>
      </c>
      <c r="JT828" s="382">
        <f t="shared" ref="JT828:JT839" si="17274">GS828-IF828</f>
        <v>0</v>
      </c>
      <c r="JU828" s="665"/>
      <c r="JV828" s="524"/>
      <c r="JW828" s="525"/>
      <c r="JX828" s="549">
        <f t="shared" ref="JX828:JX839" si="17275">SUM(HH828,HJ828,HL828,HN828,HP828,HR828,HT828,HV828,HX828,HZ828,IB828,ID828)</f>
        <v>0</v>
      </c>
      <c r="JY828" s="549">
        <f>SUM(HI828,HK828,HM828,HO828,HQ828,HS828,HU828,HW828,HY828,IA828,IC828,IE828)</f>
        <v>20000</v>
      </c>
      <c r="JZ828" s="581">
        <f t="shared" si="16466"/>
        <v>0</v>
      </c>
      <c r="KA828" s="581">
        <f t="shared" si="16467"/>
        <v>-20000</v>
      </c>
      <c r="KB828" s="566">
        <f t="shared" ref="KB828:KB840" si="17276">SUM(JX828:KA828)</f>
        <v>0</v>
      </c>
      <c r="KC828" s="709">
        <f t="shared" si="16464"/>
        <v>0</v>
      </c>
      <c r="KD828" s="491"/>
      <c r="KE828" s="491"/>
      <c r="KF828" s="491"/>
      <c r="KG828" s="491"/>
      <c r="KH828" s="36"/>
      <c r="KI828" s="36"/>
      <c r="KJ828" s="36"/>
      <c r="KK828" s="36"/>
    </row>
    <row r="829" spans="1:297" s="10" customFormat="1">
      <c r="A829" s="612" t="s">
        <v>763</v>
      </c>
      <c r="B829" s="512" t="s">
        <v>987</v>
      </c>
      <c r="C829" s="74">
        <v>8000</v>
      </c>
      <c r="D829" s="549">
        <v>0</v>
      </c>
      <c r="E829" s="675">
        <v>0</v>
      </c>
      <c r="F829" s="549">
        <v>0</v>
      </c>
      <c r="G829" s="675">
        <v>0</v>
      </c>
      <c r="H829" s="549">
        <v>0</v>
      </c>
      <c r="I829" s="675">
        <v>0</v>
      </c>
      <c r="J829" s="549">
        <v>0</v>
      </c>
      <c r="K829" s="675">
        <v>0</v>
      </c>
      <c r="L829" s="549">
        <v>0</v>
      </c>
      <c r="M829" s="675">
        <v>0</v>
      </c>
      <c r="N829" s="549">
        <v>0</v>
      </c>
      <c r="O829" s="675">
        <v>0</v>
      </c>
      <c r="P829" s="549">
        <v>0</v>
      </c>
      <c r="Q829" s="675">
        <v>0</v>
      </c>
      <c r="R829" s="549">
        <v>0</v>
      </c>
      <c r="S829" s="675">
        <v>0</v>
      </c>
      <c r="T829" s="549">
        <v>0</v>
      </c>
      <c r="U829" s="675">
        <v>0</v>
      </c>
      <c r="V829" s="549">
        <v>0</v>
      </c>
      <c r="W829" s="675">
        <v>0</v>
      </c>
      <c r="X829" s="549">
        <v>0</v>
      </c>
      <c r="Y829" s="675">
        <v>0</v>
      </c>
      <c r="Z829" s="549">
        <v>0</v>
      </c>
      <c r="AA829" s="675">
        <v>0</v>
      </c>
      <c r="AB829" s="549">
        <v>0</v>
      </c>
      <c r="AC829" s="675">
        <v>0</v>
      </c>
      <c r="AD829" s="549">
        <v>0</v>
      </c>
      <c r="AE829" s="675">
        <v>0</v>
      </c>
      <c r="AF829" s="549">
        <v>0</v>
      </c>
      <c r="AG829" s="675">
        <v>0</v>
      </c>
      <c r="AH829" s="549">
        <v>0</v>
      </c>
      <c r="AI829" s="675">
        <v>0</v>
      </c>
      <c r="AJ829" s="549">
        <v>0</v>
      </c>
      <c r="AK829" s="675">
        <v>0</v>
      </c>
      <c r="AL829" s="549">
        <v>0</v>
      </c>
      <c r="AM829" s="675">
        <v>0</v>
      </c>
      <c r="AN829" s="549">
        <v>0</v>
      </c>
      <c r="AO829" s="675">
        <v>0</v>
      </c>
      <c r="AP829" s="549">
        <v>0</v>
      </c>
      <c r="AQ829" s="675">
        <v>0</v>
      </c>
      <c r="AR829" s="549">
        <v>0</v>
      </c>
      <c r="AS829" s="675">
        <v>0</v>
      </c>
      <c r="AT829" s="549">
        <v>0</v>
      </c>
      <c r="AU829" s="675">
        <v>0</v>
      </c>
      <c r="AV829" s="549">
        <v>0</v>
      </c>
      <c r="AW829" s="675">
        <v>0</v>
      </c>
      <c r="AX829" s="549">
        <v>0</v>
      </c>
      <c r="AY829" s="675">
        <v>0</v>
      </c>
      <c r="AZ829" s="549">
        <v>0</v>
      </c>
      <c r="BA829" s="675">
        <v>0</v>
      </c>
      <c r="BB829" s="549">
        <v>0</v>
      </c>
      <c r="BC829" s="675">
        <v>0</v>
      </c>
      <c r="BD829" s="549">
        <v>0</v>
      </c>
      <c r="BE829" s="675">
        <v>0</v>
      </c>
      <c r="BF829" s="549">
        <v>0</v>
      </c>
      <c r="BG829" s="675">
        <v>0</v>
      </c>
      <c r="BH829" s="549">
        <v>0</v>
      </c>
      <c r="BI829" s="675">
        <v>0</v>
      </c>
      <c r="BJ829" s="549">
        <v>0</v>
      </c>
      <c r="BK829" s="675">
        <v>0</v>
      </c>
      <c r="BL829" s="549">
        <v>0</v>
      </c>
      <c r="BM829" s="675">
        <v>0</v>
      </c>
      <c r="BN829" s="549">
        <v>0</v>
      </c>
      <c r="BO829" s="675">
        <v>0</v>
      </c>
      <c r="BP829" s="549">
        <v>0</v>
      </c>
      <c r="BQ829" s="675">
        <v>0</v>
      </c>
      <c r="BR829" s="549">
        <v>0</v>
      </c>
      <c r="BS829" s="675">
        <v>0</v>
      </c>
      <c r="BT829" s="549">
        <v>0</v>
      </c>
      <c r="BU829" s="675">
        <v>0</v>
      </c>
      <c r="BV829" s="549">
        <v>0</v>
      </c>
      <c r="BW829" s="675">
        <v>0</v>
      </c>
      <c r="BX829" s="549">
        <v>0</v>
      </c>
      <c r="BY829" s="675">
        <v>0</v>
      </c>
      <c r="BZ829" s="549">
        <v>0</v>
      </c>
      <c r="CA829" s="675">
        <v>0</v>
      </c>
      <c r="CB829" s="549">
        <v>0</v>
      </c>
      <c r="CC829" s="675">
        <v>0</v>
      </c>
      <c r="CD829" s="549">
        <v>0</v>
      </c>
      <c r="CE829" s="675">
        <v>0</v>
      </c>
      <c r="CF829" s="549">
        <v>0</v>
      </c>
      <c r="CG829" s="675">
        <v>-8000</v>
      </c>
      <c r="CH829" s="549">
        <v>0</v>
      </c>
      <c r="CI829" s="675">
        <v>0</v>
      </c>
      <c r="CJ829" s="549">
        <v>0</v>
      </c>
      <c r="CK829" s="675">
        <v>0</v>
      </c>
      <c r="CL829" s="549">
        <v>0</v>
      </c>
      <c r="CM829" s="675">
        <v>0</v>
      </c>
      <c r="CN829" s="549">
        <v>0</v>
      </c>
      <c r="CO829" s="675">
        <v>0</v>
      </c>
      <c r="CP829" s="549">
        <v>0</v>
      </c>
      <c r="CQ829" s="675">
        <v>0</v>
      </c>
      <c r="CR829" s="549">
        <v>0</v>
      </c>
      <c r="CS829" s="675">
        <v>0</v>
      </c>
      <c r="CT829" s="549">
        <v>0</v>
      </c>
      <c r="CU829" s="675">
        <v>0</v>
      </c>
      <c r="CV829" s="549">
        <v>0</v>
      </c>
      <c r="CW829" s="675">
        <v>0</v>
      </c>
      <c r="CX829" s="549">
        <v>0</v>
      </c>
      <c r="CY829" s="675">
        <v>0</v>
      </c>
      <c r="CZ829" s="549">
        <v>0</v>
      </c>
      <c r="DA829" s="675">
        <v>0</v>
      </c>
      <c r="DB829" s="549">
        <v>0</v>
      </c>
      <c r="DC829" s="675">
        <v>0</v>
      </c>
      <c r="DD829" s="549">
        <v>0</v>
      </c>
      <c r="DE829" s="675">
        <v>0</v>
      </c>
      <c r="DF829" s="549">
        <v>0</v>
      </c>
      <c r="DG829" s="675">
        <v>0</v>
      </c>
      <c r="DH829" s="549">
        <v>0</v>
      </c>
      <c r="DI829" s="675">
        <v>0</v>
      </c>
      <c r="DJ829" s="549">
        <v>0</v>
      </c>
      <c r="DK829" s="675">
        <v>0</v>
      </c>
      <c r="DL829" s="549">
        <v>0</v>
      </c>
      <c r="DM829" s="675">
        <v>0</v>
      </c>
      <c r="DN829" s="549">
        <v>0</v>
      </c>
      <c r="DO829" s="675">
        <v>0</v>
      </c>
      <c r="DP829" s="549">
        <v>0</v>
      </c>
      <c r="DQ829" s="675">
        <v>0</v>
      </c>
      <c r="DR829" s="549">
        <v>0</v>
      </c>
      <c r="DS829" s="675">
        <v>0</v>
      </c>
      <c r="DT829" s="549">
        <v>0</v>
      </c>
      <c r="DU829" s="675">
        <v>0</v>
      </c>
      <c r="DV829" s="549">
        <v>0</v>
      </c>
      <c r="DW829" s="675">
        <v>0</v>
      </c>
      <c r="DX829" s="549">
        <v>0</v>
      </c>
      <c r="DY829" s="675">
        <v>0</v>
      </c>
      <c r="DZ829" s="549">
        <v>0</v>
      </c>
      <c r="EA829" s="675">
        <v>0</v>
      </c>
      <c r="EB829" s="549">
        <v>0</v>
      </c>
      <c r="EC829" s="675">
        <v>0</v>
      </c>
      <c r="ED829" s="549">
        <v>0</v>
      </c>
      <c r="EE829" s="675">
        <v>0</v>
      </c>
      <c r="EF829" s="549">
        <v>0</v>
      </c>
      <c r="EG829" s="675">
        <v>0</v>
      </c>
      <c r="EH829" s="549">
        <v>0</v>
      </c>
      <c r="EI829" s="675">
        <v>0</v>
      </c>
      <c r="EJ829" s="549">
        <v>0</v>
      </c>
      <c r="EK829" s="675">
        <v>0</v>
      </c>
      <c r="EL829" s="549">
        <v>0</v>
      </c>
      <c r="EM829" s="675">
        <v>0</v>
      </c>
      <c r="EN829" s="549">
        <v>0</v>
      </c>
      <c r="EO829" s="675">
        <v>0</v>
      </c>
      <c r="EP829" s="549">
        <v>0</v>
      </c>
      <c r="EQ829" s="675">
        <v>0</v>
      </c>
      <c r="ER829" s="549">
        <v>0</v>
      </c>
      <c r="ES829" s="675">
        <v>0</v>
      </c>
      <c r="ET829" s="549">
        <v>0</v>
      </c>
      <c r="EU829" s="675">
        <v>0</v>
      </c>
      <c r="EV829" s="549">
        <v>0</v>
      </c>
      <c r="EW829" s="675">
        <v>0</v>
      </c>
      <c r="EX829" s="549">
        <v>0</v>
      </c>
      <c r="EY829" s="675">
        <v>0</v>
      </c>
      <c r="EZ829" s="549">
        <v>0</v>
      </c>
      <c r="FA829" s="675">
        <v>0</v>
      </c>
      <c r="FB829" s="549">
        <v>0</v>
      </c>
      <c r="FC829" s="675">
        <v>0</v>
      </c>
      <c r="FD829" s="549">
        <v>0</v>
      </c>
      <c r="FE829" s="675">
        <v>0</v>
      </c>
      <c r="FF829" s="549">
        <v>0</v>
      </c>
      <c r="FG829" s="675">
        <v>0</v>
      </c>
      <c r="FH829" s="549">
        <v>0</v>
      </c>
      <c r="FI829" s="675">
        <v>0</v>
      </c>
      <c r="FJ829" s="549">
        <v>0</v>
      </c>
      <c r="FK829" s="675">
        <v>0</v>
      </c>
      <c r="FL829" s="549">
        <v>0</v>
      </c>
      <c r="FM829" s="675">
        <v>0</v>
      </c>
      <c r="FN829" s="549">
        <v>0</v>
      </c>
      <c r="FO829" s="675">
        <v>0</v>
      </c>
      <c r="FP829" s="549">
        <v>0</v>
      </c>
      <c r="FQ829" s="675">
        <v>0</v>
      </c>
      <c r="FR829" s="549">
        <v>0</v>
      </c>
      <c r="FS829" s="675">
        <v>0</v>
      </c>
      <c r="FT829" s="549">
        <v>0</v>
      </c>
      <c r="FU829" s="675">
        <v>0</v>
      </c>
      <c r="FV829" s="549">
        <v>0</v>
      </c>
      <c r="FW829" s="675">
        <v>0</v>
      </c>
      <c r="FX829" s="549">
        <v>0</v>
      </c>
      <c r="FY829" s="675">
        <v>0</v>
      </c>
      <c r="FZ829" s="549">
        <v>0</v>
      </c>
      <c r="GA829" s="675">
        <v>0</v>
      </c>
      <c r="GB829" s="549">
        <v>0</v>
      </c>
      <c r="GC829" s="675">
        <v>0</v>
      </c>
      <c r="GD829" s="549">
        <v>0</v>
      </c>
      <c r="GE829" s="675">
        <v>0</v>
      </c>
      <c r="GF829" s="549">
        <v>0</v>
      </c>
      <c r="GG829" s="675">
        <v>0</v>
      </c>
      <c r="GH829" s="549">
        <v>0</v>
      </c>
      <c r="GI829" s="675">
        <v>0</v>
      </c>
      <c r="GJ829" s="549">
        <v>0</v>
      </c>
      <c r="GK829" s="675">
        <v>0</v>
      </c>
      <c r="GL829" s="549">
        <v>0</v>
      </c>
      <c r="GM829" s="675">
        <v>0</v>
      </c>
      <c r="GN829" s="549">
        <v>0</v>
      </c>
      <c r="GO829" s="675">
        <v>0</v>
      </c>
      <c r="GP829" s="549">
        <f t="shared" si="17240"/>
        <v>0</v>
      </c>
      <c r="GQ829" s="675">
        <f t="shared" si="17241"/>
        <v>-8000</v>
      </c>
      <c r="GR829" s="74">
        <f t="shared" si="17242"/>
        <v>0</v>
      </c>
      <c r="GS829" s="74">
        <f t="shared" si="17243"/>
        <v>0</v>
      </c>
      <c r="GT829" s="568">
        <f t="shared" si="17244"/>
        <v>0</v>
      </c>
      <c r="GU829" s="275">
        <v>1600</v>
      </c>
      <c r="GV829" s="275"/>
      <c r="GW829" s="588"/>
      <c r="GX829" s="275">
        <v>2400</v>
      </c>
      <c r="GY829" s="275"/>
      <c r="GZ829" s="275">
        <v>4000</v>
      </c>
      <c r="HA829" s="275">
        <f>2400-2400</f>
        <v>0</v>
      </c>
      <c r="HB829" s="275"/>
      <c r="HC829" s="275"/>
      <c r="HD829" s="275">
        <f>1600-1600</f>
        <v>0</v>
      </c>
      <c r="HE829" s="275"/>
      <c r="HF829" s="275"/>
      <c r="HG829" s="74">
        <f t="shared" si="17245"/>
        <v>0</v>
      </c>
      <c r="HH829" s="89">
        <v>0</v>
      </c>
      <c r="HI829" s="157">
        <v>0</v>
      </c>
      <c r="HJ829" s="89">
        <v>0</v>
      </c>
      <c r="HK829" s="157">
        <v>0</v>
      </c>
      <c r="HL829" s="89">
        <v>0</v>
      </c>
      <c r="HM829" s="157">
        <v>0</v>
      </c>
      <c r="HN829" s="89">
        <v>0</v>
      </c>
      <c r="HO829" s="157">
        <v>4000</v>
      </c>
      <c r="HP829" s="89">
        <v>0</v>
      </c>
      <c r="HQ829" s="157">
        <v>0</v>
      </c>
      <c r="HR829" s="89">
        <v>0</v>
      </c>
      <c r="HS829" s="157">
        <v>4000</v>
      </c>
      <c r="HT829" s="89">
        <v>0</v>
      </c>
      <c r="HU829" s="157">
        <v>0</v>
      </c>
      <c r="HV829" s="89">
        <v>0</v>
      </c>
      <c r="HW829" s="157">
        <v>0</v>
      </c>
      <c r="HX829" s="89">
        <v>0</v>
      </c>
      <c r="HY829" s="157">
        <v>0</v>
      </c>
      <c r="HZ829" s="89">
        <v>0</v>
      </c>
      <c r="IA829" s="157">
        <v>0</v>
      </c>
      <c r="IB829" s="89">
        <v>0</v>
      </c>
      <c r="IC829" s="157">
        <v>0</v>
      </c>
      <c r="ID829" s="89">
        <v>0</v>
      </c>
      <c r="IE829" s="157">
        <v>0</v>
      </c>
      <c r="IF829" s="717">
        <f t="shared" si="17246"/>
        <v>0</v>
      </c>
      <c r="IG829" s="263">
        <f t="shared" si="17247"/>
        <v>0</v>
      </c>
      <c r="IH829" s="718">
        <f t="shared" si="17248"/>
        <v>0</v>
      </c>
      <c r="II829" s="89">
        <v>0</v>
      </c>
      <c r="IJ829" s="89">
        <f t="shared" si="17249"/>
        <v>0</v>
      </c>
      <c r="IK829" s="89">
        <f t="shared" si="17250"/>
        <v>0</v>
      </c>
      <c r="IL829" s="89">
        <v>0</v>
      </c>
      <c r="IM829" s="89">
        <f t="shared" si="17251"/>
        <v>0</v>
      </c>
      <c r="IN829" s="89">
        <f t="shared" si="17252"/>
        <v>0</v>
      </c>
      <c r="IO829" s="89">
        <v>0</v>
      </c>
      <c r="IP829" s="89">
        <f t="shared" si="17253"/>
        <v>0</v>
      </c>
      <c r="IQ829" s="89">
        <f t="shared" si="17254"/>
        <v>0</v>
      </c>
      <c r="IR829" s="89">
        <v>0</v>
      </c>
      <c r="IS829" s="89">
        <f t="shared" si="17255"/>
        <v>0</v>
      </c>
      <c r="IT829" s="89">
        <f t="shared" si="17256"/>
        <v>0</v>
      </c>
      <c r="IU829" s="89">
        <v>0</v>
      </c>
      <c r="IV829" s="89">
        <f t="shared" si="17257"/>
        <v>0</v>
      </c>
      <c r="IW829" s="89">
        <f t="shared" si="17258"/>
        <v>0</v>
      </c>
      <c r="IX829" s="89">
        <v>0</v>
      </c>
      <c r="IY829" s="89">
        <f t="shared" si="17259"/>
        <v>0</v>
      </c>
      <c r="IZ829" s="89">
        <f t="shared" si="17260"/>
        <v>0</v>
      </c>
      <c r="JA829" s="89">
        <v>0</v>
      </c>
      <c r="JB829" s="89">
        <f t="shared" si="17261"/>
        <v>0</v>
      </c>
      <c r="JC829" s="89">
        <f t="shared" si="17262"/>
        <v>0</v>
      </c>
      <c r="JD829" s="89">
        <v>0</v>
      </c>
      <c r="JE829" s="89">
        <f t="shared" si="17263"/>
        <v>0</v>
      </c>
      <c r="JF829" s="89">
        <f t="shared" si="17264"/>
        <v>0</v>
      </c>
      <c r="JG829" s="89">
        <v>0</v>
      </c>
      <c r="JH829" s="89">
        <f t="shared" si="17265"/>
        <v>0</v>
      </c>
      <c r="JI829" s="89">
        <f t="shared" si="17266"/>
        <v>0</v>
      </c>
      <c r="JJ829" s="89">
        <v>0</v>
      </c>
      <c r="JK829" s="89">
        <f t="shared" si="17267"/>
        <v>0</v>
      </c>
      <c r="JL829" s="89">
        <f t="shared" si="17268"/>
        <v>0</v>
      </c>
      <c r="JM829" s="89">
        <v>0</v>
      </c>
      <c r="JN829" s="89">
        <f t="shared" si="17269"/>
        <v>0</v>
      </c>
      <c r="JO829" s="89">
        <f t="shared" si="17270"/>
        <v>0</v>
      </c>
      <c r="JP829" s="89">
        <v>0</v>
      </c>
      <c r="JQ829" s="89">
        <f t="shared" si="17271"/>
        <v>0</v>
      </c>
      <c r="JR829" s="89">
        <f t="shared" si="17272"/>
        <v>0</v>
      </c>
      <c r="JS829" s="74">
        <f t="shared" si="17273"/>
        <v>0</v>
      </c>
      <c r="JT829" s="382">
        <f t="shared" si="17274"/>
        <v>0</v>
      </c>
      <c r="JU829" s="665"/>
      <c r="JV829" s="524"/>
      <c r="JW829" s="525"/>
      <c r="JX829" s="549">
        <f t="shared" si="17275"/>
        <v>0</v>
      </c>
      <c r="JY829" s="549">
        <f t="shared" si="17176"/>
        <v>8000</v>
      </c>
      <c r="JZ829" s="581">
        <f t="shared" si="16466"/>
        <v>0</v>
      </c>
      <c r="KA829" s="581">
        <f t="shared" si="16467"/>
        <v>-8000</v>
      </c>
      <c r="KB829" s="566">
        <f t="shared" si="17276"/>
        <v>0</v>
      </c>
      <c r="KC829" s="709">
        <f t="shared" ref="KC829:KC870" si="17277">HG829-KB829</f>
        <v>0</v>
      </c>
      <c r="KD829" s="491"/>
      <c r="KE829" s="491"/>
      <c r="KF829" s="491"/>
      <c r="KG829" s="491"/>
      <c r="KH829" s="36"/>
      <c r="KI829" s="36"/>
      <c r="KJ829" s="36"/>
      <c r="KK829" s="36"/>
    </row>
    <row r="830" spans="1:297" s="10" customFormat="1">
      <c r="A830" s="612" t="s">
        <v>764</v>
      </c>
      <c r="B830" s="512" t="s">
        <v>989</v>
      </c>
      <c r="C830" s="74">
        <v>5000</v>
      </c>
      <c r="D830" s="549">
        <v>0</v>
      </c>
      <c r="E830" s="675">
        <v>0</v>
      </c>
      <c r="F830" s="549">
        <v>0</v>
      </c>
      <c r="G830" s="675">
        <v>0</v>
      </c>
      <c r="H830" s="549">
        <v>0</v>
      </c>
      <c r="I830" s="675">
        <v>0</v>
      </c>
      <c r="J830" s="549">
        <v>0</v>
      </c>
      <c r="K830" s="675">
        <v>0</v>
      </c>
      <c r="L830" s="549">
        <v>0</v>
      </c>
      <c r="M830" s="675">
        <v>0</v>
      </c>
      <c r="N830" s="549">
        <v>0</v>
      </c>
      <c r="O830" s="675">
        <v>0</v>
      </c>
      <c r="P830" s="549">
        <v>0</v>
      </c>
      <c r="Q830" s="675">
        <v>0</v>
      </c>
      <c r="R830" s="549">
        <v>0</v>
      </c>
      <c r="S830" s="675">
        <v>0</v>
      </c>
      <c r="T830" s="549">
        <v>0</v>
      </c>
      <c r="U830" s="675">
        <v>0</v>
      </c>
      <c r="V830" s="549">
        <v>0</v>
      </c>
      <c r="W830" s="675">
        <v>0</v>
      </c>
      <c r="X830" s="549">
        <v>0</v>
      </c>
      <c r="Y830" s="675">
        <v>0</v>
      </c>
      <c r="Z830" s="549">
        <v>0</v>
      </c>
      <c r="AA830" s="675">
        <v>0</v>
      </c>
      <c r="AB830" s="549">
        <v>0</v>
      </c>
      <c r="AC830" s="675">
        <v>0</v>
      </c>
      <c r="AD830" s="549">
        <v>0</v>
      </c>
      <c r="AE830" s="675">
        <v>0</v>
      </c>
      <c r="AF830" s="549">
        <v>0</v>
      </c>
      <c r="AG830" s="675">
        <v>0</v>
      </c>
      <c r="AH830" s="549">
        <v>0</v>
      </c>
      <c r="AI830" s="675">
        <v>0</v>
      </c>
      <c r="AJ830" s="549">
        <v>0</v>
      </c>
      <c r="AK830" s="675">
        <v>0</v>
      </c>
      <c r="AL830" s="549">
        <v>0</v>
      </c>
      <c r="AM830" s="675">
        <v>0</v>
      </c>
      <c r="AN830" s="549">
        <v>0</v>
      </c>
      <c r="AO830" s="675">
        <v>0</v>
      </c>
      <c r="AP830" s="549">
        <v>0</v>
      </c>
      <c r="AQ830" s="675">
        <v>0</v>
      </c>
      <c r="AR830" s="549">
        <v>0</v>
      </c>
      <c r="AS830" s="675">
        <v>0</v>
      </c>
      <c r="AT830" s="549">
        <v>0</v>
      </c>
      <c r="AU830" s="675">
        <v>0</v>
      </c>
      <c r="AV830" s="549">
        <v>0</v>
      </c>
      <c r="AW830" s="675">
        <v>0</v>
      </c>
      <c r="AX830" s="549">
        <v>0</v>
      </c>
      <c r="AY830" s="675">
        <v>0</v>
      </c>
      <c r="AZ830" s="549">
        <v>0</v>
      </c>
      <c r="BA830" s="675">
        <v>0</v>
      </c>
      <c r="BB830" s="549">
        <v>0</v>
      </c>
      <c r="BC830" s="675">
        <v>0</v>
      </c>
      <c r="BD830" s="549">
        <v>0</v>
      </c>
      <c r="BE830" s="675">
        <v>0</v>
      </c>
      <c r="BF830" s="549">
        <v>0</v>
      </c>
      <c r="BG830" s="675">
        <v>0</v>
      </c>
      <c r="BH830" s="549">
        <v>0</v>
      </c>
      <c r="BI830" s="675">
        <v>0</v>
      </c>
      <c r="BJ830" s="549">
        <v>0</v>
      </c>
      <c r="BK830" s="675">
        <v>0</v>
      </c>
      <c r="BL830" s="549">
        <v>0</v>
      </c>
      <c r="BM830" s="675">
        <v>0</v>
      </c>
      <c r="BN830" s="549">
        <v>0</v>
      </c>
      <c r="BO830" s="675">
        <v>0</v>
      </c>
      <c r="BP830" s="549">
        <v>0</v>
      </c>
      <c r="BQ830" s="675">
        <v>0</v>
      </c>
      <c r="BR830" s="549">
        <v>0</v>
      </c>
      <c r="BS830" s="675">
        <v>0</v>
      </c>
      <c r="BT830" s="549">
        <v>0</v>
      </c>
      <c r="BU830" s="675">
        <v>0</v>
      </c>
      <c r="BV830" s="549">
        <v>0</v>
      </c>
      <c r="BW830" s="675">
        <v>0</v>
      </c>
      <c r="BX830" s="549">
        <v>0</v>
      </c>
      <c r="BY830" s="675">
        <v>0</v>
      </c>
      <c r="BZ830" s="549">
        <v>0</v>
      </c>
      <c r="CA830" s="675">
        <v>0</v>
      </c>
      <c r="CB830" s="549">
        <v>0</v>
      </c>
      <c r="CC830" s="675">
        <v>0</v>
      </c>
      <c r="CD830" s="549">
        <v>0</v>
      </c>
      <c r="CE830" s="675">
        <v>0</v>
      </c>
      <c r="CF830" s="549">
        <v>0</v>
      </c>
      <c r="CG830" s="675">
        <v>-5000</v>
      </c>
      <c r="CH830" s="549">
        <v>0</v>
      </c>
      <c r="CI830" s="675">
        <v>0</v>
      </c>
      <c r="CJ830" s="549">
        <v>0</v>
      </c>
      <c r="CK830" s="675">
        <v>0</v>
      </c>
      <c r="CL830" s="549">
        <v>0</v>
      </c>
      <c r="CM830" s="675">
        <v>0</v>
      </c>
      <c r="CN830" s="549">
        <v>0</v>
      </c>
      <c r="CO830" s="675">
        <v>0</v>
      </c>
      <c r="CP830" s="549">
        <v>0</v>
      </c>
      <c r="CQ830" s="675">
        <v>0</v>
      </c>
      <c r="CR830" s="549">
        <v>0</v>
      </c>
      <c r="CS830" s="675">
        <v>0</v>
      </c>
      <c r="CT830" s="549">
        <v>0</v>
      </c>
      <c r="CU830" s="675">
        <v>0</v>
      </c>
      <c r="CV830" s="549">
        <v>0</v>
      </c>
      <c r="CW830" s="675">
        <v>0</v>
      </c>
      <c r="CX830" s="549">
        <v>0</v>
      </c>
      <c r="CY830" s="675">
        <v>0</v>
      </c>
      <c r="CZ830" s="549">
        <v>0</v>
      </c>
      <c r="DA830" s="675">
        <v>0</v>
      </c>
      <c r="DB830" s="549">
        <v>0</v>
      </c>
      <c r="DC830" s="675">
        <v>0</v>
      </c>
      <c r="DD830" s="549">
        <v>0</v>
      </c>
      <c r="DE830" s="675">
        <v>0</v>
      </c>
      <c r="DF830" s="549">
        <v>0</v>
      </c>
      <c r="DG830" s="675">
        <v>0</v>
      </c>
      <c r="DH830" s="549">
        <v>0</v>
      </c>
      <c r="DI830" s="675">
        <v>0</v>
      </c>
      <c r="DJ830" s="549">
        <v>0</v>
      </c>
      <c r="DK830" s="675">
        <v>0</v>
      </c>
      <c r="DL830" s="549">
        <v>0</v>
      </c>
      <c r="DM830" s="675">
        <v>0</v>
      </c>
      <c r="DN830" s="549">
        <v>0</v>
      </c>
      <c r="DO830" s="675">
        <v>0</v>
      </c>
      <c r="DP830" s="549">
        <v>0</v>
      </c>
      <c r="DQ830" s="675">
        <v>0</v>
      </c>
      <c r="DR830" s="549">
        <v>0</v>
      </c>
      <c r="DS830" s="675">
        <v>0</v>
      </c>
      <c r="DT830" s="549">
        <v>0</v>
      </c>
      <c r="DU830" s="675">
        <v>0</v>
      </c>
      <c r="DV830" s="549">
        <v>0</v>
      </c>
      <c r="DW830" s="675">
        <v>0</v>
      </c>
      <c r="DX830" s="549">
        <v>0</v>
      </c>
      <c r="DY830" s="675">
        <v>0</v>
      </c>
      <c r="DZ830" s="549">
        <v>0</v>
      </c>
      <c r="EA830" s="675">
        <v>0</v>
      </c>
      <c r="EB830" s="549">
        <v>0</v>
      </c>
      <c r="EC830" s="675">
        <v>0</v>
      </c>
      <c r="ED830" s="549">
        <v>0</v>
      </c>
      <c r="EE830" s="675">
        <v>0</v>
      </c>
      <c r="EF830" s="549">
        <v>0</v>
      </c>
      <c r="EG830" s="675">
        <v>0</v>
      </c>
      <c r="EH830" s="549">
        <v>0</v>
      </c>
      <c r="EI830" s="675">
        <v>0</v>
      </c>
      <c r="EJ830" s="549">
        <v>0</v>
      </c>
      <c r="EK830" s="675">
        <v>0</v>
      </c>
      <c r="EL830" s="549">
        <v>0</v>
      </c>
      <c r="EM830" s="675">
        <v>0</v>
      </c>
      <c r="EN830" s="549">
        <v>0</v>
      </c>
      <c r="EO830" s="675">
        <v>0</v>
      </c>
      <c r="EP830" s="549">
        <v>0</v>
      </c>
      <c r="EQ830" s="675">
        <v>0</v>
      </c>
      <c r="ER830" s="549">
        <v>0</v>
      </c>
      <c r="ES830" s="675">
        <v>0</v>
      </c>
      <c r="ET830" s="549">
        <v>0</v>
      </c>
      <c r="EU830" s="675">
        <v>0</v>
      </c>
      <c r="EV830" s="549">
        <v>0</v>
      </c>
      <c r="EW830" s="675">
        <v>0</v>
      </c>
      <c r="EX830" s="549">
        <v>0</v>
      </c>
      <c r="EY830" s="675">
        <v>0</v>
      </c>
      <c r="EZ830" s="549">
        <v>0</v>
      </c>
      <c r="FA830" s="675">
        <v>0</v>
      </c>
      <c r="FB830" s="549">
        <v>0</v>
      </c>
      <c r="FC830" s="675">
        <v>0</v>
      </c>
      <c r="FD830" s="549">
        <v>0</v>
      </c>
      <c r="FE830" s="675">
        <v>0</v>
      </c>
      <c r="FF830" s="549">
        <v>0</v>
      </c>
      <c r="FG830" s="675">
        <v>0</v>
      </c>
      <c r="FH830" s="549">
        <v>0</v>
      </c>
      <c r="FI830" s="675">
        <v>0</v>
      </c>
      <c r="FJ830" s="549">
        <v>0</v>
      </c>
      <c r="FK830" s="675">
        <v>0</v>
      </c>
      <c r="FL830" s="549">
        <v>0</v>
      </c>
      <c r="FM830" s="675">
        <v>0</v>
      </c>
      <c r="FN830" s="549">
        <v>0</v>
      </c>
      <c r="FO830" s="675">
        <v>0</v>
      </c>
      <c r="FP830" s="549">
        <v>0</v>
      </c>
      <c r="FQ830" s="675">
        <v>0</v>
      </c>
      <c r="FR830" s="549">
        <v>0</v>
      </c>
      <c r="FS830" s="675">
        <v>0</v>
      </c>
      <c r="FT830" s="549">
        <v>0</v>
      </c>
      <c r="FU830" s="675">
        <v>0</v>
      </c>
      <c r="FV830" s="549">
        <v>0</v>
      </c>
      <c r="FW830" s="675">
        <v>0</v>
      </c>
      <c r="FX830" s="549">
        <v>0</v>
      </c>
      <c r="FY830" s="675">
        <v>0</v>
      </c>
      <c r="FZ830" s="549">
        <v>0</v>
      </c>
      <c r="GA830" s="675">
        <v>0</v>
      </c>
      <c r="GB830" s="549">
        <v>0</v>
      </c>
      <c r="GC830" s="675">
        <v>0</v>
      </c>
      <c r="GD830" s="549">
        <v>0</v>
      </c>
      <c r="GE830" s="675">
        <v>0</v>
      </c>
      <c r="GF830" s="549">
        <v>0</v>
      </c>
      <c r="GG830" s="675">
        <v>0</v>
      </c>
      <c r="GH830" s="549">
        <v>0</v>
      </c>
      <c r="GI830" s="675">
        <v>0</v>
      </c>
      <c r="GJ830" s="549">
        <v>0</v>
      </c>
      <c r="GK830" s="675">
        <v>0</v>
      </c>
      <c r="GL830" s="549">
        <v>0</v>
      </c>
      <c r="GM830" s="675">
        <v>0</v>
      </c>
      <c r="GN830" s="549">
        <v>0</v>
      </c>
      <c r="GO830" s="675">
        <v>0</v>
      </c>
      <c r="GP830" s="549">
        <f t="shared" si="17240"/>
        <v>0</v>
      </c>
      <c r="GQ830" s="675">
        <f t="shared" si="17241"/>
        <v>-5000</v>
      </c>
      <c r="GR830" s="74">
        <f t="shared" si="17242"/>
        <v>0</v>
      </c>
      <c r="GS830" s="74">
        <f t="shared" si="17243"/>
        <v>0</v>
      </c>
      <c r="GT830" s="568">
        <f t="shared" si="17244"/>
        <v>0</v>
      </c>
      <c r="GU830" s="275">
        <v>1000</v>
      </c>
      <c r="GV830" s="275"/>
      <c r="GW830" s="588"/>
      <c r="GX830" s="275">
        <v>1500</v>
      </c>
      <c r="GY830" s="275"/>
      <c r="GZ830" s="275">
        <v>2500</v>
      </c>
      <c r="HA830" s="275">
        <f>1500-1500</f>
        <v>0</v>
      </c>
      <c r="HB830" s="275"/>
      <c r="HC830" s="275"/>
      <c r="HD830" s="275">
        <f>1000-1000</f>
        <v>0</v>
      </c>
      <c r="HE830" s="275"/>
      <c r="HF830" s="275"/>
      <c r="HG830" s="74">
        <f t="shared" si="17245"/>
        <v>0</v>
      </c>
      <c r="HH830" s="89">
        <v>0</v>
      </c>
      <c r="HI830" s="157">
        <v>0</v>
      </c>
      <c r="HJ830" s="89">
        <v>0</v>
      </c>
      <c r="HK830" s="157">
        <v>0</v>
      </c>
      <c r="HL830" s="89">
        <v>0</v>
      </c>
      <c r="HM830" s="157">
        <v>0</v>
      </c>
      <c r="HN830" s="89">
        <v>0</v>
      </c>
      <c r="HO830" s="157">
        <v>2500</v>
      </c>
      <c r="HP830" s="89">
        <v>0</v>
      </c>
      <c r="HQ830" s="157">
        <v>0</v>
      </c>
      <c r="HR830" s="89">
        <v>0</v>
      </c>
      <c r="HS830" s="157">
        <v>2500</v>
      </c>
      <c r="HT830" s="89">
        <v>0</v>
      </c>
      <c r="HU830" s="157">
        <v>0</v>
      </c>
      <c r="HV830" s="89">
        <v>0</v>
      </c>
      <c r="HW830" s="157">
        <v>0</v>
      </c>
      <c r="HX830" s="89">
        <v>0</v>
      </c>
      <c r="HY830" s="157">
        <v>0</v>
      </c>
      <c r="HZ830" s="89">
        <v>0</v>
      </c>
      <c r="IA830" s="157">
        <v>0</v>
      </c>
      <c r="IB830" s="89">
        <v>0</v>
      </c>
      <c r="IC830" s="157">
        <v>0</v>
      </c>
      <c r="ID830" s="89">
        <v>0</v>
      </c>
      <c r="IE830" s="157">
        <v>0</v>
      </c>
      <c r="IF830" s="717">
        <f t="shared" si="17246"/>
        <v>0</v>
      </c>
      <c r="IG830" s="263">
        <f t="shared" si="17247"/>
        <v>0</v>
      </c>
      <c r="IH830" s="718">
        <f t="shared" si="17248"/>
        <v>0</v>
      </c>
      <c r="II830" s="89">
        <v>0</v>
      </c>
      <c r="IJ830" s="89">
        <f t="shared" si="17249"/>
        <v>0</v>
      </c>
      <c r="IK830" s="89">
        <f t="shared" si="17250"/>
        <v>0</v>
      </c>
      <c r="IL830" s="89">
        <v>0</v>
      </c>
      <c r="IM830" s="89">
        <f t="shared" si="17251"/>
        <v>0</v>
      </c>
      <c r="IN830" s="89">
        <f t="shared" si="17252"/>
        <v>0</v>
      </c>
      <c r="IO830" s="89">
        <v>0</v>
      </c>
      <c r="IP830" s="89">
        <f t="shared" si="17253"/>
        <v>0</v>
      </c>
      <c r="IQ830" s="89">
        <f t="shared" si="17254"/>
        <v>0</v>
      </c>
      <c r="IR830" s="89">
        <v>0</v>
      </c>
      <c r="IS830" s="89">
        <f t="shared" si="17255"/>
        <v>0</v>
      </c>
      <c r="IT830" s="89">
        <f t="shared" si="17256"/>
        <v>0</v>
      </c>
      <c r="IU830" s="89">
        <v>0</v>
      </c>
      <c r="IV830" s="89">
        <f t="shared" si="17257"/>
        <v>0</v>
      </c>
      <c r="IW830" s="89">
        <f t="shared" si="17258"/>
        <v>0</v>
      </c>
      <c r="IX830" s="89">
        <v>0</v>
      </c>
      <c r="IY830" s="89">
        <f t="shared" si="17259"/>
        <v>0</v>
      </c>
      <c r="IZ830" s="89">
        <f t="shared" si="17260"/>
        <v>0</v>
      </c>
      <c r="JA830" s="89">
        <v>0</v>
      </c>
      <c r="JB830" s="89">
        <f t="shared" si="17261"/>
        <v>0</v>
      </c>
      <c r="JC830" s="89">
        <f t="shared" si="17262"/>
        <v>0</v>
      </c>
      <c r="JD830" s="89">
        <v>0</v>
      </c>
      <c r="JE830" s="89">
        <f t="shared" si="17263"/>
        <v>0</v>
      </c>
      <c r="JF830" s="89">
        <f t="shared" si="17264"/>
        <v>0</v>
      </c>
      <c r="JG830" s="89">
        <v>0</v>
      </c>
      <c r="JH830" s="89">
        <f t="shared" si="17265"/>
        <v>0</v>
      </c>
      <c r="JI830" s="89">
        <f t="shared" si="17266"/>
        <v>0</v>
      </c>
      <c r="JJ830" s="89">
        <v>0</v>
      </c>
      <c r="JK830" s="89">
        <f t="shared" si="17267"/>
        <v>0</v>
      </c>
      <c r="JL830" s="89">
        <f t="shared" si="17268"/>
        <v>0</v>
      </c>
      <c r="JM830" s="89">
        <v>0</v>
      </c>
      <c r="JN830" s="89">
        <f t="shared" si="17269"/>
        <v>0</v>
      </c>
      <c r="JO830" s="89">
        <f t="shared" si="17270"/>
        <v>0</v>
      </c>
      <c r="JP830" s="89">
        <v>0</v>
      </c>
      <c r="JQ830" s="89">
        <f t="shared" si="17271"/>
        <v>0</v>
      </c>
      <c r="JR830" s="89">
        <f t="shared" si="17272"/>
        <v>0</v>
      </c>
      <c r="JS830" s="74">
        <f t="shared" si="17273"/>
        <v>0</v>
      </c>
      <c r="JT830" s="382">
        <f t="shared" si="17274"/>
        <v>0</v>
      </c>
      <c r="JU830" s="665"/>
      <c r="JV830" s="524"/>
      <c r="JW830" s="525"/>
      <c r="JX830" s="549">
        <f t="shared" si="17275"/>
        <v>0</v>
      </c>
      <c r="JY830" s="549">
        <f t="shared" si="17176"/>
        <v>5000</v>
      </c>
      <c r="JZ830" s="581">
        <f t="shared" si="16466"/>
        <v>0</v>
      </c>
      <c r="KA830" s="581">
        <f t="shared" si="16467"/>
        <v>-5000</v>
      </c>
      <c r="KB830" s="566">
        <f t="shared" si="17276"/>
        <v>0</v>
      </c>
      <c r="KC830" s="709">
        <f t="shared" si="17277"/>
        <v>0</v>
      </c>
      <c r="KD830" s="491"/>
      <c r="KE830" s="491"/>
      <c r="KF830" s="491"/>
      <c r="KG830" s="491"/>
      <c r="KH830" s="36"/>
      <c r="KI830" s="36"/>
      <c r="KJ830" s="36"/>
      <c r="KK830" s="36"/>
    </row>
    <row r="831" spans="1:297" s="10" customFormat="1">
      <c r="A831" s="612" t="s">
        <v>825</v>
      </c>
      <c r="B831" s="512" t="s">
        <v>972</v>
      </c>
      <c r="C831" s="74">
        <v>20000</v>
      </c>
      <c r="D831" s="549">
        <v>0</v>
      </c>
      <c r="E831" s="675">
        <v>0</v>
      </c>
      <c r="F831" s="549">
        <v>0</v>
      </c>
      <c r="G831" s="675">
        <v>0</v>
      </c>
      <c r="H831" s="549">
        <v>0</v>
      </c>
      <c r="I831" s="675">
        <v>0</v>
      </c>
      <c r="J831" s="549">
        <v>0</v>
      </c>
      <c r="K831" s="675">
        <v>0</v>
      </c>
      <c r="L831" s="549">
        <v>0</v>
      </c>
      <c r="M831" s="675">
        <v>0</v>
      </c>
      <c r="N831" s="549">
        <v>0</v>
      </c>
      <c r="O831" s="675">
        <v>0</v>
      </c>
      <c r="P831" s="549">
        <v>0</v>
      </c>
      <c r="Q831" s="675">
        <v>0</v>
      </c>
      <c r="R831" s="549">
        <v>0</v>
      </c>
      <c r="S831" s="675">
        <v>0</v>
      </c>
      <c r="T831" s="549">
        <v>0</v>
      </c>
      <c r="U831" s="675">
        <v>0</v>
      </c>
      <c r="V831" s="549">
        <v>0</v>
      </c>
      <c r="W831" s="675">
        <v>0</v>
      </c>
      <c r="X831" s="549">
        <v>0</v>
      </c>
      <c r="Y831" s="675">
        <v>0</v>
      </c>
      <c r="Z831" s="549">
        <v>0</v>
      </c>
      <c r="AA831" s="675">
        <v>0</v>
      </c>
      <c r="AB831" s="549">
        <v>0</v>
      </c>
      <c r="AC831" s="675">
        <v>0</v>
      </c>
      <c r="AD831" s="549">
        <v>0</v>
      </c>
      <c r="AE831" s="675">
        <v>0</v>
      </c>
      <c r="AF831" s="549">
        <v>0</v>
      </c>
      <c r="AG831" s="675">
        <v>0</v>
      </c>
      <c r="AH831" s="549">
        <v>0</v>
      </c>
      <c r="AI831" s="675">
        <v>0</v>
      </c>
      <c r="AJ831" s="549">
        <v>0</v>
      </c>
      <c r="AK831" s="675">
        <v>0</v>
      </c>
      <c r="AL831" s="549">
        <v>0</v>
      </c>
      <c r="AM831" s="675">
        <v>0</v>
      </c>
      <c r="AN831" s="549">
        <v>0</v>
      </c>
      <c r="AO831" s="675">
        <v>0</v>
      </c>
      <c r="AP831" s="549">
        <v>0</v>
      </c>
      <c r="AQ831" s="675">
        <v>0</v>
      </c>
      <c r="AR831" s="549">
        <v>0</v>
      </c>
      <c r="AS831" s="675">
        <v>0</v>
      </c>
      <c r="AT831" s="549">
        <v>0</v>
      </c>
      <c r="AU831" s="675">
        <v>0</v>
      </c>
      <c r="AV831" s="549">
        <v>0</v>
      </c>
      <c r="AW831" s="675">
        <v>0</v>
      </c>
      <c r="AX831" s="549">
        <v>0</v>
      </c>
      <c r="AY831" s="675">
        <v>0</v>
      </c>
      <c r="AZ831" s="549">
        <v>0</v>
      </c>
      <c r="BA831" s="675">
        <v>0</v>
      </c>
      <c r="BB831" s="549">
        <v>0</v>
      </c>
      <c r="BC831" s="675">
        <v>0</v>
      </c>
      <c r="BD831" s="549">
        <v>0</v>
      </c>
      <c r="BE831" s="675">
        <v>0</v>
      </c>
      <c r="BF831" s="549">
        <v>0</v>
      </c>
      <c r="BG831" s="675">
        <v>0</v>
      </c>
      <c r="BH831" s="549">
        <v>0</v>
      </c>
      <c r="BI831" s="675">
        <v>0</v>
      </c>
      <c r="BJ831" s="549">
        <v>0</v>
      </c>
      <c r="BK831" s="675">
        <v>0</v>
      </c>
      <c r="BL831" s="549">
        <v>0</v>
      </c>
      <c r="BM831" s="675">
        <v>0</v>
      </c>
      <c r="BN831" s="549">
        <v>0</v>
      </c>
      <c r="BO831" s="675">
        <v>0</v>
      </c>
      <c r="BP831" s="549">
        <v>0</v>
      </c>
      <c r="BQ831" s="675">
        <v>0</v>
      </c>
      <c r="BR831" s="549">
        <v>0</v>
      </c>
      <c r="BS831" s="675">
        <v>0</v>
      </c>
      <c r="BT831" s="549">
        <v>0</v>
      </c>
      <c r="BU831" s="675">
        <v>0</v>
      </c>
      <c r="BV831" s="549">
        <v>0</v>
      </c>
      <c r="BW831" s="675">
        <v>0</v>
      </c>
      <c r="BX831" s="549">
        <v>0</v>
      </c>
      <c r="BY831" s="675">
        <v>0</v>
      </c>
      <c r="BZ831" s="549">
        <v>0</v>
      </c>
      <c r="CA831" s="675">
        <v>0</v>
      </c>
      <c r="CB831" s="549">
        <v>0</v>
      </c>
      <c r="CC831" s="675">
        <v>0</v>
      </c>
      <c r="CD831" s="549">
        <v>0</v>
      </c>
      <c r="CE831" s="675">
        <v>0</v>
      </c>
      <c r="CF831" s="549">
        <v>0</v>
      </c>
      <c r="CG831" s="675">
        <v>-20000</v>
      </c>
      <c r="CH831" s="549">
        <v>0</v>
      </c>
      <c r="CI831" s="675">
        <v>0</v>
      </c>
      <c r="CJ831" s="549">
        <v>0</v>
      </c>
      <c r="CK831" s="675">
        <v>0</v>
      </c>
      <c r="CL831" s="549">
        <v>0</v>
      </c>
      <c r="CM831" s="675">
        <v>0</v>
      </c>
      <c r="CN831" s="549">
        <v>0</v>
      </c>
      <c r="CO831" s="675">
        <v>0</v>
      </c>
      <c r="CP831" s="549">
        <v>0</v>
      </c>
      <c r="CQ831" s="675">
        <v>0</v>
      </c>
      <c r="CR831" s="549">
        <v>0</v>
      </c>
      <c r="CS831" s="675">
        <v>0</v>
      </c>
      <c r="CT831" s="549">
        <v>0</v>
      </c>
      <c r="CU831" s="675">
        <v>0</v>
      </c>
      <c r="CV831" s="549">
        <v>0</v>
      </c>
      <c r="CW831" s="675">
        <v>0</v>
      </c>
      <c r="CX831" s="549">
        <v>0</v>
      </c>
      <c r="CY831" s="675">
        <v>0</v>
      </c>
      <c r="CZ831" s="549">
        <v>0</v>
      </c>
      <c r="DA831" s="675">
        <v>0</v>
      </c>
      <c r="DB831" s="549">
        <v>0</v>
      </c>
      <c r="DC831" s="675">
        <v>0</v>
      </c>
      <c r="DD831" s="549">
        <v>0</v>
      </c>
      <c r="DE831" s="675">
        <v>0</v>
      </c>
      <c r="DF831" s="549">
        <v>0</v>
      </c>
      <c r="DG831" s="675">
        <v>0</v>
      </c>
      <c r="DH831" s="549">
        <v>0</v>
      </c>
      <c r="DI831" s="675">
        <v>0</v>
      </c>
      <c r="DJ831" s="549">
        <v>0</v>
      </c>
      <c r="DK831" s="675">
        <v>0</v>
      </c>
      <c r="DL831" s="549">
        <v>0</v>
      </c>
      <c r="DM831" s="675">
        <v>0</v>
      </c>
      <c r="DN831" s="549">
        <v>0</v>
      </c>
      <c r="DO831" s="675">
        <v>0</v>
      </c>
      <c r="DP831" s="549">
        <v>0</v>
      </c>
      <c r="DQ831" s="675">
        <v>0</v>
      </c>
      <c r="DR831" s="549">
        <v>0</v>
      </c>
      <c r="DS831" s="675">
        <v>0</v>
      </c>
      <c r="DT831" s="549">
        <v>0</v>
      </c>
      <c r="DU831" s="675">
        <v>0</v>
      </c>
      <c r="DV831" s="549">
        <v>0</v>
      </c>
      <c r="DW831" s="675">
        <v>0</v>
      </c>
      <c r="DX831" s="549">
        <v>0</v>
      </c>
      <c r="DY831" s="675">
        <v>0</v>
      </c>
      <c r="DZ831" s="549">
        <v>0</v>
      </c>
      <c r="EA831" s="675">
        <v>0</v>
      </c>
      <c r="EB831" s="549">
        <v>0</v>
      </c>
      <c r="EC831" s="675">
        <v>0</v>
      </c>
      <c r="ED831" s="549">
        <v>0</v>
      </c>
      <c r="EE831" s="675">
        <v>0</v>
      </c>
      <c r="EF831" s="549">
        <v>0</v>
      </c>
      <c r="EG831" s="675">
        <v>0</v>
      </c>
      <c r="EH831" s="549">
        <v>0</v>
      </c>
      <c r="EI831" s="675">
        <v>0</v>
      </c>
      <c r="EJ831" s="549">
        <v>0</v>
      </c>
      <c r="EK831" s="675">
        <v>0</v>
      </c>
      <c r="EL831" s="549">
        <v>0</v>
      </c>
      <c r="EM831" s="675">
        <v>0</v>
      </c>
      <c r="EN831" s="549">
        <v>0</v>
      </c>
      <c r="EO831" s="675">
        <v>0</v>
      </c>
      <c r="EP831" s="549">
        <v>0</v>
      </c>
      <c r="EQ831" s="675">
        <v>0</v>
      </c>
      <c r="ER831" s="549">
        <v>0</v>
      </c>
      <c r="ES831" s="675">
        <v>0</v>
      </c>
      <c r="ET831" s="549">
        <v>0</v>
      </c>
      <c r="EU831" s="675">
        <v>0</v>
      </c>
      <c r="EV831" s="549">
        <v>0</v>
      </c>
      <c r="EW831" s="675">
        <v>0</v>
      </c>
      <c r="EX831" s="549">
        <v>0</v>
      </c>
      <c r="EY831" s="675">
        <v>0</v>
      </c>
      <c r="EZ831" s="549">
        <v>0</v>
      </c>
      <c r="FA831" s="675">
        <v>0</v>
      </c>
      <c r="FB831" s="549">
        <v>0</v>
      </c>
      <c r="FC831" s="675">
        <v>0</v>
      </c>
      <c r="FD831" s="549">
        <v>0</v>
      </c>
      <c r="FE831" s="675">
        <v>0</v>
      </c>
      <c r="FF831" s="549">
        <v>0</v>
      </c>
      <c r="FG831" s="675">
        <v>0</v>
      </c>
      <c r="FH831" s="549">
        <v>0</v>
      </c>
      <c r="FI831" s="675">
        <v>0</v>
      </c>
      <c r="FJ831" s="549">
        <v>0</v>
      </c>
      <c r="FK831" s="675">
        <v>0</v>
      </c>
      <c r="FL831" s="549">
        <v>0</v>
      </c>
      <c r="FM831" s="675">
        <v>0</v>
      </c>
      <c r="FN831" s="549">
        <v>0</v>
      </c>
      <c r="FO831" s="675">
        <v>0</v>
      </c>
      <c r="FP831" s="549">
        <v>0</v>
      </c>
      <c r="FQ831" s="675">
        <v>0</v>
      </c>
      <c r="FR831" s="549">
        <v>0</v>
      </c>
      <c r="FS831" s="675">
        <v>0</v>
      </c>
      <c r="FT831" s="549">
        <v>0</v>
      </c>
      <c r="FU831" s="675">
        <v>0</v>
      </c>
      <c r="FV831" s="549">
        <v>0</v>
      </c>
      <c r="FW831" s="675">
        <v>0</v>
      </c>
      <c r="FX831" s="549">
        <v>0</v>
      </c>
      <c r="FY831" s="675">
        <v>0</v>
      </c>
      <c r="FZ831" s="549">
        <v>0</v>
      </c>
      <c r="GA831" s="675">
        <v>0</v>
      </c>
      <c r="GB831" s="549">
        <v>0</v>
      </c>
      <c r="GC831" s="675">
        <v>0</v>
      </c>
      <c r="GD831" s="549">
        <v>0</v>
      </c>
      <c r="GE831" s="675">
        <v>0</v>
      </c>
      <c r="GF831" s="549">
        <v>0</v>
      </c>
      <c r="GG831" s="675">
        <v>0</v>
      </c>
      <c r="GH831" s="549">
        <v>0</v>
      </c>
      <c r="GI831" s="675">
        <v>0</v>
      </c>
      <c r="GJ831" s="549">
        <v>0</v>
      </c>
      <c r="GK831" s="675">
        <v>0</v>
      </c>
      <c r="GL831" s="549">
        <v>0</v>
      </c>
      <c r="GM831" s="675">
        <v>0</v>
      </c>
      <c r="GN831" s="549">
        <v>0</v>
      </c>
      <c r="GO831" s="675">
        <v>0</v>
      </c>
      <c r="GP831" s="549">
        <f t="shared" si="17240"/>
        <v>0</v>
      </c>
      <c r="GQ831" s="675">
        <f t="shared" si="17241"/>
        <v>-20000</v>
      </c>
      <c r="GR831" s="74">
        <f t="shared" si="17242"/>
        <v>0</v>
      </c>
      <c r="GS831" s="74">
        <f t="shared" si="17243"/>
        <v>0</v>
      </c>
      <c r="GT831" s="568">
        <f t="shared" si="17244"/>
        <v>0</v>
      </c>
      <c r="GU831" s="275">
        <v>4000</v>
      </c>
      <c r="GV831" s="275"/>
      <c r="GW831" s="588"/>
      <c r="GX831" s="275">
        <v>6000</v>
      </c>
      <c r="GY831" s="275"/>
      <c r="GZ831" s="275">
        <v>10000</v>
      </c>
      <c r="HA831" s="275">
        <f>6000-6000</f>
        <v>0</v>
      </c>
      <c r="HB831" s="275"/>
      <c r="HC831" s="275"/>
      <c r="HD831" s="275">
        <f>4000-4000</f>
        <v>0</v>
      </c>
      <c r="HE831" s="275"/>
      <c r="HF831" s="275"/>
      <c r="HG831" s="74">
        <f t="shared" si="17245"/>
        <v>0</v>
      </c>
      <c r="HH831" s="89">
        <v>0</v>
      </c>
      <c r="HI831" s="157">
        <v>0</v>
      </c>
      <c r="HJ831" s="89">
        <v>0</v>
      </c>
      <c r="HK831" s="157">
        <v>0</v>
      </c>
      <c r="HL831" s="89">
        <v>0</v>
      </c>
      <c r="HM831" s="157">
        <v>0</v>
      </c>
      <c r="HN831" s="89">
        <v>0</v>
      </c>
      <c r="HO831" s="157">
        <v>10000</v>
      </c>
      <c r="HP831" s="89">
        <v>0</v>
      </c>
      <c r="HQ831" s="157">
        <v>0</v>
      </c>
      <c r="HR831" s="89">
        <v>0</v>
      </c>
      <c r="HS831" s="157">
        <v>10000</v>
      </c>
      <c r="HT831" s="89">
        <v>0</v>
      </c>
      <c r="HU831" s="157">
        <v>0</v>
      </c>
      <c r="HV831" s="89">
        <v>0</v>
      </c>
      <c r="HW831" s="157">
        <v>0</v>
      </c>
      <c r="HX831" s="89">
        <v>0</v>
      </c>
      <c r="HY831" s="157">
        <v>0</v>
      </c>
      <c r="HZ831" s="89">
        <v>0</v>
      </c>
      <c r="IA831" s="157">
        <v>0</v>
      </c>
      <c r="IB831" s="89">
        <v>0</v>
      </c>
      <c r="IC831" s="157">
        <v>0</v>
      </c>
      <c r="ID831" s="89">
        <v>0</v>
      </c>
      <c r="IE831" s="157">
        <v>0</v>
      </c>
      <c r="IF831" s="717">
        <f t="shared" si="17246"/>
        <v>0</v>
      </c>
      <c r="IG831" s="263">
        <f t="shared" si="17247"/>
        <v>0</v>
      </c>
      <c r="IH831" s="718">
        <f t="shared" si="17248"/>
        <v>0</v>
      </c>
      <c r="II831" s="89">
        <v>0</v>
      </c>
      <c r="IJ831" s="89">
        <f t="shared" si="17249"/>
        <v>0</v>
      </c>
      <c r="IK831" s="89">
        <f t="shared" si="17250"/>
        <v>0</v>
      </c>
      <c r="IL831" s="89">
        <v>0</v>
      </c>
      <c r="IM831" s="89">
        <f t="shared" si="17251"/>
        <v>0</v>
      </c>
      <c r="IN831" s="89">
        <f t="shared" si="17252"/>
        <v>0</v>
      </c>
      <c r="IO831" s="89">
        <v>0</v>
      </c>
      <c r="IP831" s="89">
        <f t="shared" si="17253"/>
        <v>0</v>
      </c>
      <c r="IQ831" s="89">
        <f t="shared" si="17254"/>
        <v>0</v>
      </c>
      <c r="IR831" s="89">
        <v>0</v>
      </c>
      <c r="IS831" s="89">
        <f t="shared" si="17255"/>
        <v>0</v>
      </c>
      <c r="IT831" s="89">
        <f t="shared" si="17256"/>
        <v>0</v>
      </c>
      <c r="IU831" s="89">
        <v>0</v>
      </c>
      <c r="IV831" s="89">
        <f t="shared" si="17257"/>
        <v>0</v>
      </c>
      <c r="IW831" s="89">
        <f t="shared" si="17258"/>
        <v>0</v>
      </c>
      <c r="IX831" s="89">
        <v>0</v>
      </c>
      <c r="IY831" s="89">
        <f t="shared" si="17259"/>
        <v>0</v>
      </c>
      <c r="IZ831" s="89">
        <f t="shared" si="17260"/>
        <v>0</v>
      </c>
      <c r="JA831" s="89">
        <v>0</v>
      </c>
      <c r="JB831" s="89">
        <f t="shared" si="17261"/>
        <v>0</v>
      </c>
      <c r="JC831" s="89">
        <f t="shared" si="17262"/>
        <v>0</v>
      </c>
      <c r="JD831" s="89">
        <v>0</v>
      </c>
      <c r="JE831" s="89">
        <f t="shared" si="17263"/>
        <v>0</v>
      </c>
      <c r="JF831" s="89">
        <f t="shared" si="17264"/>
        <v>0</v>
      </c>
      <c r="JG831" s="89">
        <v>0</v>
      </c>
      <c r="JH831" s="89">
        <f t="shared" si="17265"/>
        <v>0</v>
      </c>
      <c r="JI831" s="89">
        <f t="shared" si="17266"/>
        <v>0</v>
      </c>
      <c r="JJ831" s="89">
        <v>0</v>
      </c>
      <c r="JK831" s="89">
        <f t="shared" si="17267"/>
        <v>0</v>
      </c>
      <c r="JL831" s="89">
        <f t="shared" si="17268"/>
        <v>0</v>
      </c>
      <c r="JM831" s="89">
        <v>0</v>
      </c>
      <c r="JN831" s="89">
        <f t="shared" si="17269"/>
        <v>0</v>
      </c>
      <c r="JO831" s="89">
        <f t="shared" si="17270"/>
        <v>0</v>
      </c>
      <c r="JP831" s="89">
        <v>0</v>
      </c>
      <c r="JQ831" s="89">
        <f t="shared" si="17271"/>
        <v>0</v>
      </c>
      <c r="JR831" s="89">
        <f t="shared" si="17272"/>
        <v>0</v>
      </c>
      <c r="JS831" s="74">
        <f t="shared" si="17273"/>
        <v>0</v>
      </c>
      <c r="JT831" s="382">
        <f t="shared" si="17274"/>
        <v>0</v>
      </c>
      <c r="JU831" s="665"/>
      <c r="JV831" s="524"/>
      <c r="JW831" s="525"/>
      <c r="JX831" s="549">
        <f t="shared" si="17275"/>
        <v>0</v>
      </c>
      <c r="JY831" s="549">
        <f t="shared" si="17176"/>
        <v>20000</v>
      </c>
      <c r="JZ831" s="581">
        <f t="shared" si="16466"/>
        <v>0</v>
      </c>
      <c r="KA831" s="581">
        <f t="shared" si="16467"/>
        <v>-20000</v>
      </c>
      <c r="KB831" s="566">
        <f t="shared" si="17276"/>
        <v>0</v>
      </c>
      <c r="KC831" s="709">
        <f t="shared" si="17277"/>
        <v>0</v>
      </c>
      <c r="KD831" s="491"/>
      <c r="KE831" s="491"/>
      <c r="KF831" s="491"/>
      <c r="KG831" s="491"/>
      <c r="KH831" s="36"/>
      <c r="KI831" s="36"/>
      <c r="KJ831" s="36"/>
      <c r="KK831" s="36"/>
    </row>
    <row r="832" spans="1:297" s="10" customFormat="1">
      <c r="A832" s="612" t="s">
        <v>770</v>
      </c>
      <c r="B832" s="512" t="s">
        <v>1000</v>
      </c>
      <c r="C832" s="74">
        <v>20000</v>
      </c>
      <c r="D832" s="549">
        <v>0</v>
      </c>
      <c r="E832" s="675">
        <v>0</v>
      </c>
      <c r="F832" s="549">
        <v>0</v>
      </c>
      <c r="G832" s="675">
        <v>0</v>
      </c>
      <c r="H832" s="549">
        <v>0</v>
      </c>
      <c r="I832" s="675">
        <v>0</v>
      </c>
      <c r="J832" s="549">
        <v>0</v>
      </c>
      <c r="K832" s="675">
        <v>0</v>
      </c>
      <c r="L832" s="549">
        <v>0</v>
      </c>
      <c r="M832" s="675">
        <v>0</v>
      </c>
      <c r="N832" s="549">
        <v>0</v>
      </c>
      <c r="O832" s="675">
        <v>0</v>
      </c>
      <c r="P832" s="549">
        <v>0</v>
      </c>
      <c r="Q832" s="675">
        <v>0</v>
      </c>
      <c r="R832" s="549">
        <v>0</v>
      </c>
      <c r="S832" s="675">
        <v>0</v>
      </c>
      <c r="T832" s="549">
        <v>0</v>
      </c>
      <c r="U832" s="675">
        <v>0</v>
      </c>
      <c r="V832" s="549">
        <v>0</v>
      </c>
      <c r="W832" s="675">
        <v>0</v>
      </c>
      <c r="X832" s="549">
        <v>0</v>
      </c>
      <c r="Y832" s="675">
        <v>0</v>
      </c>
      <c r="Z832" s="549">
        <v>0</v>
      </c>
      <c r="AA832" s="675">
        <v>0</v>
      </c>
      <c r="AB832" s="549">
        <v>0</v>
      </c>
      <c r="AC832" s="675">
        <v>0</v>
      </c>
      <c r="AD832" s="549">
        <v>0</v>
      </c>
      <c r="AE832" s="675">
        <v>0</v>
      </c>
      <c r="AF832" s="549">
        <v>0</v>
      </c>
      <c r="AG832" s="675">
        <v>0</v>
      </c>
      <c r="AH832" s="549">
        <v>0</v>
      </c>
      <c r="AI832" s="675">
        <v>0</v>
      </c>
      <c r="AJ832" s="549">
        <v>0</v>
      </c>
      <c r="AK832" s="675">
        <v>0</v>
      </c>
      <c r="AL832" s="549">
        <v>0</v>
      </c>
      <c r="AM832" s="675">
        <v>0</v>
      </c>
      <c r="AN832" s="549">
        <v>0</v>
      </c>
      <c r="AO832" s="675">
        <v>0</v>
      </c>
      <c r="AP832" s="549">
        <v>0</v>
      </c>
      <c r="AQ832" s="675">
        <v>0</v>
      </c>
      <c r="AR832" s="549">
        <v>0</v>
      </c>
      <c r="AS832" s="675">
        <v>0</v>
      </c>
      <c r="AT832" s="549">
        <v>0</v>
      </c>
      <c r="AU832" s="675">
        <v>0</v>
      </c>
      <c r="AV832" s="549">
        <v>0</v>
      </c>
      <c r="AW832" s="675">
        <v>0</v>
      </c>
      <c r="AX832" s="549">
        <v>0</v>
      </c>
      <c r="AY832" s="675">
        <v>0</v>
      </c>
      <c r="AZ832" s="549">
        <v>0</v>
      </c>
      <c r="BA832" s="675">
        <v>0</v>
      </c>
      <c r="BB832" s="549">
        <v>0</v>
      </c>
      <c r="BC832" s="675">
        <v>0</v>
      </c>
      <c r="BD832" s="549">
        <v>0</v>
      </c>
      <c r="BE832" s="675">
        <v>0</v>
      </c>
      <c r="BF832" s="549">
        <v>0</v>
      </c>
      <c r="BG832" s="675">
        <v>0</v>
      </c>
      <c r="BH832" s="549">
        <v>0</v>
      </c>
      <c r="BI832" s="675">
        <v>0</v>
      </c>
      <c r="BJ832" s="549">
        <v>0</v>
      </c>
      <c r="BK832" s="675">
        <v>0</v>
      </c>
      <c r="BL832" s="549">
        <v>0</v>
      </c>
      <c r="BM832" s="675">
        <v>0</v>
      </c>
      <c r="BN832" s="549">
        <v>0</v>
      </c>
      <c r="BO832" s="675">
        <v>0</v>
      </c>
      <c r="BP832" s="549">
        <v>0</v>
      </c>
      <c r="BQ832" s="675">
        <v>0</v>
      </c>
      <c r="BR832" s="549">
        <v>0</v>
      </c>
      <c r="BS832" s="675">
        <v>0</v>
      </c>
      <c r="BT832" s="549">
        <v>0</v>
      </c>
      <c r="BU832" s="675">
        <v>0</v>
      </c>
      <c r="BV832" s="549">
        <v>0</v>
      </c>
      <c r="BW832" s="675">
        <v>0</v>
      </c>
      <c r="BX832" s="549">
        <v>0</v>
      </c>
      <c r="BY832" s="675">
        <v>0</v>
      </c>
      <c r="BZ832" s="549">
        <v>0</v>
      </c>
      <c r="CA832" s="675">
        <v>0</v>
      </c>
      <c r="CB832" s="549">
        <v>0</v>
      </c>
      <c r="CC832" s="675">
        <v>0</v>
      </c>
      <c r="CD832" s="549">
        <v>0</v>
      </c>
      <c r="CE832" s="675">
        <v>0</v>
      </c>
      <c r="CF832" s="549">
        <v>0</v>
      </c>
      <c r="CG832" s="675">
        <v>-20000</v>
      </c>
      <c r="CH832" s="549">
        <v>0</v>
      </c>
      <c r="CI832" s="675">
        <v>0</v>
      </c>
      <c r="CJ832" s="549">
        <v>0</v>
      </c>
      <c r="CK832" s="675">
        <v>0</v>
      </c>
      <c r="CL832" s="549">
        <v>0</v>
      </c>
      <c r="CM832" s="675">
        <v>0</v>
      </c>
      <c r="CN832" s="549">
        <v>0</v>
      </c>
      <c r="CO832" s="675">
        <v>0</v>
      </c>
      <c r="CP832" s="549">
        <v>0</v>
      </c>
      <c r="CQ832" s="675">
        <v>0</v>
      </c>
      <c r="CR832" s="549">
        <v>0</v>
      </c>
      <c r="CS832" s="675">
        <v>0</v>
      </c>
      <c r="CT832" s="549">
        <v>0</v>
      </c>
      <c r="CU832" s="675">
        <v>0</v>
      </c>
      <c r="CV832" s="549">
        <v>0</v>
      </c>
      <c r="CW832" s="675">
        <v>0</v>
      </c>
      <c r="CX832" s="549">
        <v>0</v>
      </c>
      <c r="CY832" s="675">
        <v>0</v>
      </c>
      <c r="CZ832" s="549">
        <v>0</v>
      </c>
      <c r="DA832" s="675">
        <v>0</v>
      </c>
      <c r="DB832" s="549">
        <v>0</v>
      </c>
      <c r="DC832" s="675">
        <v>0</v>
      </c>
      <c r="DD832" s="549">
        <v>0</v>
      </c>
      <c r="DE832" s="675">
        <v>0</v>
      </c>
      <c r="DF832" s="549">
        <v>0</v>
      </c>
      <c r="DG832" s="675">
        <v>0</v>
      </c>
      <c r="DH832" s="549">
        <v>0</v>
      </c>
      <c r="DI832" s="675">
        <v>0</v>
      </c>
      <c r="DJ832" s="549">
        <v>0</v>
      </c>
      <c r="DK832" s="675">
        <v>0</v>
      </c>
      <c r="DL832" s="549">
        <v>0</v>
      </c>
      <c r="DM832" s="675">
        <v>0</v>
      </c>
      <c r="DN832" s="549">
        <v>0</v>
      </c>
      <c r="DO832" s="675">
        <v>0</v>
      </c>
      <c r="DP832" s="549">
        <v>0</v>
      </c>
      <c r="DQ832" s="675">
        <v>0</v>
      </c>
      <c r="DR832" s="549">
        <v>0</v>
      </c>
      <c r="DS832" s="675">
        <v>0</v>
      </c>
      <c r="DT832" s="549">
        <v>0</v>
      </c>
      <c r="DU832" s="675">
        <v>0</v>
      </c>
      <c r="DV832" s="549">
        <v>0</v>
      </c>
      <c r="DW832" s="675">
        <v>0</v>
      </c>
      <c r="DX832" s="549">
        <v>0</v>
      </c>
      <c r="DY832" s="675">
        <v>0</v>
      </c>
      <c r="DZ832" s="549">
        <v>0</v>
      </c>
      <c r="EA832" s="675">
        <v>0</v>
      </c>
      <c r="EB832" s="549">
        <v>0</v>
      </c>
      <c r="EC832" s="675">
        <v>0</v>
      </c>
      <c r="ED832" s="549">
        <v>0</v>
      </c>
      <c r="EE832" s="675">
        <v>0</v>
      </c>
      <c r="EF832" s="549">
        <v>0</v>
      </c>
      <c r="EG832" s="675">
        <v>0</v>
      </c>
      <c r="EH832" s="549">
        <v>0</v>
      </c>
      <c r="EI832" s="675">
        <v>0</v>
      </c>
      <c r="EJ832" s="549">
        <v>0</v>
      </c>
      <c r="EK832" s="675">
        <v>0</v>
      </c>
      <c r="EL832" s="549">
        <v>0</v>
      </c>
      <c r="EM832" s="675">
        <v>0</v>
      </c>
      <c r="EN832" s="549">
        <v>0</v>
      </c>
      <c r="EO832" s="675">
        <v>0</v>
      </c>
      <c r="EP832" s="549">
        <v>0</v>
      </c>
      <c r="EQ832" s="675">
        <v>0</v>
      </c>
      <c r="ER832" s="549">
        <v>0</v>
      </c>
      <c r="ES832" s="675">
        <v>0</v>
      </c>
      <c r="ET832" s="549">
        <v>0</v>
      </c>
      <c r="EU832" s="675">
        <v>0</v>
      </c>
      <c r="EV832" s="549">
        <v>0</v>
      </c>
      <c r="EW832" s="675">
        <v>0</v>
      </c>
      <c r="EX832" s="549">
        <v>0</v>
      </c>
      <c r="EY832" s="675">
        <v>0</v>
      </c>
      <c r="EZ832" s="549">
        <v>0</v>
      </c>
      <c r="FA832" s="675">
        <v>0</v>
      </c>
      <c r="FB832" s="549">
        <v>0</v>
      </c>
      <c r="FC832" s="675">
        <v>0</v>
      </c>
      <c r="FD832" s="549">
        <v>0</v>
      </c>
      <c r="FE832" s="675">
        <v>0</v>
      </c>
      <c r="FF832" s="549">
        <v>0</v>
      </c>
      <c r="FG832" s="675">
        <v>0</v>
      </c>
      <c r="FH832" s="549">
        <v>0</v>
      </c>
      <c r="FI832" s="675">
        <v>0</v>
      </c>
      <c r="FJ832" s="549">
        <v>0</v>
      </c>
      <c r="FK832" s="675">
        <v>0</v>
      </c>
      <c r="FL832" s="549">
        <v>0</v>
      </c>
      <c r="FM832" s="675">
        <v>0</v>
      </c>
      <c r="FN832" s="549">
        <v>0</v>
      </c>
      <c r="FO832" s="675">
        <v>0</v>
      </c>
      <c r="FP832" s="549">
        <v>0</v>
      </c>
      <c r="FQ832" s="675">
        <v>0</v>
      </c>
      <c r="FR832" s="549">
        <v>0</v>
      </c>
      <c r="FS832" s="675">
        <v>0</v>
      </c>
      <c r="FT832" s="549">
        <v>0</v>
      </c>
      <c r="FU832" s="675">
        <v>0</v>
      </c>
      <c r="FV832" s="549">
        <v>0</v>
      </c>
      <c r="FW832" s="675">
        <v>0</v>
      </c>
      <c r="FX832" s="549">
        <v>0</v>
      </c>
      <c r="FY832" s="675">
        <v>0</v>
      </c>
      <c r="FZ832" s="549">
        <v>0</v>
      </c>
      <c r="GA832" s="675">
        <v>0</v>
      </c>
      <c r="GB832" s="549">
        <v>0</v>
      </c>
      <c r="GC832" s="675">
        <v>0</v>
      </c>
      <c r="GD832" s="549">
        <v>0</v>
      </c>
      <c r="GE832" s="675">
        <v>0</v>
      </c>
      <c r="GF832" s="549">
        <v>0</v>
      </c>
      <c r="GG832" s="675">
        <v>0</v>
      </c>
      <c r="GH832" s="549">
        <v>0</v>
      </c>
      <c r="GI832" s="675">
        <v>0</v>
      </c>
      <c r="GJ832" s="549">
        <v>0</v>
      </c>
      <c r="GK832" s="675">
        <v>0</v>
      </c>
      <c r="GL832" s="549">
        <v>0</v>
      </c>
      <c r="GM832" s="675">
        <v>0</v>
      </c>
      <c r="GN832" s="549">
        <v>0</v>
      </c>
      <c r="GO832" s="675">
        <v>0</v>
      </c>
      <c r="GP832" s="549">
        <f t="shared" si="17240"/>
        <v>0</v>
      </c>
      <c r="GQ832" s="675">
        <f t="shared" si="17241"/>
        <v>-20000</v>
      </c>
      <c r="GR832" s="74">
        <f t="shared" si="17242"/>
        <v>0</v>
      </c>
      <c r="GS832" s="74">
        <f t="shared" si="17243"/>
        <v>0</v>
      </c>
      <c r="GT832" s="568">
        <f t="shared" si="17244"/>
        <v>0</v>
      </c>
      <c r="GU832" s="275">
        <v>4000</v>
      </c>
      <c r="GV832" s="275"/>
      <c r="GW832" s="588"/>
      <c r="GX832" s="275">
        <v>6000</v>
      </c>
      <c r="GY832" s="275"/>
      <c r="GZ832" s="275">
        <v>10000</v>
      </c>
      <c r="HA832" s="275">
        <f>6000-6000</f>
        <v>0</v>
      </c>
      <c r="HB832" s="275"/>
      <c r="HC832" s="275"/>
      <c r="HD832" s="275">
        <f>4000-4000</f>
        <v>0</v>
      </c>
      <c r="HE832" s="275"/>
      <c r="HF832" s="275"/>
      <c r="HG832" s="74">
        <f t="shared" si="17245"/>
        <v>0</v>
      </c>
      <c r="HH832" s="89">
        <v>0</v>
      </c>
      <c r="HI832" s="157">
        <v>0</v>
      </c>
      <c r="HJ832" s="89">
        <v>0</v>
      </c>
      <c r="HK832" s="157">
        <v>0</v>
      </c>
      <c r="HL832" s="89">
        <v>0</v>
      </c>
      <c r="HM832" s="157">
        <v>0</v>
      </c>
      <c r="HN832" s="89">
        <v>0</v>
      </c>
      <c r="HO832" s="157">
        <v>10000</v>
      </c>
      <c r="HP832" s="89">
        <v>0</v>
      </c>
      <c r="HQ832" s="157">
        <v>0</v>
      </c>
      <c r="HR832" s="89">
        <v>0</v>
      </c>
      <c r="HS832" s="157">
        <v>10000</v>
      </c>
      <c r="HT832" s="89">
        <v>0</v>
      </c>
      <c r="HU832" s="157">
        <v>0</v>
      </c>
      <c r="HV832" s="89">
        <v>0</v>
      </c>
      <c r="HW832" s="157">
        <v>0</v>
      </c>
      <c r="HX832" s="89">
        <v>0</v>
      </c>
      <c r="HY832" s="157">
        <v>0</v>
      </c>
      <c r="HZ832" s="89">
        <v>0</v>
      </c>
      <c r="IA832" s="157">
        <v>0</v>
      </c>
      <c r="IB832" s="89">
        <v>0</v>
      </c>
      <c r="IC832" s="157">
        <v>0</v>
      </c>
      <c r="ID832" s="89">
        <v>0</v>
      </c>
      <c r="IE832" s="157">
        <v>0</v>
      </c>
      <c r="IF832" s="717">
        <f t="shared" si="17246"/>
        <v>0</v>
      </c>
      <c r="IG832" s="263">
        <f t="shared" si="17247"/>
        <v>0</v>
      </c>
      <c r="IH832" s="718">
        <f t="shared" si="17248"/>
        <v>0</v>
      </c>
      <c r="II832" s="89">
        <v>0</v>
      </c>
      <c r="IJ832" s="89">
        <f t="shared" si="17249"/>
        <v>0</v>
      </c>
      <c r="IK832" s="89">
        <f t="shared" si="17250"/>
        <v>0</v>
      </c>
      <c r="IL832" s="89">
        <v>0</v>
      </c>
      <c r="IM832" s="89">
        <f t="shared" si="17251"/>
        <v>0</v>
      </c>
      <c r="IN832" s="89">
        <f t="shared" si="17252"/>
        <v>0</v>
      </c>
      <c r="IO832" s="89">
        <v>0</v>
      </c>
      <c r="IP832" s="89">
        <f t="shared" si="17253"/>
        <v>0</v>
      </c>
      <c r="IQ832" s="89">
        <f t="shared" si="17254"/>
        <v>0</v>
      </c>
      <c r="IR832" s="89">
        <v>0</v>
      </c>
      <c r="IS832" s="89">
        <f t="shared" si="17255"/>
        <v>0</v>
      </c>
      <c r="IT832" s="89">
        <f t="shared" si="17256"/>
        <v>0</v>
      </c>
      <c r="IU832" s="89">
        <v>0</v>
      </c>
      <c r="IV832" s="89">
        <f t="shared" si="17257"/>
        <v>0</v>
      </c>
      <c r="IW832" s="89">
        <f t="shared" si="17258"/>
        <v>0</v>
      </c>
      <c r="IX832" s="89">
        <v>0</v>
      </c>
      <c r="IY832" s="89">
        <f t="shared" si="17259"/>
        <v>0</v>
      </c>
      <c r="IZ832" s="89">
        <f t="shared" si="17260"/>
        <v>0</v>
      </c>
      <c r="JA832" s="89">
        <v>0</v>
      </c>
      <c r="JB832" s="89">
        <f t="shared" si="17261"/>
        <v>0</v>
      </c>
      <c r="JC832" s="89">
        <f t="shared" si="17262"/>
        <v>0</v>
      </c>
      <c r="JD832" s="89">
        <v>0</v>
      </c>
      <c r="JE832" s="89">
        <f t="shared" si="17263"/>
        <v>0</v>
      </c>
      <c r="JF832" s="89">
        <f t="shared" si="17264"/>
        <v>0</v>
      </c>
      <c r="JG832" s="89">
        <v>0</v>
      </c>
      <c r="JH832" s="89">
        <f t="shared" si="17265"/>
        <v>0</v>
      </c>
      <c r="JI832" s="89">
        <f t="shared" si="17266"/>
        <v>0</v>
      </c>
      <c r="JJ832" s="89">
        <v>0</v>
      </c>
      <c r="JK832" s="89">
        <f t="shared" si="17267"/>
        <v>0</v>
      </c>
      <c r="JL832" s="89">
        <f t="shared" si="17268"/>
        <v>0</v>
      </c>
      <c r="JM832" s="89">
        <v>0</v>
      </c>
      <c r="JN832" s="89">
        <f t="shared" si="17269"/>
        <v>0</v>
      </c>
      <c r="JO832" s="89">
        <f t="shared" si="17270"/>
        <v>0</v>
      </c>
      <c r="JP832" s="89">
        <v>0</v>
      </c>
      <c r="JQ832" s="89">
        <f t="shared" si="17271"/>
        <v>0</v>
      </c>
      <c r="JR832" s="89">
        <f t="shared" si="17272"/>
        <v>0</v>
      </c>
      <c r="JS832" s="74">
        <f t="shared" si="17273"/>
        <v>0</v>
      </c>
      <c r="JT832" s="382">
        <f t="shared" si="17274"/>
        <v>0</v>
      </c>
      <c r="JU832" s="665"/>
      <c r="JV832" s="524"/>
      <c r="JW832" s="525"/>
      <c r="JX832" s="549">
        <f t="shared" si="17275"/>
        <v>0</v>
      </c>
      <c r="JY832" s="549">
        <f t="shared" si="17176"/>
        <v>20000</v>
      </c>
      <c r="JZ832" s="581">
        <f t="shared" si="16466"/>
        <v>0</v>
      </c>
      <c r="KA832" s="581">
        <f t="shared" si="16467"/>
        <v>-20000</v>
      </c>
      <c r="KB832" s="566">
        <f t="shared" si="17276"/>
        <v>0</v>
      </c>
      <c r="KC832" s="709">
        <f t="shared" si="17277"/>
        <v>0</v>
      </c>
      <c r="KD832" s="491"/>
      <c r="KE832" s="491"/>
      <c r="KF832" s="491"/>
      <c r="KG832" s="491"/>
      <c r="KH832" s="36"/>
      <c r="KI832" s="36"/>
      <c r="KJ832" s="36"/>
      <c r="KK832" s="36"/>
    </row>
    <row r="833" spans="1:297" s="10" customFormat="1">
      <c r="A833" s="612" t="s">
        <v>765</v>
      </c>
      <c r="B833" s="512" t="s">
        <v>963</v>
      </c>
      <c r="C833" s="74">
        <v>50000</v>
      </c>
      <c r="D833" s="549">
        <v>0</v>
      </c>
      <c r="E833" s="675">
        <v>0</v>
      </c>
      <c r="F833" s="549">
        <v>0</v>
      </c>
      <c r="G833" s="675">
        <v>0</v>
      </c>
      <c r="H833" s="549">
        <v>0</v>
      </c>
      <c r="I833" s="675">
        <v>0</v>
      </c>
      <c r="J833" s="549">
        <v>0</v>
      </c>
      <c r="K833" s="675">
        <v>0</v>
      </c>
      <c r="L833" s="549">
        <v>0</v>
      </c>
      <c r="M833" s="675">
        <v>0</v>
      </c>
      <c r="N833" s="549">
        <v>0</v>
      </c>
      <c r="O833" s="675">
        <v>0</v>
      </c>
      <c r="P833" s="549">
        <v>0</v>
      </c>
      <c r="Q833" s="675">
        <v>0</v>
      </c>
      <c r="R833" s="549">
        <v>0</v>
      </c>
      <c r="S833" s="675">
        <v>0</v>
      </c>
      <c r="T833" s="549">
        <v>0</v>
      </c>
      <c r="U833" s="675">
        <v>0</v>
      </c>
      <c r="V833" s="549">
        <v>0</v>
      </c>
      <c r="W833" s="675">
        <v>0</v>
      </c>
      <c r="X833" s="549">
        <v>0</v>
      </c>
      <c r="Y833" s="675">
        <v>0</v>
      </c>
      <c r="Z833" s="549">
        <v>0</v>
      </c>
      <c r="AA833" s="675">
        <v>0</v>
      </c>
      <c r="AB833" s="549">
        <v>0</v>
      </c>
      <c r="AC833" s="675">
        <v>0</v>
      </c>
      <c r="AD833" s="549">
        <v>0</v>
      </c>
      <c r="AE833" s="675">
        <v>0</v>
      </c>
      <c r="AF833" s="549">
        <v>0</v>
      </c>
      <c r="AG833" s="675">
        <v>0</v>
      </c>
      <c r="AH833" s="549">
        <v>0</v>
      </c>
      <c r="AI833" s="675">
        <v>0</v>
      </c>
      <c r="AJ833" s="549">
        <v>0</v>
      </c>
      <c r="AK833" s="675">
        <v>0</v>
      </c>
      <c r="AL833" s="549">
        <v>0</v>
      </c>
      <c r="AM833" s="675">
        <v>0</v>
      </c>
      <c r="AN833" s="549">
        <v>0</v>
      </c>
      <c r="AO833" s="675">
        <v>0</v>
      </c>
      <c r="AP833" s="549">
        <v>0</v>
      </c>
      <c r="AQ833" s="675">
        <v>0</v>
      </c>
      <c r="AR833" s="549">
        <v>0</v>
      </c>
      <c r="AS833" s="675">
        <v>0</v>
      </c>
      <c r="AT833" s="549">
        <v>0</v>
      </c>
      <c r="AU833" s="675">
        <v>0</v>
      </c>
      <c r="AV833" s="549">
        <v>0</v>
      </c>
      <c r="AW833" s="675">
        <v>0</v>
      </c>
      <c r="AX833" s="549">
        <v>0</v>
      </c>
      <c r="AY833" s="675">
        <v>0</v>
      </c>
      <c r="AZ833" s="549">
        <v>0</v>
      </c>
      <c r="BA833" s="675">
        <v>0</v>
      </c>
      <c r="BB833" s="549">
        <v>0</v>
      </c>
      <c r="BC833" s="675">
        <v>0</v>
      </c>
      <c r="BD833" s="549">
        <v>0</v>
      </c>
      <c r="BE833" s="675">
        <v>0</v>
      </c>
      <c r="BF833" s="549">
        <v>0</v>
      </c>
      <c r="BG833" s="675">
        <v>0</v>
      </c>
      <c r="BH833" s="549">
        <v>0</v>
      </c>
      <c r="BI833" s="675">
        <v>0</v>
      </c>
      <c r="BJ833" s="549">
        <v>0</v>
      </c>
      <c r="BK833" s="675">
        <v>0</v>
      </c>
      <c r="BL833" s="549">
        <v>0</v>
      </c>
      <c r="BM833" s="675">
        <v>0</v>
      </c>
      <c r="BN833" s="549">
        <v>0</v>
      </c>
      <c r="BO833" s="675">
        <v>0</v>
      </c>
      <c r="BP833" s="549">
        <v>0</v>
      </c>
      <c r="BQ833" s="675">
        <v>0</v>
      </c>
      <c r="BR833" s="549">
        <v>0</v>
      </c>
      <c r="BS833" s="675">
        <v>0</v>
      </c>
      <c r="BT833" s="549">
        <v>0</v>
      </c>
      <c r="BU833" s="675">
        <v>0</v>
      </c>
      <c r="BV833" s="549">
        <v>0</v>
      </c>
      <c r="BW833" s="675">
        <v>0</v>
      </c>
      <c r="BX833" s="549">
        <v>0</v>
      </c>
      <c r="BY833" s="675">
        <v>0</v>
      </c>
      <c r="BZ833" s="549">
        <v>0</v>
      </c>
      <c r="CA833" s="675">
        <v>0</v>
      </c>
      <c r="CB833" s="549">
        <v>0</v>
      </c>
      <c r="CC833" s="675">
        <v>0</v>
      </c>
      <c r="CD833" s="549">
        <v>0</v>
      </c>
      <c r="CE833" s="675">
        <v>0</v>
      </c>
      <c r="CF833" s="549">
        <v>0</v>
      </c>
      <c r="CG833" s="675">
        <v>-50000</v>
      </c>
      <c r="CH833" s="549">
        <v>0</v>
      </c>
      <c r="CI833" s="675">
        <v>0</v>
      </c>
      <c r="CJ833" s="549">
        <v>0</v>
      </c>
      <c r="CK833" s="675">
        <v>0</v>
      </c>
      <c r="CL833" s="549">
        <v>0</v>
      </c>
      <c r="CM833" s="675">
        <v>0</v>
      </c>
      <c r="CN833" s="549">
        <v>0</v>
      </c>
      <c r="CO833" s="675">
        <v>0</v>
      </c>
      <c r="CP833" s="549">
        <v>0</v>
      </c>
      <c r="CQ833" s="675">
        <v>0</v>
      </c>
      <c r="CR833" s="549">
        <v>0</v>
      </c>
      <c r="CS833" s="675">
        <v>0</v>
      </c>
      <c r="CT833" s="549">
        <v>0</v>
      </c>
      <c r="CU833" s="675">
        <v>0</v>
      </c>
      <c r="CV833" s="549">
        <v>0</v>
      </c>
      <c r="CW833" s="675">
        <v>0</v>
      </c>
      <c r="CX833" s="549">
        <v>0</v>
      </c>
      <c r="CY833" s="675">
        <v>0</v>
      </c>
      <c r="CZ833" s="549">
        <v>0</v>
      </c>
      <c r="DA833" s="675">
        <v>0</v>
      </c>
      <c r="DB833" s="549">
        <v>0</v>
      </c>
      <c r="DC833" s="675">
        <v>0</v>
      </c>
      <c r="DD833" s="549">
        <v>0</v>
      </c>
      <c r="DE833" s="675">
        <v>0</v>
      </c>
      <c r="DF833" s="549">
        <v>0</v>
      </c>
      <c r="DG833" s="675">
        <v>0</v>
      </c>
      <c r="DH833" s="549">
        <v>0</v>
      </c>
      <c r="DI833" s="675">
        <v>0</v>
      </c>
      <c r="DJ833" s="549">
        <v>0</v>
      </c>
      <c r="DK833" s="675">
        <v>0</v>
      </c>
      <c r="DL833" s="549">
        <v>0</v>
      </c>
      <c r="DM833" s="675">
        <v>0</v>
      </c>
      <c r="DN833" s="549">
        <v>0</v>
      </c>
      <c r="DO833" s="675">
        <v>0</v>
      </c>
      <c r="DP833" s="549">
        <v>0</v>
      </c>
      <c r="DQ833" s="675">
        <v>0</v>
      </c>
      <c r="DR833" s="549">
        <v>0</v>
      </c>
      <c r="DS833" s="675">
        <v>0</v>
      </c>
      <c r="DT833" s="549">
        <v>0</v>
      </c>
      <c r="DU833" s="675">
        <v>0</v>
      </c>
      <c r="DV833" s="549">
        <v>0</v>
      </c>
      <c r="DW833" s="675">
        <v>0</v>
      </c>
      <c r="DX833" s="549">
        <v>0</v>
      </c>
      <c r="DY833" s="675">
        <v>0</v>
      </c>
      <c r="DZ833" s="549">
        <v>0</v>
      </c>
      <c r="EA833" s="675">
        <v>0</v>
      </c>
      <c r="EB833" s="549">
        <v>0</v>
      </c>
      <c r="EC833" s="675">
        <v>0</v>
      </c>
      <c r="ED833" s="549">
        <v>0</v>
      </c>
      <c r="EE833" s="675">
        <v>0</v>
      </c>
      <c r="EF833" s="549">
        <v>0</v>
      </c>
      <c r="EG833" s="675">
        <v>0</v>
      </c>
      <c r="EH833" s="549">
        <v>0</v>
      </c>
      <c r="EI833" s="675">
        <v>0</v>
      </c>
      <c r="EJ833" s="549">
        <v>0</v>
      </c>
      <c r="EK833" s="675">
        <v>0</v>
      </c>
      <c r="EL833" s="549">
        <v>0</v>
      </c>
      <c r="EM833" s="675">
        <v>0</v>
      </c>
      <c r="EN833" s="549">
        <v>0</v>
      </c>
      <c r="EO833" s="675">
        <v>0</v>
      </c>
      <c r="EP833" s="549">
        <v>0</v>
      </c>
      <c r="EQ833" s="675">
        <v>0</v>
      </c>
      <c r="ER833" s="549">
        <v>0</v>
      </c>
      <c r="ES833" s="675">
        <v>0</v>
      </c>
      <c r="ET833" s="549">
        <v>0</v>
      </c>
      <c r="EU833" s="675">
        <v>0</v>
      </c>
      <c r="EV833" s="549">
        <v>0</v>
      </c>
      <c r="EW833" s="675">
        <v>0</v>
      </c>
      <c r="EX833" s="549">
        <v>0</v>
      </c>
      <c r="EY833" s="675">
        <v>0</v>
      </c>
      <c r="EZ833" s="549">
        <v>0</v>
      </c>
      <c r="FA833" s="675">
        <v>0</v>
      </c>
      <c r="FB833" s="549">
        <v>0</v>
      </c>
      <c r="FC833" s="675">
        <v>0</v>
      </c>
      <c r="FD833" s="549">
        <v>0</v>
      </c>
      <c r="FE833" s="675">
        <v>0</v>
      </c>
      <c r="FF833" s="549">
        <v>0</v>
      </c>
      <c r="FG833" s="675">
        <v>0</v>
      </c>
      <c r="FH833" s="549">
        <v>0</v>
      </c>
      <c r="FI833" s="675">
        <v>0</v>
      </c>
      <c r="FJ833" s="549">
        <v>0</v>
      </c>
      <c r="FK833" s="675">
        <v>0</v>
      </c>
      <c r="FL833" s="549">
        <v>0</v>
      </c>
      <c r="FM833" s="675">
        <v>0</v>
      </c>
      <c r="FN833" s="549">
        <v>0</v>
      </c>
      <c r="FO833" s="675">
        <v>0</v>
      </c>
      <c r="FP833" s="549">
        <v>0</v>
      </c>
      <c r="FQ833" s="675">
        <v>0</v>
      </c>
      <c r="FR833" s="549">
        <v>0</v>
      </c>
      <c r="FS833" s="675">
        <v>0</v>
      </c>
      <c r="FT833" s="549">
        <v>0</v>
      </c>
      <c r="FU833" s="675">
        <v>0</v>
      </c>
      <c r="FV833" s="549">
        <v>0</v>
      </c>
      <c r="FW833" s="675">
        <v>0</v>
      </c>
      <c r="FX833" s="549">
        <v>0</v>
      </c>
      <c r="FY833" s="675">
        <v>0</v>
      </c>
      <c r="FZ833" s="549">
        <v>0</v>
      </c>
      <c r="GA833" s="675">
        <v>0</v>
      </c>
      <c r="GB833" s="549">
        <v>0</v>
      </c>
      <c r="GC833" s="675">
        <v>0</v>
      </c>
      <c r="GD833" s="549">
        <v>0</v>
      </c>
      <c r="GE833" s="675">
        <v>0</v>
      </c>
      <c r="GF833" s="549">
        <v>0</v>
      </c>
      <c r="GG833" s="675">
        <v>0</v>
      </c>
      <c r="GH833" s="549">
        <v>0</v>
      </c>
      <c r="GI833" s="675">
        <v>0</v>
      </c>
      <c r="GJ833" s="549">
        <v>0</v>
      </c>
      <c r="GK833" s="675">
        <v>0</v>
      </c>
      <c r="GL833" s="549">
        <v>0</v>
      </c>
      <c r="GM833" s="675">
        <v>0</v>
      </c>
      <c r="GN833" s="549">
        <v>0</v>
      </c>
      <c r="GO833" s="675">
        <v>0</v>
      </c>
      <c r="GP833" s="549">
        <f t="shared" si="17240"/>
        <v>0</v>
      </c>
      <c r="GQ833" s="675">
        <f t="shared" si="17241"/>
        <v>-50000</v>
      </c>
      <c r="GR833" s="74">
        <f t="shared" si="17242"/>
        <v>0</v>
      </c>
      <c r="GS833" s="74">
        <f t="shared" si="17243"/>
        <v>0</v>
      </c>
      <c r="GT833" s="568">
        <f t="shared" si="17244"/>
        <v>0</v>
      </c>
      <c r="GU833" s="275">
        <v>10000</v>
      </c>
      <c r="GV833" s="275"/>
      <c r="GW833" s="588"/>
      <c r="GX833" s="275">
        <v>15000</v>
      </c>
      <c r="GY833" s="275"/>
      <c r="GZ833" s="275">
        <v>25000</v>
      </c>
      <c r="HA833" s="275">
        <f>15000-15000</f>
        <v>0</v>
      </c>
      <c r="HB833" s="275"/>
      <c r="HC833" s="275"/>
      <c r="HD833" s="275">
        <f>10000-10000</f>
        <v>0</v>
      </c>
      <c r="HE833" s="275"/>
      <c r="HF833" s="275"/>
      <c r="HG833" s="74">
        <f t="shared" si="17245"/>
        <v>0</v>
      </c>
      <c r="HH833" s="89">
        <v>0</v>
      </c>
      <c r="HI833" s="157">
        <v>0</v>
      </c>
      <c r="HJ833" s="89">
        <v>0</v>
      </c>
      <c r="HK833" s="157">
        <v>0</v>
      </c>
      <c r="HL833" s="89">
        <v>0</v>
      </c>
      <c r="HM833" s="157">
        <v>0</v>
      </c>
      <c r="HN833" s="89">
        <v>0</v>
      </c>
      <c r="HO833" s="157">
        <v>25000</v>
      </c>
      <c r="HP833" s="89">
        <v>0</v>
      </c>
      <c r="HQ833" s="157">
        <v>0</v>
      </c>
      <c r="HR833" s="89">
        <v>0</v>
      </c>
      <c r="HS833" s="157">
        <v>25000</v>
      </c>
      <c r="HT833" s="89">
        <v>0</v>
      </c>
      <c r="HU833" s="157">
        <v>0</v>
      </c>
      <c r="HV833" s="89">
        <v>0</v>
      </c>
      <c r="HW833" s="157">
        <v>0</v>
      </c>
      <c r="HX833" s="89">
        <v>0</v>
      </c>
      <c r="HY833" s="157">
        <v>0</v>
      </c>
      <c r="HZ833" s="89">
        <v>0</v>
      </c>
      <c r="IA833" s="157">
        <v>0</v>
      </c>
      <c r="IB833" s="89">
        <v>0</v>
      </c>
      <c r="IC833" s="157">
        <v>0</v>
      </c>
      <c r="ID833" s="89">
        <v>0</v>
      </c>
      <c r="IE833" s="157">
        <v>0</v>
      </c>
      <c r="IF833" s="717">
        <f t="shared" si="17246"/>
        <v>0</v>
      </c>
      <c r="IG833" s="263">
        <f t="shared" si="17247"/>
        <v>0</v>
      </c>
      <c r="IH833" s="718">
        <f t="shared" si="17248"/>
        <v>0</v>
      </c>
      <c r="II833" s="89">
        <v>0</v>
      </c>
      <c r="IJ833" s="89">
        <f t="shared" si="17249"/>
        <v>0</v>
      </c>
      <c r="IK833" s="89">
        <f t="shared" si="17250"/>
        <v>0</v>
      </c>
      <c r="IL833" s="89">
        <v>0</v>
      </c>
      <c r="IM833" s="89">
        <f t="shared" si="17251"/>
        <v>0</v>
      </c>
      <c r="IN833" s="89">
        <f t="shared" si="17252"/>
        <v>0</v>
      </c>
      <c r="IO833" s="89">
        <v>0</v>
      </c>
      <c r="IP833" s="89">
        <f t="shared" si="17253"/>
        <v>0</v>
      </c>
      <c r="IQ833" s="89">
        <f t="shared" si="17254"/>
        <v>0</v>
      </c>
      <c r="IR833" s="89">
        <v>0</v>
      </c>
      <c r="IS833" s="89">
        <f t="shared" si="17255"/>
        <v>0</v>
      </c>
      <c r="IT833" s="89">
        <f t="shared" si="17256"/>
        <v>0</v>
      </c>
      <c r="IU833" s="89">
        <v>0</v>
      </c>
      <c r="IV833" s="89">
        <f t="shared" si="17257"/>
        <v>0</v>
      </c>
      <c r="IW833" s="89">
        <f t="shared" si="17258"/>
        <v>0</v>
      </c>
      <c r="IX833" s="89">
        <v>0</v>
      </c>
      <c r="IY833" s="89">
        <f t="shared" si="17259"/>
        <v>0</v>
      </c>
      <c r="IZ833" s="89">
        <f t="shared" si="17260"/>
        <v>0</v>
      </c>
      <c r="JA833" s="89">
        <v>0</v>
      </c>
      <c r="JB833" s="89">
        <f t="shared" si="17261"/>
        <v>0</v>
      </c>
      <c r="JC833" s="89">
        <f t="shared" si="17262"/>
        <v>0</v>
      </c>
      <c r="JD833" s="89">
        <v>0</v>
      </c>
      <c r="JE833" s="89">
        <f t="shared" si="17263"/>
        <v>0</v>
      </c>
      <c r="JF833" s="89">
        <f t="shared" si="17264"/>
        <v>0</v>
      </c>
      <c r="JG833" s="89">
        <v>0</v>
      </c>
      <c r="JH833" s="89">
        <f t="shared" si="17265"/>
        <v>0</v>
      </c>
      <c r="JI833" s="89">
        <f t="shared" si="17266"/>
        <v>0</v>
      </c>
      <c r="JJ833" s="89">
        <v>0</v>
      </c>
      <c r="JK833" s="89">
        <f t="shared" si="17267"/>
        <v>0</v>
      </c>
      <c r="JL833" s="89">
        <f t="shared" si="17268"/>
        <v>0</v>
      </c>
      <c r="JM833" s="89">
        <v>0</v>
      </c>
      <c r="JN833" s="89">
        <f t="shared" si="17269"/>
        <v>0</v>
      </c>
      <c r="JO833" s="89">
        <f t="shared" si="17270"/>
        <v>0</v>
      </c>
      <c r="JP833" s="89">
        <v>0</v>
      </c>
      <c r="JQ833" s="89">
        <f t="shared" si="17271"/>
        <v>0</v>
      </c>
      <c r="JR833" s="89">
        <f t="shared" si="17272"/>
        <v>0</v>
      </c>
      <c r="JS833" s="74">
        <f t="shared" si="17273"/>
        <v>0</v>
      </c>
      <c r="JT833" s="382">
        <f t="shared" si="17274"/>
        <v>0</v>
      </c>
      <c r="JU833" s="665"/>
      <c r="JV833" s="524"/>
      <c r="JW833" s="525"/>
      <c r="JX833" s="549">
        <f t="shared" si="17275"/>
        <v>0</v>
      </c>
      <c r="JY833" s="549">
        <f t="shared" si="17176"/>
        <v>50000</v>
      </c>
      <c r="JZ833" s="581">
        <f t="shared" si="16466"/>
        <v>0</v>
      </c>
      <c r="KA833" s="581">
        <f t="shared" si="16467"/>
        <v>-50000</v>
      </c>
      <c r="KB833" s="566">
        <f t="shared" si="17276"/>
        <v>0</v>
      </c>
      <c r="KC833" s="709">
        <f t="shared" si="17277"/>
        <v>0</v>
      </c>
      <c r="KD833" s="491"/>
      <c r="KE833" s="491"/>
      <c r="KF833" s="491"/>
      <c r="KG833" s="491"/>
      <c r="KH833" s="36"/>
      <c r="KI833" s="36"/>
      <c r="KJ833" s="36"/>
      <c r="KK833" s="36"/>
    </row>
    <row r="834" spans="1:297" s="10" customFormat="1">
      <c r="A834" s="612" t="s">
        <v>1242</v>
      </c>
      <c r="B834" s="512" t="s">
        <v>963</v>
      </c>
      <c r="C834" s="74">
        <v>2000</v>
      </c>
      <c r="D834" s="549">
        <v>0</v>
      </c>
      <c r="E834" s="675">
        <v>0</v>
      </c>
      <c r="F834" s="549">
        <v>0</v>
      </c>
      <c r="G834" s="675">
        <v>0</v>
      </c>
      <c r="H834" s="549">
        <v>0</v>
      </c>
      <c r="I834" s="675">
        <v>0</v>
      </c>
      <c r="J834" s="549">
        <v>0</v>
      </c>
      <c r="K834" s="675">
        <v>0</v>
      </c>
      <c r="L834" s="549">
        <v>0</v>
      </c>
      <c r="M834" s="675">
        <v>0</v>
      </c>
      <c r="N834" s="549">
        <v>0</v>
      </c>
      <c r="O834" s="675">
        <v>0</v>
      </c>
      <c r="P834" s="549">
        <v>0</v>
      </c>
      <c r="Q834" s="675">
        <v>0</v>
      </c>
      <c r="R834" s="549">
        <v>0</v>
      </c>
      <c r="S834" s="675">
        <v>0</v>
      </c>
      <c r="T834" s="549">
        <v>0</v>
      </c>
      <c r="U834" s="675">
        <v>0</v>
      </c>
      <c r="V834" s="549">
        <v>0</v>
      </c>
      <c r="W834" s="675">
        <v>0</v>
      </c>
      <c r="X834" s="549">
        <v>0</v>
      </c>
      <c r="Y834" s="675">
        <v>0</v>
      </c>
      <c r="Z834" s="549">
        <v>0</v>
      </c>
      <c r="AA834" s="675">
        <v>0</v>
      </c>
      <c r="AB834" s="549">
        <v>0</v>
      </c>
      <c r="AC834" s="675">
        <v>0</v>
      </c>
      <c r="AD834" s="549">
        <v>0</v>
      </c>
      <c r="AE834" s="675">
        <v>0</v>
      </c>
      <c r="AF834" s="549">
        <v>0</v>
      </c>
      <c r="AG834" s="675">
        <v>0</v>
      </c>
      <c r="AH834" s="549">
        <v>0</v>
      </c>
      <c r="AI834" s="675">
        <v>0</v>
      </c>
      <c r="AJ834" s="549">
        <v>0</v>
      </c>
      <c r="AK834" s="675">
        <v>0</v>
      </c>
      <c r="AL834" s="549">
        <v>0</v>
      </c>
      <c r="AM834" s="675">
        <v>0</v>
      </c>
      <c r="AN834" s="549">
        <v>0</v>
      </c>
      <c r="AO834" s="675">
        <v>0</v>
      </c>
      <c r="AP834" s="549">
        <v>0</v>
      </c>
      <c r="AQ834" s="675">
        <v>0</v>
      </c>
      <c r="AR834" s="549">
        <v>0</v>
      </c>
      <c r="AS834" s="675">
        <v>0</v>
      </c>
      <c r="AT834" s="549">
        <v>0</v>
      </c>
      <c r="AU834" s="675">
        <v>0</v>
      </c>
      <c r="AV834" s="549">
        <v>0</v>
      </c>
      <c r="AW834" s="675">
        <v>0</v>
      </c>
      <c r="AX834" s="549">
        <v>0</v>
      </c>
      <c r="AY834" s="675">
        <v>0</v>
      </c>
      <c r="AZ834" s="549">
        <v>0</v>
      </c>
      <c r="BA834" s="675">
        <v>0</v>
      </c>
      <c r="BB834" s="549">
        <v>0</v>
      </c>
      <c r="BC834" s="675">
        <v>0</v>
      </c>
      <c r="BD834" s="549">
        <v>0</v>
      </c>
      <c r="BE834" s="675">
        <v>0</v>
      </c>
      <c r="BF834" s="549">
        <v>0</v>
      </c>
      <c r="BG834" s="675">
        <v>0</v>
      </c>
      <c r="BH834" s="549">
        <v>0</v>
      </c>
      <c r="BI834" s="675">
        <v>0</v>
      </c>
      <c r="BJ834" s="549">
        <v>0</v>
      </c>
      <c r="BK834" s="675">
        <v>0</v>
      </c>
      <c r="BL834" s="549">
        <v>0</v>
      </c>
      <c r="BM834" s="675">
        <v>0</v>
      </c>
      <c r="BN834" s="549">
        <v>0</v>
      </c>
      <c r="BO834" s="675">
        <v>0</v>
      </c>
      <c r="BP834" s="549">
        <v>0</v>
      </c>
      <c r="BQ834" s="675">
        <v>0</v>
      </c>
      <c r="BR834" s="549">
        <v>0</v>
      </c>
      <c r="BS834" s="675">
        <v>0</v>
      </c>
      <c r="BT834" s="549">
        <v>0</v>
      </c>
      <c r="BU834" s="675">
        <v>0</v>
      </c>
      <c r="BV834" s="549">
        <v>0</v>
      </c>
      <c r="BW834" s="675">
        <v>0</v>
      </c>
      <c r="BX834" s="549">
        <v>0</v>
      </c>
      <c r="BY834" s="675">
        <v>0</v>
      </c>
      <c r="BZ834" s="549">
        <v>0</v>
      </c>
      <c r="CA834" s="675">
        <v>0</v>
      </c>
      <c r="CB834" s="549">
        <v>0</v>
      </c>
      <c r="CC834" s="675">
        <v>0</v>
      </c>
      <c r="CD834" s="549">
        <v>0</v>
      </c>
      <c r="CE834" s="675">
        <v>0</v>
      </c>
      <c r="CF834" s="549">
        <v>0</v>
      </c>
      <c r="CG834" s="675">
        <v>-2000</v>
      </c>
      <c r="CH834" s="549">
        <v>0</v>
      </c>
      <c r="CI834" s="675">
        <v>0</v>
      </c>
      <c r="CJ834" s="549">
        <v>0</v>
      </c>
      <c r="CK834" s="675">
        <v>0</v>
      </c>
      <c r="CL834" s="549">
        <v>0</v>
      </c>
      <c r="CM834" s="675">
        <v>0</v>
      </c>
      <c r="CN834" s="549">
        <v>0</v>
      </c>
      <c r="CO834" s="675">
        <v>0</v>
      </c>
      <c r="CP834" s="549">
        <v>0</v>
      </c>
      <c r="CQ834" s="675">
        <v>0</v>
      </c>
      <c r="CR834" s="549">
        <v>0</v>
      </c>
      <c r="CS834" s="675">
        <v>0</v>
      </c>
      <c r="CT834" s="549">
        <v>0</v>
      </c>
      <c r="CU834" s="675">
        <v>0</v>
      </c>
      <c r="CV834" s="549">
        <v>0</v>
      </c>
      <c r="CW834" s="675">
        <v>0</v>
      </c>
      <c r="CX834" s="549">
        <v>0</v>
      </c>
      <c r="CY834" s="675">
        <v>0</v>
      </c>
      <c r="CZ834" s="549">
        <v>0</v>
      </c>
      <c r="DA834" s="675">
        <v>0</v>
      </c>
      <c r="DB834" s="549">
        <v>0</v>
      </c>
      <c r="DC834" s="675">
        <v>0</v>
      </c>
      <c r="DD834" s="549">
        <v>0</v>
      </c>
      <c r="DE834" s="675">
        <v>0</v>
      </c>
      <c r="DF834" s="549">
        <v>0</v>
      </c>
      <c r="DG834" s="675">
        <v>0</v>
      </c>
      <c r="DH834" s="549">
        <v>0</v>
      </c>
      <c r="DI834" s="675">
        <v>0</v>
      </c>
      <c r="DJ834" s="549">
        <v>0</v>
      </c>
      <c r="DK834" s="675">
        <v>0</v>
      </c>
      <c r="DL834" s="549">
        <v>0</v>
      </c>
      <c r="DM834" s="675">
        <v>0</v>
      </c>
      <c r="DN834" s="549">
        <v>0</v>
      </c>
      <c r="DO834" s="675">
        <v>0</v>
      </c>
      <c r="DP834" s="549">
        <v>0</v>
      </c>
      <c r="DQ834" s="675">
        <v>0</v>
      </c>
      <c r="DR834" s="549">
        <v>0</v>
      </c>
      <c r="DS834" s="675">
        <v>0</v>
      </c>
      <c r="DT834" s="549">
        <v>0</v>
      </c>
      <c r="DU834" s="675">
        <v>0</v>
      </c>
      <c r="DV834" s="549">
        <v>0</v>
      </c>
      <c r="DW834" s="675">
        <v>0</v>
      </c>
      <c r="DX834" s="549">
        <v>0</v>
      </c>
      <c r="DY834" s="675">
        <v>0</v>
      </c>
      <c r="DZ834" s="549">
        <v>0</v>
      </c>
      <c r="EA834" s="675">
        <v>0</v>
      </c>
      <c r="EB834" s="549">
        <v>0</v>
      </c>
      <c r="EC834" s="675">
        <v>0</v>
      </c>
      <c r="ED834" s="549">
        <v>0</v>
      </c>
      <c r="EE834" s="675">
        <v>0</v>
      </c>
      <c r="EF834" s="549">
        <v>0</v>
      </c>
      <c r="EG834" s="675">
        <v>0</v>
      </c>
      <c r="EH834" s="549">
        <v>0</v>
      </c>
      <c r="EI834" s="675">
        <v>0</v>
      </c>
      <c r="EJ834" s="549">
        <v>0</v>
      </c>
      <c r="EK834" s="675">
        <v>0</v>
      </c>
      <c r="EL834" s="549">
        <v>0</v>
      </c>
      <c r="EM834" s="675">
        <v>0</v>
      </c>
      <c r="EN834" s="549">
        <v>0</v>
      </c>
      <c r="EO834" s="675">
        <v>0</v>
      </c>
      <c r="EP834" s="549">
        <v>0</v>
      </c>
      <c r="EQ834" s="675">
        <v>0</v>
      </c>
      <c r="ER834" s="549">
        <v>0</v>
      </c>
      <c r="ES834" s="675">
        <v>0</v>
      </c>
      <c r="ET834" s="549">
        <v>0</v>
      </c>
      <c r="EU834" s="675">
        <v>0</v>
      </c>
      <c r="EV834" s="549">
        <v>0</v>
      </c>
      <c r="EW834" s="675">
        <v>0</v>
      </c>
      <c r="EX834" s="549">
        <v>0</v>
      </c>
      <c r="EY834" s="675">
        <v>0</v>
      </c>
      <c r="EZ834" s="549">
        <v>0</v>
      </c>
      <c r="FA834" s="675">
        <v>0</v>
      </c>
      <c r="FB834" s="549">
        <v>0</v>
      </c>
      <c r="FC834" s="675">
        <v>0</v>
      </c>
      <c r="FD834" s="549">
        <v>0</v>
      </c>
      <c r="FE834" s="675">
        <v>0</v>
      </c>
      <c r="FF834" s="549">
        <v>0</v>
      </c>
      <c r="FG834" s="675">
        <v>0</v>
      </c>
      <c r="FH834" s="549">
        <v>0</v>
      </c>
      <c r="FI834" s="675">
        <v>0</v>
      </c>
      <c r="FJ834" s="549">
        <v>0</v>
      </c>
      <c r="FK834" s="675">
        <v>0</v>
      </c>
      <c r="FL834" s="549">
        <v>0</v>
      </c>
      <c r="FM834" s="675">
        <v>0</v>
      </c>
      <c r="FN834" s="549">
        <v>0</v>
      </c>
      <c r="FO834" s="675">
        <v>0</v>
      </c>
      <c r="FP834" s="549">
        <v>0</v>
      </c>
      <c r="FQ834" s="675">
        <v>0</v>
      </c>
      <c r="FR834" s="549">
        <v>0</v>
      </c>
      <c r="FS834" s="675">
        <v>0</v>
      </c>
      <c r="FT834" s="549">
        <v>0</v>
      </c>
      <c r="FU834" s="675">
        <v>0</v>
      </c>
      <c r="FV834" s="549">
        <v>0</v>
      </c>
      <c r="FW834" s="675">
        <v>0</v>
      </c>
      <c r="FX834" s="549">
        <v>0</v>
      </c>
      <c r="FY834" s="675">
        <v>0</v>
      </c>
      <c r="FZ834" s="549">
        <v>0</v>
      </c>
      <c r="GA834" s="675">
        <v>0</v>
      </c>
      <c r="GB834" s="549">
        <v>0</v>
      </c>
      <c r="GC834" s="675">
        <v>0</v>
      </c>
      <c r="GD834" s="549">
        <v>0</v>
      </c>
      <c r="GE834" s="675">
        <v>0</v>
      </c>
      <c r="GF834" s="549">
        <v>0</v>
      </c>
      <c r="GG834" s="675">
        <v>0</v>
      </c>
      <c r="GH834" s="549">
        <v>0</v>
      </c>
      <c r="GI834" s="675">
        <v>0</v>
      </c>
      <c r="GJ834" s="549">
        <v>0</v>
      </c>
      <c r="GK834" s="675">
        <v>0</v>
      </c>
      <c r="GL834" s="549">
        <v>0</v>
      </c>
      <c r="GM834" s="675">
        <v>0</v>
      </c>
      <c r="GN834" s="549">
        <v>0</v>
      </c>
      <c r="GO834" s="675">
        <v>0</v>
      </c>
      <c r="GP834" s="549">
        <f t="shared" ref="GP834" si="17278">+D834+F834+H834+J834+L834+N834+P834+R834+T834+V834+X834+Z834+AB834+AF834+AD834+AH834+AJ834+AL834+AN834+AP834+AR834+AT834+AV834+AX834+AZ834+BB834+BD834+BF834+BH834+BJ834+BL834+BN834+BP834+BR834+BT834+BV834+BX834+BZ834+CB834+CD834+CF834+CH834+CJ834+CL834+CN834+CP834+CR834+CT834+CV834+CX834+CZ834+DB834+DD834+DF834+DH834+DT834+EX834+DJ834+DL834+DN834+DP834+DR834+EJ834+EB834+DZ834+DX834+DV834+ED834+EF834+EH834+EL834+EN834+EP834+EV834+ET834+ER834+EZ834+FB834+FD834+GL834+FF834+FJ834+FL834+GJ834+FT834+FR834+FP834+FN834+FH834+GH834+GF834+GD834+GB834+FZ834+FX834+FV834+GN834</f>
        <v>0</v>
      </c>
      <c r="GQ834" s="675">
        <f t="shared" ref="GQ834" si="17279">+E834+G834+I834+K834+M834+O834+Q834+S834+U834+W834+Y834+AA834+AC834+AE834+AG834+AI834+AK834+AM834+AO834+AQ834+AS834+AU834+AW834+AY834+BA834+BC834+BE834+BG834+BI834+BK834+BM834+BO834+BQ834+BS834+BU834+BW834+BY834+CA834+CC834+CE834+CG834+CI834+CK834+CM834+CO834+CQ834+CS834+CU834+CW834+CY834+DA834+DC834+DE834+DG834+DI834+DU834+EY834+DK834+DM834+DO834+DQ834+DS834+EK834+EC834+EA834+DY834+DW834+EI834+EG834+EE834+EM834+EO834+EQ834+EW834+EU834+ES834+FA834+FC834+FE834+GM834+FG834+FK834+FM834+FO834+FQ834+FS834+FU834+GK834+FI834+GI834+GG834+GE834+GC834+GA834+FY834+FW834+GO834</f>
        <v>-2000</v>
      </c>
      <c r="GR834" s="74">
        <f t="shared" ref="GR834" si="17280">C834+GP834+GQ834</f>
        <v>0</v>
      </c>
      <c r="GS834" s="74">
        <f t="shared" si="17243"/>
        <v>0</v>
      </c>
      <c r="GT834" s="568">
        <f t="shared" ref="GT834" si="17281">SUM(GU834:HF834)+GQ834+GP834</f>
        <v>0</v>
      </c>
      <c r="GU834" s="275">
        <v>400</v>
      </c>
      <c r="GV834" s="275"/>
      <c r="GW834" s="588"/>
      <c r="GX834" s="275">
        <v>600</v>
      </c>
      <c r="GY834" s="275"/>
      <c r="GZ834" s="275">
        <v>1000</v>
      </c>
      <c r="HA834" s="275">
        <f>600-600</f>
        <v>0</v>
      </c>
      <c r="HB834" s="275"/>
      <c r="HC834" s="275"/>
      <c r="HD834" s="275">
        <f>400-400</f>
        <v>0</v>
      </c>
      <c r="HE834" s="275"/>
      <c r="HF834" s="275"/>
      <c r="HG834" s="74">
        <f t="shared" ref="HG834" si="17282">SUM(HH834:IE834)+GP834+GQ834</f>
        <v>0</v>
      </c>
      <c r="HH834" s="89">
        <v>0</v>
      </c>
      <c r="HI834" s="157">
        <v>0</v>
      </c>
      <c r="HJ834" s="89">
        <v>0</v>
      </c>
      <c r="HK834" s="157">
        <v>0</v>
      </c>
      <c r="HL834" s="89">
        <v>0</v>
      </c>
      <c r="HM834" s="157">
        <v>0</v>
      </c>
      <c r="HN834" s="89">
        <v>0</v>
      </c>
      <c r="HO834" s="157">
        <v>1000</v>
      </c>
      <c r="HP834" s="89">
        <v>0</v>
      </c>
      <c r="HQ834" s="157">
        <v>0</v>
      </c>
      <c r="HR834" s="89">
        <v>0</v>
      </c>
      <c r="HS834" s="157">
        <v>1000</v>
      </c>
      <c r="HT834" s="89">
        <v>0</v>
      </c>
      <c r="HU834" s="157">
        <v>0</v>
      </c>
      <c r="HV834" s="89">
        <v>0</v>
      </c>
      <c r="HW834" s="157">
        <v>0</v>
      </c>
      <c r="HX834" s="89">
        <v>0</v>
      </c>
      <c r="HY834" s="157">
        <v>0</v>
      </c>
      <c r="HZ834" s="89">
        <v>0</v>
      </c>
      <c r="IA834" s="157">
        <v>0</v>
      </c>
      <c r="IB834" s="89">
        <v>0</v>
      </c>
      <c r="IC834" s="157">
        <v>0</v>
      </c>
      <c r="ID834" s="89">
        <v>0</v>
      </c>
      <c r="IE834" s="157">
        <v>0</v>
      </c>
      <c r="IF834" s="717">
        <f t="shared" ref="IF834" si="17283">SUM(II834,IL834,IO834,IR834,IU834,IX834,JA834,JD834,JG834,JJ834,JM834,JP834)</f>
        <v>0</v>
      </c>
      <c r="IG834" s="263">
        <f t="shared" ref="IG834" si="17284">SUM(IJ834,IM834,IP834,IS834,IV834,IY834,JB834,JE834,JH834,JK834,JN834,JQ834)</f>
        <v>0</v>
      </c>
      <c r="IH834" s="718">
        <f t="shared" ref="IH834" si="17285">SUM(IK834,IN834,IQ834,IT834,IW834,IZ834,JC834,JF834,JI834,JL834,JO834,JR834)</f>
        <v>0</v>
      </c>
      <c r="II834" s="89">
        <v>0</v>
      </c>
      <c r="IJ834" s="89">
        <f t="shared" ref="IJ834" si="17286">II834</f>
        <v>0</v>
      </c>
      <c r="IK834" s="89">
        <f t="shared" ref="IK834" si="17287">IJ834</f>
        <v>0</v>
      </c>
      <c r="IL834" s="89">
        <v>0</v>
      </c>
      <c r="IM834" s="89">
        <f t="shared" ref="IM834" si="17288">IL834</f>
        <v>0</v>
      </c>
      <c r="IN834" s="89">
        <f t="shared" ref="IN834" si="17289">IM834</f>
        <v>0</v>
      </c>
      <c r="IO834" s="89">
        <v>0</v>
      </c>
      <c r="IP834" s="89">
        <f t="shared" ref="IP834" si="17290">IO834</f>
        <v>0</v>
      </c>
      <c r="IQ834" s="89">
        <f t="shared" ref="IQ834" si="17291">IP834</f>
        <v>0</v>
      </c>
      <c r="IR834" s="89">
        <v>0</v>
      </c>
      <c r="IS834" s="89">
        <f t="shared" ref="IS834" si="17292">IR834</f>
        <v>0</v>
      </c>
      <c r="IT834" s="89">
        <f t="shared" ref="IT834" si="17293">IS834</f>
        <v>0</v>
      </c>
      <c r="IU834" s="89">
        <v>0</v>
      </c>
      <c r="IV834" s="89">
        <f t="shared" ref="IV834" si="17294">IU834</f>
        <v>0</v>
      </c>
      <c r="IW834" s="89">
        <f t="shared" ref="IW834" si="17295">IV834</f>
        <v>0</v>
      </c>
      <c r="IX834" s="89">
        <v>0</v>
      </c>
      <c r="IY834" s="89">
        <f t="shared" ref="IY834" si="17296">IX834</f>
        <v>0</v>
      </c>
      <c r="IZ834" s="89">
        <f t="shared" ref="IZ834" si="17297">IY834</f>
        <v>0</v>
      </c>
      <c r="JA834" s="89">
        <v>0</v>
      </c>
      <c r="JB834" s="89">
        <f t="shared" ref="JB834" si="17298">JA834</f>
        <v>0</v>
      </c>
      <c r="JC834" s="89">
        <f t="shared" ref="JC834" si="17299">JB834</f>
        <v>0</v>
      </c>
      <c r="JD834" s="89">
        <v>0</v>
      </c>
      <c r="JE834" s="89">
        <f t="shared" ref="JE834" si="17300">JD834</f>
        <v>0</v>
      </c>
      <c r="JF834" s="89">
        <f t="shared" ref="JF834" si="17301">JE834</f>
        <v>0</v>
      </c>
      <c r="JG834" s="89">
        <v>0</v>
      </c>
      <c r="JH834" s="89">
        <f t="shared" ref="JH834" si="17302">JG834</f>
        <v>0</v>
      </c>
      <c r="JI834" s="89">
        <f t="shared" ref="JI834" si="17303">JH834</f>
        <v>0</v>
      </c>
      <c r="JJ834" s="89">
        <v>0</v>
      </c>
      <c r="JK834" s="89">
        <f t="shared" ref="JK834" si="17304">JJ834</f>
        <v>0</v>
      </c>
      <c r="JL834" s="89">
        <f t="shared" ref="JL834" si="17305">JK834</f>
        <v>0</v>
      </c>
      <c r="JM834" s="89">
        <v>0</v>
      </c>
      <c r="JN834" s="89">
        <f t="shared" ref="JN834" si="17306">JM834</f>
        <v>0</v>
      </c>
      <c r="JO834" s="89">
        <f t="shared" ref="JO834" si="17307">JN834</f>
        <v>0</v>
      </c>
      <c r="JP834" s="89">
        <v>0</v>
      </c>
      <c r="JQ834" s="89">
        <f t="shared" ref="JQ834" si="17308">JP834</f>
        <v>0</v>
      </c>
      <c r="JR834" s="89">
        <f t="shared" ref="JR834" si="17309">JQ834</f>
        <v>0</v>
      </c>
      <c r="JS834" s="74">
        <f t="shared" ref="JS834" si="17310">HG834-IF834</f>
        <v>0</v>
      </c>
      <c r="JT834" s="382">
        <f t="shared" ref="JT834" si="17311">GS834-IF834</f>
        <v>0</v>
      </c>
      <c r="JU834" s="665"/>
      <c r="JV834" s="524"/>
      <c r="JW834" s="525"/>
      <c r="JX834" s="549">
        <f t="shared" ref="JX834" si="17312">SUM(HH834,HJ834,HL834,HN834,HP834,HR834,HT834,HV834,HX834,HZ834,IB834,ID834)</f>
        <v>0</v>
      </c>
      <c r="JY834" s="549">
        <f t="shared" ref="JY834" si="17313">SUM(HI834,HK834,HM834,HO834,HQ834,HS834,HU834,HW834,HY834,IA834,IC834,IE834)</f>
        <v>2000</v>
      </c>
      <c r="JZ834" s="581">
        <f t="shared" ref="JZ834" si="17314">GP834</f>
        <v>0</v>
      </c>
      <c r="KA834" s="581">
        <f t="shared" ref="KA834" si="17315">GQ834</f>
        <v>-2000</v>
      </c>
      <c r="KB834" s="566">
        <f t="shared" ref="KB834" si="17316">SUM(JX834:KA834)</f>
        <v>0</v>
      </c>
      <c r="KC834" s="709">
        <f t="shared" ref="KC834" si="17317">HG834-KB834</f>
        <v>0</v>
      </c>
      <c r="KD834" s="491"/>
      <c r="KE834" s="491"/>
      <c r="KF834" s="491"/>
      <c r="KG834" s="491"/>
      <c r="KH834" s="36"/>
      <c r="KI834" s="36"/>
      <c r="KJ834" s="36"/>
      <c r="KK834" s="36"/>
    </row>
    <row r="835" spans="1:297" s="10" customFormat="1">
      <c r="A835" s="612" t="s">
        <v>676</v>
      </c>
      <c r="B835" s="512" t="s">
        <v>206</v>
      </c>
      <c r="C835" s="74">
        <v>40000</v>
      </c>
      <c r="D835" s="549">
        <v>0</v>
      </c>
      <c r="E835" s="675">
        <v>0</v>
      </c>
      <c r="F835" s="549">
        <v>0</v>
      </c>
      <c r="G835" s="675">
        <v>0</v>
      </c>
      <c r="H835" s="549">
        <v>0</v>
      </c>
      <c r="I835" s="675">
        <v>0</v>
      </c>
      <c r="J835" s="549">
        <v>0</v>
      </c>
      <c r="K835" s="675">
        <v>0</v>
      </c>
      <c r="L835" s="549">
        <v>0</v>
      </c>
      <c r="M835" s="675">
        <v>0</v>
      </c>
      <c r="N835" s="549">
        <v>0</v>
      </c>
      <c r="O835" s="675">
        <v>0</v>
      </c>
      <c r="P835" s="549">
        <v>0</v>
      </c>
      <c r="Q835" s="675">
        <v>0</v>
      </c>
      <c r="R835" s="549">
        <v>0</v>
      </c>
      <c r="S835" s="675">
        <v>0</v>
      </c>
      <c r="T835" s="549">
        <v>0</v>
      </c>
      <c r="U835" s="675">
        <v>0</v>
      </c>
      <c r="V835" s="549">
        <v>0</v>
      </c>
      <c r="W835" s="675">
        <v>0</v>
      </c>
      <c r="X835" s="549">
        <v>0</v>
      </c>
      <c r="Y835" s="675">
        <v>0</v>
      </c>
      <c r="Z835" s="549">
        <v>0</v>
      </c>
      <c r="AA835" s="675">
        <v>0</v>
      </c>
      <c r="AB835" s="549">
        <v>0</v>
      </c>
      <c r="AC835" s="675">
        <v>0</v>
      </c>
      <c r="AD835" s="549">
        <v>0</v>
      </c>
      <c r="AE835" s="675">
        <v>0</v>
      </c>
      <c r="AF835" s="549">
        <v>0</v>
      </c>
      <c r="AG835" s="675">
        <v>0</v>
      </c>
      <c r="AH835" s="549">
        <v>0</v>
      </c>
      <c r="AI835" s="675">
        <v>0</v>
      </c>
      <c r="AJ835" s="549">
        <v>0</v>
      </c>
      <c r="AK835" s="675">
        <v>0</v>
      </c>
      <c r="AL835" s="549">
        <v>0</v>
      </c>
      <c r="AM835" s="675">
        <v>0</v>
      </c>
      <c r="AN835" s="549">
        <v>0</v>
      </c>
      <c r="AO835" s="675">
        <v>0</v>
      </c>
      <c r="AP835" s="549">
        <v>0</v>
      </c>
      <c r="AQ835" s="675">
        <v>0</v>
      </c>
      <c r="AR835" s="549">
        <v>0</v>
      </c>
      <c r="AS835" s="675">
        <v>0</v>
      </c>
      <c r="AT835" s="549">
        <v>0</v>
      </c>
      <c r="AU835" s="675">
        <v>0</v>
      </c>
      <c r="AV835" s="549">
        <v>0</v>
      </c>
      <c r="AW835" s="675">
        <v>0</v>
      </c>
      <c r="AX835" s="549">
        <v>0</v>
      </c>
      <c r="AY835" s="675">
        <v>0</v>
      </c>
      <c r="AZ835" s="549">
        <v>0</v>
      </c>
      <c r="BA835" s="675">
        <v>0</v>
      </c>
      <c r="BB835" s="549">
        <v>0</v>
      </c>
      <c r="BC835" s="675">
        <v>0</v>
      </c>
      <c r="BD835" s="549">
        <v>0</v>
      </c>
      <c r="BE835" s="675">
        <v>0</v>
      </c>
      <c r="BF835" s="549">
        <v>0</v>
      </c>
      <c r="BG835" s="675">
        <v>0</v>
      </c>
      <c r="BH835" s="549">
        <v>0</v>
      </c>
      <c r="BI835" s="675">
        <v>0</v>
      </c>
      <c r="BJ835" s="549">
        <v>0</v>
      </c>
      <c r="BK835" s="675">
        <v>0</v>
      </c>
      <c r="BL835" s="549">
        <v>0</v>
      </c>
      <c r="BM835" s="675">
        <v>0</v>
      </c>
      <c r="BN835" s="549">
        <v>0</v>
      </c>
      <c r="BO835" s="675">
        <v>0</v>
      </c>
      <c r="BP835" s="549">
        <v>0</v>
      </c>
      <c r="BQ835" s="675">
        <v>0</v>
      </c>
      <c r="BR835" s="549">
        <v>0</v>
      </c>
      <c r="BS835" s="675">
        <v>0</v>
      </c>
      <c r="BT835" s="549">
        <v>0</v>
      </c>
      <c r="BU835" s="675">
        <v>0</v>
      </c>
      <c r="BV835" s="549">
        <v>0</v>
      </c>
      <c r="BW835" s="675">
        <v>0</v>
      </c>
      <c r="BX835" s="549">
        <v>0</v>
      </c>
      <c r="BY835" s="675">
        <v>0</v>
      </c>
      <c r="BZ835" s="549">
        <v>0</v>
      </c>
      <c r="CA835" s="675">
        <v>0</v>
      </c>
      <c r="CB835" s="549">
        <v>0</v>
      </c>
      <c r="CC835" s="675">
        <v>0</v>
      </c>
      <c r="CD835" s="549">
        <v>0</v>
      </c>
      <c r="CE835" s="675">
        <v>0</v>
      </c>
      <c r="CF835" s="549">
        <v>0</v>
      </c>
      <c r="CG835" s="675">
        <v>-40000</v>
      </c>
      <c r="CH835" s="549">
        <v>0</v>
      </c>
      <c r="CI835" s="675">
        <v>0</v>
      </c>
      <c r="CJ835" s="549">
        <v>0</v>
      </c>
      <c r="CK835" s="675">
        <v>0</v>
      </c>
      <c r="CL835" s="549">
        <v>0</v>
      </c>
      <c r="CM835" s="675">
        <v>0</v>
      </c>
      <c r="CN835" s="549">
        <v>0</v>
      </c>
      <c r="CO835" s="675">
        <v>0</v>
      </c>
      <c r="CP835" s="549">
        <v>0</v>
      </c>
      <c r="CQ835" s="675">
        <v>0</v>
      </c>
      <c r="CR835" s="549">
        <v>0</v>
      </c>
      <c r="CS835" s="675">
        <v>0</v>
      </c>
      <c r="CT835" s="549">
        <v>0</v>
      </c>
      <c r="CU835" s="675">
        <v>0</v>
      </c>
      <c r="CV835" s="549">
        <v>0</v>
      </c>
      <c r="CW835" s="675">
        <v>0</v>
      </c>
      <c r="CX835" s="549">
        <v>0</v>
      </c>
      <c r="CY835" s="675">
        <v>0</v>
      </c>
      <c r="CZ835" s="549">
        <v>0</v>
      </c>
      <c r="DA835" s="675">
        <v>0</v>
      </c>
      <c r="DB835" s="549">
        <v>0</v>
      </c>
      <c r="DC835" s="675">
        <v>0</v>
      </c>
      <c r="DD835" s="549">
        <v>0</v>
      </c>
      <c r="DE835" s="675">
        <v>0</v>
      </c>
      <c r="DF835" s="549">
        <v>0</v>
      </c>
      <c r="DG835" s="675">
        <v>0</v>
      </c>
      <c r="DH835" s="549">
        <v>0</v>
      </c>
      <c r="DI835" s="675">
        <v>0</v>
      </c>
      <c r="DJ835" s="549">
        <v>0</v>
      </c>
      <c r="DK835" s="675">
        <v>0</v>
      </c>
      <c r="DL835" s="549">
        <v>0</v>
      </c>
      <c r="DM835" s="675">
        <v>0</v>
      </c>
      <c r="DN835" s="549">
        <v>0</v>
      </c>
      <c r="DO835" s="675">
        <v>0</v>
      </c>
      <c r="DP835" s="549">
        <v>0</v>
      </c>
      <c r="DQ835" s="675">
        <v>0</v>
      </c>
      <c r="DR835" s="549">
        <v>0</v>
      </c>
      <c r="DS835" s="675">
        <v>0</v>
      </c>
      <c r="DT835" s="549">
        <v>0</v>
      </c>
      <c r="DU835" s="675">
        <v>0</v>
      </c>
      <c r="DV835" s="549">
        <v>0</v>
      </c>
      <c r="DW835" s="675">
        <v>0</v>
      </c>
      <c r="DX835" s="549">
        <v>0</v>
      </c>
      <c r="DY835" s="675">
        <v>0</v>
      </c>
      <c r="DZ835" s="549">
        <v>0</v>
      </c>
      <c r="EA835" s="675">
        <v>0</v>
      </c>
      <c r="EB835" s="549">
        <v>0</v>
      </c>
      <c r="EC835" s="675">
        <v>0</v>
      </c>
      <c r="ED835" s="549">
        <v>0</v>
      </c>
      <c r="EE835" s="675">
        <v>0</v>
      </c>
      <c r="EF835" s="549">
        <v>0</v>
      </c>
      <c r="EG835" s="675">
        <v>0</v>
      </c>
      <c r="EH835" s="549">
        <v>0</v>
      </c>
      <c r="EI835" s="675">
        <v>0</v>
      </c>
      <c r="EJ835" s="549">
        <v>0</v>
      </c>
      <c r="EK835" s="675">
        <v>0</v>
      </c>
      <c r="EL835" s="549">
        <v>0</v>
      </c>
      <c r="EM835" s="675">
        <v>0</v>
      </c>
      <c r="EN835" s="549">
        <v>0</v>
      </c>
      <c r="EO835" s="675">
        <v>0</v>
      </c>
      <c r="EP835" s="549">
        <v>0</v>
      </c>
      <c r="EQ835" s="675">
        <v>0</v>
      </c>
      <c r="ER835" s="549">
        <v>0</v>
      </c>
      <c r="ES835" s="675">
        <v>0</v>
      </c>
      <c r="ET835" s="549">
        <v>0</v>
      </c>
      <c r="EU835" s="675">
        <v>0</v>
      </c>
      <c r="EV835" s="549">
        <v>0</v>
      </c>
      <c r="EW835" s="675">
        <v>0</v>
      </c>
      <c r="EX835" s="549">
        <v>0</v>
      </c>
      <c r="EY835" s="675">
        <v>0</v>
      </c>
      <c r="EZ835" s="549">
        <v>0</v>
      </c>
      <c r="FA835" s="675">
        <v>0</v>
      </c>
      <c r="FB835" s="549">
        <v>0</v>
      </c>
      <c r="FC835" s="675">
        <v>0</v>
      </c>
      <c r="FD835" s="549">
        <v>0</v>
      </c>
      <c r="FE835" s="675">
        <v>0</v>
      </c>
      <c r="FF835" s="549">
        <v>0</v>
      </c>
      <c r="FG835" s="675">
        <v>0</v>
      </c>
      <c r="FH835" s="549">
        <v>0</v>
      </c>
      <c r="FI835" s="675">
        <v>0</v>
      </c>
      <c r="FJ835" s="549">
        <v>0</v>
      </c>
      <c r="FK835" s="675">
        <v>0</v>
      </c>
      <c r="FL835" s="549">
        <v>0</v>
      </c>
      <c r="FM835" s="675">
        <v>0</v>
      </c>
      <c r="FN835" s="549">
        <v>0</v>
      </c>
      <c r="FO835" s="675">
        <v>0</v>
      </c>
      <c r="FP835" s="549">
        <v>0</v>
      </c>
      <c r="FQ835" s="675">
        <v>0</v>
      </c>
      <c r="FR835" s="549">
        <v>0</v>
      </c>
      <c r="FS835" s="675">
        <v>0</v>
      </c>
      <c r="FT835" s="549">
        <v>0</v>
      </c>
      <c r="FU835" s="675">
        <v>0</v>
      </c>
      <c r="FV835" s="549">
        <v>0</v>
      </c>
      <c r="FW835" s="675">
        <v>0</v>
      </c>
      <c r="FX835" s="549">
        <v>0</v>
      </c>
      <c r="FY835" s="675">
        <v>0</v>
      </c>
      <c r="FZ835" s="549">
        <v>0</v>
      </c>
      <c r="GA835" s="675">
        <v>0</v>
      </c>
      <c r="GB835" s="549">
        <v>0</v>
      </c>
      <c r="GC835" s="675">
        <v>0</v>
      </c>
      <c r="GD835" s="549">
        <v>0</v>
      </c>
      <c r="GE835" s="675">
        <v>0</v>
      </c>
      <c r="GF835" s="549">
        <v>0</v>
      </c>
      <c r="GG835" s="675">
        <v>0</v>
      </c>
      <c r="GH835" s="549">
        <v>0</v>
      </c>
      <c r="GI835" s="675">
        <v>0</v>
      </c>
      <c r="GJ835" s="549">
        <v>0</v>
      </c>
      <c r="GK835" s="675">
        <v>0</v>
      </c>
      <c r="GL835" s="549">
        <v>0</v>
      </c>
      <c r="GM835" s="675">
        <v>0</v>
      </c>
      <c r="GN835" s="549">
        <v>0</v>
      </c>
      <c r="GO835" s="675">
        <v>0</v>
      </c>
      <c r="GP835" s="549">
        <f t="shared" si="17240"/>
        <v>0</v>
      </c>
      <c r="GQ835" s="675">
        <f t="shared" si="17241"/>
        <v>-40000</v>
      </c>
      <c r="GR835" s="74">
        <f t="shared" si="17242"/>
        <v>0</v>
      </c>
      <c r="GS835" s="74">
        <f t="shared" si="17243"/>
        <v>0</v>
      </c>
      <c r="GT835" s="568">
        <f t="shared" si="17244"/>
        <v>0</v>
      </c>
      <c r="GU835" s="275">
        <v>8000</v>
      </c>
      <c r="GV835" s="275"/>
      <c r="GW835" s="588"/>
      <c r="GX835" s="275">
        <v>12000</v>
      </c>
      <c r="GY835" s="275"/>
      <c r="GZ835" s="275">
        <v>20000</v>
      </c>
      <c r="HA835" s="275">
        <f>12000-12000</f>
        <v>0</v>
      </c>
      <c r="HB835" s="275"/>
      <c r="HC835" s="275"/>
      <c r="HD835" s="275">
        <f>8000-8000</f>
        <v>0</v>
      </c>
      <c r="HE835" s="275"/>
      <c r="HF835" s="275"/>
      <c r="HG835" s="74">
        <f t="shared" si="17245"/>
        <v>0</v>
      </c>
      <c r="HH835" s="89">
        <v>0</v>
      </c>
      <c r="HI835" s="157">
        <v>0</v>
      </c>
      <c r="HJ835" s="89">
        <v>0</v>
      </c>
      <c r="HK835" s="157">
        <v>0</v>
      </c>
      <c r="HL835" s="89">
        <v>0</v>
      </c>
      <c r="HM835" s="157">
        <v>0</v>
      </c>
      <c r="HN835" s="89">
        <v>0</v>
      </c>
      <c r="HO835" s="157">
        <v>20000</v>
      </c>
      <c r="HP835" s="89">
        <v>0</v>
      </c>
      <c r="HQ835" s="157">
        <v>0</v>
      </c>
      <c r="HR835" s="89">
        <v>0</v>
      </c>
      <c r="HS835" s="157">
        <v>20000</v>
      </c>
      <c r="HT835" s="89">
        <v>0</v>
      </c>
      <c r="HU835" s="157">
        <v>0</v>
      </c>
      <c r="HV835" s="89">
        <v>0</v>
      </c>
      <c r="HW835" s="157">
        <v>0</v>
      </c>
      <c r="HX835" s="89">
        <v>0</v>
      </c>
      <c r="HY835" s="157">
        <v>0</v>
      </c>
      <c r="HZ835" s="89">
        <v>0</v>
      </c>
      <c r="IA835" s="157">
        <v>0</v>
      </c>
      <c r="IB835" s="89">
        <v>0</v>
      </c>
      <c r="IC835" s="157">
        <v>0</v>
      </c>
      <c r="ID835" s="89">
        <v>0</v>
      </c>
      <c r="IE835" s="157">
        <v>0</v>
      </c>
      <c r="IF835" s="717">
        <f t="shared" si="17246"/>
        <v>0</v>
      </c>
      <c r="IG835" s="263">
        <f t="shared" si="17247"/>
        <v>0</v>
      </c>
      <c r="IH835" s="718">
        <f t="shared" si="17248"/>
        <v>0</v>
      </c>
      <c r="II835" s="89">
        <v>0</v>
      </c>
      <c r="IJ835" s="89">
        <f t="shared" si="17249"/>
        <v>0</v>
      </c>
      <c r="IK835" s="89">
        <f t="shared" si="17250"/>
        <v>0</v>
      </c>
      <c r="IL835" s="89">
        <v>0</v>
      </c>
      <c r="IM835" s="89">
        <f t="shared" si="17251"/>
        <v>0</v>
      </c>
      <c r="IN835" s="89">
        <f t="shared" si="17252"/>
        <v>0</v>
      </c>
      <c r="IO835" s="89">
        <v>0</v>
      </c>
      <c r="IP835" s="89">
        <f t="shared" si="17253"/>
        <v>0</v>
      </c>
      <c r="IQ835" s="89">
        <f t="shared" si="17254"/>
        <v>0</v>
      </c>
      <c r="IR835" s="89">
        <v>0</v>
      </c>
      <c r="IS835" s="89">
        <f t="shared" si="17255"/>
        <v>0</v>
      </c>
      <c r="IT835" s="89">
        <f t="shared" si="17256"/>
        <v>0</v>
      </c>
      <c r="IU835" s="89">
        <v>0</v>
      </c>
      <c r="IV835" s="89">
        <f t="shared" si="17257"/>
        <v>0</v>
      </c>
      <c r="IW835" s="89">
        <f t="shared" si="17258"/>
        <v>0</v>
      </c>
      <c r="IX835" s="89">
        <v>0</v>
      </c>
      <c r="IY835" s="89">
        <f t="shared" si="17259"/>
        <v>0</v>
      </c>
      <c r="IZ835" s="89">
        <f t="shared" si="17260"/>
        <v>0</v>
      </c>
      <c r="JA835" s="89">
        <v>0</v>
      </c>
      <c r="JB835" s="89">
        <f t="shared" si="17261"/>
        <v>0</v>
      </c>
      <c r="JC835" s="89">
        <f t="shared" si="17262"/>
        <v>0</v>
      </c>
      <c r="JD835" s="89">
        <v>0</v>
      </c>
      <c r="JE835" s="89">
        <f t="shared" si="17263"/>
        <v>0</v>
      </c>
      <c r="JF835" s="89">
        <f t="shared" si="17264"/>
        <v>0</v>
      </c>
      <c r="JG835" s="89">
        <v>0</v>
      </c>
      <c r="JH835" s="89">
        <f t="shared" si="17265"/>
        <v>0</v>
      </c>
      <c r="JI835" s="89">
        <f t="shared" si="17266"/>
        <v>0</v>
      </c>
      <c r="JJ835" s="89">
        <v>0</v>
      </c>
      <c r="JK835" s="89">
        <f t="shared" si="17267"/>
        <v>0</v>
      </c>
      <c r="JL835" s="89">
        <f t="shared" si="17268"/>
        <v>0</v>
      </c>
      <c r="JM835" s="89">
        <v>0</v>
      </c>
      <c r="JN835" s="89">
        <f t="shared" si="17269"/>
        <v>0</v>
      </c>
      <c r="JO835" s="89">
        <f t="shared" si="17270"/>
        <v>0</v>
      </c>
      <c r="JP835" s="89">
        <v>0</v>
      </c>
      <c r="JQ835" s="89">
        <f t="shared" si="17271"/>
        <v>0</v>
      </c>
      <c r="JR835" s="89">
        <f t="shared" si="17272"/>
        <v>0</v>
      </c>
      <c r="JS835" s="74">
        <f t="shared" si="17273"/>
        <v>0</v>
      </c>
      <c r="JT835" s="382">
        <f t="shared" si="17274"/>
        <v>0</v>
      </c>
      <c r="JU835" s="665"/>
      <c r="JV835" s="524"/>
      <c r="JW835" s="525"/>
      <c r="JX835" s="549">
        <f t="shared" si="17275"/>
        <v>0</v>
      </c>
      <c r="JY835" s="549">
        <f t="shared" si="17176"/>
        <v>40000</v>
      </c>
      <c r="JZ835" s="581">
        <f t="shared" si="16466"/>
        <v>0</v>
      </c>
      <c r="KA835" s="581">
        <f t="shared" si="16467"/>
        <v>-40000</v>
      </c>
      <c r="KB835" s="566">
        <f t="shared" si="17276"/>
        <v>0</v>
      </c>
      <c r="KC835" s="709">
        <f t="shared" si="17277"/>
        <v>0</v>
      </c>
      <c r="KD835" s="491"/>
      <c r="KE835" s="491"/>
      <c r="KF835" s="491"/>
      <c r="KG835" s="491"/>
      <c r="KH835" s="36"/>
      <c r="KI835" s="36"/>
      <c r="KJ835" s="36"/>
      <c r="KK835" s="36"/>
    </row>
    <row r="836" spans="1:297" s="10" customFormat="1" ht="12.75" hidden="1" customHeight="1">
      <c r="A836" s="612" t="s">
        <v>1091</v>
      </c>
      <c r="B836" s="512"/>
      <c r="C836" s="74">
        <v>0</v>
      </c>
      <c r="D836" s="549">
        <v>0</v>
      </c>
      <c r="E836" s="675">
        <v>0</v>
      </c>
      <c r="F836" s="549">
        <v>0</v>
      </c>
      <c r="G836" s="675">
        <v>0</v>
      </c>
      <c r="H836" s="549">
        <v>0</v>
      </c>
      <c r="I836" s="675">
        <v>0</v>
      </c>
      <c r="J836" s="549">
        <v>0</v>
      </c>
      <c r="K836" s="675">
        <v>0</v>
      </c>
      <c r="L836" s="549">
        <v>0</v>
      </c>
      <c r="M836" s="675">
        <v>0</v>
      </c>
      <c r="N836" s="549">
        <v>0</v>
      </c>
      <c r="O836" s="675">
        <v>0</v>
      </c>
      <c r="P836" s="549">
        <v>0</v>
      </c>
      <c r="Q836" s="675">
        <v>0</v>
      </c>
      <c r="R836" s="549">
        <v>0</v>
      </c>
      <c r="S836" s="675">
        <v>0</v>
      </c>
      <c r="T836" s="549">
        <v>0</v>
      </c>
      <c r="U836" s="675">
        <v>0</v>
      </c>
      <c r="V836" s="549">
        <v>0</v>
      </c>
      <c r="W836" s="675">
        <v>0</v>
      </c>
      <c r="X836" s="549">
        <v>0</v>
      </c>
      <c r="Y836" s="675">
        <v>0</v>
      </c>
      <c r="Z836" s="549">
        <v>0</v>
      </c>
      <c r="AA836" s="675">
        <v>0</v>
      </c>
      <c r="AB836" s="549">
        <v>0</v>
      </c>
      <c r="AC836" s="675">
        <v>0</v>
      </c>
      <c r="AD836" s="549">
        <v>0</v>
      </c>
      <c r="AE836" s="675">
        <v>0</v>
      </c>
      <c r="AF836" s="549">
        <v>0</v>
      </c>
      <c r="AG836" s="675">
        <v>0</v>
      </c>
      <c r="AH836" s="549">
        <v>0</v>
      </c>
      <c r="AI836" s="675">
        <v>0</v>
      </c>
      <c r="AJ836" s="549">
        <v>0</v>
      </c>
      <c r="AK836" s="675">
        <v>0</v>
      </c>
      <c r="AL836" s="549">
        <v>0</v>
      </c>
      <c r="AM836" s="675">
        <v>0</v>
      </c>
      <c r="AN836" s="549">
        <v>0</v>
      </c>
      <c r="AO836" s="675">
        <v>0</v>
      </c>
      <c r="AP836" s="549">
        <v>0</v>
      </c>
      <c r="AQ836" s="675">
        <v>0</v>
      </c>
      <c r="AR836" s="549">
        <v>0</v>
      </c>
      <c r="AS836" s="675">
        <v>0</v>
      </c>
      <c r="AT836" s="549">
        <v>0</v>
      </c>
      <c r="AU836" s="675">
        <v>0</v>
      </c>
      <c r="AV836" s="549">
        <v>0</v>
      </c>
      <c r="AW836" s="675">
        <v>0</v>
      </c>
      <c r="AX836" s="549">
        <v>0</v>
      </c>
      <c r="AY836" s="675">
        <v>0</v>
      </c>
      <c r="AZ836" s="549">
        <v>0</v>
      </c>
      <c r="BA836" s="675">
        <v>0</v>
      </c>
      <c r="BB836" s="549">
        <v>0</v>
      </c>
      <c r="BC836" s="675">
        <v>0</v>
      </c>
      <c r="BD836" s="549">
        <v>0</v>
      </c>
      <c r="BE836" s="675">
        <v>0</v>
      </c>
      <c r="BF836" s="549">
        <v>0</v>
      </c>
      <c r="BG836" s="675">
        <v>0</v>
      </c>
      <c r="BH836" s="549">
        <v>0</v>
      </c>
      <c r="BI836" s="675">
        <v>0</v>
      </c>
      <c r="BJ836" s="549">
        <v>0</v>
      </c>
      <c r="BK836" s="675">
        <v>0</v>
      </c>
      <c r="BL836" s="549">
        <v>0</v>
      </c>
      <c r="BM836" s="675">
        <v>0</v>
      </c>
      <c r="BN836" s="549">
        <v>0</v>
      </c>
      <c r="BO836" s="675">
        <v>0</v>
      </c>
      <c r="BP836" s="549">
        <v>0</v>
      </c>
      <c r="BQ836" s="675">
        <v>0</v>
      </c>
      <c r="BR836" s="549">
        <v>0</v>
      </c>
      <c r="BS836" s="675">
        <v>0</v>
      </c>
      <c r="BT836" s="549">
        <v>0</v>
      </c>
      <c r="BU836" s="675">
        <v>0</v>
      </c>
      <c r="BV836" s="549">
        <v>0</v>
      </c>
      <c r="BW836" s="675">
        <v>0</v>
      </c>
      <c r="BX836" s="549">
        <v>0</v>
      </c>
      <c r="BY836" s="675">
        <v>0</v>
      </c>
      <c r="BZ836" s="549">
        <v>0</v>
      </c>
      <c r="CA836" s="675">
        <v>0</v>
      </c>
      <c r="CB836" s="549">
        <v>0</v>
      </c>
      <c r="CC836" s="675">
        <v>0</v>
      </c>
      <c r="CD836" s="549">
        <v>0</v>
      </c>
      <c r="CE836" s="675">
        <v>0</v>
      </c>
      <c r="CF836" s="549">
        <v>0</v>
      </c>
      <c r="CG836" s="675">
        <v>0</v>
      </c>
      <c r="CH836" s="549">
        <v>0</v>
      </c>
      <c r="CI836" s="675">
        <v>0</v>
      </c>
      <c r="CJ836" s="549">
        <v>0</v>
      </c>
      <c r="CK836" s="675">
        <v>0</v>
      </c>
      <c r="CL836" s="549">
        <v>0</v>
      </c>
      <c r="CM836" s="675">
        <v>0</v>
      </c>
      <c r="CN836" s="549">
        <v>0</v>
      </c>
      <c r="CO836" s="675">
        <v>0</v>
      </c>
      <c r="CP836" s="549">
        <v>0</v>
      </c>
      <c r="CQ836" s="675">
        <v>0</v>
      </c>
      <c r="CR836" s="549">
        <v>0</v>
      </c>
      <c r="CS836" s="675">
        <v>0</v>
      </c>
      <c r="CT836" s="549">
        <v>0</v>
      </c>
      <c r="CU836" s="675">
        <v>0</v>
      </c>
      <c r="CV836" s="549">
        <v>0</v>
      </c>
      <c r="CW836" s="675">
        <v>0</v>
      </c>
      <c r="CX836" s="549">
        <v>0</v>
      </c>
      <c r="CY836" s="675">
        <v>0</v>
      </c>
      <c r="CZ836" s="549">
        <v>0</v>
      </c>
      <c r="DA836" s="675">
        <v>0</v>
      </c>
      <c r="DB836" s="549">
        <v>0</v>
      </c>
      <c r="DC836" s="675">
        <v>0</v>
      </c>
      <c r="DD836" s="549">
        <v>0</v>
      </c>
      <c r="DE836" s="675">
        <v>0</v>
      </c>
      <c r="DF836" s="549">
        <v>0</v>
      </c>
      <c r="DG836" s="675">
        <v>0</v>
      </c>
      <c r="DH836" s="549">
        <v>0</v>
      </c>
      <c r="DI836" s="675">
        <v>0</v>
      </c>
      <c r="DJ836" s="549">
        <v>0</v>
      </c>
      <c r="DK836" s="675">
        <v>0</v>
      </c>
      <c r="DL836" s="549">
        <v>0</v>
      </c>
      <c r="DM836" s="675">
        <v>0</v>
      </c>
      <c r="DN836" s="549">
        <v>0</v>
      </c>
      <c r="DO836" s="675">
        <v>0</v>
      </c>
      <c r="DP836" s="549">
        <v>0</v>
      </c>
      <c r="DQ836" s="675">
        <v>0</v>
      </c>
      <c r="DR836" s="549">
        <v>0</v>
      </c>
      <c r="DS836" s="675">
        <v>0</v>
      </c>
      <c r="DT836" s="549">
        <v>0</v>
      </c>
      <c r="DU836" s="675">
        <v>0</v>
      </c>
      <c r="DV836" s="549">
        <v>0</v>
      </c>
      <c r="DW836" s="675">
        <v>0</v>
      </c>
      <c r="DX836" s="549">
        <v>0</v>
      </c>
      <c r="DY836" s="675">
        <v>0</v>
      </c>
      <c r="DZ836" s="549">
        <v>0</v>
      </c>
      <c r="EA836" s="675">
        <v>0</v>
      </c>
      <c r="EB836" s="549">
        <v>0</v>
      </c>
      <c r="EC836" s="675">
        <v>0</v>
      </c>
      <c r="ED836" s="549">
        <v>0</v>
      </c>
      <c r="EE836" s="675">
        <v>0</v>
      </c>
      <c r="EF836" s="549">
        <v>0</v>
      </c>
      <c r="EG836" s="675">
        <v>0</v>
      </c>
      <c r="EH836" s="549">
        <v>0</v>
      </c>
      <c r="EI836" s="675">
        <v>0</v>
      </c>
      <c r="EJ836" s="549">
        <v>0</v>
      </c>
      <c r="EK836" s="675">
        <v>0</v>
      </c>
      <c r="EL836" s="549">
        <v>0</v>
      </c>
      <c r="EM836" s="675">
        <v>0</v>
      </c>
      <c r="EN836" s="549">
        <v>0</v>
      </c>
      <c r="EO836" s="675">
        <v>0</v>
      </c>
      <c r="EP836" s="549">
        <v>0</v>
      </c>
      <c r="EQ836" s="675">
        <v>0</v>
      </c>
      <c r="ER836" s="549">
        <v>0</v>
      </c>
      <c r="ES836" s="675">
        <v>0</v>
      </c>
      <c r="ET836" s="549">
        <v>0</v>
      </c>
      <c r="EU836" s="675">
        <v>0</v>
      </c>
      <c r="EV836" s="549">
        <v>0</v>
      </c>
      <c r="EW836" s="675">
        <v>0</v>
      </c>
      <c r="EX836" s="549">
        <v>0</v>
      </c>
      <c r="EY836" s="675">
        <v>0</v>
      </c>
      <c r="EZ836" s="549">
        <v>0</v>
      </c>
      <c r="FA836" s="675">
        <v>0</v>
      </c>
      <c r="FB836" s="549">
        <v>0</v>
      </c>
      <c r="FC836" s="675">
        <v>0</v>
      </c>
      <c r="FD836" s="549">
        <v>0</v>
      </c>
      <c r="FE836" s="675">
        <v>0</v>
      </c>
      <c r="FF836" s="549">
        <v>0</v>
      </c>
      <c r="FG836" s="675">
        <v>0</v>
      </c>
      <c r="FH836" s="549">
        <v>0</v>
      </c>
      <c r="FI836" s="675">
        <v>0</v>
      </c>
      <c r="FJ836" s="549">
        <v>0</v>
      </c>
      <c r="FK836" s="675">
        <v>0</v>
      </c>
      <c r="FL836" s="549">
        <v>0</v>
      </c>
      <c r="FM836" s="675">
        <v>0</v>
      </c>
      <c r="FN836" s="549">
        <v>0</v>
      </c>
      <c r="FO836" s="675">
        <v>0</v>
      </c>
      <c r="FP836" s="549">
        <v>0</v>
      </c>
      <c r="FQ836" s="675">
        <v>0</v>
      </c>
      <c r="FR836" s="549">
        <v>0</v>
      </c>
      <c r="FS836" s="675">
        <v>0</v>
      </c>
      <c r="FT836" s="549">
        <v>0</v>
      </c>
      <c r="FU836" s="675">
        <v>0</v>
      </c>
      <c r="FV836" s="549">
        <v>0</v>
      </c>
      <c r="FW836" s="675">
        <v>0</v>
      </c>
      <c r="FX836" s="549">
        <v>0</v>
      </c>
      <c r="FY836" s="675">
        <v>0</v>
      </c>
      <c r="FZ836" s="549">
        <v>0</v>
      </c>
      <c r="GA836" s="675">
        <v>0</v>
      </c>
      <c r="GB836" s="549">
        <v>0</v>
      </c>
      <c r="GC836" s="675">
        <v>0</v>
      </c>
      <c r="GD836" s="549">
        <v>0</v>
      </c>
      <c r="GE836" s="675">
        <v>0</v>
      </c>
      <c r="GF836" s="549">
        <v>0</v>
      </c>
      <c r="GG836" s="675">
        <v>0</v>
      </c>
      <c r="GH836" s="549">
        <v>0</v>
      </c>
      <c r="GI836" s="675">
        <v>0</v>
      </c>
      <c r="GJ836" s="549">
        <v>0</v>
      </c>
      <c r="GK836" s="675">
        <v>0</v>
      </c>
      <c r="GL836" s="549">
        <v>0</v>
      </c>
      <c r="GM836" s="675">
        <v>0</v>
      </c>
      <c r="GN836" s="549">
        <v>0</v>
      </c>
      <c r="GO836" s="675">
        <v>0</v>
      </c>
      <c r="GP836" s="549">
        <f t="shared" si="17240"/>
        <v>0</v>
      </c>
      <c r="GQ836" s="675">
        <f t="shared" si="17241"/>
        <v>0</v>
      </c>
      <c r="GR836" s="74">
        <f t="shared" si="17242"/>
        <v>0</v>
      </c>
      <c r="GS836" s="74">
        <f t="shared" si="17243"/>
        <v>0</v>
      </c>
      <c r="GT836" s="568">
        <f t="shared" si="17244"/>
        <v>0</v>
      </c>
      <c r="GU836" s="275"/>
      <c r="GV836" s="275"/>
      <c r="GW836" s="588"/>
      <c r="GX836" s="588"/>
      <c r="GY836" s="275"/>
      <c r="GZ836" s="275"/>
      <c r="HA836" s="275"/>
      <c r="HB836" s="275"/>
      <c r="HC836" s="275"/>
      <c r="HD836" s="275"/>
      <c r="HE836" s="275"/>
      <c r="HF836" s="275"/>
      <c r="HG836" s="74">
        <f t="shared" si="17245"/>
        <v>0</v>
      </c>
      <c r="HH836" s="89">
        <v>0</v>
      </c>
      <c r="HI836" s="157">
        <v>0</v>
      </c>
      <c r="HJ836" s="89">
        <v>0</v>
      </c>
      <c r="HK836" s="157">
        <v>0</v>
      </c>
      <c r="HL836" s="89">
        <v>0</v>
      </c>
      <c r="HM836" s="157">
        <v>0</v>
      </c>
      <c r="HN836" s="89">
        <v>0</v>
      </c>
      <c r="HO836" s="157">
        <v>0</v>
      </c>
      <c r="HP836" s="89">
        <v>0</v>
      </c>
      <c r="HQ836" s="157">
        <v>0</v>
      </c>
      <c r="HR836" s="89">
        <v>0</v>
      </c>
      <c r="HS836" s="157">
        <v>0</v>
      </c>
      <c r="HT836" s="89">
        <v>0</v>
      </c>
      <c r="HU836" s="157">
        <v>0</v>
      </c>
      <c r="HV836" s="89">
        <v>0</v>
      </c>
      <c r="HW836" s="157">
        <v>0</v>
      </c>
      <c r="HX836" s="89">
        <v>0</v>
      </c>
      <c r="HY836" s="157">
        <v>0</v>
      </c>
      <c r="HZ836" s="89">
        <v>0</v>
      </c>
      <c r="IA836" s="157">
        <v>0</v>
      </c>
      <c r="IB836" s="89">
        <v>0</v>
      </c>
      <c r="IC836" s="157">
        <v>0</v>
      </c>
      <c r="ID836" s="89">
        <v>0</v>
      </c>
      <c r="IE836" s="157">
        <v>0</v>
      </c>
      <c r="IF836" s="717">
        <f t="shared" si="17246"/>
        <v>0</v>
      </c>
      <c r="IG836" s="263">
        <f t="shared" si="17247"/>
        <v>0</v>
      </c>
      <c r="IH836" s="718">
        <f t="shared" si="17248"/>
        <v>0</v>
      </c>
      <c r="II836" s="89">
        <v>0</v>
      </c>
      <c r="IJ836" s="89">
        <f t="shared" si="17249"/>
        <v>0</v>
      </c>
      <c r="IK836" s="89">
        <f t="shared" si="17250"/>
        <v>0</v>
      </c>
      <c r="IL836" s="89">
        <v>0</v>
      </c>
      <c r="IM836" s="89">
        <f t="shared" si="17251"/>
        <v>0</v>
      </c>
      <c r="IN836" s="89">
        <f t="shared" si="17252"/>
        <v>0</v>
      </c>
      <c r="IO836" s="89">
        <v>0</v>
      </c>
      <c r="IP836" s="89">
        <f t="shared" si="17253"/>
        <v>0</v>
      </c>
      <c r="IQ836" s="89">
        <f t="shared" si="17254"/>
        <v>0</v>
      </c>
      <c r="IR836" s="89">
        <v>0</v>
      </c>
      <c r="IS836" s="89">
        <f t="shared" si="17255"/>
        <v>0</v>
      </c>
      <c r="IT836" s="89">
        <f t="shared" si="17256"/>
        <v>0</v>
      </c>
      <c r="IU836" s="89">
        <v>0</v>
      </c>
      <c r="IV836" s="89">
        <f t="shared" si="17257"/>
        <v>0</v>
      </c>
      <c r="IW836" s="89">
        <f t="shared" si="17258"/>
        <v>0</v>
      </c>
      <c r="IX836" s="89">
        <v>0</v>
      </c>
      <c r="IY836" s="89">
        <f t="shared" si="17259"/>
        <v>0</v>
      </c>
      <c r="IZ836" s="89">
        <f t="shared" si="17260"/>
        <v>0</v>
      </c>
      <c r="JA836" s="89">
        <v>0</v>
      </c>
      <c r="JB836" s="89">
        <f t="shared" si="17261"/>
        <v>0</v>
      </c>
      <c r="JC836" s="89">
        <f t="shared" si="17262"/>
        <v>0</v>
      </c>
      <c r="JD836" s="89">
        <v>0</v>
      </c>
      <c r="JE836" s="89">
        <f t="shared" si="17263"/>
        <v>0</v>
      </c>
      <c r="JF836" s="89">
        <f t="shared" si="17264"/>
        <v>0</v>
      </c>
      <c r="JG836" s="89">
        <v>0</v>
      </c>
      <c r="JH836" s="89">
        <f t="shared" si="17265"/>
        <v>0</v>
      </c>
      <c r="JI836" s="89">
        <f t="shared" si="17266"/>
        <v>0</v>
      </c>
      <c r="JJ836" s="89">
        <v>0</v>
      </c>
      <c r="JK836" s="89">
        <f t="shared" si="17267"/>
        <v>0</v>
      </c>
      <c r="JL836" s="89">
        <f t="shared" si="17268"/>
        <v>0</v>
      </c>
      <c r="JM836" s="89">
        <v>0</v>
      </c>
      <c r="JN836" s="89">
        <f t="shared" si="17269"/>
        <v>0</v>
      </c>
      <c r="JO836" s="89">
        <f t="shared" si="17270"/>
        <v>0</v>
      </c>
      <c r="JP836" s="89">
        <v>0</v>
      </c>
      <c r="JQ836" s="89">
        <f t="shared" si="17271"/>
        <v>0</v>
      </c>
      <c r="JR836" s="89">
        <f t="shared" si="17272"/>
        <v>0</v>
      </c>
      <c r="JS836" s="74">
        <f>HG836-IF836</f>
        <v>0</v>
      </c>
      <c r="JT836" s="382">
        <f>GS836-IF836</f>
        <v>0</v>
      </c>
      <c r="JU836" s="665"/>
      <c r="JV836" s="524"/>
      <c r="JW836" s="525"/>
      <c r="JX836" s="549">
        <f>SUM(HH836,HJ836,HL836,HN836,HP836,HR836,HT836,HV836,HX836,HZ836,IB836,ID836)</f>
        <v>0</v>
      </c>
      <c r="JY836" s="549">
        <f t="shared" si="17176"/>
        <v>0</v>
      </c>
      <c r="JZ836" s="581">
        <f t="shared" si="16466"/>
        <v>0</v>
      </c>
      <c r="KA836" s="581">
        <f t="shared" si="16467"/>
        <v>0</v>
      </c>
      <c r="KB836" s="566">
        <f t="shared" si="17276"/>
        <v>0</v>
      </c>
      <c r="KC836" s="709">
        <f t="shared" si="17277"/>
        <v>0</v>
      </c>
      <c r="KD836" s="491"/>
      <c r="KE836" s="491"/>
      <c r="KF836" s="491"/>
      <c r="KG836" s="491"/>
      <c r="KH836" s="36"/>
      <c r="KI836" s="36"/>
      <c r="KJ836" s="36"/>
      <c r="KK836" s="36"/>
    </row>
    <row r="837" spans="1:297" s="10" customFormat="1">
      <c r="A837" s="612" t="s">
        <v>1001</v>
      </c>
      <c r="B837" s="512" t="s">
        <v>1002</v>
      </c>
      <c r="C837" s="74">
        <v>10000</v>
      </c>
      <c r="D837" s="549">
        <v>0</v>
      </c>
      <c r="E837" s="675">
        <v>0</v>
      </c>
      <c r="F837" s="549">
        <v>0</v>
      </c>
      <c r="G837" s="675">
        <v>0</v>
      </c>
      <c r="H837" s="549">
        <v>0</v>
      </c>
      <c r="I837" s="675">
        <v>0</v>
      </c>
      <c r="J837" s="549">
        <v>0</v>
      </c>
      <c r="K837" s="675">
        <v>0</v>
      </c>
      <c r="L837" s="549">
        <v>0</v>
      </c>
      <c r="M837" s="675">
        <v>0</v>
      </c>
      <c r="N837" s="549">
        <v>0</v>
      </c>
      <c r="O837" s="675">
        <v>0</v>
      </c>
      <c r="P837" s="549">
        <v>0</v>
      </c>
      <c r="Q837" s="675">
        <v>0</v>
      </c>
      <c r="R837" s="549">
        <v>0</v>
      </c>
      <c r="S837" s="675">
        <v>0</v>
      </c>
      <c r="T837" s="549">
        <v>0</v>
      </c>
      <c r="U837" s="675">
        <v>0</v>
      </c>
      <c r="V837" s="549">
        <v>0</v>
      </c>
      <c r="W837" s="675">
        <v>0</v>
      </c>
      <c r="X837" s="549">
        <v>0</v>
      </c>
      <c r="Y837" s="675">
        <v>0</v>
      </c>
      <c r="Z837" s="549">
        <v>0</v>
      </c>
      <c r="AA837" s="675">
        <v>0</v>
      </c>
      <c r="AB837" s="549">
        <v>0</v>
      </c>
      <c r="AC837" s="675">
        <v>0</v>
      </c>
      <c r="AD837" s="549">
        <v>0</v>
      </c>
      <c r="AE837" s="675">
        <v>0</v>
      </c>
      <c r="AF837" s="549">
        <v>0</v>
      </c>
      <c r="AG837" s="675">
        <v>0</v>
      </c>
      <c r="AH837" s="549">
        <v>0</v>
      </c>
      <c r="AI837" s="675">
        <v>0</v>
      </c>
      <c r="AJ837" s="549">
        <v>0</v>
      </c>
      <c r="AK837" s="675">
        <v>0</v>
      </c>
      <c r="AL837" s="549">
        <v>0</v>
      </c>
      <c r="AM837" s="675">
        <v>0</v>
      </c>
      <c r="AN837" s="549">
        <v>0</v>
      </c>
      <c r="AO837" s="675">
        <v>0</v>
      </c>
      <c r="AP837" s="549">
        <v>0</v>
      </c>
      <c r="AQ837" s="675">
        <v>0</v>
      </c>
      <c r="AR837" s="549">
        <v>0</v>
      </c>
      <c r="AS837" s="675">
        <v>0</v>
      </c>
      <c r="AT837" s="549">
        <v>0</v>
      </c>
      <c r="AU837" s="675">
        <v>0</v>
      </c>
      <c r="AV837" s="549">
        <v>0</v>
      </c>
      <c r="AW837" s="675">
        <v>0</v>
      </c>
      <c r="AX837" s="549">
        <v>0</v>
      </c>
      <c r="AY837" s="675">
        <v>0</v>
      </c>
      <c r="AZ837" s="549">
        <v>0</v>
      </c>
      <c r="BA837" s="675">
        <v>0</v>
      </c>
      <c r="BB837" s="549">
        <v>0</v>
      </c>
      <c r="BC837" s="675">
        <v>0</v>
      </c>
      <c r="BD837" s="549">
        <v>0</v>
      </c>
      <c r="BE837" s="675">
        <v>0</v>
      </c>
      <c r="BF837" s="549">
        <v>0</v>
      </c>
      <c r="BG837" s="675">
        <v>0</v>
      </c>
      <c r="BH837" s="549">
        <v>0</v>
      </c>
      <c r="BI837" s="675">
        <v>0</v>
      </c>
      <c r="BJ837" s="549">
        <v>0</v>
      </c>
      <c r="BK837" s="675">
        <v>0</v>
      </c>
      <c r="BL837" s="549">
        <v>0</v>
      </c>
      <c r="BM837" s="675">
        <v>0</v>
      </c>
      <c r="BN837" s="549">
        <v>0</v>
      </c>
      <c r="BO837" s="675">
        <v>0</v>
      </c>
      <c r="BP837" s="549">
        <v>0</v>
      </c>
      <c r="BQ837" s="675">
        <v>0</v>
      </c>
      <c r="BR837" s="549">
        <v>0</v>
      </c>
      <c r="BS837" s="675">
        <v>0</v>
      </c>
      <c r="BT837" s="549">
        <v>0</v>
      </c>
      <c r="BU837" s="675">
        <v>0</v>
      </c>
      <c r="BV837" s="549">
        <v>0</v>
      </c>
      <c r="BW837" s="675">
        <v>0</v>
      </c>
      <c r="BX837" s="549">
        <v>0</v>
      </c>
      <c r="BY837" s="675">
        <v>0</v>
      </c>
      <c r="BZ837" s="549">
        <v>0</v>
      </c>
      <c r="CA837" s="675">
        <v>0</v>
      </c>
      <c r="CB837" s="549">
        <v>0</v>
      </c>
      <c r="CC837" s="675">
        <v>0</v>
      </c>
      <c r="CD837" s="549">
        <v>0</v>
      </c>
      <c r="CE837" s="675">
        <v>0</v>
      </c>
      <c r="CF837" s="549">
        <v>0</v>
      </c>
      <c r="CG837" s="675">
        <v>-10000</v>
      </c>
      <c r="CH837" s="549">
        <v>0</v>
      </c>
      <c r="CI837" s="675">
        <v>0</v>
      </c>
      <c r="CJ837" s="549">
        <v>0</v>
      </c>
      <c r="CK837" s="675">
        <v>0</v>
      </c>
      <c r="CL837" s="549">
        <v>0</v>
      </c>
      <c r="CM837" s="675">
        <v>0</v>
      </c>
      <c r="CN837" s="549">
        <v>0</v>
      </c>
      <c r="CO837" s="675">
        <v>0</v>
      </c>
      <c r="CP837" s="549">
        <v>0</v>
      </c>
      <c r="CQ837" s="675">
        <v>0</v>
      </c>
      <c r="CR837" s="549">
        <v>0</v>
      </c>
      <c r="CS837" s="675">
        <v>0</v>
      </c>
      <c r="CT837" s="549">
        <v>0</v>
      </c>
      <c r="CU837" s="675">
        <v>0</v>
      </c>
      <c r="CV837" s="549">
        <v>0</v>
      </c>
      <c r="CW837" s="675">
        <v>0</v>
      </c>
      <c r="CX837" s="549">
        <v>0</v>
      </c>
      <c r="CY837" s="675">
        <v>0</v>
      </c>
      <c r="CZ837" s="549">
        <v>0</v>
      </c>
      <c r="DA837" s="675">
        <v>0</v>
      </c>
      <c r="DB837" s="549">
        <v>0</v>
      </c>
      <c r="DC837" s="675">
        <v>0</v>
      </c>
      <c r="DD837" s="549">
        <v>0</v>
      </c>
      <c r="DE837" s="675">
        <v>0</v>
      </c>
      <c r="DF837" s="549">
        <v>0</v>
      </c>
      <c r="DG837" s="675">
        <v>0</v>
      </c>
      <c r="DH837" s="549">
        <v>0</v>
      </c>
      <c r="DI837" s="675">
        <v>0</v>
      </c>
      <c r="DJ837" s="549">
        <v>0</v>
      </c>
      <c r="DK837" s="675">
        <v>0</v>
      </c>
      <c r="DL837" s="549">
        <v>0</v>
      </c>
      <c r="DM837" s="675">
        <v>0</v>
      </c>
      <c r="DN837" s="549">
        <v>0</v>
      </c>
      <c r="DO837" s="675">
        <v>0</v>
      </c>
      <c r="DP837" s="549">
        <v>0</v>
      </c>
      <c r="DQ837" s="675">
        <v>0</v>
      </c>
      <c r="DR837" s="549">
        <v>0</v>
      </c>
      <c r="DS837" s="675">
        <v>0</v>
      </c>
      <c r="DT837" s="549">
        <v>0</v>
      </c>
      <c r="DU837" s="675">
        <v>0</v>
      </c>
      <c r="DV837" s="549">
        <v>0</v>
      </c>
      <c r="DW837" s="675">
        <v>0</v>
      </c>
      <c r="DX837" s="549">
        <v>0</v>
      </c>
      <c r="DY837" s="675">
        <v>0</v>
      </c>
      <c r="DZ837" s="549">
        <v>0</v>
      </c>
      <c r="EA837" s="675">
        <v>0</v>
      </c>
      <c r="EB837" s="549">
        <v>0</v>
      </c>
      <c r="EC837" s="675">
        <v>0</v>
      </c>
      <c r="ED837" s="549">
        <v>0</v>
      </c>
      <c r="EE837" s="675">
        <v>0</v>
      </c>
      <c r="EF837" s="549">
        <v>0</v>
      </c>
      <c r="EG837" s="675">
        <v>0</v>
      </c>
      <c r="EH837" s="549">
        <v>0</v>
      </c>
      <c r="EI837" s="675">
        <v>0</v>
      </c>
      <c r="EJ837" s="549">
        <v>0</v>
      </c>
      <c r="EK837" s="675">
        <v>0</v>
      </c>
      <c r="EL837" s="549">
        <v>0</v>
      </c>
      <c r="EM837" s="675">
        <v>0</v>
      </c>
      <c r="EN837" s="549">
        <v>0</v>
      </c>
      <c r="EO837" s="675">
        <v>0</v>
      </c>
      <c r="EP837" s="549">
        <v>0</v>
      </c>
      <c r="EQ837" s="675">
        <v>0</v>
      </c>
      <c r="ER837" s="549">
        <v>0</v>
      </c>
      <c r="ES837" s="675">
        <v>0</v>
      </c>
      <c r="ET837" s="549">
        <v>0</v>
      </c>
      <c r="EU837" s="675">
        <v>0</v>
      </c>
      <c r="EV837" s="549">
        <v>0</v>
      </c>
      <c r="EW837" s="675">
        <v>0</v>
      </c>
      <c r="EX837" s="549">
        <v>0</v>
      </c>
      <c r="EY837" s="675">
        <v>0</v>
      </c>
      <c r="EZ837" s="549">
        <v>0</v>
      </c>
      <c r="FA837" s="675">
        <v>0</v>
      </c>
      <c r="FB837" s="549">
        <v>0</v>
      </c>
      <c r="FC837" s="675">
        <v>0</v>
      </c>
      <c r="FD837" s="549">
        <v>0</v>
      </c>
      <c r="FE837" s="675">
        <v>0</v>
      </c>
      <c r="FF837" s="549">
        <v>0</v>
      </c>
      <c r="FG837" s="675">
        <v>0</v>
      </c>
      <c r="FH837" s="549">
        <v>0</v>
      </c>
      <c r="FI837" s="675">
        <v>0</v>
      </c>
      <c r="FJ837" s="549">
        <v>0</v>
      </c>
      <c r="FK837" s="675">
        <v>0</v>
      </c>
      <c r="FL837" s="549">
        <v>0</v>
      </c>
      <c r="FM837" s="675">
        <v>0</v>
      </c>
      <c r="FN837" s="549">
        <v>0</v>
      </c>
      <c r="FO837" s="675">
        <v>0</v>
      </c>
      <c r="FP837" s="549">
        <v>0</v>
      </c>
      <c r="FQ837" s="675">
        <v>0</v>
      </c>
      <c r="FR837" s="549">
        <v>0</v>
      </c>
      <c r="FS837" s="675">
        <v>0</v>
      </c>
      <c r="FT837" s="549">
        <v>0</v>
      </c>
      <c r="FU837" s="675">
        <v>0</v>
      </c>
      <c r="FV837" s="549">
        <v>0</v>
      </c>
      <c r="FW837" s="675">
        <v>0</v>
      </c>
      <c r="FX837" s="549">
        <v>0</v>
      </c>
      <c r="FY837" s="675">
        <v>0</v>
      </c>
      <c r="FZ837" s="549">
        <v>0</v>
      </c>
      <c r="GA837" s="675">
        <v>0</v>
      </c>
      <c r="GB837" s="549">
        <v>0</v>
      </c>
      <c r="GC837" s="675">
        <v>0</v>
      </c>
      <c r="GD837" s="549">
        <v>0</v>
      </c>
      <c r="GE837" s="675">
        <v>0</v>
      </c>
      <c r="GF837" s="549">
        <v>0</v>
      </c>
      <c r="GG837" s="675">
        <v>0</v>
      </c>
      <c r="GH837" s="549">
        <v>0</v>
      </c>
      <c r="GI837" s="675">
        <v>0</v>
      </c>
      <c r="GJ837" s="549">
        <v>0</v>
      </c>
      <c r="GK837" s="675">
        <v>0</v>
      </c>
      <c r="GL837" s="549">
        <v>0</v>
      </c>
      <c r="GM837" s="675">
        <v>0</v>
      </c>
      <c r="GN837" s="549">
        <v>0</v>
      </c>
      <c r="GO837" s="675">
        <v>0</v>
      </c>
      <c r="GP837" s="549">
        <f t="shared" si="17240"/>
        <v>0</v>
      </c>
      <c r="GQ837" s="675">
        <f t="shared" si="17241"/>
        <v>-10000</v>
      </c>
      <c r="GR837" s="74">
        <f t="shared" si="17242"/>
        <v>0</v>
      </c>
      <c r="GS837" s="74">
        <f t="shared" si="17243"/>
        <v>0</v>
      </c>
      <c r="GT837" s="568">
        <f t="shared" si="17244"/>
        <v>0</v>
      </c>
      <c r="GU837" s="275">
        <v>2000</v>
      </c>
      <c r="GV837" s="275"/>
      <c r="GW837" s="588"/>
      <c r="GX837" s="275">
        <v>3000</v>
      </c>
      <c r="GY837" s="275"/>
      <c r="GZ837" s="275">
        <v>5000</v>
      </c>
      <c r="HA837" s="275">
        <f>3000-3000</f>
        <v>0</v>
      </c>
      <c r="HB837" s="275"/>
      <c r="HC837" s="275"/>
      <c r="HD837" s="275">
        <f>2000-2000</f>
        <v>0</v>
      </c>
      <c r="HE837" s="275"/>
      <c r="HF837" s="275"/>
      <c r="HG837" s="74">
        <f t="shared" si="17245"/>
        <v>0</v>
      </c>
      <c r="HH837" s="89">
        <v>0</v>
      </c>
      <c r="HI837" s="157">
        <v>0</v>
      </c>
      <c r="HJ837" s="89">
        <v>0</v>
      </c>
      <c r="HK837" s="157">
        <v>0</v>
      </c>
      <c r="HL837" s="89">
        <v>0</v>
      </c>
      <c r="HM837" s="157">
        <v>0</v>
      </c>
      <c r="HN837" s="89">
        <v>0</v>
      </c>
      <c r="HO837" s="157">
        <v>5000</v>
      </c>
      <c r="HP837" s="89">
        <v>0</v>
      </c>
      <c r="HQ837" s="157">
        <v>0</v>
      </c>
      <c r="HR837" s="89">
        <v>0</v>
      </c>
      <c r="HS837" s="157">
        <v>5000</v>
      </c>
      <c r="HT837" s="89">
        <v>0</v>
      </c>
      <c r="HU837" s="157">
        <v>0</v>
      </c>
      <c r="HV837" s="89">
        <v>0</v>
      </c>
      <c r="HW837" s="157">
        <v>0</v>
      </c>
      <c r="HX837" s="89">
        <v>0</v>
      </c>
      <c r="HY837" s="157">
        <v>0</v>
      </c>
      <c r="HZ837" s="89">
        <v>0</v>
      </c>
      <c r="IA837" s="157">
        <v>0</v>
      </c>
      <c r="IB837" s="89">
        <v>0</v>
      </c>
      <c r="IC837" s="157">
        <v>0</v>
      </c>
      <c r="ID837" s="89">
        <v>0</v>
      </c>
      <c r="IE837" s="157">
        <v>0</v>
      </c>
      <c r="IF837" s="717">
        <f t="shared" si="17246"/>
        <v>0</v>
      </c>
      <c r="IG837" s="263">
        <f t="shared" si="17247"/>
        <v>0</v>
      </c>
      <c r="IH837" s="718">
        <f t="shared" si="17248"/>
        <v>0</v>
      </c>
      <c r="II837" s="89">
        <v>0</v>
      </c>
      <c r="IJ837" s="89">
        <f t="shared" si="17249"/>
        <v>0</v>
      </c>
      <c r="IK837" s="89">
        <f t="shared" si="17250"/>
        <v>0</v>
      </c>
      <c r="IL837" s="89">
        <v>0</v>
      </c>
      <c r="IM837" s="89">
        <f t="shared" si="17251"/>
        <v>0</v>
      </c>
      <c r="IN837" s="89">
        <f t="shared" si="17252"/>
        <v>0</v>
      </c>
      <c r="IO837" s="89">
        <v>0</v>
      </c>
      <c r="IP837" s="89">
        <f t="shared" si="17253"/>
        <v>0</v>
      </c>
      <c r="IQ837" s="89">
        <f t="shared" si="17254"/>
        <v>0</v>
      </c>
      <c r="IR837" s="89">
        <v>0</v>
      </c>
      <c r="IS837" s="89">
        <f t="shared" si="17255"/>
        <v>0</v>
      </c>
      <c r="IT837" s="89">
        <f t="shared" si="17256"/>
        <v>0</v>
      </c>
      <c r="IU837" s="89">
        <v>0</v>
      </c>
      <c r="IV837" s="89">
        <f t="shared" si="17257"/>
        <v>0</v>
      </c>
      <c r="IW837" s="89">
        <f t="shared" si="17258"/>
        <v>0</v>
      </c>
      <c r="IX837" s="89">
        <v>0</v>
      </c>
      <c r="IY837" s="89">
        <f t="shared" si="17259"/>
        <v>0</v>
      </c>
      <c r="IZ837" s="89">
        <f t="shared" si="17260"/>
        <v>0</v>
      </c>
      <c r="JA837" s="89">
        <v>0</v>
      </c>
      <c r="JB837" s="89">
        <f t="shared" si="17261"/>
        <v>0</v>
      </c>
      <c r="JC837" s="89">
        <f t="shared" si="17262"/>
        <v>0</v>
      </c>
      <c r="JD837" s="89">
        <v>0</v>
      </c>
      <c r="JE837" s="89">
        <f t="shared" si="17263"/>
        <v>0</v>
      </c>
      <c r="JF837" s="89">
        <f t="shared" si="17264"/>
        <v>0</v>
      </c>
      <c r="JG837" s="89">
        <v>0</v>
      </c>
      <c r="JH837" s="89">
        <f t="shared" si="17265"/>
        <v>0</v>
      </c>
      <c r="JI837" s="89">
        <f t="shared" si="17266"/>
        <v>0</v>
      </c>
      <c r="JJ837" s="89">
        <v>0</v>
      </c>
      <c r="JK837" s="89">
        <f t="shared" si="17267"/>
        <v>0</v>
      </c>
      <c r="JL837" s="89">
        <f t="shared" si="17268"/>
        <v>0</v>
      </c>
      <c r="JM837" s="89">
        <v>0</v>
      </c>
      <c r="JN837" s="89">
        <f t="shared" si="17269"/>
        <v>0</v>
      </c>
      <c r="JO837" s="89">
        <f t="shared" si="17270"/>
        <v>0</v>
      </c>
      <c r="JP837" s="89">
        <v>0</v>
      </c>
      <c r="JQ837" s="89">
        <f t="shared" si="17271"/>
        <v>0</v>
      </c>
      <c r="JR837" s="89">
        <f t="shared" si="17272"/>
        <v>0</v>
      </c>
      <c r="JS837" s="74">
        <f t="shared" si="17273"/>
        <v>0</v>
      </c>
      <c r="JT837" s="382">
        <f t="shared" si="17274"/>
        <v>0</v>
      </c>
      <c r="JU837" s="665"/>
      <c r="JV837" s="524"/>
      <c r="JW837" s="525"/>
      <c r="JX837" s="549">
        <f t="shared" si="17275"/>
        <v>0</v>
      </c>
      <c r="JY837" s="549">
        <f t="shared" si="17176"/>
        <v>10000</v>
      </c>
      <c r="JZ837" s="581">
        <f t="shared" ref="JZ837:JZ858" si="17318">GP837</f>
        <v>0</v>
      </c>
      <c r="KA837" s="581">
        <f t="shared" ref="KA837:KA858" si="17319">GQ837</f>
        <v>-10000</v>
      </c>
      <c r="KB837" s="566">
        <f t="shared" si="17276"/>
        <v>0</v>
      </c>
      <c r="KC837" s="709">
        <f t="shared" si="17277"/>
        <v>0</v>
      </c>
      <c r="KD837" s="491"/>
      <c r="KE837" s="491"/>
      <c r="KF837" s="491"/>
      <c r="KG837" s="491"/>
      <c r="KH837" s="36"/>
      <c r="KI837" s="36"/>
      <c r="KJ837" s="36"/>
      <c r="KK837" s="36"/>
    </row>
    <row r="838" spans="1:297" s="10" customFormat="1">
      <c r="A838" s="612" t="s">
        <v>1003</v>
      </c>
      <c r="B838" s="512" t="s">
        <v>1004</v>
      </c>
      <c r="C838" s="74">
        <v>15000</v>
      </c>
      <c r="D838" s="549">
        <v>0</v>
      </c>
      <c r="E838" s="675">
        <v>0</v>
      </c>
      <c r="F838" s="549">
        <v>0</v>
      </c>
      <c r="G838" s="675">
        <v>0</v>
      </c>
      <c r="H838" s="549">
        <v>0</v>
      </c>
      <c r="I838" s="675">
        <v>0</v>
      </c>
      <c r="J838" s="549">
        <v>0</v>
      </c>
      <c r="K838" s="675">
        <v>0</v>
      </c>
      <c r="L838" s="549">
        <v>0</v>
      </c>
      <c r="M838" s="675">
        <v>0</v>
      </c>
      <c r="N838" s="549">
        <v>0</v>
      </c>
      <c r="O838" s="675">
        <v>0</v>
      </c>
      <c r="P838" s="549">
        <v>0</v>
      </c>
      <c r="Q838" s="675">
        <v>0</v>
      </c>
      <c r="R838" s="549">
        <v>0</v>
      </c>
      <c r="S838" s="675">
        <v>0</v>
      </c>
      <c r="T838" s="549">
        <v>0</v>
      </c>
      <c r="U838" s="675">
        <v>0</v>
      </c>
      <c r="V838" s="549">
        <v>0</v>
      </c>
      <c r="W838" s="675">
        <v>0</v>
      </c>
      <c r="X838" s="549">
        <v>0</v>
      </c>
      <c r="Y838" s="675">
        <v>0</v>
      </c>
      <c r="Z838" s="549">
        <v>0</v>
      </c>
      <c r="AA838" s="675">
        <v>0</v>
      </c>
      <c r="AB838" s="549">
        <v>0</v>
      </c>
      <c r="AC838" s="675">
        <v>0</v>
      </c>
      <c r="AD838" s="549">
        <v>0</v>
      </c>
      <c r="AE838" s="675">
        <v>0</v>
      </c>
      <c r="AF838" s="549">
        <v>0</v>
      </c>
      <c r="AG838" s="675">
        <v>0</v>
      </c>
      <c r="AH838" s="549">
        <v>0</v>
      </c>
      <c r="AI838" s="675">
        <v>0</v>
      </c>
      <c r="AJ838" s="549">
        <v>0</v>
      </c>
      <c r="AK838" s="675">
        <v>0</v>
      </c>
      <c r="AL838" s="549">
        <v>0</v>
      </c>
      <c r="AM838" s="675">
        <v>0</v>
      </c>
      <c r="AN838" s="549">
        <v>0</v>
      </c>
      <c r="AO838" s="675">
        <v>0</v>
      </c>
      <c r="AP838" s="549">
        <v>0</v>
      </c>
      <c r="AQ838" s="675">
        <v>0</v>
      </c>
      <c r="AR838" s="549">
        <v>0</v>
      </c>
      <c r="AS838" s="675">
        <v>0</v>
      </c>
      <c r="AT838" s="549">
        <v>0</v>
      </c>
      <c r="AU838" s="675">
        <v>0</v>
      </c>
      <c r="AV838" s="549">
        <v>0</v>
      </c>
      <c r="AW838" s="675">
        <v>0</v>
      </c>
      <c r="AX838" s="549">
        <v>0</v>
      </c>
      <c r="AY838" s="675">
        <v>0</v>
      </c>
      <c r="AZ838" s="549">
        <v>0</v>
      </c>
      <c r="BA838" s="675">
        <v>0</v>
      </c>
      <c r="BB838" s="549">
        <v>0</v>
      </c>
      <c r="BC838" s="675">
        <v>0</v>
      </c>
      <c r="BD838" s="549">
        <v>0</v>
      </c>
      <c r="BE838" s="675">
        <v>0</v>
      </c>
      <c r="BF838" s="549">
        <v>0</v>
      </c>
      <c r="BG838" s="675">
        <v>0</v>
      </c>
      <c r="BH838" s="549">
        <v>0</v>
      </c>
      <c r="BI838" s="675">
        <v>0</v>
      </c>
      <c r="BJ838" s="549">
        <v>0</v>
      </c>
      <c r="BK838" s="675">
        <v>0</v>
      </c>
      <c r="BL838" s="549">
        <v>0</v>
      </c>
      <c r="BM838" s="675">
        <v>0</v>
      </c>
      <c r="BN838" s="549">
        <v>0</v>
      </c>
      <c r="BO838" s="675">
        <v>0</v>
      </c>
      <c r="BP838" s="549">
        <v>0</v>
      </c>
      <c r="BQ838" s="675">
        <v>0</v>
      </c>
      <c r="BR838" s="549">
        <v>0</v>
      </c>
      <c r="BS838" s="675">
        <v>0</v>
      </c>
      <c r="BT838" s="549">
        <v>0</v>
      </c>
      <c r="BU838" s="675">
        <v>0</v>
      </c>
      <c r="BV838" s="549">
        <v>0</v>
      </c>
      <c r="BW838" s="675">
        <v>0</v>
      </c>
      <c r="BX838" s="549">
        <v>0</v>
      </c>
      <c r="BY838" s="675">
        <v>0</v>
      </c>
      <c r="BZ838" s="549">
        <v>0</v>
      </c>
      <c r="CA838" s="675">
        <v>0</v>
      </c>
      <c r="CB838" s="549">
        <v>0</v>
      </c>
      <c r="CC838" s="675">
        <v>0</v>
      </c>
      <c r="CD838" s="549">
        <v>0</v>
      </c>
      <c r="CE838" s="675">
        <v>0</v>
      </c>
      <c r="CF838" s="549">
        <v>0</v>
      </c>
      <c r="CG838" s="675">
        <v>-263</v>
      </c>
      <c r="CH838" s="549">
        <v>0</v>
      </c>
      <c r="CI838" s="675">
        <v>0</v>
      </c>
      <c r="CJ838" s="549">
        <v>0</v>
      </c>
      <c r="CK838" s="675">
        <v>0</v>
      </c>
      <c r="CL838" s="549">
        <v>0</v>
      </c>
      <c r="CM838" s="675">
        <v>0</v>
      </c>
      <c r="CN838" s="549">
        <v>0</v>
      </c>
      <c r="CO838" s="675">
        <v>0</v>
      </c>
      <c r="CP838" s="549">
        <v>0</v>
      </c>
      <c r="CQ838" s="675">
        <v>0</v>
      </c>
      <c r="CR838" s="549">
        <v>0</v>
      </c>
      <c r="CS838" s="675">
        <v>0</v>
      </c>
      <c r="CT838" s="549">
        <v>0</v>
      </c>
      <c r="CU838" s="675">
        <v>0</v>
      </c>
      <c r="CV838" s="549">
        <v>0</v>
      </c>
      <c r="CW838" s="675">
        <v>0</v>
      </c>
      <c r="CX838" s="549">
        <v>0</v>
      </c>
      <c r="CY838" s="675">
        <v>0</v>
      </c>
      <c r="CZ838" s="549">
        <v>0</v>
      </c>
      <c r="DA838" s="675">
        <v>0</v>
      </c>
      <c r="DB838" s="549">
        <v>0</v>
      </c>
      <c r="DC838" s="675">
        <v>0</v>
      </c>
      <c r="DD838" s="549">
        <v>0</v>
      </c>
      <c r="DE838" s="675">
        <v>0</v>
      </c>
      <c r="DF838" s="549">
        <v>0</v>
      </c>
      <c r="DG838" s="675">
        <v>0</v>
      </c>
      <c r="DH838" s="549">
        <v>0</v>
      </c>
      <c r="DI838" s="675">
        <v>0</v>
      </c>
      <c r="DJ838" s="549">
        <v>0</v>
      </c>
      <c r="DK838" s="675">
        <v>0</v>
      </c>
      <c r="DL838" s="549">
        <v>0</v>
      </c>
      <c r="DM838" s="675">
        <v>0</v>
      </c>
      <c r="DN838" s="549">
        <v>0</v>
      </c>
      <c r="DO838" s="675">
        <v>0</v>
      </c>
      <c r="DP838" s="549">
        <v>0</v>
      </c>
      <c r="DQ838" s="675">
        <v>0</v>
      </c>
      <c r="DR838" s="549">
        <v>0</v>
      </c>
      <c r="DS838" s="675">
        <v>0</v>
      </c>
      <c r="DT838" s="549">
        <v>0</v>
      </c>
      <c r="DU838" s="675">
        <v>0</v>
      </c>
      <c r="DV838" s="549">
        <v>0</v>
      </c>
      <c r="DW838" s="675">
        <v>0</v>
      </c>
      <c r="DX838" s="549">
        <v>0</v>
      </c>
      <c r="DY838" s="675">
        <v>0</v>
      </c>
      <c r="DZ838" s="549">
        <v>0</v>
      </c>
      <c r="EA838" s="675">
        <v>-14737</v>
      </c>
      <c r="EB838" s="549">
        <v>0</v>
      </c>
      <c r="EC838" s="675">
        <v>0</v>
      </c>
      <c r="ED838" s="549">
        <v>0</v>
      </c>
      <c r="EE838" s="675">
        <v>0</v>
      </c>
      <c r="EF838" s="549">
        <v>0</v>
      </c>
      <c r="EG838" s="675">
        <v>0</v>
      </c>
      <c r="EH838" s="549">
        <v>0</v>
      </c>
      <c r="EI838" s="675">
        <v>0</v>
      </c>
      <c r="EJ838" s="549">
        <v>0</v>
      </c>
      <c r="EK838" s="675">
        <v>0</v>
      </c>
      <c r="EL838" s="549">
        <v>0</v>
      </c>
      <c r="EM838" s="675">
        <v>0</v>
      </c>
      <c r="EN838" s="549">
        <v>0</v>
      </c>
      <c r="EO838" s="675">
        <v>0</v>
      </c>
      <c r="EP838" s="549">
        <v>0</v>
      </c>
      <c r="EQ838" s="675">
        <v>0</v>
      </c>
      <c r="ER838" s="549">
        <v>0</v>
      </c>
      <c r="ES838" s="675">
        <v>0</v>
      </c>
      <c r="ET838" s="549">
        <v>0</v>
      </c>
      <c r="EU838" s="675">
        <v>0</v>
      </c>
      <c r="EV838" s="549">
        <v>0</v>
      </c>
      <c r="EW838" s="675">
        <v>0</v>
      </c>
      <c r="EX838" s="549">
        <v>0</v>
      </c>
      <c r="EY838" s="675">
        <v>0</v>
      </c>
      <c r="EZ838" s="549">
        <v>0</v>
      </c>
      <c r="FA838" s="675">
        <v>0</v>
      </c>
      <c r="FB838" s="549">
        <v>0</v>
      </c>
      <c r="FC838" s="675">
        <v>0</v>
      </c>
      <c r="FD838" s="549">
        <v>0</v>
      </c>
      <c r="FE838" s="675">
        <v>0</v>
      </c>
      <c r="FF838" s="549">
        <v>0</v>
      </c>
      <c r="FG838" s="675">
        <v>0</v>
      </c>
      <c r="FH838" s="549">
        <v>0</v>
      </c>
      <c r="FI838" s="675">
        <v>0</v>
      </c>
      <c r="FJ838" s="549">
        <v>0</v>
      </c>
      <c r="FK838" s="675">
        <v>0</v>
      </c>
      <c r="FL838" s="549">
        <v>0</v>
      </c>
      <c r="FM838" s="675">
        <v>0</v>
      </c>
      <c r="FN838" s="549">
        <v>0</v>
      </c>
      <c r="FO838" s="675">
        <v>0</v>
      </c>
      <c r="FP838" s="549">
        <v>0</v>
      </c>
      <c r="FQ838" s="675">
        <v>0</v>
      </c>
      <c r="FR838" s="549">
        <v>0</v>
      </c>
      <c r="FS838" s="675">
        <v>0</v>
      </c>
      <c r="FT838" s="549">
        <v>0</v>
      </c>
      <c r="FU838" s="675">
        <v>0</v>
      </c>
      <c r="FV838" s="549">
        <v>0</v>
      </c>
      <c r="FW838" s="675">
        <v>0</v>
      </c>
      <c r="FX838" s="549">
        <v>0</v>
      </c>
      <c r="FY838" s="675">
        <v>0</v>
      </c>
      <c r="FZ838" s="549">
        <v>0</v>
      </c>
      <c r="GA838" s="675">
        <v>0</v>
      </c>
      <c r="GB838" s="549">
        <v>0</v>
      </c>
      <c r="GC838" s="675">
        <v>0</v>
      </c>
      <c r="GD838" s="549">
        <v>0</v>
      </c>
      <c r="GE838" s="675">
        <v>0</v>
      </c>
      <c r="GF838" s="549">
        <v>0</v>
      </c>
      <c r="GG838" s="675">
        <v>0</v>
      </c>
      <c r="GH838" s="549">
        <v>0</v>
      </c>
      <c r="GI838" s="675">
        <v>0</v>
      </c>
      <c r="GJ838" s="549">
        <v>0</v>
      </c>
      <c r="GK838" s="675">
        <v>0</v>
      </c>
      <c r="GL838" s="549">
        <v>0</v>
      </c>
      <c r="GM838" s="675">
        <v>0</v>
      </c>
      <c r="GN838" s="549">
        <v>0</v>
      </c>
      <c r="GO838" s="675">
        <v>0</v>
      </c>
      <c r="GP838" s="549">
        <f t="shared" si="17240"/>
        <v>0</v>
      </c>
      <c r="GQ838" s="675">
        <f t="shared" si="17241"/>
        <v>-15000</v>
      </c>
      <c r="GR838" s="74">
        <f t="shared" si="17242"/>
        <v>0</v>
      </c>
      <c r="GS838" s="74">
        <f t="shared" si="17243"/>
        <v>0</v>
      </c>
      <c r="GT838" s="568">
        <f t="shared" si="17244"/>
        <v>0</v>
      </c>
      <c r="GU838" s="275">
        <v>3000</v>
      </c>
      <c r="GV838" s="275"/>
      <c r="GW838" s="588"/>
      <c r="GX838" s="275">
        <v>4500</v>
      </c>
      <c r="GY838" s="275"/>
      <c r="GZ838" s="275">
        <v>7500</v>
      </c>
      <c r="HA838" s="275">
        <f>4500-4500</f>
        <v>0</v>
      </c>
      <c r="HB838" s="275"/>
      <c r="HC838" s="275"/>
      <c r="HD838" s="275">
        <f>3000-3000</f>
        <v>0</v>
      </c>
      <c r="HE838" s="275"/>
      <c r="HF838" s="275"/>
      <c r="HG838" s="74">
        <f t="shared" si="17245"/>
        <v>0</v>
      </c>
      <c r="HH838" s="89">
        <v>0</v>
      </c>
      <c r="HI838" s="157">
        <v>0</v>
      </c>
      <c r="HJ838" s="89">
        <v>0</v>
      </c>
      <c r="HK838" s="157">
        <v>0</v>
      </c>
      <c r="HL838" s="89">
        <v>0</v>
      </c>
      <c r="HM838" s="157">
        <v>0</v>
      </c>
      <c r="HN838" s="89">
        <v>0</v>
      </c>
      <c r="HO838" s="157">
        <v>7500</v>
      </c>
      <c r="HP838" s="89">
        <v>0</v>
      </c>
      <c r="HQ838" s="157">
        <v>0</v>
      </c>
      <c r="HR838" s="89">
        <v>0</v>
      </c>
      <c r="HS838" s="157">
        <v>0</v>
      </c>
      <c r="HT838" s="89">
        <v>0</v>
      </c>
      <c r="HU838" s="157">
        <f>14737-7237</f>
        <v>7500</v>
      </c>
      <c r="HV838" s="89">
        <v>0</v>
      </c>
      <c r="HW838" s="157">
        <v>0</v>
      </c>
      <c r="HX838" s="89">
        <v>0</v>
      </c>
      <c r="HY838" s="157">
        <v>0</v>
      </c>
      <c r="HZ838" s="89">
        <v>0</v>
      </c>
      <c r="IA838" s="157">
        <v>0</v>
      </c>
      <c r="IB838" s="89">
        <v>0</v>
      </c>
      <c r="IC838" s="157">
        <v>0</v>
      </c>
      <c r="ID838" s="89">
        <v>0</v>
      </c>
      <c r="IE838" s="157">
        <v>0</v>
      </c>
      <c r="IF838" s="717">
        <f t="shared" si="17246"/>
        <v>0</v>
      </c>
      <c r="IG838" s="263">
        <f t="shared" si="17247"/>
        <v>0</v>
      </c>
      <c r="IH838" s="718">
        <f t="shared" si="17248"/>
        <v>0</v>
      </c>
      <c r="II838" s="89">
        <v>0</v>
      </c>
      <c r="IJ838" s="89">
        <f t="shared" si="17249"/>
        <v>0</v>
      </c>
      <c r="IK838" s="89">
        <f t="shared" si="17250"/>
        <v>0</v>
      </c>
      <c r="IL838" s="89">
        <v>0</v>
      </c>
      <c r="IM838" s="89">
        <f t="shared" si="17251"/>
        <v>0</v>
      </c>
      <c r="IN838" s="89">
        <f t="shared" si="17252"/>
        <v>0</v>
      </c>
      <c r="IO838" s="89">
        <v>0</v>
      </c>
      <c r="IP838" s="89">
        <f t="shared" si="17253"/>
        <v>0</v>
      </c>
      <c r="IQ838" s="89">
        <f t="shared" si="17254"/>
        <v>0</v>
      </c>
      <c r="IR838" s="89">
        <v>0</v>
      </c>
      <c r="IS838" s="89">
        <f t="shared" si="17255"/>
        <v>0</v>
      </c>
      <c r="IT838" s="89">
        <f t="shared" si="17256"/>
        <v>0</v>
      </c>
      <c r="IU838" s="89">
        <v>0</v>
      </c>
      <c r="IV838" s="89">
        <f t="shared" si="17257"/>
        <v>0</v>
      </c>
      <c r="IW838" s="89">
        <f t="shared" si="17258"/>
        <v>0</v>
      </c>
      <c r="IX838" s="89">
        <v>0</v>
      </c>
      <c r="IY838" s="89">
        <f t="shared" si="17259"/>
        <v>0</v>
      </c>
      <c r="IZ838" s="89">
        <f t="shared" si="17260"/>
        <v>0</v>
      </c>
      <c r="JA838" s="89">
        <v>0</v>
      </c>
      <c r="JB838" s="89">
        <f t="shared" si="17261"/>
        <v>0</v>
      </c>
      <c r="JC838" s="89">
        <f t="shared" si="17262"/>
        <v>0</v>
      </c>
      <c r="JD838" s="89">
        <v>0</v>
      </c>
      <c r="JE838" s="89">
        <f t="shared" si="17263"/>
        <v>0</v>
      </c>
      <c r="JF838" s="89">
        <f t="shared" si="17264"/>
        <v>0</v>
      </c>
      <c r="JG838" s="89">
        <v>0</v>
      </c>
      <c r="JH838" s="89">
        <f t="shared" si="17265"/>
        <v>0</v>
      </c>
      <c r="JI838" s="89">
        <f t="shared" si="17266"/>
        <v>0</v>
      </c>
      <c r="JJ838" s="89">
        <v>0</v>
      </c>
      <c r="JK838" s="89">
        <f t="shared" si="17267"/>
        <v>0</v>
      </c>
      <c r="JL838" s="89">
        <f t="shared" si="17268"/>
        <v>0</v>
      </c>
      <c r="JM838" s="89">
        <v>0</v>
      </c>
      <c r="JN838" s="89">
        <f t="shared" si="17269"/>
        <v>0</v>
      </c>
      <c r="JO838" s="89">
        <f t="shared" si="17270"/>
        <v>0</v>
      </c>
      <c r="JP838" s="89">
        <v>0</v>
      </c>
      <c r="JQ838" s="89">
        <f t="shared" si="17271"/>
        <v>0</v>
      </c>
      <c r="JR838" s="89">
        <f t="shared" si="17272"/>
        <v>0</v>
      </c>
      <c r="JS838" s="74">
        <f t="shared" si="17273"/>
        <v>0</v>
      </c>
      <c r="JT838" s="382">
        <f t="shared" si="17274"/>
        <v>0</v>
      </c>
      <c r="JU838" s="665"/>
      <c r="JV838" s="524"/>
      <c r="JW838" s="525"/>
      <c r="JX838" s="549">
        <f t="shared" si="17275"/>
        <v>0</v>
      </c>
      <c r="JY838" s="549">
        <f t="shared" si="17176"/>
        <v>15000</v>
      </c>
      <c r="JZ838" s="581">
        <f t="shared" si="17318"/>
        <v>0</v>
      </c>
      <c r="KA838" s="581">
        <f t="shared" si="17319"/>
        <v>-15000</v>
      </c>
      <c r="KB838" s="566">
        <f t="shared" si="17276"/>
        <v>0</v>
      </c>
      <c r="KC838" s="709">
        <f t="shared" si="17277"/>
        <v>0</v>
      </c>
      <c r="KD838" s="491"/>
      <c r="KE838" s="491"/>
      <c r="KF838" s="491"/>
      <c r="KG838" s="491"/>
      <c r="KH838" s="36"/>
      <c r="KI838" s="36"/>
      <c r="KJ838" s="36"/>
      <c r="KK838" s="36"/>
    </row>
    <row r="839" spans="1:297" s="10" customFormat="1">
      <c r="A839" s="612" t="s">
        <v>826</v>
      </c>
      <c r="B839" s="512" t="s">
        <v>210</v>
      </c>
      <c r="C839" s="74">
        <v>10000</v>
      </c>
      <c r="D839" s="549">
        <v>0</v>
      </c>
      <c r="E839" s="675">
        <v>0</v>
      </c>
      <c r="F839" s="549">
        <v>0</v>
      </c>
      <c r="G839" s="675">
        <v>0</v>
      </c>
      <c r="H839" s="549">
        <v>0</v>
      </c>
      <c r="I839" s="675">
        <v>0</v>
      </c>
      <c r="J839" s="549">
        <v>0</v>
      </c>
      <c r="K839" s="675">
        <v>0</v>
      </c>
      <c r="L839" s="549">
        <v>0</v>
      </c>
      <c r="M839" s="675">
        <v>0</v>
      </c>
      <c r="N839" s="549">
        <v>0</v>
      </c>
      <c r="O839" s="675">
        <v>0</v>
      </c>
      <c r="P839" s="549">
        <v>0</v>
      </c>
      <c r="Q839" s="675">
        <v>0</v>
      </c>
      <c r="R839" s="549">
        <v>0</v>
      </c>
      <c r="S839" s="675">
        <v>0</v>
      </c>
      <c r="T839" s="549">
        <v>0</v>
      </c>
      <c r="U839" s="675">
        <v>0</v>
      </c>
      <c r="V839" s="549">
        <v>0</v>
      </c>
      <c r="W839" s="675">
        <v>0</v>
      </c>
      <c r="X839" s="549">
        <v>0</v>
      </c>
      <c r="Y839" s="675">
        <v>0</v>
      </c>
      <c r="Z839" s="549">
        <v>0</v>
      </c>
      <c r="AA839" s="675">
        <v>0</v>
      </c>
      <c r="AB839" s="549">
        <v>0</v>
      </c>
      <c r="AC839" s="675">
        <v>0</v>
      </c>
      <c r="AD839" s="549">
        <v>0</v>
      </c>
      <c r="AE839" s="675">
        <v>0</v>
      </c>
      <c r="AF839" s="549">
        <v>0</v>
      </c>
      <c r="AG839" s="675">
        <v>0</v>
      </c>
      <c r="AH839" s="549">
        <v>0</v>
      </c>
      <c r="AI839" s="675">
        <v>0</v>
      </c>
      <c r="AJ839" s="549">
        <v>0</v>
      </c>
      <c r="AK839" s="675">
        <v>0</v>
      </c>
      <c r="AL839" s="549">
        <v>0</v>
      </c>
      <c r="AM839" s="675">
        <v>0</v>
      </c>
      <c r="AN839" s="549">
        <v>0</v>
      </c>
      <c r="AO839" s="675">
        <v>0</v>
      </c>
      <c r="AP839" s="549">
        <v>0</v>
      </c>
      <c r="AQ839" s="675">
        <v>0</v>
      </c>
      <c r="AR839" s="549">
        <v>0</v>
      </c>
      <c r="AS839" s="675">
        <v>0</v>
      </c>
      <c r="AT839" s="549">
        <v>0</v>
      </c>
      <c r="AU839" s="675">
        <v>0</v>
      </c>
      <c r="AV839" s="549">
        <v>0</v>
      </c>
      <c r="AW839" s="675">
        <v>0</v>
      </c>
      <c r="AX839" s="549">
        <v>0</v>
      </c>
      <c r="AY839" s="675">
        <v>0</v>
      </c>
      <c r="AZ839" s="549">
        <v>0</v>
      </c>
      <c r="BA839" s="675">
        <v>0</v>
      </c>
      <c r="BB839" s="549">
        <v>0</v>
      </c>
      <c r="BC839" s="675">
        <v>0</v>
      </c>
      <c r="BD839" s="549">
        <v>0</v>
      </c>
      <c r="BE839" s="675">
        <v>0</v>
      </c>
      <c r="BF839" s="549">
        <v>0</v>
      </c>
      <c r="BG839" s="675">
        <v>0</v>
      </c>
      <c r="BH839" s="549">
        <v>0</v>
      </c>
      <c r="BI839" s="675">
        <v>0</v>
      </c>
      <c r="BJ839" s="549">
        <v>0</v>
      </c>
      <c r="BK839" s="675">
        <v>0</v>
      </c>
      <c r="BL839" s="549">
        <v>0</v>
      </c>
      <c r="BM839" s="675">
        <v>0</v>
      </c>
      <c r="BN839" s="549">
        <v>0</v>
      </c>
      <c r="BO839" s="675">
        <v>0</v>
      </c>
      <c r="BP839" s="549">
        <v>0</v>
      </c>
      <c r="BQ839" s="675">
        <v>0</v>
      </c>
      <c r="BR839" s="549">
        <v>0</v>
      </c>
      <c r="BS839" s="675">
        <v>0</v>
      </c>
      <c r="BT839" s="549">
        <v>0</v>
      </c>
      <c r="BU839" s="675">
        <v>0</v>
      </c>
      <c r="BV839" s="549">
        <v>0</v>
      </c>
      <c r="BW839" s="675">
        <v>0</v>
      </c>
      <c r="BX839" s="549">
        <v>0</v>
      </c>
      <c r="BY839" s="675">
        <v>0</v>
      </c>
      <c r="BZ839" s="549">
        <v>0</v>
      </c>
      <c r="CA839" s="675">
        <v>0</v>
      </c>
      <c r="CB839" s="549">
        <v>0</v>
      </c>
      <c r="CC839" s="675">
        <v>0</v>
      </c>
      <c r="CD839" s="549">
        <v>0</v>
      </c>
      <c r="CE839" s="675">
        <v>0</v>
      </c>
      <c r="CF839" s="549">
        <v>0</v>
      </c>
      <c r="CG839" s="675">
        <v>0</v>
      </c>
      <c r="CH839" s="549">
        <v>0</v>
      </c>
      <c r="CI839" s="675">
        <v>0</v>
      </c>
      <c r="CJ839" s="549">
        <v>0</v>
      </c>
      <c r="CK839" s="675">
        <v>0</v>
      </c>
      <c r="CL839" s="549">
        <v>0</v>
      </c>
      <c r="CM839" s="675">
        <v>0</v>
      </c>
      <c r="CN839" s="549">
        <v>0</v>
      </c>
      <c r="CO839" s="675">
        <v>0</v>
      </c>
      <c r="CP839" s="549">
        <v>0</v>
      </c>
      <c r="CQ839" s="675">
        <v>0</v>
      </c>
      <c r="CR839" s="549">
        <v>0</v>
      </c>
      <c r="CS839" s="675">
        <v>0</v>
      </c>
      <c r="CT839" s="549">
        <v>0</v>
      </c>
      <c r="CU839" s="675">
        <v>0</v>
      </c>
      <c r="CV839" s="549">
        <v>0</v>
      </c>
      <c r="CW839" s="675">
        <v>0</v>
      </c>
      <c r="CX839" s="549">
        <v>0</v>
      </c>
      <c r="CY839" s="675">
        <v>0</v>
      </c>
      <c r="CZ839" s="549">
        <v>0</v>
      </c>
      <c r="DA839" s="675">
        <v>0</v>
      </c>
      <c r="DB839" s="549">
        <v>0</v>
      </c>
      <c r="DC839" s="675">
        <v>0</v>
      </c>
      <c r="DD839" s="549">
        <v>0</v>
      </c>
      <c r="DE839" s="675">
        <v>0</v>
      </c>
      <c r="DF839" s="549">
        <v>0</v>
      </c>
      <c r="DG839" s="675">
        <v>0</v>
      </c>
      <c r="DH839" s="549">
        <v>0</v>
      </c>
      <c r="DI839" s="675">
        <v>0</v>
      </c>
      <c r="DJ839" s="549">
        <v>0</v>
      </c>
      <c r="DK839" s="675">
        <v>0</v>
      </c>
      <c r="DL839" s="549">
        <v>0</v>
      </c>
      <c r="DM839" s="675">
        <v>0</v>
      </c>
      <c r="DN839" s="549">
        <v>0</v>
      </c>
      <c r="DO839" s="675">
        <v>0</v>
      </c>
      <c r="DP839" s="549">
        <v>0</v>
      </c>
      <c r="DQ839" s="675">
        <v>0</v>
      </c>
      <c r="DR839" s="549">
        <v>0</v>
      </c>
      <c r="DS839" s="675">
        <v>0</v>
      </c>
      <c r="DT839" s="549">
        <v>0</v>
      </c>
      <c r="DU839" s="675">
        <v>0</v>
      </c>
      <c r="DV839" s="549">
        <v>0</v>
      </c>
      <c r="DW839" s="675">
        <v>0</v>
      </c>
      <c r="DX839" s="549">
        <v>0</v>
      </c>
      <c r="DY839" s="675">
        <v>0</v>
      </c>
      <c r="DZ839" s="549">
        <v>0</v>
      </c>
      <c r="EA839" s="675">
        <v>0</v>
      </c>
      <c r="EB839" s="549">
        <v>0</v>
      </c>
      <c r="EC839" s="675">
        <v>0</v>
      </c>
      <c r="ED839" s="549">
        <v>0</v>
      </c>
      <c r="EE839" s="675">
        <v>0</v>
      </c>
      <c r="EF839" s="549">
        <v>0</v>
      </c>
      <c r="EG839" s="675">
        <v>0</v>
      </c>
      <c r="EH839" s="549">
        <v>0</v>
      </c>
      <c r="EI839" s="675">
        <v>0</v>
      </c>
      <c r="EJ839" s="549">
        <v>0</v>
      </c>
      <c r="EK839" s="675">
        <v>0</v>
      </c>
      <c r="EL839" s="549">
        <v>0</v>
      </c>
      <c r="EM839" s="675">
        <v>0</v>
      </c>
      <c r="EN839" s="549">
        <v>0</v>
      </c>
      <c r="EO839" s="675">
        <v>0</v>
      </c>
      <c r="EP839" s="549">
        <v>0</v>
      </c>
      <c r="EQ839" s="675">
        <v>0</v>
      </c>
      <c r="ER839" s="549">
        <v>0</v>
      </c>
      <c r="ES839" s="675">
        <v>0</v>
      </c>
      <c r="ET839" s="549">
        <v>0</v>
      </c>
      <c r="EU839" s="675">
        <v>0</v>
      </c>
      <c r="EV839" s="549">
        <v>0</v>
      </c>
      <c r="EW839" s="675">
        <v>0</v>
      </c>
      <c r="EX839" s="549">
        <v>0</v>
      </c>
      <c r="EY839" s="675">
        <v>0</v>
      </c>
      <c r="EZ839" s="549">
        <v>0</v>
      </c>
      <c r="FA839" s="675">
        <v>0</v>
      </c>
      <c r="FB839" s="549">
        <v>0</v>
      </c>
      <c r="FC839" s="675">
        <v>0</v>
      </c>
      <c r="FD839" s="549">
        <v>0</v>
      </c>
      <c r="FE839" s="675">
        <v>0</v>
      </c>
      <c r="FF839" s="549">
        <v>0</v>
      </c>
      <c r="FG839" s="675">
        <v>0</v>
      </c>
      <c r="FH839" s="549">
        <v>0</v>
      </c>
      <c r="FI839" s="675">
        <v>0</v>
      </c>
      <c r="FJ839" s="549">
        <v>0</v>
      </c>
      <c r="FK839" s="675">
        <v>0</v>
      </c>
      <c r="FL839" s="549">
        <v>0</v>
      </c>
      <c r="FM839" s="675">
        <v>0</v>
      </c>
      <c r="FN839" s="549">
        <v>0</v>
      </c>
      <c r="FO839" s="675">
        <v>-4805</v>
      </c>
      <c r="FP839" s="549">
        <v>0</v>
      </c>
      <c r="FQ839" s="675">
        <v>0</v>
      </c>
      <c r="FR839" s="549">
        <v>0</v>
      </c>
      <c r="FS839" s="675">
        <v>0</v>
      </c>
      <c r="FT839" s="549">
        <v>0</v>
      </c>
      <c r="FU839" s="675">
        <v>0</v>
      </c>
      <c r="FV839" s="549">
        <v>0</v>
      </c>
      <c r="FW839" s="675">
        <v>0</v>
      </c>
      <c r="FX839" s="549">
        <v>0</v>
      </c>
      <c r="FY839" s="675">
        <v>0</v>
      </c>
      <c r="FZ839" s="549">
        <v>0</v>
      </c>
      <c r="GA839" s="675">
        <v>0</v>
      </c>
      <c r="GB839" s="549">
        <v>0</v>
      </c>
      <c r="GC839" s="675">
        <v>0</v>
      </c>
      <c r="GD839" s="549">
        <v>0</v>
      </c>
      <c r="GE839" s="675">
        <v>0</v>
      </c>
      <c r="GF839" s="549">
        <v>0</v>
      </c>
      <c r="GG839" s="675">
        <v>0</v>
      </c>
      <c r="GH839" s="549">
        <v>0</v>
      </c>
      <c r="GI839" s="675">
        <v>0</v>
      </c>
      <c r="GJ839" s="549">
        <v>0</v>
      </c>
      <c r="GK839" s="675">
        <v>0</v>
      </c>
      <c r="GL839" s="549">
        <v>0</v>
      </c>
      <c r="GM839" s="675">
        <v>0</v>
      </c>
      <c r="GN839" s="549">
        <v>0</v>
      </c>
      <c r="GO839" s="675">
        <v>0</v>
      </c>
      <c r="GP839" s="549">
        <f t="shared" si="17240"/>
        <v>0</v>
      </c>
      <c r="GQ839" s="675">
        <f t="shared" si="17241"/>
        <v>-4805</v>
      </c>
      <c r="GR839" s="74">
        <f t="shared" si="17242"/>
        <v>5195</v>
      </c>
      <c r="GS839" s="74">
        <f t="shared" si="17243"/>
        <v>5195</v>
      </c>
      <c r="GT839" s="568">
        <f t="shared" si="17244"/>
        <v>5195</v>
      </c>
      <c r="GU839" s="275">
        <v>2000</v>
      </c>
      <c r="GV839" s="275"/>
      <c r="GW839" s="588"/>
      <c r="GX839" s="275">
        <v>3000</v>
      </c>
      <c r="GY839" s="275"/>
      <c r="GZ839" s="275">
        <v>5000</v>
      </c>
      <c r="HA839" s="275">
        <f>3000-3000</f>
        <v>0</v>
      </c>
      <c r="HB839" s="275"/>
      <c r="HC839" s="275"/>
      <c r="HD839" s="275">
        <f>2000-2000</f>
        <v>0</v>
      </c>
      <c r="HE839" s="275"/>
      <c r="HF839" s="275"/>
      <c r="HG839" s="74">
        <f t="shared" si="17245"/>
        <v>5195</v>
      </c>
      <c r="HH839" s="89">
        <v>0</v>
      </c>
      <c r="HI839" s="157">
        <v>0</v>
      </c>
      <c r="HJ839" s="89">
        <v>0</v>
      </c>
      <c r="HK839" s="157">
        <v>0</v>
      </c>
      <c r="HL839" s="89">
        <v>0</v>
      </c>
      <c r="HM839" s="157">
        <v>0</v>
      </c>
      <c r="HN839" s="89">
        <v>0</v>
      </c>
      <c r="HO839" s="157">
        <v>5000</v>
      </c>
      <c r="HP839" s="89">
        <v>0</v>
      </c>
      <c r="HQ839" s="157">
        <v>0</v>
      </c>
      <c r="HR839" s="89">
        <v>0</v>
      </c>
      <c r="HS839" s="157">
        <v>0</v>
      </c>
      <c r="HT839" s="89">
        <v>0</v>
      </c>
      <c r="HU839" s="157">
        <f>7905.1-2905.1</f>
        <v>5000</v>
      </c>
      <c r="HV839" s="89">
        <v>0</v>
      </c>
      <c r="HW839" s="157">
        <v>0</v>
      </c>
      <c r="HX839" s="89">
        <v>0</v>
      </c>
      <c r="HY839" s="157">
        <v>0</v>
      </c>
      <c r="HZ839" s="89">
        <v>0</v>
      </c>
      <c r="IA839" s="157">
        <v>0</v>
      </c>
      <c r="IB839" s="89">
        <v>0</v>
      </c>
      <c r="IC839" s="157">
        <v>0</v>
      </c>
      <c r="ID839" s="89">
        <v>0</v>
      </c>
      <c r="IE839" s="157">
        <v>0</v>
      </c>
      <c r="IF839" s="717">
        <f t="shared" si="17246"/>
        <v>5194.8999999999996</v>
      </c>
      <c r="IG839" s="263">
        <f t="shared" si="17247"/>
        <v>5194.8999999999996</v>
      </c>
      <c r="IH839" s="718">
        <f t="shared" si="17248"/>
        <v>5194.8999999999996</v>
      </c>
      <c r="II839" s="89">
        <v>0</v>
      </c>
      <c r="IJ839" s="89">
        <f t="shared" si="17249"/>
        <v>0</v>
      </c>
      <c r="IK839" s="89">
        <f t="shared" si="17250"/>
        <v>0</v>
      </c>
      <c r="IL839" s="89">
        <v>0</v>
      </c>
      <c r="IM839" s="89">
        <f t="shared" si="17251"/>
        <v>0</v>
      </c>
      <c r="IN839" s="89">
        <f t="shared" si="17252"/>
        <v>0</v>
      </c>
      <c r="IO839" s="89">
        <v>0</v>
      </c>
      <c r="IP839" s="89">
        <f t="shared" si="17253"/>
        <v>0</v>
      </c>
      <c r="IQ839" s="89">
        <f t="shared" si="17254"/>
        <v>0</v>
      </c>
      <c r="IR839" s="89">
        <v>0</v>
      </c>
      <c r="IS839" s="89">
        <f t="shared" si="17255"/>
        <v>0</v>
      </c>
      <c r="IT839" s="89">
        <f t="shared" si="17256"/>
        <v>0</v>
      </c>
      <c r="IU839" s="89">
        <v>0</v>
      </c>
      <c r="IV839" s="89">
        <f t="shared" si="17257"/>
        <v>0</v>
      </c>
      <c r="IW839" s="89">
        <f t="shared" si="17258"/>
        <v>0</v>
      </c>
      <c r="IX839" s="89">
        <v>0</v>
      </c>
      <c r="IY839" s="89">
        <f t="shared" si="17259"/>
        <v>0</v>
      </c>
      <c r="IZ839" s="89">
        <f t="shared" si="17260"/>
        <v>0</v>
      </c>
      <c r="JA839" s="89">
        <f>2094.9-0</f>
        <v>2094.9</v>
      </c>
      <c r="JB839" s="89">
        <f t="shared" si="17261"/>
        <v>2094.9</v>
      </c>
      <c r="JC839" s="89">
        <f t="shared" si="17262"/>
        <v>2094.9</v>
      </c>
      <c r="JD839" s="89">
        <f>5194.9-2094.9</f>
        <v>3099.9999999999995</v>
      </c>
      <c r="JE839" s="89">
        <f t="shared" si="17263"/>
        <v>3099.9999999999995</v>
      </c>
      <c r="JF839" s="89">
        <f t="shared" si="17264"/>
        <v>3099.9999999999995</v>
      </c>
      <c r="JG839" s="89">
        <v>0</v>
      </c>
      <c r="JH839" s="89">
        <f t="shared" si="17265"/>
        <v>0</v>
      </c>
      <c r="JI839" s="89">
        <f t="shared" si="17266"/>
        <v>0</v>
      </c>
      <c r="JJ839" s="89">
        <v>0</v>
      </c>
      <c r="JK839" s="89">
        <f t="shared" si="17267"/>
        <v>0</v>
      </c>
      <c r="JL839" s="89">
        <f t="shared" si="17268"/>
        <v>0</v>
      </c>
      <c r="JM839" s="89">
        <v>0</v>
      </c>
      <c r="JN839" s="89">
        <f t="shared" si="17269"/>
        <v>0</v>
      </c>
      <c r="JO839" s="89">
        <f t="shared" si="17270"/>
        <v>0</v>
      </c>
      <c r="JP839" s="89">
        <v>0</v>
      </c>
      <c r="JQ839" s="89">
        <f t="shared" si="17271"/>
        <v>0</v>
      </c>
      <c r="JR839" s="89">
        <f t="shared" si="17272"/>
        <v>0</v>
      </c>
      <c r="JS839" s="74">
        <f t="shared" si="17273"/>
        <v>0.1000000000003638</v>
      </c>
      <c r="JT839" s="382">
        <f t="shared" si="17274"/>
        <v>0.1000000000003638</v>
      </c>
      <c r="JU839" s="665"/>
      <c r="JV839" s="524"/>
      <c r="JW839" s="525"/>
      <c r="JX839" s="549">
        <f t="shared" si="17275"/>
        <v>0</v>
      </c>
      <c r="JY839" s="549">
        <f t="shared" si="17176"/>
        <v>10000</v>
      </c>
      <c r="JZ839" s="581">
        <f t="shared" si="17318"/>
        <v>0</v>
      </c>
      <c r="KA839" s="581">
        <f t="shared" si="17319"/>
        <v>-4805</v>
      </c>
      <c r="KB839" s="566">
        <f t="shared" si="17276"/>
        <v>5195</v>
      </c>
      <c r="KC839" s="709">
        <f t="shared" si="17277"/>
        <v>0</v>
      </c>
      <c r="KD839" s="491"/>
      <c r="KE839" s="491"/>
      <c r="KF839" s="491"/>
      <c r="KG839" s="491"/>
      <c r="KH839" s="36"/>
      <c r="KI839" s="36"/>
      <c r="KJ839" s="36"/>
      <c r="KK839" s="36"/>
    </row>
    <row r="840" spans="1:297" s="10" customFormat="1">
      <c r="A840" s="612" t="s">
        <v>1218</v>
      </c>
      <c r="B840" s="512"/>
      <c r="C840" s="74">
        <v>0</v>
      </c>
      <c r="D840" s="549">
        <v>0</v>
      </c>
      <c r="E840" s="675">
        <v>0</v>
      </c>
      <c r="F840" s="549">
        <v>0</v>
      </c>
      <c r="G840" s="675">
        <v>0</v>
      </c>
      <c r="H840" s="549">
        <v>0</v>
      </c>
      <c r="I840" s="675">
        <v>0</v>
      </c>
      <c r="J840" s="549">
        <v>0</v>
      </c>
      <c r="K840" s="675">
        <v>0</v>
      </c>
      <c r="L840" s="549">
        <v>0</v>
      </c>
      <c r="M840" s="675">
        <v>0</v>
      </c>
      <c r="N840" s="549">
        <v>0</v>
      </c>
      <c r="O840" s="675">
        <v>0</v>
      </c>
      <c r="P840" s="549">
        <v>0</v>
      </c>
      <c r="Q840" s="675">
        <v>0</v>
      </c>
      <c r="R840" s="549">
        <v>0</v>
      </c>
      <c r="S840" s="675">
        <v>0</v>
      </c>
      <c r="T840" s="549">
        <v>0</v>
      </c>
      <c r="U840" s="675">
        <v>0</v>
      </c>
      <c r="V840" s="549">
        <v>0</v>
      </c>
      <c r="W840" s="675">
        <v>0</v>
      </c>
      <c r="X840" s="549">
        <v>0</v>
      </c>
      <c r="Y840" s="675">
        <v>0</v>
      </c>
      <c r="Z840" s="549">
        <v>0</v>
      </c>
      <c r="AA840" s="675">
        <v>0</v>
      </c>
      <c r="AB840" s="549">
        <v>0</v>
      </c>
      <c r="AC840" s="675">
        <v>0</v>
      </c>
      <c r="AD840" s="549">
        <v>0</v>
      </c>
      <c r="AE840" s="675">
        <v>0</v>
      </c>
      <c r="AF840" s="549">
        <v>0</v>
      </c>
      <c r="AG840" s="675">
        <v>0</v>
      </c>
      <c r="AH840" s="549">
        <v>0</v>
      </c>
      <c r="AI840" s="675">
        <v>0</v>
      </c>
      <c r="AJ840" s="549">
        <v>0</v>
      </c>
      <c r="AK840" s="675">
        <v>0</v>
      </c>
      <c r="AL840" s="549">
        <v>0</v>
      </c>
      <c r="AM840" s="675">
        <v>0</v>
      </c>
      <c r="AN840" s="549">
        <v>0</v>
      </c>
      <c r="AO840" s="675">
        <v>0</v>
      </c>
      <c r="AP840" s="549">
        <v>0</v>
      </c>
      <c r="AQ840" s="675">
        <v>0</v>
      </c>
      <c r="AR840" s="549">
        <v>0</v>
      </c>
      <c r="AS840" s="675">
        <v>0</v>
      </c>
      <c r="AT840" s="549">
        <v>0</v>
      </c>
      <c r="AU840" s="675">
        <v>0</v>
      </c>
      <c r="AV840" s="549">
        <v>0</v>
      </c>
      <c r="AW840" s="675">
        <v>0</v>
      </c>
      <c r="AX840" s="549">
        <v>0</v>
      </c>
      <c r="AY840" s="675">
        <v>0</v>
      </c>
      <c r="AZ840" s="549">
        <v>0</v>
      </c>
      <c r="BA840" s="675">
        <v>0</v>
      </c>
      <c r="BB840" s="549">
        <v>0</v>
      </c>
      <c r="BC840" s="675">
        <v>0</v>
      </c>
      <c r="BD840" s="549">
        <v>0</v>
      </c>
      <c r="BE840" s="675">
        <v>0</v>
      </c>
      <c r="BF840" s="549">
        <v>0</v>
      </c>
      <c r="BG840" s="675">
        <v>0</v>
      </c>
      <c r="BH840" s="549">
        <v>0</v>
      </c>
      <c r="BI840" s="675">
        <v>0</v>
      </c>
      <c r="BJ840" s="549">
        <v>0</v>
      </c>
      <c r="BK840" s="675">
        <v>0</v>
      </c>
      <c r="BL840" s="549">
        <v>0</v>
      </c>
      <c r="BM840" s="675">
        <v>0</v>
      </c>
      <c r="BN840" s="549">
        <v>0</v>
      </c>
      <c r="BO840" s="675">
        <v>0</v>
      </c>
      <c r="BP840" s="549">
        <v>0</v>
      </c>
      <c r="BQ840" s="675">
        <v>0</v>
      </c>
      <c r="BR840" s="549">
        <v>0</v>
      </c>
      <c r="BS840" s="675">
        <v>0</v>
      </c>
      <c r="BT840" s="549">
        <v>0</v>
      </c>
      <c r="BU840" s="675">
        <v>0</v>
      </c>
      <c r="BV840" s="549">
        <v>0</v>
      </c>
      <c r="BW840" s="675">
        <v>0</v>
      </c>
      <c r="BX840" s="549">
        <v>0</v>
      </c>
      <c r="BY840" s="675">
        <v>0</v>
      </c>
      <c r="BZ840" s="549">
        <v>0</v>
      </c>
      <c r="CA840" s="675">
        <v>0</v>
      </c>
      <c r="CB840" s="549">
        <v>0</v>
      </c>
      <c r="CC840" s="675">
        <v>0</v>
      </c>
      <c r="CD840" s="549">
        <v>0</v>
      </c>
      <c r="CE840" s="675">
        <v>0</v>
      </c>
      <c r="CF840" s="549">
        <v>175263</v>
      </c>
      <c r="CG840" s="675">
        <v>0</v>
      </c>
      <c r="CH840" s="549">
        <v>0</v>
      </c>
      <c r="CI840" s="675">
        <v>0</v>
      </c>
      <c r="CJ840" s="549">
        <v>0</v>
      </c>
      <c r="CK840" s="675">
        <v>0</v>
      </c>
      <c r="CL840" s="549">
        <v>0</v>
      </c>
      <c r="CM840" s="675">
        <v>0</v>
      </c>
      <c r="CN840" s="549">
        <v>0</v>
      </c>
      <c r="CO840" s="675">
        <v>0</v>
      </c>
      <c r="CP840" s="549">
        <v>0</v>
      </c>
      <c r="CQ840" s="675">
        <v>0</v>
      </c>
      <c r="CR840" s="549">
        <v>0</v>
      </c>
      <c r="CS840" s="675">
        <v>0</v>
      </c>
      <c r="CT840" s="549">
        <v>0</v>
      </c>
      <c r="CU840" s="675">
        <v>0</v>
      </c>
      <c r="CV840" s="549">
        <v>0</v>
      </c>
      <c r="CW840" s="675">
        <v>0</v>
      </c>
      <c r="CX840" s="549">
        <v>0</v>
      </c>
      <c r="CY840" s="675">
        <v>0</v>
      </c>
      <c r="CZ840" s="549">
        <v>0</v>
      </c>
      <c r="DA840" s="675">
        <v>0</v>
      </c>
      <c r="DB840" s="549">
        <v>0</v>
      </c>
      <c r="DC840" s="675">
        <v>0</v>
      </c>
      <c r="DD840" s="549">
        <v>0</v>
      </c>
      <c r="DE840" s="675">
        <v>0</v>
      </c>
      <c r="DF840" s="549">
        <v>0</v>
      </c>
      <c r="DG840" s="675">
        <v>0</v>
      </c>
      <c r="DH840" s="549">
        <v>0</v>
      </c>
      <c r="DI840" s="675">
        <v>0</v>
      </c>
      <c r="DJ840" s="549">
        <v>0</v>
      </c>
      <c r="DK840" s="675">
        <v>0</v>
      </c>
      <c r="DL840" s="549">
        <v>0</v>
      </c>
      <c r="DM840" s="675">
        <v>0</v>
      </c>
      <c r="DN840" s="549">
        <v>0</v>
      </c>
      <c r="DO840" s="675">
        <v>0</v>
      </c>
      <c r="DP840" s="549">
        <v>0</v>
      </c>
      <c r="DQ840" s="675">
        <v>0</v>
      </c>
      <c r="DR840" s="549">
        <v>0</v>
      </c>
      <c r="DS840" s="675">
        <v>0</v>
      </c>
      <c r="DT840" s="549">
        <v>0</v>
      </c>
      <c r="DU840" s="675">
        <v>0</v>
      </c>
      <c r="DV840" s="549">
        <v>0</v>
      </c>
      <c r="DW840" s="675">
        <v>0</v>
      </c>
      <c r="DX840" s="549">
        <v>0</v>
      </c>
      <c r="DY840" s="675">
        <v>0</v>
      </c>
      <c r="DZ840" s="549">
        <v>0</v>
      </c>
      <c r="EA840" s="675">
        <v>0</v>
      </c>
      <c r="EB840" s="549">
        <v>0</v>
      </c>
      <c r="EC840" s="675">
        <v>0</v>
      </c>
      <c r="ED840" s="549">
        <v>0</v>
      </c>
      <c r="EE840" s="675">
        <v>0</v>
      </c>
      <c r="EF840" s="549">
        <v>0</v>
      </c>
      <c r="EG840" s="675">
        <v>0</v>
      </c>
      <c r="EH840" s="549">
        <v>0</v>
      </c>
      <c r="EI840" s="675">
        <v>0</v>
      </c>
      <c r="EJ840" s="549">
        <v>0</v>
      </c>
      <c r="EK840" s="675">
        <v>0</v>
      </c>
      <c r="EL840" s="549">
        <v>0</v>
      </c>
      <c r="EM840" s="675">
        <v>0</v>
      </c>
      <c r="EN840" s="549">
        <v>0</v>
      </c>
      <c r="EO840" s="675">
        <v>0</v>
      </c>
      <c r="EP840" s="549">
        <v>0</v>
      </c>
      <c r="EQ840" s="675">
        <v>0</v>
      </c>
      <c r="ER840" s="549">
        <v>0</v>
      </c>
      <c r="ES840" s="675">
        <v>0</v>
      </c>
      <c r="ET840" s="549">
        <v>0</v>
      </c>
      <c r="EU840" s="675">
        <v>0</v>
      </c>
      <c r="EV840" s="549">
        <v>0</v>
      </c>
      <c r="EW840" s="675">
        <v>0</v>
      </c>
      <c r="EX840" s="549">
        <v>0</v>
      </c>
      <c r="EY840" s="675">
        <v>0</v>
      </c>
      <c r="EZ840" s="549">
        <v>0</v>
      </c>
      <c r="FA840" s="675">
        <v>0</v>
      </c>
      <c r="FB840" s="549">
        <v>0</v>
      </c>
      <c r="FC840" s="675">
        <v>0</v>
      </c>
      <c r="FD840" s="549">
        <v>0</v>
      </c>
      <c r="FE840" s="675">
        <v>0</v>
      </c>
      <c r="FF840" s="549">
        <v>0</v>
      </c>
      <c r="FG840" s="675">
        <v>0</v>
      </c>
      <c r="FH840" s="549">
        <v>0</v>
      </c>
      <c r="FI840" s="675">
        <v>0</v>
      </c>
      <c r="FJ840" s="549">
        <v>0</v>
      </c>
      <c r="FK840" s="675">
        <v>0</v>
      </c>
      <c r="FL840" s="549">
        <v>0</v>
      </c>
      <c r="FM840" s="675">
        <v>0</v>
      </c>
      <c r="FN840" s="549">
        <v>0</v>
      </c>
      <c r="FO840" s="675">
        <v>0</v>
      </c>
      <c r="FP840" s="549">
        <v>0</v>
      </c>
      <c r="FQ840" s="675">
        <v>0</v>
      </c>
      <c r="FR840" s="549">
        <v>0</v>
      </c>
      <c r="FS840" s="675">
        <v>0</v>
      </c>
      <c r="FT840" s="549">
        <v>0</v>
      </c>
      <c r="FU840" s="675">
        <v>0</v>
      </c>
      <c r="FV840" s="549">
        <v>0</v>
      </c>
      <c r="FW840" s="675">
        <v>0</v>
      </c>
      <c r="FX840" s="549">
        <v>0</v>
      </c>
      <c r="FY840" s="675">
        <v>0</v>
      </c>
      <c r="FZ840" s="549">
        <v>0</v>
      </c>
      <c r="GA840" s="675">
        <v>0</v>
      </c>
      <c r="GB840" s="549">
        <v>0</v>
      </c>
      <c r="GC840" s="675">
        <v>0</v>
      </c>
      <c r="GD840" s="549">
        <v>0</v>
      </c>
      <c r="GE840" s="675">
        <v>0</v>
      </c>
      <c r="GF840" s="549">
        <v>0</v>
      </c>
      <c r="GG840" s="675">
        <v>0</v>
      </c>
      <c r="GH840" s="549">
        <v>0</v>
      </c>
      <c r="GI840" s="675">
        <v>0</v>
      </c>
      <c r="GJ840" s="549">
        <v>0</v>
      </c>
      <c r="GK840" s="675">
        <v>0</v>
      </c>
      <c r="GL840" s="549">
        <v>0</v>
      </c>
      <c r="GM840" s="675">
        <v>0</v>
      </c>
      <c r="GN840" s="549">
        <v>0</v>
      </c>
      <c r="GO840" s="675">
        <v>0</v>
      </c>
      <c r="GP840" s="549">
        <f t="shared" si="17240"/>
        <v>175263</v>
      </c>
      <c r="GQ840" s="675">
        <f t="shared" si="17241"/>
        <v>0</v>
      </c>
      <c r="GR840" s="74">
        <f t="shared" si="17242"/>
        <v>175263</v>
      </c>
      <c r="GS840" s="74">
        <f t="shared" si="17243"/>
        <v>175263</v>
      </c>
      <c r="GT840" s="568">
        <f t="shared" si="17244"/>
        <v>175263</v>
      </c>
      <c r="GU840" s="275"/>
      <c r="GV840" s="275"/>
      <c r="GW840" s="588"/>
      <c r="GX840" s="275"/>
      <c r="GY840" s="275"/>
      <c r="GZ840" s="275"/>
      <c r="HA840" s="275"/>
      <c r="HB840" s="275"/>
      <c r="HC840" s="275"/>
      <c r="HD840" s="275"/>
      <c r="HE840" s="275"/>
      <c r="HF840" s="275"/>
      <c r="HG840" s="74">
        <f t="shared" si="17245"/>
        <v>175263</v>
      </c>
      <c r="HH840" s="89">
        <v>0</v>
      </c>
      <c r="HI840" s="157">
        <v>0</v>
      </c>
      <c r="HJ840" s="89">
        <v>0</v>
      </c>
      <c r="HK840" s="157">
        <v>0</v>
      </c>
      <c r="HL840" s="89">
        <v>0</v>
      </c>
      <c r="HM840" s="157">
        <v>0</v>
      </c>
      <c r="HN840" s="89">
        <v>0</v>
      </c>
      <c r="HO840" s="157">
        <v>0</v>
      </c>
      <c r="HP840" s="89">
        <v>0</v>
      </c>
      <c r="HQ840" s="157">
        <v>0</v>
      </c>
      <c r="HR840" s="89">
        <v>0</v>
      </c>
      <c r="HS840" s="157">
        <v>0</v>
      </c>
      <c r="HT840" s="89">
        <v>0</v>
      </c>
      <c r="HU840" s="157">
        <v>0</v>
      </c>
      <c r="HV840" s="89">
        <v>0</v>
      </c>
      <c r="HW840" s="157">
        <v>0</v>
      </c>
      <c r="HX840" s="89">
        <v>0</v>
      </c>
      <c r="HY840" s="157">
        <v>0</v>
      </c>
      <c r="HZ840" s="89">
        <v>0</v>
      </c>
      <c r="IA840" s="157">
        <v>0</v>
      </c>
      <c r="IB840" s="89">
        <v>0</v>
      </c>
      <c r="IC840" s="157">
        <v>0</v>
      </c>
      <c r="ID840" s="89">
        <v>0</v>
      </c>
      <c r="IE840" s="157">
        <v>0</v>
      </c>
      <c r="IF840" s="717">
        <f t="shared" ref="IF840" si="17320">SUM(II840,IL840,IO840,IR840,IU840,IX840,JA840,JD840,JG840,JJ840,JM840,JP840)</f>
        <v>175262.3</v>
      </c>
      <c r="IG840" s="263">
        <f t="shared" ref="IG840" si="17321">SUM(IJ840,IM840,IP840,IS840,IV840,IY840,JB840,JE840,JH840,JK840,JN840,JQ840)</f>
        <v>175262.3</v>
      </c>
      <c r="IH840" s="718">
        <f t="shared" ref="IH840" si="17322">SUM(IK840,IN840,IQ840,IT840,IW840,IZ840,JC840,JF840,JI840,JL840,JO840,JR840)</f>
        <v>175262.3</v>
      </c>
      <c r="II840" s="89">
        <v>0</v>
      </c>
      <c r="IJ840" s="89">
        <f t="shared" si="17249"/>
        <v>0</v>
      </c>
      <c r="IK840" s="89">
        <f t="shared" si="17250"/>
        <v>0</v>
      </c>
      <c r="IL840" s="89">
        <v>0</v>
      </c>
      <c r="IM840" s="89">
        <f t="shared" si="17251"/>
        <v>0</v>
      </c>
      <c r="IN840" s="89">
        <f t="shared" si="17252"/>
        <v>0</v>
      </c>
      <c r="IO840" s="89">
        <v>0</v>
      </c>
      <c r="IP840" s="89">
        <f t="shared" si="17253"/>
        <v>0</v>
      </c>
      <c r="IQ840" s="89">
        <f t="shared" si="17254"/>
        <v>0</v>
      </c>
      <c r="IR840" s="89">
        <v>0</v>
      </c>
      <c r="IS840" s="89">
        <f t="shared" si="17255"/>
        <v>0</v>
      </c>
      <c r="IT840" s="89">
        <f t="shared" si="17256"/>
        <v>0</v>
      </c>
      <c r="IU840" s="89">
        <v>0</v>
      </c>
      <c r="IV840" s="89">
        <f t="shared" si="17257"/>
        <v>0</v>
      </c>
      <c r="IW840" s="89">
        <f t="shared" si="17258"/>
        <v>0</v>
      </c>
      <c r="IX840" s="89">
        <v>0</v>
      </c>
      <c r="IY840" s="89">
        <f t="shared" si="17259"/>
        <v>0</v>
      </c>
      <c r="IZ840" s="89">
        <f t="shared" si="17260"/>
        <v>0</v>
      </c>
      <c r="JA840" s="89">
        <f>175262.3-0</f>
        <v>175262.3</v>
      </c>
      <c r="JB840" s="89">
        <f t="shared" si="17261"/>
        <v>175262.3</v>
      </c>
      <c r="JC840" s="89">
        <f t="shared" si="17262"/>
        <v>175262.3</v>
      </c>
      <c r="JD840" s="89">
        <v>0</v>
      </c>
      <c r="JE840" s="89">
        <f t="shared" si="17263"/>
        <v>0</v>
      </c>
      <c r="JF840" s="89">
        <f t="shared" si="17264"/>
        <v>0</v>
      </c>
      <c r="JG840" s="89">
        <v>0</v>
      </c>
      <c r="JH840" s="89">
        <f t="shared" si="17265"/>
        <v>0</v>
      </c>
      <c r="JI840" s="89">
        <f t="shared" si="17266"/>
        <v>0</v>
      </c>
      <c r="JJ840" s="89">
        <v>0</v>
      </c>
      <c r="JK840" s="89">
        <f t="shared" si="17267"/>
        <v>0</v>
      </c>
      <c r="JL840" s="89">
        <f t="shared" si="17268"/>
        <v>0</v>
      </c>
      <c r="JM840" s="89">
        <v>0</v>
      </c>
      <c r="JN840" s="89">
        <f t="shared" si="17269"/>
        <v>0</v>
      </c>
      <c r="JO840" s="89">
        <f t="shared" si="17270"/>
        <v>0</v>
      </c>
      <c r="JP840" s="89">
        <v>0</v>
      </c>
      <c r="JQ840" s="89">
        <f t="shared" ref="JQ840" si="17323">JP840</f>
        <v>0</v>
      </c>
      <c r="JR840" s="89">
        <f t="shared" ref="JR840" si="17324">JQ840</f>
        <v>0</v>
      </c>
      <c r="JS840" s="74">
        <f t="shared" ref="JS840" si="17325">HG840-IF840</f>
        <v>0.70000000001164153</v>
      </c>
      <c r="JT840" s="382">
        <f t="shared" ref="JT840" si="17326">GS840-IF840</f>
        <v>0.70000000001164153</v>
      </c>
      <c r="JU840" s="665"/>
      <c r="JV840" s="524"/>
      <c r="JW840" s="525"/>
      <c r="JX840" s="549">
        <f t="shared" ref="JX840" si="17327">SUM(HH840,HJ840,HL840,HN840,HP840,HR840,HT840,HV840,HX840,HZ840,IB840,ID840)</f>
        <v>0</v>
      </c>
      <c r="JY840" s="549">
        <f t="shared" ref="JY840" si="17328">SUM(HI840,HK840,HM840,HO840,HQ840,HS840,HU840,HW840,HY840,IA840,IC840,IE840)</f>
        <v>0</v>
      </c>
      <c r="JZ840" s="581">
        <f t="shared" ref="JZ840" si="17329">GP840</f>
        <v>175263</v>
      </c>
      <c r="KA840" s="581">
        <f t="shared" ref="KA840" si="17330">GQ840</f>
        <v>0</v>
      </c>
      <c r="KB840" s="566">
        <f t="shared" si="17276"/>
        <v>175263</v>
      </c>
      <c r="KC840" s="709">
        <f t="shared" ref="KC840" si="17331">HG840-KB840</f>
        <v>0</v>
      </c>
      <c r="KD840" s="491"/>
      <c r="KE840" s="491"/>
      <c r="KF840" s="491"/>
      <c r="KG840" s="491"/>
      <c r="KH840" s="36"/>
      <c r="KI840" s="36"/>
      <c r="KJ840" s="36"/>
      <c r="KK840" s="36"/>
    </row>
    <row r="841" spans="1:297" s="10" customFormat="1">
      <c r="A841" s="612"/>
      <c r="B841" s="512"/>
      <c r="C841" s="513"/>
      <c r="D841" s="553"/>
      <c r="E841" s="687"/>
      <c r="F841" s="553"/>
      <c r="G841" s="687"/>
      <c r="H841" s="553"/>
      <c r="I841" s="687"/>
      <c r="J841" s="553"/>
      <c r="K841" s="687"/>
      <c r="L841" s="553"/>
      <c r="M841" s="687"/>
      <c r="N841" s="553"/>
      <c r="O841" s="687"/>
      <c r="P841" s="553"/>
      <c r="Q841" s="687"/>
      <c r="R841" s="553"/>
      <c r="S841" s="687"/>
      <c r="T841" s="553"/>
      <c r="U841" s="687"/>
      <c r="V841" s="553"/>
      <c r="W841" s="687"/>
      <c r="X841" s="553"/>
      <c r="Y841" s="687"/>
      <c r="Z841" s="553"/>
      <c r="AA841" s="687"/>
      <c r="AB841" s="553"/>
      <c r="AC841" s="687"/>
      <c r="AD841" s="553"/>
      <c r="AE841" s="687"/>
      <c r="AF841" s="553"/>
      <c r="AG841" s="687"/>
      <c r="AH841" s="553"/>
      <c r="AI841" s="687"/>
      <c r="AJ841" s="553"/>
      <c r="AK841" s="687"/>
      <c r="AL841" s="553"/>
      <c r="AM841" s="687"/>
      <c r="AN841" s="553"/>
      <c r="AO841" s="687"/>
      <c r="AP841" s="553"/>
      <c r="AQ841" s="687"/>
      <c r="AR841" s="553"/>
      <c r="AS841" s="687"/>
      <c r="AT841" s="553"/>
      <c r="AU841" s="687"/>
      <c r="AV841" s="553"/>
      <c r="AW841" s="687"/>
      <c r="AX841" s="553"/>
      <c r="AY841" s="687"/>
      <c r="AZ841" s="553"/>
      <c r="BA841" s="687"/>
      <c r="BB841" s="553"/>
      <c r="BC841" s="687"/>
      <c r="BD841" s="553"/>
      <c r="BE841" s="687"/>
      <c r="BF841" s="553"/>
      <c r="BG841" s="687"/>
      <c r="BH841" s="553"/>
      <c r="BI841" s="687"/>
      <c r="BJ841" s="553"/>
      <c r="BK841" s="687"/>
      <c r="BL841" s="553"/>
      <c r="BM841" s="687"/>
      <c r="BN841" s="553"/>
      <c r="BO841" s="687"/>
      <c r="BP841" s="553"/>
      <c r="BQ841" s="687"/>
      <c r="BR841" s="553"/>
      <c r="BS841" s="687"/>
      <c r="BT841" s="553"/>
      <c r="BU841" s="687"/>
      <c r="BV841" s="553"/>
      <c r="BW841" s="687"/>
      <c r="BX841" s="553"/>
      <c r="BY841" s="687"/>
      <c r="BZ841" s="553"/>
      <c r="CA841" s="687"/>
      <c r="CB841" s="553"/>
      <c r="CC841" s="687"/>
      <c r="CD841" s="553"/>
      <c r="CE841" s="687"/>
      <c r="CF841" s="553"/>
      <c r="CG841" s="687"/>
      <c r="CH841" s="553"/>
      <c r="CI841" s="687"/>
      <c r="CJ841" s="553"/>
      <c r="CK841" s="687"/>
      <c r="CL841" s="553"/>
      <c r="CM841" s="687"/>
      <c r="CN841" s="553"/>
      <c r="CO841" s="687"/>
      <c r="CP841" s="553"/>
      <c r="CQ841" s="687"/>
      <c r="CR841" s="553"/>
      <c r="CS841" s="687"/>
      <c r="CT841" s="553"/>
      <c r="CU841" s="687"/>
      <c r="CV841" s="553"/>
      <c r="CW841" s="687"/>
      <c r="CX841" s="553"/>
      <c r="CY841" s="687"/>
      <c r="CZ841" s="553"/>
      <c r="DA841" s="687"/>
      <c r="DB841" s="553"/>
      <c r="DC841" s="687"/>
      <c r="DD841" s="553"/>
      <c r="DE841" s="687"/>
      <c r="DF841" s="553"/>
      <c r="DG841" s="687"/>
      <c r="DH841" s="553"/>
      <c r="DI841" s="687"/>
      <c r="DJ841" s="553"/>
      <c r="DK841" s="687"/>
      <c r="DL841" s="553"/>
      <c r="DM841" s="687"/>
      <c r="DN841" s="553"/>
      <c r="DO841" s="687"/>
      <c r="DP841" s="553"/>
      <c r="DQ841" s="687"/>
      <c r="DR841" s="553"/>
      <c r="DS841" s="687"/>
      <c r="DT841" s="553"/>
      <c r="DU841" s="687"/>
      <c r="DV841" s="553"/>
      <c r="DW841" s="687"/>
      <c r="DX841" s="553"/>
      <c r="DY841" s="687"/>
      <c r="DZ841" s="553"/>
      <c r="EA841" s="687"/>
      <c r="EB841" s="553"/>
      <c r="EC841" s="687"/>
      <c r="ED841" s="553"/>
      <c r="EE841" s="687"/>
      <c r="EF841" s="553"/>
      <c r="EG841" s="687"/>
      <c r="EH841" s="553"/>
      <c r="EI841" s="687"/>
      <c r="EJ841" s="553"/>
      <c r="EK841" s="687"/>
      <c r="EL841" s="553"/>
      <c r="EM841" s="687"/>
      <c r="EN841" s="553"/>
      <c r="EO841" s="687"/>
      <c r="EP841" s="553"/>
      <c r="EQ841" s="687"/>
      <c r="ER841" s="553"/>
      <c r="ES841" s="687"/>
      <c r="ET841" s="553"/>
      <c r="EU841" s="687"/>
      <c r="EV841" s="553"/>
      <c r="EW841" s="687"/>
      <c r="EX841" s="553"/>
      <c r="EY841" s="687"/>
      <c r="EZ841" s="553"/>
      <c r="FA841" s="687"/>
      <c r="FB841" s="553"/>
      <c r="FC841" s="687"/>
      <c r="FD841" s="553"/>
      <c r="FE841" s="687"/>
      <c r="FF841" s="553"/>
      <c r="FG841" s="687"/>
      <c r="FH841" s="553"/>
      <c r="FI841" s="687"/>
      <c r="FJ841" s="553"/>
      <c r="FK841" s="687"/>
      <c r="FL841" s="553"/>
      <c r="FM841" s="687"/>
      <c r="FN841" s="553"/>
      <c r="FO841" s="687"/>
      <c r="FP841" s="553"/>
      <c r="FQ841" s="687"/>
      <c r="FR841" s="553"/>
      <c r="FS841" s="687"/>
      <c r="FT841" s="553"/>
      <c r="FU841" s="687"/>
      <c r="FV841" s="553"/>
      <c r="FW841" s="687"/>
      <c r="FX841" s="553"/>
      <c r="FY841" s="687"/>
      <c r="FZ841" s="553"/>
      <c r="GA841" s="687"/>
      <c r="GB841" s="553"/>
      <c r="GC841" s="687"/>
      <c r="GD841" s="553"/>
      <c r="GE841" s="687"/>
      <c r="GF841" s="553"/>
      <c r="GG841" s="687"/>
      <c r="GH841" s="553"/>
      <c r="GI841" s="687"/>
      <c r="GJ841" s="553"/>
      <c r="GK841" s="687"/>
      <c r="GL841" s="553"/>
      <c r="GM841" s="687"/>
      <c r="GN841" s="553"/>
      <c r="GO841" s="687"/>
      <c r="GP841" s="553"/>
      <c r="GQ841" s="687"/>
      <c r="GR841" s="487"/>
      <c r="GS841" s="487"/>
      <c r="GT841" s="567"/>
      <c r="GU841" s="493"/>
      <c r="GV841" s="493"/>
      <c r="GW841" s="589"/>
      <c r="GX841" s="589"/>
      <c r="GY841" s="493"/>
      <c r="GZ841" s="493"/>
      <c r="HA841" s="493"/>
      <c r="HB841" s="493"/>
      <c r="HC841" s="493"/>
      <c r="HD841" s="493"/>
      <c r="HE841" s="493"/>
      <c r="HF841" s="493"/>
      <c r="HG841" s="487"/>
      <c r="HH841" s="488"/>
      <c r="HI841" s="829"/>
      <c r="HJ841" s="488"/>
      <c r="HK841" s="829"/>
      <c r="HL841" s="488"/>
      <c r="HM841" s="829"/>
      <c r="HN841" s="488"/>
      <c r="HO841" s="829"/>
      <c r="HP841" s="488"/>
      <c r="HQ841" s="829"/>
      <c r="HR841" s="488"/>
      <c r="HS841" s="829"/>
      <c r="HT841" s="488"/>
      <c r="HU841" s="829"/>
      <c r="HV841" s="488"/>
      <c r="HW841" s="829"/>
      <c r="HX841" s="488"/>
      <c r="HY841" s="829"/>
      <c r="HZ841" s="488"/>
      <c r="IA841" s="829"/>
      <c r="IB841" s="488"/>
      <c r="IC841" s="829"/>
      <c r="ID841" s="488"/>
      <c r="IE841" s="829"/>
      <c r="IF841" s="719"/>
      <c r="IG841" s="486"/>
      <c r="IH841" s="720"/>
      <c r="II841" s="488"/>
      <c r="IJ841" s="488"/>
      <c r="IK841" s="488"/>
      <c r="IL841" s="488"/>
      <c r="IM841" s="488"/>
      <c r="IN841" s="488"/>
      <c r="IO841" s="488"/>
      <c r="IP841" s="488"/>
      <c r="IQ841" s="488"/>
      <c r="IR841" s="488"/>
      <c r="IS841" s="488"/>
      <c r="IT841" s="488"/>
      <c r="IU841" s="488"/>
      <c r="IV841" s="488"/>
      <c r="IW841" s="488"/>
      <c r="IX841" s="488"/>
      <c r="IY841" s="488"/>
      <c r="IZ841" s="488"/>
      <c r="JA841" s="488"/>
      <c r="JB841" s="488"/>
      <c r="JC841" s="488"/>
      <c r="JD841" s="488"/>
      <c r="JE841" s="488"/>
      <c r="JF841" s="488"/>
      <c r="JG841" s="488"/>
      <c r="JH841" s="488"/>
      <c r="JI841" s="488"/>
      <c r="JJ841" s="488"/>
      <c r="JK841" s="488"/>
      <c r="JL841" s="488"/>
      <c r="JM841" s="488"/>
      <c r="JN841" s="488"/>
      <c r="JO841" s="488"/>
      <c r="JP841" s="488"/>
      <c r="JQ841" s="488"/>
      <c r="JR841" s="488"/>
      <c r="JS841" s="487"/>
      <c r="JT841" s="662"/>
      <c r="JU841" s="665"/>
      <c r="JV841" s="524"/>
      <c r="JW841" s="525"/>
      <c r="JX841" s="553"/>
      <c r="JY841" s="549">
        <f t="shared" si="17176"/>
        <v>0</v>
      </c>
      <c r="JZ841" s="581">
        <f t="shared" si="17318"/>
        <v>0</v>
      </c>
      <c r="KA841" s="581">
        <f t="shared" si="17319"/>
        <v>0</v>
      </c>
      <c r="KB841" s="566">
        <f t="shared" si="17031"/>
        <v>0</v>
      </c>
      <c r="KC841" s="709">
        <f t="shared" si="17277"/>
        <v>0</v>
      </c>
      <c r="KD841" s="491"/>
      <c r="KE841" s="491"/>
      <c r="KF841" s="491"/>
      <c r="KG841" s="491"/>
      <c r="KH841" s="36"/>
      <c r="KI841" s="36"/>
      <c r="KJ841" s="36"/>
      <c r="KK841" s="36"/>
    </row>
    <row r="842" spans="1:297" s="10" customFormat="1">
      <c r="A842" s="613" t="s">
        <v>739</v>
      </c>
      <c r="B842" s="514" t="s">
        <v>1005</v>
      </c>
      <c r="C842" s="513">
        <f>C843</f>
        <v>499900</v>
      </c>
      <c r="D842" s="567">
        <f t="shared" ref="D842:E842" si="17332">D843</f>
        <v>0</v>
      </c>
      <c r="E842" s="686">
        <f t="shared" si="17332"/>
        <v>0</v>
      </c>
      <c r="F842" s="567">
        <f t="shared" ref="F842:IZ842" si="17333">F843</f>
        <v>0</v>
      </c>
      <c r="G842" s="686">
        <f t="shared" si="17333"/>
        <v>0</v>
      </c>
      <c r="H842" s="567">
        <f t="shared" si="17333"/>
        <v>0</v>
      </c>
      <c r="I842" s="686">
        <f t="shared" si="17333"/>
        <v>0</v>
      </c>
      <c r="J842" s="567">
        <f t="shared" si="17333"/>
        <v>0</v>
      </c>
      <c r="K842" s="686">
        <f t="shared" si="17333"/>
        <v>-227500</v>
      </c>
      <c r="L842" s="567">
        <f t="shared" si="17333"/>
        <v>0</v>
      </c>
      <c r="M842" s="686">
        <f t="shared" si="17333"/>
        <v>0</v>
      </c>
      <c r="N842" s="567">
        <f t="shared" si="17333"/>
        <v>0</v>
      </c>
      <c r="O842" s="686">
        <f t="shared" si="17333"/>
        <v>-113800</v>
      </c>
      <c r="P842" s="567">
        <f t="shared" si="17333"/>
        <v>0</v>
      </c>
      <c r="Q842" s="686">
        <f t="shared" si="17333"/>
        <v>0</v>
      </c>
      <c r="R842" s="567">
        <f t="shared" si="17333"/>
        <v>0</v>
      </c>
      <c r="S842" s="686">
        <f t="shared" si="17333"/>
        <v>0</v>
      </c>
      <c r="T842" s="567">
        <f t="shared" si="17333"/>
        <v>0</v>
      </c>
      <c r="U842" s="686">
        <f t="shared" si="17333"/>
        <v>0</v>
      </c>
      <c r="V842" s="567">
        <f t="shared" si="17333"/>
        <v>0</v>
      </c>
      <c r="W842" s="686">
        <f t="shared" si="17333"/>
        <v>0</v>
      </c>
      <c r="X842" s="567">
        <f t="shared" si="17333"/>
        <v>0</v>
      </c>
      <c r="Y842" s="686">
        <f t="shared" si="17333"/>
        <v>0</v>
      </c>
      <c r="Z842" s="567">
        <f t="shared" si="17333"/>
        <v>0</v>
      </c>
      <c r="AA842" s="686">
        <f t="shared" si="17333"/>
        <v>-158600</v>
      </c>
      <c r="AB842" s="567">
        <f t="shared" si="17333"/>
        <v>0</v>
      </c>
      <c r="AC842" s="686">
        <f t="shared" si="17333"/>
        <v>0</v>
      </c>
      <c r="AD842" s="567">
        <f t="shared" si="17333"/>
        <v>0</v>
      </c>
      <c r="AE842" s="686">
        <f t="shared" si="17333"/>
        <v>0</v>
      </c>
      <c r="AF842" s="567">
        <f t="shared" si="17333"/>
        <v>0</v>
      </c>
      <c r="AG842" s="686">
        <f t="shared" si="17333"/>
        <v>0</v>
      </c>
      <c r="AH842" s="567">
        <f t="shared" si="17333"/>
        <v>0</v>
      </c>
      <c r="AI842" s="686">
        <f t="shared" si="17333"/>
        <v>0</v>
      </c>
      <c r="AJ842" s="567">
        <f t="shared" si="17333"/>
        <v>0</v>
      </c>
      <c r="AK842" s="686">
        <f t="shared" si="17333"/>
        <v>0</v>
      </c>
      <c r="AL842" s="567">
        <f t="shared" si="17333"/>
        <v>0</v>
      </c>
      <c r="AM842" s="686">
        <f t="shared" si="17333"/>
        <v>0</v>
      </c>
      <c r="AN842" s="567">
        <f t="shared" si="17333"/>
        <v>0</v>
      </c>
      <c r="AO842" s="686">
        <f t="shared" si="17333"/>
        <v>0</v>
      </c>
      <c r="AP842" s="567">
        <f t="shared" si="17333"/>
        <v>0</v>
      </c>
      <c r="AQ842" s="686">
        <f t="shared" si="17333"/>
        <v>0</v>
      </c>
      <c r="AR842" s="567">
        <f t="shared" si="17333"/>
        <v>0</v>
      </c>
      <c r="AS842" s="686">
        <f t="shared" si="17333"/>
        <v>0</v>
      </c>
      <c r="AT842" s="567">
        <f t="shared" si="17333"/>
        <v>0</v>
      </c>
      <c r="AU842" s="686">
        <f t="shared" si="17333"/>
        <v>0</v>
      </c>
      <c r="AV842" s="567">
        <f t="shared" si="17333"/>
        <v>0</v>
      </c>
      <c r="AW842" s="686">
        <f t="shared" si="17333"/>
        <v>0</v>
      </c>
      <c r="AX842" s="567">
        <f t="shared" si="17333"/>
        <v>0</v>
      </c>
      <c r="AY842" s="686">
        <f t="shared" si="17333"/>
        <v>0</v>
      </c>
      <c r="AZ842" s="567">
        <f t="shared" si="17333"/>
        <v>0</v>
      </c>
      <c r="BA842" s="686">
        <f t="shared" si="17333"/>
        <v>0</v>
      </c>
      <c r="BB842" s="567">
        <f t="shared" si="17333"/>
        <v>0</v>
      </c>
      <c r="BC842" s="686">
        <f t="shared" si="17333"/>
        <v>0</v>
      </c>
      <c r="BD842" s="567">
        <f t="shared" si="17333"/>
        <v>0</v>
      </c>
      <c r="BE842" s="686">
        <f t="shared" si="17333"/>
        <v>0</v>
      </c>
      <c r="BF842" s="567">
        <f t="shared" si="17333"/>
        <v>0</v>
      </c>
      <c r="BG842" s="686">
        <f t="shared" si="17333"/>
        <v>0</v>
      </c>
      <c r="BH842" s="567">
        <f t="shared" si="17333"/>
        <v>0</v>
      </c>
      <c r="BI842" s="686">
        <f t="shared" si="17333"/>
        <v>0</v>
      </c>
      <c r="BJ842" s="567">
        <f t="shared" si="17333"/>
        <v>0</v>
      </c>
      <c r="BK842" s="686">
        <f t="shared" si="17333"/>
        <v>0</v>
      </c>
      <c r="BL842" s="567">
        <f t="shared" si="17333"/>
        <v>0</v>
      </c>
      <c r="BM842" s="686">
        <f t="shared" si="17333"/>
        <v>0</v>
      </c>
      <c r="BN842" s="567">
        <f t="shared" si="17333"/>
        <v>0</v>
      </c>
      <c r="BO842" s="686">
        <f t="shared" si="17333"/>
        <v>0</v>
      </c>
      <c r="BP842" s="567">
        <f t="shared" si="17333"/>
        <v>0</v>
      </c>
      <c r="BQ842" s="686">
        <f t="shared" si="17333"/>
        <v>0</v>
      </c>
      <c r="BR842" s="567">
        <f t="shared" si="17333"/>
        <v>0</v>
      </c>
      <c r="BS842" s="686">
        <f t="shared" si="17333"/>
        <v>0</v>
      </c>
      <c r="BT842" s="567">
        <f t="shared" si="17333"/>
        <v>0</v>
      </c>
      <c r="BU842" s="686">
        <f t="shared" si="17333"/>
        <v>0</v>
      </c>
      <c r="BV842" s="567">
        <f t="shared" si="17333"/>
        <v>0</v>
      </c>
      <c r="BW842" s="686">
        <f t="shared" si="17333"/>
        <v>0</v>
      </c>
      <c r="BX842" s="567">
        <f t="shared" si="17333"/>
        <v>0</v>
      </c>
      <c r="BY842" s="686">
        <f t="shared" si="17333"/>
        <v>0</v>
      </c>
      <c r="BZ842" s="567">
        <f t="shared" si="17333"/>
        <v>0</v>
      </c>
      <c r="CA842" s="686">
        <f t="shared" si="17333"/>
        <v>0</v>
      </c>
      <c r="CB842" s="567">
        <f t="shared" si="17333"/>
        <v>0</v>
      </c>
      <c r="CC842" s="686">
        <f t="shared" si="17333"/>
        <v>0</v>
      </c>
      <c r="CD842" s="567">
        <f t="shared" si="17333"/>
        <v>0</v>
      </c>
      <c r="CE842" s="686">
        <f t="shared" si="17333"/>
        <v>0</v>
      </c>
      <c r="CF842" s="567">
        <f t="shared" si="17333"/>
        <v>0</v>
      </c>
      <c r="CG842" s="686">
        <f t="shared" si="17333"/>
        <v>0</v>
      </c>
      <c r="CH842" s="567">
        <f t="shared" si="17333"/>
        <v>0</v>
      </c>
      <c r="CI842" s="686">
        <f t="shared" si="17333"/>
        <v>0</v>
      </c>
      <c r="CJ842" s="567">
        <f t="shared" si="17333"/>
        <v>0</v>
      </c>
      <c r="CK842" s="686">
        <f t="shared" si="17333"/>
        <v>0</v>
      </c>
      <c r="CL842" s="567">
        <f t="shared" si="17333"/>
        <v>0</v>
      </c>
      <c r="CM842" s="686">
        <f t="shared" si="17333"/>
        <v>0</v>
      </c>
      <c r="CN842" s="567">
        <f t="shared" si="17333"/>
        <v>0</v>
      </c>
      <c r="CO842" s="686">
        <f t="shared" si="17333"/>
        <v>0</v>
      </c>
      <c r="CP842" s="567">
        <f t="shared" si="17333"/>
        <v>0</v>
      </c>
      <c r="CQ842" s="686">
        <f t="shared" si="17333"/>
        <v>0</v>
      </c>
      <c r="CR842" s="567">
        <f t="shared" si="17333"/>
        <v>0</v>
      </c>
      <c r="CS842" s="686">
        <f t="shared" si="17333"/>
        <v>0</v>
      </c>
      <c r="CT842" s="567">
        <f t="shared" si="17333"/>
        <v>0</v>
      </c>
      <c r="CU842" s="686">
        <f t="shared" si="17333"/>
        <v>0</v>
      </c>
      <c r="CV842" s="567">
        <f t="shared" si="17333"/>
        <v>0</v>
      </c>
      <c r="CW842" s="686">
        <f t="shared" si="17333"/>
        <v>0</v>
      </c>
      <c r="CX842" s="567">
        <f t="shared" si="17333"/>
        <v>0</v>
      </c>
      <c r="CY842" s="686">
        <f t="shared" si="17333"/>
        <v>0</v>
      </c>
      <c r="CZ842" s="567">
        <f t="shared" si="17333"/>
        <v>0</v>
      </c>
      <c r="DA842" s="686">
        <f t="shared" si="17333"/>
        <v>0</v>
      </c>
      <c r="DB842" s="567">
        <f t="shared" si="17333"/>
        <v>0</v>
      </c>
      <c r="DC842" s="686">
        <f t="shared" si="17333"/>
        <v>0</v>
      </c>
      <c r="DD842" s="567">
        <f t="shared" si="17333"/>
        <v>0</v>
      </c>
      <c r="DE842" s="686">
        <f t="shared" si="17333"/>
        <v>0</v>
      </c>
      <c r="DF842" s="567">
        <f t="shared" si="17333"/>
        <v>0</v>
      </c>
      <c r="DG842" s="686">
        <f t="shared" si="17333"/>
        <v>0</v>
      </c>
      <c r="DH842" s="567">
        <f t="shared" si="17333"/>
        <v>0</v>
      </c>
      <c r="DI842" s="686">
        <f t="shared" si="17333"/>
        <v>0</v>
      </c>
      <c r="DJ842" s="567">
        <f t="shared" si="17333"/>
        <v>0</v>
      </c>
      <c r="DK842" s="686">
        <f t="shared" si="17333"/>
        <v>0</v>
      </c>
      <c r="DL842" s="567">
        <f t="shared" si="17333"/>
        <v>0</v>
      </c>
      <c r="DM842" s="686">
        <f t="shared" si="17333"/>
        <v>0</v>
      </c>
      <c r="DN842" s="567">
        <f t="shared" si="17333"/>
        <v>0</v>
      </c>
      <c r="DO842" s="686">
        <f t="shared" si="17333"/>
        <v>0</v>
      </c>
      <c r="DP842" s="567">
        <f t="shared" si="17333"/>
        <v>0</v>
      </c>
      <c r="DQ842" s="686">
        <f t="shared" si="17333"/>
        <v>0</v>
      </c>
      <c r="DR842" s="567">
        <f t="shared" si="17333"/>
        <v>0</v>
      </c>
      <c r="DS842" s="686">
        <f t="shared" si="17333"/>
        <v>0</v>
      </c>
      <c r="DT842" s="567">
        <f t="shared" si="17333"/>
        <v>0</v>
      </c>
      <c r="DU842" s="686">
        <f t="shared" si="17333"/>
        <v>0</v>
      </c>
      <c r="DV842" s="567">
        <f t="shared" si="17333"/>
        <v>0</v>
      </c>
      <c r="DW842" s="686">
        <f t="shared" si="17333"/>
        <v>0</v>
      </c>
      <c r="DX842" s="567">
        <f t="shared" si="17333"/>
        <v>0</v>
      </c>
      <c r="DY842" s="686">
        <f t="shared" si="17333"/>
        <v>0</v>
      </c>
      <c r="DZ842" s="567">
        <f t="shared" si="17333"/>
        <v>0</v>
      </c>
      <c r="EA842" s="686">
        <f t="shared" si="17333"/>
        <v>0</v>
      </c>
      <c r="EB842" s="567">
        <f t="shared" si="17333"/>
        <v>0</v>
      </c>
      <c r="EC842" s="686">
        <f t="shared" si="17333"/>
        <v>0</v>
      </c>
      <c r="ED842" s="567">
        <f t="shared" si="17333"/>
        <v>0</v>
      </c>
      <c r="EE842" s="686">
        <f t="shared" si="17333"/>
        <v>0</v>
      </c>
      <c r="EF842" s="567">
        <f t="shared" si="17333"/>
        <v>0</v>
      </c>
      <c r="EG842" s="686">
        <f t="shared" si="17333"/>
        <v>0</v>
      </c>
      <c r="EH842" s="567">
        <f t="shared" si="17333"/>
        <v>0</v>
      </c>
      <c r="EI842" s="686">
        <f t="shared" si="17333"/>
        <v>0</v>
      </c>
      <c r="EJ842" s="567">
        <f t="shared" si="17333"/>
        <v>0</v>
      </c>
      <c r="EK842" s="686">
        <f t="shared" si="17333"/>
        <v>0</v>
      </c>
      <c r="EL842" s="567">
        <f t="shared" si="17333"/>
        <v>0</v>
      </c>
      <c r="EM842" s="686">
        <f t="shared" si="17333"/>
        <v>0</v>
      </c>
      <c r="EN842" s="567">
        <f t="shared" si="17333"/>
        <v>0</v>
      </c>
      <c r="EO842" s="686">
        <f t="shared" si="17333"/>
        <v>0</v>
      </c>
      <c r="EP842" s="567">
        <f t="shared" si="17333"/>
        <v>0</v>
      </c>
      <c r="EQ842" s="686">
        <f t="shared" si="17333"/>
        <v>0</v>
      </c>
      <c r="ER842" s="567">
        <f t="shared" si="17333"/>
        <v>0</v>
      </c>
      <c r="ES842" s="686">
        <f t="shared" si="17333"/>
        <v>0</v>
      </c>
      <c r="ET842" s="567">
        <f t="shared" si="17333"/>
        <v>0</v>
      </c>
      <c r="EU842" s="686">
        <f t="shared" si="17333"/>
        <v>0</v>
      </c>
      <c r="EV842" s="567">
        <f t="shared" si="17333"/>
        <v>0</v>
      </c>
      <c r="EW842" s="686">
        <f t="shared" si="17333"/>
        <v>0</v>
      </c>
      <c r="EX842" s="567">
        <f t="shared" si="17333"/>
        <v>0</v>
      </c>
      <c r="EY842" s="686">
        <f t="shared" si="17333"/>
        <v>0</v>
      </c>
      <c r="EZ842" s="567">
        <f t="shared" si="17333"/>
        <v>0</v>
      </c>
      <c r="FA842" s="686">
        <f t="shared" si="17333"/>
        <v>0</v>
      </c>
      <c r="FB842" s="567">
        <f t="shared" si="17333"/>
        <v>0</v>
      </c>
      <c r="FC842" s="686">
        <f t="shared" si="17333"/>
        <v>0</v>
      </c>
      <c r="FD842" s="567">
        <f t="shared" si="17333"/>
        <v>0</v>
      </c>
      <c r="FE842" s="686">
        <f t="shared" si="17333"/>
        <v>0</v>
      </c>
      <c r="FF842" s="567">
        <f t="shared" si="17333"/>
        <v>0</v>
      </c>
      <c r="FG842" s="686">
        <f t="shared" si="17333"/>
        <v>0</v>
      </c>
      <c r="FH842" s="567">
        <f t="shared" si="17333"/>
        <v>0</v>
      </c>
      <c r="FI842" s="686">
        <f t="shared" si="17333"/>
        <v>0</v>
      </c>
      <c r="FJ842" s="567">
        <f t="shared" si="17333"/>
        <v>0</v>
      </c>
      <c r="FK842" s="686">
        <f t="shared" si="17333"/>
        <v>0</v>
      </c>
      <c r="FL842" s="567">
        <f t="shared" si="17333"/>
        <v>0</v>
      </c>
      <c r="FM842" s="686">
        <f t="shared" si="17333"/>
        <v>0</v>
      </c>
      <c r="FN842" s="567">
        <f t="shared" si="17333"/>
        <v>0</v>
      </c>
      <c r="FO842" s="686">
        <f t="shared" si="17333"/>
        <v>0</v>
      </c>
      <c r="FP842" s="567">
        <f t="shared" si="17333"/>
        <v>0</v>
      </c>
      <c r="FQ842" s="686">
        <f t="shared" si="17333"/>
        <v>0</v>
      </c>
      <c r="FR842" s="567">
        <f t="shared" si="17333"/>
        <v>0</v>
      </c>
      <c r="FS842" s="686">
        <f t="shared" si="17333"/>
        <v>0</v>
      </c>
      <c r="FT842" s="567">
        <f t="shared" si="17333"/>
        <v>0</v>
      </c>
      <c r="FU842" s="686">
        <f t="shared" si="17333"/>
        <v>0</v>
      </c>
      <c r="FV842" s="567">
        <f t="shared" si="17333"/>
        <v>0</v>
      </c>
      <c r="FW842" s="686">
        <f t="shared" si="17333"/>
        <v>0</v>
      </c>
      <c r="FX842" s="567">
        <f t="shared" si="17333"/>
        <v>0</v>
      </c>
      <c r="FY842" s="686">
        <f t="shared" si="17333"/>
        <v>0</v>
      </c>
      <c r="FZ842" s="567">
        <f t="shared" si="17333"/>
        <v>0</v>
      </c>
      <c r="GA842" s="686">
        <f t="shared" si="17333"/>
        <v>0</v>
      </c>
      <c r="GB842" s="567">
        <f t="shared" si="17333"/>
        <v>0</v>
      </c>
      <c r="GC842" s="686">
        <f t="shared" si="17333"/>
        <v>0</v>
      </c>
      <c r="GD842" s="567">
        <f t="shared" si="17333"/>
        <v>0</v>
      </c>
      <c r="GE842" s="686">
        <f t="shared" si="17333"/>
        <v>0</v>
      </c>
      <c r="GF842" s="567">
        <f t="shared" si="17333"/>
        <v>0</v>
      </c>
      <c r="GG842" s="686">
        <f t="shared" si="17333"/>
        <v>0</v>
      </c>
      <c r="GH842" s="567">
        <f t="shared" si="17333"/>
        <v>0</v>
      </c>
      <c r="GI842" s="686">
        <f t="shared" si="17333"/>
        <v>0</v>
      </c>
      <c r="GJ842" s="567">
        <f t="shared" si="17333"/>
        <v>0</v>
      </c>
      <c r="GK842" s="686">
        <f t="shared" si="17333"/>
        <v>0</v>
      </c>
      <c r="GL842" s="567">
        <f t="shared" si="17333"/>
        <v>0</v>
      </c>
      <c r="GM842" s="686">
        <f t="shared" si="17333"/>
        <v>0</v>
      </c>
      <c r="GN842" s="567">
        <f t="shared" si="17333"/>
        <v>0</v>
      </c>
      <c r="GO842" s="686">
        <f t="shared" si="17333"/>
        <v>0</v>
      </c>
      <c r="GP842" s="567">
        <f t="shared" si="17333"/>
        <v>0</v>
      </c>
      <c r="GQ842" s="686">
        <f t="shared" si="17333"/>
        <v>-499900</v>
      </c>
      <c r="GR842" s="513">
        <f t="shared" si="17333"/>
        <v>0</v>
      </c>
      <c r="GS842" s="513">
        <f t="shared" si="17333"/>
        <v>0</v>
      </c>
      <c r="GT842" s="567">
        <f t="shared" si="17333"/>
        <v>0</v>
      </c>
      <c r="GU842" s="513">
        <f t="shared" si="17333"/>
        <v>99980</v>
      </c>
      <c r="GV842" s="513">
        <f t="shared" si="17333"/>
        <v>399920</v>
      </c>
      <c r="GW842" s="567">
        <f t="shared" si="17333"/>
        <v>0</v>
      </c>
      <c r="GX842" s="567">
        <f t="shared" si="17333"/>
        <v>0</v>
      </c>
      <c r="GY842" s="513">
        <f t="shared" si="17333"/>
        <v>0</v>
      </c>
      <c r="GZ842" s="513">
        <f t="shared" si="17333"/>
        <v>0</v>
      </c>
      <c r="HA842" s="513">
        <f t="shared" si="17333"/>
        <v>0</v>
      </c>
      <c r="HB842" s="513">
        <f t="shared" si="17333"/>
        <v>0</v>
      </c>
      <c r="HC842" s="513">
        <f t="shared" si="17333"/>
        <v>0</v>
      </c>
      <c r="HD842" s="513">
        <f t="shared" si="17333"/>
        <v>0</v>
      </c>
      <c r="HE842" s="513">
        <f t="shared" si="17333"/>
        <v>0</v>
      </c>
      <c r="HF842" s="513">
        <f t="shared" si="17333"/>
        <v>0</v>
      </c>
      <c r="HG842" s="513">
        <f t="shared" si="17333"/>
        <v>0</v>
      </c>
      <c r="HH842" s="513">
        <f t="shared" ref="HH842:HI842" si="17334">HH843</f>
        <v>0</v>
      </c>
      <c r="HI842" s="827">
        <f t="shared" si="17334"/>
        <v>0</v>
      </c>
      <c r="HJ842" s="513">
        <f t="shared" ref="HJ842:HK842" si="17335">HJ843</f>
        <v>0</v>
      </c>
      <c r="HK842" s="827">
        <f t="shared" si="17335"/>
        <v>341300</v>
      </c>
      <c r="HL842" s="513">
        <f t="shared" ref="HL842:HM842" si="17336">HL843</f>
        <v>0</v>
      </c>
      <c r="HM842" s="827">
        <f t="shared" si="17336"/>
        <v>158600</v>
      </c>
      <c r="HN842" s="513">
        <f t="shared" ref="HN842:HO842" si="17337">HN843</f>
        <v>0</v>
      </c>
      <c r="HO842" s="827">
        <f t="shared" si="17337"/>
        <v>0</v>
      </c>
      <c r="HP842" s="513">
        <f t="shared" ref="HP842:HQ842" si="17338">HP843</f>
        <v>0</v>
      </c>
      <c r="HQ842" s="827">
        <f t="shared" si="17338"/>
        <v>0</v>
      </c>
      <c r="HR842" s="513">
        <f t="shared" ref="HR842:HS842" si="17339">HR843</f>
        <v>0</v>
      </c>
      <c r="HS842" s="827">
        <f t="shared" si="17339"/>
        <v>0</v>
      </c>
      <c r="HT842" s="513">
        <f t="shared" ref="HT842:HU842" si="17340">HT843</f>
        <v>0</v>
      </c>
      <c r="HU842" s="827">
        <f t="shared" si="17340"/>
        <v>0</v>
      </c>
      <c r="HV842" s="513">
        <f t="shared" ref="HV842:HW842" si="17341">HV843</f>
        <v>0</v>
      </c>
      <c r="HW842" s="827">
        <f t="shared" si="17341"/>
        <v>0</v>
      </c>
      <c r="HX842" s="513">
        <f t="shared" ref="HX842:HY842" si="17342">HX843</f>
        <v>0</v>
      </c>
      <c r="HY842" s="827">
        <f t="shared" si="17342"/>
        <v>0</v>
      </c>
      <c r="HZ842" s="513">
        <f t="shared" ref="HZ842:IA842" si="17343">HZ843</f>
        <v>0</v>
      </c>
      <c r="IA842" s="827">
        <f t="shared" si="17343"/>
        <v>0</v>
      </c>
      <c r="IB842" s="513">
        <f t="shared" ref="IB842:IC842" si="17344">IB843</f>
        <v>0</v>
      </c>
      <c r="IC842" s="827">
        <f t="shared" si="17344"/>
        <v>0</v>
      </c>
      <c r="ID842" s="513">
        <f t="shared" si="17333"/>
        <v>0</v>
      </c>
      <c r="IE842" s="827">
        <f t="shared" si="17333"/>
        <v>0</v>
      </c>
      <c r="IF842" s="715">
        <f t="shared" si="17333"/>
        <v>0</v>
      </c>
      <c r="IG842" s="704">
        <f t="shared" si="17333"/>
        <v>0</v>
      </c>
      <c r="IH842" s="716">
        <f t="shared" si="17333"/>
        <v>0</v>
      </c>
      <c r="II842" s="513">
        <f t="shared" si="17333"/>
        <v>0</v>
      </c>
      <c r="IJ842" s="513">
        <f t="shared" si="17333"/>
        <v>0</v>
      </c>
      <c r="IK842" s="513">
        <f t="shared" si="17333"/>
        <v>0</v>
      </c>
      <c r="IL842" s="513">
        <f t="shared" si="17333"/>
        <v>0</v>
      </c>
      <c r="IM842" s="513">
        <f t="shared" si="17333"/>
        <v>0</v>
      </c>
      <c r="IN842" s="513">
        <f t="shared" si="17333"/>
        <v>0</v>
      </c>
      <c r="IO842" s="513">
        <f t="shared" si="17333"/>
        <v>0</v>
      </c>
      <c r="IP842" s="513">
        <f t="shared" si="17333"/>
        <v>0</v>
      </c>
      <c r="IQ842" s="513">
        <f t="shared" si="17333"/>
        <v>0</v>
      </c>
      <c r="IR842" s="513">
        <f t="shared" si="17333"/>
        <v>0</v>
      </c>
      <c r="IS842" s="513">
        <f t="shared" si="17333"/>
        <v>0</v>
      </c>
      <c r="IT842" s="513">
        <f t="shared" si="17333"/>
        <v>0</v>
      </c>
      <c r="IU842" s="513">
        <f t="shared" si="17333"/>
        <v>0</v>
      </c>
      <c r="IV842" s="513">
        <f t="shared" si="17333"/>
        <v>0</v>
      </c>
      <c r="IW842" s="513">
        <f t="shared" si="17333"/>
        <v>0</v>
      </c>
      <c r="IX842" s="513">
        <f t="shared" si="17333"/>
        <v>0</v>
      </c>
      <c r="IY842" s="513">
        <f t="shared" si="17333"/>
        <v>0</v>
      </c>
      <c r="IZ842" s="513">
        <f t="shared" si="17333"/>
        <v>0</v>
      </c>
      <c r="JA842" s="513">
        <f t="shared" ref="JA842:JX842" si="17345">JA843</f>
        <v>0</v>
      </c>
      <c r="JB842" s="513">
        <f t="shared" si="17345"/>
        <v>0</v>
      </c>
      <c r="JC842" s="513">
        <f t="shared" si="17345"/>
        <v>0</v>
      </c>
      <c r="JD842" s="513">
        <f t="shared" si="17345"/>
        <v>0</v>
      </c>
      <c r="JE842" s="513">
        <f t="shared" si="17345"/>
        <v>0</v>
      </c>
      <c r="JF842" s="513">
        <f t="shared" si="17345"/>
        <v>0</v>
      </c>
      <c r="JG842" s="513">
        <f t="shared" si="17345"/>
        <v>0</v>
      </c>
      <c r="JH842" s="513">
        <f t="shared" si="17345"/>
        <v>0</v>
      </c>
      <c r="JI842" s="513">
        <f t="shared" si="17345"/>
        <v>0</v>
      </c>
      <c r="JJ842" s="513">
        <f t="shared" si="17345"/>
        <v>0</v>
      </c>
      <c r="JK842" s="513">
        <f t="shared" si="17345"/>
        <v>0</v>
      </c>
      <c r="JL842" s="513">
        <f t="shared" si="17345"/>
        <v>0</v>
      </c>
      <c r="JM842" s="513">
        <f t="shared" si="17345"/>
        <v>0</v>
      </c>
      <c r="JN842" s="513">
        <f t="shared" si="17345"/>
        <v>0</v>
      </c>
      <c r="JO842" s="513">
        <f t="shared" si="17345"/>
        <v>0</v>
      </c>
      <c r="JP842" s="513">
        <f t="shared" si="17345"/>
        <v>0</v>
      </c>
      <c r="JQ842" s="513">
        <f t="shared" si="17345"/>
        <v>0</v>
      </c>
      <c r="JR842" s="513">
        <f t="shared" si="17345"/>
        <v>0</v>
      </c>
      <c r="JS842" s="513">
        <f t="shared" si="17345"/>
        <v>0</v>
      </c>
      <c r="JT842" s="573">
        <f t="shared" si="17345"/>
        <v>0</v>
      </c>
      <c r="JU842" s="665"/>
      <c r="JV842" s="524"/>
      <c r="JW842" s="525"/>
      <c r="JX842" s="567">
        <f t="shared" si="17345"/>
        <v>0</v>
      </c>
      <c r="JY842" s="513">
        <f>JY843</f>
        <v>499900</v>
      </c>
      <c r="JZ842" s="513">
        <f t="shared" ref="JZ842:KB842" si="17346">JZ843</f>
        <v>0</v>
      </c>
      <c r="KA842" s="513">
        <f t="shared" si="17346"/>
        <v>-499900</v>
      </c>
      <c r="KB842" s="513">
        <f t="shared" si="17346"/>
        <v>0</v>
      </c>
      <c r="KC842" s="709">
        <f t="shared" si="17277"/>
        <v>0</v>
      </c>
      <c r="KD842" s="491"/>
      <c r="KE842" s="491"/>
      <c r="KF842" s="491"/>
      <c r="KG842" s="491"/>
      <c r="KH842" s="36"/>
      <c r="KI842" s="36"/>
      <c r="KJ842" s="36"/>
      <c r="KK842" s="36"/>
    </row>
    <row r="843" spans="1:297" s="10" customFormat="1">
      <c r="A843" s="612" t="s">
        <v>740</v>
      </c>
      <c r="B843" s="512" t="s">
        <v>970</v>
      </c>
      <c r="C843" s="74">
        <v>499900</v>
      </c>
      <c r="D843" s="549">
        <v>0</v>
      </c>
      <c r="E843" s="675">
        <v>0</v>
      </c>
      <c r="F843" s="549">
        <v>0</v>
      </c>
      <c r="G843" s="675">
        <v>0</v>
      </c>
      <c r="H843" s="549">
        <v>0</v>
      </c>
      <c r="I843" s="675">
        <v>0</v>
      </c>
      <c r="J843" s="549">
        <v>0</v>
      </c>
      <c r="K843" s="675">
        <v>-227500</v>
      </c>
      <c r="L843" s="549">
        <v>0</v>
      </c>
      <c r="M843" s="675">
        <v>0</v>
      </c>
      <c r="N843" s="549">
        <v>0</v>
      </c>
      <c r="O843" s="675">
        <v>-113800</v>
      </c>
      <c r="P843" s="549">
        <v>0</v>
      </c>
      <c r="Q843" s="675">
        <v>0</v>
      </c>
      <c r="R843" s="549">
        <v>0</v>
      </c>
      <c r="S843" s="675">
        <v>0</v>
      </c>
      <c r="T843" s="549">
        <v>0</v>
      </c>
      <c r="U843" s="675">
        <v>0</v>
      </c>
      <c r="V843" s="549">
        <v>0</v>
      </c>
      <c r="W843" s="675">
        <v>0</v>
      </c>
      <c r="X843" s="549">
        <v>0</v>
      </c>
      <c r="Y843" s="675">
        <v>0</v>
      </c>
      <c r="Z843" s="549">
        <v>0</v>
      </c>
      <c r="AA843" s="675">
        <v>-158600</v>
      </c>
      <c r="AB843" s="549">
        <v>0</v>
      </c>
      <c r="AC843" s="675">
        <v>0</v>
      </c>
      <c r="AD843" s="549">
        <v>0</v>
      </c>
      <c r="AE843" s="675">
        <v>0</v>
      </c>
      <c r="AF843" s="549">
        <v>0</v>
      </c>
      <c r="AG843" s="675">
        <v>0</v>
      </c>
      <c r="AH843" s="549">
        <v>0</v>
      </c>
      <c r="AI843" s="675">
        <v>0</v>
      </c>
      <c r="AJ843" s="549">
        <v>0</v>
      </c>
      <c r="AK843" s="675">
        <v>0</v>
      </c>
      <c r="AL843" s="549">
        <v>0</v>
      </c>
      <c r="AM843" s="675">
        <v>0</v>
      </c>
      <c r="AN843" s="549">
        <v>0</v>
      </c>
      <c r="AO843" s="675">
        <v>0</v>
      </c>
      <c r="AP843" s="549">
        <v>0</v>
      </c>
      <c r="AQ843" s="675">
        <v>0</v>
      </c>
      <c r="AR843" s="549">
        <v>0</v>
      </c>
      <c r="AS843" s="675">
        <v>0</v>
      </c>
      <c r="AT843" s="549">
        <v>0</v>
      </c>
      <c r="AU843" s="675">
        <v>0</v>
      </c>
      <c r="AV843" s="549">
        <v>0</v>
      </c>
      <c r="AW843" s="675">
        <v>0</v>
      </c>
      <c r="AX843" s="549">
        <v>0</v>
      </c>
      <c r="AY843" s="675">
        <v>0</v>
      </c>
      <c r="AZ843" s="549">
        <v>0</v>
      </c>
      <c r="BA843" s="675">
        <v>0</v>
      </c>
      <c r="BB843" s="549">
        <v>0</v>
      </c>
      <c r="BC843" s="675">
        <v>0</v>
      </c>
      <c r="BD843" s="549">
        <v>0</v>
      </c>
      <c r="BE843" s="675">
        <v>0</v>
      </c>
      <c r="BF843" s="549">
        <v>0</v>
      </c>
      <c r="BG843" s="675">
        <v>0</v>
      </c>
      <c r="BH843" s="549">
        <v>0</v>
      </c>
      <c r="BI843" s="675">
        <v>0</v>
      </c>
      <c r="BJ843" s="549">
        <v>0</v>
      </c>
      <c r="BK843" s="675">
        <v>0</v>
      </c>
      <c r="BL843" s="549">
        <v>0</v>
      </c>
      <c r="BM843" s="675">
        <v>0</v>
      </c>
      <c r="BN843" s="549">
        <v>0</v>
      </c>
      <c r="BO843" s="675">
        <v>0</v>
      </c>
      <c r="BP843" s="549">
        <v>0</v>
      </c>
      <c r="BQ843" s="675">
        <v>0</v>
      </c>
      <c r="BR843" s="549">
        <v>0</v>
      </c>
      <c r="BS843" s="675">
        <v>0</v>
      </c>
      <c r="BT843" s="549">
        <v>0</v>
      </c>
      <c r="BU843" s="675">
        <v>0</v>
      </c>
      <c r="BV843" s="549">
        <v>0</v>
      </c>
      <c r="BW843" s="675">
        <v>0</v>
      </c>
      <c r="BX843" s="549">
        <v>0</v>
      </c>
      <c r="BY843" s="675">
        <v>0</v>
      </c>
      <c r="BZ843" s="549">
        <v>0</v>
      </c>
      <c r="CA843" s="675">
        <v>0</v>
      </c>
      <c r="CB843" s="549">
        <v>0</v>
      </c>
      <c r="CC843" s="675">
        <v>0</v>
      </c>
      <c r="CD843" s="549">
        <v>0</v>
      </c>
      <c r="CE843" s="675">
        <v>0</v>
      </c>
      <c r="CF843" s="549">
        <v>0</v>
      </c>
      <c r="CG843" s="675">
        <v>0</v>
      </c>
      <c r="CH843" s="549">
        <v>0</v>
      </c>
      <c r="CI843" s="675">
        <v>0</v>
      </c>
      <c r="CJ843" s="549">
        <v>0</v>
      </c>
      <c r="CK843" s="675">
        <v>0</v>
      </c>
      <c r="CL843" s="549">
        <v>0</v>
      </c>
      <c r="CM843" s="675">
        <v>0</v>
      </c>
      <c r="CN843" s="549">
        <v>0</v>
      </c>
      <c r="CO843" s="675">
        <v>0</v>
      </c>
      <c r="CP843" s="549">
        <v>0</v>
      </c>
      <c r="CQ843" s="675">
        <v>0</v>
      </c>
      <c r="CR843" s="549">
        <v>0</v>
      </c>
      <c r="CS843" s="675">
        <v>0</v>
      </c>
      <c r="CT843" s="549">
        <v>0</v>
      </c>
      <c r="CU843" s="675">
        <v>0</v>
      </c>
      <c r="CV843" s="549">
        <v>0</v>
      </c>
      <c r="CW843" s="675">
        <v>0</v>
      </c>
      <c r="CX843" s="549">
        <v>0</v>
      </c>
      <c r="CY843" s="675">
        <v>0</v>
      </c>
      <c r="CZ843" s="549">
        <v>0</v>
      </c>
      <c r="DA843" s="675">
        <v>0</v>
      </c>
      <c r="DB843" s="549">
        <v>0</v>
      </c>
      <c r="DC843" s="675">
        <v>0</v>
      </c>
      <c r="DD843" s="549">
        <v>0</v>
      </c>
      <c r="DE843" s="675">
        <v>0</v>
      </c>
      <c r="DF843" s="549">
        <v>0</v>
      </c>
      <c r="DG843" s="675">
        <v>0</v>
      </c>
      <c r="DH843" s="549">
        <v>0</v>
      </c>
      <c r="DI843" s="675">
        <v>0</v>
      </c>
      <c r="DJ843" s="549">
        <v>0</v>
      </c>
      <c r="DK843" s="675">
        <v>0</v>
      </c>
      <c r="DL843" s="549">
        <v>0</v>
      </c>
      <c r="DM843" s="675">
        <v>0</v>
      </c>
      <c r="DN843" s="549">
        <v>0</v>
      </c>
      <c r="DO843" s="675">
        <v>0</v>
      </c>
      <c r="DP843" s="549">
        <v>0</v>
      </c>
      <c r="DQ843" s="675">
        <v>0</v>
      </c>
      <c r="DR843" s="549">
        <v>0</v>
      </c>
      <c r="DS843" s="675">
        <v>0</v>
      </c>
      <c r="DT843" s="549">
        <v>0</v>
      </c>
      <c r="DU843" s="675">
        <v>0</v>
      </c>
      <c r="DV843" s="549">
        <v>0</v>
      </c>
      <c r="DW843" s="675">
        <v>0</v>
      </c>
      <c r="DX843" s="549">
        <v>0</v>
      </c>
      <c r="DY843" s="675">
        <v>0</v>
      </c>
      <c r="DZ843" s="549">
        <v>0</v>
      </c>
      <c r="EA843" s="675">
        <v>0</v>
      </c>
      <c r="EB843" s="549">
        <v>0</v>
      </c>
      <c r="EC843" s="675">
        <v>0</v>
      </c>
      <c r="ED843" s="549">
        <v>0</v>
      </c>
      <c r="EE843" s="675">
        <v>0</v>
      </c>
      <c r="EF843" s="549">
        <v>0</v>
      </c>
      <c r="EG843" s="675">
        <v>0</v>
      </c>
      <c r="EH843" s="549">
        <v>0</v>
      </c>
      <c r="EI843" s="675">
        <v>0</v>
      </c>
      <c r="EJ843" s="549">
        <v>0</v>
      </c>
      <c r="EK843" s="675">
        <v>0</v>
      </c>
      <c r="EL843" s="549">
        <v>0</v>
      </c>
      <c r="EM843" s="675">
        <v>0</v>
      </c>
      <c r="EN843" s="549">
        <v>0</v>
      </c>
      <c r="EO843" s="675">
        <v>0</v>
      </c>
      <c r="EP843" s="549">
        <v>0</v>
      </c>
      <c r="EQ843" s="675">
        <v>0</v>
      </c>
      <c r="ER843" s="549">
        <v>0</v>
      </c>
      <c r="ES843" s="675">
        <v>0</v>
      </c>
      <c r="ET843" s="549">
        <v>0</v>
      </c>
      <c r="EU843" s="675">
        <v>0</v>
      </c>
      <c r="EV843" s="549">
        <v>0</v>
      </c>
      <c r="EW843" s="675">
        <v>0</v>
      </c>
      <c r="EX843" s="549">
        <v>0</v>
      </c>
      <c r="EY843" s="675">
        <v>0</v>
      </c>
      <c r="EZ843" s="549">
        <v>0</v>
      </c>
      <c r="FA843" s="675">
        <v>0</v>
      </c>
      <c r="FB843" s="549">
        <v>0</v>
      </c>
      <c r="FC843" s="675">
        <v>0</v>
      </c>
      <c r="FD843" s="549">
        <v>0</v>
      </c>
      <c r="FE843" s="675">
        <v>0</v>
      </c>
      <c r="FF843" s="549">
        <v>0</v>
      </c>
      <c r="FG843" s="675">
        <v>0</v>
      </c>
      <c r="FH843" s="549">
        <v>0</v>
      </c>
      <c r="FI843" s="675">
        <v>0</v>
      </c>
      <c r="FJ843" s="549">
        <v>0</v>
      </c>
      <c r="FK843" s="675">
        <v>0</v>
      </c>
      <c r="FL843" s="549">
        <v>0</v>
      </c>
      <c r="FM843" s="675">
        <v>0</v>
      </c>
      <c r="FN843" s="549">
        <v>0</v>
      </c>
      <c r="FO843" s="675">
        <v>0</v>
      </c>
      <c r="FP843" s="549">
        <v>0</v>
      </c>
      <c r="FQ843" s="675">
        <v>0</v>
      </c>
      <c r="FR843" s="549">
        <v>0</v>
      </c>
      <c r="FS843" s="675">
        <v>0</v>
      </c>
      <c r="FT843" s="549">
        <v>0</v>
      </c>
      <c r="FU843" s="675">
        <v>0</v>
      </c>
      <c r="FV843" s="549">
        <v>0</v>
      </c>
      <c r="FW843" s="675">
        <v>0</v>
      </c>
      <c r="FX843" s="549">
        <v>0</v>
      </c>
      <c r="FY843" s="675">
        <v>0</v>
      </c>
      <c r="FZ843" s="549">
        <v>0</v>
      </c>
      <c r="GA843" s="675">
        <v>0</v>
      </c>
      <c r="GB843" s="549">
        <v>0</v>
      </c>
      <c r="GC843" s="675">
        <v>0</v>
      </c>
      <c r="GD843" s="549">
        <v>0</v>
      </c>
      <c r="GE843" s="675">
        <v>0</v>
      </c>
      <c r="GF843" s="549">
        <v>0</v>
      </c>
      <c r="GG843" s="675">
        <v>0</v>
      </c>
      <c r="GH843" s="549">
        <v>0</v>
      </c>
      <c r="GI843" s="675">
        <v>0</v>
      </c>
      <c r="GJ843" s="549">
        <v>0</v>
      </c>
      <c r="GK843" s="675">
        <v>0</v>
      </c>
      <c r="GL843" s="549">
        <v>0</v>
      </c>
      <c r="GM843" s="675">
        <v>0</v>
      </c>
      <c r="GN843" s="549">
        <v>0</v>
      </c>
      <c r="GO843" s="675">
        <v>0</v>
      </c>
      <c r="GP843" s="549">
        <f>+D843+F843+H843+J843+L843+N843+P843+R843+T843+V843+X843+Z843+AB843+AF843+AD843+AH843+AJ843+AL843+AN843+AP843+AR843+AT843+AV843+AX843+AZ843+BB843+BD843+BF843+BH843+BJ843+BL843+BN843+BP843+BR843+BT843+BV843+BX843+BZ843+CB843+CD843+CF843+CH843+CJ843+CL843+CN843+CP843+CR843+CT843+CV843+CX843+CZ843+DB843+DD843+DF843+DH843+DT843+EX843+DJ843+DL843+DN843+DP843+DR843+EJ843+EB843+DZ843+DX843+DV843+ED843+EF843+EH843+EL843+EN843+EP843+EV843+ET843+ER843+EZ843+FB843+FD843+GL843+FF843+FJ843+FL843+GJ843+FT843+FR843+FP843+FN843+FH843+GH843+GF843+GD843+GB843+FZ843+FX843+FV843+GN843</f>
        <v>0</v>
      </c>
      <c r="GQ843" s="675">
        <f>+E843+G843+I843+K843+M843+O843+Q843+S843+U843+W843+Y843+AA843+AC843+AE843+AG843+AI843+AK843+AM843+AO843+AQ843+AS843+AU843+AW843+AY843+BA843+BC843+BE843+BG843+BI843+BK843+BM843+BO843+BQ843+BS843+BU843+BW843+BY843+CA843+CC843+CE843+CG843+CI843+CK843+CM843+CO843+CQ843+CS843+CU843+CW843+CY843+DA843+DC843+DE843+DG843+DI843+DU843+EY843+DK843+DM843+DO843+DQ843+DS843+EK843+EC843+EA843+DY843+DW843+EI843+EG843+EE843+EM843+EO843+EQ843+EW843+EU843+ES843+FA843+FC843+FE843+GM843+FG843+FK843+FM843+FO843+FQ843+FS843+FU843+GK843+FI843+GI843+GG843+GE843+GC843+GA843+FY843+FW843+GO843</f>
        <v>-499900</v>
      </c>
      <c r="GR843" s="74">
        <f>C843+GP843+GQ843</f>
        <v>0</v>
      </c>
      <c r="GS843" s="74">
        <f>SUM(GU843:HD843)+GP843+GQ843</f>
        <v>0</v>
      </c>
      <c r="GT843" s="568">
        <f>SUM(GU843:HF843)+GQ843+GP843</f>
        <v>0</v>
      </c>
      <c r="GU843" s="275">
        <v>99980</v>
      </c>
      <c r="GV843" s="275">
        <v>399920</v>
      </c>
      <c r="GW843" s="588"/>
      <c r="GX843" s="275">
        <f>149970-149970</f>
        <v>0</v>
      </c>
      <c r="GY843" s="275"/>
      <c r="GZ843" s="275"/>
      <c r="HA843" s="275">
        <f>149970-149970</f>
        <v>0</v>
      </c>
      <c r="HB843" s="275"/>
      <c r="HC843" s="275"/>
      <c r="HD843" s="275">
        <f>99980-99980</f>
        <v>0</v>
      </c>
      <c r="HE843" s="275"/>
      <c r="HF843" s="275"/>
      <c r="HG843" s="74">
        <f>SUM(HH843:IE843)+GP843+GQ843</f>
        <v>0</v>
      </c>
      <c r="HH843" s="89">
        <v>0</v>
      </c>
      <c r="HI843" s="157">
        <v>0</v>
      </c>
      <c r="HJ843" s="89">
        <v>0</v>
      </c>
      <c r="HK843" s="157">
        <v>341300</v>
      </c>
      <c r="HL843" s="89">
        <v>0</v>
      </c>
      <c r="HM843" s="157">
        <v>158600</v>
      </c>
      <c r="HN843" s="89">
        <v>0</v>
      </c>
      <c r="HO843" s="157">
        <v>0</v>
      </c>
      <c r="HP843" s="89">
        <v>0</v>
      </c>
      <c r="HQ843" s="157">
        <v>0</v>
      </c>
      <c r="HR843" s="89">
        <v>0</v>
      </c>
      <c r="HS843" s="157">
        <v>0</v>
      </c>
      <c r="HT843" s="89">
        <v>0</v>
      </c>
      <c r="HU843" s="157">
        <v>0</v>
      </c>
      <c r="HV843" s="89">
        <v>0</v>
      </c>
      <c r="HW843" s="157">
        <v>0</v>
      </c>
      <c r="HX843" s="89">
        <v>0</v>
      </c>
      <c r="HY843" s="157">
        <v>0</v>
      </c>
      <c r="HZ843" s="89">
        <v>0</v>
      </c>
      <c r="IA843" s="157">
        <v>0</v>
      </c>
      <c r="IB843" s="89">
        <v>0</v>
      </c>
      <c r="IC843" s="157">
        <v>0</v>
      </c>
      <c r="ID843" s="89">
        <v>0</v>
      </c>
      <c r="IE843" s="157">
        <v>0</v>
      </c>
      <c r="IF843" s="717">
        <f t="shared" ref="IF843" si="17347">SUM(II843,IL843,IO843,IR843,IU843,IX843,JA843,JD843,JG843,JJ843,JM843,JP843)</f>
        <v>0</v>
      </c>
      <c r="IG843" s="263">
        <f t="shared" ref="IG843" si="17348">SUM(IJ843,IM843,IP843,IS843,IV843,IY843,JB843,JE843,JH843,JK843,JN843,JQ843)</f>
        <v>0</v>
      </c>
      <c r="IH843" s="718">
        <f t="shared" ref="IH843" si="17349">SUM(IK843,IN843,IQ843,IT843,IW843,IZ843,JC843,JF843,JI843,JL843,JO843,JR843)</f>
        <v>0</v>
      </c>
      <c r="II843" s="89">
        <v>0</v>
      </c>
      <c r="IJ843" s="89">
        <f t="shared" ref="IJ843" si="17350">II843</f>
        <v>0</v>
      </c>
      <c r="IK843" s="89">
        <f t="shared" ref="IK843" si="17351">IJ843</f>
        <v>0</v>
      </c>
      <c r="IL843" s="89">
        <v>0</v>
      </c>
      <c r="IM843" s="89">
        <f t="shared" ref="IM843" si="17352">IL843</f>
        <v>0</v>
      </c>
      <c r="IN843" s="89">
        <f t="shared" ref="IN843" si="17353">IM843</f>
        <v>0</v>
      </c>
      <c r="IO843" s="89">
        <v>0</v>
      </c>
      <c r="IP843" s="89">
        <f t="shared" ref="IP843" si="17354">IO843</f>
        <v>0</v>
      </c>
      <c r="IQ843" s="89">
        <f t="shared" ref="IQ843" si="17355">IP843</f>
        <v>0</v>
      </c>
      <c r="IR843" s="89">
        <v>0</v>
      </c>
      <c r="IS843" s="89">
        <f t="shared" ref="IS843" si="17356">IR843</f>
        <v>0</v>
      </c>
      <c r="IT843" s="89">
        <f t="shared" ref="IT843" si="17357">IS843</f>
        <v>0</v>
      </c>
      <c r="IU843" s="89">
        <v>0</v>
      </c>
      <c r="IV843" s="89">
        <f t="shared" ref="IV843" si="17358">IU843</f>
        <v>0</v>
      </c>
      <c r="IW843" s="89">
        <f t="shared" ref="IW843" si="17359">IV843</f>
        <v>0</v>
      </c>
      <c r="IX843" s="89">
        <v>0</v>
      </c>
      <c r="IY843" s="89">
        <f t="shared" ref="IY843" si="17360">IX843</f>
        <v>0</v>
      </c>
      <c r="IZ843" s="89">
        <f t="shared" ref="IZ843" si="17361">IY843</f>
        <v>0</v>
      </c>
      <c r="JA843" s="89">
        <v>0</v>
      </c>
      <c r="JB843" s="89">
        <f t="shared" ref="JB843" si="17362">JA843</f>
        <v>0</v>
      </c>
      <c r="JC843" s="89">
        <f t="shared" ref="JC843" si="17363">JB843</f>
        <v>0</v>
      </c>
      <c r="JD843" s="89">
        <v>0</v>
      </c>
      <c r="JE843" s="89">
        <f t="shared" ref="JE843" si="17364">JD843</f>
        <v>0</v>
      </c>
      <c r="JF843" s="89">
        <f t="shared" ref="JF843" si="17365">JE843</f>
        <v>0</v>
      </c>
      <c r="JG843" s="89">
        <v>0</v>
      </c>
      <c r="JH843" s="89">
        <f t="shared" ref="JH843" si="17366">JG843</f>
        <v>0</v>
      </c>
      <c r="JI843" s="89">
        <f t="shared" ref="JI843" si="17367">JH843</f>
        <v>0</v>
      </c>
      <c r="JJ843" s="89">
        <v>0</v>
      </c>
      <c r="JK843" s="89">
        <f t="shared" ref="JK843" si="17368">JJ843</f>
        <v>0</v>
      </c>
      <c r="JL843" s="89">
        <f t="shared" ref="JL843" si="17369">JK843</f>
        <v>0</v>
      </c>
      <c r="JM843" s="89">
        <v>0</v>
      </c>
      <c r="JN843" s="89">
        <f t="shared" ref="JN843" si="17370">JM843</f>
        <v>0</v>
      </c>
      <c r="JO843" s="89">
        <f t="shared" ref="JO843" si="17371">JN843</f>
        <v>0</v>
      </c>
      <c r="JP843" s="89">
        <v>0</v>
      </c>
      <c r="JQ843" s="89">
        <f t="shared" ref="JQ843" si="17372">JP843</f>
        <v>0</v>
      </c>
      <c r="JR843" s="89">
        <f t="shared" ref="JR843" si="17373">JQ843</f>
        <v>0</v>
      </c>
      <c r="JS843" s="74">
        <f>HG843-IF843</f>
        <v>0</v>
      </c>
      <c r="JT843" s="382">
        <f>GS843-IF843</f>
        <v>0</v>
      </c>
      <c r="JU843" s="665"/>
      <c r="JV843" s="524"/>
      <c r="JW843" s="525"/>
      <c r="JX843" s="549">
        <f>SUM(HH843,HJ843,HL843,HN843,HP843,HR843,HT843,HV843,HX843,HZ843,IB843,ID843)</f>
        <v>0</v>
      </c>
      <c r="JY843" s="549">
        <f t="shared" si="17176"/>
        <v>499900</v>
      </c>
      <c r="JZ843" s="581">
        <f t="shared" si="17318"/>
        <v>0</v>
      </c>
      <c r="KA843" s="581">
        <f t="shared" si="17319"/>
        <v>-499900</v>
      </c>
      <c r="KB843" s="566">
        <f t="shared" si="17031"/>
        <v>0</v>
      </c>
      <c r="KC843" s="709">
        <f t="shared" si="17277"/>
        <v>0</v>
      </c>
      <c r="KD843" s="491"/>
      <c r="KE843" s="491"/>
      <c r="KF843" s="491"/>
      <c r="KG843" s="491"/>
      <c r="KH843" s="36"/>
      <c r="KI843" s="36"/>
      <c r="KJ843" s="36"/>
      <c r="KK843" s="36"/>
    </row>
    <row r="844" spans="1:297" s="10" customFormat="1">
      <c r="A844" s="612"/>
      <c r="B844" s="512"/>
      <c r="C844" s="513"/>
      <c r="D844" s="553"/>
      <c r="E844" s="687"/>
      <c r="F844" s="553"/>
      <c r="G844" s="687"/>
      <c r="H844" s="553"/>
      <c r="I844" s="687"/>
      <c r="J844" s="553"/>
      <c r="K844" s="687"/>
      <c r="L844" s="553"/>
      <c r="M844" s="687"/>
      <c r="N844" s="553"/>
      <c r="O844" s="687"/>
      <c r="P844" s="553"/>
      <c r="Q844" s="687"/>
      <c r="R844" s="553"/>
      <c r="S844" s="687"/>
      <c r="T844" s="553"/>
      <c r="U844" s="687"/>
      <c r="V844" s="553"/>
      <c r="W844" s="687"/>
      <c r="X844" s="553"/>
      <c r="Y844" s="687"/>
      <c r="Z844" s="553"/>
      <c r="AA844" s="687"/>
      <c r="AB844" s="553"/>
      <c r="AC844" s="687"/>
      <c r="AD844" s="553"/>
      <c r="AE844" s="687"/>
      <c r="AF844" s="553"/>
      <c r="AG844" s="687"/>
      <c r="AH844" s="553"/>
      <c r="AI844" s="687"/>
      <c r="AJ844" s="553"/>
      <c r="AK844" s="687"/>
      <c r="AL844" s="553"/>
      <c r="AM844" s="687"/>
      <c r="AN844" s="553"/>
      <c r="AO844" s="687"/>
      <c r="AP844" s="553"/>
      <c r="AQ844" s="687"/>
      <c r="AR844" s="553"/>
      <c r="AS844" s="687"/>
      <c r="AT844" s="553"/>
      <c r="AU844" s="687"/>
      <c r="AV844" s="553"/>
      <c r="AW844" s="687"/>
      <c r="AX844" s="553"/>
      <c r="AY844" s="687"/>
      <c r="AZ844" s="553"/>
      <c r="BA844" s="687"/>
      <c r="BB844" s="553"/>
      <c r="BC844" s="687"/>
      <c r="BD844" s="553"/>
      <c r="BE844" s="687"/>
      <c r="BF844" s="553"/>
      <c r="BG844" s="687"/>
      <c r="BH844" s="553"/>
      <c r="BI844" s="687"/>
      <c r="BJ844" s="553"/>
      <c r="BK844" s="687"/>
      <c r="BL844" s="553"/>
      <c r="BM844" s="687"/>
      <c r="BN844" s="553"/>
      <c r="BO844" s="687"/>
      <c r="BP844" s="553"/>
      <c r="BQ844" s="687"/>
      <c r="BR844" s="553"/>
      <c r="BS844" s="687"/>
      <c r="BT844" s="553"/>
      <c r="BU844" s="687"/>
      <c r="BV844" s="553"/>
      <c r="BW844" s="687"/>
      <c r="BX844" s="553"/>
      <c r="BY844" s="687"/>
      <c r="BZ844" s="553"/>
      <c r="CA844" s="687"/>
      <c r="CB844" s="553"/>
      <c r="CC844" s="687"/>
      <c r="CD844" s="553"/>
      <c r="CE844" s="687"/>
      <c r="CF844" s="553"/>
      <c r="CG844" s="687"/>
      <c r="CH844" s="553"/>
      <c r="CI844" s="687"/>
      <c r="CJ844" s="553"/>
      <c r="CK844" s="687"/>
      <c r="CL844" s="553"/>
      <c r="CM844" s="687"/>
      <c r="CN844" s="553"/>
      <c r="CO844" s="687"/>
      <c r="CP844" s="553"/>
      <c r="CQ844" s="687"/>
      <c r="CR844" s="553"/>
      <c r="CS844" s="687"/>
      <c r="CT844" s="553"/>
      <c r="CU844" s="687"/>
      <c r="CV844" s="553"/>
      <c r="CW844" s="687"/>
      <c r="CX844" s="553"/>
      <c r="CY844" s="687"/>
      <c r="CZ844" s="553"/>
      <c r="DA844" s="687"/>
      <c r="DB844" s="553"/>
      <c r="DC844" s="687"/>
      <c r="DD844" s="553"/>
      <c r="DE844" s="687"/>
      <c r="DF844" s="553"/>
      <c r="DG844" s="687"/>
      <c r="DH844" s="553"/>
      <c r="DI844" s="687"/>
      <c r="DJ844" s="553"/>
      <c r="DK844" s="687"/>
      <c r="DL844" s="553"/>
      <c r="DM844" s="687"/>
      <c r="DN844" s="553"/>
      <c r="DO844" s="687"/>
      <c r="DP844" s="553"/>
      <c r="DQ844" s="687"/>
      <c r="DR844" s="553"/>
      <c r="DS844" s="687"/>
      <c r="DT844" s="553"/>
      <c r="DU844" s="687"/>
      <c r="DV844" s="553"/>
      <c r="DW844" s="687"/>
      <c r="DX844" s="553"/>
      <c r="DY844" s="687"/>
      <c r="DZ844" s="553"/>
      <c r="EA844" s="687"/>
      <c r="EB844" s="553"/>
      <c r="EC844" s="687"/>
      <c r="ED844" s="553"/>
      <c r="EE844" s="687"/>
      <c r="EF844" s="553"/>
      <c r="EG844" s="687"/>
      <c r="EH844" s="553"/>
      <c r="EI844" s="687"/>
      <c r="EJ844" s="553"/>
      <c r="EK844" s="687"/>
      <c r="EL844" s="553"/>
      <c r="EM844" s="687"/>
      <c r="EN844" s="553"/>
      <c r="EO844" s="687"/>
      <c r="EP844" s="553"/>
      <c r="EQ844" s="687"/>
      <c r="ER844" s="553"/>
      <c r="ES844" s="687"/>
      <c r="ET844" s="553"/>
      <c r="EU844" s="687"/>
      <c r="EV844" s="553"/>
      <c r="EW844" s="687"/>
      <c r="EX844" s="553"/>
      <c r="EY844" s="687"/>
      <c r="EZ844" s="553"/>
      <c r="FA844" s="687"/>
      <c r="FB844" s="553"/>
      <c r="FC844" s="687"/>
      <c r="FD844" s="553"/>
      <c r="FE844" s="687"/>
      <c r="FF844" s="553"/>
      <c r="FG844" s="687"/>
      <c r="FH844" s="553"/>
      <c r="FI844" s="687"/>
      <c r="FJ844" s="553"/>
      <c r="FK844" s="687"/>
      <c r="FL844" s="553"/>
      <c r="FM844" s="687"/>
      <c r="FN844" s="553"/>
      <c r="FO844" s="687"/>
      <c r="FP844" s="553"/>
      <c r="FQ844" s="687"/>
      <c r="FR844" s="553"/>
      <c r="FS844" s="687"/>
      <c r="FT844" s="553"/>
      <c r="FU844" s="687"/>
      <c r="FV844" s="553"/>
      <c r="FW844" s="687"/>
      <c r="FX844" s="553"/>
      <c r="FY844" s="687"/>
      <c r="FZ844" s="553"/>
      <c r="GA844" s="687"/>
      <c r="GB844" s="553"/>
      <c r="GC844" s="687"/>
      <c r="GD844" s="553"/>
      <c r="GE844" s="687"/>
      <c r="GF844" s="553"/>
      <c r="GG844" s="687"/>
      <c r="GH844" s="553"/>
      <c r="GI844" s="687"/>
      <c r="GJ844" s="553"/>
      <c r="GK844" s="687"/>
      <c r="GL844" s="553"/>
      <c r="GM844" s="687"/>
      <c r="GN844" s="553"/>
      <c r="GO844" s="687"/>
      <c r="GP844" s="553"/>
      <c r="GQ844" s="687"/>
      <c r="GR844" s="74"/>
      <c r="GS844" s="74"/>
      <c r="GT844" s="568"/>
      <c r="GU844" s="275"/>
      <c r="GV844" s="275"/>
      <c r="GW844" s="588"/>
      <c r="GX844" s="588"/>
      <c r="GY844" s="275"/>
      <c r="GZ844" s="275"/>
      <c r="HA844" s="275"/>
      <c r="HB844" s="275"/>
      <c r="HC844" s="275"/>
      <c r="HD844" s="275"/>
      <c r="HE844" s="275"/>
      <c r="HF844" s="275"/>
      <c r="HG844" s="74"/>
      <c r="HH844" s="89"/>
      <c r="HI844" s="817"/>
      <c r="HJ844" s="89"/>
      <c r="HK844" s="817"/>
      <c r="HL844" s="89"/>
      <c r="HM844" s="817"/>
      <c r="HN844" s="89"/>
      <c r="HO844" s="817"/>
      <c r="HP844" s="89"/>
      <c r="HQ844" s="817"/>
      <c r="HR844" s="89"/>
      <c r="HS844" s="817"/>
      <c r="HT844" s="89"/>
      <c r="HU844" s="817"/>
      <c r="HV844" s="89"/>
      <c r="HW844" s="817"/>
      <c r="HX844" s="89"/>
      <c r="HY844" s="817"/>
      <c r="HZ844" s="89"/>
      <c r="IA844" s="817"/>
      <c r="IB844" s="89"/>
      <c r="IC844" s="817"/>
      <c r="ID844" s="89"/>
      <c r="IE844" s="817"/>
      <c r="IF844" s="717"/>
      <c r="IG844" s="263"/>
      <c r="IH844" s="718"/>
      <c r="II844" s="89"/>
      <c r="IJ844" s="89"/>
      <c r="IK844" s="89"/>
      <c r="IL844" s="89"/>
      <c r="IM844" s="89"/>
      <c r="IN844" s="89"/>
      <c r="IO844" s="89"/>
      <c r="IP844" s="89"/>
      <c r="IQ844" s="89"/>
      <c r="IR844" s="89"/>
      <c r="IS844" s="89"/>
      <c r="IT844" s="89"/>
      <c r="IU844" s="89"/>
      <c r="IV844" s="89"/>
      <c r="IW844" s="89"/>
      <c r="IX844" s="89"/>
      <c r="IY844" s="89"/>
      <c r="IZ844" s="89"/>
      <c r="JA844" s="89"/>
      <c r="JB844" s="89"/>
      <c r="JC844" s="89"/>
      <c r="JD844" s="89"/>
      <c r="JE844" s="89"/>
      <c r="JF844" s="89"/>
      <c r="JG844" s="89"/>
      <c r="JH844" s="89"/>
      <c r="JI844" s="89"/>
      <c r="JJ844" s="89"/>
      <c r="JK844" s="89"/>
      <c r="JL844" s="89"/>
      <c r="JM844" s="89"/>
      <c r="JN844" s="89"/>
      <c r="JO844" s="89"/>
      <c r="JP844" s="89"/>
      <c r="JQ844" s="89"/>
      <c r="JR844" s="89"/>
      <c r="JS844" s="74"/>
      <c r="JT844" s="382"/>
      <c r="JU844" s="665"/>
      <c r="JV844" s="524"/>
      <c r="JW844" s="525"/>
      <c r="JX844" s="549"/>
      <c r="JY844" s="549">
        <f t="shared" si="17176"/>
        <v>0</v>
      </c>
      <c r="JZ844" s="581">
        <f t="shared" si="17318"/>
        <v>0</v>
      </c>
      <c r="KA844" s="581">
        <f t="shared" si="17319"/>
        <v>0</v>
      </c>
      <c r="KB844" s="566">
        <f t="shared" si="17031"/>
        <v>0</v>
      </c>
      <c r="KC844" s="709">
        <f t="shared" si="17277"/>
        <v>0</v>
      </c>
      <c r="KD844" s="491"/>
      <c r="KE844" s="491"/>
      <c r="KF844" s="491"/>
      <c r="KG844" s="491"/>
      <c r="KH844" s="36"/>
      <c r="KI844" s="36"/>
      <c r="KJ844" s="36"/>
      <c r="KK844" s="36"/>
    </row>
    <row r="845" spans="1:297" s="10" customFormat="1">
      <c r="A845" s="613" t="s">
        <v>741</v>
      </c>
      <c r="B845" s="514" t="s">
        <v>1006</v>
      </c>
      <c r="C845" s="513">
        <f t="shared" ref="C845" si="17374">SUM(C846:C853)</f>
        <v>400000</v>
      </c>
      <c r="D845" s="567">
        <f t="shared" ref="D845:E845" si="17375">SUM(D846:D854)</f>
        <v>0</v>
      </c>
      <c r="E845" s="686">
        <f t="shared" si="17375"/>
        <v>0</v>
      </c>
      <c r="F845" s="567">
        <f t="shared" ref="F845:G845" si="17376">SUM(F846:F854)</f>
        <v>0</v>
      </c>
      <c r="G845" s="686">
        <f t="shared" si="17376"/>
        <v>0</v>
      </c>
      <c r="H845" s="567">
        <f t="shared" ref="H845:I845" si="17377">SUM(H846:H854)</f>
        <v>0</v>
      </c>
      <c r="I845" s="686">
        <f t="shared" si="17377"/>
        <v>0</v>
      </c>
      <c r="J845" s="567">
        <f t="shared" ref="J845:K845" si="17378">SUM(J846:J854)</f>
        <v>0</v>
      </c>
      <c r="K845" s="686">
        <f t="shared" si="17378"/>
        <v>0</v>
      </c>
      <c r="L845" s="567">
        <f t="shared" ref="L845:M845" si="17379">SUM(L846:L854)</f>
        <v>0</v>
      </c>
      <c r="M845" s="686">
        <f t="shared" si="17379"/>
        <v>0</v>
      </c>
      <c r="N845" s="567">
        <f t="shared" ref="N845:O845" si="17380">SUM(N846:N854)</f>
        <v>0</v>
      </c>
      <c r="O845" s="686">
        <f t="shared" si="17380"/>
        <v>0</v>
      </c>
      <c r="P845" s="567">
        <f t="shared" ref="P845:Q845" si="17381">SUM(P846:P854)</f>
        <v>0</v>
      </c>
      <c r="Q845" s="686">
        <f t="shared" si="17381"/>
        <v>0</v>
      </c>
      <c r="R845" s="567">
        <f t="shared" ref="R845:S845" si="17382">SUM(R846:R854)</f>
        <v>0</v>
      </c>
      <c r="S845" s="686">
        <f t="shared" si="17382"/>
        <v>0</v>
      </c>
      <c r="T845" s="567">
        <f t="shared" ref="T845:U845" si="17383">SUM(T846:T854)</f>
        <v>0</v>
      </c>
      <c r="U845" s="686">
        <f t="shared" si="17383"/>
        <v>0</v>
      </c>
      <c r="V845" s="567">
        <f t="shared" ref="V845:W845" si="17384">SUM(V846:V854)</f>
        <v>0</v>
      </c>
      <c r="W845" s="686">
        <f t="shared" si="17384"/>
        <v>0</v>
      </c>
      <c r="X845" s="567">
        <f t="shared" ref="X845:Y845" si="17385">SUM(X846:X854)</f>
        <v>0</v>
      </c>
      <c r="Y845" s="686">
        <f t="shared" si="17385"/>
        <v>0</v>
      </c>
      <c r="Z845" s="567">
        <f t="shared" ref="Z845:AA845" si="17386">SUM(Z846:Z854)</f>
        <v>0</v>
      </c>
      <c r="AA845" s="686">
        <f t="shared" si="17386"/>
        <v>0</v>
      </c>
      <c r="AB845" s="567">
        <f t="shared" ref="AB845:AC845" si="17387">SUM(AB846:AB854)</f>
        <v>0</v>
      </c>
      <c r="AC845" s="686">
        <f t="shared" si="17387"/>
        <v>0</v>
      </c>
      <c r="AD845" s="567">
        <f t="shared" ref="AD845:AE845" si="17388">SUM(AD846:AD854)</f>
        <v>0</v>
      </c>
      <c r="AE845" s="686">
        <f t="shared" si="17388"/>
        <v>0</v>
      </c>
      <c r="AF845" s="567">
        <f t="shared" ref="AF845:AI845" si="17389">SUM(AF846:AF854)</f>
        <v>0</v>
      </c>
      <c r="AG845" s="686">
        <f t="shared" si="17389"/>
        <v>0</v>
      </c>
      <c r="AH845" s="567">
        <f t="shared" si="17389"/>
        <v>0</v>
      </c>
      <c r="AI845" s="686">
        <f t="shared" si="17389"/>
        <v>0</v>
      </c>
      <c r="AJ845" s="567">
        <f t="shared" ref="AJ845:AK845" si="17390">SUM(AJ846:AJ854)</f>
        <v>0</v>
      </c>
      <c r="AK845" s="686">
        <f t="shared" si="17390"/>
        <v>0</v>
      </c>
      <c r="AL845" s="567">
        <f t="shared" ref="AL845:AM845" si="17391">SUM(AL846:AL854)</f>
        <v>0</v>
      </c>
      <c r="AM845" s="686">
        <f t="shared" si="17391"/>
        <v>0</v>
      </c>
      <c r="AN845" s="567">
        <f t="shared" ref="AN845:AO845" si="17392">SUM(AN846:AN854)</f>
        <v>0</v>
      </c>
      <c r="AO845" s="686">
        <f t="shared" si="17392"/>
        <v>0</v>
      </c>
      <c r="AP845" s="567">
        <f t="shared" ref="AP845:AQ845" si="17393">SUM(AP846:AP854)</f>
        <v>0</v>
      </c>
      <c r="AQ845" s="686">
        <f t="shared" si="17393"/>
        <v>-77095</v>
      </c>
      <c r="AR845" s="567">
        <f t="shared" ref="AR845:AS845" si="17394">SUM(AR846:AR854)</f>
        <v>0</v>
      </c>
      <c r="AS845" s="686">
        <f t="shared" si="17394"/>
        <v>0</v>
      </c>
      <c r="AT845" s="567">
        <f t="shared" ref="AT845:AU845" si="17395">SUM(AT846:AT854)</f>
        <v>0</v>
      </c>
      <c r="AU845" s="686">
        <f t="shared" si="17395"/>
        <v>0</v>
      </c>
      <c r="AV845" s="567">
        <f t="shared" ref="AV845:AW845" si="17396">SUM(AV846:AV854)</f>
        <v>0</v>
      </c>
      <c r="AW845" s="686">
        <f t="shared" si="17396"/>
        <v>0</v>
      </c>
      <c r="AX845" s="567">
        <f t="shared" ref="AX845:AY845" si="17397">SUM(AX846:AX854)</f>
        <v>0</v>
      </c>
      <c r="AY845" s="686">
        <f t="shared" si="17397"/>
        <v>-201905</v>
      </c>
      <c r="AZ845" s="567">
        <f t="shared" ref="AZ845:BA845" si="17398">SUM(AZ846:AZ854)</f>
        <v>0</v>
      </c>
      <c r="BA845" s="686">
        <f t="shared" si="17398"/>
        <v>0</v>
      </c>
      <c r="BB845" s="567">
        <f t="shared" ref="BB845:BC845" si="17399">SUM(BB846:BB854)</f>
        <v>0</v>
      </c>
      <c r="BC845" s="686">
        <f t="shared" si="17399"/>
        <v>-121000</v>
      </c>
      <c r="BD845" s="567">
        <f t="shared" ref="BD845:BE845" si="17400">SUM(BD846:BD854)</f>
        <v>0</v>
      </c>
      <c r="BE845" s="686">
        <f t="shared" si="17400"/>
        <v>0</v>
      </c>
      <c r="BF845" s="567">
        <f t="shared" ref="BF845:BG845" si="17401">SUM(BF846:BF854)</f>
        <v>0</v>
      </c>
      <c r="BG845" s="686">
        <f t="shared" si="17401"/>
        <v>0</v>
      </c>
      <c r="BH845" s="567">
        <f t="shared" ref="BH845:BI845" si="17402">SUM(BH846:BH854)</f>
        <v>0</v>
      </c>
      <c r="BI845" s="686">
        <f t="shared" si="17402"/>
        <v>0</v>
      </c>
      <c r="BJ845" s="567">
        <f t="shared" ref="BJ845:BK845" si="17403">SUM(BJ846:BJ854)</f>
        <v>0</v>
      </c>
      <c r="BK845" s="686">
        <f t="shared" si="17403"/>
        <v>0</v>
      </c>
      <c r="BL845" s="567">
        <f t="shared" ref="BL845:BM845" si="17404">SUM(BL846:BL854)</f>
        <v>0</v>
      </c>
      <c r="BM845" s="686">
        <f t="shared" si="17404"/>
        <v>0</v>
      </c>
      <c r="BN845" s="567">
        <f t="shared" ref="BN845:BO845" si="17405">SUM(BN846:BN854)</f>
        <v>0</v>
      </c>
      <c r="BO845" s="686">
        <f t="shared" si="17405"/>
        <v>0</v>
      </c>
      <c r="BP845" s="567">
        <f t="shared" ref="BP845:BQ845" si="17406">SUM(BP846:BP854)</f>
        <v>0</v>
      </c>
      <c r="BQ845" s="686">
        <f t="shared" si="17406"/>
        <v>0</v>
      </c>
      <c r="BR845" s="567">
        <f t="shared" ref="BR845:BS845" si="17407">SUM(BR846:BR854)</f>
        <v>0</v>
      </c>
      <c r="BS845" s="686">
        <f t="shared" si="17407"/>
        <v>0</v>
      </c>
      <c r="BT845" s="567">
        <f t="shared" ref="BT845:BU845" si="17408">SUM(BT846:BT854)</f>
        <v>0</v>
      </c>
      <c r="BU845" s="686">
        <f t="shared" si="17408"/>
        <v>0</v>
      </c>
      <c r="BV845" s="567">
        <f t="shared" ref="BV845:BW845" si="17409">SUM(BV846:BV854)</f>
        <v>0</v>
      </c>
      <c r="BW845" s="686">
        <f t="shared" si="17409"/>
        <v>0</v>
      </c>
      <c r="BX845" s="567">
        <f t="shared" ref="BX845:BY845" si="17410">SUM(BX846:BX854)</f>
        <v>0</v>
      </c>
      <c r="BY845" s="686">
        <f t="shared" si="17410"/>
        <v>0</v>
      </c>
      <c r="BZ845" s="567">
        <f t="shared" ref="BZ845:CA845" si="17411">SUM(BZ846:BZ854)</f>
        <v>0</v>
      </c>
      <c r="CA845" s="686">
        <f t="shared" si="17411"/>
        <v>0</v>
      </c>
      <c r="CB845" s="567">
        <f t="shared" ref="CB845:CG845" si="17412">SUM(CB846:CB854)</f>
        <v>0</v>
      </c>
      <c r="CC845" s="686">
        <f t="shared" si="17412"/>
        <v>0</v>
      </c>
      <c r="CD845" s="567">
        <f t="shared" si="17412"/>
        <v>0</v>
      </c>
      <c r="CE845" s="686">
        <f t="shared" si="17412"/>
        <v>0</v>
      </c>
      <c r="CF845" s="567">
        <f t="shared" si="17412"/>
        <v>0</v>
      </c>
      <c r="CG845" s="686">
        <f t="shared" si="17412"/>
        <v>0</v>
      </c>
      <c r="CH845" s="567">
        <f t="shared" ref="CH845:CQ845" si="17413">SUM(CH846:CH854)</f>
        <v>0</v>
      </c>
      <c r="CI845" s="686">
        <f t="shared" si="17413"/>
        <v>0</v>
      </c>
      <c r="CJ845" s="567">
        <f t="shared" si="17413"/>
        <v>0</v>
      </c>
      <c r="CK845" s="686">
        <f t="shared" si="17413"/>
        <v>0</v>
      </c>
      <c r="CL845" s="567">
        <f t="shared" si="17413"/>
        <v>0</v>
      </c>
      <c r="CM845" s="686">
        <f t="shared" si="17413"/>
        <v>0</v>
      </c>
      <c r="CN845" s="567">
        <f t="shared" si="17413"/>
        <v>0</v>
      </c>
      <c r="CO845" s="686">
        <f t="shared" si="17413"/>
        <v>0</v>
      </c>
      <c r="CP845" s="567">
        <f t="shared" si="17413"/>
        <v>0</v>
      </c>
      <c r="CQ845" s="686">
        <f t="shared" si="17413"/>
        <v>0</v>
      </c>
      <c r="CR845" s="567">
        <f t="shared" ref="CR845:CY845" si="17414">SUM(CR846:CR854)</f>
        <v>0</v>
      </c>
      <c r="CS845" s="686">
        <f t="shared" si="17414"/>
        <v>0</v>
      </c>
      <c r="CT845" s="567">
        <f t="shared" si="17414"/>
        <v>0</v>
      </c>
      <c r="CU845" s="686">
        <f t="shared" si="17414"/>
        <v>0</v>
      </c>
      <c r="CV845" s="567">
        <f t="shared" si="17414"/>
        <v>0</v>
      </c>
      <c r="CW845" s="686">
        <f t="shared" si="17414"/>
        <v>0</v>
      </c>
      <c r="CX845" s="567">
        <f t="shared" si="17414"/>
        <v>0</v>
      </c>
      <c r="CY845" s="686">
        <f t="shared" si="17414"/>
        <v>0</v>
      </c>
      <c r="CZ845" s="567">
        <f t="shared" ref="CZ845:GT845" si="17415">SUM(CZ846:CZ854)</f>
        <v>0</v>
      </c>
      <c r="DA845" s="686">
        <f t="shared" si="17415"/>
        <v>0</v>
      </c>
      <c r="DB845" s="567">
        <f t="shared" si="17415"/>
        <v>0</v>
      </c>
      <c r="DC845" s="686">
        <f t="shared" si="17415"/>
        <v>0</v>
      </c>
      <c r="DD845" s="567">
        <f t="shared" si="17415"/>
        <v>0</v>
      </c>
      <c r="DE845" s="686">
        <f t="shared" si="17415"/>
        <v>0</v>
      </c>
      <c r="DF845" s="567">
        <f t="shared" si="17415"/>
        <v>0</v>
      </c>
      <c r="DG845" s="686">
        <f t="shared" si="17415"/>
        <v>0</v>
      </c>
      <c r="DH845" s="567">
        <f t="shared" si="17415"/>
        <v>0</v>
      </c>
      <c r="DI845" s="686">
        <f t="shared" si="17415"/>
        <v>0</v>
      </c>
      <c r="DJ845" s="567">
        <f t="shared" si="17415"/>
        <v>0</v>
      </c>
      <c r="DK845" s="686">
        <f t="shared" si="17415"/>
        <v>0</v>
      </c>
      <c r="DL845" s="567">
        <f t="shared" si="17415"/>
        <v>0</v>
      </c>
      <c r="DM845" s="686">
        <f t="shared" si="17415"/>
        <v>0</v>
      </c>
      <c r="DN845" s="567">
        <f t="shared" si="17415"/>
        <v>0</v>
      </c>
      <c r="DO845" s="686">
        <f t="shared" si="17415"/>
        <v>0</v>
      </c>
      <c r="DP845" s="567">
        <f t="shared" si="17415"/>
        <v>0</v>
      </c>
      <c r="DQ845" s="686">
        <f t="shared" si="17415"/>
        <v>0</v>
      </c>
      <c r="DR845" s="567">
        <f t="shared" si="17415"/>
        <v>0</v>
      </c>
      <c r="DS845" s="686">
        <f t="shared" si="17415"/>
        <v>0</v>
      </c>
      <c r="DT845" s="567">
        <f t="shared" si="17415"/>
        <v>0</v>
      </c>
      <c r="DU845" s="686">
        <f t="shared" si="17415"/>
        <v>0</v>
      </c>
      <c r="DV845" s="567">
        <f t="shared" si="17415"/>
        <v>0</v>
      </c>
      <c r="DW845" s="686">
        <f t="shared" si="17415"/>
        <v>0</v>
      </c>
      <c r="DX845" s="567">
        <f t="shared" si="17415"/>
        <v>0</v>
      </c>
      <c r="DY845" s="686">
        <f t="shared" si="17415"/>
        <v>0</v>
      </c>
      <c r="DZ845" s="567">
        <f t="shared" ref="DZ845:FA845" si="17416">SUM(DZ846:DZ854)</f>
        <v>0</v>
      </c>
      <c r="EA845" s="686">
        <f t="shared" si="17416"/>
        <v>0</v>
      </c>
      <c r="EB845" s="567">
        <f t="shared" si="17416"/>
        <v>0</v>
      </c>
      <c r="EC845" s="686">
        <f t="shared" si="17416"/>
        <v>0</v>
      </c>
      <c r="ED845" s="567">
        <f t="shared" si="17416"/>
        <v>0</v>
      </c>
      <c r="EE845" s="686">
        <f t="shared" si="17416"/>
        <v>0</v>
      </c>
      <c r="EF845" s="567">
        <f t="shared" si="17416"/>
        <v>0</v>
      </c>
      <c r="EG845" s="686">
        <f t="shared" si="17416"/>
        <v>0</v>
      </c>
      <c r="EH845" s="567">
        <f t="shared" ref="EH845:EM845" si="17417">SUM(EH846:EH854)</f>
        <v>0</v>
      </c>
      <c r="EI845" s="686">
        <f t="shared" si="17417"/>
        <v>0</v>
      </c>
      <c r="EJ845" s="567">
        <f t="shared" si="17417"/>
        <v>0</v>
      </c>
      <c r="EK845" s="686">
        <f t="shared" si="17417"/>
        <v>0</v>
      </c>
      <c r="EL845" s="567">
        <f t="shared" si="17417"/>
        <v>0</v>
      </c>
      <c r="EM845" s="686">
        <f t="shared" si="17417"/>
        <v>0</v>
      </c>
      <c r="EN845" s="567">
        <f t="shared" si="17416"/>
        <v>0</v>
      </c>
      <c r="EO845" s="686">
        <f t="shared" si="17416"/>
        <v>0</v>
      </c>
      <c r="EP845" s="567">
        <f t="shared" si="17416"/>
        <v>0</v>
      </c>
      <c r="EQ845" s="686">
        <f t="shared" si="17416"/>
        <v>0</v>
      </c>
      <c r="ER845" s="567">
        <f t="shared" si="17416"/>
        <v>0</v>
      </c>
      <c r="ES845" s="686">
        <f t="shared" si="17416"/>
        <v>0</v>
      </c>
      <c r="ET845" s="567">
        <f t="shared" si="17416"/>
        <v>0</v>
      </c>
      <c r="EU845" s="686">
        <f t="shared" si="17416"/>
        <v>0</v>
      </c>
      <c r="EV845" s="567">
        <f t="shared" ref="EV845:EW845" si="17418">SUM(EV846:EV854)</f>
        <v>0</v>
      </c>
      <c r="EW845" s="686">
        <f t="shared" si="17418"/>
        <v>0</v>
      </c>
      <c r="EX845" s="567">
        <f t="shared" si="17416"/>
        <v>0</v>
      </c>
      <c r="EY845" s="686">
        <f t="shared" si="17416"/>
        <v>0</v>
      </c>
      <c r="EZ845" s="567">
        <f t="shared" si="17416"/>
        <v>0</v>
      </c>
      <c r="FA845" s="686">
        <f t="shared" si="17416"/>
        <v>0</v>
      </c>
      <c r="FB845" s="567">
        <f t="shared" si="17415"/>
        <v>0</v>
      </c>
      <c r="FC845" s="686">
        <f t="shared" si="17415"/>
        <v>0</v>
      </c>
      <c r="FD845" s="567">
        <f t="shared" si="17415"/>
        <v>0</v>
      </c>
      <c r="FE845" s="686">
        <f t="shared" si="17415"/>
        <v>0</v>
      </c>
      <c r="FF845" s="567">
        <f t="shared" ref="FF845:FG845" si="17419">SUM(FF846:FF854)</f>
        <v>0</v>
      </c>
      <c r="FG845" s="686">
        <f t="shared" si="17419"/>
        <v>0</v>
      </c>
      <c r="FH845" s="567">
        <f t="shared" ref="FH845:FI845" si="17420">SUM(FH846:FH854)</f>
        <v>0</v>
      </c>
      <c r="FI845" s="686">
        <f t="shared" si="17420"/>
        <v>0</v>
      </c>
      <c r="FJ845" s="567">
        <f t="shared" ref="FJ845:FK845" si="17421">SUM(FJ846:FJ854)</f>
        <v>0</v>
      </c>
      <c r="FK845" s="686">
        <f t="shared" si="17421"/>
        <v>0</v>
      </c>
      <c r="FL845" s="567">
        <f t="shared" ref="FL845:FM845" si="17422">SUM(FL846:FL854)</f>
        <v>0</v>
      </c>
      <c r="FM845" s="686">
        <f t="shared" si="17422"/>
        <v>0</v>
      </c>
      <c r="FN845" s="567">
        <f t="shared" ref="FN845:FO845" si="17423">SUM(FN846:FN854)</f>
        <v>0</v>
      </c>
      <c r="FO845" s="686">
        <f t="shared" si="17423"/>
        <v>0</v>
      </c>
      <c r="FP845" s="567">
        <f t="shared" ref="FP845:FQ845" si="17424">SUM(FP846:FP854)</f>
        <v>0</v>
      </c>
      <c r="FQ845" s="686">
        <f t="shared" si="17424"/>
        <v>0</v>
      </c>
      <c r="FR845" s="567">
        <f t="shared" ref="FR845:FS845" si="17425">SUM(FR846:FR854)</f>
        <v>0</v>
      </c>
      <c r="FS845" s="686">
        <f t="shared" si="17425"/>
        <v>0</v>
      </c>
      <c r="FT845" s="567">
        <f t="shared" ref="FT845:FU845" si="17426">SUM(FT846:FT854)</f>
        <v>0</v>
      </c>
      <c r="FU845" s="686">
        <f t="shared" si="17426"/>
        <v>0</v>
      </c>
      <c r="FV845" s="567">
        <f t="shared" ref="FV845:GK845" si="17427">SUM(FV846:FV854)</f>
        <v>0</v>
      </c>
      <c r="FW845" s="686">
        <f t="shared" si="17427"/>
        <v>0</v>
      </c>
      <c r="FX845" s="567">
        <f t="shared" si="17427"/>
        <v>0</v>
      </c>
      <c r="FY845" s="686">
        <f t="shared" si="17427"/>
        <v>0</v>
      </c>
      <c r="FZ845" s="567">
        <f t="shared" ref="FZ845:GI845" si="17428">SUM(FZ846:FZ854)</f>
        <v>0</v>
      </c>
      <c r="GA845" s="686">
        <f t="shared" si="17428"/>
        <v>0</v>
      </c>
      <c r="GB845" s="567">
        <f t="shared" si="17428"/>
        <v>0</v>
      </c>
      <c r="GC845" s="686">
        <f t="shared" si="17428"/>
        <v>0</v>
      </c>
      <c r="GD845" s="567">
        <f t="shared" si="17428"/>
        <v>0</v>
      </c>
      <c r="GE845" s="686">
        <f t="shared" si="17428"/>
        <v>0</v>
      </c>
      <c r="GF845" s="567">
        <f t="shared" si="17428"/>
        <v>0</v>
      </c>
      <c r="GG845" s="686">
        <f t="shared" si="17428"/>
        <v>0</v>
      </c>
      <c r="GH845" s="567">
        <f t="shared" si="17428"/>
        <v>0</v>
      </c>
      <c r="GI845" s="686">
        <f t="shared" si="17428"/>
        <v>0</v>
      </c>
      <c r="GJ845" s="567">
        <f t="shared" si="17427"/>
        <v>0</v>
      </c>
      <c r="GK845" s="686">
        <f t="shared" si="17427"/>
        <v>0</v>
      </c>
      <c r="GL845" s="567">
        <f t="shared" ref="GL845:GM845" si="17429">SUM(GL846:GL854)</f>
        <v>0</v>
      </c>
      <c r="GM845" s="686">
        <f t="shared" si="17429"/>
        <v>0</v>
      </c>
      <c r="GN845" s="567">
        <f t="shared" ref="GN845:GO845" si="17430">SUM(GN846:GN854)</f>
        <v>0</v>
      </c>
      <c r="GO845" s="686">
        <f t="shared" si="17430"/>
        <v>0</v>
      </c>
      <c r="GP845" s="567">
        <f>SUM(GP846:GP854)</f>
        <v>0</v>
      </c>
      <c r="GQ845" s="686">
        <f>SUM(GQ846:GQ854)</f>
        <v>-400000</v>
      </c>
      <c r="GR845" s="513">
        <f t="shared" si="17415"/>
        <v>0</v>
      </c>
      <c r="GS845" s="513">
        <f t="shared" si="17415"/>
        <v>0</v>
      </c>
      <c r="GT845" s="567">
        <f t="shared" si="17415"/>
        <v>0</v>
      </c>
      <c r="GU845" s="513">
        <f t="shared" ref="GU845:HF845" si="17431">SUM(GU846:GU853)</f>
        <v>80000</v>
      </c>
      <c r="GV845" s="513">
        <f t="shared" si="17431"/>
        <v>0</v>
      </c>
      <c r="GW845" s="567">
        <f t="shared" si="17431"/>
        <v>0</v>
      </c>
      <c r="GX845" s="567">
        <f t="shared" si="17431"/>
        <v>120000</v>
      </c>
      <c r="GY845" s="513">
        <f t="shared" si="17431"/>
        <v>200000</v>
      </c>
      <c r="GZ845" s="513">
        <f t="shared" si="17431"/>
        <v>0</v>
      </c>
      <c r="HA845" s="513">
        <f t="shared" si="17431"/>
        <v>0</v>
      </c>
      <c r="HB845" s="513">
        <f t="shared" si="17431"/>
        <v>0</v>
      </c>
      <c r="HC845" s="513">
        <f t="shared" si="17431"/>
        <v>0</v>
      </c>
      <c r="HD845" s="513">
        <f t="shared" si="17431"/>
        <v>0</v>
      </c>
      <c r="HE845" s="513">
        <f t="shared" si="17431"/>
        <v>0</v>
      </c>
      <c r="HF845" s="513">
        <f t="shared" si="17431"/>
        <v>0</v>
      </c>
      <c r="HG845" s="513">
        <f>SUM(HG846:HG854)</f>
        <v>0</v>
      </c>
      <c r="HH845" s="513">
        <f t="shared" ref="HH845:HI845" si="17432">SUM(HH846:HH854)</f>
        <v>0</v>
      </c>
      <c r="HI845" s="827">
        <f t="shared" si="17432"/>
        <v>0</v>
      </c>
      <c r="HJ845" s="513">
        <f t="shared" ref="HJ845:HK845" si="17433">SUM(HJ846:HJ854)</f>
        <v>0</v>
      </c>
      <c r="HK845" s="827">
        <f t="shared" si="17433"/>
        <v>0</v>
      </c>
      <c r="HL845" s="513">
        <f t="shared" ref="HL845:HM845" si="17434">SUM(HL846:HL854)</f>
        <v>0</v>
      </c>
      <c r="HM845" s="827">
        <f t="shared" si="17434"/>
        <v>0</v>
      </c>
      <c r="HN845" s="513">
        <f t="shared" ref="HN845:HO845" si="17435">SUM(HN846:HN854)</f>
        <v>0</v>
      </c>
      <c r="HO845" s="827">
        <f t="shared" si="17435"/>
        <v>200000</v>
      </c>
      <c r="HP845" s="513">
        <f t="shared" ref="HP845:HQ845" si="17436">SUM(HP846:HP854)</f>
        <v>0</v>
      </c>
      <c r="HQ845" s="827">
        <f t="shared" si="17436"/>
        <v>136500</v>
      </c>
      <c r="HR845" s="513">
        <f t="shared" ref="HR845:HS845" si="17437">SUM(HR846:HR854)</f>
        <v>0</v>
      </c>
      <c r="HS845" s="827">
        <f t="shared" si="17437"/>
        <v>63500</v>
      </c>
      <c r="HT845" s="513">
        <f t="shared" ref="HT845:HU845" si="17438">SUM(HT846:HT854)</f>
        <v>0</v>
      </c>
      <c r="HU845" s="827">
        <f t="shared" si="17438"/>
        <v>0</v>
      </c>
      <c r="HV845" s="513">
        <f t="shared" ref="HV845:HW845" si="17439">SUM(HV846:HV854)</f>
        <v>0</v>
      </c>
      <c r="HW845" s="827">
        <f t="shared" si="17439"/>
        <v>0</v>
      </c>
      <c r="HX845" s="513">
        <f t="shared" ref="HX845:HY845" si="17440">SUM(HX846:HX854)</f>
        <v>0</v>
      </c>
      <c r="HY845" s="827">
        <f t="shared" si="17440"/>
        <v>0</v>
      </c>
      <c r="HZ845" s="513">
        <f t="shared" ref="HZ845:IA845" si="17441">SUM(HZ846:HZ854)</f>
        <v>0</v>
      </c>
      <c r="IA845" s="827">
        <f t="shared" si="17441"/>
        <v>0</v>
      </c>
      <c r="IB845" s="513">
        <f t="shared" ref="IB845:IC845" si="17442">SUM(IB846:IB854)</f>
        <v>0</v>
      </c>
      <c r="IC845" s="827">
        <f t="shared" si="17442"/>
        <v>0</v>
      </c>
      <c r="ID845" s="513">
        <f t="shared" ref="ID845:IF845" si="17443">SUM(ID846:ID854)</f>
        <v>0</v>
      </c>
      <c r="IE845" s="827">
        <f t="shared" si="17443"/>
        <v>0</v>
      </c>
      <c r="IF845" s="715">
        <f t="shared" si="17443"/>
        <v>0</v>
      </c>
      <c r="IG845" s="704">
        <f>SUM(IG846:IG854)</f>
        <v>0</v>
      </c>
      <c r="IH845" s="716">
        <f>SUM(IH846:IH854)</f>
        <v>0</v>
      </c>
      <c r="II845" s="513">
        <f t="shared" ref="II845:IK845" si="17444">SUM(II846:II854)</f>
        <v>0</v>
      </c>
      <c r="IJ845" s="513">
        <f t="shared" si="17444"/>
        <v>0</v>
      </c>
      <c r="IK845" s="513">
        <f t="shared" si="17444"/>
        <v>0</v>
      </c>
      <c r="IL845" s="513">
        <f t="shared" ref="IL845:IN845" si="17445">SUM(IL846:IL854)</f>
        <v>0</v>
      </c>
      <c r="IM845" s="513">
        <f t="shared" si="17445"/>
        <v>0</v>
      </c>
      <c r="IN845" s="513">
        <f t="shared" si="17445"/>
        <v>0</v>
      </c>
      <c r="IO845" s="513">
        <f t="shared" ref="IO845:IQ845" si="17446">SUM(IO846:IO854)</f>
        <v>0</v>
      </c>
      <c r="IP845" s="513">
        <f t="shared" si="17446"/>
        <v>0</v>
      </c>
      <c r="IQ845" s="513">
        <f t="shared" si="17446"/>
        <v>0</v>
      </c>
      <c r="IR845" s="513">
        <f t="shared" ref="IR845:IT845" si="17447">SUM(IR846:IR854)</f>
        <v>0</v>
      </c>
      <c r="IS845" s="513">
        <f t="shared" si="17447"/>
        <v>0</v>
      </c>
      <c r="IT845" s="513">
        <f t="shared" si="17447"/>
        <v>0</v>
      </c>
      <c r="IU845" s="513">
        <f t="shared" ref="IU845:IW845" si="17448">SUM(IU846:IU854)</f>
        <v>0</v>
      </c>
      <c r="IV845" s="513">
        <f t="shared" si="17448"/>
        <v>0</v>
      </c>
      <c r="IW845" s="513">
        <f t="shared" si="17448"/>
        <v>0</v>
      </c>
      <c r="IX845" s="513">
        <f t="shared" ref="IX845:IZ845" si="17449">SUM(IX846:IX854)</f>
        <v>0</v>
      </c>
      <c r="IY845" s="513">
        <f t="shared" si="17449"/>
        <v>0</v>
      </c>
      <c r="IZ845" s="513">
        <f t="shared" si="17449"/>
        <v>0</v>
      </c>
      <c r="JA845" s="513">
        <f t="shared" ref="JA845:JC845" si="17450">SUM(JA846:JA854)</f>
        <v>0</v>
      </c>
      <c r="JB845" s="513">
        <f t="shared" si="17450"/>
        <v>0</v>
      </c>
      <c r="JC845" s="513">
        <f t="shared" si="17450"/>
        <v>0</v>
      </c>
      <c r="JD845" s="513">
        <f t="shared" ref="JD845:JF845" si="17451">SUM(JD846:JD854)</f>
        <v>0</v>
      </c>
      <c r="JE845" s="513">
        <f t="shared" si="17451"/>
        <v>0</v>
      </c>
      <c r="JF845" s="513">
        <f t="shared" si="17451"/>
        <v>0</v>
      </c>
      <c r="JG845" s="513">
        <f t="shared" ref="JG845:JI845" si="17452">SUM(JG846:JG854)</f>
        <v>0</v>
      </c>
      <c r="JH845" s="513">
        <f t="shared" si="17452"/>
        <v>0</v>
      </c>
      <c r="JI845" s="513">
        <f t="shared" si="17452"/>
        <v>0</v>
      </c>
      <c r="JJ845" s="513">
        <f t="shared" ref="JJ845:JL845" si="17453">SUM(JJ846:JJ854)</f>
        <v>0</v>
      </c>
      <c r="JK845" s="513">
        <f t="shared" si="17453"/>
        <v>0</v>
      </c>
      <c r="JL845" s="513">
        <f t="shared" si="17453"/>
        <v>0</v>
      </c>
      <c r="JM845" s="513">
        <f t="shared" ref="JM845:JO845" si="17454">SUM(JM846:JM854)</f>
        <v>0</v>
      </c>
      <c r="JN845" s="513">
        <f t="shared" si="17454"/>
        <v>0</v>
      </c>
      <c r="JO845" s="513">
        <f t="shared" si="17454"/>
        <v>0</v>
      </c>
      <c r="JP845" s="513">
        <f t="shared" ref="JP845:JT845" si="17455">SUM(JP846:JP854)</f>
        <v>0</v>
      </c>
      <c r="JQ845" s="513">
        <f t="shared" si="17455"/>
        <v>0</v>
      </c>
      <c r="JR845" s="513">
        <f t="shared" si="17455"/>
        <v>0</v>
      </c>
      <c r="JS845" s="513">
        <f t="shared" si="17455"/>
        <v>0</v>
      </c>
      <c r="JT845" s="573">
        <f t="shared" si="17455"/>
        <v>0</v>
      </c>
      <c r="JU845" s="665"/>
      <c r="JV845" s="524"/>
      <c r="JW845" s="525"/>
      <c r="JX845" s="567">
        <f>SUM(JX846:JX853)</f>
        <v>0</v>
      </c>
      <c r="JY845" s="513">
        <f>SUM(JY846:JY853)</f>
        <v>400000</v>
      </c>
      <c r="JZ845" s="513">
        <f t="shared" ref="JZ845:KB845" si="17456">SUM(JZ846:JZ853)</f>
        <v>0</v>
      </c>
      <c r="KA845" s="513">
        <f t="shared" si="17456"/>
        <v>-400000</v>
      </c>
      <c r="KB845" s="513">
        <f t="shared" si="17456"/>
        <v>0</v>
      </c>
      <c r="KC845" s="709">
        <f t="shared" si="17277"/>
        <v>0</v>
      </c>
      <c r="KD845" s="491"/>
      <c r="KE845" s="491"/>
      <c r="KF845" s="491"/>
      <c r="KG845" s="491"/>
      <c r="KH845" s="36"/>
      <c r="KI845" s="36"/>
      <c r="KJ845" s="36"/>
      <c r="KK845" s="36"/>
    </row>
    <row r="846" spans="1:297" s="10" customFormat="1">
      <c r="A846" s="612" t="s">
        <v>758</v>
      </c>
      <c r="B846" s="512" t="s">
        <v>1007</v>
      </c>
      <c r="C846" s="74">
        <v>5000</v>
      </c>
      <c r="D846" s="549">
        <v>0</v>
      </c>
      <c r="E846" s="675">
        <v>0</v>
      </c>
      <c r="F846" s="549">
        <v>0</v>
      </c>
      <c r="G846" s="675">
        <v>0</v>
      </c>
      <c r="H846" s="549">
        <v>0</v>
      </c>
      <c r="I846" s="675">
        <v>0</v>
      </c>
      <c r="J846" s="549">
        <v>0</v>
      </c>
      <c r="K846" s="675">
        <v>0</v>
      </c>
      <c r="L846" s="549">
        <v>0</v>
      </c>
      <c r="M846" s="675">
        <v>0</v>
      </c>
      <c r="N846" s="549">
        <v>0</v>
      </c>
      <c r="O846" s="675">
        <v>0</v>
      </c>
      <c r="P846" s="549">
        <v>0</v>
      </c>
      <c r="Q846" s="675">
        <v>0</v>
      </c>
      <c r="R846" s="549">
        <v>0</v>
      </c>
      <c r="S846" s="675">
        <v>0</v>
      </c>
      <c r="T846" s="549">
        <v>0</v>
      </c>
      <c r="U846" s="675">
        <v>0</v>
      </c>
      <c r="V846" s="549">
        <v>0</v>
      </c>
      <c r="W846" s="675">
        <v>0</v>
      </c>
      <c r="X846" s="549">
        <v>0</v>
      </c>
      <c r="Y846" s="675">
        <v>0</v>
      </c>
      <c r="Z846" s="549">
        <v>0</v>
      </c>
      <c r="AA846" s="675">
        <v>0</v>
      </c>
      <c r="AB846" s="549">
        <v>0</v>
      </c>
      <c r="AC846" s="675">
        <v>0</v>
      </c>
      <c r="AD846" s="549">
        <v>0</v>
      </c>
      <c r="AE846" s="675">
        <v>0</v>
      </c>
      <c r="AF846" s="549">
        <v>0</v>
      </c>
      <c r="AG846" s="675">
        <v>0</v>
      </c>
      <c r="AH846" s="549">
        <v>0</v>
      </c>
      <c r="AI846" s="675">
        <v>0</v>
      </c>
      <c r="AJ846" s="549">
        <v>0</v>
      </c>
      <c r="AK846" s="675">
        <v>0</v>
      </c>
      <c r="AL846" s="549">
        <v>0</v>
      </c>
      <c r="AM846" s="675">
        <v>0</v>
      </c>
      <c r="AN846" s="549">
        <v>0</v>
      </c>
      <c r="AO846" s="675">
        <v>0</v>
      </c>
      <c r="AP846" s="549">
        <v>0</v>
      </c>
      <c r="AQ846" s="675">
        <v>0</v>
      </c>
      <c r="AR846" s="549">
        <v>0</v>
      </c>
      <c r="AS846" s="675">
        <v>0</v>
      </c>
      <c r="AT846" s="549">
        <v>0</v>
      </c>
      <c r="AU846" s="675">
        <v>0</v>
      </c>
      <c r="AV846" s="549">
        <v>0</v>
      </c>
      <c r="AW846" s="675">
        <v>0</v>
      </c>
      <c r="AX846" s="549">
        <v>0</v>
      </c>
      <c r="AY846" s="675">
        <v>-5000</v>
      </c>
      <c r="AZ846" s="549">
        <v>0</v>
      </c>
      <c r="BA846" s="675">
        <v>0</v>
      </c>
      <c r="BB846" s="549">
        <v>0</v>
      </c>
      <c r="BC846" s="675">
        <v>0</v>
      </c>
      <c r="BD846" s="549">
        <v>0</v>
      </c>
      <c r="BE846" s="675">
        <v>0</v>
      </c>
      <c r="BF846" s="549">
        <v>0</v>
      </c>
      <c r="BG846" s="675">
        <v>0</v>
      </c>
      <c r="BH846" s="549">
        <v>0</v>
      </c>
      <c r="BI846" s="675">
        <v>0</v>
      </c>
      <c r="BJ846" s="549">
        <v>0</v>
      </c>
      <c r="BK846" s="675">
        <v>0</v>
      </c>
      <c r="BL846" s="549">
        <v>0</v>
      </c>
      <c r="BM846" s="675">
        <v>0</v>
      </c>
      <c r="BN846" s="549">
        <v>0</v>
      </c>
      <c r="BO846" s="675">
        <v>0</v>
      </c>
      <c r="BP846" s="549">
        <v>0</v>
      </c>
      <c r="BQ846" s="675">
        <v>0</v>
      </c>
      <c r="BR846" s="549">
        <v>0</v>
      </c>
      <c r="BS846" s="675">
        <v>0</v>
      </c>
      <c r="BT846" s="549">
        <v>0</v>
      </c>
      <c r="BU846" s="675">
        <v>0</v>
      </c>
      <c r="BV846" s="549">
        <v>0</v>
      </c>
      <c r="BW846" s="675">
        <v>0</v>
      </c>
      <c r="BX846" s="549">
        <v>0</v>
      </c>
      <c r="BY846" s="675">
        <v>0</v>
      </c>
      <c r="BZ846" s="549">
        <v>0</v>
      </c>
      <c r="CA846" s="675">
        <v>0</v>
      </c>
      <c r="CB846" s="549">
        <v>0</v>
      </c>
      <c r="CC846" s="675">
        <v>0</v>
      </c>
      <c r="CD846" s="549">
        <v>0</v>
      </c>
      <c r="CE846" s="675">
        <v>0</v>
      </c>
      <c r="CF846" s="549">
        <v>0</v>
      </c>
      <c r="CG846" s="675">
        <v>0</v>
      </c>
      <c r="CH846" s="549">
        <v>0</v>
      </c>
      <c r="CI846" s="675">
        <v>0</v>
      </c>
      <c r="CJ846" s="549">
        <v>0</v>
      </c>
      <c r="CK846" s="675">
        <v>0</v>
      </c>
      <c r="CL846" s="549">
        <v>0</v>
      </c>
      <c r="CM846" s="675">
        <v>0</v>
      </c>
      <c r="CN846" s="549">
        <v>0</v>
      </c>
      <c r="CO846" s="675">
        <v>0</v>
      </c>
      <c r="CP846" s="549">
        <v>0</v>
      </c>
      <c r="CQ846" s="675">
        <v>0</v>
      </c>
      <c r="CR846" s="549">
        <v>0</v>
      </c>
      <c r="CS846" s="675">
        <v>0</v>
      </c>
      <c r="CT846" s="549">
        <v>0</v>
      </c>
      <c r="CU846" s="675">
        <v>0</v>
      </c>
      <c r="CV846" s="549">
        <v>0</v>
      </c>
      <c r="CW846" s="675">
        <v>0</v>
      </c>
      <c r="CX846" s="549">
        <v>0</v>
      </c>
      <c r="CY846" s="675">
        <v>0</v>
      </c>
      <c r="CZ846" s="549">
        <v>0</v>
      </c>
      <c r="DA846" s="675">
        <v>0</v>
      </c>
      <c r="DB846" s="549">
        <v>0</v>
      </c>
      <c r="DC846" s="675">
        <v>0</v>
      </c>
      <c r="DD846" s="549">
        <v>0</v>
      </c>
      <c r="DE846" s="675">
        <v>0</v>
      </c>
      <c r="DF846" s="549">
        <v>0</v>
      </c>
      <c r="DG846" s="675">
        <v>0</v>
      </c>
      <c r="DH846" s="549">
        <v>0</v>
      </c>
      <c r="DI846" s="675">
        <v>0</v>
      </c>
      <c r="DJ846" s="549">
        <v>0</v>
      </c>
      <c r="DK846" s="675">
        <v>0</v>
      </c>
      <c r="DL846" s="549">
        <v>0</v>
      </c>
      <c r="DM846" s="675">
        <v>0</v>
      </c>
      <c r="DN846" s="549">
        <v>0</v>
      </c>
      <c r="DO846" s="675">
        <v>0</v>
      </c>
      <c r="DP846" s="549">
        <v>0</v>
      </c>
      <c r="DQ846" s="675">
        <v>0</v>
      </c>
      <c r="DR846" s="549">
        <v>0</v>
      </c>
      <c r="DS846" s="675">
        <v>0</v>
      </c>
      <c r="DT846" s="549">
        <v>0</v>
      </c>
      <c r="DU846" s="675">
        <v>0</v>
      </c>
      <c r="DV846" s="549">
        <v>0</v>
      </c>
      <c r="DW846" s="675">
        <v>0</v>
      </c>
      <c r="DX846" s="549">
        <v>0</v>
      </c>
      <c r="DY846" s="675">
        <v>0</v>
      </c>
      <c r="DZ846" s="549">
        <v>0</v>
      </c>
      <c r="EA846" s="675">
        <v>0</v>
      </c>
      <c r="EB846" s="549">
        <v>0</v>
      </c>
      <c r="EC846" s="675">
        <v>0</v>
      </c>
      <c r="ED846" s="549">
        <v>0</v>
      </c>
      <c r="EE846" s="675">
        <v>0</v>
      </c>
      <c r="EF846" s="549">
        <v>0</v>
      </c>
      <c r="EG846" s="675">
        <v>0</v>
      </c>
      <c r="EH846" s="549">
        <v>0</v>
      </c>
      <c r="EI846" s="675">
        <v>0</v>
      </c>
      <c r="EJ846" s="549">
        <v>0</v>
      </c>
      <c r="EK846" s="675">
        <v>0</v>
      </c>
      <c r="EL846" s="549">
        <v>0</v>
      </c>
      <c r="EM846" s="675">
        <v>0</v>
      </c>
      <c r="EN846" s="549">
        <v>0</v>
      </c>
      <c r="EO846" s="675">
        <v>0</v>
      </c>
      <c r="EP846" s="549">
        <v>0</v>
      </c>
      <c r="EQ846" s="675">
        <v>0</v>
      </c>
      <c r="ER846" s="549">
        <v>0</v>
      </c>
      <c r="ES846" s="675">
        <v>0</v>
      </c>
      <c r="ET846" s="549">
        <v>0</v>
      </c>
      <c r="EU846" s="675">
        <v>0</v>
      </c>
      <c r="EV846" s="549">
        <v>0</v>
      </c>
      <c r="EW846" s="675">
        <v>0</v>
      </c>
      <c r="EX846" s="549">
        <v>0</v>
      </c>
      <c r="EY846" s="675">
        <v>0</v>
      </c>
      <c r="EZ846" s="549">
        <v>0</v>
      </c>
      <c r="FA846" s="675">
        <v>0</v>
      </c>
      <c r="FB846" s="549">
        <v>0</v>
      </c>
      <c r="FC846" s="675">
        <v>0</v>
      </c>
      <c r="FD846" s="549">
        <v>0</v>
      </c>
      <c r="FE846" s="675">
        <v>0</v>
      </c>
      <c r="FF846" s="549">
        <v>0</v>
      </c>
      <c r="FG846" s="675">
        <v>0</v>
      </c>
      <c r="FH846" s="549">
        <v>0</v>
      </c>
      <c r="FI846" s="675">
        <v>0</v>
      </c>
      <c r="FJ846" s="549">
        <v>0</v>
      </c>
      <c r="FK846" s="675">
        <v>0</v>
      </c>
      <c r="FL846" s="549">
        <v>0</v>
      </c>
      <c r="FM846" s="675">
        <v>0</v>
      </c>
      <c r="FN846" s="549">
        <v>0</v>
      </c>
      <c r="FO846" s="675">
        <v>0</v>
      </c>
      <c r="FP846" s="549">
        <v>0</v>
      </c>
      <c r="FQ846" s="675">
        <v>0</v>
      </c>
      <c r="FR846" s="549">
        <v>0</v>
      </c>
      <c r="FS846" s="675">
        <v>0</v>
      </c>
      <c r="FT846" s="549">
        <v>0</v>
      </c>
      <c r="FU846" s="675">
        <v>0</v>
      </c>
      <c r="FV846" s="549">
        <v>0</v>
      </c>
      <c r="FW846" s="675">
        <v>0</v>
      </c>
      <c r="FX846" s="549">
        <v>0</v>
      </c>
      <c r="FY846" s="675">
        <v>0</v>
      </c>
      <c r="FZ846" s="549">
        <v>0</v>
      </c>
      <c r="GA846" s="675">
        <v>0</v>
      </c>
      <c r="GB846" s="549">
        <v>0</v>
      </c>
      <c r="GC846" s="675">
        <v>0</v>
      </c>
      <c r="GD846" s="549">
        <v>0</v>
      </c>
      <c r="GE846" s="675">
        <v>0</v>
      </c>
      <c r="GF846" s="549">
        <v>0</v>
      </c>
      <c r="GG846" s="675">
        <v>0</v>
      </c>
      <c r="GH846" s="549">
        <v>0</v>
      </c>
      <c r="GI846" s="675">
        <v>0</v>
      </c>
      <c r="GJ846" s="549">
        <v>0</v>
      </c>
      <c r="GK846" s="675">
        <v>0</v>
      </c>
      <c r="GL846" s="549">
        <v>0</v>
      </c>
      <c r="GM846" s="675">
        <v>0</v>
      </c>
      <c r="GN846" s="549">
        <v>0</v>
      </c>
      <c r="GO846" s="675">
        <v>0</v>
      </c>
      <c r="GP846" s="549">
        <f t="shared" ref="GP846:GP853" si="17457">+D846+F846+H846+J846+L846+N846+P846+R846+T846+V846+X846+Z846+AB846+AF846+AD846+AH846+AJ846+AL846+AN846+AP846+AR846+AT846+AV846+AX846+AZ846+BB846+BD846+BF846+BH846+BJ846+BL846+BN846+BP846+BR846+BT846+BV846+BX846+BZ846+CB846+CD846+CF846+CH846+CJ846+CL846+CN846+CP846+CR846+CT846+CV846+CX846+CZ846+DB846+DD846+DF846+DH846+DT846+EX846+DJ846+DL846+DN846+DP846+DR846+EJ846+EB846+DZ846+DX846+DV846+ED846+EF846+EH846+EL846+EN846+EP846+EV846+ET846+ER846+EZ846+FB846+FD846+GL846+FF846+FJ846+FL846+GJ846+FT846+FR846+FP846+FN846+FH846+GH846+GF846+GD846+GB846+FZ846+FX846+FV846+GN846</f>
        <v>0</v>
      </c>
      <c r="GQ846" s="675">
        <f t="shared" ref="GQ846:GQ853" si="17458">+E846+G846+I846+K846+M846+O846+Q846+S846+U846+W846+Y846+AA846+AC846+AE846+AG846+AI846+AK846+AM846+AO846+AQ846+AS846+AU846+AW846+AY846+BA846+BC846+BE846+BG846+BI846+BK846+BM846+BO846+BQ846+BS846+BU846+BW846+BY846+CA846+CC846+CE846+CG846+CI846+CK846+CM846+CO846+CQ846+CS846+CU846+CW846+CY846+DA846+DC846+DE846+DG846+DI846+DU846+EY846+DK846+DM846+DO846+DQ846+DS846+EK846+EC846+EA846+DY846+DW846+EI846+EG846+EE846+EM846+EO846+EQ846+EW846+EU846+ES846+FA846+FC846+FE846+GM846+FG846+FK846+FM846+FO846+FQ846+FS846+FU846+GK846+FI846+GI846+GG846+GE846+GC846+GA846+FY846+FW846+GO846</f>
        <v>-5000</v>
      </c>
      <c r="GR846" s="74">
        <f t="shared" ref="GR846:GR854" si="17459">C846+GP846+GQ846</f>
        <v>0</v>
      </c>
      <c r="GS846" s="74">
        <f t="shared" ref="GS846:GS853" si="17460">SUM(GU846:HD846)+GP846+GQ846</f>
        <v>0</v>
      </c>
      <c r="GT846" s="568">
        <f t="shared" ref="GT846:GT853" si="17461">SUM(GU846:HF846)+GQ846+GP846</f>
        <v>0</v>
      </c>
      <c r="GU846" s="275">
        <v>1000</v>
      </c>
      <c r="GV846" s="275"/>
      <c r="GW846" s="588"/>
      <c r="GX846" s="275">
        <v>1500</v>
      </c>
      <c r="GY846" s="275">
        <v>2500</v>
      </c>
      <c r="GZ846" s="275"/>
      <c r="HA846" s="275">
        <f>1500-1500</f>
        <v>0</v>
      </c>
      <c r="HB846" s="275"/>
      <c r="HC846" s="275"/>
      <c r="HD846" s="275">
        <f>1000-1000</f>
        <v>0</v>
      </c>
      <c r="HE846" s="275">
        <v>0</v>
      </c>
      <c r="HF846" s="275">
        <v>0</v>
      </c>
      <c r="HG846" s="74">
        <f t="shared" ref="HG846:HG853" si="17462">SUM(HH846:IE846)+GP846+GQ846</f>
        <v>0</v>
      </c>
      <c r="HH846" s="89">
        <v>0</v>
      </c>
      <c r="HI846" s="157">
        <v>0</v>
      </c>
      <c r="HJ846" s="89">
        <v>0</v>
      </c>
      <c r="HK846" s="157">
        <v>0</v>
      </c>
      <c r="HL846" s="89">
        <v>0</v>
      </c>
      <c r="HM846" s="157">
        <v>0</v>
      </c>
      <c r="HN846" s="89">
        <v>0</v>
      </c>
      <c r="HO846" s="157">
        <v>2500</v>
      </c>
      <c r="HP846" s="89">
        <v>0</v>
      </c>
      <c r="HQ846" s="157">
        <v>2500</v>
      </c>
      <c r="HR846" s="89">
        <v>0</v>
      </c>
      <c r="HS846" s="157">
        <v>0</v>
      </c>
      <c r="HT846" s="89">
        <v>0</v>
      </c>
      <c r="HU846" s="157">
        <v>0</v>
      </c>
      <c r="HV846" s="89">
        <v>0</v>
      </c>
      <c r="HW846" s="157">
        <v>0</v>
      </c>
      <c r="HX846" s="89">
        <v>0</v>
      </c>
      <c r="HY846" s="157">
        <v>0</v>
      </c>
      <c r="HZ846" s="89">
        <v>0</v>
      </c>
      <c r="IA846" s="157">
        <v>0</v>
      </c>
      <c r="IB846" s="89">
        <v>0</v>
      </c>
      <c r="IC846" s="157">
        <v>0</v>
      </c>
      <c r="ID846" s="89">
        <v>0</v>
      </c>
      <c r="IE846" s="157">
        <v>0</v>
      </c>
      <c r="IF846" s="717">
        <f t="shared" ref="IF846:IF854" si="17463">SUM(II846,IL846,IO846,IR846,IU846,IX846,JA846,JD846,JG846,JJ846,JM846,JP846)</f>
        <v>0</v>
      </c>
      <c r="IG846" s="263">
        <f t="shared" ref="IG846:IG854" si="17464">SUM(IJ846,IM846,IP846,IS846,IV846,IY846,JB846,JE846,JH846,JK846,JN846,JQ846)</f>
        <v>0</v>
      </c>
      <c r="IH846" s="718">
        <f t="shared" ref="IH846:IH854" si="17465">SUM(IK846,IN846,IQ846,IT846,IW846,IZ846,JC846,JF846,JI846,JL846,JO846,JR846)</f>
        <v>0</v>
      </c>
      <c r="II846" s="89">
        <v>0</v>
      </c>
      <c r="IJ846" s="89">
        <f t="shared" ref="IJ846:IJ853" si="17466">II846</f>
        <v>0</v>
      </c>
      <c r="IK846" s="89">
        <f t="shared" ref="IK846:IK853" si="17467">IJ846</f>
        <v>0</v>
      </c>
      <c r="IL846" s="89">
        <v>0</v>
      </c>
      <c r="IM846" s="89">
        <f t="shared" ref="IM846:IM853" si="17468">IL846</f>
        <v>0</v>
      </c>
      <c r="IN846" s="89">
        <f t="shared" ref="IN846:IN853" si="17469">IM846</f>
        <v>0</v>
      </c>
      <c r="IO846" s="89">
        <v>0</v>
      </c>
      <c r="IP846" s="89">
        <f t="shared" ref="IP846:IP853" si="17470">IO846</f>
        <v>0</v>
      </c>
      <c r="IQ846" s="89">
        <f t="shared" ref="IQ846:IQ853" si="17471">IP846</f>
        <v>0</v>
      </c>
      <c r="IR846" s="89">
        <v>0</v>
      </c>
      <c r="IS846" s="89">
        <f t="shared" ref="IS846:IS853" si="17472">IR846</f>
        <v>0</v>
      </c>
      <c r="IT846" s="89">
        <f t="shared" ref="IT846:IT853" si="17473">IS846</f>
        <v>0</v>
      </c>
      <c r="IU846" s="89">
        <v>0</v>
      </c>
      <c r="IV846" s="89">
        <f t="shared" ref="IV846:IV853" si="17474">IU846</f>
        <v>0</v>
      </c>
      <c r="IW846" s="89">
        <f t="shared" ref="IW846:IW853" si="17475">IV846</f>
        <v>0</v>
      </c>
      <c r="IX846" s="89">
        <v>0</v>
      </c>
      <c r="IY846" s="89">
        <f t="shared" ref="IY846:IY853" si="17476">IX846</f>
        <v>0</v>
      </c>
      <c r="IZ846" s="89">
        <f t="shared" ref="IZ846:IZ853" si="17477">IY846</f>
        <v>0</v>
      </c>
      <c r="JA846" s="89">
        <v>0</v>
      </c>
      <c r="JB846" s="89">
        <f t="shared" ref="JB846:JB853" si="17478">JA846</f>
        <v>0</v>
      </c>
      <c r="JC846" s="89">
        <f t="shared" ref="JC846:JC853" si="17479">JB846</f>
        <v>0</v>
      </c>
      <c r="JD846" s="89">
        <v>0</v>
      </c>
      <c r="JE846" s="89">
        <f t="shared" ref="JE846:JE853" si="17480">JD846</f>
        <v>0</v>
      </c>
      <c r="JF846" s="89">
        <f t="shared" ref="JF846:JF853" si="17481">JE846</f>
        <v>0</v>
      </c>
      <c r="JG846" s="89">
        <v>0</v>
      </c>
      <c r="JH846" s="89">
        <f t="shared" ref="JH846:JH853" si="17482">JG846</f>
        <v>0</v>
      </c>
      <c r="JI846" s="89">
        <f t="shared" ref="JI846:JI853" si="17483">JH846</f>
        <v>0</v>
      </c>
      <c r="JJ846" s="89">
        <v>0</v>
      </c>
      <c r="JK846" s="89">
        <f t="shared" ref="JK846:JK853" si="17484">JJ846</f>
        <v>0</v>
      </c>
      <c r="JL846" s="89">
        <f t="shared" ref="JL846:JL853" si="17485">JK846</f>
        <v>0</v>
      </c>
      <c r="JM846" s="89">
        <v>0</v>
      </c>
      <c r="JN846" s="89">
        <f t="shared" ref="JN846:JN853" si="17486">JM846</f>
        <v>0</v>
      </c>
      <c r="JO846" s="89">
        <f t="shared" ref="JO846:JO853" si="17487">JN846</f>
        <v>0</v>
      </c>
      <c r="JP846" s="89">
        <v>0</v>
      </c>
      <c r="JQ846" s="89">
        <f t="shared" ref="JQ846:JQ853" si="17488">JP846</f>
        <v>0</v>
      </c>
      <c r="JR846" s="89">
        <f t="shared" ref="JR846:JR853" si="17489">JQ846</f>
        <v>0</v>
      </c>
      <c r="JS846" s="74">
        <f t="shared" ref="JS846:JS852" si="17490">HG846-IF846</f>
        <v>0</v>
      </c>
      <c r="JT846" s="382">
        <f t="shared" ref="JT846:JT852" si="17491">GS846-IF846</f>
        <v>0</v>
      </c>
      <c r="JU846" s="665"/>
      <c r="JV846" s="524"/>
      <c r="JW846" s="525"/>
      <c r="JX846" s="549">
        <f t="shared" ref="JX846:JX852" si="17492">SUM(HH846,HJ846,HL846,HN846,HP846,HR846,HT846,HV846,HX846,HZ846,IB846,ID846)</f>
        <v>0</v>
      </c>
      <c r="JY846" s="549">
        <f t="shared" si="17176"/>
        <v>5000</v>
      </c>
      <c r="JZ846" s="581">
        <f t="shared" si="17318"/>
        <v>0</v>
      </c>
      <c r="KA846" s="581">
        <f t="shared" si="17319"/>
        <v>-5000</v>
      </c>
      <c r="KB846" s="566">
        <f t="shared" si="17031"/>
        <v>0</v>
      </c>
      <c r="KC846" s="709">
        <f t="shared" si="17277"/>
        <v>0</v>
      </c>
      <c r="KD846" s="491"/>
      <c r="KE846" s="491"/>
      <c r="KF846" s="491"/>
      <c r="KG846" s="491"/>
      <c r="KH846" s="36"/>
      <c r="KI846" s="36"/>
      <c r="KJ846" s="36"/>
      <c r="KK846" s="36"/>
    </row>
    <row r="847" spans="1:297" s="10" customFormat="1">
      <c r="A847" s="612" t="s">
        <v>751</v>
      </c>
      <c r="B847" s="512" t="s">
        <v>944</v>
      </c>
      <c r="C847" s="74">
        <v>120000</v>
      </c>
      <c r="D847" s="549">
        <v>0</v>
      </c>
      <c r="E847" s="675">
        <v>0</v>
      </c>
      <c r="F847" s="549">
        <v>0</v>
      </c>
      <c r="G847" s="675">
        <v>0</v>
      </c>
      <c r="H847" s="549">
        <v>0</v>
      </c>
      <c r="I847" s="675">
        <v>0</v>
      </c>
      <c r="J847" s="549">
        <v>0</v>
      </c>
      <c r="K847" s="675">
        <v>0</v>
      </c>
      <c r="L847" s="549">
        <v>0</v>
      </c>
      <c r="M847" s="675">
        <v>0</v>
      </c>
      <c r="N847" s="549">
        <v>0</v>
      </c>
      <c r="O847" s="675">
        <v>0</v>
      </c>
      <c r="P847" s="549">
        <v>0</v>
      </c>
      <c r="Q847" s="675">
        <v>0</v>
      </c>
      <c r="R847" s="549">
        <v>0</v>
      </c>
      <c r="S847" s="675">
        <v>0</v>
      </c>
      <c r="T847" s="549">
        <v>0</v>
      </c>
      <c r="U847" s="675">
        <v>0</v>
      </c>
      <c r="V847" s="549">
        <v>0</v>
      </c>
      <c r="W847" s="675">
        <v>0</v>
      </c>
      <c r="X847" s="549">
        <v>0</v>
      </c>
      <c r="Y847" s="675">
        <v>0</v>
      </c>
      <c r="Z847" s="549">
        <v>0</v>
      </c>
      <c r="AA847" s="675">
        <v>0</v>
      </c>
      <c r="AB847" s="549">
        <v>0</v>
      </c>
      <c r="AC847" s="675">
        <v>0</v>
      </c>
      <c r="AD847" s="549">
        <v>0</v>
      </c>
      <c r="AE847" s="675">
        <v>0</v>
      </c>
      <c r="AF847" s="549">
        <v>0</v>
      </c>
      <c r="AG847" s="675">
        <v>0</v>
      </c>
      <c r="AH847" s="549">
        <v>0</v>
      </c>
      <c r="AI847" s="675">
        <v>0</v>
      </c>
      <c r="AJ847" s="549">
        <v>0</v>
      </c>
      <c r="AK847" s="675">
        <v>0</v>
      </c>
      <c r="AL847" s="549">
        <v>0</v>
      </c>
      <c r="AM847" s="675">
        <v>0</v>
      </c>
      <c r="AN847" s="549">
        <v>0</v>
      </c>
      <c r="AO847" s="675">
        <v>0</v>
      </c>
      <c r="AP847" s="549">
        <v>0</v>
      </c>
      <c r="AQ847" s="675">
        <v>-60000</v>
      </c>
      <c r="AR847" s="549">
        <v>0</v>
      </c>
      <c r="AS847" s="675">
        <v>0</v>
      </c>
      <c r="AT847" s="549">
        <v>0</v>
      </c>
      <c r="AU847" s="675">
        <v>0</v>
      </c>
      <c r="AV847" s="549">
        <v>0</v>
      </c>
      <c r="AW847" s="675">
        <v>0</v>
      </c>
      <c r="AX847" s="549">
        <v>0</v>
      </c>
      <c r="AY847" s="675">
        <v>-60000</v>
      </c>
      <c r="AZ847" s="549">
        <v>0</v>
      </c>
      <c r="BA847" s="675">
        <v>0</v>
      </c>
      <c r="BB847" s="549">
        <v>0</v>
      </c>
      <c r="BC847" s="675">
        <v>0</v>
      </c>
      <c r="BD847" s="549">
        <v>0</v>
      </c>
      <c r="BE847" s="675">
        <v>0</v>
      </c>
      <c r="BF847" s="549">
        <v>0</v>
      </c>
      <c r="BG847" s="675">
        <v>0</v>
      </c>
      <c r="BH847" s="549">
        <v>0</v>
      </c>
      <c r="BI847" s="675">
        <v>0</v>
      </c>
      <c r="BJ847" s="549">
        <v>0</v>
      </c>
      <c r="BK847" s="675">
        <v>0</v>
      </c>
      <c r="BL847" s="549">
        <v>0</v>
      </c>
      <c r="BM847" s="675">
        <v>0</v>
      </c>
      <c r="BN847" s="549">
        <v>0</v>
      </c>
      <c r="BO847" s="675">
        <v>0</v>
      </c>
      <c r="BP847" s="549">
        <v>0</v>
      </c>
      <c r="BQ847" s="675">
        <v>0</v>
      </c>
      <c r="BR847" s="549">
        <v>0</v>
      </c>
      <c r="BS847" s="675">
        <v>0</v>
      </c>
      <c r="BT847" s="549">
        <v>0</v>
      </c>
      <c r="BU847" s="675">
        <v>0</v>
      </c>
      <c r="BV847" s="549">
        <v>0</v>
      </c>
      <c r="BW847" s="675">
        <v>0</v>
      </c>
      <c r="BX847" s="549">
        <v>0</v>
      </c>
      <c r="BY847" s="675">
        <v>0</v>
      </c>
      <c r="BZ847" s="549">
        <v>0</v>
      </c>
      <c r="CA847" s="675">
        <v>0</v>
      </c>
      <c r="CB847" s="549">
        <v>0</v>
      </c>
      <c r="CC847" s="675">
        <v>0</v>
      </c>
      <c r="CD847" s="549">
        <v>0</v>
      </c>
      <c r="CE847" s="675">
        <v>0</v>
      </c>
      <c r="CF847" s="549">
        <v>0</v>
      </c>
      <c r="CG847" s="675">
        <v>0</v>
      </c>
      <c r="CH847" s="549">
        <v>0</v>
      </c>
      <c r="CI847" s="675">
        <v>0</v>
      </c>
      <c r="CJ847" s="549">
        <v>0</v>
      </c>
      <c r="CK847" s="675">
        <v>0</v>
      </c>
      <c r="CL847" s="549">
        <v>0</v>
      </c>
      <c r="CM847" s="675">
        <v>0</v>
      </c>
      <c r="CN847" s="549">
        <v>0</v>
      </c>
      <c r="CO847" s="675">
        <v>0</v>
      </c>
      <c r="CP847" s="549">
        <v>0</v>
      </c>
      <c r="CQ847" s="675">
        <v>0</v>
      </c>
      <c r="CR847" s="549">
        <v>0</v>
      </c>
      <c r="CS847" s="675">
        <v>0</v>
      </c>
      <c r="CT847" s="549">
        <v>0</v>
      </c>
      <c r="CU847" s="675">
        <v>0</v>
      </c>
      <c r="CV847" s="549">
        <v>0</v>
      </c>
      <c r="CW847" s="675">
        <v>0</v>
      </c>
      <c r="CX847" s="549">
        <v>0</v>
      </c>
      <c r="CY847" s="675">
        <v>0</v>
      </c>
      <c r="CZ847" s="549">
        <v>0</v>
      </c>
      <c r="DA847" s="675">
        <v>0</v>
      </c>
      <c r="DB847" s="549">
        <v>0</v>
      </c>
      <c r="DC847" s="675">
        <v>0</v>
      </c>
      <c r="DD847" s="549">
        <v>0</v>
      </c>
      <c r="DE847" s="675">
        <v>0</v>
      </c>
      <c r="DF847" s="549">
        <v>0</v>
      </c>
      <c r="DG847" s="675">
        <v>0</v>
      </c>
      <c r="DH847" s="549">
        <v>0</v>
      </c>
      <c r="DI847" s="675">
        <v>0</v>
      </c>
      <c r="DJ847" s="549">
        <v>0</v>
      </c>
      <c r="DK847" s="675">
        <v>0</v>
      </c>
      <c r="DL847" s="549">
        <v>0</v>
      </c>
      <c r="DM847" s="675">
        <v>0</v>
      </c>
      <c r="DN847" s="549">
        <v>0</v>
      </c>
      <c r="DO847" s="675">
        <v>0</v>
      </c>
      <c r="DP847" s="549">
        <v>0</v>
      </c>
      <c r="DQ847" s="675">
        <v>0</v>
      </c>
      <c r="DR847" s="549">
        <v>0</v>
      </c>
      <c r="DS847" s="675">
        <v>0</v>
      </c>
      <c r="DT847" s="549">
        <v>0</v>
      </c>
      <c r="DU847" s="675">
        <v>0</v>
      </c>
      <c r="DV847" s="549">
        <v>0</v>
      </c>
      <c r="DW847" s="675">
        <v>0</v>
      </c>
      <c r="DX847" s="549">
        <v>0</v>
      </c>
      <c r="DY847" s="675">
        <v>0</v>
      </c>
      <c r="DZ847" s="549">
        <v>0</v>
      </c>
      <c r="EA847" s="675">
        <v>0</v>
      </c>
      <c r="EB847" s="549">
        <v>0</v>
      </c>
      <c r="EC847" s="675">
        <v>0</v>
      </c>
      <c r="ED847" s="549">
        <v>0</v>
      </c>
      <c r="EE847" s="675">
        <v>0</v>
      </c>
      <c r="EF847" s="549">
        <v>0</v>
      </c>
      <c r="EG847" s="675">
        <v>0</v>
      </c>
      <c r="EH847" s="549">
        <v>0</v>
      </c>
      <c r="EI847" s="675">
        <v>0</v>
      </c>
      <c r="EJ847" s="549">
        <v>0</v>
      </c>
      <c r="EK847" s="675">
        <v>0</v>
      </c>
      <c r="EL847" s="549">
        <v>0</v>
      </c>
      <c r="EM847" s="675">
        <v>0</v>
      </c>
      <c r="EN847" s="549">
        <v>0</v>
      </c>
      <c r="EO847" s="675">
        <v>0</v>
      </c>
      <c r="EP847" s="549">
        <v>0</v>
      </c>
      <c r="EQ847" s="675">
        <v>0</v>
      </c>
      <c r="ER847" s="549">
        <v>0</v>
      </c>
      <c r="ES847" s="675">
        <v>0</v>
      </c>
      <c r="ET847" s="549">
        <v>0</v>
      </c>
      <c r="EU847" s="675">
        <v>0</v>
      </c>
      <c r="EV847" s="549">
        <v>0</v>
      </c>
      <c r="EW847" s="675">
        <v>0</v>
      </c>
      <c r="EX847" s="549">
        <v>0</v>
      </c>
      <c r="EY847" s="675">
        <v>0</v>
      </c>
      <c r="EZ847" s="549">
        <v>0</v>
      </c>
      <c r="FA847" s="675">
        <v>0</v>
      </c>
      <c r="FB847" s="549">
        <v>0</v>
      </c>
      <c r="FC847" s="675">
        <v>0</v>
      </c>
      <c r="FD847" s="549">
        <v>0</v>
      </c>
      <c r="FE847" s="675">
        <v>0</v>
      </c>
      <c r="FF847" s="549">
        <v>0</v>
      </c>
      <c r="FG847" s="675">
        <v>0</v>
      </c>
      <c r="FH847" s="549">
        <v>0</v>
      </c>
      <c r="FI847" s="675">
        <v>0</v>
      </c>
      <c r="FJ847" s="549">
        <v>0</v>
      </c>
      <c r="FK847" s="675">
        <v>0</v>
      </c>
      <c r="FL847" s="549">
        <v>0</v>
      </c>
      <c r="FM847" s="675">
        <v>0</v>
      </c>
      <c r="FN847" s="549">
        <v>0</v>
      </c>
      <c r="FO847" s="675">
        <v>0</v>
      </c>
      <c r="FP847" s="549">
        <v>0</v>
      </c>
      <c r="FQ847" s="675">
        <v>0</v>
      </c>
      <c r="FR847" s="549">
        <v>0</v>
      </c>
      <c r="FS847" s="675">
        <v>0</v>
      </c>
      <c r="FT847" s="549">
        <v>0</v>
      </c>
      <c r="FU847" s="675">
        <v>0</v>
      </c>
      <c r="FV847" s="549">
        <v>0</v>
      </c>
      <c r="FW847" s="675">
        <v>0</v>
      </c>
      <c r="FX847" s="549">
        <v>0</v>
      </c>
      <c r="FY847" s="675">
        <v>0</v>
      </c>
      <c r="FZ847" s="549">
        <v>0</v>
      </c>
      <c r="GA847" s="675">
        <v>0</v>
      </c>
      <c r="GB847" s="549">
        <v>0</v>
      </c>
      <c r="GC847" s="675">
        <v>0</v>
      </c>
      <c r="GD847" s="549">
        <v>0</v>
      </c>
      <c r="GE847" s="675">
        <v>0</v>
      </c>
      <c r="GF847" s="549">
        <v>0</v>
      </c>
      <c r="GG847" s="675">
        <v>0</v>
      </c>
      <c r="GH847" s="549">
        <v>0</v>
      </c>
      <c r="GI847" s="675">
        <v>0</v>
      </c>
      <c r="GJ847" s="549">
        <v>0</v>
      </c>
      <c r="GK847" s="675">
        <v>0</v>
      </c>
      <c r="GL847" s="549">
        <v>0</v>
      </c>
      <c r="GM847" s="675">
        <v>0</v>
      </c>
      <c r="GN847" s="549">
        <v>0</v>
      </c>
      <c r="GO847" s="675">
        <v>0</v>
      </c>
      <c r="GP847" s="549">
        <f t="shared" si="17457"/>
        <v>0</v>
      </c>
      <c r="GQ847" s="675">
        <f t="shared" si="17458"/>
        <v>-120000</v>
      </c>
      <c r="GR847" s="74">
        <f t="shared" si="17459"/>
        <v>0</v>
      </c>
      <c r="GS847" s="74">
        <f t="shared" si="17460"/>
        <v>0</v>
      </c>
      <c r="GT847" s="568">
        <f t="shared" si="17461"/>
        <v>0</v>
      </c>
      <c r="GU847" s="275">
        <v>24000</v>
      </c>
      <c r="GV847" s="275"/>
      <c r="GW847" s="588"/>
      <c r="GX847" s="275">
        <v>36000</v>
      </c>
      <c r="GY847" s="275">
        <v>60000</v>
      </c>
      <c r="GZ847" s="275"/>
      <c r="HA847" s="275">
        <f>36000-36000</f>
        <v>0</v>
      </c>
      <c r="HB847" s="275"/>
      <c r="HC847" s="275"/>
      <c r="HD847" s="275">
        <f>24000-24000</f>
        <v>0</v>
      </c>
      <c r="HE847" s="275">
        <v>0</v>
      </c>
      <c r="HF847" s="275">
        <v>0</v>
      </c>
      <c r="HG847" s="74">
        <f t="shared" si="17462"/>
        <v>0</v>
      </c>
      <c r="HH847" s="89">
        <v>0</v>
      </c>
      <c r="HI847" s="157">
        <v>0</v>
      </c>
      <c r="HJ847" s="89">
        <v>0</v>
      </c>
      <c r="HK847" s="157">
        <v>0</v>
      </c>
      <c r="HL847" s="89">
        <v>0</v>
      </c>
      <c r="HM847" s="157">
        <v>0</v>
      </c>
      <c r="HN847" s="89">
        <v>0</v>
      </c>
      <c r="HO847" s="157">
        <v>60000</v>
      </c>
      <c r="HP847" s="89">
        <v>0</v>
      </c>
      <c r="HQ847" s="157">
        <v>60000</v>
      </c>
      <c r="HR847" s="89">
        <v>0</v>
      </c>
      <c r="HS847" s="157">
        <v>0</v>
      </c>
      <c r="HT847" s="89">
        <v>0</v>
      </c>
      <c r="HU847" s="157">
        <v>0</v>
      </c>
      <c r="HV847" s="89">
        <v>0</v>
      </c>
      <c r="HW847" s="157">
        <v>0</v>
      </c>
      <c r="HX847" s="89">
        <v>0</v>
      </c>
      <c r="HY847" s="157">
        <v>0</v>
      </c>
      <c r="HZ847" s="89">
        <v>0</v>
      </c>
      <c r="IA847" s="157">
        <v>0</v>
      </c>
      <c r="IB847" s="89">
        <v>0</v>
      </c>
      <c r="IC847" s="157">
        <v>0</v>
      </c>
      <c r="ID847" s="89">
        <v>0</v>
      </c>
      <c r="IE847" s="157">
        <v>0</v>
      </c>
      <c r="IF847" s="717">
        <f t="shared" si="17463"/>
        <v>0</v>
      </c>
      <c r="IG847" s="263">
        <f t="shared" si="17464"/>
        <v>0</v>
      </c>
      <c r="IH847" s="718">
        <f t="shared" si="17465"/>
        <v>0</v>
      </c>
      <c r="II847" s="89">
        <v>0</v>
      </c>
      <c r="IJ847" s="89">
        <f t="shared" si="17466"/>
        <v>0</v>
      </c>
      <c r="IK847" s="89">
        <f t="shared" si="17467"/>
        <v>0</v>
      </c>
      <c r="IL847" s="89">
        <v>0</v>
      </c>
      <c r="IM847" s="89">
        <f t="shared" si="17468"/>
        <v>0</v>
      </c>
      <c r="IN847" s="89">
        <f t="shared" si="17469"/>
        <v>0</v>
      </c>
      <c r="IO847" s="89">
        <v>0</v>
      </c>
      <c r="IP847" s="89">
        <f t="shared" si="17470"/>
        <v>0</v>
      </c>
      <c r="IQ847" s="89">
        <f t="shared" si="17471"/>
        <v>0</v>
      </c>
      <c r="IR847" s="89">
        <v>0</v>
      </c>
      <c r="IS847" s="89">
        <f t="shared" si="17472"/>
        <v>0</v>
      </c>
      <c r="IT847" s="89">
        <f t="shared" si="17473"/>
        <v>0</v>
      </c>
      <c r="IU847" s="89">
        <v>0</v>
      </c>
      <c r="IV847" s="89">
        <f t="shared" si="17474"/>
        <v>0</v>
      </c>
      <c r="IW847" s="89">
        <f t="shared" si="17475"/>
        <v>0</v>
      </c>
      <c r="IX847" s="89">
        <v>0</v>
      </c>
      <c r="IY847" s="89">
        <f t="shared" si="17476"/>
        <v>0</v>
      </c>
      <c r="IZ847" s="89">
        <f t="shared" si="17477"/>
        <v>0</v>
      </c>
      <c r="JA847" s="89">
        <v>0</v>
      </c>
      <c r="JB847" s="89">
        <f t="shared" si="17478"/>
        <v>0</v>
      </c>
      <c r="JC847" s="89">
        <f t="shared" si="17479"/>
        <v>0</v>
      </c>
      <c r="JD847" s="89">
        <v>0</v>
      </c>
      <c r="JE847" s="89">
        <f t="shared" si="17480"/>
        <v>0</v>
      </c>
      <c r="JF847" s="89">
        <f t="shared" si="17481"/>
        <v>0</v>
      </c>
      <c r="JG847" s="89">
        <v>0</v>
      </c>
      <c r="JH847" s="89">
        <f t="shared" si="17482"/>
        <v>0</v>
      </c>
      <c r="JI847" s="89">
        <f t="shared" si="17483"/>
        <v>0</v>
      </c>
      <c r="JJ847" s="89">
        <v>0</v>
      </c>
      <c r="JK847" s="89">
        <f t="shared" si="17484"/>
        <v>0</v>
      </c>
      <c r="JL847" s="89">
        <f t="shared" si="17485"/>
        <v>0</v>
      </c>
      <c r="JM847" s="89">
        <v>0</v>
      </c>
      <c r="JN847" s="89">
        <f t="shared" si="17486"/>
        <v>0</v>
      </c>
      <c r="JO847" s="89">
        <f t="shared" si="17487"/>
        <v>0</v>
      </c>
      <c r="JP847" s="89">
        <v>0</v>
      </c>
      <c r="JQ847" s="89">
        <f t="shared" si="17488"/>
        <v>0</v>
      </c>
      <c r="JR847" s="89">
        <f t="shared" si="17489"/>
        <v>0</v>
      </c>
      <c r="JS847" s="74">
        <f t="shared" si="17490"/>
        <v>0</v>
      </c>
      <c r="JT847" s="382">
        <f t="shared" si="17491"/>
        <v>0</v>
      </c>
      <c r="JU847" s="665"/>
      <c r="JV847" s="524"/>
      <c r="JW847" s="525"/>
      <c r="JX847" s="549">
        <f t="shared" si="17492"/>
        <v>0</v>
      </c>
      <c r="JY847" s="549">
        <f t="shared" si="17176"/>
        <v>120000</v>
      </c>
      <c r="JZ847" s="581">
        <f t="shared" si="17318"/>
        <v>0</v>
      </c>
      <c r="KA847" s="581">
        <f t="shared" si="17319"/>
        <v>-120000</v>
      </c>
      <c r="KB847" s="566">
        <f t="shared" si="17031"/>
        <v>0</v>
      </c>
      <c r="KC847" s="709">
        <f t="shared" si="17277"/>
        <v>0</v>
      </c>
      <c r="KD847" s="491"/>
      <c r="KE847" s="491"/>
      <c r="KF847" s="491"/>
      <c r="KG847" s="491"/>
      <c r="KH847" s="36"/>
      <c r="KI847" s="36"/>
      <c r="KJ847" s="36"/>
      <c r="KK847" s="36"/>
    </row>
    <row r="848" spans="1:297" s="10" customFormat="1">
      <c r="A848" s="612" t="s">
        <v>742</v>
      </c>
      <c r="B848" s="512" t="s">
        <v>967</v>
      </c>
      <c r="C848" s="74">
        <v>55000</v>
      </c>
      <c r="D848" s="549">
        <v>0</v>
      </c>
      <c r="E848" s="675">
        <v>0</v>
      </c>
      <c r="F848" s="549">
        <v>0</v>
      </c>
      <c r="G848" s="675">
        <v>0</v>
      </c>
      <c r="H848" s="549">
        <v>0</v>
      </c>
      <c r="I848" s="675">
        <v>0</v>
      </c>
      <c r="J848" s="549">
        <v>0</v>
      </c>
      <c r="K848" s="675">
        <v>0</v>
      </c>
      <c r="L848" s="549">
        <v>0</v>
      </c>
      <c r="M848" s="675">
        <v>0</v>
      </c>
      <c r="N848" s="549">
        <v>0</v>
      </c>
      <c r="O848" s="675">
        <v>0</v>
      </c>
      <c r="P848" s="549">
        <v>0</v>
      </c>
      <c r="Q848" s="675">
        <v>0</v>
      </c>
      <c r="R848" s="549">
        <v>0</v>
      </c>
      <c r="S848" s="675">
        <v>0</v>
      </c>
      <c r="T848" s="549">
        <v>0</v>
      </c>
      <c r="U848" s="675">
        <v>0</v>
      </c>
      <c r="V848" s="549">
        <v>0</v>
      </c>
      <c r="W848" s="675">
        <v>0</v>
      </c>
      <c r="X848" s="549">
        <v>0</v>
      </c>
      <c r="Y848" s="675">
        <v>0</v>
      </c>
      <c r="Z848" s="549">
        <v>0</v>
      </c>
      <c r="AA848" s="675">
        <v>0</v>
      </c>
      <c r="AB848" s="549">
        <v>0</v>
      </c>
      <c r="AC848" s="675">
        <v>0</v>
      </c>
      <c r="AD848" s="549">
        <v>0</v>
      </c>
      <c r="AE848" s="675">
        <v>0</v>
      </c>
      <c r="AF848" s="549">
        <v>0</v>
      </c>
      <c r="AG848" s="675">
        <v>0</v>
      </c>
      <c r="AH848" s="549">
        <v>0</v>
      </c>
      <c r="AI848" s="675">
        <v>0</v>
      </c>
      <c r="AJ848" s="549">
        <v>0</v>
      </c>
      <c r="AK848" s="675">
        <v>0</v>
      </c>
      <c r="AL848" s="549">
        <v>0</v>
      </c>
      <c r="AM848" s="675">
        <v>0</v>
      </c>
      <c r="AN848" s="549">
        <v>0</v>
      </c>
      <c r="AO848" s="675">
        <v>0</v>
      </c>
      <c r="AP848" s="549">
        <v>0</v>
      </c>
      <c r="AQ848" s="675">
        <v>0</v>
      </c>
      <c r="AR848" s="549">
        <v>0</v>
      </c>
      <c r="AS848" s="675">
        <v>0</v>
      </c>
      <c r="AT848" s="549">
        <v>0</v>
      </c>
      <c r="AU848" s="675">
        <v>0</v>
      </c>
      <c r="AV848" s="549">
        <v>0</v>
      </c>
      <c r="AW848" s="675">
        <v>0</v>
      </c>
      <c r="AX848" s="549">
        <v>0</v>
      </c>
      <c r="AY848" s="675">
        <v>-55000</v>
      </c>
      <c r="AZ848" s="549">
        <v>0</v>
      </c>
      <c r="BA848" s="675">
        <v>0</v>
      </c>
      <c r="BB848" s="549">
        <v>0</v>
      </c>
      <c r="BC848" s="675">
        <v>0</v>
      </c>
      <c r="BD848" s="549">
        <v>0</v>
      </c>
      <c r="BE848" s="675">
        <v>0</v>
      </c>
      <c r="BF848" s="549">
        <v>0</v>
      </c>
      <c r="BG848" s="675">
        <v>0</v>
      </c>
      <c r="BH848" s="549">
        <v>0</v>
      </c>
      <c r="BI848" s="675">
        <v>0</v>
      </c>
      <c r="BJ848" s="549">
        <v>0</v>
      </c>
      <c r="BK848" s="675">
        <v>0</v>
      </c>
      <c r="BL848" s="549">
        <v>0</v>
      </c>
      <c r="BM848" s="675">
        <v>0</v>
      </c>
      <c r="BN848" s="549">
        <v>0</v>
      </c>
      <c r="BO848" s="675">
        <v>0</v>
      </c>
      <c r="BP848" s="549">
        <v>0</v>
      </c>
      <c r="BQ848" s="675">
        <v>0</v>
      </c>
      <c r="BR848" s="549">
        <v>0</v>
      </c>
      <c r="BS848" s="675">
        <v>0</v>
      </c>
      <c r="BT848" s="549">
        <v>0</v>
      </c>
      <c r="BU848" s="675">
        <v>0</v>
      </c>
      <c r="BV848" s="549">
        <v>0</v>
      </c>
      <c r="BW848" s="675">
        <v>0</v>
      </c>
      <c r="BX848" s="549">
        <v>0</v>
      </c>
      <c r="BY848" s="675">
        <v>0</v>
      </c>
      <c r="BZ848" s="549">
        <v>0</v>
      </c>
      <c r="CA848" s="675">
        <v>0</v>
      </c>
      <c r="CB848" s="549">
        <v>0</v>
      </c>
      <c r="CC848" s="675">
        <v>0</v>
      </c>
      <c r="CD848" s="549">
        <v>0</v>
      </c>
      <c r="CE848" s="675">
        <v>0</v>
      </c>
      <c r="CF848" s="549">
        <v>0</v>
      </c>
      <c r="CG848" s="675">
        <v>0</v>
      </c>
      <c r="CH848" s="549">
        <v>0</v>
      </c>
      <c r="CI848" s="675">
        <v>0</v>
      </c>
      <c r="CJ848" s="549">
        <v>0</v>
      </c>
      <c r="CK848" s="675">
        <v>0</v>
      </c>
      <c r="CL848" s="549">
        <v>0</v>
      </c>
      <c r="CM848" s="675">
        <v>0</v>
      </c>
      <c r="CN848" s="549">
        <v>0</v>
      </c>
      <c r="CO848" s="675">
        <v>0</v>
      </c>
      <c r="CP848" s="549">
        <v>0</v>
      </c>
      <c r="CQ848" s="675">
        <v>0</v>
      </c>
      <c r="CR848" s="549">
        <v>0</v>
      </c>
      <c r="CS848" s="675">
        <v>0</v>
      </c>
      <c r="CT848" s="549">
        <v>0</v>
      </c>
      <c r="CU848" s="675">
        <v>0</v>
      </c>
      <c r="CV848" s="549">
        <v>0</v>
      </c>
      <c r="CW848" s="675">
        <v>0</v>
      </c>
      <c r="CX848" s="549">
        <v>0</v>
      </c>
      <c r="CY848" s="675">
        <v>0</v>
      </c>
      <c r="CZ848" s="549">
        <v>0</v>
      </c>
      <c r="DA848" s="675">
        <v>0</v>
      </c>
      <c r="DB848" s="549">
        <v>0</v>
      </c>
      <c r="DC848" s="675">
        <v>0</v>
      </c>
      <c r="DD848" s="549">
        <v>0</v>
      </c>
      <c r="DE848" s="675">
        <v>0</v>
      </c>
      <c r="DF848" s="549">
        <v>0</v>
      </c>
      <c r="DG848" s="675">
        <v>0</v>
      </c>
      <c r="DH848" s="549">
        <v>0</v>
      </c>
      <c r="DI848" s="675">
        <v>0</v>
      </c>
      <c r="DJ848" s="549">
        <v>0</v>
      </c>
      <c r="DK848" s="675">
        <v>0</v>
      </c>
      <c r="DL848" s="549">
        <v>0</v>
      </c>
      <c r="DM848" s="675">
        <v>0</v>
      </c>
      <c r="DN848" s="549">
        <v>0</v>
      </c>
      <c r="DO848" s="675">
        <v>0</v>
      </c>
      <c r="DP848" s="549">
        <v>0</v>
      </c>
      <c r="DQ848" s="675">
        <v>0</v>
      </c>
      <c r="DR848" s="549">
        <v>0</v>
      </c>
      <c r="DS848" s="675">
        <v>0</v>
      </c>
      <c r="DT848" s="549">
        <v>0</v>
      </c>
      <c r="DU848" s="675">
        <v>0</v>
      </c>
      <c r="DV848" s="549">
        <v>0</v>
      </c>
      <c r="DW848" s="675">
        <v>0</v>
      </c>
      <c r="DX848" s="549">
        <v>0</v>
      </c>
      <c r="DY848" s="675">
        <v>0</v>
      </c>
      <c r="DZ848" s="549">
        <v>0</v>
      </c>
      <c r="EA848" s="675">
        <v>0</v>
      </c>
      <c r="EB848" s="549">
        <v>0</v>
      </c>
      <c r="EC848" s="675">
        <v>0</v>
      </c>
      <c r="ED848" s="549">
        <v>0</v>
      </c>
      <c r="EE848" s="675">
        <v>0</v>
      </c>
      <c r="EF848" s="549">
        <v>0</v>
      </c>
      <c r="EG848" s="675">
        <v>0</v>
      </c>
      <c r="EH848" s="549">
        <v>0</v>
      </c>
      <c r="EI848" s="675">
        <v>0</v>
      </c>
      <c r="EJ848" s="549">
        <v>0</v>
      </c>
      <c r="EK848" s="675">
        <v>0</v>
      </c>
      <c r="EL848" s="549">
        <v>0</v>
      </c>
      <c r="EM848" s="675">
        <v>0</v>
      </c>
      <c r="EN848" s="549">
        <v>0</v>
      </c>
      <c r="EO848" s="675">
        <v>0</v>
      </c>
      <c r="EP848" s="549">
        <v>0</v>
      </c>
      <c r="EQ848" s="675">
        <v>0</v>
      </c>
      <c r="ER848" s="549">
        <v>0</v>
      </c>
      <c r="ES848" s="675">
        <v>0</v>
      </c>
      <c r="ET848" s="549">
        <v>0</v>
      </c>
      <c r="EU848" s="675">
        <v>0</v>
      </c>
      <c r="EV848" s="549">
        <v>0</v>
      </c>
      <c r="EW848" s="675">
        <v>0</v>
      </c>
      <c r="EX848" s="549">
        <v>0</v>
      </c>
      <c r="EY848" s="675">
        <v>0</v>
      </c>
      <c r="EZ848" s="549">
        <v>0</v>
      </c>
      <c r="FA848" s="675">
        <v>0</v>
      </c>
      <c r="FB848" s="549">
        <v>0</v>
      </c>
      <c r="FC848" s="675">
        <v>0</v>
      </c>
      <c r="FD848" s="549">
        <v>0</v>
      </c>
      <c r="FE848" s="675">
        <v>0</v>
      </c>
      <c r="FF848" s="549">
        <v>0</v>
      </c>
      <c r="FG848" s="675">
        <v>0</v>
      </c>
      <c r="FH848" s="549">
        <v>0</v>
      </c>
      <c r="FI848" s="675">
        <v>0</v>
      </c>
      <c r="FJ848" s="549">
        <v>0</v>
      </c>
      <c r="FK848" s="675">
        <v>0</v>
      </c>
      <c r="FL848" s="549">
        <v>0</v>
      </c>
      <c r="FM848" s="675">
        <v>0</v>
      </c>
      <c r="FN848" s="549">
        <v>0</v>
      </c>
      <c r="FO848" s="675">
        <v>0</v>
      </c>
      <c r="FP848" s="549">
        <v>0</v>
      </c>
      <c r="FQ848" s="675">
        <v>0</v>
      </c>
      <c r="FR848" s="549">
        <v>0</v>
      </c>
      <c r="FS848" s="675">
        <v>0</v>
      </c>
      <c r="FT848" s="549">
        <v>0</v>
      </c>
      <c r="FU848" s="675">
        <v>0</v>
      </c>
      <c r="FV848" s="549">
        <v>0</v>
      </c>
      <c r="FW848" s="675">
        <v>0</v>
      </c>
      <c r="FX848" s="549">
        <v>0</v>
      </c>
      <c r="FY848" s="675">
        <v>0</v>
      </c>
      <c r="FZ848" s="549">
        <v>0</v>
      </c>
      <c r="GA848" s="675">
        <v>0</v>
      </c>
      <c r="GB848" s="549">
        <v>0</v>
      </c>
      <c r="GC848" s="675">
        <v>0</v>
      </c>
      <c r="GD848" s="549">
        <v>0</v>
      </c>
      <c r="GE848" s="675">
        <v>0</v>
      </c>
      <c r="GF848" s="549">
        <v>0</v>
      </c>
      <c r="GG848" s="675">
        <v>0</v>
      </c>
      <c r="GH848" s="549">
        <v>0</v>
      </c>
      <c r="GI848" s="675">
        <v>0</v>
      </c>
      <c r="GJ848" s="549">
        <v>0</v>
      </c>
      <c r="GK848" s="675">
        <v>0</v>
      </c>
      <c r="GL848" s="549">
        <v>0</v>
      </c>
      <c r="GM848" s="675">
        <v>0</v>
      </c>
      <c r="GN848" s="549">
        <v>0</v>
      </c>
      <c r="GO848" s="675">
        <v>0</v>
      </c>
      <c r="GP848" s="549">
        <f t="shared" si="17457"/>
        <v>0</v>
      </c>
      <c r="GQ848" s="675">
        <f t="shared" si="17458"/>
        <v>-55000</v>
      </c>
      <c r="GR848" s="74">
        <f t="shared" si="17459"/>
        <v>0</v>
      </c>
      <c r="GS848" s="74">
        <f t="shared" si="17460"/>
        <v>0</v>
      </c>
      <c r="GT848" s="568">
        <f t="shared" si="17461"/>
        <v>0</v>
      </c>
      <c r="GU848" s="275">
        <v>11000</v>
      </c>
      <c r="GV848" s="275"/>
      <c r="GW848" s="588"/>
      <c r="GX848" s="275">
        <v>16500</v>
      </c>
      <c r="GY848" s="275">
        <v>27500</v>
      </c>
      <c r="GZ848" s="275"/>
      <c r="HA848" s="275">
        <f>16500-16500</f>
        <v>0</v>
      </c>
      <c r="HB848" s="275"/>
      <c r="HC848" s="275"/>
      <c r="HD848" s="275">
        <f>11000-11000</f>
        <v>0</v>
      </c>
      <c r="HE848" s="275">
        <v>0</v>
      </c>
      <c r="HF848" s="275">
        <v>0</v>
      </c>
      <c r="HG848" s="74">
        <f t="shared" si="17462"/>
        <v>0</v>
      </c>
      <c r="HH848" s="89">
        <v>0</v>
      </c>
      <c r="HI848" s="157">
        <v>0</v>
      </c>
      <c r="HJ848" s="89">
        <v>0</v>
      </c>
      <c r="HK848" s="157">
        <v>0</v>
      </c>
      <c r="HL848" s="89">
        <v>0</v>
      </c>
      <c r="HM848" s="157">
        <v>0</v>
      </c>
      <c r="HN848" s="89">
        <v>0</v>
      </c>
      <c r="HO848" s="157">
        <v>27500</v>
      </c>
      <c r="HP848" s="89">
        <v>0</v>
      </c>
      <c r="HQ848" s="157">
        <v>27500</v>
      </c>
      <c r="HR848" s="89">
        <v>0</v>
      </c>
      <c r="HS848" s="157">
        <v>0</v>
      </c>
      <c r="HT848" s="89">
        <v>0</v>
      </c>
      <c r="HU848" s="157">
        <v>0</v>
      </c>
      <c r="HV848" s="89">
        <v>0</v>
      </c>
      <c r="HW848" s="157">
        <v>0</v>
      </c>
      <c r="HX848" s="89">
        <v>0</v>
      </c>
      <c r="HY848" s="157">
        <v>0</v>
      </c>
      <c r="HZ848" s="89">
        <v>0</v>
      </c>
      <c r="IA848" s="157">
        <v>0</v>
      </c>
      <c r="IB848" s="89">
        <v>0</v>
      </c>
      <c r="IC848" s="157">
        <v>0</v>
      </c>
      <c r="ID848" s="89">
        <v>0</v>
      </c>
      <c r="IE848" s="157">
        <v>0</v>
      </c>
      <c r="IF848" s="717">
        <f t="shared" si="17463"/>
        <v>0</v>
      </c>
      <c r="IG848" s="263">
        <f t="shared" si="17464"/>
        <v>0</v>
      </c>
      <c r="IH848" s="718">
        <f t="shared" si="17465"/>
        <v>0</v>
      </c>
      <c r="II848" s="89">
        <v>0</v>
      </c>
      <c r="IJ848" s="89">
        <f t="shared" si="17466"/>
        <v>0</v>
      </c>
      <c r="IK848" s="89">
        <f t="shared" si="17467"/>
        <v>0</v>
      </c>
      <c r="IL848" s="89">
        <v>0</v>
      </c>
      <c r="IM848" s="89">
        <f t="shared" si="17468"/>
        <v>0</v>
      </c>
      <c r="IN848" s="89">
        <f t="shared" si="17469"/>
        <v>0</v>
      </c>
      <c r="IO848" s="89">
        <v>0</v>
      </c>
      <c r="IP848" s="89">
        <f t="shared" si="17470"/>
        <v>0</v>
      </c>
      <c r="IQ848" s="89">
        <f t="shared" si="17471"/>
        <v>0</v>
      </c>
      <c r="IR848" s="89">
        <v>0</v>
      </c>
      <c r="IS848" s="89">
        <f t="shared" si="17472"/>
        <v>0</v>
      </c>
      <c r="IT848" s="89">
        <f t="shared" si="17473"/>
        <v>0</v>
      </c>
      <c r="IU848" s="89">
        <v>0</v>
      </c>
      <c r="IV848" s="89">
        <f t="shared" si="17474"/>
        <v>0</v>
      </c>
      <c r="IW848" s="89">
        <f t="shared" si="17475"/>
        <v>0</v>
      </c>
      <c r="IX848" s="89">
        <v>0</v>
      </c>
      <c r="IY848" s="89">
        <f t="shared" si="17476"/>
        <v>0</v>
      </c>
      <c r="IZ848" s="89">
        <f t="shared" si="17477"/>
        <v>0</v>
      </c>
      <c r="JA848" s="89">
        <v>0</v>
      </c>
      <c r="JB848" s="89">
        <f t="shared" si="17478"/>
        <v>0</v>
      </c>
      <c r="JC848" s="89">
        <f t="shared" si="17479"/>
        <v>0</v>
      </c>
      <c r="JD848" s="89">
        <v>0</v>
      </c>
      <c r="JE848" s="89">
        <f t="shared" si="17480"/>
        <v>0</v>
      </c>
      <c r="JF848" s="89">
        <f t="shared" si="17481"/>
        <v>0</v>
      </c>
      <c r="JG848" s="89">
        <v>0</v>
      </c>
      <c r="JH848" s="89">
        <f t="shared" si="17482"/>
        <v>0</v>
      </c>
      <c r="JI848" s="89">
        <f t="shared" si="17483"/>
        <v>0</v>
      </c>
      <c r="JJ848" s="89">
        <v>0</v>
      </c>
      <c r="JK848" s="89">
        <f t="shared" si="17484"/>
        <v>0</v>
      </c>
      <c r="JL848" s="89">
        <f t="shared" si="17485"/>
        <v>0</v>
      </c>
      <c r="JM848" s="89">
        <v>0</v>
      </c>
      <c r="JN848" s="89">
        <f t="shared" si="17486"/>
        <v>0</v>
      </c>
      <c r="JO848" s="89">
        <f t="shared" si="17487"/>
        <v>0</v>
      </c>
      <c r="JP848" s="89">
        <v>0</v>
      </c>
      <c r="JQ848" s="89">
        <f t="shared" si="17488"/>
        <v>0</v>
      </c>
      <c r="JR848" s="89">
        <f t="shared" si="17489"/>
        <v>0</v>
      </c>
      <c r="JS848" s="74">
        <f t="shared" si="17490"/>
        <v>0</v>
      </c>
      <c r="JT848" s="382">
        <f t="shared" si="17491"/>
        <v>0</v>
      </c>
      <c r="JU848" s="665"/>
      <c r="JV848" s="524"/>
      <c r="JW848" s="525"/>
      <c r="JX848" s="549">
        <f t="shared" si="17492"/>
        <v>0</v>
      </c>
      <c r="JY848" s="549">
        <f t="shared" si="17176"/>
        <v>55000</v>
      </c>
      <c r="JZ848" s="581">
        <f t="shared" si="17318"/>
        <v>0</v>
      </c>
      <c r="KA848" s="581">
        <f t="shared" si="17319"/>
        <v>-55000</v>
      </c>
      <c r="KB848" s="566">
        <f t="shared" si="17031"/>
        <v>0</v>
      </c>
      <c r="KC848" s="709">
        <f t="shared" si="17277"/>
        <v>0</v>
      </c>
      <c r="KD848" s="491"/>
      <c r="KE848" s="491"/>
      <c r="KF848" s="491"/>
      <c r="KG848" s="491"/>
      <c r="KH848" s="36"/>
      <c r="KI848" s="36"/>
      <c r="KJ848" s="36"/>
      <c r="KK848" s="36"/>
    </row>
    <row r="849" spans="1:297" s="10" customFormat="1">
      <c r="A849" s="612" t="s">
        <v>759</v>
      </c>
      <c r="B849" s="512" t="s">
        <v>945</v>
      </c>
      <c r="C849" s="74">
        <v>5000</v>
      </c>
      <c r="D849" s="549">
        <v>0</v>
      </c>
      <c r="E849" s="675">
        <v>0</v>
      </c>
      <c r="F849" s="549">
        <v>0</v>
      </c>
      <c r="G849" s="675">
        <v>0</v>
      </c>
      <c r="H849" s="549">
        <v>0</v>
      </c>
      <c r="I849" s="675">
        <v>0</v>
      </c>
      <c r="J849" s="549">
        <v>0</v>
      </c>
      <c r="K849" s="675">
        <v>0</v>
      </c>
      <c r="L849" s="549">
        <v>0</v>
      </c>
      <c r="M849" s="675">
        <v>0</v>
      </c>
      <c r="N849" s="549">
        <v>0</v>
      </c>
      <c r="O849" s="675">
        <v>0</v>
      </c>
      <c r="P849" s="549">
        <v>0</v>
      </c>
      <c r="Q849" s="675">
        <v>0</v>
      </c>
      <c r="R849" s="549">
        <v>0</v>
      </c>
      <c r="S849" s="675">
        <v>0</v>
      </c>
      <c r="T849" s="549">
        <v>0</v>
      </c>
      <c r="U849" s="675">
        <v>0</v>
      </c>
      <c r="V849" s="549">
        <v>0</v>
      </c>
      <c r="W849" s="675">
        <v>0</v>
      </c>
      <c r="X849" s="549">
        <v>0</v>
      </c>
      <c r="Y849" s="675">
        <v>0</v>
      </c>
      <c r="Z849" s="549">
        <v>0</v>
      </c>
      <c r="AA849" s="675">
        <v>0</v>
      </c>
      <c r="AB849" s="549">
        <v>0</v>
      </c>
      <c r="AC849" s="675">
        <v>0</v>
      </c>
      <c r="AD849" s="549">
        <v>0</v>
      </c>
      <c r="AE849" s="675">
        <v>0</v>
      </c>
      <c r="AF849" s="549">
        <v>0</v>
      </c>
      <c r="AG849" s="675">
        <v>0</v>
      </c>
      <c r="AH849" s="549">
        <v>0</v>
      </c>
      <c r="AI849" s="675">
        <v>0</v>
      </c>
      <c r="AJ849" s="549">
        <v>0</v>
      </c>
      <c r="AK849" s="675">
        <v>0</v>
      </c>
      <c r="AL849" s="549">
        <v>0</v>
      </c>
      <c r="AM849" s="675">
        <v>0</v>
      </c>
      <c r="AN849" s="549">
        <v>0</v>
      </c>
      <c r="AO849" s="675">
        <v>0</v>
      </c>
      <c r="AP849" s="549">
        <v>0</v>
      </c>
      <c r="AQ849" s="675">
        <v>0</v>
      </c>
      <c r="AR849" s="549">
        <v>0</v>
      </c>
      <c r="AS849" s="675">
        <v>0</v>
      </c>
      <c r="AT849" s="549">
        <v>0</v>
      </c>
      <c r="AU849" s="675">
        <v>0</v>
      </c>
      <c r="AV849" s="549">
        <v>0</v>
      </c>
      <c r="AW849" s="675">
        <v>0</v>
      </c>
      <c r="AX849" s="549">
        <v>0</v>
      </c>
      <c r="AY849" s="675">
        <v>-5000</v>
      </c>
      <c r="AZ849" s="549">
        <v>0</v>
      </c>
      <c r="BA849" s="675">
        <v>0</v>
      </c>
      <c r="BB849" s="549">
        <v>0</v>
      </c>
      <c r="BC849" s="675">
        <v>0</v>
      </c>
      <c r="BD849" s="549">
        <v>0</v>
      </c>
      <c r="BE849" s="675">
        <v>0</v>
      </c>
      <c r="BF849" s="549">
        <v>0</v>
      </c>
      <c r="BG849" s="675">
        <v>0</v>
      </c>
      <c r="BH849" s="549">
        <v>0</v>
      </c>
      <c r="BI849" s="675">
        <v>0</v>
      </c>
      <c r="BJ849" s="549">
        <v>0</v>
      </c>
      <c r="BK849" s="675">
        <v>0</v>
      </c>
      <c r="BL849" s="549">
        <v>0</v>
      </c>
      <c r="BM849" s="675">
        <v>0</v>
      </c>
      <c r="BN849" s="549">
        <v>0</v>
      </c>
      <c r="BO849" s="675">
        <v>0</v>
      </c>
      <c r="BP849" s="549">
        <v>0</v>
      </c>
      <c r="BQ849" s="675">
        <v>0</v>
      </c>
      <c r="BR849" s="549">
        <v>0</v>
      </c>
      <c r="BS849" s="675">
        <v>0</v>
      </c>
      <c r="BT849" s="549">
        <v>0</v>
      </c>
      <c r="BU849" s="675">
        <v>0</v>
      </c>
      <c r="BV849" s="549">
        <v>0</v>
      </c>
      <c r="BW849" s="675">
        <v>0</v>
      </c>
      <c r="BX849" s="549">
        <v>0</v>
      </c>
      <c r="BY849" s="675">
        <v>0</v>
      </c>
      <c r="BZ849" s="549">
        <v>0</v>
      </c>
      <c r="CA849" s="675">
        <v>0</v>
      </c>
      <c r="CB849" s="549">
        <v>0</v>
      </c>
      <c r="CC849" s="675">
        <v>0</v>
      </c>
      <c r="CD849" s="549">
        <v>0</v>
      </c>
      <c r="CE849" s="675">
        <v>0</v>
      </c>
      <c r="CF849" s="549">
        <v>0</v>
      </c>
      <c r="CG849" s="675">
        <v>0</v>
      </c>
      <c r="CH849" s="549">
        <v>0</v>
      </c>
      <c r="CI849" s="675">
        <v>0</v>
      </c>
      <c r="CJ849" s="549">
        <v>0</v>
      </c>
      <c r="CK849" s="675">
        <v>0</v>
      </c>
      <c r="CL849" s="549">
        <v>0</v>
      </c>
      <c r="CM849" s="675">
        <v>0</v>
      </c>
      <c r="CN849" s="549">
        <v>0</v>
      </c>
      <c r="CO849" s="675">
        <v>0</v>
      </c>
      <c r="CP849" s="549">
        <v>0</v>
      </c>
      <c r="CQ849" s="675">
        <v>0</v>
      </c>
      <c r="CR849" s="549">
        <v>0</v>
      </c>
      <c r="CS849" s="675">
        <v>0</v>
      </c>
      <c r="CT849" s="549">
        <v>0</v>
      </c>
      <c r="CU849" s="675">
        <v>0</v>
      </c>
      <c r="CV849" s="549">
        <v>0</v>
      </c>
      <c r="CW849" s="675">
        <v>0</v>
      </c>
      <c r="CX849" s="549">
        <v>0</v>
      </c>
      <c r="CY849" s="675">
        <v>0</v>
      </c>
      <c r="CZ849" s="549">
        <v>0</v>
      </c>
      <c r="DA849" s="675">
        <v>0</v>
      </c>
      <c r="DB849" s="549">
        <v>0</v>
      </c>
      <c r="DC849" s="675">
        <v>0</v>
      </c>
      <c r="DD849" s="549">
        <v>0</v>
      </c>
      <c r="DE849" s="675">
        <v>0</v>
      </c>
      <c r="DF849" s="549">
        <v>0</v>
      </c>
      <c r="DG849" s="675">
        <v>0</v>
      </c>
      <c r="DH849" s="549">
        <v>0</v>
      </c>
      <c r="DI849" s="675">
        <v>0</v>
      </c>
      <c r="DJ849" s="549">
        <v>0</v>
      </c>
      <c r="DK849" s="675">
        <v>0</v>
      </c>
      <c r="DL849" s="549">
        <v>0</v>
      </c>
      <c r="DM849" s="675">
        <v>0</v>
      </c>
      <c r="DN849" s="549">
        <v>0</v>
      </c>
      <c r="DO849" s="675">
        <v>0</v>
      </c>
      <c r="DP849" s="549">
        <v>0</v>
      </c>
      <c r="DQ849" s="675">
        <v>0</v>
      </c>
      <c r="DR849" s="549">
        <v>0</v>
      </c>
      <c r="DS849" s="675">
        <v>0</v>
      </c>
      <c r="DT849" s="549">
        <v>0</v>
      </c>
      <c r="DU849" s="675">
        <v>0</v>
      </c>
      <c r="DV849" s="549">
        <v>0</v>
      </c>
      <c r="DW849" s="675">
        <v>0</v>
      </c>
      <c r="DX849" s="549">
        <v>0</v>
      </c>
      <c r="DY849" s="675">
        <v>0</v>
      </c>
      <c r="DZ849" s="549">
        <v>0</v>
      </c>
      <c r="EA849" s="675">
        <v>0</v>
      </c>
      <c r="EB849" s="549">
        <v>0</v>
      </c>
      <c r="EC849" s="675">
        <v>0</v>
      </c>
      <c r="ED849" s="549">
        <v>0</v>
      </c>
      <c r="EE849" s="675">
        <v>0</v>
      </c>
      <c r="EF849" s="549">
        <v>0</v>
      </c>
      <c r="EG849" s="675">
        <v>0</v>
      </c>
      <c r="EH849" s="549">
        <v>0</v>
      </c>
      <c r="EI849" s="675">
        <v>0</v>
      </c>
      <c r="EJ849" s="549">
        <v>0</v>
      </c>
      <c r="EK849" s="675">
        <v>0</v>
      </c>
      <c r="EL849" s="549">
        <v>0</v>
      </c>
      <c r="EM849" s="675">
        <v>0</v>
      </c>
      <c r="EN849" s="549">
        <v>0</v>
      </c>
      <c r="EO849" s="675">
        <v>0</v>
      </c>
      <c r="EP849" s="549">
        <v>0</v>
      </c>
      <c r="EQ849" s="675">
        <v>0</v>
      </c>
      <c r="ER849" s="549">
        <v>0</v>
      </c>
      <c r="ES849" s="675">
        <v>0</v>
      </c>
      <c r="ET849" s="549">
        <v>0</v>
      </c>
      <c r="EU849" s="675">
        <v>0</v>
      </c>
      <c r="EV849" s="549">
        <v>0</v>
      </c>
      <c r="EW849" s="675">
        <v>0</v>
      </c>
      <c r="EX849" s="549">
        <v>0</v>
      </c>
      <c r="EY849" s="675">
        <v>0</v>
      </c>
      <c r="EZ849" s="549">
        <v>0</v>
      </c>
      <c r="FA849" s="675">
        <v>0</v>
      </c>
      <c r="FB849" s="549">
        <v>0</v>
      </c>
      <c r="FC849" s="675">
        <v>0</v>
      </c>
      <c r="FD849" s="549">
        <v>0</v>
      </c>
      <c r="FE849" s="675">
        <v>0</v>
      </c>
      <c r="FF849" s="549">
        <v>0</v>
      </c>
      <c r="FG849" s="675">
        <v>0</v>
      </c>
      <c r="FH849" s="549">
        <v>0</v>
      </c>
      <c r="FI849" s="675">
        <v>0</v>
      </c>
      <c r="FJ849" s="549">
        <v>0</v>
      </c>
      <c r="FK849" s="675">
        <v>0</v>
      </c>
      <c r="FL849" s="549">
        <v>0</v>
      </c>
      <c r="FM849" s="675">
        <v>0</v>
      </c>
      <c r="FN849" s="549">
        <v>0</v>
      </c>
      <c r="FO849" s="675">
        <v>0</v>
      </c>
      <c r="FP849" s="549">
        <v>0</v>
      </c>
      <c r="FQ849" s="675">
        <v>0</v>
      </c>
      <c r="FR849" s="549">
        <v>0</v>
      </c>
      <c r="FS849" s="675">
        <v>0</v>
      </c>
      <c r="FT849" s="549">
        <v>0</v>
      </c>
      <c r="FU849" s="675">
        <v>0</v>
      </c>
      <c r="FV849" s="549">
        <v>0</v>
      </c>
      <c r="FW849" s="675">
        <v>0</v>
      </c>
      <c r="FX849" s="549">
        <v>0</v>
      </c>
      <c r="FY849" s="675">
        <v>0</v>
      </c>
      <c r="FZ849" s="549">
        <v>0</v>
      </c>
      <c r="GA849" s="675">
        <v>0</v>
      </c>
      <c r="GB849" s="549">
        <v>0</v>
      </c>
      <c r="GC849" s="675">
        <v>0</v>
      </c>
      <c r="GD849" s="549">
        <v>0</v>
      </c>
      <c r="GE849" s="675">
        <v>0</v>
      </c>
      <c r="GF849" s="549">
        <v>0</v>
      </c>
      <c r="GG849" s="675">
        <v>0</v>
      </c>
      <c r="GH849" s="549">
        <v>0</v>
      </c>
      <c r="GI849" s="675">
        <v>0</v>
      </c>
      <c r="GJ849" s="549">
        <v>0</v>
      </c>
      <c r="GK849" s="675">
        <v>0</v>
      </c>
      <c r="GL849" s="549">
        <v>0</v>
      </c>
      <c r="GM849" s="675">
        <v>0</v>
      </c>
      <c r="GN849" s="549">
        <v>0</v>
      </c>
      <c r="GO849" s="675">
        <v>0</v>
      </c>
      <c r="GP849" s="549">
        <f t="shared" si="17457"/>
        <v>0</v>
      </c>
      <c r="GQ849" s="675">
        <f t="shared" si="17458"/>
        <v>-5000</v>
      </c>
      <c r="GR849" s="74">
        <f t="shared" si="17459"/>
        <v>0</v>
      </c>
      <c r="GS849" s="74">
        <f t="shared" si="17460"/>
        <v>0</v>
      </c>
      <c r="GT849" s="568">
        <f t="shared" si="17461"/>
        <v>0</v>
      </c>
      <c r="GU849" s="275">
        <v>1000</v>
      </c>
      <c r="GV849" s="275"/>
      <c r="GW849" s="588"/>
      <c r="GX849" s="275">
        <v>1500</v>
      </c>
      <c r="GY849" s="275">
        <v>2500</v>
      </c>
      <c r="GZ849" s="275"/>
      <c r="HA849" s="275">
        <f>1500-1500</f>
        <v>0</v>
      </c>
      <c r="HB849" s="275"/>
      <c r="HC849" s="275"/>
      <c r="HD849" s="275">
        <f>1000-1000</f>
        <v>0</v>
      </c>
      <c r="HE849" s="275">
        <v>0</v>
      </c>
      <c r="HF849" s="275">
        <v>0</v>
      </c>
      <c r="HG849" s="74">
        <f t="shared" si="17462"/>
        <v>0</v>
      </c>
      <c r="HH849" s="89">
        <v>0</v>
      </c>
      <c r="HI849" s="157">
        <v>0</v>
      </c>
      <c r="HJ849" s="89">
        <v>0</v>
      </c>
      <c r="HK849" s="157">
        <v>0</v>
      </c>
      <c r="HL849" s="89">
        <v>0</v>
      </c>
      <c r="HM849" s="157">
        <v>0</v>
      </c>
      <c r="HN849" s="89">
        <v>0</v>
      </c>
      <c r="HO849" s="157">
        <v>2500</v>
      </c>
      <c r="HP849" s="89">
        <v>0</v>
      </c>
      <c r="HQ849" s="157">
        <v>2500</v>
      </c>
      <c r="HR849" s="89">
        <v>0</v>
      </c>
      <c r="HS849" s="157">
        <v>0</v>
      </c>
      <c r="HT849" s="89">
        <v>0</v>
      </c>
      <c r="HU849" s="157">
        <v>0</v>
      </c>
      <c r="HV849" s="89">
        <v>0</v>
      </c>
      <c r="HW849" s="157">
        <v>0</v>
      </c>
      <c r="HX849" s="89">
        <v>0</v>
      </c>
      <c r="HY849" s="157">
        <v>0</v>
      </c>
      <c r="HZ849" s="89">
        <v>0</v>
      </c>
      <c r="IA849" s="157">
        <v>0</v>
      </c>
      <c r="IB849" s="89">
        <v>0</v>
      </c>
      <c r="IC849" s="157">
        <v>0</v>
      </c>
      <c r="ID849" s="89">
        <v>0</v>
      </c>
      <c r="IE849" s="157">
        <v>0</v>
      </c>
      <c r="IF849" s="717">
        <f t="shared" si="17463"/>
        <v>0</v>
      </c>
      <c r="IG849" s="263">
        <f t="shared" si="17464"/>
        <v>0</v>
      </c>
      <c r="IH849" s="718">
        <f t="shared" si="17465"/>
        <v>0</v>
      </c>
      <c r="II849" s="89">
        <v>0</v>
      </c>
      <c r="IJ849" s="89">
        <f t="shared" si="17466"/>
        <v>0</v>
      </c>
      <c r="IK849" s="89">
        <f t="shared" si="17467"/>
        <v>0</v>
      </c>
      <c r="IL849" s="89">
        <v>0</v>
      </c>
      <c r="IM849" s="89">
        <f t="shared" si="17468"/>
        <v>0</v>
      </c>
      <c r="IN849" s="89">
        <f t="shared" si="17469"/>
        <v>0</v>
      </c>
      <c r="IO849" s="89">
        <v>0</v>
      </c>
      <c r="IP849" s="89">
        <f t="shared" si="17470"/>
        <v>0</v>
      </c>
      <c r="IQ849" s="89">
        <f t="shared" si="17471"/>
        <v>0</v>
      </c>
      <c r="IR849" s="89">
        <v>0</v>
      </c>
      <c r="IS849" s="89">
        <f t="shared" si="17472"/>
        <v>0</v>
      </c>
      <c r="IT849" s="89">
        <f t="shared" si="17473"/>
        <v>0</v>
      </c>
      <c r="IU849" s="89">
        <v>0</v>
      </c>
      <c r="IV849" s="89">
        <f t="shared" si="17474"/>
        <v>0</v>
      </c>
      <c r="IW849" s="89">
        <f t="shared" si="17475"/>
        <v>0</v>
      </c>
      <c r="IX849" s="89">
        <v>0</v>
      </c>
      <c r="IY849" s="89">
        <f t="shared" si="17476"/>
        <v>0</v>
      </c>
      <c r="IZ849" s="89">
        <f t="shared" si="17477"/>
        <v>0</v>
      </c>
      <c r="JA849" s="89">
        <v>0</v>
      </c>
      <c r="JB849" s="89">
        <f t="shared" si="17478"/>
        <v>0</v>
      </c>
      <c r="JC849" s="89">
        <f t="shared" si="17479"/>
        <v>0</v>
      </c>
      <c r="JD849" s="89">
        <v>0</v>
      </c>
      <c r="JE849" s="89">
        <f t="shared" si="17480"/>
        <v>0</v>
      </c>
      <c r="JF849" s="89">
        <f t="shared" si="17481"/>
        <v>0</v>
      </c>
      <c r="JG849" s="89">
        <v>0</v>
      </c>
      <c r="JH849" s="89">
        <f t="shared" si="17482"/>
        <v>0</v>
      </c>
      <c r="JI849" s="89">
        <f t="shared" si="17483"/>
        <v>0</v>
      </c>
      <c r="JJ849" s="89">
        <v>0</v>
      </c>
      <c r="JK849" s="89">
        <f t="shared" si="17484"/>
        <v>0</v>
      </c>
      <c r="JL849" s="89">
        <f t="shared" si="17485"/>
        <v>0</v>
      </c>
      <c r="JM849" s="89">
        <v>0</v>
      </c>
      <c r="JN849" s="89">
        <f t="shared" si="17486"/>
        <v>0</v>
      </c>
      <c r="JO849" s="89">
        <f t="shared" si="17487"/>
        <v>0</v>
      </c>
      <c r="JP849" s="89">
        <v>0</v>
      </c>
      <c r="JQ849" s="89">
        <f t="shared" si="17488"/>
        <v>0</v>
      </c>
      <c r="JR849" s="89">
        <f t="shared" si="17489"/>
        <v>0</v>
      </c>
      <c r="JS849" s="74">
        <f t="shared" si="17490"/>
        <v>0</v>
      </c>
      <c r="JT849" s="382">
        <f t="shared" si="17491"/>
        <v>0</v>
      </c>
      <c r="JU849" s="665"/>
      <c r="JV849" s="524"/>
      <c r="JW849" s="525"/>
      <c r="JX849" s="549">
        <f t="shared" si="17492"/>
        <v>0</v>
      </c>
      <c r="JY849" s="549">
        <f t="shared" si="17176"/>
        <v>5000</v>
      </c>
      <c r="JZ849" s="581">
        <f t="shared" si="17318"/>
        <v>0</v>
      </c>
      <c r="KA849" s="581">
        <f t="shared" si="17319"/>
        <v>-5000</v>
      </c>
      <c r="KB849" s="566">
        <f t="shared" si="17031"/>
        <v>0</v>
      </c>
      <c r="KC849" s="709">
        <f t="shared" si="17277"/>
        <v>0</v>
      </c>
      <c r="KD849" s="491"/>
      <c r="KE849" s="491"/>
      <c r="KF849" s="491"/>
      <c r="KG849" s="491"/>
      <c r="KH849" s="36"/>
      <c r="KI849" s="36"/>
      <c r="KJ849" s="36"/>
      <c r="KK849" s="36"/>
    </row>
    <row r="850" spans="1:297" s="10" customFormat="1" ht="12.75" hidden="1" customHeight="1">
      <c r="A850" s="612" t="s">
        <v>1181</v>
      </c>
      <c r="B850" s="512"/>
      <c r="C850" s="74">
        <v>0</v>
      </c>
      <c r="D850" s="549"/>
      <c r="E850" s="675"/>
      <c r="F850" s="549"/>
      <c r="G850" s="675"/>
      <c r="H850" s="549"/>
      <c r="I850" s="675"/>
      <c r="J850" s="549"/>
      <c r="K850" s="675"/>
      <c r="L850" s="549"/>
      <c r="M850" s="675"/>
      <c r="N850" s="549"/>
      <c r="O850" s="675"/>
      <c r="P850" s="549"/>
      <c r="Q850" s="675"/>
      <c r="R850" s="549"/>
      <c r="S850" s="675"/>
      <c r="T850" s="549"/>
      <c r="U850" s="675"/>
      <c r="V850" s="549"/>
      <c r="W850" s="675"/>
      <c r="X850" s="549"/>
      <c r="Y850" s="675"/>
      <c r="Z850" s="549"/>
      <c r="AA850" s="675"/>
      <c r="AB850" s="549"/>
      <c r="AC850" s="675"/>
      <c r="AD850" s="549"/>
      <c r="AE850" s="675"/>
      <c r="AF850" s="549"/>
      <c r="AG850" s="675"/>
      <c r="AH850" s="549"/>
      <c r="AI850" s="675"/>
      <c r="AJ850" s="549"/>
      <c r="AK850" s="675"/>
      <c r="AL850" s="549"/>
      <c r="AM850" s="675"/>
      <c r="AN850" s="549"/>
      <c r="AO850" s="675"/>
      <c r="AP850" s="549"/>
      <c r="AQ850" s="675"/>
      <c r="AR850" s="549"/>
      <c r="AS850" s="675"/>
      <c r="AT850" s="549"/>
      <c r="AU850" s="675"/>
      <c r="AV850" s="549"/>
      <c r="AW850" s="675"/>
      <c r="AX850" s="549"/>
      <c r="AY850" s="675"/>
      <c r="AZ850" s="549"/>
      <c r="BA850" s="675"/>
      <c r="BB850" s="549"/>
      <c r="BC850" s="675"/>
      <c r="BD850" s="549"/>
      <c r="BE850" s="675"/>
      <c r="BF850" s="549"/>
      <c r="BG850" s="675"/>
      <c r="BH850" s="549"/>
      <c r="BI850" s="675"/>
      <c r="BJ850" s="549"/>
      <c r="BK850" s="675"/>
      <c r="BL850" s="549"/>
      <c r="BM850" s="675"/>
      <c r="BN850" s="549"/>
      <c r="BO850" s="675"/>
      <c r="BP850" s="549"/>
      <c r="BQ850" s="675"/>
      <c r="BR850" s="549"/>
      <c r="BS850" s="675"/>
      <c r="BT850" s="549"/>
      <c r="BU850" s="675"/>
      <c r="BV850" s="549"/>
      <c r="BW850" s="675"/>
      <c r="BX850" s="549"/>
      <c r="BY850" s="675"/>
      <c r="BZ850" s="549"/>
      <c r="CA850" s="675"/>
      <c r="CB850" s="549"/>
      <c r="CC850" s="675"/>
      <c r="CD850" s="549"/>
      <c r="CE850" s="675"/>
      <c r="CF850" s="549"/>
      <c r="CG850" s="675"/>
      <c r="CH850" s="549"/>
      <c r="CI850" s="675"/>
      <c r="CJ850" s="549"/>
      <c r="CK850" s="675"/>
      <c r="CL850" s="549"/>
      <c r="CM850" s="675"/>
      <c r="CN850" s="549"/>
      <c r="CO850" s="675"/>
      <c r="CP850" s="549"/>
      <c r="CQ850" s="675"/>
      <c r="CR850" s="549"/>
      <c r="CS850" s="675"/>
      <c r="CT850" s="549"/>
      <c r="CU850" s="675"/>
      <c r="CV850" s="549"/>
      <c r="CW850" s="675"/>
      <c r="CX850" s="549"/>
      <c r="CY850" s="675"/>
      <c r="CZ850" s="549"/>
      <c r="DA850" s="675"/>
      <c r="DB850" s="549"/>
      <c r="DC850" s="675"/>
      <c r="DD850" s="549"/>
      <c r="DE850" s="675"/>
      <c r="DF850" s="549"/>
      <c r="DG850" s="675"/>
      <c r="DH850" s="549"/>
      <c r="DI850" s="675"/>
      <c r="DJ850" s="549"/>
      <c r="DK850" s="675"/>
      <c r="DL850" s="549"/>
      <c r="DM850" s="675"/>
      <c r="DN850" s="549"/>
      <c r="DO850" s="675"/>
      <c r="DP850" s="549"/>
      <c r="DQ850" s="675"/>
      <c r="DR850" s="549"/>
      <c r="DS850" s="675"/>
      <c r="DT850" s="549"/>
      <c r="DU850" s="675"/>
      <c r="DV850" s="549"/>
      <c r="DW850" s="675"/>
      <c r="DX850" s="549"/>
      <c r="DY850" s="675"/>
      <c r="DZ850" s="549"/>
      <c r="EA850" s="675"/>
      <c r="EB850" s="549"/>
      <c r="EC850" s="675"/>
      <c r="ED850" s="549"/>
      <c r="EE850" s="675"/>
      <c r="EF850" s="549"/>
      <c r="EG850" s="675"/>
      <c r="EH850" s="549"/>
      <c r="EI850" s="675"/>
      <c r="EJ850" s="549"/>
      <c r="EK850" s="675"/>
      <c r="EL850" s="549"/>
      <c r="EM850" s="675"/>
      <c r="EN850" s="549"/>
      <c r="EO850" s="675"/>
      <c r="EP850" s="549"/>
      <c r="EQ850" s="675"/>
      <c r="ER850" s="549"/>
      <c r="ES850" s="675"/>
      <c r="ET850" s="549"/>
      <c r="EU850" s="675"/>
      <c r="EV850" s="549"/>
      <c r="EW850" s="675"/>
      <c r="EX850" s="549"/>
      <c r="EY850" s="675"/>
      <c r="EZ850" s="549"/>
      <c r="FA850" s="675"/>
      <c r="FB850" s="549"/>
      <c r="FC850" s="675"/>
      <c r="FD850" s="549"/>
      <c r="FE850" s="675"/>
      <c r="FF850" s="549"/>
      <c r="FG850" s="675"/>
      <c r="FH850" s="549"/>
      <c r="FI850" s="675"/>
      <c r="FJ850" s="549"/>
      <c r="FK850" s="675"/>
      <c r="FL850" s="549"/>
      <c r="FM850" s="675"/>
      <c r="FN850" s="549"/>
      <c r="FO850" s="675"/>
      <c r="FP850" s="549"/>
      <c r="FQ850" s="675"/>
      <c r="FR850" s="549"/>
      <c r="FS850" s="675"/>
      <c r="FT850" s="549"/>
      <c r="FU850" s="675"/>
      <c r="FV850" s="549"/>
      <c r="FW850" s="675"/>
      <c r="FX850" s="549"/>
      <c r="FY850" s="675"/>
      <c r="FZ850" s="549"/>
      <c r="GA850" s="675"/>
      <c r="GB850" s="549"/>
      <c r="GC850" s="675"/>
      <c r="GD850" s="549"/>
      <c r="GE850" s="675"/>
      <c r="GF850" s="549"/>
      <c r="GG850" s="675"/>
      <c r="GH850" s="549"/>
      <c r="GI850" s="675"/>
      <c r="GJ850" s="549"/>
      <c r="GK850" s="675"/>
      <c r="GL850" s="549"/>
      <c r="GM850" s="675"/>
      <c r="GN850" s="549"/>
      <c r="GO850" s="675"/>
      <c r="GP850" s="549">
        <f t="shared" si="17457"/>
        <v>0</v>
      </c>
      <c r="GQ850" s="675">
        <f t="shared" si="17458"/>
        <v>0</v>
      </c>
      <c r="GR850" s="74">
        <f t="shared" si="17459"/>
        <v>0</v>
      </c>
      <c r="GS850" s="74">
        <f t="shared" si="17460"/>
        <v>0</v>
      </c>
      <c r="GT850" s="568"/>
      <c r="GU850" s="275"/>
      <c r="GV850" s="275"/>
      <c r="GW850" s="588"/>
      <c r="GX850" s="275"/>
      <c r="GY850" s="275"/>
      <c r="GZ850" s="275"/>
      <c r="HA850" s="275"/>
      <c r="HB850" s="275"/>
      <c r="HC850" s="275"/>
      <c r="HD850" s="275"/>
      <c r="HE850" s="275"/>
      <c r="HF850" s="275"/>
      <c r="HG850" s="74">
        <f t="shared" si="17462"/>
        <v>0</v>
      </c>
      <c r="HH850" s="89">
        <v>0</v>
      </c>
      <c r="HI850" s="157">
        <v>0</v>
      </c>
      <c r="HJ850" s="89">
        <v>0</v>
      </c>
      <c r="HK850" s="157">
        <v>0</v>
      </c>
      <c r="HL850" s="89">
        <v>0</v>
      </c>
      <c r="HM850" s="157">
        <v>0</v>
      </c>
      <c r="HN850" s="89">
        <v>0</v>
      </c>
      <c r="HO850" s="157">
        <v>0</v>
      </c>
      <c r="HP850" s="89">
        <v>0</v>
      </c>
      <c r="HQ850" s="157">
        <v>0</v>
      </c>
      <c r="HR850" s="89">
        <v>0</v>
      </c>
      <c r="HS850" s="157">
        <v>0</v>
      </c>
      <c r="HT850" s="89">
        <v>0</v>
      </c>
      <c r="HU850" s="157">
        <v>0</v>
      </c>
      <c r="HV850" s="89">
        <v>0</v>
      </c>
      <c r="HW850" s="157">
        <v>0</v>
      </c>
      <c r="HX850" s="89">
        <v>0</v>
      </c>
      <c r="HY850" s="157">
        <v>0</v>
      </c>
      <c r="HZ850" s="89">
        <v>0</v>
      </c>
      <c r="IA850" s="157">
        <v>0</v>
      </c>
      <c r="IB850" s="89">
        <v>0</v>
      </c>
      <c r="IC850" s="157">
        <v>0</v>
      </c>
      <c r="ID850" s="89">
        <v>0</v>
      </c>
      <c r="IE850" s="157">
        <v>0</v>
      </c>
      <c r="IF850" s="717">
        <f t="shared" si="17463"/>
        <v>0</v>
      </c>
      <c r="IG850" s="263">
        <f t="shared" si="17464"/>
        <v>0</v>
      </c>
      <c r="IH850" s="718">
        <f t="shared" si="17465"/>
        <v>0</v>
      </c>
      <c r="II850" s="89">
        <v>0</v>
      </c>
      <c r="IJ850" s="89">
        <f t="shared" si="17466"/>
        <v>0</v>
      </c>
      <c r="IK850" s="89">
        <f t="shared" si="17467"/>
        <v>0</v>
      </c>
      <c r="IL850" s="89">
        <v>0</v>
      </c>
      <c r="IM850" s="89">
        <f t="shared" si="17468"/>
        <v>0</v>
      </c>
      <c r="IN850" s="89">
        <f t="shared" si="17469"/>
        <v>0</v>
      </c>
      <c r="IO850" s="89">
        <v>0</v>
      </c>
      <c r="IP850" s="89">
        <f t="shared" si="17470"/>
        <v>0</v>
      </c>
      <c r="IQ850" s="89">
        <f t="shared" si="17471"/>
        <v>0</v>
      </c>
      <c r="IR850" s="89">
        <v>0</v>
      </c>
      <c r="IS850" s="89">
        <f t="shared" si="17472"/>
        <v>0</v>
      </c>
      <c r="IT850" s="89">
        <f t="shared" si="17473"/>
        <v>0</v>
      </c>
      <c r="IU850" s="89">
        <v>0</v>
      </c>
      <c r="IV850" s="89">
        <f t="shared" si="17474"/>
        <v>0</v>
      </c>
      <c r="IW850" s="89">
        <f t="shared" si="17475"/>
        <v>0</v>
      </c>
      <c r="IX850" s="89">
        <v>0</v>
      </c>
      <c r="IY850" s="89">
        <f t="shared" si="17476"/>
        <v>0</v>
      </c>
      <c r="IZ850" s="89">
        <f t="shared" si="17477"/>
        <v>0</v>
      </c>
      <c r="JA850" s="89">
        <v>0</v>
      </c>
      <c r="JB850" s="89">
        <f t="shared" si="17478"/>
        <v>0</v>
      </c>
      <c r="JC850" s="89">
        <f t="shared" si="17479"/>
        <v>0</v>
      </c>
      <c r="JD850" s="89">
        <v>0</v>
      </c>
      <c r="JE850" s="89">
        <f t="shared" si="17480"/>
        <v>0</v>
      </c>
      <c r="JF850" s="89">
        <f t="shared" si="17481"/>
        <v>0</v>
      </c>
      <c r="JG850" s="89">
        <v>0</v>
      </c>
      <c r="JH850" s="89">
        <f t="shared" si="17482"/>
        <v>0</v>
      </c>
      <c r="JI850" s="89">
        <f t="shared" si="17483"/>
        <v>0</v>
      </c>
      <c r="JJ850" s="89">
        <v>0</v>
      </c>
      <c r="JK850" s="89">
        <f t="shared" si="17484"/>
        <v>0</v>
      </c>
      <c r="JL850" s="89">
        <f t="shared" si="17485"/>
        <v>0</v>
      </c>
      <c r="JM850" s="89">
        <v>0</v>
      </c>
      <c r="JN850" s="89">
        <f t="shared" si="17486"/>
        <v>0</v>
      </c>
      <c r="JO850" s="89">
        <f t="shared" si="17487"/>
        <v>0</v>
      </c>
      <c r="JP850" s="89">
        <v>0</v>
      </c>
      <c r="JQ850" s="89">
        <f t="shared" si="17488"/>
        <v>0</v>
      </c>
      <c r="JR850" s="89">
        <f t="shared" si="17489"/>
        <v>0</v>
      </c>
      <c r="JS850" s="74">
        <f t="shared" si="17490"/>
        <v>0</v>
      </c>
      <c r="JT850" s="382">
        <f t="shared" si="17491"/>
        <v>0</v>
      </c>
      <c r="JU850" s="665"/>
      <c r="JV850" s="524"/>
      <c r="JW850" s="525"/>
      <c r="JX850" s="549"/>
      <c r="JY850" s="549"/>
      <c r="JZ850" s="581"/>
      <c r="KA850" s="581"/>
      <c r="KB850" s="566"/>
      <c r="KC850" s="709"/>
      <c r="KD850" s="491"/>
      <c r="KE850" s="491"/>
      <c r="KF850" s="491"/>
      <c r="KG850" s="491"/>
      <c r="KH850" s="36"/>
      <c r="KI850" s="36"/>
      <c r="KJ850" s="36"/>
      <c r="KK850" s="36"/>
    </row>
    <row r="851" spans="1:297" s="10" customFormat="1">
      <c r="A851" s="612" t="s">
        <v>743</v>
      </c>
      <c r="B851" s="512" t="s">
        <v>939</v>
      </c>
      <c r="C851" s="74">
        <v>100000</v>
      </c>
      <c r="D851" s="549">
        <v>0</v>
      </c>
      <c r="E851" s="675">
        <v>0</v>
      </c>
      <c r="F851" s="549">
        <v>0</v>
      </c>
      <c r="G851" s="675">
        <v>0</v>
      </c>
      <c r="H851" s="549">
        <v>0</v>
      </c>
      <c r="I851" s="675">
        <v>0</v>
      </c>
      <c r="J851" s="549">
        <v>0</v>
      </c>
      <c r="K851" s="675">
        <v>0</v>
      </c>
      <c r="L851" s="549">
        <v>0</v>
      </c>
      <c r="M851" s="675">
        <v>0</v>
      </c>
      <c r="N851" s="549">
        <v>0</v>
      </c>
      <c r="O851" s="675">
        <v>0</v>
      </c>
      <c r="P851" s="549">
        <v>0</v>
      </c>
      <c r="Q851" s="675">
        <v>0</v>
      </c>
      <c r="R851" s="549">
        <v>0</v>
      </c>
      <c r="S851" s="675">
        <v>0</v>
      </c>
      <c r="T851" s="549">
        <v>0</v>
      </c>
      <c r="U851" s="675">
        <v>0</v>
      </c>
      <c r="V851" s="549">
        <v>0</v>
      </c>
      <c r="W851" s="675">
        <v>0</v>
      </c>
      <c r="X851" s="549">
        <v>0</v>
      </c>
      <c r="Y851" s="675">
        <v>0</v>
      </c>
      <c r="Z851" s="549">
        <v>0</v>
      </c>
      <c r="AA851" s="675">
        <v>0</v>
      </c>
      <c r="AB851" s="549">
        <v>0</v>
      </c>
      <c r="AC851" s="675">
        <v>0</v>
      </c>
      <c r="AD851" s="549">
        <v>0</v>
      </c>
      <c r="AE851" s="675">
        <v>0</v>
      </c>
      <c r="AF851" s="549">
        <v>0</v>
      </c>
      <c r="AG851" s="675">
        <v>0</v>
      </c>
      <c r="AH851" s="549">
        <v>0</v>
      </c>
      <c r="AI851" s="675">
        <v>0</v>
      </c>
      <c r="AJ851" s="549">
        <v>0</v>
      </c>
      <c r="AK851" s="675">
        <v>0</v>
      </c>
      <c r="AL851" s="549">
        <v>0</v>
      </c>
      <c r="AM851" s="675">
        <v>0</v>
      </c>
      <c r="AN851" s="549">
        <v>0</v>
      </c>
      <c r="AO851" s="675">
        <v>0</v>
      </c>
      <c r="AP851" s="549">
        <v>0</v>
      </c>
      <c r="AQ851" s="675">
        <v>-17095</v>
      </c>
      <c r="AR851" s="549">
        <v>0</v>
      </c>
      <c r="AS851" s="675">
        <v>0</v>
      </c>
      <c r="AT851" s="549">
        <v>0</v>
      </c>
      <c r="AU851" s="675">
        <v>0</v>
      </c>
      <c r="AV851" s="549">
        <v>0</v>
      </c>
      <c r="AW851" s="675">
        <v>0</v>
      </c>
      <c r="AX851" s="549">
        <v>0</v>
      </c>
      <c r="AY851" s="675">
        <v>-76905</v>
      </c>
      <c r="AZ851" s="549">
        <v>0</v>
      </c>
      <c r="BA851" s="675">
        <v>0</v>
      </c>
      <c r="BB851" s="549">
        <v>0</v>
      </c>
      <c r="BC851" s="675">
        <v>-6000</v>
      </c>
      <c r="BD851" s="549">
        <v>0</v>
      </c>
      <c r="BE851" s="675">
        <v>0</v>
      </c>
      <c r="BF851" s="549">
        <v>0</v>
      </c>
      <c r="BG851" s="675">
        <v>0</v>
      </c>
      <c r="BH851" s="549">
        <v>0</v>
      </c>
      <c r="BI851" s="675">
        <v>0</v>
      </c>
      <c r="BJ851" s="549">
        <v>0</v>
      </c>
      <c r="BK851" s="675">
        <v>0</v>
      </c>
      <c r="BL851" s="549">
        <v>0</v>
      </c>
      <c r="BM851" s="675">
        <v>0</v>
      </c>
      <c r="BN851" s="549">
        <v>0</v>
      </c>
      <c r="BO851" s="675">
        <v>0</v>
      </c>
      <c r="BP851" s="549">
        <v>0</v>
      </c>
      <c r="BQ851" s="675">
        <v>0</v>
      </c>
      <c r="BR851" s="549">
        <v>0</v>
      </c>
      <c r="BS851" s="675">
        <v>0</v>
      </c>
      <c r="BT851" s="549">
        <v>0</v>
      </c>
      <c r="BU851" s="675">
        <v>0</v>
      </c>
      <c r="BV851" s="549">
        <v>0</v>
      </c>
      <c r="BW851" s="675">
        <v>0</v>
      </c>
      <c r="BX851" s="549">
        <v>0</v>
      </c>
      <c r="BY851" s="675">
        <v>0</v>
      </c>
      <c r="BZ851" s="549">
        <v>0</v>
      </c>
      <c r="CA851" s="675">
        <v>0</v>
      </c>
      <c r="CB851" s="549">
        <v>0</v>
      </c>
      <c r="CC851" s="675">
        <v>0</v>
      </c>
      <c r="CD851" s="549">
        <v>0</v>
      </c>
      <c r="CE851" s="675">
        <v>0</v>
      </c>
      <c r="CF851" s="549">
        <v>0</v>
      </c>
      <c r="CG851" s="675">
        <v>0</v>
      </c>
      <c r="CH851" s="549">
        <v>0</v>
      </c>
      <c r="CI851" s="675">
        <v>0</v>
      </c>
      <c r="CJ851" s="549">
        <v>0</v>
      </c>
      <c r="CK851" s="675">
        <v>0</v>
      </c>
      <c r="CL851" s="549">
        <v>0</v>
      </c>
      <c r="CM851" s="675">
        <v>0</v>
      </c>
      <c r="CN851" s="549">
        <v>0</v>
      </c>
      <c r="CO851" s="675">
        <v>0</v>
      </c>
      <c r="CP851" s="549">
        <v>0</v>
      </c>
      <c r="CQ851" s="675">
        <v>0</v>
      </c>
      <c r="CR851" s="549">
        <v>0</v>
      </c>
      <c r="CS851" s="675">
        <v>0</v>
      </c>
      <c r="CT851" s="549">
        <v>0</v>
      </c>
      <c r="CU851" s="675">
        <v>0</v>
      </c>
      <c r="CV851" s="549">
        <v>0</v>
      </c>
      <c r="CW851" s="675">
        <v>0</v>
      </c>
      <c r="CX851" s="549">
        <v>0</v>
      </c>
      <c r="CY851" s="675">
        <v>0</v>
      </c>
      <c r="CZ851" s="549">
        <v>0</v>
      </c>
      <c r="DA851" s="675">
        <v>0</v>
      </c>
      <c r="DB851" s="549">
        <v>0</v>
      </c>
      <c r="DC851" s="675">
        <v>0</v>
      </c>
      <c r="DD851" s="549">
        <v>0</v>
      </c>
      <c r="DE851" s="675">
        <v>0</v>
      </c>
      <c r="DF851" s="549">
        <v>0</v>
      </c>
      <c r="DG851" s="675">
        <v>0</v>
      </c>
      <c r="DH851" s="549">
        <v>0</v>
      </c>
      <c r="DI851" s="675">
        <v>0</v>
      </c>
      <c r="DJ851" s="549">
        <v>0</v>
      </c>
      <c r="DK851" s="675">
        <v>0</v>
      </c>
      <c r="DL851" s="549">
        <v>0</v>
      </c>
      <c r="DM851" s="675">
        <v>0</v>
      </c>
      <c r="DN851" s="549">
        <v>0</v>
      </c>
      <c r="DO851" s="675">
        <v>0</v>
      </c>
      <c r="DP851" s="549">
        <v>0</v>
      </c>
      <c r="DQ851" s="675">
        <v>0</v>
      </c>
      <c r="DR851" s="549">
        <v>0</v>
      </c>
      <c r="DS851" s="675">
        <v>0</v>
      </c>
      <c r="DT851" s="549">
        <v>0</v>
      </c>
      <c r="DU851" s="675">
        <v>0</v>
      </c>
      <c r="DV851" s="549">
        <v>0</v>
      </c>
      <c r="DW851" s="675">
        <v>0</v>
      </c>
      <c r="DX851" s="549">
        <v>0</v>
      </c>
      <c r="DY851" s="675">
        <v>0</v>
      </c>
      <c r="DZ851" s="549">
        <v>0</v>
      </c>
      <c r="EA851" s="675">
        <v>0</v>
      </c>
      <c r="EB851" s="549">
        <v>0</v>
      </c>
      <c r="EC851" s="675">
        <v>0</v>
      </c>
      <c r="ED851" s="549">
        <v>0</v>
      </c>
      <c r="EE851" s="675">
        <v>0</v>
      </c>
      <c r="EF851" s="549">
        <v>0</v>
      </c>
      <c r="EG851" s="675">
        <v>0</v>
      </c>
      <c r="EH851" s="549">
        <v>0</v>
      </c>
      <c r="EI851" s="675">
        <v>0</v>
      </c>
      <c r="EJ851" s="549">
        <v>0</v>
      </c>
      <c r="EK851" s="675">
        <v>0</v>
      </c>
      <c r="EL851" s="549">
        <v>0</v>
      </c>
      <c r="EM851" s="675">
        <v>0</v>
      </c>
      <c r="EN851" s="549">
        <v>0</v>
      </c>
      <c r="EO851" s="675">
        <v>0</v>
      </c>
      <c r="EP851" s="549">
        <v>0</v>
      </c>
      <c r="EQ851" s="675">
        <v>0</v>
      </c>
      <c r="ER851" s="549">
        <v>0</v>
      </c>
      <c r="ES851" s="675">
        <v>0</v>
      </c>
      <c r="ET851" s="549">
        <v>0</v>
      </c>
      <c r="EU851" s="675">
        <v>0</v>
      </c>
      <c r="EV851" s="549">
        <v>0</v>
      </c>
      <c r="EW851" s="675">
        <v>0</v>
      </c>
      <c r="EX851" s="549">
        <v>0</v>
      </c>
      <c r="EY851" s="675">
        <v>0</v>
      </c>
      <c r="EZ851" s="549">
        <v>0</v>
      </c>
      <c r="FA851" s="675">
        <v>0</v>
      </c>
      <c r="FB851" s="549">
        <v>0</v>
      </c>
      <c r="FC851" s="675">
        <v>0</v>
      </c>
      <c r="FD851" s="549">
        <v>0</v>
      </c>
      <c r="FE851" s="675">
        <v>0</v>
      </c>
      <c r="FF851" s="549">
        <v>0</v>
      </c>
      <c r="FG851" s="675">
        <v>0</v>
      </c>
      <c r="FH851" s="549">
        <v>0</v>
      </c>
      <c r="FI851" s="675">
        <v>0</v>
      </c>
      <c r="FJ851" s="549">
        <v>0</v>
      </c>
      <c r="FK851" s="675">
        <v>0</v>
      </c>
      <c r="FL851" s="549">
        <v>0</v>
      </c>
      <c r="FM851" s="675">
        <v>0</v>
      </c>
      <c r="FN851" s="549">
        <v>0</v>
      </c>
      <c r="FO851" s="675">
        <v>0</v>
      </c>
      <c r="FP851" s="549">
        <v>0</v>
      </c>
      <c r="FQ851" s="675">
        <v>0</v>
      </c>
      <c r="FR851" s="549">
        <v>0</v>
      </c>
      <c r="FS851" s="675">
        <v>0</v>
      </c>
      <c r="FT851" s="549">
        <v>0</v>
      </c>
      <c r="FU851" s="675">
        <v>0</v>
      </c>
      <c r="FV851" s="549">
        <v>0</v>
      </c>
      <c r="FW851" s="675">
        <v>0</v>
      </c>
      <c r="FX851" s="549">
        <v>0</v>
      </c>
      <c r="FY851" s="675">
        <v>0</v>
      </c>
      <c r="FZ851" s="549">
        <v>0</v>
      </c>
      <c r="GA851" s="675">
        <v>0</v>
      </c>
      <c r="GB851" s="549">
        <v>0</v>
      </c>
      <c r="GC851" s="675">
        <v>0</v>
      </c>
      <c r="GD851" s="549">
        <v>0</v>
      </c>
      <c r="GE851" s="675">
        <v>0</v>
      </c>
      <c r="GF851" s="549">
        <v>0</v>
      </c>
      <c r="GG851" s="675">
        <v>0</v>
      </c>
      <c r="GH851" s="549">
        <v>0</v>
      </c>
      <c r="GI851" s="675">
        <v>0</v>
      </c>
      <c r="GJ851" s="549">
        <v>0</v>
      </c>
      <c r="GK851" s="675">
        <v>0</v>
      </c>
      <c r="GL851" s="549">
        <v>0</v>
      </c>
      <c r="GM851" s="675">
        <v>0</v>
      </c>
      <c r="GN851" s="549">
        <v>0</v>
      </c>
      <c r="GO851" s="675">
        <v>0</v>
      </c>
      <c r="GP851" s="549">
        <f t="shared" si="17457"/>
        <v>0</v>
      </c>
      <c r="GQ851" s="675">
        <f t="shared" si="17458"/>
        <v>-100000</v>
      </c>
      <c r="GR851" s="74">
        <f t="shared" si="17459"/>
        <v>0</v>
      </c>
      <c r="GS851" s="74">
        <f t="shared" si="17460"/>
        <v>0</v>
      </c>
      <c r="GT851" s="568">
        <f t="shared" si="17461"/>
        <v>0</v>
      </c>
      <c r="GU851" s="275">
        <v>20000</v>
      </c>
      <c r="GV851" s="275"/>
      <c r="GW851" s="588"/>
      <c r="GX851" s="275">
        <v>30000</v>
      </c>
      <c r="GY851" s="275">
        <v>50000</v>
      </c>
      <c r="GZ851" s="275"/>
      <c r="HA851" s="275">
        <f>30000-30000</f>
        <v>0</v>
      </c>
      <c r="HB851" s="275"/>
      <c r="HC851" s="275"/>
      <c r="HD851" s="275">
        <f>20000-20000</f>
        <v>0</v>
      </c>
      <c r="HE851" s="275">
        <v>0</v>
      </c>
      <c r="HF851" s="275">
        <v>0</v>
      </c>
      <c r="HG851" s="74">
        <f t="shared" si="17462"/>
        <v>0</v>
      </c>
      <c r="HH851" s="89">
        <v>0</v>
      </c>
      <c r="HI851" s="157">
        <v>0</v>
      </c>
      <c r="HJ851" s="89">
        <v>0</v>
      </c>
      <c r="HK851" s="157">
        <v>0</v>
      </c>
      <c r="HL851" s="89">
        <v>0</v>
      </c>
      <c r="HM851" s="157">
        <v>0</v>
      </c>
      <c r="HN851" s="89">
        <v>0</v>
      </c>
      <c r="HO851" s="157">
        <f>32905+17095</f>
        <v>50000</v>
      </c>
      <c r="HP851" s="89">
        <v>0</v>
      </c>
      <c r="HQ851" s="157">
        <v>44000</v>
      </c>
      <c r="HR851" s="89">
        <v>0</v>
      </c>
      <c r="HS851" s="157">
        <v>6000</v>
      </c>
      <c r="HT851" s="89">
        <v>0</v>
      </c>
      <c r="HU851" s="157">
        <v>0</v>
      </c>
      <c r="HV851" s="89">
        <v>0</v>
      </c>
      <c r="HW851" s="157">
        <v>0</v>
      </c>
      <c r="HX851" s="89">
        <v>0</v>
      </c>
      <c r="HY851" s="157">
        <v>0</v>
      </c>
      <c r="HZ851" s="89">
        <v>0</v>
      </c>
      <c r="IA851" s="157">
        <v>0</v>
      </c>
      <c r="IB851" s="89">
        <v>0</v>
      </c>
      <c r="IC851" s="157">
        <v>0</v>
      </c>
      <c r="ID851" s="89">
        <v>0</v>
      </c>
      <c r="IE851" s="157">
        <v>0</v>
      </c>
      <c r="IF851" s="717">
        <f t="shared" si="17463"/>
        <v>0</v>
      </c>
      <c r="IG851" s="263">
        <f t="shared" si="17464"/>
        <v>0</v>
      </c>
      <c r="IH851" s="718">
        <f t="shared" si="17465"/>
        <v>0</v>
      </c>
      <c r="II851" s="89">
        <v>0</v>
      </c>
      <c r="IJ851" s="89">
        <f t="shared" si="17466"/>
        <v>0</v>
      </c>
      <c r="IK851" s="89">
        <f t="shared" si="17467"/>
        <v>0</v>
      </c>
      <c r="IL851" s="89">
        <v>0</v>
      </c>
      <c r="IM851" s="89">
        <f t="shared" si="17468"/>
        <v>0</v>
      </c>
      <c r="IN851" s="89">
        <f t="shared" si="17469"/>
        <v>0</v>
      </c>
      <c r="IO851" s="89">
        <v>0</v>
      </c>
      <c r="IP851" s="89">
        <f t="shared" si="17470"/>
        <v>0</v>
      </c>
      <c r="IQ851" s="89">
        <f t="shared" si="17471"/>
        <v>0</v>
      </c>
      <c r="IR851" s="89">
        <v>0</v>
      </c>
      <c r="IS851" s="89">
        <f t="shared" si="17472"/>
        <v>0</v>
      </c>
      <c r="IT851" s="89">
        <f t="shared" si="17473"/>
        <v>0</v>
      </c>
      <c r="IU851" s="89">
        <v>0</v>
      </c>
      <c r="IV851" s="89">
        <f t="shared" si="17474"/>
        <v>0</v>
      </c>
      <c r="IW851" s="89">
        <f t="shared" si="17475"/>
        <v>0</v>
      </c>
      <c r="IX851" s="89">
        <v>0</v>
      </c>
      <c r="IY851" s="89">
        <f t="shared" si="17476"/>
        <v>0</v>
      </c>
      <c r="IZ851" s="89">
        <f t="shared" si="17477"/>
        <v>0</v>
      </c>
      <c r="JA851" s="89">
        <v>0</v>
      </c>
      <c r="JB851" s="89">
        <f t="shared" si="17478"/>
        <v>0</v>
      </c>
      <c r="JC851" s="89">
        <f t="shared" si="17479"/>
        <v>0</v>
      </c>
      <c r="JD851" s="89">
        <v>0</v>
      </c>
      <c r="JE851" s="89">
        <f t="shared" si="17480"/>
        <v>0</v>
      </c>
      <c r="JF851" s="89">
        <f t="shared" si="17481"/>
        <v>0</v>
      </c>
      <c r="JG851" s="89">
        <v>0</v>
      </c>
      <c r="JH851" s="89">
        <f t="shared" si="17482"/>
        <v>0</v>
      </c>
      <c r="JI851" s="89">
        <f t="shared" si="17483"/>
        <v>0</v>
      </c>
      <c r="JJ851" s="89">
        <v>0</v>
      </c>
      <c r="JK851" s="89">
        <f t="shared" si="17484"/>
        <v>0</v>
      </c>
      <c r="JL851" s="89">
        <f t="shared" si="17485"/>
        <v>0</v>
      </c>
      <c r="JM851" s="89">
        <v>0</v>
      </c>
      <c r="JN851" s="89">
        <f t="shared" si="17486"/>
        <v>0</v>
      </c>
      <c r="JO851" s="89">
        <f t="shared" si="17487"/>
        <v>0</v>
      </c>
      <c r="JP851" s="89">
        <v>0</v>
      </c>
      <c r="JQ851" s="89">
        <f t="shared" si="17488"/>
        <v>0</v>
      </c>
      <c r="JR851" s="89">
        <f t="shared" si="17489"/>
        <v>0</v>
      </c>
      <c r="JS851" s="74">
        <f t="shared" si="17490"/>
        <v>0</v>
      </c>
      <c r="JT851" s="382">
        <f t="shared" si="17491"/>
        <v>0</v>
      </c>
      <c r="JU851" s="665"/>
      <c r="JV851" s="524"/>
      <c r="JW851" s="525"/>
      <c r="JX851" s="549">
        <f t="shared" si="17492"/>
        <v>0</v>
      </c>
      <c r="JY851" s="549">
        <f t="shared" si="17176"/>
        <v>100000</v>
      </c>
      <c r="JZ851" s="581">
        <f t="shared" si="17318"/>
        <v>0</v>
      </c>
      <c r="KA851" s="581">
        <f t="shared" si="17319"/>
        <v>-100000</v>
      </c>
      <c r="KB851" s="566">
        <f t="shared" si="17031"/>
        <v>0</v>
      </c>
      <c r="KC851" s="709">
        <f t="shared" si="17277"/>
        <v>0</v>
      </c>
      <c r="KD851" s="491"/>
      <c r="KE851" s="491"/>
      <c r="KF851" s="491"/>
      <c r="KG851" s="491"/>
      <c r="KH851" s="36"/>
      <c r="KI851" s="36"/>
      <c r="KJ851" s="36"/>
      <c r="KK851" s="36"/>
    </row>
    <row r="852" spans="1:297" s="10" customFormat="1">
      <c r="A852" s="612" t="s">
        <v>827</v>
      </c>
      <c r="B852" s="512" t="s">
        <v>1008</v>
      </c>
      <c r="C852" s="74">
        <v>5000</v>
      </c>
      <c r="D852" s="549">
        <v>0</v>
      </c>
      <c r="E852" s="675">
        <v>0</v>
      </c>
      <c r="F852" s="549">
        <v>0</v>
      </c>
      <c r="G852" s="675">
        <v>0</v>
      </c>
      <c r="H852" s="549">
        <v>0</v>
      </c>
      <c r="I852" s="675">
        <v>0</v>
      </c>
      <c r="J852" s="549">
        <v>0</v>
      </c>
      <c r="K852" s="675">
        <v>0</v>
      </c>
      <c r="L852" s="549">
        <v>0</v>
      </c>
      <c r="M852" s="675">
        <v>0</v>
      </c>
      <c r="N852" s="549">
        <v>0</v>
      </c>
      <c r="O852" s="675">
        <v>0</v>
      </c>
      <c r="P852" s="549">
        <v>0</v>
      </c>
      <c r="Q852" s="675">
        <v>0</v>
      </c>
      <c r="R852" s="549">
        <v>0</v>
      </c>
      <c r="S852" s="675">
        <v>0</v>
      </c>
      <c r="T852" s="549">
        <v>0</v>
      </c>
      <c r="U852" s="675">
        <v>0</v>
      </c>
      <c r="V852" s="549">
        <v>0</v>
      </c>
      <c r="W852" s="675">
        <v>0</v>
      </c>
      <c r="X852" s="549">
        <v>0</v>
      </c>
      <c r="Y852" s="675">
        <v>0</v>
      </c>
      <c r="Z852" s="549">
        <v>0</v>
      </c>
      <c r="AA852" s="675">
        <v>0</v>
      </c>
      <c r="AB852" s="549">
        <v>0</v>
      </c>
      <c r="AC852" s="675">
        <v>0</v>
      </c>
      <c r="AD852" s="549">
        <v>0</v>
      </c>
      <c r="AE852" s="675">
        <v>0</v>
      </c>
      <c r="AF852" s="549">
        <v>0</v>
      </c>
      <c r="AG852" s="675">
        <v>0</v>
      </c>
      <c r="AH852" s="549">
        <v>0</v>
      </c>
      <c r="AI852" s="675">
        <v>0</v>
      </c>
      <c r="AJ852" s="549">
        <v>0</v>
      </c>
      <c r="AK852" s="675">
        <v>0</v>
      </c>
      <c r="AL852" s="549">
        <v>0</v>
      </c>
      <c r="AM852" s="675">
        <v>0</v>
      </c>
      <c r="AN852" s="549">
        <v>0</v>
      </c>
      <c r="AO852" s="675">
        <v>0</v>
      </c>
      <c r="AP852" s="549">
        <v>0</v>
      </c>
      <c r="AQ852" s="675">
        <v>0</v>
      </c>
      <c r="AR852" s="549">
        <v>0</v>
      </c>
      <c r="AS852" s="675">
        <v>0</v>
      </c>
      <c r="AT852" s="549">
        <v>0</v>
      </c>
      <c r="AU852" s="675">
        <v>0</v>
      </c>
      <c r="AV852" s="549">
        <v>0</v>
      </c>
      <c r="AW852" s="675">
        <v>0</v>
      </c>
      <c r="AX852" s="549">
        <v>0</v>
      </c>
      <c r="AY852" s="675">
        <v>0</v>
      </c>
      <c r="AZ852" s="549">
        <v>0</v>
      </c>
      <c r="BA852" s="675">
        <v>0</v>
      </c>
      <c r="BB852" s="549">
        <v>0</v>
      </c>
      <c r="BC852" s="675">
        <v>-5000</v>
      </c>
      <c r="BD852" s="549">
        <v>0</v>
      </c>
      <c r="BE852" s="675">
        <v>0</v>
      </c>
      <c r="BF852" s="549">
        <v>0</v>
      </c>
      <c r="BG852" s="675">
        <v>0</v>
      </c>
      <c r="BH852" s="549">
        <v>0</v>
      </c>
      <c r="BI852" s="675">
        <v>0</v>
      </c>
      <c r="BJ852" s="549">
        <v>0</v>
      </c>
      <c r="BK852" s="675">
        <v>0</v>
      </c>
      <c r="BL852" s="549">
        <v>0</v>
      </c>
      <c r="BM852" s="675">
        <v>0</v>
      </c>
      <c r="BN852" s="549">
        <v>0</v>
      </c>
      <c r="BO852" s="675">
        <v>0</v>
      </c>
      <c r="BP852" s="549">
        <v>0</v>
      </c>
      <c r="BQ852" s="675">
        <v>0</v>
      </c>
      <c r="BR852" s="549">
        <v>0</v>
      </c>
      <c r="BS852" s="675">
        <v>0</v>
      </c>
      <c r="BT852" s="549">
        <v>0</v>
      </c>
      <c r="BU852" s="675">
        <v>0</v>
      </c>
      <c r="BV852" s="549">
        <v>0</v>
      </c>
      <c r="BW852" s="675">
        <v>0</v>
      </c>
      <c r="BX852" s="549">
        <v>0</v>
      </c>
      <c r="BY852" s="675">
        <v>0</v>
      </c>
      <c r="BZ852" s="549">
        <v>0</v>
      </c>
      <c r="CA852" s="675">
        <v>0</v>
      </c>
      <c r="CB852" s="549">
        <v>0</v>
      </c>
      <c r="CC852" s="675">
        <v>0</v>
      </c>
      <c r="CD852" s="549">
        <v>0</v>
      </c>
      <c r="CE852" s="675">
        <v>0</v>
      </c>
      <c r="CF852" s="549">
        <v>0</v>
      </c>
      <c r="CG852" s="675">
        <v>0</v>
      </c>
      <c r="CH852" s="549">
        <v>0</v>
      </c>
      <c r="CI852" s="675">
        <v>0</v>
      </c>
      <c r="CJ852" s="549">
        <v>0</v>
      </c>
      <c r="CK852" s="675">
        <v>0</v>
      </c>
      <c r="CL852" s="549">
        <v>0</v>
      </c>
      <c r="CM852" s="675">
        <v>0</v>
      </c>
      <c r="CN852" s="549">
        <v>0</v>
      </c>
      <c r="CO852" s="675">
        <v>0</v>
      </c>
      <c r="CP852" s="549">
        <v>0</v>
      </c>
      <c r="CQ852" s="675">
        <v>0</v>
      </c>
      <c r="CR852" s="549">
        <v>0</v>
      </c>
      <c r="CS852" s="675">
        <v>0</v>
      </c>
      <c r="CT852" s="549">
        <v>0</v>
      </c>
      <c r="CU852" s="675">
        <v>0</v>
      </c>
      <c r="CV852" s="549">
        <v>0</v>
      </c>
      <c r="CW852" s="675">
        <v>0</v>
      </c>
      <c r="CX852" s="549">
        <v>0</v>
      </c>
      <c r="CY852" s="675">
        <v>0</v>
      </c>
      <c r="CZ852" s="549">
        <v>0</v>
      </c>
      <c r="DA852" s="675">
        <v>0</v>
      </c>
      <c r="DB852" s="549">
        <v>0</v>
      </c>
      <c r="DC852" s="675">
        <v>0</v>
      </c>
      <c r="DD852" s="549">
        <v>0</v>
      </c>
      <c r="DE852" s="675">
        <v>0</v>
      </c>
      <c r="DF852" s="549">
        <v>0</v>
      </c>
      <c r="DG852" s="675">
        <v>0</v>
      </c>
      <c r="DH852" s="549">
        <v>0</v>
      </c>
      <c r="DI852" s="675">
        <v>0</v>
      </c>
      <c r="DJ852" s="549">
        <v>0</v>
      </c>
      <c r="DK852" s="675">
        <v>0</v>
      </c>
      <c r="DL852" s="549">
        <v>0</v>
      </c>
      <c r="DM852" s="675">
        <v>0</v>
      </c>
      <c r="DN852" s="549">
        <v>0</v>
      </c>
      <c r="DO852" s="675">
        <v>0</v>
      </c>
      <c r="DP852" s="549">
        <v>0</v>
      </c>
      <c r="DQ852" s="675">
        <v>0</v>
      </c>
      <c r="DR852" s="549">
        <v>0</v>
      </c>
      <c r="DS852" s="675">
        <v>0</v>
      </c>
      <c r="DT852" s="549">
        <v>0</v>
      </c>
      <c r="DU852" s="675">
        <v>0</v>
      </c>
      <c r="DV852" s="549">
        <v>0</v>
      </c>
      <c r="DW852" s="675">
        <v>0</v>
      </c>
      <c r="DX852" s="549">
        <v>0</v>
      </c>
      <c r="DY852" s="675">
        <v>0</v>
      </c>
      <c r="DZ852" s="549">
        <v>0</v>
      </c>
      <c r="EA852" s="675">
        <v>0</v>
      </c>
      <c r="EB852" s="549">
        <v>0</v>
      </c>
      <c r="EC852" s="675">
        <v>0</v>
      </c>
      <c r="ED852" s="549">
        <v>0</v>
      </c>
      <c r="EE852" s="675">
        <v>0</v>
      </c>
      <c r="EF852" s="549">
        <v>0</v>
      </c>
      <c r="EG852" s="675">
        <v>0</v>
      </c>
      <c r="EH852" s="549">
        <v>0</v>
      </c>
      <c r="EI852" s="675">
        <v>0</v>
      </c>
      <c r="EJ852" s="549">
        <v>0</v>
      </c>
      <c r="EK852" s="675">
        <v>0</v>
      </c>
      <c r="EL852" s="549">
        <v>0</v>
      </c>
      <c r="EM852" s="675">
        <v>0</v>
      </c>
      <c r="EN852" s="549">
        <v>0</v>
      </c>
      <c r="EO852" s="675">
        <v>0</v>
      </c>
      <c r="EP852" s="549">
        <v>0</v>
      </c>
      <c r="EQ852" s="675">
        <v>0</v>
      </c>
      <c r="ER852" s="549">
        <v>0</v>
      </c>
      <c r="ES852" s="675">
        <v>0</v>
      </c>
      <c r="ET852" s="549">
        <v>0</v>
      </c>
      <c r="EU852" s="675">
        <v>0</v>
      </c>
      <c r="EV852" s="549">
        <v>0</v>
      </c>
      <c r="EW852" s="675">
        <v>0</v>
      </c>
      <c r="EX852" s="549">
        <v>0</v>
      </c>
      <c r="EY852" s="675">
        <v>0</v>
      </c>
      <c r="EZ852" s="549">
        <v>0</v>
      </c>
      <c r="FA852" s="675">
        <v>0</v>
      </c>
      <c r="FB852" s="549">
        <v>0</v>
      </c>
      <c r="FC852" s="675">
        <v>0</v>
      </c>
      <c r="FD852" s="549">
        <v>0</v>
      </c>
      <c r="FE852" s="675">
        <v>0</v>
      </c>
      <c r="FF852" s="549">
        <v>0</v>
      </c>
      <c r="FG852" s="675">
        <v>0</v>
      </c>
      <c r="FH852" s="549">
        <v>0</v>
      </c>
      <c r="FI852" s="675">
        <v>0</v>
      </c>
      <c r="FJ852" s="549">
        <v>0</v>
      </c>
      <c r="FK852" s="675">
        <v>0</v>
      </c>
      <c r="FL852" s="549">
        <v>0</v>
      </c>
      <c r="FM852" s="675">
        <v>0</v>
      </c>
      <c r="FN852" s="549">
        <v>0</v>
      </c>
      <c r="FO852" s="675">
        <v>0</v>
      </c>
      <c r="FP852" s="549">
        <v>0</v>
      </c>
      <c r="FQ852" s="675">
        <v>0</v>
      </c>
      <c r="FR852" s="549">
        <v>0</v>
      </c>
      <c r="FS852" s="675">
        <v>0</v>
      </c>
      <c r="FT852" s="549">
        <v>0</v>
      </c>
      <c r="FU852" s="675">
        <v>0</v>
      </c>
      <c r="FV852" s="549">
        <v>0</v>
      </c>
      <c r="FW852" s="675">
        <v>0</v>
      </c>
      <c r="FX852" s="549">
        <v>0</v>
      </c>
      <c r="FY852" s="675">
        <v>0</v>
      </c>
      <c r="FZ852" s="549">
        <v>0</v>
      </c>
      <c r="GA852" s="675">
        <v>0</v>
      </c>
      <c r="GB852" s="549">
        <v>0</v>
      </c>
      <c r="GC852" s="675">
        <v>0</v>
      </c>
      <c r="GD852" s="549">
        <v>0</v>
      </c>
      <c r="GE852" s="675">
        <v>0</v>
      </c>
      <c r="GF852" s="549">
        <v>0</v>
      </c>
      <c r="GG852" s="675">
        <v>0</v>
      </c>
      <c r="GH852" s="549">
        <v>0</v>
      </c>
      <c r="GI852" s="675">
        <v>0</v>
      </c>
      <c r="GJ852" s="549">
        <v>0</v>
      </c>
      <c r="GK852" s="675">
        <v>0</v>
      </c>
      <c r="GL852" s="549">
        <v>0</v>
      </c>
      <c r="GM852" s="675">
        <v>0</v>
      </c>
      <c r="GN852" s="549">
        <v>0</v>
      </c>
      <c r="GO852" s="675">
        <v>0</v>
      </c>
      <c r="GP852" s="549">
        <f t="shared" si="17457"/>
        <v>0</v>
      </c>
      <c r="GQ852" s="675">
        <f t="shared" si="17458"/>
        <v>-5000</v>
      </c>
      <c r="GR852" s="74">
        <f t="shared" si="17459"/>
        <v>0</v>
      </c>
      <c r="GS852" s="74">
        <f t="shared" si="17460"/>
        <v>0</v>
      </c>
      <c r="GT852" s="568">
        <f t="shared" si="17461"/>
        <v>0</v>
      </c>
      <c r="GU852" s="275">
        <v>1000</v>
      </c>
      <c r="GV852" s="275"/>
      <c r="GW852" s="588"/>
      <c r="GX852" s="275">
        <v>1500</v>
      </c>
      <c r="GY852" s="275">
        <v>2500</v>
      </c>
      <c r="GZ852" s="275"/>
      <c r="HA852" s="275">
        <f>1500-1500</f>
        <v>0</v>
      </c>
      <c r="HB852" s="275"/>
      <c r="HC852" s="275"/>
      <c r="HD852" s="275">
        <f>1000-1000</f>
        <v>0</v>
      </c>
      <c r="HE852" s="275">
        <v>0</v>
      </c>
      <c r="HF852" s="275">
        <v>0</v>
      </c>
      <c r="HG852" s="74">
        <f t="shared" si="17462"/>
        <v>0</v>
      </c>
      <c r="HH852" s="89">
        <v>0</v>
      </c>
      <c r="HI852" s="157">
        <v>0</v>
      </c>
      <c r="HJ852" s="89">
        <v>0</v>
      </c>
      <c r="HK852" s="157">
        <v>0</v>
      </c>
      <c r="HL852" s="89">
        <v>0</v>
      </c>
      <c r="HM852" s="157">
        <v>0</v>
      </c>
      <c r="HN852" s="89">
        <v>0</v>
      </c>
      <c r="HO852" s="157">
        <v>2500</v>
      </c>
      <c r="HP852" s="89">
        <v>0</v>
      </c>
      <c r="HQ852" s="157">
        <v>0</v>
      </c>
      <c r="HR852" s="89">
        <v>0</v>
      </c>
      <c r="HS852" s="157">
        <v>2500</v>
      </c>
      <c r="HT852" s="89">
        <v>0</v>
      </c>
      <c r="HU852" s="157">
        <v>0</v>
      </c>
      <c r="HV852" s="89">
        <v>0</v>
      </c>
      <c r="HW852" s="157">
        <v>0</v>
      </c>
      <c r="HX852" s="89">
        <v>0</v>
      </c>
      <c r="HY852" s="157">
        <v>0</v>
      </c>
      <c r="HZ852" s="89">
        <v>0</v>
      </c>
      <c r="IA852" s="157">
        <v>0</v>
      </c>
      <c r="IB852" s="89">
        <v>0</v>
      </c>
      <c r="IC852" s="157">
        <v>0</v>
      </c>
      <c r="ID852" s="89">
        <v>0</v>
      </c>
      <c r="IE852" s="157">
        <v>0</v>
      </c>
      <c r="IF852" s="717">
        <f t="shared" si="17463"/>
        <v>0</v>
      </c>
      <c r="IG852" s="263">
        <f t="shared" si="17464"/>
        <v>0</v>
      </c>
      <c r="IH852" s="718">
        <f t="shared" si="17465"/>
        <v>0</v>
      </c>
      <c r="II852" s="89">
        <v>0</v>
      </c>
      <c r="IJ852" s="89">
        <f t="shared" si="17466"/>
        <v>0</v>
      </c>
      <c r="IK852" s="89">
        <f t="shared" si="17467"/>
        <v>0</v>
      </c>
      <c r="IL852" s="89">
        <v>0</v>
      </c>
      <c r="IM852" s="89">
        <f t="shared" si="17468"/>
        <v>0</v>
      </c>
      <c r="IN852" s="89">
        <f t="shared" si="17469"/>
        <v>0</v>
      </c>
      <c r="IO852" s="89">
        <v>0</v>
      </c>
      <c r="IP852" s="89">
        <f t="shared" si="17470"/>
        <v>0</v>
      </c>
      <c r="IQ852" s="89">
        <f t="shared" si="17471"/>
        <v>0</v>
      </c>
      <c r="IR852" s="89">
        <v>0</v>
      </c>
      <c r="IS852" s="89">
        <f t="shared" si="17472"/>
        <v>0</v>
      </c>
      <c r="IT852" s="89">
        <f t="shared" si="17473"/>
        <v>0</v>
      </c>
      <c r="IU852" s="89">
        <v>0</v>
      </c>
      <c r="IV852" s="89">
        <f t="shared" si="17474"/>
        <v>0</v>
      </c>
      <c r="IW852" s="89">
        <f t="shared" si="17475"/>
        <v>0</v>
      </c>
      <c r="IX852" s="89">
        <v>0</v>
      </c>
      <c r="IY852" s="89">
        <f t="shared" si="17476"/>
        <v>0</v>
      </c>
      <c r="IZ852" s="89">
        <f t="shared" si="17477"/>
        <v>0</v>
      </c>
      <c r="JA852" s="89">
        <v>0</v>
      </c>
      <c r="JB852" s="89">
        <f t="shared" si="17478"/>
        <v>0</v>
      </c>
      <c r="JC852" s="89">
        <f t="shared" si="17479"/>
        <v>0</v>
      </c>
      <c r="JD852" s="89">
        <v>0</v>
      </c>
      <c r="JE852" s="89">
        <f t="shared" si="17480"/>
        <v>0</v>
      </c>
      <c r="JF852" s="89">
        <f t="shared" si="17481"/>
        <v>0</v>
      </c>
      <c r="JG852" s="89">
        <v>0</v>
      </c>
      <c r="JH852" s="89">
        <f t="shared" si="17482"/>
        <v>0</v>
      </c>
      <c r="JI852" s="89">
        <f t="shared" si="17483"/>
        <v>0</v>
      </c>
      <c r="JJ852" s="89">
        <v>0</v>
      </c>
      <c r="JK852" s="89">
        <f t="shared" si="17484"/>
        <v>0</v>
      </c>
      <c r="JL852" s="89">
        <f t="shared" si="17485"/>
        <v>0</v>
      </c>
      <c r="JM852" s="89">
        <v>0</v>
      </c>
      <c r="JN852" s="89">
        <f t="shared" si="17486"/>
        <v>0</v>
      </c>
      <c r="JO852" s="89">
        <f t="shared" si="17487"/>
        <v>0</v>
      </c>
      <c r="JP852" s="89">
        <v>0</v>
      </c>
      <c r="JQ852" s="89">
        <f t="shared" si="17488"/>
        <v>0</v>
      </c>
      <c r="JR852" s="89">
        <f t="shared" si="17489"/>
        <v>0</v>
      </c>
      <c r="JS852" s="74">
        <f t="shared" si="17490"/>
        <v>0</v>
      </c>
      <c r="JT852" s="382">
        <f t="shared" si="17491"/>
        <v>0</v>
      </c>
      <c r="JU852" s="665"/>
      <c r="JV852" s="524"/>
      <c r="JW852" s="525"/>
      <c r="JX852" s="549">
        <f t="shared" si="17492"/>
        <v>0</v>
      </c>
      <c r="JY852" s="549">
        <f t="shared" si="17176"/>
        <v>5000</v>
      </c>
      <c r="JZ852" s="581">
        <f t="shared" si="17318"/>
        <v>0</v>
      </c>
      <c r="KA852" s="581">
        <f t="shared" si="17319"/>
        <v>-5000</v>
      </c>
      <c r="KB852" s="566">
        <f t="shared" si="17031"/>
        <v>0</v>
      </c>
      <c r="KC852" s="709">
        <f t="shared" si="17277"/>
        <v>0</v>
      </c>
      <c r="KD852" s="491"/>
      <c r="KE852" s="491"/>
      <c r="KF852" s="491"/>
      <c r="KG852" s="491"/>
      <c r="KH852" s="36"/>
      <c r="KI852" s="36"/>
      <c r="KJ852" s="36"/>
      <c r="KK852" s="36"/>
    </row>
    <row r="853" spans="1:297" s="10" customFormat="1">
      <c r="A853" s="612" t="s">
        <v>778</v>
      </c>
      <c r="B853" s="512" t="s">
        <v>940</v>
      </c>
      <c r="C853" s="74">
        <v>110000</v>
      </c>
      <c r="D853" s="549">
        <v>0</v>
      </c>
      <c r="E853" s="675">
        <v>0</v>
      </c>
      <c r="F853" s="549">
        <v>0</v>
      </c>
      <c r="G853" s="675">
        <v>0</v>
      </c>
      <c r="H853" s="549">
        <v>0</v>
      </c>
      <c r="I853" s="675">
        <v>0</v>
      </c>
      <c r="J853" s="549">
        <v>0</v>
      </c>
      <c r="K853" s="675">
        <v>0</v>
      </c>
      <c r="L853" s="549">
        <v>0</v>
      </c>
      <c r="M853" s="675">
        <v>0</v>
      </c>
      <c r="N853" s="549">
        <v>0</v>
      </c>
      <c r="O853" s="675">
        <v>0</v>
      </c>
      <c r="P853" s="549">
        <v>0</v>
      </c>
      <c r="Q853" s="675">
        <v>0</v>
      </c>
      <c r="R853" s="549">
        <v>0</v>
      </c>
      <c r="S853" s="675">
        <v>0</v>
      </c>
      <c r="T853" s="549">
        <v>0</v>
      </c>
      <c r="U853" s="675">
        <v>0</v>
      </c>
      <c r="V853" s="549">
        <v>0</v>
      </c>
      <c r="W853" s="675">
        <v>0</v>
      </c>
      <c r="X853" s="549">
        <v>0</v>
      </c>
      <c r="Y853" s="675">
        <v>0</v>
      </c>
      <c r="Z853" s="549">
        <v>0</v>
      </c>
      <c r="AA853" s="675">
        <v>0</v>
      </c>
      <c r="AB853" s="549">
        <v>0</v>
      </c>
      <c r="AC853" s="675">
        <v>0</v>
      </c>
      <c r="AD853" s="549">
        <v>0</v>
      </c>
      <c r="AE853" s="675">
        <v>0</v>
      </c>
      <c r="AF853" s="549">
        <v>0</v>
      </c>
      <c r="AG853" s="675">
        <v>0</v>
      </c>
      <c r="AH853" s="549">
        <v>0</v>
      </c>
      <c r="AI853" s="675">
        <v>0</v>
      </c>
      <c r="AJ853" s="549">
        <v>0</v>
      </c>
      <c r="AK853" s="675">
        <v>0</v>
      </c>
      <c r="AL853" s="549">
        <v>0</v>
      </c>
      <c r="AM853" s="675">
        <v>0</v>
      </c>
      <c r="AN853" s="549">
        <v>0</v>
      </c>
      <c r="AO853" s="675">
        <v>0</v>
      </c>
      <c r="AP853" s="549">
        <v>0</v>
      </c>
      <c r="AQ853" s="675">
        <v>0</v>
      </c>
      <c r="AR853" s="549">
        <v>0</v>
      </c>
      <c r="AS853" s="675">
        <v>0</v>
      </c>
      <c r="AT853" s="549">
        <v>0</v>
      </c>
      <c r="AU853" s="675">
        <v>0</v>
      </c>
      <c r="AV853" s="549">
        <v>0</v>
      </c>
      <c r="AW853" s="675">
        <v>0</v>
      </c>
      <c r="AX853" s="549">
        <v>0</v>
      </c>
      <c r="AY853" s="675">
        <v>0</v>
      </c>
      <c r="AZ853" s="549">
        <v>0</v>
      </c>
      <c r="BA853" s="675">
        <v>0</v>
      </c>
      <c r="BB853" s="549">
        <v>0</v>
      </c>
      <c r="BC853" s="675">
        <v>-110000</v>
      </c>
      <c r="BD853" s="549">
        <v>0</v>
      </c>
      <c r="BE853" s="675">
        <v>0</v>
      </c>
      <c r="BF853" s="549">
        <v>0</v>
      </c>
      <c r="BG853" s="675">
        <v>0</v>
      </c>
      <c r="BH853" s="549">
        <v>0</v>
      </c>
      <c r="BI853" s="675">
        <v>0</v>
      </c>
      <c r="BJ853" s="549">
        <v>0</v>
      </c>
      <c r="BK853" s="675">
        <v>0</v>
      </c>
      <c r="BL853" s="549">
        <v>0</v>
      </c>
      <c r="BM853" s="675">
        <v>0</v>
      </c>
      <c r="BN853" s="549">
        <v>0</v>
      </c>
      <c r="BO853" s="675">
        <v>0</v>
      </c>
      <c r="BP853" s="549">
        <v>0</v>
      </c>
      <c r="BQ853" s="675">
        <v>0</v>
      </c>
      <c r="BR853" s="549">
        <v>0</v>
      </c>
      <c r="BS853" s="675">
        <v>0</v>
      </c>
      <c r="BT853" s="549">
        <v>0</v>
      </c>
      <c r="BU853" s="675">
        <v>0</v>
      </c>
      <c r="BV853" s="549">
        <v>0</v>
      </c>
      <c r="BW853" s="675">
        <v>0</v>
      </c>
      <c r="BX853" s="549">
        <v>0</v>
      </c>
      <c r="BY853" s="675">
        <v>0</v>
      </c>
      <c r="BZ853" s="549">
        <v>0</v>
      </c>
      <c r="CA853" s="675">
        <v>0</v>
      </c>
      <c r="CB853" s="549">
        <v>0</v>
      </c>
      <c r="CC853" s="675">
        <v>0</v>
      </c>
      <c r="CD853" s="549">
        <v>0</v>
      </c>
      <c r="CE853" s="675">
        <v>0</v>
      </c>
      <c r="CF853" s="549">
        <v>0</v>
      </c>
      <c r="CG853" s="675">
        <v>0</v>
      </c>
      <c r="CH853" s="549">
        <v>0</v>
      </c>
      <c r="CI853" s="675">
        <v>0</v>
      </c>
      <c r="CJ853" s="549">
        <v>0</v>
      </c>
      <c r="CK853" s="675">
        <v>0</v>
      </c>
      <c r="CL853" s="549">
        <v>0</v>
      </c>
      <c r="CM853" s="675">
        <v>0</v>
      </c>
      <c r="CN853" s="549">
        <v>0</v>
      </c>
      <c r="CO853" s="675">
        <v>0</v>
      </c>
      <c r="CP853" s="549">
        <v>0</v>
      </c>
      <c r="CQ853" s="675">
        <v>0</v>
      </c>
      <c r="CR853" s="549">
        <v>0</v>
      </c>
      <c r="CS853" s="675">
        <v>0</v>
      </c>
      <c r="CT853" s="549">
        <v>0</v>
      </c>
      <c r="CU853" s="675">
        <v>0</v>
      </c>
      <c r="CV853" s="549">
        <v>0</v>
      </c>
      <c r="CW853" s="675">
        <v>0</v>
      </c>
      <c r="CX853" s="549">
        <v>0</v>
      </c>
      <c r="CY853" s="675">
        <v>0</v>
      </c>
      <c r="CZ853" s="549">
        <v>0</v>
      </c>
      <c r="DA853" s="675">
        <v>0</v>
      </c>
      <c r="DB853" s="549">
        <v>0</v>
      </c>
      <c r="DC853" s="675">
        <v>0</v>
      </c>
      <c r="DD853" s="549">
        <v>0</v>
      </c>
      <c r="DE853" s="675">
        <v>0</v>
      </c>
      <c r="DF853" s="549">
        <v>0</v>
      </c>
      <c r="DG853" s="675">
        <v>0</v>
      </c>
      <c r="DH853" s="549">
        <v>0</v>
      </c>
      <c r="DI853" s="675">
        <v>0</v>
      </c>
      <c r="DJ853" s="549">
        <v>0</v>
      </c>
      <c r="DK853" s="675">
        <v>0</v>
      </c>
      <c r="DL853" s="549">
        <v>0</v>
      </c>
      <c r="DM853" s="675">
        <v>0</v>
      </c>
      <c r="DN853" s="549">
        <v>0</v>
      </c>
      <c r="DO853" s="675">
        <v>0</v>
      </c>
      <c r="DP853" s="549">
        <v>0</v>
      </c>
      <c r="DQ853" s="675">
        <v>0</v>
      </c>
      <c r="DR853" s="549">
        <v>0</v>
      </c>
      <c r="DS853" s="675">
        <v>0</v>
      </c>
      <c r="DT853" s="549">
        <v>0</v>
      </c>
      <c r="DU853" s="675">
        <v>0</v>
      </c>
      <c r="DV853" s="549">
        <v>0</v>
      </c>
      <c r="DW853" s="675">
        <v>0</v>
      </c>
      <c r="DX853" s="549">
        <v>0</v>
      </c>
      <c r="DY853" s="675">
        <v>0</v>
      </c>
      <c r="DZ853" s="549">
        <v>0</v>
      </c>
      <c r="EA853" s="675">
        <v>0</v>
      </c>
      <c r="EB853" s="549">
        <v>0</v>
      </c>
      <c r="EC853" s="675">
        <v>0</v>
      </c>
      <c r="ED853" s="549">
        <v>0</v>
      </c>
      <c r="EE853" s="675">
        <v>0</v>
      </c>
      <c r="EF853" s="549">
        <v>0</v>
      </c>
      <c r="EG853" s="675">
        <v>0</v>
      </c>
      <c r="EH853" s="549">
        <v>0</v>
      </c>
      <c r="EI853" s="675">
        <v>0</v>
      </c>
      <c r="EJ853" s="549">
        <v>0</v>
      </c>
      <c r="EK853" s="675">
        <v>0</v>
      </c>
      <c r="EL853" s="549">
        <v>0</v>
      </c>
      <c r="EM853" s="675">
        <v>0</v>
      </c>
      <c r="EN853" s="549">
        <v>0</v>
      </c>
      <c r="EO853" s="675">
        <v>0</v>
      </c>
      <c r="EP853" s="549">
        <v>0</v>
      </c>
      <c r="EQ853" s="675">
        <v>0</v>
      </c>
      <c r="ER853" s="549">
        <v>0</v>
      </c>
      <c r="ES853" s="675">
        <v>0</v>
      </c>
      <c r="ET853" s="549">
        <v>0</v>
      </c>
      <c r="EU853" s="675">
        <v>0</v>
      </c>
      <c r="EV853" s="549">
        <v>0</v>
      </c>
      <c r="EW853" s="675">
        <v>0</v>
      </c>
      <c r="EX853" s="549">
        <v>0</v>
      </c>
      <c r="EY853" s="675">
        <v>0</v>
      </c>
      <c r="EZ853" s="549">
        <v>0</v>
      </c>
      <c r="FA853" s="675">
        <v>0</v>
      </c>
      <c r="FB853" s="549">
        <v>0</v>
      </c>
      <c r="FC853" s="675">
        <v>0</v>
      </c>
      <c r="FD853" s="549">
        <v>0</v>
      </c>
      <c r="FE853" s="675">
        <v>0</v>
      </c>
      <c r="FF853" s="549">
        <v>0</v>
      </c>
      <c r="FG853" s="675">
        <v>0</v>
      </c>
      <c r="FH853" s="549">
        <v>0</v>
      </c>
      <c r="FI853" s="675">
        <v>0</v>
      </c>
      <c r="FJ853" s="549">
        <v>0</v>
      </c>
      <c r="FK853" s="675">
        <v>0</v>
      </c>
      <c r="FL853" s="549">
        <v>0</v>
      </c>
      <c r="FM853" s="675">
        <v>0</v>
      </c>
      <c r="FN853" s="549">
        <v>0</v>
      </c>
      <c r="FO853" s="675">
        <v>0</v>
      </c>
      <c r="FP853" s="549">
        <v>0</v>
      </c>
      <c r="FQ853" s="675">
        <v>0</v>
      </c>
      <c r="FR853" s="549">
        <v>0</v>
      </c>
      <c r="FS853" s="675">
        <v>0</v>
      </c>
      <c r="FT853" s="549">
        <v>0</v>
      </c>
      <c r="FU853" s="675">
        <v>0</v>
      </c>
      <c r="FV853" s="549">
        <v>0</v>
      </c>
      <c r="FW853" s="675">
        <v>0</v>
      </c>
      <c r="FX853" s="549">
        <v>0</v>
      </c>
      <c r="FY853" s="675">
        <v>0</v>
      </c>
      <c r="FZ853" s="549">
        <v>0</v>
      </c>
      <c r="GA853" s="675">
        <v>0</v>
      </c>
      <c r="GB853" s="549">
        <v>0</v>
      </c>
      <c r="GC853" s="675">
        <v>0</v>
      </c>
      <c r="GD853" s="549">
        <v>0</v>
      </c>
      <c r="GE853" s="675">
        <v>0</v>
      </c>
      <c r="GF853" s="549">
        <v>0</v>
      </c>
      <c r="GG853" s="675">
        <v>0</v>
      </c>
      <c r="GH853" s="549">
        <v>0</v>
      </c>
      <c r="GI853" s="675">
        <v>0</v>
      </c>
      <c r="GJ853" s="549">
        <v>0</v>
      </c>
      <c r="GK853" s="675">
        <v>0</v>
      </c>
      <c r="GL853" s="549">
        <v>0</v>
      </c>
      <c r="GM853" s="675">
        <v>0</v>
      </c>
      <c r="GN853" s="549">
        <v>0</v>
      </c>
      <c r="GO853" s="675">
        <v>0</v>
      </c>
      <c r="GP853" s="549">
        <f t="shared" si="17457"/>
        <v>0</v>
      </c>
      <c r="GQ853" s="675">
        <f t="shared" si="17458"/>
        <v>-110000</v>
      </c>
      <c r="GR853" s="74">
        <f t="shared" si="17459"/>
        <v>0</v>
      </c>
      <c r="GS853" s="74">
        <f t="shared" si="17460"/>
        <v>0</v>
      </c>
      <c r="GT853" s="568">
        <f t="shared" si="17461"/>
        <v>0</v>
      </c>
      <c r="GU853" s="275">
        <v>22000</v>
      </c>
      <c r="GV853" s="275"/>
      <c r="GW853" s="588"/>
      <c r="GX853" s="275">
        <v>33000</v>
      </c>
      <c r="GY853" s="275">
        <v>55000</v>
      </c>
      <c r="GZ853" s="275"/>
      <c r="HA853" s="275">
        <f>33000-33000</f>
        <v>0</v>
      </c>
      <c r="HB853" s="275"/>
      <c r="HC853" s="275"/>
      <c r="HD853" s="275">
        <f>22000-22000</f>
        <v>0</v>
      </c>
      <c r="HE853" s="275">
        <v>0</v>
      </c>
      <c r="HF853" s="275">
        <v>0</v>
      </c>
      <c r="HG853" s="74">
        <f t="shared" si="17462"/>
        <v>0</v>
      </c>
      <c r="HH853" s="89">
        <v>0</v>
      </c>
      <c r="HI853" s="157">
        <v>0</v>
      </c>
      <c r="HJ853" s="89">
        <v>0</v>
      </c>
      <c r="HK853" s="157">
        <v>0</v>
      </c>
      <c r="HL853" s="89">
        <v>0</v>
      </c>
      <c r="HM853" s="157">
        <v>0</v>
      </c>
      <c r="HN853" s="89">
        <v>0</v>
      </c>
      <c r="HO853" s="157">
        <v>55000</v>
      </c>
      <c r="HP853" s="89">
        <v>0</v>
      </c>
      <c r="HQ853" s="157">
        <v>0</v>
      </c>
      <c r="HR853" s="89">
        <v>0</v>
      </c>
      <c r="HS853" s="157">
        <v>55000</v>
      </c>
      <c r="HT853" s="89">
        <v>0</v>
      </c>
      <c r="HU853" s="157">
        <v>0</v>
      </c>
      <c r="HV853" s="89">
        <v>0</v>
      </c>
      <c r="HW853" s="157">
        <v>0</v>
      </c>
      <c r="HX853" s="89">
        <v>0</v>
      </c>
      <c r="HY853" s="157">
        <v>0</v>
      </c>
      <c r="HZ853" s="89">
        <v>0</v>
      </c>
      <c r="IA853" s="157">
        <v>0</v>
      </c>
      <c r="IB853" s="89">
        <v>0</v>
      </c>
      <c r="IC853" s="157">
        <v>0</v>
      </c>
      <c r="ID853" s="89">
        <v>0</v>
      </c>
      <c r="IE853" s="157">
        <v>0</v>
      </c>
      <c r="IF853" s="717">
        <f t="shared" si="17463"/>
        <v>0</v>
      </c>
      <c r="IG853" s="263">
        <f t="shared" si="17464"/>
        <v>0</v>
      </c>
      <c r="IH853" s="718">
        <f t="shared" si="17465"/>
        <v>0</v>
      </c>
      <c r="II853" s="89">
        <v>0</v>
      </c>
      <c r="IJ853" s="89">
        <f t="shared" si="17466"/>
        <v>0</v>
      </c>
      <c r="IK853" s="89">
        <f t="shared" si="17467"/>
        <v>0</v>
      </c>
      <c r="IL853" s="89">
        <v>0</v>
      </c>
      <c r="IM853" s="89">
        <f t="shared" si="17468"/>
        <v>0</v>
      </c>
      <c r="IN853" s="89">
        <f t="shared" si="17469"/>
        <v>0</v>
      </c>
      <c r="IO853" s="89">
        <v>0</v>
      </c>
      <c r="IP853" s="89">
        <f t="shared" si="17470"/>
        <v>0</v>
      </c>
      <c r="IQ853" s="89">
        <f t="shared" si="17471"/>
        <v>0</v>
      </c>
      <c r="IR853" s="89">
        <v>0</v>
      </c>
      <c r="IS853" s="89">
        <f t="shared" si="17472"/>
        <v>0</v>
      </c>
      <c r="IT853" s="89">
        <f t="shared" si="17473"/>
        <v>0</v>
      </c>
      <c r="IU853" s="89">
        <v>0</v>
      </c>
      <c r="IV853" s="89">
        <f t="shared" si="17474"/>
        <v>0</v>
      </c>
      <c r="IW853" s="89">
        <f t="shared" si="17475"/>
        <v>0</v>
      </c>
      <c r="IX853" s="89">
        <v>0</v>
      </c>
      <c r="IY853" s="89">
        <f t="shared" si="17476"/>
        <v>0</v>
      </c>
      <c r="IZ853" s="89">
        <f t="shared" si="17477"/>
        <v>0</v>
      </c>
      <c r="JA853" s="89">
        <v>0</v>
      </c>
      <c r="JB853" s="89">
        <f t="shared" si="17478"/>
        <v>0</v>
      </c>
      <c r="JC853" s="89">
        <f t="shared" si="17479"/>
        <v>0</v>
      </c>
      <c r="JD853" s="89">
        <v>0</v>
      </c>
      <c r="JE853" s="89">
        <f t="shared" si="17480"/>
        <v>0</v>
      </c>
      <c r="JF853" s="89">
        <f t="shared" si="17481"/>
        <v>0</v>
      </c>
      <c r="JG853" s="89">
        <v>0</v>
      </c>
      <c r="JH853" s="89">
        <f t="shared" si="17482"/>
        <v>0</v>
      </c>
      <c r="JI853" s="89">
        <f t="shared" si="17483"/>
        <v>0</v>
      </c>
      <c r="JJ853" s="89">
        <v>0</v>
      </c>
      <c r="JK853" s="89">
        <f t="shared" si="17484"/>
        <v>0</v>
      </c>
      <c r="JL853" s="89">
        <f t="shared" si="17485"/>
        <v>0</v>
      </c>
      <c r="JM853" s="89">
        <v>0</v>
      </c>
      <c r="JN853" s="89">
        <f t="shared" si="17486"/>
        <v>0</v>
      </c>
      <c r="JO853" s="89">
        <f t="shared" si="17487"/>
        <v>0</v>
      </c>
      <c r="JP853" s="89">
        <v>0</v>
      </c>
      <c r="JQ853" s="89">
        <f t="shared" si="17488"/>
        <v>0</v>
      </c>
      <c r="JR853" s="89">
        <f t="shared" si="17489"/>
        <v>0</v>
      </c>
      <c r="JS853" s="74">
        <f>HG853-IF853</f>
        <v>0</v>
      </c>
      <c r="JT853" s="382">
        <f>GS853-IF853</f>
        <v>0</v>
      </c>
      <c r="JU853" s="665"/>
      <c r="JV853" s="524"/>
      <c r="JW853" s="525"/>
      <c r="JX853" s="549">
        <f>SUM(HH853,HJ853,HL853,HN853,HP853,HR853,HT853,HV853,HX853,HZ853,IB853,ID853)</f>
        <v>0</v>
      </c>
      <c r="JY853" s="549">
        <f t="shared" si="17176"/>
        <v>110000</v>
      </c>
      <c r="JZ853" s="581">
        <f>GP853</f>
        <v>0</v>
      </c>
      <c r="KA853" s="581">
        <f>GQ853</f>
        <v>-110000</v>
      </c>
      <c r="KB853" s="566">
        <f t="shared" si="17031"/>
        <v>0</v>
      </c>
      <c r="KC853" s="709">
        <f t="shared" si="17277"/>
        <v>0</v>
      </c>
      <c r="KD853" s="491"/>
      <c r="KE853" s="491"/>
      <c r="KF853" s="491"/>
      <c r="KG853" s="491"/>
      <c r="KH853" s="36"/>
      <c r="KI853" s="36"/>
      <c r="KJ853" s="36"/>
      <c r="KK853" s="36"/>
    </row>
    <row r="854" spans="1:297" s="10" customFormat="1" ht="12.75" hidden="1" customHeight="1">
      <c r="A854" s="612" t="s">
        <v>1096</v>
      </c>
      <c r="B854" s="512"/>
      <c r="C854" s="74">
        <v>0</v>
      </c>
      <c r="D854" s="549">
        <v>0</v>
      </c>
      <c r="E854" s="675">
        <v>0</v>
      </c>
      <c r="F854" s="549">
        <v>0</v>
      </c>
      <c r="G854" s="675">
        <v>0</v>
      </c>
      <c r="H854" s="549">
        <v>0</v>
      </c>
      <c r="I854" s="675">
        <v>0</v>
      </c>
      <c r="J854" s="549">
        <v>0</v>
      </c>
      <c r="K854" s="675">
        <v>0</v>
      </c>
      <c r="L854" s="549">
        <v>0</v>
      </c>
      <c r="M854" s="675">
        <v>0</v>
      </c>
      <c r="N854" s="549">
        <v>0</v>
      </c>
      <c r="O854" s="675">
        <v>0</v>
      </c>
      <c r="P854" s="549">
        <v>0</v>
      </c>
      <c r="Q854" s="675">
        <v>0</v>
      </c>
      <c r="R854" s="549">
        <v>0</v>
      </c>
      <c r="S854" s="675">
        <v>0</v>
      </c>
      <c r="T854" s="549">
        <v>0</v>
      </c>
      <c r="U854" s="675">
        <v>0</v>
      </c>
      <c r="V854" s="549">
        <v>0</v>
      </c>
      <c r="W854" s="675">
        <v>0</v>
      </c>
      <c r="X854" s="549">
        <v>0</v>
      </c>
      <c r="Y854" s="675">
        <v>0</v>
      </c>
      <c r="Z854" s="549">
        <v>0</v>
      </c>
      <c r="AA854" s="675">
        <v>0</v>
      </c>
      <c r="AB854" s="549">
        <v>0</v>
      </c>
      <c r="AC854" s="675">
        <v>0</v>
      </c>
      <c r="AD854" s="549">
        <v>0</v>
      </c>
      <c r="AE854" s="675">
        <v>0</v>
      </c>
      <c r="AF854" s="549">
        <v>0</v>
      </c>
      <c r="AG854" s="675">
        <v>0</v>
      </c>
      <c r="AH854" s="549">
        <v>0</v>
      </c>
      <c r="AI854" s="675">
        <v>0</v>
      </c>
      <c r="AJ854" s="549">
        <v>0</v>
      </c>
      <c r="AK854" s="675">
        <v>0</v>
      </c>
      <c r="AL854" s="549">
        <v>0</v>
      </c>
      <c r="AM854" s="675">
        <v>0</v>
      </c>
      <c r="AN854" s="549">
        <v>0</v>
      </c>
      <c r="AO854" s="675">
        <v>0</v>
      </c>
      <c r="AP854" s="549">
        <v>0</v>
      </c>
      <c r="AQ854" s="675">
        <v>0</v>
      </c>
      <c r="AR854" s="549">
        <v>0</v>
      </c>
      <c r="AS854" s="675">
        <v>0</v>
      </c>
      <c r="AT854" s="549">
        <v>0</v>
      </c>
      <c r="AU854" s="675">
        <v>0</v>
      </c>
      <c r="AV854" s="549">
        <v>0</v>
      </c>
      <c r="AW854" s="675">
        <v>0</v>
      </c>
      <c r="AX854" s="549">
        <v>0</v>
      </c>
      <c r="AY854" s="675">
        <v>0</v>
      </c>
      <c r="AZ854" s="549">
        <v>0</v>
      </c>
      <c r="BA854" s="675">
        <v>0</v>
      </c>
      <c r="BB854" s="549">
        <v>0</v>
      </c>
      <c r="BC854" s="675">
        <v>0</v>
      </c>
      <c r="BD854" s="549">
        <v>0</v>
      </c>
      <c r="BE854" s="675">
        <v>0</v>
      </c>
      <c r="BF854" s="549">
        <v>0</v>
      </c>
      <c r="BG854" s="675">
        <v>0</v>
      </c>
      <c r="BH854" s="549">
        <v>0</v>
      </c>
      <c r="BI854" s="675">
        <v>0</v>
      </c>
      <c r="BJ854" s="549">
        <v>0</v>
      </c>
      <c r="BK854" s="675">
        <v>0</v>
      </c>
      <c r="BL854" s="549">
        <v>0</v>
      </c>
      <c r="BM854" s="675">
        <v>0</v>
      </c>
      <c r="BN854" s="549">
        <v>0</v>
      </c>
      <c r="BO854" s="675">
        <v>0</v>
      </c>
      <c r="BP854" s="549">
        <v>0</v>
      </c>
      <c r="BQ854" s="675">
        <v>0</v>
      </c>
      <c r="BR854" s="549">
        <v>0</v>
      </c>
      <c r="BS854" s="675">
        <v>0</v>
      </c>
      <c r="BT854" s="549">
        <v>0</v>
      </c>
      <c r="BU854" s="675">
        <v>0</v>
      </c>
      <c r="BV854" s="549">
        <v>0</v>
      </c>
      <c r="BW854" s="675">
        <v>0</v>
      </c>
      <c r="BX854" s="549">
        <v>0</v>
      </c>
      <c r="BY854" s="675">
        <v>0</v>
      </c>
      <c r="BZ854" s="549">
        <v>0</v>
      </c>
      <c r="CA854" s="675">
        <v>0</v>
      </c>
      <c r="CB854" s="549">
        <v>0</v>
      </c>
      <c r="CC854" s="675">
        <v>0</v>
      </c>
      <c r="CD854" s="549">
        <v>0</v>
      </c>
      <c r="CE854" s="675">
        <v>0</v>
      </c>
      <c r="CF854" s="549">
        <v>0</v>
      </c>
      <c r="CG854" s="675">
        <v>0</v>
      </c>
      <c r="CH854" s="549">
        <v>0</v>
      </c>
      <c r="CI854" s="675">
        <v>0</v>
      </c>
      <c r="CJ854" s="549">
        <v>0</v>
      </c>
      <c r="CK854" s="675">
        <v>0</v>
      </c>
      <c r="CL854" s="549">
        <v>0</v>
      </c>
      <c r="CM854" s="675">
        <v>0</v>
      </c>
      <c r="CN854" s="549">
        <v>0</v>
      </c>
      <c r="CO854" s="675">
        <v>0</v>
      </c>
      <c r="CP854" s="549">
        <v>0</v>
      </c>
      <c r="CQ854" s="675">
        <v>0</v>
      </c>
      <c r="CR854" s="549">
        <v>0</v>
      </c>
      <c r="CS854" s="675">
        <v>0</v>
      </c>
      <c r="CT854" s="549">
        <v>0</v>
      </c>
      <c r="CU854" s="675">
        <v>0</v>
      </c>
      <c r="CV854" s="549">
        <v>0</v>
      </c>
      <c r="CW854" s="675">
        <v>0</v>
      </c>
      <c r="CX854" s="549">
        <v>0</v>
      </c>
      <c r="CY854" s="675">
        <v>0</v>
      </c>
      <c r="CZ854" s="549">
        <v>0</v>
      </c>
      <c r="DA854" s="675">
        <v>0</v>
      </c>
      <c r="DB854" s="549">
        <v>0</v>
      </c>
      <c r="DC854" s="675">
        <v>0</v>
      </c>
      <c r="DD854" s="549">
        <v>0</v>
      </c>
      <c r="DE854" s="675">
        <v>0</v>
      </c>
      <c r="DF854" s="549">
        <v>0</v>
      </c>
      <c r="DG854" s="675">
        <v>0</v>
      </c>
      <c r="DH854" s="549">
        <v>0</v>
      </c>
      <c r="DI854" s="675">
        <v>0</v>
      </c>
      <c r="DJ854" s="549">
        <v>0</v>
      </c>
      <c r="DK854" s="675">
        <v>0</v>
      </c>
      <c r="DL854" s="549">
        <v>0</v>
      </c>
      <c r="DM854" s="675">
        <v>0</v>
      </c>
      <c r="DN854" s="549">
        <v>0</v>
      </c>
      <c r="DO854" s="675">
        <v>0</v>
      </c>
      <c r="DP854" s="549">
        <v>0</v>
      </c>
      <c r="DQ854" s="675">
        <v>0</v>
      </c>
      <c r="DR854" s="549">
        <v>0</v>
      </c>
      <c r="DS854" s="675">
        <v>0</v>
      </c>
      <c r="DT854" s="549">
        <v>0</v>
      </c>
      <c r="DU854" s="675">
        <v>0</v>
      </c>
      <c r="DV854" s="549">
        <v>0</v>
      </c>
      <c r="DW854" s="675">
        <v>0</v>
      </c>
      <c r="DX854" s="549">
        <v>0</v>
      </c>
      <c r="DY854" s="675">
        <v>0</v>
      </c>
      <c r="DZ854" s="549">
        <v>0</v>
      </c>
      <c r="EA854" s="675">
        <v>0</v>
      </c>
      <c r="EB854" s="549">
        <v>0</v>
      </c>
      <c r="EC854" s="675">
        <v>0</v>
      </c>
      <c r="ED854" s="549">
        <v>0</v>
      </c>
      <c r="EE854" s="675">
        <v>0</v>
      </c>
      <c r="EF854" s="549">
        <v>0</v>
      </c>
      <c r="EG854" s="675">
        <v>0</v>
      </c>
      <c r="EH854" s="549">
        <v>0</v>
      </c>
      <c r="EI854" s="675">
        <v>0</v>
      </c>
      <c r="EJ854" s="549">
        <v>0</v>
      </c>
      <c r="EK854" s="675">
        <v>0</v>
      </c>
      <c r="EL854" s="549">
        <v>0</v>
      </c>
      <c r="EM854" s="675">
        <v>0</v>
      </c>
      <c r="EN854" s="549">
        <v>0</v>
      </c>
      <c r="EO854" s="675">
        <v>0</v>
      </c>
      <c r="EP854" s="549">
        <v>0</v>
      </c>
      <c r="EQ854" s="675">
        <v>0</v>
      </c>
      <c r="ER854" s="549">
        <v>0</v>
      </c>
      <c r="ES854" s="675">
        <v>0</v>
      </c>
      <c r="ET854" s="549">
        <v>0</v>
      </c>
      <c r="EU854" s="675">
        <v>0</v>
      </c>
      <c r="EV854" s="549">
        <v>0</v>
      </c>
      <c r="EW854" s="675">
        <v>0</v>
      </c>
      <c r="EX854" s="549">
        <v>0</v>
      </c>
      <c r="EY854" s="675">
        <v>0</v>
      </c>
      <c r="EZ854" s="549">
        <v>0</v>
      </c>
      <c r="FA854" s="675">
        <v>0</v>
      </c>
      <c r="FB854" s="549">
        <v>0</v>
      </c>
      <c r="FC854" s="675">
        <v>0</v>
      </c>
      <c r="FD854" s="549">
        <v>0</v>
      </c>
      <c r="FE854" s="675">
        <v>0</v>
      </c>
      <c r="FF854" s="549">
        <v>0</v>
      </c>
      <c r="FG854" s="675">
        <v>0</v>
      </c>
      <c r="FH854" s="549">
        <v>0</v>
      </c>
      <c r="FI854" s="675">
        <v>0</v>
      </c>
      <c r="FJ854" s="549">
        <v>0</v>
      </c>
      <c r="FK854" s="675">
        <v>0</v>
      </c>
      <c r="FL854" s="549">
        <v>0</v>
      </c>
      <c r="FM854" s="675">
        <v>0</v>
      </c>
      <c r="FN854" s="549">
        <v>0</v>
      </c>
      <c r="FO854" s="675">
        <v>0</v>
      </c>
      <c r="FP854" s="549">
        <v>0</v>
      </c>
      <c r="FQ854" s="675">
        <v>0</v>
      </c>
      <c r="FR854" s="549">
        <v>0</v>
      </c>
      <c r="FS854" s="675">
        <v>0</v>
      </c>
      <c r="FT854" s="549">
        <v>0</v>
      </c>
      <c r="FU854" s="675">
        <v>0</v>
      </c>
      <c r="FV854" s="549">
        <v>0</v>
      </c>
      <c r="FW854" s="675">
        <v>0</v>
      </c>
      <c r="FX854" s="549">
        <v>0</v>
      </c>
      <c r="FY854" s="675">
        <v>0</v>
      </c>
      <c r="FZ854" s="549">
        <v>0</v>
      </c>
      <c r="GA854" s="675">
        <v>0</v>
      </c>
      <c r="GB854" s="549">
        <v>0</v>
      </c>
      <c r="GC854" s="675">
        <v>0</v>
      </c>
      <c r="GD854" s="549">
        <v>0</v>
      </c>
      <c r="GE854" s="675">
        <v>0</v>
      </c>
      <c r="GF854" s="549">
        <v>0</v>
      </c>
      <c r="GG854" s="675">
        <v>0</v>
      </c>
      <c r="GH854" s="549">
        <v>0</v>
      </c>
      <c r="GI854" s="675">
        <v>0</v>
      </c>
      <c r="GJ854" s="549">
        <v>0</v>
      </c>
      <c r="GK854" s="675">
        <v>0</v>
      </c>
      <c r="GL854" s="549">
        <v>0</v>
      </c>
      <c r="GM854" s="675">
        <v>0</v>
      </c>
      <c r="GN854" s="549">
        <v>0</v>
      </c>
      <c r="GO854" s="675">
        <v>0</v>
      </c>
      <c r="GP854" s="549">
        <f>+D854+F854+H854+J854+L854+N854+P854+R854+T854+V854+X854+Z854+AB854+AD854+AH854+AJ854+AL854+AN854+AP854+AR854+AT854+AV854+AX854+AZ854+BB854+BD854+BF854+BH854+BJ854+BL854+BN854+BP854+BR854+BT854+BV854+BX854+BZ854+CB854+CD854+CF854+CH854+CJ854+CL854+CN854+CP854+CR854+CT854+CV854+CX854+CZ854+DB854+DD854+DF854+DH854+DT854+EX854+DJ854+DL854+DN854+DP854+DR854+EJ854+EB854+DZ854+DX854+DV854+ED854+EF854+EH854+EL854+EN854+EP854+EV854+ET854+ER854+EZ854+FB854+FD854+GL854</f>
        <v>0</v>
      </c>
      <c r="GQ854" s="675">
        <f>+E854+G854+I854+K854+M854+O854+Q854+S854+U854+W854+Y854+AA854+AC854+AE854+AI854+AK854+AM854+AO854+AQ854+AS854+AU854+AW854+AY854+BA854+BC854+BE854+BG854+BI854+BK854+BM854+BO854+BQ854+BS854+BU854+BW854+BY854+CA854+CC854+CE854+CG854+CI854+CK854+CM854+CO854+CQ854+CS854+CU854+CW854+CY854+DA854+DC854+DE854+DG854+DI854+DU854+EY854+DK854+DM854+DO854+DQ854+DS854+EK854+EC854+EA854+DY854+DW854+EI854+EG854+EE854+EM854+EO854+EQ854+EW854+EU854+ES854+FA854+FC854+FE854+GM854</f>
        <v>0</v>
      </c>
      <c r="GR854" s="74">
        <f t="shared" si="17459"/>
        <v>0</v>
      </c>
      <c r="GS854" s="74">
        <f t="shared" ref="GS854" si="17493">SUM(GU854:HF854)+GP854+GQ854</f>
        <v>0</v>
      </c>
      <c r="GT854" s="568">
        <f t="shared" ref="GT854" si="17494">SUM(GU854:HF854)+GQ854+GP854</f>
        <v>0</v>
      </c>
      <c r="GU854" s="275"/>
      <c r="GV854" s="275"/>
      <c r="GW854" s="588"/>
      <c r="GX854" s="588"/>
      <c r="GY854" s="275"/>
      <c r="GZ854" s="275"/>
      <c r="HA854" s="275"/>
      <c r="HB854" s="275"/>
      <c r="HC854" s="275"/>
      <c r="HD854" s="275"/>
      <c r="HE854" s="275"/>
      <c r="HF854" s="275"/>
      <c r="HG854" s="74">
        <f t="shared" ref="HG854" si="17495">SUM(HH854:IE854)</f>
        <v>0</v>
      </c>
      <c r="HH854" s="89">
        <v>0</v>
      </c>
      <c r="HI854" s="817">
        <v>0</v>
      </c>
      <c r="HJ854" s="89">
        <v>0</v>
      </c>
      <c r="HK854" s="817">
        <v>0</v>
      </c>
      <c r="HL854" s="89">
        <v>0</v>
      </c>
      <c r="HM854" s="817">
        <v>0</v>
      </c>
      <c r="HN854" s="89">
        <v>0</v>
      </c>
      <c r="HO854" s="817">
        <v>0</v>
      </c>
      <c r="HP854" s="89">
        <v>0</v>
      </c>
      <c r="HQ854" s="817">
        <v>0</v>
      </c>
      <c r="HR854" s="89">
        <v>0</v>
      </c>
      <c r="HS854" s="817">
        <v>0</v>
      </c>
      <c r="HT854" s="89">
        <v>0</v>
      </c>
      <c r="HU854" s="817">
        <v>0</v>
      </c>
      <c r="HV854" s="89">
        <v>0</v>
      </c>
      <c r="HW854" s="817">
        <v>0</v>
      </c>
      <c r="HX854" s="89">
        <v>0</v>
      </c>
      <c r="HY854" s="817">
        <v>0</v>
      </c>
      <c r="HZ854" s="89">
        <v>0</v>
      </c>
      <c r="IA854" s="817">
        <v>0</v>
      </c>
      <c r="IB854" s="89">
        <v>0</v>
      </c>
      <c r="IC854" s="817">
        <v>0</v>
      </c>
      <c r="ID854" s="89">
        <v>0</v>
      </c>
      <c r="IE854" s="817">
        <v>0</v>
      </c>
      <c r="IF854" s="717">
        <f t="shared" si="17463"/>
        <v>0</v>
      </c>
      <c r="IG854" s="263">
        <f t="shared" si="17464"/>
        <v>0</v>
      </c>
      <c r="IH854" s="718">
        <f t="shared" si="17465"/>
        <v>0</v>
      </c>
      <c r="II854" s="89">
        <v>0</v>
      </c>
      <c r="IJ854" s="89">
        <v>0</v>
      </c>
      <c r="IK854" s="89">
        <v>0</v>
      </c>
      <c r="IL854" s="89">
        <v>0</v>
      </c>
      <c r="IM854" s="89">
        <v>0</v>
      </c>
      <c r="IN854" s="89">
        <v>0</v>
      </c>
      <c r="IO854" s="89">
        <v>0</v>
      </c>
      <c r="IP854" s="89">
        <v>0</v>
      </c>
      <c r="IQ854" s="89">
        <v>0</v>
      </c>
      <c r="IR854" s="89">
        <v>0</v>
      </c>
      <c r="IS854" s="89">
        <v>0</v>
      </c>
      <c r="IT854" s="89">
        <v>0</v>
      </c>
      <c r="IU854" s="89">
        <v>0</v>
      </c>
      <c r="IV854" s="89">
        <v>0</v>
      </c>
      <c r="IW854" s="89">
        <v>0</v>
      </c>
      <c r="IX854" s="89">
        <v>0</v>
      </c>
      <c r="IY854" s="89">
        <v>0</v>
      </c>
      <c r="IZ854" s="89">
        <v>0</v>
      </c>
      <c r="JA854" s="89">
        <v>0</v>
      </c>
      <c r="JB854" s="89">
        <v>0</v>
      </c>
      <c r="JC854" s="89">
        <v>0</v>
      </c>
      <c r="JD854" s="89">
        <v>0</v>
      </c>
      <c r="JE854" s="89">
        <v>0</v>
      </c>
      <c r="JF854" s="89">
        <v>0</v>
      </c>
      <c r="JG854" s="89">
        <v>0</v>
      </c>
      <c r="JH854" s="89">
        <v>0</v>
      </c>
      <c r="JI854" s="89">
        <v>0</v>
      </c>
      <c r="JJ854" s="89">
        <v>0</v>
      </c>
      <c r="JK854" s="89">
        <v>0</v>
      </c>
      <c r="JL854" s="89">
        <v>0</v>
      </c>
      <c r="JM854" s="89">
        <v>0</v>
      </c>
      <c r="JN854" s="89">
        <v>0</v>
      </c>
      <c r="JO854" s="89">
        <v>0</v>
      </c>
      <c r="JP854" s="89">
        <v>0</v>
      </c>
      <c r="JQ854" s="89">
        <v>0</v>
      </c>
      <c r="JR854" s="89">
        <v>0</v>
      </c>
      <c r="JS854" s="74">
        <f>HG854-IF854</f>
        <v>0</v>
      </c>
      <c r="JT854" s="382">
        <f>GS854-IF854</f>
        <v>0</v>
      </c>
      <c r="JU854" s="665"/>
      <c r="JV854" s="524"/>
      <c r="JW854" s="525"/>
      <c r="JX854" s="549">
        <f>SUM(HH854,HJ854,HL854,HN854,HP854,HR854,HT854,HV854,HX854,HZ854,IB854,ID854)</f>
        <v>0</v>
      </c>
      <c r="JY854" s="549">
        <f t="shared" si="17176"/>
        <v>0</v>
      </c>
      <c r="JZ854" s="581">
        <f>GP854</f>
        <v>0</v>
      </c>
      <c r="KA854" s="581">
        <f>GQ854</f>
        <v>0</v>
      </c>
      <c r="KB854" s="566">
        <f t="shared" si="17031"/>
        <v>0</v>
      </c>
      <c r="KC854" s="709">
        <f t="shared" si="17277"/>
        <v>0</v>
      </c>
      <c r="KD854" s="494"/>
      <c r="KE854" s="494"/>
      <c r="KF854" s="494"/>
      <c r="KG854" s="494"/>
      <c r="KH854" s="57"/>
      <c r="KI854" s="57"/>
      <c r="KJ854" s="57"/>
      <c r="KK854" s="57"/>
    </row>
    <row r="855" spans="1:297" s="10" customFormat="1">
      <c r="A855" s="612"/>
      <c r="B855" s="512"/>
      <c r="C855" s="513"/>
      <c r="D855" s="553"/>
      <c r="E855" s="687"/>
      <c r="F855" s="553"/>
      <c r="G855" s="687"/>
      <c r="H855" s="553"/>
      <c r="I855" s="687"/>
      <c r="J855" s="553"/>
      <c r="K855" s="687"/>
      <c r="L855" s="553"/>
      <c r="M855" s="687"/>
      <c r="N855" s="553"/>
      <c r="O855" s="687"/>
      <c r="P855" s="553"/>
      <c r="Q855" s="687"/>
      <c r="R855" s="553"/>
      <c r="S855" s="687"/>
      <c r="T855" s="553"/>
      <c r="U855" s="687"/>
      <c r="V855" s="553"/>
      <c r="W855" s="687"/>
      <c r="X855" s="553"/>
      <c r="Y855" s="687"/>
      <c r="Z855" s="553"/>
      <c r="AA855" s="687"/>
      <c r="AB855" s="553"/>
      <c r="AC855" s="687"/>
      <c r="AD855" s="553"/>
      <c r="AE855" s="687"/>
      <c r="AF855" s="553"/>
      <c r="AG855" s="687"/>
      <c r="AH855" s="553"/>
      <c r="AI855" s="687"/>
      <c r="AJ855" s="553"/>
      <c r="AK855" s="687"/>
      <c r="AL855" s="553"/>
      <c r="AM855" s="687"/>
      <c r="AN855" s="553"/>
      <c r="AO855" s="687"/>
      <c r="AP855" s="553"/>
      <c r="AQ855" s="687"/>
      <c r="AR855" s="553"/>
      <c r="AS855" s="687"/>
      <c r="AT855" s="553"/>
      <c r="AU855" s="687"/>
      <c r="AV855" s="553"/>
      <c r="AW855" s="687"/>
      <c r="AX855" s="553"/>
      <c r="AY855" s="687"/>
      <c r="AZ855" s="553"/>
      <c r="BA855" s="687"/>
      <c r="BB855" s="553"/>
      <c r="BC855" s="687"/>
      <c r="BD855" s="553"/>
      <c r="BE855" s="687"/>
      <c r="BF855" s="553"/>
      <c r="BG855" s="687"/>
      <c r="BH855" s="553"/>
      <c r="BI855" s="687"/>
      <c r="BJ855" s="553"/>
      <c r="BK855" s="687"/>
      <c r="BL855" s="553"/>
      <c r="BM855" s="687"/>
      <c r="BN855" s="553"/>
      <c r="BO855" s="687"/>
      <c r="BP855" s="553"/>
      <c r="BQ855" s="687"/>
      <c r="BR855" s="553"/>
      <c r="BS855" s="687"/>
      <c r="BT855" s="553"/>
      <c r="BU855" s="687"/>
      <c r="BV855" s="553"/>
      <c r="BW855" s="687"/>
      <c r="BX855" s="553"/>
      <c r="BY855" s="687"/>
      <c r="BZ855" s="553"/>
      <c r="CA855" s="687"/>
      <c r="CB855" s="553"/>
      <c r="CC855" s="687"/>
      <c r="CD855" s="553"/>
      <c r="CE855" s="687"/>
      <c r="CF855" s="553"/>
      <c r="CG855" s="687"/>
      <c r="CH855" s="553"/>
      <c r="CI855" s="687"/>
      <c r="CJ855" s="553"/>
      <c r="CK855" s="687"/>
      <c r="CL855" s="553"/>
      <c r="CM855" s="687"/>
      <c r="CN855" s="553"/>
      <c r="CO855" s="687"/>
      <c r="CP855" s="553"/>
      <c r="CQ855" s="687"/>
      <c r="CR855" s="553"/>
      <c r="CS855" s="687"/>
      <c r="CT855" s="553"/>
      <c r="CU855" s="687"/>
      <c r="CV855" s="553"/>
      <c r="CW855" s="687"/>
      <c r="CX855" s="553"/>
      <c r="CY855" s="687"/>
      <c r="CZ855" s="553"/>
      <c r="DA855" s="687"/>
      <c r="DB855" s="553"/>
      <c r="DC855" s="687"/>
      <c r="DD855" s="553"/>
      <c r="DE855" s="687"/>
      <c r="DF855" s="553"/>
      <c r="DG855" s="687"/>
      <c r="DH855" s="553"/>
      <c r="DI855" s="687"/>
      <c r="DJ855" s="553"/>
      <c r="DK855" s="687"/>
      <c r="DL855" s="553"/>
      <c r="DM855" s="687"/>
      <c r="DN855" s="553"/>
      <c r="DO855" s="687"/>
      <c r="DP855" s="553"/>
      <c r="DQ855" s="687"/>
      <c r="DR855" s="553"/>
      <c r="DS855" s="687"/>
      <c r="DT855" s="553"/>
      <c r="DU855" s="687"/>
      <c r="DV855" s="553"/>
      <c r="DW855" s="687"/>
      <c r="DX855" s="553"/>
      <c r="DY855" s="687"/>
      <c r="DZ855" s="553"/>
      <c r="EA855" s="687"/>
      <c r="EB855" s="553"/>
      <c r="EC855" s="687"/>
      <c r="ED855" s="553"/>
      <c r="EE855" s="687"/>
      <c r="EF855" s="553"/>
      <c r="EG855" s="687"/>
      <c r="EH855" s="553"/>
      <c r="EI855" s="687"/>
      <c r="EJ855" s="553"/>
      <c r="EK855" s="687"/>
      <c r="EL855" s="553"/>
      <c r="EM855" s="687"/>
      <c r="EN855" s="553"/>
      <c r="EO855" s="687"/>
      <c r="EP855" s="553"/>
      <c r="EQ855" s="687"/>
      <c r="ER855" s="553"/>
      <c r="ES855" s="687"/>
      <c r="ET855" s="553"/>
      <c r="EU855" s="687"/>
      <c r="EV855" s="553"/>
      <c r="EW855" s="687"/>
      <c r="EX855" s="553"/>
      <c r="EY855" s="687"/>
      <c r="EZ855" s="553"/>
      <c r="FA855" s="687"/>
      <c r="FB855" s="553"/>
      <c r="FC855" s="687"/>
      <c r="FD855" s="553"/>
      <c r="FE855" s="687"/>
      <c r="FF855" s="553"/>
      <c r="FG855" s="687"/>
      <c r="FH855" s="553"/>
      <c r="FI855" s="687"/>
      <c r="FJ855" s="553"/>
      <c r="FK855" s="687"/>
      <c r="FL855" s="553"/>
      <c r="FM855" s="687"/>
      <c r="FN855" s="553"/>
      <c r="FO855" s="687"/>
      <c r="FP855" s="553"/>
      <c r="FQ855" s="687"/>
      <c r="FR855" s="553"/>
      <c r="FS855" s="687"/>
      <c r="FT855" s="553"/>
      <c r="FU855" s="687"/>
      <c r="FV855" s="553"/>
      <c r="FW855" s="687"/>
      <c r="FX855" s="553"/>
      <c r="FY855" s="687"/>
      <c r="FZ855" s="553"/>
      <c r="GA855" s="687"/>
      <c r="GB855" s="553"/>
      <c r="GC855" s="687"/>
      <c r="GD855" s="553"/>
      <c r="GE855" s="687"/>
      <c r="GF855" s="553"/>
      <c r="GG855" s="687"/>
      <c r="GH855" s="553"/>
      <c r="GI855" s="687"/>
      <c r="GJ855" s="553"/>
      <c r="GK855" s="687"/>
      <c r="GL855" s="553"/>
      <c r="GM855" s="687"/>
      <c r="GN855" s="553"/>
      <c r="GO855" s="687"/>
      <c r="GP855" s="553"/>
      <c r="GQ855" s="687"/>
      <c r="GR855" s="487"/>
      <c r="GS855" s="487"/>
      <c r="GT855" s="567"/>
      <c r="GU855" s="493"/>
      <c r="GV855" s="493"/>
      <c r="GW855" s="589"/>
      <c r="GX855" s="589"/>
      <c r="GY855" s="493"/>
      <c r="GZ855" s="493"/>
      <c r="HA855" s="493"/>
      <c r="HB855" s="493"/>
      <c r="HC855" s="493"/>
      <c r="HD855" s="493"/>
      <c r="HE855" s="493"/>
      <c r="HF855" s="493"/>
      <c r="HG855" s="487"/>
      <c r="HH855" s="488"/>
      <c r="HI855" s="829"/>
      <c r="HJ855" s="488"/>
      <c r="HK855" s="829"/>
      <c r="HL855" s="488"/>
      <c r="HM855" s="829"/>
      <c r="HN855" s="488"/>
      <c r="HO855" s="829"/>
      <c r="HP855" s="488"/>
      <c r="HQ855" s="829"/>
      <c r="HR855" s="488"/>
      <c r="HS855" s="829"/>
      <c r="HT855" s="488"/>
      <c r="HU855" s="829"/>
      <c r="HV855" s="488"/>
      <c r="HW855" s="829"/>
      <c r="HX855" s="488"/>
      <c r="HY855" s="829"/>
      <c r="HZ855" s="488"/>
      <c r="IA855" s="829"/>
      <c r="IB855" s="488"/>
      <c r="IC855" s="829"/>
      <c r="ID855" s="488"/>
      <c r="IE855" s="829"/>
      <c r="IF855" s="719"/>
      <c r="IG855" s="486"/>
      <c r="IH855" s="720"/>
      <c r="II855" s="488"/>
      <c r="IJ855" s="488"/>
      <c r="IK855" s="488"/>
      <c r="IL855" s="488"/>
      <c r="IM855" s="488"/>
      <c r="IN855" s="488"/>
      <c r="IO855" s="488"/>
      <c r="IP855" s="488"/>
      <c r="IQ855" s="488"/>
      <c r="IR855" s="488"/>
      <c r="IS855" s="488"/>
      <c r="IT855" s="488"/>
      <c r="IU855" s="488"/>
      <c r="IV855" s="488"/>
      <c r="IW855" s="488"/>
      <c r="IX855" s="488"/>
      <c r="IY855" s="488"/>
      <c r="IZ855" s="488"/>
      <c r="JA855" s="488"/>
      <c r="JB855" s="488"/>
      <c r="JC855" s="488"/>
      <c r="JD855" s="488"/>
      <c r="JE855" s="488"/>
      <c r="JF855" s="488"/>
      <c r="JG855" s="488"/>
      <c r="JH855" s="488"/>
      <c r="JI855" s="488"/>
      <c r="JJ855" s="488"/>
      <c r="JK855" s="488"/>
      <c r="JL855" s="488"/>
      <c r="JM855" s="488"/>
      <c r="JN855" s="488"/>
      <c r="JO855" s="488"/>
      <c r="JP855" s="488"/>
      <c r="JQ855" s="488"/>
      <c r="JR855" s="488"/>
      <c r="JS855" s="487"/>
      <c r="JT855" s="662"/>
      <c r="JU855" s="665"/>
      <c r="JV855" s="524"/>
      <c r="JW855" s="525"/>
      <c r="JX855" s="553"/>
      <c r="JY855" s="549">
        <f t="shared" si="17176"/>
        <v>0</v>
      </c>
      <c r="JZ855" s="581">
        <f t="shared" si="17318"/>
        <v>0</v>
      </c>
      <c r="KA855" s="581">
        <f t="shared" si="17319"/>
        <v>0</v>
      </c>
      <c r="KB855" s="566">
        <f t="shared" si="17031"/>
        <v>0</v>
      </c>
      <c r="KC855" s="709">
        <f t="shared" si="17277"/>
        <v>0</v>
      </c>
      <c r="KD855" s="494"/>
      <c r="KE855" s="494"/>
      <c r="KF855" s="494"/>
      <c r="KG855" s="494"/>
      <c r="KH855" s="57"/>
      <c r="KI855" s="57"/>
      <c r="KJ855" s="57"/>
      <c r="KK855" s="57"/>
    </row>
    <row r="856" spans="1:297" s="10" customFormat="1">
      <c r="A856" s="613" t="s">
        <v>750</v>
      </c>
      <c r="B856" s="514" t="s">
        <v>1009</v>
      </c>
      <c r="C856" s="513">
        <f>C858</f>
        <v>100000</v>
      </c>
      <c r="D856" s="567">
        <f t="shared" ref="D856:E856" si="17496">D858+D857</f>
        <v>0</v>
      </c>
      <c r="E856" s="686">
        <f t="shared" si="17496"/>
        <v>0</v>
      </c>
      <c r="F856" s="567">
        <f t="shared" ref="F856:G856" si="17497">F858+F857</f>
        <v>0</v>
      </c>
      <c r="G856" s="686">
        <f t="shared" si="17497"/>
        <v>0</v>
      </c>
      <c r="H856" s="567">
        <f t="shared" ref="H856:AO856" si="17498">H858+H857</f>
        <v>0</v>
      </c>
      <c r="I856" s="686">
        <f t="shared" si="17498"/>
        <v>0</v>
      </c>
      <c r="J856" s="567">
        <f t="shared" si="17498"/>
        <v>0</v>
      </c>
      <c r="K856" s="686">
        <f t="shared" si="17498"/>
        <v>0</v>
      </c>
      <c r="L856" s="567">
        <f t="shared" si="17498"/>
        <v>0</v>
      </c>
      <c r="M856" s="686">
        <f t="shared" si="17498"/>
        <v>0</v>
      </c>
      <c r="N856" s="567">
        <f t="shared" si="17498"/>
        <v>0</v>
      </c>
      <c r="O856" s="686">
        <f t="shared" si="17498"/>
        <v>0</v>
      </c>
      <c r="P856" s="567">
        <f t="shared" si="17498"/>
        <v>0</v>
      </c>
      <c r="Q856" s="686">
        <f t="shared" si="17498"/>
        <v>0</v>
      </c>
      <c r="R856" s="567">
        <f t="shared" si="17498"/>
        <v>0</v>
      </c>
      <c r="S856" s="686">
        <f t="shared" si="17498"/>
        <v>0</v>
      </c>
      <c r="T856" s="567">
        <f t="shared" si="17498"/>
        <v>0</v>
      </c>
      <c r="U856" s="686">
        <f t="shared" si="17498"/>
        <v>0</v>
      </c>
      <c r="V856" s="567">
        <f t="shared" si="17498"/>
        <v>0</v>
      </c>
      <c r="W856" s="686">
        <f t="shared" si="17498"/>
        <v>0</v>
      </c>
      <c r="X856" s="567">
        <f t="shared" si="17498"/>
        <v>0</v>
      </c>
      <c r="Y856" s="686">
        <f t="shared" si="17498"/>
        <v>0</v>
      </c>
      <c r="Z856" s="567">
        <f t="shared" si="17498"/>
        <v>0</v>
      </c>
      <c r="AA856" s="686">
        <f t="shared" si="17498"/>
        <v>-100000</v>
      </c>
      <c r="AB856" s="567">
        <f t="shared" si="17498"/>
        <v>0</v>
      </c>
      <c r="AC856" s="686">
        <f t="shared" si="17498"/>
        <v>0</v>
      </c>
      <c r="AD856" s="567">
        <f t="shared" si="17498"/>
        <v>0</v>
      </c>
      <c r="AE856" s="686">
        <f t="shared" si="17498"/>
        <v>0</v>
      </c>
      <c r="AF856" s="567">
        <f t="shared" si="17498"/>
        <v>0</v>
      </c>
      <c r="AG856" s="686">
        <f t="shared" si="17498"/>
        <v>0</v>
      </c>
      <c r="AH856" s="567">
        <f t="shared" si="17498"/>
        <v>0</v>
      </c>
      <c r="AI856" s="686">
        <f t="shared" si="17498"/>
        <v>0</v>
      </c>
      <c r="AJ856" s="567">
        <f t="shared" si="17498"/>
        <v>0</v>
      </c>
      <c r="AK856" s="686">
        <f t="shared" si="17498"/>
        <v>0</v>
      </c>
      <c r="AL856" s="567">
        <f t="shared" si="17498"/>
        <v>0</v>
      </c>
      <c r="AM856" s="686">
        <f t="shared" si="17498"/>
        <v>0</v>
      </c>
      <c r="AN856" s="567">
        <f t="shared" si="17498"/>
        <v>0</v>
      </c>
      <c r="AO856" s="686">
        <f t="shared" si="17498"/>
        <v>0</v>
      </c>
      <c r="AP856" s="567">
        <f t="shared" ref="AP856:AQ856" si="17499">AP858+AP857</f>
        <v>0</v>
      </c>
      <c r="AQ856" s="686">
        <f t="shared" si="17499"/>
        <v>0</v>
      </c>
      <c r="AR856" s="567">
        <f t="shared" ref="AR856:AS856" si="17500">AR858+AR857</f>
        <v>0</v>
      </c>
      <c r="AS856" s="686">
        <f t="shared" si="17500"/>
        <v>0</v>
      </c>
      <c r="AT856" s="567">
        <f t="shared" ref="AT856:AU856" si="17501">AT858+AT857</f>
        <v>0</v>
      </c>
      <c r="AU856" s="686">
        <f t="shared" si="17501"/>
        <v>0</v>
      </c>
      <c r="AV856" s="567">
        <f t="shared" ref="AV856:AW856" si="17502">AV858+AV857</f>
        <v>0</v>
      </c>
      <c r="AW856" s="686">
        <f t="shared" si="17502"/>
        <v>0</v>
      </c>
      <c r="AX856" s="567">
        <f t="shared" ref="AX856:AY856" si="17503">AX858+AX857</f>
        <v>0</v>
      </c>
      <c r="AY856" s="686">
        <f t="shared" si="17503"/>
        <v>0</v>
      </c>
      <c r="AZ856" s="567">
        <f t="shared" ref="AZ856:BU856" si="17504">AZ858+AZ857</f>
        <v>0</v>
      </c>
      <c r="BA856" s="686">
        <f t="shared" si="17504"/>
        <v>0</v>
      </c>
      <c r="BB856" s="567">
        <f t="shared" si="17504"/>
        <v>0</v>
      </c>
      <c r="BC856" s="686">
        <f t="shared" si="17504"/>
        <v>0</v>
      </c>
      <c r="BD856" s="567">
        <f t="shared" si="17504"/>
        <v>0</v>
      </c>
      <c r="BE856" s="686">
        <f t="shared" si="17504"/>
        <v>0</v>
      </c>
      <c r="BF856" s="567">
        <f t="shared" si="17504"/>
        <v>0</v>
      </c>
      <c r="BG856" s="686">
        <f t="shared" si="17504"/>
        <v>0</v>
      </c>
      <c r="BH856" s="567">
        <f t="shared" si="17504"/>
        <v>0</v>
      </c>
      <c r="BI856" s="686">
        <f t="shared" si="17504"/>
        <v>0</v>
      </c>
      <c r="BJ856" s="567">
        <f t="shared" si="17504"/>
        <v>0</v>
      </c>
      <c r="BK856" s="686">
        <f t="shared" si="17504"/>
        <v>0</v>
      </c>
      <c r="BL856" s="567">
        <f t="shared" si="17504"/>
        <v>0</v>
      </c>
      <c r="BM856" s="686">
        <f t="shared" si="17504"/>
        <v>0</v>
      </c>
      <c r="BN856" s="567">
        <f t="shared" si="17504"/>
        <v>0</v>
      </c>
      <c r="BO856" s="686">
        <f t="shared" si="17504"/>
        <v>0</v>
      </c>
      <c r="BP856" s="567">
        <f t="shared" si="17504"/>
        <v>0</v>
      </c>
      <c r="BQ856" s="686">
        <f t="shared" si="17504"/>
        <v>0</v>
      </c>
      <c r="BR856" s="567">
        <f t="shared" si="17504"/>
        <v>0</v>
      </c>
      <c r="BS856" s="686">
        <f t="shared" si="17504"/>
        <v>0</v>
      </c>
      <c r="BT856" s="567">
        <f t="shared" si="17504"/>
        <v>0</v>
      </c>
      <c r="BU856" s="686">
        <f t="shared" si="17504"/>
        <v>0</v>
      </c>
      <c r="BV856" s="567">
        <f t="shared" ref="BV856:BW856" si="17505">BV858+BV857</f>
        <v>0</v>
      </c>
      <c r="BW856" s="686">
        <f t="shared" si="17505"/>
        <v>0</v>
      </c>
      <c r="BX856" s="567">
        <f t="shared" ref="BX856:BY856" si="17506">BX858+BX857</f>
        <v>0</v>
      </c>
      <c r="BY856" s="686">
        <f t="shared" si="17506"/>
        <v>0</v>
      </c>
      <c r="BZ856" s="567">
        <f t="shared" ref="BZ856:CA856" si="17507">BZ858+BZ857</f>
        <v>0</v>
      </c>
      <c r="CA856" s="686">
        <f t="shared" si="17507"/>
        <v>0</v>
      </c>
      <c r="CB856" s="567">
        <f t="shared" ref="CB856:DA856" si="17508">CB858+CB857</f>
        <v>0</v>
      </c>
      <c r="CC856" s="686">
        <f t="shared" si="17508"/>
        <v>0</v>
      </c>
      <c r="CD856" s="567">
        <f t="shared" si="17508"/>
        <v>0</v>
      </c>
      <c r="CE856" s="686">
        <f t="shared" si="17508"/>
        <v>0</v>
      </c>
      <c r="CF856" s="567">
        <f t="shared" si="17508"/>
        <v>0</v>
      </c>
      <c r="CG856" s="686">
        <f t="shared" si="17508"/>
        <v>0</v>
      </c>
      <c r="CH856" s="567">
        <f t="shared" si="17508"/>
        <v>0</v>
      </c>
      <c r="CI856" s="686">
        <f t="shared" si="17508"/>
        <v>0</v>
      </c>
      <c r="CJ856" s="567">
        <f t="shared" si="17508"/>
        <v>0</v>
      </c>
      <c r="CK856" s="686">
        <f t="shared" si="17508"/>
        <v>0</v>
      </c>
      <c r="CL856" s="567">
        <f t="shared" si="17508"/>
        <v>0</v>
      </c>
      <c r="CM856" s="686">
        <f t="shared" si="17508"/>
        <v>0</v>
      </c>
      <c r="CN856" s="567">
        <f t="shared" si="17508"/>
        <v>0</v>
      </c>
      <c r="CO856" s="686">
        <f t="shared" si="17508"/>
        <v>0</v>
      </c>
      <c r="CP856" s="567">
        <f t="shared" si="17508"/>
        <v>0</v>
      </c>
      <c r="CQ856" s="686">
        <f t="shared" si="17508"/>
        <v>0</v>
      </c>
      <c r="CR856" s="567">
        <f t="shared" si="17508"/>
        <v>0</v>
      </c>
      <c r="CS856" s="686">
        <f t="shared" si="17508"/>
        <v>0</v>
      </c>
      <c r="CT856" s="567">
        <f t="shared" si="17508"/>
        <v>0</v>
      </c>
      <c r="CU856" s="686">
        <f t="shared" si="17508"/>
        <v>0</v>
      </c>
      <c r="CV856" s="567">
        <f t="shared" si="17508"/>
        <v>0</v>
      </c>
      <c r="CW856" s="686">
        <f t="shared" si="17508"/>
        <v>0</v>
      </c>
      <c r="CX856" s="567">
        <f t="shared" si="17508"/>
        <v>0</v>
      </c>
      <c r="CY856" s="686">
        <f t="shared" si="17508"/>
        <v>0</v>
      </c>
      <c r="CZ856" s="567">
        <f t="shared" si="17508"/>
        <v>0</v>
      </c>
      <c r="DA856" s="686">
        <f t="shared" si="17508"/>
        <v>0</v>
      </c>
      <c r="DB856" s="567">
        <f t="shared" ref="DB856:EG856" si="17509">DB858+DB857</f>
        <v>0</v>
      </c>
      <c r="DC856" s="686">
        <f t="shared" si="17509"/>
        <v>0</v>
      </c>
      <c r="DD856" s="567">
        <f t="shared" si="17509"/>
        <v>0</v>
      </c>
      <c r="DE856" s="686">
        <f t="shared" si="17509"/>
        <v>0</v>
      </c>
      <c r="DF856" s="567">
        <f t="shared" si="17509"/>
        <v>0</v>
      </c>
      <c r="DG856" s="686">
        <f t="shared" si="17509"/>
        <v>0</v>
      </c>
      <c r="DH856" s="567">
        <f t="shared" si="17509"/>
        <v>0</v>
      </c>
      <c r="DI856" s="686">
        <f t="shared" si="17509"/>
        <v>0</v>
      </c>
      <c r="DJ856" s="567">
        <f t="shared" si="17509"/>
        <v>0</v>
      </c>
      <c r="DK856" s="686">
        <f t="shared" si="17509"/>
        <v>0</v>
      </c>
      <c r="DL856" s="567">
        <f t="shared" si="17509"/>
        <v>0</v>
      </c>
      <c r="DM856" s="686">
        <f t="shared" si="17509"/>
        <v>0</v>
      </c>
      <c r="DN856" s="567">
        <f t="shared" si="17509"/>
        <v>0</v>
      </c>
      <c r="DO856" s="686">
        <f t="shared" si="17509"/>
        <v>0</v>
      </c>
      <c r="DP856" s="567">
        <f t="shared" si="17509"/>
        <v>0</v>
      </c>
      <c r="DQ856" s="686">
        <f t="shared" si="17509"/>
        <v>0</v>
      </c>
      <c r="DR856" s="567">
        <f t="shared" si="17509"/>
        <v>0</v>
      </c>
      <c r="DS856" s="686">
        <f t="shared" si="17509"/>
        <v>0</v>
      </c>
      <c r="DT856" s="567">
        <f t="shared" si="17509"/>
        <v>0</v>
      </c>
      <c r="DU856" s="686">
        <f t="shared" si="17509"/>
        <v>0</v>
      </c>
      <c r="DV856" s="567">
        <f t="shared" si="17509"/>
        <v>0</v>
      </c>
      <c r="DW856" s="686">
        <f t="shared" si="17509"/>
        <v>0</v>
      </c>
      <c r="DX856" s="567">
        <f t="shared" si="17509"/>
        <v>0</v>
      </c>
      <c r="DY856" s="686">
        <f t="shared" si="17509"/>
        <v>0</v>
      </c>
      <c r="DZ856" s="567">
        <f t="shared" si="17509"/>
        <v>0</v>
      </c>
      <c r="EA856" s="686">
        <f t="shared" si="17509"/>
        <v>0</v>
      </c>
      <c r="EB856" s="567">
        <f t="shared" si="17509"/>
        <v>0</v>
      </c>
      <c r="EC856" s="686">
        <f t="shared" si="17509"/>
        <v>0</v>
      </c>
      <c r="ED856" s="567">
        <f t="shared" si="17509"/>
        <v>0</v>
      </c>
      <c r="EE856" s="686">
        <f t="shared" si="17509"/>
        <v>0</v>
      </c>
      <c r="EF856" s="567">
        <f t="shared" si="17509"/>
        <v>0</v>
      </c>
      <c r="EG856" s="686">
        <f t="shared" si="17509"/>
        <v>0</v>
      </c>
      <c r="EH856" s="567">
        <f t="shared" ref="EH856:GQ856" si="17510">EH858+EH857</f>
        <v>0</v>
      </c>
      <c r="EI856" s="686">
        <f t="shared" si="17510"/>
        <v>0</v>
      </c>
      <c r="EJ856" s="567">
        <f t="shared" si="17510"/>
        <v>0</v>
      </c>
      <c r="EK856" s="686">
        <f t="shared" si="17510"/>
        <v>0</v>
      </c>
      <c r="EL856" s="567">
        <f t="shared" si="17510"/>
        <v>0</v>
      </c>
      <c r="EM856" s="686">
        <f t="shared" si="17510"/>
        <v>0</v>
      </c>
      <c r="EN856" s="567">
        <f t="shared" si="17510"/>
        <v>0</v>
      </c>
      <c r="EO856" s="686">
        <f t="shared" si="17510"/>
        <v>0</v>
      </c>
      <c r="EP856" s="567">
        <f t="shared" si="17510"/>
        <v>0</v>
      </c>
      <c r="EQ856" s="686">
        <f t="shared" si="17510"/>
        <v>0</v>
      </c>
      <c r="ER856" s="567">
        <f t="shared" si="17510"/>
        <v>0</v>
      </c>
      <c r="ES856" s="686">
        <f t="shared" si="17510"/>
        <v>0</v>
      </c>
      <c r="ET856" s="567">
        <f t="shared" si="17510"/>
        <v>0</v>
      </c>
      <c r="EU856" s="686">
        <f t="shared" si="17510"/>
        <v>0</v>
      </c>
      <c r="EV856" s="567">
        <f t="shared" si="17510"/>
        <v>0</v>
      </c>
      <c r="EW856" s="686">
        <f t="shared" si="17510"/>
        <v>0</v>
      </c>
      <c r="EX856" s="567">
        <f t="shared" si="17510"/>
        <v>0</v>
      </c>
      <c r="EY856" s="686">
        <f t="shared" si="17510"/>
        <v>0</v>
      </c>
      <c r="EZ856" s="567">
        <f t="shared" si="17510"/>
        <v>0</v>
      </c>
      <c r="FA856" s="686">
        <f t="shared" si="17510"/>
        <v>0</v>
      </c>
      <c r="FB856" s="567">
        <f t="shared" si="17510"/>
        <v>0</v>
      </c>
      <c r="FC856" s="686">
        <f t="shared" si="17510"/>
        <v>0</v>
      </c>
      <c r="FD856" s="567">
        <f t="shared" si="17510"/>
        <v>0</v>
      </c>
      <c r="FE856" s="686">
        <f t="shared" si="17510"/>
        <v>0</v>
      </c>
      <c r="FF856" s="567">
        <f t="shared" si="17510"/>
        <v>0</v>
      </c>
      <c r="FG856" s="686">
        <f t="shared" si="17510"/>
        <v>0</v>
      </c>
      <c r="FH856" s="567">
        <f t="shared" si="17510"/>
        <v>0</v>
      </c>
      <c r="FI856" s="686">
        <f t="shared" si="17510"/>
        <v>0</v>
      </c>
      <c r="FJ856" s="567">
        <f t="shared" si="17510"/>
        <v>0</v>
      </c>
      <c r="FK856" s="686">
        <f t="shared" si="17510"/>
        <v>0</v>
      </c>
      <c r="FL856" s="567">
        <f t="shared" ref="FL856:FM856" si="17511">FL858+FL857</f>
        <v>0</v>
      </c>
      <c r="FM856" s="686">
        <f t="shared" si="17511"/>
        <v>0</v>
      </c>
      <c r="FN856" s="567">
        <f t="shared" ref="FN856:FO856" si="17512">FN858+FN857</f>
        <v>0</v>
      </c>
      <c r="FO856" s="686">
        <f t="shared" si="17512"/>
        <v>0</v>
      </c>
      <c r="FP856" s="567">
        <f t="shared" ref="FP856:FQ856" si="17513">FP858+FP857</f>
        <v>0</v>
      </c>
      <c r="FQ856" s="686">
        <f t="shared" si="17513"/>
        <v>0</v>
      </c>
      <c r="FR856" s="567">
        <f t="shared" ref="FR856:FS856" si="17514">FR858+FR857</f>
        <v>0</v>
      </c>
      <c r="FS856" s="686">
        <f t="shared" si="17514"/>
        <v>0</v>
      </c>
      <c r="FT856" s="567">
        <f t="shared" ref="FT856:FU856" si="17515">FT858+FT857</f>
        <v>0</v>
      </c>
      <c r="FU856" s="686">
        <f t="shared" si="17515"/>
        <v>0</v>
      </c>
      <c r="FV856" s="567">
        <f t="shared" ref="FV856:GK856" si="17516">FV858+FV857</f>
        <v>0</v>
      </c>
      <c r="FW856" s="686">
        <f t="shared" si="17516"/>
        <v>0</v>
      </c>
      <c r="FX856" s="567">
        <f t="shared" si="17516"/>
        <v>0</v>
      </c>
      <c r="FY856" s="686">
        <f t="shared" si="17516"/>
        <v>0</v>
      </c>
      <c r="FZ856" s="567">
        <f t="shared" ref="FZ856:GI856" si="17517">FZ858+FZ857</f>
        <v>0</v>
      </c>
      <c r="GA856" s="686">
        <f t="shared" si="17517"/>
        <v>0</v>
      </c>
      <c r="GB856" s="567">
        <f t="shared" si="17517"/>
        <v>0</v>
      </c>
      <c r="GC856" s="686">
        <f t="shared" si="17517"/>
        <v>0</v>
      </c>
      <c r="GD856" s="567">
        <f t="shared" si="17517"/>
        <v>0</v>
      </c>
      <c r="GE856" s="686">
        <f t="shared" si="17517"/>
        <v>0</v>
      </c>
      <c r="GF856" s="567">
        <f t="shared" si="17517"/>
        <v>0</v>
      </c>
      <c r="GG856" s="686">
        <f t="shared" si="17517"/>
        <v>0</v>
      </c>
      <c r="GH856" s="567">
        <f t="shared" si="17517"/>
        <v>0</v>
      </c>
      <c r="GI856" s="686">
        <f t="shared" si="17517"/>
        <v>0</v>
      </c>
      <c r="GJ856" s="567">
        <f t="shared" si="17516"/>
        <v>0</v>
      </c>
      <c r="GK856" s="686">
        <f t="shared" si="17516"/>
        <v>0</v>
      </c>
      <c r="GL856" s="567">
        <f t="shared" ref="GL856:GM856" si="17518">GL858+GL857</f>
        <v>0</v>
      </c>
      <c r="GM856" s="686">
        <f t="shared" si="17518"/>
        <v>0</v>
      </c>
      <c r="GN856" s="567">
        <f t="shared" ref="GN856:GO856" si="17519">GN858+GN857</f>
        <v>0</v>
      </c>
      <c r="GO856" s="686">
        <f t="shared" si="17519"/>
        <v>0</v>
      </c>
      <c r="GP856" s="567">
        <f t="shared" si="17510"/>
        <v>0</v>
      </c>
      <c r="GQ856" s="686">
        <f t="shared" si="17510"/>
        <v>-100000</v>
      </c>
      <c r="GR856" s="513">
        <f t="shared" ref="GR856:GS856" si="17520">GR858+GR857</f>
        <v>0</v>
      </c>
      <c r="GS856" s="513">
        <f t="shared" si="17520"/>
        <v>0</v>
      </c>
      <c r="GT856" s="567">
        <f>SUM(GT857:GT858)</f>
        <v>0</v>
      </c>
      <c r="GU856" s="513">
        <f t="shared" ref="GU856:HF856" si="17521">GU858</f>
        <v>20000</v>
      </c>
      <c r="GV856" s="513">
        <f t="shared" si="17521"/>
        <v>80000</v>
      </c>
      <c r="GW856" s="567">
        <f t="shared" si="17521"/>
        <v>0</v>
      </c>
      <c r="GX856" s="567">
        <f t="shared" si="17521"/>
        <v>0</v>
      </c>
      <c r="GY856" s="513">
        <f t="shared" si="17521"/>
        <v>0</v>
      </c>
      <c r="GZ856" s="513">
        <f t="shared" si="17521"/>
        <v>0</v>
      </c>
      <c r="HA856" s="513">
        <f t="shared" si="17521"/>
        <v>0</v>
      </c>
      <c r="HB856" s="513">
        <f t="shared" si="17521"/>
        <v>0</v>
      </c>
      <c r="HC856" s="513">
        <f t="shared" si="17521"/>
        <v>0</v>
      </c>
      <c r="HD856" s="513">
        <f t="shared" si="17521"/>
        <v>0</v>
      </c>
      <c r="HE856" s="513">
        <f t="shared" si="17521"/>
        <v>0</v>
      </c>
      <c r="HF856" s="513">
        <f t="shared" si="17521"/>
        <v>0</v>
      </c>
      <c r="HG856" s="513">
        <f>HG858+HG857</f>
        <v>0</v>
      </c>
      <c r="HH856" s="513">
        <f t="shared" ref="HH856:HI856" si="17522">HH858</f>
        <v>0</v>
      </c>
      <c r="HI856" s="827">
        <f t="shared" si="17522"/>
        <v>0</v>
      </c>
      <c r="HJ856" s="513">
        <f t="shared" ref="HJ856:HQ856" si="17523">HJ858</f>
        <v>0</v>
      </c>
      <c r="HK856" s="827">
        <f t="shared" si="17523"/>
        <v>0</v>
      </c>
      <c r="HL856" s="513">
        <f t="shared" si="17523"/>
        <v>0</v>
      </c>
      <c r="HM856" s="827">
        <f t="shared" si="17523"/>
        <v>100000</v>
      </c>
      <c r="HN856" s="513">
        <f t="shared" si="17523"/>
        <v>0</v>
      </c>
      <c r="HO856" s="827">
        <f t="shared" si="17523"/>
        <v>0</v>
      </c>
      <c r="HP856" s="513">
        <f t="shared" si="17523"/>
        <v>0</v>
      </c>
      <c r="HQ856" s="827">
        <f t="shared" si="17523"/>
        <v>0</v>
      </c>
      <c r="HR856" s="513">
        <f t="shared" ref="HR856:HS856" si="17524">HR858</f>
        <v>0</v>
      </c>
      <c r="HS856" s="827">
        <f t="shared" si="17524"/>
        <v>0</v>
      </c>
      <c r="HT856" s="513">
        <f t="shared" ref="HT856:HU856" si="17525">HT858</f>
        <v>0</v>
      </c>
      <c r="HU856" s="827">
        <f t="shared" si="17525"/>
        <v>0</v>
      </c>
      <c r="HV856" s="513">
        <f t="shared" ref="HV856:HW856" si="17526">HV858</f>
        <v>0</v>
      </c>
      <c r="HW856" s="827">
        <f t="shared" si="17526"/>
        <v>0</v>
      </c>
      <c r="HX856" s="513">
        <f t="shared" ref="HX856:HY856" si="17527">HX858</f>
        <v>0</v>
      </c>
      <c r="HY856" s="827">
        <f t="shared" si="17527"/>
        <v>0</v>
      </c>
      <c r="HZ856" s="513">
        <f t="shared" ref="HZ856:IA856" si="17528">HZ858</f>
        <v>0</v>
      </c>
      <c r="IA856" s="827">
        <f t="shared" si="17528"/>
        <v>0</v>
      </c>
      <c r="IB856" s="513">
        <f t="shared" ref="IB856:IC856" si="17529">IB858</f>
        <v>0</v>
      </c>
      <c r="IC856" s="827">
        <f t="shared" si="17529"/>
        <v>0</v>
      </c>
      <c r="ID856" s="513">
        <f t="shared" ref="ID856:IE856" si="17530">ID858</f>
        <v>0</v>
      </c>
      <c r="IE856" s="827">
        <f t="shared" si="17530"/>
        <v>0</v>
      </c>
      <c r="IF856" s="715">
        <f>IF858+IF857</f>
        <v>0</v>
      </c>
      <c r="IG856" s="704">
        <f>IG858+IG857</f>
        <v>0</v>
      </c>
      <c r="IH856" s="716">
        <f>IH858+IH857</f>
        <v>0</v>
      </c>
      <c r="II856" s="513">
        <f t="shared" ref="II856:IK856" si="17531">II858</f>
        <v>0</v>
      </c>
      <c r="IJ856" s="513">
        <f t="shared" si="17531"/>
        <v>0</v>
      </c>
      <c r="IK856" s="513">
        <f t="shared" si="17531"/>
        <v>0</v>
      </c>
      <c r="IL856" s="513">
        <f t="shared" ref="IL856:IW856" si="17532">IL858</f>
        <v>0</v>
      </c>
      <c r="IM856" s="513">
        <f t="shared" si="17532"/>
        <v>0</v>
      </c>
      <c r="IN856" s="513">
        <f t="shared" si="17532"/>
        <v>0</v>
      </c>
      <c r="IO856" s="513">
        <f t="shared" si="17532"/>
        <v>0</v>
      </c>
      <c r="IP856" s="513">
        <f t="shared" si="17532"/>
        <v>0</v>
      </c>
      <c r="IQ856" s="513">
        <f t="shared" si="17532"/>
        <v>0</v>
      </c>
      <c r="IR856" s="513">
        <f t="shared" si="17532"/>
        <v>0</v>
      </c>
      <c r="IS856" s="513">
        <f t="shared" si="17532"/>
        <v>0</v>
      </c>
      <c r="IT856" s="513">
        <f t="shared" si="17532"/>
        <v>0</v>
      </c>
      <c r="IU856" s="513">
        <f t="shared" si="17532"/>
        <v>0</v>
      </c>
      <c r="IV856" s="513">
        <f t="shared" si="17532"/>
        <v>0</v>
      </c>
      <c r="IW856" s="513">
        <f t="shared" si="17532"/>
        <v>0</v>
      </c>
      <c r="IX856" s="513">
        <f t="shared" ref="IX856:IZ856" si="17533">IX858</f>
        <v>0</v>
      </c>
      <c r="IY856" s="513">
        <f t="shared" si="17533"/>
        <v>0</v>
      </c>
      <c r="IZ856" s="513">
        <f t="shared" si="17533"/>
        <v>0</v>
      </c>
      <c r="JA856" s="513">
        <f t="shared" ref="JA856:JC856" si="17534">JA858</f>
        <v>0</v>
      </c>
      <c r="JB856" s="513">
        <f t="shared" si="17534"/>
        <v>0</v>
      </c>
      <c r="JC856" s="513">
        <f t="shared" si="17534"/>
        <v>0</v>
      </c>
      <c r="JD856" s="513">
        <f t="shared" ref="JD856:JF856" si="17535">JD858</f>
        <v>0</v>
      </c>
      <c r="JE856" s="513">
        <f t="shared" si="17535"/>
        <v>0</v>
      </c>
      <c r="JF856" s="513">
        <f t="shared" si="17535"/>
        <v>0</v>
      </c>
      <c r="JG856" s="513">
        <f t="shared" ref="JG856:JI856" si="17536">JG858</f>
        <v>0</v>
      </c>
      <c r="JH856" s="513">
        <f t="shared" si="17536"/>
        <v>0</v>
      </c>
      <c r="JI856" s="513">
        <f t="shared" si="17536"/>
        <v>0</v>
      </c>
      <c r="JJ856" s="513">
        <f t="shared" ref="JJ856:JL856" si="17537">JJ858</f>
        <v>0</v>
      </c>
      <c r="JK856" s="513">
        <f t="shared" si="17537"/>
        <v>0</v>
      </c>
      <c r="JL856" s="513">
        <f t="shared" si="17537"/>
        <v>0</v>
      </c>
      <c r="JM856" s="513">
        <f t="shared" ref="JM856:JO856" si="17538">JM858</f>
        <v>0</v>
      </c>
      <c r="JN856" s="513">
        <f t="shared" si="17538"/>
        <v>0</v>
      </c>
      <c r="JO856" s="513">
        <f t="shared" si="17538"/>
        <v>0</v>
      </c>
      <c r="JP856" s="513">
        <f t="shared" ref="JP856:JX856" si="17539">JP858</f>
        <v>0</v>
      </c>
      <c r="JQ856" s="513">
        <f t="shared" si="17539"/>
        <v>0</v>
      </c>
      <c r="JR856" s="513">
        <f t="shared" si="17539"/>
        <v>0</v>
      </c>
      <c r="JS856" s="513">
        <f>JS858+JS857</f>
        <v>0</v>
      </c>
      <c r="JT856" s="573">
        <f>JT858+JT857</f>
        <v>0</v>
      </c>
      <c r="JU856" s="665"/>
      <c r="JV856" s="524"/>
      <c r="JW856" s="525"/>
      <c r="JX856" s="567">
        <f t="shared" si="17539"/>
        <v>0</v>
      </c>
      <c r="JY856" s="513">
        <f>SUM(JY857:JY858)</f>
        <v>100000</v>
      </c>
      <c r="JZ856" s="513">
        <f t="shared" ref="JZ856:KB856" si="17540">SUM(JZ857:JZ858)</f>
        <v>0</v>
      </c>
      <c r="KA856" s="513">
        <f t="shared" si="17540"/>
        <v>-100000</v>
      </c>
      <c r="KB856" s="513">
        <f t="shared" si="17540"/>
        <v>0</v>
      </c>
      <c r="KC856" s="709">
        <f t="shared" si="17277"/>
        <v>0</v>
      </c>
      <c r="KD856" s="494"/>
      <c r="KE856" s="494"/>
      <c r="KF856" s="494"/>
      <c r="KG856" s="494"/>
      <c r="KH856" s="57"/>
      <c r="KI856" s="57"/>
      <c r="KJ856" s="57"/>
      <c r="KK856" s="57"/>
    </row>
    <row r="857" spans="1:297" s="10" customFormat="1" ht="12.75" hidden="1" customHeight="1">
      <c r="A857" s="612" t="s">
        <v>1158</v>
      </c>
      <c r="B857" s="514"/>
      <c r="C857" s="513">
        <v>0</v>
      </c>
      <c r="D857" s="567">
        <v>0</v>
      </c>
      <c r="E857" s="686">
        <v>0</v>
      </c>
      <c r="F857" s="567">
        <v>0</v>
      </c>
      <c r="G857" s="686">
        <v>0</v>
      </c>
      <c r="H857" s="567">
        <v>0</v>
      </c>
      <c r="I857" s="686">
        <v>0</v>
      </c>
      <c r="J857" s="567">
        <v>0</v>
      </c>
      <c r="K857" s="686">
        <v>0</v>
      </c>
      <c r="L857" s="567">
        <v>0</v>
      </c>
      <c r="M857" s="686">
        <v>0</v>
      </c>
      <c r="N857" s="567">
        <v>0</v>
      </c>
      <c r="O857" s="686">
        <v>0</v>
      </c>
      <c r="P857" s="567">
        <v>0</v>
      </c>
      <c r="Q857" s="686">
        <v>0</v>
      </c>
      <c r="R857" s="567">
        <v>0</v>
      </c>
      <c r="S857" s="686">
        <v>0</v>
      </c>
      <c r="T857" s="567">
        <v>0</v>
      </c>
      <c r="U857" s="686">
        <v>0</v>
      </c>
      <c r="V857" s="567">
        <v>0</v>
      </c>
      <c r="W857" s="686">
        <v>0</v>
      </c>
      <c r="X857" s="567">
        <v>0</v>
      </c>
      <c r="Y857" s="686">
        <v>0</v>
      </c>
      <c r="Z857" s="567">
        <v>0</v>
      </c>
      <c r="AA857" s="686">
        <v>0</v>
      </c>
      <c r="AB857" s="567">
        <v>0</v>
      </c>
      <c r="AC857" s="686">
        <v>0</v>
      </c>
      <c r="AD857" s="567">
        <v>0</v>
      </c>
      <c r="AE857" s="686">
        <v>0</v>
      </c>
      <c r="AF857" s="567">
        <v>0</v>
      </c>
      <c r="AG857" s="686">
        <v>0</v>
      </c>
      <c r="AH857" s="567">
        <v>0</v>
      </c>
      <c r="AI857" s="686">
        <v>0</v>
      </c>
      <c r="AJ857" s="567">
        <v>0</v>
      </c>
      <c r="AK857" s="686">
        <v>0</v>
      </c>
      <c r="AL857" s="567">
        <v>0</v>
      </c>
      <c r="AM857" s="686">
        <v>0</v>
      </c>
      <c r="AN857" s="567">
        <v>0</v>
      </c>
      <c r="AO857" s="686">
        <v>0</v>
      </c>
      <c r="AP857" s="567">
        <v>0</v>
      </c>
      <c r="AQ857" s="686">
        <v>0</v>
      </c>
      <c r="AR857" s="567">
        <v>0</v>
      </c>
      <c r="AS857" s="686">
        <v>0</v>
      </c>
      <c r="AT857" s="567">
        <v>0</v>
      </c>
      <c r="AU857" s="686">
        <v>0</v>
      </c>
      <c r="AV857" s="567">
        <v>0</v>
      </c>
      <c r="AW857" s="686">
        <v>0</v>
      </c>
      <c r="AX857" s="567">
        <v>0</v>
      </c>
      <c r="AY857" s="686">
        <v>0</v>
      </c>
      <c r="AZ857" s="567">
        <v>0</v>
      </c>
      <c r="BA857" s="686">
        <v>0</v>
      </c>
      <c r="BB857" s="567">
        <v>0</v>
      </c>
      <c r="BC857" s="686">
        <v>0</v>
      </c>
      <c r="BD857" s="567">
        <v>0</v>
      </c>
      <c r="BE857" s="686">
        <v>0</v>
      </c>
      <c r="BF857" s="567">
        <v>0</v>
      </c>
      <c r="BG857" s="686">
        <v>0</v>
      </c>
      <c r="BH857" s="567">
        <v>0</v>
      </c>
      <c r="BI857" s="686">
        <v>0</v>
      </c>
      <c r="BJ857" s="567">
        <v>0</v>
      </c>
      <c r="BK857" s="686">
        <v>0</v>
      </c>
      <c r="BL857" s="567">
        <v>0</v>
      </c>
      <c r="BM857" s="686">
        <v>0</v>
      </c>
      <c r="BN857" s="567">
        <v>0</v>
      </c>
      <c r="BO857" s="686">
        <v>0</v>
      </c>
      <c r="BP857" s="567">
        <v>0</v>
      </c>
      <c r="BQ857" s="686">
        <v>0</v>
      </c>
      <c r="BR857" s="567">
        <v>0</v>
      </c>
      <c r="BS857" s="686">
        <v>0</v>
      </c>
      <c r="BT857" s="567">
        <v>0</v>
      </c>
      <c r="BU857" s="686">
        <v>0</v>
      </c>
      <c r="BV857" s="567">
        <v>0</v>
      </c>
      <c r="BW857" s="686">
        <v>0</v>
      </c>
      <c r="BX857" s="567">
        <v>0</v>
      </c>
      <c r="BY857" s="686">
        <v>0</v>
      </c>
      <c r="BZ857" s="567">
        <v>0</v>
      </c>
      <c r="CA857" s="686">
        <v>0</v>
      </c>
      <c r="CB857" s="567">
        <v>0</v>
      </c>
      <c r="CC857" s="686">
        <v>0</v>
      </c>
      <c r="CD857" s="567">
        <v>0</v>
      </c>
      <c r="CE857" s="686">
        <v>0</v>
      </c>
      <c r="CF857" s="567">
        <v>0</v>
      </c>
      <c r="CG857" s="686">
        <v>0</v>
      </c>
      <c r="CH857" s="567">
        <v>0</v>
      </c>
      <c r="CI857" s="686">
        <v>0</v>
      </c>
      <c r="CJ857" s="567">
        <v>0</v>
      </c>
      <c r="CK857" s="686">
        <v>0</v>
      </c>
      <c r="CL857" s="567">
        <v>0</v>
      </c>
      <c r="CM857" s="686">
        <v>0</v>
      </c>
      <c r="CN857" s="567">
        <v>0</v>
      </c>
      <c r="CO857" s="686">
        <v>0</v>
      </c>
      <c r="CP857" s="567">
        <v>0</v>
      </c>
      <c r="CQ857" s="686">
        <v>0</v>
      </c>
      <c r="CR857" s="567">
        <v>0</v>
      </c>
      <c r="CS857" s="686">
        <v>0</v>
      </c>
      <c r="CT857" s="567">
        <v>0</v>
      </c>
      <c r="CU857" s="686">
        <v>0</v>
      </c>
      <c r="CV857" s="567">
        <v>0</v>
      </c>
      <c r="CW857" s="686">
        <v>0</v>
      </c>
      <c r="CX857" s="567">
        <v>0</v>
      </c>
      <c r="CY857" s="686">
        <v>0</v>
      </c>
      <c r="CZ857" s="567">
        <v>0</v>
      </c>
      <c r="DA857" s="686">
        <v>0</v>
      </c>
      <c r="DB857" s="567">
        <v>0</v>
      </c>
      <c r="DC857" s="686">
        <v>0</v>
      </c>
      <c r="DD857" s="567">
        <v>0</v>
      </c>
      <c r="DE857" s="686">
        <v>0</v>
      </c>
      <c r="DF857" s="567">
        <v>0</v>
      </c>
      <c r="DG857" s="686">
        <v>0</v>
      </c>
      <c r="DH857" s="567">
        <v>0</v>
      </c>
      <c r="DI857" s="686">
        <v>0</v>
      </c>
      <c r="DJ857" s="567">
        <v>0</v>
      </c>
      <c r="DK857" s="686">
        <v>0</v>
      </c>
      <c r="DL857" s="567">
        <v>0</v>
      </c>
      <c r="DM857" s="686">
        <v>0</v>
      </c>
      <c r="DN857" s="567">
        <v>0</v>
      </c>
      <c r="DO857" s="686">
        <v>0</v>
      </c>
      <c r="DP857" s="567">
        <v>0</v>
      </c>
      <c r="DQ857" s="686">
        <v>0</v>
      </c>
      <c r="DR857" s="567">
        <v>0</v>
      </c>
      <c r="DS857" s="686">
        <v>0</v>
      </c>
      <c r="DT857" s="567">
        <v>0</v>
      </c>
      <c r="DU857" s="686">
        <v>0</v>
      </c>
      <c r="DV857" s="567">
        <v>0</v>
      </c>
      <c r="DW857" s="686">
        <v>0</v>
      </c>
      <c r="DX857" s="567">
        <v>0</v>
      </c>
      <c r="DY857" s="686">
        <v>0</v>
      </c>
      <c r="DZ857" s="567">
        <v>0</v>
      </c>
      <c r="EA857" s="686">
        <v>0</v>
      </c>
      <c r="EB857" s="567">
        <v>0</v>
      </c>
      <c r="EC857" s="686">
        <v>0</v>
      </c>
      <c r="ED857" s="567">
        <v>0</v>
      </c>
      <c r="EE857" s="686">
        <v>0</v>
      </c>
      <c r="EF857" s="567">
        <v>0</v>
      </c>
      <c r="EG857" s="686">
        <v>0</v>
      </c>
      <c r="EH857" s="567">
        <v>0</v>
      </c>
      <c r="EI857" s="686">
        <v>0</v>
      </c>
      <c r="EJ857" s="567">
        <v>0</v>
      </c>
      <c r="EK857" s="686">
        <v>0</v>
      </c>
      <c r="EL857" s="567">
        <v>0</v>
      </c>
      <c r="EM857" s="686">
        <v>0</v>
      </c>
      <c r="EN857" s="567">
        <v>0</v>
      </c>
      <c r="EO857" s="686">
        <v>0</v>
      </c>
      <c r="EP857" s="567">
        <v>0</v>
      </c>
      <c r="EQ857" s="686">
        <v>0</v>
      </c>
      <c r="ER857" s="567">
        <v>0</v>
      </c>
      <c r="ES857" s="686">
        <v>0</v>
      </c>
      <c r="ET857" s="567">
        <v>0</v>
      </c>
      <c r="EU857" s="686">
        <v>0</v>
      </c>
      <c r="EV857" s="567">
        <v>0</v>
      </c>
      <c r="EW857" s="686">
        <v>0</v>
      </c>
      <c r="EX857" s="567">
        <v>0</v>
      </c>
      <c r="EY857" s="686">
        <v>0</v>
      </c>
      <c r="EZ857" s="567">
        <v>0</v>
      </c>
      <c r="FA857" s="686">
        <v>0</v>
      </c>
      <c r="FB857" s="567">
        <v>0</v>
      </c>
      <c r="FC857" s="686">
        <v>0</v>
      </c>
      <c r="FD857" s="567">
        <v>0</v>
      </c>
      <c r="FE857" s="686">
        <v>0</v>
      </c>
      <c r="FF857" s="567">
        <v>0</v>
      </c>
      <c r="FG857" s="686">
        <v>0</v>
      </c>
      <c r="FH857" s="567">
        <v>0</v>
      </c>
      <c r="FI857" s="686">
        <v>0</v>
      </c>
      <c r="FJ857" s="567">
        <v>0</v>
      </c>
      <c r="FK857" s="686">
        <v>0</v>
      </c>
      <c r="FL857" s="567">
        <v>0</v>
      </c>
      <c r="FM857" s="686">
        <v>0</v>
      </c>
      <c r="FN857" s="567">
        <v>0</v>
      </c>
      <c r="FO857" s="686">
        <v>0</v>
      </c>
      <c r="FP857" s="567">
        <v>0</v>
      </c>
      <c r="FQ857" s="686">
        <v>0</v>
      </c>
      <c r="FR857" s="567">
        <v>0</v>
      </c>
      <c r="FS857" s="686">
        <v>0</v>
      </c>
      <c r="FT857" s="567">
        <v>0</v>
      </c>
      <c r="FU857" s="686">
        <v>0</v>
      </c>
      <c r="FV857" s="567">
        <v>0</v>
      </c>
      <c r="FW857" s="686">
        <v>0</v>
      </c>
      <c r="FX857" s="567">
        <v>0</v>
      </c>
      <c r="FY857" s="686">
        <v>0</v>
      </c>
      <c r="FZ857" s="567">
        <v>0</v>
      </c>
      <c r="GA857" s="686">
        <v>0</v>
      </c>
      <c r="GB857" s="567">
        <v>0</v>
      </c>
      <c r="GC857" s="686">
        <v>0</v>
      </c>
      <c r="GD857" s="567">
        <v>0</v>
      </c>
      <c r="GE857" s="686">
        <v>0</v>
      </c>
      <c r="GF857" s="567">
        <v>0</v>
      </c>
      <c r="GG857" s="686">
        <v>0</v>
      </c>
      <c r="GH857" s="567">
        <v>0</v>
      </c>
      <c r="GI857" s="686">
        <v>0</v>
      </c>
      <c r="GJ857" s="567">
        <v>0</v>
      </c>
      <c r="GK857" s="686">
        <v>0</v>
      </c>
      <c r="GL857" s="567">
        <v>0</v>
      </c>
      <c r="GM857" s="686">
        <v>0</v>
      </c>
      <c r="GN857" s="567">
        <v>0</v>
      </c>
      <c r="GO857" s="686">
        <v>0</v>
      </c>
      <c r="GP857" s="549">
        <f>+D857+F857+H857+J857+L857+N857+P857+R857+T857+V857+X857+Z857+AB857+AD857+AH857+AJ857+AL857+AN857+AP857+AR857+AT857+AV857+AX857+AZ857+BB857+BD857+BF857+BH857+BJ857+BL857+BN857+BP857+BR857+BT857+BV857+BX857+BZ857+CB857+CD857+CF857+CH857+CJ857+CL857+CN857+CP857+CR857+CT857+CV857+CX857+CZ857+DB857+DD857+DF857+DH857+DT857+EX857+DJ857+DL857+DN857+DP857+DR857+EJ857+EB857+DZ857+DX857+DV857+ED857+EF857+EH857+EL857+EN857+EP857+EV857+ET857+ER857+EZ857+FB857+FD857+GL857+FF857+FJ857+FL857+GJ857+FT857+FR857+FP857+FN857+FH857</f>
        <v>0</v>
      </c>
      <c r="GQ857" s="675">
        <f>+E857+G857+I857+K857+M857+O857+Q857+S857+U857+W857+Y857+AA857+AC857+AE857+AI857+AK857+AM857+AO857+AQ857+AS857+AU857+AW857+AY857+BA857+BC857+BE857+BG857+BI857+BK857+BM857+BO857+BQ857+BS857+BU857+BW857+BY857+CA857+CC857+CE857+CG857+CI857+CK857+CM857+CO857+CQ857+CS857+CU857+CW857+CY857+DA857+DC857+DE857+DG857+DI857+DU857+EY857+DK857+DM857+DO857+DQ857+DS857+EK857+EC857+EA857+DY857+DW857+EI857+EG857+EE857+EM857+EO857+EQ857+EW857+EU857+ES857+FA857+FC857+FE857+GM857+FG857+FK857+FM857+FO857+FQ857+FS857+FU857+GK857+FI857</f>
        <v>0</v>
      </c>
      <c r="GR857" s="513">
        <f>C857+GP857+GQ857</f>
        <v>0</v>
      </c>
      <c r="GS857" s="74">
        <f t="shared" ref="GS857" si="17541">SUM(GU857)+GP857+GQ857</f>
        <v>0</v>
      </c>
      <c r="GT857" s="568">
        <f t="shared" ref="GT857:GT858" si="17542">SUM(GU857:HF857)+GQ857+GP857</f>
        <v>0</v>
      </c>
      <c r="GU857" s="513"/>
      <c r="GV857" s="513"/>
      <c r="GW857" s="567"/>
      <c r="GX857" s="567"/>
      <c r="GY857" s="513"/>
      <c r="GZ857" s="513"/>
      <c r="HA857" s="513"/>
      <c r="HB857" s="513"/>
      <c r="HC857" s="513"/>
      <c r="HD857" s="513"/>
      <c r="HE857" s="513"/>
      <c r="HF857" s="513"/>
      <c r="HG857" s="74">
        <f>SUM(HH857:IE857)+GP857+GQ857</f>
        <v>0</v>
      </c>
      <c r="HH857" s="513"/>
      <c r="HI857" s="827"/>
      <c r="HJ857" s="513"/>
      <c r="HK857" s="827"/>
      <c r="HL857" s="513"/>
      <c r="HM857" s="827"/>
      <c r="HN857" s="513"/>
      <c r="HO857" s="827"/>
      <c r="HP857" s="513"/>
      <c r="HQ857" s="827"/>
      <c r="HR857" s="513"/>
      <c r="HS857" s="827"/>
      <c r="HT857" s="513"/>
      <c r="HU857" s="827"/>
      <c r="HV857" s="513"/>
      <c r="HW857" s="827"/>
      <c r="HX857" s="513"/>
      <c r="HY857" s="827"/>
      <c r="HZ857" s="513"/>
      <c r="IA857" s="827"/>
      <c r="IB857" s="513"/>
      <c r="IC857" s="827"/>
      <c r="ID857" s="513"/>
      <c r="IE857" s="827"/>
      <c r="IF857" s="717">
        <f t="shared" ref="IF857:IF858" si="17543">SUM(II857,IL857,IO857,IR857,IU857,IX857,JA857,JD857,JG857,JJ857,JM857,JP857)</f>
        <v>0</v>
      </c>
      <c r="IG857" s="263">
        <f t="shared" ref="IG857:IG858" si="17544">SUM(IJ857,IM857,IP857,IS857,IV857,IY857,JB857,JE857,JH857,JK857,JN857,JQ857)</f>
        <v>0</v>
      </c>
      <c r="IH857" s="718">
        <f t="shared" ref="IH857:IH858" si="17545">SUM(IK857,IN857,IQ857,IT857,IW857,IZ857,JC857,JF857,JI857,JL857,JO857,JR857)</f>
        <v>0</v>
      </c>
      <c r="II857" s="89">
        <v>0</v>
      </c>
      <c r="IJ857" s="89">
        <v>0</v>
      </c>
      <c r="IK857" s="89">
        <v>0</v>
      </c>
      <c r="IL857" s="89">
        <v>0</v>
      </c>
      <c r="IM857" s="89">
        <v>0</v>
      </c>
      <c r="IN857" s="89">
        <v>0</v>
      </c>
      <c r="IO857" s="89">
        <v>0</v>
      </c>
      <c r="IP857" s="89">
        <v>0</v>
      </c>
      <c r="IQ857" s="89">
        <v>0</v>
      </c>
      <c r="IR857" s="89">
        <v>0</v>
      </c>
      <c r="IS857" s="89">
        <v>0</v>
      </c>
      <c r="IT857" s="89">
        <v>0</v>
      </c>
      <c r="IU857" s="89">
        <v>0</v>
      </c>
      <c r="IV857" s="89">
        <v>0</v>
      </c>
      <c r="IW857" s="89">
        <v>0</v>
      </c>
      <c r="IX857" s="89">
        <v>0</v>
      </c>
      <c r="IY857" s="89">
        <v>0</v>
      </c>
      <c r="IZ857" s="89">
        <v>0</v>
      </c>
      <c r="JA857" s="89">
        <v>0</v>
      </c>
      <c r="JB857" s="89">
        <v>0</v>
      </c>
      <c r="JC857" s="89">
        <v>0</v>
      </c>
      <c r="JD857" s="89">
        <v>0</v>
      </c>
      <c r="JE857" s="89">
        <v>0</v>
      </c>
      <c r="JF857" s="89">
        <v>0</v>
      </c>
      <c r="JG857" s="89">
        <v>0</v>
      </c>
      <c r="JH857" s="89">
        <v>0</v>
      </c>
      <c r="JI857" s="89">
        <v>0</v>
      </c>
      <c r="JJ857" s="89">
        <v>0</v>
      </c>
      <c r="JK857" s="89">
        <v>0</v>
      </c>
      <c r="JL857" s="89">
        <v>0</v>
      </c>
      <c r="JM857" s="89">
        <v>0</v>
      </c>
      <c r="JN857" s="89">
        <v>0</v>
      </c>
      <c r="JO857" s="89">
        <v>0</v>
      </c>
      <c r="JP857" s="89">
        <v>0</v>
      </c>
      <c r="JQ857" s="89">
        <v>0</v>
      </c>
      <c r="JR857" s="89">
        <v>0</v>
      </c>
      <c r="JS857" s="513">
        <f>HG857-IF857</f>
        <v>0</v>
      </c>
      <c r="JT857" s="573">
        <f>GS857-IF857</f>
        <v>0</v>
      </c>
      <c r="JU857" s="665"/>
      <c r="JV857" s="524"/>
      <c r="JW857" s="525"/>
      <c r="JX857" s="567">
        <f>SUM(HH857,HJ857,HL857,HN857,HP857,HR857,HT857,HV857,HX857,HZ857,IB857,ID857)</f>
        <v>0</v>
      </c>
      <c r="JY857" s="549">
        <f t="shared" si="17176"/>
        <v>0</v>
      </c>
      <c r="JZ857" s="581">
        <f t="shared" si="17318"/>
        <v>0</v>
      </c>
      <c r="KA857" s="581">
        <f t="shared" si="17319"/>
        <v>0</v>
      </c>
      <c r="KB857" s="566">
        <f>SUM(JX857:KA857)</f>
        <v>0</v>
      </c>
      <c r="KC857" s="709">
        <f t="shared" si="17277"/>
        <v>0</v>
      </c>
      <c r="KD857" s="494"/>
      <c r="KE857" s="494"/>
      <c r="KF857" s="494"/>
      <c r="KG857" s="494"/>
      <c r="KH857" s="57"/>
      <c r="KI857" s="57"/>
      <c r="KJ857" s="57"/>
      <c r="KK857" s="57"/>
    </row>
    <row r="858" spans="1:297" s="10" customFormat="1">
      <c r="A858" s="612" t="s">
        <v>749</v>
      </c>
      <c r="B858" s="512" t="s">
        <v>346</v>
      </c>
      <c r="C858" s="74">
        <v>100000</v>
      </c>
      <c r="D858" s="549">
        <v>0</v>
      </c>
      <c r="E858" s="675">
        <v>0</v>
      </c>
      <c r="F858" s="549">
        <v>0</v>
      </c>
      <c r="G858" s="675">
        <v>0</v>
      </c>
      <c r="H858" s="549">
        <v>0</v>
      </c>
      <c r="I858" s="675">
        <v>0</v>
      </c>
      <c r="J858" s="549">
        <v>0</v>
      </c>
      <c r="K858" s="675">
        <v>0</v>
      </c>
      <c r="L858" s="549">
        <v>0</v>
      </c>
      <c r="M858" s="675">
        <v>0</v>
      </c>
      <c r="N858" s="549">
        <v>0</v>
      </c>
      <c r="O858" s="675">
        <v>0</v>
      </c>
      <c r="P858" s="549">
        <v>0</v>
      </c>
      <c r="Q858" s="675">
        <v>0</v>
      </c>
      <c r="R858" s="549">
        <v>0</v>
      </c>
      <c r="S858" s="675">
        <v>0</v>
      </c>
      <c r="T858" s="549">
        <v>0</v>
      </c>
      <c r="U858" s="675">
        <v>0</v>
      </c>
      <c r="V858" s="549">
        <v>0</v>
      </c>
      <c r="W858" s="675">
        <v>0</v>
      </c>
      <c r="X858" s="549">
        <v>0</v>
      </c>
      <c r="Y858" s="675">
        <v>0</v>
      </c>
      <c r="Z858" s="549">
        <v>0</v>
      </c>
      <c r="AA858" s="675">
        <v>-100000</v>
      </c>
      <c r="AB858" s="549">
        <v>0</v>
      </c>
      <c r="AC858" s="675">
        <v>0</v>
      </c>
      <c r="AD858" s="549">
        <v>0</v>
      </c>
      <c r="AE858" s="675">
        <v>0</v>
      </c>
      <c r="AF858" s="549">
        <v>0</v>
      </c>
      <c r="AG858" s="675">
        <v>0</v>
      </c>
      <c r="AH858" s="549">
        <v>0</v>
      </c>
      <c r="AI858" s="675">
        <v>0</v>
      </c>
      <c r="AJ858" s="549">
        <v>0</v>
      </c>
      <c r="AK858" s="675">
        <v>0</v>
      </c>
      <c r="AL858" s="549">
        <v>0</v>
      </c>
      <c r="AM858" s="675">
        <v>0</v>
      </c>
      <c r="AN858" s="549">
        <v>0</v>
      </c>
      <c r="AO858" s="675">
        <v>0</v>
      </c>
      <c r="AP858" s="549">
        <v>0</v>
      </c>
      <c r="AQ858" s="675">
        <v>0</v>
      </c>
      <c r="AR858" s="549">
        <v>0</v>
      </c>
      <c r="AS858" s="675">
        <v>0</v>
      </c>
      <c r="AT858" s="549">
        <v>0</v>
      </c>
      <c r="AU858" s="675">
        <v>0</v>
      </c>
      <c r="AV858" s="549">
        <v>0</v>
      </c>
      <c r="AW858" s="675">
        <v>0</v>
      </c>
      <c r="AX858" s="549">
        <v>0</v>
      </c>
      <c r="AY858" s="675">
        <v>0</v>
      </c>
      <c r="AZ858" s="549">
        <v>0</v>
      </c>
      <c r="BA858" s="675">
        <v>0</v>
      </c>
      <c r="BB858" s="549">
        <v>0</v>
      </c>
      <c r="BC858" s="675">
        <v>0</v>
      </c>
      <c r="BD858" s="549">
        <v>0</v>
      </c>
      <c r="BE858" s="675">
        <v>0</v>
      </c>
      <c r="BF858" s="549">
        <v>0</v>
      </c>
      <c r="BG858" s="675">
        <v>0</v>
      </c>
      <c r="BH858" s="549">
        <v>0</v>
      </c>
      <c r="BI858" s="675">
        <v>0</v>
      </c>
      <c r="BJ858" s="549">
        <v>0</v>
      </c>
      <c r="BK858" s="675">
        <v>0</v>
      </c>
      <c r="BL858" s="549">
        <v>0</v>
      </c>
      <c r="BM858" s="675">
        <v>0</v>
      </c>
      <c r="BN858" s="549">
        <v>0</v>
      </c>
      <c r="BO858" s="675">
        <v>0</v>
      </c>
      <c r="BP858" s="549">
        <v>0</v>
      </c>
      <c r="BQ858" s="675">
        <v>0</v>
      </c>
      <c r="BR858" s="549">
        <v>0</v>
      </c>
      <c r="BS858" s="675">
        <v>0</v>
      </c>
      <c r="BT858" s="549">
        <v>0</v>
      </c>
      <c r="BU858" s="675">
        <v>0</v>
      </c>
      <c r="BV858" s="549">
        <v>0</v>
      </c>
      <c r="BW858" s="675">
        <v>0</v>
      </c>
      <c r="BX858" s="549">
        <v>0</v>
      </c>
      <c r="BY858" s="675">
        <v>0</v>
      </c>
      <c r="BZ858" s="549">
        <v>0</v>
      </c>
      <c r="CA858" s="675">
        <v>0</v>
      </c>
      <c r="CB858" s="549">
        <v>0</v>
      </c>
      <c r="CC858" s="675">
        <v>0</v>
      </c>
      <c r="CD858" s="549">
        <v>0</v>
      </c>
      <c r="CE858" s="675">
        <v>0</v>
      </c>
      <c r="CF858" s="549">
        <v>0</v>
      </c>
      <c r="CG858" s="675">
        <v>0</v>
      </c>
      <c r="CH858" s="549">
        <v>0</v>
      </c>
      <c r="CI858" s="675">
        <v>0</v>
      </c>
      <c r="CJ858" s="549">
        <v>0</v>
      </c>
      <c r="CK858" s="675">
        <v>0</v>
      </c>
      <c r="CL858" s="549">
        <v>0</v>
      </c>
      <c r="CM858" s="675">
        <v>0</v>
      </c>
      <c r="CN858" s="549">
        <v>0</v>
      </c>
      <c r="CO858" s="675">
        <v>0</v>
      </c>
      <c r="CP858" s="549">
        <v>0</v>
      </c>
      <c r="CQ858" s="675">
        <v>0</v>
      </c>
      <c r="CR858" s="549">
        <v>0</v>
      </c>
      <c r="CS858" s="675">
        <v>0</v>
      </c>
      <c r="CT858" s="549">
        <v>0</v>
      </c>
      <c r="CU858" s="675">
        <v>0</v>
      </c>
      <c r="CV858" s="549">
        <v>0</v>
      </c>
      <c r="CW858" s="675">
        <v>0</v>
      </c>
      <c r="CX858" s="549">
        <v>0</v>
      </c>
      <c r="CY858" s="675">
        <v>0</v>
      </c>
      <c r="CZ858" s="549">
        <v>0</v>
      </c>
      <c r="DA858" s="675">
        <v>0</v>
      </c>
      <c r="DB858" s="549">
        <v>0</v>
      </c>
      <c r="DC858" s="675">
        <v>0</v>
      </c>
      <c r="DD858" s="549">
        <v>0</v>
      </c>
      <c r="DE858" s="675">
        <v>0</v>
      </c>
      <c r="DF858" s="549">
        <v>0</v>
      </c>
      <c r="DG858" s="675">
        <v>0</v>
      </c>
      <c r="DH858" s="549">
        <v>0</v>
      </c>
      <c r="DI858" s="675">
        <v>0</v>
      </c>
      <c r="DJ858" s="549">
        <v>0</v>
      </c>
      <c r="DK858" s="675">
        <v>0</v>
      </c>
      <c r="DL858" s="549">
        <v>0</v>
      </c>
      <c r="DM858" s="675">
        <v>0</v>
      </c>
      <c r="DN858" s="549">
        <v>0</v>
      </c>
      <c r="DO858" s="675">
        <v>0</v>
      </c>
      <c r="DP858" s="549">
        <v>0</v>
      </c>
      <c r="DQ858" s="675">
        <v>0</v>
      </c>
      <c r="DR858" s="549">
        <v>0</v>
      </c>
      <c r="DS858" s="675">
        <v>0</v>
      </c>
      <c r="DT858" s="549">
        <v>0</v>
      </c>
      <c r="DU858" s="675">
        <v>0</v>
      </c>
      <c r="DV858" s="549">
        <v>0</v>
      </c>
      <c r="DW858" s="675">
        <v>0</v>
      </c>
      <c r="DX858" s="549">
        <v>0</v>
      </c>
      <c r="DY858" s="675">
        <v>0</v>
      </c>
      <c r="DZ858" s="549">
        <v>0</v>
      </c>
      <c r="EA858" s="675">
        <v>0</v>
      </c>
      <c r="EB858" s="549">
        <v>0</v>
      </c>
      <c r="EC858" s="675">
        <v>0</v>
      </c>
      <c r="ED858" s="549">
        <v>0</v>
      </c>
      <c r="EE858" s="675">
        <v>0</v>
      </c>
      <c r="EF858" s="549">
        <v>0</v>
      </c>
      <c r="EG858" s="675">
        <v>0</v>
      </c>
      <c r="EH858" s="549">
        <v>0</v>
      </c>
      <c r="EI858" s="675">
        <v>0</v>
      </c>
      <c r="EJ858" s="549">
        <v>0</v>
      </c>
      <c r="EK858" s="675">
        <v>0</v>
      </c>
      <c r="EL858" s="549">
        <v>0</v>
      </c>
      <c r="EM858" s="675">
        <v>0</v>
      </c>
      <c r="EN858" s="549">
        <v>0</v>
      </c>
      <c r="EO858" s="675">
        <v>0</v>
      </c>
      <c r="EP858" s="549">
        <v>0</v>
      </c>
      <c r="EQ858" s="675">
        <v>0</v>
      </c>
      <c r="ER858" s="549">
        <v>0</v>
      </c>
      <c r="ES858" s="675">
        <v>0</v>
      </c>
      <c r="ET858" s="549">
        <v>0</v>
      </c>
      <c r="EU858" s="675">
        <v>0</v>
      </c>
      <c r="EV858" s="549">
        <v>0</v>
      </c>
      <c r="EW858" s="675">
        <v>0</v>
      </c>
      <c r="EX858" s="549">
        <v>0</v>
      </c>
      <c r="EY858" s="675">
        <v>0</v>
      </c>
      <c r="EZ858" s="549">
        <v>0</v>
      </c>
      <c r="FA858" s="675">
        <v>0</v>
      </c>
      <c r="FB858" s="549">
        <v>0</v>
      </c>
      <c r="FC858" s="675">
        <v>0</v>
      </c>
      <c r="FD858" s="549">
        <v>0</v>
      </c>
      <c r="FE858" s="675">
        <v>0</v>
      </c>
      <c r="FF858" s="549">
        <v>0</v>
      </c>
      <c r="FG858" s="675">
        <v>0</v>
      </c>
      <c r="FH858" s="549">
        <v>0</v>
      </c>
      <c r="FI858" s="675">
        <v>0</v>
      </c>
      <c r="FJ858" s="549">
        <v>0</v>
      </c>
      <c r="FK858" s="675">
        <v>0</v>
      </c>
      <c r="FL858" s="549">
        <v>0</v>
      </c>
      <c r="FM858" s="675">
        <v>0</v>
      </c>
      <c r="FN858" s="549">
        <v>0</v>
      </c>
      <c r="FO858" s="675">
        <v>0</v>
      </c>
      <c r="FP858" s="549">
        <v>0</v>
      </c>
      <c r="FQ858" s="675">
        <v>0</v>
      </c>
      <c r="FR858" s="549">
        <v>0</v>
      </c>
      <c r="FS858" s="675">
        <v>0</v>
      </c>
      <c r="FT858" s="549">
        <v>0</v>
      </c>
      <c r="FU858" s="675">
        <v>0</v>
      </c>
      <c r="FV858" s="549">
        <v>0</v>
      </c>
      <c r="FW858" s="675">
        <v>0</v>
      </c>
      <c r="FX858" s="549">
        <v>0</v>
      </c>
      <c r="FY858" s="675">
        <v>0</v>
      </c>
      <c r="FZ858" s="549">
        <v>0</v>
      </c>
      <c r="GA858" s="675">
        <v>0</v>
      </c>
      <c r="GB858" s="549">
        <v>0</v>
      </c>
      <c r="GC858" s="675">
        <v>0</v>
      </c>
      <c r="GD858" s="549">
        <v>0</v>
      </c>
      <c r="GE858" s="675">
        <v>0</v>
      </c>
      <c r="GF858" s="549">
        <v>0</v>
      </c>
      <c r="GG858" s="675">
        <v>0</v>
      </c>
      <c r="GH858" s="549">
        <v>0</v>
      </c>
      <c r="GI858" s="675">
        <v>0</v>
      </c>
      <c r="GJ858" s="549">
        <v>0</v>
      </c>
      <c r="GK858" s="675">
        <v>0</v>
      </c>
      <c r="GL858" s="549">
        <v>0</v>
      </c>
      <c r="GM858" s="675">
        <v>0</v>
      </c>
      <c r="GN858" s="549">
        <v>0</v>
      </c>
      <c r="GO858" s="675">
        <v>0</v>
      </c>
      <c r="GP858" s="549">
        <f>+D858+F858+H858+J858+L858+N858+P858+R858+T858+V858+X858+Z858+AB858+AF858+AD858+AH858+AJ858+AL858+AN858+AP858+AR858+AT858+AV858+AX858+AZ858+BB858+BD858+BF858+BH858+BJ858+BL858+BN858+BP858+BR858+BT858+BV858+BX858+BZ858+CB858+CD858+CF858+CH858+CJ858+CL858+CN858+CP858+CR858+CT858+CV858+CX858+CZ858+DB858+DD858+DF858+DH858+DT858+EX858+DJ858+DL858+DN858+DP858+DR858+EJ858+EB858+DZ858+DX858+DV858+ED858+EF858+EH858+EL858+EN858+EP858+EV858+ET858+ER858+EZ858+FB858+FD858+GL858+FF858+FJ858+FL858+GJ858+FT858+FR858+FP858+FN858+FH858+GH858+GF858+GD858+GB858+FZ858+FX858+FV858+GN858</f>
        <v>0</v>
      </c>
      <c r="GQ858" s="675">
        <f>+E858+G858+I858+K858+M858+O858+Q858+S858+U858+W858+Y858+AA858+AC858+AE858+AG858+AI858+AK858+AM858+AO858+AQ858+AS858+AU858+AW858+AY858+BA858+BC858+BE858+BG858+BI858+BK858+BM858+BO858+BQ858+BS858+BU858+BW858+BY858+CA858+CC858+CE858+CG858+CI858+CK858+CM858+CO858+CQ858+CS858+CU858+CW858+CY858+DA858+DC858+DE858+DG858+DI858+DU858+EY858+DK858+DM858+DO858+DQ858+DS858+EK858+EC858+EA858+DY858+DW858+EI858+EG858+EE858+EM858+EO858+EQ858+EW858+EU858+ES858+FA858+FC858+FE858+GM858+FG858+FK858+FM858+FO858+FQ858+FS858+FU858+GK858+FI858+GI858+GG858+GE858+GC858+GA858+FY858+FW858+GO858</f>
        <v>-100000</v>
      </c>
      <c r="GR858" s="74">
        <f>C858+GP858+GQ858</f>
        <v>0</v>
      </c>
      <c r="GS858" s="74">
        <f>SUM(GU858:HD858)+GP858+GQ858</f>
        <v>0</v>
      </c>
      <c r="GT858" s="568">
        <f t="shared" si="17542"/>
        <v>0</v>
      </c>
      <c r="GU858" s="275">
        <v>20000</v>
      </c>
      <c r="GV858" s="275">
        <v>80000</v>
      </c>
      <c r="GW858" s="588"/>
      <c r="GX858" s="275">
        <f>30000-30000</f>
        <v>0</v>
      </c>
      <c r="GY858" s="275"/>
      <c r="GZ858" s="275"/>
      <c r="HA858" s="275">
        <f>30000-30000</f>
        <v>0</v>
      </c>
      <c r="HB858" s="275"/>
      <c r="HC858" s="275"/>
      <c r="HD858" s="275">
        <f>20000-20000</f>
        <v>0</v>
      </c>
      <c r="HE858" s="275">
        <v>0</v>
      </c>
      <c r="HF858" s="275">
        <v>0</v>
      </c>
      <c r="HG858" s="74">
        <f t="shared" ref="HG858" si="17546">SUM(HH858:IE858)+GP858+GQ858</f>
        <v>0</v>
      </c>
      <c r="HH858" s="89">
        <v>0</v>
      </c>
      <c r="HI858" s="157">
        <v>0</v>
      </c>
      <c r="HJ858" s="89">
        <v>0</v>
      </c>
      <c r="HK858" s="157">
        <v>0</v>
      </c>
      <c r="HL858" s="89">
        <v>0</v>
      </c>
      <c r="HM858" s="157">
        <v>100000</v>
      </c>
      <c r="HN858" s="89">
        <v>0</v>
      </c>
      <c r="HO858" s="157">
        <v>0</v>
      </c>
      <c r="HP858" s="89">
        <v>0</v>
      </c>
      <c r="HQ858" s="157">
        <v>0</v>
      </c>
      <c r="HR858" s="89">
        <v>0</v>
      </c>
      <c r="HS858" s="157">
        <v>0</v>
      </c>
      <c r="HT858" s="89">
        <v>0</v>
      </c>
      <c r="HU858" s="157">
        <v>0</v>
      </c>
      <c r="HV858" s="89">
        <v>0</v>
      </c>
      <c r="HW858" s="157">
        <v>0</v>
      </c>
      <c r="HX858" s="89">
        <v>0</v>
      </c>
      <c r="HY858" s="157">
        <v>0</v>
      </c>
      <c r="HZ858" s="89">
        <v>0</v>
      </c>
      <c r="IA858" s="157">
        <v>0</v>
      </c>
      <c r="IB858" s="89">
        <v>0</v>
      </c>
      <c r="IC858" s="157">
        <v>0</v>
      </c>
      <c r="ID858" s="89">
        <v>0</v>
      </c>
      <c r="IE858" s="157">
        <v>0</v>
      </c>
      <c r="IF858" s="717">
        <f t="shared" si="17543"/>
        <v>0</v>
      </c>
      <c r="IG858" s="263">
        <f t="shared" si="17544"/>
        <v>0</v>
      </c>
      <c r="IH858" s="718">
        <f t="shared" si="17545"/>
        <v>0</v>
      </c>
      <c r="II858" s="89">
        <v>0</v>
      </c>
      <c r="IJ858" s="89">
        <f t="shared" ref="IJ858" si="17547">II858</f>
        <v>0</v>
      </c>
      <c r="IK858" s="89">
        <f t="shared" ref="IK858" si="17548">IJ858</f>
        <v>0</v>
      </c>
      <c r="IL858" s="89">
        <v>0</v>
      </c>
      <c r="IM858" s="89">
        <f t="shared" ref="IM858" si="17549">IL858</f>
        <v>0</v>
      </c>
      <c r="IN858" s="89">
        <f t="shared" ref="IN858" si="17550">IM858</f>
        <v>0</v>
      </c>
      <c r="IO858" s="89">
        <v>0</v>
      </c>
      <c r="IP858" s="89">
        <f t="shared" ref="IP858" si="17551">IO858</f>
        <v>0</v>
      </c>
      <c r="IQ858" s="89">
        <f t="shared" ref="IQ858" si="17552">IP858</f>
        <v>0</v>
      </c>
      <c r="IR858" s="89">
        <v>0</v>
      </c>
      <c r="IS858" s="89">
        <f t="shared" ref="IS858" si="17553">IR858</f>
        <v>0</v>
      </c>
      <c r="IT858" s="89">
        <f t="shared" ref="IT858" si="17554">IS858</f>
        <v>0</v>
      </c>
      <c r="IU858" s="89">
        <v>0</v>
      </c>
      <c r="IV858" s="89">
        <f t="shared" ref="IV858" si="17555">IU858</f>
        <v>0</v>
      </c>
      <c r="IW858" s="89">
        <f t="shared" ref="IW858" si="17556">IV858</f>
        <v>0</v>
      </c>
      <c r="IX858" s="89">
        <v>0</v>
      </c>
      <c r="IY858" s="89">
        <f t="shared" ref="IY858" si="17557">IX858</f>
        <v>0</v>
      </c>
      <c r="IZ858" s="89">
        <f t="shared" ref="IZ858" si="17558">IY858</f>
        <v>0</v>
      </c>
      <c r="JA858" s="89">
        <v>0</v>
      </c>
      <c r="JB858" s="89">
        <f t="shared" ref="JB858" si="17559">JA858</f>
        <v>0</v>
      </c>
      <c r="JC858" s="89">
        <f t="shared" ref="JC858" si="17560">JB858</f>
        <v>0</v>
      </c>
      <c r="JD858" s="89">
        <v>0</v>
      </c>
      <c r="JE858" s="89">
        <f t="shared" ref="JE858" si="17561">JD858</f>
        <v>0</v>
      </c>
      <c r="JF858" s="89">
        <f t="shared" ref="JF858" si="17562">JE858</f>
        <v>0</v>
      </c>
      <c r="JG858" s="89">
        <v>0</v>
      </c>
      <c r="JH858" s="89">
        <f t="shared" ref="JH858" si="17563">JG858</f>
        <v>0</v>
      </c>
      <c r="JI858" s="89">
        <f t="shared" ref="JI858" si="17564">JH858</f>
        <v>0</v>
      </c>
      <c r="JJ858" s="89">
        <v>0</v>
      </c>
      <c r="JK858" s="89">
        <f t="shared" ref="JK858" si="17565">JJ858</f>
        <v>0</v>
      </c>
      <c r="JL858" s="89">
        <f t="shared" ref="JL858" si="17566">JK858</f>
        <v>0</v>
      </c>
      <c r="JM858" s="89">
        <v>0</v>
      </c>
      <c r="JN858" s="89">
        <f t="shared" ref="JN858" si="17567">JM858</f>
        <v>0</v>
      </c>
      <c r="JO858" s="89">
        <f t="shared" ref="JO858" si="17568">JN858</f>
        <v>0</v>
      </c>
      <c r="JP858" s="89">
        <v>0</v>
      </c>
      <c r="JQ858" s="89">
        <f t="shared" ref="JQ858" si="17569">JP858</f>
        <v>0</v>
      </c>
      <c r="JR858" s="89">
        <f t="shared" ref="JR858" si="17570">JQ858</f>
        <v>0</v>
      </c>
      <c r="JS858" s="74">
        <f>HG858-IF858</f>
        <v>0</v>
      </c>
      <c r="JT858" s="382">
        <f>GS858-IF858</f>
        <v>0</v>
      </c>
      <c r="JU858" s="665"/>
      <c r="JV858" s="524"/>
      <c r="JW858" s="525"/>
      <c r="JX858" s="549">
        <f>SUM(HH858,HJ858,HL858,HN858,HP858,HR858,HT858,HV858,HX858,HZ858,IB858,ID858)</f>
        <v>0</v>
      </c>
      <c r="JY858" s="549">
        <f t="shared" si="17176"/>
        <v>100000</v>
      </c>
      <c r="JZ858" s="581">
        <f t="shared" si="17318"/>
        <v>0</v>
      </c>
      <c r="KA858" s="581">
        <f t="shared" si="17319"/>
        <v>-100000</v>
      </c>
      <c r="KB858" s="566">
        <f>SUM(JX858:KA858)</f>
        <v>0</v>
      </c>
      <c r="KC858" s="709">
        <f t="shared" si="17277"/>
        <v>0</v>
      </c>
      <c r="KD858" s="491"/>
      <c r="KE858" s="491"/>
      <c r="KF858" s="491"/>
      <c r="KG858" s="491"/>
      <c r="KH858" s="36"/>
      <c r="KI858" s="36"/>
      <c r="KJ858" s="36"/>
      <c r="KK858" s="36"/>
    </row>
    <row r="859" spans="1:297" s="10" customFormat="1">
      <c r="A859" s="612"/>
      <c r="B859" s="514"/>
      <c r="C859" s="513"/>
      <c r="D859" s="549"/>
      <c r="E859" s="675"/>
      <c r="F859" s="549"/>
      <c r="G859" s="675"/>
      <c r="H859" s="549"/>
      <c r="I859" s="675"/>
      <c r="J859" s="549"/>
      <c r="K859" s="675"/>
      <c r="L859" s="549"/>
      <c r="M859" s="675"/>
      <c r="N859" s="549"/>
      <c r="O859" s="675"/>
      <c r="P859" s="549"/>
      <c r="Q859" s="675"/>
      <c r="R859" s="549"/>
      <c r="S859" s="675"/>
      <c r="T859" s="549"/>
      <c r="U859" s="675"/>
      <c r="V859" s="549"/>
      <c r="W859" s="675"/>
      <c r="X859" s="549"/>
      <c r="Y859" s="675"/>
      <c r="Z859" s="549"/>
      <c r="AA859" s="675"/>
      <c r="AB859" s="549"/>
      <c r="AC859" s="675"/>
      <c r="AD859" s="549"/>
      <c r="AE859" s="675"/>
      <c r="AF859" s="549"/>
      <c r="AG859" s="675"/>
      <c r="AH859" s="549"/>
      <c r="AI859" s="675"/>
      <c r="AJ859" s="549"/>
      <c r="AK859" s="675"/>
      <c r="AL859" s="549"/>
      <c r="AM859" s="675"/>
      <c r="AN859" s="549"/>
      <c r="AO859" s="675"/>
      <c r="AP859" s="549"/>
      <c r="AQ859" s="675"/>
      <c r="AR859" s="549"/>
      <c r="AS859" s="675"/>
      <c r="AT859" s="549"/>
      <c r="AU859" s="675"/>
      <c r="AV859" s="549"/>
      <c r="AW859" s="675"/>
      <c r="AX859" s="549"/>
      <c r="AY859" s="675"/>
      <c r="AZ859" s="549"/>
      <c r="BA859" s="675"/>
      <c r="BB859" s="549"/>
      <c r="BC859" s="675"/>
      <c r="BD859" s="549"/>
      <c r="BE859" s="675"/>
      <c r="BF859" s="549"/>
      <c r="BG859" s="675"/>
      <c r="BH859" s="549"/>
      <c r="BI859" s="675"/>
      <c r="BJ859" s="549"/>
      <c r="BK859" s="675"/>
      <c r="BL859" s="549"/>
      <c r="BM859" s="675"/>
      <c r="BN859" s="549"/>
      <c r="BO859" s="675"/>
      <c r="BP859" s="549"/>
      <c r="BQ859" s="675"/>
      <c r="BR859" s="549"/>
      <c r="BS859" s="675"/>
      <c r="BT859" s="549"/>
      <c r="BU859" s="675"/>
      <c r="BV859" s="549"/>
      <c r="BW859" s="675"/>
      <c r="BX859" s="549"/>
      <c r="BY859" s="675"/>
      <c r="BZ859" s="549"/>
      <c r="CA859" s="675"/>
      <c r="CB859" s="549"/>
      <c r="CC859" s="675"/>
      <c r="CD859" s="549"/>
      <c r="CE859" s="675"/>
      <c r="CF859" s="549"/>
      <c r="CG859" s="675"/>
      <c r="CH859" s="549"/>
      <c r="CI859" s="675"/>
      <c r="CJ859" s="549"/>
      <c r="CK859" s="675"/>
      <c r="CL859" s="549"/>
      <c r="CM859" s="675"/>
      <c r="CN859" s="549"/>
      <c r="CO859" s="675"/>
      <c r="CP859" s="549"/>
      <c r="CQ859" s="675"/>
      <c r="CR859" s="549"/>
      <c r="CS859" s="675"/>
      <c r="CT859" s="549"/>
      <c r="CU859" s="675"/>
      <c r="CV859" s="549"/>
      <c r="CW859" s="675"/>
      <c r="CX859" s="549"/>
      <c r="CY859" s="675"/>
      <c r="CZ859" s="549"/>
      <c r="DA859" s="675"/>
      <c r="DB859" s="549"/>
      <c r="DC859" s="675"/>
      <c r="DD859" s="549"/>
      <c r="DE859" s="675"/>
      <c r="DF859" s="549"/>
      <c r="DG859" s="675"/>
      <c r="DH859" s="549"/>
      <c r="DI859" s="675"/>
      <c r="DJ859" s="549"/>
      <c r="DK859" s="675"/>
      <c r="DL859" s="549"/>
      <c r="DM859" s="675"/>
      <c r="DN859" s="549"/>
      <c r="DO859" s="675"/>
      <c r="DP859" s="549"/>
      <c r="DQ859" s="675"/>
      <c r="DR859" s="549"/>
      <c r="DS859" s="675"/>
      <c r="DT859" s="549"/>
      <c r="DU859" s="675"/>
      <c r="DV859" s="549"/>
      <c r="DW859" s="675"/>
      <c r="DX859" s="549"/>
      <c r="DY859" s="675"/>
      <c r="DZ859" s="549"/>
      <c r="EA859" s="675"/>
      <c r="EB859" s="549"/>
      <c r="EC859" s="675"/>
      <c r="ED859" s="549"/>
      <c r="EE859" s="675"/>
      <c r="EF859" s="549"/>
      <c r="EG859" s="675"/>
      <c r="EH859" s="549"/>
      <c r="EI859" s="675"/>
      <c r="EJ859" s="549"/>
      <c r="EK859" s="675"/>
      <c r="EL859" s="549"/>
      <c r="EM859" s="675"/>
      <c r="EN859" s="549"/>
      <c r="EO859" s="675"/>
      <c r="EP859" s="549"/>
      <c r="EQ859" s="675"/>
      <c r="ER859" s="549"/>
      <c r="ES859" s="675"/>
      <c r="ET859" s="549"/>
      <c r="EU859" s="675"/>
      <c r="EV859" s="549"/>
      <c r="EW859" s="675"/>
      <c r="EX859" s="549"/>
      <c r="EY859" s="675"/>
      <c r="EZ859" s="549"/>
      <c r="FA859" s="675"/>
      <c r="FB859" s="549"/>
      <c r="FC859" s="675"/>
      <c r="FD859" s="549"/>
      <c r="FE859" s="675"/>
      <c r="FF859" s="549"/>
      <c r="FG859" s="675"/>
      <c r="FH859" s="549"/>
      <c r="FI859" s="675"/>
      <c r="FJ859" s="549"/>
      <c r="FK859" s="675"/>
      <c r="FL859" s="549"/>
      <c r="FM859" s="675"/>
      <c r="FN859" s="549"/>
      <c r="FO859" s="675"/>
      <c r="FP859" s="549"/>
      <c r="FQ859" s="675"/>
      <c r="FR859" s="549"/>
      <c r="FS859" s="675"/>
      <c r="FT859" s="549"/>
      <c r="FU859" s="675"/>
      <c r="FV859" s="549"/>
      <c r="FW859" s="675"/>
      <c r="FX859" s="549"/>
      <c r="FY859" s="675"/>
      <c r="FZ859" s="549"/>
      <c r="GA859" s="675"/>
      <c r="GB859" s="549"/>
      <c r="GC859" s="675"/>
      <c r="GD859" s="549"/>
      <c r="GE859" s="675"/>
      <c r="GF859" s="549"/>
      <c r="GG859" s="675"/>
      <c r="GH859" s="549"/>
      <c r="GI859" s="675"/>
      <c r="GJ859" s="549"/>
      <c r="GK859" s="675"/>
      <c r="GL859" s="549"/>
      <c r="GM859" s="675"/>
      <c r="GN859" s="549"/>
      <c r="GO859" s="675"/>
      <c r="GP859" s="549"/>
      <c r="GQ859" s="675"/>
      <c r="GR859" s="513"/>
      <c r="GS859" s="74"/>
      <c r="GT859" s="568"/>
      <c r="GU859" s="513"/>
      <c r="GV859" s="513"/>
      <c r="GW859" s="567"/>
      <c r="GX859" s="567"/>
      <c r="GY859" s="513"/>
      <c r="GZ859" s="513"/>
      <c r="HA859" s="513"/>
      <c r="HB859" s="513"/>
      <c r="HC859" s="513"/>
      <c r="HD859" s="513"/>
      <c r="HE859" s="513"/>
      <c r="HF859" s="513"/>
      <c r="HG859" s="74"/>
      <c r="HH859" s="89"/>
      <c r="HI859" s="830"/>
      <c r="HJ859" s="89"/>
      <c r="HK859" s="830"/>
      <c r="HL859" s="89"/>
      <c r="HM859" s="830"/>
      <c r="HN859" s="89"/>
      <c r="HO859" s="830"/>
      <c r="HP859" s="89"/>
      <c r="HQ859" s="830"/>
      <c r="HR859" s="89"/>
      <c r="HS859" s="830"/>
      <c r="HT859" s="89"/>
      <c r="HU859" s="830"/>
      <c r="HV859" s="89"/>
      <c r="HW859" s="830"/>
      <c r="HX859" s="89"/>
      <c r="HY859" s="830"/>
      <c r="HZ859" s="89"/>
      <c r="IA859" s="830"/>
      <c r="IB859" s="89"/>
      <c r="IC859" s="830"/>
      <c r="ID859" s="89"/>
      <c r="IE859" s="830"/>
      <c r="IF859" s="804"/>
      <c r="IG859" s="805"/>
      <c r="IH859" s="806"/>
      <c r="II859" s="803"/>
      <c r="IJ859" s="803"/>
      <c r="IK859" s="803"/>
      <c r="IL859" s="803"/>
      <c r="IM859" s="803"/>
      <c r="IN859" s="803"/>
      <c r="IO859" s="803"/>
      <c r="IP859" s="803"/>
      <c r="IQ859" s="803"/>
      <c r="IR859" s="803"/>
      <c r="IS859" s="803"/>
      <c r="IT859" s="803"/>
      <c r="IU859" s="803"/>
      <c r="IV859" s="803"/>
      <c r="IW859" s="803"/>
      <c r="IX859" s="803"/>
      <c r="IY859" s="803"/>
      <c r="IZ859" s="803"/>
      <c r="JA859" s="803"/>
      <c r="JB859" s="803"/>
      <c r="JC859" s="803"/>
      <c r="JD859" s="803"/>
      <c r="JE859" s="803"/>
      <c r="JF859" s="803"/>
      <c r="JG859" s="803"/>
      <c r="JH859" s="803"/>
      <c r="JI859" s="803"/>
      <c r="JJ859" s="803"/>
      <c r="JK859" s="803"/>
      <c r="JL859" s="803"/>
      <c r="JM859" s="803"/>
      <c r="JN859" s="803"/>
      <c r="JO859" s="803"/>
      <c r="JP859" s="803"/>
      <c r="JQ859" s="803"/>
      <c r="JR859" s="803"/>
      <c r="JS859" s="800"/>
      <c r="JT859" s="807"/>
      <c r="JU859" s="665"/>
      <c r="JV859" s="524"/>
      <c r="JW859" s="525"/>
      <c r="JX859" s="802"/>
      <c r="JY859" s="801"/>
      <c r="JZ859" s="808"/>
      <c r="KA859" s="808"/>
      <c r="KB859" s="809"/>
      <c r="KC859" s="709"/>
      <c r="KD859" s="494"/>
      <c r="KE859" s="494"/>
      <c r="KF859" s="494"/>
      <c r="KG859" s="494"/>
      <c r="KH859" s="57"/>
      <c r="KI859" s="57"/>
      <c r="KJ859" s="57"/>
      <c r="KK859" s="57"/>
    </row>
    <row r="860" spans="1:297" s="10" customFormat="1">
      <c r="A860" s="613" t="s">
        <v>1206</v>
      </c>
      <c r="B860" s="514" t="s">
        <v>1208</v>
      </c>
      <c r="C860" s="513">
        <f>C861</f>
        <v>100000</v>
      </c>
      <c r="D860" s="567">
        <f t="shared" ref="D860:GN860" si="17571">D861</f>
        <v>0</v>
      </c>
      <c r="E860" s="686">
        <f t="shared" ref="E860:GO860" si="17572">+E861</f>
        <v>0</v>
      </c>
      <c r="F860" s="567">
        <f t="shared" si="17571"/>
        <v>0</v>
      </c>
      <c r="G860" s="686">
        <f t="shared" si="17572"/>
        <v>0</v>
      </c>
      <c r="H860" s="567">
        <f t="shared" si="17571"/>
        <v>0</v>
      </c>
      <c r="I860" s="686">
        <f t="shared" si="17572"/>
        <v>0</v>
      </c>
      <c r="J860" s="567">
        <f t="shared" si="17571"/>
        <v>0</v>
      </c>
      <c r="K860" s="686">
        <f t="shared" si="17572"/>
        <v>0</v>
      </c>
      <c r="L860" s="567">
        <f t="shared" si="17571"/>
        <v>0</v>
      </c>
      <c r="M860" s="686">
        <f t="shared" si="17572"/>
        <v>0</v>
      </c>
      <c r="N860" s="567">
        <f t="shared" si="17571"/>
        <v>0</v>
      </c>
      <c r="O860" s="686">
        <f t="shared" si="17572"/>
        <v>0</v>
      </c>
      <c r="P860" s="567">
        <f t="shared" si="17571"/>
        <v>0</v>
      </c>
      <c r="Q860" s="686">
        <f t="shared" si="17572"/>
        <v>0</v>
      </c>
      <c r="R860" s="567">
        <f t="shared" si="17571"/>
        <v>0</v>
      </c>
      <c r="S860" s="686">
        <f t="shared" si="17572"/>
        <v>0</v>
      </c>
      <c r="T860" s="567">
        <f t="shared" si="17571"/>
        <v>0</v>
      </c>
      <c r="U860" s="686">
        <f t="shared" si="17572"/>
        <v>0</v>
      </c>
      <c r="V860" s="567">
        <f t="shared" si="17571"/>
        <v>0</v>
      </c>
      <c r="W860" s="686">
        <f t="shared" si="17572"/>
        <v>0</v>
      </c>
      <c r="X860" s="567">
        <f t="shared" si="17571"/>
        <v>0</v>
      </c>
      <c r="Y860" s="686">
        <f t="shared" si="17572"/>
        <v>0</v>
      </c>
      <c r="Z860" s="567">
        <f t="shared" si="17571"/>
        <v>0</v>
      </c>
      <c r="AA860" s="686">
        <f t="shared" si="17572"/>
        <v>0</v>
      </c>
      <c r="AB860" s="567">
        <f t="shared" si="17571"/>
        <v>0</v>
      </c>
      <c r="AC860" s="686">
        <f t="shared" si="17572"/>
        <v>0</v>
      </c>
      <c r="AD860" s="567">
        <f t="shared" si="17571"/>
        <v>0</v>
      </c>
      <c r="AE860" s="686">
        <f t="shared" si="17572"/>
        <v>0</v>
      </c>
      <c r="AF860" s="567">
        <f t="shared" si="17571"/>
        <v>0</v>
      </c>
      <c r="AG860" s="686">
        <f t="shared" si="17572"/>
        <v>0</v>
      </c>
      <c r="AH860" s="567">
        <f t="shared" si="17571"/>
        <v>0</v>
      </c>
      <c r="AI860" s="686">
        <f t="shared" si="17572"/>
        <v>0</v>
      </c>
      <c r="AJ860" s="567">
        <f t="shared" si="17571"/>
        <v>0</v>
      </c>
      <c r="AK860" s="686">
        <f t="shared" si="17572"/>
        <v>0</v>
      </c>
      <c r="AL860" s="567">
        <f t="shared" si="17571"/>
        <v>0</v>
      </c>
      <c r="AM860" s="686">
        <f t="shared" si="17572"/>
        <v>0</v>
      </c>
      <c r="AN860" s="567">
        <f t="shared" si="17571"/>
        <v>0</v>
      </c>
      <c r="AO860" s="686">
        <f t="shared" si="17572"/>
        <v>0</v>
      </c>
      <c r="AP860" s="567">
        <f t="shared" si="17571"/>
        <v>0</v>
      </c>
      <c r="AQ860" s="686">
        <f t="shared" si="17572"/>
        <v>0</v>
      </c>
      <c r="AR860" s="567">
        <f t="shared" si="17571"/>
        <v>0</v>
      </c>
      <c r="AS860" s="686">
        <f t="shared" si="17572"/>
        <v>0</v>
      </c>
      <c r="AT860" s="567">
        <f t="shared" si="17571"/>
        <v>0</v>
      </c>
      <c r="AU860" s="686">
        <f t="shared" si="17572"/>
        <v>0</v>
      </c>
      <c r="AV860" s="567">
        <f t="shared" si="17571"/>
        <v>0</v>
      </c>
      <c r="AW860" s="686">
        <f t="shared" si="17572"/>
        <v>0</v>
      </c>
      <c r="AX860" s="567">
        <f t="shared" si="17571"/>
        <v>0</v>
      </c>
      <c r="AY860" s="686">
        <f t="shared" si="17572"/>
        <v>0</v>
      </c>
      <c r="AZ860" s="567">
        <f t="shared" si="17571"/>
        <v>0</v>
      </c>
      <c r="BA860" s="686">
        <f t="shared" si="17572"/>
        <v>0</v>
      </c>
      <c r="BB860" s="567">
        <f t="shared" si="17571"/>
        <v>0</v>
      </c>
      <c r="BC860" s="686">
        <f t="shared" si="17572"/>
        <v>0</v>
      </c>
      <c r="BD860" s="567">
        <f t="shared" si="17571"/>
        <v>0</v>
      </c>
      <c r="BE860" s="686">
        <f t="shared" si="17572"/>
        <v>0</v>
      </c>
      <c r="BF860" s="567">
        <f t="shared" si="17571"/>
        <v>0</v>
      </c>
      <c r="BG860" s="686">
        <f t="shared" si="17572"/>
        <v>0</v>
      </c>
      <c r="BH860" s="567">
        <f t="shared" si="17571"/>
        <v>0</v>
      </c>
      <c r="BI860" s="686">
        <f t="shared" si="17572"/>
        <v>0</v>
      </c>
      <c r="BJ860" s="567">
        <f t="shared" si="17571"/>
        <v>0</v>
      </c>
      <c r="BK860" s="686">
        <f t="shared" si="17572"/>
        <v>0</v>
      </c>
      <c r="BL860" s="567">
        <f t="shared" si="17571"/>
        <v>0</v>
      </c>
      <c r="BM860" s="686">
        <f t="shared" si="17572"/>
        <v>0</v>
      </c>
      <c r="BN860" s="567">
        <f t="shared" si="17571"/>
        <v>0</v>
      </c>
      <c r="BO860" s="686">
        <f t="shared" si="17572"/>
        <v>0</v>
      </c>
      <c r="BP860" s="567">
        <f t="shared" si="17571"/>
        <v>0</v>
      </c>
      <c r="BQ860" s="686">
        <f t="shared" si="17572"/>
        <v>0</v>
      </c>
      <c r="BR860" s="567">
        <f t="shared" si="17571"/>
        <v>0</v>
      </c>
      <c r="BS860" s="686">
        <f t="shared" si="17572"/>
        <v>0</v>
      </c>
      <c r="BT860" s="567">
        <f t="shared" si="17571"/>
        <v>0</v>
      </c>
      <c r="BU860" s="686">
        <f t="shared" si="17572"/>
        <v>0</v>
      </c>
      <c r="BV860" s="567">
        <f t="shared" si="17571"/>
        <v>0</v>
      </c>
      <c r="BW860" s="686">
        <f t="shared" si="17572"/>
        <v>0</v>
      </c>
      <c r="BX860" s="567">
        <f t="shared" si="17571"/>
        <v>0</v>
      </c>
      <c r="BY860" s="686">
        <f t="shared" si="17572"/>
        <v>0</v>
      </c>
      <c r="BZ860" s="567">
        <f t="shared" si="17571"/>
        <v>0</v>
      </c>
      <c r="CA860" s="686">
        <f t="shared" si="17572"/>
        <v>0</v>
      </c>
      <c r="CB860" s="567">
        <f t="shared" si="17571"/>
        <v>0</v>
      </c>
      <c r="CC860" s="686">
        <f t="shared" si="17572"/>
        <v>0</v>
      </c>
      <c r="CD860" s="567">
        <f t="shared" si="17571"/>
        <v>0</v>
      </c>
      <c r="CE860" s="686">
        <f t="shared" si="17572"/>
        <v>0</v>
      </c>
      <c r="CF860" s="567">
        <f t="shared" si="17571"/>
        <v>0</v>
      </c>
      <c r="CG860" s="686">
        <f t="shared" si="17572"/>
        <v>0</v>
      </c>
      <c r="CH860" s="567">
        <f t="shared" si="17571"/>
        <v>0</v>
      </c>
      <c r="CI860" s="686">
        <f t="shared" si="17572"/>
        <v>0</v>
      </c>
      <c r="CJ860" s="567">
        <f t="shared" si="17571"/>
        <v>0</v>
      </c>
      <c r="CK860" s="686">
        <f t="shared" si="17572"/>
        <v>0</v>
      </c>
      <c r="CL860" s="567">
        <f t="shared" si="17571"/>
        <v>0</v>
      </c>
      <c r="CM860" s="686">
        <f t="shared" si="17572"/>
        <v>0</v>
      </c>
      <c r="CN860" s="567">
        <f t="shared" si="17571"/>
        <v>0</v>
      </c>
      <c r="CO860" s="686">
        <f t="shared" si="17572"/>
        <v>0</v>
      </c>
      <c r="CP860" s="567">
        <f t="shared" si="17571"/>
        <v>0</v>
      </c>
      <c r="CQ860" s="686">
        <f t="shared" si="17572"/>
        <v>0</v>
      </c>
      <c r="CR860" s="567">
        <f t="shared" si="17571"/>
        <v>0</v>
      </c>
      <c r="CS860" s="686">
        <f t="shared" si="17572"/>
        <v>0</v>
      </c>
      <c r="CT860" s="567">
        <f t="shared" si="17571"/>
        <v>0</v>
      </c>
      <c r="CU860" s="686">
        <f t="shared" si="17572"/>
        <v>0</v>
      </c>
      <c r="CV860" s="567">
        <f t="shared" si="17571"/>
        <v>0</v>
      </c>
      <c r="CW860" s="686">
        <f t="shared" si="17572"/>
        <v>0</v>
      </c>
      <c r="CX860" s="567">
        <f t="shared" si="17571"/>
        <v>0</v>
      </c>
      <c r="CY860" s="686">
        <f t="shared" si="17572"/>
        <v>0</v>
      </c>
      <c r="CZ860" s="567">
        <f t="shared" si="17571"/>
        <v>0</v>
      </c>
      <c r="DA860" s="686">
        <f t="shared" si="17572"/>
        <v>0</v>
      </c>
      <c r="DB860" s="567">
        <f t="shared" si="17571"/>
        <v>0</v>
      </c>
      <c r="DC860" s="686">
        <f t="shared" si="17572"/>
        <v>0</v>
      </c>
      <c r="DD860" s="567">
        <f t="shared" si="17571"/>
        <v>0</v>
      </c>
      <c r="DE860" s="686">
        <f t="shared" si="17572"/>
        <v>-11072</v>
      </c>
      <c r="DF860" s="567">
        <f t="shared" si="17571"/>
        <v>0</v>
      </c>
      <c r="DG860" s="686">
        <f t="shared" si="17572"/>
        <v>0</v>
      </c>
      <c r="DH860" s="567">
        <f t="shared" si="17571"/>
        <v>0</v>
      </c>
      <c r="DI860" s="686">
        <f t="shared" si="17572"/>
        <v>0</v>
      </c>
      <c r="DJ860" s="567">
        <f t="shared" si="17571"/>
        <v>0</v>
      </c>
      <c r="DK860" s="686">
        <f t="shared" si="17572"/>
        <v>0</v>
      </c>
      <c r="DL860" s="567">
        <f t="shared" si="17571"/>
        <v>0</v>
      </c>
      <c r="DM860" s="686">
        <f t="shared" si="17572"/>
        <v>-13500</v>
      </c>
      <c r="DN860" s="567">
        <f t="shared" si="17571"/>
        <v>0</v>
      </c>
      <c r="DO860" s="686">
        <f t="shared" si="17572"/>
        <v>0</v>
      </c>
      <c r="DP860" s="567">
        <f t="shared" si="17571"/>
        <v>0</v>
      </c>
      <c r="DQ860" s="686">
        <f t="shared" si="17572"/>
        <v>0</v>
      </c>
      <c r="DR860" s="567">
        <f t="shared" si="17571"/>
        <v>0</v>
      </c>
      <c r="DS860" s="686">
        <f t="shared" si="17572"/>
        <v>-33000</v>
      </c>
      <c r="DT860" s="567">
        <f t="shared" si="17571"/>
        <v>0</v>
      </c>
      <c r="DU860" s="686">
        <f t="shared" si="17572"/>
        <v>0</v>
      </c>
      <c r="DV860" s="567">
        <f t="shared" si="17571"/>
        <v>0</v>
      </c>
      <c r="DW860" s="686">
        <f t="shared" si="17572"/>
        <v>0</v>
      </c>
      <c r="DX860" s="567">
        <f t="shared" si="17571"/>
        <v>0</v>
      </c>
      <c r="DY860" s="686">
        <f t="shared" si="17572"/>
        <v>-38450</v>
      </c>
      <c r="DZ860" s="567">
        <f t="shared" si="17571"/>
        <v>0</v>
      </c>
      <c r="EA860" s="686">
        <f t="shared" si="17572"/>
        <v>-3978</v>
      </c>
      <c r="EB860" s="567">
        <f t="shared" si="17571"/>
        <v>0</v>
      </c>
      <c r="EC860" s="686">
        <f t="shared" si="17572"/>
        <v>0</v>
      </c>
      <c r="ED860" s="567">
        <f t="shared" si="17571"/>
        <v>0</v>
      </c>
      <c r="EE860" s="686">
        <f t="shared" si="17572"/>
        <v>0</v>
      </c>
      <c r="EF860" s="567">
        <f t="shared" si="17571"/>
        <v>0</v>
      </c>
      <c r="EG860" s="686">
        <f t="shared" si="17572"/>
        <v>0</v>
      </c>
      <c r="EH860" s="567">
        <f t="shared" si="17571"/>
        <v>0</v>
      </c>
      <c r="EI860" s="686">
        <f t="shared" si="17572"/>
        <v>0</v>
      </c>
      <c r="EJ860" s="567">
        <f t="shared" si="17571"/>
        <v>0</v>
      </c>
      <c r="EK860" s="686">
        <f t="shared" si="17572"/>
        <v>0</v>
      </c>
      <c r="EL860" s="567">
        <f t="shared" si="17571"/>
        <v>0</v>
      </c>
      <c r="EM860" s="686">
        <f t="shared" si="17572"/>
        <v>0</v>
      </c>
      <c r="EN860" s="567">
        <f t="shared" si="17571"/>
        <v>0</v>
      </c>
      <c r="EO860" s="686">
        <f t="shared" si="17572"/>
        <v>0</v>
      </c>
      <c r="EP860" s="567">
        <f t="shared" si="17571"/>
        <v>0</v>
      </c>
      <c r="EQ860" s="686">
        <f t="shared" si="17572"/>
        <v>0</v>
      </c>
      <c r="ER860" s="567">
        <f t="shared" si="17571"/>
        <v>0</v>
      </c>
      <c r="ES860" s="686">
        <f t="shared" si="17572"/>
        <v>0</v>
      </c>
      <c r="ET860" s="567">
        <f t="shared" si="17571"/>
        <v>0</v>
      </c>
      <c r="EU860" s="686">
        <f t="shared" si="17572"/>
        <v>0</v>
      </c>
      <c r="EV860" s="567">
        <f t="shared" si="17571"/>
        <v>0</v>
      </c>
      <c r="EW860" s="686">
        <f t="shared" si="17572"/>
        <v>0</v>
      </c>
      <c r="EX860" s="567">
        <f t="shared" si="17571"/>
        <v>0</v>
      </c>
      <c r="EY860" s="686">
        <f t="shared" si="17572"/>
        <v>0</v>
      </c>
      <c r="EZ860" s="567">
        <f t="shared" si="17571"/>
        <v>0</v>
      </c>
      <c r="FA860" s="686">
        <f t="shared" si="17572"/>
        <v>0</v>
      </c>
      <c r="FB860" s="567">
        <f t="shared" si="17571"/>
        <v>0</v>
      </c>
      <c r="FC860" s="686">
        <f t="shared" si="17572"/>
        <v>0</v>
      </c>
      <c r="FD860" s="567">
        <f t="shared" si="17571"/>
        <v>0</v>
      </c>
      <c r="FE860" s="686">
        <f t="shared" si="17572"/>
        <v>0</v>
      </c>
      <c r="FF860" s="567">
        <f t="shared" si="17571"/>
        <v>0</v>
      </c>
      <c r="FG860" s="686">
        <f t="shared" si="17572"/>
        <v>0</v>
      </c>
      <c r="FH860" s="567">
        <f t="shared" si="17571"/>
        <v>0</v>
      </c>
      <c r="FI860" s="686">
        <f t="shared" si="17572"/>
        <v>0</v>
      </c>
      <c r="FJ860" s="567">
        <f t="shared" si="17571"/>
        <v>0</v>
      </c>
      <c r="FK860" s="686">
        <f t="shared" si="17572"/>
        <v>0</v>
      </c>
      <c r="FL860" s="567">
        <f t="shared" si="17571"/>
        <v>0</v>
      </c>
      <c r="FM860" s="686">
        <f t="shared" si="17572"/>
        <v>0</v>
      </c>
      <c r="FN860" s="567">
        <f t="shared" si="17571"/>
        <v>0</v>
      </c>
      <c r="FO860" s="686">
        <f t="shared" si="17572"/>
        <v>0</v>
      </c>
      <c r="FP860" s="567">
        <f t="shared" si="17571"/>
        <v>0</v>
      </c>
      <c r="FQ860" s="686">
        <f t="shared" si="17572"/>
        <v>0</v>
      </c>
      <c r="FR860" s="567">
        <f t="shared" si="17571"/>
        <v>0</v>
      </c>
      <c r="FS860" s="686">
        <f t="shared" si="17572"/>
        <v>0</v>
      </c>
      <c r="FT860" s="567">
        <f t="shared" si="17571"/>
        <v>0</v>
      </c>
      <c r="FU860" s="686">
        <f t="shared" si="17572"/>
        <v>0</v>
      </c>
      <c r="FV860" s="567">
        <f t="shared" si="17571"/>
        <v>0</v>
      </c>
      <c r="FW860" s="686">
        <f t="shared" si="17572"/>
        <v>0</v>
      </c>
      <c r="FX860" s="567">
        <f t="shared" si="17571"/>
        <v>0</v>
      </c>
      <c r="FY860" s="686">
        <f t="shared" si="17572"/>
        <v>0</v>
      </c>
      <c r="FZ860" s="567">
        <f t="shared" si="17571"/>
        <v>0</v>
      </c>
      <c r="GA860" s="686">
        <f t="shared" si="17572"/>
        <v>0</v>
      </c>
      <c r="GB860" s="567">
        <f t="shared" si="17571"/>
        <v>0</v>
      </c>
      <c r="GC860" s="686">
        <f t="shared" si="17572"/>
        <v>0</v>
      </c>
      <c r="GD860" s="567">
        <f t="shared" si="17571"/>
        <v>0</v>
      </c>
      <c r="GE860" s="686">
        <f t="shared" si="17572"/>
        <v>0</v>
      </c>
      <c r="GF860" s="567">
        <f t="shared" si="17571"/>
        <v>0</v>
      </c>
      <c r="GG860" s="686">
        <f t="shared" si="17572"/>
        <v>0</v>
      </c>
      <c r="GH860" s="567">
        <f t="shared" si="17571"/>
        <v>0</v>
      </c>
      <c r="GI860" s="686">
        <f t="shared" si="17572"/>
        <v>0</v>
      </c>
      <c r="GJ860" s="567">
        <f t="shared" si="17571"/>
        <v>0</v>
      </c>
      <c r="GK860" s="686">
        <f t="shared" si="17572"/>
        <v>0</v>
      </c>
      <c r="GL860" s="567">
        <f t="shared" si="17571"/>
        <v>0</v>
      </c>
      <c r="GM860" s="686">
        <f t="shared" si="17572"/>
        <v>0</v>
      </c>
      <c r="GN860" s="567">
        <f t="shared" si="17571"/>
        <v>0</v>
      </c>
      <c r="GO860" s="686">
        <f t="shared" si="17572"/>
        <v>0</v>
      </c>
      <c r="GP860" s="567">
        <f>GP861</f>
        <v>0</v>
      </c>
      <c r="GQ860" s="686">
        <f>GQ861</f>
        <v>-100000</v>
      </c>
      <c r="GR860" s="513">
        <f>GR861</f>
        <v>0</v>
      </c>
      <c r="GS860" s="513">
        <f t="shared" ref="GS860:JC860" si="17573">GS861</f>
        <v>0</v>
      </c>
      <c r="GT860" s="568">
        <f t="shared" si="17573"/>
        <v>0</v>
      </c>
      <c r="GU860" s="513">
        <f t="shared" si="17573"/>
        <v>20000</v>
      </c>
      <c r="GV860" s="513">
        <f t="shared" si="17573"/>
        <v>0</v>
      </c>
      <c r="GW860" s="513">
        <f t="shared" si="17573"/>
        <v>0</v>
      </c>
      <c r="GX860" s="513">
        <f t="shared" si="17573"/>
        <v>30000</v>
      </c>
      <c r="GY860" s="513">
        <f t="shared" si="17573"/>
        <v>0</v>
      </c>
      <c r="GZ860" s="513">
        <f t="shared" si="17573"/>
        <v>50000</v>
      </c>
      <c r="HA860" s="513">
        <f t="shared" si="17573"/>
        <v>0</v>
      </c>
      <c r="HB860" s="513">
        <f t="shared" si="17573"/>
        <v>0</v>
      </c>
      <c r="HC860" s="513">
        <f t="shared" si="17573"/>
        <v>0</v>
      </c>
      <c r="HD860" s="513">
        <f t="shared" si="17573"/>
        <v>0</v>
      </c>
      <c r="HE860" s="513">
        <f t="shared" si="17573"/>
        <v>0</v>
      </c>
      <c r="HF860" s="513">
        <f t="shared" si="17573"/>
        <v>0</v>
      </c>
      <c r="HG860" s="513">
        <f t="shared" si="17573"/>
        <v>0</v>
      </c>
      <c r="HH860" s="513">
        <f t="shared" si="17573"/>
        <v>0</v>
      </c>
      <c r="HI860" s="827">
        <f t="shared" si="17573"/>
        <v>0</v>
      </c>
      <c r="HJ860" s="513">
        <f t="shared" si="17573"/>
        <v>0</v>
      </c>
      <c r="HK860" s="827">
        <f t="shared" si="17573"/>
        <v>0</v>
      </c>
      <c r="HL860" s="513">
        <f t="shared" si="17573"/>
        <v>0</v>
      </c>
      <c r="HM860" s="827">
        <f t="shared" si="17573"/>
        <v>0</v>
      </c>
      <c r="HN860" s="513">
        <f t="shared" si="17573"/>
        <v>0</v>
      </c>
      <c r="HO860" s="827">
        <f t="shared" si="17573"/>
        <v>50000</v>
      </c>
      <c r="HP860" s="513">
        <f t="shared" si="17573"/>
        <v>0</v>
      </c>
      <c r="HQ860" s="827">
        <f t="shared" si="17573"/>
        <v>0</v>
      </c>
      <c r="HR860" s="513">
        <f t="shared" si="17573"/>
        <v>0</v>
      </c>
      <c r="HS860" s="827">
        <f t="shared" si="17573"/>
        <v>0</v>
      </c>
      <c r="HT860" s="513">
        <f t="shared" si="17573"/>
        <v>0</v>
      </c>
      <c r="HU860" s="827">
        <f t="shared" si="17573"/>
        <v>50000</v>
      </c>
      <c r="HV860" s="513">
        <f t="shared" si="17573"/>
        <v>0</v>
      </c>
      <c r="HW860" s="827">
        <f t="shared" si="17573"/>
        <v>0</v>
      </c>
      <c r="HX860" s="513">
        <f t="shared" si="17573"/>
        <v>0</v>
      </c>
      <c r="HY860" s="827">
        <f t="shared" si="17573"/>
        <v>0</v>
      </c>
      <c r="HZ860" s="513">
        <f t="shared" si="17573"/>
        <v>0</v>
      </c>
      <c r="IA860" s="827">
        <f t="shared" si="17573"/>
        <v>0</v>
      </c>
      <c r="IB860" s="513">
        <f t="shared" si="17573"/>
        <v>0</v>
      </c>
      <c r="IC860" s="827">
        <f t="shared" si="17573"/>
        <v>0</v>
      </c>
      <c r="ID860" s="513">
        <f t="shared" si="17573"/>
        <v>0</v>
      </c>
      <c r="IE860" s="827">
        <f t="shared" si="17573"/>
        <v>0</v>
      </c>
      <c r="IF860" s="839">
        <f t="shared" si="17573"/>
        <v>0</v>
      </c>
      <c r="IG860" s="513">
        <f t="shared" si="17573"/>
        <v>0</v>
      </c>
      <c r="IH860" s="840">
        <f t="shared" si="17573"/>
        <v>0</v>
      </c>
      <c r="II860" s="513">
        <f t="shared" si="17573"/>
        <v>0</v>
      </c>
      <c r="IJ860" s="513">
        <f t="shared" si="17573"/>
        <v>0</v>
      </c>
      <c r="IK860" s="513">
        <f t="shared" si="17573"/>
        <v>0</v>
      </c>
      <c r="IL860" s="513">
        <f t="shared" si="17573"/>
        <v>0</v>
      </c>
      <c r="IM860" s="513">
        <f t="shared" si="17573"/>
        <v>0</v>
      </c>
      <c r="IN860" s="513">
        <f t="shared" si="17573"/>
        <v>0</v>
      </c>
      <c r="IO860" s="513">
        <f t="shared" si="17573"/>
        <v>0</v>
      </c>
      <c r="IP860" s="513">
        <f t="shared" si="17573"/>
        <v>0</v>
      </c>
      <c r="IQ860" s="513">
        <f t="shared" si="17573"/>
        <v>0</v>
      </c>
      <c r="IR860" s="513">
        <f t="shared" si="17573"/>
        <v>0</v>
      </c>
      <c r="IS860" s="513">
        <f t="shared" si="17573"/>
        <v>0</v>
      </c>
      <c r="IT860" s="513">
        <f t="shared" si="17573"/>
        <v>0</v>
      </c>
      <c r="IU860" s="513">
        <f t="shared" si="17573"/>
        <v>0</v>
      </c>
      <c r="IV860" s="513">
        <f t="shared" si="17573"/>
        <v>0</v>
      </c>
      <c r="IW860" s="513">
        <f t="shared" si="17573"/>
        <v>0</v>
      </c>
      <c r="IX860" s="513">
        <f t="shared" si="17573"/>
        <v>0</v>
      </c>
      <c r="IY860" s="513">
        <f t="shared" si="17573"/>
        <v>0</v>
      </c>
      <c r="IZ860" s="513">
        <f t="shared" si="17573"/>
        <v>0</v>
      </c>
      <c r="JA860" s="513">
        <f t="shared" si="17573"/>
        <v>0</v>
      </c>
      <c r="JB860" s="513">
        <f t="shared" si="17573"/>
        <v>0</v>
      </c>
      <c r="JC860" s="513">
        <f t="shared" si="17573"/>
        <v>0</v>
      </c>
      <c r="JD860" s="513">
        <f t="shared" ref="JD860:JT860" si="17574">JD861</f>
        <v>0</v>
      </c>
      <c r="JE860" s="513">
        <f t="shared" si="17574"/>
        <v>0</v>
      </c>
      <c r="JF860" s="513">
        <f t="shared" si="17574"/>
        <v>0</v>
      </c>
      <c r="JG860" s="513">
        <f t="shared" si="17574"/>
        <v>0</v>
      </c>
      <c r="JH860" s="513">
        <f t="shared" si="17574"/>
        <v>0</v>
      </c>
      <c r="JI860" s="513">
        <f t="shared" si="17574"/>
        <v>0</v>
      </c>
      <c r="JJ860" s="513">
        <f t="shared" si="17574"/>
        <v>0</v>
      </c>
      <c r="JK860" s="513">
        <f t="shared" si="17574"/>
        <v>0</v>
      </c>
      <c r="JL860" s="513">
        <f t="shared" si="17574"/>
        <v>0</v>
      </c>
      <c r="JM860" s="513">
        <f t="shared" si="17574"/>
        <v>0</v>
      </c>
      <c r="JN860" s="513">
        <f t="shared" si="17574"/>
        <v>0</v>
      </c>
      <c r="JO860" s="513">
        <f t="shared" si="17574"/>
        <v>0</v>
      </c>
      <c r="JP860" s="513">
        <f t="shared" si="17574"/>
        <v>0</v>
      </c>
      <c r="JQ860" s="513">
        <f t="shared" si="17574"/>
        <v>0</v>
      </c>
      <c r="JR860" s="513">
        <f t="shared" si="17574"/>
        <v>0</v>
      </c>
      <c r="JS860" s="513">
        <f t="shared" si="17574"/>
        <v>0</v>
      </c>
      <c r="JT860" s="513">
        <f t="shared" si="17574"/>
        <v>0</v>
      </c>
      <c r="JU860" s="665"/>
      <c r="JV860" s="524"/>
      <c r="JW860" s="525"/>
      <c r="JX860" s="567">
        <f t="shared" ref="JX860" si="17575">JX861</f>
        <v>0</v>
      </c>
      <c r="JY860" s="513">
        <f>SUM(JY861:JY861)</f>
        <v>100000</v>
      </c>
      <c r="JZ860" s="513">
        <f>SUM(JZ861:JZ861)</f>
        <v>0</v>
      </c>
      <c r="KA860" s="513">
        <f>SUM(KA861:KA861)</f>
        <v>-100000</v>
      </c>
      <c r="KB860" s="513">
        <f>SUM(KB861:KB861)</f>
        <v>0</v>
      </c>
      <c r="KC860" s="709">
        <f t="shared" ref="KC860:KC861" si="17576">HG860-KB860</f>
        <v>0</v>
      </c>
      <c r="KD860" s="494"/>
      <c r="KE860" s="494"/>
      <c r="KF860" s="494"/>
      <c r="KG860" s="494"/>
      <c r="KH860" s="57"/>
      <c r="KI860" s="57"/>
      <c r="KJ860" s="57"/>
      <c r="KK860" s="57"/>
    </row>
    <row r="861" spans="1:297" s="10" customFormat="1">
      <c r="A861" s="612" t="s">
        <v>1207</v>
      </c>
      <c r="B861" s="512" t="s">
        <v>967</v>
      </c>
      <c r="C861" s="74">
        <v>100000</v>
      </c>
      <c r="D861" s="549">
        <v>0</v>
      </c>
      <c r="E861" s="675">
        <v>0</v>
      </c>
      <c r="F861" s="549">
        <v>0</v>
      </c>
      <c r="G861" s="675">
        <v>0</v>
      </c>
      <c r="H861" s="549">
        <v>0</v>
      </c>
      <c r="I861" s="675">
        <v>0</v>
      </c>
      <c r="J861" s="549">
        <v>0</v>
      </c>
      <c r="K861" s="675">
        <v>0</v>
      </c>
      <c r="L861" s="549">
        <v>0</v>
      </c>
      <c r="M861" s="675">
        <v>0</v>
      </c>
      <c r="N861" s="549">
        <v>0</v>
      </c>
      <c r="O861" s="675">
        <v>0</v>
      </c>
      <c r="P861" s="549">
        <v>0</v>
      </c>
      <c r="Q861" s="675">
        <v>0</v>
      </c>
      <c r="R861" s="549">
        <v>0</v>
      </c>
      <c r="S861" s="675">
        <v>0</v>
      </c>
      <c r="T861" s="549">
        <v>0</v>
      </c>
      <c r="U861" s="675">
        <v>0</v>
      </c>
      <c r="V861" s="549">
        <v>0</v>
      </c>
      <c r="W861" s="675">
        <v>0</v>
      </c>
      <c r="X861" s="549">
        <v>0</v>
      </c>
      <c r="Y861" s="675">
        <v>0</v>
      </c>
      <c r="Z861" s="549">
        <v>0</v>
      </c>
      <c r="AA861" s="675">
        <v>0</v>
      </c>
      <c r="AB861" s="549">
        <v>0</v>
      </c>
      <c r="AC861" s="675">
        <v>0</v>
      </c>
      <c r="AD861" s="549">
        <v>0</v>
      </c>
      <c r="AE861" s="675">
        <v>0</v>
      </c>
      <c r="AF861" s="549">
        <v>0</v>
      </c>
      <c r="AG861" s="675">
        <v>0</v>
      </c>
      <c r="AH861" s="549">
        <v>0</v>
      </c>
      <c r="AI861" s="675">
        <v>0</v>
      </c>
      <c r="AJ861" s="549">
        <v>0</v>
      </c>
      <c r="AK861" s="675">
        <v>0</v>
      </c>
      <c r="AL861" s="549">
        <v>0</v>
      </c>
      <c r="AM861" s="675">
        <v>0</v>
      </c>
      <c r="AN861" s="549">
        <v>0</v>
      </c>
      <c r="AO861" s="675">
        <v>0</v>
      </c>
      <c r="AP861" s="549">
        <v>0</v>
      </c>
      <c r="AQ861" s="675">
        <v>0</v>
      </c>
      <c r="AR861" s="549">
        <v>0</v>
      </c>
      <c r="AS861" s="675">
        <v>0</v>
      </c>
      <c r="AT861" s="549">
        <v>0</v>
      </c>
      <c r="AU861" s="675">
        <v>0</v>
      </c>
      <c r="AV861" s="549">
        <v>0</v>
      </c>
      <c r="AW861" s="675">
        <v>0</v>
      </c>
      <c r="AX861" s="549">
        <v>0</v>
      </c>
      <c r="AY861" s="675">
        <v>0</v>
      </c>
      <c r="AZ861" s="549">
        <v>0</v>
      </c>
      <c r="BA861" s="675">
        <v>0</v>
      </c>
      <c r="BB861" s="549">
        <v>0</v>
      </c>
      <c r="BC861" s="675">
        <v>0</v>
      </c>
      <c r="BD861" s="549">
        <v>0</v>
      </c>
      <c r="BE861" s="675">
        <v>0</v>
      </c>
      <c r="BF861" s="549">
        <v>0</v>
      </c>
      <c r="BG861" s="675">
        <v>0</v>
      </c>
      <c r="BH861" s="549">
        <v>0</v>
      </c>
      <c r="BI861" s="675">
        <v>0</v>
      </c>
      <c r="BJ861" s="549">
        <v>0</v>
      </c>
      <c r="BK861" s="675">
        <v>0</v>
      </c>
      <c r="BL861" s="549">
        <v>0</v>
      </c>
      <c r="BM861" s="675">
        <v>0</v>
      </c>
      <c r="BN861" s="549">
        <v>0</v>
      </c>
      <c r="BO861" s="675">
        <v>0</v>
      </c>
      <c r="BP861" s="549">
        <v>0</v>
      </c>
      <c r="BQ861" s="675">
        <v>0</v>
      </c>
      <c r="BR861" s="549">
        <v>0</v>
      </c>
      <c r="BS861" s="675">
        <v>0</v>
      </c>
      <c r="BT861" s="549">
        <v>0</v>
      </c>
      <c r="BU861" s="675">
        <v>0</v>
      </c>
      <c r="BV861" s="549">
        <v>0</v>
      </c>
      <c r="BW861" s="675">
        <v>0</v>
      </c>
      <c r="BX861" s="549">
        <v>0</v>
      </c>
      <c r="BY861" s="675">
        <v>0</v>
      </c>
      <c r="BZ861" s="549">
        <v>0</v>
      </c>
      <c r="CA861" s="675">
        <v>0</v>
      </c>
      <c r="CB861" s="549">
        <v>0</v>
      </c>
      <c r="CC861" s="675">
        <v>0</v>
      </c>
      <c r="CD861" s="549">
        <v>0</v>
      </c>
      <c r="CE861" s="675">
        <v>0</v>
      </c>
      <c r="CF861" s="549">
        <v>0</v>
      </c>
      <c r="CG861" s="675">
        <v>0</v>
      </c>
      <c r="CH861" s="549">
        <v>0</v>
      </c>
      <c r="CI861" s="675">
        <v>0</v>
      </c>
      <c r="CJ861" s="549">
        <v>0</v>
      </c>
      <c r="CK861" s="675">
        <v>0</v>
      </c>
      <c r="CL861" s="549">
        <v>0</v>
      </c>
      <c r="CM861" s="675">
        <v>0</v>
      </c>
      <c r="CN861" s="549">
        <v>0</v>
      </c>
      <c r="CO861" s="675">
        <v>0</v>
      </c>
      <c r="CP861" s="549">
        <v>0</v>
      </c>
      <c r="CQ861" s="675">
        <v>0</v>
      </c>
      <c r="CR861" s="549">
        <v>0</v>
      </c>
      <c r="CS861" s="675">
        <v>0</v>
      </c>
      <c r="CT861" s="549">
        <v>0</v>
      </c>
      <c r="CU861" s="675">
        <v>0</v>
      </c>
      <c r="CV861" s="549">
        <v>0</v>
      </c>
      <c r="CW861" s="675">
        <v>0</v>
      </c>
      <c r="CX861" s="549">
        <v>0</v>
      </c>
      <c r="CY861" s="675">
        <v>0</v>
      </c>
      <c r="CZ861" s="549">
        <v>0</v>
      </c>
      <c r="DA861" s="675">
        <v>0</v>
      </c>
      <c r="DB861" s="549">
        <v>0</v>
      </c>
      <c r="DC861" s="675">
        <v>0</v>
      </c>
      <c r="DD861" s="549">
        <v>0</v>
      </c>
      <c r="DE861" s="675">
        <v>-11072</v>
      </c>
      <c r="DF861" s="549">
        <v>0</v>
      </c>
      <c r="DG861" s="675">
        <v>0</v>
      </c>
      <c r="DH861" s="549">
        <v>0</v>
      </c>
      <c r="DI861" s="675">
        <v>0</v>
      </c>
      <c r="DJ861" s="549">
        <v>0</v>
      </c>
      <c r="DK861" s="675">
        <v>0</v>
      </c>
      <c r="DL861" s="549">
        <v>0</v>
      </c>
      <c r="DM861" s="675">
        <v>-13500</v>
      </c>
      <c r="DN861" s="549">
        <v>0</v>
      </c>
      <c r="DO861" s="675">
        <v>0</v>
      </c>
      <c r="DP861" s="549">
        <v>0</v>
      </c>
      <c r="DQ861" s="675">
        <v>0</v>
      </c>
      <c r="DR861" s="549">
        <v>0</v>
      </c>
      <c r="DS861" s="675">
        <v>-33000</v>
      </c>
      <c r="DT861" s="549">
        <v>0</v>
      </c>
      <c r="DU861" s="675">
        <v>0</v>
      </c>
      <c r="DV861" s="549">
        <v>0</v>
      </c>
      <c r="DW861" s="675">
        <v>0</v>
      </c>
      <c r="DX861" s="549">
        <v>0</v>
      </c>
      <c r="DY861" s="675">
        <v>-38450</v>
      </c>
      <c r="DZ861" s="549">
        <v>0</v>
      </c>
      <c r="EA861" s="675">
        <v>-3978</v>
      </c>
      <c r="EB861" s="549">
        <v>0</v>
      </c>
      <c r="EC861" s="675">
        <v>0</v>
      </c>
      <c r="ED861" s="549">
        <v>0</v>
      </c>
      <c r="EE861" s="675">
        <v>0</v>
      </c>
      <c r="EF861" s="549">
        <v>0</v>
      </c>
      <c r="EG861" s="675">
        <v>0</v>
      </c>
      <c r="EH861" s="549">
        <v>0</v>
      </c>
      <c r="EI861" s="675">
        <v>0</v>
      </c>
      <c r="EJ861" s="549">
        <v>0</v>
      </c>
      <c r="EK861" s="675">
        <v>0</v>
      </c>
      <c r="EL861" s="549">
        <v>0</v>
      </c>
      <c r="EM861" s="675">
        <v>0</v>
      </c>
      <c r="EN861" s="549">
        <v>0</v>
      </c>
      <c r="EO861" s="675">
        <v>0</v>
      </c>
      <c r="EP861" s="549">
        <v>0</v>
      </c>
      <c r="EQ861" s="675">
        <v>0</v>
      </c>
      <c r="ER861" s="549">
        <v>0</v>
      </c>
      <c r="ES861" s="675">
        <v>0</v>
      </c>
      <c r="ET861" s="549">
        <v>0</v>
      </c>
      <c r="EU861" s="675">
        <v>0</v>
      </c>
      <c r="EV861" s="549">
        <v>0</v>
      </c>
      <c r="EW861" s="675">
        <v>0</v>
      </c>
      <c r="EX861" s="549">
        <v>0</v>
      </c>
      <c r="EY861" s="675">
        <v>0</v>
      </c>
      <c r="EZ861" s="549">
        <v>0</v>
      </c>
      <c r="FA861" s="675">
        <v>0</v>
      </c>
      <c r="FB861" s="549">
        <v>0</v>
      </c>
      <c r="FC861" s="675">
        <v>0</v>
      </c>
      <c r="FD861" s="549">
        <v>0</v>
      </c>
      <c r="FE861" s="675">
        <v>0</v>
      </c>
      <c r="FF861" s="549">
        <v>0</v>
      </c>
      <c r="FG861" s="675">
        <v>0</v>
      </c>
      <c r="FH861" s="549">
        <v>0</v>
      </c>
      <c r="FI861" s="675">
        <v>0</v>
      </c>
      <c r="FJ861" s="549">
        <v>0</v>
      </c>
      <c r="FK861" s="675">
        <v>0</v>
      </c>
      <c r="FL861" s="549">
        <v>0</v>
      </c>
      <c r="FM861" s="675">
        <v>0</v>
      </c>
      <c r="FN861" s="549">
        <v>0</v>
      </c>
      <c r="FO861" s="675">
        <v>0</v>
      </c>
      <c r="FP861" s="549">
        <v>0</v>
      </c>
      <c r="FQ861" s="675">
        <v>0</v>
      </c>
      <c r="FR861" s="549">
        <v>0</v>
      </c>
      <c r="FS861" s="675">
        <v>0</v>
      </c>
      <c r="FT861" s="549">
        <v>0</v>
      </c>
      <c r="FU861" s="675">
        <v>0</v>
      </c>
      <c r="FV861" s="549">
        <v>0</v>
      </c>
      <c r="FW861" s="675">
        <v>0</v>
      </c>
      <c r="FX861" s="549">
        <v>0</v>
      </c>
      <c r="FY861" s="675">
        <v>0</v>
      </c>
      <c r="FZ861" s="549">
        <v>0</v>
      </c>
      <c r="GA861" s="675">
        <v>0</v>
      </c>
      <c r="GB861" s="549">
        <v>0</v>
      </c>
      <c r="GC861" s="675">
        <v>0</v>
      </c>
      <c r="GD861" s="549">
        <v>0</v>
      </c>
      <c r="GE861" s="675">
        <v>0</v>
      </c>
      <c r="GF861" s="549">
        <v>0</v>
      </c>
      <c r="GG861" s="675">
        <v>0</v>
      </c>
      <c r="GH861" s="549">
        <v>0</v>
      </c>
      <c r="GI861" s="675">
        <v>0</v>
      </c>
      <c r="GJ861" s="549">
        <v>0</v>
      </c>
      <c r="GK861" s="675">
        <v>0</v>
      </c>
      <c r="GL861" s="549">
        <v>0</v>
      </c>
      <c r="GM861" s="675">
        <v>0</v>
      </c>
      <c r="GN861" s="549">
        <v>0</v>
      </c>
      <c r="GO861" s="675">
        <v>0</v>
      </c>
      <c r="GP861" s="549">
        <f>+D861+F861+H861+J861+L861+N861+P861+R861+T861+V861+X861+Z861+AB861+AF861+AD861+AH861+AJ861+AL861+AN861+AP861+AR861+AT861+AV861+AX861+AZ861+BB861+BD861+BF861+BH861+BJ861+BL861+BN861+BP861+BR861+BT861+BV861+BX861+BZ861+CB861+CD861+CF861+CH861+CJ861+CL861+CN861+CP861+CR861+CT861+CV861+CX861+CZ861+DB861+DD861+DF861+DH861+DT861+EX861+DJ861+DL861+DN861+DP861+DR861+EJ861+EB861+DZ861+DX861+DV861+ED861+EF861+EH861+EL861+EN861+EP861+EV861+ET861+ER861+EZ861+FB861+FD861+GL861+FF861+FJ861+FL861+GJ861+FT861+FR861+FP861+FN861+FH861+GH861+GF861+GD861+GB861+FZ861+FX861+FV861+GN861</f>
        <v>0</v>
      </c>
      <c r="GQ861" s="675">
        <f>+E861+G861+I861+K861+M861+O861+Q861+S861+U861+W861+Y861+AA861+AC861+AE861+AG861+AI861+AK861+AM861+AO861+AQ861+AS861+AU861+AW861+AY861+BA861+BC861+BE861+BG861+BI861+BK861+BM861+BO861+BQ861+BS861+BU861+BW861+BY861+CA861+CC861+CE861+CG861+CI861+CK861+CM861+CO861+CQ861+CS861+CU861+CW861+CY861+DA861+DC861+DE861+DG861+DI861+DU861+EY861+DK861+DM861+DO861+DQ861+DS861+EK861+EC861+EA861+DY861+DW861+EI861+EG861+EE861+EM861+EO861+EQ861+EW861+EU861+ES861+FA861+FC861+FE861+GM861+FG861+FK861+FM861+FO861+FQ861+FS861+FU861+GK861+FI861+GI861+GG861+GE861+GC861+GA861+FY861+FW861+GO861</f>
        <v>-100000</v>
      </c>
      <c r="GR861" s="74">
        <f>C861+GP861+GQ861</f>
        <v>0</v>
      </c>
      <c r="GS861" s="74">
        <f>SUM(GU861:HD861)+GP861+GQ861</f>
        <v>0</v>
      </c>
      <c r="GT861" s="568">
        <f t="shared" ref="GT861" si="17577">SUM(GU861:HF861)+GQ861+GP861</f>
        <v>0</v>
      </c>
      <c r="GU861" s="275">
        <v>20000</v>
      </c>
      <c r="GV861" s="275"/>
      <c r="GW861" s="588"/>
      <c r="GX861" s="275">
        <v>30000</v>
      </c>
      <c r="GY861" s="275"/>
      <c r="GZ861" s="275">
        <v>50000</v>
      </c>
      <c r="HA861" s="493">
        <f>30000-30000</f>
        <v>0</v>
      </c>
      <c r="HB861" s="493"/>
      <c r="HC861" s="493"/>
      <c r="HD861" s="493">
        <f>20000-20000</f>
        <v>0</v>
      </c>
      <c r="HE861" s="275">
        <v>0</v>
      </c>
      <c r="HF861" s="275">
        <v>0</v>
      </c>
      <c r="HG861" s="74">
        <f t="shared" ref="HG861" si="17578">SUM(HH861:IE861)+GP861+GQ861</f>
        <v>0</v>
      </c>
      <c r="HH861" s="89">
        <v>0</v>
      </c>
      <c r="HI861" s="817">
        <v>0</v>
      </c>
      <c r="HJ861" s="89">
        <v>0</v>
      </c>
      <c r="HK861" s="817">
        <v>0</v>
      </c>
      <c r="HL861" s="89">
        <v>0</v>
      </c>
      <c r="HM861" s="817">
        <v>0</v>
      </c>
      <c r="HN861" s="89">
        <v>0</v>
      </c>
      <c r="HO861" s="817">
        <v>50000</v>
      </c>
      <c r="HP861" s="89">
        <v>0</v>
      </c>
      <c r="HQ861" s="817">
        <v>0</v>
      </c>
      <c r="HR861" s="89">
        <v>0</v>
      </c>
      <c r="HS861" s="817">
        <v>0</v>
      </c>
      <c r="HT861" s="89">
        <v>0</v>
      </c>
      <c r="HU861" s="817">
        <f>100000-50000</f>
        <v>50000</v>
      </c>
      <c r="HV861" s="89">
        <v>0</v>
      </c>
      <c r="HW861" s="817">
        <v>0</v>
      </c>
      <c r="HX861" s="89">
        <v>0</v>
      </c>
      <c r="HY861" s="817">
        <v>0</v>
      </c>
      <c r="HZ861" s="89">
        <v>0</v>
      </c>
      <c r="IA861" s="817">
        <v>0</v>
      </c>
      <c r="IB861" s="89">
        <v>0</v>
      </c>
      <c r="IC861" s="817">
        <v>0</v>
      </c>
      <c r="ID861" s="89">
        <v>0</v>
      </c>
      <c r="IE861" s="817">
        <v>0</v>
      </c>
      <c r="IF861" s="841">
        <f t="shared" ref="IF861" si="17579">SUM(II861,IL861,IO861,IR861,IU861,IX861,JA861,JD861,JG861,JJ861,JM861,JP861)</f>
        <v>0</v>
      </c>
      <c r="IG861" s="263">
        <f t="shared" ref="IG861" si="17580">SUM(IJ861,IM861,IP861,IS861,IV861,IY861,JB861,JE861,JH861,JK861,JN861,JQ861)</f>
        <v>0</v>
      </c>
      <c r="IH861" s="842">
        <f t="shared" ref="IH861" si="17581">SUM(IK861,IN861,IQ861,IT861,IW861,IZ861,JC861,JF861,JI861,JL861,JO861,JR861)</f>
        <v>0</v>
      </c>
      <c r="II861" s="89">
        <v>0</v>
      </c>
      <c r="IJ861" s="89">
        <f t="shared" ref="IJ861" si="17582">II861</f>
        <v>0</v>
      </c>
      <c r="IK861" s="89">
        <f t="shared" ref="IK861" si="17583">IJ861</f>
        <v>0</v>
      </c>
      <c r="IL861" s="89">
        <v>0</v>
      </c>
      <c r="IM861" s="89">
        <f t="shared" ref="IM861" si="17584">IL861</f>
        <v>0</v>
      </c>
      <c r="IN861" s="89">
        <f t="shared" ref="IN861" si="17585">IM861</f>
        <v>0</v>
      </c>
      <c r="IO861" s="89">
        <v>0</v>
      </c>
      <c r="IP861" s="89">
        <f t="shared" ref="IP861" si="17586">IO861</f>
        <v>0</v>
      </c>
      <c r="IQ861" s="89">
        <f t="shared" ref="IQ861" si="17587">IP861</f>
        <v>0</v>
      </c>
      <c r="IR861" s="89">
        <v>0</v>
      </c>
      <c r="IS861" s="89">
        <f t="shared" ref="IS861" si="17588">IR861</f>
        <v>0</v>
      </c>
      <c r="IT861" s="89">
        <f t="shared" ref="IT861" si="17589">IS861</f>
        <v>0</v>
      </c>
      <c r="IU861" s="89">
        <v>0</v>
      </c>
      <c r="IV861" s="89">
        <f t="shared" ref="IV861" si="17590">IU861</f>
        <v>0</v>
      </c>
      <c r="IW861" s="89">
        <f t="shared" ref="IW861" si="17591">IV861</f>
        <v>0</v>
      </c>
      <c r="IX861" s="89">
        <v>0</v>
      </c>
      <c r="IY861" s="89">
        <f t="shared" ref="IY861" si="17592">IX861</f>
        <v>0</v>
      </c>
      <c r="IZ861" s="89">
        <f t="shared" ref="IZ861" si="17593">IY861</f>
        <v>0</v>
      </c>
      <c r="JA861" s="89">
        <v>0</v>
      </c>
      <c r="JB861" s="89">
        <f t="shared" ref="JB861" si="17594">JA861</f>
        <v>0</v>
      </c>
      <c r="JC861" s="89">
        <f t="shared" ref="JC861" si="17595">JB861</f>
        <v>0</v>
      </c>
      <c r="JD861" s="89">
        <v>0</v>
      </c>
      <c r="JE861" s="89">
        <f t="shared" ref="JE861" si="17596">JD861</f>
        <v>0</v>
      </c>
      <c r="JF861" s="89">
        <f t="shared" ref="JF861" si="17597">JE861</f>
        <v>0</v>
      </c>
      <c r="JG861" s="89">
        <v>0</v>
      </c>
      <c r="JH861" s="89">
        <f t="shared" ref="JH861" si="17598">JG861</f>
        <v>0</v>
      </c>
      <c r="JI861" s="89">
        <f t="shared" ref="JI861" si="17599">JH861</f>
        <v>0</v>
      </c>
      <c r="JJ861" s="89">
        <v>0</v>
      </c>
      <c r="JK861" s="89">
        <f t="shared" ref="JK861" si="17600">JJ861</f>
        <v>0</v>
      </c>
      <c r="JL861" s="89">
        <f t="shared" ref="JL861" si="17601">JK861</f>
        <v>0</v>
      </c>
      <c r="JM861" s="89">
        <v>0</v>
      </c>
      <c r="JN861" s="89">
        <f t="shared" ref="JN861" si="17602">JM861</f>
        <v>0</v>
      </c>
      <c r="JO861" s="89">
        <f t="shared" ref="JO861" si="17603">JN861</f>
        <v>0</v>
      </c>
      <c r="JP861" s="89">
        <v>0</v>
      </c>
      <c r="JQ861" s="89">
        <f t="shared" ref="JQ861" si="17604">JP861</f>
        <v>0</v>
      </c>
      <c r="JR861" s="89">
        <f t="shared" ref="JR861" si="17605">JQ861</f>
        <v>0</v>
      </c>
      <c r="JS861" s="74">
        <f>HG861-IF861</f>
        <v>0</v>
      </c>
      <c r="JT861" s="382">
        <f>GS861-IF861</f>
        <v>0</v>
      </c>
      <c r="JU861" s="665"/>
      <c r="JV861" s="524"/>
      <c r="JW861" s="525"/>
      <c r="JX861" s="549">
        <f>SUM(HH861,HJ861,HL861,HN861,HP861,HR861,HT861,HV861,HX861,HZ861,IB861,ID861)</f>
        <v>0</v>
      </c>
      <c r="JY861" s="549">
        <f t="shared" ref="JY861" si="17606">SUM(HI861,HK861,HM861,HO861,HQ861,HS861,HU861,HW861,HY861,IA861,IC861,IE861)</f>
        <v>100000</v>
      </c>
      <c r="JZ861" s="581">
        <f t="shared" ref="JZ861" si="17607">GP861</f>
        <v>0</v>
      </c>
      <c r="KA861" s="581">
        <f t="shared" ref="KA861" si="17608">GQ861</f>
        <v>-100000</v>
      </c>
      <c r="KB861" s="566">
        <f>SUM(JX861:KA861)</f>
        <v>0</v>
      </c>
      <c r="KC861" s="709">
        <f t="shared" si="17576"/>
        <v>0</v>
      </c>
      <c r="KD861" s="491"/>
      <c r="KE861" s="491"/>
      <c r="KF861" s="491"/>
      <c r="KG861" s="491"/>
      <c r="KH861" s="36"/>
      <c r="KI861" s="36"/>
      <c r="KJ861" s="36"/>
      <c r="KK861" s="36"/>
    </row>
    <row r="862" spans="1:297" s="10" customFormat="1">
      <c r="A862" s="612"/>
      <c r="B862" s="514"/>
      <c r="C862" s="513"/>
      <c r="D862" s="549"/>
      <c r="E862" s="675"/>
      <c r="F862" s="549"/>
      <c r="G862" s="675"/>
      <c r="H862" s="549"/>
      <c r="I862" s="675"/>
      <c r="J862" s="549"/>
      <c r="K862" s="675"/>
      <c r="L862" s="549"/>
      <c r="M862" s="675"/>
      <c r="N862" s="549"/>
      <c r="O862" s="675"/>
      <c r="P862" s="549"/>
      <c r="Q862" s="675"/>
      <c r="R862" s="549"/>
      <c r="S862" s="675"/>
      <c r="T862" s="549"/>
      <c r="U862" s="675"/>
      <c r="V862" s="549"/>
      <c r="W862" s="675"/>
      <c r="X862" s="549"/>
      <c r="Y862" s="675"/>
      <c r="Z862" s="549"/>
      <c r="AA862" s="675"/>
      <c r="AB862" s="549"/>
      <c r="AC862" s="675"/>
      <c r="AD862" s="549"/>
      <c r="AE862" s="675"/>
      <c r="AF862" s="549"/>
      <c r="AG862" s="675"/>
      <c r="AH862" s="549"/>
      <c r="AI862" s="675"/>
      <c r="AJ862" s="549"/>
      <c r="AK862" s="675"/>
      <c r="AL862" s="549"/>
      <c r="AM862" s="675"/>
      <c r="AN862" s="549"/>
      <c r="AO862" s="675"/>
      <c r="AP862" s="549"/>
      <c r="AQ862" s="675"/>
      <c r="AR862" s="549"/>
      <c r="AS862" s="675"/>
      <c r="AT862" s="549"/>
      <c r="AU862" s="675"/>
      <c r="AV862" s="549"/>
      <c r="AW862" s="675"/>
      <c r="AX862" s="549"/>
      <c r="AY862" s="675"/>
      <c r="AZ862" s="549"/>
      <c r="BA862" s="675"/>
      <c r="BB862" s="549"/>
      <c r="BC862" s="675"/>
      <c r="BD862" s="549"/>
      <c r="BE862" s="675"/>
      <c r="BF862" s="549"/>
      <c r="BG862" s="675"/>
      <c r="BH862" s="549"/>
      <c r="BI862" s="675"/>
      <c r="BJ862" s="549"/>
      <c r="BK862" s="675"/>
      <c r="BL862" s="549"/>
      <c r="BM862" s="675"/>
      <c r="BN862" s="549"/>
      <c r="BO862" s="675"/>
      <c r="BP862" s="549"/>
      <c r="BQ862" s="675"/>
      <c r="BR862" s="549"/>
      <c r="BS862" s="675"/>
      <c r="BT862" s="549"/>
      <c r="BU862" s="675"/>
      <c r="BV862" s="549"/>
      <c r="BW862" s="675"/>
      <c r="BX862" s="549"/>
      <c r="BY862" s="675"/>
      <c r="BZ862" s="549"/>
      <c r="CA862" s="675"/>
      <c r="CB862" s="549"/>
      <c r="CC862" s="675"/>
      <c r="CD862" s="549"/>
      <c r="CE862" s="675"/>
      <c r="CF862" s="549"/>
      <c r="CG862" s="675"/>
      <c r="CH862" s="549"/>
      <c r="CI862" s="675"/>
      <c r="CJ862" s="549"/>
      <c r="CK862" s="675"/>
      <c r="CL862" s="549"/>
      <c r="CM862" s="675"/>
      <c r="CN862" s="549"/>
      <c r="CO862" s="675"/>
      <c r="CP862" s="549"/>
      <c r="CQ862" s="675"/>
      <c r="CR862" s="549"/>
      <c r="CS862" s="675"/>
      <c r="CT862" s="549"/>
      <c r="CU862" s="675"/>
      <c r="CV862" s="549"/>
      <c r="CW862" s="675"/>
      <c r="CX862" s="549"/>
      <c r="CY862" s="675"/>
      <c r="CZ862" s="549"/>
      <c r="DA862" s="675"/>
      <c r="DB862" s="549"/>
      <c r="DC862" s="675"/>
      <c r="DD862" s="549"/>
      <c r="DE862" s="675"/>
      <c r="DF862" s="549"/>
      <c r="DG862" s="675"/>
      <c r="DH862" s="549"/>
      <c r="DI862" s="675"/>
      <c r="DJ862" s="549"/>
      <c r="DK862" s="675"/>
      <c r="DL862" s="549"/>
      <c r="DM862" s="675"/>
      <c r="DN862" s="549"/>
      <c r="DO862" s="675"/>
      <c r="DP862" s="549"/>
      <c r="DQ862" s="675"/>
      <c r="DR862" s="549"/>
      <c r="DS862" s="675"/>
      <c r="DT862" s="549"/>
      <c r="DU862" s="675"/>
      <c r="DV862" s="549"/>
      <c r="DW862" s="675"/>
      <c r="DX862" s="549"/>
      <c r="DY862" s="675"/>
      <c r="DZ862" s="549"/>
      <c r="EA862" s="675"/>
      <c r="EB862" s="549"/>
      <c r="EC862" s="675"/>
      <c r="ED862" s="549"/>
      <c r="EE862" s="675"/>
      <c r="EF862" s="549"/>
      <c r="EG862" s="675"/>
      <c r="EH862" s="549"/>
      <c r="EI862" s="675"/>
      <c r="EJ862" s="549"/>
      <c r="EK862" s="675"/>
      <c r="EL862" s="549"/>
      <c r="EM862" s="675"/>
      <c r="EN862" s="549"/>
      <c r="EO862" s="675"/>
      <c r="EP862" s="549"/>
      <c r="EQ862" s="675"/>
      <c r="ER862" s="549"/>
      <c r="ES862" s="675"/>
      <c r="ET862" s="549"/>
      <c r="EU862" s="675"/>
      <c r="EV862" s="549"/>
      <c r="EW862" s="675"/>
      <c r="EX862" s="549"/>
      <c r="EY862" s="675"/>
      <c r="EZ862" s="549"/>
      <c r="FA862" s="675"/>
      <c r="FB862" s="549"/>
      <c r="FC862" s="675"/>
      <c r="FD862" s="549"/>
      <c r="FE862" s="675"/>
      <c r="FF862" s="549"/>
      <c r="FG862" s="675"/>
      <c r="FH862" s="549"/>
      <c r="FI862" s="675"/>
      <c r="FJ862" s="549"/>
      <c r="FK862" s="675"/>
      <c r="FL862" s="549"/>
      <c r="FM862" s="675"/>
      <c r="FN862" s="549"/>
      <c r="FO862" s="675"/>
      <c r="FP862" s="549"/>
      <c r="FQ862" s="675"/>
      <c r="FR862" s="549"/>
      <c r="FS862" s="675"/>
      <c r="FT862" s="549"/>
      <c r="FU862" s="675"/>
      <c r="FV862" s="549"/>
      <c r="FW862" s="675"/>
      <c r="FX862" s="549"/>
      <c r="FY862" s="675"/>
      <c r="FZ862" s="549"/>
      <c r="GA862" s="675"/>
      <c r="GB862" s="549"/>
      <c r="GC862" s="675"/>
      <c r="GD862" s="549"/>
      <c r="GE862" s="675"/>
      <c r="GF862" s="549"/>
      <c r="GG862" s="675"/>
      <c r="GH862" s="549"/>
      <c r="GI862" s="675"/>
      <c r="GJ862" s="549"/>
      <c r="GK862" s="675"/>
      <c r="GL862" s="549"/>
      <c r="GM862" s="675"/>
      <c r="GN862" s="549"/>
      <c r="GO862" s="675"/>
      <c r="GP862" s="549"/>
      <c r="GQ862" s="675"/>
      <c r="GR862" s="513"/>
      <c r="GS862" s="74"/>
      <c r="GT862" s="568"/>
      <c r="GU862" s="513"/>
      <c r="GV862" s="513"/>
      <c r="GW862" s="567"/>
      <c r="GX862" s="567"/>
      <c r="GY862" s="513"/>
      <c r="GZ862" s="513"/>
      <c r="HA862" s="513"/>
      <c r="HB862" s="513"/>
      <c r="HC862" s="513"/>
      <c r="HD862" s="513"/>
      <c r="HE862" s="513"/>
      <c r="HF862" s="513"/>
      <c r="HG862" s="74"/>
      <c r="HH862" s="89"/>
      <c r="HI862" s="830"/>
      <c r="HJ862" s="89"/>
      <c r="HK862" s="830"/>
      <c r="HL862" s="89"/>
      <c r="HM862" s="830"/>
      <c r="HN862" s="89"/>
      <c r="HO862" s="830"/>
      <c r="HP862" s="89"/>
      <c r="HQ862" s="830"/>
      <c r="HR862" s="89"/>
      <c r="HS862" s="830"/>
      <c r="HT862" s="89"/>
      <c r="HU862" s="830"/>
      <c r="HV862" s="89"/>
      <c r="HW862" s="830"/>
      <c r="HX862" s="89"/>
      <c r="HY862" s="830"/>
      <c r="HZ862" s="89"/>
      <c r="IA862" s="830"/>
      <c r="IB862" s="89"/>
      <c r="IC862" s="830"/>
      <c r="ID862" s="89"/>
      <c r="IE862" s="830"/>
      <c r="IF862" s="843"/>
      <c r="IG862" s="805"/>
      <c r="IH862" s="844"/>
      <c r="II862" s="803"/>
      <c r="IJ862" s="803"/>
      <c r="IK862" s="803"/>
      <c r="IL862" s="803"/>
      <c r="IM862" s="803"/>
      <c r="IN862" s="803"/>
      <c r="IO862" s="803"/>
      <c r="IP862" s="803"/>
      <c r="IQ862" s="803"/>
      <c r="IR862" s="803"/>
      <c r="IS862" s="803"/>
      <c r="IT862" s="803"/>
      <c r="IU862" s="803"/>
      <c r="IV862" s="803"/>
      <c r="IW862" s="803"/>
      <c r="IX862" s="803"/>
      <c r="IY862" s="803"/>
      <c r="IZ862" s="803"/>
      <c r="JA862" s="803"/>
      <c r="JB862" s="803"/>
      <c r="JC862" s="803"/>
      <c r="JD862" s="803"/>
      <c r="JE862" s="803"/>
      <c r="JF862" s="803"/>
      <c r="JG862" s="803"/>
      <c r="JH862" s="803"/>
      <c r="JI862" s="803"/>
      <c r="JJ862" s="803"/>
      <c r="JK862" s="803"/>
      <c r="JL862" s="803"/>
      <c r="JM862" s="803"/>
      <c r="JN862" s="803"/>
      <c r="JO862" s="803"/>
      <c r="JP862" s="803"/>
      <c r="JQ862" s="803"/>
      <c r="JR862" s="803"/>
      <c r="JS862" s="800"/>
      <c r="JT862" s="807"/>
      <c r="JU862" s="665"/>
      <c r="JV862" s="524"/>
      <c r="JW862" s="525"/>
      <c r="JX862" s="802"/>
      <c r="JY862" s="801"/>
      <c r="JZ862" s="808"/>
      <c r="KA862" s="808"/>
      <c r="KB862" s="809"/>
      <c r="KC862" s="709"/>
      <c r="KD862" s="494"/>
      <c r="KE862" s="494"/>
      <c r="KF862" s="494"/>
      <c r="KG862" s="494"/>
      <c r="KH862" s="57"/>
      <c r="KI862" s="57"/>
      <c r="KJ862" s="57"/>
      <c r="KK862" s="57"/>
    </row>
    <row r="863" spans="1:297" s="10" customFormat="1">
      <c r="A863" s="613" t="s">
        <v>1243</v>
      </c>
      <c r="B863" s="514" t="s">
        <v>1245</v>
      </c>
      <c r="C863" s="513">
        <f>C866</f>
        <v>500000</v>
      </c>
      <c r="D863" s="567">
        <f t="shared" ref="D863:DW863" si="17609">+D866</f>
        <v>0</v>
      </c>
      <c r="E863" s="686">
        <f t="shared" si="17609"/>
        <v>0</v>
      </c>
      <c r="F863" s="567">
        <f t="shared" si="17609"/>
        <v>0</v>
      </c>
      <c r="G863" s="686">
        <f t="shared" si="17609"/>
        <v>0</v>
      </c>
      <c r="H863" s="567">
        <f t="shared" si="17609"/>
        <v>0</v>
      </c>
      <c r="I863" s="686">
        <f t="shared" si="17609"/>
        <v>0</v>
      </c>
      <c r="J863" s="567">
        <f t="shared" si="17609"/>
        <v>0</v>
      </c>
      <c r="K863" s="686">
        <f t="shared" si="17609"/>
        <v>0</v>
      </c>
      <c r="L863" s="567">
        <f t="shared" si="17609"/>
        <v>0</v>
      </c>
      <c r="M863" s="686">
        <f t="shared" si="17609"/>
        <v>0</v>
      </c>
      <c r="N863" s="567">
        <f t="shared" si="17609"/>
        <v>0</v>
      </c>
      <c r="O863" s="686">
        <f t="shared" si="17609"/>
        <v>0</v>
      </c>
      <c r="P863" s="567">
        <f t="shared" si="17609"/>
        <v>0</v>
      </c>
      <c r="Q863" s="686">
        <f t="shared" si="17609"/>
        <v>0</v>
      </c>
      <c r="R863" s="567">
        <f t="shared" si="17609"/>
        <v>0</v>
      </c>
      <c r="S863" s="686">
        <f t="shared" si="17609"/>
        <v>0</v>
      </c>
      <c r="T863" s="567">
        <f t="shared" si="17609"/>
        <v>0</v>
      </c>
      <c r="U863" s="686">
        <f t="shared" si="17609"/>
        <v>0</v>
      </c>
      <c r="V863" s="567">
        <f t="shared" si="17609"/>
        <v>0</v>
      </c>
      <c r="W863" s="686">
        <f t="shared" si="17609"/>
        <v>0</v>
      </c>
      <c r="X863" s="567">
        <f t="shared" si="17609"/>
        <v>0</v>
      </c>
      <c r="Y863" s="686">
        <f t="shared" si="17609"/>
        <v>0</v>
      </c>
      <c r="Z863" s="567">
        <f t="shared" si="17609"/>
        <v>0</v>
      </c>
      <c r="AA863" s="686">
        <f t="shared" si="17609"/>
        <v>0</v>
      </c>
      <c r="AB863" s="567">
        <f t="shared" si="17609"/>
        <v>0</v>
      </c>
      <c r="AC863" s="686">
        <f t="shared" si="17609"/>
        <v>0</v>
      </c>
      <c r="AD863" s="567">
        <f t="shared" si="17609"/>
        <v>0</v>
      </c>
      <c r="AE863" s="686">
        <f t="shared" si="17609"/>
        <v>0</v>
      </c>
      <c r="AF863" s="567">
        <f t="shared" si="17609"/>
        <v>0</v>
      </c>
      <c r="AG863" s="686">
        <f t="shared" si="17609"/>
        <v>0</v>
      </c>
      <c r="AH863" s="567">
        <f t="shared" si="17609"/>
        <v>0</v>
      </c>
      <c r="AI863" s="686">
        <f t="shared" si="17609"/>
        <v>0</v>
      </c>
      <c r="AJ863" s="567">
        <f t="shared" si="17609"/>
        <v>0</v>
      </c>
      <c r="AK863" s="686">
        <f t="shared" si="17609"/>
        <v>0</v>
      </c>
      <c r="AL863" s="567">
        <f t="shared" si="17609"/>
        <v>0</v>
      </c>
      <c r="AM863" s="686">
        <f t="shared" si="17609"/>
        <v>0</v>
      </c>
      <c r="AN863" s="567">
        <f t="shared" si="17609"/>
        <v>0</v>
      </c>
      <c r="AO863" s="686">
        <f t="shared" si="17609"/>
        <v>0</v>
      </c>
      <c r="AP863" s="567">
        <f t="shared" si="17609"/>
        <v>0</v>
      </c>
      <c r="AQ863" s="686">
        <f t="shared" si="17609"/>
        <v>-100000</v>
      </c>
      <c r="AR863" s="567">
        <f t="shared" si="17609"/>
        <v>0</v>
      </c>
      <c r="AS863" s="686">
        <f t="shared" si="17609"/>
        <v>0</v>
      </c>
      <c r="AT863" s="567">
        <f t="shared" si="17609"/>
        <v>0</v>
      </c>
      <c r="AU863" s="686">
        <f t="shared" si="17609"/>
        <v>0</v>
      </c>
      <c r="AV863" s="567">
        <f t="shared" si="17609"/>
        <v>0</v>
      </c>
      <c r="AW863" s="686">
        <f t="shared" si="17609"/>
        <v>0</v>
      </c>
      <c r="AX863" s="567">
        <f t="shared" si="17609"/>
        <v>0</v>
      </c>
      <c r="AY863" s="686">
        <f t="shared" si="17609"/>
        <v>0</v>
      </c>
      <c r="AZ863" s="567">
        <f t="shared" si="17609"/>
        <v>0</v>
      </c>
      <c r="BA863" s="686">
        <f t="shared" si="17609"/>
        <v>0</v>
      </c>
      <c r="BB863" s="567">
        <f t="shared" si="17609"/>
        <v>0</v>
      </c>
      <c r="BC863" s="686">
        <f t="shared" si="17609"/>
        <v>0</v>
      </c>
      <c r="BD863" s="567">
        <f t="shared" si="17609"/>
        <v>0</v>
      </c>
      <c r="BE863" s="686">
        <f t="shared" si="17609"/>
        <v>0</v>
      </c>
      <c r="BF863" s="567">
        <f t="shared" si="17609"/>
        <v>0</v>
      </c>
      <c r="BG863" s="686">
        <f t="shared" si="17609"/>
        <v>0</v>
      </c>
      <c r="BH863" s="567">
        <f t="shared" si="17609"/>
        <v>0</v>
      </c>
      <c r="BI863" s="686">
        <f t="shared" si="17609"/>
        <v>0</v>
      </c>
      <c r="BJ863" s="567">
        <f t="shared" si="17609"/>
        <v>0</v>
      </c>
      <c r="BK863" s="686">
        <f t="shared" si="17609"/>
        <v>0</v>
      </c>
      <c r="BL863" s="567">
        <f t="shared" si="17609"/>
        <v>0</v>
      </c>
      <c r="BM863" s="686">
        <f t="shared" si="17609"/>
        <v>0</v>
      </c>
      <c r="BN863" s="567">
        <f t="shared" si="17609"/>
        <v>0</v>
      </c>
      <c r="BO863" s="686">
        <f t="shared" si="17609"/>
        <v>0</v>
      </c>
      <c r="BP863" s="567">
        <f t="shared" si="17609"/>
        <v>0</v>
      </c>
      <c r="BQ863" s="686">
        <f t="shared" si="17609"/>
        <v>0</v>
      </c>
      <c r="BR863" s="567">
        <f t="shared" si="17609"/>
        <v>0</v>
      </c>
      <c r="BS863" s="686">
        <f t="shared" si="17609"/>
        <v>0</v>
      </c>
      <c r="BT863" s="567">
        <f t="shared" si="17609"/>
        <v>0</v>
      </c>
      <c r="BU863" s="686">
        <f t="shared" si="17609"/>
        <v>0</v>
      </c>
      <c r="BV863" s="567">
        <f t="shared" si="17609"/>
        <v>0</v>
      </c>
      <c r="BW863" s="686">
        <f t="shared" si="17609"/>
        <v>0</v>
      </c>
      <c r="BX863" s="567">
        <f t="shared" si="17609"/>
        <v>0</v>
      </c>
      <c r="BY863" s="686">
        <f t="shared" si="17609"/>
        <v>0</v>
      </c>
      <c r="BZ863" s="567">
        <f t="shared" si="17609"/>
        <v>0</v>
      </c>
      <c r="CA863" s="686">
        <f t="shared" si="17609"/>
        <v>0</v>
      </c>
      <c r="CB863" s="567">
        <f t="shared" si="17609"/>
        <v>0</v>
      </c>
      <c r="CC863" s="686">
        <f t="shared" si="17609"/>
        <v>0</v>
      </c>
      <c r="CD863" s="567">
        <f t="shared" si="17609"/>
        <v>0</v>
      </c>
      <c r="CE863" s="686">
        <f t="shared" si="17609"/>
        <v>0</v>
      </c>
      <c r="CF863" s="567">
        <f t="shared" si="17609"/>
        <v>0</v>
      </c>
      <c r="CG863" s="686">
        <f t="shared" si="17609"/>
        <v>0</v>
      </c>
      <c r="CH863" s="567">
        <f t="shared" si="17609"/>
        <v>0</v>
      </c>
      <c r="CI863" s="686">
        <f t="shared" si="17609"/>
        <v>0</v>
      </c>
      <c r="CJ863" s="567">
        <f t="shared" si="17609"/>
        <v>0</v>
      </c>
      <c r="CK863" s="686">
        <f t="shared" si="17609"/>
        <v>0</v>
      </c>
      <c r="CL863" s="567">
        <f t="shared" si="17609"/>
        <v>0</v>
      </c>
      <c r="CM863" s="686">
        <f t="shared" si="17609"/>
        <v>0</v>
      </c>
      <c r="CN863" s="567">
        <f t="shared" si="17609"/>
        <v>0</v>
      </c>
      <c r="CO863" s="686">
        <f t="shared" si="17609"/>
        <v>0</v>
      </c>
      <c r="CP863" s="567">
        <f t="shared" si="17609"/>
        <v>0</v>
      </c>
      <c r="CQ863" s="686">
        <f t="shared" si="17609"/>
        <v>0</v>
      </c>
      <c r="CR863" s="567">
        <f t="shared" si="17609"/>
        <v>0</v>
      </c>
      <c r="CS863" s="686">
        <f t="shared" si="17609"/>
        <v>0</v>
      </c>
      <c r="CT863" s="567">
        <f t="shared" si="17609"/>
        <v>0</v>
      </c>
      <c r="CU863" s="686">
        <f t="shared" si="17609"/>
        <v>0</v>
      </c>
      <c r="CV863" s="567">
        <f t="shared" si="17609"/>
        <v>0</v>
      </c>
      <c r="CW863" s="686">
        <f t="shared" si="17609"/>
        <v>0</v>
      </c>
      <c r="CX863" s="567">
        <f t="shared" si="17609"/>
        <v>0</v>
      </c>
      <c r="CY863" s="686">
        <f t="shared" si="17609"/>
        <v>0</v>
      </c>
      <c r="CZ863" s="567">
        <f t="shared" si="17609"/>
        <v>0</v>
      </c>
      <c r="DA863" s="686">
        <f t="shared" si="17609"/>
        <v>0</v>
      </c>
      <c r="DB863" s="567">
        <f t="shared" si="17609"/>
        <v>0</v>
      </c>
      <c r="DC863" s="686">
        <f t="shared" si="17609"/>
        <v>0</v>
      </c>
      <c r="DD863" s="567">
        <f t="shared" si="17609"/>
        <v>0</v>
      </c>
      <c r="DE863" s="686">
        <f t="shared" si="17609"/>
        <v>0</v>
      </c>
      <c r="DF863" s="567">
        <f t="shared" si="17609"/>
        <v>0</v>
      </c>
      <c r="DG863" s="686">
        <f t="shared" si="17609"/>
        <v>0</v>
      </c>
      <c r="DH863" s="567">
        <f t="shared" si="17609"/>
        <v>0</v>
      </c>
      <c r="DI863" s="686">
        <f t="shared" si="17609"/>
        <v>0</v>
      </c>
      <c r="DJ863" s="567">
        <f t="shared" si="17609"/>
        <v>0</v>
      </c>
      <c r="DK863" s="686">
        <f t="shared" si="17609"/>
        <v>0</v>
      </c>
      <c r="DL863" s="567">
        <f t="shared" si="17609"/>
        <v>0</v>
      </c>
      <c r="DM863" s="686">
        <f t="shared" si="17609"/>
        <v>0</v>
      </c>
      <c r="DN863" s="567">
        <f t="shared" si="17609"/>
        <v>0</v>
      </c>
      <c r="DO863" s="686">
        <f t="shared" si="17609"/>
        <v>0</v>
      </c>
      <c r="DP863" s="567">
        <f t="shared" si="17609"/>
        <v>0</v>
      </c>
      <c r="DQ863" s="686">
        <f t="shared" si="17609"/>
        <v>0</v>
      </c>
      <c r="DR863" s="567">
        <f t="shared" si="17609"/>
        <v>0</v>
      </c>
      <c r="DS863" s="686">
        <f t="shared" si="17609"/>
        <v>0</v>
      </c>
      <c r="DT863" s="567">
        <f t="shared" si="17609"/>
        <v>0</v>
      </c>
      <c r="DU863" s="686">
        <f t="shared" si="17609"/>
        <v>0</v>
      </c>
      <c r="DV863" s="567">
        <f t="shared" si="17609"/>
        <v>0</v>
      </c>
      <c r="DW863" s="686">
        <f t="shared" si="17609"/>
        <v>0</v>
      </c>
      <c r="DX863" s="567">
        <f t="shared" ref="DX863:FC863" si="17610">SUM(DX864:DX866)</f>
        <v>130371</v>
      </c>
      <c r="DY863" s="686">
        <f t="shared" si="17610"/>
        <v>0</v>
      </c>
      <c r="DZ863" s="567">
        <f t="shared" si="17610"/>
        <v>0</v>
      </c>
      <c r="EA863" s="686">
        <f t="shared" si="17610"/>
        <v>0</v>
      </c>
      <c r="EB863" s="567">
        <f t="shared" si="17610"/>
        <v>0</v>
      </c>
      <c r="EC863" s="686">
        <f t="shared" si="17610"/>
        <v>0</v>
      </c>
      <c r="ED863" s="567">
        <f t="shared" si="17610"/>
        <v>0</v>
      </c>
      <c r="EE863" s="686">
        <f t="shared" si="17610"/>
        <v>0</v>
      </c>
      <c r="EF863" s="567">
        <f t="shared" si="17610"/>
        <v>0</v>
      </c>
      <c r="EG863" s="686">
        <f t="shared" si="17610"/>
        <v>0</v>
      </c>
      <c r="EH863" s="567">
        <f t="shared" si="17610"/>
        <v>0</v>
      </c>
      <c r="EI863" s="686">
        <f t="shared" si="17610"/>
        <v>0</v>
      </c>
      <c r="EJ863" s="567">
        <f t="shared" si="17610"/>
        <v>0</v>
      </c>
      <c r="EK863" s="686">
        <f t="shared" si="17610"/>
        <v>0</v>
      </c>
      <c r="EL863" s="567">
        <f t="shared" si="17610"/>
        <v>0</v>
      </c>
      <c r="EM863" s="686">
        <f t="shared" si="17610"/>
        <v>0</v>
      </c>
      <c r="EN863" s="567">
        <f t="shared" si="17610"/>
        <v>0</v>
      </c>
      <c r="EO863" s="686">
        <f t="shared" si="17610"/>
        <v>0</v>
      </c>
      <c r="EP863" s="567">
        <f t="shared" si="17610"/>
        <v>0</v>
      </c>
      <c r="EQ863" s="686">
        <f t="shared" si="17610"/>
        <v>0</v>
      </c>
      <c r="ER863" s="567">
        <f t="shared" si="17610"/>
        <v>0</v>
      </c>
      <c r="ES863" s="686">
        <f t="shared" si="17610"/>
        <v>0</v>
      </c>
      <c r="ET863" s="567">
        <f t="shared" si="17610"/>
        <v>0</v>
      </c>
      <c r="EU863" s="686">
        <f t="shared" si="17610"/>
        <v>0</v>
      </c>
      <c r="EV863" s="567">
        <f t="shared" si="17610"/>
        <v>0</v>
      </c>
      <c r="EW863" s="686">
        <f t="shared" si="17610"/>
        <v>0</v>
      </c>
      <c r="EX863" s="567">
        <f t="shared" si="17610"/>
        <v>0</v>
      </c>
      <c r="EY863" s="686">
        <f t="shared" si="17610"/>
        <v>0</v>
      </c>
      <c r="EZ863" s="567">
        <f t="shared" si="17610"/>
        <v>0</v>
      </c>
      <c r="FA863" s="686">
        <f t="shared" si="17610"/>
        <v>0</v>
      </c>
      <c r="FB863" s="567">
        <f t="shared" si="17610"/>
        <v>0</v>
      </c>
      <c r="FC863" s="686">
        <f t="shared" si="17610"/>
        <v>0</v>
      </c>
      <c r="FD863" s="567">
        <f t="shared" ref="FD863:GI863" si="17611">SUM(FD864:FD866)</f>
        <v>0</v>
      </c>
      <c r="FE863" s="686">
        <f t="shared" si="17611"/>
        <v>0</v>
      </c>
      <c r="FF863" s="567">
        <f t="shared" si="17611"/>
        <v>0</v>
      </c>
      <c r="FG863" s="686">
        <f t="shared" si="17611"/>
        <v>0</v>
      </c>
      <c r="FH863" s="567">
        <f t="shared" si="17611"/>
        <v>0</v>
      </c>
      <c r="FI863" s="686">
        <f t="shared" si="17611"/>
        <v>0</v>
      </c>
      <c r="FJ863" s="567">
        <f t="shared" si="17611"/>
        <v>0</v>
      </c>
      <c r="FK863" s="686">
        <f t="shared" si="17611"/>
        <v>0</v>
      </c>
      <c r="FL863" s="567">
        <f t="shared" si="17611"/>
        <v>0</v>
      </c>
      <c r="FM863" s="686">
        <f t="shared" si="17611"/>
        <v>0</v>
      </c>
      <c r="FN863" s="567">
        <f t="shared" si="17611"/>
        <v>0</v>
      </c>
      <c r="FO863" s="686">
        <f t="shared" si="17611"/>
        <v>0</v>
      </c>
      <c r="FP863" s="567">
        <f t="shared" si="17611"/>
        <v>0</v>
      </c>
      <c r="FQ863" s="686">
        <f t="shared" si="17611"/>
        <v>0</v>
      </c>
      <c r="FR863" s="567">
        <f t="shared" si="17611"/>
        <v>0</v>
      </c>
      <c r="FS863" s="686">
        <f t="shared" si="17611"/>
        <v>0</v>
      </c>
      <c r="FT863" s="567">
        <f t="shared" si="17611"/>
        <v>0</v>
      </c>
      <c r="FU863" s="686">
        <f t="shared" si="17611"/>
        <v>0</v>
      </c>
      <c r="FV863" s="567">
        <f t="shared" si="17611"/>
        <v>0</v>
      </c>
      <c r="FW863" s="686">
        <f t="shared" si="17611"/>
        <v>0</v>
      </c>
      <c r="FX863" s="567">
        <f t="shared" si="17611"/>
        <v>0</v>
      </c>
      <c r="FY863" s="686">
        <f t="shared" si="17611"/>
        <v>0</v>
      </c>
      <c r="FZ863" s="567">
        <f t="shared" si="17611"/>
        <v>0</v>
      </c>
      <c r="GA863" s="686">
        <f t="shared" si="17611"/>
        <v>-299000</v>
      </c>
      <c r="GB863" s="567">
        <f t="shared" si="17611"/>
        <v>0</v>
      </c>
      <c r="GC863" s="686">
        <f t="shared" si="17611"/>
        <v>0</v>
      </c>
      <c r="GD863" s="567">
        <f t="shared" si="17611"/>
        <v>0</v>
      </c>
      <c r="GE863" s="686">
        <f t="shared" si="17611"/>
        <v>0</v>
      </c>
      <c r="GF863" s="567">
        <f t="shared" si="17611"/>
        <v>0</v>
      </c>
      <c r="GG863" s="686">
        <f t="shared" si="17611"/>
        <v>0</v>
      </c>
      <c r="GH863" s="567">
        <f t="shared" si="17611"/>
        <v>0</v>
      </c>
      <c r="GI863" s="686">
        <f t="shared" si="17611"/>
        <v>0</v>
      </c>
      <c r="GJ863" s="567">
        <f t="shared" ref="GJ863:GR863" si="17612">SUM(GJ864:GJ866)</f>
        <v>0</v>
      </c>
      <c r="GK863" s="686">
        <f t="shared" si="17612"/>
        <v>0</v>
      </c>
      <c r="GL863" s="567">
        <f t="shared" si="17612"/>
        <v>0</v>
      </c>
      <c r="GM863" s="686">
        <f t="shared" si="17612"/>
        <v>0</v>
      </c>
      <c r="GN863" s="567">
        <f t="shared" si="17612"/>
        <v>0</v>
      </c>
      <c r="GO863" s="686">
        <f t="shared" si="17612"/>
        <v>0</v>
      </c>
      <c r="GP863" s="567">
        <f t="shared" si="17612"/>
        <v>130371</v>
      </c>
      <c r="GQ863" s="686">
        <f t="shared" si="17612"/>
        <v>-399000</v>
      </c>
      <c r="GR863" s="513">
        <f t="shared" si="17612"/>
        <v>231371</v>
      </c>
      <c r="GS863" s="513">
        <f t="shared" ref="GS863:JD863" si="17613">SUM(GS864:GS866)</f>
        <v>231371</v>
      </c>
      <c r="GT863" s="568">
        <f t="shared" si="17613"/>
        <v>231371</v>
      </c>
      <c r="GU863" s="513">
        <f t="shared" si="17613"/>
        <v>100000</v>
      </c>
      <c r="GV863" s="513">
        <f t="shared" si="17613"/>
        <v>0</v>
      </c>
      <c r="GW863" s="513">
        <f t="shared" si="17613"/>
        <v>0</v>
      </c>
      <c r="GX863" s="513">
        <f t="shared" si="17613"/>
        <v>150000</v>
      </c>
      <c r="GY863" s="513">
        <f t="shared" si="17613"/>
        <v>250000</v>
      </c>
      <c r="GZ863" s="513">
        <f t="shared" si="17613"/>
        <v>0</v>
      </c>
      <c r="HA863" s="513">
        <f t="shared" si="17613"/>
        <v>0</v>
      </c>
      <c r="HB863" s="513">
        <f t="shared" si="17613"/>
        <v>0</v>
      </c>
      <c r="HC863" s="513">
        <f t="shared" si="17613"/>
        <v>0</v>
      </c>
      <c r="HD863" s="513">
        <f t="shared" si="17613"/>
        <v>0</v>
      </c>
      <c r="HE863" s="513">
        <f t="shared" si="17613"/>
        <v>0</v>
      </c>
      <c r="HF863" s="513">
        <f t="shared" si="17613"/>
        <v>0</v>
      </c>
      <c r="HG863" s="513">
        <f t="shared" si="17613"/>
        <v>231371</v>
      </c>
      <c r="HH863" s="513">
        <f t="shared" si="17613"/>
        <v>0</v>
      </c>
      <c r="HI863" s="827">
        <f t="shared" si="17613"/>
        <v>0</v>
      </c>
      <c r="HJ863" s="513">
        <f t="shared" si="17613"/>
        <v>0</v>
      </c>
      <c r="HK863" s="827">
        <f t="shared" si="17613"/>
        <v>0</v>
      </c>
      <c r="HL863" s="513">
        <f t="shared" si="17613"/>
        <v>0</v>
      </c>
      <c r="HM863" s="827">
        <f t="shared" si="17613"/>
        <v>0</v>
      </c>
      <c r="HN863" s="513">
        <f t="shared" si="17613"/>
        <v>0</v>
      </c>
      <c r="HO863" s="827">
        <f t="shared" si="17613"/>
        <v>100000</v>
      </c>
      <c r="HP863" s="513">
        <f t="shared" si="17613"/>
        <v>0</v>
      </c>
      <c r="HQ863" s="827">
        <f t="shared" si="17613"/>
        <v>0</v>
      </c>
      <c r="HR863" s="513">
        <f t="shared" si="17613"/>
        <v>0</v>
      </c>
      <c r="HS863" s="827">
        <f t="shared" si="17613"/>
        <v>0</v>
      </c>
      <c r="HT863" s="513">
        <f t="shared" si="17613"/>
        <v>0</v>
      </c>
      <c r="HU863" s="827">
        <f t="shared" si="17613"/>
        <v>400000</v>
      </c>
      <c r="HV863" s="513">
        <f t="shared" si="17613"/>
        <v>0</v>
      </c>
      <c r="HW863" s="827">
        <f t="shared" si="17613"/>
        <v>0</v>
      </c>
      <c r="HX863" s="513">
        <f t="shared" si="17613"/>
        <v>0</v>
      </c>
      <c r="HY863" s="827">
        <f t="shared" si="17613"/>
        <v>-92158.77</v>
      </c>
      <c r="HZ863" s="513">
        <f t="shared" si="17613"/>
        <v>0</v>
      </c>
      <c r="IA863" s="827">
        <f t="shared" si="17613"/>
        <v>92158.76999999999</v>
      </c>
      <c r="IB863" s="513">
        <f t="shared" si="17613"/>
        <v>0</v>
      </c>
      <c r="IC863" s="827">
        <f t="shared" si="17613"/>
        <v>0</v>
      </c>
      <c r="ID863" s="513">
        <f t="shared" si="17613"/>
        <v>0</v>
      </c>
      <c r="IE863" s="827">
        <f t="shared" si="17613"/>
        <v>0</v>
      </c>
      <c r="IF863" s="839">
        <f t="shared" si="17613"/>
        <v>0</v>
      </c>
      <c r="IG863" s="513">
        <f t="shared" si="17613"/>
        <v>0</v>
      </c>
      <c r="IH863" s="840">
        <f t="shared" si="17613"/>
        <v>0</v>
      </c>
      <c r="II863" s="513">
        <f t="shared" si="17613"/>
        <v>0</v>
      </c>
      <c r="IJ863" s="513">
        <f t="shared" si="17613"/>
        <v>0</v>
      </c>
      <c r="IK863" s="513">
        <f t="shared" si="17613"/>
        <v>0</v>
      </c>
      <c r="IL863" s="513">
        <f t="shared" si="17613"/>
        <v>0</v>
      </c>
      <c r="IM863" s="513">
        <f t="shared" si="17613"/>
        <v>0</v>
      </c>
      <c r="IN863" s="513">
        <f t="shared" si="17613"/>
        <v>0</v>
      </c>
      <c r="IO863" s="513">
        <f t="shared" si="17613"/>
        <v>0</v>
      </c>
      <c r="IP863" s="513">
        <f t="shared" si="17613"/>
        <v>0</v>
      </c>
      <c r="IQ863" s="513">
        <f t="shared" si="17613"/>
        <v>0</v>
      </c>
      <c r="IR863" s="513">
        <f t="shared" si="17613"/>
        <v>0</v>
      </c>
      <c r="IS863" s="513">
        <f t="shared" si="17613"/>
        <v>0</v>
      </c>
      <c r="IT863" s="513">
        <f t="shared" si="17613"/>
        <v>0</v>
      </c>
      <c r="IU863" s="513">
        <f t="shared" si="17613"/>
        <v>0</v>
      </c>
      <c r="IV863" s="513">
        <f t="shared" si="17613"/>
        <v>0</v>
      </c>
      <c r="IW863" s="513">
        <f t="shared" si="17613"/>
        <v>0</v>
      </c>
      <c r="IX863" s="513">
        <f t="shared" si="17613"/>
        <v>0</v>
      </c>
      <c r="IY863" s="513">
        <f t="shared" si="17613"/>
        <v>0</v>
      </c>
      <c r="IZ863" s="513">
        <f t="shared" si="17613"/>
        <v>0</v>
      </c>
      <c r="JA863" s="513">
        <f t="shared" si="17613"/>
        <v>0</v>
      </c>
      <c r="JB863" s="513">
        <f t="shared" si="17613"/>
        <v>0</v>
      </c>
      <c r="JC863" s="513">
        <f t="shared" si="17613"/>
        <v>0</v>
      </c>
      <c r="JD863" s="513">
        <f t="shared" si="17613"/>
        <v>0</v>
      </c>
      <c r="JE863" s="513">
        <f t="shared" ref="JE863:JT863" si="17614">SUM(JE864:JE866)</f>
        <v>0</v>
      </c>
      <c r="JF863" s="513">
        <f t="shared" si="17614"/>
        <v>0</v>
      </c>
      <c r="JG863" s="513">
        <f t="shared" si="17614"/>
        <v>0</v>
      </c>
      <c r="JH863" s="513">
        <f t="shared" si="17614"/>
        <v>0</v>
      </c>
      <c r="JI863" s="513">
        <f t="shared" si="17614"/>
        <v>0</v>
      </c>
      <c r="JJ863" s="513">
        <f t="shared" si="17614"/>
        <v>0</v>
      </c>
      <c r="JK863" s="513">
        <f t="shared" si="17614"/>
        <v>0</v>
      </c>
      <c r="JL863" s="513">
        <f t="shared" si="17614"/>
        <v>0</v>
      </c>
      <c r="JM863" s="513">
        <f t="shared" si="17614"/>
        <v>0</v>
      </c>
      <c r="JN863" s="513">
        <f t="shared" si="17614"/>
        <v>0</v>
      </c>
      <c r="JO863" s="513">
        <f t="shared" si="17614"/>
        <v>0</v>
      </c>
      <c r="JP863" s="513">
        <f t="shared" si="17614"/>
        <v>0</v>
      </c>
      <c r="JQ863" s="513">
        <f t="shared" si="17614"/>
        <v>0</v>
      </c>
      <c r="JR863" s="513">
        <f t="shared" si="17614"/>
        <v>0</v>
      </c>
      <c r="JS863" s="513">
        <f t="shared" si="17614"/>
        <v>231371</v>
      </c>
      <c r="JT863" s="513">
        <f t="shared" si="17614"/>
        <v>231371</v>
      </c>
      <c r="JU863" s="665"/>
      <c r="JV863" s="524"/>
      <c r="JW863" s="525"/>
      <c r="JX863" s="567">
        <f t="shared" ref="JX863" si="17615">JX866</f>
        <v>0</v>
      </c>
      <c r="JY863" s="513">
        <f>SUM(JY866:JY866)</f>
        <v>500000</v>
      </c>
      <c r="JZ863" s="513">
        <f>SUM(JZ864:JZ866)</f>
        <v>130371</v>
      </c>
      <c r="KA863" s="513">
        <f>SUM(KA864:KA866)</f>
        <v>-399000</v>
      </c>
      <c r="KB863" s="513">
        <f>SUM(KB864:KB866)</f>
        <v>231371</v>
      </c>
      <c r="KC863" s="709">
        <f t="shared" ref="KC863:KC869" si="17616">HG863-KB863</f>
        <v>0</v>
      </c>
      <c r="KD863" s="494"/>
      <c r="KE863" s="494"/>
      <c r="KF863" s="494"/>
      <c r="KG863" s="494"/>
      <c r="KH863" s="57"/>
      <c r="KI863" s="57"/>
      <c r="KJ863" s="57"/>
      <c r="KK863" s="57"/>
    </row>
    <row r="864" spans="1:297" s="10" customFormat="1">
      <c r="A864" s="612" t="s">
        <v>1395</v>
      </c>
      <c r="B864" s="512" t="s">
        <v>1246</v>
      </c>
      <c r="C864" s="74">
        <v>0</v>
      </c>
      <c r="D864" s="549">
        <v>0</v>
      </c>
      <c r="E864" s="675">
        <v>0</v>
      </c>
      <c r="F864" s="549">
        <v>0</v>
      </c>
      <c r="G864" s="675">
        <v>0</v>
      </c>
      <c r="H864" s="549">
        <v>0</v>
      </c>
      <c r="I864" s="675">
        <v>0</v>
      </c>
      <c r="J864" s="549">
        <v>0</v>
      </c>
      <c r="K864" s="675">
        <v>0</v>
      </c>
      <c r="L864" s="549">
        <v>0</v>
      </c>
      <c r="M864" s="675">
        <v>0</v>
      </c>
      <c r="N864" s="549">
        <v>0</v>
      </c>
      <c r="O864" s="675">
        <v>0</v>
      </c>
      <c r="P864" s="549">
        <v>0</v>
      </c>
      <c r="Q864" s="675">
        <v>0</v>
      </c>
      <c r="R864" s="549">
        <v>0</v>
      </c>
      <c r="S864" s="675">
        <v>0</v>
      </c>
      <c r="T864" s="549">
        <v>0</v>
      </c>
      <c r="U864" s="675">
        <v>0</v>
      </c>
      <c r="V864" s="549">
        <v>0</v>
      </c>
      <c r="W864" s="675">
        <v>0</v>
      </c>
      <c r="X864" s="549">
        <v>0</v>
      </c>
      <c r="Y864" s="675">
        <v>0</v>
      </c>
      <c r="Z864" s="549">
        <v>0</v>
      </c>
      <c r="AA864" s="675">
        <v>0</v>
      </c>
      <c r="AB864" s="549">
        <v>0</v>
      </c>
      <c r="AC864" s="675">
        <v>0</v>
      </c>
      <c r="AD864" s="549">
        <v>0</v>
      </c>
      <c r="AE864" s="675">
        <v>0</v>
      </c>
      <c r="AF864" s="549">
        <v>0</v>
      </c>
      <c r="AG864" s="675">
        <v>0</v>
      </c>
      <c r="AH864" s="549">
        <v>0</v>
      </c>
      <c r="AI864" s="675">
        <v>0</v>
      </c>
      <c r="AJ864" s="549">
        <v>0</v>
      </c>
      <c r="AK864" s="675">
        <v>0</v>
      </c>
      <c r="AL864" s="549">
        <v>0</v>
      </c>
      <c r="AM864" s="675">
        <v>0</v>
      </c>
      <c r="AN864" s="549">
        <v>0</v>
      </c>
      <c r="AO864" s="675">
        <v>0</v>
      </c>
      <c r="AP864" s="549">
        <v>0</v>
      </c>
      <c r="AQ864" s="675">
        <v>0</v>
      </c>
      <c r="AR864" s="549">
        <v>0</v>
      </c>
      <c r="AS864" s="675">
        <v>0</v>
      </c>
      <c r="AT864" s="549">
        <v>0</v>
      </c>
      <c r="AU864" s="675">
        <v>0</v>
      </c>
      <c r="AV864" s="549">
        <v>0</v>
      </c>
      <c r="AW864" s="675">
        <v>0</v>
      </c>
      <c r="AX864" s="549">
        <v>0</v>
      </c>
      <c r="AY864" s="675">
        <v>0</v>
      </c>
      <c r="AZ864" s="549">
        <v>0</v>
      </c>
      <c r="BA864" s="675">
        <v>0</v>
      </c>
      <c r="BB864" s="549">
        <v>0</v>
      </c>
      <c r="BC864" s="675">
        <v>0</v>
      </c>
      <c r="BD864" s="549">
        <v>0</v>
      </c>
      <c r="BE864" s="675">
        <v>0</v>
      </c>
      <c r="BF864" s="549">
        <v>0</v>
      </c>
      <c r="BG864" s="675">
        <v>0</v>
      </c>
      <c r="BH864" s="549">
        <v>0</v>
      </c>
      <c r="BI864" s="675">
        <v>0</v>
      </c>
      <c r="BJ864" s="549">
        <v>0</v>
      </c>
      <c r="BK864" s="675">
        <v>0</v>
      </c>
      <c r="BL864" s="549">
        <v>0</v>
      </c>
      <c r="BM864" s="675">
        <v>0</v>
      </c>
      <c r="BN864" s="549">
        <v>0</v>
      </c>
      <c r="BO864" s="675">
        <v>0</v>
      </c>
      <c r="BP864" s="549">
        <v>0</v>
      </c>
      <c r="BQ864" s="675">
        <v>0</v>
      </c>
      <c r="BR864" s="549">
        <v>0</v>
      </c>
      <c r="BS864" s="675">
        <v>0</v>
      </c>
      <c r="BT864" s="549">
        <v>0</v>
      </c>
      <c r="BU864" s="675">
        <v>0</v>
      </c>
      <c r="BV864" s="549">
        <v>0</v>
      </c>
      <c r="BW864" s="675">
        <v>0</v>
      </c>
      <c r="BX864" s="549">
        <v>0</v>
      </c>
      <c r="BY864" s="675">
        <v>0</v>
      </c>
      <c r="BZ864" s="549">
        <v>0</v>
      </c>
      <c r="CA864" s="675">
        <v>0</v>
      </c>
      <c r="CB864" s="549">
        <v>0</v>
      </c>
      <c r="CC864" s="675">
        <v>0</v>
      </c>
      <c r="CD864" s="549">
        <v>0</v>
      </c>
      <c r="CE864" s="675">
        <v>0</v>
      </c>
      <c r="CF864" s="549">
        <v>0</v>
      </c>
      <c r="CG864" s="675">
        <v>0</v>
      </c>
      <c r="CH864" s="549">
        <v>0</v>
      </c>
      <c r="CI864" s="675">
        <v>0</v>
      </c>
      <c r="CJ864" s="549">
        <v>0</v>
      </c>
      <c r="CK864" s="675">
        <v>0</v>
      </c>
      <c r="CL864" s="549">
        <v>0</v>
      </c>
      <c r="CM864" s="675">
        <v>0</v>
      </c>
      <c r="CN864" s="549">
        <v>0</v>
      </c>
      <c r="CO864" s="675">
        <v>0</v>
      </c>
      <c r="CP864" s="549">
        <v>0</v>
      </c>
      <c r="CQ864" s="675">
        <v>0</v>
      </c>
      <c r="CR864" s="549">
        <v>0</v>
      </c>
      <c r="CS864" s="675">
        <v>0</v>
      </c>
      <c r="CT864" s="549">
        <v>0</v>
      </c>
      <c r="CU864" s="675">
        <v>0</v>
      </c>
      <c r="CV864" s="549">
        <v>0</v>
      </c>
      <c r="CW864" s="675">
        <v>0</v>
      </c>
      <c r="CX864" s="549">
        <v>0</v>
      </c>
      <c r="CY864" s="675">
        <v>0</v>
      </c>
      <c r="CZ864" s="549">
        <v>0</v>
      </c>
      <c r="DA864" s="675">
        <v>0</v>
      </c>
      <c r="DB864" s="549">
        <v>0</v>
      </c>
      <c r="DC864" s="675">
        <v>0</v>
      </c>
      <c r="DD864" s="549">
        <v>0</v>
      </c>
      <c r="DE864" s="675">
        <v>0</v>
      </c>
      <c r="DF864" s="549">
        <v>0</v>
      </c>
      <c r="DG864" s="675">
        <v>0</v>
      </c>
      <c r="DH864" s="549">
        <v>0</v>
      </c>
      <c r="DI864" s="675">
        <v>0</v>
      </c>
      <c r="DJ864" s="549">
        <v>0</v>
      </c>
      <c r="DK864" s="675">
        <v>0</v>
      </c>
      <c r="DL864" s="549">
        <v>0</v>
      </c>
      <c r="DM864" s="675">
        <v>0</v>
      </c>
      <c r="DN864" s="549">
        <v>0</v>
      </c>
      <c r="DO864" s="675">
        <v>0</v>
      </c>
      <c r="DP864" s="549">
        <v>0</v>
      </c>
      <c r="DQ864" s="675">
        <v>0</v>
      </c>
      <c r="DR864" s="549">
        <v>0</v>
      </c>
      <c r="DS864" s="675">
        <v>0</v>
      </c>
      <c r="DT864" s="549">
        <v>0</v>
      </c>
      <c r="DU864" s="675">
        <v>0</v>
      </c>
      <c r="DV864" s="549">
        <v>0</v>
      </c>
      <c r="DW864" s="675">
        <v>0</v>
      </c>
      <c r="DX864" s="549">
        <v>1701</v>
      </c>
      <c r="DY864" s="675">
        <v>0</v>
      </c>
      <c r="DZ864" s="549">
        <v>0</v>
      </c>
      <c r="EA864" s="675">
        <v>0</v>
      </c>
      <c r="EB864" s="549">
        <v>0</v>
      </c>
      <c r="EC864" s="675">
        <v>0</v>
      </c>
      <c r="ED864" s="549">
        <v>0</v>
      </c>
      <c r="EE864" s="675">
        <v>0</v>
      </c>
      <c r="EF864" s="549">
        <v>0</v>
      </c>
      <c r="EG864" s="675">
        <v>0</v>
      </c>
      <c r="EH864" s="549">
        <v>0</v>
      </c>
      <c r="EI864" s="675">
        <v>0</v>
      </c>
      <c r="EJ864" s="549">
        <v>0</v>
      </c>
      <c r="EK864" s="675">
        <v>0</v>
      </c>
      <c r="EL864" s="549">
        <v>0</v>
      </c>
      <c r="EM864" s="675">
        <v>0</v>
      </c>
      <c r="EN864" s="549">
        <v>0</v>
      </c>
      <c r="EO864" s="675">
        <v>0</v>
      </c>
      <c r="EP864" s="549">
        <v>0</v>
      </c>
      <c r="EQ864" s="675">
        <v>0</v>
      </c>
      <c r="ER864" s="549">
        <v>0</v>
      </c>
      <c r="ES864" s="675">
        <v>0</v>
      </c>
      <c r="ET864" s="549">
        <v>0</v>
      </c>
      <c r="EU864" s="675">
        <v>0</v>
      </c>
      <c r="EV864" s="549">
        <v>0</v>
      </c>
      <c r="EW864" s="675">
        <v>0</v>
      </c>
      <c r="EX864" s="549">
        <v>0</v>
      </c>
      <c r="EY864" s="675">
        <v>0</v>
      </c>
      <c r="EZ864" s="549">
        <v>0</v>
      </c>
      <c r="FA864" s="675">
        <v>0</v>
      </c>
      <c r="FB864" s="549">
        <v>0</v>
      </c>
      <c r="FC864" s="675">
        <v>0</v>
      </c>
      <c r="FD864" s="549">
        <v>0</v>
      </c>
      <c r="FE864" s="675">
        <v>0</v>
      </c>
      <c r="FF864" s="549">
        <v>0</v>
      </c>
      <c r="FG864" s="675">
        <v>0</v>
      </c>
      <c r="FH864" s="549">
        <v>0</v>
      </c>
      <c r="FI864" s="675">
        <v>0</v>
      </c>
      <c r="FJ864" s="549">
        <v>0</v>
      </c>
      <c r="FK864" s="675">
        <v>0</v>
      </c>
      <c r="FL864" s="549">
        <v>0</v>
      </c>
      <c r="FM864" s="675">
        <v>0</v>
      </c>
      <c r="FN864" s="549">
        <v>0</v>
      </c>
      <c r="FO864" s="675">
        <v>0</v>
      </c>
      <c r="FP864" s="549">
        <v>0</v>
      </c>
      <c r="FQ864" s="675">
        <v>0</v>
      </c>
      <c r="FR864" s="549">
        <v>0</v>
      </c>
      <c r="FS864" s="675">
        <v>0</v>
      </c>
      <c r="FT864" s="549">
        <v>0</v>
      </c>
      <c r="FU864" s="675">
        <v>0</v>
      </c>
      <c r="FV864" s="549">
        <v>0</v>
      </c>
      <c r="FW864" s="675">
        <v>0</v>
      </c>
      <c r="FX864" s="549">
        <v>0</v>
      </c>
      <c r="FY864" s="675">
        <v>0</v>
      </c>
      <c r="FZ864" s="549">
        <v>0</v>
      </c>
      <c r="GA864" s="675">
        <v>0</v>
      </c>
      <c r="GB864" s="549">
        <v>0</v>
      </c>
      <c r="GC864" s="675">
        <v>0</v>
      </c>
      <c r="GD864" s="549">
        <v>0</v>
      </c>
      <c r="GE864" s="675">
        <v>0</v>
      </c>
      <c r="GF864" s="549">
        <v>0</v>
      </c>
      <c r="GG864" s="675">
        <v>0</v>
      </c>
      <c r="GH864" s="549">
        <v>0</v>
      </c>
      <c r="GI864" s="675">
        <v>0</v>
      </c>
      <c r="GJ864" s="549">
        <v>0</v>
      </c>
      <c r="GK864" s="675">
        <v>0</v>
      </c>
      <c r="GL864" s="549">
        <v>0</v>
      </c>
      <c r="GM864" s="675">
        <v>0</v>
      </c>
      <c r="GN864" s="549">
        <v>0</v>
      </c>
      <c r="GO864" s="675">
        <v>0</v>
      </c>
      <c r="GP864" s="549">
        <f t="shared" ref="GP864:GP865" si="17617">+D864+F864+H864+J864+L864+N864+P864+R864+T864+V864+X864+Z864+AB864+AF864+AD864+AH864+AJ864+AL864+AN864+AP864+AR864+AT864+AV864+AX864+AZ864+BB864+BD864+BF864+BH864+BJ864+BL864+BN864+BP864+BR864+BT864+BV864+BX864+BZ864+CB864+CD864+CF864+CH864+CJ864+CL864+CN864+CP864+CR864+CT864+CV864+CX864+CZ864+DB864+DD864+DF864+DH864+DT864+EX864+DJ864+DL864+DN864+DP864+DR864+EJ864+EB864+DZ864+DX864+DV864+ED864+EF864+EH864+EL864+EN864+EP864+EV864+ET864+ER864+EZ864+FB864+FD864+GL864+FF864+FJ864+FL864+GJ864+FT864+FR864+FP864+FN864+FH864+GH864+GF864+GD864+GB864+FZ864+FX864+FV864+GN864</f>
        <v>1701</v>
      </c>
      <c r="GQ864" s="675">
        <f t="shared" ref="GQ864:GQ865" si="17618">+E864+G864+I864+K864+M864+O864+Q864+S864+U864+W864+Y864+AA864+AC864+AE864+AG864+AI864+AK864+AM864+AO864+AQ864+AS864+AU864+AW864+AY864+BA864+BC864+BE864+BG864+BI864+BK864+BM864+BO864+BQ864+BS864+BU864+BW864+BY864+CA864+CC864+CE864+CG864+CI864+CK864+CM864+CO864+CQ864+CS864+CU864+CW864+CY864+DA864+DC864+DE864+DG864+DI864+DU864+EY864+DK864+DM864+DO864+DQ864+DS864+EK864+EC864+EA864+DY864+DW864+EI864+EG864+EE864+EM864+EO864+EQ864+EW864+EU864+ES864+FA864+FC864+FE864+GM864+FG864+FK864+FM864+FO864+FQ864+FS864+FU864+GK864+FI864+GI864+GG864+GE864+GC864+GA864+FY864+FW864+GO864</f>
        <v>0</v>
      </c>
      <c r="GR864" s="74">
        <f t="shared" ref="GR864:GR865" si="17619">C864+GP864+GQ864</f>
        <v>1701</v>
      </c>
      <c r="GS864" s="74">
        <f t="shared" ref="GS864:GS866" si="17620">SUM(GU864:HD864)+GP864+GQ864</f>
        <v>1701</v>
      </c>
      <c r="GT864" s="568">
        <f t="shared" ref="GT864:GT865" si="17621">SUM(GU864:HF864)+GQ864+GP864</f>
        <v>1701</v>
      </c>
      <c r="GU864" s="275">
        <v>0</v>
      </c>
      <c r="GV864" s="275"/>
      <c r="GW864" s="588"/>
      <c r="GX864" s="275">
        <v>0</v>
      </c>
      <c r="GY864" s="275">
        <v>0</v>
      </c>
      <c r="GZ864" s="275"/>
      <c r="HA864" s="493">
        <f t="shared" ref="HA864:HA865" si="17622">150000-150000</f>
        <v>0</v>
      </c>
      <c r="HB864" s="493"/>
      <c r="HC864" s="493"/>
      <c r="HD864" s="493">
        <f t="shared" ref="HD864:HD865" si="17623">100000-100000</f>
        <v>0</v>
      </c>
      <c r="HE864" s="275">
        <v>0</v>
      </c>
      <c r="HF864" s="275">
        <v>0</v>
      </c>
      <c r="HG864" s="74">
        <f t="shared" ref="HG864:HG865" si="17624">SUM(HH864:IE864)+GP864+GQ864</f>
        <v>1701</v>
      </c>
      <c r="HH864" s="89">
        <v>0</v>
      </c>
      <c r="HI864" s="817">
        <v>0</v>
      </c>
      <c r="HJ864" s="89">
        <v>0</v>
      </c>
      <c r="HK864" s="817">
        <v>0</v>
      </c>
      <c r="HL864" s="89">
        <v>0</v>
      </c>
      <c r="HM864" s="817">
        <v>0</v>
      </c>
      <c r="HN864" s="89">
        <v>0</v>
      </c>
      <c r="HO864" s="817">
        <v>0</v>
      </c>
      <c r="HP864" s="89">
        <v>0</v>
      </c>
      <c r="HQ864" s="817">
        <v>0</v>
      </c>
      <c r="HR864" s="89">
        <v>0</v>
      </c>
      <c r="HS864" s="817">
        <v>0</v>
      </c>
      <c r="HT864" s="89">
        <v>0</v>
      </c>
      <c r="HU864" s="817">
        <v>0</v>
      </c>
      <c r="HV864" s="89">
        <v>0</v>
      </c>
      <c r="HW864" s="817">
        <v>0</v>
      </c>
      <c r="HX864" s="89">
        <v>0</v>
      </c>
      <c r="HY864" s="817">
        <v>0</v>
      </c>
      <c r="HZ864" s="89">
        <v>0</v>
      </c>
      <c r="IA864" s="817">
        <v>0</v>
      </c>
      <c r="IB864" s="89">
        <v>0</v>
      </c>
      <c r="IC864" s="817">
        <v>0</v>
      </c>
      <c r="ID864" s="89">
        <v>0</v>
      </c>
      <c r="IE864" s="817">
        <v>0</v>
      </c>
      <c r="IF864" s="841">
        <f t="shared" ref="IF864:IF865" si="17625">SUM(II864,IL864,IO864,IR864,IU864,IX864,JA864,JD864,JG864,JJ864,JM864,JP864)</f>
        <v>0</v>
      </c>
      <c r="IG864" s="263">
        <f t="shared" ref="IG864:IG865" si="17626">SUM(IJ864,IM864,IP864,IS864,IV864,IY864,JB864,JE864,JH864,JK864,JN864,JQ864)</f>
        <v>0</v>
      </c>
      <c r="IH864" s="842">
        <f t="shared" ref="IH864:IH865" si="17627">SUM(IK864,IN864,IQ864,IT864,IW864,IZ864,JC864,JF864,JI864,JL864,JO864,JR864)</f>
        <v>0</v>
      </c>
      <c r="II864" s="89">
        <v>0</v>
      </c>
      <c r="IJ864" s="89">
        <f t="shared" ref="IJ864:IJ865" si="17628">II864</f>
        <v>0</v>
      </c>
      <c r="IK864" s="89">
        <f t="shared" ref="IK864:IK865" si="17629">IJ864</f>
        <v>0</v>
      </c>
      <c r="IL864" s="89">
        <v>0</v>
      </c>
      <c r="IM864" s="89">
        <f t="shared" ref="IM864:IM865" si="17630">IL864</f>
        <v>0</v>
      </c>
      <c r="IN864" s="89">
        <f t="shared" ref="IN864:IN865" si="17631">IM864</f>
        <v>0</v>
      </c>
      <c r="IO864" s="89">
        <v>0</v>
      </c>
      <c r="IP864" s="89">
        <f t="shared" ref="IP864:IP865" si="17632">IO864</f>
        <v>0</v>
      </c>
      <c r="IQ864" s="89">
        <f t="shared" ref="IQ864:IQ865" si="17633">IP864</f>
        <v>0</v>
      </c>
      <c r="IR864" s="89">
        <v>0</v>
      </c>
      <c r="IS864" s="89">
        <f t="shared" ref="IS864:IS865" si="17634">IR864</f>
        <v>0</v>
      </c>
      <c r="IT864" s="89">
        <f t="shared" ref="IT864:IT865" si="17635">IS864</f>
        <v>0</v>
      </c>
      <c r="IU864" s="89">
        <v>0</v>
      </c>
      <c r="IV864" s="89">
        <f t="shared" ref="IV864:IV865" si="17636">IU864</f>
        <v>0</v>
      </c>
      <c r="IW864" s="89">
        <f t="shared" ref="IW864:IW865" si="17637">IV864</f>
        <v>0</v>
      </c>
      <c r="IX864" s="89">
        <v>0</v>
      </c>
      <c r="IY864" s="89">
        <f t="shared" ref="IY864:IY865" si="17638">IX864</f>
        <v>0</v>
      </c>
      <c r="IZ864" s="89">
        <f t="shared" ref="IZ864:IZ865" si="17639">IY864</f>
        <v>0</v>
      </c>
      <c r="JA864" s="89">
        <v>0</v>
      </c>
      <c r="JB864" s="89">
        <f t="shared" ref="JB864:JB865" si="17640">JA864</f>
        <v>0</v>
      </c>
      <c r="JC864" s="89">
        <f t="shared" ref="JC864:JC865" si="17641">JB864</f>
        <v>0</v>
      </c>
      <c r="JD864" s="89">
        <v>0</v>
      </c>
      <c r="JE864" s="89">
        <f t="shared" ref="JE864:JE865" si="17642">JD864</f>
        <v>0</v>
      </c>
      <c r="JF864" s="89">
        <f t="shared" ref="JF864:JF865" si="17643">JE864</f>
        <v>0</v>
      </c>
      <c r="JG864" s="89">
        <v>0</v>
      </c>
      <c r="JH864" s="89">
        <f t="shared" ref="JH864:JH865" si="17644">JG864</f>
        <v>0</v>
      </c>
      <c r="JI864" s="89">
        <f t="shared" ref="JI864:JI865" si="17645">JH864</f>
        <v>0</v>
      </c>
      <c r="JJ864" s="89">
        <v>0</v>
      </c>
      <c r="JK864" s="89">
        <f t="shared" ref="JK864:JK865" si="17646">JJ864</f>
        <v>0</v>
      </c>
      <c r="JL864" s="89">
        <f t="shared" ref="JL864:JL865" si="17647">JK864</f>
        <v>0</v>
      </c>
      <c r="JM864" s="89">
        <v>0</v>
      </c>
      <c r="JN864" s="89">
        <f t="shared" ref="JN864:JN865" si="17648">JM864</f>
        <v>0</v>
      </c>
      <c r="JO864" s="89">
        <f t="shared" ref="JO864:JO865" si="17649">JN864</f>
        <v>0</v>
      </c>
      <c r="JP864" s="89">
        <v>0</v>
      </c>
      <c r="JQ864" s="89">
        <f t="shared" ref="JQ864:JQ865" si="17650">JP864</f>
        <v>0</v>
      </c>
      <c r="JR864" s="89">
        <f t="shared" ref="JR864:JR865" si="17651">JQ864</f>
        <v>0</v>
      </c>
      <c r="JS864" s="74">
        <f t="shared" ref="JS864:JS865" si="17652">HG864-IF864</f>
        <v>1701</v>
      </c>
      <c r="JT864" s="382">
        <f t="shared" ref="JT864:JT865" si="17653">GS864-IF864</f>
        <v>1701</v>
      </c>
      <c r="JU864" s="665"/>
      <c r="JV864" s="524"/>
      <c r="JW864" s="525"/>
      <c r="JX864" s="549">
        <f t="shared" ref="JX864:JX865" si="17654">SUM(HH864,HJ864,HL864,HN864,HP864,HR864,HT864,HV864,HX864,HZ864,IB864,ID864)</f>
        <v>0</v>
      </c>
      <c r="JY864" s="549">
        <f t="shared" ref="JY864:JY865" si="17655">SUM(HI864,HK864,HM864,HO864,HQ864,HS864,HU864,HW864,HY864,IA864,IC864,IE864)</f>
        <v>0</v>
      </c>
      <c r="JZ864" s="581">
        <f t="shared" ref="JZ864:JZ865" si="17656">GP864</f>
        <v>1701</v>
      </c>
      <c r="KA864" s="581">
        <f t="shared" ref="KA864:KA865" si="17657">GQ864</f>
        <v>0</v>
      </c>
      <c r="KB864" s="566">
        <f t="shared" ref="KB864:KB865" si="17658">SUM(JX864:KA864)</f>
        <v>1701</v>
      </c>
      <c r="KC864" s="709">
        <f t="shared" ref="KC864:KC865" si="17659">HG864-KB864</f>
        <v>0</v>
      </c>
      <c r="KD864" s="491"/>
      <c r="KE864" s="491"/>
      <c r="KF864" s="491"/>
      <c r="KG864" s="491"/>
      <c r="KH864" s="36"/>
      <c r="KI864" s="36"/>
      <c r="KJ864" s="36"/>
      <c r="KK864" s="36"/>
    </row>
    <row r="865" spans="1:297" s="10" customFormat="1">
      <c r="A865" s="612" t="s">
        <v>1396</v>
      </c>
      <c r="B865" s="512" t="s">
        <v>1246</v>
      </c>
      <c r="C865" s="74">
        <v>0</v>
      </c>
      <c r="D865" s="549">
        <v>0</v>
      </c>
      <c r="E865" s="675">
        <v>0</v>
      </c>
      <c r="F865" s="549">
        <v>0</v>
      </c>
      <c r="G865" s="675">
        <v>0</v>
      </c>
      <c r="H865" s="549">
        <v>0</v>
      </c>
      <c r="I865" s="675">
        <v>0</v>
      </c>
      <c r="J865" s="549">
        <v>0</v>
      </c>
      <c r="K865" s="675">
        <v>0</v>
      </c>
      <c r="L865" s="549">
        <v>0</v>
      </c>
      <c r="M865" s="675">
        <v>0</v>
      </c>
      <c r="N865" s="549">
        <v>0</v>
      </c>
      <c r="O865" s="675">
        <v>0</v>
      </c>
      <c r="P865" s="549">
        <v>0</v>
      </c>
      <c r="Q865" s="675">
        <v>0</v>
      </c>
      <c r="R865" s="549">
        <v>0</v>
      </c>
      <c r="S865" s="675">
        <v>0</v>
      </c>
      <c r="T865" s="549">
        <v>0</v>
      </c>
      <c r="U865" s="675">
        <v>0</v>
      </c>
      <c r="V865" s="549">
        <v>0</v>
      </c>
      <c r="W865" s="675">
        <v>0</v>
      </c>
      <c r="X865" s="549">
        <v>0</v>
      </c>
      <c r="Y865" s="675">
        <v>0</v>
      </c>
      <c r="Z865" s="549">
        <v>0</v>
      </c>
      <c r="AA865" s="675">
        <v>0</v>
      </c>
      <c r="AB865" s="549">
        <v>0</v>
      </c>
      <c r="AC865" s="675">
        <v>0</v>
      </c>
      <c r="AD865" s="549">
        <v>0</v>
      </c>
      <c r="AE865" s="675">
        <v>0</v>
      </c>
      <c r="AF865" s="549">
        <v>0</v>
      </c>
      <c r="AG865" s="675">
        <v>0</v>
      </c>
      <c r="AH865" s="549">
        <v>0</v>
      </c>
      <c r="AI865" s="675">
        <v>0</v>
      </c>
      <c r="AJ865" s="549">
        <v>0</v>
      </c>
      <c r="AK865" s="675">
        <v>0</v>
      </c>
      <c r="AL865" s="549">
        <v>0</v>
      </c>
      <c r="AM865" s="675">
        <v>0</v>
      </c>
      <c r="AN865" s="549">
        <v>0</v>
      </c>
      <c r="AO865" s="675">
        <v>0</v>
      </c>
      <c r="AP865" s="549">
        <v>0</v>
      </c>
      <c r="AQ865" s="675">
        <v>0</v>
      </c>
      <c r="AR865" s="549">
        <v>0</v>
      </c>
      <c r="AS865" s="675">
        <v>0</v>
      </c>
      <c r="AT865" s="549">
        <v>0</v>
      </c>
      <c r="AU865" s="675">
        <v>0</v>
      </c>
      <c r="AV865" s="549">
        <v>0</v>
      </c>
      <c r="AW865" s="675">
        <v>0</v>
      </c>
      <c r="AX865" s="549">
        <v>0</v>
      </c>
      <c r="AY865" s="675">
        <v>0</v>
      </c>
      <c r="AZ865" s="549">
        <v>0</v>
      </c>
      <c r="BA865" s="675">
        <v>0</v>
      </c>
      <c r="BB865" s="549">
        <v>0</v>
      </c>
      <c r="BC865" s="675">
        <v>0</v>
      </c>
      <c r="BD865" s="549">
        <v>0</v>
      </c>
      <c r="BE865" s="675">
        <v>0</v>
      </c>
      <c r="BF865" s="549">
        <v>0</v>
      </c>
      <c r="BG865" s="675">
        <v>0</v>
      </c>
      <c r="BH865" s="549">
        <v>0</v>
      </c>
      <c r="BI865" s="675">
        <v>0</v>
      </c>
      <c r="BJ865" s="549">
        <v>0</v>
      </c>
      <c r="BK865" s="675">
        <v>0</v>
      </c>
      <c r="BL865" s="549">
        <v>0</v>
      </c>
      <c r="BM865" s="675">
        <v>0</v>
      </c>
      <c r="BN865" s="549">
        <v>0</v>
      </c>
      <c r="BO865" s="675">
        <v>0</v>
      </c>
      <c r="BP865" s="549">
        <v>0</v>
      </c>
      <c r="BQ865" s="675">
        <v>0</v>
      </c>
      <c r="BR865" s="549">
        <v>0</v>
      </c>
      <c r="BS865" s="675">
        <v>0</v>
      </c>
      <c r="BT865" s="549">
        <v>0</v>
      </c>
      <c r="BU865" s="675">
        <v>0</v>
      </c>
      <c r="BV865" s="549">
        <v>0</v>
      </c>
      <c r="BW865" s="675">
        <v>0</v>
      </c>
      <c r="BX865" s="549">
        <v>0</v>
      </c>
      <c r="BY865" s="675">
        <v>0</v>
      </c>
      <c r="BZ865" s="549">
        <v>0</v>
      </c>
      <c r="CA865" s="675">
        <v>0</v>
      </c>
      <c r="CB865" s="549">
        <v>0</v>
      </c>
      <c r="CC865" s="675">
        <v>0</v>
      </c>
      <c r="CD865" s="549">
        <v>0</v>
      </c>
      <c r="CE865" s="675">
        <v>0</v>
      </c>
      <c r="CF865" s="549">
        <v>0</v>
      </c>
      <c r="CG865" s="675">
        <v>0</v>
      </c>
      <c r="CH865" s="549">
        <v>0</v>
      </c>
      <c r="CI865" s="675">
        <v>0</v>
      </c>
      <c r="CJ865" s="549">
        <v>0</v>
      </c>
      <c r="CK865" s="675">
        <v>0</v>
      </c>
      <c r="CL865" s="549">
        <v>0</v>
      </c>
      <c r="CM865" s="675">
        <v>0</v>
      </c>
      <c r="CN865" s="549">
        <v>0</v>
      </c>
      <c r="CO865" s="675">
        <v>0</v>
      </c>
      <c r="CP865" s="549">
        <v>0</v>
      </c>
      <c r="CQ865" s="675">
        <v>0</v>
      </c>
      <c r="CR865" s="549">
        <v>0</v>
      </c>
      <c r="CS865" s="675">
        <v>0</v>
      </c>
      <c r="CT865" s="549">
        <v>0</v>
      </c>
      <c r="CU865" s="675">
        <v>0</v>
      </c>
      <c r="CV865" s="549">
        <v>0</v>
      </c>
      <c r="CW865" s="675">
        <v>0</v>
      </c>
      <c r="CX865" s="549">
        <v>0</v>
      </c>
      <c r="CY865" s="675">
        <v>0</v>
      </c>
      <c r="CZ865" s="549">
        <v>0</v>
      </c>
      <c r="DA865" s="675">
        <v>0</v>
      </c>
      <c r="DB865" s="549">
        <v>0</v>
      </c>
      <c r="DC865" s="675">
        <v>0</v>
      </c>
      <c r="DD865" s="549">
        <v>0</v>
      </c>
      <c r="DE865" s="675">
        <v>0</v>
      </c>
      <c r="DF865" s="549">
        <v>0</v>
      </c>
      <c r="DG865" s="675">
        <v>0</v>
      </c>
      <c r="DH865" s="549">
        <v>0</v>
      </c>
      <c r="DI865" s="675">
        <v>0</v>
      </c>
      <c r="DJ865" s="549">
        <v>0</v>
      </c>
      <c r="DK865" s="675">
        <v>0</v>
      </c>
      <c r="DL865" s="549">
        <v>0</v>
      </c>
      <c r="DM865" s="675">
        <v>0</v>
      </c>
      <c r="DN865" s="549">
        <v>0</v>
      </c>
      <c r="DO865" s="675">
        <v>0</v>
      </c>
      <c r="DP865" s="549">
        <v>0</v>
      </c>
      <c r="DQ865" s="675">
        <v>0</v>
      </c>
      <c r="DR865" s="549">
        <v>0</v>
      </c>
      <c r="DS865" s="675">
        <v>0</v>
      </c>
      <c r="DT865" s="549">
        <v>0</v>
      </c>
      <c r="DU865" s="675">
        <v>0</v>
      </c>
      <c r="DV865" s="549">
        <v>0</v>
      </c>
      <c r="DW865" s="675">
        <v>0</v>
      </c>
      <c r="DX865" s="549">
        <v>74880</v>
      </c>
      <c r="DY865" s="675">
        <v>0</v>
      </c>
      <c r="DZ865" s="549">
        <v>0</v>
      </c>
      <c r="EA865" s="675">
        <v>0</v>
      </c>
      <c r="EB865" s="549">
        <v>0</v>
      </c>
      <c r="EC865" s="675">
        <v>0</v>
      </c>
      <c r="ED865" s="549">
        <v>0</v>
      </c>
      <c r="EE865" s="675">
        <v>0</v>
      </c>
      <c r="EF865" s="549">
        <v>0</v>
      </c>
      <c r="EG865" s="675">
        <v>0</v>
      </c>
      <c r="EH865" s="549">
        <v>0</v>
      </c>
      <c r="EI865" s="675">
        <v>0</v>
      </c>
      <c r="EJ865" s="549">
        <v>0</v>
      </c>
      <c r="EK865" s="675">
        <v>0</v>
      </c>
      <c r="EL865" s="549">
        <v>0</v>
      </c>
      <c r="EM865" s="675">
        <v>0</v>
      </c>
      <c r="EN865" s="549">
        <v>0</v>
      </c>
      <c r="EO865" s="675">
        <v>0</v>
      </c>
      <c r="EP865" s="549">
        <v>0</v>
      </c>
      <c r="EQ865" s="675">
        <v>0</v>
      </c>
      <c r="ER865" s="549">
        <v>0</v>
      </c>
      <c r="ES865" s="675">
        <v>0</v>
      </c>
      <c r="ET865" s="549">
        <v>0</v>
      </c>
      <c r="EU865" s="675">
        <v>0</v>
      </c>
      <c r="EV865" s="549">
        <v>0</v>
      </c>
      <c r="EW865" s="675">
        <v>0</v>
      </c>
      <c r="EX865" s="549">
        <v>0</v>
      </c>
      <c r="EY865" s="675">
        <v>0</v>
      </c>
      <c r="EZ865" s="549">
        <v>0</v>
      </c>
      <c r="FA865" s="675">
        <v>0</v>
      </c>
      <c r="FB865" s="549">
        <v>0</v>
      </c>
      <c r="FC865" s="675">
        <v>0</v>
      </c>
      <c r="FD865" s="549">
        <v>0</v>
      </c>
      <c r="FE865" s="675">
        <v>0</v>
      </c>
      <c r="FF865" s="549">
        <v>0</v>
      </c>
      <c r="FG865" s="675">
        <v>0</v>
      </c>
      <c r="FH865" s="549">
        <v>0</v>
      </c>
      <c r="FI865" s="675">
        <v>0</v>
      </c>
      <c r="FJ865" s="549">
        <v>0</v>
      </c>
      <c r="FK865" s="675">
        <v>0</v>
      </c>
      <c r="FL865" s="549">
        <v>0</v>
      </c>
      <c r="FM865" s="675">
        <v>0</v>
      </c>
      <c r="FN865" s="549">
        <v>0</v>
      </c>
      <c r="FO865" s="675">
        <v>0</v>
      </c>
      <c r="FP865" s="549">
        <v>0</v>
      </c>
      <c r="FQ865" s="675">
        <v>0</v>
      </c>
      <c r="FR865" s="549">
        <v>0</v>
      </c>
      <c r="FS865" s="675">
        <v>0</v>
      </c>
      <c r="FT865" s="549">
        <v>0</v>
      </c>
      <c r="FU865" s="675">
        <v>0</v>
      </c>
      <c r="FV865" s="549">
        <v>0</v>
      </c>
      <c r="FW865" s="675">
        <v>0</v>
      </c>
      <c r="FX865" s="549">
        <v>0</v>
      </c>
      <c r="FY865" s="675">
        <v>0</v>
      </c>
      <c r="FZ865" s="549">
        <v>0</v>
      </c>
      <c r="GA865" s="675">
        <v>0</v>
      </c>
      <c r="GB865" s="549">
        <v>0</v>
      </c>
      <c r="GC865" s="675">
        <v>0</v>
      </c>
      <c r="GD865" s="549">
        <v>0</v>
      </c>
      <c r="GE865" s="675">
        <v>0</v>
      </c>
      <c r="GF865" s="549">
        <v>0</v>
      </c>
      <c r="GG865" s="675">
        <v>0</v>
      </c>
      <c r="GH865" s="549">
        <v>0</v>
      </c>
      <c r="GI865" s="675">
        <v>0</v>
      </c>
      <c r="GJ865" s="549">
        <v>0</v>
      </c>
      <c r="GK865" s="675">
        <v>0</v>
      </c>
      <c r="GL865" s="549">
        <v>0</v>
      </c>
      <c r="GM865" s="675">
        <v>0</v>
      </c>
      <c r="GN865" s="549">
        <v>0</v>
      </c>
      <c r="GO865" s="675">
        <v>0</v>
      </c>
      <c r="GP865" s="549">
        <f t="shared" si="17617"/>
        <v>74880</v>
      </c>
      <c r="GQ865" s="675">
        <f t="shared" si="17618"/>
        <v>0</v>
      </c>
      <c r="GR865" s="74">
        <f t="shared" si="17619"/>
        <v>74880</v>
      </c>
      <c r="GS865" s="74">
        <f t="shared" si="17620"/>
        <v>74880</v>
      </c>
      <c r="GT865" s="568">
        <f t="shared" si="17621"/>
        <v>74880</v>
      </c>
      <c r="GU865" s="275">
        <v>0</v>
      </c>
      <c r="GV865" s="275"/>
      <c r="GW865" s="588"/>
      <c r="GX865" s="275">
        <v>0</v>
      </c>
      <c r="GY865" s="275">
        <v>0</v>
      </c>
      <c r="GZ865" s="275"/>
      <c r="HA865" s="493">
        <f t="shared" si="17622"/>
        <v>0</v>
      </c>
      <c r="HB865" s="493"/>
      <c r="HC865" s="493"/>
      <c r="HD865" s="493">
        <f t="shared" si="17623"/>
        <v>0</v>
      </c>
      <c r="HE865" s="275">
        <v>0</v>
      </c>
      <c r="HF865" s="275">
        <v>0</v>
      </c>
      <c r="HG865" s="74">
        <f t="shared" si="17624"/>
        <v>74880</v>
      </c>
      <c r="HH865" s="89">
        <v>0</v>
      </c>
      <c r="HI865" s="817">
        <v>0</v>
      </c>
      <c r="HJ865" s="89">
        <v>0</v>
      </c>
      <c r="HK865" s="817">
        <v>0</v>
      </c>
      <c r="HL865" s="89">
        <v>0</v>
      </c>
      <c r="HM865" s="817">
        <v>0</v>
      </c>
      <c r="HN865" s="89">
        <v>0</v>
      </c>
      <c r="HO865" s="817">
        <v>0</v>
      </c>
      <c r="HP865" s="89">
        <v>0</v>
      </c>
      <c r="HQ865" s="817">
        <v>0</v>
      </c>
      <c r="HR865" s="89">
        <v>0</v>
      </c>
      <c r="HS865" s="817">
        <v>0</v>
      </c>
      <c r="HT865" s="89">
        <v>0</v>
      </c>
      <c r="HU865" s="817">
        <v>0</v>
      </c>
      <c r="HV865" s="89">
        <v>0</v>
      </c>
      <c r="HW865" s="817">
        <v>0</v>
      </c>
      <c r="HX865" s="89">
        <v>0</v>
      </c>
      <c r="HY865" s="817">
        <v>0</v>
      </c>
      <c r="HZ865" s="89">
        <v>0</v>
      </c>
      <c r="IA865" s="817">
        <v>0</v>
      </c>
      <c r="IB865" s="89">
        <v>0</v>
      </c>
      <c r="IC865" s="817">
        <v>0</v>
      </c>
      <c r="ID865" s="89">
        <v>0</v>
      </c>
      <c r="IE865" s="817">
        <v>0</v>
      </c>
      <c r="IF865" s="841">
        <f t="shared" si="17625"/>
        <v>0</v>
      </c>
      <c r="IG865" s="263">
        <f t="shared" si="17626"/>
        <v>0</v>
      </c>
      <c r="IH865" s="842">
        <f t="shared" si="17627"/>
        <v>0</v>
      </c>
      <c r="II865" s="89">
        <v>0</v>
      </c>
      <c r="IJ865" s="89">
        <f t="shared" si="17628"/>
        <v>0</v>
      </c>
      <c r="IK865" s="89">
        <f t="shared" si="17629"/>
        <v>0</v>
      </c>
      <c r="IL865" s="89">
        <v>0</v>
      </c>
      <c r="IM865" s="89">
        <f t="shared" si="17630"/>
        <v>0</v>
      </c>
      <c r="IN865" s="89">
        <f t="shared" si="17631"/>
        <v>0</v>
      </c>
      <c r="IO865" s="89">
        <v>0</v>
      </c>
      <c r="IP865" s="89">
        <f t="shared" si="17632"/>
        <v>0</v>
      </c>
      <c r="IQ865" s="89">
        <f t="shared" si="17633"/>
        <v>0</v>
      </c>
      <c r="IR865" s="89">
        <v>0</v>
      </c>
      <c r="IS865" s="89">
        <f t="shared" si="17634"/>
        <v>0</v>
      </c>
      <c r="IT865" s="89">
        <f t="shared" si="17635"/>
        <v>0</v>
      </c>
      <c r="IU865" s="89">
        <v>0</v>
      </c>
      <c r="IV865" s="89">
        <f t="shared" si="17636"/>
        <v>0</v>
      </c>
      <c r="IW865" s="89">
        <f t="shared" si="17637"/>
        <v>0</v>
      </c>
      <c r="IX865" s="89">
        <v>0</v>
      </c>
      <c r="IY865" s="89">
        <f t="shared" si="17638"/>
        <v>0</v>
      </c>
      <c r="IZ865" s="89">
        <f t="shared" si="17639"/>
        <v>0</v>
      </c>
      <c r="JA865" s="89">
        <v>0</v>
      </c>
      <c r="JB865" s="89">
        <f t="shared" si="17640"/>
        <v>0</v>
      </c>
      <c r="JC865" s="89">
        <f t="shared" si="17641"/>
        <v>0</v>
      </c>
      <c r="JD865" s="89">
        <v>0</v>
      </c>
      <c r="JE865" s="89">
        <f t="shared" si="17642"/>
        <v>0</v>
      </c>
      <c r="JF865" s="89">
        <f t="shared" si="17643"/>
        <v>0</v>
      </c>
      <c r="JG865" s="89">
        <v>0</v>
      </c>
      <c r="JH865" s="89">
        <f t="shared" si="17644"/>
        <v>0</v>
      </c>
      <c r="JI865" s="89">
        <f t="shared" si="17645"/>
        <v>0</v>
      </c>
      <c r="JJ865" s="89">
        <v>0</v>
      </c>
      <c r="JK865" s="89">
        <f t="shared" si="17646"/>
        <v>0</v>
      </c>
      <c r="JL865" s="89">
        <f t="shared" si="17647"/>
        <v>0</v>
      </c>
      <c r="JM865" s="89">
        <v>0</v>
      </c>
      <c r="JN865" s="89">
        <f t="shared" si="17648"/>
        <v>0</v>
      </c>
      <c r="JO865" s="89">
        <f t="shared" si="17649"/>
        <v>0</v>
      </c>
      <c r="JP865" s="89">
        <v>0</v>
      </c>
      <c r="JQ865" s="89">
        <f t="shared" si="17650"/>
        <v>0</v>
      </c>
      <c r="JR865" s="89">
        <f t="shared" si="17651"/>
        <v>0</v>
      </c>
      <c r="JS865" s="74">
        <f t="shared" si="17652"/>
        <v>74880</v>
      </c>
      <c r="JT865" s="382">
        <f t="shared" si="17653"/>
        <v>74880</v>
      </c>
      <c r="JU865" s="665"/>
      <c r="JV865" s="524"/>
      <c r="JW865" s="525"/>
      <c r="JX865" s="549">
        <f t="shared" si="17654"/>
        <v>0</v>
      </c>
      <c r="JY865" s="549">
        <f t="shared" si="17655"/>
        <v>0</v>
      </c>
      <c r="JZ865" s="581">
        <f t="shared" si="17656"/>
        <v>74880</v>
      </c>
      <c r="KA865" s="581">
        <f t="shared" si="17657"/>
        <v>0</v>
      </c>
      <c r="KB865" s="566">
        <f t="shared" si="17658"/>
        <v>74880</v>
      </c>
      <c r="KC865" s="709">
        <f t="shared" si="17659"/>
        <v>0</v>
      </c>
      <c r="KD865" s="491"/>
      <c r="KE865" s="491"/>
      <c r="KF865" s="491"/>
      <c r="KG865" s="491"/>
      <c r="KH865" s="36"/>
      <c r="KI865" s="36"/>
      <c r="KJ865" s="36"/>
      <c r="KK865" s="36"/>
    </row>
    <row r="866" spans="1:297" s="10" customFormat="1">
      <c r="A866" s="612" t="s">
        <v>1244</v>
      </c>
      <c r="B866" s="512" t="s">
        <v>1246</v>
      </c>
      <c r="C866" s="74">
        <v>500000</v>
      </c>
      <c r="D866" s="549">
        <v>0</v>
      </c>
      <c r="E866" s="675">
        <v>0</v>
      </c>
      <c r="F866" s="549">
        <v>0</v>
      </c>
      <c r="G866" s="675">
        <v>0</v>
      </c>
      <c r="H866" s="549">
        <v>0</v>
      </c>
      <c r="I866" s="675">
        <v>0</v>
      </c>
      <c r="J866" s="549">
        <v>0</v>
      </c>
      <c r="K866" s="675">
        <v>0</v>
      </c>
      <c r="L866" s="549">
        <v>0</v>
      </c>
      <c r="M866" s="675">
        <v>0</v>
      </c>
      <c r="N866" s="549">
        <v>0</v>
      </c>
      <c r="O866" s="675">
        <v>0</v>
      </c>
      <c r="P866" s="549">
        <v>0</v>
      </c>
      <c r="Q866" s="675">
        <v>0</v>
      </c>
      <c r="R866" s="549">
        <v>0</v>
      </c>
      <c r="S866" s="675">
        <v>0</v>
      </c>
      <c r="T866" s="549">
        <v>0</v>
      </c>
      <c r="U866" s="675">
        <v>0</v>
      </c>
      <c r="V866" s="549">
        <v>0</v>
      </c>
      <c r="W866" s="675">
        <v>0</v>
      </c>
      <c r="X866" s="549">
        <v>0</v>
      </c>
      <c r="Y866" s="675">
        <v>0</v>
      </c>
      <c r="Z866" s="549">
        <v>0</v>
      </c>
      <c r="AA866" s="675">
        <v>0</v>
      </c>
      <c r="AB866" s="549">
        <v>0</v>
      </c>
      <c r="AC866" s="675">
        <v>0</v>
      </c>
      <c r="AD866" s="549">
        <v>0</v>
      </c>
      <c r="AE866" s="675">
        <v>0</v>
      </c>
      <c r="AF866" s="549">
        <v>0</v>
      </c>
      <c r="AG866" s="675">
        <v>0</v>
      </c>
      <c r="AH866" s="549">
        <v>0</v>
      </c>
      <c r="AI866" s="675">
        <v>0</v>
      </c>
      <c r="AJ866" s="549">
        <v>0</v>
      </c>
      <c r="AK866" s="675">
        <v>0</v>
      </c>
      <c r="AL866" s="549">
        <v>0</v>
      </c>
      <c r="AM866" s="675">
        <v>0</v>
      </c>
      <c r="AN866" s="549">
        <v>0</v>
      </c>
      <c r="AO866" s="675">
        <v>0</v>
      </c>
      <c r="AP866" s="549">
        <v>0</v>
      </c>
      <c r="AQ866" s="675">
        <v>-100000</v>
      </c>
      <c r="AR866" s="549">
        <v>0</v>
      </c>
      <c r="AS866" s="675">
        <v>0</v>
      </c>
      <c r="AT866" s="549">
        <v>0</v>
      </c>
      <c r="AU866" s="675">
        <v>0</v>
      </c>
      <c r="AV866" s="549">
        <v>0</v>
      </c>
      <c r="AW866" s="675">
        <v>0</v>
      </c>
      <c r="AX866" s="549">
        <v>0</v>
      </c>
      <c r="AY866" s="675">
        <v>0</v>
      </c>
      <c r="AZ866" s="549">
        <v>0</v>
      </c>
      <c r="BA866" s="675">
        <v>0</v>
      </c>
      <c r="BB866" s="549">
        <v>0</v>
      </c>
      <c r="BC866" s="675">
        <v>0</v>
      </c>
      <c r="BD866" s="549">
        <v>0</v>
      </c>
      <c r="BE866" s="675">
        <v>0</v>
      </c>
      <c r="BF866" s="549">
        <v>0</v>
      </c>
      <c r="BG866" s="675">
        <v>0</v>
      </c>
      <c r="BH866" s="549">
        <v>0</v>
      </c>
      <c r="BI866" s="675">
        <v>0</v>
      </c>
      <c r="BJ866" s="549">
        <v>0</v>
      </c>
      <c r="BK866" s="675">
        <v>0</v>
      </c>
      <c r="BL866" s="549">
        <v>0</v>
      </c>
      <c r="BM866" s="675">
        <v>0</v>
      </c>
      <c r="BN866" s="549">
        <v>0</v>
      </c>
      <c r="BO866" s="675">
        <v>0</v>
      </c>
      <c r="BP866" s="549">
        <v>0</v>
      </c>
      <c r="BQ866" s="675">
        <v>0</v>
      </c>
      <c r="BR866" s="549">
        <v>0</v>
      </c>
      <c r="BS866" s="675">
        <v>0</v>
      </c>
      <c r="BT866" s="549">
        <v>0</v>
      </c>
      <c r="BU866" s="675">
        <v>0</v>
      </c>
      <c r="BV866" s="549">
        <v>0</v>
      </c>
      <c r="BW866" s="675">
        <v>0</v>
      </c>
      <c r="BX866" s="549">
        <v>0</v>
      </c>
      <c r="BY866" s="675">
        <v>0</v>
      </c>
      <c r="BZ866" s="549">
        <v>0</v>
      </c>
      <c r="CA866" s="675">
        <v>0</v>
      </c>
      <c r="CB866" s="549">
        <v>0</v>
      </c>
      <c r="CC866" s="675">
        <v>0</v>
      </c>
      <c r="CD866" s="549">
        <v>0</v>
      </c>
      <c r="CE866" s="675">
        <v>0</v>
      </c>
      <c r="CF866" s="549">
        <v>0</v>
      </c>
      <c r="CG866" s="675">
        <v>0</v>
      </c>
      <c r="CH866" s="549">
        <v>0</v>
      </c>
      <c r="CI866" s="675">
        <v>0</v>
      </c>
      <c r="CJ866" s="549">
        <v>0</v>
      </c>
      <c r="CK866" s="675">
        <v>0</v>
      </c>
      <c r="CL866" s="549">
        <v>0</v>
      </c>
      <c r="CM866" s="675">
        <v>0</v>
      </c>
      <c r="CN866" s="549">
        <v>0</v>
      </c>
      <c r="CO866" s="675">
        <v>0</v>
      </c>
      <c r="CP866" s="549">
        <v>0</v>
      </c>
      <c r="CQ866" s="675">
        <v>0</v>
      </c>
      <c r="CR866" s="549">
        <v>0</v>
      </c>
      <c r="CS866" s="675">
        <v>0</v>
      </c>
      <c r="CT866" s="549">
        <v>0</v>
      </c>
      <c r="CU866" s="675">
        <v>0</v>
      </c>
      <c r="CV866" s="549">
        <v>0</v>
      </c>
      <c r="CW866" s="675">
        <v>0</v>
      </c>
      <c r="CX866" s="549">
        <v>0</v>
      </c>
      <c r="CY866" s="675">
        <v>0</v>
      </c>
      <c r="CZ866" s="549">
        <v>0</v>
      </c>
      <c r="DA866" s="675">
        <v>0</v>
      </c>
      <c r="DB866" s="549">
        <v>0</v>
      </c>
      <c r="DC866" s="675">
        <v>0</v>
      </c>
      <c r="DD866" s="549">
        <v>0</v>
      </c>
      <c r="DE866" s="675">
        <v>0</v>
      </c>
      <c r="DF866" s="549">
        <v>0</v>
      </c>
      <c r="DG866" s="675">
        <v>0</v>
      </c>
      <c r="DH866" s="549">
        <v>0</v>
      </c>
      <c r="DI866" s="675">
        <v>0</v>
      </c>
      <c r="DJ866" s="549">
        <v>0</v>
      </c>
      <c r="DK866" s="675">
        <v>0</v>
      </c>
      <c r="DL866" s="549">
        <v>0</v>
      </c>
      <c r="DM866" s="675">
        <v>0</v>
      </c>
      <c r="DN866" s="549">
        <v>0</v>
      </c>
      <c r="DO866" s="675">
        <v>0</v>
      </c>
      <c r="DP866" s="549">
        <v>0</v>
      </c>
      <c r="DQ866" s="675">
        <v>0</v>
      </c>
      <c r="DR866" s="549">
        <v>0</v>
      </c>
      <c r="DS866" s="675">
        <v>0</v>
      </c>
      <c r="DT866" s="549">
        <v>0</v>
      </c>
      <c r="DU866" s="675">
        <v>0</v>
      </c>
      <c r="DV866" s="549">
        <v>0</v>
      </c>
      <c r="DW866" s="675">
        <v>0</v>
      </c>
      <c r="DX866" s="549">
        <v>53790</v>
      </c>
      <c r="DY866" s="675">
        <v>0</v>
      </c>
      <c r="DZ866" s="549">
        <v>0</v>
      </c>
      <c r="EA866" s="675">
        <v>0</v>
      </c>
      <c r="EB866" s="549">
        <v>0</v>
      </c>
      <c r="EC866" s="675">
        <v>0</v>
      </c>
      <c r="ED866" s="549">
        <v>0</v>
      </c>
      <c r="EE866" s="675">
        <v>0</v>
      </c>
      <c r="EF866" s="549">
        <v>0</v>
      </c>
      <c r="EG866" s="675">
        <v>0</v>
      </c>
      <c r="EH866" s="549">
        <v>0</v>
      </c>
      <c r="EI866" s="675">
        <v>0</v>
      </c>
      <c r="EJ866" s="549">
        <v>0</v>
      </c>
      <c r="EK866" s="675">
        <v>0</v>
      </c>
      <c r="EL866" s="549">
        <v>0</v>
      </c>
      <c r="EM866" s="675">
        <v>0</v>
      </c>
      <c r="EN866" s="549">
        <v>0</v>
      </c>
      <c r="EO866" s="675">
        <v>0</v>
      </c>
      <c r="EP866" s="549">
        <v>0</v>
      </c>
      <c r="EQ866" s="675">
        <v>0</v>
      </c>
      <c r="ER866" s="549">
        <v>0</v>
      </c>
      <c r="ES866" s="675">
        <v>0</v>
      </c>
      <c r="ET866" s="549">
        <v>0</v>
      </c>
      <c r="EU866" s="675">
        <v>0</v>
      </c>
      <c r="EV866" s="549">
        <v>0</v>
      </c>
      <c r="EW866" s="675">
        <v>0</v>
      </c>
      <c r="EX866" s="549">
        <v>0</v>
      </c>
      <c r="EY866" s="675">
        <v>0</v>
      </c>
      <c r="EZ866" s="549">
        <v>0</v>
      </c>
      <c r="FA866" s="675">
        <v>0</v>
      </c>
      <c r="FB866" s="549">
        <v>0</v>
      </c>
      <c r="FC866" s="675">
        <v>0</v>
      </c>
      <c r="FD866" s="549">
        <v>0</v>
      </c>
      <c r="FE866" s="675">
        <v>0</v>
      </c>
      <c r="FF866" s="549">
        <v>0</v>
      </c>
      <c r="FG866" s="675">
        <v>0</v>
      </c>
      <c r="FH866" s="549">
        <v>0</v>
      </c>
      <c r="FI866" s="675">
        <v>0</v>
      </c>
      <c r="FJ866" s="549">
        <v>0</v>
      </c>
      <c r="FK866" s="675">
        <v>0</v>
      </c>
      <c r="FL866" s="549">
        <v>0</v>
      </c>
      <c r="FM866" s="675">
        <v>0</v>
      </c>
      <c r="FN866" s="549">
        <v>0</v>
      </c>
      <c r="FO866" s="675">
        <v>0</v>
      </c>
      <c r="FP866" s="549">
        <v>0</v>
      </c>
      <c r="FQ866" s="675">
        <v>0</v>
      </c>
      <c r="FR866" s="549">
        <v>0</v>
      </c>
      <c r="FS866" s="675">
        <v>0</v>
      </c>
      <c r="FT866" s="549">
        <v>0</v>
      </c>
      <c r="FU866" s="675">
        <v>0</v>
      </c>
      <c r="FV866" s="549">
        <v>0</v>
      </c>
      <c r="FW866" s="675">
        <v>0</v>
      </c>
      <c r="FX866" s="549">
        <v>0</v>
      </c>
      <c r="FY866" s="675">
        <v>0</v>
      </c>
      <c r="FZ866" s="549">
        <v>0</v>
      </c>
      <c r="GA866" s="675">
        <v>-299000</v>
      </c>
      <c r="GB866" s="549">
        <v>0</v>
      </c>
      <c r="GC866" s="675">
        <v>0</v>
      </c>
      <c r="GD866" s="549">
        <v>0</v>
      </c>
      <c r="GE866" s="675">
        <v>0</v>
      </c>
      <c r="GF866" s="549">
        <v>0</v>
      </c>
      <c r="GG866" s="675">
        <v>0</v>
      </c>
      <c r="GH866" s="549">
        <v>0</v>
      </c>
      <c r="GI866" s="675">
        <v>0</v>
      </c>
      <c r="GJ866" s="549">
        <v>0</v>
      </c>
      <c r="GK866" s="675">
        <v>0</v>
      </c>
      <c r="GL866" s="549">
        <v>0</v>
      </c>
      <c r="GM866" s="675">
        <v>0</v>
      </c>
      <c r="GN866" s="549">
        <v>0</v>
      </c>
      <c r="GO866" s="675">
        <v>0</v>
      </c>
      <c r="GP866" s="549">
        <f>+D866+F866+H866+J866+L866+N866+P866+R866+T866+V866+X866+Z866+AB866+AF866+AD866+AH866+AJ866+AL866+AN866+AP866+AR866+AT866+AV866+AX866+AZ866+BB866+BD866+BF866+BH866+BJ866+BL866+BN866+BP866+BR866+BT866+BV866+BX866+BZ866+CB866+CD866+CF866+CH866+CJ866+CL866+CN866+CP866+CR866+CT866+CV866+CX866+CZ866+DB866+DD866+DF866+DH866+DT866+EX866+DJ866+DL866+DN866+DP866+DR866+EJ866+EB866+DZ866+DX866+DV866+ED866+EF866+EH866+EL866+EN866+EP866+EV866+ET866+ER866+EZ866+FB866+FD866+GL866+FF866+FJ866+FL866+GJ866+FT866+FR866+FP866+FN866+FH866+GH866+GF866+GD866+GB866+FZ866+FX866+FV866+GN866</f>
        <v>53790</v>
      </c>
      <c r="GQ866" s="675">
        <f>+E866+G866+I866+K866+M866+O866+Q866+S866+U866+W866+Y866+AA866+AC866+AE866+AG866+AI866+AK866+AM866+AO866+AQ866+AS866+AU866+AW866+AY866+BA866+BC866+BE866+BG866+BI866+BK866+BM866+BO866+BQ866+BS866+BU866+BW866+BY866+CA866+CC866+CE866+CG866+CI866+CK866+CM866+CO866+CQ866+CS866+CU866+CW866+CY866+DA866+DC866+DE866+DG866+DI866+DU866+EY866+DK866+DM866+DO866+DQ866+DS866+EK866+EC866+EA866+DY866+DW866+EI866+EG866+EE866+EM866+EO866+EQ866+EW866+EU866+ES866+FA866+FC866+FE866+GM866+FG866+FK866+FM866+FO866+FQ866+FS866+FU866+GK866+FI866+GI866+GG866+GE866+GC866+GA866+FY866+FW866+GO866</f>
        <v>-399000</v>
      </c>
      <c r="GR866" s="74">
        <f>C866+GP866+GQ866</f>
        <v>154790</v>
      </c>
      <c r="GS866" s="74">
        <f t="shared" si="17620"/>
        <v>154790</v>
      </c>
      <c r="GT866" s="568">
        <f t="shared" ref="GT866" si="17660">SUM(GU866:HF866)+GQ866+GP866</f>
        <v>154790</v>
      </c>
      <c r="GU866" s="275">
        <v>100000</v>
      </c>
      <c r="GV866" s="275"/>
      <c r="GW866" s="588"/>
      <c r="GX866" s="275">
        <v>150000</v>
      </c>
      <c r="GY866" s="275">
        <v>250000</v>
      </c>
      <c r="GZ866" s="275"/>
      <c r="HA866" s="493">
        <f>150000-150000</f>
        <v>0</v>
      </c>
      <c r="HB866" s="493"/>
      <c r="HC866" s="493"/>
      <c r="HD866" s="493">
        <f>100000-100000</f>
        <v>0</v>
      </c>
      <c r="HE866" s="275">
        <v>0</v>
      </c>
      <c r="HF866" s="275">
        <v>0</v>
      </c>
      <c r="HG866" s="74">
        <f>SUM(HH866:IE866)+GP866+GQ866</f>
        <v>154790</v>
      </c>
      <c r="HH866" s="89">
        <v>0</v>
      </c>
      <c r="HI866" s="817">
        <v>0</v>
      </c>
      <c r="HJ866" s="89">
        <v>0</v>
      </c>
      <c r="HK866" s="817">
        <v>0</v>
      </c>
      <c r="HL866" s="89">
        <v>0</v>
      </c>
      <c r="HM866" s="817">
        <v>0</v>
      </c>
      <c r="HN866" s="89">
        <v>0</v>
      </c>
      <c r="HO866" s="817">
        <v>100000</v>
      </c>
      <c r="HP866" s="89">
        <v>0</v>
      </c>
      <c r="HQ866" s="817">
        <v>0</v>
      </c>
      <c r="HR866" s="89">
        <v>0</v>
      </c>
      <c r="HS866" s="817">
        <v>0</v>
      </c>
      <c r="HT866" s="89">
        <v>0</v>
      </c>
      <c r="HU866" s="817">
        <v>400000</v>
      </c>
      <c r="HV866" s="89">
        <v>0</v>
      </c>
      <c r="HW866" s="817">
        <v>0</v>
      </c>
      <c r="HX866" s="89">
        <v>0</v>
      </c>
      <c r="HY866" s="817">
        <v>-92158.77</v>
      </c>
      <c r="HZ866" s="89">
        <v>0</v>
      </c>
      <c r="IA866" s="817">
        <f>154790-62631.23</f>
        <v>92158.76999999999</v>
      </c>
      <c r="IB866" s="89">
        <v>0</v>
      </c>
      <c r="IC866" s="817">
        <v>0</v>
      </c>
      <c r="ID866" s="89">
        <v>0</v>
      </c>
      <c r="IE866" s="817">
        <v>0</v>
      </c>
      <c r="IF866" s="841">
        <f t="shared" ref="IF866" si="17661">SUM(II866,IL866,IO866,IR866,IU866,IX866,JA866,JD866,JG866,JJ866,JM866,JP866)</f>
        <v>0</v>
      </c>
      <c r="IG866" s="263">
        <f t="shared" ref="IG866" si="17662">SUM(IJ866,IM866,IP866,IS866,IV866,IY866,JB866,JE866,JH866,JK866,JN866,JQ866)</f>
        <v>0</v>
      </c>
      <c r="IH866" s="842">
        <f t="shared" ref="IH866" si="17663">SUM(IK866,IN866,IQ866,IT866,IW866,IZ866,JC866,JF866,JI866,JL866,JO866,JR866)</f>
        <v>0</v>
      </c>
      <c r="II866" s="89">
        <v>0</v>
      </c>
      <c r="IJ866" s="89">
        <f t="shared" ref="IJ866" si="17664">II866</f>
        <v>0</v>
      </c>
      <c r="IK866" s="89">
        <f t="shared" ref="IK866" si="17665">IJ866</f>
        <v>0</v>
      </c>
      <c r="IL866" s="89">
        <v>0</v>
      </c>
      <c r="IM866" s="89">
        <f t="shared" ref="IM866" si="17666">IL866</f>
        <v>0</v>
      </c>
      <c r="IN866" s="89">
        <f t="shared" ref="IN866" si="17667">IM866</f>
        <v>0</v>
      </c>
      <c r="IO866" s="89">
        <v>0</v>
      </c>
      <c r="IP866" s="89">
        <f t="shared" ref="IP866" si="17668">IO866</f>
        <v>0</v>
      </c>
      <c r="IQ866" s="89">
        <f t="shared" ref="IQ866" si="17669">IP866</f>
        <v>0</v>
      </c>
      <c r="IR866" s="89">
        <v>0</v>
      </c>
      <c r="IS866" s="89">
        <f t="shared" ref="IS866" si="17670">IR866</f>
        <v>0</v>
      </c>
      <c r="IT866" s="89">
        <f t="shared" ref="IT866" si="17671">IS866</f>
        <v>0</v>
      </c>
      <c r="IU866" s="89">
        <v>0</v>
      </c>
      <c r="IV866" s="89">
        <f t="shared" ref="IV866" si="17672">IU866</f>
        <v>0</v>
      </c>
      <c r="IW866" s="89">
        <f t="shared" ref="IW866" si="17673">IV866</f>
        <v>0</v>
      </c>
      <c r="IX866" s="89">
        <v>0</v>
      </c>
      <c r="IY866" s="89">
        <f t="shared" ref="IY866" si="17674">IX866</f>
        <v>0</v>
      </c>
      <c r="IZ866" s="89">
        <f t="shared" ref="IZ866" si="17675">IY866</f>
        <v>0</v>
      </c>
      <c r="JA866" s="89">
        <v>0</v>
      </c>
      <c r="JB866" s="89">
        <f t="shared" ref="JB866" si="17676">JA866</f>
        <v>0</v>
      </c>
      <c r="JC866" s="89">
        <f t="shared" ref="JC866" si="17677">JB866</f>
        <v>0</v>
      </c>
      <c r="JD866" s="89">
        <v>0</v>
      </c>
      <c r="JE866" s="89">
        <f t="shared" ref="JE866" si="17678">JD866</f>
        <v>0</v>
      </c>
      <c r="JF866" s="89">
        <f t="shared" ref="JF866" si="17679">JE866</f>
        <v>0</v>
      </c>
      <c r="JG866" s="89">
        <v>0</v>
      </c>
      <c r="JH866" s="89">
        <f t="shared" ref="JH866" si="17680">JG866</f>
        <v>0</v>
      </c>
      <c r="JI866" s="89">
        <f t="shared" ref="JI866" si="17681">JH866</f>
        <v>0</v>
      </c>
      <c r="JJ866" s="89">
        <v>0</v>
      </c>
      <c r="JK866" s="89">
        <f t="shared" ref="JK866" si="17682">JJ866</f>
        <v>0</v>
      </c>
      <c r="JL866" s="89">
        <f t="shared" ref="JL866" si="17683">JK866</f>
        <v>0</v>
      </c>
      <c r="JM866" s="89">
        <v>0</v>
      </c>
      <c r="JN866" s="89">
        <f t="shared" ref="JN866" si="17684">JM866</f>
        <v>0</v>
      </c>
      <c r="JO866" s="89">
        <f t="shared" ref="JO866" si="17685">JN866</f>
        <v>0</v>
      </c>
      <c r="JP866" s="89">
        <v>0</v>
      </c>
      <c r="JQ866" s="89">
        <f t="shared" ref="JQ866" si="17686">JP866</f>
        <v>0</v>
      </c>
      <c r="JR866" s="89">
        <f t="shared" ref="JR866" si="17687">JQ866</f>
        <v>0</v>
      </c>
      <c r="JS866" s="74">
        <f>HG866-IF866</f>
        <v>154790</v>
      </c>
      <c r="JT866" s="382">
        <f>GS866-IF866</f>
        <v>154790</v>
      </c>
      <c r="JU866" s="665"/>
      <c r="JV866" s="524"/>
      <c r="JW866" s="525"/>
      <c r="JX866" s="549">
        <f>SUM(HH866,HJ866,HL866,HN866,HP866,HR866,HT866,HV866,HX866,HZ866,IB866,ID866)</f>
        <v>0</v>
      </c>
      <c r="JY866" s="549">
        <f t="shared" ref="JY866" si="17688">SUM(HI866,HK866,HM866,HO866,HQ866,HS866,HU866,HW866,HY866,IA866,IC866,IE866)</f>
        <v>500000</v>
      </c>
      <c r="JZ866" s="581">
        <f t="shared" ref="JZ866" si="17689">GP866</f>
        <v>53790</v>
      </c>
      <c r="KA866" s="581">
        <f t="shared" ref="KA866" si="17690">GQ866</f>
        <v>-399000</v>
      </c>
      <c r="KB866" s="566">
        <f>SUM(JX866:KA866)</f>
        <v>154790</v>
      </c>
      <c r="KC866" s="709">
        <f t="shared" si="17616"/>
        <v>0</v>
      </c>
      <c r="KD866" s="491"/>
      <c r="KE866" s="491"/>
      <c r="KF866" s="491"/>
      <c r="KG866" s="491"/>
      <c r="KH866" s="36"/>
      <c r="KI866" s="36"/>
      <c r="KJ866" s="36"/>
      <c r="KK866" s="36"/>
    </row>
    <row r="867" spans="1:297" s="10" customFormat="1">
      <c r="A867" s="928"/>
      <c r="B867" s="929"/>
      <c r="C867" s="930"/>
      <c r="D867" s="801"/>
      <c r="E867" s="931"/>
      <c r="F867" s="801"/>
      <c r="G867" s="931"/>
      <c r="H867" s="801"/>
      <c r="I867" s="931"/>
      <c r="J867" s="801"/>
      <c r="K867" s="931"/>
      <c r="L867" s="801"/>
      <c r="M867" s="931"/>
      <c r="N867" s="801"/>
      <c r="O867" s="931"/>
      <c r="P867" s="801"/>
      <c r="Q867" s="931"/>
      <c r="R867" s="801"/>
      <c r="S867" s="931"/>
      <c r="T867" s="801"/>
      <c r="U867" s="931"/>
      <c r="V867" s="801"/>
      <c r="W867" s="931"/>
      <c r="X867" s="801"/>
      <c r="Y867" s="931"/>
      <c r="Z867" s="801"/>
      <c r="AA867" s="931"/>
      <c r="AB867" s="801"/>
      <c r="AC867" s="931"/>
      <c r="AD867" s="801"/>
      <c r="AE867" s="931"/>
      <c r="AF867" s="801"/>
      <c r="AG867" s="931"/>
      <c r="AH867" s="801"/>
      <c r="AI867" s="931"/>
      <c r="AJ867" s="801"/>
      <c r="AK867" s="931"/>
      <c r="AL867" s="801"/>
      <c r="AM867" s="931"/>
      <c r="AN867" s="801"/>
      <c r="AO867" s="931"/>
      <c r="AP867" s="801"/>
      <c r="AQ867" s="931"/>
      <c r="AR867" s="801"/>
      <c r="AS867" s="931"/>
      <c r="AT867" s="801"/>
      <c r="AU867" s="931"/>
      <c r="AV867" s="801"/>
      <c r="AW867" s="931"/>
      <c r="AX867" s="801"/>
      <c r="AY867" s="931"/>
      <c r="AZ867" s="801"/>
      <c r="BA867" s="931"/>
      <c r="BB867" s="801"/>
      <c r="BC867" s="931"/>
      <c r="BD867" s="801"/>
      <c r="BE867" s="931"/>
      <c r="BF867" s="801"/>
      <c r="BG867" s="931"/>
      <c r="BH867" s="801"/>
      <c r="BI867" s="931"/>
      <c r="BJ867" s="801"/>
      <c r="BK867" s="931"/>
      <c r="BL867" s="801"/>
      <c r="BM867" s="931"/>
      <c r="BN867" s="801"/>
      <c r="BO867" s="931"/>
      <c r="BP867" s="801"/>
      <c r="BQ867" s="931"/>
      <c r="BR867" s="801"/>
      <c r="BS867" s="931"/>
      <c r="BT867" s="801"/>
      <c r="BU867" s="931"/>
      <c r="BV867" s="801"/>
      <c r="BW867" s="931"/>
      <c r="BX867" s="801"/>
      <c r="BY867" s="931"/>
      <c r="BZ867" s="801"/>
      <c r="CA867" s="931"/>
      <c r="CB867" s="801"/>
      <c r="CC867" s="931"/>
      <c r="CD867" s="801"/>
      <c r="CE867" s="931"/>
      <c r="CF867" s="801"/>
      <c r="CG867" s="931"/>
      <c r="CH867" s="801"/>
      <c r="CI867" s="931"/>
      <c r="CJ867" s="801"/>
      <c r="CK867" s="931"/>
      <c r="CL867" s="801"/>
      <c r="CM867" s="931"/>
      <c r="CN867" s="801"/>
      <c r="CO867" s="931"/>
      <c r="CP867" s="801"/>
      <c r="CQ867" s="931"/>
      <c r="CR867" s="801"/>
      <c r="CS867" s="931"/>
      <c r="CT867" s="801"/>
      <c r="CU867" s="931"/>
      <c r="CV867" s="801"/>
      <c r="CW867" s="931"/>
      <c r="CX867" s="801"/>
      <c r="CY867" s="931"/>
      <c r="CZ867" s="801"/>
      <c r="DA867" s="931"/>
      <c r="DB867" s="801"/>
      <c r="DC867" s="931"/>
      <c r="DD867" s="801"/>
      <c r="DE867" s="931"/>
      <c r="DF867" s="801"/>
      <c r="DG867" s="931"/>
      <c r="DH867" s="801"/>
      <c r="DI867" s="931"/>
      <c r="DJ867" s="801"/>
      <c r="DK867" s="931"/>
      <c r="DL867" s="801"/>
      <c r="DM867" s="931"/>
      <c r="DN867" s="801"/>
      <c r="DO867" s="931"/>
      <c r="DP867" s="801"/>
      <c r="DQ867" s="931"/>
      <c r="DR867" s="801"/>
      <c r="DS867" s="931"/>
      <c r="DT867" s="801"/>
      <c r="DU867" s="931"/>
      <c r="DV867" s="801"/>
      <c r="DW867" s="931"/>
      <c r="DX867" s="801"/>
      <c r="DY867" s="931"/>
      <c r="DZ867" s="801"/>
      <c r="EA867" s="931"/>
      <c r="EB867" s="801"/>
      <c r="EC867" s="931"/>
      <c r="ED867" s="801"/>
      <c r="EE867" s="931"/>
      <c r="EF867" s="801"/>
      <c r="EG867" s="931"/>
      <c r="EH867" s="801"/>
      <c r="EI867" s="931"/>
      <c r="EJ867" s="801"/>
      <c r="EK867" s="931"/>
      <c r="EL867" s="801"/>
      <c r="EM867" s="931"/>
      <c r="EN867" s="801"/>
      <c r="EO867" s="931"/>
      <c r="EP867" s="801"/>
      <c r="EQ867" s="931"/>
      <c r="ER867" s="801"/>
      <c r="ES867" s="931"/>
      <c r="ET867" s="801"/>
      <c r="EU867" s="931"/>
      <c r="EV867" s="801"/>
      <c r="EW867" s="931"/>
      <c r="EX867" s="801"/>
      <c r="EY867" s="931"/>
      <c r="EZ867" s="801"/>
      <c r="FA867" s="931"/>
      <c r="FB867" s="801"/>
      <c r="FC867" s="931"/>
      <c r="FD867" s="801"/>
      <c r="FE867" s="931"/>
      <c r="FF867" s="801"/>
      <c r="FG867" s="931"/>
      <c r="FH867" s="801"/>
      <c r="FI867" s="931"/>
      <c r="FJ867" s="801"/>
      <c r="FK867" s="931"/>
      <c r="FL867" s="801"/>
      <c r="FM867" s="931"/>
      <c r="FN867" s="801"/>
      <c r="FO867" s="931"/>
      <c r="FP867" s="801"/>
      <c r="FQ867" s="931"/>
      <c r="FR867" s="801"/>
      <c r="FS867" s="931"/>
      <c r="FT867" s="801"/>
      <c r="FU867" s="931"/>
      <c r="FV867" s="801"/>
      <c r="FW867" s="931"/>
      <c r="FX867" s="801"/>
      <c r="FY867" s="931"/>
      <c r="FZ867" s="801"/>
      <c r="GA867" s="931"/>
      <c r="GB867" s="801"/>
      <c r="GC867" s="931"/>
      <c r="GD867" s="801"/>
      <c r="GE867" s="931"/>
      <c r="GF867" s="801"/>
      <c r="GG867" s="931"/>
      <c r="GH867" s="801"/>
      <c r="GI867" s="931"/>
      <c r="GJ867" s="801"/>
      <c r="GK867" s="931"/>
      <c r="GL867" s="801"/>
      <c r="GM867" s="931"/>
      <c r="GN867" s="801"/>
      <c r="GO867" s="931"/>
      <c r="GP867" s="801"/>
      <c r="GQ867" s="931"/>
      <c r="GR867" s="930"/>
      <c r="GS867" s="930"/>
      <c r="GT867" s="932"/>
      <c r="GU867" s="933"/>
      <c r="GV867" s="933"/>
      <c r="GW867" s="934"/>
      <c r="GX867" s="933"/>
      <c r="GY867" s="933"/>
      <c r="GZ867" s="933"/>
      <c r="HA867" s="935"/>
      <c r="HB867" s="935"/>
      <c r="HC867" s="935"/>
      <c r="HD867" s="935"/>
      <c r="HE867" s="933"/>
      <c r="HF867" s="933"/>
      <c r="HG867" s="930"/>
      <c r="HH867" s="803"/>
      <c r="HI867" s="830"/>
      <c r="HJ867" s="803"/>
      <c r="HK867" s="830"/>
      <c r="HL867" s="803"/>
      <c r="HM867" s="830"/>
      <c r="HN867" s="803"/>
      <c r="HO867" s="830"/>
      <c r="HP867" s="803"/>
      <c r="HQ867" s="830"/>
      <c r="HR867" s="803"/>
      <c r="HS867" s="830"/>
      <c r="HT867" s="803"/>
      <c r="HU867" s="830"/>
      <c r="HV867" s="803"/>
      <c r="HW867" s="830"/>
      <c r="HX867" s="803"/>
      <c r="HY867" s="830"/>
      <c r="HZ867" s="803"/>
      <c r="IA867" s="830"/>
      <c r="IB867" s="803"/>
      <c r="IC867" s="830"/>
      <c r="ID867" s="803"/>
      <c r="IE867" s="830"/>
      <c r="IF867" s="843"/>
      <c r="IG867" s="805"/>
      <c r="IH867" s="844"/>
      <c r="II867" s="803"/>
      <c r="IJ867" s="803"/>
      <c r="IK867" s="803"/>
      <c r="IL867" s="803"/>
      <c r="IM867" s="803"/>
      <c r="IN867" s="803"/>
      <c r="IO867" s="803"/>
      <c r="IP867" s="803"/>
      <c r="IQ867" s="803"/>
      <c r="IR867" s="803"/>
      <c r="IS867" s="803"/>
      <c r="IT867" s="803"/>
      <c r="IU867" s="803"/>
      <c r="IV867" s="803"/>
      <c r="IW867" s="803"/>
      <c r="IX867" s="803"/>
      <c r="IY867" s="803"/>
      <c r="IZ867" s="803"/>
      <c r="JA867" s="803"/>
      <c r="JB867" s="803"/>
      <c r="JC867" s="803"/>
      <c r="JD867" s="803"/>
      <c r="JE867" s="803"/>
      <c r="JF867" s="803"/>
      <c r="JG867" s="803"/>
      <c r="JH867" s="803"/>
      <c r="JI867" s="803"/>
      <c r="JJ867" s="803"/>
      <c r="JK867" s="803"/>
      <c r="JL867" s="803"/>
      <c r="JM867" s="803"/>
      <c r="JN867" s="803"/>
      <c r="JO867" s="803"/>
      <c r="JP867" s="803"/>
      <c r="JQ867" s="803"/>
      <c r="JR867" s="803"/>
      <c r="JS867" s="930"/>
      <c r="JT867" s="936"/>
      <c r="JU867" s="665"/>
      <c r="JV867" s="524"/>
      <c r="JW867" s="525"/>
      <c r="JX867" s="801"/>
      <c r="JY867" s="801"/>
      <c r="JZ867" s="808"/>
      <c r="KA867" s="808"/>
      <c r="KB867" s="809"/>
      <c r="KC867" s="709"/>
      <c r="KD867" s="491"/>
      <c r="KE867" s="491"/>
      <c r="KF867" s="491"/>
      <c r="KG867" s="491"/>
      <c r="KH867" s="36"/>
      <c r="KI867" s="36"/>
      <c r="KJ867" s="36"/>
      <c r="KK867" s="36"/>
    </row>
    <row r="868" spans="1:297" s="10" customFormat="1">
      <c r="A868" s="613" t="s">
        <v>1329</v>
      </c>
      <c r="B868" s="929"/>
      <c r="C868" s="930">
        <f>C869</f>
        <v>0</v>
      </c>
      <c r="D868" s="801"/>
      <c r="E868" s="931"/>
      <c r="F868" s="801"/>
      <c r="G868" s="931"/>
      <c r="H868" s="801"/>
      <c r="I868" s="931"/>
      <c r="J868" s="801"/>
      <c r="K868" s="931"/>
      <c r="L868" s="801"/>
      <c r="M868" s="931"/>
      <c r="N868" s="801"/>
      <c r="O868" s="931"/>
      <c r="P868" s="801"/>
      <c r="Q868" s="931"/>
      <c r="R868" s="801"/>
      <c r="S868" s="931"/>
      <c r="T868" s="801"/>
      <c r="U868" s="931"/>
      <c r="V868" s="801"/>
      <c r="W868" s="931"/>
      <c r="X868" s="801"/>
      <c r="Y868" s="931"/>
      <c r="Z868" s="801"/>
      <c r="AA868" s="931"/>
      <c r="AB868" s="801"/>
      <c r="AC868" s="931"/>
      <c r="AD868" s="801"/>
      <c r="AE868" s="931"/>
      <c r="AF868" s="801"/>
      <c r="AG868" s="931"/>
      <c r="AH868" s="801"/>
      <c r="AI868" s="931"/>
      <c r="AJ868" s="801"/>
      <c r="AK868" s="931"/>
      <c r="AL868" s="801"/>
      <c r="AM868" s="931"/>
      <c r="AN868" s="801"/>
      <c r="AO868" s="931"/>
      <c r="AP868" s="801"/>
      <c r="AQ868" s="931"/>
      <c r="AR868" s="801"/>
      <c r="AS868" s="931"/>
      <c r="AT868" s="801"/>
      <c r="AU868" s="931"/>
      <c r="AV868" s="801"/>
      <c r="AW868" s="931"/>
      <c r="AX868" s="801">
        <f t="shared" ref="AX868:CC868" si="17691">AX869</f>
        <v>282000</v>
      </c>
      <c r="AY868" s="931">
        <f t="shared" si="17691"/>
        <v>0</v>
      </c>
      <c r="AZ868" s="801">
        <f t="shared" si="17691"/>
        <v>0</v>
      </c>
      <c r="BA868" s="931">
        <f t="shared" si="17691"/>
        <v>0</v>
      </c>
      <c r="BB868" s="801">
        <f t="shared" si="17691"/>
        <v>290000</v>
      </c>
      <c r="BC868" s="931">
        <f t="shared" si="17691"/>
        <v>0</v>
      </c>
      <c r="BD868" s="801">
        <f t="shared" si="17691"/>
        <v>0</v>
      </c>
      <c r="BE868" s="931">
        <f t="shared" si="17691"/>
        <v>0</v>
      </c>
      <c r="BF868" s="801">
        <f t="shared" si="17691"/>
        <v>0</v>
      </c>
      <c r="BG868" s="931">
        <f t="shared" si="17691"/>
        <v>0</v>
      </c>
      <c r="BH868" s="801">
        <f t="shared" si="17691"/>
        <v>0</v>
      </c>
      <c r="BI868" s="931">
        <f t="shared" si="17691"/>
        <v>0</v>
      </c>
      <c r="BJ868" s="801">
        <f t="shared" si="17691"/>
        <v>0</v>
      </c>
      <c r="BK868" s="931">
        <f t="shared" si="17691"/>
        <v>0</v>
      </c>
      <c r="BL868" s="801">
        <f t="shared" si="17691"/>
        <v>0</v>
      </c>
      <c r="BM868" s="931">
        <f t="shared" si="17691"/>
        <v>0</v>
      </c>
      <c r="BN868" s="801">
        <f t="shared" si="17691"/>
        <v>0</v>
      </c>
      <c r="BO868" s="931">
        <f t="shared" si="17691"/>
        <v>0</v>
      </c>
      <c r="BP868" s="801">
        <f t="shared" si="17691"/>
        <v>0</v>
      </c>
      <c r="BQ868" s="931">
        <f t="shared" si="17691"/>
        <v>0</v>
      </c>
      <c r="BR868" s="801">
        <f t="shared" si="17691"/>
        <v>0</v>
      </c>
      <c r="BS868" s="931">
        <f t="shared" si="17691"/>
        <v>0</v>
      </c>
      <c r="BT868" s="801">
        <f t="shared" si="17691"/>
        <v>231000</v>
      </c>
      <c r="BU868" s="931">
        <f t="shared" si="17691"/>
        <v>0</v>
      </c>
      <c r="BV868" s="801">
        <f t="shared" si="17691"/>
        <v>0</v>
      </c>
      <c r="BW868" s="931">
        <f t="shared" si="17691"/>
        <v>0</v>
      </c>
      <c r="BX868" s="801">
        <f t="shared" si="17691"/>
        <v>0</v>
      </c>
      <c r="BY868" s="931">
        <f t="shared" si="17691"/>
        <v>0</v>
      </c>
      <c r="BZ868" s="801">
        <f t="shared" si="17691"/>
        <v>0</v>
      </c>
      <c r="CA868" s="931">
        <f t="shared" si="17691"/>
        <v>0</v>
      </c>
      <c r="CB868" s="801">
        <f t="shared" si="17691"/>
        <v>0</v>
      </c>
      <c r="CC868" s="931">
        <f t="shared" si="17691"/>
        <v>0</v>
      </c>
      <c r="CD868" s="801">
        <f t="shared" ref="CD868:DI868" si="17692">CD869</f>
        <v>0</v>
      </c>
      <c r="CE868" s="931">
        <f t="shared" si="17692"/>
        <v>0</v>
      </c>
      <c r="CF868" s="801">
        <f t="shared" si="17692"/>
        <v>0</v>
      </c>
      <c r="CG868" s="931">
        <f t="shared" si="17692"/>
        <v>0</v>
      </c>
      <c r="CH868" s="801">
        <f t="shared" si="17692"/>
        <v>0</v>
      </c>
      <c r="CI868" s="931">
        <f t="shared" si="17692"/>
        <v>0</v>
      </c>
      <c r="CJ868" s="801">
        <f t="shared" si="17692"/>
        <v>0</v>
      </c>
      <c r="CK868" s="931">
        <f t="shared" si="17692"/>
        <v>0</v>
      </c>
      <c r="CL868" s="801">
        <f t="shared" si="17692"/>
        <v>0</v>
      </c>
      <c r="CM868" s="931">
        <f t="shared" si="17692"/>
        <v>0</v>
      </c>
      <c r="CN868" s="801">
        <f t="shared" si="17692"/>
        <v>0</v>
      </c>
      <c r="CO868" s="931">
        <f t="shared" si="17692"/>
        <v>0</v>
      </c>
      <c r="CP868" s="801">
        <f t="shared" si="17692"/>
        <v>0</v>
      </c>
      <c r="CQ868" s="931">
        <f t="shared" si="17692"/>
        <v>0</v>
      </c>
      <c r="CR868" s="801">
        <f t="shared" si="17692"/>
        <v>0</v>
      </c>
      <c r="CS868" s="931">
        <f t="shared" si="17692"/>
        <v>0</v>
      </c>
      <c r="CT868" s="801">
        <f t="shared" si="17692"/>
        <v>0</v>
      </c>
      <c r="CU868" s="931">
        <f t="shared" si="17692"/>
        <v>0</v>
      </c>
      <c r="CV868" s="801">
        <f t="shared" si="17692"/>
        <v>0</v>
      </c>
      <c r="CW868" s="931">
        <f t="shared" si="17692"/>
        <v>0</v>
      </c>
      <c r="CX868" s="801">
        <f t="shared" si="17692"/>
        <v>0</v>
      </c>
      <c r="CY868" s="931">
        <f t="shared" si="17692"/>
        <v>0</v>
      </c>
      <c r="CZ868" s="801">
        <f t="shared" si="17692"/>
        <v>0</v>
      </c>
      <c r="DA868" s="931">
        <f t="shared" si="17692"/>
        <v>0</v>
      </c>
      <c r="DB868" s="801">
        <f t="shared" si="17692"/>
        <v>0</v>
      </c>
      <c r="DC868" s="931">
        <f t="shared" si="17692"/>
        <v>0</v>
      </c>
      <c r="DD868" s="801">
        <f t="shared" si="17692"/>
        <v>0</v>
      </c>
      <c r="DE868" s="931">
        <f t="shared" si="17692"/>
        <v>0</v>
      </c>
      <c r="DF868" s="801">
        <f t="shared" si="17692"/>
        <v>0</v>
      </c>
      <c r="DG868" s="931">
        <f t="shared" si="17692"/>
        <v>0</v>
      </c>
      <c r="DH868" s="801">
        <f t="shared" si="17692"/>
        <v>0</v>
      </c>
      <c r="DI868" s="931">
        <f t="shared" si="17692"/>
        <v>0</v>
      </c>
      <c r="DJ868" s="801">
        <f t="shared" ref="DJ868:EO868" si="17693">DJ869</f>
        <v>0</v>
      </c>
      <c r="DK868" s="931">
        <f t="shared" si="17693"/>
        <v>0</v>
      </c>
      <c r="DL868" s="801">
        <f t="shared" si="17693"/>
        <v>0</v>
      </c>
      <c r="DM868" s="931">
        <f t="shared" si="17693"/>
        <v>0</v>
      </c>
      <c r="DN868" s="801">
        <f t="shared" si="17693"/>
        <v>0</v>
      </c>
      <c r="DO868" s="931">
        <f t="shared" si="17693"/>
        <v>0</v>
      </c>
      <c r="DP868" s="801">
        <f t="shared" si="17693"/>
        <v>0</v>
      </c>
      <c r="DQ868" s="931">
        <f t="shared" si="17693"/>
        <v>0</v>
      </c>
      <c r="DR868" s="801">
        <f t="shared" si="17693"/>
        <v>0</v>
      </c>
      <c r="DS868" s="931">
        <f t="shared" si="17693"/>
        <v>0</v>
      </c>
      <c r="DT868" s="801">
        <f t="shared" si="17693"/>
        <v>0</v>
      </c>
      <c r="DU868" s="931">
        <f t="shared" si="17693"/>
        <v>0</v>
      </c>
      <c r="DV868" s="801">
        <f t="shared" si="17693"/>
        <v>0</v>
      </c>
      <c r="DW868" s="931">
        <f t="shared" si="17693"/>
        <v>0</v>
      </c>
      <c r="DX868" s="801">
        <f t="shared" si="17693"/>
        <v>0</v>
      </c>
      <c r="DY868" s="931">
        <f t="shared" si="17693"/>
        <v>0</v>
      </c>
      <c r="DZ868" s="801">
        <f t="shared" si="17693"/>
        <v>0</v>
      </c>
      <c r="EA868" s="931">
        <f t="shared" si="17693"/>
        <v>0</v>
      </c>
      <c r="EB868" s="801">
        <f t="shared" si="17693"/>
        <v>0</v>
      </c>
      <c r="EC868" s="931">
        <f t="shared" si="17693"/>
        <v>0</v>
      </c>
      <c r="ED868" s="801">
        <f t="shared" si="17693"/>
        <v>0</v>
      </c>
      <c r="EE868" s="931">
        <f t="shared" si="17693"/>
        <v>0</v>
      </c>
      <c r="EF868" s="801">
        <f t="shared" si="17693"/>
        <v>0</v>
      </c>
      <c r="EG868" s="931">
        <f t="shared" si="17693"/>
        <v>0</v>
      </c>
      <c r="EH868" s="801">
        <f t="shared" si="17693"/>
        <v>0</v>
      </c>
      <c r="EI868" s="931">
        <f t="shared" si="17693"/>
        <v>0</v>
      </c>
      <c r="EJ868" s="801">
        <f t="shared" si="17693"/>
        <v>0</v>
      </c>
      <c r="EK868" s="931">
        <f t="shared" si="17693"/>
        <v>0</v>
      </c>
      <c r="EL868" s="801">
        <f t="shared" si="17693"/>
        <v>0</v>
      </c>
      <c r="EM868" s="931">
        <f t="shared" si="17693"/>
        <v>0</v>
      </c>
      <c r="EN868" s="801">
        <f t="shared" si="17693"/>
        <v>0</v>
      </c>
      <c r="EO868" s="931">
        <f t="shared" si="17693"/>
        <v>0</v>
      </c>
      <c r="EP868" s="801">
        <f t="shared" ref="EP868:FU868" si="17694">EP869</f>
        <v>0</v>
      </c>
      <c r="EQ868" s="931">
        <f t="shared" si="17694"/>
        <v>0</v>
      </c>
      <c r="ER868" s="801">
        <f t="shared" si="17694"/>
        <v>0</v>
      </c>
      <c r="ES868" s="931">
        <f t="shared" si="17694"/>
        <v>0</v>
      </c>
      <c r="ET868" s="801">
        <f t="shared" si="17694"/>
        <v>0</v>
      </c>
      <c r="EU868" s="931">
        <f t="shared" si="17694"/>
        <v>0</v>
      </c>
      <c r="EV868" s="801">
        <f t="shared" si="17694"/>
        <v>0</v>
      </c>
      <c r="EW868" s="931">
        <f t="shared" si="17694"/>
        <v>0</v>
      </c>
      <c r="EX868" s="801">
        <f t="shared" si="17694"/>
        <v>0</v>
      </c>
      <c r="EY868" s="931">
        <f t="shared" si="17694"/>
        <v>0</v>
      </c>
      <c r="EZ868" s="801">
        <f t="shared" si="17694"/>
        <v>0</v>
      </c>
      <c r="FA868" s="931">
        <f t="shared" si="17694"/>
        <v>0</v>
      </c>
      <c r="FB868" s="801">
        <f t="shared" si="17694"/>
        <v>0</v>
      </c>
      <c r="FC868" s="931">
        <f t="shared" si="17694"/>
        <v>0</v>
      </c>
      <c r="FD868" s="801">
        <f t="shared" si="17694"/>
        <v>0</v>
      </c>
      <c r="FE868" s="931">
        <f t="shared" si="17694"/>
        <v>0</v>
      </c>
      <c r="FF868" s="801">
        <f t="shared" si="17694"/>
        <v>0</v>
      </c>
      <c r="FG868" s="931">
        <f t="shared" si="17694"/>
        <v>0</v>
      </c>
      <c r="FH868" s="801">
        <f t="shared" si="17694"/>
        <v>0</v>
      </c>
      <c r="FI868" s="931">
        <f t="shared" si="17694"/>
        <v>0</v>
      </c>
      <c r="FJ868" s="801">
        <f t="shared" si="17694"/>
        <v>0</v>
      </c>
      <c r="FK868" s="931">
        <f t="shared" si="17694"/>
        <v>0</v>
      </c>
      <c r="FL868" s="801">
        <f t="shared" si="17694"/>
        <v>0</v>
      </c>
      <c r="FM868" s="931">
        <f t="shared" si="17694"/>
        <v>0</v>
      </c>
      <c r="FN868" s="801">
        <f t="shared" si="17694"/>
        <v>0</v>
      </c>
      <c r="FO868" s="931">
        <f t="shared" si="17694"/>
        <v>-8036</v>
      </c>
      <c r="FP868" s="801">
        <f t="shared" si="17694"/>
        <v>0</v>
      </c>
      <c r="FQ868" s="931">
        <f t="shared" si="17694"/>
        <v>0</v>
      </c>
      <c r="FR868" s="801">
        <f t="shared" si="17694"/>
        <v>0</v>
      </c>
      <c r="FS868" s="931">
        <f t="shared" si="17694"/>
        <v>0</v>
      </c>
      <c r="FT868" s="801">
        <f t="shared" si="17694"/>
        <v>0</v>
      </c>
      <c r="FU868" s="931">
        <f t="shared" si="17694"/>
        <v>0</v>
      </c>
      <c r="FV868" s="801">
        <f t="shared" ref="FV868:GR868" si="17695">FV869</f>
        <v>0</v>
      </c>
      <c r="FW868" s="931">
        <f t="shared" si="17695"/>
        <v>0</v>
      </c>
      <c r="FX868" s="801">
        <f t="shared" si="17695"/>
        <v>0</v>
      </c>
      <c r="FY868" s="931">
        <f t="shared" si="17695"/>
        <v>0</v>
      </c>
      <c r="FZ868" s="801">
        <f t="shared" si="17695"/>
        <v>0</v>
      </c>
      <c r="GA868" s="931">
        <f t="shared" si="17695"/>
        <v>0</v>
      </c>
      <c r="GB868" s="801">
        <f t="shared" si="17695"/>
        <v>0</v>
      </c>
      <c r="GC868" s="931">
        <f t="shared" si="17695"/>
        <v>0</v>
      </c>
      <c r="GD868" s="801">
        <f t="shared" si="17695"/>
        <v>0</v>
      </c>
      <c r="GE868" s="931">
        <f t="shared" si="17695"/>
        <v>0</v>
      </c>
      <c r="GF868" s="801">
        <f t="shared" si="17695"/>
        <v>0</v>
      </c>
      <c r="GG868" s="931">
        <f t="shared" si="17695"/>
        <v>0</v>
      </c>
      <c r="GH868" s="801">
        <f t="shared" si="17695"/>
        <v>0</v>
      </c>
      <c r="GI868" s="931">
        <f t="shared" si="17695"/>
        <v>0</v>
      </c>
      <c r="GJ868" s="801">
        <f t="shared" si="17695"/>
        <v>0</v>
      </c>
      <c r="GK868" s="931">
        <f t="shared" si="17695"/>
        <v>0</v>
      </c>
      <c r="GL868" s="801">
        <f t="shared" si="17695"/>
        <v>0</v>
      </c>
      <c r="GM868" s="931">
        <f t="shared" si="17695"/>
        <v>0</v>
      </c>
      <c r="GN868" s="801">
        <f t="shared" si="17695"/>
        <v>0</v>
      </c>
      <c r="GO868" s="931">
        <f t="shared" si="17695"/>
        <v>0</v>
      </c>
      <c r="GP868" s="801">
        <f t="shared" si="17695"/>
        <v>803000</v>
      </c>
      <c r="GQ868" s="931">
        <f t="shared" si="17695"/>
        <v>-8036</v>
      </c>
      <c r="GR868" s="513">
        <f t="shared" si="17695"/>
        <v>794964</v>
      </c>
      <c r="GS868" s="513">
        <f t="shared" ref="GS868:JD868" si="17696">GS869</f>
        <v>794964</v>
      </c>
      <c r="GT868" s="568">
        <f t="shared" si="17696"/>
        <v>794964</v>
      </c>
      <c r="GU868" s="513">
        <f t="shared" si="17696"/>
        <v>0</v>
      </c>
      <c r="GV868" s="513">
        <f t="shared" si="17696"/>
        <v>0</v>
      </c>
      <c r="GW868" s="513">
        <f t="shared" si="17696"/>
        <v>0</v>
      </c>
      <c r="GX868" s="513">
        <f t="shared" si="17696"/>
        <v>0</v>
      </c>
      <c r="GY868" s="513">
        <f t="shared" si="17696"/>
        <v>0</v>
      </c>
      <c r="GZ868" s="513">
        <f t="shared" si="17696"/>
        <v>0</v>
      </c>
      <c r="HA868" s="513">
        <f t="shared" si="17696"/>
        <v>0</v>
      </c>
      <c r="HB868" s="513">
        <f t="shared" si="17696"/>
        <v>0</v>
      </c>
      <c r="HC868" s="513">
        <f t="shared" si="17696"/>
        <v>0</v>
      </c>
      <c r="HD868" s="513">
        <f t="shared" si="17696"/>
        <v>0</v>
      </c>
      <c r="HE868" s="513">
        <f t="shared" si="17696"/>
        <v>0</v>
      </c>
      <c r="HF868" s="513">
        <f t="shared" si="17696"/>
        <v>0</v>
      </c>
      <c r="HG868" s="513">
        <f t="shared" si="17696"/>
        <v>794964</v>
      </c>
      <c r="HH868" s="513">
        <f t="shared" si="17696"/>
        <v>0</v>
      </c>
      <c r="HI868" s="827">
        <f t="shared" si="17696"/>
        <v>0</v>
      </c>
      <c r="HJ868" s="513">
        <f t="shared" si="17696"/>
        <v>0</v>
      </c>
      <c r="HK868" s="827">
        <f t="shared" si="17696"/>
        <v>0</v>
      </c>
      <c r="HL868" s="513">
        <f t="shared" si="17696"/>
        <v>0</v>
      </c>
      <c r="HM868" s="827">
        <f t="shared" si="17696"/>
        <v>0</v>
      </c>
      <c r="HN868" s="513">
        <f t="shared" si="17696"/>
        <v>0</v>
      </c>
      <c r="HO868" s="827">
        <f t="shared" si="17696"/>
        <v>0</v>
      </c>
      <c r="HP868" s="513">
        <f t="shared" si="17696"/>
        <v>0</v>
      </c>
      <c r="HQ868" s="827">
        <f t="shared" si="17696"/>
        <v>0</v>
      </c>
      <c r="HR868" s="513">
        <f t="shared" si="17696"/>
        <v>0</v>
      </c>
      <c r="HS868" s="827">
        <f t="shared" si="17696"/>
        <v>-303884</v>
      </c>
      <c r="HT868" s="513">
        <f t="shared" si="17696"/>
        <v>0</v>
      </c>
      <c r="HU868" s="827">
        <f t="shared" si="17696"/>
        <v>303884</v>
      </c>
      <c r="HV868" s="513">
        <f t="shared" si="17696"/>
        <v>0</v>
      </c>
      <c r="HW868" s="827">
        <f t="shared" si="17696"/>
        <v>0</v>
      </c>
      <c r="HX868" s="513">
        <f t="shared" si="17696"/>
        <v>0</v>
      </c>
      <c r="HY868" s="827">
        <f t="shared" si="17696"/>
        <v>0</v>
      </c>
      <c r="HZ868" s="513">
        <f t="shared" si="17696"/>
        <v>0</v>
      </c>
      <c r="IA868" s="827">
        <f t="shared" si="17696"/>
        <v>0</v>
      </c>
      <c r="IB868" s="513">
        <f t="shared" si="17696"/>
        <v>0</v>
      </c>
      <c r="IC868" s="827">
        <f t="shared" si="17696"/>
        <v>0</v>
      </c>
      <c r="ID868" s="513">
        <f t="shared" si="17696"/>
        <v>0</v>
      </c>
      <c r="IE868" s="827">
        <f t="shared" si="17696"/>
        <v>0</v>
      </c>
      <c r="IF868" s="839">
        <f t="shared" si="17696"/>
        <v>0</v>
      </c>
      <c r="IG868" s="513">
        <f t="shared" si="17696"/>
        <v>0</v>
      </c>
      <c r="IH868" s="840">
        <f t="shared" si="17696"/>
        <v>0</v>
      </c>
      <c r="II868" s="513">
        <f t="shared" si="17696"/>
        <v>0</v>
      </c>
      <c r="IJ868" s="513">
        <f t="shared" si="17696"/>
        <v>0</v>
      </c>
      <c r="IK868" s="513">
        <f t="shared" si="17696"/>
        <v>0</v>
      </c>
      <c r="IL868" s="513">
        <f t="shared" si="17696"/>
        <v>0</v>
      </c>
      <c r="IM868" s="513">
        <f t="shared" si="17696"/>
        <v>0</v>
      </c>
      <c r="IN868" s="513">
        <f t="shared" si="17696"/>
        <v>0</v>
      </c>
      <c r="IO868" s="513">
        <f t="shared" si="17696"/>
        <v>0</v>
      </c>
      <c r="IP868" s="513">
        <f t="shared" si="17696"/>
        <v>0</v>
      </c>
      <c r="IQ868" s="513">
        <f t="shared" si="17696"/>
        <v>0</v>
      </c>
      <c r="IR868" s="513">
        <f t="shared" si="17696"/>
        <v>0</v>
      </c>
      <c r="IS868" s="513">
        <f t="shared" si="17696"/>
        <v>0</v>
      </c>
      <c r="IT868" s="513">
        <f t="shared" si="17696"/>
        <v>0</v>
      </c>
      <c r="IU868" s="513">
        <f t="shared" si="17696"/>
        <v>0</v>
      </c>
      <c r="IV868" s="513">
        <f t="shared" si="17696"/>
        <v>0</v>
      </c>
      <c r="IW868" s="513">
        <f t="shared" si="17696"/>
        <v>0</v>
      </c>
      <c r="IX868" s="513">
        <f t="shared" si="17696"/>
        <v>0</v>
      </c>
      <c r="IY868" s="513">
        <f t="shared" si="17696"/>
        <v>0</v>
      </c>
      <c r="IZ868" s="513">
        <f t="shared" si="17696"/>
        <v>0</v>
      </c>
      <c r="JA868" s="513">
        <f t="shared" si="17696"/>
        <v>0</v>
      </c>
      <c r="JB868" s="513">
        <f t="shared" si="17696"/>
        <v>0</v>
      </c>
      <c r="JC868" s="513">
        <f t="shared" si="17696"/>
        <v>0</v>
      </c>
      <c r="JD868" s="513">
        <f t="shared" si="17696"/>
        <v>0</v>
      </c>
      <c r="JE868" s="513">
        <f t="shared" ref="JE868:JT868" si="17697">JE869</f>
        <v>0</v>
      </c>
      <c r="JF868" s="513">
        <f t="shared" si="17697"/>
        <v>0</v>
      </c>
      <c r="JG868" s="513">
        <f t="shared" si="17697"/>
        <v>0</v>
      </c>
      <c r="JH868" s="513">
        <f t="shared" si="17697"/>
        <v>0</v>
      </c>
      <c r="JI868" s="513">
        <f t="shared" si="17697"/>
        <v>0</v>
      </c>
      <c r="JJ868" s="513">
        <f t="shared" si="17697"/>
        <v>0</v>
      </c>
      <c r="JK868" s="513">
        <f t="shared" si="17697"/>
        <v>0</v>
      </c>
      <c r="JL868" s="513">
        <f t="shared" si="17697"/>
        <v>0</v>
      </c>
      <c r="JM868" s="513">
        <f t="shared" si="17697"/>
        <v>0</v>
      </c>
      <c r="JN868" s="513">
        <f t="shared" si="17697"/>
        <v>0</v>
      </c>
      <c r="JO868" s="513">
        <f t="shared" si="17697"/>
        <v>0</v>
      </c>
      <c r="JP868" s="513">
        <f t="shared" si="17697"/>
        <v>0</v>
      </c>
      <c r="JQ868" s="513">
        <f t="shared" si="17697"/>
        <v>0</v>
      </c>
      <c r="JR868" s="513">
        <f t="shared" si="17697"/>
        <v>0</v>
      </c>
      <c r="JS868" s="513">
        <f t="shared" si="17697"/>
        <v>794964</v>
      </c>
      <c r="JT868" s="513">
        <f t="shared" si="17697"/>
        <v>794964</v>
      </c>
      <c r="JU868" s="665"/>
      <c r="JV868" s="524"/>
      <c r="JW868" s="525"/>
      <c r="JX868" s="567">
        <f t="shared" ref="JX868" si="17698">JX869</f>
        <v>0</v>
      </c>
      <c r="JY868" s="513">
        <f>SUM(JY869:JY869)</f>
        <v>0</v>
      </c>
      <c r="JZ868" s="513">
        <f>SUM(JZ869:JZ869)</f>
        <v>803000</v>
      </c>
      <c r="KA868" s="513">
        <f>SUM(KA869:KA869)</f>
        <v>-8036</v>
      </c>
      <c r="KB868" s="513">
        <f>SUM(KB869:KB869)</f>
        <v>794964</v>
      </c>
      <c r="KC868" s="709">
        <f t="shared" si="17616"/>
        <v>0</v>
      </c>
      <c r="KD868" s="491"/>
      <c r="KE868" s="491"/>
      <c r="KF868" s="491"/>
      <c r="KG868" s="491"/>
      <c r="KH868" s="36"/>
      <c r="KI868" s="36"/>
      <c r="KJ868" s="36"/>
      <c r="KK868" s="36"/>
    </row>
    <row r="869" spans="1:297" s="10" customFormat="1">
      <c r="A869" s="612" t="s">
        <v>1330</v>
      </c>
      <c r="B869" s="929" t="s">
        <v>1331</v>
      </c>
      <c r="C869" s="930">
        <v>0</v>
      </c>
      <c r="D869" s="801"/>
      <c r="E869" s="931"/>
      <c r="F869" s="801"/>
      <c r="G869" s="931"/>
      <c r="H869" s="801"/>
      <c r="I869" s="931"/>
      <c r="J869" s="801"/>
      <c r="K869" s="931"/>
      <c r="L869" s="801"/>
      <c r="M869" s="931"/>
      <c r="N869" s="801"/>
      <c r="O869" s="931"/>
      <c r="P869" s="801"/>
      <c r="Q869" s="931"/>
      <c r="R869" s="801"/>
      <c r="S869" s="931"/>
      <c r="T869" s="801"/>
      <c r="U869" s="931"/>
      <c r="V869" s="801"/>
      <c r="W869" s="931"/>
      <c r="X869" s="801"/>
      <c r="Y869" s="931"/>
      <c r="Z869" s="801"/>
      <c r="AA869" s="931"/>
      <c r="AB869" s="801"/>
      <c r="AC869" s="931"/>
      <c r="AD869" s="801"/>
      <c r="AE869" s="931"/>
      <c r="AF869" s="801"/>
      <c r="AG869" s="931"/>
      <c r="AH869" s="801"/>
      <c r="AI869" s="931"/>
      <c r="AJ869" s="801"/>
      <c r="AK869" s="931"/>
      <c r="AL869" s="801"/>
      <c r="AM869" s="931"/>
      <c r="AN869" s="801"/>
      <c r="AO869" s="931"/>
      <c r="AP869" s="801"/>
      <c r="AQ869" s="931"/>
      <c r="AR869" s="801"/>
      <c r="AS869" s="931"/>
      <c r="AT869" s="801"/>
      <c r="AU869" s="931"/>
      <c r="AV869" s="801"/>
      <c r="AW869" s="931"/>
      <c r="AX869" s="801">
        <v>282000</v>
      </c>
      <c r="AY869" s="931">
        <v>0</v>
      </c>
      <c r="AZ869" s="801">
        <v>0</v>
      </c>
      <c r="BA869" s="931">
        <v>0</v>
      </c>
      <c r="BB869" s="801">
        <v>290000</v>
      </c>
      <c r="BC869" s="931">
        <v>0</v>
      </c>
      <c r="BD869" s="801">
        <v>0</v>
      </c>
      <c r="BE869" s="931">
        <v>0</v>
      </c>
      <c r="BF869" s="801">
        <v>0</v>
      </c>
      <c r="BG869" s="931">
        <v>0</v>
      </c>
      <c r="BH869" s="801">
        <v>0</v>
      </c>
      <c r="BI869" s="931">
        <v>0</v>
      </c>
      <c r="BJ869" s="801">
        <v>0</v>
      </c>
      <c r="BK869" s="931">
        <v>0</v>
      </c>
      <c r="BL869" s="801">
        <v>0</v>
      </c>
      <c r="BM869" s="931">
        <v>0</v>
      </c>
      <c r="BN869" s="801">
        <v>0</v>
      </c>
      <c r="BO869" s="931">
        <v>0</v>
      </c>
      <c r="BP869" s="801">
        <v>0</v>
      </c>
      <c r="BQ869" s="931">
        <v>0</v>
      </c>
      <c r="BR869" s="801">
        <v>0</v>
      </c>
      <c r="BS869" s="931">
        <v>0</v>
      </c>
      <c r="BT869" s="801">
        <v>231000</v>
      </c>
      <c r="BU869" s="931">
        <v>0</v>
      </c>
      <c r="BV869" s="801">
        <v>0</v>
      </c>
      <c r="BW869" s="931">
        <v>0</v>
      </c>
      <c r="BX869" s="801">
        <v>0</v>
      </c>
      <c r="BY869" s="931">
        <v>0</v>
      </c>
      <c r="BZ869" s="801">
        <v>0</v>
      </c>
      <c r="CA869" s="931">
        <v>0</v>
      </c>
      <c r="CB869" s="801">
        <v>0</v>
      </c>
      <c r="CC869" s="931">
        <v>0</v>
      </c>
      <c r="CD869" s="801">
        <v>0</v>
      </c>
      <c r="CE869" s="931">
        <v>0</v>
      </c>
      <c r="CF869" s="801">
        <v>0</v>
      </c>
      <c r="CG869" s="931">
        <v>0</v>
      </c>
      <c r="CH869" s="801">
        <v>0</v>
      </c>
      <c r="CI869" s="931">
        <v>0</v>
      </c>
      <c r="CJ869" s="801">
        <v>0</v>
      </c>
      <c r="CK869" s="931">
        <v>0</v>
      </c>
      <c r="CL869" s="801">
        <v>0</v>
      </c>
      <c r="CM869" s="931">
        <v>0</v>
      </c>
      <c r="CN869" s="801">
        <v>0</v>
      </c>
      <c r="CO869" s="931">
        <v>0</v>
      </c>
      <c r="CP869" s="801">
        <v>0</v>
      </c>
      <c r="CQ869" s="931">
        <v>0</v>
      </c>
      <c r="CR869" s="801">
        <v>0</v>
      </c>
      <c r="CS869" s="931">
        <v>0</v>
      </c>
      <c r="CT869" s="801">
        <v>0</v>
      </c>
      <c r="CU869" s="931">
        <v>0</v>
      </c>
      <c r="CV869" s="801">
        <v>0</v>
      </c>
      <c r="CW869" s="931">
        <v>0</v>
      </c>
      <c r="CX869" s="801">
        <v>0</v>
      </c>
      <c r="CY869" s="931">
        <v>0</v>
      </c>
      <c r="CZ869" s="801">
        <v>0</v>
      </c>
      <c r="DA869" s="931">
        <v>0</v>
      </c>
      <c r="DB869" s="801">
        <v>0</v>
      </c>
      <c r="DC869" s="931">
        <v>0</v>
      </c>
      <c r="DD869" s="801">
        <v>0</v>
      </c>
      <c r="DE869" s="931">
        <v>0</v>
      </c>
      <c r="DF869" s="801">
        <v>0</v>
      </c>
      <c r="DG869" s="931">
        <v>0</v>
      </c>
      <c r="DH869" s="801">
        <v>0</v>
      </c>
      <c r="DI869" s="931">
        <v>0</v>
      </c>
      <c r="DJ869" s="801">
        <v>0</v>
      </c>
      <c r="DK869" s="931">
        <v>0</v>
      </c>
      <c r="DL869" s="801">
        <v>0</v>
      </c>
      <c r="DM869" s="931">
        <v>0</v>
      </c>
      <c r="DN869" s="801">
        <v>0</v>
      </c>
      <c r="DO869" s="931">
        <v>0</v>
      </c>
      <c r="DP869" s="801">
        <v>0</v>
      </c>
      <c r="DQ869" s="931">
        <v>0</v>
      </c>
      <c r="DR869" s="801">
        <v>0</v>
      </c>
      <c r="DS869" s="931">
        <v>0</v>
      </c>
      <c r="DT869" s="801">
        <v>0</v>
      </c>
      <c r="DU869" s="931">
        <v>0</v>
      </c>
      <c r="DV869" s="801">
        <v>0</v>
      </c>
      <c r="DW869" s="931">
        <v>0</v>
      </c>
      <c r="DX869" s="801">
        <v>0</v>
      </c>
      <c r="DY869" s="931">
        <v>0</v>
      </c>
      <c r="DZ869" s="801">
        <v>0</v>
      </c>
      <c r="EA869" s="931">
        <v>0</v>
      </c>
      <c r="EB869" s="801">
        <v>0</v>
      </c>
      <c r="EC869" s="931">
        <v>0</v>
      </c>
      <c r="ED869" s="801">
        <v>0</v>
      </c>
      <c r="EE869" s="931">
        <v>0</v>
      </c>
      <c r="EF869" s="801">
        <v>0</v>
      </c>
      <c r="EG869" s="931">
        <v>0</v>
      </c>
      <c r="EH869" s="801">
        <v>0</v>
      </c>
      <c r="EI869" s="931">
        <v>0</v>
      </c>
      <c r="EJ869" s="801">
        <v>0</v>
      </c>
      <c r="EK869" s="931">
        <v>0</v>
      </c>
      <c r="EL869" s="801">
        <v>0</v>
      </c>
      <c r="EM869" s="931">
        <v>0</v>
      </c>
      <c r="EN869" s="801">
        <v>0</v>
      </c>
      <c r="EO869" s="931">
        <v>0</v>
      </c>
      <c r="EP869" s="801">
        <v>0</v>
      </c>
      <c r="EQ869" s="931">
        <v>0</v>
      </c>
      <c r="ER869" s="801">
        <v>0</v>
      </c>
      <c r="ES869" s="931">
        <v>0</v>
      </c>
      <c r="ET869" s="801">
        <v>0</v>
      </c>
      <c r="EU869" s="931">
        <v>0</v>
      </c>
      <c r="EV869" s="801">
        <v>0</v>
      </c>
      <c r="EW869" s="931">
        <v>0</v>
      </c>
      <c r="EX869" s="801">
        <v>0</v>
      </c>
      <c r="EY869" s="931">
        <v>0</v>
      </c>
      <c r="EZ869" s="801">
        <v>0</v>
      </c>
      <c r="FA869" s="931">
        <v>0</v>
      </c>
      <c r="FB869" s="801">
        <v>0</v>
      </c>
      <c r="FC869" s="931">
        <v>0</v>
      </c>
      <c r="FD869" s="801">
        <v>0</v>
      </c>
      <c r="FE869" s="931">
        <v>0</v>
      </c>
      <c r="FF869" s="801">
        <v>0</v>
      </c>
      <c r="FG869" s="931">
        <v>0</v>
      </c>
      <c r="FH869" s="801">
        <v>0</v>
      </c>
      <c r="FI869" s="931">
        <v>0</v>
      </c>
      <c r="FJ869" s="801">
        <v>0</v>
      </c>
      <c r="FK869" s="931">
        <v>0</v>
      </c>
      <c r="FL869" s="801">
        <v>0</v>
      </c>
      <c r="FM869" s="931">
        <v>0</v>
      </c>
      <c r="FN869" s="801">
        <v>0</v>
      </c>
      <c r="FO869" s="931">
        <v>-8036</v>
      </c>
      <c r="FP869" s="801">
        <v>0</v>
      </c>
      <c r="FQ869" s="931">
        <v>0</v>
      </c>
      <c r="FR869" s="801">
        <v>0</v>
      </c>
      <c r="FS869" s="931">
        <v>0</v>
      </c>
      <c r="FT869" s="801">
        <v>0</v>
      </c>
      <c r="FU869" s="931">
        <v>0</v>
      </c>
      <c r="FV869" s="801">
        <v>0</v>
      </c>
      <c r="FW869" s="931">
        <v>0</v>
      </c>
      <c r="FX869" s="801">
        <v>0</v>
      </c>
      <c r="FY869" s="931">
        <v>0</v>
      </c>
      <c r="FZ869" s="801">
        <v>0</v>
      </c>
      <c r="GA869" s="931">
        <v>0</v>
      </c>
      <c r="GB869" s="801">
        <v>0</v>
      </c>
      <c r="GC869" s="931">
        <v>0</v>
      </c>
      <c r="GD869" s="801">
        <v>0</v>
      </c>
      <c r="GE869" s="931">
        <v>0</v>
      </c>
      <c r="GF869" s="801">
        <v>0</v>
      </c>
      <c r="GG869" s="931">
        <v>0</v>
      </c>
      <c r="GH869" s="801">
        <v>0</v>
      </c>
      <c r="GI869" s="931">
        <v>0</v>
      </c>
      <c r="GJ869" s="801">
        <v>0</v>
      </c>
      <c r="GK869" s="931">
        <v>0</v>
      </c>
      <c r="GL869" s="801">
        <v>0</v>
      </c>
      <c r="GM869" s="931">
        <v>0</v>
      </c>
      <c r="GN869" s="801">
        <v>0</v>
      </c>
      <c r="GO869" s="931">
        <v>0</v>
      </c>
      <c r="GP869" s="549">
        <f>+D869+F869+H869+J869+L869+N869+P869+R869+T869+V869+X869+Z869+AB869+AF869+AD869+AH869+AJ869+AL869+AN869+AP869+AR869+AT869+AV869+AX869+AZ869+BB869+BD869+BF869+BH869+BJ869+BL869+BN869+BP869+BR869+BT869+BV869+BX869+BZ869+CB869+CD869+CF869+CH869+CJ869+CL869+CN869+CP869+CR869+CT869+CV869+CX869+CZ869+DB869+DD869+DF869+DH869+DT869+EX869+DJ869+DL869+DN869+DP869+DR869+EJ869+EB869+DZ869+DX869+DV869+ED869+EF869+EH869+EL869+EN869+EP869+EV869+ET869+ER869+EZ869+FB869+FD869+GL869+FF869+FJ869+FL869+GJ869+FT869+FR869+FP869+FN869+FH869+GH869+GF869+GD869+GB869+FZ869+FX869+FV869+GN869</f>
        <v>803000</v>
      </c>
      <c r="GQ869" s="675">
        <f>+E869+G869+I869+K869+M869+O869+Q869+S869+U869+W869+Y869+AA869+AC869+AE869+AG869+AI869+AK869+AM869+AO869+AQ869+AS869+AU869+AW869+AY869+BA869+BC869+BE869+BG869+BI869+BK869+BM869+BO869+BQ869+BS869+BU869+BW869+BY869+CA869+CC869+CE869+CG869+CI869+CK869+CM869+CO869+CQ869+CS869+CU869+CW869+CY869+DA869+DC869+DE869+DG869+DI869+DU869+EY869+DK869+DM869+DO869+DQ869+DS869+EK869+EC869+EA869+DY869+DW869+EI869+EG869+EE869+EM869+EO869+EQ869+EW869+EU869+ES869+FA869+FC869+FE869+GM869+FG869+FK869+FM869+FO869+FQ869+FS869+FU869+GK869+FI869+GI869+GG869+GE869+GC869+GA869+FY869+FW869+GO869</f>
        <v>-8036</v>
      </c>
      <c r="GR869" s="74">
        <f>C869+GP869+GQ869</f>
        <v>794964</v>
      </c>
      <c r="GS869" s="74">
        <f>SUM(GU869:HD869)+GP869+GQ869</f>
        <v>794964</v>
      </c>
      <c r="GT869" s="568">
        <f t="shared" ref="GT869" si="17699">SUM(GU869:HF869)+GQ869+GP869</f>
        <v>794964</v>
      </c>
      <c r="GU869" s="275">
        <v>0</v>
      </c>
      <c r="GV869" s="275"/>
      <c r="GW869" s="588"/>
      <c r="GX869" s="275">
        <v>0</v>
      </c>
      <c r="GY869" s="275">
        <v>0</v>
      </c>
      <c r="GZ869" s="275"/>
      <c r="HA869" s="493">
        <f>150000-150000</f>
        <v>0</v>
      </c>
      <c r="HB869" s="493"/>
      <c r="HC869" s="493"/>
      <c r="HD869" s="493">
        <f>100000-100000</f>
        <v>0</v>
      </c>
      <c r="HE869" s="275">
        <v>0</v>
      </c>
      <c r="HF869" s="275">
        <v>0</v>
      </c>
      <c r="HG869" s="74">
        <f>SUM(HH869:IE869)+GP869+GQ869</f>
        <v>794964</v>
      </c>
      <c r="HH869" s="89">
        <v>0</v>
      </c>
      <c r="HI869" s="817">
        <v>0</v>
      </c>
      <c r="HJ869" s="89">
        <v>0</v>
      </c>
      <c r="HK869" s="817">
        <v>0</v>
      </c>
      <c r="HL869" s="89">
        <v>0</v>
      </c>
      <c r="HM869" s="817">
        <v>0</v>
      </c>
      <c r="HN869" s="89">
        <v>0</v>
      </c>
      <c r="HO869" s="817">
        <v>0</v>
      </c>
      <c r="HP869" s="89">
        <v>0</v>
      </c>
      <c r="HQ869" s="817">
        <v>0</v>
      </c>
      <c r="HR869" s="89">
        <v>0</v>
      </c>
      <c r="HS869" s="817">
        <v>-303884</v>
      </c>
      <c r="HT869" s="89">
        <v>0</v>
      </c>
      <c r="HU869" s="817">
        <f>803000-499116</f>
        <v>303884</v>
      </c>
      <c r="HV869" s="89">
        <v>0</v>
      </c>
      <c r="HW869" s="817">
        <v>0</v>
      </c>
      <c r="HX869" s="89">
        <v>0</v>
      </c>
      <c r="HY869" s="817">
        <v>0</v>
      </c>
      <c r="HZ869" s="89">
        <v>0</v>
      </c>
      <c r="IA869" s="817">
        <v>0</v>
      </c>
      <c r="IB869" s="89">
        <v>0</v>
      </c>
      <c r="IC869" s="817">
        <v>0</v>
      </c>
      <c r="ID869" s="89">
        <v>0</v>
      </c>
      <c r="IE869" s="817">
        <v>0</v>
      </c>
      <c r="IF869" s="841">
        <f t="shared" ref="IF869" si="17700">SUM(II869,IL869,IO869,IR869,IU869,IX869,JA869,JD869,JG869,JJ869,JM869,JP869)</f>
        <v>0</v>
      </c>
      <c r="IG869" s="263">
        <f t="shared" ref="IG869" si="17701">SUM(IJ869,IM869,IP869,IS869,IV869,IY869,JB869,JE869,JH869,JK869,JN869,JQ869)</f>
        <v>0</v>
      </c>
      <c r="IH869" s="842">
        <f t="shared" ref="IH869" si="17702">SUM(IK869,IN869,IQ869,IT869,IW869,IZ869,JC869,JF869,JI869,JL869,JO869,JR869)</f>
        <v>0</v>
      </c>
      <c r="II869" s="89">
        <v>0</v>
      </c>
      <c r="IJ869" s="89">
        <f t="shared" ref="IJ869" si="17703">II869</f>
        <v>0</v>
      </c>
      <c r="IK869" s="89">
        <f t="shared" ref="IK869" si="17704">IJ869</f>
        <v>0</v>
      </c>
      <c r="IL869" s="89">
        <v>0</v>
      </c>
      <c r="IM869" s="89">
        <f t="shared" ref="IM869" si="17705">IL869</f>
        <v>0</v>
      </c>
      <c r="IN869" s="89">
        <f t="shared" ref="IN869" si="17706">IM869</f>
        <v>0</v>
      </c>
      <c r="IO869" s="89">
        <v>0</v>
      </c>
      <c r="IP869" s="89">
        <f t="shared" ref="IP869" si="17707">IO869</f>
        <v>0</v>
      </c>
      <c r="IQ869" s="89">
        <f t="shared" ref="IQ869" si="17708">IP869</f>
        <v>0</v>
      </c>
      <c r="IR869" s="89">
        <v>0</v>
      </c>
      <c r="IS869" s="89">
        <f t="shared" ref="IS869" si="17709">IR869</f>
        <v>0</v>
      </c>
      <c r="IT869" s="89">
        <f t="shared" ref="IT869" si="17710">IS869</f>
        <v>0</v>
      </c>
      <c r="IU869" s="89">
        <v>0</v>
      </c>
      <c r="IV869" s="89">
        <f t="shared" ref="IV869" si="17711">IU869</f>
        <v>0</v>
      </c>
      <c r="IW869" s="89">
        <f t="shared" ref="IW869" si="17712">IV869</f>
        <v>0</v>
      </c>
      <c r="IX869" s="89">
        <v>0</v>
      </c>
      <c r="IY869" s="89">
        <f t="shared" ref="IY869" si="17713">IX869</f>
        <v>0</v>
      </c>
      <c r="IZ869" s="89">
        <f t="shared" ref="IZ869" si="17714">IY869</f>
        <v>0</v>
      </c>
      <c r="JA869" s="89">
        <v>0</v>
      </c>
      <c r="JB869" s="89">
        <f t="shared" ref="JB869" si="17715">JA869</f>
        <v>0</v>
      </c>
      <c r="JC869" s="89">
        <f t="shared" ref="JC869" si="17716">JB869</f>
        <v>0</v>
      </c>
      <c r="JD869" s="89">
        <v>0</v>
      </c>
      <c r="JE869" s="89">
        <f t="shared" ref="JE869" si="17717">JD869</f>
        <v>0</v>
      </c>
      <c r="JF869" s="89">
        <f t="shared" ref="JF869" si="17718">JE869</f>
        <v>0</v>
      </c>
      <c r="JG869" s="89">
        <v>0</v>
      </c>
      <c r="JH869" s="89">
        <f t="shared" ref="JH869" si="17719">JG869</f>
        <v>0</v>
      </c>
      <c r="JI869" s="89">
        <f t="shared" ref="JI869" si="17720">JH869</f>
        <v>0</v>
      </c>
      <c r="JJ869" s="89">
        <v>0</v>
      </c>
      <c r="JK869" s="89">
        <f t="shared" ref="JK869" si="17721">JJ869</f>
        <v>0</v>
      </c>
      <c r="JL869" s="89">
        <f t="shared" ref="JL869" si="17722">JK869</f>
        <v>0</v>
      </c>
      <c r="JM869" s="89">
        <v>0</v>
      </c>
      <c r="JN869" s="89">
        <f t="shared" ref="JN869" si="17723">JM869</f>
        <v>0</v>
      </c>
      <c r="JO869" s="89">
        <f t="shared" ref="JO869" si="17724">JN869</f>
        <v>0</v>
      </c>
      <c r="JP869" s="89">
        <v>0</v>
      </c>
      <c r="JQ869" s="89">
        <f t="shared" ref="JQ869" si="17725">JP869</f>
        <v>0</v>
      </c>
      <c r="JR869" s="89">
        <f t="shared" ref="JR869" si="17726">JQ869</f>
        <v>0</v>
      </c>
      <c r="JS869" s="74">
        <f>HG869-IF869</f>
        <v>794964</v>
      </c>
      <c r="JT869" s="382">
        <f>GS869-IF869</f>
        <v>794964</v>
      </c>
      <c r="JU869" s="665"/>
      <c r="JV869" s="524"/>
      <c r="JW869" s="525"/>
      <c r="JX869" s="549">
        <f>SUM(HH869,HJ869,HL869,HN869,HP869,HR869,HT869,HV869,HX869,HZ869,IB869,ID869)</f>
        <v>0</v>
      </c>
      <c r="JY869" s="549">
        <f t="shared" ref="JY869" si="17727">SUM(HI869,HK869,HM869,HO869,HQ869,HS869,HU869,HW869,HY869,IA869,IC869,IE869)</f>
        <v>0</v>
      </c>
      <c r="JZ869" s="581">
        <f t="shared" ref="JZ869" si="17728">GP869</f>
        <v>803000</v>
      </c>
      <c r="KA869" s="581">
        <f t="shared" ref="KA869" si="17729">GQ869</f>
        <v>-8036</v>
      </c>
      <c r="KB869" s="566">
        <f>SUM(JX869:KA869)</f>
        <v>794964</v>
      </c>
      <c r="KC869" s="709">
        <f t="shared" si="17616"/>
        <v>0</v>
      </c>
      <c r="KD869" s="491"/>
      <c r="KE869" s="491"/>
      <c r="KF869" s="491"/>
      <c r="KG869" s="491"/>
      <c r="KH869" s="36"/>
      <c r="KI869" s="36"/>
      <c r="KJ869" s="36"/>
      <c r="KK869" s="36"/>
    </row>
    <row r="870" spans="1:297" s="10" customFormat="1" ht="12.75" customHeight="1" thickBot="1">
      <c r="A870" s="158"/>
      <c r="B870" s="159"/>
      <c r="C870" s="160"/>
      <c r="D870" s="569"/>
      <c r="E870" s="688"/>
      <c r="F870" s="569"/>
      <c r="G870" s="688"/>
      <c r="H870" s="569"/>
      <c r="I870" s="688"/>
      <c r="J870" s="569"/>
      <c r="K870" s="688"/>
      <c r="L870" s="569"/>
      <c r="M870" s="688"/>
      <c r="N870" s="569"/>
      <c r="O870" s="688"/>
      <c r="P870" s="569"/>
      <c r="Q870" s="688"/>
      <c r="R870" s="569"/>
      <c r="S870" s="688"/>
      <c r="T870" s="569"/>
      <c r="U870" s="688"/>
      <c r="V870" s="569"/>
      <c r="W870" s="688"/>
      <c r="X870" s="569"/>
      <c r="Y870" s="688"/>
      <c r="Z870" s="569"/>
      <c r="AA870" s="688"/>
      <c r="AB870" s="569"/>
      <c r="AC870" s="688"/>
      <c r="AD870" s="569"/>
      <c r="AE870" s="688"/>
      <c r="AF870" s="569"/>
      <c r="AG870" s="688"/>
      <c r="AH870" s="569"/>
      <c r="AI870" s="688"/>
      <c r="AJ870" s="569"/>
      <c r="AK870" s="688"/>
      <c r="AL870" s="569"/>
      <c r="AM870" s="688"/>
      <c r="AN870" s="569"/>
      <c r="AO870" s="688"/>
      <c r="AP870" s="569"/>
      <c r="AQ870" s="688"/>
      <c r="AR870" s="569"/>
      <c r="AS870" s="688"/>
      <c r="AT870" s="569"/>
      <c r="AU870" s="688"/>
      <c r="AV870" s="569"/>
      <c r="AW870" s="688"/>
      <c r="AX870" s="569"/>
      <c r="AY870" s="688"/>
      <c r="AZ870" s="569"/>
      <c r="BA870" s="688"/>
      <c r="BB870" s="569"/>
      <c r="BC870" s="688"/>
      <c r="BD870" s="569"/>
      <c r="BE870" s="688"/>
      <c r="BF870" s="569"/>
      <c r="BG870" s="688"/>
      <c r="BH870" s="569"/>
      <c r="BI870" s="688"/>
      <c r="BJ870" s="569"/>
      <c r="BK870" s="688"/>
      <c r="BL870" s="569"/>
      <c r="BM870" s="688"/>
      <c r="BN870" s="569"/>
      <c r="BO870" s="688"/>
      <c r="BP870" s="569"/>
      <c r="BQ870" s="688"/>
      <c r="BR870" s="569"/>
      <c r="BS870" s="688"/>
      <c r="BT870" s="569"/>
      <c r="BU870" s="688"/>
      <c r="BV870" s="569"/>
      <c r="BW870" s="688"/>
      <c r="BX870" s="569"/>
      <c r="BY870" s="688"/>
      <c r="BZ870" s="569"/>
      <c r="CA870" s="688"/>
      <c r="CB870" s="569"/>
      <c r="CC870" s="688"/>
      <c r="CD870" s="569"/>
      <c r="CE870" s="688"/>
      <c r="CF870" s="569"/>
      <c r="CG870" s="688"/>
      <c r="CH870" s="569"/>
      <c r="CI870" s="688"/>
      <c r="CJ870" s="569"/>
      <c r="CK870" s="688"/>
      <c r="CL870" s="569"/>
      <c r="CM870" s="688"/>
      <c r="CN870" s="569"/>
      <c r="CO870" s="688"/>
      <c r="CP870" s="569"/>
      <c r="CQ870" s="688"/>
      <c r="CR870" s="569"/>
      <c r="CS870" s="688"/>
      <c r="CT870" s="569"/>
      <c r="CU870" s="688"/>
      <c r="CV870" s="569"/>
      <c r="CW870" s="688"/>
      <c r="CX870" s="569"/>
      <c r="CY870" s="688"/>
      <c r="CZ870" s="569"/>
      <c r="DA870" s="688"/>
      <c r="DB870" s="569"/>
      <c r="DC870" s="688"/>
      <c r="DD870" s="569"/>
      <c r="DE870" s="688"/>
      <c r="DF870" s="569"/>
      <c r="DG870" s="688"/>
      <c r="DH870" s="569"/>
      <c r="DI870" s="688"/>
      <c r="DJ870" s="569"/>
      <c r="DK870" s="688"/>
      <c r="DL870" s="569"/>
      <c r="DM870" s="688"/>
      <c r="DN870" s="569"/>
      <c r="DO870" s="688"/>
      <c r="DP870" s="569"/>
      <c r="DQ870" s="688"/>
      <c r="DR870" s="569"/>
      <c r="DS870" s="688"/>
      <c r="DT870" s="569"/>
      <c r="DU870" s="688"/>
      <c r="DV870" s="569"/>
      <c r="DW870" s="688"/>
      <c r="DX870" s="569"/>
      <c r="DY870" s="688"/>
      <c r="DZ870" s="569"/>
      <c r="EA870" s="688"/>
      <c r="EB870" s="569"/>
      <c r="EC870" s="688"/>
      <c r="ED870" s="569"/>
      <c r="EE870" s="688"/>
      <c r="EF870" s="569"/>
      <c r="EG870" s="688"/>
      <c r="EH870" s="569"/>
      <c r="EI870" s="688"/>
      <c r="EJ870" s="569"/>
      <c r="EK870" s="688"/>
      <c r="EL870" s="569"/>
      <c r="EM870" s="688"/>
      <c r="EN870" s="569"/>
      <c r="EO870" s="688"/>
      <c r="EP870" s="569"/>
      <c r="EQ870" s="688"/>
      <c r="ER870" s="569"/>
      <c r="ES870" s="688"/>
      <c r="ET870" s="569"/>
      <c r="EU870" s="688"/>
      <c r="EV870" s="569"/>
      <c r="EW870" s="688"/>
      <c r="EX870" s="569"/>
      <c r="EY870" s="688"/>
      <c r="EZ870" s="569"/>
      <c r="FA870" s="688"/>
      <c r="FB870" s="569"/>
      <c r="FC870" s="688"/>
      <c r="FD870" s="569"/>
      <c r="FE870" s="688"/>
      <c r="FF870" s="569"/>
      <c r="FG870" s="688"/>
      <c r="FH870" s="569"/>
      <c r="FI870" s="688"/>
      <c r="FJ870" s="569"/>
      <c r="FK870" s="688"/>
      <c r="FL870" s="569"/>
      <c r="FM870" s="688"/>
      <c r="FN870" s="569"/>
      <c r="FO870" s="688"/>
      <c r="FP870" s="569"/>
      <c r="FQ870" s="688"/>
      <c r="FR870" s="569"/>
      <c r="FS870" s="688"/>
      <c r="FT870" s="569"/>
      <c r="FU870" s="688"/>
      <c r="FV870" s="569"/>
      <c r="FW870" s="688"/>
      <c r="FX870" s="569"/>
      <c r="FY870" s="688"/>
      <c r="FZ870" s="569"/>
      <c r="GA870" s="688"/>
      <c r="GB870" s="569"/>
      <c r="GC870" s="688"/>
      <c r="GD870" s="569"/>
      <c r="GE870" s="688"/>
      <c r="GF870" s="569"/>
      <c r="GG870" s="688"/>
      <c r="GH870" s="569"/>
      <c r="GI870" s="688"/>
      <c r="GJ870" s="569"/>
      <c r="GK870" s="688"/>
      <c r="GL870" s="569"/>
      <c r="GM870" s="688"/>
      <c r="GN870" s="569"/>
      <c r="GO870" s="688"/>
      <c r="GP870" s="569"/>
      <c r="GQ870" s="688"/>
      <c r="GR870" s="496"/>
      <c r="GS870" s="496"/>
      <c r="GT870" s="569"/>
      <c r="GU870" s="496"/>
      <c r="GV870" s="496"/>
      <c r="GW870" s="569"/>
      <c r="GX870" s="569"/>
      <c r="GY870" s="496"/>
      <c r="GZ870" s="496"/>
      <c r="HA870" s="496"/>
      <c r="HB870" s="496"/>
      <c r="HC870" s="496"/>
      <c r="HD870" s="496"/>
      <c r="HE870" s="496"/>
      <c r="HF870" s="496"/>
      <c r="HG870" s="496"/>
      <c r="HH870" s="497"/>
      <c r="HI870" s="498"/>
      <c r="HJ870" s="497"/>
      <c r="HK870" s="498"/>
      <c r="HL870" s="497"/>
      <c r="HM870" s="498"/>
      <c r="HN870" s="497"/>
      <c r="HO870" s="498"/>
      <c r="HP870" s="497"/>
      <c r="HQ870" s="498"/>
      <c r="HR870" s="497"/>
      <c r="HS870" s="498"/>
      <c r="HT870" s="497"/>
      <c r="HU870" s="498"/>
      <c r="HV870" s="497"/>
      <c r="HW870" s="498"/>
      <c r="HX870" s="497"/>
      <c r="HY870" s="498"/>
      <c r="HZ870" s="497"/>
      <c r="IA870" s="498"/>
      <c r="IB870" s="497"/>
      <c r="IC870" s="498"/>
      <c r="ID870" s="497"/>
      <c r="IE870" s="498"/>
      <c r="IF870" s="845"/>
      <c r="IG870" s="495"/>
      <c r="IH870" s="846"/>
      <c r="II870" s="497"/>
      <c r="IJ870" s="497"/>
      <c r="IK870" s="497"/>
      <c r="IL870" s="497"/>
      <c r="IM870" s="497"/>
      <c r="IN870" s="497"/>
      <c r="IO870" s="497"/>
      <c r="IP870" s="497"/>
      <c r="IQ870" s="497"/>
      <c r="IR870" s="497"/>
      <c r="IS870" s="497"/>
      <c r="IT870" s="497"/>
      <c r="IU870" s="497"/>
      <c r="IV870" s="497"/>
      <c r="IW870" s="497"/>
      <c r="IX870" s="497"/>
      <c r="IY870" s="497"/>
      <c r="IZ870" s="497"/>
      <c r="JA870" s="497"/>
      <c r="JB870" s="497"/>
      <c r="JC870" s="497"/>
      <c r="JD870" s="497"/>
      <c r="JE870" s="497"/>
      <c r="JF870" s="497"/>
      <c r="JG870" s="497"/>
      <c r="JH870" s="497"/>
      <c r="JI870" s="497"/>
      <c r="JJ870" s="497"/>
      <c r="JK870" s="497"/>
      <c r="JL870" s="497"/>
      <c r="JM870" s="497"/>
      <c r="JN870" s="497"/>
      <c r="JO870" s="497"/>
      <c r="JP870" s="497"/>
      <c r="JQ870" s="497"/>
      <c r="JR870" s="497"/>
      <c r="JS870" s="496"/>
      <c r="JT870" s="663"/>
      <c r="JU870" s="665"/>
      <c r="JV870" s="524"/>
      <c r="JW870" s="525"/>
      <c r="JX870" s="569"/>
      <c r="JY870" s="569"/>
      <c r="JZ870" s="569"/>
      <c r="KA870" s="569"/>
      <c r="KB870" s="569"/>
      <c r="KC870" s="709">
        <f t="shared" si="17277"/>
        <v>0</v>
      </c>
      <c r="KD870" s="499"/>
      <c r="KE870" s="499"/>
      <c r="KF870" s="499"/>
      <c r="KG870" s="499"/>
      <c r="KH870" s="34"/>
      <c r="KI870" s="34"/>
      <c r="KJ870" s="34"/>
      <c r="KK870" s="34"/>
    </row>
    <row r="871" spans="1:297" s="10" customFormat="1" ht="18" customHeight="1" thickTop="1">
      <c r="A871" s="483" t="s">
        <v>1379</v>
      </c>
      <c r="B871" s="98"/>
      <c r="C871" s="99"/>
      <c r="D871" s="570"/>
      <c r="E871" s="689"/>
      <c r="F871" s="570"/>
      <c r="G871" s="689"/>
      <c r="H871" s="570"/>
      <c r="I871" s="689"/>
      <c r="J871" s="570"/>
      <c r="K871" s="689"/>
      <c r="L871" s="570"/>
      <c r="M871" s="689"/>
      <c r="N871" s="570"/>
      <c r="O871" s="689"/>
      <c r="P871" s="570"/>
      <c r="Q871" s="689"/>
      <c r="R871" s="570"/>
      <c r="S871" s="689"/>
      <c r="T871" s="570"/>
      <c r="U871" s="689"/>
      <c r="V871" s="570"/>
      <c r="W871" s="689"/>
      <c r="X871" s="570"/>
      <c r="Y871" s="689"/>
      <c r="Z871" s="570"/>
      <c r="AA871" s="689"/>
      <c r="AB871" s="570"/>
      <c r="AC871" s="689"/>
      <c r="AD871" s="570"/>
      <c r="AE871" s="689"/>
      <c r="AF871" s="570"/>
      <c r="AG871" s="689"/>
      <c r="AH871" s="570"/>
      <c r="AI871" s="689"/>
      <c r="AJ871" s="570"/>
      <c r="AK871" s="689"/>
      <c r="AL871" s="570"/>
      <c r="AM871" s="689"/>
      <c r="AN871" s="570"/>
      <c r="AO871" s="689"/>
      <c r="AP871" s="570"/>
      <c r="AQ871" s="689"/>
      <c r="AR871" s="570"/>
      <c r="AS871" s="689"/>
      <c r="AT871" s="570"/>
      <c r="AU871" s="689"/>
      <c r="AV871" s="570"/>
      <c r="AW871" s="689"/>
      <c r="AX871" s="570"/>
      <c r="AY871" s="689"/>
      <c r="AZ871" s="570"/>
      <c r="BA871" s="689"/>
      <c r="BB871" s="570"/>
      <c r="BC871" s="689"/>
      <c r="BD871" s="570"/>
      <c r="BE871" s="689"/>
      <c r="BF871" s="570"/>
      <c r="BG871" s="689"/>
      <c r="BH871" s="570"/>
      <c r="BI871" s="689"/>
      <c r="BJ871" s="570"/>
      <c r="BK871" s="689"/>
      <c r="BL871" s="570"/>
      <c r="BM871" s="689"/>
      <c r="BN871" s="570"/>
      <c r="BO871" s="689"/>
      <c r="BP871" s="570"/>
      <c r="BQ871" s="689"/>
      <c r="BR871" s="570"/>
      <c r="BS871" s="689"/>
      <c r="BT871" s="570"/>
      <c r="BU871" s="689"/>
      <c r="BV871" s="570"/>
      <c r="BW871" s="689"/>
      <c r="BX871" s="570"/>
      <c r="BY871" s="689"/>
      <c r="BZ871" s="570"/>
      <c r="CA871" s="689"/>
      <c r="CB871" s="570"/>
      <c r="CC871" s="689"/>
      <c r="CD871" s="570"/>
      <c r="CE871" s="689"/>
      <c r="CF871" s="570"/>
      <c r="CG871" s="689"/>
      <c r="CH871" s="570"/>
      <c r="CI871" s="689"/>
      <c r="CJ871" s="570"/>
      <c r="CK871" s="689"/>
      <c r="CL871" s="570"/>
      <c r="CM871" s="689"/>
      <c r="CN871" s="570"/>
      <c r="CO871" s="689"/>
      <c r="CP871" s="570"/>
      <c r="CQ871" s="689"/>
      <c r="CR871" s="570"/>
      <c r="CS871" s="689"/>
      <c r="CT871" s="570"/>
      <c r="CU871" s="689"/>
      <c r="CV871" s="570"/>
      <c r="CW871" s="689"/>
      <c r="CX871" s="570"/>
      <c r="CY871" s="689"/>
      <c r="CZ871" s="570"/>
      <c r="DA871" s="689"/>
      <c r="DB871" s="570"/>
      <c r="DC871" s="689"/>
      <c r="DD871" s="570"/>
      <c r="DE871" s="689"/>
      <c r="DF871" s="570"/>
      <c r="DG871" s="689"/>
      <c r="DH871" s="570"/>
      <c r="DI871" s="689"/>
      <c r="DJ871" s="570"/>
      <c r="DK871" s="689"/>
      <c r="DL871" s="570"/>
      <c r="DM871" s="689"/>
      <c r="DN871" s="570"/>
      <c r="DO871" s="689"/>
      <c r="DP871" s="570"/>
      <c r="DQ871" s="689"/>
      <c r="DR871" s="570"/>
      <c r="DS871" s="689"/>
      <c r="DT871" s="570"/>
      <c r="DU871" s="689"/>
      <c r="DV871" s="570"/>
      <c r="DW871" s="689"/>
      <c r="DX871" s="570"/>
      <c r="DY871" s="689"/>
      <c r="DZ871" s="570"/>
      <c r="EA871" s="689"/>
      <c r="EB871" s="570"/>
      <c r="EC871" s="689"/>
      <c r="ED871" s="570"/>
      <c r="EE871" s="689"/>
      <c r="EF871" s="570"/>
      <c r="EG871" s="689"/>
      <c r="EH871" s="570"/>
      <c r="EI871" s="689"/>
      <c r="EJ871" s="570"/>
      <c r="EK871" s="689"/>
      <c r="EL871" s="570"/>
      <c r="EM871" s="689"/>
      <c r="EN871" s="570"/>
      <c r="EO871" s="689"/>
      <c r="EP871" s="570"/>
      <c r="EQ871" s="689"/>
      <c r="ER871" s="570"/>
      <c r="ES871" s="689"/>
      <c r="ET871" s="570"/>
      <c r="EU871" s="689"/>
      <c r="EV871" s="570"/>
      <c r="EW871" s="689"/>
      <c r="EX871" s="570"/>
      <c r="EY871" s="689"/>
      <c r="EZ871" s="570"/>
      <c r="FA871" s="689"/>
      <c r="FB871" s="570"/>
      <c r="FC871" s="689"/>
      <c r="FD871" s="570"/>
      <c r="FE871" s="689"/>
      <c r="FF871" s="570"/>
      <c r="FG871" s="689"/>
      <c r="FH871" s="570"/>
      <c r="FI871" s="689"/>
      <c r="FJ871" s="570"/>
      <c r="FK871" s="689"/>
      <c r="FL871" s="570"/>
      <c r="FM871" s="689"/>
      <c r="FN871" s="570"/>
      <c r="FO871" s="689"/>
      <c r="FP871" s="570"/>
      <c r="FQ871" s="689"/>
      <c r="FR871" s="570"/>
      <c r="FS871" s="689"/>
      <c r="FT871" s="570"/>
      <c r="FU871" s="689"/>
      <c r="FV871" s="570"/>
      <c r="FW871" s="689"/>
      <c r="FX871" s="570"/>
      <c r="FY871" s="689"/>
      <c r="FZ871" s="570"/>
      <c r="GA871" s="689"/>
      <c r="GB871" s="570"/>
      <c r="GC871" s="689"/>
      <c r="GD871" s="570"/>
      <c r="GE871" s="689"/>
      <c r="GF871" s="570"/>
      <c r="GG871" s="689"/>
      <c r="GH871" s="570"/>
      <c r="GI871" s="689"/>
      <c r="GJ871" s="570"/>
      <c r="GK871" s="689"/>
      <c r="GL871" s="570"/>
      <c r="GM871" s="689"/>
      <c r="GN871" s="570"/>
      <c r="GO871" s="689"/>
      <c r="GP871" s="570"/>
      <c r="GQ871" s="689"/>
      <c r="GR871" s="501"/>
      <c r="GS871" s="501"/>
      <c r="GT871" s="570"/>
      <c r="GU871" s="501"/>
      <c r="GV871" s="501"/>
      <c r="GW871" s="570"/>
      <c r="GX871" s="570"/>
      <c r="GY871" s="501"/>
      <c r="GZ871" s="501"/>
      <c r="HA871" s="501"/>
      <c r="HB871" s="501"/>
      <c r="HC871" s="501"/>
      <c r="HD871" s="501"/>
      <c r="HE871" s="501"/>
      <c r="HF871" s="501"/>
      <c r="HG871" s="501"/>
      <c r="HH871" s="500"/>
      <c r="HI871" s="500"/>
      <c r="HJ871" s="500"/>
      <c r="HK871" s="500"/>
      <c r="HL871" s="500"/>
      <c r="HM871" s="500"/>
      <c r="HN871" s="500"/>
      <c r="HO871" s="500"/>
      <c r="HP871" s="500"/>
      <c r="HQ871" s="500"/>
      <c r="HR871" s="500"/>
      <c r="HS871" s="500"/>
      <c r="HT871" s="500"/>
      <c r="HU871" s="500"/>
      <c r="HV871" s="500"/>
      <c r="HW871" s="500"/>
      <c r="HX871" s="500"/>
      <c r="HY871" s="500"/>
      <c r="HZ871" s="500"/>
      <c r="IA871" s="500"/>
      <c r="IB871" s="500"/>
      <c r="IC871" s="500"/>
      <c r="ID871" s="500"/>
      <c r="IE871" s="500"/>
      <c r="IF871" s="502"/>
      <c r="IG871" s="502"/>
      <c r="IH871" s="502"/>
      <c r="II871" s="503"/>
      <c r="IJ871" s="503"/>
      <c r="IK871" s="503"/>
      <c r="IL871" s="503"/>
      <c r="IM871" s="503"/>
      <c r="IN871" s="503"/>
      <c r="IO871" s="503"/>
      <c r="IP871" s="503"/>
      <c r="IQ871" s="503"/>
      <c r="IR871" s="503"/>
      <c r="IS871" s="503"/>
      <c r="IT871" s="503"/>
      <c r="IU871" s="503"/>
      <c r="IV871" s="503"/>
      <c r="IW871" s="503"/>
      <c r="IX871" s="503"/>
      <c r="IY871" s="503"/>
      <c r="IZ871" s="503"/>
      <c r="JA871" s="503"/>
      <c r="JB871" s="503"/>
      <c r="JC871" s="503"/>
      <c r="JD871" s="503"/>
      <c r="JE871" s="503"/>
      <c r="JF871" s="503"/>
      <c r="JG871" s="503"/>
      <c r="JH871" s="503"/>
      <c r="JI871" s="503"/>
      <c r="JJ871" s="503"/>
      <c r="JK871" s="503"/>
      <c r="JL871" s="503"/>
      <c r="JM871" s="503"/>
      <c r="JN871" s="503"/>
      <c r="JO871" s="503"/>
      <c r="JP871" s="503"/>
      <c r="JQ871" s="503"/>
      <c r="JR871" s="503"/>
      <c r="JS871" s="492"/>
      <c r="JT871" s="502"/>
      <c r="JU871" s="535"/>
      <c r="JV871" s="489"/>
      <c r="JW871" s="504"/>
      <c r="JX871" s="554"/>
      <c r="JY871" s="554"/>
      <c r="JZ871" s="554"/>
      <c r="KA871" s="554"/>
      <c r="KB871" s="555"/>
      <c r="KC871" s="709">
        <f t="shared" ref="KC871" si="17730">HG871-KB871</f>
        <v>0</v>
      </c>
      <c r="KD871" s="499"/>
      <c r="KE871" s="499"/>
      <c r="KF871" s="499"/>
      <c r="KG871" s="499"/>
      <c r="KH871" s="34"/>
      <c r="KI871" s="34"/>
      <c r="KJ871" s="34"/>
      <c r="KK871" s="34"/>
    </row>
  </sheetData>
  <mergeCells count="147">
    <mergeCell ref="CH8:CI8"/>
    <mergeCell ref="BJ8:BK8"/>
    <mergeCell ref="AP8:AQ8"/>
    <mergeCell ref="AR8:AS8"/>
    <mergeCell ref="GN8:GO8"/>
    <mergeCell ref="EJ8:EK8"/>
    <mergeCell ref="EB8:EC8"/>
    <mergeCell ref="DZ8:EA8"/>
    <mergeCell ref="EL8:EM8"/>
    <mergeCell ref="EN8:EO8"/>
    <mergeCell ref="EP8:EQ8"/>
    <mergeCell ref="DT8:DU8"/>
    <mergeCell ref="CP8:CQ8"/>
    <mergeCell ref="DL8:DM8"/>
    <mergeCell ref="DN8:DO8"/>
    <mergeCell ref="EH8:EI8"/>
    <mergeCell ref="DX8:DY8"/>
    <mergeCell ref="DV8:DW8"/>
    <mergeCell ref="DP8:DQ8"/>
    <mergeCell ref="CR8:CS8"/>
    <mergeCell ref="ED8:EE8"/>
    <mergeCell ref="EF8:EG8"/>
    <mergeCell ref="GP8:GQ8"/>
    <mergeCell ref="JP7:JR7"/>
    <mergeCell ref="BN8:BO8"/>
    <mergeCell ref="BB8:BC8"/>
    <mergeCell ref="BD8:BE8"/>
    <mergeCell ref="BH8:BI8"/>
    <mergeCell ref="JM7:JO7"/>
    <mergeCell ref="IX7:IZ7"/>
    <mergeCell ref="JG7:JI7"/>
    <mergeCell ref="IU7:IW7"/>
    <mergeCell ref="HJ7:HK7"/>
    <mergeCell ref="IL7:IN7"/>
    <mergeCell ref="IB7:IC7"/>
    <mergeCell ref="HV7:HW7"/>
    <mergeCell ref="EX8:EY8"/>
    <mergeCell ref="CJ8:CK8"/>
    <mergeCell ref="CL8:CM8"/>
    <mergeCell ref="DD8:DE8"/>
    <mergeCell ref="CT8:CU8"/>
    <mergeCell ref="GD8:GE8"/>
    <mergeCell ref="GF8:GG8"/>
    <mergeCell ref="BT8:BU8"/>
    <mergeCell ref="BZ8:CA8"/>
    <mergeCell ref="CZ8:DA8"/>
    <mergeCell ref="D7:GQ7"/>
    <mergeCell ref="AH8:AI8"/>
    <mergeCell ref="CD8:CE8"/>
    <mergeCell ref="CF8:CG8"/>
    <mergeCell ref="A7:A8"/>
    <mergeCell ref="B7:B8"/>
    <mergeCell ref="HH7:HI7"/>
    <mergeCell ref="P8:Q8"/>
    <mergeCell ref="R8:S8"/>
    <mergeCell ref="X8:Y8"/>
    <mergeCell ref="Z8:AA8"/>
    <mergeCell ref="AB8:AC8"/>
    <mergeCell ref="AD8:AE8"/>
    <mergeCell ref="DJ8:DK8"/>
    <mergeCell ref="DR8:DS8"/>
    <mergeCell ref="CV8:CW8"/>
    <mergeCell ref="CX8:CY8"/>
    <mergeCell ref="DF8:DG8"/>
    <mergeCell ref="DH8:DI8"/>
    <mergeCell ref="GZ7:GZ8"/>
    <mergeCell ref="DB8:DC8"/>
    <mergeCell ref="T8:U8"/>
    <mergeCell ref="BL8:BM8"/>
    <mergeCell ref="BP8:BQ8"/>
    <mergeCell ref="GU7:GU8"/>
    <mergeCell ref="GW7:GW8"/>
    <mergeCell ref="HF7:HF8"/>
    <mergeCell ref="GX7:GX8"/>
    <mergeCell ref="HD7:HD8"/>
    <mergeCell ref="HB7:HB8"/>
    <mergeCell ref="ET8:EU8"/>
    <mergeCell ref="EV8:EW8"/>
    <mergeCell ref="ER8:ES8"/>
    <mergeCell ref="FL8:FM8"/>
    <mergeCell ref="GL8:GM8"/>
    <mergeCell ref="FH8:FI8"/>
    <mergeCell ref="FN8:FO8"/>
    <mergeCell ref="FP8:FQ8"/>
    <mergeCell ref="GJ8:GK8"/>
    <mergeCell ref="FR8:FS8"/>
    <mergeCell ref="FT8:FU8"/>
    <mergeCell ref="FF8:FG8"/>
    <mergeCell ref="FJ8:FK8"/>
    <mergeCell ref="FV8:FW8"/>
    <mergeCell ref="GH8:GI8"/>
    <mergeCell ref="FX8:FY8"/>
    <mergeCell ref="FZ8:GA8"/>
    <mergeCell ref="GB8:GC8"/>
    <mergeCell ref="D8:E8"/>
    <mergeCell ref="F8:G8"/>
    <mergeCell ref="H8:I8"/>
    <mergeCell ref="J8:K8"/>
    <mergeCell ref="L8:M8"/>
    <mergeCell ref="N8:O8"/>
    <mergeCell ref="EZ8:FA8"/>
    <mergeCell ref="FB8:FC8"/>
    <mergeCell ref="FD8:FE8"/>
    <mergeCell ref="AN8:AO8"/>
    <mergeCell ref="AJ8:AK8"/>
    <mergeCell ref="BF8:BG8"/>
    <mergeCell ref="AL8:AM8"/>
    <mergeCell ref="AX8:AY8"/>
    <mergeCell ref="AZ8:BA8"/>
    <mergeCell ref="BX8:BY8"/>
    <mergeCell ref="V8:W8"/>
    <mergeCell ref="BV8:BW8"/>
    <mergeCell ref="BR8:BS8"/>
    <mergeCell ref="AT8:AU8"/>
    <mergeCell ref="AV8:AW8"/>
    <mergeCell ref="CB8:CC8"/>
    <mergeCell ref="AF8:AG8"/>
    <mergeCell ref="CN8:CO8"/>
    <mergeCell ref="KD6:KM6"/>
    <mergeCell ref="KD7:KD9"/>
    <mergeCell ref="KE7:KE9"/>
    <mergeCell ref="KH7:KM7"/>
    <mergeCell ref="JD7:JF7"/>
    <mergeCell ref="HN7:HO7"/>
    <mergeCell ref="JJ7:JL7"/>
    <mergeCell ref="JA7:JC7"/>
    <mergeCell ref="IO7:IQ7"/>
    <mergeCell ref="IR7:IT7"/>
    <mergeCell ref="IF7:IH7"/>
    <mergeCell ref="II7:IK7"/>
    <mergeCell ref="ID7:IE7"/>
    <mergeCell ref="HZ7:IA7"/>
    <mergeCell ref="HX7:HY7"/>
    <mergeCell ref="HR7:HS7"/>
    <mergeCell ref="KB2:KB5"/>
    <mergeCell ref="JU2:JW2"/>
    <mergeCell ref="JU3:JW3"/>
    <mergeCell ref="JU4:JV4"/>
    <mergeCell ref="GV7:GV8"/>
    <mergeCell ref="GY7:GY8"/>
    <mergeCell ref="HP7:HQ7"/>
    <mergeCell ref="HC7:HC8"/>
    <mergeCell ref="HL7:HM7"/>
    <mergeCell ref="HT7:HU7"/>
    <mergeCell ref="HE7:HE8"/>
    <mergeCell ref="HA7:HA8"/>
    <mergeCell ref="JZ7:KA8"/>
  </mergeCells>
  <phoneticPr fontId="0" type="noConversion"/>
  <printOptions horizontalCentered="1"/>
  <pageMargins left="0.19685039370078741" right="0.19685039370078741" top="0.39370078740157483" bottom="0.59055118110236227" header="0.31496062992125984" footer="0.31496062992125984"/>
  <pageSetup scale="55" firstPageNumber="0" orientation="landscape" r:id="rId1"/>
  <headerFooter alignWithMargins="0">
    <oddFooter>&amp;L&amp;T&amp;T&amp;C&amp;F&amp;R&amp;P</oddFooter>
  </headerFooter>
  <ignoredErrors>
    <ignoredError sqref="HG18 IG597:JT597 IG589:JT589 IG583:JT585 IG360:JT368 IG287:JT288 IG282:JT282 IG264:JT264 IG256:JT256 IG254:JT254 IG248:JT251 IG871:JT871 GP649:GR649 GP648:GR648 GP647:GR647 GP646:GR646 GP650:GR665 GP641:GR641 GP642:GR645 GP639:GR639 GP638:GR638 GP640:GR640 GP635:GR635 GP636:GR637 IG596:JC596 GP596:GR596 IG595:JC595 GP595:GR595 IG594:JC594 GP594:GR594 IG593:JC593 GP593:GR593 GP597:GR634 IG588:JC588 GP588:GR588 IG587:JC587 GP587:GR587 IG586:JC586 GP586:GR586 GP589:GR592 IG582:JC582 GP582:GR582 GP583:GR585 IG359:JF359 GP359:GR359 GP360:GR375 IG285:JC285 GP285:GR285 IG284:JC284 GP284:GR284 IG283:JC283 GP283:GR283 GP353:GR358 IG281:JC281 GP281:GR281 IG280:JC280 GP280:GR280 GP282:GR282 IG263:JC263 GP263:GR263 IG262:JC262 GP262:GR262 IG261:JC261 GP261:GR261 IG260:JC260 GP260:GR260 GP264:GR279 IG255:JC255 GP255:GR255 GP256:GR259 IG253:JC253 GP253:GR253 IG252:JC252 GP252:GR252 GP254:GR254 IG247:JC247 JT247 GP247:GR247 GP248:GR251 GP871:GR871 GP101:JT215 C58:JT100 C247:CV247 C101:GO215 C872:JT873 C871:GO871 GS871:HT871 C253:CU253 C249:GO251 GT248:HT251 GT247:HT247 JS247 C255:GO255 C254:GO254 GT254:HT254 C252:EF252 GT252:HT252 GT253:HT253 C263:GO263 C256:GO256 GT256:HT259 GT255:HT255 C281:GO281 C264:GO264 GT264:HT279 C260:GO260 GT260:HT260 C261:GO261 GT261:HT261 C262:GO262 GT262:HT262 GT263:HC263 C285:GO285 C282:GO282 GT282:HT282 C280:GO280 GT280:HT280 GT281:HT281 C359:GO359 C287:GO288 GT354:HT358 C283:DF283 GT283:HT283 C284:GO284 GT284:HT284 GT285:HT285 C582:EH582 C360:GO368 GT420:IF424 GT359:HT359 C588:GO588 C583:GO585 GT583:HT585 GT582:HA582 C596:GO596 C589:GO589 GT589:HT592 C586:EX586 GT586:HA586 C587:GO587 GT587:HT587 GT588:HT588 C635:GO635 C597:GO597 GT597:HT634 C593:GO593 GT593:HT593 C594:GO594 GT594:HT594 C595:GO595 GT595:HT595 GT596:HC596 C639:GO639 C636:GO637 GT636:HT637 GT635:HT635 C641:GO641 C640:GO640 GT640:HT640 C638:GO638 GT638:HT638 GT639:HT639 C649:GO649 C642:GO642 GT642:HT645 GT641:HT641 C650:GO665 GT650:HT665 C646:GO646 GT646:HT646 C647:GO647 GT647:HT647 C648:GO648 GT648:HT648 GT649:HC649 HV871:IF871 HV583:IF585 HV582 HV589:IF589 HV586 HV587 HV588 HV597:IF613 HV593 HV594 HV595 HV596 GT531:IF535 GT530:HS530 HV530:IF530 HV282:IF282 HV280 HV281 GT286:HT328 HV286:IF328 HV283 HV284 HV285 HV248:IF251 HV247 HV254:IF254 HV252 HV253 HV256:IF256 HV255 HV264:IF279 HV260 HV261 HV262 HV263 HV353:IF358 GT360:HT391 HV360:IF368 HV359 GT409:HT413 GT408:HS408 GT400:HT402 GT399:HS399 GT482:IF483 GT480:HS480 HU480 GT521:IF521 GT520:HS520 HU520:HY520 GT523:IF523 GT522:HS522 HU522:HY522 GT537:IF543 GT536:HS536 HU536 GT554:IF560 GT552:HS552 HU552:HW552 GT481:HS481 HU481:IF481 GT393:HT398 GT392:HS392 GT405:HT407 GT403:HS403 GT404:HS404 GT415:HT419 GT414:HS414 GT426:IF434 GT425:HS425 HU425 GT442:IF444 GT440:HS440 HU440 GT441:HS441 HU441:HW441 CX247:DT247 CW253:EF253 C286:DE286 DG286:GO286 DH283:GO283 C396:GO398 C395:DH395 DJ395:DP395 C405:GO407 C402:DG402 DI402 C410:GO412 C409:DG409 DI409:FI409 C415:GO419 C413:DH413 DJ413:FL413 C421:GO424 C420:DH420 DJ420:GO420 C426:GO434 C425:DH425 DJ425 C463:GO464 C462:DG462 DI462:FK462 C467:GO469 C466:DH466 DJ466:GO466 C525:GO535 C524:DG524 DI524:DP524 HF582:HT582 HF586:HT586 DK402:FK402 C408:DI408 DK408:GO408 DL425:EL425 C449:GO451 C448:DJ448 DL448:FR448 C455:GO455 C452:DJ452 DL452:GO452 C453:DJ453 DL453:FK453 C454:DJ454 DL454:FR454 C457:GO458 C456:DJ456 DL456:GO456 C471:GO473 C470:DI470 DK470:ES470 C491:GO495 C490:DJ490 DL490:FD490 JE247:JF247 JE252:JF252 JE253:JF253 JE255:JF255 IG258:JT259 IG257:JC257 JE257:JT257 JE260:JF260 JE261:JF261 JE262:JF262 JE263:JF263 IG266:JT267 IG265:JC265 JE265:JF265 JE280:JF280 JE281:JF281 JE283:JF283 JE284:JF284 JE285:JT285 IG286:JC286 JE286:JI286 IG370:JT370 IG369:JC369 JE369:JF369 IG372:JT383 IG371:JC371 JE371:JT371 IG385:JT391 IG384:JC384 JE384:JF384 IG393:JT394 IG392:JC392 JE392:JT392 IG396:JT398 IG395:JC395 JE395:JF395 IG400:JT401 IG399:JC399 JE399:JF399 IG405:JT406 IG402:JC402 JE402:JF402 IG403:JC403 JE403:JF403 IG404:JC404 JE404:JF404 IG410:JT412 IG407:JC407 JE407:JF407 IG408:JC408 JE408:JF408 IG409:JC409 JE409:JF409 IG415:JT424 IG413:JC413 JE413:JT413 IG414:JC414 JE414:JF414 IG426:JT439 IG425:JC425 JE425:JF425 IG442:JT444 IG440:JC440 JE440:JF440 IG441:JC441 JE441:JF441 IG446:JT446 IG445:JC445 JE445:JI445 IG449:JT451 IG447:JC447 JE447:JT447 IG448:JC448 JE448:JF448 IG457:JT458 IG452:JC452 JE452:JI452 IG453:JC453 JE453:JF453 IG454:JC454 JE454:JI454 IG455:JC455 JE455:JF455 IG456:JC456 JE456:JF456 IG461:JT461 IG459:JC459 JE459:JT459 IG460:JC460 JE460:JF460 IG463:JT466 IG462:JC462 JE462:JF462 IG468:JT469 IG467:JC467 JE467:JI467 IG471:JT473 IG470:JC470 JE470:JF470 IG476:JT476 IG474:JC474 JE474:JT474 IG475:JC475 JE475:JT475 IG479:JT479 IG478:JC478 JE478:JT478 IG481:JT483 IG480:JC480 JE480:JF480 IG487:JT488 IG484:JC484 JE484:JF484 IG485:JC485 JE485:JF485 IG486:JC486 JE486:JF486 IG490:JT492 IG489:JC489 JE489:JT489 IG494:JT495 IG493:JC493 JE493:JF493 IG497:JT497 IG496:JC496 JE496:JF496 IG499:JT509 IG498:JC498 JE498:JF498 IG511:JT513 IG510:JC510 JE510:JI510 IG515:JT519 IG514:JC514 JE514:JF514 IG521:JT521 IG520:JC520 JE520:JF520 IG523:JT523 IG522:JC522 JE522:JF522 IG525:JT535 IG524:JC524 JE524:JF524 IG537:JT543 IG536:JC536 JE536:JF536 IG545:JT546 IG544:JC544 JE544:JF544 IG548:JT551 IG547:JC547 JE547:JF547 IG554:JT560 IG553:JC553 JE553:JF553 IG562:JT581 IG561:JC561 JE561:JF561 JE582:JF582 JE586:JF586 JE587:JF587 JE588:JF588 IG591:JT592 IG590:JC590 JE590:JT590 JE593:JF593 JE594:JF594 JE595:JF595 JE596:JF596 IG599:JT600 IG598:JC598 JE598:JF598 IG615:JT622 IG614:JC614 JE614:JF614 IG624:JT625 IG623:JC623 JE623:JF623 HX247 HX252 HX253 HX255 HV258:IF259 HV257 HX257:IF257 HX260 HX261 HX262 HX263 HX280 HX281 HX283 HX284 HX285 HX359 HX582 HX586 HX587 HX588 HV591:IF592 HV590 HX590:IF590 HX593 HX594 HX595 HX596 HV370:IF370 HW369 HV385:IF388 HW384 HV396:IF398 HW395 HV405:IF406 HW402 HW403 HV410:IF412 HW407 HW408 HW409 HV415:IF419 HW413:HY413 HW425 HW440 GT449:IF451 GT448:HU448 HW448:HY448 GT453:HW453 GT452:HU452 HW452 GT455:IF455 GT454:HU454 HW454 GT457:IF458 GT456:HU456 HW456:IF456 GT461:IF461 GT459:HU459 HW459:HY459 GT460:HU460 HW460 GT463:IF464 GT462:HU462 HW462 GT471:IF473 GT470:HU470 HW470 HW480 GT491:IF492 GT490:HU490 HW490:HY490 GT494:IF495 GT493:HU493 HW493 GT497:IF497 GT496:HU496 HW496 GT499:IF509 GT498:HU498 HW498 GT511:IF513 GT510:HU510 HW510:HY510 GT525:IF529 GT524:HU524 HW524:HY524 HW536 GT545:IF546 GT544:HU544 HW544 GT548:IF551 GT547:HU547 HW547 GT562:IF581 GT561:HU561 HW561 HV615:IF622 HW614 HV624:IF625 HW623:IF623 HV372:IF375 HW371 DR395:EL395 C499:GO509 C498:DP498 DR498:EK498 C515:GO519 C514:DP514 DR514:FD514 DR524:EL524 C537:GO543 C536:DP536 DR536:FL536 C548:GO551 C547:DP547 DR547:EI547 C554:GO581 C552:DP552 DR552:EI552 C615:GO625 C614:DO614 DQ614:GO614 C248:DS248 DU248:GO248 DV247:EF247 C372:GO375 C371:EB371 ED371:EZ371 C370:GO370 C369:EA369 EC369:EJ369 C258:GO259 C257:ED257 EF257:GO257 C291:GO293 C289:EC289 EE289:GO289 C290:EC290 EE290:GO290 C296:GO323 C294:EC294 EE294:GO294 C295:EC295 EE295:GO295 C591:GO592 C590:ED590 EF590:FH590 C644:GO645 C643:ED643 EF643:GO643 EH247:EP247 C269:GO279 C268:EE268 EG268:FU268 C353:GO358 C351:EE351 EG351:FK351 C602:GO613 C601:EE601 EG601:FO601 EH252:GO252 EH253:GO253 EJ582:EP582 C599:GO600 C598:EG598 EI598:EO598 EK547:EY547 EK552:GO552 EL369:GO369 C385:GO388 C384:EL384 EN384:FL384 EN395:FK395 C400:GO401 C399:EL399 EN399:ES399 C414:EK414 EM414:FC414 EN425:FK425 EM498:FC498 EN524:FL524 C545:GO546 C544:EK544 EM544:FS544 EU399:GO399 C442:GO444 C440:ET440 EV440:FK440 C441:ET441 EV441 EU470:GO470 C497:GO497 C496:ES496 EU496:FK496 C436:GO439 C435:EU435 EW435:GO435 EX441:GO441 C447:FL447 C445:EV445 EX445:FL445 C446:EV446 EX446:FL446 C325:GO348 C324:EW324 EY324:GO324 EZ586:GO586 FB371:GO371 FA547:FC547 JH247:JI247 JH252:JI252 JH253:JI253 JH255:JI255 JH260:JI260 JH261:JI261 JH262:JI262 JH263:JI263 JH265:JI265 IG270:JT279 IG268:JF268 JH268:JI268 IG269:JF269 JH269:JT269 JH280:JI280 JH281:JI281 JH283:JI283 JH284:JI284 IG291:JT293 IG289:JF289 JH289:JI289 IG353:JT358 IG294:JF294 JH294:JI294 JH359:JT359 JH369:JI369 JH384:JI384 JH395:JI395 JH399:JI399 JH402:JI402 JH403:JI403 JH404:JI404 JH407:JI407 JH408:JI408 JH409:JI409 JH414:JI414 JH425:JI425 JH440:JI440 JH441:JI441 JH448:JI448 JH453:JI453 JH455:JI455 JH456:JI456 JH460:JI460 JH462:JI462 JH470:JI470 IG477:JF477 JH477:JT477 JH480:JI480 JH484:JT484 JH485:JT485 JH486:JI486 JH493:JI493 JH496:JI496 JH498:JI498 JH514:JT514 JH520:JI520 JH522:JI522 JH524:JI524 JH536:JI536 JH544:JI544 JH547:JI547 JH553:JT553 JH561:JI561 JH582:JI582 JH586:JI586 JH587:JI587 JH588:JI588 JH593:JI593 JH594:JI594 JH595:JI595 JH596:JI596 JH598:JI598 IG602:JT613 IG601:JF601 JH601:JI601 JH614:JI614 JH623:JI623 IG627:JT634 IG626:JF626 JH626:JT626 HZ247 HZ252 HZ253 HZ255 HZ260 HZ261 HZ262 HZ263 HZ280 HZ281 HZ283 HZ284 HZ285 HZ359 HZ582 HZ586 HZ587 HZ588 HZ593 HZ594 HZ595 HZ596 HY369 HY614 HY384 HY395 HV400:IF401 HV399:HW399 HY399:IF399 HY402 HY403 HV404:HW404 HY404 HY407 HY408:IF408 HY409 HV414:HW414 HY414 HY425 HY440 HY441:IF441 GT447:HY447 GT445:HW445 HY445 GT446:HW446 HY446 HY452 HY453 HY460 HY462 GT466:IF469 GT465:HW465 HY465 HY470 HY480 GT487:IF489 GT486:HW486 HY486 HY493:IF493 HY496 HY498 GT515:IF517 GT514:HW514 HY514 HY536 HY544 HY547 HY552:IF552 HY561:IF561 HV627:IF634 HV626:HW626 HY626 HY454 GT436:IF439 GT435:HW435 HY435:IF435 HY371 FE414:FK414 C461:GO461 C459:FD459 FF459:GO459 C460:FD460 FF460 C487:GO489 C484:FD484 FF484:GO484 C485:FD485 FF485:GO485 FF490:GO490 FE498:FK498 C511:GO513 C510:FD510 FF510:FK510 FF514:FL514 FE547:FS547 C377:GO383 C376:FE376 FG376:GO376 FH460:FR460 C627:GO634 C626:FE626 FG626:GO626 FJ590:GO590 IG296:JT323 HV329:IF348 GT329:HT348 GP286:GR348 C350:FK350 D349:FG349 GP350:GR351 GT353:HF353 HH353:HT353 IG350:JT350 HV350:IF351 GT350:HT351 C217:GO246 D216:FG216 GP217:JT246 GP377:GR581 GQ376:GR376 HF263:HT263 HF596:HT596 HF649:HT649 FK409 C486:FJ486 FL486:GO486 FN384:GO384 FM395:FR395 FM402:FQ402 C403:FL403 FN403:GO403 C404:FK404 FM404:GO404 FM409:FQ409 FN413:FR413 FM414:FQ414 FM425:FQ425 FM440:GO440 FN445:GO445 FN446:GO446 FN447:GO447 FM453:GO453 FM462:GO462 C480:GO483 C478:FL478 FN478:GO478 FM496:GO496 FM498:FQ498 FM510:GO510 FN514:GO514 C521:GO521 C520:FL520 FN520:GO520 C523:GO523 C522:FL522 FN522:FQ522 FN524:FQ524 FN536:FR536 FR582:GO582 FQ601:GO601 C390:GO391 C389:FR389 FT389:GO389 C394:GO394 C392:FR392 FT392:GO392 C393:FQ393 FS393:GO393 FT395:GO395 FS402:GO402 FS409:GO409 FT413:FW413 FS414:GO414 FS425:GO425 FT448:GO448 FT454:GO454 FT460:GO460 C465:FR465 FT465:GO465 C476:GO477 C474:FR474 FT474:GO474 C475:FR475 FT475:GO475 C479:FR479 FT479:GO479 FS498:GO498 FS522:GO522 FS524:GO524 FT536 C553:FR553 FT553:GO553 FV536:FX536 FU544:FW544 FU547:GO547 FX247:GO247 FW268:GO268 FY413:GO413 FZ536:GO536 FY544:GO544 JK247:JR247 ER247:FV247 C266:GO267 C265:EO265 EQ265:GO265 ER582:FP582 EQ598:GO598 JK252:JT252 JK253:JT253 JK255:JT255 JK260:JT260 JK261:JT261 JK262:JT262 JK263:JT263 JK265:JT265 JK268:JT268 JK280:JT280 JK281:JT281 JK283:JT283 JK284:JT284 JK286:JT286 JM289:JT289 IG290:JI290 JM290:JT290 JM294:JT294 IG295:JI295 JM295:JT295 IG325:JT348 IG324:JI324 JK324:JT324 IG351:JI351 JK351:JT351 JK369:JT369 JK384:JT384 JK395:JT395 JK399:JT399 JK402:JT402 JK403:JT403 JK404:JT404 JK407:JT407 JK408:JT408 JK409:JT409 JK414:JT414 JK425:JT425 JK440:JT440 JK441:JT441 JK445:JT445 JK448:JT448 JK452:JT452 JK453:JT453 JK454:JT454 JK455:JT455 JK456:JT456 JK460:JT460 JK462:JT462 JK467:JT467 JK470:JT470 JK480:JT480 JK486:JT486 JK493:JT493 JK496:JT496 JK498:JT498 JK510:JT510 JK520:JT520 JK522:JT522 JK524:JT524 JK536:JT536 JK544:JT544 JK547:JT547 IG552:JI552 JK552:JT552 JK561:JT561 JK582:JT582 JK586:JT586 JK587:JT587 JK588:JT588 JK593:JT593 JK594:JT594 JK595:JT595 JK596:JT596 JK598:JT598 JK601:JT601 JK614:JT614 JK623:JT623 IB247:IF247 IB252:IF252 IB253:IF253 IB255:IF255 IB260:IF260 IB261:IF261 IB262:IF262 IB263:IF263 IB280:IF280 IB281:IF281 IB283:IF283 IB284:IF284 IB285:IF285 IB359:IF359 IB582:IF582 IB586:IF586 IB587:IF587 IB588:IF588 IB593:IF593 IB594:IF594 IB595:IF595 IB596:IF596 IA384:IF384 HV394:IF394 HV392:HY392 IA392:IF392 IA395:IF395 IA402:IF402 IA403:IF403 IA404:IF404 IA407:IF407 IA409:IF409 IA413:IF413 IA414:IF414 IA425:IF425 IA440:IF440 IA445:IF445 IA446:IF446 IA447:IF447 IA448:IF448 IA452:IF452 IA453:IF453 IA454:IF454 IA459:IF459 IA460:IF460 IA462:IF462 IA465:IF465 GT476:IF477 GT474:HY474 IA474:IF474 GT475:HY475 IA475:IF475 GT479:IF479 GT478:HY478 IA478:IF478 GT485:HY485 GT484:HY484 IA484:IF484 IA485:IF485 IA486:IF486 IA490:IF490 IA498:IF498 IA510:IF510 IA514:IF514 IA520:IF520 IA522:IF522 IA524:IF524 IA536:IF536 IA544:IF544 IA547:IF547 GT553:HY553 IA553:IF553 IA614:IF614 IA371:IF371 HV377:IF383 HV376:HY376 IA376:IF376 HV390:IF391 HV389:HY389 IA389:IF389 IA626:IF626 HV393:HY393 IA393:IF393 IA470:IF470 IA480:IF480 IA496:IF496 GT519:IF519 GT518:HY518 IA518:IF518 IA369:IF369" formula="1"/>
    <ignoredError sqref="GT666:HT688 C666:GR669 C828:GR837 D827:GR827 C792:GR796 D790:GR790 HV646:HV649 HV641 HV638:HV639 HV635 HV636:JT637 HV640:JT640 HV642:JT642 HV650:JT671 HU871 HU582:HU702 HT530:HU530 HU353:HU419 HU762:HU780 HV762:JT768 HV689:HX689 JT689 GT689:HF689 HH689:HT689 DE672:DL672 C671:DC672 GP671:GR671 C763:GR768 C677:DC677 DE677:DM677 C867:GR868 C861:DD861 DF861:DL861 C680:GR702 GT690:HT717 HV690:JT702 HU704:HU717 C751:DK751 DM751 C777:GR780 C776:DK776 DM776:FN776 C782:GR789 C781:DL781 DN781:DV781 DN861 C673:DM676 DP861:DR861 DT672:DX672 C678:DM679 DT673:GR675 DP672:DQ679 DT861:DX861 JE635:JF635 JE639:JT639 JE641:JF641 JE643:JT643 HV673:JT685 HV672:JC672 JE672:JF672 HV775:JT775 HV769:JC769 JE770:JT770 HV797:JT838 HV791:JC791 JE792:JT792 GT867:JT870 HV839:JC839 JE839:JT839 HX635 HX641 HV644:JT645 HV643 HX643:JC643 C704:GR715 C703:DM703 DO703:FB703 DO751:DU751 C762:DA762 DC762:DM762 DO762:DU762 C770:GR775 C769:DN769 DP769:GR769 C791:DN791 DP791:GR791 DW751:GR751 DX781:EN781 DW762:GR762 DZ672:FA672 C717:GR750 C716:DX716 DZ716:FN716 DZ861 HV840:JT862 C862:GR862 GT762:HT862 HU782:HU862 C866:DW866 DY866:FZ866 C863:DW863 DT678:GR679 DT676:EM676 EO676:ER676 EP781:GR781 DT677:DZ677 EB677:FN677 C840:GR860 C838:DZ838 EB838:GR838 EB861:GR861 ET676:GR676 JH635:JI635 JE638:JF638 JH638:JI638 JH641:JI641 JE646:JF649 JH649:JI649 JH672:JI672 JH689:JR689 JE769:JF769 JH769:JI769 JE791:JF791 JH791:JI791 HZ635 HX638:HX639 HZ639 HZ641 HX646:HX649 HZ649 HZ689:JF689 HV782:JT783 HV781:HX781 HZ781 HV720:JT751 HV719:HX719 IB719:JT719 GT866:HX866 HZ866 GT718:HG718 IF718:JT718 GT719:HU751 FC672:FN672 FD703:FN703 HU247:HU348 HU350:HU351 C670:FN670 FP670:GR670 FP672:GR672 FP677:GR677 FP703:GR703 FP716:GR716 FP776:GR776 C798:GR826 C797:FN797 FP797:GR797 C839:FN839 FP839:GR839 C870:GR870 C869:FN869 FP869:GR869 GB866:GR866 JK635:JT635 JK638:JT638 JK641:JT641 JH646:JI646 JK646:JT646 JH647:JI647 JK647:JT647 JH648:JI648 JK648:JT648 JK649:JT649 JK672:JT672 JK769:JT769 HV771:HZ771 JK771:JT771 HV772:HZ772 JK772:JT772 HV773:HZ773 JK773:JT773 HV777:JT780 HV776:JI776 JK776:JT776 JK791:JT791 HV793:HZ793 JK793:JT793 HV794:HZ794 JK794:JT794 HV795:HZ795 JK795:JT795 IB635:JC635 HZ638 IB638:JC638 IB639:JC639 IB641:JC641 HZ646 IB646:JC646 HZ647 IB647:JC647 HZ648 IB648:JC648 IB649:JC649 HV687:JT688 HV686:HZ686 IB686:JT686 HV704:JT717 HV703:HZ703 IB703:JT703 IB771:JI771 IB772:JI772 IB773:JI773 HV774:HZ774 IB774:JT774 IB781:JT781 HV785:JT790 HV784:HZ784 IB784:JT784 IB793:JI793 IB794:JI794 IB795:JI795 HV796:HZ796 IB796:JT796 IB866:JT866 HV770:HZ770 IB770:JC770 HV792:HZ792 IB792:JC792" formula="1" unlockedFormula="1"/>
    <ignoredError sqref="JU866:JU870 JU666:JU751 JU762:JU863" unlockedFormula="1"/>
    <ignoredError sqref="GS650:GS665 GS642 GS640 GS636:GS637 GS597 GS589 GS583:GS585 GS360:GS368 GS287:GS288 GS264 GS256 GS254 GS249:GS251 GS258:GS259 GS266:GS267 GS270:GS279 GS292:GS293 GS297:GS298 GS301:GS302 GS304:GS305 GS307:GS310 GS312:GS313 GS315:GS316 GS318:GS319 GS321:GS322 GS325:GS326 GS328:GS330 GS332:GS348 GS353:GS358 GS370 GS372:GS375 GS377:GS383 GS385:GS388 GS393:GS394 GS396:GS398 GS400:GS401 GS405:GS406 GS410:GS412 GS415:GS419 GS426 GS436:GS439 GS442:GS444 GS449:GS451 GS457:GS458 GS463:GS464 GS471:GS473 GS481:GS483 GS487:GS488 GS497 GS499:GS509 GS511 GS513 GS515:GS517 GS519 GS521 GS523 GS525:GS535 GS537:GS538 GS540:GS543 GS548:GS551 GS554:GS560 GS562:GS581 GS591:GS592 GS599:GS600 GS602:GS613 GS615:GS622 GS624:GS625 GS627:GS634 GS644:GS645 GS428:GS430 GS350" formula="1" formulaRange="1"/>
    <ignoredError sqref="GS666 C827 C790 GS668:GS669 GS680:GS681 GS683:GS685 GS687:GS688 GS690:GS693 GS695:GS699 GS701:GS702 GS704:GS705 GS707:GS708 GS710:GS712 GS717:GS718 GS720:GS733 GS737:GS739 GS741:GS745 GS747:GS750 GS763:GS768 GS782:GS783 GS789:GS790 GS824:GS827 GS841:GS842 GS854:GS857 GS859:GS860 GS862 GS867:GS868 GS870 GS844:GS845" formula="1" formulaRange="1" unlocked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"/>
  <sheetViews>
    <sheetView workbookViewId="0">
      <selection activeCell="H18" sqref="H18"/>
    </sheetView>
  </sheetViews>
  <sheetFormatPr baseColWidth="10" defaultRowHeight="12.75"/>
  <cols>
    <col min="1" max="1" width="1.85546875" style="29" customWidth="1"/>
    <col min="2" max="2" width="2.140625" style="29" customWidth="1"/>
    <col min="3" max="3" width="2.140625" style="417" customWidth="1"/>
    <col min="4" max="4" width="18.140625" style="29" customWidth="1"/>
    <col min="5" max="5" width="14" style="29" customWidth="1"/>
    <col min="6" max="6" width="11.85546875" style="29" hidden="1" customWidth="1"/>
    <col min="7" max="7" width="14.85546875" style="29" customWidth="1"/>
    <col min="8" max="8" width="14.42578125" style="29" customWidth="1"/>
    <col min="9" max="9" width="14.5703125" style="29" customWidth="1"/>
    <col min="10" max="10" width="12.85546875" style="29" customWidth="1"/>
    <col min="11" max="11" width="7" style="29" customWidth="1"/>
    <col min="12" max="16384" width="11.42578125" style="29"/>
  </cols>
  <sheetData>
    <row r="1" spans="1:11" ht="13.5" thickBot="1">
      <c r="A1" s="336" t="s">
        <v>915</v>
      </c>
    </row>
    <row r="2" spans="1:11" ht="18" customHeight="1" thickBot="1">
      <c r="A2" s="1055" t="s">
        <v>385</v>
      </c>
      <c r="B2" s="1056"/>
      <c r="C2" s="1056"/>
      <c r="D2" s="1056"/>
      <c r="E2" s="1054" t="s">
        <v>386</v>
      </c>
      <c r="F2" s="1054"/>
      <c r="G2" s="1054"/>
      <c r="H2" s="1054"/>
      <c r="I2" s="1054"/>
      <c r="J2" s="1061" t="s">
        <v>1017</v>
      </c>
      <c r="K2" s="1059" t="s">
        <v>1016</v>
      </c>
    </row>
    <row r="3" spans="1:11" ht="18" customHeight="1" thickBot="1">
      <c r="A3" s="1057"/>
      <c r="B3" s="1058"/>
      <c r="C3" s="1058"/>
      <c r="D3" s="1058"/>
      <c r="E3" s="615" t="s">
        <v>369</v>
      </c>
      <c r="F3" s="615" t="s">
        <v>348</v>
      </c>
      <c r="G3" s="615" t="s">
        <v>370</v>
      </c>
      <c r="H3" s="615" t="s">
        <v>347</v>
      </c>
      <c r="I3" s="615" t="s">
        <v>836</v>
      </c>
      <c r="J3" s="1062"/>
      <c r="K3" s="1060"/>
    </row>
    <row r="4" spans="1:11" ht="18" customHeight="1">
      <c r="A4" s="409"/>
      <c r="B4" s="410"/>
      <c r="C4" s="418"/>
      <c r="D4" s="410"/>
      <c r="E4" s="402"/>
      <c r="F4" s="402"/>
      <c r="G4" s="402"/>
      <c r="H4" s="402"/>
      <c r="I4" s="402"/>
      <c r="J4" s="402"/>
      <c r="K4" s="616"/>
    </row>
    <row r="5" spans="1:11" s="161" customFormat="1" ht="23.1" customHeight="1">
      <c r="A5" s="1052" t="s">
        <v>616</v>
      </c>
      <c r="B5" s="1053"/>
      <c r="C5" s="1053"/>
      <c r="D5" s="1053"/>
      <c r="E5" s="404">
        <f>E6+E12</f>
        <v>57782700</v>
      </c>
      <c r="F5" s="404">
        <f>F6+F12</f>
        <v>0</v>
      </c>
      <c r="G5" s="404">
        <f>G6+G12</f>
        <v>57782700</v>
      </c>
      <c r="H5" s="404">
        <f>H6+H12</f>
        <v>52989178</v>
      </c>
      <c r="I5" s="404">
        <f>I6+I12</f>
        <v>53195861.699999996</v>
      </c>
      <c r="J5" s="404">
        <f>H5-I5</f>
        <v>-206683.69999999553</v>
      </c>
      <c r="K5" s="617">
        <f t="shared" ref="K5:K13" si="0">I5/H5</f>
        <v>1.0039004888885046</v>
      </c>
    </row>
    <row r="6" spans="1:11" ht="23.1" customHeight="1">
      <c r="A6" s="421" t="s">
        <v>896</v>
      </c>
      <c r="B6" s="346" t="s">
        <v>563</v>
      </c>
      <c r="C6" s="422"/>
      <c r="D6" s="346"/>
      <c r="E6" s="404">
        <f>E7</f>
        <v>52782700</v>
      </c>
      <c r="F6" s="404">
        <f>F7</f>
        <v>0</v>
      </c>
      <c r="G6" s="404">
        <f>G7</f>
        <v>52782700</v>
      </c>
      <c r="H6" s="404">
        <f>H7</f>
        <v>47989178</v>
      </c>
      <c r="I6" s="404">
        <f>I7</f>
        <v>48195861.699999996</v>
      </c>
      <c r="J6" s="404">
        <f>H6-I6</f>
        <v>-206683.69999999553</v>
      </c>
      <c r="K6" s="617">
        <f t="shared" si="0"/>
        <v>1.0043068814389777</v>
      </c>
    </row>
    <row r="7" spans="1:11" ht="23.1" customHeight="1">
      <c r="A7" s="421"/>
      <c r="B7" s="346" t="s">
        <v>884</v>
      </c>
      <c r="C7" s="422" t="s">
        <v>885</v>
      </c>
      <c r="D7" s="346"/>
      <c r="E7" s="424">
        <f>E8+E9+E10+E11</f>
        <v>52782700</v>
      </c>
      <c r="F7" s="424">
        <f>F8+F9+F10+F11</f>
        <v>0</v>
      </c>
      <c r="G7" s="424">
        <f>G8+G9+G10+G11</f>
        <v>52782700</v>
      </c>
      <c r="H7" s="424">
        <f>H8+H9+H10+H11</f>
        <v>47989178</v>
      </c>
      <c r="I7" s="424">
        <f>I8+I9+I10+I11</f>
        <v>48195861.699999996</v>
      </c>
      <c r="J7" s="620">
        <f t="shared" ref="J7:J14" si="1">H7-I7</f>
        <v>-206683.69999999553</v>
      </c>
      <c r="K7" s="618">
        <f t="shared" si="0"/>
        <v>1.0043068814389777</v>
      </c>
    </row>
    <row r="8" spans="1:11" ht="23.1" customHeight="1">
      <c r="A8" s="412"/>
      <c r="B8" s="413"/>
      <c r="C8" s="419" t="s">
        <v>887</v>
      </c>
      <c r="D8" s="413" t="s">
        <v>886</v>
      </c>
      <c r="E8" s="405">
        <f>INGRESOS!E15</f>
        <v>877500</v>
      </c>
      <c r="F8" s="405">
        <v>0</v>
      </c>
      <c r="G8" s="405">
        <f>E8+F8</f>
        <v>877500</v>
      </c>
      <c r="H8" s="405">
        <f>INGRESOS!F15</f>
        <v>805300</v>
      </c>
      <c r="I8" s="405">
        <f>INGRESOS!S15</f>
        <v>382196.9</v>
      </c>
      <c r="J8" s="404">
        <f t="shared" si="1"/>
        <v>423103.1</v>
      </c>
      <c r="K8" s="618">
        <f t="shared" si="0"/>
        <v>0.47460188749534338</v>
      </c>
    </row>
    <row r="9" spans="1:11" ht="23.1" customHeight="1">
      <c r="A9" s="412"/>
      <c r="B9" s="413"/>
      <c r="C9" s="419" t="s">
        <v>888</v>
      </c>
      <c r="D9" s="413" t="s">
        <v>889</v>
      </c>
      <c r="E9" s="405">
        <f>INGRESOS!C24</f>
        <v>48782700</v>
      </c>
      <c r="F9" s="405">
        <v>0</v>
      </c>
      <c r="G9" s="405">
        <f>E9+F9</f>
        <v>48782700</v>
      </c>
      <c r="H9" s="405">
        <f>INGRESOS!F21</f>
        <v>44141882</v>
      </c>
      <c r="I9" s="405">
        <f>INGRESOS!S21</f>
        <v>44141882</v>
      </c>
      <c r="J9" s="404">
        <f t="shared" si="1"/>
        <v>0</v>
      </c>
      <c r="K9" s="618">
        <f t="shared" si="0"/>
        <v>1</v>
      </c>
    </row>
    <row r="10" spans="1:11" ht="23.1" customHeight="1">
      <c r="A10" s="180"/>
      <c r="B10" s="171"/>
      <c r="C10" s="419" t="s">
        <v>890</v>
      </c>
      <c r="D10" s="413" t="s">
        <v>891</v>
      </c>
      <c r="E10" s="405">
        <f>INGRESOS!E27</f>
        <v>2828700</v>
      </c>
      <c r="F10" s="405">
        <v>0</v>
      </c>
      <c r="G10" s="405">
        <f>E10+F10</f>
        <v>2828700</v>
      </c>
      <c r="H10" s="405">
        <f>INGRESOS!F27</f>
        <v>2748196</v>
      </c>
      <c r="I10" s="405">
        <f>INGRESOS!S27</f>
        <v>2696579.32</v>
      </c>
      <c r="J10" s="404">
        <f t="shared" si="1"/>
        <v>51616.680000000168</v>
      </c>
      <c r="K10" s="618">
        <f t="shared" si="0"/>
        <v>0.98121797717484482</v>
      </c>
    </row>
    <row r="11" spans="1:11" ht="23.1" customHeight="1">
      <c r="A11" s="180"/>
      <c r="B11" s="171"/>
      <c r="C11" s="419" t="s">
        <v>892</v>
      </c>
      <c r="D11" s="413" t="s">
        <v>893</v>
      </c>
      <c r="E11" s="405">
        <f>INGRESOS!E38</f>
        <v>293800</v>
      </c>
      <c r="F11" s="405">
        <v>0</v>
      </c>
      <c r="G11" s="405">
        <f>E11+F11</f>
        <v>293800</v>
      </c>
      <c r="H11" s="405">
        <f>INGRESOS!F40</f>
        <v>293800</v>
      </c>
      <c r="I11" s="405">
        <f>INGRESOS!S38</f>
        <v>975203.4800000001</v>
      </c>
      <c r="J11" s="404">
        <f t="shared" si="1"/>
        <v>-681403.4800000001</v>
      </c>
      <c r="K11" s="618">
        <f t="shared" si="0"/>
        <v>3.3192766507828457</v>
      </c>
    </row>
    <row r="12" spans="1:11" ht="23.1" customHeight="1">
      <c r="A12" s="421" t="s">
        <v>895</v>
      </c>
      <c r="B12" s="346" t="s">
        <v>564</v>
      </c>
      <c r="C12" s="422"/>
      <c r="D12" s="346"/>
      <c r="E12" s="424">
        <f>E13+E14</f>
        <v>5000000</v>
      </c>
      <c r="F12" s="424">
        <f>F13+F14</f>
        <v>0</v>
      </c>
      <c r="G12" s="424">
        <f>G13+G14</f>
        <v>5000000</v>
      </c>
      <c r="H12" s="424">
        <f>H13+H14</f>
        <v>5000000</v>
      </c>
      <c r="I12" s="424">
        <f>I13+I14</f>
        <v>5000000</v>
      </c>
      <c r="J12" s="404">
        <f t="shared" si="1"/>
        <v>0</v>
      </c>
      <c r="K12" s="618">
        <f t="shared" si="0"/>
        <v>1</v>
      </c>
    </row>
    <row r="13" spans="1:11" ht="23.1" customHeight="1">
      <c r="A13" s="180"/>
      <c r="B13" s="413" t="s">
        <v>884</v>
      </c>
      <c r="C13" s="419" t="s">
        <v>911</v>
      </c>
      <c r="D13" s="171"/>
      <c r="E13" s="405">
        <f>INGRESOS!C53</f>
        <v>5000000</v>
      </c>
      <c r="F13" s="405">
        <v>0</v>
      </c>
      <c r="G13" s="405">
        <f>E13+F13</f>
        <v>5000000</v>
      </c>
      <c r="H13" s="405">
        <f>INGRESOS!F50</f>
        <v>5000000</v>
      </c>
      <c r="I13" s="405">
        <f>INGRESOS!S50</f>
        <v>5000000</v>
      </c>
      <c r="J13" s="621">
        <f t="shared" si="1"/>
        <v>0</v>
      </c>
      <c r="K13" s="618">
        <f t="shared" si="0"/>
        <v>1</v>
      </c>
    </row>
    <row r="14" spans="1:11" ht="23.1" customHeight="1">
      <c r="A14" s="180"/>
      <c r="B14" s="413" t="s">
        <v>894</v>
      </c>
      <c r="C14" s="419" t="s">
        <v>883</v>
      </c>
      <c r="D14" s="171"/>
      <c r="E14" s="405">
        <f>INGRESOS!E55</f>
        <v>0</v>
      </c>
      <c r="F14" s="405">
        <v>0</v>
      </c>
      <c r="G14" s="405">
        <f>E14+F14</f>
        <v>0</v>
      </c>
      <c r="H14" s="405">
        <f>INGRESOS!F55</f>
        <v>0</v>
      </c>
      <c r="I14" s="405">
        <f>INGRESOS!S58</f>
        <v>0</v>
      </c>
      <c r="J14" s="621">
        <f t="shared" si="1"/>
        <v>0</v>
      </c>
      <c r="K14" s="618">
        <v>0</v>
      </c>
    </row>
    <row r="15" spans="1:11" ht="18" customHeight="1" thickBot="1">
      <c r="A15" s="244"/>
      <c r="B15" s="415"/>
      <c r="C15" s="420"/>
      <c r="D15" s="415"/>
      <c r="E15" s="407"/>
      <c r="F15" s="407"/>
      <c r="G15" s="407"/>
      <c r="H15" s="407"/>
      <c r="I15" s="407"/>
      <c r="J15" s="407"/>
      <c r="K15" s="619"/>
    </row>
    <row r="16" spans="1:11">
      <c r="E16" s="401"/>
      <c r="F16" s="401"/>
      <c r="G16" s="401"/>
      <c r="H16" s="401"/>
      <c r="I16" s="401"/>
      <c r="J16" s="401"/>
    </row>
  </sheetData>
  <mergeCells count="5">
    <mergeCell ref="A5:D5"/>
    <mergeCell ref="E2:I2"/>
    <mergeCell ref="A2:D3"/>
    <mergeCell ref="K2:K3"/>
    <mergeCell ref="J2:J3"/>
  </mergeCells>
  <pageMargins left="0.7" right="0.7" top="0.75" bottom="0.75" header="0.3" footer="0.3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K34"/>
  <sheetViews>
    <sheetView workbookViewId="0">
      <selection activeCell="A3" sqref="A3:K30"/>
    </sheetView>
  </sheetViews>
  <sheetFormatPr baseColWidth="10" defaultRowHeight="12.75"/>
  <cols>
    <col min="1" max="3" width="2.140625" style="29" customWidth="1"/>
    <col min="4" max="4" width="1" style="29" customWidth="1"/>
    <col min="5" max="5" width="27.28515625" style="29" customWidth="1"/>
    <col min="6" max="6" width="17.5703125" style="29" hidden="1" customWidth="1"/>
    <col min="7" max="7" width="16.28515625" style="29" customWidth="1"/>
    <col min="8" max="8" width="14.42578125" style="29" customWidth="1"/>
    <col min="9" max="9" width="15.7109375" style="29" customWidth="1"/>
    <col min="10" max="10" width="13.5703125" style="29" customWidth="1"/>
    <col min="11" max="11" width="9.28515625" style="426" customWidth="1"/>
    <col min="12" max="16384" width="11.42578125" style="29"/>
  </cols>
  <sheetData>
    <row r="2" spans="1:11" ht="13.5" thickBot="1"/>
    <row r="3" spans="1:11" ht="20.100000000000001" customHeight="1" thickBot="1">
      <c r="A3" s="1035" t="s">
        <v>385</v>
      </c>
      <c r="B3" s="1036"/>
      <c r="C3" s="1036"/>
      <c r="D3" s="1036"/>
      <c r="E3" s="1037"/>
      <c r="F3" s="1041" t="s">
        <v>386</v>
      </c>
      <c r="G3" s="1041"/>
      <c r="H3" s="1041"/>
      <c r="I3" s="1041"/>
      <c r="J3" s="1063" t="s">
        <v>573</v>
      </c>
      <c r="K3" s="1063"/>
    </row>
    <row r="4" spans="1:11" ht="20.100000000000001" customHeight="1" thickBot="1">
      <c r="A4" s="1038"/>
      <c r="B4" s="1039"/>
      <c r="C4" s="1039"/>
      <c r="D4" s="1039"/>
      <c r="E4" s="1040"/>
      <c r="F4" s="615" t="s">
        <v>387</v>
      </c>
      <c r="G4" s="615" t="s">
        <v>477</v>
      </c>
      <c r="H4" s="615" t="s">
        <v>40</v>
      </c>
      <c r="I4" s="615" t="s">
        <v>479</v>
      </c>
      <c r="J4" s="615" t="s">
        <v>574</v>
      </c>
      <c r="K4" s="622" t="s">
        <v>912</v>
      </c>
    </row>
    <row r="5" spans="1:11" ht="8.25" customHeight="1">
      <c r="A5" s="180"/>
      <c r="B5" s="171"/>
      <c r="C5" s="171"/>
      <c r="D5" s="171"/>
      <c r="E5" s="411"/>
      <c r="F5" s="403"/>
      <c r="G5" s="403"/>
      <c r="H5" s="403"/>
      <c r="I5" s="403"/>
      <c r="J5" s="403"/>
      <c r="K5" s="427"/>
    </row>
    <row r="6" spans="1:11" ht="20.100000000000001" customHeight="1">
      <c r="A6" s="1042" t="s">
        <v>908</v>
      </c>
      <c r="B6" s="1043"/>
      <c r="C6" s="1043"/>
      <c r="D6" s="1043"/>
      <c r="E6" s="1044"/>
      <c r="F6" s="193">
        <f>F8+F23+F28</f>
        <v>57782700</v>
      </c>
      <c r="G6" s="193">
        <f>G8+G23+G28</f>
        <v>57782700</v>
      </c>
      <c r="H6" s="193">
        <f>H8+H23+H28</f>
        <v>52989178</v>
      </c>
      <c r="I6" s="193">
        <f>I8+I23+I28</f>
        <v>53195861.700000003</v>
      </c>
      <c r="J6" s="193">
        <f>J8+J23+J28</f>
        <v>206683.69999999995</v>
      </c>
      <c r="K6" s="427">
        <f>I6/H6</f>
        <v>1.0039004888885048</v>
      </c>
    </row>
    <row r="7" spans="1:11" ht="9" customHeight="1">
      <c r="A7" s="180"/>
      <c r="B7" s="171"/>
      <c r="C7" s="171"/>
      <c r="D7" s="171"/>
      <c r="E7" s="411"/>
      <c r="F7" s="172"/>
      <c r="G7" s="172"/>
      <c r="H7" s="172"/>
      <c r="I7" s="172"/>
      <c r="J7" s="172"/>
      <c r="K7" s="427"/>
    </row>
    <row r="8" spans="1:11" ht="20.100000000000001" customHeight="1">
      <c r="A8" s="421" t="s">
        <v>896</v>
      </c>
      <c r="B8" s="346" t="s">
        <v>881</v>
      </c>
      <c r="C8" s="346"/>
      <c r="D8" s="346"/>
      <c r="E8" s="423"/>
      <c r="F8" s="193">
        <f>F10+F13+F19</f>
        <v>4000000</v>
      </c>
      <c r="G8" s="193">
        <f>G10+G13+G19</f>
        <v>4000000</v>
      </c>
      <c r="H8" s="193">
        <f>H10+H13+H19</f>
        <v>3847296</v>
      </c>
      <c r="I8" s="193">
        <f>I10+I13+I19</f>
        <v>4053979.6999999997</v>
      </c>
      <c r="J8" s="193">
        <f>J10+J13+J19</f>
        <v>206683.69999999995</v>
      </c>
      <c r="K8" s="427">
        <f>I8/H8</f>
        <v>1.0537218087716671</v>
      </c>
    </row>
    <row r="9" spans="1:11" ht="10.5" customHeight="1">
      <c r="A9" s="421"/>
      <c r="B9" s="346"/>
      <c r="C9" s="346"/>
      <c r="D9" s="346"/>
      <c r="E9" s="423"/>
      <c r="F9" s="193"/>
      <c r="G9" s="193"/>
      <c r="H9" s="193"/>
      <c r="I9" s="193"/>
      <c r="J9" s="193"/>
      <c r="K9" s="427"/>
    </row>
    <row r="10" spans="1:11" ht="17.25" customHeight="1">
      <c r="A10" s="421"/>
      <c r="B10" s="346"/>
      <c r="C10" s="346" t="s">
        <v>884</v>
      </c>
      <c r="D10" s="346" t="s">
        <v>886</v>
      </c>
      <c r="E10" s="423"/>
      <c r="F10" s="193">
        <f>SUM(F11:F12)</f>
        <v>877500</v>
      </c>
      <c r="G10" s="193">
        <f>SUM(G11:G12)</f>
        <v>877500</v>
      </c>
      <c r="H10" s="193">
        <f>SUM(H11:H12)</f>
        <v>805300</v>
      </c>
      <c r="I10" s="193">
        <f>SUM(I11:I12)</f>
        <v>382196.9</v>
      </c>
      <c r="J10" s="193">
        <f>SUM(J11:J12)</f>
        <v>-423103.1</v>
      </c>
      <c r="K10" s="427">
        <f t="shared" ref="K10:K21" si="0">I10/H10</f>
        <v>0.47460188749534338</v>
      </c>
    </row>
    <row r="11" spans="1:11" ht="20.100000000000001" customHeight="1">
      <c r="A11" s="180"/>
      <c r="B11" s="171"/>
      <c r="C11" s="171"/>
      <c r="D11" s="171"/>
      <c r="E11" s="414" t="s">
        <v>897</v>
      </c>
      <c r="F11" s="172">
        <f>INGRESOS!C18</f>
        <v>83300</v>
      </c>
      <c r="G11" s="172">
        <f>INGRESOS!D18</f>
        <v>83300</v>
      </c>
      <c r="H11" s="172">
        <f>INGRESOS!F18</f>
        <v>83300</v>
      </c>
      <c r="I11" s="172">
        <f>INGRESOS!S18</f>
        <v>92525.4</v>
      </c>
      <c r="J11" s="172">
        <f>I11-H11</f>
        <v>9225.3999999999942</v>
      </c>
      <c r="K11" s="427">
        <f t="shared" si="0"/>
        <v>1.1107490996398559</v>
      </c>
    </row>
    <row r="12" spans="1:11" ht="20.100000000000001" customHeight="1">
      <c r="A12" s="180"/>
      <c r="B12" s="171"/>
      <c r="C12" s="171"/>
      <c r="D12" s="171"/>
      <c r="E12" s="414" t="s">
        <v>898</v>
      </c>
      <c r="F12" s="172">
        <f>INGRESOS!C19</f>
        <v>794200</v>
      </c>
      <c r="G12" s="172">
        <f>INGRESOS!D19</f>
        <v>794200</v>
      </c>
      <c r="H12" s="172">
        <f>INGRESOS!F19</f>
        <v>722000</v>
      </c>
      <c r="I12" s="172">
        <f>INGRESOS!S19</f>
        <v>289671.5</v>
      </c>
      <c r="J12" s="172">
        <f>I12-H12</f>
        <v>-432328.5</v>
      </c>
      <c r="K12" s="427">
        <f t="shared" si="0"/>
        <v>0.40120706371191134</v>
      </c>
    </row>
    <row r="13" spans="1:11" ht="20.100000000000001" customHeight="1">
      <c r="A13" s="180"/>
      <c r="B13" s="171"/>
      <c r="C13" s="346" t="s">
        <v>894</v>
      </c>
      <c r="D13" s="346" t="s">
        <v>891</v>
      </c>
      <c r="E13" s="423"/>
      <c r="F13" s="193">
        <f>SUM(F14:F18)</f>
        <v>2828700</v>
      </c>
      <c r="G13" s="193">
        <f>SUM(G14:G18)</f>
        <v>2828700</v>
      </c>
      <c r="H13" s="193">
        <f>SUM(H14:H18)</f>
        <v>2748196</v>
      </c>
      <c r="I13" s="193">
        <f>SUM(I14:I18)</f>
        <v>2696579.32</v>
      </c>
      <c r="J13" s="193">
        <f>SUM(J14:J18)</f>
        <v>-51616.680000000168</v>
      </c>
      <c r="K13" s="427">
        <f t="shared" si="0"/>
        <v>0.98121797717484482</v>
      </c>
    </row>
    <row r="14" spans="1:11" ht="20.100000000000001" customHeight="1">
      <c r="A14" s="180"/>
      <c r="B14" s="171"/>
      <c r="C14" s="171"/>
      <c r="D14" s="171"/>
      <c r="E14" s="414" t="s">
        <v>899</v>
      </c>
      <c r="F14" s="172">
        <f>INGRESOS!C30</f>
        <v>23800</v>
      </c>
      <c r="G14" s="172">
        <f>INGRESOS!D30</f>
        <v>23800</v>
      </c>
      <c r="H14" s="172">
        <f>INGRESOS!F30</f>
        <v>23800</v>
      </c>
      <c r="I14" s="172">
        <f>INGRESOS!S30</f>
        <v>63412</v>
      </c>
      <c r="J14" s="172">
        <f>I14-H14</f>
        <v>39612</v>
      </c>
      <c r="K14" s="427">
        <f t="shared" si="0"/>
        <v>2.6643697478991597</v>
      </c>
    </row>
    <row r="15" spans="1:11" ht="20.100000000000001" customHeight="1">
      <c r="A15" s="180"/>
      <c r="B15" s="171"/>
      <c r="C15" s="171"/>
      <c r="D15" s="171"/>
      <c r="E15" s="414" t="s">
        <v>900</v>
      </c>
      <c r="F15" s="172">
        <f>INGRESOS!C31</f>
        <v>565900</v>
      </c>
      <c r="G15" s="172">
        <f>INGRESOS!D31</f>
        <v>565900</v>
      </c>
      <c r="H15" s="172">
        <f>INGRESOS!F31</f>
        <v>565900</v>
      </c>
      <c r="I15" s="172">
        <f>INGRESOS!S31</f>
        <v>611596</v>
      </c>
      <c r="J15" s="172">
        <f>I15-H15</f>
        <v>45696</v>
      </c>
      <c r="K15" s="427">
        <f t="shared" si="0"/>
        <v>1.0807492489839194</v>
      </c>
    </row>
    <row r="16" spans="1:11" ht="20.100000000000001" customHeight="1">
      <c r="A16" s="180"/>
      <c r="B16" s="171"/>
      <c r="C16" s="171"/>
      <c r="D16" s="171"/>
      <c r="E16" s="414" t="s">
        <v>901</v>
      </c>
      <c r="F16" s="172">
        <f>INGRESOS!C32</f>
        <v>2169800</v>
      </c>
      <c r="G16" s="172">
        <f>INGRESOS!D32</f>
        <v>2169800</v>
      </c>
      <c r="H16" s="172">
        <f>INGRESOS!F32</f>
        <v>2089296</v>
      </c>
      <c r="I16" s="172">
        <f>INGRESOS!S32</f>
        <v>1919350.3199999998</v>
      </c>
      <c r="J16" s="172">
        <f>I16-H16</f>
        <v>-169945.68000000017</v>
      </c>
      <c r="K16" s="427">
        <f t="shared" si="0"/>
        <v>0.91865887839731653</v>
      </c>
    </row>
    <row r="17" spans="1:11" ht="20.100000000000001" customHeight="1">
      <c r="A17" s="180"/>
      <c r="B17" s="171"/>
      <c r="C17" s="171"/>
      <c r="D17" s="171"/>
      <c r="E17" s="414" t="s">
        <v>902</v>
      </c>
      <c r="F17" s="172">
        <f>INGRESOS!C35</f>
        <v>11300</v>
      </c>
      <c r="G17" s="172">
        <f>INGRESOS!D35</f>
        <v>11300</v>
      </c>
      <c r="H17" s="172">
        <f>INGRESOS!F35</f>
        <v>11300</v>
      </c>
      <c r="I17" s="172">
        <f>INGRESOS!S35</f>
        <v>14506</v>
      </c>
      <c r="J17" s="172">
        <f>I17-H17</f>
        <v>3206</v>
      </c>
      <c r="K17" s="427">
        <f t="shared" si="0"/>
        <v>1.2837168141592921</v>
      </c>
    </row>
    <row r="18" spans="1:11" ht="20.100000000000001" customHeight="1">
      <c r="A18" s="180"/>
      <c r="B18" s="171"/>
      <c r="C18" s="171"/>
      <c r="D18" s="171"/>
      <c r="E18" s="414" t="s">
        <v>903</v>
      </c>
      <c r="F18" s="172">
        <f>INGRESOS!C36</f>
        <v>57900</v>
      </c>
      <c r="G18" s="172">
        <f>INGRESOS!D36</f>
        <v>57900</v>
      </c>
      <c r="H18" s="172">
        <f>INGRESOS!F36</f>
        <v>57900</v>
      </c>
      <c r="I18" s="172">
        <f>INGRESOS!S36</f>
        <v>87715</v>
      </c>
      <c r="J18" s="172">
        <f>I18-H18</f>
        <v>29815</v>
      </c>
      <c r="K18" s="427">
        <f t="shared" si="0"/>
        <v>1.5149395509499137</v>
      </c>
    </row>
    <row r="19" spans="1:11" ht="20.100000000000001" customHeight="1">
      <c r="A19" s="180"/>
      <c r="B19" s="171"/>
      <c r="C19" s="346" t="s">
        <v>906</v>
      </c>
      <c r="D19" s="346" t="s">
        <v>893</v>
      </c>
      <c r="E19" s="423"/>
      <c r="F19" s="193">
        <f>SUM(F20:F21)</f>
        <v>293800</v>
      </c>
      <c r="G19" s="193">
        <f>SUM(G20:G21)</f>
        <v>293800</v>
      </c>
      <c r="H19" s="193">
        <f>SUM(H20:H21)</f>
        <v>293800</v>
      </c>
      <c r="I19" s="193">
        <f>SUM(I20:I21)</f>
        <v>975203.4800000001</v>
      </c>
      <c r="J19" s="193">
        <f>SUM(J20:J21)</f>
        <v>681403.4800000001</v>
      </c>
      <c r="K19" s="427">
        <f t="shared" si="0"/>
        <v>3.3192766507828457</v>
      </c>
    </row>
    <row r="20" spans="1:11" ht="20.100000000000001" customHeight="1">
      <c r="A20" s="180"/>
      <c r="B20" s="171"/>
      <c r="C20" s="171"/>
      <c r="D20" s="171"/>
      <c r="E20" s="414" t="s">
        <v>904</v>
      </c>
      <c r="F20" s="172">
        <f>INGRESOS!C41</f>
        <v>258800</v>
      </c>
      <c r="G20" s="172">
        <f>INGRESOS!D41</f>
        <v>258800</v>
      </c>
      <c r="H20" s="172">
        <f>INGRESOS!F41</f>
        <v>258800</v>
      </c>
      <c r="I20" s="172">
        <f>INGRESOS!S41</f>
        <v>930776.84000000008</v>
      </c>
      <c r="J20" s="172">
        <f>I20-H20</f>
        <v>671976.84000000008</v>
      </c>
      <c r="K20" s="427">
        <f t="shared" si="0"/>
        <v>3.5965102009273573</v>
      </c>
    </row>
    <row r="21" spans="1:11" ht="20.100000000000001" customHeight="1">
      <c r="A21" s="180"/>
      <c r="B21" s="171"/>
      <c r="C21" s="171"/>
      <c r="D21" s="171"/>
      <c r="E21" s="414" t="s">
        <v>905</v>
      </c>
      <c r="F21" s="172">
        <f>INGRESOS!C42</f>
        <v>35000</v>
      </c>
      <c r="G21" s="172">
        <f>INGRESOS!D42</f>
        <v>35000</v>
      </c>
      <c r="H21" s="172">
        <f>INGRESOS!F42</f>
        <v>35000</v>
      </c>
      <c r="I21" s="172">
        <f>INGRESOS!S42</f>
        <v>44426.64</v>
      </c>
      <c r="J21" s="172">
        <f>I21-H21</f>
        <v>9426.64</v>
      </c>
      <c r="K21" s="427">
        <f t="shared" si="0"/>
        <v>1.2693325714285715</v>
      </c>
    </row>
    <row r="22" spans="1:11" ht="8.25" customHeight="1">
      <c r="A22" s="180"/>
      <c r="B22" s="171"/>
      <c r="C22" s="171"/>
      <c r="D22" s="171"/>
      <c r="E22" s="411"/>
      <c r="F22" s="172"/>
      <c r="G22" s="172"/>
      <c r="H22" s="172"/>
      <c r="I22" s="172"/>
      <c r="J22" s="172"/>
      <c r="K22" s="427"/>
    </row>
    <row r="23" spans="1:11" ht="15" customHeight="1">
      <c r="A23" s="421" t="s">
        <v>907</v>
      </c>
      <c r="B23" s="346" t="s">
        <v>882</v>
      </c>
      <c r="C23" s="346"/>
      <c r="D23" s="346"/>
      <c r="E23" s="423"/>
      <c r="F23" s="193">
        <f>F25+F26</f>
        <v>53782700</v>
      </c>
      <c r="G23" s="193">
        <f>G25+G26</f>
        <v>53782700</v>
      </c>
      <c r="H23" s="193">
        <f>H25+H26</f>
        <v>49141882</v>
      </c>
      <c r="I23" s="193">
        <f>I25+I26</f>
        <v>49141882</v>
      </c>
      <c r="J23" s="193">
        <f>J25+J26</f>
        <v>0</v>
      </c>
      <c r="K23" s="427">
        <f>I23/H23</f>
        <v>1</v>
      </c>
    </row>
    <row r="24" spans="1:11" ht="8.25" customHeight="1">
      <c r="A24" s="412"/>
      <c r="B24" s="413"/>
      <c r="C24" s="413"/>
      <c r="D24" s="171"/>
      <c r="E24" s="411"/>
      <c r="F24" s="172"/>
      <c r="G24" s="172"/>
      <c r="H24" s="172"/>
      <c r="I24" s="172"/>
      <c r="J24" s="172"/>
      <c r="K24" s="427"/>
    </row>
    <row r="25" spans="1:11" ht="15.75" customHeight="1">
      <c r="A25" s="180"/>
      <c r="B25" s="413" t="s">
        <v>884</v>
      </c>
      <c r="C25" s="413" t="s">
        <v>593</v>
      </c>
      <c r="D25" s="171"/>
      <c r="E25" s="411"/>
      <c r="F25" s="172">
        <f>INGRESOS!C21</f>
        <v>48782700</v>
      </c>
      <c r="G25" s="172">
        <f>INGRESOS!D21</f>
        <v>48782700</v>
      </c>
      <c r="H25" s="172">
        <f>INGRESOS!F21</f>
        <v>44141882</v>
      </c>
      <c r="I25" s="172">
        <f>INGRESOS!S21</f>
        <v>44141882</v>
      </c>
      <c r="J25" s="172">
        <f>I25-H25</f>
        <v>0</v>
      </c>
      <c r="K25" s="427">
        <f>I25/H25</f>
        <v>1</v>
      </c>
    </row>
    <row r="26" spans="1:11" ht="20.100000000000001" customHeight="1">
      <c r="A26" s="180"/>
      <c r="B26" s="413" t="s">
        <v>894</v>
      </c>
      <c r="C26" s="413" t="s">
        <v>591</v>
      </c>
      <c r="D26" s="171"/>
      <c r="E26" s="411"/>
      <c r="F26" s="172">
        <f>INGRESOS!C50</f>
        <v>5000000</v>
      </c>
      <c r="G26" s="172">
        <f>INGRESOS!D50</f>
        <v>5000000</v>
      </c>
      <c r="H26" s="172">
        <f>INGRESOS!F50</f>
        <v>5000000</v>
      </c>
      <c r="I26" s="172">
        <f>INGRESOS!S53</f>
        <v>5000000</v>
      </c>
      <c r="J26" s="172">
        <f>I26-H26</f>
        <v>0</v>
      </c>
      <c r="K26" s="427">
        <f>I26/H26</f>
        <v>1</v>
      </c>
    </row>
    <row r="27" spans="1:11" ht="7.5" customHeight="1">
      <c r="A27" s="180"/>
      <c r="B27" s="413"/>
      <c r="C27" s="413"/>
      <c r="D27" s="171"/>
      <c r="E27" s="411"/>
      <c r="F27" s="172"/>
      <c r="G27" s="172"/>
      <c r="H27" s="172"/>
      <c r="I27" s="172"/>
      <c r="J27" s="172"/>
      <c r="K27" s="427"/>
    </row>
    <row r="28" spans="1:11" ht="20.100000000000001" customHeight="1">
      <c r="A28" s="421" t="s">
        <v>909</v>
      </c>
      <c r="B28" s="346" t="s">
        <v>910</v>
      </c>
      <c r="C28" s="346"/>
      <c r="D28" s="346"/>
      <c r="E28" s="423"/>
      <c r="F28" s="193">
        <f>F29</f>
        <v>0</v>
      </c>
      <c r="G28" s="193">
        <f>G29</f>
        <v>0</v>
      </c>
      <c r="H28" s="193">
        <f>H29</f>
        <v>0</v>
      </c>
      <c r="I28" s="193">
        <f>I29</f>
        <v>0</v>
      </c>
      <c r="J28" s="193">
        <f>J29</f>
        <v>0</v>
      </c>
      <c r="K28" s="427" t="e">
        <f>I28/H28</f>
        <v>#DIV/0!</v>
      </c>
    </row>
    <row r="29" spans="1:11" ht="20.100000000000001" customHeight="1">
      <c r="A29" s="180"/>
      <c r="B29" s="413" t="s">
        <v>884</v>
      </c>
      <c r="C29" s="413" t="s">
        <v>883</v>
      </c>
      <c r="D29" s="171"/>
      <c r="E29" s="411"/>
      <c r="F29" s="172">
        <f>INGRESOS!C55</f>
        <v>0</v>
      </c>
      <c r="G29" s="172">
        <f>INGRESOS!D55</f>
        <v>0</v>
      </c>
      <c r="H29" s="172">
        <f>INGRESOS!F58</f>
        <v>0</v>
      </c>
      <c r="I29" s="172">
        <f>INGRESOS!S58</f>
        <v>0</v>
      </c>
      <c r="J29" s="172">
        <f>I29-H29</f>
        <v>0</v>
      </c>
      <c r="K29" s="427" t="e">
        <f>I29/H29</f>
        <v>#DIV/0!</v>
      </c>
    </row>
    <row r="30" spans="1:11" ht="7.5" customHeight="1" thickBot="1">
      <c r="A30" s="244"/>
      <c r="B30" s="415"/>
      <c r="C30" s="415"/>
      <c r="D30" s="415"/>
      <c r="E30" s="416"/>
      <c r="F30" s="406"/>
      <c r="G30" s="406"/>
      <c r="H30" s="406"/>
      <c r="I30" s="406"/>
      <c r="J30" s="406"/>
      <c r="K30" s="428"/>
    </row>
    <row r="31" spans="1:11" ht="20.100000000000001" customHeight="1"/>
    <row r="32" spans="1:11" ht="20.100000000000001" customHeight="1"/>
    <row r="33" ht="20.100000000000001" customHeight="1"/>
    <row r="34" ht="20.100000000000001" customHeight="1"/>
  </sheetData>
  <mergeCells count="4">
    <mergeCell ref="A6:E6"/>
    <mergeCell ref="A3:E4"/>
    <mergeCell ref="F3:I3"/>
    <mergeCell ref="J3:K3"/>
  </mergeCells>
  <phoneticPr fontId="47" type="noConversion"/>
  <pageMargins left="0.75" right="0.75" top="1" bottom="1" header="0" footer="0"/>
  <pageSetup scale="90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"/>
  <sheetViews>
    <sheetView workbookViewId="0">
      <selection activeCell="J8" sqref="J8"/>
    </sheetView>
  </sheetViews>
  <sheetFormatPr baseColWidth="10" defaultRowHeight="12.75"/>
  <cols>
    <col min="1" max="1" width="1.85546875" style="29" customWidth="1"/>
    <col min="2" max="2" width="2.140625" style="29" customWidth="1"/>
    <col min="3" max="3" width="2.140625" style="417" customWidth="1"/>
    <col min="4" max="4" width="18.140625" style="29" customWidth="1"/>
    <col min="5" max="5" width="14" style="29" customWidth="1"/>
    <col min="6" max="6" width="11.85546875" style="29" customWidth="1"/>
    <col min="7" max="7" width="14.85546875" style="29" customWidth="1"/>
    <col min="8" max="8" width="14.42578125" style="29" customWidth="1"/>
    <col min="9" max="10" width="14.5703125" style="29" customWidth="1"/>
    <col min="11" max="11" width="7.5703125" style="426" customWidth="1"/>
    <col min="12" max="16384" width="11.42578125" style="29"/>
  </cols>
  <sheetData>
    <row r="1" spans="1:11" ht="13.5" thickBot="1"/>
    <row r="2" spans="1:11" ht="18" customHeight="1" thickBot="1">
      <c r="A2" s="1055" t="s">
        <v>385</v>
      </c>
      <c r="B2" s="1056"/>
      <c r="C2" s="1056"/>
      <c r="D2" s="1056"/>
      <c r="E2" s="1054" t="s">
        <v>386</v>
      </c>
      <c r="F2" s="1054"/>
      <c r="G2" s="1054"/>
      <c r="H2" s="1054"/>
      <c r="I2" s="1054"/>
      <c r="J2" s="1064" t="s">
        <v>573</v>
      </c>
      <c r="K2" s="1065"/>
    </row>
    <row r="3" spans="1:11" ht="18" customHeight="1" thickBot="1">
      <c r="A3" s="1057"/>
      <c r="B3" s="1058"/>
      <c r="C3" s="1058"/>
      <c r="D3" s="1058"/>
      <c r="E3" s="615" t="s">
        <v>369</v>
      </c>
      <c r="F3" s="615" t="s">
        <v>348</v>
      </c>
      <c r="G3" s="615" t="s">
        <v>370</v>
      </c>
      <c r="H3" s="615" t="s">
        <v>347</v>
      </c>
      <c r="I3" s="615" t="s">
        <v>372</v>
      </c>
      <c r="J3" s="615" t="s">
        <v>913</v>
      </c>
      <c r="K3" s="622" t="s">
        <v>912</v>
      </c>
    </row>
    <row r="4" spans="1:11" ht="18" customHeight="1">
      <c r="A4" s="409"/>
      <c r="B4" s="410"/>
      <c r="C4" s="418"/>
      <c r="D4" s="410"/>
      <c r="E4" s="402"/>
      <c r="F4" s="402"/>
      <c r="G4" s="402"/>
      <c r="H4" s="402"/>
      <c r="I4" s="402"/>
      <c r="J4" s="402"/>
      <c r="K4" s="425"/>
    </row>
    <row r="5" spans="1:11" s="161" customFormat="1" ht="23.1" customHeight="1">
      <c r="A5" s="1052" t="s">
        <v>616</v>
      </c>
      <c r="B5" s="1053"/>
      <c r="C5" s="1053"/>
      <c r="D5" s="1053"/>
      <c r="E5" s="404">
        <f t="shared" ref="E5:J5" si="0">E6+E12</f>
        <v>57782700</v>
      </c>
      <c r="F5" s="404">
        <f t="shared" si="0"/>
        <v>0</v>
      </c>
      <c r="G5" s="404">
        <f t="shared" si="0"/>
        <v>57782700</v>
      </c>
      <c r="H5" s="404">
        <f t="shared" si="0"/>
        <v>52989178</v>
      </c>
      <c r="I5" s="404">
        <f t="shared" si="0"/>
        <v>53195861.699999996</v>
      </c>
      <c r="J5" s="404">
        <f t="shared" si="0"/>
        <v>206683.69999999995</v>
      </c>
      <c r="K5" s="425">
        <f>I5/H5</f>
        <v>1.0039004888885046</v>
      </c>
    </row>
    <row r="6" spans="1:11" ht="23.1" customHeight="1">
      <c r="A6" s="421" t="s">
        <v>896</v>
      </c>
      <c r="B6" s="346" t="s">
        <v>563</v>
      </c>
      <c r="C6" s="422"/>
      <c r="D6" s="346"/>
      <c r="E6" s="404">
        <f t="shared" ref="E6:J6" si="1">E7</f>
        <v>52782700</v>
      </c>
      <c r="F6" s="404">
        <f t="shared" si="1"/>
        <v>0</v>
      </c>
      <c r="G6" s="404">
        <f t="shared" si="1"/>
        <v>52782700</v>
      </c>
      <c r="H6" s="404">
        <f t="shared" si="1"/>
        <v>47989178</v>
      </c>
      <c r="I6" s="404">
        <f t="shared" si="1"/>
        <v>48195861.699999996</v>
      </c>
      <c r="J6" s="404">
        <f t="shared" si="1"/>
        <v>206683.69999999995</v>
      </c>
      <c r="K6" s="425">
        <f>I6/H6</f>
        <v>1.0043068814389777</v>
      </c>
    </row>
    <row r="7" spans="1:11" ht="23.1" customHeight="1">
      <c r="A7" s="421"/>
      <c r="B7" s="346" t="s">
        <v>884</v>
      </c>
      <c r="C7" s="422" t="s">
        <v>885</v>
      </c>
      <c r="D7" s="346"/>
      <c r="E7" s="424">
        <f t="shared" ref="E7:J7" si="2">E8+E9+E10+E11</f>
        <v>52782700</v>
      </c>
      <c r="F7" s="424">
        <f t="shared" si="2"/>
        <v>0</v>
      </c>
      <c r="G7" s="424">
        <f t="shared" si="2"/>
        <v>52782700</v>
      </c>
      <c r="H7" s="424">
        <f t="shared" si="2"/>
        <v>47989178</v>
      </c>
      <c r="I7" s="424">
        <f t="shared" si="2"/>
        <v>48195861.699999996</v>
      </c>
      <c r="J7" s="424">
        <f t="shared" si="2"/>
        <v>206683.69999999995</v>
      </c>
      <c r="K7" s="425">
        <f>I7/H7</f>
        <v>1.0043068814389777</v>
      </c>
    </row>
    <row r="8" spans="1:11" ht="23.1" customHeight="1">
      <c r="A8" s="412"/>
      <c r="B8" s="413"/>
      <c r="C8" s="419" t="s">
        <v>887</v>
      </c>
      <c r="D8" s="413" t="s">
        <v>886</v>
      </c>
      <c r="E8" s="405">
        <f>INGRESOS!D15</f>
        <v>877500</v>
      </c>
      <c r="F8" s="405">
        <v>0</v>
      </c>
      <c r="G8" s="405">
        <f>+E8+F8</f>
        <v>877500</v>
      </c>
      <c r="H8" s="405">
        <f>INGRESOS!F15</f>
        <v>805300</v>
      </c>
      <c r="I8" s="405">
        <f>INGRESOS!S15</f>
        <v>382196.9</v>
      </c>
      <c r="J8" s="405">
        <f>I8-H8</f>
        <v>-423103.1</v>
      </c>
      <c r="K8" s="425">
        <f t="shared" ref="K8:K14" si="3">I8/H8</f>
        <v>0.47460188749534338</v>
      </c>
    </row>
    <row r="9" spans="1:11" ht="23.1" customHeight="1">
      <c r="A9" s="412"/>
      <c r="B9" s="413"/>
      <c r="C9" s="419" t="s">
        <v>888</v>
      </c>
      <c r="D9" s="413" t="s">
        <v>889</v>
      </c>
      <c r="E9" s="405">
        <f>INGRESOS!D21</f>
        <v>48782700</v>
      </c>
      <c r="F9" s="405">
        <v>0</v>
      </c>
      <c r="G9" s="405">
        <f>+E9+F9</f>
        <v>48782700</v>
      </c>
      <c r="H9" s="405">
        <f>INGRESOS!F21</f>
        <v>44141882</v>
      </c>
      <c r="I9" s="405">
        <f>INGRESOS!S21</f>
        <v>44141882</v>
      </c>
      <c r="J9" s="405">
        <f>I9-H9</f>
        <v>0</v>
      </c>
      <c r="K9" s="425">
        <f t="shared" si="3"/>
        <v>1</v>
      </c>
    </row>
    <row r="10" spans="1:11" ht="23.1" customHeight="1">
      <c r="A10" s="180"/>
      <c r="B10" s="171"/>
      <c r="C10" s="419" t="s">
        <v>890</v>
      </c>
      <c r="D10" s="413" t="s">
        <v>891</v>
      </c>
      <c r="E10" s="405">
        <f>INGRESOS!D27</f>
        <v>2828700</v>
      </c>
      <c r="F10" s="405">
        <v>0</v>
      </c>
      <c r="G10" s="405">
        <f>+E10+F10</f>
        <v>2828700</v>
      </c>
      <c r="H10" s="405">
        <f>INGRESOS!F27</f>
        <v>2748196</v>
      </c>
      <c r="I10" s="405">
        <f>INGRESOS!S27</f>
        <v>2696579.32</v>
      </c>
      <c r="J10" s="405">
        <f>I10-H10</f>
        <v>-51616.680000000168</v>
      </c>
      <c r="K10" s="425">
        <f t="shared" si="3"/>
        <v>0.98121797717484482</v>
      </c>
    </row>
    <row r="11" spans="1:11" ht="23.1" customHeight="1">
      <c r="A11" s="180"/>
      <c r="B11" s="171"/>
      <c r="C11" s="419" t="s">
        <v>892</v>
      </c>
      <c r="D11" s="413" t="s">
        <v>893</v>
      </c>
      <c r="E11" s="405">
        <f>INGRESOS!D38</f>
        <v>293800</v>
      </c>
      <c r="F11" s="405">
        <v>0</v>
      </c>
      <c r="G11" s="405">
        <f>+E11+F11</f>
        <v>293800</v>
      </c>
      <c r="H11" s="405">
        <f>INGRESOS!F40</f>
        <v>293800</v>
      </c>
      <c r="I11" s="405">
        <f>INGRESOS!S38</f>
        <v>975203.4800000001</v>
      </c>
      <c r="J11" s="405">
        <f>I11-H11</f>
        <v>681403.4800000001</v>
      </c>
      <c r="K11" s="425">
        <f t="shared" si="3"/>
        <v>3.3192766507828457</v>
      </c>
    </row>
    <row r="12" spans="1:11" ht="23.1" customHeight="1">
      <c r="A12" s="421" t="s">
        <v>895</v>
      </c>
      <c r="B12" s="346" t="s">
        <v>564</v>
      </c>
      <c r="C12" s="422"/>
      <c r="D12" s="346"/>
      <c r="E12" s="424">
        <f t="shared" ref="E12:J12" si="4">E13+E14</f>
        <v>5000000</v>
      </c>
      <c r="F12" s="424">
        <f t="shared" si="4"/>
        <v>0</v>
      </c>
      <c r="G12" s="424">
        <f t="shared" si="4"/>
        <v>5000000</v>
      </c>
      <c r="H12" s="424">
        <f t="shared" si="4"/>
        <v>5000000</v>
      </c>
      <c r="I12" s="424">
        <f t="shared" si="4"/>
        <v>5000000</v>
      </c>
      <c r="J12" s="424">
        <f t="shared" si="4"/>
        <v>0</v>
      </c>
      <c r="K12" s="425">
        <f t="shared" si="3"/>
        <v>1</v>
      </c>
    </row>
    <row r="13" spans="1:11" ht="23.1" customHeight="1">
      <c r="A13" s="180"/>
      <c r="B13" s="413" t="s">
        <v>884</v>
      </c>
      <c r="C13" s="419" t="s">
        <v>911</v>
      </c>
      <c r="D13" s="171"/>
      <c r="E13" s="405">
        <f>INGRESOS!D50</f>
        <v>5000000</v>
      </c>
      <c r="F13" s="405">
        <v>0</v>
      </c>
      <c r="G13" s="405">
        <f>+E13+F13</f>
        <v>5000000</v>
      </c>
      <c r="H13" s="405">
        <f>INGRESOS!F50</f>
        <v>5000000</v>
      </c>
      <c r="I13" s="405">
        <f>INGRESOS!S50</f>
        <v>5000000</v>
      </c>
      <c r="J13" s="405">
        <f>I13-H13</f>
        <v>0</v>
      </c>
      <c r="K13" s="425">
        <f t="shared" si="3"/>
        <v>1</v>
      </c>
    </row>
    <row r="14" spans="1:11" ht="23.1" customHeight="1">
      <c r="A14" s="180"/>
      <c r="B14" s="413" t="s">
        <v>894</v>
      </c>
      <c r="C14" s="419" t="s">
        <v>883</v>
      </c>
      <c r="D14" s="171"/>
      <c r="E14" s="405">
        <f>+INGRESOS!D55</f>
        <v>0</v>
      </c>
      <c r="F14" s="405">
        <v>0</v>
      </c>
      <c r="G14" s="405">
        <f>+E14+F14</f>
        <v>0</v>
      </c>
      <c r="H14" s="405">
        <f>INGRESOS!F55</f>
        <v>0</v>
      </c>
      <c r="I14" s="405">
        <f>INGRESOS!S58</f>
        <v>0</v>
      </c>
      <c r="J14" s="405">
        <f>I14-H14</f>
        <v>0</v>
      </c>
      <c r="K14" s="425" t="e">
        <f t="shared" si="3"/>
        <v>#DIV/0!</v>
      </c>
    </row>
    <row r="15" spans="1:11" ht="18" customHeight="1" thickBot="1">
      <c r="A15" s="244"/>
      <c r="B15" s="415"/>
      <c r="C15" s="420"/>
      <c r="D15" s="415"/>
      <c r="E15" s="407"/>
      <c r="F15" s="407"/>
      <c r="G15" s="407"/>
      <c r="H15" s="407"/>
      <c r="I15" s="407"/>
      <c r="J15" s="407"/>
      <c r="K15" s="428"/>
    </row>
    <row r="16" spans="1:11">
      <c r="E16" s="401"/>
      <c r="F16" s="401"/>
      <c r="G16" s="401"/>
      <c r="H16" s="401"/>
      <c r="I16" s="401"/>
      <c r="J16" s="401"/>
    </row>
  </sheetData>
  <mergeCells count="4">
    <mergeCell ref="A2:D3"/>
    <mergeCell ref="E2:I2"/>
    <mergeCell ref="A5:D5"/>
    <mergeCell ref="J2:K2"/>
  </mergeCells>
  <pageMargins left="0.7" right="0.7" top="0.75" bottom="0.75" header="0.3" footer="0.3"/>
  <pageSetup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5"/>
  <sheetViews>
    <sheetView workbookViewId="0">
      <selection activeCell="B11" sqref="B11"/>
    </sheetView>
  </sheetViews>
  <sheetFormatPr baseColWidth="10" defaultRowHeight="12.75"/>
  <cols>
    <col min="1" max="1" width="33" style="29" customWidth="1"/>
    <col min="2" max="2" width="18.7109375" style="29" customWidth="1"/>
    <col min="3" max="3" width="18.42578125" style="29" customWidth="1"/>
    <col min="4" max="4" width="18.28515625" style="29" customWidth="1"/>
    <col min="5" max="5" width="18.140625" style="29" customWidth="1"/>
    <col min="6" max="6" width="18" style="29" customWidth="1"/>
    <col min="7" max="7" width="9" style="29" customWidth="1"/>
    <col min="8" max="16384" width="11.42578125" style="29"/>
  </cols>
  <sheetData>
    <row r="1" spans="1:7" ht="20.100000000000001" customHeight="1">
      <c r="A1" s="1070" t="s">
        <v>703</v>
      </c>
      <c r="B1" s="1070"/>
      <c r="C1" s="1070"/>
      <c r="D1" s="1070"/>
      <c r="E1" s="1070"/>
      <c r="F1" s="1070"/>
      <c r="G1" s="1070"/>
    </row>
    <row r="2" spans="1:7" ht="20.100000000000001" customHeight="1">
      <c r="A2" s="1070" t="s">
        <v>1146</v>
      </c>
      <c r="B2" s="1070"/>
      <c r="C2" s="1070"/>
      <c r="D2" s="1070"/>
      <c r="E2" s="1070"/>
      <c r="F2" s="1070"/>
      <c r="G2" s="1070"/>
    </row>
    <row r="3" spans="1:7" ht="20.100000000000001" customHeight="1" thickBot="1"/>
    <row r="4" spans="1:7" ht="20.100000000000001" customHeight="1">
      <c r="A4" s="1068" t="s">
        <v>385</v>
      </c>
      <c r="B4" s="1068" t="s">
        <v>596</v>
      </c>
      <c r="C4" s="1068" t="s">
        <v>597</v>
      </c>
      <c r="D4" s="1068" t="s">
        <v>598</v>
      </c>
      <c r="E4" s="1071" t="s">
        <v>35</v>
      </c>
      <c r="F4" s="1071"/>
      <c r="G4" s="1066" t="s">
        <v>916</v>
      </c>
    </row>
    <row r="5" spans="1:7" ht="20.100000000000001" customHeight="1">
      <c r="A5" s="1069"/>
      <c r="B5" s="1069"/>
      <c r="C5" s="1069"/>
      <c r="D5" s="1069"/>
      <c r="E5" s="623" t="s">
        <v>599</v>
      </c>
      <c r="F5" s="623" t="s">
        <v>600</v>
      </c>
      <c r="G5" s="1067"/>
    </row>
    <row r="6" spans="1:7" ht="27.95" customHeight="1">
      <c r="A6" s="208" t="s">
        <v>349</v>
      </c>
      <c r="B6" s="210">
        <f>SUM(B7:B9)</f>
        <v>57782700</v>
      </c>
      <c r="C6" s="210">
        <f>SUM(C7:C9)</f>
        <v>52989178</v>
      </c>
      <c r="D6" s="210">
        <f>SUM(D7:D9)</f>
        <v>14924778.93</v>
      </c>
      <c r="E6" s="210">
        <f>SUM(E7:E9)</f>
        <v>9073900</v>
      </c>
      <c r="F6" s="210">
        <f>SUM(F7:F9)</f>
        <v>42857921.07</v>
      </c>
      <c r="G6" s="429">
        <f t="shared" ref="G6:G12" si="0">D6/C6</f>
        <v>0.2816571136468658</v>
      </c>
    </row>
    <row r="7" spans="1:7" ht="27.95" customHeight="1">
      <c r="A7" s="212" t="s">
        <v>602</v>
      </c>
      <c r="B7" s="209">
        <f>INGRESOS!E12</f>
        <v>52782700</v>
      </c>
      <c r="C7" s="209">
        <f>INGRESOS!F12</f>
        <v>47989178</v>
      </c>
      <c r="D7" s="209">
        <f>[4]Resumen!H12+[4]Resumen!H14</f>
        <v>9924778.9299999997</v>
      </c>
      <c r="E7" s="209">
        <f>[4]Resumen!H14</f>
        <v>9073900</v>
      </c>
      <c r="F7" s="209">
        <f>B7-D7</f>
        <v>42857921.07</v>
      </c>
      <c r="G7" s="430">
        <f t="shared" si="0"/>
        <v>0.20681285539002148</v>
      </c>
    </row>
    <row r="8" spans="1:7" ht="27.95" customHeight="1">
      <c r="A8" s="212" t="s">
        <v>723</v>
      </c>
      <c r="B8" s="209">
        <v>0</v>
      </c>
      <c r="C8" s="209">
        <v>0</v>
      </c>
      <c r="D8" s="209">
        <v>0</v>
      </c>
      <c r="E8" s="209">
        <f>[4]Resumen!H10</f>
        <v>0</v>
      </c>
      <c r="F8" s="209">
        <v>0</v>
      </c>
      <c r="G8" s="430">
        <v>1</v>
      </c>
    </row>
    <row r="9" spans="1:7" ht="27.95" customHeight="1">
      <c r="A9" s="212" t="s">
        <v>603</v>
      </c>
      <c r="B9" s="209">
        <f>INGRESOS!E50</f>
        <v>5000000</v>
      </c>
      <c r="C9" s="209">
        <f>INGRESOS!F53</f>
        <v>5000000</v>
      </c>
      <c r="D9" s="209">
        <f>INGRESOS!S50</f>
        <v>5000000</v>
      </c>
      <c r="E9" s="209">
        <f>[4]Resumen!H16+[4]Resumen!H18</f>
        <v>0</v>
      </c>
      <c r="F9" s="209">
        <f>B9-D9</f>
        <v>0</v>
      </c>
      <c r="G9" s="430">
        <f t="shared" si="0"/>
        <v>1</v>
      </c>
    </row>
    <row r="10" spans="1:7" ht="27.95" customHeight="1">
      <c r="A10" s="213" t="s">
        <v>601</v>
      </c>
      <c r="B10" s="210">
        <f>SUM(B11:B12)</f>
        <v>57782700</v>
      </c>
      <c r="C10" s="210">
        <f>SUM(C11:C12)</f>
        <v>13141883</v>
      </c>
      <c r="D10" s="210">
        <f>SUM(D11:D12)</f>
        <v>9537668.379999999</v>
      </c>
      <c r="E10" s="210">
        <f>SUM(E11:E12)</f>
        <v>7903208.6100000003</v>
      </c>
      <c r="F10" s="210">
        <f>SUM(F11:F12)</f>
        <v>48245031.619999997</v>
      </c>
      <c r="G10" s="429">
        <f t="shared" si="0"/>
        <v>0.72574595132219633</v>
      </c>
    </row>
    <row r="11" spans="1:7" ht="27.95" customHeight="1">
      <c r="A11" s="212" t="s">
        <v>604</v>
      </c>
      <c r="B11" s="209">
        <f>Objeto!GR12</f>
        <v>52782700</v>
      </c>
      <c r="C11" s="209">
        <f>[4]Resumen!E22+[4]Resumen!E23+[4]Resumen!E24+[4]Resumen!E25+[4]Resumen!E26+[4]Resumen!E27+[4]Resumen!E28+[4]Resumen!E29+[4]Resumen!E30</f>
        <v>10405726</v>
      </c>
      <c r="D11" s="209">
        <f>[4]Resumen!H22+[4]Resumen!H23+[4]Resumen!H24+[4]Resumen!H25+[4]Resumen!H26+[4]Resumen!H27+[4]Resumen!H28+[4]Resumen!H29+[4]Resumen!H30</f>
        <v>7842286.8799999999</v>
      </c>
      <c r="E11" s="209">
        <f>[4]Resumen!G22+[4]Resumen!G23+[4]Resumen!G24+[4]Resumen!G25+[4]Resumen!G27+[4]Resumen!G30</f>
        <v>7842286.8799999999</v>
      </c>
      <c r="F11" s="209">
        <f>B11-D11</f>
        <v>44940413.119999997</v>
      </c>
      <c r="G11" s="430">
        <f t="shared" si="0"/>
        <v>0.75365110324834617</v>
      </c>
    </row>
    <row r="12" spans="1:7" ht="27.95" customHeight="1">
      <c r="A12" s="212" t="s">
        <v>605</v>
      </c>
      <c r="B12" s="209">
        <f>Objeto!GR658</f>
        <v>5000000</v>
      </c>
      <c r="C12" s="209">
        <f>[4]Resumen!E31</f>
        <v>2736157</v>
      </c>
      <c r="D12" s="209">
        <f>Objeto!IF658</f>
        <v>1695381.5</v>
      </c>
      <c r="E12" s="209">
        <f>[4]Resumen!G31</f>
        <v>60921.729999999996</v>
      </c>
      <c r="F12" s="209">
        <f>B12-D12</f>
        <v>3304618.5</v>
      </c>
      <c r="G12" s="430">
        <f t="shared" si="0"/>
        <v>0.61962142523254327</v>
      </c>
    </row>
    <row r="13" spans="1:7" ht="27.95" customHeight="1" thickBot="1">
      <c r="A13" s="214" t="s">
        <v>606</v>
      </c>
      <c r="B13" s="211"/>
      <c r="C13" s="211"/>
      <c r="D13" s="211">
        <f>D6-D10</f>
        <v>5387110.5500000007</v>
      </c>
      <c r="E13" s="211"/>
      <c r="F13" s="211"/>
      <c r="G13" s="215"/>
    </row>
    <row r="14" spans="1:7" ht="20.100000000000001" customHeight="1" thickTop="1"/>
    <row r="15" spans="1:7" ht="20.100000000000001" customHeight="1"/>
    <row r="16" spans="1:7" ht="20.100000000000001" customHeight="1">
      <c r="D16" s="106"/>
    </row>
    <row r="17" ht="20.100000000000001" customHeight="1"/>
    <row r="18" ht="20.100000000000001" customHeight="1"/>
    <row r="19" ht="20.100000000000001" customHeight="1"/>
    <row r="20" ht="20.100000000000001" customHeight="1"/>
    <row r="21" ht="20.100000000000001" customHeight="1"/>
    <row r="22" ht="20.100000000000001" customHeight="1"/>
    <row r="23" ht="20.100000000000001" customHeight="1"/>
    <row r="24" ht="20.100000000000001" customHeight="1"/>
    <row r="25" ht="20.100000000000001" customHeight="1"/>
    <row r="26" ht="20.100000000000001" customHeight="1"/>
    <row r="27" ht="20.100000000000001" customHeight="1"/>
    <row r="28" ht="20.100000000000001" customHeight="1"/>
    <row r="29" ht="20.100000000000001" customHeight="1"/>
    <row r="30" ht="20.100000000000001" customHeight="1"/>
    <row r="31" ht="20.100000000000001" customHeight="1"/>
    <row r="32" ht="20.100000000000001" customHeight="1"/>
    <row r="33" ht="20.100000000000001" customHeight="1"/>
    <row r="34" ht="20.100000000000001" customHeight="1"/>
    <row r="35" ht="20.100000000000001" customHeight="1"/>
  </sheetData>
  <mergeCells count="8">
    <mergeCell ref="G4:G5"/>
    <mergeCell ref="A4:A5"/>
    <mergeCell ref="A1:G1"/>
    <mergeCell ref="A2:G2"/>
    <mergeCell ref="E4:F4"/>
    <mergeCell ref="B4:B5"/>
    <mergeCell ref="C4:C5"/>
    <mergeCell ref="D4:D5"/>
  </mergeCells>
  <phoneticPr fontId="47" type="noConversion"/>
  <pageMargins left="0.74803149606299213" right="0.74803149606299213" top="0.98425196850393704" bottom="0.98425196850393704" header="0" footer="0"/>
  <pageSetup paperSize="124" scale="92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"/>
  <sheetViews>
    <sheetView workbookViewId="0">
      <selection activeCell="B16" sqref="B16"/>
    </sheetView>
  </sheetViews>
  <sheetFormatPr baseColWidth="10" defaultRowHeight="12.75"/>
  <cols>
    <col min="1" max="1" width="22.28515625" style="29" customWidth="1"/>
    <col min="2" max="2" width="17.7109375" style="29" customWidth="1"/>
    <col min="3" max="3" width="15.7109375" style="29" customWidth="1"/>
    <col min="4" max="4" width="18.7109375" style="29" customWidth="1"/>
    <col min="5" max="5" width="14" style="349" customWidth="1"/>
    <col min="6" max="16384" width="11.42578125" style="29"/>
  </cols>
  <sheetData>
    <row r="1" spans="1:6">
      <c r="A1" s="29" t="s">
        <v>917</v>
      </c>
    </row>
    <row r="2" spans="1:6" ht="13.5" thickBot="1"/>
    <row r="3" spans="1:6" ht="13.5" thickBot="1">
      <c r="A3" s="1072" t="s">
        <v>566</v>
      </c>
      <c r="B3" s="1072" t="s">
        <v>477</v>
      </c>
      <c r="C3" s="1072" t="s">
        <v>40</v>
      </c>
      <c r="D3" s="1072" t="s">
        <v>918</v>
      </c>
      <c r="E3" s="624" t="s">
        <v>696</v>
      </c>
    </row>
    <row r="4" spans="1:6" ht="13.5" thickBot="1">
      <c r="A4" s="1072"/>
      <c r="B4" s="1072"/>
      <c r="C4" s="1072"/>
      <c r="D4" s="1072"/>
      <c r="E4" s="625" t="s">
        <v>919</v>
      </c>
    </row>
    <row r="5" spans="1:6">
      <c r="A5" s="431"/>
      <c r="B5" s="442"/>
      <c r="C5" s="442"/>
      <c r="D5" s="442"/>
      <c r="E5" s="432"/>
    </row>
    <row r="6" spans="1:6" s="336" customFormat="1">
      <c r="A6" s="439" t="s">
        <v>37</v>
      </c>
      <c r="B6" s="404">
        <f>B8+B10</f>
        <v>57782700</v>
      </c>
      <c r="C6" s="404">
        <f>C8+C10</f>
        <v>13141883</v>
      </c>
      <c r="D6" s="404">
        <f>D8+D10</f>
        <v>7964130.3400000008</v>
      </c>
      <c r="E6" s="440">
        <f>D6/C6</f>
        <v>0.60601135621128277</v>
      </c>
      <c r="F6" s="441"/>
    </row>
    <row r="7" spans="1:6">
      <c r="A7" s="434"/>
      <c r="B7" s="443"/>
      <c r="C7" s="443"/>
      <c r="D7" s="443"/>
      <c r="E7" s="435"/>
      <c r="F7" s="106"/>
    </row>
    <row r="8" spans="1:6">
      <c r="A8" s="180" t="s">
        <v>613</v>
      </c>
      <c r="B8" s="405">
        <f>[4]Resumen!D22+[4]Resumen!D23+[4]Resumen!D24+[4]Resumen!D25+[4]Resumen!D26+[4]Resumen!D27+[4]Resumen!D30</f>
        <v>52782700</v>
      </c>
      <c r="C8" s="405">
        <f>[4]Resumen!E22+[4]Resumen!E23+[4]Resumen!E24+[4]Resumen!E25+[4]Resumen!E27+[4]Resumen!E30</f>
        <v>10405726</v>
      </c>
      <c r="D8" s="405">
        <f>[4]Resumen!H22+[4]Resumen!H23+[4]Resumen!H24+[4]Resumen!H25+[4]Resumen!H27+[4]Resumen!H30+[4]Resumen!H31</f>
        <v>7903208.6100000003</v>
      </c>
      <c r="E8" s="433">
        <f>D8/C8</f>
        <v>0.75950573847514347</v>
      </c>
      <c r="F8" s="106"/>
    </row>
    <row r="9" spans="1:6">
      <c r="A9" s="180"/>
      <c r="B9" s="405"/>
      <c r="C9" s="405"/>
      <c r="D9" s="405"/>
      <c r="E9" s="435"/>
      <c r="F9" s="106"/>
    </row>
    <row r="10" spans="1:6">
      <c r="A10" s="180" t="s">
        <v>539</v>
      </c>
      <c r="B10" s="405">
        <f>[4]Resumen!D31</f>
        <v>5000000</v>
      </c>
      <c r="C10" s="405">
        <f>[4]Resumen!E31</f>
        <v>2736157</v>
      </c>
      <c r="D10" s="405">
        <f>[4]Resumen!H31</f>
        <v>60921.729999999996</v>
      </c>
      <c r="E10" s="433">
        <f>D10/C10</f>
        <v>2.2265436522831108E-2</v>
      </c>
      <c r="F10" s="106"/>
    </row>
    <row r="11" spans="1:6" ht="13.5" thickBot="1">
      <c r="A11" s="244"/>
      <c r="B11" s="407"/>
      <c r="C11" s="407"/>
      <c r="D11" s="407"/>
      <c r="E11" s="436"/>
      <c r="F11" s="106"/>
    </row>
    <row r="12" spans="1:6">
      <c r="B12" s="401"/>
      <c r="C12" s="401"/>
      <c r="D12" s="401"/>
      <c r="E12" s="437"/>
      <c r="F12" s="106"/>
    </row>
    <row r="13" spans="1:6">
      <c r="B13" s="401"/>
      <c r="C13" s="401"/>
      <c r="D13" s="401"/>
      <c r="E13" s="437"/>
      <c r="F13" s="106"/>
    </row>
    <row r="14" spans="1:6">
      <c r="B14" s="401"/>
      <c r="C14" s="401"/>
      <c r="D14" s="401"/>
      <c r="E14" s="437"/>
      <c r="F14" s="106"/>
    </row>
    <row r="15" spans="1:6">
      <c r="B15" s="401"/>
      <c r="C15" s="401"/>
      <c r="D15" s="401"/>
      <c r="E15" s="437"/>
      <c r="F15" s="106"/>
    </row>
    <row r="16" spans="1:6">
      <c r="B16" s="426">
        <f>B8/B6</f>
        <v>0.91346891024476184</v>
      </c>
      <c r="C16" s="401"/>
      <c r="D16" s="401"/>
      <c r="E16" s="437"/>
      <c r="F16" s="106"/>
    </row>
    <row r="17" spans="2:5">
      <c r="B17" s="426"/>
      <c r="C17" s="438"/>
      <c r="D17" s="438"/>
      <c r="E17" s="437"/>
    </row>
    <row r="18" spans="2:5">
      <c r="B18" s="426">
        <f>B10/B6</f>
        <v>8.6531089755238155E-2</v>
      </c>
      <c r="C18" s="438"/>
      <c r="D18" s="438"/>
      <c r="E18" s="437"/>
    </row>
  </sheetData>
  <mergeCells count="4">
    <mergeCell ref="B3:B4"/>
    <mergeCell ref="C3:C4"/>
    <mergeCell ref="D3:D4"/>
    <mergeCell ref="A3:A4"/>
  </mergeCells>
  <pageMargins left="0.7" right="0.7" top="0.75" bottom="0.75" header="0.3" footer="0.3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workbookViewId="0">
      <selection activeCell="C8" sqref="C8"/>
    </sheetView>
  </sheetViews>
  <sheetFormatPr baseColWidth="10" defaultRowHeight="12.75"/>
  <cols>
    <col min="1" max="1" width="28.7109375" style="29" customWidth="1"/>
    <col min="2" max="2" width="19.85546875" style="29" customWidth="1"/>
    <col min="3" max="3" width="18.5703125" style="29" customWidth="1"/>
    <col min="4" max="4" width="18.42578125" style="29" customWidth="1"/>
    <col min="5" max="5" width="16.7109375" style="444" customWidth="1"/>
    <col min="6" max="16384" width="11.42578125" style="29"/>
  </cols>
  <sheetData>
    <row r="1" spans="1:5">
      <c r="A1" s="161" t="s">
        <v>920</v>
      </c>
    </row>
    <row r="2" spans="1:5" ht="13.5" thickBot="1"/>
    <row r="3" spans="1:5" ht="18.75" customHeight="1" thickBot="1">
      <c r="A3" s="1072" t="s">
        <v>566</v>
      </c>
      <c r="B3" s="1041" t="s">
        <v>386</v>
      </c>
      <c r="C3" s="1041"/>
      <c r="D3" s="1041"/>
      <c r="E3" s="626"/>
    </row>
    <row r="4" spans="1:5" ht="20.25" customHeight="1" thickBot="1">
      <c r="A4" s="1072"/>
      <c r="B4" s="615" t="s">
        <v>477</v>
      </c>
      <c r="C4" s="615" t="s">
        <v>40</v>
      </c>
      <c r="D4" s="615" t="s">
        <v>479</v>
      </c>
      <c r="E4" s="626" t="s">
        <v>921</v>
      </c>
    </row>
    <row r="5" spans="1:5" ht="21.95" customHeight="1">
      <c r="A5" s="448"/>
      <c r="B5" s="448"/>
      <c r="C5" s="448"/>
      <c r="D5" s="448"/>
      <c r="E5" s="432"/>
    </row>
    <row r="6" spans="1:5" ht="21.95" customHeight="1">
      <c r="A6" s="449" t="s">
        <v>37</v>
      </c>
      <c r="B6" s="450">
        <f>B8+B10</f>
        <v>52782700</v>
      </c>
      <c r="C6" s="450">
        <f>C8+C10</f>
        <v>10405726</v>
      </c>
      <c r="D6" s="450">
        <f>D8+D10</f>
        <v>7842286.8799999999</v>
      </c>
      <c r="E6" s="446">
        <f>D6/C6</f>
        <v>0.75365110324834617</v>
      </c>
    </row>
    <row r="7" spans="1:5" ht="21.95" customHeight="1">
      <c r="A7" s="451"/>
      <c r="B7" s="450"/>
      <c r="C7" s="450"/>
      <c r="D7" s="450"/>
      <c r="E7" s="446"/>
    </row>
    <row r="8" spans="1:5" ht="21.95" customHeight="1">
      <c r="A8" s="451" t="s">
        <v>615</v>
      </c>
      <c r="B8" s="450">
        <f>[4]Resumen!D22+[4]Resumen!D23+[4]Resumen!D24+[4]Resumen!D25+[4]Resumen!D27</f>
        <v>52167400</v>
      </c>
      <c r="C8" s="450">
        <f>[4]Resumen!E22+[4]Resumen!E23+[4]Resumen!E24+[4]Resumen!E25+[4]Resumen!E30</f>
        <v>10345569</v>
      </c>
      <c r="D8" s="450">
        <f>+[4]Resumen!G22+[4]Resumen!G23+[4]Resumen!G24+[4]Resumen!G25+[4]Resumen!G30</f>
        <v>7817802.6799999997</v>
      </c>
      <c r="E8" s="446">
        <f>D8/C8</f>
        <v>0.75566676709613556</v>
      </c>
    </row>
    <row r="9" spans="1:5" ht="21.95" customHeight="1">
      <c r="A9" s="451"/>
      <c r="B9" s="450"/>
      <c r="C9" s="450"/>
      <c r="D9" s="450"/>
      <c r="E9" s="446"/>
    </row>
    <row r="10" spans="1:5" ht="21.95" customHeight="1">
      <c r="A10" s="451" t="s">
        <v>922</v>
      </c>
      <c r="B10" s="450">
        <f>[4]Resumen!D30</f>
        <v>615300</v>
      </c>
      <c r="C10" s="450">
        <f>[4]Resumen!E27</f>
        <v>60157</v>
      </c>
      <c r="D10" s="450">
        <f>[4]Resumen!G27</f>
        <v>24484.2</v>
      </c>
      <c r="E10" s="446">
        <f>D10/C10</f>
        <v>0.40700500357398145</v>
      </c>
    </row>
    <row r="11" spans="1:5" ht="21.95" customHeight="1" thickBot="1">
      <c r="A11" s="452"/>
      <c r="B11" s="452"/>
      <c r="C11" s="452"/>
      <c r="D11" s="452"/>
      <c r="E11" s="447"/>
    </row>
    <row r="12" spans="1:5" ht="21.95" customHeight="1"/>
    <row r="13" spans="1:5" ht="21.95" customHeight="1"/>
    <row r="14" spans="1:5" ht="21.95" customHeight="1"/>
  </sheetData>
  <mergeCells count="2">
    <mergeCell ref="B3:D3"/>
    <mergeCell ref="A3:A4"/>
  </mergeCells>
  <pageMargins left="0.7" right="0.7" top="0.75" bottom="0.75" header="0.3" footer="0.3"/>
  <pageSetup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6"/>
  <sheetViews>
    <sheetView workbookViewId="0">
      <selection activeCell="A11" sqref="A11"/>
    </sheetView>
  </sheetViews>
  <sheetFormatPr baseColWidth="10" defaultRowHeight="12.75"/>
  <cols>
    <col min="1" max="1" width="39.85546875" style="29" customWidth="1"/>
    <col min="2" max="2" width="19.140625" style="29" customWidth="1"/>
    <col min="3" max="3" width="17.85546875" style="29" customWidth="1"/>
    <col min="4" max="4" width="17.5703125" style="29" customWidth="1"/>
    <col min="5" max="5" width="16.5703125" style="29" customWidth="1"/>
    <col min="6" max="6" width="18" style="29" customWidth="1"/>
    <col min="7" max="7" width="9.5703125" style="29" customWidth="1"/>
    <col min="8" max="16384" width="11.42578125" style="29"/>
  </cols>
  <sheetData>
    <row r="1" spans="1:7" ht="27" customHeight="1">
      <c r="A1" s="1074" t="s">
        <v>861</v>
      </c>
      <c r="B1" s="1074"/>
      <c r="C1" s="1074"/>
      <c r="D1" s="1074"/>
      <c r="E1" s="1074"/>
      <c r="F1" s="1074"/>
      <c r="G1" s="1074"/>
    </row>
    <row r="2" spans="1:7" ht="22.5" customHeight="1">
      <c r="A2" s="1074" t="s">
        <v>1120</v>
      </c>
      <c r="B2" s="1074"/>
      <c r="C2" s="1074"/>
      <c r="D2" s="1074"/>
      <c r="E2" s="1074"/>
      <c r="F2" s="1074"/>
      <c r="G2" s="1074"/>
    </row>
    <row r="3" spans="1:7" ht="18.75" customHeight="1" thickBot="1"/>
    <row r="4" spans="1:7" ht="20.25" customHeight="1" thickBot="1">
      <c r="A4" s="1073" t="s">
        <v>385</v>
      </c>
      <c r="B4" s="1075" t="s">
        <v>386</v>
      </c>
      <c r="C4" s="1075"/>
      <c r="D4" s="1072" t="s">
        <v>923</v>
      </c>
      <c r="E4" s="1075" t="s">
        <v>35</v>
      </c>
      <c r="F4" s="1075"/>
      <c r="G4" s="1072" t="s">
        <v>860</v>
      </c>
    </row>
    <row r="5" spans="1:7" ht="19.5" customHeight="1" thickBot="1">
      <c r="A5" s="1073"/>
      <c r="B5" s="615" t="s">
        <v>858</v>
      </c>
      <c r="C5" s="615" t="s">
        <v>859</v>
      </c>
      <c r="D5" s="1073"/>
      <c r="E5" s="627" t="s">
        <v>599</v>
      </c>
      <c r="F5" s="627" t="s">
        <v>600</v>
      </c>
      <c r="G5" s="1073"/>
    </row>
    <row r="6" spans="1:7" ht="24.95" customHeight="1">
      <c r="A6" s="453" t="s">
        <v>616</v>
      </c>
      <c r="B6" s="454">
        <f>SUM(B7:B9)</f>
        <v>52782700</v>
      </c>
      <c r="C6" s="454">
        <f>SUM(C7:C9)</f>
        <v>48047580</v>
      </c>
      <c r="D6" s="454">
        <f>SUM(D7:D9)</f>
        <v>43072855.309999995</v>
      </c>
      <c r="E6" s="454">
        <f>SUM(E7:E9)</f>
        <v>4974724.6900000032</v>
      </c>
      <c r="F6" s="454">
        <f>SUM(F7:F9)</f>
        <v>9709844.6900000032</v>
      </c>
      <c r="G6" s="455">
        <f>D6/C6</f>
        <v>0.89646253380503227</v>
      </c>
    </row>
    <row r="7" spans="1:7" ht="24.95" customHeight="1">
      <c r="A7" s="456" t="s">
        <v>617</v>
      </c>
      <c r="B7" s="457">
        <f>Contraloría!C12</f>
        <v>18508527</v>
      </c>
      <c r="C7" s="457">
        <f>Contraloría!D12</f>
        <v>16884327</v>
      </c>
      <c r="D7" s="457">
        <f>Objeto!IG240</f>
        <v>14854078.789999999</v>
      </c>
      <c r="E7" s="457">
        <f>C7-D7</f>
        <v>2030248.2100000009</v>
      </c>
      <c r="F7" s="457">
        <f>B7-D7</f>
        <v>3654448.2100000009</v>
      </c>
      <c r="G7" s="458">
        <f>D7/C7</f>
        <v>0.87975545545878131</v>
      </c>
    </row>
    <row r="8" spans="1:7" ht="24.95" customHeight="1">
      <c r="A8" s="456" t="s">
        <v>310</v>
      </c>
      <c r="B8" s="457">
        <f>Contraloría!C13</f>
        <v>33871814</v>
      </c>
      <c r="C8" s="457">
        <f>Contraloría!D13</f>
        <v>30803507</v>
      </c>
      <c r="D8" s="457">
        <f>Objeto!IG575</f>
        <v>27911592.759999998</v>
      </c>
      <c r="E8" s="457">
        <f>C8-D8</f>
        <v>2891914.2400000021</v>
      </c>
      <c r="F8" s="457">
        <f>B8-D8</f>
        <v>5960221.2400000021</v>
      </c>
      <c r="G8" s="458">
        <f>D8/C8</f>
        <v>0.90611737033708528</v>
      </c>
    </row>
    <row r="9" spans="1:7" ht="24.95" customHeight="1" thickBot="1">
      <c r="A9" s="406" t="s">
        <v>329</v>
      </c>
      <c r="B9" s="459">
        <f>Contraloría!C14</f>
        <v>402359</v>
      </c>
      <c r="C9" s="459">
        <f>Contraloría!D14</f>
        <v>359746</v>
      </c>
      <c r="D9" s="459">
        <f>Objeto!IG628</f>
        <v>307183.76</v>
      </c>
      <c r="E9" s="459">
        <f>C9-D9</f>
        <v>52562.239999999991</v>
      </c>
      <c r="F9" s="459">
        <f>B9-D9</f>
        <v>95175.239999999991</v>
      </c>
      <c r="G9" s="460">
        <f>D9/C9</f>
        <v>0.85389068954206582</v>
      </c>
    </row>
    <row r="10" spans="1:7" ht="24.95" customHeight="1"/>
    <row r="11" spans="1:7" ht="24.95" customHeight="1">
      <c r="C11" s="426">
        <f>C7/C6</f>
        <v>0.35140847884534454</v>
      </c>
    </row>
    <row r="12" spans="1:7" ht="24.95" customHeight="1">
      <c r="C12" s="426">
        <f>C8/C6</f>
        <v>0.64110423459412524</v>
      </c>
    </row>
    <row r="13" spans="1:7" ht="24.95" customHeight="1">
      <c r="C13" s="426">
        <f>C9/C6</f>
        <v>7.4872865605302074E-3</v>
      </c>
    </row>
    <row r="14" spans="1:7" ht="24.95" customHeight="1"/>
    <row r="15" spans="1:7" ht="24.95" customHeight="1"/>
    <row r="16" spans="1:7" ht="30" customHeight="1"/>
    <row r="17" ht="30" customHeight="1"/>
    <row r="18" ht="30" customHeight="1"/>
    <row r="19" ht="30" customHeight="1"/>
    <row r="20" ht="30" customHeight="1"/>
    <row r="21" ht="30" customHeight="1"/>
    <row r="22" ht="30" customHeight="1"/>
    <row r="23" ht="30" customHeight="1"/>
    <row r="24" ht="30" customHeight="1"/>
    <row r="25" ht="30" customHeight="1"/>
    <row r="26" ht="30" customHeight="1"/>
  </sheetData>
  <mergeCells count="7">
    <mergeCell ref="G4:G5"/>
    <mergeCell ref="A1:G1"/>
    <mergeCell ref="A2:G2"/>
    <mergeCell ref="A4:A5"/>
    <mergeCell ref="B4:C4"/>
    <mergeCell ref="D4:D5"/>
    <mergeCell ref="E4:F4"/>
  </mergeCells>
  <phoneticPr fontId="47" type="noConversion"/>
  <pageMargins left="0.74803149606299213" right="0.74803149606299213" top="0.98425196850393704" bottom="0.98425196850393704" header="0" footer="0"/>
  <pageSetup scale="8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9"/>
  <sheetViews>
    <sheetView workbookViewId="0">
      <selection activeCell="D11" sqref="D11"/>
    </sheetView>
  </sheetViews>
  <sheetFormatPr baseColWidth="10" defaultRowHeight="12.75"/>
  <cols>
    <col min="1" max="1" width="25.42578125" style="29" customWidth="1"/>
    <col min="2" max="2" width="20.85546875" style="29" hidden="1" customWidth="1"/>
    <col min="3" max="4" width="14.85546875" style="29" customWidth="1"/>
    <col min="5" max="5" width="14.5703125" style="29" customWidth="1"/>
    <col min="6" max="6" width="14.42578125" style="29" customWidth="1"/>
    <col min="7" max="7" width="13.5703125" style="29" hidden="1" customWidth="1"/>
    <col min="8" max="8" width="12.85546875" style="29" hidden="1" customWidth="1"/>
    <col min="9" max="9" width="14.7109375" style="29" customWidth="1"/>
    <col min="10" max="10" width="12.42578125" style="29" customWidth="1"/>
    <col min="11" max="16384" width="11.42578125" style="29"/>
  </cols>
  <sheetData>
    <row r="1" spans="1:10" ht="20.100000000000001" customHeight="1">
      <c r="A1" s="1070" t="s">
        <v>853</v>
      </c>
      <c r="B1" s="1070"/>
      <c r="C1" s="1070"/>
      <c r="D1" s="1070"/>
      <c r="E1" s="1070"/>
      <c r="F1" s="1070"/>
      <c r="G1" s="1070"/>
      <c r="H1" s="1070"/>
      <c r="I1" s="1070"/>
      <c r="J1" s="1070"/>
    </row>
    <row r="2" spans="1:10" ht="20.100000000000001" customHeight="1">
      <c r="A2" s="1070" t="s">
        <v>1147</v>
      </c>
      <c r="B2" s="1070"/>
      <c r="C2" s="1070"/>
      <c r="D2" s="1070"/>
      <c r="E2" s="1070"/>
      <c r="F2" s="1070"/>
      <c r="G2" s="1070"/>
      <c r="H2" s="1070"/>
      <c r="I2" s="1070"/>
      <c r="J2" s="1070"/>
    </row>
    <row r="3" spans="1:10" ht="20.100000000000001" customHeight="1" thickBot="1"/>
    <row r="4" spans="1:10" ht="20.100000000000001" customHeight="1" thickBot="1">
      <c r="A4" s="1076" t="s">
        <v>385</v>
      </c>
      <c r="B4" s="1083" t="s">
        <v>596</v>
      </c>
      <c r="C4" s="1085" t="s">
        <v>724</v>
      </c>
      <c r="D4" s="1085" t="s">
        <v>40</v>
      </c>
      <c r="E4" s="1087" t="s">
        <v>479</v>
      </c>
      <c r="F4" s="1078" t="s">
        <v>924</v>
      </c>
      <c r="G4" s="1079"/>
      <c r="H4" s="1079"/>
      <c r="I4" s="1080"/>
      <c r="J4" s="1081" t="s">
        <v>857</v>
      </c>
    </row>
    <row r="5" spans="1:10" ht="23.25" customHeight="1" thickBot="1">
      <c r="A5" s="1077"/>
      <c r="B5" s="1084"/>
      <c r="C5" s="1086"/>
      <c r="D5" s="1086"/>
      <c r="E5" s="1086"/>
      <c r="F5" s="628" t="s">
        <v>599</v>
      </c>
      <c r="G5" s="629"/>
      <c r="H5" s="629"/>
      <c r="I5" s="628" t="s">
        <v>600</v>
      </c>
      <c r="J5" s="1082"/>
    </row>
    <row r="6" spans="1:10" ht="10.5" customHeight="1">
      <c r="A6" s="463"/>
      <c r="B6" s="445"/>
      <c r="C6" s="462"/>
      <c r="D6" s="462"/>
      <c r="E6" s="462"/>
      <c r="F6" s="462"/>
      <c r="G6" s="464"/>
      <c r="H6" s="465"/>
      <c r="I6" s="479"/>
      <c r="J6" s="466"/>
    </row>
    <row r="7" spans="1:10" ht="17.25" customHeight="1">
      <c r="A7" s="403" t="s">
        <v>37</v>
      </c>
      <c r="B7" s="474">
        <f>SUM(B8:B14)</f>
        <v>52782700</v>
      </c>
      <c r="C7" s="193">
        <f>SUM(C8:C14)</f>
        <v>52782700</v>
      </c>
      <c r="D7" s="193">
        <f>SUM(D8:D14)</f>
        <v>10405726</v>
      </c>
      <c r="E7" s="193">
        <f>SUM(E8:E14)</f>
        <v>7842286.8799999999</v>
      </c>
      <c r="F7" s="193">
        <f>SUM(F8:F13)</f>
        <v>2563439.12</v>
      </c>
      <c r="G7" s="475">
        <f>D7-E7</f>
        <v>2563439.12</v>
      </c>
      <c r="H7" s="476">
        <f>E7/C7</f>
        <v>0.1485768420334693</v>
      </c>
      <c r="I7" s="193">
        <f>SUM(I8:I14)</f>
        <v>44940413.11999999</v>
      </c>
      <c r="J7" s="478">
        <f t="shared" ref="J7:J13" si="0">E7/D7</f>
        <v>0.75365110324834617</v>
      </c>
    </row>
    <row r="8" spans="1:10" ht="21.75" customHeight="1">
      <c r="A8" s="477" t="s">
        <v>50</v>
      </c>
      <c r="B8" s="457">
        <f>[4]Resumen!D22</f>
        <v>48594100</v>
      </c>
      <c r="C8" s="461">
        <f>[4]Resumen!D22</f>
        <v>48594100</v>
      </c>
      <c r="D8" s="461">
        <f>[4]Resumen!E22</f>
        <v>9370342</v>
      </c>
      <c r="E8" s="461">
        <f>[4]Resumen!H22</f>
        <v>7597830.04</v>
      </c>
      <c r="F8" s="481">
        <f>D8-E8</f>
        <v>1772511.96</v>
      </c>
      <c r="G8" s="481">
        <f>D8-E8</f>
        <v>1772511.96</v>
      </c>
      <c r="H8" s="482">
        <f>E8/C8</f>
        <v>0.15635293255765617</v>
      </c>
      <c r="I8" s="481">
        <f>C8-E8</f>
        <v>40996269.960000001</v>
      </c>
      <c r="J8" s="466">
        <f t="shared" si="0"/>
        <v>0.81083807186546664</v>
      </c>
    </row>
    <row r="9" spans="1:10" ht="21.75" customHeight="1">
      <c r="A9" s="477" t="s">
        <v>81</v>
      </c>
      <c r="B9" s="457">
        <f>[4]Resumen!D23</f>
        <v>2249300</v>
      </c>
      <c r="C9" s="461">
        <f>[4]Resumen!D23</f>
        <v>2249300</v>
      </c>
      <c r="D9" s="461">
        <f>[4]Resumen!E23</f>
        <v>526229</v>
      </c>
      <c r="E9" s="461">
        <f>[4]Resumen!H23</f>
        <v>137774.75999999998</v>
      </c>
      <c r="F9" s="481">
        <f t="shared" ref="F9:F14" si="1">D9-E9</f>
        <v>388454.24</v>
      </c>
      <c r="G9" s="481">
        <f t="shared" ref="G9:G14" si="2">D9-E9</f>
        <v>388454.24</v>
      </c>
      <c r="H9" s="482">
        <f t="shared" ref="H9:H14" si="3">E9/C9</f>
        <v>6.1252282932467872E-2</v>
      </c>
      <c r="I9" s="481">
        <f t="shared" ref="I9:I14" si="4">C9-E9</f>
        <v>2111525.2400000002</v>
      </c>
      <c r="J9" s="466">
        <f t="shared" si="0"/>
        <v>0.26181521732933755</v>
      </c>
    </row>
    <row r="10" spans="1:10" ht="21.75" customHeight="1">
      <c r="A10" s="477" t="s">
        <v>125</v>
      </c>
      <c r="B10" s="457">
        <f>[4]Resumen!D24</f>
        <v>542000</v>
      </c>
      <c r="C10" s="461">
        <f>[4]Resumen!D24</f>
        <v>542000</v>
      </c>
      <c r="D10" s="461">
        <f>[4]Resumen!E24</f>
        <v>138938</v>
      </c>
      <c r="E10" s="461">
        <f>[4]Resumen!H24</f>
        <v>33166.839999999997</v>
      </c>
      <c r="F10" s="481">
        <f t="shared" si="1"/>
        <v>105771.16</v>
      </c>
      <c r="G10" s="481">
        <f t="shared" si="2"/>
        <v>105771.16</v>
      </c>
      <c r="H10" s="482">
        <f t="shared" si="3"/>
        <v>6.1193431734317336E-2</v>
      </c>
      <c r="I10" s="481">
        <f t="shared" si="4"/>
        <v>508833.16000000003</v>
      </c>
      <c r="J10" s="466">
        <f t="shared" si="0"/>
        <v>0.23871683772617999</v>
      </c>
    </row>
    <row r="11" spans="1:10" ht="21.75" customHeight="1">
      <c r="A11" s="477" t="s">
        <v>618</v>
      </c>
      <c r="B11" s="457">
        <f>[4]Resumen!D25</f>
        <v>546000</v>
      </c>
      <c r="C11" s="461">
        <f>[4]Resumen!D25</f>
        <v>546000</v>
      </c>
      <c r="D11" s="461">
        <f>[4]Resumen!E25</f>
        <v>187000</v>
      </c>
      <c r="E11" s="461">
        <f>[4]Resumen!H25</f>
        <v>7352.95</v>
      </c>
      <c r="F11" s="481">
        <f t="shared" si="1"/>
        <v>179647.05</v>
      </c>
      <c r="G11" s="481">
        <f t="shared" si="2"/>
        <v>179647.05</v>
      </c>
      <c r="H11" s="482">
        <f t="shared" si="3"/>
        <v>1.3466941391941392E-2</v>
      </c>
      <c r="I11" s="481">
        <f t="shared" si="4"/>
        <v>538647.05000000005</v>
      </c>
      <c r="J11" s="466">
        <f t="shared" si="0"/>
        <v>3.9320588235294114E-2</v>
      </c>
    </row>
    <row r="12" spans="1:10" ht="21.75" customHeight="1">
      <c r="A12" s="477" t="s">
        <v>537</v>
      </c>
      <c r="B12" s="457">
        <f>[4]Resumen!D30</f>
        <v>615300</v>
      </c>
      <c r="C12" s="461">
        <f>[4]Resumen!D30</f>
        <v>615300</v>
      </c>
      <c r="D12" s="461">
        <f>[4]Resumen!E30</f>
        <v>123060</v>
      </c>
      <c r="E12" s="461">
        <f>[4]Resumen!H30</f>
        <v>41678.089999999997</v>
      </c>
      <c r="F12" s="481">
        <f t="shared" si="1"/>
        <v>81381.91</v>
      </c>
      <c r="G12" s="481">
        <f t="shared" si="2"/>
        <v>81381.91</v>
      </c>
      <c r="H12" s="482">
        <f t="shared" si="3"/>
        <v>6.7736209978872086E-2</v>
      </c>
      <c r="I12" s="481">
        <f t="shared" si="4"/>
        <v>573621.91</v>
      </c>
      <c r="J12" s="466">
        <f t="shared" si="0"/>
        <v>0.33868104989436043</v>
      </c>
    </row>
    <row r="13" spans="1:10" ht="21.75" customHeight="1">
      <c r="A13" s="477" t="s">
        <v>408</v>
      </c>
      <c r="B13" s="457">
        <f>[4]Resumen!D27</f>
        <v>236000</v>
      </c>
      <c r="C13" s="461">
        <f>[4]Resumen!D27</f>
        <v>236000</v>
      </c>
      <c r="D13" s="461">
        <f>[4]Resumen!E27</f>
        <v>60157</v>
      </c>
      <c r="E13" s="461">
        <f>[4]Resumen!H27</f>
        <v>24484.2</v>
      </c>
      <c r="F13" s="481">
        <f t="shared" si="1"/>
        <v>35672.800000000003</v>
      </c>
      <c r="G13" s="481">
        <f t="shared" si="2"/>
        <v>35672.800000000003</v>
      </c>
      <c r="H13" s="482">
        <f t="shared" si="3"/>
        <v>0.10374661016949153</v>
      </c>
      <c r="I13" s="481">
        <f t="shared" si="4"/>
        <v>211515.8</v>
      </c>
      <c r="J13" s="466">
        <f t="shared" si="0"/>
        <v>0.40700500357398145</v>
      </c>
    </row>
    <row r="14" spans="1:10" ht="21.75" customHeight="1">
      <c r="A14" s="477" t="s">
        <v>619</v>
      </c>
      <c r="B14" s="472">
        <f>[4]Resumen!D26</f>
        <v>0</v>
      </c>
      <c r="C14" s="461">
        <f>[4]Resumen!E26</f>
        <v>0</v>
      </c>
      <c r="D14" s="461">
        <v>0</v>
      </c>
      <c r="E14" s="461">
        <f>[4]Resumen!G26</f>
        <v>0</v>
      </c>
      <c r="F14" s="481">
        <f t="shared" si="1"/>
        <v>0</v>
      </c>
      <c r="G14" s="481">
        <f t="shared" si="2"/>
        <v>0</v>
      </c>
      <c r="H14" s="482" t="e">
        <f t="shared" si="3"/>
        <v>#DIV/0!</v>
      </c>
      <c r="I14" s="481">
        <f t="shared" si="4"/>
        <v>0</v>
      </c>
      <c r="J14" s="466">
        <v>0</v>
      </c>
    </row>
    <row r="15" spans="1:10" ht="11.25" customHeight="1" thickBot="1">
      <c r="A15" s="467"/>
      <c r="B15" s="468"/>
      <c r="C15" s="473"/>
      <c r="D15" s="473"/>
      <c r="E15" s="473"/>
      <c r="F15" s="473"/>
      <c r="G15" s="469"/>
      <c r="H15" s="470"/>
      <c r="I15" s="480"/>
      <c r="J15" s="471"/>
    </row>
    <row r="16" spans="1:10" ht="20.100000000000001" customHeight="1">
      <c r="A16" s="171"/>
      <c r="B16" s="171"/>
      <c r="C16" s="171"/>
      <c r="D16" s="171"/>
      <c r="E16" s="171"/>
      <c r="F16" s="171"/>
      <c r="G16" s="171"/>
      <c r="H16" s="171"/>
      <c r="I16" s="171"/>
      <c r="J16" s="171"/>
    </row>
    <row r="17" spans="1:10" ht="20.100000000000001" customHeight="1">
      <c r="A17" s="171"/>
      <c r="B17" s="171"/>
      <c r="C17" s="171"/>
      <c r="D17" s="171"/>
      <c r="E17" s="171"/>
      <c r="F17" s="171"/>
      <c r="G17" s="171"/>
      <c r="H17" s="171"/>
      <c r="I17" s="171"/>
      <c r="J17" s="171"/>
    </row>
    <row r="18" spans="1:10" ht="20.100000000000001" customHeight="1">
      <c r="A18" s="171"/>
      <c r="B18" s="171"/>
      <c r="C18" s="171"/>
      <c r="D18" s="171"/>
      <c r="E18" s="171"/>
      <c r="F18" s="171"/>
      <c r="G18" s="171"/>
      <c r="H18" s="171"/>
      <c r="I18" s="171"/>
      <c r="J18" s="171"/>
    </row>
    <row r="19" spans="1:10" ht="20.100000000000001" customHeight="1"/>
    <row r="20" spans="1:10" ht="20.100000000000001" customHeight="1"/>
    <row r="21" spans="1:10" ht="20.100000000000001" customHeight="1"/>
    <row r="22" spans="1:10" ht="20.100000000000001" customHeight="1"/>
    <row r="23" spans="1:10" ht="20.100000000000001" customHeight="1"/>
    <row r="24" spans="1:10" ht="20.100000000000001" customHeight="1"/>
    <row r="25" spans="1:10" ht="20.100000000000001" customHeight="1"/>
    <row r="26" spans="1:10" ht="20.100000000000001" customHeight="1"/>
    <row r="27" spans="1:10" ht="20.100000000000001" customHeight="1"/>
    <row r="28" spans="1:10" ht="20.100000000000001" customHeight="1"/>
    <row r="29" spans="1:10" ht="20.100000000000001" customHeight="1"/>
  </sheetData>
  <mergeCells count="9">
    <mergeCell ref="A4:A5"/>
    <mergeCell ref="F4:I4"/>
    <mergeCell ref="A1:J1"/>
    <mergeCell ref="A2:J2"/>
    <mergeCell ref="J4:J5"/>
    <mergeCell ref="B4:B5"/>
    <mergeCell ref="C4:C5"/>
    <mergeCell ref="E4:E5"/>
    <mergeCell ref="D4:D5"/>
  </mergeCells>
  <phoneticPr fontId="47" type="noConversion"/>
  <pageMargins left="0.74803149606299213" right="0.74803149606299213" top="0.98425196850393704" bottom="0.98425196850393704" header="0" footer="0"/>
  <pageSetup scale="84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B16" sqref="B16"/>
    </sheetView>
  </sheetViews>
  <sheetFormatPr baseColWidth="10" defaultRowHeight="12.75"/>
  <cols>
    <col min="1" max="1" width="48.28515625" style="29" customWidth="1"/>
    <col min="2" max="2" width="13.5703125" style="29" customWidth="1"/>
    <col min="3" max="3" width="14.28515625" style="29" customWidth="1"/>
    <col min="4" max="5" width="13.7109375" style="29" customWidth="1"/>
    <col min="6" max="6" width="11.5703125" style="391" bestFit="1" customWidth="1"/>
    <col min="7" max="16384" width="11.42578125" style="29"/>
  </cols>
  <sheetData>
    <row r="1" spans="1:6">
      <c r="A1" s="1088" t="s">
        <v>0</v>
      </c>
      <c r="B1" s="1088"/>
      <c r="C1" s="1088"/>
      <c r="D1" s="1088"/>
      <c r="E1" s="1088"/>
      <c r="F1" s="1088"/>
    </row>
    <row r="2" spans="1:6">
      <c r="A2" s="1088" t="s">
        <v>830</v>
      </c>
      <c r="B2" s="1088"/>
      <c r="C2" s="1088"/>
      <c r="D2" s="1088"/>
      <c r="E2" s="1088"/>
      <c r="F2" s="1088"/>
    </row>
    <row r="3" spans="1:6">
      <c r="A3" s="1088" t="s">
        <v>1148</v>
      </c>
      <c r="B3" s="1088"/>
      <c r="C3" s="1088"/>
      <c r="D3" s="1088"/>
      <c r="E3" s="1088"/>
      <c r="F3" s="1088"/>
    </row>
    <row r="4" spans="1:6" ht="15.75">
      <c r="A4" s="1070" t="s">
        <v>383</v>
      </c>
      <c r="B4" s="1070"/>
      <c r="C4" s="1070"/>
      <c r="D4" s="1070"/>
      <c r="E4" s="1070"/>
      <c r="F4" s="1070"/>
    </row>
    <row r="5" spans="1:6" ht="13.5" thickBot="1"/>
    <row r="6" spans="1:6" ht="27" customHeight="1" thickBot="1">
      <c r="A6" s="384" t="s">
        <v>833</v>
      </c>
      <c r="B6" s="385" t="s">
        <v>834</v>
      </c>
      <c r="C6" s="385" t="s">
        <v>835</v>
      </c>
      <c r="D6" s="386" t="s">
        <v>347</v>
      </c>
      <c r="E6" s="386" t="s">
        <v>836</v>
      </c>
      <c r="F6" s="392" t="s">
        <v>837</v>
      </c>
    </row>
    <row r="7" spans="1:6" ht="11.25" customHeight="1" thickTop="1">
      <c r="A7" s="342"/>
      <c r="B7" s="332"/>
      <c r="C7" s="332"/>
      <c r="D7" s="332"/>
      <c r="E7" s="332"/>
      <c r="F7" s="393"/>
    </row>
    <row r="8" spans="1:6" ht="18" customHeight="1">
      <c r="A8" s="389" t="s">
        <v>879</v>
      </c>
      <c r="B8" s="390">
        <f>B10+B32</f>
        <v>57782700</v>
      </c>
      <c r="C8" s="390">
        <f>C10+C32</f>
        <v>57782700</v>
      </c>
      <c r="D8" s="390">
        <f>D10+D32</f>
        <v>13957273</v>
      </c>
      <c r="E8" s="390">
        <f>E10+E32</f>
        <v>48195861.700000003</v>
      </c>
      <c r="F8" s="394">
        <f>E8/D8</f>
        <v>3.4531001650537325</v>
      </c>
    </row>
    <row r="9" spans="1:6" ht="9.75" customHeight="1">
      <c r="A9" s="387"/>
      <c r="B9" s="388"/>
      <c r="C9" s="388"/>
      <c r="D9" s="388"/>
      <c r="E9" s="388"/>
      <c r="F9" s="395"/>
    </row>
    <row r="10" spans="1:6" s="336" customFormat="1" ht="18" customHeight="1">
      <c r="A10" s="333" t="s">
        <v>396</v>
      </c>
      <c r="B10" s="334">
        <f>B12+B28</f>
        <v>52782700</v>
      </c>
      <c r="C10" s="334">
        <f>C12+C28</f>
        <v>52782700</v>
      </c>
      <c r="D10" s="334">
        <f>D12+D28</f>
        <v>12921196</v>
      </c>
      <c r="E10" s="334">
        <f>E12+E28</f>
        <v>48195861.700000003</v>
      </c>
      <c r="F10" s="335">
        <f>E10/D10</f>
        <v>3.7299845695398477</v>
      </c>
    </row>
    <row r="11" spans="1:6" ht="8.25" customHeight="1">
      <c r="A11" s="337"/>
      <c r="B11" s="338"/>
      <c r="C11" s="338"/>
      <c r="D11" s="338"/>
      <c r="E11" s="338"/>
      <c r="F11" s="339"/>
    </row>
    <row r="12" spans="1:6" ht="18" customHeight="1">
      <c r="A12" s="333" t="s">
        <v>838</v>
      </c>
      <c r="B12" s="334">
        <f>B14+B21+B24+B17</f>
        <v>4000000</v>
      </c>
      <c r="C12" s="334">
        <f>C14+C21+C24+C17</f>
        <v>4000000</v>
      </c>
      <c r="D12" s="334">
        <f>D14+D21+D24+D17</f>
        <v>3847296</v>
      </c>
      <c r="E12" s="334">
        <f>E14+E21+E24+E17</f>
        <v>4053979.7</v>
      </c>
      <c r="F12" s="335">
        <f>E12/D12</f>
        <v>1.0537218087716673</v>
      </c>
    </row>
    <row r="13" spans="1:6" ht="10.5" customHeight="1">
      <c r="A13" s="337"/>
      <c r="B13" s="338"/>
      <c r="C13" s="338"/>
      <c r="D13" s="338"/>
      <c r="E13" s="338"/>
      <c r="F13" s="339"/>
    </row>
    <row r="14" spans="1:6" ht="18" customHeight="1">
      <c r="A14" s="333" t="s">
        <v>852</v>
      </c>
      <c r="B14" s="334">
        <f>SUM(B15:B16)</f>
        <v>877500</v>
      </c>
      <c r="C14" s="334">
        <f>SUM(C15:C16)</f>
        <v>877500</v>
      </c>
      <c r="D14" s="334">
        <f>SUM(D15:D16)</f>
        <v>805300</v>
      </c>
      <c r="E14" s="334">
        <f>SUM(E15:E16)</f>
        <v>382196.9</v>
      </c>
      <c r="F14" s="335">
        <f>E14/D14</f>
        <v>0.47460188749534338</v>
      </c>
    </row>
    <row r="15" spans="1:6" ht="18" customHeight="1">
      <c r="A15" s="340" t="s">
        <v>839</v>
      </c>
      <c r="B15" s="338">
        <f>INGRESOS!C18</f>
        <v>83300</v>
      </c>
      <c r="C15" s="338">
        <f>INGRESOS!E18</f>
        <v>83300</v>
      </c>
      <c r="D15" s="338">
        <f>INGRESOS!F18</f>
        <v>83300</v>
      </c>
      <c r="E15" s="338">
        <f>INGRESOS!S18</f>
        <v>92525.4</v>
      </c>
      <c r="F15" s="335">
        <f>E15/D15</f>
        <v>1.1107490996398559</v>
      </c>
    </row>
    <row r="16" spans="1:6" ht="18" customHeight="1">
      <c r="A16" s="340" t="s">
        <v>840</v>
      </c>
      <c r="B16" s="341">
        <f>INGRESOS!C19</f>
        <v>794200</v>
      </c>
      <c r="C16" s="341">
        <f>INGRESOS!E19</f>
        <v>794200</v>
      </c>
      <c r="D16" s="341">
        <f>INGRESOS!F19</f>
        <v>722000</v>
      </c>
      <c r="E16" s="341">
        <f>INGRESOS!S19</f>
        <v>289671.5</v>
      </c>
      <c r="F16" s="335">
        <f>E16/D16</f>
        <v>0.40120706371191134</v>
      </c>
    </row>
    <row r="17" spans="1:6" ht="18" customHeight="1">
      <c r="A17" s="333" t="s">
        <v>841</v>
      </c>
      <c r="B17" s="334">
        <f>SUM(B18:B20)</f>
        <v>2759500</v>
      </c>
      <c r="C17" s="334">
        <f>SUM(C18:C20)</f>
        <v>2759500</v>
      </c>
      <c r="D17" s="334">
        <f>SUM(D18:D20)</f>
        <v>2678996</v>
      </c>
      <c r="E17" s="334">
        <f>SUM(E18:E20)</f>
        <v>2594358.3199999998</v>
      </c>
      <c r="F17" s="335">
        <f>E17/D17</f>
        <v>0.96840694051054943</v>
      </c>
    </row>
    <row r="18" spans="1:6" ht="18" customHeight="1">
      <c r="A18" s="340" t="s">
        <v>842</v>
      </c>
      <c r="B18" s="338">
        <f>INGRESOS!C30</f>
        <v>23800</v>
      </c>
      <c r="C18" s="338">
        <f>INGRESOS!E30</f>
        <v>23800</v>
      </c>
      <c r="D18" s="338">
        <f>INGRESOS!F30</f>
        <v>23800</v>
      </c>
      <c r="E18" s="338">
        <f>INGRESOS!S30</f>
        <v>63412</v>
      </c>
      <c r="F18" s="335">
        <f t="shared" ref="F18:F26" si="0">E18/D18</f>
        <v>2.6643697478991597</v>
      </c>
    </row>
    <row r="19" spans="1:6" ht="18" customHeight="1">
      <c r="A19" s="340" t="s">
        <v>843</v>
      </c>
      <c r="B19" s="338">
        <f>INGRESOS!C31</f>
        <v>565900</v>
      </c>
      <c r="C19" s="338">
        <f>INGRESOS!E31</f>
        <v>565900</v>
      </c>
      <c r="D19" s="338">
        <f>INGRESOS!F31</f>
        <v>565900</v>
      </c>
      <c r="E19" s="338">
        <f>INGRESOS!S31</f>
        <v>611596</v>
      </c>
      <c r="F19" s="335">
        <f t="shared" si="0"/>
        <v>1.0807492489839194</v>
      </c>
    </row>
    <row r="20" spans="1:6" ht="18" customHeight="1">
      <c r="A20" s="340" t="s">
        <v>844</v>
      </c>
      <c r="B20" s="338">
        <f>INGRESOS!C32</f>
        <v>2169800</v>
      </c>
      <c r="C20" s="338">
        <f>INGRESOS!E32</f>
        <v>2169800</v>
      </c>
      <c r="D20" s="338">
        <f>INGRESOS!F32</f>
        <v>2089296</v>
      </c>
      <c r="E20" s="338">
        <f>INGRESOS!S32</f>
        <v>1919350.3199999998</v>
      </c>
      <c r="F20" s="335">
        <f t="shared" si="0"/>
        <v>0.91865887839731653</v>
      </c>
    </row>
    <row r="21" spans="1:6" ht="18" customHeight="1">
      <c r="A21" s="333" t="s">
        <v>845</v>
      </c>
      <c r="B21" s="334">
        <f>SUM(B22:B23)</f>
        <v>69200</v>
      </c>
      <c r="C21" s="334">
        <f>SUM(C22:C23)</f>
        <v>69200</v>
      </c>
      <c r="D21" s="334">
        <f>SUM(D22:D23)</f>
        <v>69200</v>
      </c>
      <c r="E21" s="334">
        <f>SUM(E22:E23)</f>
        <v>102221</v>
      </c>
      <c r="F21" s="335">
        <f t="shared" si="0"/>
        <v>1.4771820809248555</v>
      </c>
    </row>
    <row r="22" spans="1:6" ht="18" customHeight="1">
      <c r="A22" s="340" t="s">
        <v>846</v>
      </c>
      <c r="B22" s="338">
        <f>INGRESOS!C35</f>
        <v>11300</v>
      </c>
      <c r="C22" s="338">
        <f>INGRESOS!E35</f>
        <v>11300</v>
      </c>
      <c r="D22" s="338">
        <f>INGRESOS!F35</f>
        <v>11300</v>
      </c>
      <c r="E22" s="338">
        <f>INGRESOS!S35</f>
        <v>14506</v>
      </c>
      <c r="F22" s="335">
        <f t="shared" si="0"/>
        <v>1.2837168141592921</v>
      </c>
    </row>
    <row r="23" spans="1:6" ht="18" customHeight="1">
      <c r="A23" s="340" t="s">
        <v>847</v>
      </c>
      <c r="B23" s="338">
        <f>INGRESOS!C36</f>
        <v>57900</v>
      </c>
      <c r="C23" s="338">
        <f>INGRESOS!E36</f>
        <v>57900</v>
      </c>
      <c r="D23" s="338">
        <f>INGRESOS!F36</f>
        <v>57900</v>
      </c>
      <c r="E23" s="338">
        <f>INGRESOS!S36</f>
        <v>87715</v>
      </c>
      <c r="F23" s="335">
        <f t="shared" si="0"/>
        <v>1.5149395509499137</v>
      </c>
    </row>
    <row r="24" spans="1:6" ht="18" customHeight="1">
      <c r="A24" s="333" t="s">
        <v>625</v>
      </c>
      <c r="B24" s="334">
        <f>SUM(B25:B26)</f>
        <v>293800</v>
      </c>
      <c r="C24" s="334">
        <f>SUM(C25:C26)</f>
        <v>293800</v>
      </c>
      <c r="D24" s="334">
        <f>SUM(D25:D26)</f>
        <v>293800</v>
      </c>
      <c r="E24" s="334">
        <f>SUM(E25:E26)</f>
        <v>975203.4800000001</v>
      </c>
      <c r="F24" s="335">
        <f t="shared" si="0"/>
        <v>3.3192766507828457</v>
      </c>
    </row>
    <row r="25" spans="1:6" ht="18" customHeight="1">
      <c r="A25" s="340" t="s">
        <v>848</v>
      </c>
      <c r="B25" s="338">
        <f>INGRESOS!C41</f>
        <v>258800</v>
      </c>
      <c r="C25" s="338">
        <f>INGRESOS!E41</f>
        <v>258800</v>
      </c>
      <c r="D25" s="338">
        <f>INGRESOS!F41</f>
        <v>258800</v>
      </c>
      <c r="E25" s="338">
        <f>INGRESOS!S41</f>
        <v>930776.84000000008</v>
      </c>
      <c r="F25" s="335">
        <f t="shared" si="0"/>
        <v>3.5965102009273573</v>
      </c>
    </row>
    <row r="26" spans="1:6" ht="18" customHeight="1">
      <c r="A26" s="340" t="s">
        <v>849</v>
      </c>
      <c r="B26" s="338">
        <f>INGRESOS!C42</f>
        <v>35000</v>
      </c>
      <c r="C26" s="338">
        <f>INGRESOS!E42</f>
        <v>35000</v>
      </c>
      <c r="D26" s="338">
        <f>INGRESOS!F42</f>
        <v>35000</v>
      </c>
      <c r="E26" s="338">
        <f>INGRESOS!S42</f>
        <v>44426.64</v>
      </c>
      <c r="F26" s="335">
        <f t="shared" si="0"/>
        <v>1.2693325714285715</v>
      </c>
    </row>
    <row r="27" spans="1:6" ht="7.5" customHeight="1">
      <c r="A27" s="337"/>
      <c r="B27" s="338"/>
      <c r="C27" s="338"/>
      <c r="D27" s="338"/>
      <c r="E27" s="338"/>
      <c r="F27" s="339"/>
    </row>
    <row r="28" spans="1:6" ht="18" customHeight="1">
      <c r="A28" s="333" t="s">
        <v>408</v>
      </c>
      <c r="B28" s="334">
        <f t="shared" ref="B28:E29" si="1">B29</f>
        <v>48782700</v>
      </c>
      <c r="C28" s="334">
        <f t="shared" si="1"/>
        <v>48782700</v>
      </c>
      <c r="D28" s="334">
        <f t="shared" si="1"/>
        <v>9073900</v>
      </c>
      <c r="E28" s="334">
        <f t="shared" si="1"/>
        <v>44141882</v>
      </c>
      <c r="F28" s="335">
        <f>E28/D28</f>
        <v>4.8647088903338149</v>
      </c>
    </row>
    <row r="29" spans="1:6" ht="18" customHeight="1">
      <c r="A29" s="340" t="s">
        <v>850</v>
      </c>
      <c r="B29" s="334">
        <f t="shared" si="1"/>
        <v>48782700</v>
      </c>
      <c r="C29" s="334">
        <f t="shared" si="1"/>
        <v>48782700</v>
      </c>
      <c r="D29" s="334">
        <f t="shared" si="1"/>
        <v>9073900</v>
      </c>
      <c r="E29" s="334">
        <f t="shared" si="1"/>
        <v>44141882</v>
      </c>
      <c r="F29" s="335">
        <f>E29/D29</f>
        <v>4.8647088903338149</v>
      </c>
    </row>
    <row r="30" spans="1:6" ht="18" customHeight="1">
      <c r="A30" s="340" t="s">
        <v>851</v>
      </c>
      <c r="B30" s="338">
        <f>INGRESOS!C24</f>
        <v>48782700</v>
      </c>
      <c r="C30" s="338">
        <f>[4]Resumen!D14</f>
        <v>48782700</v>
      </c>
      <c r="D30" s="338">
        <f>[4]Resumen!E14</f>
        <v>9073900</v>
      </c>
      <c r="E30" s="338">
        <f>INGRESOS!S24</f>
        <v>44141882</v>
      </c>
      <c r="F30" s="335">
        <f>E30/D30</f>
        <v>4.8647088903338149</v>
      </c>
    </row>
    <row r="31" spans="1:6" ht="18" customHeight="1">
      <c r="A31" s="337"/>
      <c r="B31" s="337"/>
      <c r="C31" s="337"/>
      <c r="D31" s="337"/>
      <c r="E31" s="337"/>
      <c r="F31" s="396"/>
    </row>
    <row r="32" spans="1:6" ht="18" customHeight="1">
      <c r="A32" s="333" t="s">
        <v>583</v>
      </c>
      <c r="B32" s="334">
        <f>B33</f>
        <v>5000000</v>
      </c>
      <c r="C32" s="334">
        <f>C33</f>
        <v>5000000</v>
      </c>
      <c r="D32" s="334">
        <f>D33</f>
        <v>1036077</v>
      </c>
      <c r="E32" s="334">
        <f>E33</f>
        <v>0</v>
      </c>
      <c r="F32" s="335">
        <f>E32/D32</f>
        <v>0</v>
      </c>
    </row>
    <row r="33" spans="1:6" ht="18" customHeight="1">
      <c r="A33" s="340" t="s">
        <v>1041</v>
      </c>
      <c r="B33" s="334">
        <f>B34+B35</f>
        <v>5000000</v>
      </c>
      <c r="C33" s="334">
        <f>C34+C35</f>
        <v>5000000</v>
      </c>
      <c r="D33" s="334">
        <f>D34+D35</f>
        <v>1036077</v>
      </c>
      <c r="E33" s="334">
        <f>E34+E35</f>
        <v>0</v>
      </c>
      <c r="F33" s="335">
        <f>E33/D33</f>
        <v>0</v>
      </c>
    </row>
    <row r="34" spans="1:6" ht="18" customHeight="1">
      <c r="A34" s="340" t="s">
        <v>851</v>
      </c>
      <c r="B34" s="338">
        <f>[4]Resumen!B18</f>
        <v>5000000</v>
      </c>
      <c r="C34" s="338">
        <f>[4]Resumen!D18</f>
        <v>5000000</v>
      </c>
      <c r="D34" s="338">
        <f>[4]Resumen!E18</f>
        <v>1036077</v>
      </c>
      <c r="E34" s="338">
        <f>[4]Resumen!H18</f>
        <v>0</v>
      </c>
      <c r="F34" s="335">
        <f>E34/D34</f>
        <v>0</v>
      </c>
    </row>
    <row r="35" spans="1:6" ht="18" customHeight="1">
      <c r="A35" s="340" t="s">
        <v>880</v>
      </c>
      <c r="B35" s="338">
        <f>[4]Resumen!D10</f>
        <v>0</v>
      </c>
      <c r="C35" s="338">
        <f>B35</f>
        <v>0</v>
      </c>
      <c r="D35" s="338">
        <f>C35</f>
        <v>0</v>
      </c>
      <c r="E35" s="338">
        <f>[4]Resumen!H10</f>
        <v>0</v>
      </c>
      <c r="F35" s="335" t="e">
        <f>E35/D35</f>
        <v>#DIV/0!</v>
      </c>
    </row>
  </sheetData>
  <mergeCells count="4">
    <mergeCell ref="A1:F1"/>
    <mergeCell ref="A2:F2"/>
    <mergeCell ref="A3:F3"/>
    <mergeCell ref="A4:F4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3"/>
  <sheetViews>
    <sheetView workbookViewId="0">
      <selection activeCell="D31" sqref="D31"/>
    </sheetView>
  </sheetViews>
  <sheetFormatPr baseColWidth="10" defaultRowHeight="12.75"/>
  <cols>
    <col min="1" max="1" width="2.7109375" style="29" customWidth="1"/>
    <col min="2" max="2" width="2.140625" style="29" customWidth="1"/>
    <col min="3" max="3" width="30.5703125" style="29" customWidth="1"/>
    <col min="4" max="4" width="13" style="29" customWidth="1"/>
    <col min="5" max="5" width="13.5703125" style="29" customWidth="1"/>
    <col min="6" max="6" width="15.140625" style="29" customWidth="1"/>
    <col min="7" max="7" width="12.7109375" style="29" customWidth="1"/>
    <col min="8" max="8" width="14.7109375" style="29" customWidth="1"/>
    <col min="9" max="10" width="11.42578125" style="349"/>
    <col min="11" max="16384" width="11.42578125" style="29"/>
  </cols>
  <sheetData>
    <row r="1" spans="1:10" ht="15">
      <c r="A1" s="1013" t="s">
        <v>0</v>
      </c>
      <c r="B1" s="1013"/>
      <c r="C1" s="1013"/>
      <c r="D1" s="1013"/>
      <c r="E1" s="1013"/>
      <c r="F1" s="1013"/>
      <c r="G1" s="1013"/>
      <c r="H1" s="1013"/>
      <c r="I1" s="1013"/>
      <c r="J1" s="1013"/>
    </row>
    <row r="2" spans="1:10" ht="15">
      <c r="A2" s="1013" t="s">
        <v>862</v>
      </c>
      <c r="B2" s="1013"/>
      <c r="C2" s="1013"/>
      <c r="D2" s="1013"/>
      <c r="E2" s="1013"/>
      <c r="F2" s="1013"/>
      <c r="G2" s="1013"/>
      <c r="H2" s="1013"/>
      <c r="I2" s="1013"/>
      <c r="J2" s="1013"/>
    </row>
    <row r="3" spans="1:10" ht="15">
      <c r="A3" s="1013" t="s">
        <v>1042</v>
      </c>
      <c r="B3" s="1013"/>
      <c r="C3" s="1013"/>
      <c r="D3" s="1013"/>
      <c r="E3" s="1013"/>
      <c r="F3" s="1013"/>
      <c r="G3" s="1013"/>
      <c r="H3" s="1013"/>
      <c r="I3" s="1013"/>
      <c r="J3" s="1013"/>
    </row>
    <row r="4" spans="1:10" ht="15">
      <c r="A4" s="1013" t="s">
        <v>383</v>
      </c>
      <c r="B4" s="1013"/>
      <c r="C4" s="1013"/>
      <c r="D4" s="1013"/>
      <c r="E4" s="1013"/>
      <c r="F4" s="1013"/>
      <c r="G4" s="1013"/>
      <c r="H4" s="1013"/>
      <c r="I4" s="1013"/>
      <c r="J4" s="1013"/>
    </row>
    <row r="5" spans="1:10" ht="13.5" thickBot="1">
      <c r="A5" s="350"/>
      <c r="B5" s="350"/>
      <c r="C5" s="350"/>
      <c r="D5" s="350"/>
      <c r="E5" s="350"/>
      <c r="F5" s="350"/>
      <c r="G5" s="350"/>
      <c r="H5" s="350"/>
      <c r="I5" s="351"/>
      <c r="J5" s="351"/>
    </row>
    <row r="6" spans="1:10" ht="26.25" thickBot="1">
      <c r="A6" s="1014" t="s">
        <v>867</v>
      </c>
      <c r="B6" s="1014"/>
      <c r="C6" s="1014"/>
      <c r="D6" s="352" t="s">
        <v>868</v>
      </c>
      <c r="E6" s="352" t="s">
        <v>869</v>
      </c>
      <c r="F6" s="353" t="s">
        <v>40</v>
      </c>
      <c r="G6" s="352" t="s">
        <v>45</v>
      </c>
      <c r="H6" s="353" t="s">
        <v>46</v>
      </c>
      <c r="I6" s="354" t="s">
        <v>870</v>
      </c>
      <c r="J6" s="354" t="s">
        <v>871</v>
      </c>
    </row>
    <row r="7" spans="1:10" ht="14.25" thickTop="1" thickBot="1">
      <c r="A7" s="350"/>
      <c r="B7" s="350"/>
      <c r="C7" s="350"/>
      <c r="D7" s="350"/>
      <c r="E7" s="350"/>
      <c r="F7" s="350"/>
      <c r="G7" s="350"/>
      <c r="H7" s="350"/>
      <c r="I7" s="351"/>
      <c r="J7" s="351"/>
    </row>
    <row r="8" spans="1:10" s="336" customFormat="1" ht="13.5" thickBot="1">
      <c r="A8" s="1010" t="s">
        <v>37</v>
      </c>
      <c r="B8" s="1011"/>
      <c r="C8" s="1012"/>
      <c r="D8" s="355" t="e">
        <f>+D10+D19+D28</f>
        <v>#REF!</v>
      </c>
      <c r="E8" s="355" t="e">
        <f>E10+E19+E28</f>
        <v>#REF!</v>
      </c>
      <c r="F8" s="355" t="e">
        <f>F10+F19+F28</f>
        <v>#REF!</v>
      </c>
      <c r="G8" s="355" t="e">
        <f>G10+G19+G28</f>
        <v>#REF!</v>
      </c>
      <c r="H8" s="355" t="e">
        <f>H10+H19+H28</f>
        <v>#REF!</v>
      </c>
      <c r="I8" s="356" t="e">
        <f>G8/F8</f>
        <v>#REF!</v>
      </c>
      <c r="J8" s="356" t="e">
        <f>H8/F8</f>
        <v>#REF!</v>
      </c>
    </row>
    <row r="9" spans="1:10" ht="13.5" thickBot="1">
      <c r="A9" s="357"/>
      <c r="B9" s="358"/>
      <c r="C9" s="358"/>
      <c r="D9" s="359"/>
      <c r="E9" s="359"/>
      <c r="F9" s="359"/>
      <c r="G9" s="359"/>
      <c r="H9" s="359"/>
      <c r="I9" s="360"/>
      <c r="J9" s="360"/>
    </row>
    <row r="10" spans="1:10" s="336" customFormat="1" ht="13.5" thickBot="1">
      <c r="A10" s="361" t="s">
        <v>863</v>
      </c>
      <c r="B10" s="362"/>
      <c r="C10" s="363"/>
      <c r="D10" s="355" t="e">
        <f>D11+D17</f>
        <v>#REF!</v>
      </c>
      <c r="E10" s="355" t="e">
        <f>E11+E17</f>
        <v>#REF!</v>
      </c>
      <c r="F10" s="355" t="e">
        <f>F11+F17</f>
        <v>#REF!</v>
      </c>
      <c r="G10" s="355" t="e">
        <f>G11+G17</f>
        <v>#REF!</v>
      </c>
      <c r="H10" s="355" t="e">
        <f>H11+H17</f>
        <v>#REF!</v>
      </c>
      <c r="I10" s="356" t="e">
        <f t="shared" ref="I10:I15" si="0">G10/F10</f>
        <v>#REF!</v>
      </c>
      <c r="J10" s="356" t="e">
        <f t="shared" ref="J10:J15" si="1">H10/F10</f>
        <v>#REF!</v>
      </c>
    </row>
    <row r="11" spans="1:10">
      <c r="A11" s="364"/>
      <c r="B11" s="365" t="s">
        <v>50</v>
      </c>
      <c r="C11" s="366"/>
      <c r="D11" s="367">
        <f>SUM(D12:D15)</f>
        <v>15171300</v>
      </c>
      <c r="E11" s="367">
        <f>SUM(E12:E15)</f>
        <v>14844988</v>
      </c>
      <c r="F11" s="367">
        <f>SUM(F12:F15)</f>
        <v>13323440</v>
      </c>
      <c r="G11" s="367">
        <f>SUM(G12:G15)</f>
        <v>11991330.389999999</v>
      </c>
      <c r="H11" s="367">
        <f>SUM(H12:H15)</f>
        <v>11991330.389999999</v>
      </c>
      <c r="I11" s="368">
        <f t="shared" si="0"/>
        <v>0.9000175923034891</v>
      </c>
      <c r="J11" s="368">
        <f t="shared" si="1"/>
        <v>0.9000175923034891</v>
      </c>
    </row>
    <row r="12" spans="1:10">
      <c r="A12" s="369"/>
      <c r="B12" s="370"/>
      <c r="C12" s="371" t="s">
        <v>525</v>
      </c>
      <c r="D12" s="372">
        <f>Objeto!C247</f>
        <v>11175200</v>
      </c>
      <c r="E12" s="372">
        <f>Objeto!GR247</f>
        <v>10637338</v>
      </c>
      <c r="F12" s="372">
        <f>Objeto!GS247</f>
        <v>9621411</v>
      </c>
      <c r="G12" s="372">
        <f>Objeto!IG247</f>
        <v>8739415</v>
      </c>
      <c r="H12" s="372">
        <f>Objeto!IH247</f>
        <v>8739415</v>
      </c>
      <c r="I12" s="368">
        <f t="shared" si="0"/>
        <v>0.9083298697041422</v>
      </c>
      <c r="J12" s="368">
        <f t="shared" si="1"/>
        <v>0.9083298697041422</v>
      </c>
    </row>
    <row r="13" spans="1:10">
      <c r="A13" s="369"/>
      <c r="B13" s="370"/>
      <c r="C13" s="371" t="s">
        <v>526</v>
      </c>
      <c r="D13" s="372">
        <f>Objeto!C249+Objeto!C369</f>
        <v>629000</v>
      </c>
      <c r="E13" s="372">
        <f>Objeto!GR249+Objeto!GR369</f>
        <v>600815</v>
      </c>
      <c r="F13" s="372">
        <f>Objeto!GS249+Objeto!GS369</f>
        <v>543634</v>
      </c>
      <c r="G13" s="372">
        <f>Objeto!IG249+Objeto!IG369</f>
        <v>465750.7</v>
      </c>
      <c r="H13" s="372">
        <f>Objeto!IH249+Objeto!IH369</f>
        <v>465750.7</v>
      </c>
      <c r="I13" s="368">
        <f t="shared" si="0"/>
        <v>0.85673578179436904</v>
      </c>
      <c r="J13" s="368">
        <f t="shared" si="1"/>
        <v>0.85673578179436904</v>
      </c>
    </row>
    <row r="14" spans="1:10">
      <c r="A14" s="369"/>
      <c r="B14" s="370"/>
      <c r="C14" s="371" t="s">
        <v>58</v>
      </c>
      <c r="D14" s="372">
        <f>Objeto!C251+Objeto!C255</f>
        <v>1907300</v>
      </c>
      <c r="E14" s="372">
        <f>Objeto!GR251+Objeto!GR255</f>
        <v>1821916</v>
      </c>
      <c r="F14" s="372">
        <f>Objeto!GS251+Objeto!GS255</f>
        <v>1648526</v>
      </c>
      <c r="G14" s="372">
        <f>Objeto!IG251+Objeto!IG255</f>
        <v>1484807.69</v>
      </c>
      <c r="H14" s="372">
        <f>Objeto!IH251+Objeto!IH255</f>
        <v>1484807.69</v>
      </c>
      <c r="I14" s="368">
        <f t="shared" si="0"/>
        <v>0.90068806315459993</v>
      </c>
      <c r="J14" s="368">
        <f t="shared" si="1"/>
        <v>0.90068806315459993</v>
      </c>
    </row>
    <row r="15" spans="1:10">
      <c r="A15" s="369"/>
      <c r="B15" s="370"/>
      <c r="C15" s="371" t="s">
        <v>864</v>
      </c>
      <c r="D15" s="372">
        <f>Objeto!C257+Objeto!C259+Objeto!C265+Objeto!C267+Objeto!C371</f>
        <v>1459800</v>
      </c>
      <c r="E15" s="372">
        <f>Objeto!GR257+Objeto!GR259+Objeto!GR265+Objeto!GR267+Objeto!GR371</f>
        <v>1784919</v>
      </c>
      <c r="F15" s="372">
        <f>Objeto!GS257+Objeto!GS259+Objeto!GS265+Objeto!GS267+Objeto!GS371</f>
        <v>1509869</v>
      </c>
      <c r="G15" s="372">
        <f>Objeto!IG257+Objeto!IG259+Objeto!IG265+Objeto!IG267+Objeto!IG371</f>
        <v>1301357</v>
      </c>
      <c r="H15" s="372">
        <f>Objeto!IH257+Objeto!IH259+Objeto!IH265+Objeto!IH267+Objeto!IH371</f>
        <v>1301357</v>
      </c>
      <c r="I15" s="368">
        <f t="shared" si="0"/>
        <v>0.86190060197275398</v>
      </c>
      <c r="J15" s="368">
        <f t="shared" si="1"/>
        <v>0.86190060197275398</v>
      </c>
    </row>
    <row r="16" spans="1:10" ht="13.5" thickBot="1">
      <c r="A16" s="369"/>
      <c r="B16" s="370"/>
      <c r="C16" s="371"/>
      <c r="D16" s="372"/>
      <c r="E16" s="372"/>
      <c r="F16" s="372"/>
      <c r="G16" s="372"/>
      <c r="H16" s="372"/>
      <c r="I16" s="373"/>
      <c r="J16" s="373"/>
    </row>
    <row r="17" spans="1:10" s="336" customFormat="1" ht="13.5" thickBot="1">
      <c r="A17" s="361"/>
      <c r="B17" s="362" t="s">
        <v>865</v>
      </c>
      <c r="C17" s="363"/>
      <c r="D17" s="355" t="e">
        <f>Objeto!C44+Objeto!C104+Objeto!C172+Objeto!C199+Objeto!C210+Objeto!#REF!-Objeto!C619</f>
        <v>#REF!</v>
      </c>
      <c r="E17" s="355" t="e">
        <f>Objeto!GR44+Objeto!GR104+Objeto!GR172+Objeto!GR199+Objeto!GR210+Objeto!#REF!-Objeto!GR619</f>
        <v>#REF!</v>
      </c>
      <c r="F17" s="355" t="e">
        <f>Objeto!GS44+Objeto!GS104+Objeto!GS172+Objeto!GS199+Objeto!GS210+Objeto!#REF!-Objeto!GS619</f>
        <v>#REF!</v>
      </c>
      <c r="G17" s="355" t="e">
        <f>Objeto!IG44+Objeto!IG104+Objeto!IG172+Objeto!IG199+Objeto!IG210+Objeto!#REF!-Objeto!IG619</f>
        <v>#REF!</v>
      </c>
      <c r="H17" s="355" t="e">
        <f>Objeto!IH44+Objeto!IH104+Objeto!IH172+Objeto!IH199+Objeto!IH210+Objeto!#REF!-Objeto!IH619</f>
        <v>#REF!</v>
      </c>
      <c r="I17" s="356" t="e">
        <f>G17/F17</f>
        <v>#REF!</v>
      </c>
      <c r="J17" s="356" t="e">
        <f>H17/F17</f>
        <v>#REF!</v>
      </c>
    </row>
    <row r="18" spans="1:10" ht="13.5" thickBot="1">
      <c r="A18" s="374"/>
      <c r="B18" s="374"/>
      <c r="C18" s="374"/>
      <c r="D18" s="375"/>
      <c r="E18" s="375"/>
      <c r="F18" s="375"/>
      <c r="G18" s="375"/>
      <c r="H18" s="375"/>
      <c r="I18" s="376"/>
      <c r="J18" s="376"/>
    </row>
    <row r="19" spans="1:10" s="336" customFormat="1" ht="13.5" thickBot="1">
      <c r="A19" s="361" t="s">
        <v>866</v>
      </c>
      <c r="B19" s="362"/>
      <c r="C19" s="363"/>
      <c r="D19" s="355">
        <f>D20+D26</f>
        <v>33477500</v>
      </c>
      <c r="E19" s="355">
        <f>E20+E26</f>
        <v>33871814</v>
      </c>
      <c r="F19" s="355">
        <f>F20+F26</f>
        <v>30803507</v>
      </c>
      <c r="G19" s="355">
        <f>G20+G26</f>
        <v>27911592.760000002</v>
      </c>
      <c r="H19" s="355">
        <f>H20+H26</f>
        <v>27911592.760000002</v>
      </c>
      <c r="I19" s="356">
        <f t="shared" ref="I19:I24" si="2">G19/F19</f>
        <v>0.90611737033708539</v>
      </c>
      <c r="J19" s="356">
        <f t="shared" ref="J19:J24" si="3">H19/F19</f>
        <v>0.90611737033708539</v>
      </c>
    </row>
    <row r="20" spans="1:10">
      <c r="A20" s="364"/>
      <c r="B20" s="365" t="s">
        <v>50</v>
      </c>
      <c r="C20" s="366"/>
      <c r="D20" s="367">
        <f>SUM(D21:D24)</f>
        <v>32977500</v>
      </c>
      <c r="E20" s="367">
        <f>SUM(E21:E24)</f>
        <v>33068931</v>
      </c>
      <c r="F20" s="367">
        <f>SUM(F21:F24)</f>
        <v>30046078</v>
      </c>
      <c r="G20" s="367">
        <f>SUM(G21:G24)</f>
        <v>27381010.25</v>
      </c>
      <c r="H20" s="367">
        <f>SUM(H21:H24)</f>
        <v>27381010.25</v>
      </c>
      <c r="I20" s="368">
        <f t="shared" si="2"/>
        <v>0.91130064462989147</v>
      </c>
      <c r="J20" s="368">
        <f t="shared" si="3"/>
        <v>0.91130064462989147</v>
      </c>
    </row>
    <row r="21" spans="1:10">
      <c r="A21" s="369"/>
      <c r="B21" s="370"/>
      <c r="C21" s="371" t="s">
        <v>525</v>
      </c>
      <c r="D21" s="372">
        <f>Objeto!C582</f>
        <v>22423200</v>
      </c>
      <c r="E21" s="372">
        <f>Objeto!GR582</f>
        <v>21727388</v>
      </c>
      <c r="F21" s="372">
        <f>Objeto!GS582</f>
        <v>19724667</v>
      </c>
      <c r="G21" s="372">
        <f>Objeto!IG582</f>
        <v>17804811.489999998</v>
      </c>
      <c r="H21" s="372">
        <f>Objeto!IH582</f>
        <v>17804811.489999998</v>
      </c>
      <c r="I21" s="368">
        <f t="shared" si="2"/>
        <v>0.90266727899639565</v>
      </c>
      <c r="J21" s="368">
        <f t="shared" si="3"/>
        <v>0.90266727899639565</v>
      </c>
    </row>
    <row r="22" spans="1:10">
      <c r="A22" s="369"/>
      <c r="B22" s="370"/>
      <c r="C22" s="371" t="s">
        <v>526</v>
      </c>
      <c r="D22" s="372">
        <f>Objeto!C583+Objeto!C614</f>
        <v>147600</v>
      </c>
      <c r="E22" s="372">
        <f>Objeto!GR583+Objeto!GR614</f>
        <v>202200</v>
      </c>
      <c r="F22" s="372">
        <f>Objeto!GS583+Objeto!GS614</f>
        <v>188782</v>
      </c>
      <c r="G22" s="372">
        <f>Objeto!IG583+Objeto!IG614</f>
        <v>131367.67000000001</v>
      </c>
      <c r="H22" s="372">
        <f>Objeto!IH583+Objeto!IH614</f>
        <v>131367.67000000001</v>
      </c>
      <c r="I22" s="368">
        <f t="shared" si="2"/>
        <v>0.69586968037206942</v>
      </c>
      <c r="J22" s="368">
        <f t="shared" si="3"/>
        <v>0.69586968037206942</v>
      </c>
    </row>
    <row r="23" spans="1:10">
      <c r="A23" s="369"/>
      <c r="B23" s="370"/>
      <c r="C23" s="371" t="s">
        <v>58</v>
      </c>
      <c r="D23" s="372">
        <f>Objeto!C585</f>
        <v>4516900</v>
      </c>
      <c r="E23" s="372">
        <f>Objeto!GR585</f>
        <v>4402493</v>
      </c>
      <c r="F23" s="372">
        <f>Objeto!GS585</f>
        <v>4003501</v>
      </c>
      <c r="G23" s="372">
        <f>Objeto!IG585</f>
        <v>3618856.66</v>
      </c>
      <c r="H23" s="372">
        <f>Objeto!IH585</f>
        <v>3618856.66</v>
      </c>
      <c r="I23" s="368">
        <f t="shared" si="2"/>
        <v>0.90392300638865841</v>
      </c>
      <c r="J23" s="368">
        <f t="shared" si="3"/>
        <v>0.90392300638865841</v>
      </c>
    </row>
    <row r="24" spans="1:10">
      <c r="A24" s="369"/>
      <c r="B24" s="370"/>
      <c r="C24" s="371" t="s">
        <v>864</v>
      </c>
      <c r="D24" s="372">
        <f>Objeto!C590+Objeto!C592+Objeto!C598+Objeto!C600</f>
        <v>5889800</v>
      </c>
      <c r="E24" s="372">
        <f>Objeto!GR590+Objeto!GR592+Objeto!GR598+Objeto!GR600</f>
        <v>6736850</v>
      </c>
      <c r="F24" s="372">
        <f>Objeto!GS590+Objeto!GS592+Objeto!GS598+Objeto!GS600</f>
        <v>6129128</v>
      </c>
      <c r="G24" s="372">
        <f>Objeto!IG590+Objeto!IG592+Objeto!IG598+Objeto!IG600</f>
        <v>5825974.4300000006</v>
      </c>
      <c r="H24" s="372">
        <f>Objeto!IH590+Objeto!IH592+Objeto!IH598+Objeto!IH600</f>
        <v>5825974.4300000006</v>
      </c>
      <c r="I24" s="368">
        <f t="shared" si="2"/>
        <v>0.95053887437168882</v>
      </c>
      <c r="J24" s="368">
        <f t="shared" si="3"/>
        <v>0.95053887437168882</v>
      </c>
    </row>
    <row r="25" spans="1:10" ht="13.5" thickBot="1">
      <c r="A25" s="374"/>
      <c r="B25" s="374"/>
      <c r="C25" s="374"/>
      <c r="D25" s="375"/>
      <c r="E25" s="375"/>
      <c r="F25" s="375"/>
      <c r="G25" s="375"/>
      <c r="H25" s="375"/>
      <c r="I25" s="376"/>
      <c r="J25" s="376"/>
    </row>
    <row r="26" spans="1:10" s="336" customFormat="1" ht="13.5" thickBot="1">
      <c r="A26" s="361"/>
      <c r="B26" s="362" t="s">
        <v>865</v>
      </c>
      <c r="C26" s="363"/>
      <c r="D26" s="355">
        <f>Objeto!C619</f>
        <v>500000</v>
      </c>
      <c r="E26" s="355">
        <f>Objeto!GR619</f>
        <v>802883</v>
      </c>
      <c r="F26" s="355">
        <f>Objeto!GS619</f>
        <v>757429</v>
      </c>
      <c r="G26" s="355">
        <f>Objeto!IG619</f>
        <v>530582.51</v>
      </c>
      <c r="H26" s="355">
        <f>Objeto!IH619</f>
        <v>530582.51</v>
      </c>
      <c r="I26" s="356">
        <f>G26/F26</f>
        <v>0.70050461495400895</v>
      </c>
      <c r="J26" s="356">
        <f>H26/F26</f>
        <v>0.70050461495400895</v>
      </c>
    </row>
    <row r="27" spans="1:10" ht="13.5" thickBot="1">
      <c r="A27" s="377"/>
      <c r="B27" s="377"/>
      <c r="C27" s="377"/>
      <c r="D27" s="375"/>
      <c r="E27" s="375"/>
      <c r="F27" s="375"/>
      <c r="G27" s="375"/>
      <c r="H27" s="375"/>
      <c r="I27" s="376"/>
      <c r="J27" s="376"/>
    </row>
    <row r="28" spans="1:10" s="336" customFormat="1" ht="13.5" thickBot="1">
      <c r="A28" s="361" t="s">
        <v>329</v>
      </c>
      <c r="B28" s="362"/>
      <c r="C28" s="363"/>
      <c r="D28" s="355" t="e">
        <f>D29</f>
        <v>#REF!</v>
      </c>
      <c r="E28" s="355" t="e">
        <f>E29</f>
        <v>#REF!</v>
      </c>
      <c r="F28" s="355" t="e">
        <f>F29</f>
        <v>#REF!</v>
      </c>
      <c r="G28" s="355" t="e">
        <f>G29</f>
        <v>#REF!</v>
      </c>
      <c r="H28" s="355" t="e">
        <f>H29</f>
        <v>#REF!</v>
      </c>
      <c r="I28" s="356" t="e">
        <f t="shared" ref="I28:I33" si="4">G28/F28</f>
        <v>#REF!</v>
      </c>
      <c r="J28" s="356" t="e">
        <f t="shared" ref="J28:J33" si="5">H28/F28</f>
        <v>#REF!</v>
      </c>
    </row>
    <row r="29" spans="1:10">
      <c r="A29" s="364"/>
      <c r="B29" s="365" t="s">
        <v>50</v>
      </c>
      <c r="C29" s="366"/>
      <c r="D29" s="367" t="e">
        <f>SUM(D30:D33)</f>
        <v>#REF!</v>
      </c>
      <c r="E29" s="367" t="e">
        <f>SUM(E30:E33)</f>
        <v>#REF!</v>
      </c>
      <c r="F29" s="367" t="e">
        <f>SUM(F30:F33)</f>
        <v>#REF!</v>
      </c>
      <c r="G29" s="367" t="e">
        <f>SUM(G30:G33)</f>
        <v>#REF!</v>
      </c>
      <c r="H29" s="367" t="e">
        <f>SUM(H30:H33)</f>
        <v>#REF!</v>
      </c>
      <c r="I29" s="368" t="e">
        <f t="shared" si="4"/>
        <v>#REF!</v>
      </c>
      <c r="J29" s="368" t="e">
        <f t="shared" si="5"/>
        <v>#REF!</v>
      </c>
    </row>
    <row r="30" spans="1:10">
      <c r="A30" s="369"/>
      <c r="B30" s="370"/>
      <c r="C30" s="371" t="s">
        <v>525</v>
      </c>
      <c r="D30" s="372">
        <f>Objeto!C635</f>
        <v>280200</v>
      </c>
      <c r="E30" s="372">
        <f>Objeto!GR635</f>
        <v>247254</v>
      </c>
      <c r="F30" s="372">
        <f>Objeto!GS635</f>
        <v>221781</v>
      </c>
      <c r="G30" s="372">
        <f>Objeto!IG635</f>
        <v>179881.67</v>
      </c>
      <c r="H30" s="372">
        <f>Objeto!IH635</f>
        <v>179881.67</v>
      </c>
      <c r="I30" s="368">
        <f t="shared" si="4"/>
        <v>0.81107791019068365</v>
      </c>
      <c r="J30" s="368">
        <f t="shared" si="5"/>
        <v>0.81107791019068365</v>
      </c>
    </row>
    <row r="31" spans="1:10">
      <c r="A31" s="369"/>
      <c r="B31" s="370"/>
      <c r="C31" s="371" t="s">
        <v>526</v>
      </c>
      <c r="D31" s="372" t="e">
        <f>Objeto!#REF!</f>
        <v>#REF!</v>
      </c>
      <c r="E31" s="372" t="e">
        <f>Objeto!#REF!</f>
        <v>#REF!</v>
      </c>
      <c r="F31" s="372" t="e">
        <f>Objeto!#REF!</f>
        <v>#REF!</v>
      </c>
      <c r="G31" s="372" t="e">
        <f>Objeto!#REF!</f>
        <v>#REF!</v>
      </c>
      <c r="H31" s="372" t="e">
        <f>Objeto!#REF!</f>
        <v>#REF!</v>
      </c>
      <c r="I31" s="368" t="e">
        <f t="shared" si="4"/>
        <v>#REF!</v>
      </c>
      <c r="J31" s="368" t="e">
        <f t="shared" si="5"/>
        <v>#REF!</v>
      </c>
    </row>
    <row r="32" spans="1:10">
      <c r="A32" s="369"/>
      <c r="B32" s="370"/>
      <c r="C32" s="371" t="s">
        <v>58</v>
      </c>
      <c r="D32" s="372" t="e">
        <f>Objeto!#REF!+Objeto!C637+Objeto!C641</f>
        <v>#REF!</v>
      </c>
      <c r="E32" s="372" t="e">
        <f>Objeto!#REF!+Objeto!GR637+Objeto!GR641</f>
        <v>#REF!</v>
      </c>
      <c r="F32" s="372" t="e">
        <f>Objeto!#REF!+Objeto!GS637+Objeto!GS641</f>
        <v>#REF!</v>
      </c>
      <c r="G32" s="372" t="e">
        <f>Objeto!#REF!+Objeto!IG637+Objeto!IG641</f>
        <v>#REF!</v>
      </c>
      <c r="H32" s="372" t="e">
        <f>Objeto!#REF!+Objeto!IH637+Objeto!IH641</f>
        <v>#REF!</v>
      </c>
      <c r="I32" s="368" t="e">
        <f t="shared" si="4"/>
        <v>#REF!</v>
      </c>
      <c r="J32" s="368" t="e">
        <f t="shared" si="5"/>
        <v>#REF!</v>
      </c>
    </row>
    <row r="33" spans="1:10">
      <c r="A33" s="369"/>
      <c r="B33" s="370"/>
      <c r="C33" s="371" t="s">
        <v>864</v>
      </c>
      <c r="D33" s="372" t="e">
        <f>Objeto!C643+Objeto!C645+Objeto!#REF!</f>
        <v>#REF!</v>
      </c>
      <c r="E33" s="372" t="e">
        <f>Objeto!GR643+Objeto!GR645+Objeto!#REF!</f>
        <v>#REF!</v>
      </c>
      <c r="F33" s="372" t="e">
        <f>Objeto!GS643+Objeto!GS645+Objeto!#REF!</f>
        <v>#REF!</v>
      </c>
      <c r="G33" s="372" t="e">
        <f>Objeto!IG643+Objeto!IG645+Objeto!#REF!</f>
        <v>#REF!</v>
      </c>
      <c r="H33" s="372" t="e">
        <f>Objeto!IH643+Objeto!IH645+Objeto!#REF!</f>
        <v>#REF!</v>
      </c>
      <c r="I33" s="368" t="e">
        <f t="shared" si="4"/>
        <v>#REF!</v>
      </c>
      <c r="J33" s="368" t="e">
        <f t="shared" si="5"/>
        <v>#REF!</v>
      </c>
    </row>
    <row r="34" spans="1:10">
      <c r="D34" s="348"/>
      <c r="E34" s="348"/>
      <c r="F34" s="348"/>
      <c r="G34" s="348"/>
      <c r="H34" s="348"/>
    </row>
    <row r="35" spans="1:10">
      <c r="D35" s="348"/>
    </row>
    <row r="36" spans="1:10">
      <c r="C36" s="161" t="s">
        <v>872</v>
      </c>
      <c r="D36" s="349">
        <f>E20/E19</f>
        <v>0.97629642746621126</v>
      </c>
    </row>
    <row r="37" spans="1:10">
      <c r="C37" s="161"/>
      <c r="D37" s="349">
        <f>E26/E19</f>
        <v>2.3703572533788714E-2</v>
      </c>
    </row>
    <row r="38" spans="1:10">
      <c r="C38" s="161" t="s">
        <v>873</v>
      </c>
      <c r="D38" s="349" t="e">
        <f>E11/E10</f>
        <v>#REF!</v>
      </c>
    </row>
    <row r="39" spans="1:10">
      <c r="C39" s="161"/>
      <c r="D39" s="349" t="e">
        <f>E17/E10</f>
        <v>#REF!</v>
      </c>
    </row>
    <row r="40" spans="1:10">
      <c r="C40" s="161" t="s">
        <v>874</v>
      </c>
      <c r="D40" s="349" t="e">
        <f>E29/E28</f>
        <v>#REF!</v>
      </c>
    </row>
    <row r="41" spans="1:10">
      <c r="D41" s="348"/>
    </row>
    <row r="43" spans="1:10">
      <c r="D43" s="348"/>
    </row>
  </sheetData>
  <mergeCells count="6">
    <mergeCell ref="A6:C6"/>
    <mergeCell ref="A8:C8"/>
    <mergeCell ref="A1:J1"/>
    <mergeCell ref="A2:J2"/>
    <mergeCell ref="A3:J3"/>
    <mergeCell ref="A4:J4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5"/>
  <sheetViews>
    <sheetView tabSelected="1" zoomScale="90" zoomScaleNormal="90" workbookViewId="0">
      <selection activeCell="A17" sqref="A17"/>
    </sheetView>
  </sheetViews>
  <sheetFormatPr baseColWidth="10" defaultRowHeight="12.75"/>
  <cols>
    <col min="1" max="1" width="27.28515625" style="11" customWidth="1"/>
    <col min="2" max="2" width="13.42578125" style="11" customWidth="1"/>
    <col min="3" max="3" width="12.42578125" style="11" customWidth="1"/>
    <col min="4" max="4" width="14.140625" style="11" customWidth="1"/>
    <col min="5" max="5" width="15.28515625" style="11" customWidth="1"/>
    <col min="6" max="7" width="15" style="11" customWidth="1"/>
    <col min="8" max="8" width="13.140625" style="11" customWidth="1"/>
    <col min="9" max="9" width="13.85546875" style="11" customWidth="1"/>
    <col min="10" max="10" width="13.28515625" style="11" customWidth="1"/>
    <col min="11" max="11" width="12.7109375" style="11" hidden="1" customWidth="1"/>
    <col min="12" max="16384" width="11.42578125" style="11"/>
  </cols>
  <sheetData>
    <row r="1" spans="1:11" ht="15.95" customHeight="1">
      <c r="A1" s="997" t="s">
        <v>1309</v>
      </c>
      <c r="B1" s="997"/>
      <c r="C1" s="997"/>
      <c r="D1" s="997"/>
      <c r="E1" s="997"/>
      <c r="F1" s="997"/>
      <c r="G1" s="997"/>
      <c r="H1" s="997"/>
      <c r="I1" s="997"/>
      <c r="J1" s="997"/>
      <c r="K1" s="997"/>
    </row>
    <row r="2" spans="1:11" ht="15.95" customHeight="1">
      <c r="A2" s="998" t="s">
        <v>1308</v>
      </c>
      <c r="B2" s="998"/>
      <c r="C2" s="998"/>
      <c r="D2" s="998"/>
      <c r="E2" s="998"/>
      <c r="F2" s="998"/>
      <c r="G2" s="998"/>
      <c r="H2" s="998"/>
      <c r="I2" s="998"/>
      <c r="J2" s="998"/>
      <c r="K2" s="925" t="s">
        <v>1307</v>
      </c>
    </row>
    <row r="3" spans="1:11" ht="15.95" customHeight="1">
      <c r="A3" s="998" t="s">
        <v>1306</v>
      </c>
      <c r="B3" s="998"/>
      <c r="C3" s="998"/>
      <c r="D3" s="998"/>
      <c r="E3" s="998"/>
      <c r="F3" s="998"/>
      <c r="G3" s="998"/>
      <c r="H3" s="998"/>
      <c r="I3" s="998"/>
      <c r="J3" s="998"/>
      <c r="K3" s="998"/>
    </row>
    <row r="4" spans="1:11" ht="18" customHeight="1">
      <c r="A4" s="995" t="s">
        <v>1416</v>
      </c>
      <c r="B4" s="995"/>
      <c r="C4" s="995"/>
      <c r="D4" s="995"/>
      <c r="E4" s="995"/>
      <c r="F4" s="995"/>
      <c r="G4" s="995"/>
      <c r="H4" s="995"/>
      <c r="I4" s="995"/>
      <c r="J4" s="995"/>
      <c r="K4" s="995"/>
    </row>
    <row r="5" spans="1:11" ht="12" customHeight="1">
      <c r="A5" s="924"/>
      <c r="B5" s="924"/>
      <c r="C5" s="924"/>
      <c r="D5" s="924"/>
      <c r="E5" s="924"/>
      <c r="F5" s="924"/>
      <c r="G5" s="924"/>
      <c r="H5" s="924"/>
      <c r="I5" s="924"/>
      <c r="J5" s="924"/>
      <c r="K5" s="924"/>
    </row>
    <row r="6" spans="1:11" ht="18" customHeight="1">
      <c r="A6" s="12" t="s">
        <v>1305</v>
      </c>
    </row>
    <row r="7" spans="1:11" ht="17.25" customHeight="1">
      <c r="A7" s="940"/>
      <c r="B7" s="941" t="s">
        <v>1304</v>
      </c>
      <c r="C7" s="941"/>
      <c r="D7" s="941" t="s">
        <v>1304</v>
      </c>
      <c r="E7" s="999" t="s">
        <v>347</v>
      </c>
      <c r="F7" s="1000"/>
      <c r="G7" s="996" t="s">
        <v>1303</v>
      </c>
      <c r="H7" s="996"/>
      <c r="I7" s="996"/>
      <c r="J7" s="941" t="s">
        <v>1302</v>
      </c>
      <c r="K7" s="941" t="s">
        <v>1301</v>
      </c>
    </row>
    <row r="8" spans="1:11" ht="18" customHeight="1">
      <c r="A8" s="896" t="s">
        <v>1300</v>
      </c>
      <c r="B8" s="942" t="s">
        <v>1299</v>
      </c>
      <c r="C8" s="942" t="s">
        <v>348</v>
      </c>
      <c r="D8" s="942" t="s">
        <v>1298</v>
      </c>
      <c r="E8" s="991" t="s">
        <v>1297</v>
      </c>
      <c r="F8" s="992"/>
      <c r="G8" s="923"/>
      <c r="H8" s="922"/>
      <c r="I8" s="921"/>
      <c r="J8" s="942" t="s">
        <v>1296</v>
      </c>
      <c r="K8" s="942" t="s">
        <v>1295</v>
      </c>
    </row>
    <row r="9" spans="1:11" ht="19.5" customHeight="1">
      <c r="A9" s="907" t="s">
        <v>349</v>
      </c>
      <c r="B9" s="918"/>
      <c r="C9" s="918"/>
      <c r="D9" s="918"/>
      <c r="E9" s="919"/>
      <c r="F9" s="919"/>
      <c r="G9" s="920"/>
      <c r="H9" s="919"/>
      <c r="I9" s="918"/>
      <c r="J9" s="918"/>
      <c r="K9" s="918"/>
    </row>
    <row r="10" spans="1:11" ht="15.75" customHeight="1">
      <c r="A10" s="904" t="s">
        <v>1294</v>
      </c>
      <c r="B10" s="895">
        <v>0</v>
      </c>
      <c r="C10" s="895">
        <v>0</v>
      </c>
      <c r="D10" s="895">
        <v>0</v>
      </c>
      <c r="E10" s="993">
        <v>0</v>
      </c>
      <c r="F10" s="994"/>
      <c r="G10" s="917"/>
      <c r="H10" s="913">
        <v>0</v>
      </c>
      <c r="I10" s="916"/>
      <c r="J10" s="915">
        <v>0</v>
      </c>
      <c r="K10" s="915">
        <v>0</v>
      </c>
    </row>
    <row r="11" spans="1:11" ht="15.75" customHeight="1">
      <c r="A11" s="904" t="s">
        <v>1293</v>
      </c>
      <c r="B11" s="895"/>
      <c r="C11" s="895"/>
      <c r="D11" s="895"/>
      <c r="E11" s="913"/>
      <c r="F11" s="913"/>
      <c r="G11" s="914"/>
      <c r="H11" s="913"/>
      <c r="I11" s="895"/>
      <c r="J11" s="895"/>
      <c r="K11" s="895"/>
    </row>
    <row r="12" spans="1:11" ht="15.75" customHeight="1">
      <c r="A12" s="904" t="s">
        <v>1292</v>
      </c>
      <c r="B12" s="895">
        <v>4000000</v>
      </c>
      <c r="C12" s="895">
        <v>0</v>
      </c>
      <c r="D12" s="895">
        <v>4000000</v>
      </c>
      <c r="E12" s="989">
        <v>3847296</v>
      </c>
      <c r="F12" s="990"/>
      <c r="G12" s="914"/>
      <c r="H12" s="913">
        <v>4053979.6999999997</v>
      </c>
      <c r="I12" s="895"/>
      <c r="J12" s="895">
        <v>-206683.69999999972</v>
      </c>
      <c r="K12" s="895">
        <v>-53979.699999999721</v>
      </c>
    </row>
    <row r="13" spans="1:11" ht="15.75" customHeight="1">
      <c r="A13" s="904" t="s">
        <v>1291</v>
      </c>
      <c r="B13" s="895"/>
      <c r="C13" s="895"/>
      <c r="D13" s="895"/>
      <c r="E13" s="913"/>
      <c r="F13" s="913"/>
      <c r="G13" s="914"/>
      <c r="H13" s="913"/>
      <c r="I13" s="895"/>
      <c r="J13" s="895"/>
      <c r="K13" s="895"/>
    </row>
    <row r="14" spans="1:11" ht="15.75" customHeight="1">
      <c r="A14" s="904" t="s">
        <v>1277</v>
      </c>
      <c r="B14" s="895">
        <v>48782700</v>
      </c>
      <c r="C14" s="895">
        <v>0</v>
      </c>
      <c r="D14" s="895">
        <v>48782700</v>
      </c>
      <c r="E14" s="989">
        <v>44141882</v>
      </c>
      <c r="F14" s="990"/>
      <c r="G14" s="914"/>
      <c r="H14" s="913">
        <v>44141882</v>
      </c>
      <c r="I14" s="895"/>
      <c r="J14" s="895">
        <v>0</v>
      </c>
      <c r="K14" s="895">
        <v>4640818</v>
      </c>
    </row>
    <row r="15" spans="1:11" ht="15.75" customHeight="1">
      <c r="A15" s="904" t="s">
        <v>1290</v>
      </c>
      <c r="B15" s="895"/>
      <c r="C15" s="895"/>
      <c r="D15" s="895"/>
      <c r="E15" s="913"/>
      <c r="F15" s="913"/>
      <c r="G15" s="914"/>
      <c r="H15" s="913"/>
      <c r="I15" s="895"/>
      <c r="J15" s="895"/>
      <c r="K15" s="895"/>
    </row>
    <row r="16" spans="1:11" ht="15.75" customHeight="1">
      <c r="A16" s="904" t="s">
        <v>1289</v>
      </c>
      <c r="B16" s="895">
        <v>0</v>
      </c>
      <c r="C16" s="895">
        <v>0</v>
      </c>
      <c r="D16" s="895">
        <v>0</v>
      </c>
      <c r="E16" s="989">
        <v>0</v>
      </c>
      <c r="F16" s="990"/>
      <c r="G16" s="914"/>
      <c r="H16" s="913">
        <v>0</v>
      </c>
      <c r="I16" s="895"/>
      <c r="J16" s="895">
        <v>0</v>
      </c>
      <c r="K16" s="895">
        <v>0</v>
      </c>
    </row>
    <row r="17" spans="1:11" ht="15.75" customHeight="1">
      <c r="A17" s="904" t="s">
        <v>1288</v>
      </c>
      <c r="B17" s="895">
        <v>0</v>
      </c>
      <c r="C17" s="895"/>
      <c r="D17" s="895">
        <v>0</v>
      </c>
      <c r="E17" s="989">
        <v>0</v>
      </c>
      <c r="F17" s="990"/>
      <c r="G17" s="914"/>
      <c r="H17" s="913">
        <v>0</v>
      </c>
      <c r="I17" s="895"/>
      <c r="J17" s="895">
        <v>0</v>
      </c>
      <c r="K17" s="895">
        <v>0</v>
      </c>
    </row>
    <row r="18" spans="1:11" ht="15.75" customHeight="1">
      <c r="A18" s="904" t="s">
        <v>1273</v>
      </c>
      <c r="B18" s="895">
        <v>5000000</v>
      </c>
      <c r="C18" s="895">
        <v>0</v>
      </c>
      <c r="D18" s="895">
        <v>5000000</v>
      </c>
      <c r="E18" s="989">
        <v>5000000</v>
      </c>
      <c r="F18" s="990"/>
      <c r="G18" s="914"/>
      <c r="H18" s="913">
        <v>5000000</v>
      </c>
      <c r="I18" s="895"/>
      <c r="J18" s="895">
        <v>0</v>
      </c>
      <c r="K18" s="895">
        <v>5000000</v>
      </c>
    </row>
    <row r="19" spans="1:11" ht="15.75" customHeight="1" thickBot="1">
      <c r="A19" s="903" t="s">
        <v>1287</v>
      </c>
      <c r="B19" s="901"/>
      <c r="C19" s="901"/>
      <c r="D19" s="901"/>
      <c r="E19" s="912"/>
      <c r="F19" s="912"/>
      <c r="G19" s="911"/>
      <c r="H19" s="910"/>
      <c r="I19" s="901"/>
      <c r="J19" s="901"/>
      <c r="K19" s="901"/>
    </row>
    <row r="20" spans="1:11" s="939" customFormat="1" ht="21" customHeight="1" thickTop="1">
      <c r="A20" s="909" t="s">
        <v>1286</v>
      </c>
      <c r="B20" s="908">
        <v>57782700</v>
      </c>
      <c r="C20" s="908">
        <v>0</v>
      </c>
      <c r="D20" s="908">
        <v>57782700</v>
      </c>
      <c r="E20" s="971">
        <v>52989178</v>
      </c>
      <c r="F20" s="980"/>
      <c r="G20" s="908"/>
      <c r="H20" s="908">
        <v>53195861.700000003</v>
      </c>
      <c r="I20" s="908"/>
      <c r="J20" s="908">
        <v>-206683.69999999972</v>
      </c>
      <c r="K20" s="908">
        <v>9586838.3000000007</v>
      </c>
    </row>
    <row r="21" spans="1:11" ht="21" customHeight="1">
      <c r="A21" s="907" t="s">
        <v>1285</v>
      </c>
      <c r="B21" s="906" t="s">
        <v>1284</v>
      </c>
      <c r="C21" s="906" t="s">
        <v>1283</v>
      </c>
      <c r="D21" s="897" t="s">
        <v>1282</v>
      </c>
      <c r="E21" s="906" t="s">
        <v>1413</v>
      </c>
      <c r="F21" s="906" t="s">
        <v>1414</v>
      </c>
      <c r="G21" s="906" t="s">
        <v>1281</v>
      </c>
      <c r="H21" s="906" t="s">
        <v>1280</v>
      </c>
      <c r="I21" s="906" t="s">
        <v>350</v>
      </c>
      <c r="J21" s="906" t="s">
        <v>35</v>
      </c>
      <c r="K21" s="897"/>
    </row>
    <row r="22" spans="1:11" ht="16.5" customHeight="1">
      <c r="A22" s="905" t="s">
        <v>351</v>
      </c>
      <c r="B22" s="895">
        <v>48594100</v>
      </c>
      <c r="C22" s="895">
        <v>-263120</v>
      </c>
      <c r="D22" s="895">
        <v>48330980</v>
      </c>
      <c r="E22" s="895">
        <v>43743966</v>
      </c>
      <c r="F22" s="895">
        <v>43839976.700000003</v>
      </c>
      <c r="G22" s="895">
        <v>39679524.399999999</v>
      </c>
      <c r="H22" s="895">
        <v>39679524.399999999</v>
      </c>
      <c r="I22" s="895">
        <v>39679524.399999999</v>
      </c>
      <c r="J22" s="895">
        <v>4064441.6000000015</v>
      </c>
      <c r="K22" s="895">
        <v>8651455.6000000015</v>
      </c>
    </row>
    <row r="23" spans="1:11" ht="16.5" customHeight="1">
      <c r="A23" s="904" t="s">
        <v>1279</v>
      </c>
      <c r="B23" s="895">
        <v>2236300</v>
      </c>
      <c r="C23" s="895">
        <v>481196</v>
      </c>
      <c r="D23" s="895">
        <v>2717496</v>
      </c>
      <c r="E23" s="895">
        <v>2573117</v>
      </c>
      <c r="F23" s="895">
        <v>2625388.5</v>
      </c>
      <c r="G23" s="895">
        <v>1944098.8</v>
      </c>
      <c r="H23" s="895">
        <v>1944098.8</v>
      </c>
      <c r="I23" s="895">
        <v>1944098.8</v>
      </c>
      <c r="J23" s="895">
        <v>629018.19999999995</v>
      </c>
      <c r="K23" s="895">
        <v>773397.2</v>
      </c>
    </row>
    <row r="24" spans="1:11" ht="16.5" customHeight="1">
      <c r="A24" s="904" t="s">
        <v>352</v>
      </c>
      <c r="B24" s="895">
        <v>542000</v>
      </c>
      <c r="C24" s="895">
        <v>-7302</v>
      </c>
      <c r="D24" s="895">
        <v>534698</v>
      </c>
      <c r="E24" s="895">
        <v>534698</v>
      </c>
      <c r="F24" s="895">
        <v>534698</v>
      </c>
      <c r="G24" s="895">
        <v>460663.71</v>
      </c>
      <c r="H24" s="895">
        <v>460663.71</v>
      </c>
      <c r="I24" s="895">
        <v>460663.71</v>
      </c>
      <c r="J24" s="895">
        <v>74034.289999999979</v>
      </c>
      <c r="K24" s="895">
        <v>74034.289999999979</v>
      </c>
    </row>
    <row r="25" spans="1:11" ht="16.5" customHeight="1">
      <c r="A25" s="904" t="s">
        <v>353</v>
      </c>
      <c r="B25" s="895">
        <v>559000</v>
      </c>
      <c r="C25" s="895">
        <v>-145424</v>
      </c>
      <c r="D25" s="895">
        <v>413576</v>
      </c>
      <c r="E25" s="895">
        <v>413576</v>
      </c>
      <c r="F25" s="895">
        <v>413576</v>
      </c>
      <c r="G25" s="895">
        <v>265152.25</v>
      </c>
      <c r="H25" s="895">
        <v>265152.25</v>
      </c>
      <c r="I25" s="895">
        <v>265152.25</v>
      </c>
      <c r="J25" s="895">
        <v>148423.75</v>
      </c>
      <c r="K25" s="895">
        <v>148423.75</v>
      </c>
    </row>
    <row r="26" spans="1:11" ht="16.5" customHeight="1">
      <c r="A26" s="904" t="s">
        <v>1278</v>
      </c>
      <c r="B26" s="895">
        <v>0</v>
      </c>
      <c r="C26" s="895"/>
      <c r="D26" s="895">
        <v>0</v>
      </c>
      <c r="E26" s="895">
        <v>0</v>
      </c>
      <c r="F26" s="895">
        <v>0</v>
      </c>
      <c r="G26" s="895">
        <v>0</v>
      </c>
      <c r="H26" s="895">
        <v>0</v>
      </c>
      <c r="I26" s="895">
        <v>0</v>
      </c>
      <c r="J26" s="895">
        <v>0</v>
      </c>
      <c r="K26" s="895">
        <v>0</v>
      </c>
    </row>
    <row r="27" spans="1:11" ht="16.5" customHeight="1">
      <c r="A27" s="904" t="s">
        <v>1277</v>
      </c>
      <c r="B27" s="895">
        <v>236000</v>
      </c>
      <c r="C27" s="895">
        <v>124052</v>
      </c>
      <c r="D27" s="895">
        <v>360052</v>
      </c>
      <c r="E27" s="895">
        <v>356325</v>
      </c>
      <c r="F27" s="895">
        <v>356325</v>
      </c>
      <c r="G27" s="895">
        <v>342942.61</v>
      </c>
      <c r="H27" s="895">
        <v>342942.61</v>
      </c>
      <c r="I27" s="895">
        <v>342942.61</v>
      </c>
      <c r="J27" s="895">
        <v>13382.390000000014</v>
      </c>
      <c r="K27" s="895">
        <v>17109.390000000014</v>
      </c>
    </row>
    <row r="28" spans="1:11" ht="16.5" customHeight="1">
      <c r="A28" s="904" t="s">
        <v>1276</v>
      </c>
      <c r="B28" s="895">
        <v>0</v>
      </c>
      <c r="C28" s="895"/>
      <c r="D28" s="895">
        <v>0</v>
      </c>
      <c r="E28" s="895">
        <v>0</v>
      </c>
      <c r="F28" s="895">
        <v>0</v>
      </c>
      <c r="G28" s="895">
        <v>0</v>
      </c>
      <c r="H28" s="895">
        <v>0</v>
      </c>
      <c r="I28" s="895">
        <v>0</v>
      </c>
      <c r="J28" s="895">
        <v>0</v>
      </c>
      <c r="K28" s="895">
        <v>0</v>
      </c>
    </row>
    <row r="29" spans="1:11" ht="16.5" customHeight="1">
      <c r="A29" s="904" t="s">
        <v>1275</v>
      </c>
      <c r="B29" s="895">
        <v>0</v>
      </c>
      <c r="C29" s="895">
        <v>0</v>
      </c>
      <c r="D29" s="895">
        <v>0</v>
      </c>
      <c r="E29" s="895">
        <v>0</v>
      </c>
      <c r="F29" s="895">
        <v>0</v>
      </c>
      <c r="G29" s="895">
        <v>0</v>
      </c>
      <c r="H29" s="895">
        <v>0</v>
      </c>
      <c r="I29" s="895">
        <v>0</v>
      </c>
      <c r="J29" s="895">
        <v>0</v>
      </c>
      <c r="K29" s="895">
        <v>0</v>
      </c>
    </row>
    <row r="30" spans="1:11" ht="16.5" customHeight="1">
      <c r="A30" s="904" t="s">
        <v>1274</v>
      </c>
      <c r="B30" s="895">
        <v>615300</v>
      </c>
      <c r="C30" s="895">
        <v>-189402</v>
      </c>
      <c r="D30" s="895">
        <v>425898</v>
      </c>
      <c r="E30" s="895">
        <v>425898</v>
      </c>
      <c r="F30" s="895">
        <v>425897.5</v>
      </c>
      <c r="G30" s="895">
        <v>380473.54</v>
      </c>
      <c r="H30" s="895">
        <v>380473.54</v>
      </c>
      <c r="I30" s="895">
        <v>380473.54</v>
      </c>
      <c r="J30" s="895">
        <v>45424.460000000021</v>
      </c>
      <c r="K30" s="895">
        <v>45424.460000000021</v>
      </c>
    </row>
    <row r="31" spans="1:11" ht="16.5" customHeight="1">
      <c r="A31" s="904" t="s">
        <v>1273</v>
      </c>
      <c r="B31" s="895">
        <v>5000000</v>
      </c>
      <c r="C31" s="895">
        <v>0</v>
      </c>
      <c r="D31" s="895">
        <v>5000000</v>
      </c>
      <c r="E31" s="895">
        <v>5000000</v>
      </c>
      <c r="F31" s="895">
        <v>5000000</v>
      </c>
      <c r="G31" s="895">
        <v>1695381.5</v>
      </c>
      <c r="H31" s="895">
        <v>1695381.5</v>
      </c>
      <c r="I31" s="895">
        <v>1695381.5</v>
      </c>
      <c r="J31" s="895">
        <v>3304618.5</v>
      </c>
      <c r="K31" s="895">
        <v>3304618.5</v>
      </c>
    </row>
    <row r="32" spans="1:11" ht="11.25" customHeight="1">
      <c r="A32" s="903"/>
      <c r="B32" s="901"/>
      <c r="C32" s="902"/>
      <c r="D32" s="901"/>
      <c r="E32" s="901"/>
      <c r="F32" s="901"/>
      <c r="G32" s="901"/>
      <c r="H32" s="901"/>
      <c r="I32" s="901"/>
      <c r="J32" s="900"/>
      <c r="K32" s="899"/>
    </row>
    <row r="33" spans="1:11" ht="12" customHeight="1">
      <c r="A33" s="896" t="s">
        <v>1272</v>
      </c>
      <c r="B33" s="898">
        <v>57782700</v>
      </c>
      <c r="C33" s="898">
        <v>0</v>
      </c>
      <c r="D33" s="898">
        <v>57782700</v>
      </c>
      <c r="E33" s="898">
        <v>53047580</v>
      </c>
      <c r="F33" s="898">
        <v>53195861.700000003</v>
      </c>
      <c r="G33" s="898">
        <v>44768236.809999995</v>
      </c>
      <c r="H33" s="898">
        <v>44768236.809999995</v>
      </c>
      <c r="I33" s="898">
        <v>44768236.809999995</v>
      </c>
      <c r="J33" s="898">
        <v>8279343.1900000013</v>
      </c>
      <c r="K33" s="897">
        <v>13014463.190000005</v>
      </c>
    </row>
    <row r="34" spans="1:11" ht="22.5" customHeight="1">
      <c r="A34" s="896" t="s">
        <v>1271</v>
      </c>
      <c r="B34" s="895"/>
      <c r="C34" s="895"/>
      <c r="D34" s="895"/>
      <c r="E34" s="895"/>
      <c r="F34" s="895"/>
      <c r="G34" s="895"/>
      <c r="H34" s="895"/>
      <c r="I34" s="895"/>
      <c r="J34" s="895"/>
      <c r="K34" s="895"/>
    </row>
    <row r="35" spans="1:11" ht="16.5" customHeight="1">
      <c r="A35" s="9"/>
      <c r="B35" s="13"/>
      <c r="D35" s="894"/>
      <c r="E35" s="893"/>
      <c r="F35" s="13"/>
      <c r="G35" s="13"/>
      <c r="H35" s="13"/>
      <c r="I35" s="13"/>
    </row>
    <row r="36" spans="1:11" ht="16.5" customHeight="1">
      <c r="A36" s="9"/>
      <c r="B36" s="13"/>
      <c r="D36" s="14"/>
      <c r="E36" s="892"/>
      <c r="F36" s="13"/>
      <c r="G36" s="13"/>
      <c r="H36" s="13"/>
      <c r="I36" s="13"/>
    </row>
    <row r="37" spans="1:11" ht="18.75" customHeight="1">
      <c r="A37" s="2" t="s">
        <v>1020</v>
      </c>
      <c r="C37" s="639"/>
      <c r="D37" s="2" t="s">
        <v>1270</v>
      </c>
      <c r="F37" s="639"/>
      <c r="G37" s="891"/>
      <c r="H37" s="639" t="s">
        <v>1269</v>
      </c>
      <c r="I37" s="639"/>
      <c r="J37" s="639"/>
    </row>
    <row r="38" spans="1:11" ht="17.25" customHeight="1">
      <c r="A38" s="17" t="s">
        <v>1380</v>
      </c>
      <c r="C38" s="17"/>
      <c r="D38" s="17" t="s">
        <v>1366</v>
      </c>
      <c r="F38" s="17"/>
      <c r="H38" s="17" t="s">
        <v>1367</v>
      </c>
      <c r="I38" s="17"/>
      <c r="J38" s="17"/>
    </row>
    <row r="39" spans="1:11" ht="13.5" customHeight="1">
      <c r="A39" s="2" t="s">
        <v>1381</v>
      </c>
      <c r="C39" s="2"/>
      <c r="D39" s="2" t="s">
        <v>1382</v>
      </c>
      <c r="E39" s="2"/>
      <c r="F39" s="2"/>
      <c r="H39" s="2" t="s">
        <v>1368</v>
      </c>
      <c r="I39" s="2"/>
      <c r="J39" s="2"/>
    </row>
    <row r="40" spans="1:11">
      <c r="F40" s="13"/>
      <c r="G40" s="13"/>
      <c r="H40" s="889"/>
    </row>
    <row r="41" spans="1:11">
      <c r="A41" s="890"/>
      <c r="D41" s="13"/>
      <c r="F41" s="13"/>
      <c r="G41" s="13"/>
      <c r="H41" s="889"/>
    </row>
    <row r="42" spans="1:11">
      <c r="H42" s="889"/>
    </row>
    <row r="43" spans="1:11">
      <c r="F43" s="889"/>
    </row>
    <row r="44" spans="1:11">
      <c r="F44" s="889"/>
    </row>
    <row r="45" spans="1:11">
      <c r="F45" s="11">
        <v>0</v>
      </c>
    </row>
  </sheetData>
  <mergeCells count="14">
    <mergeCell ref="A4:K4"/>
    <mergeCell ref="G7:I7"/>
    <mergeCell ref="A1:K1"/>
    <mergeCell ref="A2:J2"/>
    <mergeCell ref="A3:K3"/>
    <mergeCell ref="E7:F7"/>
    <mergeCell ref="E18:F18"/>
    <mergeCell ref="E20:F20"/>
    <mergeCell ref="E8:F8"/>
    <mergeCell ref="E10:F10"/>
    <mergeCell ref="E12:F12"/>
    <mergeCell ref="E14:F14"/>
    <mergeCell ref="E16:F16"/>
    <mergeCell ref="E17:F17"/>
  </mergeCells>
  <printOptions horizontalCentered="1"/>
  <pageMargins left="0" right="0" top="0.39370078740157483" bottom="0.39370078740157483" header="0.11811023622047245" footer="0.19685039370078741"/>
  <pageSetup scale="85" firstPageNumber="0" fitToHeight="2" orientation="landscape" r:id="rId1"/>
  <headerFooter alignWithMargins="0">
    <oddFooter>&amp;L&amp;D&amp;C&amp;T&amp;R&amp;F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8"/>
  <sheetViews>
    <sheetView workbookViewId="0">
      <selection activeCell="E14" sqref="E14"/>
    </sheetView>
  </sheetViews>
  <sheetFormatPr baseColWidth="10" defaultRowHeight="12.75"/>
  <cols>
    <col min="1" max="1" width="7.28515625" style="29" customWidth="1"/>
    <col min="2" max="2" width="43" style="29" customWidth="1"/>
    <col min="3" max="3" width="16.5703125" style="29" customWidth="1"/>
    <col min="4" max="4" width="14.7109375" style="29" customWidth="1"/>
    <col min="5" max="5" width="14.42578125" style="29" customWidth="1"/>
    <col min="6" max="6" width="14.5703125" style="29" customWidth="1"/>
    <col min="7" max="7" width="15" style="29" customWidth="1"/>
    <col min="8" max="8" width="8.5703125" style="336" customWidth="1"/>
    <col min="9" max="16384" width="11.42578125" style="29"/>
  </cols>
  <sheetData>
    <row r="1" spans="1:8" ht="20.100000000000001" customHeight="1">
      <c r="A1" s="1053" t="s">
        <v>856</v>
      </c>
      <c r="B1" s="1091"/>
      <c r="C1" s="1091"/>
      <c r="D1" s="1091"/>
      <c r="E1" s="1091"/>
      <c r="F1" s="1091"/>
      <c r="G1" s="1091"/>
      <c r="H1" s="1091"/>
    </row>
    <row r="2" spans="1:8" ht="20.100000000000001" customHeight="1">
      <c r="A2" s="1053" t="s">
        <v>1149</v>
      </c>
      <c r="B2" s="1091"/>
      <c r="C2" s="1091"/>
      <c r="D2" s="1091"/>
      <c r="E2" s="1091"/>
      <c r="F2" s="1091"/>
      <c r="G2" s="1091"/>
      <c r="H2" s="1091"/>
    </row>
    <row r="3" spans="1:8" ht="9.75" customHeight="1">
      <c r="A3" s="236"/>
      <c r="B3" s="236"/>
      <c r="C3" s="236"/>
      <c r="D3" s="236"/>
      <c r="E3" s="236"/>
      <c r="F3" s="236"/>
      <c r="G3" s="236"/>
      <c r="H3" s="323"/>
    </row>
    <row r="4" spans="1:8" ht="21" customHeight="1">
      <c r="A4" s="1092" t="s">
        <v>385</v>
      </c>
      <c r="B4" s="1093"/>
      <c r="C4" s="1098" t="s">
        <v>386</v>
      </c>
      <c r="D4" s="1100"/>
      <c r="E4" s="1099"/>
      <c r="F4" s="1098" t="s">
        <v>35</v>
      </c>
      <c r="G4" s="1099"/>
      <c r="H4" s="1096" t="s">
        <v>854</v>
      </c>
    </row>
    <row r="5" spans="1:8" ht="19.5" customHeight="1">
      <c r="A5" s="1094"/>
      <c r="B5" s="1095"/>
      <c r="C5" s="229" t="s">
        <v>477</v>
      </c>
      <c r="D5" s="229" t="s">
        <v>40</v>
      </c>
      <c r="E5" s="229" t="s">
        <v>479</v>
      </c>
      <c r="F5" s="229" t="s">
        <v>599</v>
      </c>
      <c r="G5" s="229" t="s">
        <v>600</v>
      </c>
      <c r="H5" s="1097"/>
    </row>
    <row r="6" spans="1:8" ht="26.25" customHeight="1">
      <c r="A6" s="1089" t="s">
        <v>349</v>
      </c>
      <c r="B6" s="1090"/>
      <c r="C6" s="240"/>
      <c r="D6" s="240"/>
      <c r="E6" s="240"/>
      <c r="F6" s="240"/>
      <c r="G6" s="240"/>
      <c r="H6" s="343"/>
    </row>
    <row r="7" spans="1:8" ht="10.5" customHeight="1">
      <c r="A7" s="241"/>
      <c r="B7" s="242"/>
      <c r="C7" s="237"/>
      <c r="D7" s="237"/>
      <c r="E7" s="237"/>
      <c r="F7" s="237"/>
      <c r="G7" s="237"/>
      <c r="H7" s="343"/>
    </row>
    <row r="8" spans="1:8" ht="20.100000000000001" customHeight="1">
      <c r="A8" s="238" t="s">
        <v>578</v>
      </c>
      <c r="B8" s="239"/>
      <c r="C8" s="240">
        <f>SUM(C9,C10,C15)</f>
        <v>52782700</v>
      </c>
      <c r="D8" s="240">
        <f>SUM(D9,D10,D15)</f>
        <v>47989178</v>
      </c>
      <c r="E8" s="240">
        <f>SUM(E9,E10,E15)</f>
        <v>48195861.699999996</v>
      </c>
      <c r="F8" s="240">
        <f>SUM(F9,F10,F15)</f>
        <v>-206683.69999999995</v>
      </c>
      <c r="G8" s="240">
        <f>SUM(G9,G10,G15)</f>
        <v>4586838.2999999989</v>
      </c>
      <c r="H8" s="347">
        <f t="shared" ref="H8:H23" si="0">E8/D8</f>
        <v>1.0043068814389777</v>
      </c>
    </row>
    <row r="9" spans="1:8" ht="20.100000000000001" customHeight="1">
      <c r="A9" s="180" t="s">
        <v>620</v>
      </c>
      <c r="B9" s="228"/>
      <c r="C9" s="237">
        <v>0</v>
      </c>
      <c r="D9" s="237">
        <v>0</v>
      </c>
      <c r="E9" s="237">
        <v>0</v>
      </c>
      <c r="F9" s="237">
        <f t="shared" ref="F9:F14" si="1">D9-E9</f>
        <v>0</v>
      </c>
      <c r="G9" s="237">
        <f t="shared" ref="G9:G14" si="2">C9-E9</f>
        <v>0</v>
      </c>
      <c r="H9" s="347">
        <v>0</v>
      </c>
    </row>
    <row r="10" spans="1:8" ht="20.100000000000001" customHeight="1">
      <c r="A10" s="238" t="s">
        <v>621</v>
      </c>
      <c r="B10" s="239"/>
      <c r="C10" s="240">
        <f>SUM(C11:C14)</f>
        <v>52782700</v>
      </c>
      <c r="D10" s="240">
        <f>SUM(D11:D14)</f>
        <v>47989178</v>
      </c>
      <c r="E10" s="240">
        <f>SUM(E11:E14)</f>
        <v>48195861.699999996</v>
      </c>
      <c r="F10" s="240">
        <f>SUM(F11:F14)</f>
        <v>-206683.69999999995</v>
      </c>
      <c r="G10" s="240">
        <f>SUM(G11:G14)</f>
        <v>4586838.2999999989</v>
      </c>
      <c r="H10" s="347">
        <f t="shared" si="0"/>
        <v>1.0043068814389777</v>
      </c>
    </row>
    <row r="11" spans="1:8" ht="20.100000000000001" customHeight="1">
      <c r="A11" s="180"/>
      <c r="B11" s="228" t="s">
        <v>622</v>
      </c>
      <c r="C11" s="237">
        <f>INGRESOS!E15</f>
        <v>877500</v>
      </c>
      <c r="D11" s="237">
        <f>INGRESOS!F15</f>
        <v>805300</v>
      </c>
      <c r="E11" s="237">
        <f>INGRESOS!S15</f>
        <v>382196.9</v>
      </c>
      <c r="F11" s="237">
        <f>D11-E11</f>
        <v>423103.1</v>
      </c>
      <c r="G11" s="237">
        <f t="shared" si="2"/>
        <v>495303.1</v>
      </c>
      <c r="H11" s="347">
        <f t="shared" si="0"/>
        <v>0.47460188749534338</v>
      </c>
    </row>
    <row r="12" spans="1:8" ht="20.100000000000001" customHeight="1">
      <c r="A12" s="180"/>
      <c r="B12" s="228" t="s">
        <v>623</v>
      </c>
      <c r="C12" s="237">
        <f>INGRESOS!E21</f>
        <v>48782700</v>
      </c>
      <c r="D12" s="237">
        <f>INGRESOS!F21</f>
        <v>44141882</v>
      </c>
      <c r="E12" s="237">
        <f>INGRESOS!S21</f>
        <v>44141882</v>
      </c>
      <c r="F12" s="237">
        <f t="shared" si="1"/>
        <v>0</v>
      </c>
      <c r="G12" s="237">
        <f t="shared" si="2"/>
        <v>4640818</v>
      </c>
      <c r="H12" s="347">
        <f t="shared" si="0"/>
        <v>1</v>
      </c>
    </row>
    <row r="13" spans="1:8" ht="20.100000000000001" customHeight="1">
      <c r="A13" s="180"/>
      <c r="B13" s="228" t="s">
        <v>624</v>
      </c>
      <c r="C13" s="237">
        <f>INGRESOS!E27</f>
        <v>2828700</v>
      </c>
      <c r="D13" s="237">
        <f>INGRESOS!F27</f>
        <v>2748196</v>
      </c>
      <c r="E13" s="237">
        <f>INGRESOS!S27</f>
        <v>2696579.32</v>
      </c>
      <c r="F13" s="237">
        <f t="shared" si="1"/>
        <v>51616.680000000168</v>
      </c>
      <c r="G13" s="237">
        <f t="shared" si="2"/>
        <v>132120.68000000017</v>
      </c>
      <c r="H13" s="347">
        <f t="shared" si="0"/>
        <v>0.98121797717484482</v>
      </c>
    </row>
    <row r="14" spans="1:8" ht="20.100000000000001" customHeight="1">
      <c r="A14" s="180"/>
      <c r="B14" s="228" t="s">
        <v>625</v>
      </c>
      <c r="C14" s="237">
        <f>INGRESOS!E38</f>
        <v>293800</v>
      </c>
      <c r="D14" s="237">
        <f>INGRESOS!F38</f>
        <v>293800</v>
      </c>
      <c r="E14" s="237">
        <f>INGRESOS!S38</f>
        <v>975203.4800000001</v>
      </c>
      <c r="F14" s="237">
        <f t="shared" si="1"/>
        <v>-681403.4800000001</v>
      </c>
      <c r="G14" s="237">
        <f t="shared" si="2"/>
        <v>-681403.4800000001</v>
      </c>
      <c r="H14" s="347">
        <f t="shared" si="0"/>
        <v>3.3192766507828457</v>
      </c>
    </row>
    <row r="15" spans="1:8" s="162" customFormat="1" ht="20.100000000000001" customHeight="1">
      <c r="A15" s="238" t="s">
        <v>626</v>
      </c>
      <c r="B15" s="239"/>
      <c r="C15" s="240">
        <f>SUM(C16)</f>
        <v>0</v>
      </c>
      <c r="D15" s="240">
        <f>SUM(D16)</f>
        <v>0</v>
      </c>
      <c r="E15" s="240">
        <f>SUM(E16)</f>
        <v>0</v>
      </c>
      <c r="F15" s="240">
        <f>SUM(F16)</f>
        <v>0</v>
      </c>
      <c r="G15" s="240">
        <f>SUM(G16)</f>
        <v>0</v>
      </c>
      <c r="H15" s="347">
        <v>0</v>
      </c>
    </row>
    <row r="16" spans="1:8" ht="20.100000000000001" customHeight="1">
      <c r="A16" s="180"/>
      <c r="B16" s="228" t="s">
        <v>632</v>
      </c>
      <c r="C16" s="237">
        <f>INGRESOS!E44</f>
        <v>0</v>
      </c>
      <c r="D16" s="237">
        <f>INGRESOS!F44</f>
        <v>0</v>
      </c>
      <c r="E16" s="237">
        <f>INGRESOS!S44</f>
        <v>0</v>
      </c>
      <c r="F16" s="237">
        <f>D16-E16</f>
        <v>0</v>
      </c>
      <c r="G16" s="237">
        <f>C16-E16</f>
        <v>0</v>
      </c>
      <c r="H16" s="347">
        <v>0</v>
      </c>
    </row>
    <row r="17" spans="1:8" ht="20.100000000000001" customHeight="1">
      <c r="A17" s="238" t="s">
        <v>581</v>
      </c>
      <c r="B17" s="239"/>
      <c r="C17" s="240">
        <f>SUM(C18,C19,C20+C22)</f>
        <v>6000000</v>
      </c>
      <c r="D17" s="240">
        <f>SUM(D18,D19,D20+D22)</f>
        <v>6000000</v>
      </c>
      <c r="E17" s="240">
        <f>SUM(E18,E19,E20+E22)</f>
        <v>6000000</v>
      </c>
      <c r="F17" s="240">
        <f>SUM(F18,F19,F20+F22)</f>
        <v>0</v>
      </c>
      <c r="G17" s="240">
        <f>SUM(G18,G19,G20+G22)</f>
        <v>0</v>
      </c>
      <c r="H17" s="347">
        <v>0</v>
      </c>
    </row>
    <row r="18" spans="1:8" ht="20.100000000000001" customHeight="1">
      <c r="A18" s="180" t="s">
        <v>627</v>
      </c>
      <c r="B18" s="228"/>
      <c r="C18" s="237">
        <v>0</v>
      </c>
      <c r="D18" s="237">
        <v>0</v>
      </c>
      <c r="E18" s="237">
        <v>0</v>
      </c>
      <c r="F18" s="237">
        <f>D18-E18</f>
        <v>0</v>
      </c>
      <c r="G18" s="237">
        <f>C18-E18</f>
        <v>0</v>
      </c>
      <c r="H18" s="347">
        <v>0</v>
      </c>
    </row>
    <row r="19" spans="1:8" ht="20.100000000000001" customHeight="1">
      <c r="A19" s="180" t="s">
        <v>628</v>
      </c>
      <c r="B19" s="228"/>
      <c r="C19" s="237"/>
      <c r="D19" s="237"/>
      <c r="E19" s="237"/>
      <c r="F19" s="237">
        <f>D19-E19</f>
        <v>0</v>
      </c>
      <c r="G19" s="237">
        <f>C19-E19</f>
        <v>0</v>
      </c>
      <c r="H19" s="347">
        <v>0</v>
      </c>
    </row>
    <row r="20" spans="1:8" ht="20.100000000000001" customHeight="1">
      <c r="A20" s="180" t="s">
        <v>629</v>
      </c>
      <c r="B20" s="228"/>
      <c r="C20" s="237">
        <f>SUM(C21)</f>
        <v>5000000</v>
      </c>
      <c r="D20" s="237">
        <f>SUM(D21)</f>
        <v>5000000</v>
      </c>
      <c r="E20" s="237">
        <f>SUM(E21)</f>
        <v>5000000</v>
      </c>
      <c r="F20" s="237">
        <f>D20-E20</f>
        <v>0</v>
      </c>
      <c r="G20" s="237">
        <f>C20-E20</f>
        <v>0</v>
      </c>
      <c r="H20" s="347">
        <v>0</v>
      </c>
    </row>
    <row r="21" spans="1:8" ht="20.100000000000001" customHeight="1">
      <c r="A21" s="180"/>
      <c r="B21" s="228" t="s">
        <v>630</v>
      </c>
      <c r="C21" s="237">
        <f>INGRESOS!E50</f>
        <v>5000000</v>
      </c>
      <c r="D21" s="237">
        <f>INGRESOS!F50</f>
        <v>5000000</v>
      </c>
      <c r="E21" s="237">
        <f>INGRESOS!S50</f>
        <v>5000000</v>
      </c>
      <c r="F21" s="237">
        <f>D21-E21</f>
        <v>0</v>
      </c>
      <c r="G21" s="237">
        <f>C21-E21</f>
        <v>0</v>
      </c>
      <c r="H21" s="347">
        <f t="shared" si="0"/>
        <v>1</v>
      </c>
    </row>
    <row r="22" spans="1:8" ht="20.100000000000001" customHeight="1">
      <c r="A22" s="180" t="s">
        <v>855</v>
      </c>
      <c r="B22" s="228"/>
      <c r="C22" s="237">
        <v>1000000</v>
      </c>
      <c r="D22" s="237">
        <f>C22</f>
        <v>1000000</v>
      </c>
      <c r="E22" s="237">
        <f>D22</f>
        <v>1000000</v>
      </c>
      <c r="F22" s="237">
        <f>D22-E22</f>
        <v>0</v>
      </c>
      <c r="G22" s="237">
        <f>C22-E22</f>
        <v>0</v>
      </c>
      <c r="H22" s="347">
        <f t="shared" si="0"/>
        <v>1</v>
      </c>
    </row>
    <row r="23" spans="1:8" s="161" customFormat="1" ht="28.5" customHeight="1">
      <c r="A23" s="238"/>
      <c r="B23" s="239" t="s">
        <v>631</v>
      </c>
      <c r="C23" s="240">
        <f>C8+C17</f>
        <v>58782700</v>
      </c>
      <c r="D23" s="240">
        <f>D8+D17</f>
        <v>53989178</v>
      </c>
      <c r="E23" s="240">
        <f>E8+E17</f>
        <v>54195861.699999996</v>
      </c>
      <c r="F23" s="240">
        <f>F8+F17</f>
        <v>-206683.69999999995</v>
      </c>
      <c r="G23" s="240">
        <f>G8+G17</f>
        <v>4586838.2999999989</v>
      </c>
      <c r="H23" s="347">
        <f t="shared" si="0"/>
        <v>1.0038282431342074</v>
      </c>
    </row>
    <row r="24" spans="1:8" ht="12" customHeight="1">
      <c r="A24" s="180"/>
      <c r="B24" s="228"/>
      <c r="C24" s="237"/>
      <c r="D24" s="237"/>
      <c r="E24" s="237"/>
      <c r="F24" s="237"/>
      <c r="G24" s="237"/>
      <c r="H24" s="347"/>
    </row>
    <row r="25" spans="1:8" ht="20.100000000000001" customHeight="1">
      <c r="A25" s="1089" t="s">
        <v>601</v>
      </c>
      <c r="B25" s="1090"/>
      <c r="C25" s="240"/>
      <c r="D25" s="240"/>
      <c r="E25" s="240"/>
      <c r="F25" s="240"/>
      <c r="G25" s="240"/>
      <c r="H25" s="347"/>
    </row>
    <row r="26" spans="1:8" ht="9.75" customHeight="1">
      <c r="A26" s="238"/>
      <c r="B26" s="239"/>
      <c r="C26" s="240"/>
      <c r="D26" s="240"/>
      <c r="E26" s="240"/>
      <c r="F26" s="240"/>
      <c r="G26" s="240"/>
      <c r="H26" s="347"/>
    </row>
    <row r="27" spans="1:8" ht="20.100000000000001" customHeight="1">
      <c r="A27" s="238" t="s">
        <v>633</v>
      </c>
      <c r="B27" s="239"/>
      <c r="C27" s="240">
        <f>SUM(C28,C35,C36)</f>
        <v>52782700</v>
      </c>
      <c r="D27" s="240">
        <f>SUM(D28,D35,D36)</f>
        <v>10405726</v>
      </c>
      <c r="E27" s="240">
        <f>SUM(E28,E35,E36)</f>
        <v>7842286.8799999999</v>
      </c>
      <c r="F27" s="240">
        <f>SUM(F28,F35,F36)</f>
        <v>2563439.12</v>
      </c>
      <c r="G27" s="240">
        <f>SUM(G28,G35,G36)</f>
        <v>44940413.11999999</v>
      </c>
      <c r="H27" s="347">
        <f t="shared" ref="H27:H38" si="3">E27/D27</f>
        <v>0.75365110324834617</v>
      </c>
    </row>
    <row r="28" spans="1:8" ht="20.100000000000001" customHeight="1">
      <c r="A28" s="238" t="s">
        <v>634</v>
      </c>
      <c r="B28" s="239"/>
      <c r="C28" s="240">
        <f>SUM(C29:C34)</f>
        <v>52546700</v>
      </c>
      <c r="D28" s="240">
        <f>SUM(D29:D34)</f>
        <v>10345569</v>
      </c>
      <c r="E28" s="240">
        <f>SUM(E29:E34)</f>
        <v>7817802.6799999997</v>
      </c>
      <c r="F28" s="240">
        <f>SUM(F29:F34)</f>
        <v>2527766.3200000003</v>
      </c>
      <c r="G28" s="240">
        <f>SUM(G29:G34)</f>
        <v>44728897.319999993</v>
      </c>
      <c r="H28" s="347">
        <f t="shared" si="3"/>
        <v>0.75566676709613556</v>
      </c>
    </row>
    <row r="29" spans="1:8" ht="20.100000000000001" customHeight="1">
      <c r="A29" s="180"/>
      <c r="B29" s="228" t="s">
        <v>635</v>
      </c>
      <c r="C29" s="237">
        <f>[4]Resumen!D22</f>
        <v>48594100</v>
      </c>
      <c r="D29" s="237">
        <f>[4]Resumen!E22</f>
        <v>9370342</v>
      </c>
      <c r="E29" s="237">
        <f>[4]Resumen!G22</f>
        <v>7597830.04</v>
      </c>
      <c r="F29" s="237">
        <f t="shared" ref="F29:F35" si="4">D29-E29</f>
        <v>1772511.96</v>
      </c>
      <c r="G29" s="237">
        <f t="shared" ref="G29:G35" si="5">C29-E29</f>
        <v>40996269.960000001</v>
      </c>
      <c r="H29" s="347">
        <f t="shared" si="3"/>
        <v>0.81083807186546664</v>
      </c>
    </row>
    <row r="30" spans="1:8" ht="20.100000000000001" customHeight="1">
      <c r="A30" s="180"/>
      <c r="B30" s="228" t="s">
        <v>636</v>
      </c>
      <c r="C30" s="237">
        <f>[4]Resumen!D23</f>
        <v>2249300</v>
      </c>
      <c r="D30" s="237">
        <f>[4]Resumen!E23</f>
        <v>526229</v>
      </c>
      <c r="E30" s="237">
        <f>[4]Resumen!G23</f>
        <v>137774.75999999998</v>
      </c>
      <c r="F30" s="237">
        <f t="shared" si="4"/>
        <v>388454.24</v>
      </c>
      <c r="G30" s="237">
        <f t="shared" si="5"/>
        <v>2111525.2400000002</v>
      </c>
      <c r="H30" s="347">
        <f t="shared" si="3"/>
        <v>0.26181521732933755</v>
      </c>
    </row>
    <row r="31" spans="1:8" ht="20.100000000000001" customHeight="1">
      <c r="A31" s="180"/>
      <c r="B31" s="228" t="s">
        <v>637</v>
      </c>
      <c r="C31" s="237">
        <f>[4]Resumen!D24</f>
        <v>542000</v>
      </c>
      <c r="D31" s="237">
        <f>[4]Resumen!E24</f>
        <v>138938</v>
      </c>
      <c r="E31" s="237">
        <f>[4]Resumen!G24</f>
        <v>33166.839999999997</v>
      </c>
      <c r="F31" s="237">
        <f t="shared" si="4"/>
        <v>105771.16</v>
      </c>
      <c r="G31" s="237">
        <f t="shared" si="5"/>
        <v>508833.16000000003</v>
      </c>
      <c r="H31" s="347">
        <f t="shared" si="3"/>
        <v>0.23871683772617999</v>
      </c>
    </row>
    <row r="32" spans="1:8" ht="20.100000000000001" customHeight="1">
      <c r="A32" s="180"/>
      <c r="B32" s="228" t="s">
        <v>638</v>
      </c>
      <c r="C32" s="237">
        <f>[4]Resumen!D25</f>
        <v>546000</v>
      </c>
      <c r="D32" s="237">
        <f>[4]Resumen!E25</f>
        <v>187000</v>
      </c>
      <c r="E32" s="237">
        <f>[4]Resumen!G25</f>
        <v>7352.95</v>
      </c>
      <c r="F32" s="237">
        <f t="shared" si="4"/>
        <v>179647.05</v>
      </c>
      <c r="G32" s="237">
        <f t="shared" si="5"/>
        <v>538647.05000000005</v>
      </c>
      <c r="H32" s="347">
        <f t="shared" si="3"/>
        <v>3.9320588235294114E-2</v>
      </c>
    </row>
    <row r="33" spans="1:9" ht="20.100000000000001" customHeight="1">
      <c r="A33" s="180"/>
      <c r="B33" s="228" t="s">
        <v>639</v>
      </c>
      <c r="C33" s="237">
        <f>[4]Resumen!D30</f>
        <v>615300</v>
      </c>
      <c r="D33" s="237">
        <f>[4]Resumen!E30</f>
        <v>123060</v>
      </c>
      <c r="E33" s="237">
        <f>[4]Resumen!G30</f>
        <v>41678.089999999997</v>
      </c>
      <c r="F33" s="237">
        <f t="shared" si="4"/>
        <v>81381.91</v>
      </c>
      <c r="G33" s="237">
        <f t="shared" si="5"/>
        <v>573621.91</v>
      </c>
      <c r="H33" s="347">
        <f t="shared" si="3"/>
        <v>0.33868104989436043</v>
      </c>
    </row>
    <row r="34" spans="1:9" ht="20.100000000000001" customHeight="1">
      <c r="A34" s="180"/>
      <c r="B34" s="228" t="s">
        <v>640</v>
      </c>
      <c r="C34" s="237">
        <f>[4]Resumen!D26</f>
        <v>0</v>
      </c>
      <c r="D34" s="237">
        <f>[4]Resumen!E26</f>
        <v>0</v>
      </c>
      <c r="E34" s="237">
        <f>[4]Resumen!G26</f>
        <v>0</v>
      </c>
      <c r="F34" s="237">
        <f t="shared" si="4"/>
        <v>0</v>
      </c>
      <c r="G34" s="237">
        <f t="shared" si="5"/>
        <v>0</v>
      </c>
      <c r="H34" s="347">
        <v>0</v>
      </c>
    </row>
    <row r="35" spans="1:9" ht="20.100000000000001" customHeight="1">
      <c r="A35" s="238" t="s">
        <v>641</v>
      </c>
      <c r="B35" s="239"/>
      <c r="C35" s="240">
        <f>[4]Resumen!D27</f>
        <v>236000</v>
      </c>
      <c r="D35" s="240">
        <f>[4]Resumen!E27</f>
        <v>60157</v>
      </c>
      <c r="E35" s="240">
        <f>[4]Resumen!G27</f>
        <v>24484.2</v>
      </c>
      <c r="F35" s="237">
        <f t="shared" si="4"/>
        <v>35672.800000000003</v>
      </c>
      <c r="G35" s="237">
        <f t="shared" si="5"/>
        <v>211515.8</v>
      </c>
      <c r="H35" s="347">
        <f t="shared" si="3"/>
        <v>0.40700500357398145</v>
      </c>
    </row>
    <row r="36" spans="1:9" ht="20.100000000000001" customHeight="1">
      <c r="A36" s="238" t="s">
        <v>642</v>
      </c>
      <c r="B36" s="239"/>
      <c r="C36" s="240">
        <v>0</v>
      </c>
      <c r="D36" s="240">
        <v>0</v>
      </c>
      <c r="E36" s="240">
        <v>0</v>
      </c>
      <c r="F36" s="240">
        <v>0</v>
      </c>
      <c r="G36" s="240">
        <v>0</v>
      </c>
      <c r="H36" s="347">
        <v>0</v>
      </c>
    </row>
    <row r="37" spans="1:9" ht="20.100000000000001" customHeight="1">
      <c r="A37" s="238" t="s">
        <v>643</v>
      </c>
      <c r="B37" s="239"/>
      <c r="C37" s="240">
        <f>SUM(C38:C41)</f>
        <v>5000000</v>
      </c>
      <c r="D37" s="240">
        <f>SUM(D38:D41)</f>
        <v>2736157</v>
      </c>
      <c r="E37" s="240">
        <f>SUM(E38:E41)</f>
        <v>60921.729999999996</v>
      </c>
      <c r="F37" s="240">
        <f>SUM(F38:F41)</f>
        <v>2675235.27</v>
      </c>
      <c r="G37" s="240">
        <f>SUM(G38:G41)</f>
        <v>4939078.2699999996</v>
      </c>
      <c r="H37" s="347">
        <f t="shared" si="3"/>
        <v>2.2265436522831108E-2</v>
      </c>
    </row>
    <row r="38" spans="1:9" ht="20.100000000000001" customHeight="1">
      <c r="A38" s="238" t="s">
        <v>650</v>
      </c>
      <c r="B38" s="239"/>
      <c r="C38" s="240">
        <f>[4]Resumen!D31</f>
        <v>5000000</v>
      </c>
      <c r="D38" s="240">
        <f>[4]Resumen!E31</f>
        <v>2736157</v>
      </c>
      <c r="E38" s="240">
        <f>[4]Resumen!G31</f>
        <v>60921.729999999996</v>
      </c>
      <c r="F38" s="240">
        <f>D38-E38</f>
        <v>2675235.27</v>
      </c>
      <c r="G38" s="240">
        <f>C38-E38</f>
        <v>4939078.2699999996</v>
      </c>
      <c r="H38" s="347">
        <f t="shared" si="3"/>
        <v>2.2265436522831108E-2</v>
      </c>
    </row>
    <row r="39" spans="1:9" ht="20.100000000000001" customHeight="1">
      <c r="A39" s="238" t="s">
        <v>644</v>
      </c>
      <c r="B39" s="239"/>
      <c r="C39" s="240">
        <v>0</v>
      </c>
      <c r="D39" s="240">
        <v>0</v>
      </c>
      <c r="E39" s="240">
        <v>0</v>
      </c>
      <c r="F39" s="240">
        <f>D39-E39</f>
        <v>0</v>
      </c>
      <c r="G39" s="240">
        <f>C39-E39</f>
        <v>0</v>
      </c>
      <c r="H39" s="347">
        <v>0</v>
      </c>
    </row>
    <row r="40" spans="1:9" ht="20.100000000000001" customHeight="1">
      <c r="A40" s="238" t="s">
        <v>645</v>
      </c>
      <c r="B40" s="239"/>
      <c r="C40" s="240">
        <v>0</v>
      </c>
      <c r="D40" s="240">
        <v>0</v>
      </c>
      <c r="E40" s="240">
        <v>0</v>
      </c>
      <c r="F40" s="240">
        <f>D40-E40</f>
        <v>0</v>
      </c>
      <c r="G40" s="240">
        <f>C40-E40</f>
        <v>0</v>
      </c>
      <c r="H40" s="347">
        <v>0</v>
      </c>
    </row>
    <row r="41" spans="1:9" ht="20.100000000000001" customHeight="1">
      <c r="A41" s="238" t="s">
        <v>646</v>
      </c>
      <c r="B41" s="239"/>
      <c r="C41" s="240">
        <v>0</v>
      </c>
      <c r="D41" s="240">
        <v>0</v>
      </c>
      <c r="E41" s="240">
        <v>0</v>
      </c>
      <c r="F41" s="240">
        <f>D41-E41</f>
        <v>0</v>
      </c>
      <c r="G41" s="240">
        <f>C41-E41</f>
        <v>0</v>
      </c>
      <c r="H41" s="347">
        <v>0</v>
      </c>
    </row>
    <row r="42" spans="1:9" s="161" customFormat="1" ht="28.5" customHeight="1">
      <c r="A42" s="238"/>
      <c r="B42" s="239" t="s">
        <v>651</v>
      </c>
      <c r="C42" s="240">
        <f>SUM(C27,C37)</f>
        <v>57782700</v>
      </c>
      <c r="D42" s="240">
        <f>SUM(D27,D37)</f>
        <v>13141883</v>
      </c>
      <c r="E42" s="240">
        <f>SUM(E27,E37)</f>
        <v>7903208.6100000003</v>
      </c>
      <c r="F42" s="240">
        <f>SUM(F27,F37)</f>
        <v>5238674.3900000006</v>
      </c>
      <c r="G42" s="240">
        <f>SUM(G27,G37)</f>
        <v>49879491.389999986</v>
      </c>
      <c r="H42" s="347">
        <f>E42/D42</f>
        <v>0.60137566359402228</v>
      </c>
    </row>
    <row r="43" spans="1:9" ht="10.5" customHeight="1">
      <c r="A43" s="238"/>
      <c r="B43" s="239"/>
      <c r="C43" s="240"/>
      <c r="D43" s="240"/>
      <c r="E43" s="240"/>
      <c r="F43" s="240"/>
      <c r="G43" s="240"/>
      <c r="H43" s="343"/>
    </row>
    <row r="44" spans="1:9" s="161" customFormat="1" ht="28.5" customHeight="1">
      <c r="A44" s="238" t="s">
        <v>647</v>
      </c>
      <c r="B44" s="239"/>
      <c r="C44" s="240"/>
      <c r="D44" s="240"/>
      <c r="E44" s="240">
        <f>E23-E42</f>
        <v>46292653.089999996</v>
      </c>
      <c r="F44" s="240"/>
      <c r="G44" s="240"/>
      <c r="H44" s="343"/>
    </row>
    <row r="45" spans="1:9" ht="20.100000000000001" customHeight="1" thickBot="1">
      <c r="A45" s="244"/>
      <c r="B45" s="245"/>
      <c r="C45" s="243"/>
      <c r="D45" s="243"/>
      <c r="E45" s="243"/>
      <c r="F45" s="243"/>
      <c r="G45" s="243"/>
      <c r="H45" s="344"/>
      <c r="I45" s="171"/>
    </row>
    <row r="46" spans="1:9" ht="20.100000000000001" customHeight="1">
      <c r="A46" s="171"/>
      <c r="B46" s="171"/>
      <c r="C46" s="171"/>
      <c r="D46" s="171"/>
      <c r="E46" s="171"/>
      <c r="F46" s="171"/>
      <c r="G46" s="171"/>
      <c r="H46" s="345"/>
      <c r="I46" s="171"/>
    </row>
    <row r="47" spans="1:9" ht="20.100000000000001" customHeight="1">
      <c r="A47" s="235"/>
      <c r="B47" s="171"/>
      <c r="C47" s="171"/>
      <c r="D47" s="171"/>
      <c r="E47" s="171"/>
      <c r="F47" s="171"/>
      <c r="G47" s="171"/>
      <c r="H47" s="345"/>
      <c r="I47" s="171"/>
    </row>
    <row r="48" spans="1:9" ht="20.100000000000001" customHeight="1">
      <c r="A48" s="171"/>
      <c r="B48" s="171"/>
      <c r="C48" s="171"/>
      <c r="D48" s="171"/>
      <c r="E48" s="171"/>
      <c r="F48" s="171"/>
      <c r="G48" s="171"/>
      <c r="H48" s="345"/>
      <c r="I48" s="171"/>
    </row>
    <row r="49" spans="1:9" ht="20.100000000000001" customHeight="1">
      <c r="A49" s="171"/>
      <c r="B49" s="171"/>
      <c r="C49" s="171"/>
      <c r="D49" s="171"/>
      <c r="E49" s="171"/>
      <c r="F49" s="171"/>
      <c r="G49" s="171"/>
      <c r="H49" s="345"/>
      <c r="I49" s="171"/>
    </row>
    <row r="50" spans="1:9" ht="20.100000000000001" customHeight="1">
      <c r="A50" s="171"/>
      <c r="B50" s="171"/>
      <c r="C50" s="171"/>
      <c r="D50" s="171"/>
      <c r="E50" s="171"/>
      <c r="F50" s="171"/>
      <c r="G50" s="171"/>
      <c r="H50" s="345"/>
      <c r="I50" s="171"/>
    </row>
    <row r="51" spans="1:9">
      <c r="A51" s="171"/>
      <c r="B51" s="171"/>
      <c r="C51" s="171"/>
      <c r="D51" s="171"/>
      <c r="E51" s="171"/>
      <c r="F51" s="171"/>
      <c r="G51" s="171"/>
      <c r="H51" s="345"/>
      <c r="I51" s="171"/>
    </row>
    <row r="52" spans="1:9">
      <c r="A52" s="171"/>
      <c r="B52" s="171"/>
      <c r="C52" s="171"/>
      <c r="D52" s="171"/>
      <c r="E52" s="171"/>
      <c r="F52" s="171"/>
      <c r="G52" s="171"/>
      <c r="H52" s="345"/>
      <c r="I52" s="171"/>
    </row>
    <row r="53" spans="1:9">
      <c r="A53" s="171"/>
      <c r="B53" s="171"/>
      <c r="C53" s="171"/>
      <c r="D53" s="171"/>
      <c r="E53" s="171"/>
      <c r="F53" s="171"/>
      <c r="G53" s="171"/>
      <c r="H53" s="345"/>
      <c r="I53" s="171"/>
    </row>
    <row r="54" spans="1:9">
      <c r="A54" s="171"/>
      <c r="B54" s="171"/>
      <c r="C54" s="171"/>
      <c r="D54" s="171"/>
      <c r="E54" s="171"/>
      <c r="F54" s="171"/>
      <c r="G54" s="171"/>
      <c r="H54" s="345"/>
      <c r="I54" s="171"/>
    </row>
    <row r="55" spans="1:9">
      <c r="A55" s="171"/>
      <c r="B55" s="171"/>
      <c r="C55" s="171"/>
      <c r="D55" s="171"/>
      <c r="E55" s="171"/>
      <c r="F55" s="171"/>
      <c r="G55" s="171"/>
      <c r="H55" s="345"/>
      <c r="I55" s="171"/>
    </row>
    <row r="56" spans="1:9">
      <c r="A56" s="171"/>
      <c r="B56" s="171"/>
      <c r="C56" s="171"/>
      <c r="D56" s="171"/>
      <c r="E56" s="171"/>
      <c r="F56" s="171"/>
      <c r="G56" s="171"/>
      <c r="H56" s="345"/>
      <c r="I56" s="171"/>
    </row>
    <row r="57" spans="1:9">
      <c r="A57" s="171"/>
      <c r="B57" s="171"/>
      <c r="C57" s="171"/>
      <c r="D57" s="171"/>
      <c r="E57" s="171"/>
      <c r="F57" s="171"/>
      <c r="G57" s="171"/>
      <c r="H57" s="345"/>
      <c r="I57" s="171"/>
    </row>
    <row r="58" spans="1:9">
      <c r="A58" s="171"/>
      <c r="B58" s="171"/>
      <c r="C58" s="171"/>
      <c r="D58" s="171"/>
      <c r="E58" s="171"/>
      <c r="F58" s="171"/>
      <c r="G58" s="171"/>
      <c r="H58" s="345"/>
      <c r="I58" s="171"/>
    </row>
    <row r="59" spans="1:9">
      <c r="A59" s="171"/>
      <c r="B59" s="171"/>
      <c r="C59" s="171"/>
      <c r="D59" s="171"/>
      <c r="E59" s="171"/>
      <c r="F59" s="171"/>
      <c r="G59" s="171"/>
      <c r="H59" s="345"/>
      <c r="I59" s="171"/>
    </row>
    <row r="60" spans="1:9">
      <c r="A60" s="171"/>
      <c r="B60" s="171"/>
      <c r="C60" s="171"/>
      <c r="D60" s="171"/>
      <c r="E60" s="171"/>
      <c r="F60" s="171"/>
      <c r="G60" s="171"/>
      <c r="H60" s="345"/>
      <c r="I60" s="171"/>
    </row>
    <row r="61" spans="1:9">
      <c r="A61" s="171"/>
      <c r="B61" s="171"/>
      <c r="C61" s="171"/>
      <c r="D61" s="171"/>
      <c r="E61" s="171"/>
      <c r="F61" s="171"/>
      <c r="G61" s="171"/>
      <c r="H61" s="345"/>
      <c r="I61" s="171"/>
    </row>
    <row r="62" spans="1:9">
      <c r="A62" s="171"/>
      <c r="B62" s="171"/>
      <c r="C62" s="171"/>
      <c r="D62" s="171"/>
      <c r="E62" s="171"/>
      <c r="F62" s="171"/>
      <c r="G62" s="171"/>
      <c r="H62" s="345"/>
      <c r="I62" s="171"/>
    </row>
    <row r="63" spans="1:9">
      <c r="A63" s="171"/>
      <c r="B63" s="171"/>
      <c r="C63" s="171"/>
      <c r="D63" s="171"/>
      <c r="E63" s="171"/>
      <c r="F63" s="171"/>
      <c r="G63" s="171"/>
      <c r="H63" s="345"/>
      <c r="I63" s="171"/>
    </row>
    <row r="64" spans="1:9">
      <c r="A64" s="171"/>
      <c r="B64" s="171"/>
      <c r="C64" s="171"/>
      <c r="D64" s="171"/>
      <c r="E64" s="171"/>
      <c r="F64" s="171"/>
      <c r="G64" s="171"/>
      <c r="H64" s="345"/>
      <c r="I64" s="171"/>
    </row>
    <row r="65" spans="1:9">
      <c r="A65" s="171"/>
      <c r="B65" s="171"/>
      <c r="C65" s="171"/>
      <c r="D65" s="171"/>
      <c r="E65" s="171"/>
      <c r="F65" s="171"/>
      <c r="G65" s="171"/>
      <c r="H65" s="345"/>
      <c r="I65" s="171"/>
    </row>
    <row r="66" spans="1:9">
      <c r="A66" s="171"/>
      <c r="B66" s="171"/>
      <c r="C66" s="171"/>
      <c r="D66" s="171"/>
      <c r="E66" s="171"/>
      <c r="F66" s="171"/>
      <c r="G66" s="171"/>
      <c r="H66" s="345"/>
      <c r="I66" s="171"/>
    </row>
    <row r="67" spans="1:9">
      <c r="A67" s="171"/>
      <c r="B67" s="171"/>
      <c r="C67" s="171"/>
      <c r="D67" s="171"/>
      <c r="E67" s="171"/>
      <c r="F67" s="171"/>
      <c r="G67" s="171"/>
      <c r="H67" s="345"/>
      <c r="I67" s="171"/>
    </row>
    <row r="68" spans="1:9">
      <c r="A68" s="171"/>
      <c r="B68" s="171"/>
      <c r="C68" s="171"/>
      <c r="D68" s="171"/>
      <c r="E68" s="171"/>
      <c r="F68" s="171"/>
      <c r="G68" s="171"/>
      <c r="H68" s="346"/>
      <c r="I68" s="171"/>
    </row>
    <row r="69" spans="1:9">
      <c r="A69" s="171"/>
      <c r="B69" s="171"/>
      <c r="C69" s="171"/>
      <c r="D69" s="171"/>
      <c r="E69" s="171"/>
      <c r="F69" s="171"/>
      <c r="G69" s="171"/>
      <c r="H69" s="346"/>
      <c r="I69" s="171"/>
    </row>
    <row r="70" spans="1:9">
      <c r="A70" s="171"/>
      <c r="B70" s="171"/>
      <c r="C70" s="171"/>
      <c r="D70" s="171"/>
      <c r="E70" s="171"/>
      <c r="F70" s="171"/>
      <c r="G70" s="171"/>
      <c r="H70" s="346"/>
      <c r="I70" s="171"/>
    </row>
    <row r="71" spans="1:9">
      <c r="A71" s="171"/>
      <c r="B71" s="171"/>
      <c r="C71" s="171"/>
      <c r="D71" s="171"/>
      <c r="E71" s="171"/>
      <c r="F71" s="171"/>
      <c r="G71" s="171"/>
      <c r="H71" s="346"/>
      <c r="I71" s="171"/>
    </row>
    <row r="72" spans="1:9">
      <c r="A72" s="171"/>
      <c r="B72" s="171"/>
      <c r="C72" s="171"/>
      <c r="D72" s="171"/>
      <c r="E72" s="171"/>
      <c r="F72" s="171"/>
      <c r="G72" s="171"/>
      <c r="H72" s="346"/>
      <c r="I72" s="171"/>
    </row>
    <row r="73" spans="1:9">
      <c r="A73" s="171"/>
      <c r="B73" s="171"/>
      <c r="C73" s="171"/>
      <c r="D73" s="171"/>
      <c r="E73" s="171"/>
      <c r="F73" s="171"/>
      <c r="G73" s="171"/>
      <c r="H73" s="346"/>
      <c r="I73" s="171"/>
    </row>
    <row r="74" spans="1:9">
      <c r="A74" s="171"/>
      <c r="B74" s="171"/>
      <c r="C74" s="171"/>
      <c r="D74" s="171"/>
      <c r="E74" s="171"/>
      <c r="F74" s="171"/>
      <c r="G74" s="171"/>
      <c r="H74" s="346"/>
      <c r="I74" s="171"/>
    </row>
    <row r="75" spans="1:9">
      <c r="A75" s="171"/>
      <c r="B75" s="171"/>
      <c r="C75" s="171"/>
      <c r="D75" s="171"/>
      <c r="E75" s="171"/>
      <c r="F75" s="171"/>
      <c r="G75" s="171"/>
      <c r="H75" s="346"/>
      <c r="I75" s="171"/>
    </row>
    <row r="76" spans="1:9">
      <c r="A76" s="171"/>
      <c r="B76" s="171"/>
      <c r="C76" s="171"/>
      <c r="D76" s="171"/>
      <c r="E76" s="171"/>
      <c r="F76" s="171"/>
      <c r="G76" s="171"/>
      <c r="H76" s="346"/>
      <c r="I76" s="171"/>
    </row>
    <row r="77" spans="1:9">
      <c r="A77" s="171"/>
      <c r="B77" s="171"/>
      <c r="C77" s="171"/>
      <c r="D77" s="171"/>
      <c r="E77" s="171"/>
      <c r="F77" s="171"/>
      <c r="G77" s="171"/>
      <c r="H77" s="346"/>
      <c r="I77" s="171"/>
    </row>
    <row r="78" spans="1:9">
      <c r="A78" s="171"/>
      <c r="B78" s="171"/>
      <c r="C78" s="171"/>
      <c r="D78" s="171"/>
      <c r="E78" s="171"/>
      <c r="F78" s="171"/>
      <c r="G78" s="171"/>
      <c r="H78" s="346"/>
      <c r="I78" s="171"/>
    </row>
    <row r="79" spans="1:9">
      <c r="A79" s="171"/>
      <c r="B79" s="171"/>
      <c r="C79" s="171"/>
      <c r="D79" s="171"/>
      <c r="E79" s="171"/>
      <c r="F79" s="171"/>
      <c r="G79" s="171"/>
      <c r="H79" s="346"/>
      <c r="I79" s="171"/>
    </row>
    <row r="80" spans="1:9">
      <c r="A80" s="171"/>
      <c r="B80" s="171"/>
      <c r="C80" s="171"/>
      <c r="D80" s="171"/>
      <c r="E80" s="171"/>
      <c r="F80" s="171"/>
      <c r="G80" s="171"/>
      <c r="H80" s="346"/>
      <c r="I80" s="171"/>
    </row>
    <row r="81" spans="1:9">
      <c r="A81" s="171"/>
      <c r="B81" s="171"/>
      <c r="C81" s="171"/>
      <c r="D81" s="171"/>
      <c r="E81" s="171"/>
      <c r="F81" s="171"/>
      <c r="G81" s="171"/>
      <c r="H81" s="346"/>
      <c r="I81" s="171"/>
    </row>
    <row r="82" spans="1:9">
      <c r="A82" s="171"/>
      <c r="B82" s="171"/>
      <c r="C82" s="171"/>
      <c r="D82" s="171"/>
      <c r="E82" s="171"/>
      <c r="F82" s="171"/>
      <c r="G82" s="171"/>
      <c r="H82" s="346"/>
      <c r="I82" s="171"/>
    </row>
    <row r="83" spans="1:9">
      <c r="A83" s="171"/>
      <c r="B83" s="171"/>
      <c r="C83" s="171"/>
      <c r="D83" s="171"/>
      <c r="E83" s="171"/>
      <c r="F83" s="171"/>
      <c r="G83" s="171"/>
      <c r="H83" s="346"/>
      <c r="I83" s="171"/>
    </row>
    <row r="84" spans="1:9">
      <c r="A84" s="171"/>
      <c r="B84" s="171"/>
      <c r="C84" s="171"/>
      <c r="D84" s="171"/>
      <c r="E84" s="171"/>
      <c r="F84" s="171"/>
      <c r="G84" s="171"/>
      <c r="H84" s="346"/>
      <c r="I84" s="171"/>
    </row>
    <row r="85" spans="1:9">
      <c r="B85" s="171"/>
    </row>
    <row r="86" spans="1:9">
      <c r="B86" s="171"/>
    </row>
    <row r="87" spans="1:9">
      <c r="B87" s="171"/>
    </row>
    <row r="88" spans="1:9">
      <c r="B88" s="171"/>
    </row>
    <row r="89" spans="1:9">
      <c r="B89" s="171"/>
    </row>
    <row r="90" spans="1:9">
      <c r="B90" s="171"/>
    </row>
    <row r="91" spans="1:9">
      <c r="B91" s="171"/>
    </row>
    <row r="92" spans="1:9">
      <c r="B92" s="171"/>
    </row>
    <row r="93" spans="1:9">
      <c r="B93" s="171"/>
    </row>
    <row r="94" spans="1:9">
      <c r="B94" s="171"/>
    </row>
    <row r="95" spans="1:9">
      <c r="B95" s="171"/>
    </row>
    <row r="96" spans="1:9">
      <c r="B96" s="171"/>
    </row>
    <row r="97" spans="2:2">
      <c r="B97" s="171"/>
    </row>
    <row r="98" spans="2:2">
      <c r="B98" s="171"/>
    </row>
    <row r="99" spans="2:2">
      <c r="B99" s="171"/>
    </row>
    <row r="100" spans="2:2">
      <c r="B100" s="171"/>
    </row>
    <row r="101" spans="2:2">
      <c r="B101" s="171"/>
    </row>
    <row r="102" spans="2:2">
      <c r="B102" s="171"/>
    </row>
    <row r="103" spans="2:2">
      <c r="B103" s="171"/>
    </row>
    <row r="104" spans="2:2">
      <c r="B104" s="171"/>
    </row>
    <row r="105" spans="2:2">
      <c r="B105" s="171"/>
    </row>
    <row r="106" spans="2:2">
      <c r="B106" s="171"/>
    </row>
    <row r="107" spans="2:2">
      <c r="B107" s="171"/>
    </row>
    <row r="108" spans="2:2">
      <c r="B108" s="171"/>
    </row>
    <row r="109" spans="2:2">
      <c r="B109" s="171"/>
    </row>
    <row r="110" spans="2:2">
      <c r="B110" s="171"/>
    </row>
    <row r="111" spans="2:2">
      <c r="B111" s="171"/>
    </row>
    <row r="112" spans="2:2">
      <c r="B112" s="171"/>
    </row>
    <row r="113" spans="2:2">
      <c r="B113" s="171"/>
    </row>
    <row r="114" spans="2:2">
      <c r="B114" s="171"/>
    </row>
    <row r="115" spans="2:2">
      <c r="B115" s="171"/>
    </row>
    <row r="116" spans="2:2">
      <c r="B116" s="171"/>
    </row>
    <row r="117" spans="2:2">
      <c r="B117" s="171"/>
    </row>
    <row r="118" spans="2:2">
      <c r="B118" s="171"/>
    </row>
  </sheetData>
  <mergeCells count="8">
    <mergeCell ref="A6:B6"/>
    <mergeCell ref="A1:H1"/>
    <mergeCell ref="A4:B5"/>
    <mergeCell ref="A25:B25"/>
    <mergeCell ref="A2:H2"/>
    <mergeCell ref="H4:H5"/>
    <mergeCell ref="F4:G4"/>
    <mergeCell ref="C4:E4"/>
  </mergeCells>
  <phoneticPr fontId="47" type="noConversion"/>
  <pageMargins left="0" right="0" top="0.39370078740157483" bottom="0" header="0" footer="0"/>
  <pageSetup scale="41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2"/>
  <sheetViews>
    <sheetView workbookViewId="0">
      <selection activeCell="A11" sqref="A11"/>
    </sheetView>
  </sheetViews>
  <sheetFormatPr baseColWidth="10" defaultRowHeight="12.75"/>
  <cols>
    <col min="1" max="1" width="33.7109375" customWidth="1"/>
    <col min="2" max="3" width="19.140625" customWidth="1"/>
    <col min="4" max="5" width="16.42578125" customWidth="1"/>
    <col min="6" max="6" width="17.140625" customWidth="1"/>
    <col min="9" max="9" width="16.140625" style="24" customWidth="1"/>
    <col min="10" max="10" width="12.7109375" style="233" customWidth="1"/>
    <col min="11" max="13" width="11.42578125" style="24"/>
  </cols>
  <sheetData>
    <row r="2" spans="1:11">
      <c r="A2" s="1101" t="s">
        <v>565</v>
      </c>
      <c r="B2" s="1101"/>
      <c r="C2" s="1101"/>
      <c r="D2" s="1101"/>
      <c r="E2" s="1101"/>
      <c r="F2" s="1101"/>
    </row>
    <row r="4" spans="1:11">
      <c r="A4" s="1102" t="s">
        <v>760</v>
      </c>
      <c r="B4" s="1101"/>
      <c r="C4" s="1101"/>
      <c r="D4" s="1101"/>
      <c r="E4" s="1101"/>
      <c r="F4" s="1101"/>
    </row>
    <row r="5" spans="1:11" ht="13.5" thickBot="1">
      <c r="F5" s="19"/>
    </row>
    <row r="6" spans="1:11" ht="21" customHeight="1" thickBot="1">
      <c r="A6" s="1103" t="s">
        <v>566</v>
      </c>
      <c r="B6" s="1104" t="s">
        <v>386</v>
      </c>
      <c r="C6" s="1104"/>
      <c r="D6" s="1104"/>
      <c r="E6" s="196"/>
      <c r="F6" s="1103" t="s">
        <v>567</v>
      </c>
    </row>
    <row r="7" spans="1:11" ht="13.5" thickBot="1">
      <c r="A7" s="1103"/>
      <c r="B7" s="1107" t="s">
        <v>568</v>
      </c>
      <c r="C7" s="1108"/>
      <c r="D7" s="1105" t="s">
        <v>38</v>
      </c>
      <c r="E7" s="197"/>
      <c r="F7" s="1103"/>
    </row>
    <row r="8" spans="1:11" ht="19.5" customHeight="1" thickBot="1">
      <c r="A8" s="1103"/>
      <c r="B8" s="1109"/>
      <c r="C8" s="1110"/>
      <c r="D8" s="1106"/>
      <c r="E8" s="198"/>
      <c r="F8" s="1103"/>
    </row>
    <row r="9" spans="1:11" ht="19.5" customHeight="1" thickBot="1">
      <c r="A9" s="230"/>
      <c r="B9" s="195" t="s">
        <v>648</v>
      </c>
      <c r="C9" s="195" t="s">
        <v>649</v>
      </c>
      <c r="D9" s="195" t="s">
        <v>648</v>
      </c>
      <c r="E9" s="195" t="s">
        <v>649</v>
      </c>
      <c r="F9" s="230"/>
    </row>
    <row r="10" spans="1:11" ht="18" customHeight="1">
      <c r="A10" s="163" t="s">
        <v>37</v>
      </c>
      <c r="B10" s="164">
        <f>SUM(B11:B12)</f>
        <v>41532492</v>
      </c>
      <c r="C10" s="231">
        <f>SUM(C11:C12)</f>
        <v>1</v>
      </c>
      <c r="D10" s="164">
        <f>SUM(D11:D12)</f>
        <v>57782700</v>
      </c>
      <c r="E10" s="231">
        <f>SUM(E11:E12)</f>
        <v>1</v>
      </c>
      <c r="F10" s="231">
        <f>D10/B10</f>
        <v>1.3912649402304105</v>
      </c>
      <c r="I10" s="216">
        <v>24461600</v>
      </c>
      <c r="J10" s="234">
        <f>SUM(J11:J12)</f>
        <v>1</v>
      </c>
      <c r="K10" s="24" t="s">
        <v>569</v>
      </c>
    </row>
    <row r="11" spans="1:11" ht="18" customHeight="1">
      <c r="A11" s="165" t="s">
        <v>570</v>
      </c>
      <c r="B11" s="166">
        <v>37007827</v>
      </c>
      <c r="C11" s="232">
        <f>B11/B10</f>
        <v>0.89105722334214865</v>
      </c>
      <c r="D11" s="166">
        <f>Objeto!C12</f>
        <v>52782700</v>
      </c>
      <c r="E11" s="232">
        <f>D11/D10</f>
        <v>0.91346891024476184</v>
      </c>
      <c r="F11" s="232">
        <f>D11/B11</f>
        <v>1.4262577481244711</v>
      </c>
      <c r="I11" s="24">
        <v>19941300</v>
      </c>
      <c r="J11" s="234">
        <f>I11/I10</f>
        <v>0.81520832651993325</v>
      </c>
      <c r="K11" s="24" t="s">
        <v>571</v>
      </c>
    </row>
    <row r="12" spans="1:11" ht="18" customHeight="1">
      <c r="A12" s="165" t="s">
        <v>345</v>
      </c>
      <c r="B12" s="166">
        <v>4524665</v>
      </c>
      <c r="C12" s="232">
        <f>B12/B10</f>
        <v>0.1089427766578514</v>
      </c>
      <c r="D12" s="166">
        <f>Objeto!C658</f>
        <v>5000000</v>
      </c>
      <c r="E12" s="232">
        <f>D12/D10</f>
        <v>8.6531089755238155E-2</v>
      </c>
      <c r="F12" s="232">
        <f>D12/B12</f>
        <v>1.1050541863320269</v>
      </c>
      <c r="I12" s="24">
        <v>4520300</v>
      </c>
      <c r="J12" s="234">
        <f>I12/I10</f>
        <v>0.18479167348006673</v>
      </c>
      <c r="K12" s="24" t="s">
        <v>42</v>
      </c>
    </row>
    <row r="13" spans="1:11">
      <c r="B13" s="24"/>
      <c r="C13" s="24"/>
      <c r="D13" s="24"/>
      <c r="E13" s="24"/>
      <c r="F13" s="24"/>
    </row>
    <row r="27" spans="2:3">
      <c r="B27" s="216"/>
      <c r="C27" s="216"/>
    </row>
    <row r="28" spans="2:3">
      <c r="B28" s="24"/>
      <c r="C28" s="24"/>
    </row>
    <row r="29" spans="2:3">
      <c r="B29" s="24"/>
      <c r="C29" s="24"/>
    </row>
    <row r="30" spans="2:3">
      <c r="B30" s="24"/>
      <c r="C30" s="24"/>
    </row>
    <row r="31" spans="2:3">
      <c r="B31" s="24"/>
      <c r="C31" s="24"/>
    </row>
    <row r="32" spans="2:3">
      <c r="B32" s="24"/>
      <c r="C32" s="24"/>
    </row>
  </sheetData>
  <mergeCells count="7">
    <mergeCell ref="A2:F2"/>
    <mergeCell ref="A4:F4"/>
    <mergeCell ref="A6:A8"/>
    <mergeCell ref="B6:D6"/>
    <mergeCell ref="F6:F8"/>
    <mergeCell ref="D7:D8"/>
    <mergeCell ref="B7:C8"/>
  </mergeCells>
  <phoneticPr fontId="47" type="noConversion"/>
  <pageMargins left="0.75" right="0.75" top="1" bottom="1" header="0" footer="0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10"/>
  <sheetViews>
    <sheetView workbookViewId="0">
      <selection activeCell="C22" sqref="C22"/>
    </sheetView>
  </sheetViews>
  <sheetFormatPr baseColWidth="10" defaultRowHeight="12.75"/>
  <cols>
    <col min="1" max="1" width="17" customWidth="1"/>
    <col min="2" max="2" width="21.7109375" customWidth="1"/>
    <col min="3" max="3" width="16.42578125" customWidth="1"/>
    <col min="4" max="4" width="17.140625" customWidth="1"/>
    <col min="7" max="7" width="12.7109375" style="24" bestFit="1" customWidth="1"/>
    <col min="8" max="10" width="11.42578125" style="24"/>
  </cols>
  <sheetData>
    <row r="3" spans="1:3">
      <c r="A3" s="22" t="s">
        <v>607</v>
      </c>
    </row>
    <row r="5" spans="1:3">
      <c r="A5" s="22" t="s">
        <v>37</v>
      </c>
      <c r="B5" s="216">
        <f>SUM(B6:B8)</f>
        <v>2530946.3199999998</v>
      </c>
      <c r="C5" s="24"/>
    </row>
    <row r="6" spans="1:3">
      <c r="A6" t="s">
        <v>608</v>
      </c>
      <c r="B6" s="24">
        <f>SUM(INGRESOS!T31:Y31)</f>
        <v>345948.5</v>
      </c>
      <c r="C6" s="24"/>
    </row>
    <row r="7" spans="1:3">
      <c r="A7" t="s">
        <v>609</v>
      </c>
      <c r="B7" s="24">
        <f>SUM(INGRESOS!Z31:AE31)</f>
        <v>265647.5</v>
      </c>
      <c r="C7" s="24"/>
    </row>
    <row r="8" spans="1:3" ht="25.5">
      <c r="A8" s="217" t="s">
        <v>610</v>
      </c>
      <c r="B8" s="24">
        <f>INGRESOS!S32</f>
        <v>1919350.3199999998</v>
      </c>
      <c r="C8" s="24"/>
    </row>
    <row r="9" spans="1:3">
      <c r="B9" s="24"/>
    </row>
    <row r="10" spans="1:3">
      <c r="B10" s="24"/>
    </row>
  </sheetData>
  <phoneticPr fontId="47" type="noConversion"/>
  <pageMargins left="0.75" right="0.75" top="1" bottom="1" header="0" footer="0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2"/>
  <sheetViews>
    <sheetView topLeftCell="A19" workbookViewId="0">
      <selection activeCell="G18" sqref="G18"/>
    </sheetView>
  </sheetViews>
  <sheetFormatPr baseColWidth="10" defaultRowHeight="12.75"/>
  <cols>
    <col min="1" max="1" width="5.5703125" style="29" customWidth="1"/>
    <col min="2" max="2" width="38.140625" style="29" customWidth="1"/>
    <col min="3" max="6" width="15.7109375" style="29" customWidth="1"/>
    <col min="7" max="16384" width="11.42578125" style="29"/>
  </cols>
  <sheetData>
    <row r="1" spans="1:7">
      <c r="A1" s="1111" t="s">
        <v>0</v>
      </c>
      <c r="B1" s="1112"/>
      <c r="C1" s="1112"/>
      <c r="D1" s="1112"/>
      <c r="E1" s="1112"/>
      <c r="F1" s="1112"/>
    </row>
    <row r="2" spans="1:7">
      <c r="A2" s="1111" t="s">
        <v>830</v>
      </c>
      <c r="B2" s="1112"/>
      <c r="C2" s="1112"/>
      <c r="D2" s="1112"/>
      <c r="E2" s="1112"/>
      <c r="F2" s="1112"/>
    </row>
    <row r="3" spans="1:7">
      <c r="A3" s="1111" t="s">
        <v>831</v>
      </c>
      <c r="B3" s="1112"/>
      <c r="C3" s="1112"/>
      <c r="D3" s="1112"/>
      <c r="E3" s="1112"/>
      <c r="F3" s="1112"/>
    </row>
    <row r="4" spans="1:7" ht="13.5" thickBot="1"/>
    <row r="5" spans="1:7" ht="20.100000000000001" customHeight="1">
      <c r="A5" s="1113" t="s">
        <v>572</v>
      </c>
      <c r="B5" s="1114"/>
      <c r="C5" s="1117" t="s">
        <v>386</v>
      </c>
      <c r="D5" s="1117"/>
      <c r="E5" s="1117"/>
      <c r="F5" s="397"/>
    </row>
    <row r="6" spans="1:7" ht="20.100000000000001" customHeight="1" thickBot="1">
      <c r="A6" s="1115"/>
      <c r="B6" s="1116"/>
      <c r="C6" s="398" t="s">
        <v>477</v>
      </c>
      <c r="D6" s="398" t="s">
        <v>40</v>
      </c>
      <c r="E6" s="398" t="s">
        <v>475</v>
      </c>
      <c r="F6" s="399" t="s">
        <v>832</v>
      </c>
    </row>
    <row r="7" spans="1:7" ht="27" customHeight="1" thickTop="1">
      <c r="A7" s="179"/>
      <c r="B7" s="168" t="s">
        <v>576</v>
      </c>
      <c r="C7" s="169">
        <f>SUM(C9,C23)+C19+C21</f>
        <v>57782700</v>
      </c>
      <c r="D7" s="169">
        <f>SUM(D9,D23)+D19+D21</f>
        <v>50725335</v>
      </c>
      <c r="E7" s="169">
        <f>SUM(E9,E23)+E19+E21</f>
        <v>53195861.700000003</v>
      </c>
      <c r="F7" s="170">
        <f>E7/D7</f>
        <v>1.0487039996877301</v>
      </c>
      <c r="G7" s="106"/>
    </row>
    <row r="8" spans="1:7" ht="18" customHeight="1">
      <c r="A8" s="180"/>
      <c r="B8" s="171"/>
      <c r="C8" s="172"/>
      <c r="D8" s="172"/>
      <c r="E8" s="172"/>
      <c r="F8" s="331"/>
    </row>
    <row r="9" spans="1:7" ht="18" customHeight="1">
      <c r="A9" s="181" t="s">
        <v>577</v>
      </c>
      <c r="B9" s="174"/>
      <c r="C9" s="175">
        <f>SUM(C11)</f>
        <v>4000000</v>
      </c>
      <c r="D9" s="175">
        <f>SUM(D11)</f>
        <v>3847296</v>
      </c>
      <c r="E9" s="175">
        <f>SUM(E11)</f>
        <v>4053979.6999999997</v>
      </c>
      <c r="F9" s="187">
        <f>E9/D9</f>
        <v>1.0537218087716671</v>
      </c>
    </row>
    <row r="10" spans="1:7" ht="18" customHeight="1">
      <c r="A10" s="180"/>
      <c r="B10" s="171"/>
      <c r="C10" s="172"/>
      <c r="D10" s="172"/>
      <c r="E10" s="172"/>
      <c r="F10" s="331"/>
    </row>
    <row r="11" spans="1:7" ht="18" customHeight="1">
      <c r="A11" s="181"/>
      <c r="B11" s="174" t="s">
        <v>578</v>
      </c>
      <c r="C11" s="175">
        <f>SUM(C13)</f>
        <v>4000000</v>
      </c>
      <c r="D11" s="175">
        <f>SUM(D13)</f>
        <v>3847296</v>
      </c>
      <c r="E11" s="175">
        <f>SUM(E13)</f>
        <v>4053979.6999999997</v>
      </c>
      <c r="F11" s="330">
        <f>E11/D11</f>
        <v>1.0537218087716671</v>
      </c>
    </row>
    <row r="12" spans="1:7" ht="12" customHeight="1">
      <c r="A12" s="180"/>
      <c r="B12" s="171"/>
      <c r="C12" s="172"/>
      <c r="D12" s="172"/>
      <c r="E12" s="172"/>
      <c r="F12" s="173"/>
    </row>
    <row r="13" spans="1:7" ht="18" customHeight="1">
      <c r="A13" s="181"/>
      <c r="B13" s="174" t="s">
        <v>579</v>
      </c>
      <c r="C13" s="175">
        <f>SUM(C15:C17)</f>
        <v>4000000</v>
      </c>
      <c r="D13" s="175">
        <f>SUM(D15:D17)</f>
        <v>3847296</v>
      </c>
      <c r="E13" s="175">
        <f>SUM(E15:E17)</f>
        <v>4053979.6999999997</v>
      </c>
      <c r="F13" s="330">
        <f>E13/D13</f>
        <v>1.0537218087716671</v>
      </c>
    </row>
    <row r="14" spans="1:7" ht="12.75" customHeight="1">
      <c r="A14" s="180"/>
      <c r="B14" s="171"/>
      <c r="C14" s="172"/>
      <c r="D14" s="172"/>
      <c r="E14" s="172"/>
      <c r="F14" s="173"/>
    </row>
    <row r="15" spans="1:7" ht="18" customHeight="1">
      <c r="A15" s="180"/>
      <c r="B15" s="171" t="s">
        <v>580</v>
      </c>
      <c r="C15" s="172">
        <f>INGRESOS!D15</f>
        <v>877500</v>
      </c>
      <c r="D15" s="172">
        <f>INGRESOS!F15</f>
        <v>805300</v>
      </c>
      <c r="E15" s="172">
        <f>INGRESOS!S15</f>
        <v>382196.9</v>
      </c>
      <c r="F15" s="330">
        <f>E15/D15</f>
        <v>0.47460188749534338</v>
      </c>
    </row>
    <row r="16" spans="1:7" ht="18" customHeight="1">
      <c r="A16" s="180"/>
      <c r="B16" s="171" t="s">
        <v>683</v>
      </c>
      <c r="C16" s="172">
        <f>INGRESOS!E27</f>
        <v>2828700</v>
      </c>
      <c r="D16" s="172">
        <f>INGRESOS!F27</f>
        <v>2748196</v>
      </c>
      <c r="E16" s="172">
        <f>INGRESOS!S27</f>
        <v>2696579.32</v>
      </c>
      <c r="F16" s="330">
        <f>E16/D16</f>
        <v>0.98121797717484482</v>
      </c>
    </row>
    <row r="17" spans="1:6" ht="18" customHeight="1">
      <c r="A17" s="180"/>
      <c r="B17" s="171" t="s">
        <v>684</v>
      </c>
      <c r="C17" s="172">
        <f>INGRESOS!E38</f>
        <v>293800</v>
      </c>
      <c r="D17" s="172">
        <f>INGRESOS!F38</f>
        <v>293800</v>
      </c>
      <c r="E17" s="172">
        <f>INGRESOS!S38</f>
        <v>975203.4800000001</v>
      </c>
      <c r="F17" s="330">
        <f>E17/D17</f>
        <v>3.3192766507828457</v>
      </c>
    </row>
    <row r="18" spans="1:6" ht="18" customHeight="1">
      <c r="A18" s="180"/>
      <c r="B18" s="171"/>
      <c r="C18" s="172"/>
      <c r="D18" s="172"/>
      <c r="E18" s="172"/>
      <c r="F18" s="187"/>
    </row>
    <row r="19" spans="1:6" ht="18" customHeight="1">
      <c r="A19" s="180"/>
      <c r="B19" s="174" t="s">
        <v>641</v>
      </c>
      <c r="C19" s="188">
        <f>INGRESOS!D21</f>
        <v>48782700</v>
      </c>
      <c r="D19" s="188">
        <f>INGRESOS!F21</f>
        <v>44141882</v>
      </c>
      <c r="E19" s="188">
        <f>INGRESOS!S21</f>
        <v>44141882</v>
      </c>
      <c r="F19" s="330">
        <f>E19/D19</f>
        <v>1</v>
      </c>
    </row>
    <row r="20" spans="1:6" ht="18" customHeight="1">
      <c r="A20" s="180"/>
      <c r="B20" s="171"/>
      <c r="C20" s="172"/>
      <c r="D20" s="172"/>
      <c r="E20" s="172"/>
      <c r="F20" s="173"/>
    </row>
    <row r="21" spans="1:6" ht="18" customHeight="1">
      <c r="A21" s="180"/>
      <c r="B21" s="174" t="s">
        <v>682</v>
      </c>
      <c r="C21" s="175">
        <f>[4]Resumen!B10</f>
        <v>0</v>
      </c>
      <c r="D21" s="175">
        <f>[4]Resumen!E10</f>
        <v>0</v>
      </c>
      <c r="E21" s="175">
        <f>[4]Resumen!H10</f>
        <v>0</v>
      </c>
      <c r="F21" s="330" t="e">
        <f>E21/D21</f>
        <v>#DIV/0!</v>
      </c>
    </row>
    <row r="22" spans="1:6" ht="18" customHeight="1">
      <c r="A22" s="180"/>
      <c r="B22" s="171"/>
      <c r="C22" s="172"/>
      <c r="D22" s="172"/>
      <c r="E22" s="172"/>
      <c r="F22" s="173"/>
    </row>
    <row r="23" spans="1:6" ht="18" customHeight="1">
      <c r="A23" s="181" t="s">
        <v>581</v>
      </c>
      <c r="B23" s="174"/>
      <c r="C23" s="175">
        <f>SUM(C25)</f>
        <v>5000000</v>
      </c>
      <c r="D23" s="175">
        <f>SUM(D25)</f>
        <v>2736157</v>
      </c>
      <c r="E23" s="175">
        <f>SUM(E25)</f>
        <v>5000000</v>
      </c>
      <c r="F23" s="330">
        <f>E23/D23</f>
        <v>1.8273805194658055</v>
      </c>
    </row>
    <row r="24" spans="1:6" ht="18" customHeight="1">
      <c r="A24" s="180"/>
      <c r="B24" s="171"/>
      <c r="C24" s="172"/>
      <c r="D24" s="172"/>
      <c r="E24" s="172"/>
      <c r="F24" s="173"/>
    </row>
    <row r="25" spans="1:6" ht="18" customHeight="1">
      <c r="A25" s="181"/>
      <c r="B25" s="174" t="s">
        <v>582</v>
      </c>
      <c r="C25" s="175">
        <f>INGRESOS!E50</f>
        <v>5000000</v>
      </c>
      <c r="D25" s="175">
        <f>[4]Resumen!E31</f>
        <v>2736157</v>
      </c>
      <c r="E25" s="175">
        <f>INGRESOS!S50</f>
        <v>5000000</v>
      </c>
      <c r="F25" s="330">
        <f>E25/D25</f>
        <v>1.8273805194658055</v>
      </c>
    </row>
    <row r="26" spans="1:6" ht="22.5" customHeight="1">
      <c r="A26" s="182"/>
      <c r="B26" s="176"/>
      <c r="C26" s="177"/>
      <c r="D26" s="177"/>
      <c r="E26" s="177"/>
      <c r="F26" s="178"/>
    </row>
    <row r="29" spans="1:6">
      <c r="A29" s="246" t="s">
        <v>654</v>
      </c>
      <c r="C29" s="107">
        <f>SUM(C30,C33)</f>
        <v>219610</v>
      </c>
    </row>
    <row r="30" spans="1:6">
      <c r="B30" s="162" t="s">
        <v>652</v>
      </c>
      <c r="C30" s="107">
        <f>SUM(C31:C32)</f>
        <v>216301</v>
      </c>
    </row>
    <row r="31" spans="1:6">
      <c r="B31" s="29" t="s">
        <v>653</v>
      </c>
      <c r="C31" s="106">
        <v>216301</v>
      </c>
    </row>
    <row r="32" spans="1:6">
      <c r="C32" s="106"/>
    </row>
    <row r="33" spans="2:3">
      <c r="B33" s="162" t="s">
        <v>408</v>
      </c>
      <c r="C33" s="107">
        <f>SUM(C34:C36)</f>
        <v>3309</v>
      </c>
    </row>
    <row r="34" spans="2:3">
      <c r="B34" s="29" t="s">
        <v>655</v>
      </c>
      <c r="C34" s="106">
        <v>3309</v>
      </c>
    </row>
    <row r="35" spans="2:3">
      <c r="C35" s="106"/>
    </row>
    <row r="36" spans="2:3">
      <c r="C36" s="106"/>
    </row>
    <row r="37" spans="2:3">
      <c r="C37" s="106"/>
    </row>
    <row r="38" spans="2:3">
      <c r="C38" s="106"/>
    </row>
    <row r="39" spans="2:3">
      <c r="C39" s="106"/>
    </row>
    <row r="40" spans="2:3">
      <c r="C40" s="106"/>
    </row>
    <row r="41" spans="2:3">
      <c r="C41" s="106"/>
    </row>
    <row r="42" spans="2:3">
      <c r="C42" s="106"/>
    </row>
  </sheetData>
  <mergeCells count="5">
    <mergeCell ref="A1:F1"/>
    <mergeCell ref="A3:F3"/>
    <mergeCell ref="A5:B6"/>
    <mergeCell ref="C5:E5"/>
    <mergeCell ref="A2:F2"/>
  </mergeCells>
  <phoneticPr fontId="47" type="noConversion"/>
  <pageMargins left="0.75" right="0.75" top="1" bottom="1" header="0" footer="0"/>
  <pageSetup paperSize="124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"/>
  <sheetViews>
    <sheetView topLeftCell="A16" workbookViewId="0">
      <selection activeCell="A3" sqref="A3"/>
    </sheetView>
  </sheetViews>
  <sheetFormatPr baseColWidth="10" defaultRowHeight="12.75"/>
  <cols>
    <col min="1" max="1" width="5.5703125" style="29" customWidth="1"/>
    <col min="2" max="2" width="38.140625" style="29" customWidth="1"/>
    <col min="3" max="5" width="15.7109375" style="29" customWidth="1"/>
    <col min="6" max="6" width="15.7109375" style="183" customWidth="1"/>
    <col min="7" max="7" width="15.7109375" style="29" customWidth="1"/>
    <col min="8" max="16384" width="11.42578125" style="29"/>
  </cols>
  <sheetData>
    <row r="1" spans="1:8">
      <c r="A1" s="1112" t="s">
        <v>685</v>
      </c>
      <c r="B1" s="1112"/>
      <c r="C1" s="1112"/>
      <c r="D1" s="1112"/>
      <c r="E1" s="1112"/>
      <c r="F1" s="1112"/>
      <c r="G1" s="1112"/>
    </row>
    <row r="2" spans="1:8">
      <c r="A2" s="1111" t="s">
        <v>1043</v>
      </c>
      <c r="B2" s="1112"/>
      <c r="C2" s="1112"/>
      <c r="D2" s="1112"/>
      <c r="E2" s="1112"/>
      <c r="F2" s="1112"/>
      <c r="G2" s="1112"/>
    </row>
    <row r="3" spans="1:8" ht="13.5" thickBot="1"/>
    <row r="4" spans="1:8" ht="20.100000000000001" customHeight="1">
      <c r="A4" s="1118" t="s">
        <v>572</v>
      </c>
      <c r="B4" s="1119"/>
      <c r="C4" s="1122" t="s">
        <v>386</v>
      </c>
      <c r="D4" s="1122"/>
      <c r="E4" s="1122"/>
      <c r="F4" s="1122" t="s">
        <v>573</v>
      </c>
      <c r="G4" s="1122"/>
    </row>
    <row r="5" spans="1:8" ht="20.100000000000001" customHeight="1" thickBot="1">
      <c r="A5" s="1120"/>
      <c r="B5" s="1121"/>
      <c r="C5" s="167" t="s">
        <v>477</v>
      </c>
      <c r="D5" s="167" t="s">
        <v>40</v>
      </c>
      <c r="E5" s="167" t="s">
        <v>475</v>
      </c>
      <c r="F5" s="184" t="s">
        <v>574</v>
      </c>
      <c r="G5" s="167" t="s">
        <v>575</v>
      </c>
    </row>
    <row r="6" spans="1:8" ht="27" customHeight="1" thickTop="1">
      <c r="A6" s="179"/>
      <c r="B6" s="168" t="s">
        <v>576</v>
      </c>
      <c r="C6" s="169">
        <f>SUM(C8,C21)</f>
        <v>57782700</v>
      </c>
      <c r="D6" s="169">
        <f>SUM(D8,D21)</f>
        <v>52989178</v>
      </c>
      <c r="E6" s="169">
        <f>SUM(E8,E21)</f>
        <v>53195861.700000003</v>
      </c>
      <c r="F6" s="169">
        <f>E6-D6</f>
        <v>206683.70000000298</v>
      </c>
      <c r="G6" s="170">
        <f>E6/D6</f>
        <v>1.0039004888885048</v>
      </c>
      <c r="H6" s="106"/>
    </row>
    <row r="7" spans="1:8" ht="18" customHeight="1">
      <c r="A7" s="180"/>
      <c r="B7" s="171"/>
      <c r="C7" s="172"/>
      <c r="D7" s="172"/>
      <c r="E7" s="172"/>
      <c r="F7" s="185"/>
      <c r="G7" s="173"/>
    </row>
    <row r="8" spans="1:8" ht="18" customHeight="1">
      <c r="A8" s="181"/>
      <c r="B8" s="174" t="s">
        <v>584</v>
      </c>
      <c r="C8" s="175">
        <f>SUM(C10:C19)</f>
        <v>4000000</v>
      </c>
      <c r="D8" s="175">
        <f>SUM(D10:D19)</f>
        <v>3847296</v>
      </c>
      <c r="E8" s="175">
        <f>SUM(E10:E19)</f>
        <v>4053979.6999999997</v>
      </c>
      <c r="F8" s="175">
        <f>SUM(F10:F19)</f>
        <v>206683.69999999995</v>
      </c>
      <c r="G8" s="187">
        <f>E8/D8</f>
        <v>1.0537218087716671</v>
      </c>
    </row>
    <row r="9" spans="1:8" ht="18" customHeight="1">
      <c r="A9" s="180"/>
      <c r="B9" s="171"/>
      <c r="C9" s="172"/>
      <c r="D9" s="172"/>
      <c r="E9" s="172"/>
      <c r="F9" s="185"/>
      <c r="G9" s="173"/>
    </row>
    <row r="10" spans="1:8" ht="18" customHeight="1">
      <c r="A10" s="181"/>
      <c r="B10" s="190" t="s">
        <v>402</v>
      </c>
      <c r="C10" s="191">
        <f>INGRESOS!E17</f>
        <v>877500</v>
      </c>
      <c r="D10" s="191">
        <f>INGRESOS!F17</f>
        <v>805300</v>
      </c>
      <c r="E10" s="191">
        <f>INGRESOS!S17</f>
        <v>382196.9</v>
      </c>
      <c r="F10" s="191">
        <f>E10-D10</f>
        <v>-423103.1</v>
      </c>
      <c r="G10" s="192">
        <f>E10/D10</f>
        <v>0.47460188749534338</v>
      </c>
    </row>
    <row r="11" spans="1:8" ht="18" customHeight="1">
      <c r="A11" s="181"/>
      <c r="B11" s="190" t="s">
        <v>417</v>
      </c>
      <c r="C11" s="191">
        <f>INGRESOS!E30</f>
        <v>23800</v>
      </c>
      <c r="D11" s="191">
        <f>INGRESOS!F30</f>
        <v>23800</v>
      </c>
      <c r="E11" s="191">
        <f>INGRESOS!S30</f>
        <v>63412</v>
      </c>
      <c r="F11" s="191">
        <f t="shared" ref="F11:F24" si="0">E11-D11</f>
        <v>39612</v>
      </c>
      <c r="G11" s="192">
        <f t="shared" ref="G11:G24" si="1">E11/D11</f>
        <v>2.6643697478991597</v>
      </c>
    </row>
    <row r="12" spans="1:8" ht="18" customHeight="1">
      <c r="A12" s="181"/>
      <c r="B12" s="190" t="s">
        <v>419</v>
      </c>
      <c r="C12" s="191">
        <f>INGRESOS!E31</f>
        <v>565900</v>
      </c>
      <c r="D12" s="191">
        <f>INGRESOS!F31</f>
        <v>565900</v>
      </c>
      <c r="E12" s="191">
        <f>INGRESOS!S31</f>
        <v>611596</v>
      </c>
      <c r="F12" s="191">
        <f t="shared" si="0"/>
        <v>45696</v>
      </c>
      <c r="G12" s="192">
        <f t="shared" si="1"/>
        <v>1.0807492489839194</v>
      </c>
    </row>
    <row r="13" spans="1:8" ht="18" customHeight="1">
      <c r="A13" s="181"/>
      <c r="B13" s="190" t="s">
        <v>421</v>
      </c>
      <c r="C13" s="191">
        <f>INGRESOS!E32</f>
        <v>2169800</v>
      </c>
      <c r="D13" s="191">
        <f>INGRESOS!F32</f>
        <v>2089296</v>
      </c>
      <c r="E13" s="191">
        <f>INGRESOS!S32</f>
        <v>1919350.3199999998</v>
      </c>
      <c r="F13" s="191">
        <f t="shared" si="0"/>
        <v>-169945.68000000017</v>
      </c>
      <c r="G13" s="192">
        <f t="shared" si="1"/>
        <v>0.91865887839731653</v>
      </c>
    </row>
    <row r="14" spans="1:8" ht="18" customHeight="1">
      <c r="A14" s="181"/>
      <c r="B14" s="190" t="s">
        <v>425</v>
      </c>
      <c r="C14" s="191">
        <f>INGRESOS!E35</f>
        <v>11300</v>
      </c>
      <c r="D14" s="191">
        <f>INGRESOS!F35</f>
        <v>11300</v>
      </c>
      <c r="E14" s="191">
        <f>INGRESOS!S35</f>
        <v>14506</v>
      </c>
      <c r="F14" s="191">
        <f t="shared" si="0"/>
        <v>3206</v>
      </c>
      <c r="G14" s="192">
        <f t="shared" si="1"/>
        <v>1.2837168141592921</v>
      </c>
    </row>
    <row r="15" spans="1:8" ht="18" customHeight="1">
      <c r="A15" s="181"/>
      <c r="B15" s="190" t="s">
        <v>427</v>
      </c>
      <c r="C15" s="191">
        <f>INGRESOS!E36</f>
        <v>57900</v>
      </c>
      <c r="D15" s="191">
        <f>INGRESOS!F36</f>
        <v>57900</v>
      </c>
      <c r="E15" s="191">
        <f>INGRESOS!S36</f>
        <v>87715</v>
      </c>
      <c r="F15" s="191">
        <f t="shared" si="0"/>
        <v>29815</v>
      </c>
      <c r="G15" s="192">
        <f t="shared" si="1"/>
        <v>1.5149395509499137</v>
      </c>
    </row>
    <row r="16" spans="1:8" ht="18" customHeight="1">
      <c r="A16" s="181"/>
      <c r="B16" s="190" t="s">
        <v>686</v>
      </c>
      <c r="C16" s="191">
        <f>INGRESOS!E41</f>
        <v>258800</v>
      </c>
      <c r="D16" s="191">
        <f>INGRESOS!F41</f>
        <v>258800</v>
      </c>
      <c r="E16" s="191">
        <f>INGRESOS!S41</f>
        <v>930776.84000000008</v>
      </c>
      <c r="F16" s="191">
        <f t="shared" si="0"/>
        <v>671976.84000000008</v>
      </c>
      <c r="G16" s="192">
        <f t="shared" si="1"/>
        <v>3.5965102009273573</v>
      </c>
    </row>
    <row r="17" spans="1:7" ht="18" customHeight="1">
      <c r="A17" s="181"/>
      <c r="B17" s="190" t="s">
        <v>434</v>
      </c>
      <c r="C17" s="191">
        <f>INGRESOS!E42</f>
        <v>35000</v>
      </c>
      <c r="D17" s="191">
        <f>INGRESOS!F42</f>
        <v>35000</v>
      </c>
      <c r="E17" s="191">
        <f>INGRESOS!S42</f>
        <v>44426.64</v>
      </c>
      <c r="F17" s="191">
        <f t="shared" si="0"/>
        <v>9426.64</v>
      </c>
      <c r="G17" s="192">
        <f t="shared" si="1"/>
        <v>1.2693325714285715</v>
      </c>
    </row>
    <row r="18" spans="1:7" ht="18" customHeight="1">
      <c r="A18" s="180"/>
      <c r="B18" s="171"/>
      <c r="C18" s="172"/>
      <c r="D18" s="172"/>
      <c r="E18" s="172"/>
      <c r="F18" s="185"/>
      <c r="G18" s="173"/>
    </row>
    <row r="19" spans="1:7" ht="18" customHeight="1">
      <c r="A19" s="190"/>
      <c r="B19" s="174" t="s">
        <v>446</v>
      </c>
      <c r="C19" s="175">
        <f>INGRESOS!E44</f>
        <v>0</v>
      </c>
      <c r="D19" s="175">
        <f>INGRESOS!F44</f>
        <v>0</v>
      </c>
      <c r="E19" s="175">
        <f>INGRESOS!S44</f>
        <v>0</v>
      </c>
      <c r="F19" s="175">
        <f t="shared" si="0"/>
        <v>0</v>
      </c>
      <c r="G19" s="187">
        <v>0</v>
      </c>
    </row>
    <row r="20" spans="1:7" ht="18" customHeight="1">
      <c r="A20" s="180"/>
      <c r="B20" s="171"/>
      <c r="C20" s="172"/>
      <c r="D20" s="172"/>
      <c r="E20" s="172"/>
      <c r="F20" s="193"/>
      <c r="G20" s="194"/>
    </row>
    <row r="21" spans="1:7" ht="18" customHeight="1">
      <c r="A21" s="181"/>
      <c r="B21" s="174" t="s">
        <v>585</v>
      </c>
      <c r="C21" s="175">
        <f>SUM(C23:C25)</f>
        <v>53782700</v>
      </c>
      <c r="D21" s="175">
        <f>SUM(D23:D25)</f>
        <v>49141882</v>
      </c>
      <c r="E21" s="175">
        <f>SUM(E23:E25)</f>
        <v>49141882</v>
      </c>
      <c r="F21" s="175">
        <f t="shared" si="0"/>
        <v>0</v>
      </c>
      <c r="G21" s="187">
        <f t="shared" si="1"/>
        <v>1</v>
      </c>
    </row>
    <row r="22" spans="1:7" ht="18" customHeight="1">
      <c r="A22" s="180"/>
      <c r="B22" s="171"/>
      <c r="C22" s="172"/>
      <c r="D22" s="172"/>
      <c r="E22" s="172"/>
      <c r="F22" s="185"/>
      <c r="G22" s="173"/>
    </row>
    <row r="23" spans="1:7" ht="18" customHeight="1">
      <c r="A23" s="181"/>
      <c r="B23" s="190" t="s">
        <v>408</v>
      </c>
      <c r="C23" s="191">
        <f>INGRESOS!E21</f>
        <v>48782700</v>
      </c>
      <c r="D23" s="191">
        <f>INGRESOS!F21</f>
        <v>44141882</v>
      </c>
      <c r="E23" s="191">
        <f>INGRESOS!S21</f>
        <v>44141882</v>
      </c>
      <c r="F23" s="191">
        <f t="shared" si="0"/>
        <v>0</v>
      </c>
      <c r="G23" s="192">
        <f t="shared" si="1"/>
        <v>1</v>
      </c>
    </row>
    <row r="24" spans="1:7" ht="18" customHeight="1">
      <c r="A24" s="181"/>
      <c r="B24" s="190" t="s">
        <v>583</v>
      </c>
      <c r="C24" s="191">
        <f>INGRESOS!E50</f>
        <v>5000000</v>
      </c>
      <c r="D24" s="191">
        <f>INGRESOS!F50</f>
        <v>5000000</v>
      </c>
      <c r="E24" s="191">
        <f>INGRESOS!S50</f>
        <v>5000000</v>
      </c>
      <c r="F24" s="191">
        <f t="shared" si="0"/>
        <v>0</v>
      </c>
      <c r="G24" s="192">
        <f t="shared" si="1"/>
        <v>1</v>
      </c>
    </row>
    <row r="25" spans="1:7" ht="22.5" customHeight="1">
      <c r="A25" s="182"/>
      <c r="B25" s="176"/>
      <c r="C25" s="177"/>
      <c r="D25" s="177"/>
      <c r="E25" s="177"/>
      <c r="F25" s="186"/>
      <c r="G25" s="178"/>
    </row>
  </sheetData>
  <mergeCells count="5">
    <mergeCell ref="A1:G1"/>
    <mergeCell ref="A2:G2"/>
    <mergeCell ref="A4:B5"/>
    <mergeCell ref="C4:E4"/>
    <mergeCell ref="F4:G4"/>
  </mergeCells>
  <phoneticPr fontId="47" type="noConversion"/>
  <pageMargins left="0.75" right="0.75" top="1" bottom="1" header="0" footer="0"/>
  <pageSetup paperSize="124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"/>
  <sheetViews>
    <sheetView workbookViewId="0">
      <selection activeCell="G5" sqref="G5"/>
    </sheetView>
  </sheetViews>
  <sheetFormatPr baseColWidth="10" defaultRowHeight="12.75"/>
  <cols>
    <col min="1" max="1" width="33.42578125" customWidth="1"/>
    <col min="2" max="4" width="19.140625" customWidth="1"/>
    <col min="5" max="5" width="18.5703125" customWidth="1"/>
    <col min="6" max="17" width="11.42578125" style="29"/>
  </cols>
  <sheetData>
    <row r="1" spans="1:5" ht="21.95" customHeight="1">
      <c r="A1" s="1070" t="s">
        <v>1044</v>
      </c>
      <c r="B1" s="1070"/>
      <c r="C1" s="1070"/>
      <c r="D1" s="1070"/>
      <c r="E1" s="1070"/>
    </row>
    <row r="2" spans="1:5" ht="21.95" customHeight="1" thickBot="1">
      <c r="A2" s="29"/>
      <c r="B2" s="29"/>
      <c r="C2" s="29"/>
      <c r="D2" s="29"/>
      <c r="E2" s="29"/>
    </row>
    <row r="3" spans="1:5" ht="21.95" customHeight="1" thickBot="1">
      <c r="A3" s="1124" t="s">
        <v>566</v>
      </c>
      <c r="B3" s="1123" t="s">
        <v>386</v>
      </c>
      <c r="C3" s="1123"/>
      <c r="D3" s="1123"/>
      <c r="E3" s="226" t="s">
        <v>611</v>
      </c>
    </row>
    <row r="4" spans="1:5" ht="21.95" customHeight="1" thickBot="1">
      <c r="A4" s="1124"/>
      <c r="B4" s="226" t="s">
        <v>477</v>
      </c>
      <c r="C4" s="226" t="s">
        <v>40</v>
      </c>
      <c r="D4" s="226" t="s">
        <v>656</v>
      </c>
      <c r="E4" s="226" t="s">
        <v>612</v>
      </c>
    </row>
    <row r="5" spans="1:5" ht="30" customHeight="1">
      <c r="A5" s="218" t="s">
        <v>37</v>
      </c>
      <c r="B5" s="219">
        <f>SUM(B6:B7)</f>
        <v>57782700</v>
      </c>
      <c r="C5" s="219">
        <f>SUM(C6:C7)</f>
        <v>53047580</v>
      </c>
      <c r="D5" s="219">
        <f>SUM(D6:D7)</f>
        <v>44768236.809999995</v>
      </c>
      <c r="E5" s="223">
        <f>D5/C5</f>
        <v>0.84392609069065916</v>
      </c>
    </row>
    <row r="6" spans="1:5" ht="30" customHeight="1">
      <c r="A6" s="220" t="s">
        <v>613</v>
      </c>
      <c r="B6" s="221">
        <f>Objeto!GR12</f>
        <v>52782700</v>
      </c>
      <c r="C6" s="221">
        <f>Objeto!GS12</f>
        <v>48047580</v>
      </c>
      <c r="D6" s="221">
        <f>Objeto!IF12</f>
        <v>43072855.309999995</v>
      </c>
      <c r="E6" s="225">
        <f>D6/C6</f>
        <v>0.89646253380503227</v>
      </c>
    </row>
    <row r="7" spans="1:5" ht="30" customHeight="1">
      <c r="A7" s="220" t="s">
        <v>539</v>
      </c>
      <c r="B7" s="221">
        <f>Objeto!GR658</f>
        <v>5000000</v>
      </c>
      <c r="C7" s="221">
        <f>Objeto!GS658</f>
        <v>5000000</v>
      </c>
      <c r="D7" s="221">
        <f>Objeto!IF658</f>
        <v>1695381.5</v>
      </c>
      <c r="E7" s="224">
        <f>D7/C7</f>
        <v>0.3390763</v>
      </c>
    </row>
    <row r="8" spans="1:5" ht="30" customHeight="1">
      <c r="A8" s="220"/>
      <c r="B8" s="221"/>
      <c r="C8" s="221"/>
      <c r="D8" s="221"/>
      <c r="E8" s="222"/>
    </row>
    <row r="9" spans="1:5" ht="21.95" customHeight="1">
      <c r="A9" s="29"/>
      <c r="B9" s="29"/>
      <c r="C9" s="29"/>
      <c r="D9" s="29"/>
      <c r="E9" s="29"/>
    </row>
    <row r="10" spans="1:5" ht="21.95" customHeight="1">
      <c r="A10" s="29"/>
      <c r="B10" s="29"/>
      <c r="C10" s="29"/>
      <c r="D10" s="29"/>
      <c r="E10" s="29"/>
    </row>
    <row r="11" spans="1:5" ht="21.95" customHeight="1">
      <c r="A11" s="29"/>
      <c r="B11" s="29"/>
      <c r="C11" s="29"/>
      <c r="D11" s="29"/>
      <c r="E11" s="29"/>
    </row>
    <row r="12" spans="1:5" ht="21.95" customHeight="1">
      <c r="A12" s="29"/>
      <c r="B12" s="29"/>
      <c r="C12" s="29"/>
      <c r="D12" s="29"/>
      <c r="E12" s="29"/>
    </row>
    <row r="13" spans="1:5" ht="21.95" customHeight="1">
      <c r="A13" s="29"/>
      <c r="B13" s="29"/>
      <c r="C13" s="29"/>
      <c r="D13" s="29"/>
      <c r="E13" s="29"/>
    </row>
    <row r="14" spans="1:5" ht="21.95" customHeight="1">
      <c r="A14" s="29"/>
      <c r="B14" s="29"/>
      <c r="C14" s="29"/>
      <c r="D14" s="29"/>
      <c r="E14" s="29"/>
    </row>
    <row r="15" spans="1:5" ht="21.95" customHeight="1">
      <c r="A15" s="29"/>
      <c r="B15" s="29"/>
      <c r="C15" s="29"/>
      <c r="D15" s="29"/>
      <c r="E15" s="29"/>
    </row>
    <row r="16" spans="1:5" ht="21.95" customHeight="1">
      <c r="A16" s="29"/>
      <c r="B16" s="29"/>
      <c r="C16" s="29"/>
      <c r="D16" s="29"/>
      <c r="E16" s="29"/>
    </row>
    <row r="17" s="29" customFormat="1" ht="21.95" customHeight="1"/>
    <row r="18" s="29" customFormat="1" ht="21.95" customHeight="1"/>
    <row r="19" s="29" customFormat="1" ht="21.95" customHeight="1"/>
    <row r="20" s="29" customFormat="1" ht="21.95" customHeight="1"/>
    <row r="21" s="29" customFormat="1" ht="21.95" customHeight="1"/>
    <row r="22" s="29" customFormat="1" ht="21.95" customHeight="1"/>
    <row r="23" s="29" customFormat="1" ht="21.95" customHeight="1"/>
    <row r="24" ht="21.95" customHeight="1"/>
    <row r="25" ht="21.95" customHeight="1"/>
    <row r="26" ht="21.95" customHeight="1"/>
    <row r="27" ht="21.95" customHeight="1"/>
  </sheetData>
  <mergeCells count="3">
    <mergeCell ref="B3:D3"/>
    <mergeCell ref="A3:A4"/>
    <mergeCell ref="A1:E1"/>
  </mergeCells>
  <phoneticPr fontId="47" type="noConversion"/>
  <pageMargins left="0.75" right="0.75" top="1" bottom="1" header="0" footer="0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"/>
  <sheetViews>
    <sheetView workbookViewId="0">
      <selection activeCell="A3" sqref="A3"/>
    </sheetView>
  </sheetViews>
  <sheetFormatPr baseColWidth="10" defaultRowHeight="12.75"/>
  <cols>
    <col min="1" max="1" width="40.7109375" customWidth="1"/>
    <col min="2" max="4" width="19.140625" customWidth="1"/>
    <col min="5" max="5" width="18.5703125" customWidth="1"/>
    <col min="6" max="17" width="11.42578125" style="29"/>
  </cols>
  <sheetData>
    <row r="1" spans="1:5" ht="21.95" customHeight="1">
      <c r="A1" s="1070" t="s">
        <v>614</v>
      </c>
      <c r="B1" s="1070"/>
      <c r="C1" s="1070"/>
      <c r="D1" s="1070"/>
      <c r="E1" s="1070"/>
    </row>
    <row r="2" spans="1:5" ht="21.95" customHeight="1">
      <c r="A2" s="1070" t="s">
        <v>1045</v>
      </c>
      <c r="B2" s="1070"/>
      <c r="C2" s="1070"/>
      <c r="D2" s="1070"/>
      <c r="E2" s="1070"/>
    </row>
    <row r="3" spans="1:5" ht="21.95" customHeight="1" thickBot="1">
      <c r="A3" s="189"/>
      <c r="B3" s="189"/>
      <c r="C3" s="189"/>
      <c r="D3" s="189"/>
      <c r="E3" s="189"/>
    </row>
    <row r="4" spans="1:5" ht="21.95" customHeight="1" thickBot="1">
      <c r="A4" s="1124" t="s">
        <v>566</v>
      </c>
      <c r="B4" s="1123" t="s">
        <v>386</v>
      </c>
      <c r="C4" s="1123"/>
      <c r="D4" s="1123"/>
      <c r="E4" s="226" t="s">
        <v>611</v>
      </c>
    </row>
    <row r="5" spans="1:5" ht="21.95" customHeight="1" thickBot="1">
      <c r="A5" s="1124"/>
      <c r="B5" s="226" t="s">
        <v>477</v>
      </c>
      <c r="C5" s="226" t="s">
        <v>40</v>
      </c>
      <c r="D5" s="226" t="s">
        <v>479</v>
      </c>
      <c r="E5" s="226" t="s">
        <v>612</v>
      </c>
    </row>
    <row r="6" spans="1:5" ht="30" customHeight="1">
      <c r="A6" s="218" t="s">
        <v>37</v>
      </c>
      <c r="B6" s="219">
        <f>SUM(B7:B8)</f>
        <v>52782700</v>
      </c>
      <c r="C6" s="219">
        <f>SUM(C7:C8)</f>
        <v>10405726</v>
      </c>
      <c r="D6" s="219">
        <f>SUM(D7:D8)</f>
        <v>7842286.8799999999</v>
      </c>
      <c r="E6" s="223">
        <f>D6/C6</f>
        <v>0.75365110324834617</v>
      </c>
    </row>
    <row r="7" spans="1:5" ht="30" customHeight="1">
      <c r="A7" s="227" t="s">
        <v>615</v>
      </c>
      <c r="B7" s="221">
        <f>[4]Resumen!D22+[4]Resumen!D23+[4]Resumen!D24+[4]Resumen!D25+[4]Resumen!D26+[4]Resumen!D30</f>
        <v>52546700</v>
      </c>
      <c r="C7" s="221">
        <f>[4]Resumen!E22+[4]Resumen!E23+[4]Resumen!E24+[4]Resumen!E25+[4]Resumen!E26+[4]Resumen!E30</f>
        <v>10345569</v>
      </c>
      <c r="D7" s="221">
        <f>[4]Resumen!G22+[4]Resumen!G23+[4]Resumen!G24+[4]Resumen!G25+[4]Resumen!G26+[4]Resumen!G30</f>
        <v>7817802.6799999997</v>
      </c>
      <c r="E7" s="225">
        <f>D7/C7</f>
        <v>0.75566676709613556</v>
      </c>
    </row>
    <row r="8" spans="1:5" ht="30" customHeight="1">
      <c r="A8" s="227" t="s">
        <v>408</v>
      </c>
      <c r="B8" s="221">
        <f>[4]Resumen!D27</f>
        <v>236000</v>
      </c>
      <c r="C8" s="221">
        <f>[4]Resumen!E27</f>
        <v>60157</v>
      </c>
      <c r="D8" s="221">
        <f>[4]Resumen!G27</f>
        <v>24484.2</v>
      </c>
      <c r="E8" s="224">
        <f>D8/C8</f>
        <v>0.40700500357398145</v>
      </c>
    </row>
    <row r="9" spans="1:5" ht="30" customHeight="1">
      <c r="A9" s="220"/>
      <c r="B9" s="221"/>
      <c r="C9" s="221"/>
      <c r="D9" s="221"/>
      <c r="E9" s="222"/>
    </row>
    <row r="10" spans="1:5" ht="21.95" customHeight="1">
      <c r="A10" s="29"/>
      <c r="B10" s="29"/>
      <c r="C10" s="29"/>
      <c r="D10" s="29"/>
      <c r="E10" s="29"/>
    </row>
    <row r="11" spans="1:5" ht="21.95" customHeight="1">
      <c r="A11" s="29"/>
      <c r="B11" s="29"/>
      <c r="C11" s="29"/>
      <c r="D11" s="29"/>
      <c r="E11" s="29"/>
    </row>
    <row r="12" spans="1:5" ht="21.95" customHeight="1">
      <c r="A12" s="29"/>
      <c r="B12" s="29"/>
      <c r="C12" s="29"/>
      <c r="D12" s="29"/>
      <c r="E12" s="29"/>
    </row>
    <row r="13" spans="1:5" ht="21.95" customHeight="1">
      <c r="A13" s="29"/>
      <c r="B13" s="29"/>
      <c r="C13" s="29"/>
      <c r="D13" s="29"/>
      <c r="E13" s="29"/>
    </row>
    <row r="14" spans="1:5" ht="21.95" customHeight="1">
      <c r="A14" s="29"/>
      <c r="B14" s="29"/>
      <c r="C14" s="29"/>
      <c r="D14" s="29"/>
      <c r="E14" s="29"/>
    </row>
    <row r="15" spans="1:5" ht="21.95" customHeight="1">
      <c r="A15" s="29"/>
      <c r="B15" s="29"/>
      <c r="C15" s="29"/>
      <c r="D15" s="29"/>
      <c r="E15" s="29"/>
    </row>
    <row r="16" spans="1:5" ht="21.95" customHeight="1">
      <c r="A16" s="29"/>
      <c r="B16" s="29"/>
      <c r="C16" s="29"/>
      <c r="D16" s="29"/>
      <c r="E16" s="29"/>
    </row>
    <row r="17" spans="1:5" ht="21.95" customHeight="1">
      <c r="A17" s="29"/>
      <c r="B17" s="29"/>
      <c r="C17" s="29"/>
      <c r="D17" s="29"/>
      <c r="E17" s="29"/>
    </row>
    <row r="18" spans="1:5" ht="21.95" customHeight="1">
      <c r="A18" s="29"/>
      <c r="B18" s="29"/>
      <c r="C18" s="29"/>
      <c r="D18" s="29"/>
      <c r="E18" s="29"/>
    </row>
    <row r="19" spans="1:5" ht="21.95" customHeight="1">
      <c r="A19" s="29"/>
      <c r="B19" s="29"/>
      <c r="C19" s="29"/>
      <c r="D19" s="29"/>
      <c r="E19" s="29"/>
    </row>
    <row r="20" spans="1:5" ht="21.95" customHeight="1">
      <c r="A20" s="29"/>
      <c r="B20" s="29"/>
      <c r="C20" s="29"/>
      <c r="D20" s="29"/>
      <c r="E20" s="29"/>
    </row>
    <row r="21" spans="1:5" ht="21.95" customHeight="1">
      <c r="A21" s="29"/>
      <c r="B21" s="29"/>
      <c r="C21" s="29"/>
      <c r="D21" s="29"/>
      <c r="E21" s="29"/>
    </row>
    <row r="22" spans="1:5" ht="21.95" customHeight="1">
      <c r="A22" s="29"/>
      <c r="B22" s="29"/>
      <c r="C22" s="29"/>
      <c r="D22" s="29"/>
      <c r="E22" s="29"/>
    </row>
    <row r="23" spans="1:5" ht="21.95" customHeight="1">
      <c r="A23" s="29"/>
      <c r="B23" s="29"/>
      <c r="C23" s="29"/>
      <c r="D23" s="29"/>
      <c r="E23" s="29"/>
    </row>
    <row r="24" spans="1:5" ht="21.95" customHeight="1">
      <c r="A24" s="29"/>
      <c r="B24" s="29"/>
      <c r="C24" s="29"/>
      <c r="D24" s="29"/>
      <c r="E24" s="29"/>
    </row>
    <row r="25" spans="1:5" ht="21.95" customHeight="1"/>
    <row r="26" spans="1:5" ht="21.95" customHeight="1"/>
    <row r="27" spans="1:5" ht="21.95" customHeight="1"/>
    <row r="28" spans="1:5" ht="21.95" customHeight="1"/>
  </sheetData>
  <mergeCells count="4">
    <mergeCell ref="B4:D4"/>
    <mergeCell ref="A4:A5"/>
    <mergeCell ref="A1:E1"/>
    <mergeCell ref="A2:E2"/>
  </mergeCells>
  <phoneticPr fontId="47" type="noConversion"/>
  <pageMargins left="0.75" right="0.75" top="1" bottom="1" header="0" footer="0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6"/>
  <sheetViews>
    <sheetView workbookViewId="0">
      <selection activeCell="A10" sqref="A10"/>
    </sheetView>
  </sheetViews>
  <sheetFormatPr baseColWidth="10" defaultRowHeight="12.75"/>
  <cols>
    <col min="1" max="1" width="27.5703125" customWidth="1"/>
    <col min="2" max="2" width="23.140625" customWidth="1"/>
    <col min="3" max="3" width="21" customWidth="1"/>
    <col min="4" max="4" width="20.140625" customWidth="1"/>
  </cols>
  <sheetData>
    <row r="1" spans="1:5" ht="18" customHeight="1"/>
    <row r="2" spans="1:5" ht="18" customHeight="1">
      <c r="A2" s="1125" t="s">
        <v>1046</v>
      </c>
      <c r="B2" s="1126"/>
      <c r="C2" s="1126"/>
      <c r="D2" s="1126"/>
    </row>
    <row r="3" spans="1:5" ht="18" customHeight="1" thickBot="1"/>
    <row r="4" spans="1:5" ht="18" customHeight="1">
      <c r="A4" s="1127" t="s">
        <v>586</v>
      </c>
      <c r="B4" s="1129" t="s">
        <v>587</v>
      </c>
      <c r="C4" s="1129" t="s">
        <v>588</v>
      </c>
      <c r="D4" s="1131" t="s">
        <v>589</v>
      </c>
    </row>
    <row r="5" spans="1:5" ht="18" customHeight="1" thickBot="1">
      <c r="A5" s="1128"/>
      <c r="B5" s="1130"/>
      <c r="C5" s="1130"/>
      <c r="D5" s="1132"/>
      <c r="E5" s="24" t="e">
        <f>SUM(E6:E10)</f>
        <v>#REF!</v>
      </c>
    </row>
    <row r="6" spans="1:5" ht="30" customHeight="1">
      <c r="A6" s="199" t="s">
        <v>590</v>
      </c>
      <c r="B6" s="203">
        <f>Objeto!GR246+Objeto!GR251+Objeto!GR255+Objeto!GR257+Objeto!GR267+Objeto!GR581+Objeto!GR585+Objeto!GR590+Objeto!GR598+Objeto!GR600+Objeto!GR634+Objeto!GR637+Objeto!GR641+Objeto!GR643</f>
        <v>40981219</v>
      </c>
      <c r="C6" s="203">
        <f>Objeto!GS246+Objeto!GS251+Objeto!GS255+Objeto!GS257+Objeto!GS267+Objeto!GS581+Objeto!GS585+Objeto!GS590+Objeto!GS598+Objeto!GS600+Objeto!GS634+Objeto!GS637+Objeto!GS641+Objeto!GS643</f>
        <v>37049087</v>
      </c>
      <c r="D6" s="203">
        <f>Objeto!HG246+Objeto!HG251+Objeto!HG255+Objeto!HG257+Objeto!HG267+Objeto!HG581+Objeto!HG585+Objeto!HG590+Objeto!HG598+Objeto!HG600+Objeto!HG634+Objeto!HG637+Objeto!HG641+Objeto!HG643</f>
        <v>36990685</v>
      </c>
      <c r="E6" s="24">
        <f>C6-D6</f>
        <v>58402</v>
      </c>
    </row>
    <row r="7" spans="1:5" ht="30" customHeight="1">
      <c r="A7" s="201" t="s">
        <v>592</v>
      </c>
      <c r="B7" s="204">
        <f>Objeto!GR259+Objeto!GR592+Objeto!GR645</f>
        <v>6220200</v>
      </c>
      <c r="C7" s="204">
        <f>Objeto!GS259+Objeto!GS592+Objeto!GS645</f>
        <v>5665750</v>
      </c>
      <c r="D7" s="204">
        <f>Objeto!HG259+Objeto!HG592+Objeto!HG645</f>
        <v>5665750</v>
      </c>
      <c r="E7" s="24">
        <f>C7-D7</f>
        <v>0</v>
      </c>
    </row>
    <row r="8" spans="1:5" ht="30" customHeight="1">
      <c r="A8" s="201" t="s">
        <v>594</v>
      </c>
      <c r="B8" s="204">
        <f>Objeto!GR279</f>
        <v>1013700</v>
      </c>
      <c r="C8" s="204">
        <f>Objeto!GS279</f>
        <v>921593</v>
      </c>
      <c r="D8" s="204">
        <f>Objeto!HG279</f>
        <v>921593</v>
      </c>
      <c r="E8" s="24">
        <f>C8-D8</f>
        <v>0</v>
      </c>
    </row>
    <row r="9" spans="1:5" ht="30" customHeight="1">
      <c r="A9" s="200" t="s">
        <v>595</v>
      </c>
      <c r="B9" s="205" t="e">
        <f>+Objeto!#REF!+Objeto!#REF!+Objeto!#REF!+Objeto!#REF!+Objeto!#REF!</f>
        <v>#REF!</v>
      </c>
      <c r="C9" s="205" t="e">
        <f>+Objeto!#REF!+Objeto!#REF!+Objeto!#REF!+Objeto!#REF!+Objeto!#REF!</f>
        <v>#REF!</v>
      </c>
      <c r="D9" s="205" t="e">
        <f>+Objeto!#REF!+Objeto!#REF!+Objeto!#REF!+Objeto!#REF!+Objeto!#REF!</f>
        <v>#REF!</v>
      </c>
      <c r="E9" s="24" t="e">
        <f>C9-D9</f>
        <v>#REF!</v>
      </c>
    </row>
    <row r="10" spans="1:5" ht="30" customHeight="1">
      <c r="A10" s="200" t="s">
        <v>593</v>
      </c>
      <c r="B10" s="205">
        <f>Objeto!GR347</f>
        <v>97437</v>
      </c>
      <c r="C10" s="205">
        <f>Objeto!GS347</f>
        <v>93710</v>
      </c>
      <c r="D10" s="205">
        <f>Objeto!HG347</f>
        <v>93710</v>
      </c>
      <c r="E10" s="24">
        <f>C10-D10</f>
        <v>0</v>
      </c>
    </row>
    <row r="11" spans="1:5" ht="30" customHeight="1">
      <c r="A11" s="200" t="s">
        <v>591</v>
      </c>
      <c r="B11" s="205">
        <f>Objeto!GR658</f>
        <v>5000000</v>
      </c>
      <c r="C11" s="205">
        <f>Objeto!GS658</f>
        <v>5000000</v>
      </c>
      <c r="D11" s="205">
        <f>Objeto!HG658</f>
        <v>5000000</v>
      </c>
    </row>
    <row r="12" spans="1:5" ht="30" customHeight="1">
      <c r="A12" s="202" t="s">
        <v>37</v>
      </c>
      <c r="B12" s="206" t="e">
        <f>SUM(B6:B11)</f>
        <v>#REF!</v>
      </c>
      <c r="C12" s="206" t="e">
        <f>SUM(C6:C11)</f>
        <v>#REF!</v>
      </c>
      <c r="D12" s="207" t="e">
        <f>SUM(D6:D11)</f>
        <v>#REF!</v>
      </c>
    </row>
    <row r="13" spans="1:5" ht="18" customHeight="1"/>
    <row r="14" spans="1:5" ht="18" customHeight="1">
      <c r="B14" s="24"/>
    </row>
    <row r="15" spans="1:5" ht="18" customHeight="1">
      <c r="B15" s="24"/>
      <c r="D15" s="24" t="e">
        <f>SUM(D6:D10)</f>
        <v>#REF!</v>
      </c>
    </row>
    <row r="16" spans="1:5" ht="18" customHeight="1">
      <c r="D16">
        <v>17962426</v>
      </c>
    </row>
    <row r="17" spans="2:4" ht="18" customHeight="1">
      <c r="D17" s="24" t="e">
        <f>D15-D16</f>
        <v>#REF!</v>
      </c>
    </row>
    <row r="18" spans="2:4" ht="18" customHeight="1">
      <c r="B18" s="24"/>
    </row>
    <row r="19" spans="2:4" ht="18" customHeight="1"/>
    <row r="20" spans="2:4" ht="18" customHeight="1"/>
    <row r="21" spans="2:4" ht="18" customHeight="1"/>
    <row r="22" spans="2:4" ht="18" customHeight="1"/>
    <row r="23" spans="2:4" ht="18" customHeight="1"/>
    <row r="24" spans="2:4" ht="18" customHeight="1"/>
    <row r="25" spans="2:4" ht="18" customHeight="1"/>
    <row r="26" spans="2:4" ht="18" customHeight="1"/>
    <row r="27" spans="2:4" ht="18" customHeight="1"/>
    <row r="28" spans="2:4" ht="18" customHeight="1"/>
    <row r="29" spans="2:4" ht="18" customHeight="1"/>
    <row r="30" spans="2:4" ht="18" customHeight="1"/>
    <row r="31" spans="2:4" ht="18" customHeight="1"/>
    <row r="32" spans="2:4" ht="18" customHeight="1"/>
    <row r="33" ht="18" customHeight="1"/>
    <row r="34" ht="18" customHeight="1"/>
    <row r="35" ht="18" customHeight="1"/>
    <row r="36" ht="18" customHeight="1"/>
  </sheetData>
  <mergeCells count="5">
    <mergeCell ref="A2:D2"/>
    <mergeCell ref="A4:A5"/>
    <mergeCell ref="B4:B5"/>
    <mergeCell ref="C4:C5"/>
    <mergeCell ref="D4:D5"/>
  </mergeCells>
  <phoneticPr fontId="47" type="noConversion"/>
  <pageMargins left="0.75" right="0.75" top="1" bottom="1" header="0" footer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5"/>
  <sheetViews>
    <sheetView topLeftCell="A2" zoomScaleNormal="100" workbookViewId="0">
      <pane xSplit="1" ySplit="8" topLeftCell="B10" activePane="bottomRight" state="frozen"/>
      <selection activeCell="A2" sqref="A2"/>
      <selection pane="topRight" activeCell="B2" sqref="B2"/>
      <selection pane="bottomLeft" activeCell="A10" sqref="A10"/>
      <selection pane="bottomRight" activeCell="A2" sqref="A2:J23"/>
    </sheetView>
  </sheetViews>
  <sheetFormatPr baseColWidth="10" defaultRowHeight="12.75"/>
  <cols>
    <col min="1" max="1" width="37.140625" customWidth="1"/>
    <col min="2" max="2" width="14.42578125" customWidth="1"/>
    <col min="3" max="3" width="15.5703125" customWidth="1"/>
    <col min="4" max="4" width="16" customWidth="1"/>
    <col min="5" max="5" width="16.7109375" customWidth="1"/>
    <col min="6" max="6" width="15.7109375" customWidth="1"/>
    <col min="7" max="8" width="14.28515625" customWidth="1"/>
    <col min="9" max="9" width="14.140625" customWidth="1"/>
    <col min="10" max="10" width="14.85546875" customWidth="1"/>
    <col min="11" max="11" width="14.5703125" customWidth="1"/>
  </cols>
  <sheetData>
    <row r="1" spans="1:16">
      <c r="A1" s="1002" t="s">
        <v>354</v>
      </c>
      <c r="B1" s="1002"/>
      <c r="C1" s="1002"/>
      <c r="D1" s="1002"/>
      <c r="E1" s="1002"/>
      <c r="F1" s="1002"/>
      <c r="G1" s="1002"/>
      <c r="H1" s="1002"/>
      <c r="I1" s="1002"/>
      <c r="J1" s="1002"/>
      <c r="K1" s="11"/>
      <c r="L1" s="11"/>
      <c r="M1" s="11"/>
      <c r="N1" s="11"/>
      <c r="O1" s="11"/>
      <c r="P1" s="11"/>
    </row>
    <row r="2" spans="1:16">
      <c r="A2" s="1001" t="s">
        <v>355</v>
      </c>
      <c r="B2" s="1001"/>
      <c r="C2" s="1001"/>
      <c r="D2" s="1001"/>
      <c r="E2" s="1001"/>
      <c r="F2" s="1001"/>
      <c r="G2" s="1001"/>
      <c r="H2" s="1001"/>
      <c r="I2" s="1001"/>
      <c r="J2" s="1001"/>
      <c r="K2" s="11"/>
      <c r="L2" s="11"/>
      <c r="M2" s="11"/>
      <c r="N2" s="11"/>
      <c r="O2" s="11"/>
      <c r="P2" s="11"/>
    </row>
    <row r="3" spans="1:16">
      <c r="A3" s="1001" t="s">
        <v>356</v>
      </c>
      <c r="B3" s="1001"/>
      <c r="C3" s="1001"/>
      <c r="D3" s="1001"/>
      <c r="E3" s="1001"/>
      <c r="F3" s="1001"/>
      <c r="G3" s="1001"/>
      <c r="H3" s="1001"/>
      <c r="I3" s="1001"/>
      <c r="J3" s="1001"/>
      <c r="K3" s="11"/>
      <c r="L3" s="11"/>
      <c r="M3" s="11"/>
      <c r="N3" s="11"/>
      <c r="O3" s="11"/>
      <c r="P3" s="11"/>
    </row>
    <row r="4" spans="1:16">
      <c r="A4" s="1001" t="s">
        <v>1253</v>
      </c>
      <c r="B4" s="1001"/>
      <c r="C4" s="1001"/>
      <c r="D4" s="1001"/>
      <c r="E4" s="1001"/>
      <c r="F4" s="1001"/>
      <c r="G4" s="1001"/>
      <c r="H4" s="1001"/>
      <c r="I4" s="1001"/>
      <c r="J4" s="1001"/>
      <c r="K4" s="11"/>
      <c r="L4" s="11"/>
      <c r="M4" s="11"/>
      <c r="N4" s="11"/>
      <c r="O4" s="11"/>
      <c r="P4" s="11"/>
    </row>
    <row r="5" spans="1:16">
      <c r="A5" s="1001" t="s">
        <v>1415</v>
      </c>
      <c r="B5" s="1001"/>
      <c r="C5" s="1001"/>
      <c r="D5" s="1001"/>
      <c r="E5" s="1001"/>
      <c r="F5" s="1001"/>
      <c r="G5" s="1001"/>
      <c r="H5" s="1001"/>
      <c r="I5" s="1001"/>
      <c r="J5" s="1001"/>
      <c r="K5" s="11"/>
      <c r="L5" s="11"/>
      <c r="M5" s="11"/>
      <c r="N5" s="11"/>
      <c r="O5" s="11"/>
      <c r="P5" s="11"/>
    </row>
    <row r="6" spans="1:16" s="19" customFormat="1">
      <c r="A6" s="12"/>
      <c r="B6" s="12"/>
      <c r="C6" s="12"/>
      <c r="D6" s="12"/>
      <c r="E6" s="12"/>
      <c r="F6" s="12"/>
      <c r="G6" s="12"/>
      <c r="H6" s="12"/>
      <c r="I6" s="12"/>
      <c r="J6" s="12"/>
      <c r="K6" s="18"/>
      <c r="L6" s="18"/>
      <c r="M6" s="18"/>
      <c r="N6" s="18"/>
      <c r="O6" s="18"/>
      <c r="P6" s="18"/>
    </row>
    <row r="7" spans="1:16" s="19" customFormat="1" ht="12" customHeight="1">
      <c r="A7" s="593"/>
      <c r="B7" s="594"/>
      <c r="C7" s="594"/>
      <c r="D7" s="594"/>
      <c r="E7" s="594"/>
      <c r="F7" s="594"/>
      <c r="G7" s="594" t="s">
        <v>357</v>
      </c>
      <c r="H7" s="594"/>
      <c r="I7" s="594" t="s">
        <v>358</v>
      </c>
      <c r="J7" s="594" t="s">
        <v>359</v>
      </c>
      <c r="K7" s="18"/>
      <c r="L7" s="18"/>
      <c r="M7" s="18"/>
      <c r="N7" s="18"/>
      <c r="O7" s="18"/>
      <c r="P7" s="18"/>
    </row>
    <row r="8" spans="1:16" s="19" customFormat="1" ht="12" customHeight="1">
      <c r="A8" s="595" t="s">
        <v>360</v>
      </c>
      <c r="B8" s="596" t="s">
        <v>361</v>
      </c>
      <c r="C8" s="596" t="s">
        <v>362</v>
      </c>
      <c r="D8" s="596" t="s">
        <v>363</v>
      </c>
      <c r="E8" s="596" t="s">
        <v>364</v>
      </c>
      <c r="F8" s="596" t="s">
        <v>365</v>
      </c>
      <c r="G8" s="596" t="s">
        <v>366</v>
      </c>
      <c r="H8" s="596" t="s">
        <v>442</v>
      </c>
      <c r="I8" s="596" t="s">
        <v>367</v>
      </c>
      <c r="J8" s="596" t="s">
        <v>368</v>
      </c>
      <c r="K8" s="18"/>
      <c r="L8" s="18"/>
      <c r="M8" s="18"/>
      <c r="N8" s="18"/>
      <c r="O8" s="18"/>
      <c r="P8" s="18"/>
    </row>
    <row r="9" spans="1:16" ht="12" customHeight="1">
      <c r="A9" s="597"/>
      <c r="B9" s="598" t="s">
        <v>369</v>
      </c>
      <c r="C9" s="598" t="s">
        <v>370</v>
      </c>
      <c r="D9" s="598" t="s">
        <v>371</v>
      </c>
      <c r="E9" s="598" t="s">
        <v>372</v>
      </c>
      <c r="F9" s="598" t="s">
        <v>373</v>
      </c>
      <c r="G9" s="598" t="s">
        <v>374</v>
      </c>
      <c r="H9" s="598" t="s">
        <v>350</v>
      </c>
      <c r="I9" s="598" t="s">
        <v>375</v>
      </c>
      <c r="J9" s="598"/>
      <c r="K9" s="11"/>
      <c r="L9" s="11"/>
      <c r="M9" s="11"/>
      <c r="N9" s="11"/>
      <c r="O9" s="11"/>
      <c r="P9" s="11"/>
    </row>
    <row r="10" spans="1:16" s="19" customFormat="1" ht="18" customHeight="1">
      <c r="A10" s="599" t="s">
        <v>376</v>
      </c>
      <c r="B10" s="600">
        <f t="shared" ref="B10:J10" si="0">SUM(B11,B15)</f>
        <v>57782700</v>
      </c>
      <c r="C10" s="600">
        <f t="shared" si="0"/>
        <v>57782700</v>
      </c>
      <c r="D10" s="600">
        <f>SUM(D11,D15)</f>
        <v>53047580</v>
      </c>
      <c r="E10" s="600">
        <f t="shared" si="0"/>
        <v>44768236.809999995</v>
      </c>
      <c r="F10" s="600">
        <f t="shared" si="0"/>
        <v>0</v>
      </c>
      <c r="G10" s="600">
        <f t="shared" si="0"/>
        <v>44768236.809999995</v>
      </c>
      <c r="H10" s="600">
        <f>SUM(H11,H15)</f>
        <v>44768236.809999995</v>
      </c>
      <c r="I10" s="600">
        <f t="shared" si="0"/>
        <v>8279343.1900000032</v>
      </c>
      <c r="J10" s="600">
        <f t="shared" si="0"/>
        <v>13014463.190000003</v>
      </c>
      <c r="K10" s="13"/>
      <c r="L10" s="18"/>
      <c r="M10" s="18"/>
      <c r="N10" s="18"/>
      <c r="O10" s="18"/>
      <c r="P10" s="18"/>
    </row>
    <row r="11" spans="1:16" s="19" customFormat="1" ht="18" customHeight="1">
      <c r="A11" s="601" t="s">
        <v>377</v>
      </c>
      <c r="B11" s="602">
        <f t="shared" ref="B11:J11" si="1">SUM(B12:B14)</f>
        <v>52782700</v>
      </c>
      <c r="C11" s="602">
        <f t="shared" si="1"/>
        <v>52782700</v>
      </c>
      <c r="D11" s="602">
        <f>SUM(D12:D14)</f>
        <v>48047580</v>
      </c>
      <c r="E11" s="602">
        <f t="shared" si="1"/>
        <v>43072855.309999995</v>
      </c>
      <c r="F11" s="602">
        <f t="shared" si="1"/>
        <v>0</v>
      </c>
      <c r="G11" s="602">
        <f t="shared" si="1"/>
        <v>43072855.309999995</v>
      </c>
      <c r="H11" s="602">
        <f t="shared" si="1"/>
        <v>43072855.309999995</v>
      </c>
      <c r="I11" s="602">
        <f t="shared" si="1"/>
        <v>4974724.6900000032</v>
      </c>
      <c r="J11" s="602">
        <f t="shared" si="1"/>
        <v>9709844.6900000032</v>
      </c>
      <c r="K11" s="13"/>
      <c r="L11" s="18"/>
      <c r="M11" s="18"/>
      <c r="N11" s="18"/>
      <c r="O11" s="18"/>
      <c r="P11" s="18"/>
    </row>
    <row r="12" spans="1:16" s="29" customFormat="1" ht="18" customHeight="1">
      <c r="A12" s="20" t="s">
        <v>1014</v>
      </c>
      <c r="B12" s="603">
        <f>Objeto!C240</f>
        <v>18859900</v>
      </c>
      <c r="C12" s="603">
        <f>Objeto!GR240</f>
        <v>18508527</v>
      </c>
      <c r="D12" s="603">
        <f>Objeto!GS240</f>
        <v>16884327</v>
      </c>
      <c r="E12" s="603">
        <f>Objeto!IF240</f>
        <v>14854078.789999999</v>
      </c>
      <c r="F12" s="603">
        <v>0</v>
      </c>
      <c r="G12" s="603">
        <f>E12+F12</f>
        <v>14854078.789999999</v>
      </c>
      <c r="H12" s="603">
        <f>Objeto!IH240</f>
        <v>14854078.789999999</v>
      </c>
      <c r="I12" s="603">
        <f>D12-E12</f>
        <v>2030248.2100000009</v>
      </c>
      <c r="J12" s="603">
        <f>C12-G12</f>
        <v>3654448.2100000009</v>
      </c>
      <c r="K12" s="13"/>
      <c r="L12" s="11"/>
      <c r="M12" s="11"/>
      <c r="N12" s="11"/>
      <c r="O12" s="11"/>
      <c r="P12" s="11"/>
    </row>
    <row r="13" spans="1:16" s="29" customFormat="1" ht="18" customHeight="1">
      <c r="A13" s="20" t="s">
        <v>1015</v>
      </c>
      <c r="B13" s="603">
        <f>Objeto!C575</f>
        <v>33477500</v>
      </c>
      <c r="C13" s="603">
        <f>Objeto!GR575</f>
        <v>33871814</v>
      </c>
      <c r="D13" s="603">
        <f>Objeto!GS575</f>
        <v>30803507</v>
      </c>
      <c r="E13" s="603">
        <f>Objeto!IF575</f>
        <v>27911592.759999998</v>
      </c>
      <c r="F13" s="603">
        <v>0</v>
      </c>
      <c r="G13" s="603">
        <f>E13+F13</f>
        <v>27911592.759999998</v>
      </c>
      <c r="H13" s="603">
        <f>Objeto!IH575</f>
        <v>27911592.759999998</v>
      </c>
      <c r="I13" s="603">
        <f>D13-E13</f>
        <v>2891914.2400000021</v>
      </c>
      <c r="J13" s="603">
        <f>C13-G13</f>
        <v>5960221.2400000021</v>
      </c>
      <c r="K13" s="13"/>
      <c r="L13" s="11"/>
      <c r="M13" s="11"/>
      <c r="N13" s="11"/>
      <c r="O13" s="11"/>
      <c r="P13" s="11"/>
    </row>
    <row r="14" spans="1:16" ht="18" customHeight="1">
      <c r="A14" s="21" t="s">
        <v>378</v>
      </c>
      <c r="B14" s="603">
        <f>Objeto!C628</f>
        <v>445300</v>
      </c>
      <c r="C14" s="603">
        <f>Objeto!GR628</f>
        <v>402359</v>
      </c>
      <c r="D14" s="603">
        <f>Objeto!GS628</f>
        <v>359746</v>
      </c>
      <c r="E14" s="603">
        <f>Objeto!IF628</f>
        <v>307183.76</v>
      </c>
      <c r="F14" s="603">
        <v>0</v>
      </c>
      <c r="G14" s="603">
        <f>E14+F14</f>
        <v>307183.76</v>
      </c>
      <c r="H14" s="603">
        <f>Objeto!IH628</f>
        <v>307183.76</v>
      </c>
      <c r="I14" s="603">
        <f>D14-E14</f>
        <v>52562.239999999991</v>
      </c>
      <c r="J14" s="603">
        <f>C14-G14</f>
        <v>95175.239999999991</v>
      </c>
      <c r="K14" s="13"/>
      <c r="L14" s="11"/>
      <c r="M14" s="11"/>
      <c r="N14" s="11"/>
      <c r="O14" s="11"/>
      <c r="P14" s="11"/>
    </row>
    <row r="15" spans="1:16" s="19" customFormat="1" ht="18" customHeight="1">
      <c r="A15" s="601" t="s">
        <v>379</v>
      </c>
      <c r="B15" s="602">
        <f>SUM(B16:B18)</f>
        <v>5000000</v>
      </c>
      <c r="C15" s="602">
        <f t="shared" ref="C15:J15" si="2">SUM(C16:C18)</f>
        <v>5000000</v>
      </c>
      <c r="D15" s="602">
        <f>SUM(D16:D18)</f>
        <v>5000000</v>
      </c>
      <c r="E15" s="602">
        <f t="shared" si="2"/>
        <v>1695381.5</v>
      </c>
      <c r="F15" s="602">
        <f t="shared" si="2"/>
        <v>0</v>
      </c>
      <c r="G15" s="602">
        <f t="shared" si="2"/>
        <v>1695381.5</v>
      </c>
      <c r="H15" s="602">
        <f t="shared" si="2"/>
        <v>1695381.5</v>
      </c>
      <c r="I15" s="602">
        <f t="shared" si="2"/>
        <v>3304618.5</v>
      </c>
      <c r="J15" s="602">
        <f t="shared" si="2"/>
        <v>3304618.5</v>
      </c>
      <c r="K15" s="13"/>
      <c r="L15" s="18"/>
      <c r="M15" s="18"/>
      <c r="N15" s="18"/>
      <c r="O15" s="18"/>
      <c r="P15" s="18"/>
    </row>
    <row r="16" spans="1:16" ht="18" customHeight="1">
      <c r="A16" s="274" t="s">
        <v>720</v>
      </c>
      <c r="B16" s="603">
        <f>Objeto!$C$662</f>
        <v>875100</v>
      </c>
      <c r="C16" s="603">
        <f>Objeto!$GR$662</f>
        <v>2039307</v>
      </c>
      <c r="D16" s="603">
        <f>Objeto!GS662</f>
        <v>2039307</v>
      </c>
      <c r="E16" s="603">
        <f>Objeto!IF662</f>
        <v>852644.95000000007</v>
      </c>
      <c r="F16" s="603">
        <v>0</v>
      </c>
      <c r="G16" s="603">
        <f>Objeto!IF662</f>
        <v>852644.95000000007</v>
      </c>
      <c r="H16" s="603">
        <f>Objeto!IH662</f>
        <v>852644.95000000007</v>
      </c>
      <c r="I16" s="603">
        <f>Objeto!JT662</f>
        <v>1186662.0499999998</v>
      </c>
      <c r="J16" s="603">
        <f>C16-G16</f>
        <v>1186662.0499999998</v>
      </c>
      <c r="K16" s="13"/>
      <c r="L16" s="11"/>
      <c r="M16" s="11"/>
      <c r="N16" s="11"/>
      <c r="O16" s="11"/>
      <c r="P16" s="11"/>
    </row>
    <row r="17" spans="1:16" ht="18" customHeight="1">
      <c r="A17" s="274" t="s">
        <v>721</v>
      </c>
      <c r="B17" s="603">
        <f>Objeto!$C$721</f>
        <v>288100</v>
      </c>
      <c r="C17" s="603">
        <f>Objeto!GR721</f>
        <v>677867</v>
      </c>
      <c r="D17" s="603">
        <f>Objeto!GS721</f>
        <v>677867</v>
      </c>
      <c r="E17" s="603">
        <f>Objeto!IF721</f>
        <v>96307.69</v>
      </c>
      <c r="F17" s="603">
        <v>0</v>
      </c>
      <c r="G17" s="603">
        <f>Objeto!IF721</f>
        <v>96307.69</v>
      </c>
      <c r="H17" s="603">
        <f>Objeto!IH721</f>
        <v>96307.69</v>
      </c>
      <c r="I17" s="603">
        <f>Objeto!JT721</f>
        <v>581559.30999999994</v>
      </c>
      <c r="J17" s="603">
        <f>C17-G17</f>
        <v>581559.31000000006</v>
      </c>
      <c r="K17" s="13"/>
      <c r="L17" s="11"/>
      <c r="M17" s="11"/>
      <c r="N17" s="11"/>
      <c r="O17" s="11"/>
      <c r="P17" s="11"/>
    </row>
    <row r="18" spans="1:16" ht="18" customHeight="1">
      <c r="A18" s="274" t="s">
        <v>722</v>
      </c>
      <c r="B18" s="603">
        <f>Objeto!$C$764</f>
        <v>3836800</v>
      </c>
      <c r="C18" s="603">
        <f>Objeto!GR764</f>
        <v>2282826</v>
      </c>
      <c r="D18" s="603">
        <f>Objeto!GS764</f>
        <v>2282826</v>
      </c>
      <c r="E18" s="603">
        <f>Objeto!IF764</f>
        <v>746428.86</v>
      </c>
      <c r="F18" s="603">
        <v>0</v>
      </c>
      <c r="G18" s="603">
        <f>Objeto!IF764</f>
        <v>746428.86</v>
      </c>
      <c r="H18" s="603">
        <f>Objeto!IH764</f>
        <v>746428.86</v>
      </c>
      <c r="I18" s="603">
        <f>Objeto!JT764</f>
        <v>1536397.1400000001</v>
      </c>
      <c r="J18" s="603">
        <f>C18-G18</f>
        <v>1536397.1400000001</v>
      </c>
      <c r="K18" s="13"/>
      <c r="L18" s="11"/>
      <c r="M18" s="11"/>
      <c r="N18" s="11"/>
      <c r="O18" s="11"/>
      <c r="P18" s="11"/>
    </row>
    <row r="19" spans="1:16" ht="18" customHeight="1">
      <c r="A19" s="604"/>
      <c r="B19" s="604"/>
      <c r="C19" s="604"/>
      <c r="D19" s="605"/>
      <c r="E19" s="604"/>
      <c r="F19" s="604"/>
      <c r="G19" s="604"/>
      <c r="H19" s="604"/>
      <c r="I19" s="605"/>
      <c r="J19" s="604"/>
      <c r="K19" s="11"/>
      <c r="L19" s="11"/>
      <c r="M19" s="11"/>
      <c r="N19" s="11"/>
      <c r="O19" s="11"/>
      <c r="P19" s="11"/>
    </row>
    <row r="20" spans="1:16" s="29" customFormat="1" ht="26.25" customHeight="1">
      <c r="A20" s="604"/>
      <c r="B20" s="604"/>
      <c r="C20" s="604"/>
      <c r="D20" s="604"/>
      <c r="E20" s="604"/>
      <c r="F20" s="604"/>
      <c r="G20" s="604"/>
      <c r="H20" s="886"/>
      <c r="I20" s="886"/>
      <c r="J20" s="887"/>
      <c r="K20" s="11"/>
      <c r="L20" s="11"/>
      <c r="M20" s="11"/>
      <c r="N20" s="11"/>
      <c r="O20" s="11"/>
      <c r="P20" s="11"/>
    </row>
    <row r="21" spans="1:16" s="29" customFormat="1">
      <c r="A21" s="2" t="s">
        <v>1020</v>
      </c>
      <c r="B21" s="11"/>
      <c r="C21" s="639"/>
      <c r="D21" s="2" t="s">
        <v>1260</v>
      </c>
      <c r="E21" s="11"/>
      <c r="F21" s="101"/>
      <c r="G21" s="16"/>
      <c r="H21" s="639" t="s">
        <v>1252</v>
      </c>
      <c r="I21" s="101"/>
      <c r="J21" s="101"/>
      <c r="L21" s="11"/>
      <c r="M21" s="11"/>
      <c r="N21" s="11"/>
      <c r="O21" s="11"/>
      <c r="P21" s="11"/>
    </row>
    <row r="22" spans="1:16" s="29" customFormat="1">
      <c r="A22" s="17" t="s">
        <v>1383</v>
      </c>
      <c r="B22" s="11"/>
      <c r="C22" s="17"/>
      <c r="D22" s="17" t="s">
        <v>1258</v>
      </c>
      <c r="E22" s="11"/>
      <c r="F22" s="17"/>
      <c r="G22" s="11"/>
      <c r="H22" s="17" t="s">
        <v>1259</v>
      </c>
      <c r="I22" s="17"/>
      <c r="J22" s="17"/>
      <c r="L22" s="11"/>
      <c r="M22" s="11"/>
      <c r="N22" s="11"/>
      <c r="O22" s="11"/>
      <c r="P22" s="11"/>
    </row>
    <row r="23" spans="1:16" s="29" customFormat="1">
      <c r="A23" s="2" t="s">
        <v>1384</v>
      </c>
      <c r="B23" s="13"/>
      <c r="C23" s="2"/>
      <c r="D23" s="2"/>
      <c r="E23" s="2" t="s">
        <v>1257</v>
      </c>
      <c r="F23" s="15"/>
      <c r="G23" s="11"/>
      <c r="H23" s="2" t="s">
        <v>1369</v>
      </c>
      <c r="I23" s="2"/>
      <c r="J23" s="15"/>
      <c r="L23" s="11"/>
      <c r="M23" s="11"/>
      <c r="N23" s="11"/>
      <c r="O23" s="11"/>
      <c r="P23" s="11"/>
    </row>
    <row r="24" spans="1:16" s="29" customFormat="1">
      <c r="A24" s="607"/>
      <c r="B24" s="604"/>
      <c r="C24" s="604"/>
      <c r="D24" s="2"/>
      <c r="E24" s="606"/>
      <c r="F24" s="607"/>
      <c r="G24" s="607"/>
      <c r="H24" s="607"/>
      <c r="I24" s="606"/>
      <c r="J24" s="607"/>
      <c r="K24" s="11"/>
      <c r="L24" s="11"/>
      <c r="M24" s="11"/>
      <c r="N24" s="11"/>
      <c r="O24" s="11"/>
      <c r="P24" s="11"/>
    </row>
    <row r="25" spans="1:16" s="29" customFormat="1">
      <c r="A25" s="23"/>
      <c r="B25" s="11"/>
      <c r="C25" s="11"/>
      <c r="D25" s="11"/>
      <c r="E25" s="14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1:16" s="29" customFormat="1">
      <c r="A26" s="23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1:16">
      <c r="A27" s="23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1:16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1:16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1:16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1:16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1:16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1:16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1:16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1:16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1:16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1:16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1:16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1:16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1:16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1:16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1:16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1:16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1:16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1:16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1:16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1:16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1:16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1:16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1:16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1:16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1:16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1:16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1:16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1:16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1:16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1:16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1:16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1:16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1:16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1:16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1:16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1:16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1:16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1:16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1:16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1:16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1:16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1:16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1:16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1:16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1:16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1:16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1:16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1:16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1:16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1:16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1:16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1:16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1:16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1:16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1:16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1:16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1:16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1:16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</row>
  </sheetData>
  <mergeCells count="5">
    <mergeCell ref="A5:J5"/>
    <mergeCell ref="A1:J1"/>
    <mergeCell ref="A2:J2"/>
    <mergeCell ref="A3:J3"/>
    <mergeCell ref="A4:J4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scale="75" firstPageNumber="0" orientation="landscape" r:id="rId1"/>
  <headerFooter alignWithMargins="0">
    <oddFooter>&amp;L&amp;D&amp;C&amp;T&amp;R&amp;F</oddFooter>
  </headerFooter>
  <ignoredErrors>
    <ignoredError sqref="J15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J105"/>
  <sheetViews>
    <sheetView zoomScaleNormal="100" workbookViewId="0">
      <pane xSplit="2" ySplit="11" topLeftCell="C56" activePane="bottomRight" state="frozen"/>
      <selection pane="topRight" activeCell="E1" sqref="E1"/>
      <selection pane="bottomLeft" activeCell="A12" sqref="A12"/>
      <selection pane="bottomRight" sqref="A1:AG58"/>
    </sheetView>
  </sheetViews>
  <sheetFormatPr baseColWidth="10" defaultRowHeight="12.75"/>
  <cols>
    <col min="1" max="1" width="10.5703125" style="39" customWidth="1"/>
    <col min="2" max="2" width="33.42578125" style="39" customWidth="1"/>
    <col min="3" max="3" width="16.42578125" style="52" customWidth="1"/>
    <col min="4" max="4" width="15.140625" style="52" customWidth="1"/>
    <col min="5" max="5" width="14.85546875" style="52" customWidth="1"/>
    <col min="6" max="6" width="15.28515625" style="52" customWidth="1"/>
    <col min="7" max="8" width="15.28515625" style="51" hidden="1" customWidth="1"/>
    <col min="9" max="9" width="12.28515625" style="51" hidden="1" customWidth="1"/>
    <col min="10" max="10" width="15.28515625" style="51" hidden="1" customWidth="1"/>
    <col min="11" max="11" width="13.7109375" style="51" hidden="1" customWidth="1"/>
    <col min="12" max="12" width="13.140625" style="51" hidden="1" customWidth="1"/>
    <col min="13" max="14" width="15.28515625" style="51" hidden="1" customWidth="1"/>
    <col min="15" max="15" width="13.140625" style="51" hidden="1" customWidth="1"/>
    <col min="16" max="16" width="15.28515625" style="51" customWidth="1"/>
    <col min="17" max="17" width="14.28515625" style="51" hidden="1" customWidth="1"/>
    <col min="18" max="18" width="13.85546875" style="51" hidden="1" customWidth="1"/>
    <col min="19" max="19" width="14.28515625" style="40" customWidth="1"/>
    <col min="20" max="20" width="16.140625" style="51" hidden="1" customWidth="1"/>
    <col min="21" max="23" width="13.7109375" style="51" hidden="1" customWidth="1"/>
    <col min="24" max="24" width="13.85546875" style="51" hidden="1" customWidth="1"/>
    <col min="25" max="27" width="13.7109375" style="51" hidden="1" customWidth="1"/>
    <col min="28" max="28" width="13" style="51" hidden="1" customWidth="1"/>
    <col min="29" max="29" width="13.7109375" style="51" customWidth="1"/>
    <col min="30" max="30" width="14.5703125" style="51" hidden="1" customWidth="1"/>
    <col min="31" max="31" width="13.7109375" style="51" hidden="1" customWidth="1"/>
    <col min="32" max="32" width="13.42578125" style="52" customWidth="1"/>
    <col min="33" max="33" width="14" style="52" customWidth="1"/>
    <col min="34" max="34" width="7.85546875" style="329" customWidth="1"/>
    <col min="35" max="36" width="13.28515625" style="638" customWidth="1"/>
    <col min="37" max="37" width="12.140625" style="247" bestFit="1" customWidth="1"/>
    <col min="38" max="38" width="12.140625" style="41" customWidth="1"/>
    <col min="39" max="39" width="16.140625" style="260" customWidth="1"/>
    <col min="40" max="40" width="18.28515625" style="260" customWidth="1"/>
    <col min="41" max="62" width="11.42578125" style="249"/>
    <col min="63" max="16384" width="11.42578125" style="39"/>
  </cols>
  <sheetData>
    <row r="1" spans="1:62">
      <c r="A1" s="1006" t="s">
        <v>380</v>
      </c>
      <c r="B1" s="1006"/>
      <c r="C1" s="1006"/>
      <c r="D1" s="1006"/>
      <c r="E1" s="1006"/>
      <c r="F1" s="1006"/>
      <c r="G1" s="1006"/>
      <c r="H1" s="1006"/>
      <c r="I1" s="1006"/>
      <c r="J1" s="1006"/>
      <c r="K1" s="1006"/>
      <c r="L1" s="1006"/>
      <c r="M1" s="1006"/>
      <c r="N1" s="1006"/>
      <c r="O1" s="1006"/>
      <c r="P1" s="1006"/>
      <c r="Q1" s="1006"/>
      <c r="R1" s="1006"/>
      <c r="S1" s="1006"/>
      <c r="T1" s="1006"/>
      <c r="U1" s="1006"/>
      <c r="V1" s="1006"/>
      <c r="W1" s="1006"/>
      <c r="X1" s="1006"/>
      <c r="Y1" s="1006"/>
      <c r="Z1" s="1006"/>
      <c r="AA1" s="1006"/>
      <c r="AB1" s="1006"/>
      <c r="AC1" s="1006"/>
      <c r="AD1" s="1006"/>
      <c r="AE1" s="1006"/>
      <c r="AF1" s="1006"/>
      <c r="AG1" s="1006"/>
      <c r="AH1" s="324"/>
      <c r="AI1" s="631"/>
      <c r="AJ1" s="631"/>
      <c r="AM1" s="252"/>
      <c r="AN1" s="252"/>
    </row>
    <row r="2" spans="1:62">
      <c r="A2" s="1006" t="s">
        <v>381</v>
      </c>
      <c r="B2" s="1006"/>
      <c r="C2" s="1006"/>
      <c r="D2" s="1006"/>
      <c r="E2" s="1006"/>
      <c r="F2" s="1006"/>
      <c r="G2" s="1006"/>
      <c r="H2" s="1006"/>
      <c r="I2" s="1006"/>
      <c r="J2" s="1006"/>
      <c r="K2" s="1006"/>
      <c r="L2" s="1006"/>
      <c r="M2" s="1006"/>
      <c r="N2" s="1006"/>
      <c r="O2" s="1006"/>
      <c r="P2" s="1006"/>
      <c r="Q2" s="1006"/>
      <c r="R2" s="1006"/>
      <c r="S2" s="1006"/>
      <c r="T2" s="1006"/>
      <c r="U2" s="1006"/>
      <c r="V2" s="1006"/>
      <c r="W2" s="1006"/>
      <c r="X2" s="1006"/>
      <c r="Y2" s="1006"/>
      <c r="Z2" s="1006"/>
      <c r="AA2" s="1006"/>
      <c r="AB2" s="1006"/>
      <c r="AC2" s="1006"/>
      <c r="AD2" s="1006"/>
      <c r="AE2" s="1006"/>
      <c r="AF2" s="1006"/>
      <c r="AG2" s="1006"/>
      <c r="AH2" s="324"/>
      <c r="AI2" s="631"/>
      <c r="AJ2" s="631"/>
      <c r="AM2" s="252"/>
      <c r="AN2" s="252"/>
    </row>
    <row r="3" spans="1:62">
      <c r="A3" s="1006" t="s">
        <v>382</v>
      </c>
      <c r="B3" s="1006"/>
      <c r="C3" s="1006"/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6"/>
      <c r="P3" s="1006"/>
      <c r="Q3" s="1006"/>
      <c r="R3" s="1006"/>
      <c r="S3" s="1006"/>
      <c r="T3" s="1006"/>
      <c r="U3" s="1006"/>
      <c r="V3" s="1006"/>
      <c r="W3" s="1006"/>
      <c r="X3" s="1006"/>
      <c r="Y3" s="1006"/>
      <c r="Z3" s="1006"/>
      <c r="AA3" s="1006"/>
      <c r="AB3" s="1006"/>
      <c r="AC3" s="1006"/>
      <c r="AD3" s="1006"/>
      <c r="AE3" s="1006"/>
      <c r="AF3" s="1006"/>
      <c r="AG3" s="1006"/>
      <c r="AH3" s="324"/>
      <c r="AI3" s="631"/>
      <c r="AJ3" s="631"/>
      <c r="AM3" s="252"/>
      <c r="AN3" s="252"/>
    </row>
    <row r="4" spans="1:62">
      <c r="A4" s="1006" t="s">
        <v>383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1006"/>
      <c r="M4" s="1006"/>
      <c r="N4" s="1006"/>
      <c r="O4" s="1006"/>
      <c r="P4" s="1006"/>
      <c r="Q4" s="1006"/>
      <c r="R4" s="1006"/>
      <c r="S4" s="1006"/>
      <c r="T4" s="1006"/>
      <c r="U4" s="1006"/>
      <c r="V4" s="1006"/>
      <c r="W4" s="1006"/>
      <c r="X4" s="1006"/>
      <c r="Y4" s="1006"/>
      <c r="Z4" s="1006"/>
      <c r="AA4" s="1006"/>
      <c r="AB4" s="1006"/>
      <c r="AC4" s="1006"/>
      <c r="AD4" s="1006"/>
      <c r="AE4" s="1006"/>
      <c r="AF4" s="1006"/>
      <c r="AG4" s="1006"/>
      <c r="AH4" s="324"/>
      <c r="AI4" s="631"/>
      <c r="AJ4" s="631"/>
      <c r="AM4" s="252"/>
      <c r="AN4" s="252"/>
    </row>
    <row r="5" spans="1:62">
      <c r="A5" s="1005" t="s">
        <v>1428</v>
      </c>
      <c r="B5" s="1006"/>
      <c r="C5" s="1006"/>
      <c r="D5" s="1006"/>
      <c r="E5" s="1006"/>
      <c r="F5" s="1006"/>
      <c r="G5" s="1006"/>
      <c r="H5" s="1006"/>
      <c r="I5" s="1006"/>
      <c r="J5" s="1006"/>
      <c r="K5" s="1006"/>
      <c r="L5" s="1006"/>
      <c r="M5" s="1006"/>
      <c r="N5" s="1006"/>
      <c r="O5" s="1006"/>
      <c r="P5" s="1006"/>
      <c r="Q5" s="1006"/>
      <c r="R5" s="1006"/>
      <c r="S5" s="1006"/>
      <c r="T5" s="1006"/>
      <c r="U5" s="1006"/>
      <c r="V5" s="1006"/>
      <c r="W5" s="1006"/>
      <c r="X5" s="1006"/>
      <c r="Y5" s="1006"/>
      <c r="Z5" s="1006"/>
      <c r="AA5" s="1006"/>
      <c r="AB5" s="1006"/>
      <c r="AC5" s="1006"/>
      <c r="AD5" s="1006"/>
      <c r="AE5" s="1006"/>
      <c r="AF5" s="1006"/>
      <c r="AG5" s="1006"/>
      <c r="AH5" s="324"/>
      <c r="AI5" s="631"/>
      <c r="AJ5" s="631"/>
      <c r="AM5" s="252"/>
      <c r="AN5" s="252"/>
    </row>
    <row r="6" spans="1:62" ht="13.5" thickBot="1">
      <c r="A6" s="38"/>
      <c r="B6" s="38"/>
      <c r="C6" s="40"/>
      <c r="D6" s="40"/>
      <c r="E6" s="40"/>
      <c r="F6" s="40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0"/>
      <c r="AG6" s="40"/>
      <c r="AH6" s="325"/>
      <c r="AI6" s="632"/>
      <c r="AJ6" s="632"/>
      <c r="AM6" s="265" t="s">
        <v>713</v>
      </c>
      <c r="AN6" s="253"/>
    </row>
    <row r="7" spans="1:62" ht="13.5" thickBot="1">
      <c r="A7" s="1007" t="s">
        <v>384</v>
      </c>
      <c r="B7" s="1007" t="s">
        <v>385</v>
      </c>
      <c r="C7" s="276" t="s">
        <v>386</v>
      </c>
      <c r="D7" s="298" t="s">
        <v>386</v>
      </c>
      <c r="E7" s="299" t="s">
        <v>40</v>
      </c>
      <c r="F7" s="276" t="s">
        <v>40</v>
      </c>
      <c r="G7" s="300" t="s">
        <v>40</v>
      </c>
      <c r="H7" s="300" t="s">
        <v>40</v>
      </c>
      <c r="I7" s="300" t="s">
        <v>40</v>
      </c>
      <c r="J7" s="301" t="s">
        <v>40</v>
      </c>
      <c r="K7" s="301" t="s">
        <v>40</v>
      </c>
      <c r="L7" s="301" t="s">
        <v>40</v>
      </c>
      <c r="M7" s="300" t="s">
        <v>40</v>
      </c>
      <c r="N7" s="301" t="s">
        <v>40</v>
      </c>
      <c r="O7" s="301" t="s">
        <v>40</v>
      </c>
      <c r="P7" s="301" t="s">
        <v>40</v>
      </c>
      <c r="Q7" s="301" t="s">
        <v>40</v>
      </c>
      <c r="R7" s="301" t="s">
        <v>40</v>
      </c>
      <c r="S7" s="276" t="s">
        <v>475</v>
      </c>
      <c r="T7" s="276" t="s">
        <v>475</v>
      </c>
      <c r="U7" s="276" t="s">
        <v>475</v>
      </c>
      <c r="V7" s="276" t="s">
        <v>475</v>
      </c>
      <c r="W7" s="276" t="s">
        <v>475</v>
      </c>
      <c r="X7" s="276" t="s">
        <v>475</v>
      </c>
      <c r="Y7" s="276" t="s">
        <v>475</v>
      </c>
      <c r="Z7" s="276" t="s">
        <v>475</v>
      </c>
      <c r="AA7" s="276" t="s">
        <v>475</v>
      </c>
      <c r="AB7" s="276" t="s">
        <v>475</v>
      </c>
      <c r="AC7" s="276" t="s">
        <v>475</v>
      </c>
      <c r="AD7" s="276" t="s">
        <v>475</v>
      </c>
      <c r="AE7" s="276" t="s">
        <v>475</v>
      </c>
      <c r="AF7" s="276" t="s">
        <v>476</v>
      </c>
      <c r="AG7" s="276" t="s">
        <v>476</v>
      </c>
      <c r="AH7" s="1008" t="s">
        <v>696</v>
      </c>
      <c r="AI7" s="633"/>
      <c r="AJ7" s="633"/>
      <c r="AK7" s="45">
        <f>S10-Objeto!HG10</f>
        <v>0</v>
      </c>
      <c r="AM7" s="264" t="s">
        <v>712</v>
      </c>
      <c r="AN7" s="1003" t="s">
        <v>476</v>
      </c>
    </row>
    <row r="8" spans="1:62" ht="14.25" thickTop="1" thickBot="1">
      <c r="A8" s="1007"/>
      <c r="B8" s="1007"/>
      <c r="C8" s="277" t="s">
        <v>387</v>
      </c>
      <c r="D8" s="302" t="s">
        <v>477</v>
      </c>
      <c r="E8" s="303" t="s">
        <v>477</v>
      </c>
      <c r="F8" s="277" t="s">
        <v>388</v>
      </c>
      <c r="G8" s="304" t="s">
        <v>11</v>
      </c>
      <c r="H8" s="304" t="s">
        <v>12</v>
      </c>
      <c r="I8" s="304" t="s">
        <v>389</v>
      </c>
      <c r="J8" s="305" t="s">
        <v>14</v>
      </c>
      <c r="K8" s="305" t="s">
        <v>15</v>
      </c>
      <c r="L8" s="305" t="s">
        <v>16</v>
      </c>
      <c r="M8" s="304" t="s">
        <v>17</v>
      </c>
      <c r="N8" s="305" t="s">
        <v>18</v>
      </c>
      <c r="O8" s="305" t="s">
        <v>390</v>
      </c>
      <c r="P8" s="305" t="s">
        <v>20</v>
      </c>
      <c r="Q8" s="305" t="s">
        <v>391</v>
      </c>
      <c r="R8" s="305" t="s">
        <v>392</v>
      </c>
      <c r="S8" s="277" t="s">
        <v>388</v>
      </c>
      <c r="T8" s="277" t="s">
        <v>11</v>
      </c>
      <c r="U8" s="277" t="s">
        <v>12</v>
      </c>
      <c r="V8" s="277" t="s">
        <v>478</v>
      </c>
      <c r="W8" s="277" t="s">
        <v>14</v>
      </c>
      <c r="X8" s="277" t="s">
        <v>15</v>
      </c>
      <c r="Y8" s="277" t="s">
        <v>16</v>
      </c>
      <c r="Z8" s="277" t="s">
        <v>17</v>
      </c>
      <c r="AA8" s="277" t="s">
        <v>18</v>
      </c>
      <c r="AB8" s="277" t="s">
        <v>390</v>
      </c>
      <c r="AC8" s="277" t="s">
        <v>20</v>
      </c>
      <c r="AD8" s="277" t="s">
        <v>391</v>
      </c>
      <c r="AE8" s="277" t="s">
        <v>392</v>
      </c>
      <c r="AF8" s="277" t="s">
        <v>679</v>
      </c>
      <c r="AG8" s="277" t="s">
        <v>680</v>
      </c>
      <c r="AH8" s="1009"/>
      <c r="AI8" s="634"/>
      <c r="AJ8" s="634"/>
      <c r="AM8" s="254" t="s">
        <v>388</v>
      </c>
      <c r="AN8" s="1004"/>
    </row>
    <row r="9" spans="1:62" ht="14.25" thickTop="1" thickBot="1">
      <c r="A9" s="306"/>
      <c r="B9" s="306"/>
      <c r="C9" s="278">
        <v>1</v>
      </c>
      <c r="D9" s="278">
        <v>1</v>
      </c>
      <c r="E9" s="278">
        <v>3</v>
      </c>
      <c r="F9" s="278">
        <v>4</v>
      </c>
      <c r="G9" s="307">
        <v>5</v>
      </c>
      <c r="H9" s="307">
        <v>5</v>
      </c>
      <c r="I9" s="307">
        <v>5</v>
      </c>
      <c r="J9" s="308">
        <v>5</v>
      </c>
      <c r="K9" s="308">
        <v>5</v>
      </c>
      <c r="L9" s="308">
        <v>5</v>
      </c>
      <c r="M9" s="308">
        <v>5</v>
      </c>
      <c r="N9" s="308">
        <v>5</v>
      </c>
      <c r="O9" s="308">
        <v>5</v>
      </c>
      <c r="P9" s="308">
        <v>5</v>
      </c>
      <c r="Q9" s="308">
        <v>5</v>
      </c>
      <c r="R9" s="308">
        <v>5</v>
      </c>
      <c r="S9" s="278">
        <v>6</v>
      </c>
      <c r="T9" s="278">
        <v>7</v>
      </c>
      <c r="U9" s="278">
        <v>7</v>
      </c>
      <c r="V9" s="278">
        <v>7</v>
      </c>
      <c r="W9" s="278">
        <v>7</v>
      </c>
      <c r="X9" s="278">
        <v>7</v>
      </c>
      <c r="Y9" s="278">
        <v>7</v>
      </c>
      <c r="Z9" s="278">
        <v>7</v>
      </c>
      <c r="AA9" s="278">
        <v>7</v>
      </c>
      <c r="AB9" s="278">
        <v>7</v>
      </c>
      <c r="AC9" s="278">
        <v>7</v>
      </c>
      <c r="AD9" s="278">
        <v>7</v>
      </c>
      <c r="AE9" s="278">
        <v>7</v>
      </c>
      <c r="AF9" s="278">
        <v>8</v>
      </c>
      <c r="AG9" s="278">
        <v>9</v>
      </c>
      <c r="AH9" s="324"/>
      <c r="AI9" s="631"/>
      <c r="AJ9" s="631"/>
      <c r="AM9" s="255" t="s">
        <v>708</v>
      </c>
      <c r="AN9" s="255"/>
    </row>
    <row r="10" spans="1:62" s="43" customFormat="1" ht="20.25" customHeight="1" thickBot="1">
      <c r="A10" s="309" t="s">
        <v>393</v>
      </c>
      <c r="B10" s="309" t="s">
        <v>394</v>
      </c>
      <c r="C10" s="42">
        <f>SUM(C12)+C48</f>
        <v>57782700</v>
      </c>
      <c r="D10" s="42">
        <f>SUM(D12)+D48</f>
        <v>57782700</v>
      </c>
      <c r="E10" s="42">
        <f t="shared" ref="E10:AG10" si="0">SUM(E12)+E48</f>
        <v>57782700</v>
      </c>
      <c r="F10" s="42">
        <f>SUM(F12)+F48</f>
        <v>52989178</v>
      </c>
      <c r="G10" s="42">
        <f t="shared" si="0"/>
        <v>6032356</v>
      </c>
      <c r="H10" s="42">
        <f t="shared" si="0"/>
        <v>5091854</v>
      </c>
      <c r="I10" s="42">
        <f t="shared" si="0"/>
        <v>4825384</v>
      </c>
      <c r="J10" s="42">
        <f t="shared" si="0"/>
        <v>6260158</v>
      </c>
      <c r="K10" s="42">
        <f t="shared" si="0"/>
        <v>4678784</v>
      </c>
      <c r="L10" s="42">
        <f t="shared" si="0"/>
        <v>4769784</v>
      </c>
      <c r="M10" s="42">
        <f t="shared" si="0"/>
        <v>6145757</v>
      </c>
      <c r="N10" s="42">
        <f t="shared" si="0"/>
        <v>4961626</v>
      </c>
      <c r="O10" s="42">
        <f t="shared" si="0"/>
        <v>4623078</v>
      </c>
      <c r="P10" s="42">
        <f t="shared" si="0"/>
        <v>5600397</v>
      </c>
      <c r="Q10" s="42">
        <f t="shared" si="0"/>
        <v>4793522</v>
      </c>
      <c r="R10" s="42">
        <f t="shared" si="0"/>
        <v>0</v>
      </c>
      <c r="S10" s="42">
        <f>SUM(S12)+S48</f>
        <v>53195861.700000003</v>
      </c>
      <c r="T10" s="42">
        <f t="shared" si="0"/>
        <v>529807.52</v>
      </c>
      <c r="U10" s="42">
        <f t="shared" si="0"/>
        <v>9394971.4100000001</v>
      </c>
      <c r="V10" s="42">
        <f t="shared" si="0"/>
        <v>5842891.2300000004</v>
      </c>
      <c r="W10" s="42">
        <f t="shared" si="0"/>
        <v>6202770.79</v>
      </c>
      <c r="X10" s="42">
        <f t="shared" si="0"/>
        <v>4710095.68</v>
      </c>
      <c r="Y10" s="42">
        <f t="shared" si="0"/>
        <v>4728604.1100000003</v>
      </c>
      <c r="Z10" s="42">
        <f t="shared" si="0"/>
        <v>6053252.46</v>
      </c>
      <c r="AA10" s="42">
        <f t="shared" si="0"/>
        <v>4854671.59</v>
      </c>
      <c r="AB10" s="42">
        <f t="shared" si="0"/>
        <v>5319023.17</v>
      </c>
      <c r="AC10" s="42">
        <f t="shared" si="0"/>
        <v>5559773.7400000002</v>
      </c>
      <c r="AD10" s="42">
        <f t="shared" si="0"/>
        <v>0</v>
      </c>
      <c r="AE10" s="42">
        <f t="shared" si="0"/>
        <v>0</v>
      </c>
      <c r="AF10" s="42">
        <f t="shared" si="0"/>
        <v>40623.259999999995</v>
      </c>
      <c r="AG10" s="42">
        <f t="shared" si="0"/>
        <v>-206683.69999999995</v>
      </c>
      <c r="AH10" s="326">
        <f>S10/F10</f>
        <v>1.0039004888885048</v>
      </c>
      <c r="AI10" s="635"/>
      <c r="AJ10" s="635"/>
      <c r="AK10" s="248">
        <f>S10/F10</f>
        <v>1.0039004888885048</v>
      </c>
      <c r="AL10" s="40"/>
      <c r="AM10" s="256">
        <f>SUM(AM12)+AM50</f>
        <v>18092591.949999999</v>
      </c>
      <c r="AN10" s="256">
        <f>SUM(AN12)+AN50</f>
        <v>-35103269.75</v>
      </c>
      <c r="AO10" s="250"/>
      <c r="AP10" s="250"/>
      <c r="AQ10" s="250"/>
      <c r="AR10" s="250"/>
      <c r="AS10" s="250"/>
      <c r="AT10" s="250"/>
      <c r="AU10" s="250"/>
      <c r="AV10" s="250"/>
      <c r="AW10" s="250"/>
      <c r="AX10" s="250"/>
      <c r="AY10" s="250"/>
      <c r="AZ10" s="250"/>
      <c r="BA10" s="250"/>
      <c r="BB10" s="250"/>
      <c r="BC10" s="250"/>
      <c r="BD10" s="250"/>
      <c r="BE10" s="250"/>
      <c r="BF10" s="250"/>
      <c r="BG10" s="250"/>
      <c r="BH10" s="250"/>
      <c r="BI10" s="250"/>
      <c r="BJ10" s="250"/>
    </row>
    <row r="11" spans="1:62" ht="12" customHeight="1">
      <c r="A11" s="310"/>
      <c r="B11" s="310"/>
      <c r="C11" s="45"/>
      <c r="D11" s="45"/>
      <c r="E11" s="45"/>
      <c r="F11" s="45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45"/>
      <c r="T11" s="311"/>
      <c r="U11" s="311"/>
      <c r="V11" s="311"/>
      <c r="W11" s="311"/>
      <c r="X11" s="311"/>
      <c r="Y11" s="311"/>
      <c r="Z11" s="311"/>
      <c r="AA11" s="311"/>
      <c r="AB11" s="311"/>
      <c r="AC11" s="311"/>
      <c r="AD11" s="311"/>
      <c r="AE11" s="311"/>
      <c r="AF11" s="45"/>
      <c r="AG11" s="45"/>
      <c r="AH11" s="324"/>
      <c r="AI11" s="631"/>
      <c r="AJ11" s="631"/>
      <c r="AM11" s="257"/>
      <c r="AN11" s="257"/>
    </row>
    <row r="12" spans="1:62" s="43" customFormat="1" ht="12" customHeight="1">
      <c r="A12" s="312" t="s">
        <v>395</v>
      </c>
      <c r="B12" s="312" t="s">
        <v>396</v>
      </c>
      <c r="C12" s="45">
        <f>SUM(C13)+C21</f>
        <v>52782700</v>
      </c>
      <c r="D12" s="45">
        <f>SUM(D13)+D21+D44</f>
        <v>52782700</v>
      </c>
      <c r="E12" s="45">
        <f t="shared" ref="E12:AG12" si="1">SUM(E13)+E21+E44</f>
        <v>52782700</v>
      </c>
      <c r="F12" s="45">
        <f t="shared" si="1"/>
        <v>47989178</v>
      </c>
      <c r="G12" s="28">
        <f t="shared" ref="G12:R12" si="2">SUM(G13)+G21+G44</f>
        <v>4996279</v>
      </c>
      <c r="H12" s="28">
        <f t="shared" si="2"/>
        <v>5091854</v>
      </c>
      <c r="I12" s="28">
        <f t="shared" si="2"/>
        <v>4825384</v>
      </c>
      <c r="J12" s="28">
        <f t="shared" si="2"/>
        <v>4800183</v>
      </c>
      <c r="K12" s="28">
        <f t="shared" si="2"/>
        <v>4678784</v>
      </c>
      <c r="L12" s="28">
        <f t="shared" si="2"/>
        <v>4769784</v>
      </c>
      <c r="M12" s="28">
        <f t="shared" si="2"/>
        <v>4677883</v>
      </c>
      <c r="N12" s="28">
        <f t="shared" si="2"/>
        <v>4961626</v>
      </c>
      <c r="O12" s="28">
        <f t="shared" si="2"/>
        <v>4623078</v>
      </c>
      <c r="P12" s="28">
        <f t="shared" si="2"/>
        <v>4564323</v>
      </c>
      <c r="Q12" s="28">
        <f t="shared" si="2"/>
        <v>4793522</v>
      </c>
      <c r="R12" s="28">
        <f t="shared" si="2"/>
        <v>0</v>
      </c>
      <c r="S12" s="45">
        <f>SUM(S13)+S21+S44</f>
        <v>48195861.700000003</v>
      </c>
      <c r="T12" s="45">
        <f t="shared" si="1"/>
        <v>529807.52</v>
      </c>
      <c r="U12" s="45">
        <f>SUM(U13)+U21+U44</f>
        <v>9394971.4100000001</v>
      </c>
      <c r="V12" s="45">
        <f t="shared" si="1"/>
        <v>4806814.2300000004</v>
      </c>
      <c r="W12" s="45">
        <f t="shared" si="1"/>
        <v>4742795.79</v>
      </c>
      <c r="X12" s="45">
        <f t="shared" si="1"/>
        <v>4710095.68</v>
      </c>
      <c r="Y12" s="45">
        <f t="shared" si="1"/>
        <v>4728604.1100000003</v>
      </c>
      <c r="Z12" s="45">
        <f t="shared" si="1"/>
        <v>4585378.46</v>
      </c>
      <c r="AA12" s="45">
        <f t="shared" si="1"/>
        <v>4854671.59</v>
      </c>
      <c r="AB12" s="45">
        <f t="shared" si="1"/>
        <v>5319023.17</v>
      </c>
      <c r="AC12" s="45">
        <f t="shared" si="1"/>
        <v>4523699.74</v>
      </c>
      <c r="AD12" s="45">
        <f t="shared" si="1"/>
        <v>0</v>
      </c>
      <c r="AE12" s="45">
        <f t="shared" si="1"/>
        <v>0</v>
      </c>
      <c r="AF12" s="45">
        <f t="shared" si="1"/>
        <v>40623.259999999995</v>
      </c>
      <c r="AG12" s="45">
        <f t="shared" si="1"/>
        <v>-206683.69999999995</v>
      </c>
      <c r="AH12" s="327">
        <f>S12/F12</f>
        <v>1.0043068814389777</v>
      </c>
      <c r="AI12" s="635"/>
      <c r="AJ12" s="635"/>
      <c r="AK12" s="248"/>
      <c r="AL12" s="40"/>
      <c r="AM12" s="258">
        <f>SUM(AM13)+AM21+AM44</f>
        <v>17194951.949999999</v>
      </c>
      <c r="AN12" s="258">
        <f>SUM(AN13)+AN21+AN44</f>
        <v>-31000909.75</v>
      </c>
      <c r="AO12" s="250"/>
      <c r="AP12" s="250"/>
      <c r="AQ12" s="250"/>
      <c r="AR12" s="250"/>
      <c r="AS12" s="250"/>
      <c r="AT12" s="250"/>
      <c r="AU12" s="250"/>
      <c r="AV12" s="250"/>
      <c r="AW12" s="250"/>
      <c r="AX12" s="250"/>
      <c r="AY12" s="250"/>
      <c r="AZ12" s="250"/>
      <c r="BA12" s="250"/>
      <c r="BB12" s="250"/>
      <c r="BC12" s="250"/>
      <c r="BD12" s="250"/>
      <c r="BE12" s="250"/>
      <c r="BF12" s="250"/>
      <c r="BG12" s="250"/>
      <c r="BH12" s="250"/>
      <c r="BI12" s="250"/>
      <c r="BJ12" s="250"/>
    </row>
    <row r="13" spans="1:62" s="43" customFormat="1" ht="12" customHeight="1">
      <c r="A13" s="312" t="s">
        <v>397</v>
      </c>
      <c r="B13" s="312" t="s">
        <v>398</v>
      </c>
      <c r="C13" s="45">
        <f t="shared" ref="C13:AG13" si="3">SUM(C15)+C27+C38</f>
        <v>4000000</v>
      </c>
      <c r="D13" s="45">
        <f t="shared" si="3"/>
        <v>4000000</v>
      </c>
      <c r="E13" s="45">
        <f>SUM(E15)+E27+E38</f>
        <v>4000000</v>
      </c>
      <c r="F13" s="45">
        <f>SUM(F15)+F27+F38</f>
        <v>3847296</v>
      </c>
      <c r="G13" s="26">
        <f t="shared" ref="G13:R13" si="4">SUM(G15)+G27+G38</f>
        <v>563199</v>
      </c>
      <c r="H13" s="26">
        <f>SUM(H15)+H27+H38</f>
        <v>451034</v>
      </c>
      <c r="I13" s="26">
        <f t="shared" si="4"/>
        <v>492932</v>
      </c>
      <c r="J13" s="26">
        <f t="shared" si="4"/>
        <v>467731</v>
      </c>
      <c r="K13" s="26">
        <f t="shared" si="4"/>
        <v>346332</v>
      </c>
      <c r="L13" s="26">
        <f t="shared" si="4"/>
        <v>337332</v>
      </c>
      <c r="M13" s="26">
        <f t="shared" si="4"/>
        <v>345431</v>
      </c>
      <c r="N13" s="26">
        <f t="shared" si="4"/>
        <v>320808</v>
      </c>
      <c r="O13" s="26">
        <f t="shared" si="4"/>
        <v>290626</v>
      </c>
      <c r="P13" s="26">
        <f t="shared" si="4"/>
        <v>231871</v>
      </c>
      <c r="Q13" s="26">
        <f t="shared" si="4"/>
        <v>152704</v>
      </c>
      <c r="R13" s="26">
        <f t="shared" si="4"/>
        <v>0</v>
      </c>
      <c r="S13" s="45">
        <f>SUM(S15)+S27+S38</f>
        <v>4053979.6999999997</v>
      </c>
      <c r="T13" s="45">
        <f t="shared" si="3"/>
        <v>529807.52</v>
      </c>
      <c r="U13" s="45">
        <f>SUM(U15)+U27+U38</f>
        <v>321071.41000000003</v>
      </c>
      <c r="V13" s="45">
        <f t="shared" si="3"/>
        <v>474362.23</v>
      </c>
      <c r="W13" s="45">
        <f t="shared" si="3"/>
        <v>410343.79000000004</v>
      </c>
      <c r="X13" s="45">
        <f t="shared" si="3"/>
        <v>377643.68</v>
      </c>
      <c r="Y13" s="45">
        <f t="shared" si="3"/>
        <v>296152.11</v>
      </c>
      <c r="Z13" s="45">
        <f t="shared" si="3"/>
        <v>252926.46000000002</v>
      </c>
      <c r="AA13" s="45">
        <f t="shared" si="3"/>
        <v>779319.59</v>
      </c>
      <c r="AB13" s="45">
        <f t="shared" si="3"/>
        <v>421105.17</v>
      </c>
      <c r="AC13" s="45">
        <f t="shared" si="3"/>
        <v>191247.74</v>
      </c>
      <c r="AD13" s="45">
        <f t="shared" si="3"/>
        <v>0</v>
      </c>
      <c r="AE13" s="45">
        <f t="shared" si="3"/>
        <v>0</v>
      </c>
      <c r="AF13" s="45">
        <f>SUM(AF15)+AF27+AF38</f>
        <v>40623.259999999995</v>
      </c>
      <c r="AG13" s="45">
        <f t="shared" si="3"/>
        <v>-206683.69999999995</v>
      </c>
      <c r="AH13" s="327">
        <f>S13/F13</f>
        <v>1.0537218087716671</v>
      </c>
      <c r="AI13" s="635"/>
      <c r="AJ13" s="635"/>
      <c r="AK13" s="248">
        <f>S13/F13</f>
        <v>1.0537218087716671</v>
      </c>
      <c r="AL13" s="40"/>
      <c r="AM13" s="258">
        <f>SUM(AM15)+AM27+AM38</f>
        <v>1684851.95</v>
      </c>
      <c r="AN13" s="258">
        <f>SUM(AN15)+AN27+AN38</f>
        <v>-2369127.75</v>
      </c>
      <c r="AO13" s="250"/>
      <c r="AP13" s="250"/>
      <c r="AQ13" s="250"/>
      <c r="AR13" s="250"/>
      <c r="AS13" s="250"/>
      <c r="AT13" s="250"/>
      <c r="AU13" s="250"/>
      <c r="AV13" s="250"/>
      <c r="AW13" s="250"/>
      <c r="AX13" s="250"/>
      <c r="AY13" s="250"/>
      <c r="AZ13" s="250"/>
      <c r="BA13" s="250"/>
      <c r="BB13" s="250"/>
      <c r="BC13" s="250"/>
      <c r="BD13" s="250"/>
      <c r="BE13" s="250"/>
      <c r="BF13" s="250"/>
      <c r="BG13" s="250"/>
      <c r="BH13" s="250"/>
      <c r="BI13" s="250"/>
      <c r="BJ13" s="250"/>
    </row>
    <row r="14" spans="1:62" ht="12" customHeight="1">
      <c r="A14" s="310"/>
      <c r="B14" s="310"/>
      <c r="C14" s="45"/>
      <c r="D14" s="45"/>
      <c r="E14" s="45"/>
      <c r="F14" s="45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45"/>
      <c r="T14" s="311"/>
      <c r="U14" s="311"/>
      <c r="V14" s="311"/>
      <c r="W14" s="311"/>
      <c r="X14" s="311"/>
      <c r="Y14" s="311"/>
      <c r="Z14" s="311"/>
      <c r="AA14" s="311"/>
      <c r="AB14" s="311"/>
      <c r="AC14" s="311"/>
      <c r="AD14" s="311"/>
      <c r="AE14" s="311"/>
      <c r="AF14" s="45"/>
      <c r="AG14" s="45"/>
      <c r="AH14" s="324"/>
      <c r="AI14" s="631"/>
      <c r="AJ14" s="631"/>
      <c r="AM14" s="257"/>
      <c r="AN14" s="257"/>
    </row>
    <row r="15" spans="1:62" s="43" customFormat="1" ht="12" customHeight="1">
      <c r="A15" s="312" t="s">
        <v>399</v>
      </c>
      <c r="B15" s="312" t="s">
        <v>400</v>
      </c>
      <c r="C15" s="45">
        <f t="shared" ref="C15:AG15" si="5">SUM(C17)</f>
        <v>877500</v>
      </c>
      <c r="D15" s="45">
        <f t="shared" si="5"/>
        <v>877500</v>
      </c>
      <c r="E15" s="45">
        <f t="shared" si="5"/>
        <v>877500</v>
      </c>
      <c r="F15" s="45">
        <f t="shared" si="5"/>
        <v>805300</v>
      </c>
      <c r="G15" s="26">
        <f t="shared" ref="G15:R15" si="6">SUM(G17)</f>
        <v>80530</v>
      </c>
      <c r="H15" s="26">
        <f t="shared" si="6"/>
        <v>80530</v>
      </c>
      <c r="I15" s="26">
        <f t="shared" si="6"/>
        <v>80530</v>
      </c>
      <c r="J15" s="26">
        <f t="shared" si="6"/>
        <v>80530</v>
      </c>
      <c r="K15" s="26">
        <f t="shared" si="6"/>
        <v>80530</v>
      </c>
      <c r="L15" s="26">
        <f t="shared" si="6"/>
        <v>80530</v>
      </c>
      <c r="M15" s="26">
        <f t="shared" si="6"/>
        <v>80530</v>
      </c>
      <c r="N15" s="26">
        <f t="shared" si="6"/>
        <v>80530</v>
      </c>
      <c r="O15" s="26">
        <f t="shared" si="6"/>
        <v>80530</v>
      </c>
      <c r="P15" s="26">
        <f t="shared" si="6"/>
        <v>80530</v>
      </c>
      <c r="Q15" s="26">
        <f t="shared" si="6"/>
        <v>72200</v>
      </c>
      <c r="R15" s="26">
        <f t="shared" si="6"/>
        <v>0</v>
      </c>
      <c r="S15" s="45">
        <f>SUM(S17)</f>
        <v>382196.9</v>
      </c>
      <c r="T15" s="45">
        <f t="shared" si="5"/>
        <v>16734.45</v>
      </c>
      <c r="U15" s="45">
        <f t="shared" si="5"/>
        <v>21774.75</v>
      </c>
      <c r="V15" s="45">
        <f t="shared" si="5"/>
        <v>26777.9</v>
      </c>
      <c r="W15" s="45">
        <f t="shared" si="5"/>
        <v>33614</v>
      </c>
      <c r="X15" s="45">
        <f t="shared" si="5"/>
        <v>50691.5</v>
      </c>
      <c r="Y15" s="45">
        <f t="shared" si="5"/>
        <v>52582.55</v>
      </c>
      <c r="Z15" s="45">
        <f t="shared" si="5"/>
        <v>30847.7</v>
      </c>
      <c r="AA15" s="45">
        <f t="shared" si="5"/>
        <v>58784.95</v>
      </c>
      <c r="AB15" s="45">
        <f t="shared" si="5"/>
        <v>43320.55</v>
      </c>
      <c r="AC15" s="45">
        <f t="shared" si="5"/>
        <v>47068.55</v>
      </c>
      <c r="AD15" s="45">
        <f t="shared" si="5"/>
        <v>0</v>
      </c>
      <c r="AE15" s="45">
        <f t="shared" si="5"/>
        <v>0</v>
      </c>
      <c r="AF15" s="45">
        <f t="shared" si="5"/>
        <v>33461.449999999997</v>
      </c>
      <c r="AG15" s="45">
        <f t="shared" si="5"/>
        <v>423103.1</v>
      </c>
      <c r="AH15" s="327">
        <f>S15/F15</f>
        <v>0.47460188749534338</v>
      </c>
      <c r="AI15" s="635"/>
      <c r="AJ15" s="635"/>
      <c r="AK15" s="248"/>
      <c r="AL15" s="40"/>
      <c r="AM15" s="258">
        <f>SUM(AM17)</f>
        <v>261929.29</v>
      </c>
      <c r="AN15" s="258">
        <f>SUM(AN17)</f>
        <v>-120267.60999999999</v>
      </c>
      <c r="AO15" s="250"/>
      <c r="AP15" s="250"/>
      <c r="AQ15" s="250"/>
      <c r="AR15" s="250"/>
      <c r="AS15" s="250"/>
      <c r="AT15" s="250"/>
      <c r="AU15" s="250"/>
      <c r="AV15" s="250"/>
      <c r="AW15" s="250"/>
      <c r="AX15" s="250"/>
      <c r="AY15" s="250"/>
      <c r="AZ15" s="250"/>
      <c r="BA15" s="250"/>
      <c r="BB15" s="250"/>
      <c r="BC15" s="250"/>
      <c r="BD15" s="250"/>
      <c r="BE15" s="250"/>
      <c r="BF15" s="250"/>
      <c r="BG15" s="250"/>
      <c r="BH15" s="250"/>
      <c r="BI15" s="250"/>
      <c r="BJ15" s="250"/>
    </row>
    <row r="16" spans="1:62" ht="12" customHeight="1">
      <c r="A16" s="310"/>
      <c r="B16" s="310"/>
      <c r="C16" s="45"/>
      <c r="D16" s="45"/>
      <c r="E16" s="45"/>
      <c r="F16" s="45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45"/>
      <c r="T16" s="311"/>
      <c r="U16" s="311"/>
      <c r="V16" s="311"/>
      <c r="W16" s="311"/>
      <c r="X16" s="311"/>
      <c r="Y16" s="311"/>
      <c r="Z16" s="311"/>
      <c r="AA16" s="311"/>
      <c r="AB16" s="311"/>
      <c r="AC16" s="311"/>
      <c r="AD16" s="311"/>
      <c r="AE16" s="311"/>
      <c r="AF16" s="45"/>
      <c r="AG16" s="45"/>
      <c r="AH16" s="324"/>
      <c r="AI16" s="631"/>
      <c r="AJ16" s="631"/>
      <c r="AM16" s="257"/>
      <c r="AN16" s="257"/>
    </row>
    <row r="17" spans="1:62" s="43" customFormat="1" ht="12" customHeight="1">
      <c r="A17" s="312" t="s">
        <v>401</v>
      </c>
      <c r="B17" s="312" t="s">
        <v>402</v>
      </c>
      <c r="C17" s="45">
        <f t="shared" ref="C17:AG17" si="7">SUM(C18:C19)</f>
        <v>877500</v>
      </c>
      <c r="D17" s="45">
        <f t="shared" si="7"/>
        <v>877500</v>
      </c>
      <c r="E17" s="45">
        <f t="shared" si="7"/>
        <v>877500</v>
      </c>
      <c r="F17" s="45">
        <f t="shared" si="7"/>
        <v>805300</v>
      </c>
      <c r="G17" s="26">
        <f t="shared" ref="G17:R17" si="8">SUM(G18:G19)</f>
        <v>80530</v>
      </c>
      <c r="H17" s="26">
        <f t="shared" si="8"/>
        <v>80530</v>
      </c>
      <c r="I17" s="26">
        <f t="shared" si="8"/>
        <v>80530</v>
      </c>
      <c r="J17" s="26">
        <f t="shared" si="8"/>
        <v>80530</v>
      </c>
      <c r="K17" s="26">
        <f t="shared" si="8"/>
        <v>80530</v>
      </c>
      <c r="L17" s="26">
        <f t="shared" si="8"/>
        <v>80530</v>
      </c>
      <c r="M17" s="26">
        <f t="shared" si="8"/>
        <v>80530</v>
      </c>
      <c r="N17" s="26">
        <f t="shared" si="8"/>
        <v>80530</v>
      </c>
      <c r="O17" s="26">
        <f t="shared" si="8"/>
        <v>80530</v>
      </c>
      <c r="P17" s="26">
        <f t="shared" si="8"/>
        <v>80530</v>
      </c>
      <c r="Q17" s="26">
        <f t="shared" si="8"/>
        <v>72200</v>
      </c>
      <c r="R17" s="26">
        <f t="shared" si="8"/>
        <v>0</v>
      </c>
      <c r="S17" s="45">
        <f>SUM(S18:S19)</f>
        <v>382196.9</v>
      </c>
      <c r="T17" s="45">
        <f t="shared" si="7"/>
        <v>16734.45</v>
      </c>
      <c r="U17" s="45">
        <f t="shared" si="7"/>
        <v>21774.75</v>
      </c>
      <c r="V17" s="45">
        <f t="shared" si="7"/>
        <v>26777.9</v>
      </c>
      <c r="W17" s="45">
        <f t="shared" si="7"/>
        <v>33614</v>
      </c>
      <c r="X17" s="45">
        <f t="shared" si="7"/>
        <v>50691.5</v>
      </c>
      <c r="Y17" s="45">
        <f t="shared" si="7"/>
        <v>52582.55</v>
      </c>
      <c r="Z17" s="45">
        <f t="shared" si="7"/>
        <v>30847.7</v>
      </c>
      <c r="AA17" s="45">
        <f t="shared" si="7"/>
        <v>58784.95</v>
      </c>
      <c r="AB17" s="45">
        <f t="shared" si="7"/>
        <v>43320.55</v>
      </c>
      <c r="AC17" s="45">
        <f t="shared" si="7"/>
        <v>47068.55</v>
      </c>
      <c r="AD17" s="45">
        <f t="shared" si="7"/>
        <v>0</v>
      </c>
      <c r="AE17" s="45">
        <f t="shared" si="7"/>
        <v>0</v>
      </c>
      <c r="AF17" s="45">
        <f t="shared" si="7"/>
        <v>33461.449999999997</v>
      </c>
      <c r="AG17" s="45">
        <f t="shared" si="7"/>
        <v>423103.1</v>
      </c>
      <c r="AH17" s="327">
        <f t="shared" ref="AH17:AH42" si="9">S17/F17</f>
        <v>0.47460188749534338</v>
      </c>
      <c r="AI17" s="635"/>
      <c r="AJ17" s="635"/>
      <c r="AK17" s="248"/>
      <c r="AL17" s="40"/>
      <c r="AM17" s="258">
        <f>SUM(AM18:AM19)</f>
        <v>261929.29</v>
      </c>
      <c r="AN17" s="258">
        <f>SUM(AN18:AN19)</f>
        <v>-120267.60999999999</v>
      </c>
      <c r="AO17" s="250"/>
      <c r="AP17" s="250"/>
      <c r="AQ17" s="250"/>
      <c r="AR17" s="250"/>
      <c r="AS17" s="250"/>
      <c r="AT17" s="250"/>
      <c r="AU17" s="250"/>
      <c r="AV17" s="250"/>
      <c r="AW17" s="250"/>
      <c r="AX17" s="250"/>
      <c r="AY17" s="250"/>
      <c r="AZ17" s="250"/>
      <c r="BA17" s="250"/>
      <c r="BB17" s="250"/>
      <c r="BC17" s="250"/>
      <c r="BD17" s="250"/>
      <c r="BE17" s="250"/>
      <c r="BF17" s="250"/>
      <c r="BG17" s="250"/>
      <c r="BH17" s="250"/>
      <c r="BI17" s="250"/>
      <c r="BJ17" s="250"/>
    </row>
    <row r="18" spans="1:62" ht="12" customHeight="1">
      <c r="A18" s="310" t="s">
        <v>403</v>
      </c>
      <c r="B18" s="310" t="s">
        <v>404</v>
      </c>
      <c r="C18" s="313">
        <v>83300</v>
      </c>
      <c r="D18" s="45">
        <f>C18</f>
        <v>83300</v>
      </c>
      <c r="E18" s="45">
        <f>D18</f>
        <v>83300</v>
      </c>
      <c r="F18" s="45">
        <f>SUM(G18:P18)</f>
        <v>83300</v>
      </c>
      <c r="G18" s="314">
        <v>8330</v>
      </c>
      <c r="H18" s="314">
        <v>8330</v>
      </c>
      <c r="I18" s="314">
        <v>8330</v>
      </c>
      <c r="J18" s="314">
        <v>8330</v>
      </c>
      <c r="K18" s="314">
        <v>8330</v>
      </c>
      <c r="L18" s="314">
        <v>8330</v>
      </c>
      <c r="M18" s="314">
        <v>8330</v>
      </c>
      <c r="N18" s="314">
        <v>8330</v>
      </c>
      <c r="O18" s="314">
        <v>8330</v>
      </c>
      <c r="P18" s="314">
        <v>8330</v>
      </c>
      <c r="Q18" s="314">
        <v>0</v>
      </c>
      <c r="R18" s="314">
        <v>0</v>
      </c>
      <c r="S18" s="45">
        <f>SUM(T18:AE18)</f>
        <v>92525.4</v>
      </c>
      <c r="T18" s="311">
        <v>7592.5</v>
      </c>
      <c r="U18" s="311">
        <v>11728.9</v>
      </c>
      <c r="V18" s="311">
        <v>10545</v>
      </c>
      <c r="W18" s="311">
        <v>8112</v>
      </c>
      <c r="X18" s="311">
        <v>5751</v>
      </c>
      <c r="Y18" s="311">
        <v>8844.5</v>
      </c>
      <c r="Z18" s="311">
        <v>6945</v>
      </c>
      <c r="AA18" s="311">
        <v>20234.5</v>
      </c>
      <c r="AB18" s="311">
        <v>6756.5</v>
      </c>
      <c r="AC18" s="311">
        <v>6015.5</v>
      </c>
      <c r="AD18" s="311">
        <v>0</v>
      </c>
      <c r="AE18" s="311">
        <v>0</v>
      </c>
      <c r="AF18" s="45">
        <f>+P18-AC18</f>
        <v>2314.5</v>
      </c>
      <c r="AG18" s="45">
        <f>+F18-S18</f>
        <v>-9225.3999999999942</v>
      </c>
      <c r="AH18" s="327">
        <f t="shared" si="9"/>
        <v>1.1107490996398559</v>
      </c>
      <c r="AI18" s="635"/>
      <c r="AJ18" s="635"/>
      <c r="AL18" s="41">
        <f>E18-S18</f>
        <v>-9225.3999999999942</v>
      </c>
      <c r="AM18" s="257">
        <v>68061</v>
      </c>
      <c r="AN18" s="257">
        <f>AM18-S18</f>
        <v>-24464.399999999994</v>
      </c>
    </row>
    <row r="19" spans="1:62" ht="12" customHeight="1">
      <c r="A19" s="310" t="s">
        <v>405</v>
      </c>
      <c r="B19" s="310" t="s">
        <v>406</v>
      </c>
      <c r="C19" s="313">
        <v>794200</v>
      </c>
      <c r="D19" s="45">
        <f>C19</f>
        <v>794200</v>
      </c>
      <c r="E19" s="45">
        <f>D19</f>
        <v>794200</v>
      </c>
      <c r="F19" s="45">
        <f>SUM(G19:P19)</f>
        <v>722000</v>
      </c>
      <c r="G19" s="314">
        <v>72200</v>
      </c>
      <c r="H19" s="314">
        <v>72200</v>
      </c>
      <c r="I19" s="314">
        <v>72200</v>
      </c>
      <c r="J19" s="314">
        <v>72200</v>
      </c>
      <c r="K19" s="314">
        <v>72200</v>
      </c>
      <c r="L19" s="314">
        <v>72200</v>
      </c>
      <c r="M19" s="314">
        <v>72200</v>
      </c>
      <c r="N19" s="314">
        <v>72200</v>
      </c>
      <c r="O19" s="314">
        <v>72200</v>
      </c>
      <c r="P19" s="314">
        <v>72200</v>
      </c>
      <c r="Q19" s="314">
        <v>72200</v>
      </c>
      <c r="R19" s="314">
        <v>0</v>
      </c>
      <c r="S19" s="45">
        <f>SUM(T19:AE19)</f>
        <v>289671.5</v>
      </c>
      <c r="T19" s="311">
        <v>9141.9500000000007</v>
      </c>
      <c r="U19" s="311">
        <v>10045.85</v>
      </c>
      <c r="V19" s="311">
        <v>16232.9</v>
      </c>
      <c r="W19" s="311">
        <v>25502</v>
      </c>
      <c r="X19" s="311">
        <v>44940.5</v>
      </c>
      <c r="Y19" s="311">
        <v>43738.05</v>
      </c>
      <c r="Z19" s="311">
        <v>23902.7</v>
      </c>
      <c r="AA19" s="311">
        <v>38550.449999999997</v>
      </c>
      <c r="AB19" s="311">
        <v>36564.050000000003</v>
      </c>
      <c r="AC19" s="311">
        <v>41053.050000000003</v>
      </c>
      <c r="AD19" s="311">
        <v>0</v>
      </c>
      <c r="AE19" s="311">
        <v>0</v>
      </c>
      <c r="AF19" s="45">
        <f>+P19-AC19</f>
        <v>31146.949999999997</v>
      </c>
      <c r="AG19" s="45">
        <f>+F19-S19</f>
        <v>432328.5</v>
      </c>
      <c r="AH19" s="327">
        <f t="shared" si="9"/>
        <v>0.40120706371191134</v>
      </c>
      <c r="AI19" s="635"/>
      <c r="AJ19" s="635"/>
      <c r="AL19" s="41">
        <f>E19-S19</f>
        <v>504528.5</v>
      </c>
      <c r="AM19" s="257">
        <v>193868.29</v>
      </c>
      <c r="AN19" s="257">
        <f>AM19-S19</f>
        <v>-95803.209999999992</v>
      </c>
    </row>
    <row r="20" spans="1:62" ht="12" customHeight="1">
      <c r="A20" s="310"/>
      <c r="B20" s="310"/>
      <c r="C20" s="45"/>
      <c r="D20" s="45"/>
      <c r="E20" s="45"/>
      <c r="F20" s="45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45"/>
      <c r="T20" s="311"/>
      <c r="U20" s="311"/>
      <c r="V20" s="311"/>
      <c r="W20" s="311"/>
      <c r="X20" s="311"/>
      <c r="Y20" s="311"/>
      <c r="Z20" s="311"/>
      <c r="AA20" s="311"/>
      <c r="AB20" s="311"/>
      <c r="AC20" s="311"/>
      <c r="AD20" s="311"/>
      <c r="AE20" s="311"/>
      <c r="AF20" s="45"/>
      <c r="AG20" s="45"/>
      <c r="AH20" s="324"/>
      <c r="AI20" s="631"/>
      <c r="AJ20" s="631"/>
      <c r="AM20" s="257"/>
      <c r="AN20" s="257"/>
    </row>
    <row r="21" spans="1:62" s="43" customFormat="1" ht="12" customHeight="1">
      <c r="A21" s="312" t="s">
        <v>407</v>
      </c>
      <c r="B21" s="312" t="s">
        <v>408</v>
      </c>
      <c r="C21" s="45">
        <f>SUM(C23)</f>
        <v>48782700</v>
      </c>
      <c r="D21" s="45">
        <f>SUM(D23)+D25</f>
        <v>48782700</v>
      </c>
      <c r="E21" s="45">
        <f t="shared" ref="E21:AF21" si="10">SUM(E23)+E25</f>
        <v>48782700</v>
      </c>
      <c r="F21" s="45">
        <f t="shared" si="10"/>
        <v>44141882</v>
      </c>
      <c r="G21" s="45">
        <f t="shared" si="10"/>
        <v>4433080</v>
      </c>
      <c r="H21" s="45">
        <f t="shared" si="10"/>
        <v>4640820</v>
      </c>
      <c r="I21" s="45">
        <f t="shared" si="10"/>
        <v>4332452</v>
      </c>
      <c r="J21" s="45">
        <f t="shared" si="10"/>
        <v>4332452</v>
      </c>
      <c r="K21" s="45">
        <f t="shared" si="10"/>
        <v>4332452</v>
      </c>
      <c r="L21" s="45">
        <f t="shared" si="10"/>
        <v>4432452</v>
      </c>
      <c r="M21" s="45">
        <f t="shared" si="10"/>
        <v>4332452</v>
      </c>
      <c r="N21" s="45">
        <f t="shared" si="10"/>
        <v>4640818</v>
      </c>
      <c r="O21" s="45">
        <f t="shared" si="10"/>
        <v>4332452</v>
      </c>
      <c r="P21" s="45">
        <f t="shared" si="10"/>
        <v>4332452</v>
      </c>
      <c r="Q21" s="45">
        <f t="shared" si="10"/>
        <v>4640818</v>
      </c>
      <c r="R21" s="45">
        <f t="shared" si="10"/>
        <v>0</v>
      </c>
      <c r="S21" s="45">
        <f t="shared" si="10"/>
        <v>44141882</v>
      </c>
      <c r="T21" s="45">
        <f t="shared" si="10"/>
        <v>0</v>
      </c>
      <c r="U21" s="45">
        <f t="shared" si="10"/>
        <v>9073900</v>
      </c>
      <c r="V21" s="45">
        <f t="shared" si="10"/>
        <v>4332452</v>
      </c>
      <c r="W21" s="45">
        <f t="shared" si="10"/>
        <v>4332452</v>
      </c>
      <c r="X21" s="45">
        <f>SUM(X23)+X25</f>
        <v>4332452</v>
      </c>
      <c r="Y21" s="45">
        <f t="shared" si="10"/>
        <v>4432452</v>
      </c>
      <c r="Z21" s="45">
        <f t="shared" si="10"/>
        <v>4332452</v>
      </c>
      <c r="AA21" s="45">
        <f t="shared" si="10"/>
        <v>4075352</v>
      </c>
      <c r="AB21" s="45">
        <f t="shared" si="10"/>
        <v>4897918</v>
      </c>
      <c r="AC21" s="45">
        <f t="shared" si="10"/>
        <v>4332452</v>
      </c>
      <c r="AD21" s="45">
        <f t="shared" si="10"/>
        <v>0</v>
      </c>
      <c r="AE21" s="45">
        <f t="shared" si="10"/>
        <v>0</v>
      </c>
      <c r="AF21" s="45">
        <f t="shared" si="10"/>
        <v>0</v>
      </c>
      <c r="AG21" s="45">
        <f>SUM(AG23)+AG25</f>
        <v>0</v>
      </c>
      <c r="AH21" s="327">
        <f t="shared" si="9"/>
        <v>1</v>
      </c>
      <c r="AI21" s="635"/>
      <c r="AJ21" s="635"/>
      <c r="AK21" s="248"/>
      <c r="AL21" s="40"/>
      <c r="AM21" s="258">
        <f>SUM(AM23)</f>
        <v>15510100</v>
      </c>
      <c r="AN21" s="258">
        <f>SUM(AN23)</f>
        <v>-28631782</v>
      </c>
      <c r="AO21" s="250"/>
      <c r="AP21" s="250"/>
      <c r="AQ21" s="250"/>
      <c r="AR21" s="250"/>
      <c r="AS21" s="250"/>
      <c r="AT21" s="250"/>
      <c r="AU21" s="250"/>
      <c r="AV21" s="250"/>
      <c r="AW21" s="250"/>
      <c r="AX21" s="250"/>
      <c r="AY21" s="250"/>
      <c r="AZ21" s="250"/>
      <c r="BA21" s="250"/>
      <c r="BB21" s="250"/>
      <c r="BC21" s="250"/>
      <c r="BD21" s="250"/>
      <c r="BE21" s="250"/>
      <c r="BF21" s="250"/>
      <c r="BG21" s="250"/>
      <c r="BH21" s="250"/>
      <c r="BI21" s="250"/>
      <c r="BJ21" s="250"/>
    </row>
    <row r="22" spans="1:62" ht="12" customHeight="1">
      <c r="A22" s="310"/>
      <c r="B22" s="310"/>
      <c r="C22" s="315"/>
      <c r="D22" s="45"/>
      <c r="E22" s="45"/>
      <c r="F22" s="45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45"/>
      <c r="T22" s="311"/>
      <c r="U22" s="311"/>
      <c r="V22" s="311"/>
      <c r="W22" s="311"/>
      <c r="X22" s="311"/>
      <c r="Y22" s="311"/>
      <c r="Z22" s="311"/>
      <c r="AA22" s="311"/>
      <c r="AB22" s="311"/>
      <c r="AC22" s="311"/>
      <c r="AD22" s="311"/>
      <c r="AE22" s="311"/>
      <c r="AF22" s="45"/>
      <c r="AG22" s="45"/>
      <c r="AH22" s="324"/>
      <c r="AI22" s="631"/>
      <c r="AJ22" s="631"/>
      <c r="AM22" s="257"/>
      <c r="AN22" s="257"/>
    </row>
    <row r="23" spans="1:62" s="43" customFormat="1" ht="12" customHeight="1">
      <c r="A23" s="312" t="s">
        <v>409</v>
      </c>
      <c r="B23" s="312" t="s">
        <v>215</v>
      </c>
      <c r="C23" s="45">
        <f t="shared" ref="C23:AN23" si="11">SUM(C24)</f>
        <v>48782700</v>
      </c>
      <c r="D23" s="45">
        <f t="shared" si="11"/>
        <v>48782700</v>
      </c>
      <c r="E23" s="45">
        <f t="shared" si="11"/>
        <v>48782700</v>
      </c>
      <c r="F23" s="45">
        <f t="shared" si="11"/>
        <v>44141882</v>
      </c>
      <c r="G23" s="26">
        <f t="shared" si="11"/>
        <v>4433080</v>
      </c>
      <c r="H23" s="26">
        <f t="shared" si="11"/>
        <v>4640820</v>
      </c>
      <c r="I23" s="26">
        <f t="shared" si="11"/>
        <v>4332452</v>
      </c>
      <c r="J23" s="26">
        <f t="shared" si="11"/>
        <v>4332452</v>
      </c>
      <c r="K23" s="26">
        <f t="shared" si="11"/>
        <v>4332452</v>
      </c>
      <c r="L23" s="26">
        <f t="shared" si="11"/>
        <v>4432452</v>
      </c>
      <c r="M23" s="26">
        <f t="shared" si="11"/>
        <v>4332452</v>
      </c>
      <c r="N23" s="26">
        <f t="shared" si="11"/>
        <v>4640818</v>
      </c>
      <c r="O23" s="26">
        <f t="shared" si="11"/>
        <v>4332452</v>
      </c>
      <c r="P23" s="26">
        <f t="shared" si="11"/>
        <v>4332452</v>
      </c>
      <c r="Q23" s="26">
        <f t="shared" si="11"/>
        <v>4640818</v>
      </c>
      <c r="R23" s="26">
        <f t="shared" si="11"/>
        <v>0</v>
      </c>
      <c r="S23" s="45">
        <f t="shared" si="11"/>
        <v>44141882</v>
      </c>
      <c r="T23" s="45">
        <f t="shared" si="11"/>
        <v>0</v>
      </c>
      <c r="U23" s="45">
        <f t="shared" si="11"/>
        <v>9073900</v>
      </c>
      <c r="V23" s="45">
        <f t="shared" si="11"/>
        <v>4332452</v>
      </c>
      <c r="W23" s="45">
        <f t="shared" si="11"/>
        <v>4332452</v>
      </c>
      <c r="X23" s="45">
        <f t="shared" si="11"/>
        <v>4332452</v>
      </c>
      <c r="Y23" s="45">
        <f t="shared" si="11"/>
        <v>4432452</v>
      </c>
      <c r="Z23" s="45">
        <f t="shared" si="11"/>
        <v>4332452</v>
      </c>
      <c r="AA23" s="45">
        <f t="shared" si="11"/>
        <v>4075352</v>
      </c>
      <c r="AB23" s="45">
        <f t="shared" si="11"/>
        <v>4897918</v>
      </c>
      <c r="AC23" s="45">
        <f t="shared" si="11"/>
        <v>4332452</v>
      </c>
      <c r="AD23" s="45">
        <f t="shared" si="11"/>
        <v>0</v>
      </c>
      <c r="AE23" s="45">
        <f t="shared" si="11"/>
        <v>0</v>
      </c>
      <c r="AF23" s="45">
        <f>SUM(AF24)</f>
        <v>0</v>
      </c>
      <c r="AG23" s="45">
        <f t="shared" si="11"/>
        <v>0</v>
      </c>
      <c r="AH23" s="327">
        <f t="shared" si="9"/>
        <v>1</v>
      </c>
      <c r="AI23" s="635"/>
      <c r="AJ23" s="635"/>
      <c r="AK23" s="248"/>
      <c r="AL23" s="40"/>
      <c r="AM23" s="258">
        <f t="shared" si="11"/>
        <v>15510100</v>
      </c>
      <c r="AN23" s="258">
        <f t="shared" si="11"/>
        <v>-28631782</v>
      </c>
      <c r="AO23" s="250"/>
      <c r="AP23" s="250"/>
      <c r="AQ23" s="250"/>
      <c r="AR23" s="250"/>
      <c r="AS23" s="250"/>
      <c r="AT23" s="250"/>
      <c r="AU23" s="250"/>
      <c r="AV23" s="250"/>
      <c r="AW23" s="250"/>
      <c r="AX23" s="250"/>
      <c r="AY23" s="250"/>
      <c r="AZ23" s="250"/>
      <c r="BA23" s="250"/>
      <c r="BB23" s="250"/>
      <c r="BC23" s="250"/>
      <c r="BD23" s="250"/>
      <c r="BE23" s="250"/>
      <c r="BF23" s="250"/>
      <c r="BG23" s="250"/>
      <c r="BH23" s="250"/>
      <c r="BI23" s="250"/>
      <c r="BJ23" s="250"/>
    </row>
    <row r="24" spans="1:62" s="43" customFormat="1" ht="12" customHeight="1">
      <c r="A24" s="310" t="s">
        <v>410</v>
      </c>
      <c r="B24" s="310" t="s">
        <v>411</v>
      </c>
      <c r="C24" s="313">
        <v>48782700</v>
      </c>
      <c r="D24" s="45">
        <f>C24</f>
        <v>48782700</v>
      </c>
      <c r="E24" s="45">
        <f>D24</f>
        <v>48782700</v>
      </c>
      <c r="F24" s="45">
        <f>SUM(G24:P24)</f>
        <v>44141882</v>
      </c>
      <c r="G24" s="314">
        <v>4433080</v>
      </c>
      <c r="H24" s="314">
        <v>4640820</v>
      </c>
      <c r="I24" s="314">
        <v>4332452</v>
      </c>
      <c r="J24" s="314">
        <v>4332452</v>
      </c>
      <c r="K24" s="314">
        <v>4332452</v>
      </c>
      <c r="L24" s="314">
        <v>4432452</v>
      </c>
      <c r="M24" s="314">
        <v>4332452</v>
      </c>
      <c r="N24" s="314">
        <v>4640818</v>
      </c>
      <c r="O24" s="314">
        <v>4332452</v>
      </c>
      <c r="P24" s="314">
        <v>4332452</v>
      </c>
      <c r="Q24" s="314">
        <v>4640818</v>
      </c>
      <c r="R24" s="314">
        <v>0</v>
      </c>
      <c r="S24" s="45">
        <f>SUM(T24:AE24)</f>
        <v>44141882</v>
      </c>
      <c r="T24" s="311">
        <v>0</v>
      </c>
      <c r="U24" s="311">
        <v>9073900</v>
      </c>
      <c r="V24" s="311">
        <v>4332452</v>
      </c>
      <c r="W24" s="311">
        <f>565466+2727+3764259</f>
        <v>4332452</v>
      </c>
      <c r="X24" s="311">
        <v>4332452</v>
      </c>
      <c r="Y24" s="311">
        <f>3864259+2727+565466</f>
        <v>4432452</v>
      </c>
      <c r="Z24" s="311">
        <v>4332452</v>
      </c>
      <c r="AA24" s="311">
        <v>4075352</v>
      </c>
      <c r="AB24" s="311">
        <v>4897918</v>
      </c>
      <c r="AC24" s="311">
        <v>4332452</v>
      </c>
      <c r="AD24" s="311">
        <v>0</v>
      </c>
      <c r="AE24" s="311">
        <v>0</v>
      </c>
      <c r="AF24" s="45">
        <f>+P24-AC24</f>
        <v>0</v>
      </c>
      <c r="AG24" s="45">
        <f>+F24-S24</f>
        <v>0</v>
      </c>
      <c r="AH24" s="327">
        <f t="shared" si="9"/>
        <v>1</v>
      </c>
      <c r="AI24" s="635"/>
      <c r="AJ24" s="635"/>
      <c r="AK24" s="248"/>
      <c r="AL24" s="40"/>
      <c r="AM24" s="258">
        <v>15510100</v>
      </c>
      <c r="AN24" s="258">
        <f>AM24-S24</f>
        <v>-28631782</v>
      </c>
      <c r="AO24" s="250"/>
      <c r="AP24" s="250">
        <v>251221</v>
      </c>
      <c r="AQ24" s="250">
        <v>2000</v>
      </c>
      <c r="AR24" s="250">
        <f>AP24+AQ24</f>
        <v>253221</v>
      </c>
      <c r="AS24" s="250"/>
      <c r="AT24" s="250"/>
      <c r="AU24" s="250"/>
      <c r="AV24" s="250"/>
      <c r="AW24" s="250"/>
      <c r="AX24" s="250"/>
      <c r="AY24" s="250"/>
      <c r="AZ24" s="250"/>
      <c r="BA24" s="250"/>
      <c r="BB24" s="250"/>
      <c r="BC24" s="250"/>
      <c r="BD24" s="250"/>
      <c r="BE24" s="250"/>
      <c r="BF24" s="250"/>
      <c r="BG24" s="250"/>
      <c r="BH24" s="250"/>
      <c r="BI24" s="250"/>
      <c r="BJ24" s="250"/>
    </row>
    <row r="25" spans="1:62" s="43" customFormat="1" ht="24.75" customHeight="1">
      <c r="A25" s="312" t="s">
        <v>807</v>
      </c>
      <c r="B25" s="312" t="s">
        <v>808</v>
      </c>
      <c r="C25" s="313">
        <f>C26</f>
        <v>0</v>
      </c>
      <c r="D25" s="313">
        <f t="shared" ref="D25:AG25" si="12">D26</f>
        <v>0</v>
      </c>
      <c r="E25" s="313">
        <f t="shared" si="12"/>
        <v>0</v>
      </c>
      <c r="F25" s="313">
        <f t="shared" si="12"/>
        <v>0</v>
      </c>
      <c r="G25" s="313">
        <f t="shared" si="12"/>
        <v>0</v>
      </c>
      <c r="H25" s="313">
        <f t="shared" si="12"/>
        <v>0</v>
      </c>
      <c r="I25" s="313">
        <f t="shared" si="12"/>
        <v>0</v>
      </c>
      <c r="J25" s="313">
        <f t="shared" si="12"/>
        <v>0</v>
      </c>
      <c r="K25" s="313">
        <f t="shared" si="12"/>
        <v>0</v>
      </c>
      <c r="L25" s="313">
        <f t="shared" si="12"/>
        <v>0</v>
      </c>
      <c r="M25" s="313">
        <f t="shared" si="12"/>
        <v>0</v>
      </c>
      <c r="N25" s="313">
        <f t="shared" si="12"/>
        <v>0</v>
      </c>
      <c r="O25" s="313">
        <f t="shared" si="12"/>
        <v>0</v>
      </c>
      <c r="P25" s="313">
        <f t="shared" si="12"/>
        <v>0</v>
      </c>
      <c r="Q25" s="313">
        <f t="shared" si="12"/>
        <v>0</v>
      </c>
      <c r="R25" s="313">
        <f t="shared" si="12"/>
        <v>0</v>
      </c>
      <c r="S25" s="313">
        <f t="shared" si="12"/>
        <v>0</v>
      </c>
      <c r="T25" s="313">
        <f t="shared" si="12"/>
        <v>0</v>
      </c>
      <c r="U25" s="313">
        <f t="shared" si="12"/>
        <v>0</v>
      </c>
      <c r="V25" s="313">
        <f t="shared" si="12"/>
        <v>0</v>
      </c>
      <c r="W25" s="313">
        <f t="shared" si="12"/>
        <v>0</v>
      </c>
      <c r="X25" s="313">
        <f t="shared" si="12"/>
        <v>0</v>
      </c>
      <c r="Y25" s="313">
        <f t="shared" si="12"/>
        <v>0</v>
      </c>
      <c r="Z25" s="313">
        <f t="shared" si="12"/>
        <v>0</v>
      </c>
      <c r="AA25" s="313">
        <f t="shared" si="12"/>
        <v>0</v>
      </c>
      <c r="AB25" s="313">
        <f t="shared" si="12"/>
        <v>0</v>
      </c>
      <c r="AC25" s="313">
        <f t="shared" si="12"/>
        <v>0</v>
      </c>
      <c r="AD25" s="313">
        <f t="shared" si="12"/>
        <v>0</v>
      </c>
      <c r="AE25" s="313">
        <f t="shared" si="12"/>
        <v>0</v>
      </c>
      <c r="AF25" s="313">
        <f t="shared" si="12"/>
        <v>0</v>
      </c>
      <c r="AG25" s="313">
        <f t="shared" si="12"/>
        <v>0</v>
      </c>
      <c r="AH25" s="697"/>
      <c r="AI25" s="698"/>
      <c r="AJ25" s="698"/>
      <c r="AK25" s="248"/>
      <c r="AL25" s="40"/>
      <c r="AM25" s="258"/>
      <c r="AN25" s="258"/>
      <c r="AO25" s="250"/>
      <c r="AP25" s="699"/>
      <c r="AQ25" s="699"/>
      <c r="AR25" s="261"/>
      <c r="AS25" s="250"/>
      <c r="AT25" s="250"/>
      <c r="AU25" s="250"/>
      <c r="AV25" s="250"/>
      <c r="AW25" s="250"/>
      <c r="AX25" s="250"/>
      <c r="AY25" s="250"/>
      <c r="AZ25" s="250"/>
      <c r="BA25" s="250"/>
      <c r="BB25" s="250"/>
      <c r="BC25" s="250"/>
      <c r="BD25" s="250"/>
      <c r="BE25" s="250"/>
      <c r="BF25" s="250"/>
      <c r="BG25" s="250"/>
      <c r="BH25" s="250"/>
      <c r="BI25" s="250"/>
      <c r="BJ25" s="250"/>
    </row>
    <row r="26" spans="1:62" s="43" customFormat="1" ht="12" customHeight="1">
      <c r="A26" s="310" t="s">
        <v>809</v>
      </c>
      <c r="B26" s="310" t="s">
        <v>810</v>
      </c>
      <c r="C26" s="45">
        <v>0</v>
      </c>
      <c r="D26" s="45">
        <v>0</v>
      </c>
      <c r="E26" s="45">
        <f>D26</f>
        <v>0</v>
      </c>
      <c r="F26" s="45">
        <f>SUM(G26:P26)</f>
        <v>0</v>
      </c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>
        <v>0</v>
      </c>
      <c r="S26" s="45">
        <f>SUM(T26:AE26)</f>
        <v>0</v>
      </c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>
        <v>0</v>
      </c>
      <c r="AF26" s="45">
        <f>+P26-AC26</f>
        <v>0</v>
      </c>
      <c r="AG26" s="45">
        <f>+F26-S26</f>
        <v>0</v>
      </c>
      <c r="AH26" s="327">
        <v>0</v>
      </c>
      <c r="AI26" s="635"/>
      <c r="AJ26" s="635"/>
      <c r="AK26" s="248"/>
      <c r="AL26" s="40"/>
      <c r="AM26" s="258"/>
      <c r="AN26" s="258"/>
      <c r="AO26" s="250"/>
      <c r="AP26" s="250"/>
      <c r="AQ26" s="250"/>
      <c r="AR26" s="250"/>
      <c r="AS26" s="250"/>
      <c r="AT26" s="250"/>
      <c r="AU26" s="250"/>
      <c r="AV26" s="250"/>
      <c r="AW26" s="250"/>
      <c r="AX26" s="250"/>
      <c r="AY26" s="250"/>
      <c r="AZ26" s="250"/>
      <c r="BA26" s="250"/>
      <c r="BB26" s="250"/>
      <c r="BC26" s="250"/>
      <c r="BD26" s="250"/>
      <c r="BE26" s="250"/>
      <c r="BF26" s="250"/>
      <c r="BG26" s="250"/>
      <c r="BH26" s="250"/>
      <c r="BI26" s="250"/>
      <c r="BJ26" s="250"/>
    </row>
    <row r="27" spans="1:62" s="43" customFormat="1" ht="25.5" customHeight="1">
      <c r="A27" s="312" t="s">
        <v>412</v>
      </c>
      <c r="B27" s="312" t="s">
        <v>413</v>
      </c>
      <c r="C27" s="315">
        <f t="shared" ref="C27:AG27" si="13">SUM(C29,C34)</f>
        <v>2828700</v>
      </c>
      <c r="D27" s="315">
        <f t="shared" si="13"/>
        <v>2828700</v>
      </c>
      <c r="E27" s="315">
        <f t="shared" si="13"/>
        <v>2828700</v>
      </c>
      <c r="F27" s="315">
        <f t="shared" si="13"/>
        <v>2748196</v>
      </c>
      <c r="G27" s="315">
        <f t="shared" ref="G27:R27" si="14">SUM(G29,G34)</f>
        <v>453289</v>
      </c>
      <c r="H27" s="315">
        <f t="shared" si="14"/>
        <v>341124</v>
      </c>
      <c r="I27" s="315">
        <f t="shared" si="14"/>
        <v>383022</v>
      </c>
      <c r="J27" s="315">
        <f t="shared" si="14"/>
        <v>357821</v>
      </c>
      <c r="K27" s="315">
        <f t="shared" si="14"/>
        <v>236422</v>
      </c>
      <c r="L27" s="315">
        <f t="shared" si="14"/>
        <v>227422</v>
      </c>
      <c r="M27" s="315">
        <f t="shared" si="14"/>
        <v>235521</v>
      </c>
      <c r="N27" s="315">
        <f t="shared" si="14"/>
        <v>210898</v>
      </c>
      <c r="O27" s="315">
        <f t="shared" si="14"/>
        <v>180716</v>
      </c>
      <c r="P27" s="315">
        <f t="shared" si="14"/>
        <v>121961</v>
      </c>
      <c r="Q27" s="315">
        <f t="shared" si="14"/>
        <v>80504</v>
      </c>
      <c r="R27" s="315">
        <f t="shared" si="14"/>
        <v>0</v>
      </c>
      <c r="S27" s="315">
        <f t="shared" si="13"/>
        <v>2696579.32</v>
      </c>
      <c r="T27" s="315">
        <f t="shared" si="13"/>
        <v>141222.35999999999</v>
      </c>
      <c r="U27" s="315">
        <f t="shared" si="13"/>
        <v>196525.51</v>
      </c>
      <c r="V27" s="315">
        <f t="shared" si="13"/>
        <v>360943.72</v>
      </c>
      <c r="W27" s="315">
        <f t="shared" si="13"/>
        <v>324972.04000000004</v>
      </c>
      <c r="X27" s="315">
        <f t="shared" si="13"/>
        <v>259309.74</v>
      </c>
      <c r="Y27" s="315">
        <f t="shared" si="13"/>
        <v>200270.9</v>
      </c>
      <c r="Z27" s="315">
        <f t="shared" si="13"/>
        <v>197071.44</v>
      </c>
      <c r="AA27" s="315">
        <f t="shared" si="13"/>
        <v>637719.56000000006</v>
      </c>
      <c r="AB27" s="315">
        <f t="shared" si="13"/>
        <v>256865.61</v>
      </c>
      <c r="AC27" s="315">
        <f t="shared" si="13"/>
        <v>121678.44</v>
      </c>
      <c r="AD27" s="315">
        <f t="shared" si="13"/>
        <v>0</v>
      </c>
      <c r="AE27" s="315">
        <f t="shared" si="13"/>
        <v>0</v>
      </c>
      <c r="AF27" s="315">
        <f t="shared" si="13"/>
        <v>282.55999999999767</v>
      </c>
      <c r="AG27" s="315">
        <f t="shared" si="13"/>
        <v>51616.680000000168</v>
      </c>
      <c r="AH27" s="327">
        <f t="shared" si="9"/>
        <v>0.98121797717484482</v>
      </c>
      <c r="AI27" s="635"/>
      <c r="AJ27" s="635"/>
      <c r="AK27" s="108"/>
      <c r="AL27" s="108"/>
      <c r="AM27" s="108">
        <f>SUM(AM29,AM34)</f>
        <v>1136099.3899999999</v>
      </c>
      <c r="AN27" s="108">
        <f>SUM(AN29,AN34)</f>
        <v>-1560479.93</v>
      </c>
      <c r="AO27" s="108"/>
      <c r="AP27" s="108"/>
      <c r="AQ27" s="108"/>
      <c r="AR27" s="108"/>
      <c r="AS27" s="250"/>
      <c r="AT27" s="250"/>
      <c r="AU27" s="250"/>
      <c r="AV27" s="250"/>
      <c r="AW27" s="250"/>
      <c r="AX27" s="250"/>
      <c r="AY27" s="250"/>
      <c r="AZ27" s="250"/>
      <c r="BA27" s="250"/>
      <c r="BB27" s="250"/>
      <c r="BC27" s="250"/>
      <c r="BD27" s="250"/>
      <c r="BE27" s="250"/>
      <c r="BF27" s="250"/>
      <c r="BG27" s="250"/>
      <c r="BH27" s="250"/>
      <c r="BI27" s="250"/>
      <c r="BJ27" s="250"/>
    </row>
    <row r="28" spans="1:62" ht="12" customHeight="1">
      <c r="A28" s="310"/>
      <c r="B28" s="310"/>
      <c r="C28" s="45"/>
      <c r="D28" s="45"/>
      <c r="E28" s="45"/>
      <c r="F28" s="45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45"/>
      <c r="T28" s="311"/>
      <c r="U28" s="311"/>
      <c r="V28" s="311"/>
      <c r="W28" s="311"/>
      <c r="X28" s="311"/>
      <c r="Y28" s="311"/>
      <c r="Z28" s="311"/>
      <c r="AA28" s="311"/>
      <c r="AB28" s="311"/>
      <c r="AC28" s="311"/>
      <c r="AD28" s="311"/>
      <c r="AE28" s="311"/>
      <c r="AF28" s="45"/>
      <c r="AG28" s="45"/>
      <c r="AH28" s="324"/>
      <c r="AI28" s="631"/>
      <c r="AJ28" s="631"/>
      <c r="AM28" s="257"/>
      <c r="AN28" s="257"/>
    </row>
    <row r="29" spans="1:62" s="43" customFormat="1" ht="12" customHeight="1">
      <c r="A29" s="312" t="s">
        <v>414</v>
      </c>
      <c r="B29" s="312" t="s">
        <v>415</v>
      </c>
      <c r="C29" s="315">
        <f t="shared" ref="C29:AG29" si="15">SUM(C30:C32)</f>
        <v>2759500</v>
      </c>
      <c r="D29" s="45">
        <f t="shared" si="15"/>
        <v>2759500</v>
      </c>
      <c r="E29" s="45">
        <f t="shared" si="15"/>
        <v>2759500</v>
      </c>
      <c r="F29" s="45">
        <f t="shared" si="15"/>
        <v>2678996</v>
      </c>
      <c r="G29" s="26">
        <f t="shared" ref="G29:R29" si="16">SUM(G30:G32)</f>
        <v>446369</v>
      </c>
      <c r="H29" s="26">
        <f t="shared" si="16"/>
        <v>334204</v>
      </c>
      <c r="I29" s="26">
        <f t="shared" si="16"/>
        <v>376102</v>
      </c>
      <c r="J29" s="26">
        <f t="shared" si="16"/>
        <v>350901</v>
      </c>
      <c r="K29" s="26">
        <f t="shared" si="16"/>
        <v>229502</v>
      </c>
      <c r="L29" s="26">
        <f t="shared" si="16"/>
        <v>220502</v>
      </c>
      <c r="M29" s="26">
        <f t="shared" si="16"/>
        <v>228601</v>
      </c>
      <c r="N29" s="26">
        <f t="shared" si="16"/>
        <v>203978</v>
      </c>
      <c r="O29" s="26">
        <f t="shared" si="16"/>
        <v>173796</v>
      </c>
      <c r="P29" s="26">
        <f t="shared" si="16"/>
        <v>115041</v>
      </c>
      <c r="Q29" s="26">
        <f t="shared" si="16"/>
        <v>80504</v>
      </c>
      <c r="R29" s="26">
        <f t="shared" si="16"/>
        <v>0</v>
      </c>
      <c r="S29" s="45">
        <f t="shared" si="15"/>
        <v>2594358.3199999998</v>
      </c>
      <c r="T29" s="45">
        <f t="shared" si="15"/>
        <v>133093.35999999999</v>
      </c>
      <c r="U29" s="45">
        <f t="shared" si="15"/>
        <v>185705.51</v>
      </c>
      <c r="V29" s="45">
        <f t="shared" si="15"/>
        <v>346530.72</v>
      </c>
      <c r="W29" s="45">
        <f t="shared" si="15"/>
        <v>313487.04000000004</v>
      </c>
      <c r="X29" s="45">
        <f t="shared" si="15"/>
        <v>251180.74</v>
      </c>
      <c r="Y29" s="45">
        <f t="shared" si="15"/>
        <v>192761.9</v>
      </c>
      <c r="Z29" s="45">
        <f t="shared" si="15"/>
        <v>189208.44</v>
      </c>
      <c r="AA29" s="45">
        <f t="shared" si="15"/>
        <v>623380.56000000006</v>
      </c>
      <c r="AB29" s="45">
        <f t="shared" si="15"/>
        <v>249106.61</v>
      </c>
      <c r="AC29" s="45">
        <f t="shared" si="15"/>
        <v>109903.44</v>
      </c>
      <c r="AD29" s="45">
        <f t="shared" si="15"/>
        <v>0</v>
      </c>
      <c r="AE29" s="45">
        <f t="shared" si="15"/>
        <v>0</v>
      </c>
      <c r="AF29" s="45">
        <f t="shared" si="15"/>
        <v>5137.5599999999977</v>
      </c>
      <c r="AG29" s="45">
        <f t="shared" si="15"/>
        <v>84637.680000000168</v>
      </c>
      <c r="AH29" s="327">
        <f t="shared" si="9"/>
        <v>0.96840694051054943</v>
      </c>
      <c r="AI29" s="635"/>
      <c r="AJ29" s="635"/>
      <c r="AK29" s="248"/>
      <c r="AL29" s="40"/>
      <c r="AM29" s="258">
        <f>SUM(AM30:AM32)</f>
        <v>1076054.8899999999</v>
      </c>
      <c r="AN29" s="258">
        <f>SUM(AN30:AN32)</f>
        <v>-1518303.43</v>
      </c>
      <c r="AO29" s="250"/>
      <c r="AP29" s="250"/>
      <c r="AQ29" s="250"/>
      <c r="AR29" s="250"/>
      <c r="AS29" s="250"/>
      <c r="AT29" s="250"/>
      <c r="AU29" s="250"/>
      <c r="AV29" s="250"/>
      <c r="AW29" s="250"/>
      <c r="AX29" s="250"/>
      <c r="AY29" s="250"/>
      <c r="AZ29" s="250"/>
      <c r="BA29" s="250"/>
      <c r="BB29" s="250"/>
      <c r="BC29" s="250"/>
      <c r="BD29" s="250"/>
      <c r="BE29" s="250"/>
      <c r="BF29" s="250"/>
      <c r="BG29" s="250"/>
      <c r="BH29" s="250"/>
      <c r="BI29" s="250"/>
      <c r="BJ29" s="250"/>
    </row>
    <row r="30" spans="1:62" ht="12" customHeight="1">
      <c r="A30" s="310" t="s">
        <v>416</v>
      </c>
      <c r="B30" s="310" t="s">
        <v>417</v>
      </c>
      <c r="C30" s="313">
        <v>23800</v>
      </c>
      <c r="D30" s="45">
        <f t="shared" ref="D30:E32" si="17">C30</f>
        <v>23800</v>
      </c>
      <c r="E30" s="45">
        <f t="shared" si="17"/>
        <v>23800</v>
      </c>
      <c r="F30" s="45">
        <f t="shared" ref="F30:F32" si="18">SUM(G30:P30)</f>
        <v>23800</v>
      </c>
      <c r="G30" s="314">
        <v>2380</v>
      </c>
      <c r="H30" s="314">
        <v>2380</v>
      </c>
      <c r="I30" s="314">
        <v>2380</v>
      </c>
      <c r="J30" s="314">
        <v>2380</v>
      </c>
      <c r="K30" s="314">
        <v>2380</v>
      </c>
      <c r="L30" s="314">
        <v>2380</v>
      </c>
      <c r="M30" s="314">
        <v>2380</v>
      </c>
      <c r="N30" s="314">
        <v>2380</v>
      </c>
      <c r="O30" s="314">
        <v>2380</v>
      </c>
      <c r="P30" s="314">
        <v>2380</v>
      </c>
      <c r="Q30" s="314">
        <v>0</v>
      </c>
      <c r="R30" s="314">
        <v>0</v>
      </c>
      <c r="S30" s="45">
        <f>SUM(T30:AE30)</f>
        <v>63412</v>
      </c>
      <c r="T30" s="311">
        <v>1967</v>
      </c>
      <c r="U30" s="311">
        <v>1220</v>
      </c>
      <c r="V30" s="311">
        <v>16732</v>
      </c>
      <c r="W30" s="311">
        <v>10926</v>
      </c>
      <c r="X30" s="311">
        <v>3277</v>
      </c>
      <c r="Y30" s="311">
        <v>1374</v>
      </c>
      <c r="Z30" s="311">
        <v>1486</v>
      </c>
      <c r="AA30" s="311">
        <v>19682</v>
      </c>
      <c r="AB30" s="311">
        <v>5478</v>
      </c>
      <c r="AC30" s="311">
        <v>1270</v>
      </c>
      <c r="AD30" s="311">
        <v>0</v>
      </c>
      <c r="AE30" s="311">
        <v>0</v>
      </c>
      <c r="AF30" s="45">
        <f t="shared" ref="AF30:AF32" si="19">+P30-AC30</f>
        <v>1110</v>
      </c>
      <c r="AG30" s="45">
        <f>+F30-S30</f>
        <v>-39612</v>
      </c>
      <c r="AH30" s="327">
        <f t="shared" si="9"/>
        <v>2.6643697478991597</v>
      </c>
      <c r="AI30" s="635"/>
      <c r="AJ30" s="635"/>
      <c r="AL30" s="41">
        <f>E30-S30</f>
        <v>-39612</v>
      </c>
      <c r="AM30" s="257">
        <v>49826</v>
      </c>
      <c r="AN30" s="257">
        <f>AM30-S30</f>
        <v>-13586</v>
      </c>
    </row>
    <row r="31" spans="1:62" ht="12" customHeight="1">
      <c r="A31" s="310" t="s">
        <v>418</v>
      </c>
      <c r="B31" s="310" t="s">
        <v>419</v>
      </c>
      <c r="C31" s="313">
        <v>565900</v>
      </c>
      <c r="D31" s="45">
        <f t="shared" si="17"/>
        <v>565900</v>
      </c>
      <c r="E31" s="45">
        <f t="shared" si="17"/>
        <v>565900</v>
      </c>
      <c r="F31" s="45">
        <f t="shared" si="18"/>
        <v>565900</v>
      </c>
      <c r="G31" s="314">
        <v>56590</v>
      </c>
      <c r="H31" s="314">
        <v>56590</v>
      </c>
      <c r="I31" s="314">
        <v>56590</v>
      </c>
      <c r="J31" s="314">
        <v>56590</v>
      </c>
      <c r="K31" s="314">
        <v>56590</v>
      </c>
      <c r="L31" s="314">
        <v>56590</v>
      </c>
      <c r="M31" s="314">
        <v>56590</v>
      </c>
      <c r="N31" s="314">
        <v>56590</v>
      </c>
      <c r="O31" s="314">
        <v>56590</v>
      </c>
      <c r="P31" s="314">
        <v>56590</v>
      </c>
      <c r="Q31" s="314">
        <v>0</v>
      </c>
      <c r="R31" s="314">
        <v>0</v>
      </c>
      <c r="S31" s="45">
        <f t="shared" ref="S31:S32" si="20">SUM(T31:AE31)</f>
        <v>611596</v>
      </c>
      <c r="T31" s="311">
        <v>18643.5</v>
      </c>
      <c r="U31" s="311">
        <v>18255</v>
      </c>
      <c r="V31" s="311">
        <v>147587.5</v>
      </c>
      <c r="W31" s="311">
        <v>101520</v>
      </c>
      <c r="X31" s="311">
        <v>40357.5</v>
      </c>
      <c r="Y31" s="311">
        <v>19585</v>
      </c>
      <c r="Z31" s="311">
        <v>17235</v>
      </c>
      <c r="AA31" s="311">
        <v>172927.5</v>
      </c>
      <c r="AB31" s="311">
        <v>58892.5</v>
      </c>
      <c r="AC31" s="311">
        <v>16592.5</v>
      </c>
      <c r="AD31" s="311">
        <v>0</v>
      </c>
      <c r="AE31" s="311">
        <v>0</v>
      </c>
      <c r="AF31" s="45">
        <f t="shared" si="19"/>
        <v>39997.5</v>
      </c>
      <c r="AG31" s="45">
        <f>+F31-S31</f>
        <v>-45696</v>
      </c>
      <c r="AH31" s="327">
        <v>0</v>
      </c>
      <c r="AI31" s="635"/>
      <c r="AJ31" s="635"/>
      <c r="AL31" s="41">
        <f>E31-S31</f>
        <v>-45696</v>
      </c>
      <c r="AM31" s="257">
        <v>405156.3</v>
      </c>
      <c r="AN31" s="257">
        <f>AM31-S31</f>
        <v>-206439.7</v>
      </c>
    </row>
    <row r="32" spans="1:62" ht="12" customHeight="1">
      <c r="A32" s="310" t="s">
        <v>420</v>
      </c>
      <c r="B32" s="310" t="s">
        <v>421</v>
      </c>
      <c r="C32" s="313">
        <v>2169800</v>
      </c>
      <c r="D32" s="45">
        <f t="shared" si="17"/>
        <v>2169800</v>
      </c>
      <c r="E32" s="45">
        <f t="shared" si="17"/>
        <v>2169800</v>
      </c>
      <c r="F32" s="45">
        <f t="shared" si="18"/>
        <v>2089296</v>
      </c>
      <c r="G32" s="314">
        <v>387399</v>
      </c>
      <c r="H32" s="314">
        <v>275234</v>
      </c>
      <c r="I32" s="314">
        <v>317132</v>
      </c>
      <c r="J32" s="314">
        <v>291931</v>
      </c>
      <c r="K32" s="314">
        <v>170532</v>
      </c>
      <c r="L32" s="314">
        <v>161532</v>
      </c>
      <c r="M32" s="314">
        <v>169631</v>
      </c>
      <c r="N32" s="314">
        <v>145008</v>
      </c>
      <c r="O32" s="314">
        <v>114826</v>
      </c>
      <c r="P32" s="314">
        <v>56071</v>
      </c>
      <c r="Q32" s="314">
        <v>80504</v>
      </c>
      <c r="R32" s="314">
        <v>0</v>
      </c>
      <c r="S32" s="45">
        <f t="shared" si="20"/>
        <v>1919350.3199999998</v>
      </c>
      <c r="T32" s="311">
        <v>112482.86</v>
      </c>
      <c r="U32" s="311">
        <v>166230.51</v>
      </c>
      <c r="V32" s="311">
        <v>182211.22</v>
      </c>
      <c r="W32" s="311">
        <v>201041.04</v>
      </c>
      <c r="X32" s="311">
        <v>207546.23999999999</v>
      </c>
      <c r="Y32" s="311">
        <v>171802.9</v>
      </c>
      <c r="Z32" s="311">
        <v>170487.44</v>
      </c>
      <c r="AA32" s="311">
        <v>430771.06</v>
      </c>
      <c r="AB32" s="311">
        <v>184736.11</v>
      </c>
      <c r="AC32" s="311">
        <v>92040.94</v>
      </c>
      <c r="AD32" s="311">
        <v>0</v>
      </c>
      <c r="AE32" s="311">
        <v>0</v>
      </c>
      <c r="AF32" s="45">
        <f t="shared" si="19"/>
        <v>-35969.94</v>
      </c>
      <c r="AG32" s="45">
        <f>+F32-S32</f>
        <v>169945.68000000017</v>
      </c>
      <c r="AH32" s="327">
        <f t="shared" si="9"/>
        <v>0.91865887839731653</v>
      </c>
      <c r="AI32" s="635"/>
      <c r="AJ32" s="635"/>
      <c r="AL32" s="41">
        <f>E32-S32</f>
        <v>250449.68000000017</v>
      </c>
      <c r="AM32" s="257">
        <v>621072.59</v>
      </c>
      <c r="AN32" s="257">
        <f>AM32-S32</f>
        <v>-1298277.73</v>
      </c>
    </row>
    <row r="33" spans="1:62" ht="12" customHeight="1">
      <c r="A33" s="310"/>
      <c r="B33" s="310"/>
      <c r="C33" s="45"/>
      <c r="D33" s="45"/>
      <c r="E33" s="45"/>
      <c r="F33" s="45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45"/>
      <c r="T33" s="311"/>
      <c r="U33" s="311"/>
      <c r="V33" s="311"/>
      <c r="W33" s="311"/>
      <c r="X33" s="311"/>
      <c r="Y33" s="311"/>
      <c r="Z33" s="311"/>
      <c r="AA33" s="311"/>
      <c r="AB33" s="311"/>
      <c r="AC33" s="311"/>
      <c r="AD33" s="311"/>
      <c r="AE33" s="311"/>
      <c r="AF33" s="45"/>
      <c r="AG33" s="45"/>
      <c r="AH33" s="324"/>
      <c r="AI33" s="631"/>
      <c r="AJ33" s="631"/>
      <c r="AM33" s="257"/>
      <c r="AN33" s="257"/>
    </row>
    <row r="34" spans="1:62" s="43" customFormat="1" ht="12" customHeight="1">
      <c r="A34" s="312" t="s">
        <v>422</v>
      </c>
      <c r="B34" s="312" t="s">
        <v>423</v>
      </c>
      <c r="C34" s="315">
        <f t="shared" ref="C34:AG34" si="21">SUM(C35:C36)</f>
        <v>69200</v>
      </c>
      <c r="D34" s="45">
        <f t="shared" si="21"/>
        <v>69200</v>
      </c>
      <c r="E34" s="45">
        <f t="shared" si="21"/>
        <v>69200</v>
      </c>
      <c r="F34" s="45">
        <f t="shared" si="21"/>
        <v>69200</v>
      </c>
      <c r="G34" s="26">
        <f t="shared" ref="G34:R34" si="22">SUM(G35:G36)</f>
        <v>6920</v>
      </c>
      <c r="H34" s="26">
        <f t="shared" si="22"/>
        <v>6920</v>
      </c>
      <c r="I34" s="26">
        <f t="shared" si="22"/>
        <v>6920</v>
      </c>
      <c r="J34" s="26">
        <f t="shared" si="22"/>
        <v>6920</v>
      </c>
      <c r="K34" s="26">
        <f t="shared" si="22"/>
        <v>6920</v>
      </c>
      <c r="L34" s="26">
        <f t="shared" si="22"/>
        <v>6920</v>
      </c>
      <c r="M34" s="26">
        <f t="shared" si="22"/>
        <v>6920</v>
      </c>
      <c r="N34" s="26">
        <f t="shared" si="22"/>
        <v>6920</v>
      </c>
      <c r="O34" s="26">
        <f t="shared" si="22"/>
        <v>6920</v>
      </c>
      <c r="P34" s="26">
        <f t="shared" si="22"/>
        <v>6920</v>
      </c>
      <c r="Q34" s="26">
        <f t="shared" si="22"/>
        <v>0</v>
      </c>
      <c r="R34" s="26">
        <f t="shared" si="22"/>
        <v>0</v>
      </c>
      <c r="S34" s="45">
        <f t="shared" si="21"/>
        <v>102221</v>
      </c>
      <c r="T34" s="45">
        <f t="shared" si="21"/>
        <v>8129</v>
      </c>
      <c r="U34" s="45">
        <f t="shared" si="21"/>
        <v>10820</v>
      </c>
      <c r="V34" s="45">
        <f t="shared" si="21"/>
        <v>14413</v>
      </c>
      <c r="W34" s="45">
        <f t="shared" si="21"/>
        <v>11485</v>
      </c>
      <c r="X34" s="45">
        <f t="shared" si="21"/>
        <v>8129</v>
      </c>
      <c r="Y34" s="45">
        <f t="shared" si="21"/>
        <v>7509</v>
      </c>
      <c r="Z34" s="45">
        <f t="shared" si="21"/>
        <v>7863</v>
      </c>
      <c r="AA34" s="45">
        <f t="shared" si="21"/>
        <v>14339</v>
      </c>
      <c r="AB34" s="45">
        <f t="shared" si="21"/>
        <v>7759</v>
      </c>
      <c r="AC34" s="45">
        <f t="shared" si="21"/>
        <v>11775</v>
      </c>
      <c r="AD34" s="45">
        <f t="shared" si="21"/>
        <v>0</v>
      </c>
      <c r="AE34" s="45">
        <f t="shared" si="21"/>
        <v>0</v>
      </c>
      <c r="AF34" s="45">
        <f t="shared" si="21"/>
        <v>-4855</v>
      </c>
      <c r="AG34" s="45">
        <f t="shared" si="21"/>
        <v>-33021</v>
      </c>
      <c r="AH34" s="327">
        <f t="shared" si="9"/>
        <v>1.4771820809248555</v>
      </c>
      <c r="AI34" s="635"/>
      <c r="AJ34" s="635"/>
      <c r="AK34" s="248"/>
      <c r="AL34" s="40"/>
      <c r="AM34" s="258">
        <f>SUM(AM35:AM36)</f>
        <v>60044.5</v>
      </c>
      <c r="AN34" s="258">
        <f>SUM(AN35:AN36)</f>
        <v>-42176.5</v>
      </c>
      <c r="AO34" s="250"/>
      <c r="AP34" s="250"/>
      <c r="AQ34" s="250"/>
      <c r="AR34" s="250"/>
      <c r="AS34" s="250"/>
      <c r="AT34" s="250"/>
      <c r="AU34" s="250"/>
      <c r="AV34" s="250"/>
      <c r="AW34" s="250"/>
      <c r="AX34" s="250"/>
      <c r="AY34" s="250"/>
      <c r="AZ34" s="250"/>
      <c r="BA34" s="250"/>
      <c r="BB34" s="250"/>
      <c r="BC34" s="250"/>
      <c r="BD34" s="250"/>
      <c r="BE34" s="250"/>
      <c r="BF34" s="250"/>
      <c r="BG34" s="250"/>
      <c r="BH34" s="250"/>
      <c r="BI34" s="250"/>
      <c r="BJ34" s="250"/>
    </row>
    <row r="35" spans="1:62" ht="12" customHeight="1">
      <c r="A35" s="310" t="s">
        <v>424</v>
      </c>
      <c r="B35" s="310" t="s">
        <v>425</v>
      </c>
      <c r="C35" s="313">
        <v>11300</v>
      </c>
      <c r="D35" s="45">
        <f>C35</f>
        <v>11300</v>
      </c>
      <c r="E35" s="45">
        <f>D35</f>
        <v>11300</v>
      </c>
      <c r="F35" s="45">
        <f t="shared" ref="F35:F36" si="23">SUM(G35:P35)</f>
        <v>11300</v>
      </c>
      <c r="G35" s="314">
        <v>1130</v>
      </c>
      <c r="H35" s="314">
        <v>1130</v>
      </c>
      <c r="I35" s="314">
        <v>1130</v>
      </c>
      <c r="J35" s="314">
        <v>1130</v>
      </c>
      <c r="K35" s="314">
        <v>1130</v>
      </c>
      <c r="L35" s="314">
        <v>1130</v>
      </c>
      <c r="M35" s="314">
        <v>1130</v>
      </c>
      <c r="N35" s="314">
        <v>1130</v>
      </c>
      <c r="O35" s="314">
        <v>1130</v>
      </c>
      <c r="P35" s="314">
        <v>1130</v>
      </c>
      <c r="Q35" s="314">
        <v>0</v>
      </c>
      <c r="R35" s="314">
        <v>0</v>
      </c>
      <c r="S35" s="45">
        <f t="shared" ref="S35:S36" si="24">SUM(T35:AE35)</f>
        <v>14506</v>
      </c>
      <c r="T35" s="311">
        <v>629</v>
      </c>
      <c r="U35" s="311">
        <v>470</v>
      </c>
      <c r="V35" s="311">
        <v>6223</v>
      </c>
      <c r="W35" s="311">
        <v>4605</v>
      </c>
      <c r="X35" s="311">
        <v>1159</v>
      </c>
      <c r="Y35" s="311">
        <v>364</v>
      </c>
      <c r="Z35" s="311">
        <v>198</v>
      </c>
      <c r="AA35" s="311">
        <v>559</v>
      </c>
      <c r="AB35" s="311">
        <v>214</v>
      </c>
      <c r="AC35" s="311">
        <v>85</v>
      </c>
      <c r="AD35" s="311">
        <v>0</v>
      </c>
      <c r="AE35" s="311">
        <v>0</v>
      </c>
      <c r="AF35" s="45">
        <f t="shared" ref="AF35:AF36" si="25">+P35-AC35</f>
        <v>1045</v>
      </c>
      <c r="AG35" s="45">
        <f>+F35-S35</f>
        <v>-3206</v>
      </c>
      <c r="AH35" s="327">
        <f t="shared" si="9"/>
        <v>1.2837168141592921</v>
      </c>
      <c r="AI35" s="635"/>
      <c r="AJ35" s="635"/>
      <c r="AL35" s="41">
        <f>E35-S35</f>
        <v>-3206</v>
      </c>
      <c r="AM35" s="257">
        <v>10715</v>
      </c>
      <c r="AN35" s="257">
        <f>AM35-S35</f>
        <v>-3791</v>
      </c>
    </row>
    <row r="36" spans="1:62" ht="12" customHeight="1">
      <c r="A36" s="310" t="s">
        <v>426</v>
      </c>
      <c r="B36" s="310" t="s">
        <v>427</v>
      </c>
      <c r="C36" s="313">
        <v>57900</v>
      </c>
      <c r="D36" s="45">
        <f>C36</f>
        <v>57900</v>
      </c>
      <c r="E36" s="45">
        <f>D36</f>
        <v>57900</v>
      </c>
      <c r="F36" s="45">
        <f t="shared" si="23"/>
        <v>57900</v>
      </c>
      <c r="G36" s="314">
        <v>5790</v>
      </c>
      <c r="H36" s="314">
        <v>5790</v>
      </c>
      <c r="I36" s="314">
        <v>5790</v>
      </c>
      <c r="J36" s="314">
        <v>5790</v>
      </c>
      <c r="K36" s="314">
        <v>5790</v>
      </c>
      <c r="L36" s="314">
        <v>5790</v>
      </c>
      <c r="M36" s="314">
        <v>5790</v>
      </c>
      <c r="N36" s="314">
        <v>5790</v>
      </c>
      <c r="O36" s="314">
        <v>5790</v>
      </c>
      <c r="P36" s="314">
        <v>5790</v>
      </c>
      <c r="Q36" s="314">
        <v>0</v>
      </c>
      <c r="R36" s="314">
        <v>0</v>
      </c>
      <c r="S36" s="45">
        <f t="shared" si="24"/>
        <v>87715</v>
      </c>
      <c r="T36" s="311">
        <v>7500</v>
      </c>
      <c r="U36" s="311">
        <v>10350</v>
      </c>
      <c r="V36" s="311">
        <v>8190</v>
      </c>
      <c r="W36" s="311">
        <v>6880</v>
      </c>
      <c r="X36" s="311">
        <v>6970</v>
      </c>
      <c r="Y36" s="311">
        <v>7145</v>
      </c>
      <c r="Z36" s="311">
        <v>7665</v>
      </c>
      <c r="AA36" s="311">
        <v>13780</v>
      </c>
      <c r="AB36" s="311">
        <v>7545</v>
      </c>
      <c r="AC36" s="311">
        <v>11690</v>
      </c>
      <c r="AD36" s="311">
        <v>0</v>
      </c>
      <c r="AE36" s="311">
        <v>0</v>
      </c>
      <c r="AF36" s="45">
        <f t="shared" si="25"/>
        <v>-5900</v>
      </c>
      <c r="AG36" s="45">
        <f>+F36-S36</f>
        <v>-29815</v>
      </c>
      <c r="AH36" s="327">
        <f t="shared" si="9"/>
        <v>1.5149395509499137</v>
      </c>
      <c r="AI36" s="635"/>
      <c r="AJ36" s="635"/>
      <c r="AL36" s="41">
        <f>E36-S36</f>
        <v>-29815</v>
      </c>
      <c r="AM36" s="257">
        <v>49329.5</v>
      </c>
      <c r="AN36" s="257">
        <f>AM36-S36</f>
        <v>-38385.5</v>
      </c>
    </row>
    <row r="37" spans="1:62" ht="12" customHeight="1">
      <c r="A37" s="310"/>
      <c r="B37" s="310"/>
      <c r="C37" s="45"/>
      <c r="D37" s="45"/>
      <c r="E37" s="45"/>
      <c r="F37" s="45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45"/>
      <c r="T37" s="311"/>
      <c r="U37" s="311"/>
      <c r="V37" s="311"/>
      <c r="W37" s="311"/>
      <c r="X37" s="311"/>
      <c r="Y37" s="311"/>
      <c r="Z37" s="311"/>
      <c r="AA37" s="311"/>
      <c r="AB37" s="311"/>
      <c r="AC37" s="311"/>
      <c r="AD37" s="311"/>
      <c r="AE37" s="311"/>
      <c r="AF37" s="45"/>
      <c r="AG37" s="45"/>
      <c r="AH37" s="324"/>
      <c r="AI37" s="631"/>
      <c r="AJ37" s="631"/>
      <c r="AM37" s="257"/>
      <c r="AN37" s="257"/>
    </row>
    <row r="38" spans="1:62" s="43" customFormat="1" ht="12" customHeight="1">
      <c r="A38" s="312" t="s">
        <v>428</v>
      </c>
      <c r="B38" s="312" t="s">
        <v>429</v>
      </c>
      <c r="C38" s="45">
        <f t="shared" ref="C38:AG38" si="26">SUM(C40)</f>
        <v>293800</v>
      </c>
      <c r="D38" s="45">
        <f t="shared" si="26"/>
        <v>293800</v>
      </c>
      <c r="E38" s="45">
        <f t="shared" si="26"/>
        <v>293800</v>
      </c>
      <c r="F38" s="45">
        <f t="shared" si="26"/>
        <v>293800</v>
      </c>
      <c r="G38" s="26">
        <f t="shared" ref="G38:R38" si="27">SUM(G40)</f>
        <v>29380</v>
      </c>
      <c r="H38" s="26">
        <f t="shared" si="27"/>
        <v>29380</v>
      </c>
      <c r="I38" s="26">
        <f t="shared" si="27"/>
        <v>29380</v>
      </c>
      <c r="J38" s="26">
        <f t="shared" si="27"/>
        <v>29380</v>
      </c>
      <c r="K38" s="26">
        <f t="shared" si="27"/>
        <v>29380</v>
      </c>
      <c r="L38" s="26">
        <f t="shared" si="27"/>
        <v>29380</v>
      </c>
      <c r="M38" s="26">
        <f t="shared" si="27"/>
        <v>29380</v>
      </c>
      <c r="N38" s="26">
        <f t="shared" si="27"/>
        <v>29380</v>
      </c>
      <c r="O38" s="26">
        <f t="shared" si="27"/>
        <v>29380</v>
      </c>
      <c r="P38" s="26">
        <f t="shared" si="27"/>
        <v>29380</v>
      </c>
      <c r="Q38" s="26">
        <f t="shared" si="27"/>
        <v>0</v>
      </c>
      <c r="R38" s="26">
        <f t="shared" si="27"/>
        <v>0</v>
      </c>
      <c r="S38" s="45">
        <f t="shared" si="26"/>
        <v>975203.4800000001</v>
      </c>
      <c r="T38" s="45">
        <f t="shared" si="26"/>
        <v>371850.71</v>
      </c>
      <c r="U38" s="45">
        <f t="shared" si="26"/>
        <v>102771.15</v>
      </c>
      <c r="V38" s="45">
        <f t="shared" si="26"/>
        <v>86640.61</v>
      </c>
      <c r="W38" s="45">
        <f t="shared" si="26"/>
        <v>51757.75</v>
      </c>
      <c r="X38" s="45">
        <f t="shared" si="26"/>
        <v>67642.44</v>
      </c>
      <c r="Y38" s="45">
        <f t="shared" si="26"/>
        <v>43298.66</v>
      </c>
      <c r="Z38" s="45">
        <f t="shared" si="26"/>
        <v>25007.32</v>
      </c>
      <c r="AA38" s="45">
        <f t="shared" si="26"/>
        <v>82815.08</v>
      </c>
      <c r="AB38" s="45">
        <f t="shared" si="26"/>
        <v>120919.01</v>
      </c>
      <c r="AC38" s="45">
        <f t="shared" si="26"/>
        <v>22500.75</v>
      </c>
      <c r="AD38" s="45">
        <f t="shared" si="26"/>
        <v>0</v>
      </c>
      <c r="AE38" s="45">
        <f t="shared" si="26"/>
        <v>0</v>
      </c>
      <c r="AF38" s="45">
        <f t="shared" si="26"/>
        <v>6879.2499999999991</v>
      </c>
      <c r="AG38" s="45">
        <f t="shared" si="26"/>
        <v>-681403.4800000001</v>
      </c>
      <c r="AH38" s="327">
        <f t="shared" si="9"/>
        <v>3.3192766507828457</v>
      </c>
      <c r="AI38" s="635"/>
      <c r="AJ38" s="635"/>
      <c r="AK38" s="248"/>
      <c r="AL38" s="40"/>
      <c r="AM38" s="258">
        <f>SUM(AM40)</f>
        <v>286823.27</v>
      </c>
      <c r="AN38" s="258">
        <f>SUM(AN40)</f>
        <v>-688380.21000000008</v>
      </c>
      <c r="AO38" s="250"/>
      <c r="AP38" s="250"/>
      <c r="AQ38" s="250"/>
      <c r="AR38" s="250"/>
      <c r="AS38" s="250"/>
      <c r="AT38" s="250"/>
      <c r="AU38" s="250"/>
      <c r="AV38" s="250"/>
      <c r="AW38" s="250"/>
      <c r="AX38" s="250"/>
      <c r="AY38" s="250"/>
      <c r="AZ38" s="250"/>
      <c r="BA38" s="250"/>
      <c r="BB38" s="250"/>
      <c r="BC38" s="250"/>
      <c r="BD38" s="250"/>
      <c r="BE38" s="250"/>
      <c r="BF38" s="250"/>
      <c r="BG38" s="250"/>
      <c r="BH38" s="250"/>
      <c r="BI38" s="250"/>
      <c r="BJ38" s="250"/>
    </row>
    <row r="39" spans="1:62" ht="12" customHeight="1">
      <c r="A39" s="310"/>
      <c r="B39" s="310"/>
      <c r="C39" s="45"/>
      <c r="D39" s="45"/>
      <c r="E39" s="45"/>
      <c r="F39" s="45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45"/>
      <c r="T39" s="311"/>
      <c r="U39" s="311"/>
      <c r="V39" s="311"/>
      <c r="W39" s="311"/>
      <c r="X39" s="311"/>
      <c r="Y39" s="311"/>
      <c r="Z39" s="311"/>
      <c r="AA39" s="311"/>
      <c r="AB39" s="311"/>
      <c r="AC39" s="311"/>
      <c r="AD39" s="311"/>
      <c r="AE39" s="311"/>
      <c r="AF39" s="45"/>
      <c r="AG39" s="45"/>
      <c r="AH39" s="324"/>
      <c r="AI39" s="631"/>
      <c r="AJ39" s="631"/>
      <c r="AM39" s="257"/>
      <c r="AN39" s="257"/>
    </row>
    <row r="40" spans="1:62" s="43" customFormat="1" ht="12" customHeight="1">
      <c r="A40" s="312" t="s">
        <v>430</v>
      </c>
      <c r="B40" s="312" t="s">
        <v>429</v>
      </c>
      <c r="C40" s="315">
        <f t="shared" ref="C40:AG40" si="28">SUM(C41:C42)</f>
        <v>293800</v>
      </c>
      <c r="D40" s="45">
        <f t="shared" si="28"/>
        <v>293800</v>
      </c>
      <c r="E40" s="45">
        <f t="shared" si="28"/>
        <v>293800</v>
      </c>
      <c r="F40" s="45">
        <f t="shared" si="28"/>
        <v>293800</v>
      </c>
      <c r="G40" s="26">
        <f t="shared" ref="G40:R40" si="29">SUM(G41:G42)</f>
        <v>29380</v>
      </c>
      <c r="H40" s="26">
        <f t="shared" si="29"/>
        <v>29380</v>
      </c>
      <c r="I40" s="26">
        <f t="shared" si="29"/>
        <v>29380</v>
      </c>
      <c r="J40" s="26">
        <f t="shared" si="29"/>
        <v>29380</v>
      </c>
      <c r="K40" s="26">
        <f t="shared" si="29"/>
        <v>29380</v>
      </c>
      <c r="L40" s="26">
        <f t="shared" si="29"/>
        <v>29380</v>
      </c>
      <c r="M40" s="26">
        <f t="shared" si="29"/>
        <v>29380</v>
      </c>
      <c r="N40" s="26">
        <f t="shared" si="29"/>
        <v>29380</v>
      </c>
      <c r="O40" s="26">
        <f t="shared" si="29"/>
        <v>29380</v>
      </c>
      <c r="P40" s="26">
        <f t="shared" si="29"/>
        <v>29380</v>
      </c>
      <c r="Q40" s="26">
        <f t="shared" si="29"/>
        <v>0</v>
      </c>
      <c r="R40" s="26">
        <f t="shared" si="29"/>
        <v>0</v>
      </c>
      <c r="S40" s="45">
        <f t="shared" si="28"/>
        <v>975203.4800000001</v>
      </c>
      <c r="T40" s="45">
        <f t="shared" si="28"/>
        <v>371850.71</v>
      </c>
      <c r="U40" s="45">
        <f t="shared" si="28"/>
        <v>102771.15</v>
      </c>
      <c r="V40" s="45">
        <f t="shared" si="28"/>
        <v>86640.61</v>
      </c>
      <c r="W40" s="45">
        <f t="shared" si="28"/>
        <v>51757.75</v>
      </c>
      <c r="X40" s="45">
        <f t="shared" si="28"/>
        <v>67642.44</v>
      </c>
      <c r="Y40" s="45">
        <f t="shared" si="28"/>
        <v>43298.66</v>
      </c>
      <c r="Z40" s="45">
        <f t="shared" si="28"/>
        <v>25007.32</v>
      </c>
      <c r="AA40" s="45">
        <f t="shared" si="28"/>
        <v>82815.08</v>
      </c>
      <c r="AB40" s="45">
        <f t="shared" si="28"/>
        <v>120919.01</v>
      </c>
      <c r="AC40" s="45">
        <f t="shared" si="28"/>
        <v>22500.75</v>
      </c>
      <c r="AD40" s="45">
        <f t="shared" si="28"/>
        <v>0</v>
      </c>
      <c r="AE40" s="45">
        <f t="shared" si="28"/>
        <v>0</v>
      </c>
      <c r="AF40" s="45">
        <f t="shared" si="28"/>
        <v>6879.2499999999991</v>
      </c>
      <c r="AG40" s="45">
        <f t="shared" si="28"/>
        <v>-681403.4800000001</v>
      </c>
      <c r="AH40" s="327">
        <f t="shared" si="9"/>
        <v>3.3192766507828457</v>
      </c>
      <c r="AI40" s="635"/>
      <c r="AJ40" s="635"/>
      <c r="AK40" s="248"/>
      <c r="AL40" s="40"/>
      <c r="AM40" s="258">
        <f>SUM(AM41:AM42)</f>
        <v>286823.27</v>
      </c>
      <c r="AN40" s="258">
        <f>SUM(AN41:AN42)</f>
        <v>-688380.21000000008</v>
      </c>
      <c r="AO40" s="250"/>
      <c r="AP40" s="250"/>
      <c r="AQ40" s="250"/>
      <c r="AR40" s="250"/>
      <c r="AS40" s="250"/>
      <c r="AT40" s="250"/>
      <c r="AU40" s="250"/>
      <c r="AV40" s="250"/>
      <c r="AW40" s="250"/>
      <c r="AX40" s="250"/>
      <c r="AY40" s="250"/>
      <c r="AZ40" s="250"/>
      <c r="BA40" s="250"/>
      <c r="BB40" s="250"/>
      <c r="BC40" s="250"/>
      <c r="BD40" s="250"/>
      <c r="BE40" s="250"/>
      <c r="BF40" s="250"/>
      <c r="BG40" s="250"/>
      <c r="BH40" s="250"/>
      <c r="BI40" s="250"/>
      <c r="BJ40" s="250"/>
    </row>
    <row r="41" spans="1:62" ht="12" customHeight="1">
      <c r="A41" s="310" t="s">
        <v>431</v>
      </c>
      <c r="B41" s="310" t="s">
        <v>432</v>
      </c>
      <c r="C41" s="313">
        <v>258800</v>
      </c>
      <c r="D41" s="45">
        <f>C41</f>
        <v>258800</v>
      </c>
      <c r="E41" s="45">
        <f>D41</f>
        <v>258800</v>
      </c>
      <c r="F41" s="45">
        <f t="shared" ref="F41:F42" si="30">SUM(G41:P41)</f>
        <v>258800</v>
      </c>
      <c r="G41" s="314">
        <v>25880</v>
      </c>
      <c r="H41" s="314">
        <v>25880</v>
      </c>
      <c r="I41" s="314">
        <v>25880</v>
      </c>
      <c r="J41" s="314">
        <v>25880</v>
      </c>
      <c r="K41" s="314">
        <v>25880</v>
      </c>
      <c r="L41" s="314">
        <v>25880</v>
      </c>
      <c r="M41" s="314">
        <v>25880</v>
      </c>
      <c r="N41" s="314">
        <v>25880</v>
      </c>
      <c r="O41" s="314">
        <v>25880</v>
      </c>
      <c r="P41" s="314">
        <v>25880</v>
      </c>
      <c r="Q41" s="314">
        <v>0</v>
      </c>
      <c r="R41" s="314">
        <v>0</v>
      </c>
      <c r="S41" s="45">
        <f t="shared" ref="S41:S42" si="31">SUM(T41:AE41)</f>
        <v>930776.84000000008</v>
      </c>
      <c r="T41" s="311">
        <v>368111.82</v>
      </c>
      <c r="U41" s="311">
        <v>95929.23</v>
      </c>
      <c r="V41" s="311">
        <v>83811.16</v>
      </c>
      <c r="W41" s="311">
        <v>47987.4</v>
      </c>
      <c r="X41" s="311">
        <v>66529.17</v>
      </c>
      <c r="Y41" s="311">
        <v>42241.15</v>
      </c>
      <c r="Z41" s="311">
        <v>23439</v>
      </c>
      <c r="AA41" s="311">
        <v>64032.17</v>
      </c>
      <c r="AB41" s="311">
        <v>117268.61</v>
      </c>
      <c r="AC41" s="311">
        <v>21427.13</v>
      </c>
      <c r="AD41" s="311">
        <v>0</v>
      </c>
      <c r="AE41" s="311">
        <v>0</v>
      </c>
      <c r="AF41" s="45">
        <f t="shared" ref="AF41:AF42" si="32">+P41-AC41</f>
        <v>4452.869999999999</v>
      </c>
      <c r="AG41" s="45">
        <f>+F41-S41</f>
        <v>-671976.84000000008</v>
      </c>
      <c r="AH41" s="327">
        <f t="shared" si="9"/>
        <v>3.5965102009273573</v>
      </c>
      <c r="AI41" s="635"/>
      <c r="AJ41" s="635"/>
      <c r="AL41" s="41">
        <f>E41-S41</f>
        <v>-671976.84000000008</v>
      </c>
      <c r="AM41" s="257">
        <v>254778.8</v>
      </c>
      <c r="AN41" s="257">
        <f>AM41-S41</f>
        <v>-675998.04</v>
      </c>
    </row>
    <row r="42" spans="1:62" ht="12" customHeight="1">
      <c r="A42" s="310" t="s">
        <v>433</v>
      </c>
      <c r="B42" s="310" t="s">
        <v>434</v>
      </c>
      <c r="C42" s="313">
        <v>35000</v>
      </c>
      <c r="D42" s="45">
        <f>C42</f>
        <v>35000</v>
      </c>
      <c r="E42" s="45">
        <f>D42</f>
        <v>35000</v>
      </c>
      <c r="F42" s="45">
        <f t="shared" si="30"/>
        <v>35000</v>
      </c>
      <c r="G42" s="314">
        <v>3500</v>
      </c>
      <c r="H42" s="314">
        <v>3500</v>
      </c>
      <c r="I42" s="314">
        <v>3500</v>
      </c>
      <c r="J42" s="314">
        <v>3500</v>
      </c>
      <c r="K42" s="314">
        <v>3500</v>
      </c>
      <c r="L42" s="314">
        <v>3500</v>
      </c>
      <c r="M42" s="314">
        <v>3500</v>
      </c>
      <c r="N42" s="314">
        <v>3500</v>
      </c>
      <c r="O42" s="314">
        <v>3500</v>
      </c>
      <c r="P42" s="314">
        <v>3500</v>
      </c>
      <c r="Q42" s="314">
        <v>0</v>
      </c>
      <c r="R42" s="314">
        <v>0</v>
      </c>
      <c r="S42" s="45">
        <f t="shared" si="31"/>
        <v>44426.64</v>
      </c>
      <c r="T42" s="311">
        <v>3738.89</v>
      </c>
      <c r="U42" s="311">
        <v>6841.92</v>
      </c>
      <c r="V42" s="311">
        <v>2829.45</v>
      </c>
      <c r="W42" s="311">
        <v>3770.35</v>
      </c>
      <c r="X42" s="311">
        <v>1113.27</v>
      </c>
      <c r="Y42" s="311">
        <v>1057.51</v>
      </c>
      <c r="Z42" s="311">
        <v>1568.32</v>
      </c>
      <c r="AA42" s="311">
        <v>18782.91</v>
      </c>
      <c r="AB42" s="311">
        <v>3650.4</v>
      </c>
      <c r="AC42" s="311">
        <v>1073.6199999999999</v>
      </c>
      <c r="AD42" s="311">
        <v>0</v>
      </c>
      <c r="AE42" s="311">
        <v>0</v>
      </c>
      <c r="AF42" s="45">
        <f t="shared" si="32"/>
        <v>2426.38</v>
      </c>
      <c r="AG42" s="45">
        <f>+F42-S42</f>
        <v>-9426.64</v>
      </c>
      <c r="AH42" s="327">
        <f t="shared" si="9"/>
        <v>1.2693325714285715</v>
      </c>
      <c r="AI42" s="635"/>
      <c r="AJ42" s="635"/>
      <c r="AL42" s="41">
        <f>E42-S42</f>
        <v>-9426.64</v>
      </c>
      <c r="AM42" s="257">
        <v>32044.47</v>
      </c>
      <c r="AN42" s="257">
        <f>AM42-S42</f>
        <v>-12382.169999999998</v>
      </c>
    </row>
    <row r="43" spans="1:62" ht="12" customHeight="1">
      <c r="A43" s="310"/>
      <c r="B43" s="310"/>
      <c r="C43" s="45"/>
      <c r="D43" s="45"/>
      <c r="E43" s="45"/>
      <c r="F43" s="45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45"/>
      <c r="T43" s="311"/>
      <c r="U43" s="311"/>
      <c r="V43" s="311"/>
      <c r="W43" s="311"/>
      <c r="X43" s="311"/>
      <c r="Y43" s="311"/>
      <c r="Z43" s="311"/>
      <c r="AA43" s="311"/>
      <c r="AB43" s="311"/>
      <c r="AC43" s="311"/>
      <c r="AD43" s="311"/>
      <c r="AE43" s="311"/>
      <c r="AF43" s="45"/>
      <c r="AG43" s="45"/>
      <c r="AH43" s="324"/>
      <c r="AI43" s="631"/>
      <c r="AJ43" s="631"/>
      <c r="AM43" s="257"/>
      <c r="AN43" s="257"/>
    </row>
    <row r="44" spans="1:62" s="43" customFormat="1" ht="12" customHeight="1">
      <c r="A44" s="312" t="s">
        <v>443</v>
      </c>
      <c r="B44" s="312" t="s">
        <v>444</v>
      </c>
      <c r="C44" s="45">
        <f t="shared" ref="C44:AG44" si="33">C45</f>
        <v>0</v>
      </c>
      <c r="D44" s="45">
        <f t="shared" si="33"/>
        <v>0</v>
      </c>
      <c r="E44" s="45">
        <f t="shared" si="33"/>
        <v>0</v>
      </c>
      <c r="F44" s="45">
        <f t="shared" si="33"/>
        <v>0</v>
      </c>
      <c r="G44" s="45">
        <f t="shared" si="33"/>
        <v>0</v>
      </c>
      <c r="H44" s="45">
        <f t="shared" si="33"/>
        <v>0</v>
      </c>
      <c r="I44" s="45">
        <f t="shared" si="33"/>
        <v>0</v>
      </c>
      <c r="J44" s="45">
        <f t="shared" si="33"/>
        <v>0</v>
      </c>
      <c r="K44" s="45">
        <f t="shared" si="33"/>
        <v>0</v>
      </c>
      <c r="L44" s="45">
        <f t="shared" si="33"/>
        <v>0</v>
      </c>
      <c r="M44" s="45">
        <f t="shared" si="33"/>
        <v>0</v>
      </c>
      <c r="N44" s="45">
        <f t="shared" si="33"/>
        <v>0</v>
      </c>
      <c r="O44" s="45">
        <f t="shared" si="33"/>
        <v>0</v>
      </c>
      <c r="P44" s="45">
        <f t="shared" si="33"/>
        <v>0</v>
      </c>
      <c r="Q44" s="45">
        <f t="shared" si="33"/>
        <v>0</v>
      </c>
      <c r="R44" s="45">
        <f t="shared" si="33"/>
        <v>0</v>
      </c>
      <c r="S44" s="45">
        <f t="shared" si="33"/>
        <v>0</v>
      </c>
      <c r="T44" s="45">
        <f t="shared" si="33"/>
        <v>0</v>
      </c>
      <c r="U44" s="45">
        <f t="shared" si="33"/>
        <v>0</v>
      </c>
      <c r="V44" s="45">
        <f t="shared" si="33"/>
        <v>0</v>
      </c>
      <c r="W44" s="45">
        <f t="shared" si="33"/>
        <v>0</v>
      </c>
      <c r="X44" s="45">
        <f t="shared" si="33"/>
        <v>0</v>
      </c>
      <c r="Y44" s="45">
        <f t="shared" si="33"/>
        <v>0</v>
      </c>
      <c r="Z44" s="45">
        <f t="shared" si="33"/>
        <v>0</v>
      </c>
      <c r="AA44" s="45">
        <f t="shared" si="33"/>
        <v>0</v>
      </c>
      <c r="AB44" s="45">
        <f t="shared" si="33"/>
        <v>0</v>
      </c>
      <c r="AC44" s="45">
        <f t="shared" si="33"/>
        <v>0</v>
      </c>
      <c r="AD44" s="45">
        <f t="shared" si="33"/>
        <v>0</v>
      </c>
      <c r="AE44" s="45">
        <f t="shared" si="33"/>
        <v>0</v>
      </c>
      <c r="AF44" s="45">
        <f t="shared" si="33"/>
        <v>0</v>
      </c>
      <c r="AG44" s="45">
        <f t="shared" si="33"/>
        <v>0</v>
      </c>
      <c r="AH44" s="327">
        <v>0</v>
      </c>
      <c r="AI44" s="635"/>
      <c r="AJ44" s="635"/>
      <c r="AK44" s="248"/>
      <c r="AL44" s="40"/>
      <c r="AM44" s="258">
        <f>AM45</f>
        <v>0</v>
      </c>
      <c r="AN44" s="258">
        <f>AN45</f>
        <v>0</v>
      </c>
      <c r="AO44" s="250"/>
      <c r="AP44" s="250"/>
      <c r="AQ44" s="250"/>
      <c r="AR44" s="250"/>
      <c r="AS44" s="250"/>
      <c r="AT44" s="250"/>
      <c r="AU44" s="250"/>
      <c r="AV44" s="250"/>
      <c r="AW44" s="250"/>
      <c r="AX44" s="250"/>
      <c r="AY44" s="250"/>
      <c r="AZ44" s="250"/>
      <c r="BA44" s="250"/>
      <c r="BB44" s="250"/>
      <c r="BC44" s="250"/>
      <c r="BD44" s="250"/>
      <c r="BE44" s="250"/>
      <c r="BF44" s="250"/>
      <c r="BG44" s="250"/>
      <c r="BH44" s="250"/>
      <c r="BI44" s="250"/>
      <c r="BJ44" s="250"/>
    </row>
    <row r="45" spans="1:62" ht="12" customHeight="1">
      <c r="A45" s="310" t="s">
        <v>445</v>
      </c>
      <c r="B45" s="310" t="s">
        <v>446</v>
      </c>
      <c r="C45" s="45">
        <f t="shared" ref="C45:AG45" si="34">C46</f>
        <v>0</v>
      </c>
      <c r="D45" s="45">
        <f t="shared" si="34"/>
        <v>0</v>
      </c>
      <c r="E45" s="45">
        <f t="shared" si="34"/>
        <v>0</v>
      </c>
      <c r="F45" s="45">
        <f t="shared" ref="F45" si="35">G45+H45</f>
        <v>0</v>
      </c>
      <c r="G45" s="45">
        <f t="shared" si="34"/>
        <v>0</v>
      </c>
      <c r="H45" s="45">
        <f t="shared" si="34"/>
        <v>0</v>
      </c>
      <c r="I45" s="45">
        <f t="shared" si="34"/>
        <v>0</v>
      </c>
      <c r="J45" s="45">
        <f t="shared" si="34"/>
        <v>0</v>
      </c>
      <c r="K45" s="45">
        <f t="shared" si="34"/>
        <v>0</v>
      </c>
      <c r="L45" s="45">
        <f t="shared" si="34"/>
        <v>0</v>
      </c>
      <c r="M45" s="45">
        <f t="shared" si="34"/>
        <v>0</v>
      </c>
      <c r="N45" s="45">
        <f t="shared" si="34"/>
        <v>0</v>
      </c>
      <c r="O45" s="45">
        <f t="shared" si="34"/>
        <v>0</v>
      </c>
      <c r="P45" s="45">
        <f t="shared" si="34"/>
        <v>0</v>
      </c>
      <c r="Q45" s="45">
        <f t="shared" si="34"/>
        <v>0</v>
      </c>
      <c r="R45" s="45">
        <f t="shared" si="34"/>
        <v>0</v>
      </c>
      <c r="S45" s="45">
        <f t="shared" si="34"/>
        <v>0</v>
      </c>
      <c r="T45" s="45">
        <f t="shared" si="34"/>
        <v>0</v>
      </c>
      <c r="U45" s="45">
        <f t="shared" si="34"/>
        <v>0</v>
      </c>
      <c r="V45" s="45">
        <f t="shared" si="34"/>
        <v>0</v>
      </c>
      <c r="W45" s="45">
        <f t="shared" si="34"/>
        <v>0</v>
      </c>
      <c r="X45" s="45">
        <f t="shared" si="34"/>
        <v>0</v>
      </c>
      <c r="Y45" s="45">
        <f t="shared" si="34"/>
        <v>0</v>
      </c>
      <c r="Z45" s="45">
        <f t="shared" si="34"/>
        <v>0</v>
      </c>
      <c r="AA45" s="45">
        <f t="shared" si="34"/>
        <v>0</v>
      </c>
      <c r="AB45" s="45">
        <f t="shared" si="34"/>
        <v>0</v>
      </c>
      <c r="AC45" s="45">
        <f t="shared" si="34"/>
        <v>0</v>
      </c>
      <c r="AD45" s="45">
        <f t="shared" si="34"/>
        <v>0</v>
      </c>
      <c r="AE45" s="45">
        <f t="shared" si="34"/>
        <v>0</v>
      </c>
      <c r="AF45" s="45">
        <f>G45-T45</f>
        <v>0</v>
      </c>
      <c r="AG45" s="45">
        <f t="shared" si="34"/>
        <v>0</v>
      </c>
      <c r="AH45" s="327">
        <v>0</v>
      </c>
      <c r="AI45" s="635"/>
      <c r="AJ45" s="635"/>
      <c r="AM45" s="257">
        <f>AM46</f>
        <v>0</v>
      </c>
      <c r="AN45" s="257">
        <f>AN46</f>
        <v>0</v>
      </c>
    </row>
    <row r="46" spans="1:62" ht="12" customHeight="1">
      <c r="A46" s="310" t="s">
        <v>447</v>
      </c>
      <c r="B46" s="310" t="s">
        <v>448</v>
      </c>
      <c r="C46" s="313">
        <v>0</v>
      </c>
      <c r="D46" s="45">
        <f>C46</f>
        <v>0</v>
      </c>
      <c r="E46" s="45">
        <f>D46</f>
        <v>0</v>
      </c>
      <c r="F46" s="45">
        <f>SUM(G46:P46)</f>
        <v>0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f>SUM(T46:AE46)</f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f>+P46-AC46</f>
        <v>0</v>
      </c>
      <c r="AG46" s="45">
        <f>+F46-S46</f>
        <v>0</v>
      </c>
      <c r="AH46" s="327">
        <v>0</v>
      </c>
      <c r="AI46" s="635"/>
      <c r="AJ46" s="635"/>
      <c r="AM46" s="257">
        <v>0</v>
      </c>
      <c r="AN46" s="257">
        <f>S46-AM46</f>
        <v>0</v>
      </c>
    </row>
    <row r="47" spans="1:62" ht="12" customHeight="1">
      <c r="A47" s="310"/>
      <c r="B47" s="310"/>
      <c r="C47" s="46"/>
      <c r="D47" s="46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637"/>
      <c r="AJ47" s="637"/>
      <c r="AM47" s="259"/>
      <c r="AN47" s="259"/>
    </row>
    <row r="48" spans="1:62" s="43" customFormat="1" ht="12" customHeight="1">
      <c r="A48" s="318">
        <v>187.2</v>
      </c>
      <c r="B48" s="312" t="s">
        <v>583</v>
      </c>
      <c r="C48" s="315">
        <f>SUM(C50,C55)</f>
        <v>5000000</v>
      </c>
      <c r="D48" s="45">
        <f>SUM(D50,D55)</f>
        <v>5000000</v>
      </c>
      <c r="E48" s="45">
        <f>SUM(E50,E55)</f>
        <v>5000000</v>
      </c>
      <c r="F48" s="45">
        <f t="shared" ref="F48:AG48" si="36">SUM(F50,F55)</f>
        <v>5000000</v>
      </c>
      <c r="G48" s="45">
        <f t="shared" si="36"/>
        <v>1036077</v>
      </c>
      <c r="H48" s="45">
        <f t="shared" si="36"/>
        <v>0</v>
      </c>
      <c r="I48" s="45">
        <f t="shared" si="36"/>
        <v>0</v>
      </c>
      <c r="J48" s="45">
        <f t="shared" si="36"/>
        <v>1459975</v>
      </c>
      <c r="K48" s="45">
        <f t="shared" si="36"/>
        <v>0</v>
      </c>
      <c r="L48" s="45">
        <f t="shared" si="36"/>
        <v>0</v>
      </c>
      <c r="M48" s="45">
        <f t="shared" si="36"/>
        <v>1467874</v>
      </c>
      <c r="N48" s="45">
        <f t="shared" si="36"/>
        <v>0</v>
      </c>
      <c r="O48" s="45">
        <f t="shared" si="36"/>
        <v>0</v>
      </c>
      <c r="P48" s="45">
        <f t="shared" si="36"/>
        <v>1036074</v>
      </c>
      <c r="Q48" s="45">
        <f t="shared" si="36"/>
        <v>0</v>
      </c>
      <c r="R48" s="45">
        <f t="shared" si="36"/>
        <v>0</v>
      </c>
      <c r="S48" s="45">
        <f t="shared" si="36"/>
        <v>5000000</v>
      </c>
      <c r="T48" s="45">
        <f t="shared" si="36"/>
        <v>0</v>
      </c>
      <c r="U48" s="45">
        <f t="shared" si="36"/>
        <v>0</v>
      </c>
      <c r="V48" s="45">
        <f t="shared" si="36"/>
        <v>1036077</v>
      </c>
      <c r="W48" s="45">
        <f t="shared" si="36"/>
        <v>1459975</v>
      </c>
      <c r="X48" s="45">
        <f t="shared" si="36"/>
        <v>0</v>
      </c>
      <c r="Y48" s="45">
        <f t="shared" si="36"/>
        <v>0</v>
      </c>
      <c r="Z48" s="45">
        <f t="shared" si="36"/>
        <v>1467874</v>
      </c>
      <c r="AA48" s="45">
        <f t="shared" si="36"/>
        <v>0</v>
      </c>
      <c r="AB48" s="45">
        <f t="shared" si="36"/>
        <v>0</v>
      </c>
      <c r="AC48" s="45">
        <f t="shared" si="36"/>
        <v>1036074</v>
      </c>
      <c r="AD48" s="45">
        <f t="shared" si="36"/>
        <v>0</v>
      </c>
      <c r="AE48" s="45">
        <f t="shared" si="36"/>
        <v>0</v>
      </c>
      <c r="AF48" s="45">
        <f t="shared" si="36"/>
        <v>0</v>
      </c>
      <c r="AG48" s="45">
        <f t="shared" si="36"/>
        <v>0</v>
      </c>
      <c r="AH48" s="327">
        <v>0</v>
      </c>
      <c r="AI48" s="635"/>
      <c r="AJ48" s="635"/>
      <c r="AK48" s="248"/>
      <c r="AL48" s="40"/>
      <c r="AM48" s="258"/>
      <c r="AN48" s="258"/>
      <c r="AO48" s="250"/>
      <c r="AP48" s="250"/>
      <c r="AQ48" s="250"/>
      <c r="AR48" s="250"/>
      <c r="AS48" s="250"/>
      <c r="AT48" s="250"/>
      <c r="AU48" s="250"/>
      <c r="AV48" s="250"/>
      <c r="AW48" s="250"/>
      <c r="AX48" s="250"/>
      <c r="AY48" s="250"/>
      <c r="AZ48" s="250"/>
      <c r="BA48" s="250"/>
      <c r="BB48" s="250"/>
      <c r="BC48" s="250"/>
      <c r="BD48" s="250"/>
      <c r="BE48" s="250"/>
      <c r="BF48" s="250"/>
      <c r="BG48" s="250"/>
      <c r="BH48" s="250"/>
      <c r="BI48" s="250"/>
      <c r="BJ48" s="250"/>
    </row>
    <row r="49" spans="1:62" ht="12" customHeight="1">
      <c r="A49" s="310"/>
      <c r="B49" s="310"/>
      <c r="C49" s="46"/>
      <c r="D49" s="46"/>
      <c r="E49" s="45"/>
      <c r="F49" s="46"/>
      <c r="G49" s="316"/>
      <c r="H49" s="316"/>
      <c r="I49" s="316"/>
      <c r="J49" s="316"/>
      <c r="K49" s="316"/>
      <c r="L49" s="316"/>
      <c r="M49" s="316"/>
      <c r="N49" s="316"/>
      <c r="O49" s="316"/>
      <c r="P49" s="316"/>
      <c r="Q49" s="316"/>
      <c r="R49" s="316"/>
      <c r="S49" s="46"/>
      <c r="T49" s="317"/>
      <c r="U49" s="317"/>
      <c r="V49" s="317"/>
      <c r="W49" s="317"/>
      <c r="X49" s="317"/>
      <c r="Y49" s="317"/>
      <c r="Z49" s="317"/>
      <c r="AA49" s="317"/>
      <c r="AB49" s="317"/>
      <c r="AC49" s="317"/>
      <c r="AD49" s="317"/>
      <c r="AE49" s="317"/>
      <c r="AF49" s="46"/>
      <c r="AG49" s="46"/>
      <c r="AH49" s="325"/>
      <c r="AI49" s="632"/>
      <c r="AJ49" s="632"/>
      <c r="AM49" s="259"/>
      <c r="AN49" s="259"/>
    </row>
    <row r="50" spans="1:62" s="43" customFormat="1" ht="12" customHeight="1">
      <c r="A50" s="312" t="s">
        <v>435</v>
      </c>
      <c r="B50" s="312" t="s">
        <v>436</v>
      </c>
      <c r="C50" s="315">
        <f>C51</f>
        <v>5000000</v>
      </c>
      <c r="D50" s="45">
        <f t="shared" ref="D50:AN52" si="37">SUM(D51)</f>
        <v>5000000</v>
      </c>
      <c r="E50" s="45">
        <f>E51</f>
        <v>5000000</v>
      </c>
      <c r="F50" s="45">
        <f t="shared" si="37"/>
        <v>5000000</v>
      </c>
      <c r="G50" s="26">
        <f>G51</f>
        <v>1036077</v>
      </c>
      <c r="H50" s="26">
        <f t="shared" si="37"/>
        <v>0</v>
      </c>
      <c r="I50" s="26">
        <f t="shared" si="37"/>
        <v>0</v>
      </c>
      <c r="J50" s="26">
        <f t="shared" si="37"/>
        <v>1459975</v>
      </c>
      <c r="K50" s="26">
        <f t="shared" si="37"/>
        <v>0</v>
      </c>
      <c r="L50" s="26">
        <f t="shared" si="37"/>
        <v>0</v>
      </c>
      <c r="M50" s="26">
        <f t="shared" si="37"/>
        <v>1467874</v>
      </c>
      <c r="N50" s="26">
        <f t="shared" si="37"/>
        <v>0</v>
      </c>
      <c r="O50" s="26">
        <f t="shared" si="37"/>
        <v>0</v>
      </c>
      <c r="P50" s="26">
        <f t="shared" si="37"/>
        <v>1036074</v>
      </c>
      <c r="Q50" s="26">
        <f t="shared" si="37"/>
        <v>0</v>
      </c>
      <c r="R50" s="26">
        <f t="shared" si="37"/>
        <v>0</v>
      </c>
      <c r="S50" s="45">
        <f t="shared" si="37"/>
        <v>5000000</v>
      </c>
      <c r="T50" s="45">
        <f t="shared" si="37"/>
        <v>0</v>
      </c>
      <c r="U50" s="45">
        <f t="shared" si="37"/>
        <v>0</v>
      </c>
      <c r="V50" s="45">
        <f t="shared" si="37"/>
        <v>1036077</v>
      </c>
      <c r="W50" s="45">
        <f t="shared" si="37"/>
        <v>1459975</v>
      </c>
      <c r="X50" s="45">
        <f t="shared" si="37"/>
        <v>0</v>
      </c>
      <c r="Y50" s="45">
        <f t="shared" si="37"/>
        <v>0</v>
      </c>
      <c r="Z50" s="45">
        <f t="shared" si="37"/>
        <v>1467874</v>
      </c>
      <c r="AA50" s="45">
        <f t="shared" si="37"/>
        <v>0</v>
      </c>
      <c r="AB50" s="45">
        <f t="shared" si="37"/>
        <v>0</v>
      </c>
      <c r="AC50" s="45">
        <f t="shared" si="37"/>
        <v>1036074</v>
      </c>
      <c r="AD50" s="45">
        <f t="shared" si="37"/>
        <v>0</v>
      </c>
      <c r="AE50" s="45">
        <f t="shared" si="37"/>
        <v>0</v>
      </c>
      <c r="AF50" s="45">
        <f t="shared" si="37"/>
        <v>0</v>
      </c>
      <c r="AG50" s="45">
        <f t="shared" si="37"/>
        <v>0</v>
      </c>
      <c r="AH50" s="327">
        <f>S50/F50</f>
        <v>1</v>
      </c>
      <c r="AI50" s="635"/>
      <c r="AJ50" s="635"/>
      <c r="AK50" s="248"/>
      <c r="AL50" s="294"/>
      <c r="AM50" s="258">
        <f t="shared" si="37"/>
        <v>897640</v>
      </c>
      <c r="AN50" s="258">
        <f t="shared" si="37"/>
        <v>-4102360</v>
      </c>
      <c r="AO50" s="250"/>
      <c r="AP50" s="250"/>
      <c r="AQ50" s="250"/>
      <c r="AR50" s="250"/>
      <c r="AS50" s="250"/>
      <c r="AT50" s="250"/>
      <c r="AU50" s="250"/>
      <c r="AV50" s="250"/>
      <c r="AW50" s="250"/>
      <c r="AX50" s="250"/>
      <c r="AY50" s="250"/>
      <c r="AZ50" s="250"/>
      <c r="BA50" s="250"/>
      <c r="BB50" s="250"/>
      <c r="BC50" s="250"/>
      <c r="BD50" s="250"/>
      <c r="BE50" s="250"/>
      <c r="BF50" s="250"/>
      <c r="BG50" s="250"/>
      <c r="BH50" s="250"/>
      <c r="BI50" s="250"/>
      <c r="BJ50" s="250"/>
    </row>
    <row r="51" spans="1:62" ht="12" customHeight="1">
      <c r="A51" s="310" t="s">
        <v>437</v>
      </c>
      <c r="B51" s="310" t="s">
        <v>438</v>
      </c>
      <c r="C51" s="45">
        <f t="shared" ref="C51:F52" si="38">SUM(C52)</f>
        <v>5000000</v>
      </c>
      <c r="D51" s="45">
        <f t="shared" si="38"/>
        <v>5000000</v>
      </c>
      <c r="E51" s="45">
        <f t="shared" si="38"/>
        <v>5000000</v>
      </c>
      <c r="F51" s="45">
        <f t="shared" si="38"/>
        <v>5000000</v>
      </c>
      <c r="G51" s="314">
        <f t="shared" si="37"/>
        <v>1036077</v>
      </c>
      <c r="H51" s="314">
        <f t="shared" si="37"/>
        <v>0</v>
      </c>
      <c r="I51" s="314">
        <f t="shared" si="37"/>
        <v>0</v>
      </c>
      <c r="J51" s="314">
        <f t="shared" si="37"/>
        <v>1459975</v>
      </c>
      <c r="K51" s="314">
        <f t="shared" si="37"/>
        <v>0</v>
      </c>
      <c r="L51" s="314">
        <f t="shared" si="37"/>
        <v>0</v>
      </c>
      <c r="M51" s="314">
        <f t="shared" si="37"/>
        <v>1467874</v>
      </c>
      <c r="N51" s="314">
        <f t="shared" si="37"/>
        <v>0</v>
      </c>
      <c r="O51" s="314">
        <f t="shared" si="37"/>
        <v>0</v>
      </c>
      <c r="P51" s="314">
        <f t="shared" si="37"/>
        <v>1036074</v>
      </c>
      <c r="Q51" s="314">
        <f t="shared" si="37"/>
        <v>0</v>
      </c>
      <c r="R51" s="314">
        <f t="shared" si="37"/>
        <v>0</v>
      </c>
      <c r="S51" s="45">
        <f t="shared" si="37"/>
        <v>5000000</v>
      </c>
      <c r="T51" s="314">
        <f t="shared" si="37"/>
        <v>0</v>
      </c>
      <c r="U51" s="314">
        <f t="shared" si="37"/>
        <v>0</v>
      </c>
      <c r="V51" s="314">
        <f t="shared" si="37"/>
        <v>1036077</v>
      </c>
      <c r="W51" s="314">
        <f t="shared" si="37"/>
        <v>1459975</v>
      </c>
      <c r="X51" s="314">
        <f t="shared" si="37"/>
        <v>0</v>
      </c>
      <c r="Y51" s="314">
        <f t="shared" si="37"/>
        <v>0</v>
      </c>
      <c r="Z51" s="314">
        <f t="shared" si="37"/>
        <v>1467874</v>
      </c>
      <c r="AA51" s="314">
        <f t="shared" si="37"/>
        <v>0</v>
      </c>
      <c r="AB51" s="314">
        <f t="shared" si="37"/>
        <v>0</v>
      </c>
      <c r="AC51" s="314">
        <f t="shared" si="37"/>
        <v>1036074</v>
      </c>
      <c r="AD51" s="314">
        <f t="shared" si="37"/>
        <v>0</v>
      </c>
      <c r="AE51" s="314">
        <f t="shared" si="37"/>
        <v>0</v>
      </c>
      <c r="AF51" s="45">
        <f t="shared" si="37"/>
        <v>0</v>
      </c>
      <c r="AG51" s="45">
        <f t="shared" si="37"/>
        <v>0</v>
      </c>
      <c r="AH51" s="327">
        <f>S51/F51</f>
        <v>1</v>
      </c>
      <c r="AI51" s="635"/>
      <c r="AJ51" s="635"/>
      <c r="AM51" s="257">
        <f>SUM(AM52)</f>
        <v>897640</v>
      </c>
      <c r="AN51" s="257">
        <f>SUM(AN52)</f>
        <v>-4102360</v>
      </c>
    </row>
    <row r="52" spans="1:62" ht="12" customHeight="1">
      <c r="A52" s="310" t="s">
        <v>439</v>
      </c>
      <c r="B52" s="310" t="s">
        <v>215</v>
      </c>
      <c r="C52" s="45">
        <f t="shared" si="38"/>
        <v>5000000</v>
      </c>
      <c r="D52" s="45">
        <f t="shared" si="38"/>
        <v>5000000</v>
      </c>
      <c r="E52" s="45">
        <f t="shared" si="38"/>
        <v>5000000</v>
      </c>
      <c r="F52" s="45">
        <f t="shared" si="38"/>
        <v>5000000</v>
      </c>
      <c r="G52" s="314">
        <f t="shared" si="37"/>
        <v>1036077</v>
      </c>
      <c r="H52" s="314">
        <f t="shared" si="37"/>
        <v>0</v>
      </c>
      <c r="I52" s="314">
        <f t="shared" si="37"/>
        <v>0</v>
      </c>
      <c r="J52" s="314">
        <f t="shared" si="37"/>
        <v>1459975</v>
      </c>
      <c r="K52" s="314">
        <f t="shared" si="37"/>
        <v>0</v>
      </c>
      <c r="L52" s="314">
        <f t="shared" si="37"/>
        <v>0</v>
      </c>
      <c r="M52" s="314">
        <f t="shared" si="37"/>
        <v>1467874</v>
      </c>
      <c r="N52" s="314">
        <f t="shared" si="37"/>
        <v>0</v>
      </c>
      <c r="O52" s="314">
        <f t="shared" si="37"/>
        <v>0</v>
      </c>
      <c r="P52" s="314">
        <f t="shared" si="37"/>
        <v>1036074</v>
      </c>
      <c r="Q52" s="314">
        <f t="shared" si="37"/>
        <v>0</v>
      </c>
      <c r="R52" s="314">
        <f t="shared" si="37"/>
        <v>0</v>
      </c>
      <c r="S52" s="45">
        <f t="shared" si="37"/>
        <v>5000000</v>
      </c>
      <c r="T52" s="314">
        <f t="shared" si="37"/>
        <v>0</v>
      </c>
      <c r="U52" s="314">
        <f t="shared" si="37"/>
        <v>0</v>
      </c>
      <c r="V52" s="314">
        <f t="shared" si="37"/>
        <v>1036077</v>
      </c>
      <c r="W52" s="314">
        <f t="shared" si="37"/>
        <v>1459975</v>
      </c>
      <c r="X52" s="314">
        <f t="shared" si="37"/>
        <v>0</v>
      </c>
      <c r="Y52" s="314">
        <f t="shared" si="37"/>
        <v>0</v>
      </c>
      <c r="Z52" s="314">
        <f t="shared" si="37"/>
        <v>1467874</v>
      </c>
      <c r="AA52" s="314">
        <f t="shared" si="37"/>
        <v>0</v>
      </c>
      <c r="AB52" s="314">
        <f t="shared" si="37"/>
        <v>0</v>
      </c>
      <c r="AC52" s="314">
        <f t="shared" si="37"/>
        <v>1036074</v>
      </c>
      <c r="AD52" s="314">
        <f t="shared" si="37"/>
        <v>0</v>
      </c>
      <c r="AE52" s="314">
        <f t="shared" si="37"/>
        <v>0</v>
      </c>
      <c r="AF52" s="45">
        <f>SUM(AF53)</f>
        <v>0</v>
      </c>
      <c r="AG52" s="45">
        <f t="shared" si="37"/>
        <v>0</v>
      </c>
      <c r="AH52" s="327">
        <f>S52/F52</f>
        <v>1</v>
      </c>
      <c r="AI52" s="635"/>
      <c r="AJ52" s="635"/>
      <c r="AM52" s="257">
        <f>SUM(AM53)</f>
        <v>897640</v>
      </c>
      <c r="AN52" s="257">
        <f>SUM(AN53)</f>
        <v>-4102360</v>
      </c>
    </row>
    <row r="53" spans="1:62" ht="12" customHeight="1">
      <c r="A53" s="310" t="s">
        <v>440</v>
      </c>
      <c r="B53" s="310" t="s">
        <v>441</v>
      </c>
      <c r="C53" s="313">
        <v>5000000</v>
      </c>
      <c r="D53" s="45">
        <f>C53</f>
        <v>5000000</v>
      </c>
      <c r="E53" s="45">
        <f>D53</f>
        <v>5000000</v>
      </c>
      <c r="F53" s="45">
        <f>SUM(G53:P53)</f>
        <v>5000000</v>
      </c>
      <c r="G53" s="314">
        <v>1036077</v>
      </c>
      <c r="H53" s="314">
        <v>0</v>
      </c>
      <c r="I53" s="314">
        <v>0</v>
      </c>
      <c r="J53" s="314">
        <v>1459975</v>
      </c>
      <c r="K53" s="314">
        <v>0</v>
      </c>
      <c r="L53" s="314">
        <v>0</v>
      </c>
      <c r="M53" s="314">
        <v>1467874</v>
      </c>
      <c r="N53" s="314">
        <v>0</v>
      </c>
      <c r="O53" s="314">
        <v>0</v>
      </c>
      <c r="P53" s="314">
        <v>1036074</v>
      </c>
      <c r="Q53" s="314">
        <v>0</v>
      </c>
      <c r="R53" s="314">
        <v>0</v>
      </c>
      <c r="S53" s="45">
        <f>SUM(T53:AE53)</f>
        <v>5000000</v>
      </c>
      <c r="T53" s="311">
        <v>0</v>
      </c>
      <c r="U53" s="311">
        <v>0</v>
      </c>
      <c r="V53" s="311">
        <v>1036077</v>
      </c>
      <c r="W53" s="311">
        <v>1459975</v>
      </c>
      <c r="X53" s="311">
        <v>0</v>
      </c>
      <c r="Y53" s="311">
        <v>0</v>
      </c>
      <c r="Z53" s="311">
        <v>1467874</v>
      </c>
      <c r="AA53" s="311">
        <v>0</v>
      </c>
      <c r="AB53" s="311">
        <v>0</v>
      </c>
      <c r="AC53" s="311">
        <v>1036074</v>
      </c>
      <c r="AD53" s="311">
        <v>0</v>
      </c>
      <c r="AE53" s="311">
        <v>0</v>
      </c>
      <c r="AF53" s="45">
        <f>+P53-AC53</f>
        <v>0</v>
      </c>
      <c r="AG53" s="45">
        <f>+F53-S53</f>
        <v>0</v>
      </c>
      <c r="AH53" s="327">
        <f>S53/F53</f>
        <v>1</v>
      </c>
      <c r="AI53" s="635"/>
      <c r="AJ53" s="635"/>
      <c r="AL53" s="41">
        <f>E53-S53</f>
        <v>0</v>
      </c>
      <c r="AM53" s="257">
        <v>897640</v>
      </c>
      <c r="AN53" s="257">
        <f>AM53-S53</f>
        <v>-4102360</v>
      </c>
    </row>
    <row r="54" spans="1:62" ht="12" customHeight="1">
      <c r="A54" s="310"/>
      <c r="B54" s="310"/>
      <c r="C54" s="48"/>
      <c r="D54" s="313"/>
      <c r="E54" s="313"/>
      <c r="F54" s="313"/>
      <c r="G54" s="313"/>
      <c r="H54" s="313"/>
      <c r="I54" s="313"/>
      <c r="J54" s="313"/>
      <c r="K54" s="313"/>
      <c r="L54" s="313"/>
      <c r="M54" s="313"/>
      <c r="N54" s="313"/>
      <c r="O54" s="313"/>
      <c r="P54" s="313"/>
      <c r="Q54" s="313"/>
      <c r="R54" s="313"/>
      <c r="S54" s="313"/>
      <c r="T54" s="313"/>
      <c r="U54" s="313"/>
      <c r="V54" s="313"/>
      <c r="W54" s="313"/>
      <c r="X54" s="313"/>
      <c r="Y54" s="313"/>
      <c r="Z54" s="313"/>
      <c r="AA54" s="313"/>
      <c r="AB54" s="313"/>
      <c r="AC54" s="313"/>
      <c r="AD54" s="313"/>
      <c r="AE54" s="313"/>
      <c r="AF54" s="313"/>
      <c r="AG54" s="313"/>
      <c r="AH54" s="328"/>
      <c r="AI54" s="636"/>
      <c r="AJ54" s="636"/>
      <c r="AM54" s="47"/>
      <c r="AN54" s="47"/>
    </row>
    <row r="55" spans="1:62" s="43" customFormat="1" ht="12" customHeight="1">
      <c r="A55" s="312" t="s">
        <v>744</v>
      </c>
      <c r="B55" s="312" t="s">
        <v>444</v>
      </c>
      <c r="C55" s="315">
        <f>C56</f>
        <v>0</v>
      </c>
      <c r="D55" s="45">
        <f t="shared" ref="D55:AG57" si="39">D56</f>
        <v>0</v>
      </c>
      <c r="E55" s="45">
        <f t="shared" si="39"/>
        <v>0</v>
      </c>
      <c r="F55" s="45">
        <f t="shared" si="39"/>
        <v>0</v>
      </c>
      <c r="G55" s="26">
        <f t="shared" si="39"/>
        <v>0</v>
      </c>
      <c r="H55" s="26">
        <f t="shared" si="39"/>
        <v>0</v>
      </c>
      <c r="I55" s="26">
        <f t="shared" si="39"/>
        <v>0</v>
      </c>
      <c r="J55" s="26">
        <f t="shared" si="39"/>
        <v>0</v>
      </c>
      <c r="K55" s="26">
        <f t="shared" si="39"/>
        <v>0</v>
      </c>
      <c r="L55" s="26">
        <f t="shared" si="39"/>
        <v>0</v>
      </c>
      <c r="M55" s="26">
        <f t="shared" si="39"/>
        <v>0</v>
      </c>
      <c r="N55" s="26">
        <f t="shared" si="39"/>
        <v>0</v>
      </c>
      <c r="O55" s="26">
        <f t="shared" si="39"/>
        <v>0</v>
      </c>
      <c r="P55" s="26">
        <f t="shared" si="39"/>
        <v>0</v>
      </c>
      <c r="Q55" s="26">
        <f t="shared" si="39"/>
        <v>0</v>
      </c>
      <c r="R55" s="26">
        <f t="shared" si="39"/>
        <v>0</v>
      </c>
      <c r="S55" s="45">
        <f t="shared" si="39"/>
        <v>0</v>
      </c>
      <c r="T55" s="45">
        <f t="shared" si="39"/>
        <v>0</v>
      </c>
      <c r="U55" s="45">
        <f t="shared" si="39"/>
        <v>0</v>
      </c>
      <c r="V55" s="45">
        <f t="shared" si="39"/>
        <v>0</v>
      </c>
      <c r="W55" s="45">
        <f t="shared" si="39"/>
        <v>0</v>
      </c>
      <c r="X55" s="45">
        <f t="shared" si="39"/>
        <v>0</v>
      </c>
      <c r="Y55" s="45">
        <f t="shared" si="39"/>
        <v>0</v>
      </c>
      <c r="Z55" s="45">
        <f t="shared" si="39"/>
        <v>0</v>
      </c>
      <c r="AA55" s="45">
        <f t="shared" si="39"/>
        <v>0</v>
      </c>
      <c r="AB55" s="45">
        <f t="shared" si="39"/>
        <v>0</v>
      </c>
      <c r="AC55" s="45">
        <f t="shared" si="39"/>
        <v>0</v>
      </c>
      <c r="AD55" s="45">
        <f t="shared" si="39"/>
        <v>0</v>
      </c>
      <c r="AE55" s="45">
        <f t="shared" si="39"/>
        <v>0</v>
      </c>
      <c r="AF55" s="45">
        <f t="shared" si="39"/>
        <v>0</v>
      </c>
      <c r="AG55" s="45">
        <f t="shared" si="39"/>
        <v>0</v>
      </c>
      <c r="AH55" s="327">
        <v>0</v>
      </c>
      <c r="AI55" s="635"/>
      <c r="AJ55" s="635"/>
      <c r="AK55" s="248"/>
      <c r="AL55" s="40"/>
      <c r="AM55" s="258"/>
      <c r="AN55" s="258"/>
      <c r="AO55" s="250"/>
      <c r="AP55" s="250"/>
      <c r="AQ55" s="250"/>
      <c r="AR55" s="250"/>
      <c r="AS55" s="250"/>
      <c r="AT55" s="250"/>
      <c r="AU55" s="250"/>
      <c r="AV55" s="250"/>
      <c r="AW55" s="250"/>
      <c r="AX55" s="250"/>
      <c r="AY55" s="250"/>
      <c r="AZ55" s="250"/>
      <c r="BA55" s="250"/>
      <c r="BB55" s="250"/>
      <c r="BC55" s="250"/>
      <c r="BD55" s="250"/>
      <c r="BE55" s="250"/>
      <c r="BF55" s="250"/>
      <c r="BG55" s="250"/>
      <c r="BH55" s="250"/>
      <c r="BI55" s="250"/>
      <c r="BJ55" s="250"/>
    </row>
    <row r="56" spans="1:62" ht="12" customHeight="1">
      <c r="A56" s="378" t="s">
        <v>745</v>
      </c>
      <c r="B56" s="310" t="s">
        <v>446</v>
      </c>
      <c r="C56" s="45">
        <f>C57</f>
        <v>0</v>
      </c>
      <c r="D56" s="45">
        <f t="shared" si="39"/>
        <v>0</v>
      </c>
      <c r="E56" s="45">
        <f t="shared" si="39"/>
        <v>0</v>
      </c>
      <c r="F56" s="45">
        <f t="shared" si="39"/>
        <v>0</v>
      </c>
      <c r="G56" s="314">
        <f>G57</f>
        <v>0</v>
      </c>
      <c r="H56" s="314">
        <f t="shared" si="39"/>
        <v>0</v>
      </c>
      <c r="I56" s="314">
        <f t="shared" si="39"/>
        <v>0</v>
      </c>
      <c r="J56" s="314">
        <f t="shared" si="39"/>
        <v>0</v>
      </c>
      <c r="K56" s="314">
        <f t="shared" si="39"/>
        <v>0</v>
      </c>
      <c r="L56" s="314">
        <f t="shared" si="39"/>
        <v>0</v>
      </c>
      <c r="M56" s="314">
        <f t="shared" si="39"/>
        <v>0</v>
      </c>
      <c r="N56" s="314">
        <f t="shared" si="39"/>
        <v>0</v>
      </c>
      <c r="O56" s="314">
        <f t="shared" si="39"/>
        <v>0</v>
      </c>
      <c r="P56" s="314">
        <f t="shared" si="39"/>
        <v>0</v>
      </c>
      <c r="Q56" s="314">
        <f t="shared" si="39"/>
        <v>0</v>
      </c>
      <c r="R56" s="314">
        <f t="shared" si="39"/>
        <v>0</v>
      </c>
      <c r="S56" s="45">
        <f t="shared" si="39"/>
        <v>0</v>
      </c>
      <c r="T56" s="311">
        <f t="shared" si="39"/>
        <v>0</v>
      </c>
      <c r="U56" s="311">
        <f t="shared" si="39"/>
        <v>0</v>
      </c>
      <c r="V56" s="311">
        <f t="shared" si="39"/>
        <v>0</v>
      </c>
      <c r="W56" s="311">
        <f t="shared" si="39"/>
        <v>0</v>
      </c>
      <c r="X56" s="311">
        <f t="shared" si="39"/>
        <v>0</v>
      </c>
      <c r="Y56" s="311">
        <f t="shared" si="39"/>
        <v>0</v>
      </c>
      <c r="Z56" s="311">
        <f t="shared" si="39"/>
        <v>0</v>
      </c>
      <c r="AA56" s="311">
        <f t="shared" si="39"/>
        <v>0</v>
      </c>
      <c r="AB56" s="311">
        <f t="shared" si="39"/>
        <v>0</v>
      </c>
      <c r="AC56" s="311">
        <f t="shared" si="39"/>
        <v>0</v>
      </c>
      <c r="AD56" s="311">
        <f t="shared" si="39"/>
        <v>0</v>
      </c>
      <c r="AE56" s="311">
        <f t="shared" si="39"/>
        <v>0</v>
      </c>
      <c r="AF56" s="45">
        <f t="shared" si="39"/>
        <v>0</v>
      </c>
      <c r="AG56" s="45">
        <f t="shared" si="39"/>
        <v>0</v>
      </c>
      <c r="AH56" s="327">
        <v>0</v>
      </c>
      <c r="AI56" s="635"/>
      <c r="AJ56" s="635"/>
      <c r="AM56" s="257"/>
      <c r="AN56" s="257"/>
    </row>
    <row r="57" spans="1:62" ht="12" customHeight="1">
      <c r="A57" s="378" t="s">
        <v>746</v>
      </c>
      <c r="B57" s="310" t="s">
        <v>446</v>
      </c>
      <c r="C57" s="45">
        <f>C58</f>
        <v>0</v>
      </c>
      <c r="D57" s="45">
        <f t="shared" si="39"/>
        <v>0</v>
      </c>
      <c r="E57" s="45">
        <f t="shared" si="39"/>
        <v>0</v>
      </c>
      <c r="F57" s="45">
        <f>F58</f>
        <v>0</v>
      </c>
      <c r="G57" s="314">
        <f t="shared" si="39"/>
        <v>0</v>
      </c>
      <c r="H57" s="314">
        <f t="shared" si="39"/>
        <v>0</v>
      </c>
      <c r="I57" s="314">
        <f t="shared" si="39"/>
        <v>0</v>
      </c>
      <c r="J57" s="314">
        <f t="shared" si="39"/>
        <v>0</v>
      </c>
      <c r="K57" s="314">
        <f t="shared" si="39"/>
        <v>0</v>
      </c>
      <c r="L57" s="314">
        <f t="shared" si="39"/>
        <v>0</v>
      </c>
      <c r="M57" s="314">
        <f t="shared" si="39"/>
        <v>0</v>
      </c>
      <c r="N57" s="314">
        <f t="shared" si="39"/>
        <v>0</v>
      </c>
      <c r="O57" s="314">
        <f t="shared" si="39"/>
        <v>0</v>
      </c>
      <c r="P57" s="314">
        <f t="shared" si="39"/>
        <v>0</v>
      </c>
      <c r="Q57" s="314">
        <f t="shared" si="39"/>
        <v>0</v>
      </c>
      <c r="R57" s="314">
        <f t="shared" si="39"/>
        <v>0</v>
      </c>
      <c r="S57" s="45">
        <f t="shared" si="39"/>
        <v>0</v>
      </c>
      <c r="T57" s="311">
        <f t="shared" si="39"/>
        <v>0</v>
      </c>
      <c r="U57" s="311">
        <f t="shared" si="39"/>
        <v>0</v>
      </c>
      <c r="V57" s="311">
        <f t="shared" si="39"/>
        <v>0</v>
      </c>
      <c r="W57" s="311">
        <f t="shared" si="39"/>
        <v>0</v>
      </c>
      <c r="X57" s="311">
        <f t="shared" si="39"/>
        <v>0</v>
      </c>
      <c r="Y57" s="311">
        <f t="shared" si="39"/>
        <v>0</v>
      </c>
      <c r="Z57" s="311">
        <f t="shared" si="39"/>
        <v>0</v>
      </c>
      <c r="AA57" s="311">
        <f t="shared" si="39"/>
        <v>0</v>
      </c>
      <c r="AB57" s="311">
        <f t="shared" si="39"/>
        <v>0</v>
      </c>
      <c r="AC57" s="311">
        <f t="shared" si="39"/>
        <v>0</v>
      </c>
      <c r="AD57" s="311">
        <f t="shared" si="39"/>
        <v>0</v>
      </c>
      <c r="AE57" s="311">
        <f t="shared" si="39"/>
        <v>0</v>
      </c>
      <c r="AF57" s="45">
        <f t="shared" si="39"/>
        <v>0</v>
      </c>
      <c r="AG57" s="45">
        <f t="shared" si="39"/>
        <v>0</v>
      </c>
      <c r="AH57" s="327">
        <v>0</v>
      </c>
      <c r="AI57" s="635"/>
      <c r="AJ57" s="635"/>
      <c r="AM57" s="257"/>
      <c r="AN57" s="257"/>
    </row>
    <row r="58" spans="1:62" ht="12" customHeight="1">
      <c r="A58" s="378" t="s">
        <v>747</v>
      </c>
      <c r="B58" s="310" t="s">
        <v>748</v>
      </c>
      <c r="C58" s="313">
        <v>0</v>
      </c>
      <c r="D58" s="45">
        <f>C58</f>
        <v>0</v>
      </c>
      <c r="E58" s="45">
        <f>D58</f>
        <v>0</v>
      </c>
      <c r="F58" s="45">
        <f>SUM(G58:P58)</f>
        <v>0</v>
      </c>
      <c r="G58" s="314"/>
      <c r="H58" s="314">
        <v>0</v>
      </c>
      <c r="I58" s="314">
        <v>0</v>
      </c>
      <c r="J58" s="314">
        <v>0</v>
      </c>
      <c r="K58" s="314">
        <v>0</v>
      </c>
      <c r="L58" s="314">
        <v>0</v>
      </c>
      <c r="M58" s="314">
        <v>0</v>
      </c>
      <c r="N58" s="314">
        <v>0</v>
      </c>
      <c r="O58" s="314">
        <v>0</v>
      </c>
      <c r="P58" s="314">
        <v>0</v>
      </c>
      <c r="Q58" s="314">
        <v>0</v>
      </c>
      <c r="R58" s="314">
        <v>0</v>
      </c>
      <c r="S58" s="45">
        <f>SUM(T58:AE58)</f>
        <v>0</v>
      </c>
      <c r="T58" s="311">
        <v>0</v>
      </c>
      <c r="U58" s="311">
        <v>0</v>
      </c>
      <c r="V58" s="311">
        <v>0</v>
      </c>
      <c r="W58" s="311">
        <v>0</v>
      </c>
      <c r="X58" s="311">
        <v>0</v>
      </c>
      <c r="Y58" s="311">
        <v>0</v>
      </c>
      <c r="Z58" s="311">
        <v>0</v>
      </c>
      <c r="AA58" s="311">
        <v>0</v>
      </c>
      <c r="AB58" s="311">
        <v>0</v>
      </c>
      <c r="AC58" s="311">
        <v>0</v>
      </c>
      <c r="AD58" s="311">
        <v>0</v>
      </c>
      <c r="AE58" s="311">
        <v>0</v>
      </c>
      <c r="AF58" s="45">
        <f>+P58-AC58</f>
        <v>0</v>
      </c>
      <c r="AG58" s="45">
        <f>+F58-S58</f>
        <v>0</v>
      </c>
      <c r="AH58" s="327">
        <v>0</v>
      </c>
      <c r="AI58" s="635"/>
      <c r="AJ58" s="635"/>
      <c r="AM58" s="257"/>
      <c r="AN58" s="257"/>
    </row>
    <row r="59" spans="1:62" ht="12" customHeight="1">
      <c r="A59" s="310"/>
      <c r="B59" s="310"/>
      <c r="C59" s="313"/>
      <c r="D59" s="313"/>
      <c r="E59" s="313"/>
      <c r="F59" s="313"/>
      <c r="G59" s="313"/>
      <c r="H59" s="313"/>
      <c r="I59" s="313"/>
      <c r="J59" s="313"/>
      <c r="K59" s="313"/>
      <c r="L59" s="313"/>
      <c r="M59" s="313"/>
      <c r="N59" s="313"/>
      <c r="O59" s="313"/>
      <c r="P59" s="313"/>
      <c r="Q59" s="313"/>
      <c r="R59" s="313"/>
      <c r="S59" s="313"/>
      <c r="T59" s="313"/>
      <c r="U59" s="313"/>
      <c r="V59" s="313"/>
      <c r="W59" s="313"/>
      <c r="X59" s="313"/>
      <c r="Y59" s="313"/>
      <c r="Z59" s="313"/>
      <c r="AA59" s="313"/>
      <c r="AB59" s="313"/>
      <c r="AC59" s="313"/>
      <c r="AD59" s="313"/>
      <c r="AE59" s="313"/>
      <c r="AF59" s="313"/>
      <c r="AG59" s="313"/>
      <c r="AH59" s="328"/>
      <c r="AI59" s="636"/>
      <c r="AJ59" s="636"/>
      <c r="AM59" s="47"/>
      <c r="AN59" s="47"/>
    </row>
    <row r="60" spans="1:62" ht="36.75" customHeight="1">
      <c r="A60" s="310"/>
      <c r="B60" s="310"/>
      <c r="C60" s="48"/>
      <c r="D60" s="313"/>
      <c r="E60" s="614">
        <f>E13/E10</f>
        <v>6.9224871804190527E-2</v>
      </c>
      <c r="G60" s="313"/>
      <c r="H60" s="313"/>
      <c r="I60" s="313"/>
      <c r="J60" s="313"/>
      <c r="K60" s="313"/>
      <c r="L60" s="313"/>
      <c r="M60" s="313"/>
      <c r="N60" s="313"/>
      <c r="O60" s="313"/>
      <c r="P60" s="313"/>
      <c r="Q60" s="313"/>
      <c r="R60" s="313"/>
      <c r="S60" s="313"/>
      <c r="T60" s="313"/>
      <c r="U60" s="313"/>
      <c r="V60" s="313"/>
      <c r="W60" s="313"/>
      <c r="X60" s="313"/>
      <c r="Y60" s="313"/>
      <c r="Z60" s="313"/>
      <c r="AA60" s="313">
        <f>+S24+S53+S58</f>
        <v>49141882</v>
      </c>
      <c r="AB60" s="313"/>
      <c r="AC60" s="313"/>
      <c r="AD60" s="313"/>
      <c r="AE60" s="313"/>
      <c r="AF60" s="313"/>
      <c r="AG60" s="313"/>
      <c r="AH60" s="328"/>
      <c r="AI60" s="636"/>
      <c r="AJ60" s="636"/>
      <c r="AM60" s="47"/>
      <c r="AN60" s="47"/>
    </row>
    <row r="61" spans="1:62" ht="12" customHeight="1">
      <c r="A61" s="310"/>
      <c r="B61" s="310"/>
      <c r="C61" s="48"/>
      <c r="D61" s="313">
        <f>E24+E53</f>
        <v>53782700</v>
      </c>
      <c r="E61" s="614">
        <f>D61/E10</f>
        <v>0.93077512819580943</v>
      </c>
      <c r="F61" s="313"/>
      <c r="G61" s="313"/>
      <c r="H61" s="313"/>
      <c r="I61" s="313"/>
      <c r="J61" s="313"/>
      <c r="K61" s="313"/>
      <c r="L61" s="313"/>
      <c r="M61" s="313"/>
      <c r="N61" s="313"/>
      <c r="O61" s="313"/>
      <c r="P61" s="313"/>
      <c r="Q61" s="313"/>
      <c r="R61" s="313"/>
      <c r="S61" s="313"/>
      <c r="T61" s="313"/>
      <c r="U61" s="313"/>
      <c r="V61" s="313"/>
      <c r="W61" s="313"/>
      <c r="X61" s="313"/>
      <c r="Y61" s="313"/>
      <c r="Z61" s="313"/>
      <c r="AA61" s="313">
        <f>Objeto!JY10</f>
        <v>49141882</v>
      </c>
      <c r="AB61" s="313"/>
      <c r="AC61" s="313"/>
      <c r="AD61" s="313"/>
      <c r="AE61" s="313"/>
      <c r="AF61" s="313"/>
      <c r="AG61" s="313"/>
      <c r="AH61" s="328"/>
      <c r="AI61" s="636"/>
      <c r="AJ61" s="636"/>
      <c r="AM61" s="47"/>
      <c r="AN61" s="47"/>
    </row>
    <row r="62" spans="1:62" ht="12" customHeight="1">
      <c r="A62" s="310"/>
      <c r="B62" s="310"/>
      <c r="C62" s="48"/>
      <c r="D62" s="48"/>
      <c r="E62" s="614">
        <f>E58/E10</f>
        <v>0</v>
      </c>
      <c r="F62" s="46"/>
      <c r="G62" s="317"/>
      <c r="H62" s="317"/>
      <c r="I62" s="317"/>
      <c r="J62" s="317"/>
      <c r="K62" s="317"/>
      <c r="L62" s="317"/>
      <c r="M62" s="317"/>
      <c r="N62" s="317"/>
      <c r="O62" s="317"/>
      <c r="P62" s="317"/>
      <c r="Q62" s="317"/>
      <c r="R62" s="317"/>
      <c r="S62" s="46"/>
      <c r="T62" s="317"/>
      <c r="U62" s="317"/>
      <c r="V62" s="317"/>
      <c r="W62" s="317"/>
      <c r="X62" s="317"/>
      <c r="Y62" s="317"/>
      <c r="Z62" s="317"/>
      <c r="AA62" s="317">
        <f>AA60-AA61</f>
        <v>0</v>
      </c>
      <c r="AB62" s="317"/>
      <c r="AC62" s="317"/>
      <c r="AD62" s="317"/>
      <c r="AE62" s="317"/>
      <c r="AF62" s="46"/>
      <c r="AG62" s="46"/>
      <c r="AH62" s="325"/>
      <c r="AI62" s="632"/>
      <c r="AJ62" s="632"/>
      <c r="AM62" s="47"/>
      <c r="AN62" s="47"/>
    </row>
    <row r="63" spans="1:62" ht="12" customHeight="1">
      <c r="A63" s="310"/>
      <c r="B63" s="310"/>
      <c r="C63" s="48"/>
      <c r="D63" s="48" t="s">
        <v>1073</v>
      </c>
      <c r="E63" s="46">
        <f>SUM(E17,E30,E31,E34,E42)</f>
        <v>1571400</v>
      </c>
      <c r="G63" s="317"/>
      <c r="H63" s="317"/>
      <c r="I63" s="317"/>
      <c r="J63" s="317"/>
      <c r="K63" s="317"/>
      <c r="L63" s="317"/>
      <c r="M63" s="317"/>
      <c r="N63" s="317"/>
      <c r="O63" s="317"/>
      <c r="P63" s="317"/>
      <c r="Q63" s="317"/>
      <c r="R63" s="317"/>
      <c r="S63" s="46">
        <f>SUM(S17,S30,S31,S34,S42)</f>
        <v>1203852.5399999998</v>
      </c>
      <c r="T63" s="46">
        <f t="shared" ref="T63:AE63" si="40">SUM(T17,T30,T31,T34,T42)</f>
        <v>49212.84</v>
      </c>
      <c r="U63" s="46">
        <f t="shared" si="40"/>
        <v>58911.67</v>
      </c>
      <c r="V63" s="46">
        <f t="shared" si="40"/>
        <v>208339.85</v>
      </c>
      <c r="W63" s="46">
        <f t="shared" si="40"/>
        <v>161315.35</v>
      </c>
      <c r="X63" s="46">
        <f t="shared" si="40"/>
        <v>103568.27</v>
      </c>
      <c r="Y63" s="46"/>
      <c r="Z63" s="46">
        <f t="shared" si="40"/>
        <v>59000.02</v>
      </c>
      <c r="AA63" s="46">
        <f t="shared" si="40"/>
        <v>284516.36</v>
      </c>
      <c r="AB63" s="46">
        <f>SUM(AB17,AB30,AB31,AB34,AB42)</f>
        <v>119100.45</v>
      </c>
      <c r="AC63" s="46">
        <f t="shared" si="40"/>
        <v>77779.67</v>
      </c>
      <c r="AD63" s="46">
        <f t="shared" si="40"/>
        <v>0</v>
      </c>
      <c r="AE63" s="46">
        <f t="shared" si="40"/>
        <v>0</v>
      </c>
      <c r="AF63" s="46"/>
      <c r="AG63" s="46"/>
      <c r="AH63" s="325"/>
      <c r="AI63" s="632"/>
      <c r="AJ63" s="632"/>
      <c r="AM63" s="47"/>
      <c r="AN63" s="47"/>
    </row>
    <row r="64" spans="1:62" ht="27.75" customHeight="1">
      <c r="A64" s="312"/>
      <c r="B64" s="310"/>
      <c r="C64" s="48"/>
      <c r="D64" s="48" t="s">
        <v>1074</v>
      </c>
      <c r="E64" s="49">
        <f>+E41+E32</f>
        <v>2428600</v>
      </c>
      <c r="F64" s="46"/>
      <c r="G64" s="317">
        <f>+G10-G53-G24</f>
        <v>563199</v>
      </c>
      <c r="H64" s="317"/>
      <c r="I64" s="317"/>
      <c r="J64" s="317"/>
      <c r="K64" s="317"/>
      <c r="L64" s="317"/>
      <c r="M64" s="317"/>
      <c r="N64" s="317"/>
      <c r="O64" s="317"/>
      <c r="P64" s="317"/>
      <c r="Q64" s="317"/>
      <c r="R64" s="317"/>
      <c r="S64" s="49">
        <f t="shared" ref="S64:X64" si="41">+S41+S32</f>
        <v>2850127.16</v>
      </c>
      <c r="T64" s="49">
        <f t="shared" si="41"/>
        <v>480594.68</v>
      </c>
      <c r="U64" s="49">
        <f>+U41+U32</f>
        <v>262159.74</v>
      </c>
      <c r="V64" s="49">
        <f t="shared" si="41"/>
        <v>266022.38</v>
      </c>
      <c r="W64" s="49">
        <f>+W41+W32</f>
        <v>249028.44</v>
      </c>
      <c r="X64" s="49">
        <f t="shared" si="41"/>
        <v>274075.40999999997</v>
      </c>
      <c r="Y64" s="49"/>
      <c r="Z64" s="49"/>
      <c r="AA64" s="49">
        <f>+AA53+AA24</f>
        <v>4075352</v>
      </c>
      <c r="AB64" s="49"/>
      <c r="AC64" s="49"/>
      <c r="AD64" s="49"/>
      <c r="AE64" s="49"/>
      <c r="AF64" s="49"/>
      <c r="AG64" s="46"/>
      <c r="AH64" s="325"/>
      <c r="AI64" s="632"/>
      <c r="AJ64" s="632"/>
      <c r="AM64" s="47"/>
      <c r="AN64" s="47"/>
    </row>
    <row r="65" spans="1:40" ht="14.25" customHeight="1">
      <c r="A65" s="98"/>
      <c r="B65" s="98"/>
      <c r="C65" s="54"/>
      <c r="D65" s="54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>
        <f>+S10-Objeto!HG10</f>
        <v>0</v>
      </c>
      <c r="T65" s="49"/>
      <c r="U65" s="49"/>
      <c r="V65" s="49"/>
      <c r="W65" s="49"/>
      <c r="X65" s="49"/>
      <c r="Y65" s="49"/>
      <c r="Z65" s="49"/>
      <c r="AA65" s="49"/>
      <c r="AB65" s="49">
        <f>+AB10-AB53-AB24</f>
        <v>421105.16999999993</v>
      </c>
      <c r="AC65" s="49">
        <f>+AC10-AC53-AC24</f>
        <v>191247.74000000022</v>
      </c>
      <c r="AD65" s="49"/>
      <c r="AE65" s="49"/>
      <c r="AF65" s="49"/>
      <c r="AG65" s="53"/>
      <c r="AH65" s="325"/>
      <c r="AI65" s="632"/>
      <c r="AJ65" s="632"/>
      <c r="AM65" s="53"/>
      <c r="AN65" s="53"/>
    </row>
    <row r="66" spans="1:40" ht="14.25" customHeight="1">
      <c r="A66" s="98"/>
      <c r="B66" s="98"/>
      <c r="C66" s="54"/>
      <c r="D66" s="54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49"/>
      <c r="U66" s="49">
        <f>+U53+U24</f>
        <v>9073900</v>
      </c>
      <c r="V66" s="49">
        <f>+V53+V24</f>
        <v>5368529</v>
      </c>
      <c r="W66" s="49">
        <f>+W53+W24</f>
        <v>5792427</v>
      </c>
      <c r="X66" s="49">
        <f>+X53+X24</f>
        <v>4332452</v>
      </c>
      <c r="Y66" s="49">
        <f>+Y17+Y29+Y34+Y40</f>
        <v>296152.11</v>
      </c>
      <c r="Z66" s="49">
        <f>+Z10-7932315</f>
        <v>-1879062.54</v>
      </c>
      <c r="AA66" s="883">
        <f>+AA18+AA19+AA29+AA34+AA40</f>
        <v>779319.59</v>
      </c>
      <c r="AB66" s="49"/>
      <c r="AC66" s="49">
        <f>+AC53+AC24</f>
        <v>5368526</v>
      </c>
      <c r="AD66" s="49"/>
      <c r="AE66" s="49"/>
      <c r="AF66" s="49"/>
      <c r="AG66" s="53"/>
      <c r="AH66" s="325"/>
      <c r="AI66" s="632"/>
      <c r="AJ66" s="632"/>
      <c r="AM66" s="53"/>
      <c r="AN66" s="53"/>
    </row>
    <row r="67" spans="1:40" ht="14.25" customHeight="1">
      <c r="A67" s="98"/>
      <c r="B67" s="98"/>
      <c r="C67" s="54"/>
      <c r="D67" s="54"/>
      <c r="E67" s="53"/>
      <c r="F67" s="27"/>
      <c r="G67" s="316"/>
      <c r="H67" s="316"/>
      <c r="I67" s="316"/>
      <c r="J67" s="316"/>
      <c r="K67" s="316"/>
      <c r="L67" s="316"/>
      <c r="M67" s="316"/>
      <c r="N67" s="316"/>
      <c r="O67" s="316"/>
      <c r="P67" s="316"/>
      <c r="Q67" s="316"/>
      <c r="R67" s="316"/>
      <c r="S67" s="53"/>
      <c r="T67" s="49"/>
      <c r="U67" s="49"/>
      <c r="V67" s="49"/>
      <c r="W67" s="49">
        <f>+W10-W66</f>
        <v>410343.79000000004</v>
      </c>
      <c r="X67" s="49"/>
      <c r="Y67" s="49"/>
      <c r="Z67" s="49"/>
      <c r="AA67" s="49"/>
      <c r="AB67" s="49"/>
      <c r="AC67" s="49"/>
      <c r="AD67" s="49"/>
      <c r="AE67" s="49"/>
      <c r="AF67" s="49"/>
      <c r="AG67" s="46"/>
      <c r="AH67" s="325"/>
      <c r="AI67" s="632"/>
      <c r="AJ67" s="632"/>
      <c r="AM67" s="47"/>
      <c r="AN67" s="47"/>
    </row>
    <row r="68" spans="1:40" ht="18" customHeight="1">
      <c r="A68" s="25"/>
      <c r="B68" s="25"/>
      <c r="C68" s="54"/>
      <c r="D68" s="54"/>
      <c r="E68" s="53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49"/>
      <c r="U68" s="49">
        <f>+U10-U24</f>
        <v>321071.41000000015</v>
      </c>
      <c r="V68" s="49">
        <f>+V10-V24-V53</f>
        <v>474362.23000000045</v>
      </c>
      <c r="W68" s="49"/>
      <c r="X68" s="876">
        <f>+X17+X29+X34+X40</f>
        <v>377643.68</v>
      </c>
      <c r="Y68" s="49"/>
      <c r="Z68" s="49"/>
      <c r="AA68" s="49"/>
      <c r="AB68" s="49"/>
      <c r="AC68" s="49"/>
      <c r="AD68" s="49"/>
      <c r="AE68" s="49"/>
      <c r="AF68" s="49"/>
      <c r="AG68" s="46"/>
      <c r="AH68" s="325"/>
      <c r="AI68" s="632"/>
      <c r="AJ68" s="632"/>
      <c r="AM68" s="47"/>
      <c r="AN68" s="47"/>
    </row>
    <row r="69" spans="1:40" ht="12" customHeight="1">
      <c r="A69" s="44"/>
      <c r="B69" s="44"/>
      <c r="C69" s="48"/>
      <c r="D69" s="48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7"/>
      <c r="U69" s="47"/>
      <c r="V69" s="47"/>
      <c r="W69" s="47"/>
      <c r="X69" s="47">
        <f>+X68+X24+X53</f>
        <v>4710095.68</v>
      </c>
      <c r="Y69" s="47"/>
      <c r="Z69" s="47"/>
      <c r="AA69" s="47"/>
      <c r="AB69" s="47"/>
      <c r="AC69" s="47"/>
      <c r="AD69" s="47"/>
      <c r="AE69" s="47"/>
      <c r="AF69" s="46"/>
      <c r="AG69" s="46"/>
      <c r="AH69" s="325"/>
      <c r="AI69" s="632"/>
      <c r="AJ69" s="632"/>
      <c r="AM69" s="47"/>
      <c r="AN69" s="47"/>
    </row>
    <row r="70" spans="1:40" ht="12" customHeight="1">
      <c r="A70" s="44"/>
      <c r="B70" s="44"/>
      <c r="C70" s="48"/>
      <c r="D70" s="48"/>
      <c r="E70" s="46"/>
      <c r="F70" s="46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6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6"/>
      <c r="AG70" s="46"/>
      <c r="AH70" s="325"/>
      <c r="AI70" s="632"/>
      <c r="AJ70" s="632"/>
      <c r="AM70" s="47"/>
      <c r="AN70" s="47"/>
    </row>
    <row r="71" spans="1:40">
      <c r="AM71" s="251"/>
      <c r="AN71" s="251"/>
    </row>
    <row r="72" spans="1:40">
      <c r="B72" s="50"/>
      <c r="C72" s="50"/>
      <c r="D72" s="50"/>
      <c r="AM72" s="251"/>
      <c r="AN72" s="251"/>
    </row>
    <row r="73" spans="1:40">
      <c r="B73" s="47"/>
      <c r="C73" s="109"/>
      <c r="D73" s="38"/>
      <c r="AM73" s="251"/>
      <c r="AN73" s="251"/>
    </row>
    <row r="74" spans="1:40">
      <c r="B74" s="49"/>
      <c r="C74" s="49"/>
      <c r="D74" s="49"/>
      <c r="AM74" s="251"/>
      <c r="AN74" s="251"/>
    </row>
    <row r="75" spans="1:40">
      <c r="B75" s="49"/>
      <c r="C75" s="49"/>
      <c r="D75" s="49"/>
      <c r="AM75" s="251"/>
      <c r="AN75" s="251"/>
    </row>
    <row r="76" spans="1:40">
      <c r="B76" s="49"/>
      <c r="C76" s="49"/>
      <c r="D76" s="49"/>
      <c r="AM76" s="251"/>
      <c r="AN76" s="251"/>
    </row>
    <row r="77" spans="1:40">
      <c r="B77" s="49"/>
      <c r="C77" s="49"/>
      <c r="D77" s="49"/>
      <c r="AM77" s="251"/>
      <c r="AN77" s="251"/>
    </row>
    <row r="78" spans="1:40">
      <c r="B78" s="47"/>
      <c r="C78" s="109"/>
      <c r="D78" s="38"/>
      <c r="AM78" s="251"/>
      <c r="AN78" s="251"/>
    </row>
    <row r="79" spans="1:40">
      <c r="AM79" s="251"/>
      <c r="AN79" s="251"/>
    </row>
    <row r="80" spans="1:40">
      <c r="AM80" s="251"/>
      <c r="AN80" s="251"/>
    </row>
    <row r="81" spans="39:40">
      <c r="AM81" s="251"/>
      <c r="AN81" s="251"/>
    </row>
    <row r="82" spans="39:40">
      <c r="AM82" s="251"/>
      <c r="AN82" s="251"/>
    </row>
    <row r="83" spans="39:40">
      <c r="AM83" s="251"/>
      <c r="AN83" s="251"/>
    </row>
    <row r="84" spans="39:40">
      <c r="AM84" s="251"/>
      <c r="AN84" s="251"/>
    </row>
    <row r="85" spans="39:40">
      <c r="AM85" s="251"/>
      <c r="AN85" s="251"/>
    </row>
    <row r="86" spans="39:40">
      <c r="AM86" s="251"/>
      <c r="AN86" s="251"/>
    </row>
    <row r="87" spans="39:40">
      <c r="AM87" s="251"/>
      <c r="AN87" s="251"/>
    </row>
    <row r="88" spans="39:40">
      <c r="AM88" s="251"/>
      <c r="AN88" s="251"/>
    </row>
    <row r="89" spans="39:40">
      <c r="AM89" s="251"/>
      <c r="AN89" s="251"/>
    </row>
    <row r="90" spans="39:40">
      <c r="AM90" s="251"/>
      <c r="AN90" s="251"/>
    </row>
    <row r="91" spans="39:40">
      <c r="AM91" s="251"/>
      <c r="AN91" s="251"/>
    </row>
    <row r="92" spans="39:40">
      <c r="AM92" s="251"/>
      <c r="AN92" s="251"/>
    </row>
    <row r="93" spans="39:40">
      <c r="AM93" s="251"/>
      <c r="AN93" s="251"/>
    </row>
    <row r="94" spans="39:40">
      <c r="AM94" s="251"/>
      <c r="AN94" s="251"/>
    </row>
    <row r="95" spans="39:40">
      <c r="AM95" s="251"/>
      <c r="AN95" s="251"/>
    </row>
    <row r="96" spans="39:40">
      <c r="AM96" s="251"/>
      <c r="AN96" s="251"/>
    </row>
    <row r="97" spans="39:40">
      <c r="AM97" s="251"/>
      <c r="AN97" s="251"/>
    </row>
    <row r="98" spans="39:40">
      <c r="AM98" s="251"/>
      <c r="AN98" s="251"/>
    </row>
    <row r="99" spans="39:40">
      <c r="AM99" s="251"/>
      <c r="AN99" s="251"/>
    </row>
    <row r="100" spans="39:40">
      <c r="AM100" s="251"/>
      <c r="AN100" s="251"/>
    </row>
    <row r="101" spans="39:40">
      <c r="AM101" s="251"/>
      <c r="AN101" s="251"/>
    </row>
    <row r="102" spans="39:40">
      <c r="AM102" s="251"/>
      <c r="AN102" s="251"/>
    </row>
    <row r="103" spans="39:40">
      <c r="AM103" s="251"/>
      <c r="AN103" s="251"/>
    </row>
    <row r="104" spans="39:40">
      <c r="AM104" s="251"/>
      <c r="AN104" s="251"/>
    </row>
    <row r="105" spans="39:40">
      <c r="AM105" s="251"/>
      <c r="AN105" s="251"/>
    </row>
  </sheetData>
  <mergeCells count="9">
    <mergeCell ref="AN7:AN8"/>
    <mergeCell ref="A5:AG5"/>
    <mergeCell ref="A7:A8"/>
    <mergeCell ref="B7:B8"/>
    <mergeCell ref="A1:AG1"/>
    <mergeCell ref="A2:AG2"/>
    <mergeCell ref="A3:AG3"/>
    <mergeCell ref="A4:AG4"/>
    <mergeCell ref="AH7:AH8"/>
  </mergeCells>
  <phoneticPr fontId="31" type="noConversion"/>
  <printOptions horizontalCentered="1"/>
  <pageMargins left="0" right="0" top="0.39370078740157483" bottom="0.39370078740157483" header="0.11811023622047245" footer="0.19685039370078741"/>
  <pageSetup scale="78" firstPageNumber="0" orientation="landscape" r:id="rId1"/>
  <headerFooter alignWithMargins="0">
    <oddFooter xml:space="preserve">&amp;L&amp;"Script,Cursiva"Lic. Iris A. Fuentes&amp;C&amp;T&amp;D&amp;R&amp;F    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0"/>
  <sheetViews>
    <sheetView workbookViewId="0">
      <selection activeCell="A4" sqref="A4:J4"/>
    </sheetView>
  </sheetViews>
  <sheetFormatPr baseColWidth="10" defaultRowHeight="12.75"/>
  <cols>
    <col min="1" max="1" width="2.7109375" style="29" customWidth="1"/>
    <col min="2" max="2" width="2.140625" style="29" customWidth="1"/>
    <col min="3" max="3" width="30.5703125" style="29" customWidth="1"/>
    <col min="4" max="4" width="13" style="29" customWidth="1"/>
    <col min="5" max="5" width="13.5703125" style="29" customWidth="1"/>
    <col min="6" max="6" width="15.140625" style="29" customWidth="1"/>
    <col min="7" max="7" width="12.7109375" style="29" customWidth="1"/>
    <col min="8" max="8" width="14.7109375" style="29" customWidth="1"/>
    <col min="9" max="10" width="11.42578125" style="349"/>
    <col min="11" max="11" width="11.42578125" style="171"/>
    <col min="12" max="12" width="15.85546875" style="171" customWidth="1"/>
    <col min="13" max="13" width="11.42578125" style="171"/>
    <col min="14" max="16384" width="11.42578125" style="29"/>
  </cols>
  <sheetData>
    <row r="1" spans="1:13" ht="15">
      <c r="A1" s="1013" t="s">
        <v>0</v>
      </c>
      <c r="B1" s="1013"/>
      <c r="C1" s="1013"/>
      <c r="D1" s="1013"/>
      <c r="E1" s="1013"/>
      <c r="F1" s="1013"/>
      <c r="G1" s="1013"/>
      <c r="H1" s="1013"/>
      <c r="I1" s="1013"/>
      <c r="J1" s="1013"/>
    </row>
    <row r="2" spans="1:13" ht="15">
      <c r="A2" s="1013" t="s">
        <v>862</v>
      </c>
      <c r="B2" s="1013"/>
      <c r="C2" s="1013"/>
      <c r="D2" s="1013"/>
      <c r="E2" s="1013"/>
      <c r="F2" s="1013"/>
      <c r="G2" s="1013"/>
      <c r="H2" s="1013"/>
      <c r="I2" s="1013"/>
      <c r="J2" s="1013"/>
    </row>
    <row r="3" spans="1:13" ht="15">
      <c r="A3" s="1013" t="s">
        <v>1405</v>
      </c>
      <c r="B3" s="1013"/>
      <c r="C3" s="1013"/>
      <c r="D3" s="1013"/>
      <c r="E3" s="1013"/>
      <c r="F3" s="1013"/>
      <c r="G3" s="1013"/>
      <c r="H3" s="1013"/>
      <c r="I3" s="1013"/>
      <c r="J3" s="1013"/>
    </row>
    <row r="4" spans="1:13" ht="15">
      <c r="A4" s="1013" t="s">
        <v>383</v>
      </c>
      <c r="B4" s="1013"/>
      <c r="C4" s="1013"/>
      <c r="D4" s="1013"/>
      <c r="E4" s="1013"/>
      <c r="F4" s="1013"/>
      <c r="G4" s="1013"/>
      <c r="H4" s="1013"/>
      <c r="I4" s="1013"/>
      <c r="J4" s="1013"/>
    </row>
    <row r="5" spans="1:13" ht="13.5" thickBot="1">
      <c r="A5" s="350"/>
      <c r="B5" s="350"/>
      <c r="C5" s="350"/>
      <c r="D5" s="350"/>
      <c r="E5" s="350"/>
      <c r="F5" s="350"/>
      <c r="G5" s="350"/>
      <c r="H5" s="350"/>
      <c r="I5" s="351"/>
      <c r="J5" s="351"/>
    </row>
    <row r="6" spans="1:13" ht="26.25" thickBot="1">
      <c r="A6" s="1014" t="s">
        <v>867</v>
      </c>
      <c r="B6" s="1014"/>
      <c r="C6" s="1014"/>
      <c r="D6" s="352" t="s">
        <v>868</v>
      </c>
      <c r="E6" s="352" t="s">
        <v>869</v>
      </c>
      <c r="F6" s="353" t="s">
        <v>40</v>
      </c>
      <c r="G6" s="780" t="s">
        <v>45</v>
      </c>
      <c r="H6" s="781" t="s">
        <v>46</v>
      </c>
      <c r="I6" s="782" t="s">
        <v>870</v>
      </c>
      <c r="J6" s="782" t="s">
        <v>871</v>
      </c>
    </row>
    <row r="7" spans="1:13" ht="14.25" thickTop="1" thickBot="1">
      <c r="A7" s="350"/>
      <c r="B7" s="350"/>
      <c r="C7" s="350"/>
      <c r="D7" s="350"/>
      <c r="E7" s="350"/>
      <c r="F7" s="350"/>
      <c r="G7" s="350"/>
      <c r="H7" s="350"/>
      <c r="I7" s="351"/>
      <c r="J7" s="351"/>
    </row>
    <row r="8" spans="1:13" s="336" customFormat="1" ht="13.5" thickBot="1">
      <c r="A8" s="1010" t="s">
        <v>1112</v>
      </c>
      <c r="B8" s="1011"/>
      <c r="C8" s="1012"/>
      <c r="D8" s="355">
        <f>+D10+D37</f>
        <v>57782700</v>
      </c>
      <c r="E8" s="355">
        <f>+E10+E37</f>
        <v>57782700</v>
      </c>
      <c r="F8" s="355">
        <f>+F10+F37</f>
        <v>53047580</v>
      </c>
      <c r="G8" s="355">
        <f>+G10+G37</f>
        <v>44768236.809999995</v>
      </c>
      <c r="H8" s="355">
        <f>+H10+H37</f>
        <v>44768236.809999995</v>
      </c>
      <c r="I8" s="356">
        <f>G8/F8</f>
        <v>0.84392609069065916</v>
      </c>
      <c r="J8" s="775">
        <f>H8/F8</f>
        <v>0.84392609069065916</v>
      </c>
      <c r="K8" s="346"/>
      <c r="L8" s="776"/>
      <c r="M8" s="777"/>
    </row>
    <row r="9" spans="1:13" ht="13.5" thickBot="1">
      <c r="A9" s="350"/>
      <c r="B9" s="350"/>
      <c r="C9" s="350"/>
      <c r="D9" s="350"/>
      <c r="E9" s="350"/>
      <c r="F9" s="350"/>
      <c r="G9" s="350"/>
      <c r="H9" s="350"/>
      <c r="I9" s="351"/>
      <c r="J9" s="351"/>
    </row>
    <row r="10" spans="1:13" s="336" customFormat="1" ht="13.5" thickBot="1">
      <c r="A10" s="1010" t="s">
        <v>1111</v>
      </c>
      <c r="B10" s="1011"/>
      <c r="C10" s="1012"/>
      <c r="D10" s="355">
        <f>+D12+D21+D30</f>
        <v>52782700</v>
      </c>
      <c r="E10" s="355">
        <f>E12+E21+E30</f>
        <v>52782700</v>
      </c>
      <c r="F10" s="355">
        <f>F12+F21+F30</f>
        <v>48047580</v>
      </c>
      <c r="G10" s="355">
        <f>G12+G21+G30</f>
        <v>43072855.309999995</v>
      </c>
      <c r="H10" s="355">
        <f>H12+H21+H30</f>
        <v>43072855.309999995</v>
      </c>
      <c r="I10" s="356">
        <f>G10/F10</f>
        <v>0.89646253380503227</v>
      </c>
      <c r="J10" s="775">
        <f>H10/F10</f>
        <v>0.89646253380503227</v>
      </c>
      <c r="K10" s="346"/>
      <c r="L10" s="776"/>
      <c r="M10" s="777"/>
    </row>
    <row r="11" spans="1:13" ht="13.5" thickBot="1">
      <c r="A11" s="357"/>
      <c r="B11" s="358"/>
      <c r="C11" s="358"/>
      <c r="D11" s="359"/>
      <c r="E11" s="359"/>
      <c r="F11" s="359"/>
      <c r="G11" s="359"/>
      <c r="H11" s="359"/>
      <c r="I11" s="360"/>
      <c r="J11" s="360"/>
    </row>
    <row r="12" spans="1:13" s="336" customFormat="1" ht="13.5" thickBot="1">
      <c r="A12" s="361" t="s">
        <v>863</v>
      </c>
      <c r="B12" s="362"/>
      <c r="C12" s="363"/>
      <c r="D12" s="355">
        <f>D13+D19</f>
        <v>18859900</v>
      </c>
      <c r="E12" s="355">
        <f>E13+E19</f>
        <v>18508527</v>
      </c>
      <c r="F12" s="355">
        <f>F13+F19</f>
        <v>16884327</v>
      </c>
      <c r="G12" s="355">
        <f>G13+G19</f>
        <v>14854078.789999999</v>
      </c>
      <c r="H12" s="355">
        <f>H13+H19</f>
        <v>14854078.789999999</v>
      </c>
      <c r="I12" s="356">
        <f t="shared" ref="I12:I17" si="0">G12/F12</f>
        <v>0.87975545545878131</v>
      </c>
      <c r="J12" s="775">
        <f t="shared" ref="J12:J17" si="1">H12/F12</f>
        <v>0.87975545545878131</v>
      </c>
      <c r="K12" s="346"/>
      <c r="L12" s="776"/>
      <c r="M12" s="777"/>
    </row>
    <row r="13" spans="1:13">
      <c r="A13" s="364"/>
      <c r="B13" s="365" t="s">
        <v>50</v>
      </c>
      <c r="C13" s="366"/>
      <c r="D13" s="367">
        <f>SUM(D14:D17)</f>
        <v>15171300</v>
      </c>
      <c r="E13" s="367">
        <f>SUM(E14:E17)</f>
        <v>14859690</v>
      </c>
      <c r="F13" s="367">
        <f>SUM(F14:F17)</f>
        <v>13338142</v>
      </c>
      <c r="G13" s="367">
        <f>SUM(G14:G17)</f>
        <v>11991330.389999999</v>
      </c>
      <c r="H13" s="367">
        <f>SUM(H14:H17)</f>
        <v>11991330.389999999</v>
      </c>
      <c r="I13" s="368">
        <f t="shared" si="0"/>
        <v>0.89902554568694792</v>
      </c>
      <c r="J13" s="778">
        <f t="shared" si="1"/>
        <v>0.89902554568694792</v>
      </c>
    </row>
    <row r="14" spans="1:13">
      <c r="A14" s="369"/>
      <c r="B14" s="370"/>
      <c r="C14" s="371" t="s">
        <v>525</v>
      </c>
      <c r="D14" s="372">
        <f>Objeto!$C$247</f>
        <v>11175200</v>
      </c>
      <c r="E14" s="372">
        <f>Objeto!$GR$247</f>
        <v>10637338</v>
      </c>
      <c r="F14" s="372">
        <f>Objeto!$GS$247</f>
        <v>9621411</v>
      </c>
      <c r="G14" s="372">
        <f>Objeto!$IG$247</f>
        <v>8739415</v>
      </c>
      <c r="H14" s="372">
        <f>Objeto!$IH$247</f>
        <v>8739415</v>
      </c>
      <c r="I14" s="368">
        <f t="shared" si="0"/>
        <v>0.9083298697041422</v>
      </c>
      <c r="J14" s="778">
        <f t="shared" si="1"/>
        <v>0.9083298697041422</v>
      </c>
    </row>
    <row r="15" spans="1:13">
      <c r="A15" s="369"/>
      <c r="B15" s="370"/>
      <c r="C15" s="371" t="s">
        <v>1110</v>
      </c>
      <c r="D15" s="372">
        <f>Objeto!$C$248+Objeto!$C$369</f>
        <v>629000</v>
      </c>
      <c r="E15" s="372">
        <f>Objeto!$GR$248+Objeto!$GR$369</f>
        <v>610300</v>
      </c>
      <c r="F15" s="372">
        <f>Objeto!$GS$248+Objeto!$GS$369</f>
        <v>553119</v>
      </c>
      <c r="G15" s="372">
        <f>Objeto!$IG$248+Objeto!$IG$369</f>
        <v>465750.7</v>
      </c>
      <c r="H15" s="372">
        <f>Objeto!$IH$248+Objeto!$IH$369</f>
        <v>465750.7</v>
      </c>
      <c r="I15" s="368">
        <f>G15/F15</f>
        <v>0.84204429788164936</v>
      </c>
      <c r="J15" s="778">
        <f>H15/F15</f>
        <v>0.84204429788164936</v>
      </c>
    </row>
    <row r="16" spans="1:13">
      <c r="A16" s="369"/>
      <c r="B16" s="370"/>
      <c r="C16" s="371" t="s">
        <v>58</v>
      </c>
      <c r="D16" s="372">
        <f>+Objeto!$C$251+Objeto!$C$255</f>
        <v>1907300</v>
      </c>
      <c r="E16" s="372">
        <f>+Objeto!$GR$251+Objeto!$GR$255</f>
        <v>1821916</v>
      </c>
      <c r="F16" s="372">
        <f>+Objeto!$GS$251+Objeto!$GS$255</f>
        <v>1648526</v>
      </c>
      <c r="G16" s="372">
        <f>+Objeto!$IG$251+Objeto!$IG$255</f>
        <v>1484807.69</v>
      </c>
      <c r="H16" s="372">
        <f>+Objeto!$IH$251+Objeto!$IH$255</f>
        <v>1484807.69</v>
      </c>
      <c r="I16" s="368">
        <f t="shared" si="0"/>
        <v>0.90068806315459993</v>
      </c>
      <c r="J16" s="778">
        <f t="shared" si="1"/>
        <v>0.90068806315459993</v>
      </c>
    </row>
    <row r="17" spans="1:13">
      <c r="A17" s="369"/>
      <c r="B17" s="370"/>
      <c r="C17" s="371" t="s">
        <v>864</v>
      </c>
      <c r="D17" s="372">
        <f>+Objeto!$C$257+Objeto!$C$259+Objeto!$C$265+Objeto!$C$267+Objeto!$C$371+Objeto!$C$373+Objeto!$C$375</f>
        <v>1459800</v>
      </c>
      <c r="E17" s="372">
        <f>+Objeto!$GR$257+Objeto!$GR$259+Objeto!$GR$265+Objeto!$GR$267+Objeto!$GR$371+Objeto!$GR$373+Objeto!$GR$375</f>
        <v>1790136</v>
      </c>
      <c r="F17" s="372">
        <f>+Objeto!$GS$257+Objeto!$GS$259+Objeto!$GS$265+Objeto!$GS$267+Objeto!$GS$371+Objeto!$GS$373+Objeto!$GS$375</f>
        <v>1515086</v>
      </c>
      <c r="G17" s="372">
        <f>+Objeto!$IG$257+Objeto!$IG$259+Objeto!$IG$265+Objeto!$IG$267+Objeto!$IG$371+Objeto!$IG$373+Objeto!$IG$375</f>
        <v>1301357</v>
      </c>
      <c r="H17" s="372">
        <f>+Objeto!$IH$257+Objeto!$IH$259+Objeto!$IH$265+Objeto!$IH$267+Objeto!$IH$371+Objeto!$IH$373+Objeto!$IH$375</f>
        <v>1301357</v>
      </c>
      <c r="I17" s="368">
        <f t="shared" si="0"/>
        <v>0.85893276025255327</v>
      </c>
      <c r="J17" s="778">
        <f t="shared" si="1"/>
        <v>0.85893276025255327</v>
      </c>
    </row>
    <row r="18" spans="1:13" ht="13.5" thickBot="1">
      <c r="A18" s="369"/>
      <c r="B18" s="370"/>
      <c r="C18" s="371"/>
      <c r="D18" s="372"/>
      <c r="E18" s="372"/>
      <c r="F18" s="372"/>
      <c r="G18" s="372"/>
      <c r="H18" s="372"/>
      <c r="I18" s="373"/>
      <c r="J18" s="779"/>
    </row>
    <row r="19" spans="1:13" s="336" customFormat="1" ht="13.5" thickBot="1">
      <c r="A19" s="361"/>
      <c r="B19" s="362" t="s">
        <v>865</v>
      </c>
      <c r="C19" s="363"/>
      <c r="D19" s="355">
        <f>+Objeto!$C$273+Objeto!$C308+Objeto!$C$329+Objeto!$C$347+Objeto!$C$378+Objeto!$C$437+Objeto!$C$505+Objeto!$C$530+Objeto!$C$541</f>
        <v>3688600</v>
      </c>
      <c r="E19" s="355">
        <f>+Objeto!$GR$273+Objeto!$GR$308+Objeto!$GR$329+Objeto!$GR$347+Objeto!$GR$378+Objeto!$GR$437+Objeto!$GR$505+Objeto!$GR$530+Objeto!$GR$541</f>
        <v>3648837</v>
      </c>
      <c r="F19" s="355">
        <f>+Objeto!$GS$273+Objeto!$GS$308+Objeto!$GS$329+Objeto!$GS$347+Objeto!$GS$378+Objeto!$GS$437+Objeto!$GS$505+Objeto!$GS$530+Objeto!$GS$541</f>
        <v>3546185</v>
      </c>
      <c r="G19" s="355">
        <f>+Objeto!$IG$273+Objeto!$IG$308+Objeto!$IG$329+Objeto!$IG$347+Objeto!$IG$378+Objeto!$IG$437+Objeto!$IG$505+Objeto!$IG$530+Objeto!$IG$541</f>
        <v>2862748.4000000004</v>
      </c>
      <c r="H19" s="355">
        <f>+Objeto!$IH$273+Objeto!$IH$308+Objeto!$IH$329+Objeto!$IH$347+Objeto!$IH$378+Objeto!$IH$437+Objeto!$IH$505+Objeto!$IH$530+Objeto!$IH$541</f>
        <v>2862748.4000000004</v>
      </c>
      <c r="I19" s="356">
        <f>G19/F19</f>
        <v>0.80727553695027199</v>
      </c>
      <c r="J19" s="775">
        <f>H19/F19</f>
        <v>0.80727553695027199</v>
      </c>
      <c r="K19" s="346"/>
      <c r="L19" s="346"/>
      <c r="M19" s="346"/>
    </row>
    <row r="20" spans="1:13" ht="13.5" thickBot="1">
      <c r="A20" s="374"/>
      <c r="B20" s="374"/>
      <c r="C20" s="374"/>
      <c r="D20" s="375"/>
      <c r="E20" s="375"/>
      <c r="F20" s="375"/>
      <c r="G20" s="375"/>
      <c r="H20" s="375"/>
      <c r="I20" s="376"/>
      <c r="J20" s="376"/>
    </row>
    <row r="21" spans="1:13" s="336" customFormat="1" ht="13.5" thickBot="1">
      <c r="A21" s="361" t="s">
        <v>866</v>
      </c>
      <c r="B21" s="362"/>
      <c r="C21" s="363"/>
      <c r="D21" s="355">
        <f>D22+D28</f>
        <v>33477500</v>
      </c>
      <c r="E21" s="355">
        <f>E22+E28</f>
        <v>33871814</v>
      </c>
      <c r="F21" s="355">
        <f>F22+F28</f>
        <v>30803507</v>
      </c>
      <c r="G21" s="355">
        <f>G22+G28</f>
        <v>27911592.760000002</v>
      </c>
      <c r="H21" s="355">
        <f>H22+H28</f>
        <v>27911592.760000002</v>
      </c>
      <c r="I21" s="356">
        <f t="shared" ref="I21:I26" si="2">G21/F21</f>
        <v>0.90611737033708539</v>
      </c>
      <c r="J21" s="775">
        <f t="shared" ref="J21:J26" si="3">H21/F21</f>
        <v>0.90611737033708539</v>
      </c>
      <c r="K21" s="346"/>
      <c r="L21" s="346"/>
      <c r="M21" s="346"/>
    </row>
    <row r="22" spans="1:13">
      <c r="A22" s="364"/>
      <c r="B22" s="365" t="s">
        <v>50</v>
      </c>
      <c r="C22" s="366"/>
      <c r="D22" s="367">
        <f>SUM(D23:D26)</f>
        <v>32977500</v>
      </c>
      <c r="E22" s="367">
        <f>SUM(E23:E26)</f>
        <v>33068931</v>
      </c>
      <c r="F22" s="367">
        <f>SUM(F23:F26)</f>
        <v>30046078</v>
      </c>
      <c r="G22" s="367">
        <f>SUM(G23:G26)</f>
        <v>27381010.25</v>
      </c>
      <c r="H22" s="367">
        <f>SUM(H23:H26)</f>
        <v>27381010.25</v>
      </c>
      <c r="I22" s="368">
        <f t="shared" si="2"/>
        <v>0.91130064462989147</v>
      </c>
      <c r="J22" s="778">
        <f t="shared" si="3"/>
        <v>0.91130064462989147</v>
      </c>
    </row>
    <row r="23" spans="1:13">
      <c r="A23" s="369"/>
      <c r="B23" s="370"/>
      <c r="C23" s="371" t="s">
        <v>525</v>
      </c>
      <c r="D23" s="372">
        <f>Objeto!$C$582</f>
        <v>22423200</v>
      </c>
      <c r="E23" s="372">
        <f>Objeto!$GR$582</f>
        <v>21727388</v>
      </c>
      <c r="F23" s="372">
        <f>Objeto!$GS$582</f>
        <v>19724667</v>
      </c>
      <c r="G23" s="372">
        <f>Objeto!$IG$582</f>
        <v>17804811.489999998</v>
      </c>
      <c r="H23" s="372">
        <f>Objeto!$IH$582</f>
        <v>17804811.489999998</v>
      </c>
      <c r="I23" s="368">
        <f t="shared" si="2"/>
        <v>0.90266727899639565</v>
      </c>
      <c r="J23" s="778">
        <f t="shared" si="3"/>
        <v>0.90266727899639565</v>
      </c>
    </row>
    <row r="24" spans="1:13">
      <c r="A24" s="369"/>
      <c r="B24" s="370"/>
      <c r="C24" s="371" t="s">
        <v>526</v>
      </c>
      <c r="D24" s="372">
        <f>Objeto!$C$583</f>
        <v>0</v>
      </c>
      <c r="E24" s="372">
        <f>Objeto!$GR$583</f>
        <v>0</v>
      </c>
      <c r="F24" s="372">
        <f>Objeto!$GS$583</f>
        <v>0</v>
      </c>
      <c r="G24" s="372">
        <f>Objeto!$IG$583</f>
        <v>0</v>
      </c>
      <c r="H24" s="372">
        <f>Objeto!$IH$583</f>
        <v>0</v>
      </c>
      <c r="I24" s="368" t="e">
        <f t="shared" si="2"/>
        <v>#DIV/0!</v>
      </c>
      <c r="J24" s="778" t="e">
        <f t="shared" si="3"/>
        <v>#DIV/0!</v>
      </c>
    </row>
    <row r="25" spans="1:13">
      <c r="A25" s="369"/>
      <c r="B25" s="370"/>
      <c r="C25" s="371" t="s">
        <v>58</v>
      </c>
      <c r="D25" s="372">
        <f>Objeto!$C$585+Objeto!$C$613</f>
        <v>4664500</v>
      </c>
      <c r="E25" s="372">
        <f>Objeto!$GR$585+Objeto!$GR$613</f>
        <v>4604693</v>
      </c>
      <c r="F25" s="372">
        <f>Objeto!$GS$585+Objeto!$GS$613</f>
        <v>4192283</v>
      </c>
      <c r="G25" s="372">
        <f>Objeto!$IG$585+Objeto!$IG$613</f>
        <v>3750224.33</v>
      </c>
      <c r="H25" s="372">
        <f>Objeto!$IH$585+Objeto!$IH$613</f>
        <v>3750224.33</v>
      </c>
      <c r="I25" s="368">
        <f t="shared" si="2"/>
        <v>0.89455419159441285</v>
      </c>
      <c r="J25" s="778">
        <f t="shared" si="3"/>
        <v>0.89455419159441285</v>
      </c>
    </row>
    <row r="26" spans="1:13">
      <c r="A26" s="369"/>
      <c r="B26" s="370"/>
      <c r="C26" s="371" t="s">
        <v>864</v>
      </c>
      <c r="D26" s="372">
        <f>Objeto!$C$590+Objeto!$C$592+Objeto!$C$598+Objeto!$C$600+Objeto!$C$616</f>
        <v>5889800</v>
      </c>
      <c r="E26" s="785">
        <f>Objeto!$GR$590+Objeto!$GR$592+Objeto!$GR$598+Objeto!$GR$600+Objeto!$GR$616</f>
        <v>6736850</v>
      </c>
      <c r="F26" s="785">
        <f>Objeto!$GS$590+Objeto!$GS$592+Objeto!$GS$598+Objeto!$GS$600+Objeto!$GS$616</f>
        <v>6129128</v>
      </c>
      <c r="G26" s="785">
        <f>Objeto!$IG$590+Objeto!$IG$592+Objeto!$IG$598+Objeto!$IG$600+Objeto!$IG$616</f>
        <v>5825974.4300000006</v>
      </c>
      <c r="H26" s="785">
        <f>Objeto!$IH$590+Objeto!$IH$592+Objeto!$IH$598+Objeto!$IH$600+Objeto!$IH$616</f>
        <v>5825974.4300000006</v>
      </c>
      <c r="I26" s="368">
        <f t="shared" si="2"/>
        <v>0.95053887437168882</v>
      </c>
      <c r="J26" s="778">
        <f t="shared" si="3"/>
        <v>0.95053887437168882</v>
      </c>
    </row>
    <row r="27" spans="1:13" ht="13.5" thickBot="1">
      <c r="A27" s="374"/>
      <c r="B27" s="374"/>
      <c r="C27" s="374"/>
      <c r="D27" s="375"/>
      <c r="E27" s="375"/>
      <c r="F27" s="375"/>
      <c r="G27" s="375"/>
      <c r="H27" s="375"/>
      <c r="I27" s="376"/>
      <c r="J27" s="376"/>
    </row>
    <row r="28" spans="1:13" s="336" customFormat="1" ht="13.5" thickBot="1">
      <c r="A28" s="361"/>
      <c r="B28" s="362" t="s">
        <v>865</v>
      </c>
      <c r="C28" s="363"/>
      <c r="D28" s="355">
        <f>+Objeto!$C$619</f>
        <v>500000</v>
      </c>
      <c r="E28" s="355">
        <f>+Objeto!$GR$619</f>
        <v>802883</v>
      </c>
      <c r="F28" s="355">
        <f>+Objeto!$GS$619</f>
        <v>757429</v>
      </c>
      <c r="G28" s="355">
        <f>+Objeto!$IG$619</f>
        <v>530582.51</v>
      </c>
      <c r="H28" s="355">
        <f>+Objeto!$IH$619</f>
        <v>530582.51</v>
      </c>
      <c r="I28" s="356">
        <f>G28/F28</f>
        <v>0.70050461495400895</v>
      </c>
      <c r="J28" s="775">
        <f>H28/F28</f>
        <v>0.70050461495400895</v>
      </c>
      <c r="K28" s="346"/>
      <c r="L28" s="346"/>
      <c r="M28" s="346"/>
    </row>
    <row r="29" spans="1:13" ht="13.5" thickBot="1">
      <c r="A29" s="377"/>
      <c r="B29" s="377"/>
      <c r="C29" s="377"/>
      <c r="D29" s="375"/>
      <c r="E29" s="375"/>
      <c r="F29" s="375"/>
      <c r="G29" s="375"/>
      <c r="H29" s="375"/>
      <c r="I29" s="376"/>
      <c r="J29" s="376"/>
    </row>
    <row r="30" spans="1:13" s="336" customFormat="1" ht="13.5" thickBot="1">
      <c r="A30" s="361" t="s">
        <v>329</v>
      </c>
      <c r="B30" s="362"/>
      <c r="C30" s="363"/>
      <c r="D30" s="355">
        <f>D31</f>
        <v>445300</v>
      </c>
      <c r="E30" s="355">
        <f>E31</f>
        <v>402359</v>
      </c>
      <c r="F30" s="355">
        <f>F31</f>
        <v>359746</v>
      </c>
      <c r="G30" s="355">
        <f>G31</f>
        <v>307183.76</v>
      </c>
      <c r="H30" s="355">
        <f>H31</f>
        <v>307183.76</v>
      </c>
      <c r="I30" s="356">
        <f>G30/F30</f>
        <v>0.85389068954206582</v>
      </c>
      <c r="J30" s="775">
        <f>H30/F30</f>
        <v>0.85389068954206582</v>
      </c>
      <c r="K30" s="346"/>
      <c r="L30" s="346"/>
      <c r="M30" s="346"/>
    </row>
    <row r="31" spans="1:13">
      <c r="A31" s="364"/>
      <c r="B31" s="365" t="s">
        <v>50</v>
      </c>
      <c r="C31" s="366"/>
      <c r="D31" s="367">
        <f>SUM(D32:D34)</f>
        <v>445300</v>
      </c>
      <c r="E31" s="367">
        <f>SUM(E32:E34)</f>
        <v>402359</v>
      </c>
      <c r="F31" s="367">
        <f>SUM(F32:F34)</f>
        <v>359746</v>
      </c>
      <c r="G31" s="367">
        <f>SUM(G32:G34)</f>
        <v>307183.76</v>
      </c>
      <c r="H31" s="367">
        <f>SUM(H32:H34)</f>
        <v>307183.76</v>
      </c>
      <c r="I31" s="368">
        <f>G31/F31</f>
        <v>0.85389068954206582</v>
      </c>
      <c r="J31" s="778">
        <f>H31/F31</f>
        <v>0.85389068954206582</v>
      </c>
    </row>
    <row r="32" spans="1:13">
      <c r="A32" s="369"/>
      <c r="B32" s="370"/>
      <c r="C32" s="371" t="s">
        <v>525</v>
      </c>
      <c r="D32" s="372">
        <f>Objeto!$C$635</f>
        <v>280200</v>
      </c>
      <c r="E32" s="372">
        <f>Objeto!$GR$635</f>
        <v>247254</v>
      </c>
      <c r="F32" s="372">
        <f>Objeto!$GS$635</f>
        <v>221781</v>
      </c>
      <c r="G32" s="372">
        <f>Objeto!$IG$635</f>
        <v>179881.67</v>
      </c>
      <c r="H32" s="372">
        <f>Objeto!$IH$635</f>
        <v>179881.67</v>
      </c>
      <c r="I32" s="368">
        <f>G32/F32</f>
        <v>0.81107791019068365</v>
      </c>
      <c r="J32" s="778">
        <f>H32/F32</f>
        <v>0.81107791019068365</v>
      </c>
    </row>
    <row r="33" spans="1:13">
      <c r="A33" s="369"/>
      <c r="B33" s="370"/>
      <c r="C33" s="371" t="s">
        <v>58</v>
      </c>
      <c r="D33" s="372">
        <f>Objeto!$C$637+Objeto!$C$641+Objeto!C656</f>
        <v>79900</v>
      </c>
      <c r="E33" s="372">
        <f>Objeto!$GR$637+Objeto!$GR$641+Objeto!GR656</f>
        <v>73939</v>
      </c>
      <c r="F33" s="372">
        <f>Objeto!$GS$637+Objeto!$GS$641+Objeto!GS656</f>
        <v>66676</v>
      </c>
      <c r="G33" s="372">
        <f>Objeto!$IG$637+Objeto!$IG$641+Objeto!IG656</f>
        <v>56046.13</v>
      </c>
      <c r="H33" s="372">
        <f>Objeto!$IG$637+Objeto!$IG$641+Objeto!IH656</f>
        <v>56046.13</v>
      </c>
      <c r="I33" s="368">
        <f>G33/F33</f>
        <v>0.84057426960225567</v>
      </c>
      <c r="J33" s="778">
        <f>H33/F33</f>
        <v>0.84057426960225567</v>
      </c>
    </row>
    <row r="34" spans="1:13">
      <c r="A34" s="369"/>
      <c r="B34" s="370"/>
      <c r="C34" s="371" t="s">
        <v>864</v>
      </c>
      <c r="D34" s="372">
        <f>Objeto!$C$643+Objeto!$C$645</f>
        <v>85200</v>
      </c>
      <c r="E34" s="785">
        <f>Objeto!$GR$643+Objeto!$GR$645</f>
        <v>81166</v>
      </c>
      <c r="F34" s="785">
        <f>Objeto!$GS$643+Objeto!$GS$645</f>
        <v>71289</v>
      </c>
      <c r="G34" s="785">
        <f>Objeto!$IG$643+Objeto!$IG$645</f>
        <v>71255.960000000006</v>
      </c>
      <c r="H34" s="785">
        <f>Objeto!$IH$643+Objeto!$IH$645</f>
        <v>71255.960000000006</v>
      </c>
      <c r="I34" s="368">
        <f>G34/F34</f>
        <v>0.99953653438819468</v>
      </c>
      <c r="J34" s="778">
        <f>H34/F34</f>
        <v>0.99953653438819468</v>
      </c>
    </row>
    <row r="35" spans="1:13">
      <c r="D35" s="348"/>
      <c r="E35" s="348"/>
      <c r="F35" s="348"/>
      <c r="G35" s="348"/>
      <c r="H35" s="348"/>
    </row>
    <row r="36" spans="1:13" ht="13.5" thickBot="1">
      <c r="D36" s="348"/>
    </row>
    <row r="37" spans="1:13" s="336" customFormat="1" ht="13.5" thickBot="1">
      <c r="A37" s="361" t="s">
        <v>539</v>
      </c>
      <c r="B37" s="362"/>
      <c r="C37" s="363"/>
      <c r="D37" s="355">
        <f>D38</f>
        <v>5000000</v>
      </c>
      <c r="E37" s="355">
        <f>E38</f>
        <v>5000000</v>
      </c>
      <c r="F37" s="355">
        <f>F38</f>
        <v>5000000</v>
      </c>
      <c r="G37" s="355">
        <f>G38</f>
        <v>1695381.5</v>
      </c>
      <c r="H37" s="355">
        <f>H38</f>
        <v>1695381.5</v>
      </c>
      <c r="I37" s="356">
        <f>G37/F37</f>
        <v>0.3390763</v>
      </c>
      <c r="J37" s="775">
        <f>H37/F37</f>
        <v>0.3390763</v>
      </c>
      <c r="K37" s="346"/>
      <c r="L37" s="346"/>
      <c r="M37" s="346"/>
    </row>
    <row r="38" spans="1:13">
      <c r="A38" s="364"/>
      <c r="B38" s="365" t="s">
        <v>936</v>
      </c>
      <c r="C38" s="366"/>
      <c r="D38" s="784">
        <f>Objeto!$C$660</f>
        <v>5000000</v>
      </c>
      <c r="E38" s="784">
        <f>Objeto!$GR$660</f>
        <v>5000000</v>
      </c>
      <c r="F38" s="784">
        <f>Objeto!$GS$660</f>
        <v>5000000</v>
      </c>
      <c r="G38" s="784">
        <f>Objeto!$IG$660</f>
        <v>1695381.5</v>
      </c>
      <c r="H38" s="784">
        <f>Objeto!$IH$660</f>
        <v>1695381.5</v>
      </c>
      <c r="I38" s="368">
        <f>G38/F38</f>
        <v>0.3390763</v>
      </c>
      <c r="J38" s="778">
        <f>H38/F38</f>
        <v>0.3390763</v>
      </c>
    </row>
    <row r="39" spans="1:13">
      <c r="A39" s="369"/>
      <c r="B39" s="783" t="s">
        <v>957</v>
      </c>
      <c r="C39" s="371"/>
      <c r="D39" s="372">
        <f>Objeto!$C$721</f>
        <v>288100</v>
      </c>
      <c r="E39" s="372">
        <f>Objeto!$GR$721</f>
        <v>677867</v>
      </c>
      <c r="F39" s="372">
        <f>Objeto!$GS$721</f>
        <v>677867</v>
      </c>
      <c r="G39" s="372">
        <f>Objeto!$IG$721</f>
        <v>96307.69</v>
      </c>
      <c r="H39" s="372">
        <f>Objeto!$IH$721</f>
        <v>96307.69</v>
      </c>
      <c r="I39" s="368">
        <f>G39/F39</f>
        <v>0.14207461050619075</v>
      </c>
      <c r="J39" s="778">
        <f>H39/F39</f>
        <v>0.14207461050619075</v>
      </c>
    </row>
    <row r="40" spans="1:13">
      <c r="A40" s="369"/>
      <c r="B40" s="783" t="s">
        <v>329</v>
      </c>
      <c r="C40" s="371"/>
      <c r="D40" s="372">
        <f>Objeto!$C$764</f>
        <v>3836800</v>
      </c>
      <c r="E40" s="372">
        <f>Objeto!$GR$764</f>
        <v>2282826</v>
      </c>
      <c r="F40" s="372">
        <f>Objeto!$GS$764</f>
        <v>2282826</v>
      </c>
      <c r="G40" s="372">
        <f>Objeto!$IG$764</f>
        <v>746428.86</v>
      </c>
      <c r="H40" s="372">
        <f>Objeto!$IH$764</f>
        <v>746428.86</v>
      </c>
      <c r="I40" s="368">
        <f>G40/F40</f>
        <v>0.32697580104659751</v>
      </c>
      <c r="J40" s="778">
        <f>H40/F40</f>
        <v>0.32697580104659751</v>
      </c>
    </row>
    <row r="41" spans="1:13">
      <c r="A41" s="369"/>
      <c r="B41" s="370"/>
      <c r="C41" s="371"/>
      <c r="D41" s="372"/>
      <c r="E41" s="785"/>
      <c r="F41" s="785"/>
      <c r="G41" s="785"/>
      <c r="H41" s="785"/>
      <c r="I41" s="786"/>
      <c r="J41" s="787"/>
    </row>
    <row r="42" spans="1:13">
      <c r="D42" s="348"/>
    </row>
    <row r="43" spans="1:13">
      <c r="C43" s="161" t="s">
        <v>872</v>
      </c>
      <c r="D43" s="349">
        <f>E22/E21</f>
        <v>0.97629642746621126</v>
      </c>
    </row>
    <row r="44" spans="1:13">
      <c r="C44" s="161"/>
      <c r="D44" s="349">
        <f>E28/E21</f>
        <v>2.3703572533788714E-2</v>
      </c>
    </row>
    <row r="45" spans="1:13">
      <c r="C45" s="161" t="s">
        <v>873</v>
      </c>
      <c r="D45" s="349">
        <f>E13/E12</f>
        <v>0.80285643476652679</v>
      </c>
    </row>
    <row r="46" spans="1:13">
      <c r="C46" s="161"/>
      <c r="D46" s="349">
        <f>E19/E12</f>
        <v>0.19714356523347321</v>
      </c>
    </row>
    <row r="47" spans="1:13">
      <c r="C47" s="161" t="s">
        <v>874</v>
      </c>
      <c r="D47" s="349">
        <f>E31/E30</f>
        <v>1</v>
      </c>
    </row>
    <row r="48" spans="1:13">
      <c r="D48" s="348"/>
    </row>
    <row r="50" spans="4:4">
      <c r="D50" s="348"/>
    </row>
  </sheetData>
  <mergeCells count="7">
    <mergeCell ref="A10:C10"/>
    <mergeCell ref="A8:C8"/>
    <mergeCell ref="A1:J1"/>
    <mergeCell ref="A2:J2"/>
    <mergeCell ref="A3:J3"/>
    <mergeCell ref="A4:J4"/>
    <mergeCell ref="A6:C6"/>
  </mergeCells>
  <printOptions horizontalCentered="1"/>
  <pageMargins left="0" right="0" top="0.59055118110236227" bottom="0" header="0.31496062992125984" footer="0.31496062992125984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07"/>
  <sheetViews>
    <sheetView workbookViewId="0">
      <selection activeCell="A15" sqref="A15"/>
    </sheetView>
  </sheetViews>
  <sheetFormatPr baseColWidth="10" defaultRowHeight="12.75"/>
  <cols>
    <col min="1" max="1" width="2.140625" customWidth="1"/>
    <col min="2" max="2" width="4" customWidth="1"/>
    <col min="3" max="3" width="4.28515625" customWidth="1"/>
    <col min="4" max="4" width="35.42578125" customWidth="1"/>
    <col min="5" max="5" width="6.5703125" style="643" customWidth="1"/>
    <col min="6" max="6" width="15.5703125" customWidth="1"/>
    <col min="7" max="7" width="6.42578125" style="643" customWidth="1"/>
    <col min="8" max="8" width="15.5703125" customWidth="1"/>
    <col min="9" max="9" width="6.140625" style="643" customWidth="1"/>
    <col min="10" max="10" width="15.5703125" customWidth="1"/>
    <col min="11" max="11" width="6.42578125" style="643" customWidth="1"/>
    <col min="12" max="12" width="15.5703125" customWidth="1"/>
    <col min="13" max="13" width="6.42578125" style="643" customWidth="1"/>
    <col min="14" max="14" width="14.140625" customWidth="1"/>
    <col min="15" max="15" width="6.140625" style="643" customWidth="1"/>
    <col min="16" max="16" width="16.140625" customWidth="1"/>
    <col min="17" max="18" width="16.7109375" customWidth="1"/>
    <col min="19" max="19" width="15.5703125" customWidth="1"/>
    <col min="20" max="20" width="12.7109375" style="643" customWidth="1"/>
    <col min="21" max="21" width="13.140625" style="643" customWidth="1"/>
    <col min="22" max="22" width="11.42578125" style="764"/>
  </cols>
  <sheetData>
    <row r="1" spans="1:22" ht="18" customHeight="1">
      <c r="A1" s="1015" t="s">
        <v>0</v>
      </c>
      <c r="B1" s="1015"/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  <c r="P1" s="1015"/>
      <c r="Q1" s="1015"/>
      <c r="R1" s="1015"/>
      <c r="S1" s="1015"/>
      <c r="T1" s="1015"/>
      <c r="U1" s="1015"/>
    </row>
    <row r="2" spans="1:22" ht="18" customHeight="1">
      <c r="A2" s="1015" t="s">
        <v>1021</v>
      </c>
      <c r="B2" s="1015"/>
      <c r="C2" s="1015"/>
      <c r="D2" s="1015"/>
      <c r="E2" s="1015"/>
      <c r="F2" s="1015"/>
      <c r="G2" s="1015"/>
      <c r="H2" s="1015"/>
      <c r="I2" s="1015"/>
      <c r="J2" s="1015"/>
      <c r="K2" s="1015"/>
      <c r="L2" s="1015"/>
      <c r="M2" s="1015"/>
      <c r="N2" s="1015"/>
      <c r="O2" s="1015"/>
      <c r="P2" s="1015"/>
      <c r="Q2" s="1015"/>
      <c r="R2" s="1015"/>
      <c r="S2" s="1015"/>
      <c r="T2" s="1015"/>
      <c r="U2" s="1015"/>
    </row>
    <row r="3" spans="1:22" ht="14.25">
      <c r="A3" s="1015" t="s">
        <v>1249</v>
      </c>
      <c r="B3" s="1015"/>
      <c r="C3" s="1015"/>
      <c r="D3" s="1015"/>
      <c r="E3" s="1015"/>
      <c r="F3" s="1015"/>
      <c r="G3" s="1015"/>
      <c r="H3" s="1015"/>
      <c r="I3" s="1015"/>
      <c r="J3" s="1015"/>
      <c r="K3" s="1015"/>
      <c r="L3" s="1015"/>
      <c r="M3" s="1015"/>
      <c r="N3" s="1015"/>
      <c r="O3" s="1015"/>
      <c r="P3" s="1015"/>
      <c r="Q3" s="1015"/>
      <c r="R3" s="1015"/>
      <c r="S3" s="1015"/>
      <c r="T3" s="1015"/>
      <c r="U3" s="1015"/>
    </row>
    <row r="4" spans="1:22" ht="16.5" customHeight="1">
      <c r="A4" s="1015" t="s">
        <v>1022</v>
      </c>
      <c r="B4" s="1015"/>
      <c r="C4" s="1015"/>
      <c r="D4" s="1015"/>
      <c r="E4" s="1015"/>
      <c r="F4" s="1015"/>
      <c r="G4" s="1015"/>
      <c r="H4" s="1015"/>
      <c r="I4" s="1015"/>
      <c r="J4" s="1015"/>
      <c r="K4" s="1015"/>
      <c r="L4" s="1015"/>
      <c r="M4" s="1015"/>
      <c r="N4" s="1015"/>
      <c r="O4" s="1015"/>
      <c r="P4" s="1015"/>
      <c r="Q4" s="1015"/>
      <c r="R4" s="1015"/>
      <c r="S4" s="1015"/>
      <c r="T4" s="1015"/>
      <c r="U4" s="1015"/>
    </row>
    <row r="6" spans="1:22" ht="18" customHeight="1">
      <c r="A6" s="1027" t="s">
        <v>385</v>
      </c>
      <c r="B6" s="1028"/>
      <c r="C6" s="1028"/>
      <c r="D6" s="1029"/>
      <c r="E6" s="1016" t="s">
        <v>696</v>
      </c>
      <c r="F6" s="1018">
        <v>2012</v>
      </c>
      <c r="G6" s="1016" t="s">
        <v>696</v>
      </c>
      <c r="H6" s="1018">
        <v>2013</v>
      </c>
      <c r="I6" s="1016" t="s">
        <v>696</v>
      </c>
      <c r="J6" s="1018">
        <v>2014</v>
      </c>
      <c r="K6" s="1016" t="s">
        <v>696</v>
      </c>
      <c r="L6" s="1018">
        <v>2015</v>
      </c>
      <c r="M6" s="1016" t="s">
        <v>696</v>
      </c>
      <c r="N6" s="1018">
        <v>2016</v>
      </c>
      <c r="O6" s="1016" t="s">
        <v>696</v>
      </c>
      <c r="P6" s="1024" t="s">
        <v>1250</v>
      </c>
      <c r="Q6" s="1025"/>
      <c r="R6" s="1025"/>
      <c r="S6" s="1026"/>
      <c r="T6" s="1033" t="s">
        <v>1406</v>
      </c>
      <c r="U6" s="1033" t="s">
        <v>1038</v>
      </c>
    </row>
    <row r="7" spans="1:22" ht="14.25" customHeight="1">
      <c r="A7" s="1030"/>
      <c r="B7" s="1031"/>
      <c r="C7" s="1031"/>
      <c r="D7" s="1032"/>
      <c r="E7" s="1017"/>
      <c r="F7" s="1019"/>
      <c r="G7" s="1017"/>
      <c r="H7" s="1019"/>
      <c r="I7" s="1017"/>
      <c r="J7" s="1019"/>
      <c r="K7" s="1017"/>
      <c r="L7" s="1019"/>
      <c r="M7" s="1017"/>
      <c r="N7" s="1019"/>
      <c r="O7" s="1017"/>
      <c r="P7" s="729" t="s">
        <v>387</v>
      </c>
      <c r="Q7" s="729" t="s">
        <v>477</v>
      </c>
      <c r="R7" s="729" t="s">
        <v>40</v>
      </c>
      <c r="S7" s="729" t="s">
        <v>1037</v>
      </c>
      <c r="T7" s="1034"/>
      <c r="U7" s="1034"/>
    </row>
    <row r="8" spans="1:22" ht="13.5" thickBot="1">
      <c r="A8" s="730"/>
      <c r="B8" s="730"/>
      <c r="C8" s="730"/>
      <c r="D8" s="730"/>
      <c r="E8" s="765"/>
      <c r="F8" s="766"/>
      <c r="G8" s="765"/>
      <c r="H8" s="766"/>
      <c r="I8" s="765"/>
      <c r="J8" s="766"/>
      <c r="K8" s="765"/>
      <c r="L8" s="766"/>
      <c r="M8" s="765"/>
      <c r="N8" s="766"/>
      <c r="O8" s="765"/>
      <c r="P8" s="730"/>
      <c r="Q8" s="730"/>
      <c r="R8" s="730"/>
      <c r="S8" s="730"/>
    </row>
    <row r="9" spans="1:22" ht="15.75" thickBot="1">
      <c r="A9" s="731" t="s">
        <v>1023</v>
      </c>
      <c r="B9" s="732"/>
      <c r="C9" s="732"/>
      <c r="D9" s="732"/>
      <c r="E9" s="882">
        <v>2012</v>
      </c>
      <c r="F9" s="733">
        <f>+F11+F18</f>
        <v>35887100</v>
      </c>
      <c r="G9" s="882">
        <v>2013</v>
      </c>
      <c r="H9" s="733">
        <f>+H11+H18</f>
        <v>36443000</v>
      </c>
      <c r="I9" s="882">
        <v>2014</v>
      </c>
      <c r="J9" s="733">
        <f>+J11+J18</f>
        <v>40352800</v>
      </c>
      <c r="K9" s="882">
        <v>2015</v>
      </c>
      <c r="L9" s="733">
        <f>+L11+L18</f>
        <v>44778400</v>
      </c>
      <c r="M9" s="882">
        <v>2016</v>
      </c>
      <c r="N9" s="733">
        <f>+N11+N18</f>
        <v>51051800</v>
      </c>
      <c r="O9" s="882">
        <v>2017</v>
      </c>
      <c r="P9" s="733">
        <f>+P11+P18</f>
        <v>57782700</v>
      </c>
      <c r="Q9" s="733">
        <f>+Q11+Q18</f>
        <v>57782700</v>
      </c>
      <c r="R9" s="733">
        <f>+R11+R18</f>
        <v>52989178</v>
      </c>
      <c r="S9" s="733">
        <f>+S11+S18</f>
        <v>53195861.699999996</v>
      </c>
      <c r="T9" s="654">
        <f>S9/R9</f>
        <v>1.0039004888885046</v>
      </c>
      <c r="U9" s="654">
        <f>S9/Q9</f>
        <v>0.92061917667398707</v>
      </c>
    </row>
    <row r="10" spans="1:22" ht="14.25" thickTop="1" thickBot="1">
      <c r="A10" s="734"/>
      <c r="B10" s="734"/>
      <c r="C10" s="734"/>
      <c r="D10" s="734"/>
      <c r="E10" s="649"/>
      <c r="F10" s="767"/>
      <c r="G10" s="649"/>
      <c r="H10" s="767"/>
      <c r="I10" s="649"/>
      <c r="J10" s="754"/>
      <c r="K10" s="649"/>
      <c r="L10" s="877"/>
      <c r="M10" s="649"/>
      <c r="N10" s="877"/>
      <c r="O10" s="649"/>
      <c r="P10" s="735"/>
      <c r="Q10" s="735"/>
      <c r="R10" s="735"/>
      <c r="S10" s="735"/>
      <c r="T10" s="644"/>
      <c r="U10" s="644"/>
    </row>
    <row r="11" spans="1:22" s="640" customFormat="1" ht="13.5" thickBot="1">
      <c r="A11" s="736" t="s">
        <v>1024</v>
      </c>
      <c r="B11" s="737" t="s">
        <v>396</v>
      </c>
      <c r="C11" s="737"/>
      <c r="D11" s="737"/>
      <c r="E11" s="645">
        <f>F11/F9</f>
        <v>0.89032270648784662</v>
      </c>
      <c r="F11" s="768">
        <f>SUM(F13:F16)</f>
        <v>31951100</v>
      </c>
      <c r="G11" s="645">
        <f>H11/H9</f>
        <v>0.93330680789177622</v>
      </c>
      <c r="H11" s="768">
        <f>SUM(H13:H16)</f>
        <v>34012500</v>
      </c>
      <c r="I11" s="645">
        <f>J11/J9</f>
        <v>0.89070894708669535</v>
      </c>
      <c r="J11" s="768">
        <f>SUM(J13:J16)</f>
        <v>35942600</v>
      </c>
      <c r="K11" s="645">
        <f>L11/L9</f>
        <v>0.85684615796902075</v>
      </c>
      <c r="L11" s="738">
        <f>SUM(L13:L16)</f>
        <v>38368200</v>
      </c>
      <c r="M11" s="645">
        <f>N11/N9</f>
        <v>0.9020602603630038</v>
      </c>
      <c r="N11" s="738">
        <f>SUM(N13:N16)</f>
        <v>46051800</v>
      </c>
      <c r="O11" s="645">
        <f>P11/P9</f>
        <v>0.91346891024476184</v>
      </c>
      <c r="P11" s="738">
        <f>SUM(P13:P16)</f>
        <v>52782700</v>
      </c>
      <c r="Q11" s="738">
        <f>SUM(Q13:Q16)</f>
        <v>52782700</v>
      </c>
      <c r="R11" s="738">
        <f>SUM(R13:R16)</f>
        <v>47989178</v>
      </c>
      <c r="S11" s="738">
        <f>SUM(S13:S16)</f>
        <v>48195861.699999996</v>
      </c>
      <c r="T11" s="645">
        <f>S11/R11</f>
        <v>1.0043068814389777</v>
      </c>
      <c r="U11" s="645">
        <f>S11/Q11</f>
        <v>0.91309958944881553</v>
      </c>
      <c r="V11" s="764"/>
    </row>
    <row r="12" spans="1:22" s="640" customFormat="1">
      <c r="A12" s="739"/>
      <c r="B12" s="740" t="s">
        <v>1025</v>
      </c>
      <c r="C12" s="740" t="s">
        <v>1026</v>
      </c>
      <c r="D12" s="740"/>
      <c r="E12" s="646"/>
      <c r="F12" s="741"/>
      <c r="G12" s="646"/>
      <c r="H12" s="741"/>
      <c r="I12" s="646"/>
      <c r="J12" s="741"/>
      <c r="K12" s="646"/>
      <c r="L12" s="741"/>
      <c r="M12" s="646"/>
      <c r="N12" s="741"/>
      <c r="O12" s="646"/>
      <c r="P12" s="741"/>
      <c r="Q12" s="741"/>
      <c r="R12" s="741"/>
      <c r="S12" s="741"/>
      <c r="T12" s="646"/>
      <c r="U12" s="646"/>
      <c r="V12" s="764"/>
    </row>
    <row r="13" spans="1:22">
      <c r="A13" s="742"/>
      <c r="B13" s="743"/>
      <c r="C13" s="743"/>
      <c r="D13" s="743" t="s">
        <v>886</v>
      </c>
      <c r="E13" s="647">
        <f>F13/F9</f>
        <v>1.6939178702096297E-2</v>
      </c>
      <c r="F13" s="744">
        <v>607898</v>
      </c>
      <c r="G13" s="647">
        <f>H13/H9</f>
        <v>2.2813709079933048E-2</v>
      </c>
      <c r="H13" s="744">
        <v>831400</v>
      </c>
      <c r="I13" s="647">
        <f>J13/J9</f>
        <v>2.0603279078527388E-2</v>
      </c>
      <c r="J13" s="744">
        <v>831400</v>
      </c>
      <c r="K13" s="647">
        <f>L13/L9</f>
        <v>1.9596501884837331E-2</v>
      </c>
      <c r="L13" s="878">
        <v>877500</v>
      </c>
      <c r="M13" s="647">
        <f>N13/N9</f>
        <v>1.7188424306292825E-2</v>
      </c>
      <c r="N13" s="878">
        <f>[2]INGRESOS!D15</f>
        <v>877500</v>
      </c>
      <c r="O13" s="647">
        <f>P13/P9</f>
        <v>1.5186206252044298E-2</v>
      </c>
      <c r="P13" s="744">
        <f>INGRESOS!D15</f>
        <v>877500</v>
      </c>
      <c r="Q13" s="744">
        <f>P13</f>
        <v>877500</v>
      </c>
      <c r="R13" s="744">
        <f>INGRESOS!F15</f>
        <v>805300</v>
      </c>
      <c r="S13" s="744">
        <f>INGRESOS!S15</f>
        <v>382196.9</v>
      </c>
      <c r="T13" s="647">
        <f>S13/R13</f>
        <v>0.47460188749534338</v>
      </c>
      <c r="U13" s="647">
        <f>S13/Q13</f>
        <v>0.43555202279202282</v>
      </c>
    </row>
    <row r="14" spans="1:22">
      <c r="A14" s="742"/>
      <c r="B14" s="743"/>
      <c r="C14" s="743"/>
      <c r="D14" s="743" t="s">
        <v>593</v>
      </c>
      <c r="E14" s="647">
        <f>F14/F9</f>
        <v>0.81665043985164587</v>
      </c>
      <c r="F14" s="744">
        <v>29307216</v>
      </c>
      <c r="G14" s="647">
        <f>H14/H9</f>
        <v>0.83342754438438105</v>
      </c>
      <c r="H14" s="744">
        <v>30372600</v>
      </c>
      <c r="I14" s="647">
        <f>J14/J9</f>
        <v>0.80050702801292595</v>
      </c>
      <c r="J14" s="744">
        <v>32302700</v>
      </c>
      <c r="K14" s="647">
        <f>L14/L9</f>
        <v>0.76751737444839474</v>
      </c>
      <c r="L14" s="878">
        <v>34368200</v>
      </c>
      <c r="M14" s="647">
        <f>N14/N9</f>
        <v>0.82370846865340697</v>
      </c>
      <c r="N14" s="878">
        <f>[2]INGRESOS!C21</f>
        <v>42051800</v>
      </c>
      <c r="O14" s="647">
        <f>P14/P9</f>
        <v>0.84424403844057128</v>
      </c>
      <c r="P14" s="744">
        <f>INGRESOS!C21</f>
        <v>48782700</v>
      </c>
      <c r="Q14" s="744">
        <f>INGRESOS!D21</f>
        <v>48782700</v>
      </c>
      <c r="R14" s="744">
        <f>INGRESOS!F21</f>
        <v>44141882</v>
      </c>
      <c r="S14" s="744">
        <f>INGRESOS!S21</f>
        <v>44141882</v>
      </c>
      <c r="T14" s="647">
        <f>S14/R14</f>
        <v>1</v>
      </c>
      <c r="U14" s="647">
        <f>S14/Q14</f>
        <v>0.90486754525682256</v>
      </c>
    </row>
    <row r="15" spans="1:22">
      <c r="A15" s="742"/>
      <c r="B15" s="743"/>
      <c r="C15" s="743"/>
      <c r="D15" s="743" t="s">
        <v>891</v>
      </c>
      <c r="E15" s="647">
        <f>F15/F9</f>
        <v>4.8060584443992409E-2</v>
      </c>
      <c r="F15" s="744">
        <v>1724755</v>
      </c>
      <c r="G15" s="647">
        <f>H15/H9</f>
        <v>6.9969541475729216E-2</v>
      </c>
      <c r="H15" s="744">
        <v>2549900</v>
      </c>
      <c r="I15" s="647">
        <f>J15/J9</f>
        <v>6.3190162764417829E-2</v>
      </c>
      <c r="J15" s="744">
        <v>2549900</v>
      </c>
      <c r="K15" s="647">
        <f>L15/L9</f>
        <v>6.317108248619871E-2</v>
      </c>
      <c r="L15" s="878">
        <v>2828700</v>
      </c>
      <c r="M15" s="647">
        <f>N15/N9</f>
        <v>5.5408428302234199E-2</v>
      </c>
      <c r="N15" s="878">
        <f>[2]INGRESOS!C27</f>
        <v>2828700</v>
      </c>
      <c r="O15" s="647">
        <f>P15/P9</f>
        <v>4.8954098718128433E-2</v>
      </c>
      <c r="P15" s="744">
        <f>INGRESOS!C27</f>
        <v>2828700</v>
      </c>
      <c r="Q15" s="744">
        <f>INGRESOS!D27</f>
        <v>2828700</v>
      </c>
      <c r="R15" s="744">
        <f>INGRESOS!F27</f>
        <v>2748196</v>
      </c>
      <c r="S15" s="744">
        <f>INGRESOS!S27</f>
        <v>2696579.32</v>
      </c>
      <c r="T15" s="647">
        <f>S15/R15</f>
        <v>0.98121797717484482</v>
      </c>
      <c r="U15" s="647">
        <f>S15/Q15</f>
        <v>0.95329279174178949</v>
      </c>
    </row>
    <row r="16" spans="1:22">
      <c r="A16" s="742"/>
      <c r="B16" s="743"/>
      <c r="C16" s="743"/>
      <c r="D16" s="743" t="s">
        <v>893</v>
      </c>
      <c r="E16" s="647">
        <f>F16/F9</f>
        <v>8.6725034901120462E-3</v>
      </c>
      <c r="F16" s="744">
        <v>311231</v>
      </c>
      <c r="G16" s="647">
        <f>H16/H9</f>
        <v>7.0960129517328432E-3</v>
      </c>
      <c r="H16" s="744">
        <v>258600</v>
      </c>
      <c r="I16" s="647">
        <f>J16/J9</f>
        <v>6.4084772308241307E-3</v>
      </c>
      <c r="J16" s="744">
        <v>258600</v>
      </c>
      <c r="K16" s="647">
        <f>L16/L9</f>
        <v>6.5611991495899812E-3</v>
      </c>
      <c r="L16" s="878">
        <v>293800</v>
      </c>
      <c r="M16" s="647">
        <f>N16/N9</f>
        <v>5.7549391010698935E-3</v>
      </c>
      <c r="N16" s="878">
        <f>[2]INGRESOS!C38</f>
        <v>293800</v>
      </c>
      <c r="O16" s="647">
        <f>P16/P9</f>
        <v>5.0845668340177945E-3</v>
      </c>
      <c r="P16" s="744">
        <f>INGRESOS!C38</f>
        <v>293800</v>
      </c>
      <c r="Q16" s="744">
        <f>INGRESOS!D38</f>
        <v>293800</v>
      </c>
      <c r="R16" s="744">
        <f>INGRESOS!F38</f>
        <v>293800</v>
      </c>
      <c r="S16" s="744">
        <f>INGRESOS!S38</f>
        <v>975203.4800000001</v>
      </c>
      <c r="T16" s="647">
        <f>S16/R16</f>
        <v>3.3192766507828457</v>
      </c>
      <c r="U16" s="647">
        <f>S16/Q16</f>
        <v>3.3192766507828457</v>
      </c>
    </row>
    <row r="17" spans="1:22" ht="13.5" thickBot="1">
      <c r="A17" s="745"/>
      <c r="B17" s="746"/>
      <c r="C17" s="746"/>
      <c r="D17" s="746"/>
      <c r="E17" s="648"/>
      <c r="F17" s="747"/>
      <c r="G17" s="648"/>
      <c r="H17" s="747"/>
      <c r="I17" s="648"/>
      <c r="J17" s="747"/>
      <c r="K17" s="648"/>
      <c r="L17" s="879"/>
      <c r="M17" s="648"/>
      <c r="N17" s="879"/>
      <c r="O17" s="648"/>
      <c r="P17" s="747"/>
      <c r="Q17" s="747"/>
      <c r="R17" s="747"/>
      <c r="S17" s="747"/>
      <c r="T17" s="648"/>
      <c r="U17" s="648"/>
    </row>
    <row r="18" spans="1:22" s="640" customFormat="1" ht="13.5" thickBot="1">
      <c r="A18" s="736" t="s">
        <v>895</v>
      </c>
      <c r="B18" s="737" t="s">
        <v>436</v>
      </c>
      <c r="C18" s="737"/>
      <c r="D18" s="737"/>
      <c r="E18" s="645">
        <f>F18/F9</f>
        <v>0.1096772935121534</v>
      </c>
      <c r="F18" s="768">
        <f>SUM(F19:F20)</f>
        <v>3936000</v>
      </c>
      <c r="G18" s="645">
        <f>H18/H9</f>
        <v>6.6693192108223803E-2</v>
      </c>
      <c r="H18" s="768">
        <f>SUM(H19:H20)</f>
        <v>2430500</v>
      </c>
      <c r="I18" s="645">
        <f>J18/J9</f>
        <v>0.10929105291330465</v>
      </c>
      <c r="J18" s="768">
        <f>SUM(J19:J20)</f>
        <v>4410200</v>
      </c>
      <c r="K18" s="645">
        <f>L18/L9</f>
        <v>0.14315384203097922</v>
      </c>
      <c r="L18" s="738">
        <f>SUM(L19:L20)</f>
        <v>6410200</v>
      </c>
      <c r="M18" s="645">
        <f>N18/N9</f>
        <v>9.7939739636996148E-2</v>
      </c>
      <c r="N18" s="738">
        <f>SUM(N19:N20)</f>
        <v>5000000</v>
      </c>
      <c r="O18" s="645">
        <f>P18/P9</f>
        <v>8.6531089755238155E-2</v>
      </c>
      <c r="P18" s="738">
        <f>SUM(P19:P20)</f>
        <v>5000000</v>
      </c>
      <c r="Q18" s="738">
        <f>SUM(Q19:Q20)</f>
        <v>5000000</v>
      </c>
      <c r="R18" s="738">
        <f>SUM(R19:R20)</f>
        <v>5000000</v>
      </c>
      <c r="S18" s="738">
        <f>SUM(S19:S20)</f>
        <v>5000000</v>
      </c>
      <c r="T18" s="645">
        <f>S18/R18</f>
        <v>1</v>
      </c>
      <c r="U18" s="645">
        <f>S18/Q18</f>
        <v>1</v>
      </c>
      <c r="V18" s="764"/>
    </row>
    <row r="19" spans="1:22">
      <c r="A19" s="748"/>
      <c r="B19" s="749"/>
      <c r="C19" s="749" t="s">
        <v>1027</v>
      </c>
      <c r="D19" s="749"/>
      <c r="E19" s="646">
        <f>F19/F9</f>
        <v>8.1812127477561572E-2</v>
      </c>
      <c r="F19" s="750">
        <v>2936000</v>
      </c>
      <c r="G19" s="646">
        <f>H19/H9</f>
        <v>6.6693192108223803E-2</v>
      </c>
      <c r="H19" s="750">
        <v>2430500</v>
      </c>
      <c r="I19" s="646">
        <f>J19/J9</f>
        <v>0.10929105291330465</v>
      </c>
      <c r="J19" s="750">
        <v>4410200</v>
      </c>
      <c r="K19" s="646">
        <f>L19/L9</f>
        <v>0.14315384203097922</v>
      </c>
      <c r="L19" s="880">
        <v>6410200</v>
      </c>
      <c r="M19" s="646">
        <f>N19/N9</f>
        <v>9.7939739636996148E-2</v>
      </c>
      <c r="N19" s="880">
        <f>[2]INGRESOS!C53</f>
        <v>5000000</v>
      </c>
      <c r="O19" s="646">
        <f>P19/P9</f>
        <v>8.6531089755238155E-2</v>
      </c>
      <c r="P19" s="750">
        <f>INGRESOS!C53</f>
        <v>5000000</v>
      </c>
      <c r="Q19" s="750">
        <f>INGRESOS!D53</f>
        <v>5000000</v>
      </c>
      <c r="R19" s="750">
        <f>INGRESOS!F50</f>
        <v>5000000</v>
      </c>
      <c r="S19" s="750">
        <f>INGRESOS!S50</f>
        <v>5000000</v>
      </c>
      <c r="T19" s="647">
        <f>S19/R19</f>
        <v>1</v>
      </c>
      <c r="U19" s="647">
        <f>S19/Q19</f>
        <v>1</v>
      </c>
    </row>
    <row r="20" spans="1:22">
      <c r="A20" s="742"/>
      <c r="B20" s="743"/>
      <c r="C20" s="743" t="s">
        <v>1028</v>
      </c>
      <c r="D20" s="743"/>
      <c r="E20" s="646">
        <f>F20/F9</f>
        <v>2.7865166034591816E-2</v>
      </c>
      <c r="F20" s="744">
        <v>1000000</v>
      </c>
      <c r="G20" s="647"/>
      <c r="H20" s="744">
        <v>0</v>
      </c>
      <c r="I20" s="647"/>
      <c r="J20" s="744">
        <v>0</v>
      </c>
      <c r="K20" s="647"/>
      <c r="L20" s="878">
        <f>[3]INGRESOS!D58</f>
        <v>0</v>
      </c>
      <c r="M20" s="647"/>
      <c r="N20" s="878">
        <f>[2]INGRESOS!D58</f>
        <v>0</v>
      </c>
      <c r="O20" s="647"/>
      <c r="P20" s="744">
        <f>INGRESOS!D58</f>
        <v>0</v>
      </c>
      <c r="Q20" s="744">
        <f>P20</f>
        <v>0</v>
      </c>
      <c r="R20" s="744">
        <f>INGRESOS!F55</f>
        <v>0</v>
      </c>
      <c r="S20" s="744">
        <f>INGRESOS!S55</f>
        <v>0</v>
      </c>
      <c r="T20" s="647">
        <v>0</v>
      </c>
      <c r="U20" s="647">
        <v>0</v>
      </c>
    </row>
    <row r="21" spans="1:22" ht="13.5" thickBot="1">
      <c r="A21" s="745"/>
      <c r="B21" s="746"/>
      <c r="C21" s="746"/>
      <c r="D21" s="746"/>
      <c r="E21" s="648"/>
      <c r="F21" s="747"/>
      <c r="G21" s="648"/>
      <c r="H21" s="747"/>
      <c r="I21" s="648"/>
      <c r="J21" s="747"/>
      <c r="K21" s="648"/>
      <c r="L21" s="879"/>
      <c r="M21" s="648"/>
      <c r="N21" s="879"/>
      <c r="O21" s="648"/>
      <c r="P21" s="747"/>
      <c r="Q21" s="747"/>
      <c r="R21" s="747"/>
      <c r="S21" s="747"/>
      <c r="T21" s="648"/>
      <c r="U21" s="648"/>
    </row>
    <row r="22" spans="1:22" s="640" customFormat="1" ht="15.75" thickBot="1">
      <c r="A22" s="751" t="s">
        <v>1029</v>
      </c>
      <c r="B22" s="731"/>
      <c r="C22" s="731"/>
      <c r="D22" s="731"/>
      <c r="E22" s="769"/>
      <c r="F22" s="770">
        <f>+F24+F35</f>
        <v>35887100</v>
      </c>
      <c r="G22" s="769"/>
      <c r="H22" s="770">
        <f>+H24+H35</f>
        <v>36443000</v>
      </c>
      <c r="I22" s="769"/>
      <c r="J22" s="770">
        <f>+J24+J35</f>
        <v>40352800</v>
      </c>
      <c r="K22" s="769"/>
      <c r="L22" s="752">
        <f>+L24+L35</f>
        <v>44778400</v>
      </c>
      <c r="M22" s="769"/>
      <c r="N22" s="752">
        <f>+N24+N35</f>
        <v>51051800</v>
      </c>
      <c r="O22" s="769"/>
      <c r="P22" s="752">
        <f>+P24+P35</f>
        <v>57782700</v>
      </c>
      <c r="Q22" s="752">
        <f>+Q24+Q35</f>
        <v>57782700</v>
      </c>
      <c r="R22" s="752">
        <f>+R24+R35</f>
        <v>14924778.930000002</v>
      </c>
      <c r="S22" s="752">
        <f>+S24+S35</f>
        <v>9537668.379999999</v>
      </c>
      <c r="T22" s="653">
        <f>S22/R22</f>
        <v>0.63904922308956424</v>
      </c>
      <c r="U22" s="653">
        <f>S22/Q22</f>
        <v>0.16506096772909537</v>
      </c>
      <c r="V22" s="764"/>
    </row>
    <row r="23" spans="1:22" ht="14.25" thickTop="1" thickBot="1">
      <c r="A23" s="753"/>
      <c r="B23" s="734"/>
      <c r="C23" s="734"/>
      <c r="D23" s="734"/>
      <c r="E23" s="649"/>
      <c r="F23" s="754"/>
      <c r="G23" s="649"/>
      <c r="H23" s="754"/>
      <c r="I23" s="649"/>
      <c r="J23" s="754"/>
      <c r="K23" s="649"/>
      <c r="L23" s="881"/>
      <c r="M23" s="649"/>
      <c r="N23" s="881"/>
      <c r="O23" s="649"/>
      <c r="P23" s="754"/>
      <c r="Q23" s="754"/>
      <c r="R23" s="754"/>
      <c r="S23" s="754"/>
      <c r="T23" s="649"/>
      <c r="U23" s="649"/>
    </row>
    <row r="24" spans="1:22" s="640" customFormat="1" ht="13.5" thickBot="1">
      <c r="A24" s="755" t="s">
        <v>896</v>
      </c>
      <c r="B24" s="756" t="s">
        <v>1030</v>
      </c>
      <c r="C24" s="756"/>
      <c r="D24" s="756"/>
      <c r="E24" s="650"/>
      <c r="F24" s="771">
        <f>+F26+F33</f>
        <v>31951100</v>
      </c>
      <c r="G24" s="650"/>
      <c r="H24" s="771">
        <f>+H26+H33</f>
        <v>34012500</v>
      </c>
      <c r="I24" s="650"/>
      <c r="J24" s="771">
        <f>+J26+J33</f>
        <v>35942600</v>
      </c>
      <c r="K24" s="650"/>
      <c r="L24" s="757">
        <f>+L26+L33</f>
        <v>38368200</v>
      </c>
      <c r="M24" s="650"/>
      <c r="N24" s="757">
        <f>+N26+N33</f>
        <v>46051800</v>
      </c>
      <c r="O24" s="650"/>
      <c r="P24" s="757">
        <f>+P26+P33</f>
        <v>52782700</v>
      </c>
      <c r="Q24" s="757">
        <f>+Q26+Q33</f>
        <v>52782700</v>
      </c>
      <c r="R24" s="757">
        <f>+R26+R33</f>
        <v>9924778.9300000016</v>
      </c>
      <c r="S24" s="757">
        <f>+S26+S33</f>
        <v>7842286.8799999999</v>
      </c>
      <c r="T24" s="650">
        <f>S24/R24</f>
        <v>0.79017244971520983</v>
      </c>
      <c r="U24" s="650">
        <f>S24/Q24</f>
        <v>0.1485768420334693</v>
      </c>
      <c r="V24" s="764"/>
    </row>
    <row r="25" spans="1:22">
      <c r="A25" s="748"/>
      <c r="B25" s="749"/>
      <c r="C25" s="749"/>
      <c r="D25" s="749"/>
      <c r="E25" s="646"/>
      <c r="F25" s="750"/>
      <c r="G25" s="646"/>
      <c r="H25" s="750"/>
      <c r="I25" s="646"/>
      <c r="J25" s="750"/>
      <c r="K25" s="646"/>
      <c r="L25" s="880"/>
      <c r="M25" s="646"/>
      <c r="N25" s="880"/>
      <c r="O25" s="646"/>
      <c r="P25" s="750"/>
      <c r="Q25" s="750"/>
      <c r="R25" s="750"/>
      <c r="S25" s="750"/>
      <c r="T25" s="646"/>
      <c r="U25" s="646"/>
    </row>
    <row r="26" spans="1:22" s="640" customFormat="1">
      <c r="A26" s="758"/>
      <c r="B26" s="759" t="s">
        <v>884</v>
      </c>
      <c r="C26" s="759" t="s">
        <v>1031</v>
      </c>
      <c r="D26" s="759"/>
      <c r="E26" s="647"/>
      <c r="F26" s="772">
        <f>SUM(F27:F31)</f>
        <v>31789700</v>
      </c>
      <c r="G26" s="647"/>
      <c r="H26" s="772">
        <f>SUM(H27:H31)</f>
        <v>33814400</v>
      </c>
      <c r="I26" s="647"/>
      <c r="J26" s="772">
        <f>SUM(J27:J31)</f>
        <v>35632200</v>
      </c>
      <c r="K26" s="647"/>
      <c r="L26" s="760">
        <f>SUM(L27:L31)</f>
        <v>38221100</v>
      </c>
      <c r="M26" s="647"/>
      <c r="N26" s="760">
        <f>SUM(N27:N31)</f>
        <v>45895700</v>
      </c>
      <c r="O26" s="647"/>
      <c r="P26" s="760">
        <f>SUM(P27:P31)</f>
        <v>52546700</v>
      </c>
      <c r="Q26" s="760">
        <f>SUM(Q27:Q31)</f>
        <v>52546700</v>
      </c>
      <c r="R26" s="760">
        <f>SUM(R27:R31)</f>
        <v>9870621.9300000016</v>
      </c>
      <c r="S26" s="760">
        <f>SUM(S27:S31)</f>
        <v>7817802.6799999997</v>
      </c>
      <c r="T26" s="647">
        <f t="shared" ref="T26:T31" si="0">S26/R26</f>
        <v>0.79202736518954064</v>
      </c>
      <c r="U26" s="647">
        <f t="shared" ref="U26:U31" si="1">S26/Q26</f>
        <v>0.14877818549975544</v>
      </c>
      <c r="V26" s="764"/>
    </row>
    <row r="27" spans="1:22">
      <c r="A27" s="742"/>
      <c r="B27" s="743"/>
      <c r="C27" s="743"/>
      <c r="D27" s="743" t="s">
        <v>351</v>
      </c>
      <c r="E27" s="647">
        <f>F27/F22</f>
        <v>0.800215119081787</v>
      </c>
      <c r="F27" s="744">
        <v>28717400</v>
      </c>
      <c r="G27" s="647">
        <f>H27/H22</f>
        <v>0.8550530966166342</v>
      </c>
      <c r="H27" s="744">
        <v>31160700</v>
      </c>
      <c r="I27" s="647">
        <f>J27/J22</f>
        <v>0.82038916754227709</v>
      </c>
      <c r="J27" s="744">
        <v>33105000</v>
      </c>
      <c r="K27" s="647">
        <f>L27/L22</f>
        <v>0.77801797295124431</v>
      </c>
      <c r="L27" s="878">
        <v>34838400</v>
      </c>
      <c r="M27" s="647">
        <f>N27/N22</f>
        <v>0.83991161917895163</v>
      </c>
      <c r="N27" s="878">
        <f>[2]Resumen!B22</f>
        <v>42879000</v>
      </c>
      <c r="O27" s="647">
        <f>P27/P22</f>
        <v>0.84098008573500371</v>
      </c>
      <c r="P27" s="744">
        <f>[4]Resumen!B22</f>
        <v>48594100</v>
      </c>
      <c r="Q27" s="744">
        <f>[4]Resumen!D22</f>
        <v>48594100</v>
      </c>
      <c r="R27" s="744">
        <f>[4]Resumen!F22</f>
        <v>9031485.7800000012</v>
      </c>
      <c r="S27" s="744">
        <f>[4]Resumen!G22</f>
        <v>7597830.04</v>
      </c>
      <c r="T27" s="647">
        <f t="shared" si="0"/>
        <v>0.8412602560727277</v>
      </c>
      <c r="U27" s="647">
        <f t="shared" si="1"/>
        <v>0.15635293255765617</v>
      </c>
      <c r="V27" s="329">
        <f>P27/P22</f>
        <v>0.84098008573500371</v>
      </c>
    </row>
    <row r="28" spans="1:22">
      <c r="A28" s="742"/>
      <c r="B28" s="743"/>
      <c r="C28" s="743"/>
      <c r="D28" s="743" t="s">
        <v>595</v>
      </c>
      <c r="E28" s="1020">
        <f>(F28+F29+F30+F31+F33)/F22</f>
        <v>9.0107587406059564E-2</v>
      </c>
      <c r="F28" s="744">
        <v>1393400</v>
      </c>
      <c r="G28" s="1020">
        <f>(H28+H29+H30+H31+H33)/H22</f>
        <v>7.8253711275141996E-2</v>
      </c>
      <c r="H28" s="744">
        <v>1288800</v>
      </c>
      <c r="I28" s="1020">
        <f>(J28+J29+J30+J31+J33)/J22</f>
        <v>7.0319779544418232E-2</v>
      </c>
      <c r="J28" s="747">
        <v>1320900</v>
      </c>
      <c r="K28" s="1020">
        <f>(L28+L29+L30+L31+L33)/L22</f>
        <v>7.8828185017776428E-2</v>
      </c>
      <c r="L28" s="878">
        <v>1579100</v>
      </c>
      <c r="M28" s="1020">
        <f>(N28+N29+N30+N31+N33)/N22</f>
        <v>6.2148641184052278E-2</v>
      </c>
      <c r="N28" s="878">
        <f>[2]Resumen!B23</f>
        <v>1585200</v>
      </c>
      <c r="O28" s="1020">
        <f>(P28+P29+P30+P31+P33)/P22</f>
        <v>7.2488824509758104E-2</v>
      </c>
      <c r="P28" s="744">
        <f>[4]Resumen!B23</f>
        <v>2236300</v>
      </c>
      <c r="Q28" s="744">
        <f>[4]Resumen!D23</f>
        <v>2249300</v>
      </c>
      <c r="R28" s="744">
        <f>[4]Resumen!F23</f>
        <v>492160.48</v>
      </c>
      <c r="S28" s="744">
        <f>[4]Resumen!G23</f>
        <v>137774.75999999998</v>
      </c>
      <c r="T28" s="647">
        <f t="shared" si="0"/>
        <v>0.2799386899167523</v>
      </c>
      <c r="U28" s="647">
        <f t="shared" si="1"/>
        <v>6.1252282932467872E-2</v>
      </c>
      <c r="V28" s="1023">
        <f>(P28+P29+P30+P31+P33)/P22</f>
        <v>7.2488824509758104E-2</v>
      </c>
    </row>
    <row r="29" spans="1:22">
      <c r="A29" s="742"/>
      <c r="B29" s="743"/>
      <c r="C29" s="743"/>
      <c r="D29" s="743" t="s">
        <v>352</v>
      </c>
      <c r="E29" s="1021"/>
      <c r="F29" s="744">
        <v>551500</v>
      </c>
      <c r="G29" s="1021"/>
      <c r="H29" s="744">
        <v>522000</v>
      </c>
      <c r="I29" s="1021"/>
      <c r="J29" s="754">
        <v>523900</v>
      </c>
      <c r="K29" s="1021"/>
      <c r="L29" s="878">
        <v>551000</v>
      </c>
      <c r="M29" s="1021"/>
      <c r="N29" s="878">
        <f>[2]Resumen!B24</f>
        <v>503600</v>
      </c>
      <c r="O29" s="1021"/>
      <c r="P29" s="744">
        <f>[4]Resumen!B24</f>
        <v>542000</v>
      </c>
      <c r="Q29" s="744">
        <f>[4]Resumen!D24</f>
        <v>542000</v>
      </c>
      <c r="R29" s="744">
        <f>[4]Resumen!F24</f>
        <v>137338</v>
      </c>
      <c r="S29" s="744">
        <f>[4]Resumen!G24</f>
        <v>33166.839999999997</v>
      </c>
      <c r="T29" s="647">
        <f t="shared" si="0"/>
        <v>0.24149791026518513</v>
      </c>
      <c r="U29" s="647">
        <f t="shared" si="1"/>
        <v>6.1193431734317336E-2</v>
      </c>
      <c r="V29" s="1023"/>
    </row>
    <row r="30" spans="1:22">
      <c r="A30" s="742"/>
      <c r="B30" s="743"/>
      <c r="C30" s="743"/>
      <c r="D30" s="743" t="s">
        <v>353</v>
      </c>
      <c r="E30" s="1021"/>
      <c r="F30" s="744">
        <v>565800</v>
      </c>
      <c r="G30" s="1021"/>
      <c r="H30" s="744">
        <v>282900</v>
      </c>
      <c r="I30" s="1021"/>
      <c r="J30" s="754">
        <v>282900</v>
      </c>
      <c r="K30" s="1021"/>
      <c r="L30" s="878">
        <v>832100</v>
      </c>
      <c r="M30" s="1021"/>
      <c r="N30" s="878">
        <f>[2]Resumen!B25</f>
        <v>507400</v>
      </c>
      <c r="O30" s="1021"/>
      <c r="P30" s="744">
        <f>[4]Resumen!B25</f>
        <v>559000</v>
      </c>
      <c r="Q30" s="744">
        <f>[4]Resumen!D25</f>
        <v>546000</v>
      </c>
      <c r="R30" s="744">
        <f>[4]Resumen!F25</f>
        <v>137000</v>
      </c>
      <c r="S30" s="744">
        <f>[4]Resumen!G25</f>
        <v>7352.95</v>
      </c>
      <c r="T30" s="647">
        <f t="shared" si="0"/>
        <v>5.3671167883211676E-2</v>
      </c>
      <c r="U30" s="647">
        <f t="shared" si="1"/>
        <v>1.3466941391941392E-2</v>
      </c>
      <c r="V30" s="1023"/>
    </row>
    <row r="31" spans="1:22">
      <c r="A31" s="742"/>
      <c r="B31" s="743"/>
      <c r="C31" s="743"/>
      <c r="D31" s="743" t="s">
        <v>1032</v>
      </c>
      <c r="E31" s="1021"/>
      <c r="F31" s="744">
        <v>561600</v>
      </c>
      <c r="G31" s="1021"/>
      <c r="H31" s="744">
        <v>560000</v>
      </c>
      <c r="I31" s="1021"/>
      <c r="J31" s="754">
        <v>399500</v>
      </c>
      <c r="K31" s="1021"/>
      <c r="L31" s="878">
        <v>420500</v>
      </c>
      <c r="M31" s="1021"/>
      <c r="N31" s="878">
        <f>[2]Resumen!B30</f>
        <v>420500</v>
      </c>
      <c r="O31" s="1021"/>
      <c r="P31" s="744">
        <f>[4]Resumen!B30</f>
        <v>615300</v>
      </c>
      <c r="Q31" s="744">
        <f>[4]Resumen!D30</f>
        <v>615300</v>
      </c>
      <c r="R31" s="744">
        <f>[4]Resumen!F30</f>
        <v>72637.67</v>
      </c>
      <c r="S31" s="744">
        <f>[4]Resumen!G30</f>
        <v>41678.089999999997</v>
      </c>
      <c r="T31" s="647">
        <f t="shared" si="0"/>
        <v>0.57378065678593482</v>
      </c>
      <c r="U31" s="647">
        <f t="shared" si="1"/>
        <v>6.7736209978872086E-2</v>
      </c>
      <c r="V31" s="1023"/>
    </row>
    <row r="32" spans="1:22">
      <c r="A32" s="742"/>
      <c r="B32" s="743"/>
      <c r="C32" s="743"/>
      <c r="D32" s="743"/>
      <c r="E32" s="1021"/>
      <c r="F32" s="744"/>
      <c r="G32" s="1021"/>
      <c r="H32" s="744"/>
      <c r="I32" s="1021"/>
      <c r="J32" s="754"/>
      <c r="K32" s="1021"/>
      <c r="L32" s="878"/>
      <c r="M32" s="1021"/>
      <c r="N32" s="878"/>
      <c r="O32" s="1021"/>
      <c r="P32" s="744"/>
      <c r="Q32" s="744"/>
      <c r="R32" s="744"/>
      <c r="S32" s="744"/>
      <c r="T32" s="647"/>
      <c r="U32" s="647"/>
    </row>
    <row r="33" spans="1:22" s="640" customFormat="1">
      <c r="A33" s="758"/>
      <c r="B33" s="759" t="s">
        <v>894</v>
      </c>
      <c r="C33" s="759" t="s">
        <v>1033</v>
      </c>
      <c r="D33" s="759"/>
      <c r="E33" s="1022"/>
      <c r="F33" s="760">
        <v>161400</v>
      </c>
      <c r="G33" s="1022"/>
      <c r="H33" s="760">
        <v>198100</v>
      </c>
      <c r="I33" s="1022"/>
      <c r="J33" s="741">
        <v>310400</v>
      </c>
      <c r="K33" s="1022"/>
      <c r="L33" s="760">
        <f>[3]Resumen!B27</f>
        <v>147100</v>
      </c>
      <c r="M33" s="1022"/>
      <c r="N33" s="760">
        <f>[2]Resumen!B27</f>
        <v>156100</v>
      </c>
      <c r="O33" s="1022"/>
      <c r="P33" s="760">
        <f>[4]Resumen!B27</f>
        <v>236000</v>
      </c>
      <c r="Q33" s="760">
        <f>[4]Resumen!D27</f>
        <v>236000</v>
      </c>
      <c r="R33" s="760">
        <f>[4]Resumen!F27</f>
        <v>54157</v>
      </c>
      <c r="S33" s="760">
        <f>[4]Resumen!G27</f>
        <v>24484.2</v>
      </c>
      <c r="T33" s="647">
        <f>S33/R33</f>
        <v>0.45209668186937979</v>
      </c>
      <c r="U33" s="647">
        <f>S33/Q33</f>
        <v>0.10374661016949153</v>
      </c>
      <c r="V33" s="764"/>
    </row>
    <row r="34" spans="1:22" s="640" customFormat="1" ht="13.5" thickBot="1">
      <c r="A34" s="761"/>
      <c r="B34" s="762"/>
      <c r="C34" s="762"/>
      <c r="D34" s="762"/>
      <c r="E34" s="648"/>
      <c r="F34" s="763"/>
      <c r="G34" s="648"/>
      <c r="H34" s="763"/>
      <c r="I34" s="648"/>
      <c r="J34" s="763"/>
      <c r="K34" s="648"/>
      <c r="L34" s="763"/>
      <c r="M34" s="648"/>
      <c r="N34" s="763"/>
      <c r="O34" s="648"/>
      <c r="P34" s="763"/>
      <c r="Q34" s="763"/>
      <c r="R34" s="763"/>
      <c r="S34" s="763"/>
      <c r="T34" s="648"/>
      <c r="U34" s="648"/>
      <c r="V34" s="764"/>
    </row>
    <row r="35" spans="1:22" s="640" customFormat="1" ht="13.5" thickBot="1">
      <c r="A35" s="755" t="s">
        <v>895</v>
      </c>
      <c r="B35" s="756" t="s">
        <v>345</v>
      </c>
      <c r="C35" s="756"/>
      <c r="D35" s="756"/>
      <c r="E35" s="650">
        <f>F35/F22</f>
        <v>0.1096772935121534</v>
      </c>
      <c r="F35" s="771">
        <f>SUM(F37:F39)</f>
        <v>3936000</v>
      </c>
      <c r="G35" s="650">
        <f>H35/H22</f>
        <v>6.6693192108223803E-2</v>
      </c>
      <c r="H35" s="771">
        <f>SUM(H37:H39)</f>
        <v>2430500</v>
      </c>
      <c r="I35" s="650">
        <f>J35/J22</f>
        <v>0.10929105291330465</v>
      </c>
      <c r="J35" s="771">
        <f>SUM(J37:J39)</f>
        <v>4410200</v>
      </c>
      <c r="K35" s="650">
        <f>L35/L22</f>
        <v>0.14315384203097922</v>
      </c>
      <c r="L35" s="757">
        <f>SUM(L37:L39)</f>
        <v>6410200</v>
      </c>
      <c r="M35" s="650">
        <f>N35/N22</f>
        <v>9.7939739636996148E-2</v>
      </c>
      <c r="N35" s="757">
        <f>SUM(N37:N39)</f>
        <v>5000000</v>
      </c>
      <c r="O35" s="650">
        <f>P35/P22</f>
        <v>8.6531089755238155E-2</v>
      </c>
      <c r="P35" s="757">
        <f>SUM(P37:P39)</f>
        <v>5000000</v>
      </c>
      <c r="Q35" s="757">
        <f>SUM(Q37:Q39)</f>
        <v>5000000</v>
      </c>
      <c r="R35" s="757">
        <f>SUM(R37:R39)</f>
        <v>5000000</v>
      </c>
      <c r="S35" s="757">
        <f>SUM(S37:S39)</f>
        <v>1695381.5</v>
      </c>
      <c r="T35" s="650">
        <f>S35/R35</f>
        <v>0.3390763</v>
      </c>
      <c r="U35" s="650">
        <f>S35/Q35</f>
        <v>0.3390763</v>
      </c>
      <c r="V35" s="329">
        <f>P35/P22</f>
        <v>8.6531089755238155E-2</v>
      </c>
    </row>
    <row r="36" spans="1:22">
      <c r="A36" s="748"/>
      <c r="B36" s="749"/>
      <c r="C36" s="749"/>
      <c r="D36" s="749"/>
      <c r="E36" s="646"/>
      <c r="F36" s="750"/>
      <c r="G36" s="646"/>
      <c r="H36" s="750"/>
      <c r="I36" s="646"/>
      <c r="J36" s="750"/>
      <c r="K36" s="646"/>
      <c r="L36" s="880"/>
      <c r="M36" s="646"/>
      <c r="N36" s="880"/>
      <c r="O36" s="646"/>
      <c r="P36" s="750"/>
      <c r="Q36" s="750"/>
      <c r="R36" s="750"/>
      <c r="S36" s="750"/>
      <c r="T36" s="646"/>
      <c r="U36" s="646"/>
    </row>
    <row r="37" spans="1:22">
      <c r="A37" s="742"/>
      <c r="B37" s="743"/>
      <c r="C37" s="743"/>
      <c r="D37" s="743" t="s">
        <v>1034</v>
      </c>
      <c r="E37" s="647">
        <f>F37/F22</f>
        <v>2.4251053999905257E-2</v>
      </c>
      <c r="F37" s="744">
        <v>870300</v>
      </c>
      <c r="G37" s="647">
        <f>H37/H22</f>
        <v>6.8682600225008919E-3</v>
      </c>
      <c r="H37" s="744">
        <v>250300</v>
      </c>
      <c r="I37" s="647">
        <f>J37/J22</f>
        <v>1.8806625562538412E-2</v>
      </c>
      <c r="J37" s="744">
        <v>758900</v>
      </c>
      <c r="K37" s="647">
        <f>L37/L22</f>
        <v>6.1864649027209548E-2</v>
      </c>
      <c r="L37" s="878">
        <v>2770200</v>
      </c>
      <c r="M37" s="647">
        <f>N37/N22</f>
        <v>1.7141413231267066E-2</v>
      </c>
      <c r="N37" s="878">
        <f>[2]Contraloría!B16</f>
        <v>875100</v>
      </c>
      <c r="O37" s="647">
        <f>P37/P22</f>
        <v>1.5144671328961783E-2</v>
      </c>
      <c r="P37" s="744">
        <f>Contraloría!B16</f>
        <v>875100</v>
      </c>
      <c r="Q37" s="744">
        <f>Contraloría!C16</f>
        <v>2039307</v>
      </c>
      <c r="R37" s="744">
        <f>Objeto!HG662</f>
        <v>2039307</v>
      </c>
      <c r="S37" s="744">
        <f>Objeto!IF662</f>
        <v>852644.95000000007</v>
      </c>
      <c r="T37" s="647">
        <f>S37/R37</f>
        <v>0.41810524359500562</v>
      </c>
      <c r="U37" s="647">
        <f>S37/Q37</f>
        <v>0.41810524359500562</v>
      </c>
    </row>
    <row r="38" spans="1:22">
      <c r="A38" s="742"/>
      <c r="B38" s="743"/>
      <c r="C38" s="743"/>
      <c r="D38" s="743" t="s">
        <v>1035</v>
      </c>
      <c r="E38" s="647">
        <v>0</v>
      </c>
      <c r="F38" s="744">
        <v>255600</v>
      </c>
      <c r="G38" s="647">
        <v>0</v>
      </c>
      <c r="H38" s="744">
        <v>82650</v>
      </c>
      <c r="I38" s="647">
        <v>0</v>
      </c>
      <c r="J38" s="744">
        <v>250000</v>
      </c>
      <c r="K38" s="647">
        <v>0</v>
      </c>
      <c r="L38" s="878">
        <v>40000</v>
      </c>
      <c r="M38" s="647">
        <v>0</v>
      </c>
      <c r="N38" s="878">
        <f>[2]Contraloría!B17</f>
        <v>288100</v>
      </c>
      <c r="O38" s="647">
        <v>0</v>
      </c>
      <c r="P38" s="744">
        <f>Contraloría!B17</f>
        <v>288100</v>
      </c>
      <c r="Q38" s="744">
        <f>Contraloría!C17</f>
        <v>677867</v>
      </c>
      <c r="R38" s="744">
        <f>Objeto!HG721</f>
        <v>677867</v>
      </c>
      <c r="S38" s="744">
        <f>Objeto!IF721</f>
        <v>96307.69</v>
      </c>
      <c r="T38" s="647">
        <f>S38/R38</f>
        <v>0.14207461050619075</v>
      </c>
      <c r="U38" s="647">
        <f>S38/Q38</f>
        <v>0.14207461050619075</v>
      </c>
    </row>
    <row r="39" spans="1:22">
      <c r="A39" s="742"/>
      <c r="B39" s="743"/>
      <c r="C39" s="743"/>
      <c r="D39" s="743" t="s">
        <v>1036</v>
      </c>
      <c r="E39" s="647">
        <f>F39/F24</f>
        <v>8.7950023629859375E-2</v>
      </c>
      <c r="F39" s="744">
        <v>2810100</v>
      </c>
      <c r="G39" s="647">
        <f>H39/H24</f>
        <v>6.1669974274163909E-2</v>
      </c>
      <c r="H39" s="744">
        <v>2097550</v>
      </c>
      <c r="I39" s="647">
        <f>J39/J24</f>
        <v>9.4631440129539876E-2</v>
      </c>
      <c r="J39" s="744">
        <v>3401300</v>
      </c>
      <c r="K39" s="647">
        <f>L39/L24</f>
        <v>9.382770106494441E-2</v>
      </c>
      <c r="L39" s="878">
        <v>3600000</v>
      </c>
      <c r="M39" s="647">
        <f>N39/N24</f>
        <v>8.3314875857186901E-2</v>
      </c>
      <c r="N39" s="878">
        <f>[2]Contraloría!B18</f>
        <v>3836800</v>
      </c>
      <c r="O39" s="647">
        <f>P39/P24</f>
        <v>7.2690483813825368E-2</v>
      </c>
      <c r="P39" s="744">
        <f>Contraloría!B18</f>
        <v>3836800</v>
      </c>
      <c r="Q39" s="744">
        <f>Contraloría!C18</f>
        <v>2282826</v>
      </c>
      <c r="R39" s="744">
        <f>Objeto!HG764</f>
        <v>2282826</v>
      </c>
      <c r="S39" s="744">
        <f>Objeto!IF764</f>
        <v>746428.86</v>
      </c>
      <c r="T39" s="647">
        <f>S39/R39</f>
        <v>0.32697580104659751</v>
      </c>
      <c r="U39" s="647">
        <f>S39/Q39</f>
        <v>0.32697580104659751</v>
      </c>
    </row>
    <row r="40" spans="1:22">
      <c r="A40" s="641"/>
      <c r="B40" s="641"/>
      <c r="C40" s="641"/>
      <c r="D40" s="641"/>
      <c r="E40" s="651"/>
      <c r="F40" s="641"/>
      <c r="G40" s="651"/>
      <c r="H40" s="641"/>
      <c r="I40" s="651"/>
      <c r="J40" s="641"/>
      <c r="K40" s="651"/>
      <c r="L40" s="641"/>
      <c r="M40" s="651"/>
      <c r="N40" s="641"/>
      <c r="O40" s="651"/>
      <c r="P40" s="642"/>
      <c r="Q40" s="642"/>
      <c r="R40" s="642"/>
      <c r="S40" s="642"/>
      <c r="T40" s="651"/>
      <c r="U40" s="651"/>
    </row>
    <row r="41" spans="1:22">
      <c r="A41" s="641"/>
      <c r="B41" s="641"/>
      <c r="C41" s="641"/>
      <c r="D41" s="641"/>
      <c r="E41" s="651"/>
      <c r="F41" s="641"/>
      <c r="G41" s="651"/>
      <c r="H41" s="641"/>
      <c r="I41" s="651"/>
      <c r="J41" s="641"/>
      <c r="K41" s="651"/>
      <c r="L41" s="641"/>
      <c r="M41" s="651"/>
      <c r="N41" s="641"/>
      <c r="O41" s="651"/>
      <c r="P41" s="642"/>
      <c r="Q41" s="642"/>
      <c r="R41" s="642"/>
      <c r="S41" s="642"/>
      <c r="T41" s="651"/>
      <c r="U41" s="651"/>
    </row>
    <row r="42" spans="1:22">
      <c r="A42" s="641"/>
      <c r="B42" s="641"/>
      <c r="C42" s="641"/>
      <c r="D42" s="641"/>
      <c r="E42" s="647" t="e">
        <f>B42/B22</f>
        <v>#DIV/0!</v>
      </c>
      <c r="F42" s="760">
        <v>16997015.32</v>
      </c>
      <c r="G42" s="647" t="e">
        <f>D42/D22</f>
        <v>#DIV/0!</v>
      </c>
      <c r="H42" s="760">
        <v>16997015.32</v>
      </c>
      <c r="I42" s="647">
        <f>F42/F22</f>
        <v>0.47362465398430076</v>
      </c>
      <c r="J42" s="773"/>
      <c r="K42" s="647">
        <f>H42/H22</f>
        <v>0.46640000329281345</v>
      </c>
      <c r="L42" s="773"/>
      <c r="M42" s="647">
        <f>J42/J22</f>
        <v>0</v>
      </c>
      <c r="N42" s="773"/>
      <c r="O42" s="647">
        <f>J42/J22</f>
        <v>0</v>
      </c>
      <c r="P42" s="642"/>
      <c r="Q42" s="642"/>
      <c r="R42" s="642"/>
      <c r="S42" s="642"/>
      <c r="T42" s="651"/>
      <c r="U42" s="651"/>
    </row>
    <row r="43" spans="1:22">
      <c r="A43" s="641"/>
      <c r="B43" s="641"/>
      <c r="C43" s="641"/>
      <c r="D43" s="641"/>
      <c r="E43" s="651"/>
      <c r="F43" s="760"/>
      <c r="G43" s="651"/>
      <c r="H43" s="760"/>
      <c r="I43" s="651"/>
      <c r="J43" s="773"/>
      <c r="K43" s="651"/>
      <c r="L43" s="773"/>
      <c r="M43" s="651"/>
      <c r="N43" s="773"/>
      <c r="O43" s="651"/>
      <c r="P43" s="642"/>
      <c r="Q43" s="642"/>
      <c r="R43" s="642"/>
      <c r="S43" s="642"/>
      <c r="T43" s="651"/>
      <c r="U43" s="651"/>
    </row>
    <row r="44" spans="1:22">
      <c r="A44" s="641"/>
      <c r="B44" s="641"/>
      <c r="C44" s="641"/>
      <c r="D44" s="641"/>
      <c r="E44" s="647" t="e">
        <f>B44/B35</f>
        <v>#VALUE!</v>
      </c>
      <c r="F44" s="760">
        <v>1233294.55</v>
      </c>
      <c r="G44" s="647" t="e">
        <f>D44/D35</f>
        <v>#DIV/0!</v>
      </c>
      <c r="H44" s="760">
        <v>1233294.55</v>
      </c>
      <c r="I44" s="647">
        <f>F44/F35</f>
        <v>0.31333702997967483</v>
      </c>
      <c r="J44" s="773"/>
      <c r="K44" s="647">
        <f>H44/H35</f>
        <v>0.5074242131248714</v>
      </c>
      <c r="L44" s="773"/>
      <c r="M44" s="647">
        <f>J44/J35</f>
        <v>0</v>
      </c>
      <c r="N44" s="773"/>
      <c r="O44" s="647">
        <f>J44/J35</f>
        <v>0</v>
      </c>
      <c r="P44" s="642"/>
      <c r="Q44" s="642"/>
      <c r="R44" s="642"/>
      <c r="S44" s="642"/>
      <c r="T44" s="651"/>
      <c r="U44" s="651"/>
    </row>
    <row r="45" spans="1:22">
      <c r="A45" s="641"/>
      <c r="B45" s="641"/>
      <c r="C45" s="641"/>
      <c r="D45" s="641"/>
      <c r="E45" s="651"/>
      <c r="F45" s="760"/>
      <c r="G45" s="651"/>
      <c r="H45" s="760"/>
      <c r="I45" s="651"/>
      <c r="J45" s="773"/>
      <c r="K45" s="651"/>
      <c r="L45" s="773"/>
      <c r="M45" s="651"/>
      <c r="N45" s="773"/>
      <c r="O45" s="651"/>
      <c r="P45" s="642"/>
      <c r="Q45" s="642"/>
      <c r="R45" s="642"/>
      <c r="S45" s="642"/>
      <c r="T45" s="651"/>
      <c r="U45" s="651"/>
    </row>
    <row r="46" spans="1:22">
      <c r="A46" s="641"/>
      <c r="B46" s="641"/>
      <c r="C46" s="641"/>
      <c r="D46" s="641"/>
      <c r="E46" s="651"/>
      <c r="F46" s="641"/>
      <c r="G46" s="651"/>
      <c r="H46" s="641"/>
      <c r="I46" s="651"/>
      <c r="J46" s="641"/>
      <c r="K46" s="651"/>
      <c r="L46" s="641"/>
      <c r="M46" s="651"/>
      <c r="N46" s="641"/>
      <c r="O46" s="651"/>
      <c r="P46" s="642"/>
      <c r="Q46" s="642"/>
      <c r="R46" s="642"/>
      <c r="S46" s="642"/>
      <c r="T46" s="651"/>
      <c r="U46" s="651"/>
    </row>
    <row r="47" spans="1:22">
      <c r="A47" s="641"/>
      <c r="B47" s="641"/>
      <c r="C47" s="641"/>
      <c r="D47" s="641"/>
      <c r="E47" s="651"/>
      <c r="F47" s="774" t="s">
        <v>1109</v>
      </c>
      <c r="G47" s="651"/>
      <c r="H47" s="774" t="s">
        <v>1109</v>
      </c>
      <c r="I47" s="651"/>
      <c r="J47" s="641"/>
      <c r="K47" s="651"/>
      <c r="L47" s="641"/>
      <c r="M47" s="651"/>
      <c r="N47" s="641"/>
      <c r="O47" s="651"/>
      <c r="P47" s="642"/>
      <c r="Q47" s="642"/>
      <c r="R47" s="642"/>
      <c r="S47" s="642"/>
      <c r="T47" s="651"/>
      <c r="U47" s="651"/>
    </row>
    <row r="48" spans="1:22">
      <c r="A48" s="641"/>
      <c r="B48" s="641"/>
      <c r="C48" s="641"/>
      <c r="D48" s="641"/>
      <c r="E48" s="651"/>
      <c r="F48" s="641"/>
      <c r="G48" s="651"/>
      <c r="H48" s="641"/>
      <c r="I48" s="651"/>
      <c r="J48" s="641"/>
      <c r="K48" s="651"/>
      <c r="L48" s="641"/>
      <c r="M48" s="651"/>
      <c r="N48" s="641"/>
      <c r="O48" s="651"/>
      <c r="P48" s="642"/>
      <c r="Q48" s="642"/>
      <c r="R48" s="642"/>
      <c r="S48" s="642"/>
      <c r="T48" s="651"/>
      <c r="U48" s="651"/>
    </row>
    <row r="49" spans="1:21">
      <c r="A49" s="641"/>
      <c r="B49" s="641"/>
      <c r="C49" s="641"/>
      <c r="D49" s="641"/>
      <c r="E49" s="651"/>
      <c r="F49" s="641"/>
      <c r="G49" s="651"/>
      <c r="H49" s="641"/>
      <c r="I49" s="651"/>
      <c r="J49" s="641"/>
      <c r="K49" s="651"/>
      <c r="L49" s="641"/>
      <c r="M49" s="651"/>
      <c r="N49" s="641"/>
      <c r="O49" s="651"/>
      <c r="P49" s="642"/>
      <c r="Q49" s="642"/>
      <c r="R49" s="642"/>
      <c r="S49" s="642"/>
      <c r="T49" s="651"/>
      <c r="U49" s="651"/>
    </row>
    <row r="50" spans="1:21">
      <c r="A50" s="641"/>
      <c r="B50" s="641"/>
      <c r="C50" s="641"/>
      <c r="D50" s="641"/>
      <c r="E50" s="651"/>
      <c r="F50" s="641"/>
      <c r="G50" s="651"/>
      <c r="H50" s="641"/>
      <c r="I50" s="651"/>
      <c r="J50" s="641"/>
      <c r="K50" s="651"/>
      <c r="L50" s="641"/>
      <c r="M50" s="651"/>
      <c r="N50" s="641"/>
      <c r="O50" s="651"/>
      <c r="P50" s="642"/>
      <c r="Q50" s="642"/>
      <c r="R50" s="642"/>
      <c r="S50" s="642"/>
      <c r="T50" s="651"/>
      <c r="U50" s="651"/>
    </row>
    <row r="51" spans="1:21">
      <c r="A51" s="641"/>
      <c r="B51" s="641"/>
      <c r="C51" s="641"/>
      <c r="D51" s="641"/>
      <c r="E51" s="651"/>
      <c r="F51" s="641"/>
      <c r="G51" s="651"/>
      <c r="H51" s="641"/>
      <c r="I51" s="651"/>
      <c r="J51" s="641"/>
      <c r="K51" s="651"/>
      <c r="L51" s="641"/>
      <c r="M51" s="651"/>
      <c r="N51" s="641"/>
      <c r="O51" s="651"/>
      <c r="P51" s="642"/>
      <c r="Q51" s="642"/>
      <c r="R51" s="642"/>
      <c r="S51" s="642"/>
      <c r="T51" s="651"/>
      <c r="U51" s="651"/>
    </row>
    <row r="52" spans="1:21">
      <c r="A52" s="641"/>
      <c r="B52" s="641"/>
      <c r="C52" s="641"/>
      <c r="D52" s="641"/>
      <c r="E52" s="651"/>
      <c r="F52" s="641"/>
      <c r="G52" s="651"/>
      <c r="H52" s="641"/>
      <c r="I52" s="651"/>
      <c r="J52" s="641"/>
      <c r="K52" s="651"/>
      <c r="L52" s="641"/>
      <c r="M52" s="651"/>
      <c r="N52" s="641"/>
      <c r="O52" s="651"/>
      <c r="P52" s="642"/>
      <c r="Q52" s="642"/>
      <c r="R52" s="642"/>
      <c r="S52" s="642"/>
      <c r="T52" s="651"/>
      <c r="U52" s="651"/>
    </row>
    <row r="53" spans="1:21">
      <c r="A53" s="641"/>
      <c r="B53" s="641"/>
      <c r="C53" s="641"/>
      <c r="D53" s="641"/>
      <c r="E53" s="651"/>
      <c r="F53" s="641"/>
      <c r="G53" s="651"/>
      <c r="H53" s="641"/>
      <c r="I53" s="651"/>
      <c r="J53" s="641"/>
      <c r="K53" s="651"/>
      <c r="L53" s="641"/>
      <c r="M53" s="651"/>
      <c r="N53" s="641"/>
      <c r="O53" s="651"/>
      <c r="P53" s="642"/>
      <c r="Q53" s="642"/>
      <c r="R53" s="642"/>
      <c r="S53" s="642"/>
      <c r="T53" s="651"/>
      <c r="U53" s="651"/>
    </row>
    <row r="54" spans="1:21">
      <c r="A54" s="641"/>
      <c r="B54" s="641"/>
      <c r="C54" s="641"/>
      <c r="D54" s="641"/>
      <c r="E54" s="651"/>
      <c r="F54" s="641"/>
      <c r="G54" s="651"/>
      <c r="H54" s="641"/>
      <c r="I54" s="651"/>
      <c r="J54" s="641"/>
      <c r="K54" s="651"/>
      <c r="L54" s="641"/>
      <c r="M54" s="651"/>
      <c r="N54" s="641"/>
      <c r="O54" s="651"/>
      <c r="P54" s="642"/>
      <c r="Q54" s="642"/>
      <c r="R54" s="642"/>
      <c r="S54" s="642"/>
      <c r="T54" s="651"/>
      <c r="U54" s="651"/>
    </row>
    <row r="55" spans="1:21">
      <c r="A55" s="641"/>
      <c r="B55" s="641"/>
      <c r="C55" s="641"/>
      <c r="D55" s="641"/>
      <c r="E55" s="651"/>
      <c r="F55" s="641"/>
      <c r="G55" s="651"/>
      <c r="H55" s="641"/>
      <c r="I55" s="651"/>
      <c r="J55" s="641"/>
      <c r="K55" s="651"/>
      <c r="L55" s="641"/>
      <c r="M55" s="651"/>
      <c r="N55" s="641"/>
      <c r="O55" s="651"/>
      <c r="P55" s="642"/>
      <c r="Q55" s="642"/>
      <c r="R55" s="642"/>
      <c r="S55" s="642"/>
      <c r="T55" s="651"/>
      <c r="U55" s="651"/>
    </row>
    <row r="56" spans="1:21">
      <c r="A56" s="641"/>
      <c r="B56" s="641"/>
      <c r="C56" s="641"/>
      <c r="D56" s="641"/>
      <c r="E56" s="651"/>
      <c r="F56" s="641"/>
      <c r="G56" s="651"/>
      <c r="H56" s="641"/>
      <c r="I56" s="651"/>
      <c r="J56" s="641"/>
      <c r="K56" s="651"/>
      <c r="L56" s="641"/>
      <c r="M56" s="651"/>
      <c r="N56" s="641"/>
      <c r="O56" s="651"/>
      <c r="P56" s="642"/>
      <c r="Q56" s="642"/>
      <c r="R56" s="642"/>
      <c r="S56" s="642"/>
      <c r="T56" s="651"/>
      <c r="U56" s="651"/>
    </row>
    <row r="57" spans="1:21">
      <c r="A57" s="641"/>
      <c r="B57" s="641"/>
      <c r="C57" s="641"/>
      <c r="D57" s="641"/>
      <c r="E57" s="651"/>
      <c r="F57" s="641"/>
      <c r="G57" s="651"/>
      <c r="H57" s="641"/>
      <c r="I57" s="651"/>
      <c r="J57" s="641"/>
      <c r="K57" s="651"/>
      <c r="L57" s="641"/>
      <c r="M57" s="651"/>
      <c r="N57" s="641"/>
      <c r="O57" s="651"/>
      <c r="P57" s="642"/>
      <c r="Q57" s="642"/>
      <c r="R57" s="642"/>
      <c r="S57" s="642"/>
      <c r="T57" s="651"/>
      <c r="U57" s="651"/>
    </row>
    <row r="58" spans="1:21">
      <c r="A58" s="641"/>
      <c r="B58" s="641"/>
      <c r="C58" s="641"/>
      <c r="D58" s="641"/>
      <c r="E58" s="651"/>
      <c r="F58" s="641"/>
      <c r="G58" s="651"/>
      <c r="H58" s="641"/>
      <c r="I58" s="651"/>
      <c r="J58" s="641"/>
      <c r="K58" s="651"/>
      <c r="L58" s="641"/>
      <c r="M58" s="651"/>
      <c r="N58" s="641"/>
      <c r="O58" s="651"/>
      <c r="P58" s="642"/>
      <c r="Q58" s="642"/>
      <c r="R58" s="642"/>
      <c r="S58" s="642"/>
      <c r="T58" s="651"/>
      <c r="U58" s="651"/>
    </row>
    <row r="59" spans="1:21">
      <c r="A59" s="641"/>
      <c r="B59" s="641"/>
      <c r="C59" s="641"/>
      <c r="D59" s="641"/>
      <c r="E59" s="651"/>
      <c r="F59" s="641"/>
      <c r="G59" s="651"/>
      <c r="H59" s="641"/>
      <c r="I59" s="651"/>
      <c r="J59" s="641"/>
      <c r="K59" s="651"/>
      <c r="L59" s="641"/>
      <c r="M59" s="651"/>
      <c r="N59" s="641"/>
      <c r="O59" s="651"/>
      <c r="P59" s="642"/>
      <c r="Q59" s="642"/>
      <c r="R59" s="642"/>
      <c r="S59" s="642"/>
      <c r="T59" s="651"/>
      <c r="U59" s="651"/>
    </row>
    <row r="60" spans="1:21">
      <c r="A60" s="641"/>
      <c r="B60" s="641"/>
      <c r="C60" s="641"/>
      <c r="D60" s="641"/>
      <c r="E60" s="651"/>
      <c r="F60" s="641"/>
      <c r="G60" s="651"/>
      <c r="H60" s="641"/>
      <c r="I60" s="651"/>
      <c r="J60" s="641"/>
      <c r="K60" s="651"/>
      <c r="L60" s="641"/>
      <c r="M60" s="651"/>
      <c r="N60" s="641"/>
      <c r="O60" s="651"/>
      <c r="P60" s="642"/>
      <c r="Q60" s="642"/>
      <c r="R60" s="642"/>
      <c r="S60" s="642"/>
      <c r="T60" s="651"/>
      <c r="U60" s="651"/>
    </row>
    <row r="61" spans="1:21">
      <c r="A61" s="641"/>
      <c r="B61" s="641"/>
      <c r="C61" s="641"/>
      <c r="D61" s="641"/>
      <c r="E61" s="651"/>
      <c r="F61" s="641"/>
      <c r="G61" s="651"/>
      <c r="H61" s="641"/>
      <c r="I61" s="651"/>
      <c r="J61" s="641"/>
      <c r="K61" s="651"/>
      <c r="L61" s="641"/>
      <c r="M61" s="651"/>
      <c r="N61" s="641"/>
      <c r="O61" s="651"/>
      <c r="P61" s="642"/>
      <c r="Q61" s="642"/>
      <c r="R61" s="642"/>
      <c r="S61" s="642"/>
      <c r="T61" s="651"/>
      <c r="U61" s="651"/>
    </row>
    <row r="62" spans="1:21">
      <c r="A62" s="641"/>
      <c r="B62" s="641"/>
      <c r="C62" s="641"/>
      <c r="D62" s="641"/>
      <c r="E62" s="651"/>
      <c r="F62" s="641"/>
      <c r="G62" s="651"/>
      <c r="H62" s="641"/>
      <c r="I62" s="651"/>
      <c r="J62" s="641"/>
      <c r="K62" s="651"/>
      <c r="L62" s="641"/>
      <c r="M62" s="651"/>
      <c r="N62" s="641"/>
      <c r="O62" s="651"/>
      <c r="P62" s="642"/>
      <c r="Q62" s="642"/>
      <c r="R62" s="642"/>
      <c r="S62" s="642"/>
      <c r="T62" s="651"/>
      <c r="U62" s="651"/>
    </row>
    <row r="63" spans="1:21">
      <c r="A63" s="641"/>
      <c r="B63" s="641"/>
      <c r="C63" s="641"/>
      <c r="D63" s="641"/>
      <c r="E63" s="651"/>
      <c r="F63" s="641"/>
      <c r="G63" s="651"/>
      <c r="H63" s="641"/>
      <c r="I63" s="651"/>
      <c r="J63" s="641"/>
      <c r="K63" s="651"/>
      <c r="L63" s="641"/>
      <c r="M63" s="651"/>
      <c r="N63" s="641"/>
      <c r="O63" s="651"/>
      <c r="P63" s="642"/>
      <c r="Q63" s="642"/>
      <c r="R63" s="642"/>
      <c r="S63" s="642"/>
      <c r="T63" s="651"/>
      <c r="U63" s="651"/>
    </row>
    <row r="64" spans="1:21">
      <c r="A64" s="641"/>
      <c r="B64" s="641"/>
      <c r="C64" s="641"/>
      <c r="D64" s="641"/>
      <c r="E64" s="651"/>
      <c r="F64" s="641"/>
      <c r="G64" s="651"/>
      <c r="H64" s="641"/>
      <c r="I64" s="651"/>
      <c r="J64" s="641"/>
      <c r="K64" s="651"/>
      <c r="L64" s="641"/>
      <c r="M64" s="651"/>
      <c r="N64" s="641"/>
      <c r="O64" s="651"/>
      <c r="P64" s="642"/>
      <c r="Q64" s="642"/>
      <c r="R64" s="642"/>
      <c r="S64" s="642"/>
      <c r="T64" s="651"/>
      <c r="U64" s="651"/>
    </row>
    <row r="65" spans="1:21">
      <c r="A65" s="641"/>
      <c r="B65" s="641"/>
      <c r="C65" s="641"/>
      <c r="D65" s="641"/>
      <c r="E65" s="651"/>
      <c r="F65" s="641"/>
      <c r="G65" s="651"/>
      <c r="H65" s="641"/>
      <c r="I65" s="651"/>
      <c r="J65" s="641"/>
      <c r="K65" s="651"/>
      <c r="L65" s="641"/>
      <c r="M65" s="651"/>
      <c r="N65" s="641"/>
      <c r="O65" s="651"/>
      <c r="P65" s="642"/>
      <c r="Q65" s="642"/>
      <c r="R65" s="642"/>
      <c r="S65" s="642"/>
      <c r="T65" s="651"/>
      <c r="U65" s="651"/>
    </row>
    <row r="66" spans="1:21">
      <c r="A66" s="641"/>
      <c r="B66" s="641"/>
      <c r="C66" s="641"/>
      <c r="D66" s="641"/>
      <c r="E66" s="651"/>
      <c r="F66" s="641"/>
      <c r="G66" s="651"/>
      <c r="H66" s="641"/>
      <c r="I66" s="651"/>
      <c r="J66" s="641"/>
      <c r="K66" s="651"/>
      <c r="L66" s="641"/>
      <c r="M66" s="651"/>
      <c r="N66" s="641"/>
      <c r="O66" s="651"/>
      <c r="P66" s="642"/>
      <c r="Q66" s="642"/>
      <c r="R66" s="642"/>
      <c r="S66" s="642"/>
      <c r="T66" s="651"/>
      <c r="U66" s="651"/>
    </row>
    <row r="67" spans="1:21">
      <c r="A67" s="641"/>
      <c r="B67" s="641"/>
      <c r="C67" s="641"/>
      <c r="D67" s="641"/>
      <c r="E67" s="651"/>
      <c r="F67" s="641"/>
      <c r="G67" s="651"/>
      <c r="H67" s="641"/>
      <c r="I67" s="651"/>
      <c r="J67" s="641"/>
      <c r="K67" s="651"/>
      <c r="L67" s="641"/>
      <c r="M67" s="651"/>
      <c r="N67" s="641"/>
      <c r="O67" s="651"/>
      <c r="P67" s="642"/>
      <c r="Q67" s="642"/>
      <c r="R67" s="642"/>
      <c r="S67" s="642"/>
      <c r="T67" s="651"/>
      <c r="U67" s="651"/>
    </row>
    <row r="68" spans="1:21">
      <c r="A68" s="641"/>
      <c r="B68" s="641"/>
      <c r="C68" s="641"/>
      <c r="D68" s="641"/>
      <c r="E68" s="651"/>
      <c r="F68" s="641"/>
      <c r="G68" s="651"/>
      <c r="H68" s="641"/>
      <c r="I68" s="651"/>
      <c r="J68" s="641"/>
      <c r="K68" s="651"/>
      <c r="L68" s="641"/>
      <c r="M68" s="651"/>
      <c r="N68" s="641"/>
      <c r="O68" s="651"/>
      <c r="P68" s="642"/>
      <c r="Q68" s="642"/>
      <c r="R68" s="642"/>
      <c r="S68" s="642"/>
      <c r="T68" s="651"/>
      <c r="U68" s="651"/>
    </row>
    <row r="69" spans="1:21">
      <c r="A69" s="641"/>
      <c r="B69" s="641"/>
      <c r="C69" s="641"/>
      <c r="D69" s="641"/>
      <c r="E69" s="651"/>
      <c r="F69" s="641"/>
      <c r="G69" s="651"/>
      <c r="H69" s="641"/>
      <c r="I69" s="651"/>
      <c r="J69" s="641"/>
      <c r="K69" s="651"/>
      <c r="L69" s="641"/>
      <c r="M69" s="651"/>
      <c r="N69" s="641"/>
      <c r="O69" s="651"/>
      <c r="P69" s="642"/>
      <c r="Q69" s="642"/>
      <c r="R69" s="642"/>
      <c r="S69" s="642"/>
      <c r="T69" s="651"/>
      <c r="U69" s="651"/>
    </row>
    <row r="70" spans="1:21">
      <c r="A70" s="641"/>
      <c r="B70" s="641"/>
      <c r="C70" s="641"/>
      <c r="D70" s="641"/>
      <c r="E70" s="651"/>
      <c r="F70" s="641"/>
      <c r="G70" s="651"/>
      <c r="H70" s="641"/>
      <c r="I70" s="651"/>
      <c r="J70" s="641"/>
      <c r="K70" s="651"/>
      <c r="L70" s="641"/>
      <c r="M70" s="651"/>
      <c r="N70" s="641"/>
      <c r="O70" s="651"/>
      <c r="P70" s="642"/>
      <c r="Q70" s="642"/>
      <c r="R70" s="642"/>
      <c r="S70" s="642"/>
      <c r="T70" s="651"/>
      <c r="U70" s="651"/>
    </row>
    <row r="71" spans="1:21">
      <c r="A71" s="641"/>
      <c r="B71" s="641"/>
      <c r="C71" s="641"/>
      <c r="D71" s="641"/>
      <c r="E71" s="651"/>
      <c r="F71" s="641"/>
      <c r="G71" s="651"/>
      <c r="H71" s="641"/>
      <c r="I71" s="651"/>
      <c r="J71" s="641"/>
      <c r="K71" s="651"/>
      <c r="L71" s="641"/>
      <c r="M71" s="651"/>
      <c r="N71" s="641"/>
      <c r="O71" s="651"/>
      <c r="P71" s="642"/>
      <c r="Q71" s="642"/>
      <c r="R71" s="642"/>
      <c r="S71" s="642"/>
      <c r="T71" s="651"/>
      <c r="U71" s="651"/>
    </row>
    <row r="72" spans="1:21">
      <c r="A72" s="641"/>
      <c r="B72" s="641"/>
      <c r="C72" s="641"/>
      <c r="D72" s="641"/>
      <c r="E72" s="651"/>
      <c r="F72" s="641"/>
      <c r="G72" s="651"/>
      <c r="H72" s="641"/>
      <c r="I72" s="651"/>
      <c r="J72" s="641"/>
      <c r="K72" s="651"/>
      <c r="L72" s="641"/>
      <c r="M72" s="651"/>
      <c r="N72" s="641"/>
      <c r="O72" s="651"/>
      <c r="P72" s="642"/>
      <c r="Q72" s="642"/>
      <c r="R72" s="642"/>
      <c r="S72" s="642"/>
      <c r="T72" s="651"/>
      <c r="U72" s="651"/>
    </row>
    <row r="73" spans="1:21">
      <c r="A73" s="641"/>
      <c r="B73" s="641"/>
      <c r="C73" s="641"/>
      <c r="D73" s="641"/>
      <c r="E73" s="651"/>
      <c r="F73" s="641"/>
      <c r="G73" s="651"/>
      <c r="H73" s="641"/>
      <c r="I73" s="651"/>
      <c r="J73" s="641"/>
      <c r="K73" s="651"/>
      <c r="L73" s="641"/>
      <c r="M73" s="651"/>
      <c r="N73" s="641"/>
      <c r="O73" s="651"/>
      <c r="P73" s="642"/>
      <c r="Q73" s="642"/>
      <c r="R73" s="642"/>
      <c r="S73" s="642"/>
      <c r="T73" s="651"/>
      <c r="U73" s="651"/>
    </row>
    <row r="74" spans="1:21">
      <c r="A74" s="641"/>
      <c r="B74" s="641"/>
      <c r="C74" s="641"/>
      <c r="D74" s="641"/>
      <c r="E74" s="651"/>
      <c r="F74" s="641"/>
      <c r="G74" s="651"/>
      <c r="H74" s="641"/>
      <c r="I74" s="651"/>
      <c r="J74" s="641"/>
      <c r="K74" s="651"/>
      <c r="L74" s="641"/>
      <c r="M74" s="651"/>
      <c r="N74" s="641"/>
      <c r="O74" s="651"/>
      <c r="P74" s="642"/>
      <c r="Q74" s="642"/>
      <c r="R74" s="642"/>
      <c r="S74" s="642"/>
      <c r="T74" s="651"/>
      <c r="U74" s="651"/>
    </row>
    <row r="75" spans="1:21">
      <c r="A75" s="641"/>
      <c r="B75" s="641"/>
      <c r="C75" s="641"/>
      <c r="D75" s="641"/>
      <c r="E75" s="651"/>
      <c r="F75" s="641"/>
      <c r="G75" s="651"/>
      <c r="H75" s="641"/>
      <c r="I75" s="651"/>
      <c r="J75" s="641"/>
      <c r="K75" s="651"/>
      <c r="L75" s="641"/>
      <c r="M75" s="651"/>
      <c r="N75" s="641"/>
      <c r="O75" s="651"/>
      <c r="P75" s="642"/>
      <c r="Q75" s="642"/>
      <c r="R75" s="642"/>
      <c r="S75" s="642"/>
      <c r="T75" s="651"/>
      <c r="U75" s="651"/>
    </row>
    <row r="76" spans="1:21">
      <c r="A76" s="641"/>
      <c r="B76" s="641"/>
      <c r="C76" s="641"/>
      <c r="D76" s="641"/>
      <c r="E76" s="651"/>
      <c r="F76" s="641"/>
      <c r="G76" s="651"/>
      <c r="H76" s="641"/>
      <c r="I76" s="651"/>
      <c r="J76" s="641"/>
      <c r="K76" s="651"/>
      <c r="L76" s="641"/>
      <c r="M76" s="651"/>
      <c r="N76" s="641"/>
      <c r="O76" s="651"/>
      <c r="P76" s="642"/>
      <c r="Q76" s="642"/>
      <c r="R76" s="642"/>
      <c r="S76" s="642"/>
      <c r="T76" s="651"/>
      <c r="U76" s="651"/>
    </row>
    <row r="77" spans="1:21">
      <c r="A77" s="641"/>
      <c r="B77" s="641"/>
      <c r="C77" s="641"/>
      <c r="D77" s="641"/>
      <c r="E77" s="651"/>
      <c r="F77" s="641"/>
      <c r="G77" s="651"/>
      <c r="H77" s="641"/>
      <c r="I77" s="651"/>
      <c r="J77" s="641"/>
      <c r="K77" s="651"/>
      <c r="L77" s="641"/>
      <c r="M77" s="651"/>
      <c r="N77" s="641"/>
      <c r="O77" s="651"/>
      <c r="P77" s="642"/>
      <c r="Q77" s="642"/>
      <c r="R77" s="642"/>
      <c r="S77" s="642"/>
      <c r="T77" s="651"/>
      <c r="U77" s="651"/>
    </row>
    <row r="78" spans="1:21">
      <c r="A78" s="641"/>
      <c r="B78" s="641"/>
      <c r="C78" s="641"/>
      <c r="D78" s="641"/>
      <c r="E78" s="651"/>
      <c r="F78" s="641"/>
      <c r="G78" s="651"/>
      <c r="H78" s="641"/>
      <c r="I78" s="651"/>
      <c r="J78" s="641"/>
      <c r="K78" s="651"/>
      <c r="L78" s="641"/>
      <c r="M78" s="651"/>
      <c r="N78" s="641"/>
      <c r="O78" s="651"/>
      <c r="P78" s="642"/>
      <c r="Q78" s="642"/>
      <c r="R78" s="642"/>
      <c r="S78" s="642"/>
      <c r="T78" s="651"/>
      <c r="U78" s="651"/>
    </row>
    <row r="79" spans="1:21">
      <c r="A79" s="641"/>
      <c r="B79" s="641"/>
      <c r="C79" s="641"/>
      <c r="D79" s="641"/>
      <c r="E79" s="651"/>
      <c r="F79" s="641"/>
      <c r="G79" s="651"/>
      <c r="H79" s="641"/>
      <c r="I79" s="651"/>
      <c r="J79" s="641"/>
      <c r="K79" s="651"/>
      <c r="L79" s="641"/>
      <c r="M79" s="651"/>
      <c r="N79" s="641"/>
      <c r="O79" s="651"/>
      <c r="P79" s="642"/>
      <c r="Q79" s="642"/>
      <c r="R79" s="642"/>
      <c r="S79" s="642"/>
      <c r="T79" s="651"/>
      <c r="U79" s="651"/>
    </row>
    <row r="80" spans="1:21">
      <c r="A80" s="641"/>
      <c r="B80" s="641"/>
      <c r="C80" s="641"/>
      <c r="D80" s="641"/>
      <c r="E80" s="651"/>
      <c r="F80" s="641"/>
      <c r="G80" s="651"/>
      <c r="H80" s="641"/>
      <c r="I80" s="651"/>
      <c r="J80" s="641"/>
      <c r="K80" s="651"/>
      <c r="L80" s="641"/>
      <c r="M80" s="651"/>
      <c r="N80" s="641"/>
      <c r="O80" s="651"/>
      <c r="P80" s="642"/>
      <c r="Q80" s="642"/>
      <c r="R80" s="642"/>
      <c r="S80" s="642"/>
      <c r="T80" s="651"/>
      <c r="U80" s="651"/>
    </row>
    <row r="81" spans="1:21">
      <c r="A81" s="641"/>
      <c r="B81" s="641"/>
      <c r="C81" s="641"/>
      <c r="D81" s="641"/>
      <c r="E81" s="651"/>
      <c r="F81" s="641"/>
      <c r="G81" s="651"/>
      <c r="H81" s="641"/>
      <c r="I81" s="651"/>
      <c r="J81" s="641"/>
      <c r="K81" s="651"/>
      <c r="L81" s="641"/>
      <c r="M81" s="651"/>
      <c r="N81" s="641"/>
      <c r="O81" s="651"/>
      <c r="P81" s="642"/>
      <c r="Q81" s="642"/>
      <c r="R81" s="642"/>
      <c r="S81" s="642"/>
      <c r="T81" s="651"/>
      <c r="U81" s="651"/>
    </row>
    <row r="82" spans="1:21">
      <c r="A82" s="641"/>
      <c r="B82" s="641"/>
      <c r="C82" s="641"/>
      <c r="D82" s="641"/>
      <c r="E82" s="651"/>
      <c r="F82" s="641"/>
      <c r="G82" s="651"/>
      <c r="H82" s="641"/>
      <c r="I82" s="651"/>
      <c r="J82" s="641"/>
      <c r="K82" s="651"/>
      <c r="L82" s="641"/>
      <c r="M82" s="651"/>
      <c r="N82" s="641"/>
      <c r="O82" s="651"/>
      <c r="P82" s="642"/>
      <c r="Q82" s="642"/>
      <c r="R82" s="642"/>
      <c r="S82" s="642"/>
      <c r="T82" s="651"/>
      <c r="U82" s="651"/>
    </row>
    <row r="83" spans="1:21">
      <c r="A83" s="641"/>
      <c r="B83" s="641"/>
      <c r="C83" s="641"/>
      <c r="D83" s="641"/>
      <c r="E83" s="651"/>
      <c r="F83" s="641"/>
      <c r="G83" s="651"/>
      <c r="H83" s="641"/>
      <c r="I83" s="651"/>
      <c r="J83" s="641"/>
      <c r="K83" s="651"/>
      <c r="L83" s="641"/>
      <c r="M83" s="651"/>
      <c r="N83" s="641"/>
      <c r="O83" s="651"/>
      <c r="P83" s="642"/>
      <c r="Q83" s="642"/>
      <c r="R83" s="642"/>
      <c r="S83" s="642"/>
      <c r="T83" s="651"/>
      <c r="U83" s="651"/>
    </row>
    <row r="84" spans="1:21">
      <c r="A84" s="641"/>
      <c r="B84" s="641"/>
      <c r="C84" s="641"/>
      <c r="D84" s="641"/>
      <c r="E84" s="651"/>
      <c r="F84" s="641"/>
      <c r="G84" s="651"/>
      <c r="H84" s="641"/>
      <c r="I84" s="651"/>
      <c r="J84" s="641"/>
      <c r="K84" s="651"/>
      <c r="L84" s="641"/>
      <c r="M84" s="651"/>
      <c r="N84" s="641"/>
      <c r="O84" s="651"/>
      <c r="P84" s="641"/>
      <c r="Q84" s="641"/>
      <c r="R84" s="641"/>
      <c r="S84" s="641"/>
      <c r="T84" s="651"/>
      <c r="U84" s="651"/>
    </row>
    <row r="85" spans="1:21">
      <c r="A85" s="641"/>
      <c r="B85" s="641"/>
      <c r="C85" s="641"/>
      <c r="D85" s="641"/>
      <c r="E85" s="651"/>
      <c r="F85" s="641"/>
      <c r="G85" s="651"/>
      <c r="H85" s="641"/>
      <c r="I85" s="651"/>
      <c r="J85" s="641"/>
      <c r="K85" s="651"/>
      <c r="L85" s="641"/>
      <c r="M85" s="651"/>
      <c r="N85" s="641"/>
      <c r="O85" s="651"/>
      <c r="P85" s="641"/>
      <c r="Q85" s="641"/>
      <c r="R85" s="641"/>
      <c r="S85" s="641"/>
      <c r="T85" s="651"/>
      <c r="U85" s="651"/>
    </row>
    <row r="86" spans="1:21">
      <c r="A86" s="641"/>
      <c r="B86" s="641"/>
      <c r="C86" s="641"/>
      <c r="D86" s="641"/>
      <c r="E86" s="651"/>
      <c r="F86" s="641"/>
      <c r="G86" s="651"/>
      <c r="H86" s="641"/>
      <c r="I86" s="651"/>
      <c r="J86" s="641"/>
      <c r="K86" s="651"/>
      <c r="L86" s="641"/>
      <c r="M86" s="651"/>
      <c r="N86" s="641"/>
      <c r="O86" s="651"/>
      <c r="P86" s="641"/>
      <c r="Q86" s="641"/>
      <c r="R86" s="641"/>
      <c r="S86" s="641"/>
      <c r="T86" s="651"/>
      <c r="U86" s="651"/>
    </row>
    <row r="87" spans="1:21">
      <c r="A87" s="641"/>
      <c r="B87" s="641"/>
      <c r="C87" s="641"/>
      <c r="D87" s="641"/>
      <c r="E87" s="651"/>
      <c r="F87" s="641"/>
      <c r="G87" s="651"/>
      <c r="H87" s="641"/>
      <c r="I87" s="651"/>
      <c r="J87" s="641"/>
      <c r="K87" s="651"/>
      <c r="L87" s="641"/>
      <c r="M87" s="651"/>
      <c r="N87" s="641"/>
      <c r="O87" s="651"/>
      <c r="P87" s="641"/>
      <c r="Q87" s="641"/>
      <c r="R87" s="641"/>
      <c r="S87" s="641"/>
      <c r="T87" s="651"/>
      <c r="U87" s="651"/>
    </row>
    <row r="88" spans="1:21">
      <c r="A88" s="641"/>
      <c r="B88" s="641"/>
      <c r="C88" s="641"/>
      <c r="D88" s="641"/>
      <c r="E88" s="651"/>
      <c r="F88" s="641"/>
      <c r="G88" s="651"/>
      <c r="H88" s="641"/>
      <c r="I88" s="651"/>
      <c r="J88" s="641"/>
      <c r="K88" s="651"/>
      <c r="L88" s="641"/>
      <c r="M88" s="651"/>
      <c r="N88" s="641"/>
      <c r="O88" s="651"/>
      <c r="P88" s="641"/>
      <c r="Q88" s="641"/>
      <c r="R88" s="641"/>
      <c r="S88" s="641"/>
      <c r="T88" s="651"/>
      <c r="U88" s="651"/>
    </row>
    <row r="89" spans="1:21">
      <c r="A89" s="641"/>
      <c r="B89" s="641"/>
      <c r="C89" s="641"/>
      <c r="D89" s="641"/>
      <c r="E89" s="651"/>
      <c r="F89" s="641"/>
      <c r="G89" s="651"/>
      <c r="H89" s="641"/>
      <c r="I89" s="651"/>
      <c r="J89" s="641"/>
      <c r="K89" s="651"/>
      <c r="L89" s="641"/>
      <c r="M89" s="651"/>
      <c r="N89" s="641"/>
      <c r="O89" s="651"/>
      <c r="P89" s="641"/>
      <c r="Q89" s="641"/>
      <c r="R89" s="641"/>
      <c r="S89" s="641"/>
      <c r="T89" s="651"/>
      <c r="U89" s="651"/>
    </row>
    <row r="90" spans="1:21">
      <c r="A90" s="641"/>
      <c r="B90" s="641"/>
      <c r="C90" s="641"/>
      <c r="D90" s="641"/>
      <c r="E90" s="651"/>
      <c r="F90" s="641"/>
      <c r="G90" s="651"/>
      <c r="H90" s="641"/>
      <c r="I90" s="651"/>
      <c r="J90" s="641"/>
      <c r="K90" s="651"/>
      <c r="L90" s="641"/>
      <c r="M90" s="651"/>
      <c r="N90" s="641"/>
      <c r="O90" s="651"/>
      <c r="P90" s="641"/>
      <c r="Q90" s="641"/>
      <c r="R90" s="641"/>
      <c r="S90" s="641"/>
      <c r="T90" s="651"/>
      <c r="U90" s="651"/>
    </row>
    <row r="91" spans="1:21">
      <c r="A91" s="641"/>
      <c r="B91" s="641"/>
      <c r="C91" s="641"/>
      <c r="D91" s="641"/>
      <c r="E91" s="651"/>
      <c r="F91" s="641"/>
      <c r="G91" s="651"/>
      <c r="H91" s="641"/>
      <c r="I91" s="651"/>
      <c r="J91" s="641"/>
      <c r="K91" s="651"/>
      <c r="L91" s="641"/>
      <c r="M91" s="651"/>
      <c r="N91" s="641"/>
      <c r="O91" s="651"/>
      <c r="P91" s="641"/>
      <c r="Q91" s="641"/>
      <c r="R91" s="641"/>
      <c r="S91" s="641"/>
      <c r="T91" s="651"/>
      <c r="U91" s="651"/>
    </row>
    <row r="92" spans="1:21">
      <c r="A92" s="641"/>
      <c r="B92" s="641"/>
      <c r="C92" s="641"/>
      <c r="D92" s="641"/>
      <c r="E92" s="651"/>
      <c r="F92" s="641"/>
      <c r="G92" s="651"/>
      <c r="H92" s="641"/>
      <c r="I92" s="651"/>
      <c r="J92" s="641"/>
      <c r="K92" s="651"/>
      <c r="L92" s="641"/>
      <c r="M92" s="651"/>
      <c r="N92" s="641"/>
      <c r="O92" s="651"/>
      <c r="P92" s="641"/>
      <c r="Q92" s="641"/>
      <c r="R92" s="641"/>
      <c r="S92" s="641"/>
      <c r="T92" s="651"/>
      <c r="U92" s="651"/>
    </row>
    <row r="93" spans="1:21">
      <c r="A93" s="641"/>
      <c r="B93" s="641"/>
      <c r="C93" s="641"/>
      <c r="D93" s="641"/>
      <c r="E93" s="651"/>
      <c r="F93" s="641"/>
      <c r="G93" s="651"/>
      <c r="H93" s="641"/>
      <c r="I93" s="651"/>
      <c r="J93" s="641"/>
      <c r="K93" s="651"/>
      <c r="L93" s="641"/>
      <c r="M93" s="651"/>
      <c r="N93" s="641"/>
      <c r="O93" s="651"/>
      <c r="P93" s="641"/>
      <c r="Q93" s="641"/>
      <c r="R93" s="641"/>
      <c r="S93" s="641"/>
      <c r="T93" s="651"/>
      <c r="U93" s="651"/>
    </row>
    <row r="94" spans="1:21">
      <c r="A94" s="641"/>
      <c r="B94" s="641"/>
      <c r="C94" s="641"/>
      <c r="D94" s="641"/>
      <c r="E94" s="651"/>
      <c r="F94" s="641"/>
      <c r="G94" s="651"/>
      <c r="H94" s="641"/>
      <c r="I94" s="651"/>
      <c r="J94" s="641"/>
      <c r="K94" s="651"/>
      <c r="L94" s="641"/>
      <c r="M94" s="651"/>
      <c r="N94" s="641"/>
      <c r="O94" s="651"/>
      <c r="P94" s="641"/>
      <c r="Q94" s="641"/>
      <c r="R94" s="641"/>
      <c r="S94" s="641"/>
      <c r="T94" s="651"/>
      <c r="U94" s="651"/>
    </row>
    <row r="95" spans="1:21">
      <c r="A95" s="641"/>
      <c r="B95" s="641"/>
      <c r="C95" s="641"/>
      <c r="D95" s="641"/>
      <c r="E95" s="651"/>
      <c r="F95" s="641"/>
      <c r="G95" s="651"/>
      <c r="H95" s="641"/>
      <c r="I95" s="651"/>
      <c r="J95" s="641"/>
      <c r="K95" s="651"/>
      <c r="L95" s="641"/>
      <c r="M95" s="651"/>
      <c r="N95" s="641"/>
      <c r="O95" s="651"/>
      <c r="P95" s="641"/>
      <c r="Q95" s="641"/>
      <c r="R95" s="641"/>
      <c r="S95" s="641"/>
      <c r="T95" s="651"/>
      <c r="U95" s="651"/>
    </row>
    <row r="96" spans="1:21">
      <c r="A96" s="641"/>
      <c r="B96" s="641"/>
      <c r="C96" s="641"/>
      <c r="D96" s="641"/>
      <c r="E96" s="651"/>
      <c r="F96" s="641"/>
      <c r="G96" s="651"/>
      <c r="H96" s="641"/>
      <c r="I96" s="651"/>
      <c r="J96" s="641"/>
      <c r="K96" s="651"/>
      <c r="L96" s="641"/>
      <c r="M96" s="651"/>
      <c r="N96" s="641"/>
      <c r="O96" s="651"/>
      <c r="P96" s="641"/>
      <c r="Q96" s="641"/>
      <c r="R96" s="641"/>
      <c r="S96" s="641"/>
      <c r="T96" s="651"/>
      <c r="U96" s="651"/>
    </row>
    <row r="97" spans="1:21">
      <c r="A97" s="641"/>
      <c r="B97" s="641"/>
      <c r="C97" s="641"/>
      <c r="D97" s="641"/>
      <c r="E97" s="651"/>
      <c r="F97" s="641"/>
      <c r="G97" s="651"/>
      <c r="H97" s="641"/>
      <c r="I97" s="651"/>
      <c r="J97" s="641"/>
      <c r="K97" s="651"/>
      <c r="L97" s="641"/>
      <c r="M97" s="651"/>
      <c r="N97" s="641"/>
      <c r="O97" s="651"/>
      <c r="P97" s="641"/>
      <c r="Q97" s="641"/>
      <c r="R97" s="641"/>
      <c r="S97" s="641"/>
      <c r="T97" s="651"/>
      <c r="U97" s="651"/>
    </row>
    <row r="98" spans="1:21">
      <c r="A98" s="641"/>
      <c r="B98" s="641"/>
      <c r="C98" s="641"/>
      <c r="D98" s="641"/>
      <c r="E98" s="651"/>
      <c r="F98" s="641"/>
      <c r="G98" s="651"/>
      <c r="H98" s="641"/>
      <c r="I98" s="651"/>
      <c r="J98" s="641"/>
      <c r="K98" s="651"/>
      <c r="L98" s="641"/>
      <c r="M98" s="651"/>
      <c r="N98" s="641"/>
      <c r="O98" s="651"/>
      <c r="P98" s="641"/>
      <c r="Q98" s="641"/>
      <c r="R98" s="641"/>
      <c r="S98" s="641"/>
      <c r="T98" s="651"/>
      <c r="U98" s="651"/>
    </row>
    <row r="99" spans="1:21">
      <c r="A99" s="641"/>
      <c r="B99" s="641"/>
      <c r="C99" s="641"/>
      <c r="D99" s="641"/>
      <c r="E99" s="651"/>
      <c r="F99" s="641"/>
      <c r="G99" s="651"/>
      <c r="H99" s="641"/>
      <c r="I99" s="651"/>
      <c r="J99" s="641"/>
      <c r="K99" s="651"/>
      <c r="L99" s="641"/>
      <c r="M99" s="651"/>
      <c r="N99" s="641"/>
      <c r="O99" s="651"/>
      <c r="P99" s="641"/>
      <c r="Q99" s="641"/>
      <c r="R99" s="641"/>
      <c r="S99" s="641"/>
      <c r="T99" s="651"/>
      <c r="U99" s="651"/>
    </row>
    <row r="100" spans="1:21">
      <c r="A100" s="641"/>
      <c r="B100" s="641"/>
      <c r="C100" s="641"/>
      <c r="D100" s="641"/>
      <c r="E100" s="651"/>
      <c r="F100" s="641"/>
      <c r="G100" s="651"/>
      <c r="H100" s="641"/>
      <c r="I100" s="651"/>
      <c r="J100" s="641"/>
      <c r="K100" s="651"/>
      <c r="L100" s="641"/>
      <c r="M100" s="651"/>
      <c r="N100" s="641"/>
      <c r="O100" s="651"/>
      <c r="P100" s="641"/>
      <c r="Q100" s="641"/>
      <c r="R100" s="641"/>
      <c r="S100" s="641"/>
      <c r="T100" s="651"/>
      <c r="U100" s="651"/>
    </row>
    <row r="101" spans="1:21">
      <c r="A101" s="641"/>
      <c r="B101" s="641"/>
      <c r="C101" s="641"/>
      <c r="D101" s="641"/>
      <c r="E101" s="651"/>
      <c r="F101" s="641"/>
      <c r="G101" s="651"/>
      <c r="H101" s="641"/>
      <c r="I101" s="651"/>
      <c r="J101" s="641"/>
      <c r="K101" s="651"/>
      <c r="L101" s="641"/>
      <c r="M101" s="651"/>
      <c r="N101" s="641"/>
      <c r="O101" s="651"/>
      <c r="P101" s="641"/>
      <c r="Q101" s="641"/>
      <c r="R101" s="641"/>
      <c r="S101" s="641"/>
      <c r="T101" s="651"/>
      <c r="U101" s="651"/>
    </row>
    <row r="102" spans="1:21">
      <c r="A102" s="641"/>
      <c r="B102" s="641"/>
      <c r="C102" s="641"/>
      <c r="D102" s="641"/>
      <c r="E102" s="651"/>
      <c r="F102" s="641"/>
      <c r="G102" s="651"/>
      <c r="H102" s="641"/>
      <c r="I102" s="651"/>
      <c r="J102" s="641"/>
      <c r="K102" s="651"/>
      <c r="L102" s="641"/>
      <c r="M102" s="651"/>
      <c r="N102" s="641"/>
      <c r="O102" s="651"/>
      <c r="P102" s="641"/>
      <c r="Q102" s="641"/>
      <c r="R102" s="641"/>
      <c r="S102" s="641"/>
      <c r="T102" s="651"/>
      <c r="U102" s="651"/>
    </row>
    <row r="103" spans="1:21">
      <c r="A103" s="641"/>
      <c r="B103" s="641"/>
      <c r="C103" s="641"/>
      <c r="D103" s="641"/>
      <c r="E103" s="651"/>
      <c r="F103" s="641"/>
      <c r="G103" s="651"/>
      <c r="H103" s="641"/>
      <c r="I103" s="651"/>
      <c r="J103" s="641"/>
      <c r="K103" s="651"/>
      <c r="L103" s="641"/>
      <c r="M103" s="651"/>
      <c r="N103" s="641"/>
      <c r="O103" s="651"/>
      <c r="P103" s="641"/>
      <c r="Q103" s="641"/>
      <c r="R103" s="641"/>
      <c r="S103" s="641"/>
      <c r="T103" s="651"/>
      <c r="U103" s="651"/>
    </row>
    <row r="104" spans="1:21">
      <c r="A104" s="641"/>
      <c r="B104" s="641"/>
      <c r="C104" s="641"/>
      <c r="D104" s="641"/>
      <c r="E104" s="651"/>
      <c r="F104" s="641"/>
      <c r="G104" s="651"/>
      <c r="H104" s="641"/>
      <c r="I104" s="651"/>
      <c r="J104" s="641"/>
      <c r="K104" s="651"/>
      <c r="L104" s="641"/>
      <c r="M104" s="651"/>
      <c r="N104" s="641"/>
      <c r="O104" s="651"/>
      <c r="P104" s="641"/>
      <c r="Q104" s="641"/>
      <c r="R104" s="641"/>
      <c r="S104" s="641"/>
      <c r="T104" s="651"/>
      <c r="U104" s="651"/>
    </row>
    <row r="105" spans="1:21">
      <c r="A105" s="641"/>
      <c r="B105" s="641"/>
      <c r="C105" s="641"/>
      <c r="D105" s="641"/>
      <c r="E105" s="651"/>
      <c r="F105" s="641"/>
      <c r="G105" s="651"/>
      <c r="H105" s="641"/>
      <c r="I105" s="651"/>
      <c r="J105" s="641"/>
      <c r="K105" s="651"/>
      <c r="L105" s="641"/>
      <c r="M105" s="651"/>
      <c r="N105" s="641"/>
      <c r="O105" s="651"/>
      <c r="P105" s="641"/>
      <c r="Q105" s="641"/>
      <c r="R105" s="641"/>
      <c r="S105" s="641"/>
      <c r="T105" s="651"/>
      <c r="U105" s="651"/>
    </row>
    <row r="106" spans="1:21">
      <c r="A106" s="641"/>
      <c r="B106" s="641"/>
      <c r="C106" s="641"/>
      <c r="D106" s="641"/>
      <c r="E106" s="651"/>
      <c r="F106" s="641"/>
      <c r="G106" s="651"/>
      <c r="H106" s="641"/>
      <c r="I106" s="651"/>
      <c r="J106" s="641"/>
      <c r="K106" s="651"/>
      <c r="L106" s="641"/>
      <c r="M106" s="651"/>
      <c r="N106" s="641"/>
      <c r="O106" s="651"/>
      <c r="P106" s="641"/>
      <c r="Q106" s="641"/>
      <c r="R106" s="641"/>
      <c r="S106" s="641"/>
      <c r="T106" s="651"/>
      <c r="U106" s="651"/>
    </row>
    <row r="107" spans="1:21">
      <c r="A107" s="641"/>
      <c r="B107" s="641"/>
      <c r="C107" s="641"/>
      <c r="D107" s="641"/>
      <c r="E107" s="651"/>
      <c r="F107" s="641"/>
      <c r="G107" s="651"/>
      <c r="H107" s="641"/>
      <c r="I107" s="651"/>
      <c r="J107" s="641"/>
      <c r="K107" s="651"/>
      <c r="L107" s="641"/>
      <c r="M107" s="651"/>
      <c r="N107" s="641"/>
      <c r="O107" s="651"/>
      <c r="P107" s="641"/>
      <c r="Q107" s="641"/>
      <c r="R107" s="641"/>
      <c r="S107" s="641"/>
      <c r="T107" s="651"/>
      <c r="U107" s="651"/>
    </row>
    <row r="108" spans="1:21">
      <c r="A108" s="641"/>
      <c r="B108" s="641"/>
      <c r="C108" s="641"/>
      <c r="D108" s="641"/>
      <c r="E108" s="651"/>
      <c r="F108" s="641"/>
      <c r="G108" s="651"/>
      <c r="H108" s="641"/>
      <c r="I108" s="651"/>
      <c r="J108" s="641"/>
      <c r="K108" s="651"/>
      <c r="L108" s="641"/>
      <c r="M108" s="651"/>
      <c r="N108" s="641"/>
      <c r="O108" s="651"/>
      <c r="P108" s="641"/>
      <c r="Q108" s="641"/>
      <c r="R108" s="641"/>
      <c r="S108" s="641"/>
      <c r="T108" s="651"/>
      <c r="U108" s="651"/>
    </row>
    <row r="109" spans="1:21">
      <c r="A109" s="641"/>
      <c r="B109" s="641"/>
      <c r="C109" s="641"/>
      <c r="D109" s="641"/>
      <c r="E109" s="651"/>
      <c r="F109" s="641"/>
      <c r="G109" s="651"/>
      <c r="H109" s="641"/>
      <c r="I109" s="651"/>
      <c r="J109" s="641"/>
      <c r="K109" s="651"/>
      <c r="L109" s="641"/>
      <c r="M109" s="651"/>
      <c r="N109" s="641"/>
      <c r="O109" s="651"/>
      <c r="P109" s="641"/>
      <c r="Q109" s="641"/>
      <c r="R109" s="641"/>
      <c r="S109" s="641"/>
      <c r="T109" s="651"/>
      <c r="U109" s="651"/>
    </row>
    <row r="110" spans="1:21">
      <c r="A110" s="641"/>
      <c r="B110" s="641"/>
      <c r="C110" s="641"/>
      <c r="D110" s="641"/>
      <c r="E110" s="651"/>
      <c r="F110" s="641"/>
      <c r="G110" s="651"/>
      <c r="H110" s="641"/>
      <c r="I110" s="651"/>
      <c r="J110" s="641"/>
      <c r="K110" s="651"/>
      <c r="L110" s="641"/>
      <c r="M110" s="651"/>
      <c r="N110" s="641"/>
      <c r="O110" s="651"/>
      <c r="P110" s="641"/>
      <c r="Q110" s="641"/>
      <c r="R110" s="641"/>
      <c r="S110" s="641"/>
      <c r="T110" s="651"/>
      <c r="U110" s="651"/>
    </row>
    <row r="111" spans="1:21">
      <c r="A111" s="641"/>
      <c r="B111" s="641"/>
      <c r="C111" s="641"/>
      <c r="D111" s="641"/>
      <c r="E111" s="651"/>
      <c r="F111" s="641"/>
      <c r="G111" s="651"/>
      <c r="H111" s="641"/>
      <c r="I111" s="651"/>
      <c r="J111" s="641"/>
      <c r="K111" s="651"/>
      <c r="L111" s="641"/>
      <c r="M111" s="651"/>
      <c r="N111" s="641"/>
      <c r="O111" s="651"/>
      <c r="P111" s="641"/>
      <c r="Q111" s="641"/>
      <c r="R111" s="641"/>
      <c r="S111" s="641"/>
      <c r="T111" s="651"/>
      <c r="U111" s="651"/>
    </row>
    <row r="112" spans="1:21">
      <c r="A112" s="641"/>
      <c r="B112" s="641"/>
      <c r="C112" s="641"/>
      <c r="D112" s="641"/>
      <c r="E112" s="651"/>
      <c r="F112" s="641"/>
      <c r="G112" s="651"/>
      <c r="H112" s="641"/>
      <c r="I112" s="651"/>
      <c r="J112" s="641"/>
      <c r="K112" s="651"/>
      <c r="L112" s="641"/>
      <c r="M112" s="651"/>
      <c r="N112" s="641"/>
      <c r="O112" s="651"/>
      <c r="P112" s="641"/>
      <c r="Q112" s="641"/>
      <c r="R112" s="641"/>
      <c r="S112" s="641"/>
      <c r="T112" s="651"/>
      <c r="U112" s="651"/>
    </row>
    <row r="113" spans="1:21">
      <c r="A113" s="641"/>
      <c r="B113" s="641"/>
      <c r="C113" s="641"/>
      <c r="D113" s="641"/>
      <c r="E113" s="651"/>
      <c r="F113" s="641"/>
      <c r="G113" s="651"/>
      <c r="H113" s="641"/>
      <c r="I113" s="651"/>
      <c r="J113" s="641"/>
      <c r="K113" s="651"/>
      <c r="L113" s="641"/>
      <c r="M113" s="651"/>
      <c r="N113" s="641"/>
      <c r="O113" s="651"/>
      <c r="P113" s="641"/>
      <c r="Q113" s="641"/>
      <c r="R113" s="641"/>
      <c r="S113" s="641"/>
      <c r="T113" s="651"/>
      <c r="U113" s="651"/>
    </row>
    <row r="114" spans="1:21">
      <c r="A114" s="641"/>
      <c r="B114" s="641"/>
      <c r="C114" s="641"/>
      <c r="D114" s="641"/>
      <c r="E114" s="651"/>
      <c r="F114" s="641"/>
      <c r="G114" s="651"/>
      <c r="H114" s="641"/>
      <c r="I114" s="651"/>
      <c r="J114" s="641"/>
      <c r="K114" s="651"/>
      <c r="L114" s="641"/>
      <c r="M114" s="651"/>
      <c r="N114" s="641"/>
      <c r="O114" s="651"/>
      <c r="P114" s="641"/>
      <c r="Q114" s="641"/>
      <c r="R114" s="641"/>
      <c r="S114" s="641"/>
      <c r="T114" s="651"/>
      <c r="U114" s="651"/>
    </row>
    <row r="115" spans="1:21">
      <c r="A115" s="641"/>
      <c r="B115" s="641"/>
      <c r="C115" s="641"/>
      <c r="D115" s="641"/>
      <c r="E115" s="651"/>
      <c r="F115" s="641"/>
      <c r="G115" s="651"/>
      <c r="H115" s="641"/>
      <c r="I115" s="651"/>
      <c r="J115" s="641"/>
      <c r="K115" s="651"/>
      <c r="L115" s="641"/>
      <c r="M115" s="651"/>
      <c r="N115" s="641"/>
      <c r="O115" s="651"/>
      <c r="P115" s="641"/>
      <c r="Q115" s="641"/>
      <c r="R115" s="641"/>
      <c r="S115" s="641"/>
      <c r="T115" s="651"/>
      <c r="U115" s="651"/>
    </row>
    <row r="116" spans="1:21">
      <c r="A116" s="641"/>
      <c r="B116" s="641"/>
      <c r="C116" s="641"/>
      <c r="D116" s="641"/>
      <c r="E116" s="651"/>
      <c r="F116" s="641"/>
      <c r="G116" s="651"/>
      <c r="H116" s="641"/>
      <c r="I116" s="651"/>
      <c r="J116" s="641"/>
      <c r="K116" s="651"/>
      <c r="L116" s="641"/>
      <c r="M116" s="651"/>
      <c r="N116" s="641"/>
      <c r="O116" s="651"/>
      <c r="P116" s="641"/>
      <c r="Q116" s="641"/>
      <c r="R116" s="641"/>
      <c r="S116" s="641"/>
      <c r="T116" s="651"/>
      <c r="U116" s="651"/>
    </row>
    <row r="117" spans="1:21">
      <c r="A117" s="641"/>
      <c r="B117" s="641"/>
      <c r="C117" s="641"/>
      <c r="D117" s="641"/>
      <c r="E117" s="651"/>
      <c r="F117" s="641"/>
      <c r="G117" s="651"/>
      <c r="H117" s="641"/>
      <c r="I117" s="651"/>
      <c r="J117" s="641"/>
      <c r="K117" s="651"/>
      <c r="L117" s="641"/>
      <c r="M117" s="651"/>
      <c r="N117" s="641"/>
      <c r="O117" s="651"/>
      <c r="P117" s="641"/>
      <c r="Q117" s="641"/>
      <c r="R117" s="641"/>
      <c r="S117" s="641"/>
      <c r="T117" s="651"/>
      <c r="U117" s="651"/>
    </row>
    <row r="118" spans="1:21">
      <c r="A118" s="641"/>
      <c r="B118" s="641"/>
      <c r="C118" s="641"/>
      <c r="D118" s="641"/>
      <c r="E118" s="651"/>
      <c r="F118" s="641"/>
      <c r="G118" s="651"/>
      <c r="H118" s="641"/>
      <c r="I118" s="651"/>
      <c r="J118" s="641"/>
      <c r="K118" s="651"/>
      <c r="L118" s="641"/>
      <c r="M118" s="651"/>
      <c r="N118" s="641"/>
      <c r="O118" s="651"/>
      <c r="P118" s="641"/>
      <c r="Q118" s="641"/>
      <c r="R118" s="641"/>
      <c r="S118" s="641"/>
      <c r="T118" s="651"/>
      <c r="U118" s="651"/>
    </row>
    <row r="119" spans="1:21">
      <c r="A119" s="641"/>
      <c r="B119" s="641"/>
      <c r="C119" s="641"/>
      <c r="D119" s="641"/>
      <c r="E119" s="651"/>
      <c r="F119" s="641"/>
      <c r="G119" s="651"/>
      <c r="H119" s="641"/>
      <c r="I119" s="651"/>
      <c r="J119" s="641"/>
      <c r="K119" s="651"/>
      <c r="L119" s="641"/>
      <c r="M119" s="651"/>
      <c r="N119" s="641"/>
      <c r="O119" s="651"/>
      <c r="P119" s="641"/>
      <c r="Q119" s="641"/>
      <c r="R119" s="641"/>
      <c r="S119" s="641"/>
      <c r="T119" s="651"/>
      <c r="U119" s="651"/>
    </row>
    <row r="120" spans="1:21">
      <c r="A120" s="641"/>
      <c r="B120" s="641"/>
      <c r="C120" s="641"/>
      <c r="D120" s="641"/>
      <c r="E120" s="651"/>
      <c r="F120" s="641"/>
      <c r="G120" s="651"/>
      <c r="H120" s="641"/>
      <c r="I120" s="651"/>
      <c r="J120" s="641"/>
      <c r="K120" s="651"/>
      <c r="L120" s="641"/>
      <c r="M120" s="651"/>
      <c r="N120" s="641"/>
      <c r="O120" s="651"/>
      <c r="P120" s="641"/>
      <c r="Q120" s="641"/>
      <c r="R120" s="641"/>
      <c r="S120" s="641"/>
      <c r="T120" s="651"/>
      <c r="U120" s="651"/>
    </row>
    <row r="121" spans="1:21">
      <c r="A121" s="641"/>
      <c r="B121" s="641"/>
      <c r="C121" s="641"/>
      <c r="D121" s="641"/>
      <c r="E121" s="651"/>
      <c r="F121" s="641"/>
      <c r="G121" s="651"/>
      <c r="H121" s="641"/>
      <c r="I121" s="651"/>
      <c r="J121" s="641"/>
      <c r="K121" s="651"/>
      <c r="L121" s="641"/>
      <c r="M121" s="651"/>
      <c r="N121" s="641"/>
      <c r="O121" s="651"/>
      <c r="P121" s="641"/>
      <c r="Q121" s="641"/>
      <c r="R121" s="641"/>
      <c r="S121" s="641"/>
      <c r="T121" s="651"/>
      <c r="U121" s="651"/>
    </row>
    <row r="122" spans="1:21">
      <c r="A122" s="641"/>
      <c r="B122" s="641"/>
      <c r="C122" s="641"/>
      <c r="D122" s="641"/>
      <c r="E122" s="651"/>
      <c r="F122" s="641"/>
      <c r="G122" s="651"/>
      <c r="H122" s="641"/>
      <c r="I122" s="651"/>
      <c r="J122" s="641"/>
      <c r="K122" s="651"/>
      <c r="L122" s="641"/>
      <c r="M122" s="651"/>
      <c r="N122" s="641"/>
      <c r="O122" s="651"/>
      <c r="P122" s="641"/>
      <c r="Q122" s="641"/>
      <c r="R122" s="641"/>
      <c r="S122" s="641"/>
      <c r="T122" s="651"/>
      <c r="U122" s="651"/>
    </row>
    <row r="123" spans="1:21">
      <c r="A123" s="641"/>
      <c r="B123" s="641"/>
      <c r="C123" s="641"/>
      <c r="D123" s="641"/>
      <c r="E123" s="651"/>
      <c r="F123" s="641"/>
      <c r="G123" s="651"/>
      <c r="H123" s="641"/>
      <c r="I123" s="651"/>
      <c r="J123" s="641"/>
      <c r="K123" s="651"/>
      <c r="L123" s="641"/>
      <c r="M123" s="651"/>
      <c r="N123" s="641"/>
      <c r="O123" s="651"/>
      <c r="P123" s="641"/>
      <c r="Q123" s="641"/>
      <c r="R123" s="641"/>
      <c r="S123" s="641"/>
      <c r="T123" s="651"/>
      <c r="U123" s="651"/>
    </row>
    <row r="124" spans="1:21">
      <c r="A124" s="641"/>
      <c r="B124" s="641"/>
      <c r="C124" s="641"/>
      <c r="D124" s="641"/>
      <c r="E124" s="651"/>
      <c r="F124" s="641"/>
      <c r="G124" s="651"/>
      <c r="H124" s="641"/>
      <c r="I124" s="651"/>
      <c r="J124" s="641"/>
      <c r="K124" s="651"/>
      <c r="L124" s="641"/>
      <c r="M124" s="651"/>
      <c r="N124" s="641"/>
      <c r="O124" s="651"/>
      <c r="P124" s="641"/>
      <c r="Q124" s="641"/>
      <c r="R124" s="641"/>
      <c r="S124" s="641"/>
      <c r="T124" s="651"/>
      <c r="U124" s="651"/>
    </row>
    <row r="125" spans="1:21">
      <c r="A125" s="641"/>
      <c r="B125" s="641"/>
      <c r="C125" s="641"/>
      <c r="D125" s="641"/>
      <c r="E125" s="651"/>
      <c r="F125" s="641"/>
      <c r="G125" s="651"/>
      <c r="H125" s="641"/>
      <c r="I125" s="651"/>
      <c r="J125" s="641"/>
      <c r="K125" s="651"/>
      <c r="L125" s="641"/>
      <c r="M125" s="651"/>
      <c r="N125" s="641"/>
      <c r="O125" s="651"/>
      <c r="P125" s="641"/>
      <c r="Q125" s="641"/>
      <c r="R125" s="641"/>
      <c r="S125" s="641"/>
      <c r="T125" s="651"/>
      <c r="U125" s="651"/>
    </row>
    <row r="126" spans="1:21">
      <c r="A126" s="641"/>
      <c r="B126" s="641"/>
      <c r="C126" s="641"/>
      <c r="D126" s="641"/>
      <c r="E126" s="651"/>
      <c r="F126" s="641"/>
      <c r="G126" s="651"/>
      <c r="H126" s="641"/>
      <c r="I126" s="651"/>
      <c r="J126" s="641"/>
      <c r="K126" s="651"/>
      <c r="L126" s="641"/>
      <c r="M126" s="651"/>
      <c r="N126" s="641"/>
      <c r="O126" s="651"/>
      <c r="P126" s="641"/>
      <c r="Q126" s="641"/>
      <c r="R126" s="641"/>
      <c r="S126" s="641"/>
      <c r="T126" s="651"/>
      <c r="U126" s="651"/>
    </row>
    <row r="127" spans="1:21">
      <c r="A127" s="641"/>
      <c r="B127" s="641"/>
      <c r="C127" s="641"/>
      <c r="D127" s="641"/>
      <c r="E127" s="651"/>
      <c r="F127" s="641"/>
      <c r="G127" s="651"/>
      <c r="H127" s="641"/>
      <c r="I127" s="651"/>
      <c r="J127" s="641"/>
      <c r="K127" s="651"/>
      <c r="L127" s="641"/>
      <c r="M127" s="651"/>
      <c r="N127" s="641"/>
      <c r="O127" s="651"/>
      <c r="P127" s="641"/>
      <c r="Q127" s="641"/>
      <c r="R127" s="641"/>
      <c r="S127" s="641"/>
      <c r="T127" s="651"/>
      <c r="U127" s="651"/>
    </row>
    <row r="128" spans="1:21">
      <c r="A128" s="641"/>
      <c r="B128" s="641"/>
      <c r="C128" s="641"/>
      <c r="D128" s="641"/>
      <c r="E128" s="651"/>
      <c r="F128" s="641"/>
      <c r="G128" s="651"/>
      <c r="H128" s="641"/>
      <c r="I128" s="651"/>
      <c r="J128" s="641"/>
      <c r="K128" s="651"/>
      <c r="L128" s="641"/>
      <c r="M128" s="651"/>
      <c r="N128" s="641"/>
      <c r="O128" s="651"/>
      <c r="P128" s="641"/>
      <c r="Q128" s="641"/>
      <c r="R128" s="641"/>
      <c r="S128" s="641"/>
      <c r="T128" s="651"/>
      <c r="U128" s="651"/>
    </row>
    <row r="129" spans="1:21">
      <c r="A129" s="641"/>
      <c r="B129" s="641"/>
      <c r="C129" s="641"/>
      <c r="D129" s="641"/>
      <c r="E129" s="651"/>
      <c r="F129" s="641"/>
      <c r="G129" s="651"/>
      <c r="H129" s="641"/>
      <c r="I129" s="651"/>
      <c r="J129" s="641"/>
      <c r="K129" s="651"/>
      <c r="L129" s="641"/>
      <c r="M129" s="651"/>
      <c r="N129" s="641"/>
      <c r="O129" s="651"/>
      <c r="P129" s="641"/>
      <c r="Q129" s="641"/>
      <c r="R129" s="641"/>
      <c r="S129" s="641"/>
      <c r="T129" s="651"/>
      <c r="U129" s="651"/>
    </row>
    <row r="130" spans="1:21">
      <c r="A130" s="641"/>
      <c r="B130" s="641"/>
      <c r="C130" s="641"/>
      <c r="D130" s="641"/>
      <c r="E130" s="651"/>
      <c r="F130" s="641"/>
      <c r="G130" s="651"/>
      <c r="H130" s="641"/>
      <c r="I130" s="651"/>
      <c r="J130" s="641"/>
      <c r="K130" s="651"/>
      <c r="L130" s="641"/>
      <c r="M130" s="651"/>
      <c r="N130" s="641"/>
      <c r="O130" s="651"/>
      <c r="P130" s="641"/>
      <c r="Q130" s="641"/>
      <c r="R130" s="641"/>
      <c r="S130" s="641"/>
      <c r="T130" s="651"/>
      <c r="U130" s="651"/>
    </row>
    <row r="131" spans="1:21">
      <c r="A131" s="641"/>
      <c r="B131" s="641"/>
      <c r="C131" s="641"/>
      <c r="D131" s="641"/>
      <c r="E131" s="651"/>
      <c r="F131" s="641"/>
      <c r="G131" s="651"/>
      <c r="H131" s="641"/>
      <c r="I131" s="651"/>
      <c r="J131" s="641"/>
      <c r="K131" s="651"/>
      <c r="L131" s="641"/>
      <c r="M131" s="651"/>
      <c r="N131" s="641"/>
      <c r="O131" s="651"/>
      <c r="P131" s="641"/>
      <c r="Q131" s="641"/>
      <c r="R131" s="641"/>
      <c r="S131" s="641"/>
      <c r="T131" s="651"/>
      <c r="U131" s="651"/>
    </row>
    <row r="132" spans="1:21">
      <c r="A132" s="641"/>
      <c r="B132" s="641"/>
      <c r="C132" s="641"/>
      <c r="D132" s="641"/>
      <c r="E132" s="651"/>
      <c r="F132" s="641"/>
      <c r="G132" s="651"/>
      <c r="H132" s="641"/>
      <c r="I132" s="651"/>
      <c r="J132" s="641"/>
      <c r="K132" s="651"/>
      <c r="L132" s="641"/>
      <c r="M132" s="651"/>
      <c r="N132" s="641"/>
      <c r="O132" s="651"/>
      <c r="P132" s="641"/>
      <c r="Q132" s="641"/>
      <c r="R132" s="641"/>
      <c r="S132" s="641"/>
      <c r="T132" s="651"/>
      <c r="U132" s="651"/>
    </row>
    <row r="133" spans="1:21">
      <c r="A133" s="641"/>
      <c r="B133" s="641"/>
      <c r="C133" s="641"/>
      <c r="D133" s="641"/>
      <c r="E133" s="651"/>
      <c r="F133" s="641"/>
      <c r="G133" s="651"/>
      <c r="H133" s="641"/>
      <c r="I133" s="651"/>
      <c r="J133" s="641"/>
      <c r="K133" s="651"/>
      <c r="L133" s="641"/>
      <c r="M133" s="651"/>
      <c r="N133" s="641"/>
      <c r="O133" s="651"/>
      <c r="P133" s="641"/>
      <c r="Q133" s="641"/>
      <c r="R133" s="641"/>
      <c r="S133" s="641"/>
      <c r="T133" s="651"/>
      <c r="U133" s="651"/>
    </row>
    <row r="134" spans="1:21">
      <c r="A134" s="641"/>
      <c r="B134" s="641"/>
      <c r="C134" s="641"/>
      <c r="D134" s="641"/>
      <c r="E134" s="651"/>
      <c r="F134" s="641"/>
      <c r="G134" s="651"/>
      <c r="H134" s="641"/>
      <c r="I134" s="651"/>
      <c r="J134" s="641"/>
      <c r="K134" s="651"/>
      <c r="L134" s="641"/>
      <c r="M134" s="651"/>
      <c r="N134" s="641"/>
      <c r="O134" s="651"/>
      <c r="P134" s="641"/>
      <c r="Q134" s="641"/>
      <c r="R134" s="641"/>
      <c r="S134" s="641"/>
      <c r="T134" s="651"/>
      <c r="U134" s="651"/>
    </row>
    <row r="135" spans="1:21">
      <c r="A135" s="641"/>
      <c r="B135" s="641"/>
      <c r="C135" s="641"/>
      <c r="D135" s="641"/>
      <c r="E135" s="651"/>
      <c r="F135" s="641"/>
      <c r="G135" s="651"/>
      <c r="H135" s="641"/>
      <c r="I135" s="651"/>
      <c r="J135" s="641"/>
      <c r="K135" s="651"/>
      <c r="L135" s="641"/>
      <c r="M135" s="651"/>
      <c r="N135" s="641"/>
      <c r="O135" s="651"/>
      <c r="P135" s="641"/>
      <c r="Q135" s="641"/>
      <c r="R135" s="641"/>
      <c r="S135" s="641"/>
      <c r="T135" s="651"/>
      <c r="U135" s="651"/>
    </row>
    <row r="136" spans="1:21">
      <c r="A136" s="641"/>
      <c r="B136" s="641"/>
      <c r="C136" s="641"/>
      <c r="D136" s="641"/>
      <c r="E136" s="651"/>
      <c r="F136" s="641"/>
      <c r="G136" s="651"/>
      <c r="H136" s="641"/>
      <c r="I136" s="651"/>
      <c r="J136" s="641"/>
      <c r="K136" s="651"/>
      <c r="L136" s="641"/>
      <c r="M136" s="651"/>
      <c r="N136" s="641"/>
      <c r="O136" s="651"/>
      <c r="P136" s="641"/>
      <c r="Q136" s="641"/>
      <c r="R136" s="641"/>
      <c r="S136" s="641"/>
      <c r="T136" s="651"/>
      <c r="U136" s="651"/>
    </row>
    <row r="137" spans="1:21">
      <c r="A137" s="641"/>
      <c r="B137" s="641"/>
      <c r="C137" s="641"/>
      <c r="D137" s="641"/>
      <c r="E137" s="651"/>
      <c r="F137" s="641"/>
      <c r="G137" s="651"/>
      <c r="H137" s="641"/>
      <c r="I137" s="651"/>
      <c r="J137" s="641"/>
      <c r="K137" s="651"/>
      <c r="L137" s="641"/>
      <c r="M137" s="651"/>
      <c r="N137" s="641"/>
      <c r="O137" s="651"/>
      <c r="P137" s="641"/>
      <c r="Q137" s="641"/>
      <c r="R137" s="641"/>
      <c r="S137" s="641"/>
      <c r="T137" s="651"/>
      <c r="U137" s="651"/>
    </row>
    <row r="138" spans="1:21">
      <c r="A138" s="641"/>
      <c r="B138" s="641"/>
      <c r="C138" s="641"/>
      <c r="D138" s="641"/>
      <c r="E138" s="651"/>
      <c r="F138" s="641"/>
      <c r="G138" s="651"/>
      <c r="H138" s="641"/>
      <c r="I138" s="651"/>
      <c r="J138" s="641"/>
      <c r="K138" s="651"/>
      <c r="L138" s="641"/>
      <c r="M138" s="651"/>
      <c r="N138" s="641"/>
      <c r="O138" s="651"/>
      <c r="P138" s="641"/>
      <c r="Q138" s="641"/>
      <c r="R138" s="641"/>
      <c r="S138" s="641"/>
      <c r="T138" s="651"/>
      <c r="U138" s="651"/>
    </row>
    <row r="139" spans="1:21">
      <c r="A139" s="641"/>
      <c r="B139" s="641"/>
      <c r="C139" s="641"/>
      <c r="D139" s="641"/>
      <c r="E139" s="651"/>
      <c r="F139" s="641"/>
      <c r="G139" s="651"/>
      <c r="H139" s="641"/>
      <c r="I139" s="651"/>
      <c r="J139" s="641"/>
      <c r="K139" s="651"/>
      <c r="L139" s="641"/>
      <c r="M139" s="651"/>
      <c r="N139" s="641"/>
      <c r="O139" s="651"/>
      <c r="P139" s="641"/>
      <c r="Q139" s="641"/>
      <c r="R139" s="641"/>
      <c r="S139" s="641"/>
      <c r="T139" s="651"/>
      <c r="U139" s="651"/>
    </row>
    <row r="140" spans="1:21">
      <c r="A140" s="641"/>
      <c r="B140" s="641"/>
      <c r="C140" s="641"/>
      <c r="D140" s="641"/>
      <c r="E140" s="651"/>
      <c r="F140" s="641"/>
      <c r="G140" s="651"/>
      <c r="H140" s="641"/>
      <c r="I140" s="651"/>
      <c r="J140" s="641"/>
      <c r="K140" s="651"/>
      <c r="L140" s="641"/>
      <c r="M140" s="651"/>
      <c r="N140" s="641"/>
      <c r="O140" s="651"/>
      <c r="P140" s="641"/>
      <c r="Q140" s="641"/>
      <c r="R140" s="641"/>
      <c r="S140" s="641"/>
      <c r="T140" s="651"/>
      <c r="U140" s="651"/>
    </row>
    <row r="141" spans="1:21">
      <c r="A141" s="641"/>
      <c r="B141" s="641"/>
      <c r="C141" s="641"/>
      <c r="D141" s="641"/>
      <c r="E141" s="651"/>
      <c r="F141" s="641"/>
      <c r="G141" s="651"/>
      <c r="H141" s="641"/>
      <c r="I141" s="651"/>
      <c r="J141" s="641"/>
      <c r="K141" s="651"/>
      <c r="L141" s="641"/>
      <c r="M141" s="651"/>
      <c r="N141" s="641"/>
      <c r="O141" s="651"/>
      <c r="P141" s="641"/>
      <c r="Q141" s="641"/>
      <c r="R141" s="641"/>
      <c r="S141" s="641"/>
      <c r="T141" s="651"/>
      <c r="U141" s="651"/>
    </row>
    <row r="142" spans="1:21">
      <c r="A142" s="641"/>
      <c r="B142" s="641"/>
      <c r="C142" s="641"/>
      <c r="D142" s="641"/>
      <c r="E142" s="651"/>
      <c r="F142" s="641"/>
      <c r="G142" s="651"/>
      <c r="H142" s="641"/>
      <c r="I142" s="651"/>
      <c r="J142" s="641"/>
      <c r="K142" s="651"/>
      <c r="L142" s="641"/>
      <c r="M142" s="651"/>
      <c r="N142" s="641"/>
      <c r="O142" s="651"/>
      <c r="P142" s="641"/>
      <c r="Q142" s="641"/>
      <c r="R142" s="641"/>
      <c r="S142" s="641"/>
      <c r="T142" s="651"/>
      <c r="U142" s="651"/>
    </row>
    <row r="143" spans="1:21">
      <c r="A143" s="641"/>
      <c r="B143" s="641"/>
      <c r="C143" s="641"/>
      <c r="D143" s="641"/>
      <c r="E143" s="651"/>
      <c r="F143" s="641"/>
      <c r="G143" s="651"/>
      <c r="H143" s="641"/>
      <c r="I143" s="651"/>
      <c r="J143" s="641"/>
      <c r="K143" s="651"/>
      <c r="L143" s="641"/>
      <c r="M143" s="651"/>
      <c r="N143" s="641"/>
      <c r="O143" s="651"/>
      <c r="P143" s="641"/>
      <c r="Q143" s="641"/>
      <c r="R143" s="641"/>
      <c r="S143" s="641"/>
      <c r="T143" s="651"/>
      <c r="U143" s="651"/>
    </row>
    <row r="144" spans="1:21">
      <c r="A144" s="641"/>
      <c r="B144" s="641"/>
      <c r="C144" s="641"/>
      <c r="D144" s="641"/>
      <c r="E144" s="651"/>
      <c r="F144" s="641"/>
      <c r="G144" s="651"/>
      <c r="H144" s="641"/>
      <c r="I144" s="651"/>
      <c r="J144" s="641"/>
      <c r="K144" s="651"/>
      <c r="L144" s="641"/>
      <c r="M144" s="651"/>
      <c r="N144" s="641"/>
      <c r="O144" s="651"/>
      <c r="P144" s="641"/>
      <c r="Q144" s="641"/>
      <c r="R144" s="641"/>
      <c r="S144" s="641"/>
      <c r="T144" s="651"/>
      <c r="U144" s="651"/>
    </row>
    <row r="145" spans="1:21">
      <c r="A145" s="641"/>
      <c r="B145" s="641"/>
      <c r="C145" s="641"/>
      <c r="D145" s="641"/>
      <c r="E145" s="651"/>
      <c r="F145" s="641"/>
      <c r="G145" s="651"/>
      <c r="H145" s="641"/>
      <c r="I145" s="651"/>
      <c r="J145" s="641"/>
      <c r="K145" s="651"/>
      <c r="L145" s="641"/>
      <c r="M145" s="651"/>
      <c r="N145" s="641"/>
      <c r="O145" s="651"/>
      <c r="P145" s="641"/>
      <c r="Q145" s="641"/>
      <c r="R145" s="641"/>
      <c r="S145" s="641"/>
      <c r="T145" s="651"/>
      <c r="U145" s="651"/>
    </row>
    <row r="146" spans="1:21">
      <c r="A146" s="641"/>
      <c r="B146" s="641"/>
      <c r="C146" s="641"/>
      <c r="D146" s="641"/>
      <c r="E146" s="651"/>
      <c r="F146" s="641"/>
      <c r="G146" s="651"/>
      <c r="H146" s="641"/>
      <c r="I146" s="651"/>
      <c r="J146" s="641"/>
      <c r="K146" s="651"/>
      <c r="L146" s="641"/>
      <c r="M146" s="651"/>
      <c r="N146" s="641"/>
      <c r="O146" s="651"/>
      <c r="P146" s="641"/>
      <c r="Q146" s="641"/>
      <c r="R146" s="641"/>
      <c r="S146" s="641"/>
      <c r="T146" s="651"/>
      <c r="U146" s="651"/>
    </row>
    <row r="147" spans="1:21">
      <c r="A147" s="641"/>
      <c r="B147" s="641"/>
      <c r="C147" s="641"/>
      <c r="D147" s="641"/>
      <c r="E147" s="651"/>
      <c r="F147" s="641"/>
      <c r="G147" s="651"/>
      <c r="H147" s="641"/>
      <c r="I147" s="651"/>
      <c r="J147" s="641"/>
      <c r="K147" s="651"/>
      <c r="L147" s="641"/>
      <c r="M147" s="651"/>
      <c r="N147" s="641"/>
      <c r="O147" s="651"/>
      <c r="P147" s="641"/>
      <c r="Q147" s="641"/>
      <c r="R147" s="641"/>
      <c r="S147" s="641"/>
      <c r="T147" s="651"/>
      <c r="U147" s="651"/>
    </row>
    <row r="148" spans="1:21">
      <c r="A148" s="641"/>
      <c r="B148" s="641"/>
      <c r="C148" s="641"/>
      <c r="D148" s="641"/>
      <c r="E148" s="651"/>
      <c r="F148" s="641"/>
      <c r="G148" s="651"/>
      <c r="H148" s="641"/>
      <c r="I148" s="651"/>
      <c r="J148" s="641"/>
      <c r="K148" s="651"/>
      <c r="L148" s="641"/>
      <c r="M148" s="651"/>
      <c r="N148" s="641"/>
      <c r="O148" s="651"/>
      <c r="P148" s="641"/>
      <c r="Q148" s="641"/>
      <c r="R148" s="641"/>
      <c r="S148" s="641"/>
      <c r="T148" s="651"/>
      <c r="U148" s="651"/>
    </row>
    <row r="149" spans="1:21">
      <c r="A149" s="641"/>
      <c r="B149" s="641"/>
      <c r="C149" s="641"/>
      <c r="D149" s="641"/>
      <c r="E149" s="651"/>
      <c r="F149" s="641"/>
      <c r="G149" s="651"/>
      <c r="H149" s="641"/>
      <c r="I149" s="651"/>
      <c r="J149" s="641"/>
      <c r="K149" s="651"/>
      <c r="L149" s="641"/>
      <c r="M149" s="651"/>
      <c r="N149" s="641"/>
      <c r="O149" s="651"/>
      <c r="P149" s="641"/>
      <c r="Q149" s="641"/>
      <c r="R149" s="641"/>
      <c r="S149" s="641"/>
      <c r="T149" s="651"/>
      <c r="U149" s="651"/>
    </row>
    <row r="150" spans="1:21">
      <c r="A150" s="641"/>
      <c r="B150" s="641"/>
      <c r="C150" s="641"/>
      <c r="D150" s="641"/>
      <c r="E150" s="651"/>
      <c r="F150" s="641"/>
      <c r="G150" s="651"/>
      <c r="H150" s="641"/>
      <c r="I150" s="651"/>
      <c r="J150" s="641"/>
      <c r="K150" s="651"/>
      <c r="L150" s="641"/>
      <c r="M150" s="651"/>
      <c r="N150" s="641"/>
      <c r="O150" s="651"/>
      <c r="P150" s="641"/>
      <c r="Q150" s="641"/>
      <c r="R150" s="641"/>
      <c r="S150" s="641"/>
      <c r="T150" s="651"/>
      <c r="U150" s="651"/>
    </row>
    <row r="151" spans="1:21">
      <c r="A151" s="641"/>
      <c r="B151" s="641"/>
      <c r="C151" s="641"/>
      <c r="D151" s="641"/>
      <c r="E151" s="651"/>
      <c r="F151" s="641"/>
      <c r="G151" s="651"/>
      <c r="H151" s="641"/>
      <c r="I151" s="651"/>
      <c r="J151" s="641"/>
      <c r="K151" s="651"/>
      <c r="L151" s="641"/>
      <c r="M151" s="651"/>
      <c r="N151" s="641"/>
      <c r="O151" s="651"/>
      <c r="P151" s="641"/>
      <c r="Q151" s="641"/>
      <c r="R151" s="641"/>
      <c r="S151" s="641"/>
      <c r="T151" s="651"/>
      <c r="U151" s="651"/>
    </row>
    <row r="152" spans="1:21">
      <c r="A152" s="641"/>
      <c r="B152" s="641"/>
      <c r="C152" s="641"/>
      <c r="D152" s="641"/>
      <c r="E152" s="651"/>
      <c r="F152" s="641"/>
      <c r="G152" s="651"/>
      <c r="H152" s="641"/>
      <c r="I152" s="651"/>
      <c r="J152" s="641"/>
      <c r="K152" s="651"/>
      <c r="L152" s="641"/>
      <c r="M152" s="651"/>
      <c r="N152" s="641"/>
      <c r="O152" s="651"/>
      <c r="P152" s="641"/>
      <c r="Q152" s="641"/>
      <c r="R152" s="641"/>
      <c r="S152" s="641"/>
      <c r="T152" s="651"/>
      <c r="U152" s="651"/>
    </row>
    <row r="153" spans="1:21">
      <c r="A153" s="641"/>
      <c r="B153" s="641"/>
      <c r="C153" s="641"/>
      <c r="D153" s="641"/>
      <c r="E153" s="651"/>
      <c r="F153" s="641"/>
      <c r="G153" s="651"/>
      <c r="H153" s="641"/>
      <c r="I153" s="651"/>
      <c r="J153" s="641"/>
      <c r="K153" s="651"/>
      <c r="L153" s="641"/>
      <c r="M153" s="651"/>
      <c r="N153" s="641"/>
      <c r="O153" s="651"/>
      <c r="P153" s="641"/>
      <c r="Q153" s="641"/>
      <c r="R153" s="641"/>
      <c r="S153" s="641"/>
      <c r="T153" s="651"/>
      <c r="U153" s="651"/>
    </row>
    <row r="154" spans="1:21">
      <c r="A154" s="641"/>
      <c r="B154" s="641"/>
      <c r="C154" s="641"/>
      <c r="D154" s="641"/>
      <c r="E154" s="651"/>
      <c r="F154" s="641"/>
      <c r="G154" s="651"/>
      <c r="H154" s="641"/>
      <c r="I154" s="651"/>
      <c r="J154" s="641"/>
      <c r="K154" s="651"/>
      <c r="L154" s="641"/>
      <c r="M154" s="651"/>
      <c r="N154" s="641"/>
      <c r="O154" s="651"/>
      <c r="P154" s="641"/>
      <c r="Q154" s="641"/>
      <c r="R154" s="641"/>
      <c r="S154" s="641"/>
      <c r="T154" s="651"/>
      <c r="U154" s="651"/>
    </row>
    <row r="155" spans="1:21">
      <c r="A155" s="641"/>
      <c r="B155" s="641"/>
      <c r="C155" s="641"/>
      <c r="D155" s="641"/>
      <c r="E155" s="651"/>
      <c r="F155" s="641"/>
      <c r="G155" s="651"/>
      <c r="H155" s="641"/>
      <c r="I155" s="651"/>
      <c r="J155" s="641"/>
      <c r="K155" s="651"/>
      <c r="L155" s="641"/>
      <c r="M155" s="651"/>
      <c r="N155" s="641"/>
      <c r="O155" s="651"/>
      <c r="P155" s="641"/>
      <c r="Q155" s="641"/>
      <c r="R155" s="641"/>
      <c r="S155" s="641"/>
      <c r="T155" s="651"/>
      <c r="U155" s="651"/>
    </row>
    <row r="156" spans="1:21">
      <c r="A156" s="641"/>
      <c r="B156" s="641"/>
      <c r="C156" s="641"/>
      <c r="D156" s="641"/>
      <c r="E156" s="651"/>
      <c r="F156" s="641"/>
      <c r="G156" s="651"/>
      <c r="H156" s="641"/>
      <c r="I156" s="651"/>
      <c r="J156" s="641"/>
      <c r="K156" s="651"/>
      <c r="L156" s="641"/>
      <c r="M156" s="651"/>
      <c r="N156" s="641"/>
      <c r="O156" s="651"/>
      <c r="P156" s="641"/>
      <c r="Q156" s="641"/>
      <c r="R156" s="641"/>
      <c r="S156" s="641"/>
      <c r="T156" s="651"/>
      <c r="U156" s="651"/>
    </row>
    <row r="157" spans="1:21">
      <c r="A157" s="641"/>
      <c r="B157" s="641"/>
      <c r="C157" s="641"/>
      <c r="D157" s="641"/>
      <c r="E157" s="651"/>
      <c r="F157" s="641"/>
      <c r="G157" s="651"/>
      <c r="H157" s="641"/>
      <c r="I157" s="651"/>
      <c r="J157" s="641"/>
      <c r="K157" s="651"/>
      <c r="L157" s="641"/>
      <c r="M157" s="651"/>
      <c r="N157" s="641"/>
      <c r="O157" s="651"/>
      <c r="P157" s="641"/>
      <c r="Q157" s="641"/>
      <c r="R157" s="641"/>
      <c r="S157" s="641"/>
      <c r="T157" s="651"/>
      <c r="U157" s="651"/>
    </row>
    <row r="158" spans="1:21">
      <c r="A158" s="641"/>
      <c r="B158" s="641"/>
      <c r="C158" s="641"/>
      <c r="D158" s="641"/>
      <c r="E158" s="651"/>
      <c r="F158" s="641"/>
      <c r="G158" s="651"/>
      <c r="H158" s="641"/>
      <c r="I158" s="651"/>
      <c r="J158" s="641"/>
      <c r="K158" s="651"/>
      <c r="L158" s="641"/>
      <c r="M158" s="651"/>
      <c r="N158" s="641"/>
      <c r="O158" s="651"/>
      <c r="P158" s="641"/>
      <c r="Q158" s="641"/>
      <c r="R158" s="641"/>
      <c r="S158" s="641"/>
      <c r="T158" s="651"/>
      <c r="U158" s="651"/>
    </row>
    <row r="159" spans="1:21">
      <c r="A159" s="641"/>
      <c r="B159" s="641"/>
      <c r="C159" s="641"/>
      <c r="D159" s="641"/>
      <c r="E159" s="651"/>
      <c r="F159" s="641"/>
      <c r="G159" s="651"/>
      <c r="H159" s="641"/>
      <c r="I159" s="651"/>
      <c r="J159" s="641"/>
      <c r="K159" s="651"/>
      <c r="L159" s="641"/>
      <c r="M159" s="651"/>
      <c r="N159" s="641"/>
      <c r="O159" s="651"/>
      <c r="P159" s="641"/>
      <c r="Q159" s="641"/>
      <c r="R159" s="641"/>
      <c r="S159" s="641"/>
      <c r="T159" s="651"/>
      <c r="U159" s="651"/>
    </row>
    <row r="160" spans="1:21">
      <c r="A160" s="641"/>
      <c r="B160" s="641"/>
      <c r="C160" s="641"/>
      <c r="D160" s="641"/>
      <c r="E160" s="651"/>
      <c r="F160" s="641"/>
      <c r="G160" s="651"/>
      <c r="H160" s="641"/>
      <c r="I160" s="651"/>
      <c r="J160" s="641"/>
      <c r="K160" s="651"/>
      <c r="L160" s="641"/>
      <c r="M160" s="651"/>
      <c r="N160" s="641"/>
      <c r="O160" s="651"/>
      <c r="P160" s="641"/>
      <c r="Q160" s="641"/>
      <c r="R160" s="641"/>
      <c r="S160" s="641"/>
      <c r="T160" s="651"/>
      <c r="U160" s="651"/>
    </row>
    <row r="161" spans="1:21">
      <c r="A161" s="641"/>
      <c r="B161" s="641"/>
      <c r="C161" s="641"/>
      <c r="D161" s="641"/>
      <c r="E161" s="651"/>
      <c r="F161" s="641"/>
      <c r="G161" s="651"/>
      <c r="H161" s="641"/>
      <c r="I161" s="651"/>
      <c r="J161" s="641"/>
      <c r="K161" s="651"/>
      <c r="L161" s="641"/>
      <c r="M161" s="651"/>
      <c r="N161" s="641"/>
      <c r="O161" s="651"/>
      <c r="P161" s="641"/>
      <c r="Q161" s="641"/>
      <c r="R161" s="641"/>
      <c r="S161" s="641"/>
      <c r="T161" s="651"/>
      <c r="U161" s="651"/>
    </row>
    <row r="162" spans="1:21">
      <c r="A162" s="641"/>
      <c r="B162" s="641"/>
      <c r="C162" s="641"/>
      <c r="D162" s="641"/>
      <c r="E162" s="651"/>
      <c r="F162" s="641"/>
      <c r="G162" s="651"/>
      <c r="H162" s="641"/>
      <c r="I162" s="651"/>
      <c r="J162" s="641"/>
      <c r="K162" s="651"/>
      <c r="L162" s="641"/>
      <c r="M162" s="651"/>
      <c r="N162" s="641"/>
      <c r="O162" s="651"/>
      <c r="P162" s="641"/>
      <c r="Q162" s="641"/>
      <c r="R162" s="641"/>
      <c r="S162" s="641"/>
      <c r="T162" s="651"/>
      <c r="U162" s="651"/>
    </row>
    <row r="163" spans="1:21">
      <c r="A163" s="641"/>
      <c r="B163" s="641"/>
      <c r="C163" s="641"/>
      <c r="D163" s="641"/>
      <c r="E163" s="651"/>
      <c r="F163" s="641"/>
      <c r="G163" s="651"/>
      <c r="H163" s="641"/>
      <c r="I163" s="651"/>
      <c r="J163" s="641"/>
      <c r="K163" s="651"/>
      <c r="L163" s="641"/>
      <c r="M163" s="651"/>
      <c r="N163" s="641"/>
      <c r="O163" s="651"/>
      <c r="P163" s="641"/>
      <c r="Q163" s="641"/>
      <c r="R163" s="641"/>
      <c r="S163" s="641"/>
      <c r="T163" s="651"/>
      <c r="U163" s="651"/>
    </row>
    <row r="164" spans="1:21">
      <c r="A164" s="641"/>
      <c r="B164" s="641"/>
      <c r="C164" s="641"/>
      <c r="D164" s="641"/>
      <c r="E164" s="651"/>
      <c r="F164" s="641"/>
      <c r="G164" s="651"/>
      <c r="H164" s="641"/>
      <c r="I164" s="651"/>
      <c r="J164" s="641"/>
      <c r="K164" s="651"/>
      <c r="L164" s="641"/>
      <c r="M164" s="651"/>
      <c r="N164" s="641"/>
      <c r="O164" s="651"/>
      <c r="P164" s="641"/>
      <c r="Q164" s="641"/>
      <c r="R164" s="641"/>
      <c r="S164" s="641"/>
      <c r="T164" s="651"/>
      <c r="U164" s="651"/>
    </row>
    <row r="165" spans="1:21">
      <c r="A165" s="641"/>
      <c r="B165" s="641"/>
      <c r="C165" s="641"/>
      <c r="D165" s="641"/>
      <c r="E165" s="651"/>
      <c r="F165" s="641"/>
      <c r="G165" s="651"/>
      <c r="H165" s="641"/>
      <c r="I165" s="651"/>
      <c r="J165" s="641"/>
      <c r="K165" s="651"/>
      <c r="L165" s="641"/>
      <c r="M165" s="651"/>
      <c r="N165" s="641"/>
      <c r="O165" s="651"/>
      <c r="P165" s="641"/>
      <c r="Q165" s="641"/>
      <c r="R165" s="641"/>
      <c r="S165" s="641"/>
      <c r="T165" s="651"/>
      <c r="U165" s="651"/>
    </row>
    <row r="166" spans="1:21">
      <c r="A166" s="641"/>
      <c r="B166" s="641"/>
      <c r="C166" s="641"/>
      <c r="D166" s="641"/>
      <c r="E166" s="651"/>
      <c r="F166" s="641"/>
      <c r="G166" s="651"/>
      <c r="H166" s="641"/>
      <c r="I166" s="651"/>
      <c r="J166" s="641"/>
      <c r="K166" s="651"/>
      <c r="L166" s="641"/>
      <c r="M166" s="651"/>
      <c r="N166" s="641"/>
      <c r="O166" s="651"/>
      <c r="P166" s="641"/>
      <c r="Q166" s="641"/>
      <c r="R166" s="641"/>
      <c r="S166" s="641"/>
      <c r="T166" s="651"/>
      <c r="U166" s="651"/>
    </row>
    <row r="167" spans="1:21">
      <c r="A167" s="641"/>
      <c r="B167" s="641"/>
      <c r="C167" s="641"/>
      <c r="D167" s="641"/>
      <c r="E167" s="651"/>
      <c r="F167" s="641"/>
      <c r="G167" s="651"/>
      <c r="H167" s="641"/>
      <c r="I167" s="651"/>
      <c r="J167" s="641"/>
      <c r="K167" s="651"/>
      <c r="L167" s="641"/>
      <c r="M167" s="651"/>
      <c r="N167" s="641"/>
      <c r="O167" s="651"/>
      <c r="P167" s="641"/>
      <c r="Q167" s="641"/>
      <c r="R167" s="641"/>
      <c r="S167" s="641"/>
      <c r="T167" s="651"/>
      <c r="U167" s="651"/>
    </row>
    <row r="168" spans="1:21">
      <c r="A168" s="641"/>
      <c r="B168" s="641"/>
      <c r="C168" s="641"/>
      <c r="D168" s="641"/>
      <c r="E168" s="651"/>
      <c r="F168" s="641"/>
      <c r="G168" s="651"/>
      <c r="H168" s="641"/>
      <c r="I168" s="651"/>
      <c r="J168" s="641"/>
      <c r="K168" s="651"/>
      <c r="L168" s="641"/>
      <c r="M168" s="651"/>
      <c r="N168" s="641"/>
      <c r="O168" s="651"/>
      <c r="P168" s="641"/>
      <c r="Q168" s="641"/>
      <c r="R168" s="641"/>
      <c r="S168" s="641"/>
      <c r="T168" s="651"/>
      <c r="U168" s="651"/>
    </row>
    <row r="169" spans="1:21">
      <c r="A169" s="641"/>
      <c r="B169" s="641"/>
      <c r="C169" s="641"/>
      <c r="D169" s="641"/>
      <c r="E169" s="651"/>
      <c r="F169" s="641"/>
      <c r="G169" s="651"/>
      <c r="H169" s="641"/>
      <c r="I169" s="651"/>
      <c r="J169" s="641"/>
      <c r="K169" s="651"/>
      <c r="L169" s="641"/>
      <c r="M169" s="651"/>
      <c r="N169" s="641"/>
      <c r="O169" s="651"/>
      <c r="P169" s="641"/>
      <c r="Q169" s="641"/>
      <c r="R169" s="641"/>
      <c r="S169" s="641"/>
      <c r="T169" s="651"/>
      <c r="U169" s="651"/>
    </row>
    <row r="170" spans="1:21">
      <c r="A170" s="641"/>
      <c r="B170" s="641"/>
      <c r="C170" s="641"/>
      <c r="D170" s="641"/>
      <c r="E170" s="651"/>
      <c r="F170" s="641"/>
      <c r="G170" s="651"/>
      <c r="H170" s="641"/>
      <c r="I170" s="651"/>
      <c r="J170" s="641"/>
      <c r="K170" s="651"/>
      <c r="L170" s="641"/>
      <c r="M170" s="651"/>
      <c r="N170" s="641"/>
      <c r="O170" s="651"/>
      <c r="P170" s="641"/>
      <c r="Q170" s="641"/>
      <c r="R170" s="641"/>
      <c r="S170" s="641"/>
      <c r="T170" s="651"/>
      <c r="U170" s="651"/>
    </row>
    <row r="171" spans="1:21">
      <c r="A171" s="641"/>
      <c r="B171" s="641"/>
      <c r="C171" s="641"/>
      <c r="D171" s="641"/>
      <c r="E171" s="651"/>
      <c r="F171" s="641"/>
      <c r="G171" s="651"/>
      <c r="H171" s="641"/>
      <c r="I171" s="651"/>
      <c r="J171" s="641"/>
      <c r="K171" s="651"/>
      <c r="L171" s="641"/>
      <c r="M171" s="651"/>
      <c r="N171" s="641"/>
      <c r="O171" s="651"/>
      <c r="P171" s="641"/>
      <c r="Q171" s="641"/>
      <c r="R171" s="641"/>
      <c r="S171" s="641"/>
      <c r="T171" s="651"/>
      <c r="U171" s="651"/>
    </row>
    <row r="172" spans="1:21">
      <c r="A172" s="641"/>
      <c r="B172" s="641"/>
      <c r="C172" s="641"/>
      <c r="D172" s="641"/>
      <c r="E172" s="651"/>
      <c r="F172" s="641"/>
      <c r="G172" s="651"/>
      <c r="H172" s="641"/>
      <c r="I172" s="651"/>
      <c r="J172" s="641"/>
      <c r="K172" s="651"/>
      <c r="L172" s="641"/>
      <c r="M172" s="651"/>
      <c r="N172" s="641"/>
      <c r="O172" s="651"/>
      <c r="P172" s="641"/>
      <c r="Q172" s="641"/>
      <c r="R172" s="641"/>
      <c r="S172" s="641"/>
      <c r="T172" s="651"/>
      <c r="U172" s="651"/>
    </row>
    <row r="173" spans="1:21">
      <c r="A173" s="641"/>
      <c r="B173" s="641"/>
      <c r="C173" s="641"/>
      <c r="D173" s="641"/>
      <c r="E173" s="651"/>
      <c r="F173" s="641"/>
      <c r="G173" s="651"/>
      <c r="H173" s="641"/>
      <c r="I173" s="651"/>
      <c r="J173" s="641"/>
      <c r="K173" s="651"/>
      <c r="L173" s="641"/>
      <c r="M173" s="651"/>
      <c r="N173" s="641"/>
      <c r="O173" s="651"/>
      <c r="P173" s="641"/>
      <c r="Q173" s="641"/>
      <c r="R173" s="641"/>
      <c r="S173" s="641"/>
      <c r="T173" s="651"/>
      <c r="U173" s="651"/>
    </row>
    <row r="174" spans="1:21">
      <c r="A174" s="641"/>
      <c r="B174" s="641"/>
      <c r="C174" s="641"/>
      <c r="D174" s="641"/>
      <c r="E174" s="651"/>
      <c r="F174" s="641"/>
      <c r="G174" s="651"/>
      <c r="H174" s="641"/>
      <c r="I174" s="651"/>
      <c r="J174" s="641"/>
      <c r="K174" s="651"/>
      <c r="L174" s="641"/>
      <c r="M174" s="651"/>
      <c r="N174" s="641"/>
      <c r="O174" s="651"/>
      <c r="P174" s="641"/>
      <c r="Q174" s="641"/>
      <c r="R174" s="641"/>
      <c r="S174" s="641"/>
      <c r="T174" s="651"/>
      <c r="U174" s="651"/>
    </row>
    <row r="175" spans="1:21">
      <c r="A175" s="641"/>
      <c r="B175" s="641"/>
      <c r="C175" s="641"/>
      <c r="D175" s="641"/>
      <c r="E175" s="651"/>
      <c r="F175" s="641"/>
      <c r="G175" s="651"/>
      <c r="H175" s="641"/>
      <c r="I175" s="651"/>
      <c r="J175" s="641"/>
      <c r="K175" s="651"/>
      <c r="L175" s="641"/>
      <c r="M175" s="651"/>
      <c r="N175" s="641"/>
      <c r="O175" s="651"/>
      <c r="P175" s="641"/>
      <c r="Q175" s="641"/>
      <c r="R175" s="641"/>
      <c r="S175" s="641"/>
      <c r="T175" s="651"/>
      <c r="U175" s="651"/>
    </row>
    <row r="176" spans="1:21">
      <c r="A176" s="641"/>
      <c r="B176" s="641"/>
      <c r="C176" s="641"/>
      <c r="D176" s="641"/>
      <c r="E176" s="651"/>
      <c r="F176" s="641"/>
      <c r="G176" s="651"/>
      <c r="H176" s="641"/>
      <c r="I176" s="651"/>
      <c r="J176" s="641"/>
      <c r="K176" s="651"/>
      <c r="L176" s="641"/>
      <c r="M176" s="651"/>
      <c r="N176" s="641"/>
      <c r="O176" s="651"/>
      <c r="P176" s="641"/>
      <c r="Q176" s="641"/>
      <c r="R176" s="641"/>
      <c r="S176" s="641"/>
      <c r="T176" s="651"/>
      <c r="U176" s="651"/>
    </row>
    <row r="177" spans="1:21">
      <c r="A177" s="641"/>
      <c r="B177" s="641"/>
      <c r="C177" s="641"/>
      <c r="D177" s="641"/>
      <c r="E177" s="651"/>
      <c r="F177" s="641"/>
      <c r="G177" s="651"/>
      <c r="H177" s="641"/>
      <c r="I177" s="651"/>
      <c r="J177" s="641"/>
      <c r="K177" s="651"/>
      <c r="L177" s="641"/>
      <c r="M177" s="651"/>
      <c r="N177" s="641"/>
      <c r="O177" s="651"/>
      <c r="P177" s="641"/>
      <c r="Q177" s="641"/>
      <c r="R177" s="641"/>
      <c r="S177" s="641"/>
      <c r="T177" s="651"/>
      <c r="U177" s="651"/>
    </row>
    <row r="178" spans="1:21">
      <c r="A178" s="641"/>
      <c r="B178" s="641"/>
      <c r="C178" s="641"/>
      <c r="D178" s="641"/>
      <c r="E178" s="651"/>
      <c r="F178" s="641"/>
      <c r="G178" s="651"/>
      <c r="H178" s="641"/>
      <c r="I178" s="651"/>
      <c r="J178" s="641"/>
      <c r="K178" s="651"/>
      <c r="L178" s="641"/>
      <c r="M178" s="651"/>
      <c r="N178" s="641"/>
      <c r="O178" s="651"/>
      <c r="P178" s="641"/>
      <c r="Q178" s="641"/>
      <c r="R178" s="641"/>
      <c r="S178" s="641"/>
      <c r="T178" s="651"/>
      <c r="U178" s="651"/>
    </row>
    <row r="179" spans="1:21">
      <c r="A179" s="641"/>
      <c r="B179" s="641"/>
      <c r="C179" s="641"/>
      <c r="D179" s="641"/>
      <c r="E179" s="651"/>
      <c r="F179" s="641"/>
      <c r="G179" s="651"/>
      <c r="H179" s="641"/>
      <c r="I179" s="651"/>
      <c r="J179" s="641"/>
      <c r="K179" s="651"/>
      <c r="L179" s="641"/>
      <c r="M179" s="651"/>
      <c r="N179" s="641"/>
      <c r="O179" s="651"/>
      <c r="P179" s="641"/>
      <c r="Q179" s="641"/>
      <c r="R179" s="641"/>
      <c r="S179" s="641"/>
      <c r="T179" s="651"/>
      <c r="U179" s="651"/>
    </row>
    <row r="180" spans="1:21">
      <c r="A180" s="641"/>
      <c r="B180" s="641"/>
      <c r="C180" s="641"/>
      <c r="D180" s="641"/>
      <c r="E180" s="651"/>
      <c r="F180" s="641"/>
      <c r="G180" s="651"/>
      <c r="H180" s="641"/>
      <c r="I180" s="651"/>
      <c r="J180" s="641"/>
      <c r="K180" s="651"/>
      <c r="L180" s="641"/>
      <c r="M180" s="651"/>
      <c r="N180" s="641"/>
      <c r="O180" s="651"/>
      <c r="P180" s="641"/>
      <c r="Q180" s="641"/>
      <c r="R180" s="641"/>
      <c r="S180" s="641"/>
      <c r="T180" s="651"/>
      <c r="U180" s="651"/>
    </row>
    <row r="181" spans="1:21">
      <c r="A181" s="641"/>
      <c r="B181" s="641"/>
      <c r="C181" s="641"/>
      <c r="D181" s="641"/>
      <c r="E181" s="651"/>
      <c r="F181" s="641"/>
      <c r="G181" s="651"/>
      <c r="H181" s="641"/>
      <c r="I181" s="651"/>
      <c r="J181" s="641"/>
      <c r="K181" s="651"/>
      <c r="L181" s="641"/>
      <c r="M181" s="651"/>
      <c r="N181" s="641"/>
      <c r="O181" s="651"/>
      <c r="P181" s="641"/>
      <c r="Q181" s="641"/>
      <c r="R181" s="641"/>
      <c r="S181" s="641"/>
      <c r="T181" s="651"/>
      <c r="U181" s="651"/>
    </row>
    <row r="182" spans="1:21">
      <c r="A182" s="641"/>
      <c r="B182" s="641"/>
      <c r="C182" s="641"/>
      <c r="D182" s="641"/>
      <c r="E182" s="651"/>
      <c r="F182" s="641"/>
      <c r="G182" s="651"/>
      <c r="H182" s="641"/>
      <c r="I182" s="651"/>
      <c r="J182" s="641"/>
      <c r="K182" s="651"/>
      <c r="L182" s="641"/>
      <c r="M182" s="651"/>
      <c r="N182" s="641"/>
      <c r="O182" s="651"/>
      <c r="P182" s="641"/>
      <c r="Q182" s="641"/>
      <c r="R182" s="641"/>
      <c r="S182" s="641"/>
      <c r="T182" s="651"/>
      <c r="U182" s="651"/>
    </row>
    <row r="183" spans="1:21">
      <c r="A183" s="641"/>
      <c r="B183" s="641"/>
      <c r="C183" s="641"/>
      <c r="D183" s="641"/>
      <c r="E183" s="651"/>
      <c r="F183" s="641"/>
      <c r="G183" s="651"/>
      <c r="H183" s="641"/>
      <c r="I183" s="651"/>
      <c r="J183" s="641"/>
      <c r="K183" s="651"/>
      <c r="L183" s="641"/>
      <c r="M183" s="651"/>
      <c r="N183" s="641"/>
      <c r="O183" s="651"/>
      <c r="P183" s="641"/>
      <c r="Q183" s="641"/>
      <c r="R183" s="641"/>
      <c r="S183" s="641"/>
      <c r="T183" s="651"/>
      <c r="U183" s="651"/>
    </row>
    <row r="184" spans="1:21">
      <c r="A184" s="641"/>
      <c r="B184" s="641"/>
      <c r="C184" s="641"/>
      <c r="D184" s="641"/>
      <c r="E184" s="651"/>
      <c r="F184" s="641"/>
      <c r="G184" s="651"/>
      <c r="H184" s="641"/>
      <c r="I184" s="651"/>
      <c r="J184" s="641"/>
      <c r="K184" s="651"/>
      <c r="L184" s="641"/>
      <c r="M184" s="651"/>
      <c r="N184" s="641"/>
      <c r="O184" s="651"/>
      <c r="P184" s="641"/>
      <c r="Q184" s="641"/>
      <c r="R184" s="641"/>
      <c r="S184" s="641"/>
      <c r="T184" s="651"/>
      <c r="U184" s="651"/>
    </row>
    <row r="185" spans="1:21">
      <c r="A185" s="641"/>
      <c r="B185" s="641"/>
      <c r="C185" s="641"/>
      <c r="D185" s="641"/>
      <c r="E185" s="651"/>
      <c r="F185" s="641"/>
      <c r="G185" s="651"/>
      <c r="H185" s="641"/>
      <c r="I185" s="651"/>
      <c r="J185" s="641"/>
      <c r="K185" s="651"/>
      <c r="L185" s="641"/>
      <c r="M185" s="651"/>
      <c r="N185" s="641"/>
      <c r="O185" s="651"/>
      <c r="P185" s="641"/>
      <c r="Q185" s="641"/>
      <c r="R185" s="641"/>
      <c r="S185" s="641"/>
      <c r="T185" s="651"/>
      <c r="U185" s="651"/>
    </row>
    <row r="186" spans="1:21">
      <c r="A186" s="641"/>
      <c r="B186" s="641"/>
      <c r="C186" s="641"/>
      <c r="D186" s="641"/>
      <c r="E186" s="651"/>
      <c r="F186" s="641"/>
      <c r="G186" s="651"/>
      <c r="H186" s="641"/>
      <c r="I186" s="651"/>
      <c r="J186" s="641"/>
      <c r="K186" s="651"/>
      <c r="L186" s="641"/>
      <c r="M186" s="651"/>
      <c r="N186" s="641"/>
      <c r="O186" s="651"/>
      <c r="P186" s="641"/>
      <c r="Q186" s="641"/>
      <c r="R186" s="641"/>
      <c r="S186" s="641"/>
      <c r="T186" s="651"/>
      <c r="U186" s="651"/>
    </row>
    <row r="187" spans="1:21">
      <c r="A187" s="641"/>
      <c r="B187" s="641"/>
      <c r="C187" s="641"/>
      <c r="D187" s="641"/>
      <c r="E187" s="651"/>
      <c r="F187" s="641"/>
      <c r="G187" s="651"/>
      <c r="H187" s="641"/>
      <c r="I187" s="651"/>
      <c r="J187" s="641"/>
      <c r="K187" s="651"/>
      <c r="L187" s="641"/>
      <c r="M187" s="651"/>
      <c r="N187" s="641"/>
      <c r="O187" s="651"/>
      <c r="P187" s="641"/>
      <c r="Q187" s="641"/>
      <c r="R187" s="641"/>
      <c r="S187" s="641"/>
      <c r="T187" s="651"/>
      <c r="U187" s="651"/>
    </row>
    <row r="188" spans="1:21">
      <c r="A188" s="641"/>
      <c r="B188" s="641"/>
      <c r="C188" s="641"/>
      <c r="D188" s="641"/>
      <c r="E188" s="651"/>
      <c r="F188" s="641"/>
      <c r="G188" s="651"/>
      <c r="H188" s="641"/>
      <c r="I188" s="651"/>
      <c r="J188" s="641"/>
      <c r="K188" s="651"/>
      <c r="L188" s="641"/>
      <c r="M188" s="651"/>
      <c r="N188" s="641"/>
      <c r="O188" s="651"/>
      <c r="P188" s="641"/>
      <c r="Q188" s="641"/>
      <c r="R188" s="641"/>
      <c r="S188" s="641"/>
      <c r="T188" s="651"/>
      <c r="U188" s="651"/>
    </row>
    <row r="189" spans="1:21">
      <c r="A189" s="641"/>
      <c r="B189" s="641"/>
      <c r="C189" s="641"/>
      <c r="D189" s="641"/>
      <c r="E189" s="651"/>
      <c r="F189" s="641"/>
      <c r="G189" s="651"/>
      <c r="H189" s="641"/>
      <c r="I189" s="651"/>
      <c r="J189" s="641"/>
      <c r="K189" s="651"/>
      <c r="L189" s="641"/>
      <c r="M189" s="651"/>
      <c r="N189" s="641"/>
      <c r="O189" s="651"/>
      <c r="P189" s="641"/>
      <c r="Q189" s="641"/>
      <c r="R189" s="641"/>
      <c r="S189" s="641"/>
      <c r="T189" s="651"/>
      <c r="U189" s="651"/>
    </row>
    <row r="190" spans="1:21">
      <c r="A190" s="641"/>
      <c r="B190" s="641"/>
      <c r="C190" s="641"/>
      <c r="D190" s="641"/>
      <c r="E190" s="651"/>
      <c r="F190" s="641"/>
      <c r="G190" s="651"/>
      <c r="H190" s="641"/>
      <c r="I190" s="651"/>
      <c r="J190" s="641"/>
      <c r="K190" s="651"/>
      <c r="L190" s="641"/>
      <c r="M190" s="651"/>
      <c r="N190" s="641"/>
      <c r="O190" s="651"/>
      <c r="P190" s="641"/>
      <c r="Q190" s="641"/>
      <c r="R190" s="641"/>
      <c r="S190" s="641"/>
      <c r="T190" s="651"/>
      <c r="U190" s="651"/>
    </row>
    <row r="191" spans="1:21">
      <c r="A191" s="641"/>
      <c r="B191" s="641"/>
      <c r="C191" s="641"/>
      <c r="D191" s="641"/>
      <c r="E191" s="651"/>
      <c r="F191" s="641"/>
      <c r="G191" s="651"/>
      <c r="H191" s="641"/>
      <c r="I191" s="651"/>
      <c r="J191" s="641"/>
      <c r="K191" s="651"/>
      <c r="L191" s="641"/>
      <c r="M191" s="651"/>
      <c r="N191" s="641"/>
      <c r="O191" s="651"/>
      <c r="P191" s="641"/>
      <c r="Q191" s="641"/>
      <c r="R191" s="641"/>
      <c r="S191" s="641"/>
      <c r="T191" s="651"/>
      <c r="U191" s="651"/>
    </row>
    <row r="192" spans="1:21">
      <c r="A192" s="641"/>
      <c r="B192" s="641"/>
      <c r="C192" s="641"/>
      <c r="D192" s="641"/>
      <c r="E192" s="651"/>
      <c r="F192" s="641"/>
      <c r="G192" s="651"/>
      <c r="H192" s="641"/>
      <c r="I192" s="651"/>
      <c r="J192" s="641"/>
      <c r="K192" s="651"/>
      <c r="L192" s="641"/>
      <c r="M192" s="651"/>
      <c r="N192" s="641"/>
      <c r="O192" s="651"/>
      <c r="P192" s="641"/>
      <c r="Q192" s="641"/>
      <c r="R192" s="641"/>
      <c r="S192" s="641"/>
      <c r="T192" s="651"/>
      <c r="U192" s="651"/>
    </row>
    <row r="193" spans="1:21">
      <c r="A193" s="641"/>
      <c r="B193" s="641"/>
      <c r="C193" s="641"/>
      <c r="D193" s="641"/>
      <c r="E193" s="651"/>
      <c r="F193" s="641"/>
      <c r="G193" s="651"/>
      <c r="H193" s="641"/>
      <c r="I193" s="651"/>
      <c r="J193" s="641"/>
      <c r="K193" s="651"/>
      <c r="L193" s="641"/>
      <c r="M193" s="651"/>
      <c r="N193" s="641"/>
      <c r="O193" s="651"/>
      <c r="P193" s="641"/>
      <c r="Q193" s="641"/>
      <c r="R193" s="641"/>
      <c r="S193" s="641"/>
      <c r="T193" s="651"/>
      <c r="U193" s="651"/>
    </row>
    <row r="194" spans="1:21">
      <c r="A194" s="641"/>
      <c r="B194" s="641"/>
      <c r="C194" s="641"/>
      <c r="D194" s="641"/>
      <c r="E194" s="651"/>
      <c r="F194" s="641"/>
      <c r="G194" s="651"/>
      <c r="H194" s="641"/>
      <c r="I194" s="651"/>
      <c r="J194" s="641"/>
      <c r="K194" s="651"/>
      <c r="L194" s="641"/>
      <c r="M194" s="651"/>
      <c r="N194" s="641"/>
      <c r="O194" s="651"/>
      <c r="P194" s="641"/>
      <c r="Q194" s="641"/>
      <c r="R194" s="641"/>
      <c r="S194" s="641"/>
      <c r="T194" s="651"/>
      <c r="U194" s="651"/>
    </row>
    <row r="195" spans="1:21">
      <c r="A195" s="641"/>
      <c r="B195" s="641"/>
      <c r="C195" s="641"/>
      <c r="D195" s="641"/>
      <c r="E195" s="651"/>
      <c r="F195" s="641"/>
      <c r="G195" s="651"/>
      <c r="H195" s="641"/>
      <c r="I195" s="651"/>
      <c r="J195" s="641"/>
      <c r="K195" s="651"/>
      <c r="L195" s="641"/>
      <c r="M195" s="651"/>
      <c r="N195" s="641"/>
      <c r="O195" s="651"/>
      <c r="P195" s="641"/>
      <c r="Q195" s="641"/>
      <c r="R195" s="641"/>
      <c r="S195" s="641"/>
      <c r="T195" s="651"/>
      <c r="U195" s="651"/>
    </row>
    <row r="196" spans="1:21">
      <c r="A196" s="641"/>
      <c r="B196" s="641"/>
      <c r="C196" s="641"/>
      <c r="D196" s="641"/>
      <c r="E196" s="651"/>
      <c r="F196" s="641"/>
      <c r="G196" s="651"/>
      <c r="H196" s="641"/>
      <c r="I196" s="651"/>
      <c r="J196" s="641"/>
      <c r="K196" s="651"/>
      <c r="L196" s="641"/>
      <c r="M196" s="651"/>
      <c r="N196" s="641"/>
      <c r="O196" s="651"/>
      <c r="P196" s="641"/>
      <c r="Q196" s="641"/>
      <c r="R196" s="641"/>
      <c r="S196" s="641"/>
      <c r="T196" s="651"/>
      <c r="U196" s="651"/>
    </row>
    <row r="197" spans="1:21">
      <c r="A197" s="641"/>
      <c r="B197" s="641"/>
      <c r="C197" s="641"/>
      <c r="D197" s="641"/>
      <c r="E197" s="651"/>
      <c r="F197" s="641"/>
      <c r="G197" s="651"/>
      <c r="H197" s="641"/>
      <c r="I197" s="651"/>
      <c r="J197" s="641"/>
      <c r="K197" s="651"/>
      <c r="L197" s="641"/>
      <c r="M197" s="651"/>
      <c r="N197" s="641"/>
      <c r="O197" s="651"/>
      <c r="P197" s="641"/>
      <c r="Q197" s="641"/>
      <c r="R197" s="641"/>
      <c r="S197" s="641"/>
      <c r="T197" s="651"/>
      <c r="U197" s="651"/>
    </row>
    <row r="198" spans="1:21">
      <c r="A198" s="641"/>
      <c r="B198" s="641"/>
      <c r="C198" s="641"/>
      <c r="D198" s="641"/>
      <c r="E198" s="651"/>
      <c r="F198" s="641"/>
      <c r="G198" s="651"/>
      <c r="H198" s="641"/>
      <c r="I198" s="651"/>
      <c r="J198" s="641"/>
      <c r="K198" s="651"/>
      <c r="L198" s="641"/>
      <c r="M198" s="651"/>
      <c r="N198" s="641"/>
      <c r="O198" s="651"/>
      <c r="P198" s="641"/>
      <c r="Q198" s="641"/>
      <c r="R198" s="641"/>
      <c r="S198" s="641"/>
      <c r="T198" s="651"/>
      <c r="U198" s="651"/>
    </row>
    <row r="199" spans="1:21">
      <c r="A199" s="641"/>
      <c r="B199" s="641"/>
      <c r="C199" s="641"/>
      <c r="D199" s="641"/>
      <c r="E199" s="651"/>
      <c r="F199" s="641"/>
      <c r="G199" s="651"/>
      <c r="H199" s="641"/>
      <c r="I199" s="651"/>
      <c r="J199" s="641"/>
      <c r="K199" s="651"/>
      <c r="L199" s="641"/>
      <c r="M199" s="651"/>
      <c r="N199" s="641"/>
      <c r="O199" s="651"/>
      <c r="P199" s="641"/>
      <c r="Q199" s="641"/>
      <c r="R199" s="641"/>
      <c r="S199" s="641"/>
      <c r="T199" s="651"/>
      <c r="U199" s="651"/>
    </row>
    <row r="200" spans="1:21">
      <c r="A200" s="641"/>
      <c r="B200" s="641"/>
      <c r="C200" s="641"/>
      <c r="D200" s="641"/>
      <c r="E200" s="651"/>
      <c r="F200" s="641"/>
      <c r="G200" s="651"/>
      <c r="H200" s="641"/>
      <c r="I200" s="651"/>
      <c r="J200" s="641"/>
      <c r="K200" s="651"/>
      <c r="L200" s="641"/>
      <c r="M200" s="651"/>
      <c r="N200" s="641"/>
      <c r="O200" s="651"/>
      <c r="P200" s="641"/>
      <c r="Q200" s="641"/>
      <c r="R200" s="641"/>
      <c r="S200" s="641"/>
      <c r="T200" s="651"/>
      <c r="U200" s="651"/>
    </row>
    <row r="201" spans="1:21">
      <c r="A201" s="641"/>
      <c r="B201" s="641"/>
      <c r="C201" s="641"/>
      <c r="D201" s="641"/>
      <c r="E201" s="651"/>
      <c r="F201" s="641"/>
      <c r="G201" s="651"/>
      <c r="H201" s="641"/>
      <c r="I201" s="651"/>
      <c r="J201" s="641"/>
      <c r="K201" s="651"/>
      <c r="L201" s="641"/>
      <c r="M201" s="651"/>
      <c r="N201" s="641"/>
      <c r="O201" s="651"/>
      <c r="P201" s="641"/>
      <c r="Q201" s="641"/>
      <c r="R201" s="641"/>
      <c r="S201" s="641"/>
      <c r="T201" s="651"/>
      <c r="U201" s="651"/>
    </row>
    <row r="202" spans="1:21">
      <c r="A202" s="641"/>
      <c r="B202" s="641"/>
      <c r="C202" s="641"/>
      <c r="D202" s="641"/>
      <c r="E202" s="651"/>
      <c r="F202" s="641"/>
      <c r="G202" s="651"/>
      <c r="H202" s="641"/>
      <c r="I202" s="651"/>
      <c r="J202" s="641"/>
      <c r="K202" s="651"/>
      <c r="L202" s="641"/>
      <c r="M202" s="651"/>
      <c r="N202" s="641"/>
      <c r="O202" s="651"/>
      <c r="P202" s="641"/>
      <c r="Q202" s="641"/>
      <c r="R202" s="641"/>
      <c r="S202" s="641"/>
      <c r="T202" s="651"/>
      <c r="U202" s="651"/>
    </row>
    <row r="203" spans="1:21">
      <c r="A203" s="641"/>
      <c r="B203" s="641"/>
      <c r="C203" s="641"/>
      <c r="D203" s="641"/>
      <c r="E203" s="651"/>
      <c r="F203" s="641"/>
      <c r="G203" s="651"/>
      <c r="H203" s="641"/>
      <c r="I203" s="651"/>
      <c r="J203" s="641"/>
      <c r="K203" s="651"/>
      <c r="L203" s="641"/>
      <c r="M203" s="651"/>
      <c r="N203" s="641"/>
      <c r="O203" s="651"/>
      <c r="P203" s="641"/>
      <c r="Q203" s="641"/>
      <c r="R203" s="641"/>
      <c r="S203" s="641"/>
      <c r="T203" s="651"/>
      <c r="U203" s="651"/>
    </row>
    <row r="204" spans="1:21">
      <c r="A204" s="641"/>
      <c r="B204" s="641"/>
      <c r="C204" s="641"/>
      <c r="D204" s="641"/>
      <c r="E204" s="651"/>
      <c r="F204" s="641"/>
      <c r="G204" s="651"/>
      <c r="H204" s="641"/>
      <c r="I204" s="651"/>
      <c r="J204" s="641"/>
      <c r="K204" s="651"/>
      <c r="L204" s="641"/>
      <c r="M204" s="651"/>
      <c r="N204" s="641"/>
      <c r="O204" s="651"/>
      <c r="P204" s="641"/>
      <c r="Q204" s="641"/>
      <c r="R204" s="641"/>
      <c r="S204" s="641"/>
      <c r="T204" s="651"/>
      <c r="U204" s="651"/>
    </row>
    <row r="205" spans="1:21">
      <c r="A205" s="641"/>
      <c r="B205" s="641"/>
      <c r="C205" s="641"/>
      <c r="D205" s="641"/>
      <c r="E205" s="651"/>
      <c r="F205" s="641"/>
      <c r="G205" s="651"/>
      <c r="H205" s="641"/>
      <c r="I205" s="651"/>
      <c r="J205" s="641"/>
      <c r="K205" s="651"/>
      <c r="L205" s="641"/>
      <c r="M205" s="651"/>
      <c r="N205" s="641"/>
      <c r="O205" s="651"/>
      <c r="P205" s="641"/>
      <c r="Q205" s="641"/>
      <c r="R205" s="641"/>
      <c r="S205" s="641"/>
      <c r="T205" s="651"/>
      <c r="U205" s="651"/>
    </row>
    <row r="206" spans="1:21">
      <c r="A206" s="641"/>
      <c r="B206" s="641"/>
      <c r="C206" s="641"/>
      <c r="D206" s="641"/>
      <c r="E206" s="651"/>
      <c r="F206" s="641"/>
      <c r="G206" s="651"/>
      <c r="H206" s="641"/>
      <c r="I206" s="651"/>
      <c r="J206" s="641"/>
      <c r="K206" s="651"/>
      <c r="L206" s="641"/>
      <c r="M206" s="651"/>
      <c r="N206" s="641"/>
      <c r="O206" s="651"/>
      <c r="P206" s="641"/>
      <c r="Q206" s="641"/>
      <c r="R206" s="641"/>
      <c r="S206" s="641"/>
      <c r="T206" s="651"/>
      <c r="U206" s="651"/>
    </row>
    <row r="207" spans="1:21">
      <c r="A207" s="641"/>
      <c r="B207" s="641"/>
      <c r="C207" s="641"/>
      <c r="D207" s="641"/>
      <c r="E207" s="651"/>
      <c r="F207" s="641"/>
      <c r="G207" s="651"/>
      <c r="H207" s="641"/>
      <c r="I207" s="651"/>
      <c r="J207" s="641"/>
      <c r="K207" s="651"/>
      <c r="L207" s="641"/>
      <c r="M207" s="651"/>
      <c r="N207" s="641"/>
      <c r="O207" s="651"/>
      <c r="P207" s="641"/>
      <c r="Q207" s="641"/>
      <c r="R207" s="641"/>
      <c r="S207" s="641"/>
      <c r="T207" s="651"/>
      <c r="U207" s="651"/>
    </row>
  </sheetData>
  <mergeCells count="26">
    <mergeCell ref="G28:G33"/>
    <mergeCell ref="K28:K33"/>
    <mergeCell ref="V28:V31"/>
    <mergeCell ref="P6:S6"/>
    <mergeCell ref="A6:D7"/>
    <mergeCell ref="T6:T7"/>
    <mergeCell ref="U6:U7"/>
    <mergeCell ref="L6:L7"/>
    <mergeCell ref="O6:O7"/>
    <mergeCell ref="O28:O33"/>
    <mergeCell ref="I28:I33"/>
    <mergeCell ref="E28:E33"/>
    <mergeCell ref="M28:M33"/>
    <mergeCell ref="A1:U1"/>
    <mergeCell ref="A2:U2"/>
    <mergeCell ref="A3:U3"/>
    <mergeCell ref="A4:U4"/>
    <mergeCell ref="G6:G7"/>
    <mergeCell ref="H6:H7"/>
    <mergeCell ref="K6:K7"/>
    <mergeCell ref="J6:J7"/>
    <mergeCell ref="F6:F7"/>
    <mergeCell ref="I6:I7"/>
    <mergeCell ref="E6:E7"/>
    <mergeCell ref="M6:M7"/>
    <mergeCell ref="N6:N7"/>
  </mergeCells>
  <printOptions horizontalCentered="1"/>
  <pageMargins left="0" right="0" top="0.39370078740157483" bottom="0.19685039370078741" header="0.31496062992125984" footer="0.31496062992125984"/>
  <pageSetup scale="6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34"/>
  <sheetViews>
    <sheetView workbookViewId="0">
      <selection activeCell="H24" sqref="H24"/>
    </sheetView>
  </sheetViews>
  <sheetFormatPr baseColWidth="10" defaultRowHeight="12.75"/>
  <cols>
    <col min="1" max="3" width="2.140625" style="29" customWidth="1"/>
    <col min="4" max="4" width="1" style="29" customWidth="1"/>
    <col min="5" max="5" width="27.28515625" style="29" customWidth="1"/>
    <col min="6" max="6" width="17.5703125" style="29" customWidth="1"/>
    <col min="7" max="7" width="16.28515625" style="29" customWidth="1"/>
    <col min="8" max="16384" width="11.42578125" style="29"/>
  </cols>
  <sheetData>
    <row r="2" spans="1:7" ht="13.5" thickBot="1">
      <c r="A2" s="336" t="s">
        <v>914</v>
      </c>
    </row>
    <row r="3" spans="1:7" ht="20.100000000000001" customHeight="1" thickBot="1">
      <c r="A3" s="1035" t="s">
        <v>385</v>
      </c>
      <c r="B3" s="1036"/>
      <c r="C3" s="1036"/>
      <c r="D3" s="1036"/>
      <c r="E3" s="1037"/>
      <c r="F3" s="1041" t="s">
        <v>386</v>
      </c>
      <c r="G3" s="1041"/>
    </row>
    <row r="4" spans="1:7" ht="20.100000000000001" customHeight="1" thickBot="1">
      <c r="A4" s="1038"/>
      <c r="B4" s="1039"/>
      <c r="C4" s="1039"/>
      <c r="D4" s="1039"/>
      <c r="E4" s="1040"/>
      <c r="F4" s="615" t="s">
        <v>387</v>
      </c>
      <c r="G4" s="615" t="s">
        <v>477</v>
      </c>
    </row>
    <row r="5" spans="1:7" ht="20.100000000000001" customHeight="1">
      <c r="A5" s="180"/>
      <c r="B5" s="171"/>
      <c r="C5" s="171"/>
      <c r="D5" s="171"/>
      <c r="E5" s="411"/>
      <c r="F5" s="403"/>
      <c r="G5" s="403"/>
    </row>
    <row r="6" spans="1:7" ht="20.100000000000001" customHeight="1">
      <c r="A6" s="1042" t="s">
        <v>908</v>
      </c>
      <c r="B6" s="1043"/>
      <c r="C6" s="1043"/>
      <c r="D6" s="1043"/>
      <c r="E6" s="1044"/>
      <c r="F6" s="193">
        <f>F8+F23+F28</f>
        <v>57782700</v>
      </c>
      <c r="G6" s="193">
        <f>G8+G23+G28</f>
        <v>57782700</v>
      </c>
    </row>
    <row r="7" spans="1:7" ht="20.100000000000001" customHeight="1">
      <c r="A7" s="180"/>
      <c r="B7" s="171"/>
      <c r="C7" s="171"/>
      <c r="D7" s="171"/>
      <c r="E7" s="411"/>
      <c r="F7" s="172"/>
      <c r="G7" s="172"/>
    </row>
    <row r="8" spans="1:7" ht="20.100000000000001" customHeight="1">
      <c r="A8" s="421" t="s">
        <v>896</v>
      </c>
      <c r="B8" s="346" t="s">
        <v>881</v>
      </c>
      <c r="C8" s="346"/>
      <c r="D8" s="346"/>
      <c r="E8" s="423"/>
      <c r="F8" s="193">
        <f>F10+F13+F19</f>
        <v>4000000</v>
      </c>
      <c r="G8" s="193">
        <f>G10+G13+G19</f>
        <v>4000000</v>
      </c>
    </row>
    <row r="9" spans="1:7" ht="10.5" customHeight="1">
      <c r="A9" s="421"/>
      <c r="B9" s="346"/>
      <c r="C9" s="346"/>
      <c r="D9" s="346"/>
      <c r="E9" s="423"/>
      <c r="F9" s="193"/>
      <c r="G9" s="193"/>
    </row>
    <row r="10" spans="1:7" ht="20.100000000000001" customHeight="1">
      <c r="A10" s="421"/>
      <c r="B10" s="346"/>
      <c r="C10" s="346" t="s">
        <v>884</v>
      </c>
      <c r="D10" s="346" t="s">
        <v>886</v>
      </c>
      <c r="E10" s="423"/>
      <c r="F10" s="193">
        <f>SUM(F11:F12)</f>
        <v>877500</v>
      </c>
      <c r="G10" s="193">
        <f>SUM(G11:G12)</f>
        <v>877500</v>
      </c>
    </row>
    <row r="11" spans="1:7" ht="20.100000000000001" customHeight="1">
      <c r="A11" s="180"/>
      <c r="B11" s="171"/>
      <c r="C11" s="171"/>
      <c r="D11" s="171"/>
      <c r="E11" s="414" t="s">
        <v>897</v>
      </c>
      <c r="F11" s="172">
        <f>INGRESOS!C18</f>
        <v>83300</v>
      </c>
      <c r="G11" s="172">
        <f>INGRESOS!D18</f>
        <v>83300</v>
      </c>
    </row>
    <row r="12" spans="1:7" ht="20.100000000000001" customHeight="1">
      <c r="A12" s="180"/>
      <c r="B12" s="171"/>
      <c r="C12" s="171"/>
      <c r="D12" s="171"/>
      <c r="E12" s="414" t="s">
        <v>898</v>
      </c>
      <c r="F12" s="172">
        <f>INGRESOS!C19</f>
        <v>794200</v>
      </c>
      <c r="G12" s="172">
        <f>INGRESOS!D19</f>
        <v>794200</v>
      </c>
    </row>
    <row r="13" spans="1:7" ht="20.100000000000001" customHeight="1">
      <c r="A13" s="180"/>
      <c r="B13" s="171"/>
      <c r="C13" s="346" t="s">
        <v>894</v>
      </c>
      <c r="D13" s="346" t="s">
        <v>891</v>
      </c>
      <c r="E13" s="423"/>
      <c r="F13" s="193">
        <f>SUM(F14:F18)</f>
        <v>2828700</v>
      </c>
      <c r="G13" s="193">
        <f>SUM(G14:G18)</f>
        <v>2828700</v>
      </c>
    </row>
    <row r="14" spans="1:7" ht="20.100000000000001" customHeight="1">
      <c r="A14" s="180"/>
      <c r="B14" s="171"/>
      <c r="C14" s="171"/>
      <c r="D14" s="171"/>
      <c r="E14" s="414" t="s">
        <v>899</v>
      </c>
      <c r="F14" s="172">
        <f>INGRESOS!C30</f>
        <v>23800</v>
      </c>
      <c r="G14" s="172">
        <f>INGRESOS!D30</f>
        <v>23800</v>
      </c>
    </row>
    <row r="15" spans="1:7" ht="20.100000000000001" customHeight="1">
      <c r="A15" s="180"/>
      <c r="B15" s="171"/>
      <c r="C15" s="171"/>
      <c r="D15" s="171"/>
      <c r="E15" s="414" t="s">
        <v>900</v>
      </c>
      <c r="F15" s="172">
        <f>INGRESOS!C31</f>
        <v>565900</v>
      </c>
      <c r="G15" s="172">
        <f>INGRESOS!D31</f>
        <v>565900</v>
      </c>
    </row>
    <row r="16" spans="1:7" ht="20.100000000000001" customHeight="1">
      <c r="A16" s="180"/>
      <c r="B16" s="171"/>
      <c r="C16" s="171"/>
      <c r="D16" s="171"/>
      <c r="E16" s="414" t="s">
        <v>901</v>
      </c>
      <c r="F16" s="172">
        <f>INGRESOS!C32</f>
        <v>2169800</v>
      </c>
      <c r="G16" s="172">
        <f>INGRESOS!D32</f>
        <v>2169800</v>
      </c>
    </row>
    <row r="17" spans="1:7" ht="20.100000000000001" customHeight="1">
      <c r="A17" s="180"/>
      <c r="B17" s="171"/>
      <c r="C17" s="171"/>
      <c r="D17" s="171"/>
      <c r="E17" s="414" t="s">
        <v>902</v>
      </c>
      <c r="F17" s="172">
        <f>INGRESOS!C35</f>
        <v>11300</v>
      </c>
      <c r="G17" s="172">
        <f>INGRESOS!D35</f>
        <v>11300</v>
      </c>
    </row>
    <row r="18" spans="1:7" ht="20.100000000000001" customHeight="1">
      <c r="A18" s="180"/>
      <c r="B18" s="171"/>
      <c r="C18" s="171"/>
      <c r="D18" s="171"/>
      <c r="E18" s="414" t="s">
        <v>903</v>
      </c>
      <c r="F18" s="172">
        <f>INGRESOS!C36</f>
        <v>57900</v>
      </c>
      <c r="G18" s="172">
        <f>INGRESOS!D36</f>
        <v>57900</v>
      </c>
    </row>
    <row r="19" spans="1:7" ht="20.100000000000001" customHeight="1">
      <c r="A19" s="180"/>
      <c r="B19" s="171"/>
      <c r="C19" s="346" t="s">
        <v>906</v>
      </c>
      <c r="D19" s="346" t="s">
        <v>893</v>
      </c>
      <c r="E19" s="423"/>
      <c r="F19" s="193">
        <f>SUM(F20:F21)</f>
        <v>293800</v>
      </c>
      <c r="G19" s="193">
        <f>SUM(G20:G21)</f>
        <v>293800</v>
      </c>
    </row>
    <row r="20" spans="1:7" ht="20.100000000000001" customHeight="1">
      <c r="A20" s="180"/>
      <c r="B20" s="171"/>
      <c r="C20" s="171"/>
      <c r="D20" s="171"/>
      <c r="E20" s="414" t="s">
        <v>904</v>
      </c>
      <c r="F20" s="172">
        <f>INGRESOS!C41</f>
        <v>258800</v>
      </c>
      <c r="G20" s="172">
        <f>INGRESOS!D41</f>
        <v>258800</v>
      </c>
    </row>
    <row r="21" spans="1:7" ht="20.100000000000001" customHeight="1">
      <c r="A21" s="180"/>
      <c r="B21" s="171"/>
      <c r="C21" s="171"/>
      <c r="D21" s="171"/>
      <c r="E21" s="414" t="s">
        <v>905</v>
      </c>
      <c r="F21" s="172">
        <f>INGRESOS!C42</f>
        <v>35000</v>
      </c>
      <c r="G21" s="172">
        <f>INGRESOS!D42</f>
        <v>35000</v>
      </c>
    </row>
    <row r="22" spans="1:7" ht="8.25" customHeight="1">
      <c r="A22" s="180"/>
      <c r="B22" s="171"/>
      <c r="C22" s="171"/>
      <c r="D22" s="171"/>
      <c r="E22" s="411"/>
      <c r="F22" s="172"/>
      <c r="G22" s="172"/>
    </row>
    <row r="23" spans="1:7" ht="20.100000000000001" customHeight="1">
      <c r="A23" s="421" t="s">
        <v>907</v>
      </c>
      <c r="B23" s="346" t="s">
        <v>882</v>
      </c>
      <c r="C23" s="346"/>
      <c r="D23" s="346"/>
      <c r="E23" s="423"/>
      <c r="F23" s="193">
        <f>F25+F26</f>
        <v>53782700</v>
      </c>
      <c r="G23" s="193">
        <f>G25+G26</f>
        <v>53782700</v>
      </c>
    </row>
    <row r="24" spans="1:7" ht="8.25" customHeight="1">
      <c r="A24" s="412"/>
      <c r="B24" s="413"/>
      <c r="C24" s="413"/>
      <c r="D24" s="171"/>
      <c r="E24" s="411"/>
      <c r="F24" s="172"/>
      <c r="G24" s="172"/>
    </row>
    <row r="25" spans="1:7" ht="20.100000000000001" customHeight="1">
      <c r="A25" s="180"/>
      <c r="B25" s="413" t="s">
        <v>884</v>
      </c>
      <c r="C25" s="413" t="s">
        <v>593</v>
      </c>
      <c r="D25" s="171"/>
      <c r="E25" s="411"/>
      <c r="F25" s="172">
        <f>INGRESOS!C21</f>
        <v>48782700</v>
      </c>
      <c r="G25" s="172">
        <f>INGRESOS!D24</f>
        <v>48782700</v>
      </c>
    </row>
    <row r="26" spans="1:7" ht="20.100000000000001" customHeight="1">
      <c r="A26" s="180"/>
      <c r="B26" s="413" t="s">
        <v>894</v>
      </c>
      <c r="C26" s="413" t="s">
        <v>591</v>
      </c>
      <c r="D26" s="171"/>
      <c r="E26" s="411"/>
      <c r="F26" s="172">
        <f>INGRESOS!C50</f>
        <v>5000000</v>
      </c>
      <c r="G26" s="172">
        <f>INGRESOS!D50</f>
        <v>5000000</v>
      </c>
    </row>
    <row r="27" spans="1:7" ht="7.5" customHeight="1">
      <c r="A27" s="180"/>
      <c r="B27" s="413"/>
      <c r="C27" s="413"/>
      <c r="D27" s="171"/>
      <c r="E27" s="411"/>
      <c r="F27" s="172"/>
      <c r="G27" s="172"/>
    </row>
    <row r="28" spans="1:7" ht="20.100000000000001" customHeight="1">
      <c r="A28" s="421" t="s">
        <v>909</v>
      </c>
      <c r="B28" s="346" t="s">
        <v>910</v>
      </c>
      <c r="C28" s="346"/>
      <c r="D28" s="346"/>
      <c r="E28" s="423"/>
      <c r="F28" s="193">
        <f>F29</f>
        <v>0</v>
      </c>
      <c r="G28" s="193">
        <f>G29</f>
        <v>0</v>
      </c>
    </row>
    <row r="29" spans="1:7" ht="20.100000000000001" customHeight="1">
      <c r="A29" s="180"/>
      <c r="B29" s="413" t="s">
        <v>884</v>
      </c>
      <c r="C29" s="413" t="s">
        <v>883</v>
      </c>
      <c r="D29" s="171"/>
      <c r="E29" s="411"/>
      <c r="F29" s="172">
        <f>INGRESOS!C55</f>
        <v>0</v>
      </c>
      <c r="G29" s="172">
        <f>INGRESOS!D55</f>
        <v>0</v>
      </c>
    </row>
    <row r="30" spans="1:7" ht="7.5" customHeight="1" thickBot="1">
      <c r="A30" s="244"/>
      <c r="B30" s="415"/>
      <c r="C30" s="415"/>
      <c r="D30" s="415"/>
      <c r="E30" s="416"/>
      <c r="F30" s="406"/>
      <c r="G30" s="406"/>
    </row>
    <row r="31" spans="1:7" ht="20.100000000000001" customHeight="1"/>
    <row r="32" spans="1:7" ht="20.100000000000001" customHeight="1"/>
    <row r="33" ht="20.100000000000001" customHeight="1"/>
    <row r="34" ht="20.100000000000001" customHeight="1"/>
  </sheetData>
  <mergeCells count="3">
    <mergeCell ref="A3:E4"/>
    <mergeCell ref="F3:G3"/>
    <mergeCell ref="A6:E6"/>
  </mergeCells>
  <pageMargins left="0.75" right="0.75" top="1" bottom="1" header="0" footer="0"/>
  <pageSetup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5"/>
  <sheetViews>
    <sheetView workbookViewId="0">
      <selection activeCell="I8" sqref="I8"/>
    </sheetView>
  </sheetViews>
  <sheetFormatPr baseColWidth="10" defaultRowHeight="12.75"/>
  <cols>
    <col min="1" max="1" width="19.28515625" customWidth="1"/>
    <col min="2" max="2" width="12.28515625" bestFit="1" customWidth="1"/>
  </cols>
  <sheetData>
    <row r="3" spans="1:3">
      <c r="A3" s="400" t="s">
        <v>613</v>
      </c>
      <c r="B3" s="24">
        <f>INGRESOS!E12</f>
        <v>52782700</v>
      </c>
      <c r="C3">
        <f>B3/B5</f>
        <v>0.91346891024476184</v>
      </c>
    </row>
    <row r="4" spans="1:3">
      <c r="A4" s="400" t="s">
        <v>345</v>
      </c>
      <c r="B4" s="24">
        <f>INGRESOS!D48</f>
        <v>5000000</v>
      </c>
      <c r="C4">
        <f>B4/B5</f>
        <v>8.6531089755238155E-2</v>
      </c>
    </row>
    <row r="5" spans="1:3">
      <c r="B5" s="24">
        <f>B3+B4</f>
        <v>57782700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34"/>
  <sheetViews>
    <sheetView workbookViewId="0">
      <selection activeCell="I18" sqref="I18"/>
    </sheetView>
  </sheetViews>
  <sheetFormatPr baseColWidth="10" defaultRowHeight="12.75"/>
  <cols>
    <col min="1" max="3" width="2.140625" style="29" customWidth="1"/>
    <col min="4" max="4" width="1" style="29" customWidth="1"/>
    <col min="5" max="5" width="27.28515625" style="29" customWidth="1"/>
    <col min="6" max="6" width="17.5703125" style="29" customWidth="1"/>
    <col min="7" max="7" width="16.28515625" style="29" customWidth="1"/>
    <col min="8" max="8" width="14.42578125" style="29" customWidth="1"/>
    <col min="9" max="9" width="15.7109375" style="29" customWidth="1"/>
    <col min="10" max="16384" width="11.42578125" style="29"/>
  </cols>
  <sheetData>
    <row r="2" spans="1:9" ht="13.5" thickBot="1">
      <c r="A2" s="336" t="s">
        <v>914</v>
      </c>
    </row>
    <row r="3" spans="1:9" ht="20.100000000000001" customHeight="1" thickBot="1">
      <c r="A3" s="1045" t="s">
        <v>385</v>
      </c>
      <c r="B3" s="1046"/>
      <c r="C3" s="1046"/>
      <c r="D3" s="1046"/>
      <c r="E3" s="1047"/>
      <c r="F3" s="1051" t="s">
        <v>386</v>
      </c>
      <c r="G3" s="1051"/>
      <c r="H3" s="1051"/>
      <c r="I3" s="1051"/>
    </row>
    <row r="4" spans="1:9" ht="20.100000000000001" customHeight="1" thickBot="1">
      <c r="A4" s="1048"/>
      <c r="B4" s="1049"/>
      <c r="C4" s="1049"/>
      <c r="D4" s="1049"/>
      <c r="E4" s="1050"/>
      <c r="F4" s="408" t="s">
        <v>387</v>
      </c>
      <c r="G4" s="408" t="s">
        <v>477</v>
      </c>
      <c r="H4" s="408" t="s">
        <v>40</v>
      </c>
      <c r="I4" s="408" t="s">
        <v>479</v>
      </c>
    </row>
    <row r="5" spans="1:9" ht="20.100000000000001" customHeight="1">
      <c r="A5" s="180"/>
      <c r="B5" s="171"/>
      <c r="C5" s="171"/>
      <c r="D5" s="171"/>
      <c r="E5" s="411"/>
      <c r="F5" s="403"/>
      <c r="G5" s="403"/>
      <c r="H5" s="403"/>
      <c r="I5" s="403"/>
    </row>
    <row r="6" spans="1:9" ht="20.100000000000001" customHeight="1">
      <c r="A6" s="1042" t="s">
        <v>908</v>
      </c>
      <c r="B6" s="1043"/>
      <c r="C6" s="1043"/>
      <c r="D6" s="1043"/>
      <c r="E6" s="1044"/>
      <c r="F6" s="193">
        <f>F8+F23+F28</f>
        <v>57782700</v>
      </c>
      <c r="G6" s="193">
        <f>G8+G23+G28</f>
        <v>57782700</v>
      </c>
      <c r="H6" s="193">
        <f>H8+H23+H28</f>
        <v>52989178</v>
      </c>
      <c r="I6" s="193">
        <f>I8+I23+I28</f>
        <v>53195861.700000003</v>
      </c>
    </row>
    <row r="7" spans="1:9" ht="20.100000000000001" customHeight="1">
      <c r="A7" s="180"/>
      <c r="B7" s="171"/>
      <c r="C7" s="171"/>
      <c r="D7" s="171"/>
      <c r="E7" s="411"/>
      <c r="F7" s="172"/>
      <c r="G7" s="172"/>
      <c r="H7" s="172"/>
      <c r="I7" s="172"/>
    </row>
    <row r="8" spans="1:9" ht="20.100000000000001" customHeight="1">
      <c r="A8" s="421" t="s">
        <v>896</v>
      </c>
      <c r="B8" s="346" t="s">
        <v>881</v>
      </c>
      <c r="C8" s="346"/>
      <c r="D8" s="346"/>
      <c r="E8" s="423"/>
      <c r="F8" s="193">
        <f>F10+F13+F19</f>
        <v>4000000</v>
      </c>
      <c r="G8" s="193">
        <f>G10+G13+G19</f>
        <v>4000000</v>
      </c>
      <c r="H8" s="193">
        <f>H10+H13+H19</f>
        <v>3847296</v>
      </c>
      <c r="I8" s="193">
        <f>I10+I13+I19</f>
        <v>4053979.6999999997</v>
      </c>
    </row>
    <row r="9" spans="1:9" ht="10.5" customHeight="1">
      <c r="A9" s="421"/>
      <c r="B9" s="346"/>
      <c r="C9" s="346"/>
      <c r="D9" s="346"/>
      <c r="E9" s="423"/>
      <c r="F9" s="193"/>
      <c r="G9" s="193"/>
      <c r="H9" s="193"/>
      <c r="I9" s="193"/>
    </row>
    <row r="10" spans="1:9" ht="20.100000000000001" customHeight="1">
      <c r="A10" s="421"/>
      <c r="B10" s="346"/>
      <c r="C10" s="346" t="s">
        <v>884</v>
      </c>
      <c r="D10" s="346" t="s">
        <v>886</v>
      </c>
      <c r="E10" s="423"/>
      <c r="F10" s="193">
        <f>SUM(F11:F12)</f>
        <v>877500</v>
      </c>
      <c r="G10" s="193">
        <f>SUM(G11:G12)</f>
        <v>877500</v>
      </c>
      <c r="H10" s="193">
        <f>SUM(H11:H12)</f>
        <v>805300</v>
      </c>
      <c r="I10" s="193">
        <f>SUM(I11:I12)</f>
        <v>382196.9</v>
      </c>
    </row>
    <row r="11" spans="1:9" ht="20.100000000000001" customHeight="1">
      <c r="A11" s="180"/>
      <c r="B11" s="171"/>
      <c r="C11" s="171"/>
      <c r="D11" s="171"/>
      <c r="E11" s="414" t="s">
        <v>897</v>
      </c>
      <c r="F11" s="172">
        <f>INGRESOS!C18</f>
        <v>83300</v>
      </c>
      <c r="G11" s="172">
        <f>INGRESOS!D18</f>
        <v>83300</v>
      </c>
      <c r="H11" s="172">
        <f>INGRESOS!F18</f>
        <v>83300</v>
      </c>
      <c r="I11" s="172">
        <f>INGRESOS!S18</f>
        <v>92525.4</v>
      </c>
    </row>
    <row r="12" spans="1:9" ht="20.100000000000001" customHeight="1">
      <c r="A12" s="180"/>
      <c r="B12" s="171"/>
      <c r="C12" s="171"/>
      <c r="D12" s="171"/>
      <c r="E12" s="414" t="s">
        <v>898</v>
      </c>
      <c r="F12" s="172">
        <f>INGRESOS!C19</f>
        <v>794200</v>
      </c>
      <c r="G12" s="172">
        <f>INGRESOS!D19</f>
        <v>794200</v>
      </c>
      <c r="H12" s="172">
        <f>INGRESOS!F19</f>
        <v>722000</v>
      </c>
      <c r="I12" s="172">
        <f>INGRESOS!S19</f>
        <v>289671.5</v>
      </c>
    </row>
    <row r="13" spans="1:9" ht="20.100000000000001" customHeight="1">
      <c r="A13" s="180"/>
      <c r="B13" s="171"/>
      <c r="C13" s="346" t="s">
        <v>894</v>
      </c>
      <c r="D13" s="346" t="s">
        <v>891</v>
      </c>
      <c r="E13" s="423"/>
      <c r="F13" s="193">
        <f>SUM(F14:F18)</f>
        <v>2828700</v>
      </c>
      <c r="G13" s="193">
        <f>SUM(G14:G18)</f>
        <v>2828700</v>
      </c>
      <c r="H13" s="193">
        <f>SUM(H14:H18)</f>
        <v>2748196</v>
      </c>
      <c r="I13" s="193">
        <f>SUM(I14:I18)</f>
        <v>2696579.32</v>
      </c>
    </row>
    <row r="14" spans="1:9" ht="20.100000000000001" customHeight="1">
      <c r="A14" s="180"/>
      <c r="B14" s="171"/>
      <c r="C14" s="171"/>
      <c r="D14" s="171"/>
      <c r="E14" s="414" t="s">
        <v>899</v>
      </c>
      <c r="F14" s="172">
        <f>INGRESOS!C30</f>
        <v>23800</v>
      </c>
      <c r="G14" s="172">
        <f>INGRESOS!D30</f>
        <v>23800</v>
      </c>
      <c r="H14" s="172">
        <f>INGRESOS!F30</f>
        <v>23800</v>
      </c>
      <c r="I14" s="172">
        <f>INGRESOS!S30</f>
        <v>63412</v>
      </c>
    </row>
    <row r="15" spans="1:9" ht="20.100000000000001" customHeight="1">
      <c r="A15" s="180"/>
      <c r="B15" s="171"/>
      <c r="C15" s="171"/>
      <c r="D15" s="171"/>
      <c r="E15" s="414" t="s">
        <v>900</v>
      </c>
      <c r="F15" s="172">
        <f>INGRESOS!C31</f>
        <v>565900</v>
      </c>
      <c r="G15" s="172">
        <f>INGRESOS!D31</f>
        <v>565900</v>
      </c>
      <c r="H15" s="172">
        <f>INGRESOS!F31</f>
        <v>565900</v>
      </c>
      <c r="I15" s="172">
        <f>INGRESOS!S31</f>
        <v>611596</v>
      </c>
    </row>
    <row r="16" spans="1:9" ht="20.100000000000001" customHeight="1">
      <c r="A16" s="180"/>
      <c r="B16" s="171"/>
      <c r="C16" s="171"/>
      <c r="D16" s="171"/>
      <c r="E16" s="414" t="s">
        <v>901</v>
      </c>
      <c r="F16" s="172">
        <f>INGRESOS!C32</f>
        <v>2169800</v>
      </c>
      <c r="G16" s="172">
        <f>INGRESOS!D32</f>
        <v>2169800</v>
      </c>
      <c r="H16" s="172">
        <f>INGRESOS!F32</f>
        <v>2089296</v>
      </c>
      <c r="I16" s="172">
        <f>INGRESOS!S32</f>
        <v>1919350.3199999998</v>
      </c>
    </row>
    <row r="17" spans="1:9" ht="20.100000000000001" customHeight="1">
      <c r="A17" s="180"/>
      <c r="B17" s="171"/>
      <c r="C17" s="171"/>
      <c r="D17" s="171"/>
      <c r="E17" s="414" t="s">
        <v>902</v>
      </c>
      <c r="F17" s="172">
        <f>INGRESOS!C35</f>
        <v>11300</v>
      </c>
      <c r="G17" s="172">
        <f>INGRESOS!D35</f>
        <v>11300</v>
      </c>
      <c r="H17" s="172">
        <f>INGRESOS!F35</f>
        <v>11300</v>
      </c>
      <c r="I17" s="172">
        <f>INGRESOS!S35</f>
        <v>14506</v>
      </c>
    </row>
    <row r="18" spans="1:9" ht="20.100000000000001" customHeight="1">
      <c r="A18" s="180"/>
      <c r="B18" s="171"/>
      <c r="C18" s="171"/>
      <c r="D18" s="171"/>
      <c r="E18" s="414" t="s">
        <v>903</v>
      </c>
      <c r="F18" s="172">
        <f>INGRESOS!C36</f>
        <v>57900</v>
      </c>
      <c r="G18" s="172">
        <f>INGRESOS!D36</f>
        <v>57900</v>
      </c>
      <c r="H18" s="172">
        <f>INGRESOS!F36</f>
        <v>57900</v>
      </c>
      <c r="I18" s="172">
        <f>INGRESOS!S36</f>
        <v>87715</v>
      </c>
    </row>
    <row r="19" spans="1:9" ht="20.100000000000001" customHeight="1">
      <c r="A19" s="180"/>
      <c r="B19" s="171"/>
      <c r="C19" s="346" t="s">
        <v>906</v>
      </c>
      <c r="D19" s="346" t="s">
        <v>893</v>
      </c>
      <c r="E19" s="423"/>
      <c r="F19" s="193">
        <f>SUM(F20:F21)</f>
        <v>293800</v>
      </c>
      <c r="G19" s="193">
        <f>SUM(G20:G21)</f>
        <v>293800</v>
      </c>
      <c r="H19" s="193">
        <f>SUM(H20:H21)</f>
        <v>293800</v>
      </c>
      <c r="I19" s="193">
        <f>SUM(I20:I21)</f>
        <v>975203.4800000001</v>
      </c>
    </row>
    <row r="20" spans="1:9" ht="20.100000000000001" customHeight="1">
      <c r="A20" s="180"/>
      <c r="B20" s="171"/>
      <c r="C20" s="171"/>
      <c r="D20" s="171"/>
      <c r="E20" s="414" t="s">
        <v>904</v>
      </c>
      <c r="F20" s="172">
        <f>INGRESOS!C41</f>
        <v>258800</v>
      </c>
      <c r="G20" s="172">
        <f>INGRESOS!D41</f>
        <v>258800</v>
      </c>
      <c r="H20" s="172">
        <f>INGRESOS!F41</f>
        <v>258800</v>
      </c>
      <c r="I20" s="172">
        <f>INGRESOS!S41</f>
        <v>930776.84000000008</v>
      </c>
    </row>
    <row r="21" spans="1:9" ht="20.100000000000001" customHeight="1">
      <c r="A21" s="180"/>
      <c r="B21" s="171"/>
      <c r="C21" s="171"/>
      <c r="D21" s="171"/>
      <c r="E21" s="414" t="s">
        <v>905</v>
      </c>
      <c r="F21" s="172">
        <f>INGRESOS!C42</f>
        <v>35000</v>
      </c>
      <c r="G21" s="172">
        <f>INGRESOS!D42</f>
        <v>35000</v>
      </c>
      <c r="H21" s="172">
        <f>INGRESOS!F42</f>
        <v>35000</v>
      </c>
      <c r="I21" s="172">
        <f>INGRESOS!S42</f>
        <v>44426.64</v>
      </c>
    </row>
    <row r="22" spans="1:9" ht="8.25" customHeight="1">
      <c r="A22" s="180"/>
      <c r="B22" s="171"/>
      <c r="C22" s="171"/>
      <c r="D22" s="171"/>
      <c r="E22" s="411"/>
      <c r="F22" s="172"/>
      <c r="G22" s="172"/>
      <c r="H22" s="172"/>
      <c r="I22" s="172"/>
    </row>
    <row r="23" spans="1:9" ht="20.100000000000001" customHeight="1">
      <c r="A23" s="421" t="s">
        <v>907</v>
      </c>
      <c r="B23" s="346" t="s">
        <v>882</v>
      </c>
      <c r="C23" s="346"/>
      <c r="D23" s="346"/>
      <c r="E23" s="423"/>
      <c r="F23" s="193">
        <f>F25+F26</f>
        <v>53782700</v>
      </c>
      <c r="G23" s="193">
        <f>G25+G26</f>
        <v>53782700</v>
      </c>
      <c r="H23" s="193">
        <f>H25+H26</f>
        <v>49141882</v>
      </c>
      <c r="I23" s="193">
        <f>I25+I26</f>
        <v>49141882</v>
      </c>
    </row>
    <row r="24" spans="1:9" ht="8.25" customHeight="1">
      <c r="A24" s="412"/>
      <c r="B24" s="413"/>
      <c r="C24" s="413"/>
      <c r="D24" s="171"/>
      <c r="E24" s="411"/>
      <c r="F24" s="172"/>
      <c r="G24" s="172"/>
      <c r="H24" s="172"/>
      <c r="I24" s="172"/>
    </row>
    <row r="25" spans="1:9" ht="20.100000000000001" customHeight="1">
      <c r="A25" s="180"/>
      <c r="B25" s="413" t="s">
        <v>884</v>
      </c>
      <c r="C25" s="413" t="s">
        <v>593</v>
      </c>
      <c r="D25" s="171"/>
      <c r="E25" s="411"/>
      <c r="F25" s="172">
        <f>INGRESOS!C21</f>
        <v>48782700</v>
      </c>
      <c r="G25" s="172">
        <f>INGRESOS!D24</f>
        <v>48782700</v>
      </c>
      <c r="H25" s="172">
        <f>INGRESOS!F21</f>
        <v>44141882</v>
      </c>
      <c r="I25" s="172">
        <f>INGRESOS!S21</f>
        <v>44141882</v>
      </c>
    </row>
    <row r="26" spans="1:9" ht="20.100000000000001" customHeight="1">
      <c r="A26" s="180"/>
      <c r="B26" s="413" t="s">
        <v>894</v>
      </c>
      <c r="C26" s="413" t="s">
        <v>591</v>
      </c>
      <c r="D26" s="171"/>
      <c r="E26" s="411"/>
      <c r="F26" s="172">
        <f>INGRESOS!C50</f>
        <v>5000000</v>
      </c>
      <c r="G26" s="172">
        <f>INGRESOS!D50</f>
        <v>5000000</v>
      </c>
      <c r="H26" s="172">
        <f>INGRESOS!F50</f>
        <v>5000000</v>
      </c>
      <c r="I26" s="172">
        <f>INGRESOS!S53</f>
        <v>5000000</v>
      </c>
    </row>
    <row r="27" spans="1:9" ht="7.5" customHeight="1">
      <c r="A27" s="180"/>
      <c r="B27" s="413"/>
      <c r="C27" s="413"/>
      <c r="D27" s="171"/>
      <c r="E27" s="411"/>
      <c r="F27" s="172"/>
      <c r="G27" s="172"/>
      <c r="H27" s="172"/>
      <c r="I27" s="172"/>
    </row>
    <row r="28" spans="1:9" ht="20.100000000000001" customHeight="1">
      <c r="A28" s="421" t="s">
        <v>909</v>
      </c>
      <c r="B28" s="346" t="s">
        <v>910</v>
      </c>
      <c r="C28" s="346"/>
      <c r="D28" s="346"/>
      <c r="E28" s="423"/>
      <c r="F28" s="193">
        <f>F29</f>
        <v>0</v>
      </c>
      <c r="G28" s="193">
        <f>G29</f>
        <v>0</v>
      </c>
      <c r="H28" s="193">
        <f>H29</f>
        <v>0</v>
      </c>
      <c r="I28" s="193">
        <f>I29</f>
        <v>0</v>
      </c>
    </row>
    <row r="29" spans="1:9" ht="20.100000000000001" customHeight="1">
      <c r="A29" s="180"/>
      <c r="B29" s="413" t="s">
        <v>884</v>
      </c>
      <c r="C29" s="413" t="s">
        <v>883</v>
      </c>
      <c r="D29" s="171"/>
      <c r="E29" s="411"/>
      <c r="F29" s="172">
        <f>INGRESOS!C55</f>
        <v>0</v>
      </c>
      <c r="G29" s="172">
        <f>INGRESOS!D55</f>
        <v>0</v>
      </c>
      <c r="H29" s="172">
        <f>INGRESOS!F58</f>
        <v>0</v>
      </c>
      <c r="I29" s="172">
        <f>INGRESOS!S58</f>
        <v>0</v>
      </c>
    </row>
    <row r="30" spans="1:9" ht="7.5" customHeight="1" thickBot="1">
      <c r="A30" s="244"/>
      <c r="B30" s="415"/>
      <c r="C30" s="415"/>
      <c r="D30" s="415"/>
      <c r="E30" s="416"/>
      <c r="F30" s="406"/>
      <c r="G30" s="406"/>
      <c r="H30" s="406"/>
      <c r="I30" s="406"/>
    </row>
    <row r="31" spans="1:9" ht="20.100000000000001" customHeight="1"/>
    <row r="32" spans="1:9" ht="20.100000000000001" customHeight="1"/>
    <row r="33" ht="20.100000000000001" customHeight="1"/>
    <row r="34" ht="20.100000000000001" customHeight="1"/>
  </sheetData>
  <mergeCells count="3">
    <mergeCell ref="A6:E6"/>
    <mergeCell ref="A3:E4"/>
    <mergeCell ref="F3:I3"/>
  </mergeCells>
  <phoneticPr fontId="47" type="noConversion"/>
  <pageMargins left="0.75" right="0.75" top="1" bottom="1" header="0" footer="0"/>
  <pageSetup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6" baseType="variant">
      <vt:variant>
        <vt:lpstr>Hojas de cálculo</vt:lpstr>
      </vt:variant>
      <vt:variant>
        <vt:i4>27</vt:i4>
      </vt:variant>
      <vt:variant>
        <vt:lpstr>Gráficos</vt:lpstr>
      </vt:variant>
      <vt:variant>
        <vt:i4>3</vt:i4>
      </vt:variant>
      <vt:variant>
        <vt:lpstr>Rangos con nombre</vt:lpstr>
      </vt:variant>
      <vt:variant>
        <vt:i4>7</vt:i4>
      </vt:variant>
    </vt:vector>
  </HeadingPairs>
  <TitlesOfParts>
    <vt:vector size="37" baseType="lpstr">
      <vt:lpstr>Objeto</vt:lpstr>
      <vt:lpstr>Resumen</vt:lpstr>
      <vt:lpstr>Contraloría</vt:lpstr>
      <vt:lpstr>INGRESOS</vt:lpstr>
      <vt:lpstr>PROGRAMA</vt:lpstr>
      <vt:lpstr>cuadro asamblea</vt:lpstr>
      <vt:lpstr>Cuadro 1-1-12</vt:lpstr>
      <vt:lpstr>GRAFICA 1</vt:lpstr>
      <vt:lpstr>Cuadro 1-13</vt:lpstr>
      <vt:lpstr>cuadro 2 -13</vt:lpstr>
      <vt:lpstr>cuadr3-13</vt:lpstr>
      <vt:lpstr>Cuadro 3-13</vt:lpstr>
      <vt:lpstr>Cuadro 4-12</vt:lpstr>
      <vt:lpstr>cuadro 5-13</vt:lpstr>
      <vt:lpstr>cuadro 6-13</vt:lpstr>
      <vt:lpstr>cuadro 7-13</vt:lpstr>
      <vt:lpstr>CUADRO 8-13</vt:lpstr>
      <vt:lpstr>ING</vt:lpstr>
      <vt:lpstr>Hoja3</vt:lpstr>
      <vt:lpstr>FLUJO</vt:lpstr>
      <vt:lpstr>Cuadro 1</vt:lpstr>
      <vt:lpstr>CUADRO DE MAT</vt:lpstr>
      <vt:lpstr>COMP ING</vt:lpstr>
      <vt:lpstr>Cuadro 3</vt:lpstr>
      <vt:lpstr>Cuadro 6</vt:lpstr>
      <vt:lpstr>Cuadro 7</vt:lpstr>
      <vt:lpstr>Cuadro 9</vt:lpstr>
      <vt:lpstr>Gráfico1</vt:lpstr>
      <vt:lpstr>Gráfico2</vt:lpstr>
      <vt:lpstr>Gráfico3</vt:lpstr>
      <vt:lpstr>Contraloría!Área_de_impresión</vt:lpstr>
      <vt:lpstr>INGRESOS!Área_de_impresión</vt:lpstr>
      <vt:lpstr>Objeto!Área_de_impresión</vt:lpstr>
      <vt:lpstr>Resumen!Área_de_impresión</vt:lpstr>
      <vt:lpstr>Contraloría!Títulos_a_imprimir</vt:lpstr>
      <vt:lpstr>Objeto!Títulos_a_imprimir</vt:lpstr>
      <vt:lpstr>Resumen!Títulos_a_imprimir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Planificación</dc:creator>
  <cp:lastModifiedBy>Sugely</cp:lastModifiedBy>
  <cp:revision>1</cp:revision>
  <cp:lastPrinted>2017-11-07T16:18:27Z</cp:lastPrinted>
  <dcterms:created xsi:type="dcterms:W3CDTF">1997-08-27T22:12:56Z</dcterms:created>
  <dcterms:modified xsi:type="dcterms:W3CDTF">2017-11-07T16:20:08Z</dcterms:modified>
</cp:coreProperties>
</file>